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 11\Desktop\"/>
    </mc:Choice>
  </mc:AlternateContent>
  <bookViews>
    <workbookView xWindow="0" yWindow="0" windowWidth="28800" windowHeight="12330" firstSheet="1" activeTab="1"/>
  </bookViews>
  <sheets>
    <sheet name="030523 INVENTARIO" sheetId="2" state="hidden" r:id="rId1"/>
    <sheet name="INVENTARIO 2024" sheetId="3" r:id="rId2"/>
    <sheet name="Copia de 030523 INVENTARIO " sheetId="16" state="hidden" r:id="rId3"/>
    <sheet name="Diferencias patrimonio 2023" sheetId="17" state="hidden" r:id="rId4"/>
    <sheet name="Patrimonio 2023" sheetId="19" state="hidden" r:id="rId5"/>
    <sheet name="resultados comparación" sheetId="20" state="hidden" r:id="rId6"/>
    <sheet name="Copia de 030523 INVENTARIO 0503" sheetId="22" state="hidden" r:id="rId7"/>
    <sheet name="221123 INVENTARIO" sheetId="23" state="hidden" r:id="rId8"/>
    <sheet name="conciliacion patrimonio" sheetId="24" state="hidden" r:id="rId9"/>
    <sheet name="saacg nov2023" sheetId="27" state="hidden" r:id="rId10"/>
    <sheet name="Copia de PRUEBAS" sheetId="28" state="hidden" r:id="rId11"/>
    <sheet name="Hoja 4" sheetId="29" state="hidden" r:id="rId12"/>
    <sheet name="Hoja 5" sheetId="30" state="hidden" r:id="rId13"/>
    <sheet name="Hoja 8" sheetId="31" state="hidden" r:id="rId14"/>
    <sheet name="verifsaacg" sheetId="32" state="hidden" r:id="rId15"/>
    <sheet name="DATOSRESG" sheetId="33" state="hidden" r:id="rId16"/>
    <sheet name="Hoja 14" sheetId="34" state="hidden" r:id="rId17"/>
  </sheets>
  <definedNames>
    <definedName name="_xlnm._FilterDatabase" localSheetId="0" hidden="1">'030523 INVENTARIO'!$A$1:$AE$1122</definedName>
    <definedName name="_xlnm._FilterDatabase" localSheetId="7" hidden="1">'221123 INVENTARIO'!$A$1:$AC$1043</definedName>
    <definedName name="_xlnm._FilterDatabase" localSheetId="2" hidden="1">'Copia de 030523 INVENTARIO '!$A$1:$AE$1122</definedName>
    <definedName name="_xlnm._FilterDatabase" localSheetId="6" hidden="1">'Copia de 030523 INVENTARIO 0503'!$A$1:$AE$1483</definedName>
    <definedName name="_xlnm._FilterDatabase" localSheetId="3" hidden="1">'Diferencias patrimonio 2023'!$B$1:$D$1101</definedName>
    <definedName name="_xlnm._FilterDatabase" localSheetId="11" hidden="1">'Hoja 4'!$S$1:$U$191</definedName>
    <definedName name="_xlnm._FilterDatabase" localSheetId="1" hidden="1">'INVENTARIO 2024'!$A$1:$O$1141</definedName>
    <definedName name="_xlnm._FilterDatabase" localSheetId="4" hidden="1">'Patrimonio 2023'!$A$1:$H$1128</definedName>
    <definedName name="_xlnm._FilterDatabase" localSheetId="5" hidden="1">'resultados comparación'!$A$1:$A$874</definedName>
    <definedName name="_xlnm._FilterDatabase" localSheetId="9" hidden="1">'saacg nov2023'!$A$1:$G$1016</definedName>
    <definedName name="_xlnm._FilterDatabase" localSheetId="14" hidden="1">verifsaacg!$B$2:$L$953</definedName>
    <definedName name="DB_BIENES" localSheetId="7">'221123 INVENTARIO'!$A$1:$Y$1074</definedName>
    <definedName name="DB_BIENES" localSheetId="2">'Copia de 030523 INVENTARIO '!$A$1:$AA$1072</definedName>
    <definedName name="DB_BIENES" localSheetId="6">'Copia de 030523 INVENTARIO 0503'!$A$1:$AA$1074</definedName>
    <definedName name="DB_BIENES" localSheetId="1">'INVENTARIO 2024'!$A$1:$O$1072</definedName>
    <definedName name="DB_BIENES">'030523 INVENTARIO'!$A$1:$AA$1072</definedName>
    <definedName name="Z_448E872C_185B_42E9_9393_93457B29FC18_.wvu.FilterData" localSheetId="0" hidden="1">'030523 INVENTARIO'!$A$1:$AE$1122</definedName>
    <definedName name="Z_448E872C_185B_42E9_9393_93457B29FC18_.wvu.FilterData" localSheetId="15" hidden="1">DATOSRESG!$M$9</definedName>
    <definedName name="Z_448E872C_185B_42E9_9393_93457B29FC18_.wvu.FilterData" localSheetId="1" hidden="1">'INVENTARIO 2024'!$A$1:$O$1122</definedName>
    <definedName name="Z_647C8B18_C7F0_4707_B0C0_38457E97BAD2_.wvu.FilterData" localSheetId="0" hidden="1">'030523 INVENTARIO'!$A$1:$AE$1122</definedName>
    <definedName name="Z_647C8B18_C7F0_4707_B0C0_38457E97BAD2_.wvu.FilterData" localSheetId="1" hidden="1">'INVENTARIO 2024'!$A$1:$O$1122</definedName>
  </definedNames>
  <calcPr calcId="162913"/>
  <customWorkbookViews>
    <customWorkbookView name="Filtro 1" guid="{448E872C-185B-42E9-9393-93457B29FC18}" maximized="1" windowWidth="0" windowHeight="0" activeSheetId="0"/>
    <customWorkbookView name="Filtro 2" guid="{647C8B18-C7F0-4707-B0C0-38457E97BAD2}" maximized="1" windowWidth="0" windowHeight="0" activeSheetId="0"/>
  </customWorkbookViews>
</workbook>
</file>

<file path=xl/calcChain.xml><?xml version="1.0" encoding="utf-8"?>
<calcChain xmlns="http://schemas.openxmlformats.org/spreadsheetml/2006/main">
  <c r="L1139" i="3" l="1"/>
  <c r="L1140" i="3"/>
  <c r="L1138" i="3"/>
  <c r="K1134" i="3"/>
  <c r="K1135" i="3"/>
  <c r="K1131" i="3"/>
  <c r="K1132" i="3"/>
  <c r="K1133" i="3"/>
  <c r="K1130" i="3"/>
  <c r="L1129" i="3"/>
  <c r="L1130" i="3"/>
  <c r="L1131" i="3"/>
  <c r="L1132" i="3"/>
  <c r="L1133" i="3"/>
  <c r="L1134" i="3"/>
  <c r="L1135" i="3"/>
  <c r="L1136" i="3"/>
  <c r="L1137" i="3"/>
  <c r="K1129" i="3"/>
  <c r="K1128" i="3" l="1"/>
  <c r="L1126" i="3"/>
  <c r="L1127" i="3"/>
  <c r="L1128" i="3"/>
  <c r="K1125" i="3"/>
  <c r="K1126" i="3"/>
  <c r="K1127" i="3"/>
  <c r="K1124" i="3"/>
  <c r="L1121" i="3"/>
  <c r="L1122" i="3"/>
  <c r="L1123" i="3"/>
  <c r="L1124" i="3"/>
  <c r="L1125" i="3"/>
  <c r="K1123" i="3"/>
  <c r="K1118" i="3"/>
  <c r="K1119" i="3"/>
  <c r="K1120" i="3"/>
  <c r="K1121" i="3"/>
  <c r="K1122" i="3"/>
  <c r="K1117" i="3"/>
  <c r="N997" i="34" l="1"/>
  <c r="N996" i="34"/>
  <c r="N995" i="34"/>
  <c r="N994" i="34"/>
  <c r="N993" i="34"/>
  <c r="N992" i="34"/>
  <c r="N991" i="34"/>
  <c r="N990" i="34"/>
  <c r="N989" i="34"/>
  <c r="N988" i="34"/>
  <c r="N987" i="34"/>
  <c r="N986" i="34"/>
  <c r="N985" i="34"/>
  <c r="N984" i="34"/>
  <c r="N983" i="34"/>
  <c r="N982" i="34"/>
  <c r="N981" i="34"/>
  <c r="N980" i="34"/>
  <c r="N979" i="34"/>
  <c r="N978" i="34"/>
  <c r="N977" i="34"/>
  <c r="N976" i="34"/>
  <c r="N975" i="34"/>
  <c r="N974" i="34"/>
  <c r="N973" i="34"/>
  <c r="N972" i="34"/>
  <c r="N971" i="34"/>
  <c r="N970" i="34"/>
  <c r="N969" i="34"/>
  <c r="N968" i="34"/>
  <c r="N967" i="34"/>
  <c r="N966" i="34"/>
  <c r="N965" i="34"/>
  <c r="N964" i="34"/>
  <c r="N963" i="34"/>
  <c r="N962" i="34"/>
  <c r="N961" i="34"/>
  <c r="N960" i="34"/>
  <c r="N959" i="34"/>
  <c r="N958" i="34"/>
  <c r="N957" i="34"/>
  <c r="N956" i="34"/>
  <c r="N955" i="34"/>
  <c r="N954" i="34"/>
  <c r="N953" i="34"/>
  <c r="N952" i="34"/>
  <c r="N951" i="34"/>
  <c r="N950" i="34"/>
  <c r="N949" i="34"/>
  <c r="N948" i="34"/>
  <c r="N947" i="34"/>
  <c r="N946" i="34"/>
  <c r="N945" i="34"/>
  <c r="N944" i="34"/>
  <c r="N943" i="34"/>
  <c r="N942" i="34"/>
  <c r="N941" i="34"/>
  <c r="N940" i="34"/>
  <c r="N939" i="34"/>
  <c r="N938" i="34"/>
  <c r="N937" i="34"/>
  <c r="N936" i="34"/>
  <c r="N935" i="34"/>
  <c r="N934" i="34"/>
  <c r="N933" i="34"/>
  <c r="N932" i="34"/>
  <c r="N931" i="34"/>
  <c r="N930" i="34"/>
  <c r="N929" i="34"/>
  <c r="N928" i="34"/>
  <c r="N927" i="34"/>
  <c r="N926" i="34"/>
  <c r="N925" i="34"/>
  <c r="N924" i="34"/>
  <c r="N923" i="34"/>
  <c r="N922" i="34"/>
  <c r="N921" i="34"/>
  <c r="N920" i="34"/>
  <c r="N919" i="34"/>
  <c r="N918" i="34"/>
  <c r="N917" i="34"/>
  <c r="N916" i="34"/>
  <c r="N915" i="34"/>
  <c r="N914" i="34"/>
  <c r="N913" i="34"/>
  <c r="N912" i="34"/>
  <c r="N911" i="34"/>
  <c r="N910" i="34"/>
  <c r="N909" i="34"/>
  <c r="N908" i="34"/>
  <c r="N907" i="34"/>
  <c r="N906" i="34"/>
  <c r="N905" i="34"/>
  <c r="N904" i="34"/>
  <c r="N903" i="34"/>
  <c r="N902" i="34"/>
  <c r="N901" i="34"/>
  <c r="N900" i="34"/>
  <c r="N899" i="34"/>
  <c r="N898" i="34"/>
  <c r="N897" i="34"/>
  <c r="N896" i="34"/>
  <c r="N895" i="34"/>
  <c r="N894" i="34"/>
  <c r="N893" i="34"/>
  <c r="N892" i="34"/>
  <c r="N891" i="34"/>
  <c r="N890" i="34"/>
  <c r="N889" i="34"/>
  <c r="N888" i="34"/>
  <c r="N887" i="34"/>
  <c r="N886" i="34"/>
  <c r="N885" i="34"/>
  <c r="N884" i="34"/>
  <c r="N883" i="34"/>
  <c r="N882" i="34"/>
  <c r="N881" i="34"/>
  <c r="N880" i="34"/>
  <c r="N879" i="34"/>
  <c r="N878" i="34"/>
  <c r="N877" i="34"/>
  <c r="N876" i="34"/>
  <c r="N875" i="34"/>
  <c r="N874" i="34"/>
  <c r="N873" i="34"/>
  <c r="N872" i="34"/>
  <c r="N871" i="34"/>
  <c r="N870" i="34"/>
  <c r="N869" i="34"/>
  <c r="N868" i="34"/>
  <c r="N867" i="34"/>
  <c r="N866" i="34"/>
  <c r="N865" i="34"/>
  <c r="N864" i="34"/>
  <c r="N863" i="34"/>
  <c r="N862" i="34"/>
  <c r="N861" i="34"/>
  <c r="N860" i="34"/>
  <c r="N859" i="34"/>
  <c r="N858" i="34"/>
  <c r="N857" i="34"/>
  <c r="N856" i="34"/>
  <c r="N855" i="34"/>
  <c r="N854" i="34"/>
  <c r="N853" i="34"/>
  <c r="N852" i="34"/>
  <c r="N851" i="34"/>
  <c r="N850" i="34"/>
  <c r="N849" i="34"/>
  <c r="N848" i="34"/>
  <c r="N847" i="34"/>
  <c r="N846" i="34"/>
  <c r="N845" i="34"/>
  <c r="N844" i="34"/>
  <c r="N843" i="34"/>
  <c r="N842" i="34"/>
  <c r="N841" i="34"/>
  <c r="N840" i="34"/>
  <c r="N839" i="34"/>
  <c r="N838" i="34"/>
  <c r="N837" i="34"/>
  <c r="N836" i="34"/>
  <c r="N835" i="34"/>
  <c r="N834" i="34"/>
  <c r="N833" i="34"/>
  <c r="N832" i="34"/>
  <c r="N831" i="34"/>
  <c r="N830" i="34"/>
  <c r="N829" i="34"/>
  <c r="N828" i="34"/>
  <c r="N827" i="34"/>
  <c r="N826" i="34"/>
  <c r="N825" i="34"/>
  <c r="N824" i="34"/>
  <c r="N823" i="34"/>
  <c r="N822" i="34"/>
  <c r="N821" i="34"/>
  <c r="N820" i="34"/>
  <c r="N819" i="34"/>
  <c r="N818" i="34"/>
  <c r="N817" i="34"/>
  <c r="N816" i="34"/>
  <c r="N815" i="34"/>
  <c r="N814" i="34"/>
  <c r="N813" i="34"/>
  <c r="N812" i="34"/>
  <c r="N811" i="34"/>
  <c r="N810" i="34"/>
  <c r="N809" i="34"/>
  <c r="N808" i="34"/>
  <c r="N807" i="34"/>
  <c r="N806" i="34"/>
  <c r="N805" i="34"/>
  <c r="N804" i="34"/>
  <c r="N803" i="34"/>
  <c r="N802" i="34"/>
  <c r="N801" i="34"/>
  <c r="N800" i="34"/>
  <c r="N799" i="34"/>
  <c r="N798" i="34"/>
  <c r="N797" i="34"/>
  <c r="N796" i="34"/>
  <c r="N795" i="34"/>
  <c r="N794" i="34"/>
  <c r="N793" i="34"/>
  <c r="N792" i="34"/>
  <c r="N791" i="34"/>
  <c r="N790" i="34"/>
  <c r="N789" i="34"/>
  <c r="N788" i="34"/>
  <c r="N787" i="34"/>
  <c r="N786" i="34"/>
  <c r="N785" i="34"/>
  <c r="N784" i="34"/>
  <c r="N783" i="34"/>
  <c r="N782" i="34"/>
  <c r="N781" i="34"/>
  <c r="N780" i="34"/>
  <c r="N779" i="34"/>
  <c r="N778" i="34"/>
  <c r="N777" i="34"/>
  <c r="N776" i="34"/>
  <c r="N775" i="34"/>
  <c r="N774" i="34"/>
  <c r="N773" i="34"/>
  <c r="N772" i="34"/>
  <c r="N771" i="34"/>
  <c r="N770" i="34"/>
  <c r="N769" i="34"/>
  <c r="N768" i="34"/>
  <c r="N767" i="34"/>
  <c r="N766" i="34"/>
  <c r="N765" i="34"/>
  <c r="N764" i="34"/>
  <c r="N763" i="34"/>
  <c r="N762" i="34"/>
  <c r="N761" i="34"/>
  <c r="N760" i="34"/>
  <c r="N759" i="34"/>
  <c r="N758" i="34"/>
  <c r="N757" i="34"/>
  <c r="N756" i="34"/>
  <c r="N755" i="34"/>
  <c r="N754" i="34"/>
  <c r="N753" i="34"/>
  <c r="N752" i="34"/>
  <c r="N751" i="34"/>
  <c r="N750" i="34"/>
  <c r="N749" i="34"/>
  <c r="N748" i="34"/>
  <c r="N747" i="34"/>
  <c r="N746" i="34"/>
  <c r="N745" i="34"/>
  <c r="N744" i="34"/>
  <c r="N743" i="34"/>
  <c r="N742" i="34"/>
  <c r="N741" i="34"/>
  <c r="N740" i="34"/>
  <c r="N739" i="34"/>
  <c r="N738" i="34"/>
  <c r="N737" i="34"/>
  <c r="N736" i="34"/>
  <c r="N735" i="34"/>
  <c r="N734" i="34"/>
  <c r="N733" i="34"/>
  <c r="N732" i="34"/>
  <c r="N731" i="34"/>
  <c r="N730" i="34"/>
  <c r="N729" i="34"/>
  <c r="N728" i="34"/>
  <c r="N727" i="34"/>
  <c r="N726" i="34"/>
  <c r="N725" i="34"/>
  <c r="N724" i="34"/>
  <c r="N723" i="34"/>
  <c r="N722" i="34"/>
  <c r="N721" i="34"/>
  <c r="N720" i="34"/>
  <c r="N719" i="34"/>
  <c r="N718" i="34"/>
  <c r="N717" i="34"/>
  <c r="N716" i="34"/>
  <c r="N715" i="34"/>
  <c r="N714" i="34"/>
  <c r="N713" i="34"/>
  <c r="N712" i="34"/>
  <c r="N711" i="34"/>
  <c r="N710" i="34"/>
  <c r="N709" i="34"/>
  <c r="N708" i="34"/>
  <c r="N707" i="34"/>
  <c r="N706" i="34"/>
  <c r="N705" i="34"/>
  <c r="N704" i="34"/>
  <c r="N703" i="34"/>
  <c r="N702" i="34"/>
  <c r="N701" i="34"/>
  <c r="N700" i="34"/>
  <c r="N699" i="34"/>
  <c r="N698" i="34"/>
  <c r="N697" i="34"/>
  <c r="N696" i="34"/>
  <c r="N695" i="34"/>
  <c r="N694" i="34"/>
  <c r="N693" i="34"/>
  <c r="N692" i="34"/>
  <c r="N691" i="34"/>
  <c r="N690" i="34"/>
  <c r="N689" i="34"/>
  <c r="N688" i="34"/>
  <c r="N687" i="34"/>
  <c r="N686" i="34"/>
  <c r="N685" i="34"/>
  <c r="N684" i="34"/>
  <c r="N683" i="34"/>
  <c r="N682" i="34"/>
  <c r="N681" i="34"/>
  <c r="N680" i="34"/>
  <c r="N679" i="34"/>
  <c r="N678" i="34"/>
  <c r="N677" i="34"/>
  <c r="N676" i="34"/>
  <c r="N675" i="34"/>
  <c r="N674" i="34"/>
  <c r="N673" i="34"/>
  <c r="N672" i="34"/>
  <c r="N671" i="34"/>
  <c r="N670" i="34"/>
  <c r="N669" i="34"/>
  <c r="N668" i="34"/>
  <c r="N667" i="34"/>
  <c r="N666" i="34"/>
  <c r="N665" i="34"/>
  <c r="N664" i="34"/>
  <c r="N663" i="34"/>
  <c r="N662" i="34"/>
  <c r="N661" i="34"/>
  <c r="N660" i="34"/>
  <c r="N659" i="34"/>
  <c r="N658" i="34"/>
  <c r="N657" i="34"/>
  <c r="N656" i="34"/>
  <c r="N655" i="34"/>
  <c r="N654" i="34"/>
  <c r="N653" i="34"/>
  <c r="N652" i="34"/>
  <c r="N651" i="34"/>
  <c r="N650" i="34"/>
  <c r="N649" i="34"/>
  <c r="N648" i="34"/>
  <c r="N647" i="34"/>
  <c r="N646" i="34"/>
  <c r="N645" i="34"/>
  <c r="N644" i="34"/>
  <c r="N643" i="34"/>
  <c r="N642" i="34"/>
  <c r="N641" i="34"/>
  <c r="N640" i="34"/>
  <c r="N639" i="34"/>
  <c r="N638" i="34"/>
  <c r="N637" i="34"/>
  <c r="N636" i="34"/>
  <c r="N635" i="34"/>
  <c r="N634" i="34"/>
  <c r="N633" i="34"/>
  <c r="N632" i="34"/>
  <c r="N631" i="34"/>
  <c r="N630" i="34"/>
  <c r="N629" i="34"/>
  <c r="N628" i="34"/>
  <c r="N627" i="34"/>
  <c r="N626" i="34"/>
  <c r="N625" i="34"/>
  <c r="N624" i="34"/>
  <c r="N623" i="34"/>
  <c r="N622" i="34"/>
  <c r="N621" i="34"/>
  <c r="N620" i="34"/>
  <c r="N619" i="34"/>
  <c r="N618" i="34"/>
  <c r="N617" i="34"/>
  <c r="N616" i="34"/>
  <c r="N615" i="34"/>
  <c r="N614" i="34"/>
  <c r="N613" i="34"/>
  <c r="N612" i="34"/>
  <c r="N611" i="34"/>
  <c r="N610" i="34"/>
  <c r="N609" i="34"/>
  <c r="N608" i="34"/>
  <c r="N607" i="34"/>
  <c r="N606" i="34"/>
  <c r="N605" i="34"/>
  <c r="N604" i="34"/>
  <c r="N603" i="34"/>
  <c r="N602" i="34"/>
  <c r="N601" i="34"/>
  <c r="N600" i="34"/>
  <c r="N599" i="34"/>
  <c r="N598" i="34"/>
  <c r="N597" i="34"/>
  <c r="N596" i="34"/>
  <c r="N595" i="34"/>
  <c r="N594" i="34"/>
  <c r="N593" i="34"/>
  <c r="N592" i="34"/>
  <c r="N591" i="34"/>
  <c r="N590" i="34"/>
  <c r="N589" i="34"/>
  <c r="N588" i="34"/>
  <c r="N587" i="34"/>
  <c r="N586" i="34"/>
  <c r="N585" i="34"/>
  <c r="N584" i="34"/>
  <c r="N583" i="34"/>
  <c r="N582" i="34"/>
  <c r="N581" i="34"/>
  <c r="N580" i="34"/>
  <c r="N579" i="34"/>
  <c r="N578" i="34"/>
  <c r="N577" i="34"/>
  <c r="N576" i="34"/>
  <c r="N575" i="34"/>
  <c r="N574" i="34"/>
  <c r="N573" i="34"/>
  <c r="N572" i="34"/>
  <c r="N571" i="34"/>
  <c r="N570" i="34"/>
  <c r="N569" i="34"/>
  <c r="N568" i="34"/>
  <c r="N567" i="34"/>
  <c r="N566" i="34"/>
  <c r="N565" i="34"/>
  <c r="N564" i="34"/>
  <c r="N563" i="34"/>
  <c r="N562" i="34"/>
  <c r="N561" i="34"/>
  <c r="N560" i="34"/>
  <c r="N559" i="34"/>
  <c r="N558" i="34"/>
  <c r="N557" i="34"/>
  <c r="N556" i="34"/>
  <c r="N555" i="34"/>
  <c r="N554" i="34"/>
  <c r="N553" i="34"/>
  <c r="N552" i="34"/>
  <c r="N551" i="34"/>
  <c r="N550" i="34"/>
  <c r="N549" i="34"/>
  <c r="N548" i="34"/>
  <c r="N547" i="34"/>
  <c r="N546" i="34"/>
  <c r="N545" i="34"/>
  <c r="N544" i="34"/>
  <c r="N543" i="34"/>
  <c r="N542" i="34"/>
  <c r="N541" i="34"/>
  <c r="N540" i="34"/>
  <c r="N539" i="34"/>
  <c r="N538" i="34"/>
  <c r="N537" i="34"/>
  <c r="N536" i="34"/>
  <c r="N535" i="34"/>
  <c r="N534" i="34"/>
  <c r="N533" i="34"/>
  <c r="N532" i="34"/>
  <c r="N531" i="34"/>
  <c r="N530" i="34"/>
  <c r="N529" i="34"/>
  <c r="N528" i="34"/>
  <c r="N527" i="34"/>
  <c r="N526" i="34"/>
  <c r="N525" i="34"/>
  <c r="N524" i="34"/>
  <c r="N523" i="34"/>
  <c r="N522" i="34"/>
  <c r="N521" i="34"/>
  <c r="N520" i="34"/>
  <c r="N519" i="34"/>
  <c r="N518" i="34"/>
  <c r="N517" i="34"/>
  <c r="N516" i="34"/>
  <c r="N515" i="34"/>
  <c r="N514" i="34"/>
  <c r="N513" i="34"/>
  <c r="N512" i="34"/>
  <c r="N511" i="34"/>
  <c r="N510" i="34"/>
  <c r="N509" i="34"/>
  <c r="N508" i="34"/>
  <c r="N507" i="34"/>
  <c r="N506" i="34"/>
  <c r="N505" i="34"/>
  <c r="N504" i="34"/>
  <c r="N503" i="34"/>
  <c r="N502" i="34"/>
  <c r="N501" i="34"/>
  <c r="N500" i="34"/>
  <c r="N499" i="34"/>
  <c r="N498" i="34"/>
  <c r="N497" i="34"/>
  <c r="N496" i="34"/>
  <c r="N495" i="34"/>
  <c r="N494" i="34"/>
  <c r="N493" i="34"/>
  <c r="N492" i="34"/>
  <c r="N491" i="34"/>
  <c r="N490" i="34"/>
  <c r="N489" i="34"/>
  <c r="N488" i="34"/>
  <c r="N487" i="34"/>
  <c r="N486" i="34"/>
  <c r="N485" i="34"/>
  <c r="N484" i="34"/>
  <c r="N483" i="34"/>
  <c r="N482" i="34"/>
  <c r="N481" i="34"/>
  <c r="N480" i="34"/>
  <c r="N479" i="34"/>
  <c r="N478" i="34"/>
  <c r="N477" i="34"/>
  <c r="N476" i="34"/>
  <c r="N475" i="34"/>
  <c r="N474" i="34"/>
  <c r="N473" i="34"/>
  <c r="N472" i="34"/>
  <c r="N471" i="34"/>
  <c r="N470" i="34"/>
  <c r="N469" i="34"/>
  <c r="N468" i="34"/>
  <c r="N467" i="34"/>
  <c r="N466" i="34"/>
  <c r="N465" i="34"/>
  <c r="N464" i="34"/>
  <c r="N463" i="34"/>
  <c r="N462" i="34"/>
  <c r="N461" i="34"/>
  <c r="N460" i="34"/>
  <c r="N459" i="34"/>
  <c r="N458" i="34"/>
  <c r="N457" i="34"/>
  <c r="N456" i="34"/>
  <c r="N455" i="34"/>
  <c r="N454" i="34"/>
  <c r="N453" i="34"/>
  <c r="N452" i="34"/>
  <c r="N451" i="34"/>
  <c r="N450" i="34"/>
  <c r="N449" i="34"/>
  <c r="N448" i="34"/>
  <c r="N447" i="34"/>
  <c r="N446" i="34"/>
  <c r="N445" i="34"/>
  <c r="N444" i="34"/>
  <c r="N443" i="34"/>
  <c r="N442" i="34"/>
  <c r="N441" i="34"/>
  <c r="N440" i="34"/>
  <c r="N439" i="34"/>
  <c r="N438" i="34"/>
  <c r="N437" i="34"/>
  <c r="N436" i="34"/>
  <c r="N435" i="34"/>
  <c r="N434" i="34"/>
  <c r="N433" i="34"/>
  <c r="N432" i="34"/>
  <c r="N430" i="34"/>
  <c r="N429" i="34"/>
  <c r="N428" i="34"/>
  <c r="N427" i="34"/>
  <c r="N426" i="34"/>
  <c r="N425" i="34"/>
  <c r="N424" i="34"/>
  <c r="N423" i="34"/>
  <c r="N422" i="34"/>
  <c r="N421" i="34"/>
  <c r="N420" i="34"/>
  <c r="N419" i="34"/>
  <c r="N418" i="34"/>
  <c r="N417" i="34"/>
  <c r="N416" i="34"/>
  <c r="N415" i="34"/>
  <c r="N414" i="34"/>
  <c r="N413" i="34"/>
  <c r="N412" i="34"/>
  <c r="N411" i="34"/>
  <c r="N410" i="34"/>
  <c r="N409" i="34"/>
  <c r="N408" i="34"/>
  <c r="N407" i="34"/>
  <c r="N406" i="34"/>
  <c r="N405" i="34"/>
  <c r="N404" i="34"/>
  <c r="N403" i="34"/>
  <c r="N402" i="34"/>
  <c r="N401" i="34"/>
  <c r="N400" i="34"/>
  <c r="N399" i="34"/>
  <c r="N398" i="34"/>
  <c r="N397" i="34"/>
  <c r="N396" i="34"/>
  <c r="N395" i="34"/>
  <c r="N394" i="34"/>
  <c r="N393" i="34"/>
  <c r="N392" i="34"/>
  <c r="N391" i="34"/>
  <c r="N390" i="34"/>
  <c r="N389" i="34"/>
  <c r="N388" i="34"/>
  <c r="N387" i="34"/>
  <c r="N386" i="34"/>
  <c r="N385" i="34"/>
  <c r="N384" i="34"/>
  <c r="N383" i="34"/>
  <c r="N382" i="34"/>
  <c r="N381" i="34"/>
  <c r="N380" i="34"/>
  <c r="N379" i="34"/>
  <c r="N378" i="34"/>
  <c r="N377" i="34"/>
  <c r="N376" i="34"/>
  <c r="N375" i="34"/>
  <c r="N374" i="34"/>
  <c r="N373" i="34"/>
  <c r="N372" i="34"/>
  <c r="N371" i="34"/>
  <c r="N370" i="34"/>
  <c r="N369" i="34"/>
  <c r="N368" i="34"/>
  <c r="N367" i="34"/>
  <c r="N366" i="34"/>
  <c r="N365" i="34"/>
  <c r="N364" i="34"/>
  <c r="N363" i="34"/>
  <c r="N362" i="34"/>
  <c r="N361" i="34"/>
  <c r="N360" i="34"/>
  <c r="N359" i="34"/>
  <c r="N358" i="34"/>
  <c r="N357" i="34"/>
  <c r="N356" i="34"/>
  <c r="N355" i="34"/>
  <c r="N354" i="34"/>
  <c r="N353" i="34"/>
  <c r="N352" i="34"/>
  <c r="N351" i="34"/>
  <c r="N350" i="34"/>
  <c r="N349" i="34"/>
  <c r="N348" i="34"/>
  <c r="N347" i="34"/>
  <c r="N346" i="34"/>
  <c r="N345" i="34"/>
  <c r="N344" i="34"/>
  <c r="N343" i="34"/>
  <c r="N342" i="34"/>
  <c r="N341" i="34"/>
  <c r="N340" i="34"/>
  <c r="N339" i="34"/>
  <c r="N338" i="34"/>
  <c r="N337" i="34"/>
  <c r="N336" i="34"/>
  <c r="N335" i="34"/>
  <c r="N334" i="34"/>
  <c r="N333" i="34"/>
  <c r="N332" i="34"/>
  <c r="N331" i="34"/>
  <c r="N330" i="34"/>
  <c r="N329" i="34"/>
  <c r="N328" i="34"/>
  <c r="N327" i="34"/>
  <c r="N326" i="34"/>
  <c r="N325" i="34"/>
  <c r="N324" i="34"/>
  <c r="N323" i="34"/>
  <c r="N322" i="34"/>
  <c r="N321" i="34"/>
  <c r="N320" i="34"/>
  <c r="N319" i="34"/>
  <c r="N318" i="34"/>
  <c r="N317" i="34"/>
  <c r="N316" i="34"/>
  <c r="N315" i="34"/>
  <c r="N314" i="34"/>
  <c r="N313" i="34"/>
  <c r="N312" i="34"/>
  <c r="N311" i="34"/>
  <c r="N310" i="34"/>
  <c r="N309" i="34"/>
  <c r="N308" i="34"/>
  <c r="N307" i="34"/>
  <c r="N306" i="34"/>
  <c r="N305" i="34"/>
  <c r="N304" i="34"/>
  <c r="N303" i="34"/>
  <c r="N302" i="34"/>
  <c r="N301" i="34"/>
  <c r="N300" i="34"/>
  <c r="N299" i="34"/>
  <c r="N298" i="34"/>
  <c r="N297" i="34"/>
  <c r="N296" i="34"/>
  <c r="N295" i="34"/>
  <c r="N294" i="34"/>
  <c r="N293" i="34"/>
  <c r="N292" i="34"/>
  <c r="N291" i="34"/>
  <c r="N290" i="34"/>
  <c r="N289" i="34"/>
  <c r="N288" i="34"/>
  <c r="N287" i="34"/>
  <c r="N286" i="34"/>
  <c r="N285" i="34"/>
  <c r="N284" i="34"/>
  <c r="N283" i="34"/>
  <c r="N282" i="34"/>
  <c r="N281" i="34"/>
  <c r="N280" i="34"/>
  <c r="N279" i="34"/>
  <c r="N278" i="34"/>
  <c r="N277" i="34"/>
  <c r="N276" i="34"/>
  <c r="N275" i="34"/>
  <c r="N274" i="34"/>
  <c r="N273" i="34"/>
  <c r="N272" i="34"/>
  <c r="N271" i="34"/>
  <c r="N270" i="34"/>
  <c r="N269" i="34"/>
  <c r="N268" i="34"/>
  <c r="N267" i="34"/>
  <c r="N266" i="34"/>
  <c r="N265" i="34"/>
  <c r="N264" i="34"/>
  <c r="N263" i="34"/>
  <c r="N262" i="34"/>
  <c r="N261" i="34"/>
  <c r="N260" i="34"/>
  <c r="N259" i="34"/>
  <c r="N258" i="34"/>
  <c r="N257" i="34"/>
  <c r="N256" i="34"/>
  <c r="N255" i="34"/>
  <c r="N254" i="34"/>
  <c r="N253" i="34"/>
  <c r="N252" i="34"/>
  <c r="N251" i="34"/>
  <c r="N250" i="34"/>
  <c r="N249" i="34"/>
  <c r="N248" i="34"/>
  <c r="N247" i="34"/>
  <c r="N246" i="34"/>
  <c r="N245" i="34"/>
  <c r="N244" i="34"/>
  <c r="N243" i="34"/>
  <c r="N242" i="34"/>
  <c r="N241" i="34"/>
  <c r="N240" i="34"/>
  <c r="N239" i="34"/>
  <c r="N238" i="34"/>
  <c r="N237" i="34"/>
  <c r="N236" i="34"/>
  <c r="N235" i="34"/>
  <c r="N234" i="34"/>
  <c r="N233" i="34"/>
  <c r="N232" i="34"/>
  <c r="N231" i="34"/>
  <c r="N230" i="34"/>
  <c r="N229" i="34"/>
  <c r="N228" i="34"/>
  <c r="N227" i="34"/>
  <c r="N226" i="34"/>
  <c r="N225" i="34"/>
  <c r="N224" i="34"/>
  <c r="N223" i="34"/>
  <c r="N222" i="34"/>
  <c r="N221" i="34"/>
  <c r="N220" i="34"/>
  <c r="N219" i="34"/>
  <c r="N218" i="34"/>
  <c r="N217" i="34"/>
  <c r="N216" i="34"/>
  <c r="N215" i="34"/>
  <c r="N214" i="34"/>
  <c r="N213" i="34"/>
  <c r="N212" i="34"/>
  <c r="N211" i="34"/>
  <c r="N210" i="34"/>
  <c r="N209" i="34"/>
  <c r="N208" i="34"/>
  <c r="N207" i="34"/>
  <c r="N206" i="34"/>
  <c r="N205" i="34"/>
  <c r="N204" i="34"/>
  <c r="N203" i="34"/>
  <c r="N202" i="34"/>
  <c r="N201" i="34"/>
  <c r="N200" i="34"/>
  <c r="N199" i="34"/>
  <c r="N198" i="34"/>
  <c r="N197" i="34"/>
  <c r="N196" i="34"/>
  <c r="N195" i="34"/>
  <c r="N194" i="34"/>
  <c r="N193" i="34"/>
  <c r="N192" i="34"/>
  <c r="N191" i="34"/>
  <c r="N190" i="34"/>
  <c r="N189" i="34"/>
  <c r="N188" i="34"/>
  <c r="N187" i="34"/>
  <c r="N186" i="34"/>
  <c r="N185" i="34"/>
  <c r="N184" i="34"/>
  <c r="N183" i="34"/>
  <c r="N182" i="34"/>
  <c r="N181" i="34"/>
  <c r="N180" i="34"/>
  <c r="N179" i="34"/>
  <c r="N178" i="34"/>
  <c r="N177" i="34"/>
  <c r="N176" i="34"/>
  <c r="N175" i="34"/>
  <c r="N174" i="34"/>
  <c r="N173" i="34"/>
  <c r="N172" i="34"/>
  <c r="N171" i="34"/>
  <c r="N170" i="34"/>
  <c r="N169" i="34"/>
  <c r="N168" i="34"/>
  <c r="N167" i="34"/>
  <c r="N166" i="34"/>
  <c r="N165" i="34"/>
  <c r="N164" i="34"/>
  <c r="N163" i="34"/>
  <c r="N162" i="34"/>
  <c r="N161" i="34"/>
  <c r="N160" i="34"/>
  <c r="N159" i="34"/>
  <c r="N158" i="34"/>
  <c r="N157" i="34"/>
  <c r="N156" i="34"/>
  <c r="N155" i="34"/>
  <c r="N154" i="34"/>
  <c r="N153" i="34"/>
  <c r="N152" i="34"/>
  <c r="N151" i="34"/>
  <c r="N150" i="34"/>
  <c r="N149" i="34"/>
  <c r="N148" i="34"/>
  <c r="N147" i="34"/>
  <c r="N146" i="34"/>
  <c r="N145" i="34"/>
  <c r="N144" i="34"/>
  <c r="N143" i="34"/>
  <c r="N142" i="34"/>
  <c r="N141" i="34"/>
  <c r="N140" i="34"/>
  <c r="N139" i="34"/>
  <c r="N138" i="34"/>
  <c r="N137" i="34"/>
  <c r="N136" i="34"/>
  <c r="N135" i="34"/>
  <c r="N134" i="34"/>
  <c r="N133" i="34"/>
  <c r="N132" i="34"/>
  <c r="N131" i="34"/>
  <c r="N130" i="34"/>
  <c r="N129" i="34"/>
  <c r="N128" i="34"/>
  <c r="N127" i="34"/>
  <c r="N126" i="34"/>
  <c r="N125" i="34"/>
  <c r="N124" i="34"/>
  <c r="N123" i="34"/>
  <c r="N122" i="34"/>
  <c r="N121" i="34"/>
  <c r="N120" i="34"/>
  <c r="N119" i="34"/>
  <c r="N118" i="34"/>
  <c r="N117" i="34"/>
  <c r="N116" i="34"/>
  <c r="N115" i="34"/>
  <c r="N114" i="34"/>
  <c r="N113" i="34"/>
  <c r="N112" i="34"/>
  <c r="N111" i="34"/>
  <c r="N110" i="34"/>
  <c r="N109" i="34"/>
  <c r="N108" i="34"/>
  <c r="N107" i="34"/>
  <c r="N106" i="34"/>
  <c r="N105" i="34"/>
  <c r="N104" i="34"/>
  <c r="N103" i="34"/>
  <c r="N102" i="34"/>
  <c r="N101" i="34"/>
  <c r="N100" i="34"/>
  <c r="N99" i="34"/>
  <c r="N98" i="34"/>
  <c r="N97" i="34"/>
  <c r="N96" i="34"/>
  <c r="N95" i="34"/>
  <c r="N94" i="34"/>
  <c r="N93" i="34"/>
  <c r="N92" i="34"/>
  <c r="N91" i="34"/>
  <c r="N90" i="34"/>
  <c r="N89" i="34"/>
  <c r="N88" i="34"/>
  <c r="N87" i="34"/>
  <c r="N86" i="34"/>
  <c r="N85" i="34"/>
  <c r="N84" i="34"/>
  <c r="N83" i="34"/>
  <c r="N82" i="34"/>
  <c r="N81" i="34"/>
  <c r="N80" i="34"/>
  <c r="N79" i="34"/>
  <c r="N78" i="34"/>
  <c r="N77" i="34"/>
  <c r="N76" i="34"/>
  <c r="N75" i="34"/>
  <c r="N74" i="34"/>
  <c r="N73" i="34"/>
  <c r="N72" i="34"/>
  <c r="N71" i="34"/>
  <c r="N70" i="34"/>
  <c r="N69" i="34"/>
  <c r="N68" i="34"/>
  <c r="N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N41" i="34"/>
  <c r="N40" i="34"/>
  <c r="N39" i="34"/>
  <c r="N38" i="34"/>
  <c r="N37" i="34"/>
  <c r="N36" i="34"/>
  <c r="N35" i="34"/>
  <c r="N34" i="34"/>
  <c r="N33" i="34"/>
  <c r="N32" i="34"/>
  <c r="N31" i="34"/>
  <c r="N30" i="34"/>
  <c r="N29" i="34"/>
  <c r="N28" i="34"/>
  <c r="N26" i="34"/>
  <c r="N25" i="34"/>
  <c r="N24" i="34"/>
  <c r="N23" i="34"/>
  <c r="N22" i="34"/>
  <c r="N21" i="34"/>
  <c r="N20" i="34"/>
  <c r="N19" i="34"/>
  <c r="N18" i="34"/>
  <c r="N17" i="34"/>
  <c r="N16" i="34"/>
  <c r="N15" i="34"/>
  <c r="N14" i="34"/>
  <c r="N13" i="34"/>
  <c r="N12" i="34"/>
  <c r="N11" i="34"/>
  <c r="N10" i="34"/>
  <c r="N9" i="34"/>
  <c r="N8" i="34"/>
  <c r="N7" i="34"/>
  <c r="N6" i="34"/>
  <c r="N5" i="34"/>
  <c r="N4" i="34"/>
  <c r="N3" i="34"/>
  <c r="N2" i="34"/>
  <c r="M953" i="32"/>
  <c r="M952" i="32"/>
  <c r="M951" i="32"/>
  <c r="M950" i="32"/>
  <c r="M949" i="32"/>
  <c r="M948" i="32"/>
  <c r="M947" i="32"/>
  <c r="M946" i="32"/>
  <c r="M945" i="32"/>
  <c r="M944" i="32"/>
  <c r="M943" i="32"/>
  <c r="M942" i="32"/>
  <c r="M941" i="32"/>
  <c r="M940" i="32"/>
  <c r="M939" i="32"/>
  <c r="M938" i="32"/>
  <c r="M937" i="32"/>
  <c r="M936" i="32"/>
  <c r="M935" i="32"/>
  <c r="M934" i="32"/>
  <c r="M933" i="32"/>
  <c r="M932" i="32"/>
  <c r="M931" i="32"/>
  <c r="M930" i="32"/>
  <c r="M929" i="32"/>
  <c r="M928" i="32"/>
  <c r="M927" i="32"/>
  <c r="M926" i="32"/>
  <c r="M925" i="32"/>
  <c r="M924" i="32"/>
  <c r="M923" i="32"/>
  <c r="M922" i="32"/>
  <c r="M921" i="32"/>
  <c r="M920" i="32"/>
  <c r="M919" i="32"/>
  <c r="M918" i="32"/>
  <c r="M917" i="32"/>
  <c r="M916" i="32"/>
  <c r="M915" i="32"/>
  <c r="M914" i="32"/>
  <c r="M913" i="32"/>
  <c r="M912" i="32"/>
  <c r="M911" i="32"/>
  <c r="M910" i="32"/>
  <c r="M909" i="32"/>
  <c r="M908" i="32"/>
  <c r="M907" i="32"/>
  <c r="M906" i="32"/>
  <c r="M905" i="32"/>
  <c r="M904" i="32"/>
  <c r="M903" i="32"/>
  <c r="M902" i="32"/>
  <c r="M901" i="32"/>
  <c r="M900" i="32"/>
  <c r="M899" i="32"/>
  <c r="M898" i="32"/>
  <c r="M897" i="32"/>
  <c r="M896" i="32"/>
  <c r="M895" i="32"/>
  <c r="M894" i="32"/>
  <c r="M893" i="32"/>
  <c r="M892" i="32"/>
  <c r="M891" i="32"/>
  <c r="M890" i="32"/>
  <c r="M889" i="32"/>
  <c r="M888" i="32"/>
  <c r="M887" i="32"/>
  <c r="M886" i="32"/>
  <c r="M885" i="32"/>
  <c r="M884" i="32"/>
  <c r="M883" i="32"/>
  <c r="M882" i="32"/>
  <c r="M881" i="32"/>
  <c r="M880" i="32"/>
  <c r="M879" i="32"/>
  <c r="M878" i="32"/>
  <c r="M877" i="32"/>
  <c r="M876" i="32"/>
  <c r="M875" i="32"/>
  <c r="M874" i="32"/>
  <c r="M873" i="32"/>
  <c r="M872" i="32"/>
  <c r="M871" i="32"/>
  <c r="M870" i="32"/>
  <c r="M869" i="32"/>
  <c r="M868" i="32"/>
  <c r="M867" i="32"/>
  <c r="M866" i="32"/>
  <c r="M865" i="32"/>
  <c r="M864" i="32"/>
  <c r="M863" i="32"/>
  <c r="M862" i="32"/>
  <c r="M861" i="32"/>
  <c r="M860" i="32"/>
  <c r="M859" i="32"/>
  <c r="M858" i="32"/>
  <c r="M857" i="32"/>
  <c r="M856" i="32"/>
  <c r="M855" i="32"/>
  <c r="M854" i="32"/>
  <c r="M853" i="32"/>
  <c r="M852" i="32"/>
  <c r="M851" i="32"/>
  <c r="M850" i="32"/>
  <c r="M849" i="32"/>
  <c r="M848" i="32"/>
  <c r="M847" i="32"/>
  <c r="M846" i="32"/>
  <c r="M845" i="32"/>
  <c r="M844" i="32"/>
  <c r="M843" i="32"/>
  <c r="M842" i="32"/>
  <c r="M841" i="32"/>
  <c r="M840" i="32"/>
  <c r="M839" i="32"/>
  <c r="M838" i="32"/>
  <c r="M837" i="32"/>
  <c r="M836" i="32"/>
  <c r="M835" i="32"/>
  <c r="M834" i="32"/>
  <c r="M833" i="32"/>
  <c r="M832" i="32"/>
  <c r="M831" i="32"/>
  <c r="M830" i="32"/>
  <c r="M829" i="32"/>
  <c r="M828" i="32"/>
  <c r="M827" i="32"/>
  <c r="M826" i="32"/>
  <c r="M825" i="32"/>
  <c r="M824" i="32"/>
  <c r="M823" i="32"/>
  <c r="M822" i="32"/>
  <c r="M821" i="32"/>
  <c r="M820" i="32"/>
  <c r="M819" i="32"/>
  <c r="M818" i="32"/>
  <c r="M817" i="32"/>
  <c r="M816" i="32"/>
  <c r="M815" i="32"/>
  <c r="M814" i="32"/>
  <c r="M813" i="32"/>
  <c r="M812" i="32"/>
  <c r="M811" i="32"/>
  <c r="M810" i="32"/>
  <c r="M809" i="32"/>
  <c r="M808" i="32"/>
  <c r="M807" i="32"/>
  <c r="M806" i="32"/>
  <c r="M805" i="32"/>
  <c r="M804" i="32"/>
  <c r="M803" i="32"/>
  <c r="M802" i="32"/>
  <c r="M801" i="32"/>
  <c r="M800" i="32"/>
  <c r="M799" i="32"/>
  <c r="M798" i="32"/>
  <c r="M797" i="32"/>
  <c r="M796" i="32"/>
  <c r="M795" i="32"/>
  <c r="M794" i="32"/>
  <c r="M793" i="32"/>
  <c r="M792" i="32"/>
  <c r="M791" i="32"/>
  <c r="M790" i="32"/>
  <c r="M789" i="32"/>
  <c r="M788" i="32"/>
  <c r="M787" i="32"/>
  <c r="M786" i="32"/>
  <c r="M785" i="32"/>
  <c r="M784" i="32"/>
  <c r="M783" i="32"/>
  <c r="M782" i="32"/>
  <c r="M781" i="32"/>
  <c r="M780" i="32"/>
  <c r="M779" i="32"/>
  <c r="M778" i="32"/>
  <c r="M777" i="32"/>
  <c r="M776" i="32"/>
  <c r="M775" i="32"/>
  <c r="M774" i="32"/>
  <c r="M773" i="32"/>
  <c r="M772" i="32"/>
  <c r="M771" i="32"/>
  <c r="M770" i="32"/>
  <c r="M769" i="32"/>
  <c r="M768" i="32"/>
  <c r="M767" i="32"/>
  <c r="M766" i="32"/>
  <c r="M765" i="32"/>
  <c r="M764" i="32"/>
  <c r="M763" i="32"/>
  <c r="M762" i="32"/>
  <c r="M761" i="32"/>
  <c r="M760" i="32"/>
  <c r="M759" i="32"/>
  <c r="M758" i="32"/>
  <c r="M757" i="32"/>
  <c r="M756" i="32"/>
  <c r="M755" i="32"/>
  <c r="M754" i="32"/>
  <c r="M753" i="32"/>
  <c r="M752" i="32"/>
  <c r="M751" i="32"/>
  <c r="M750" i="32"/>
  <c r="M749" i="32"/>
  <c r="M748" i="32"/>
  <c r="M747" i="32"/>
  <c r="M746" i="32"/>
  <c r="M745" i="32"/>
  <c r="M744" i="32"/>
  <c r="M743" i="32"/>
  <c r="M742" i="32"/>
  <c r="M741" i="32"/>
  <c r="M740" i="32"/>
  <c r="M739" i="32"/>
  <c r="M738" i="32"/>
  <c r="M737" i="32"/>
  <c r="M736" i="32"/>
  <c r="M735" i="32"/>
  <c r="M734" i="32"/>
  <c r="M733" i="32"/>
  <c r="M732" i="32"/>
  <c r="M731" i="32"/>
  <c r="M730" i="32"/>
  <c r="M729" i="32"/>
  <c r="M728" i="32"/>
  <c r="M727" i="32"/>
  <c r="M726" i="32"/>
  <c r="M725" i="32"/>
  <c r="M724" i="32"/>
  <c r="M723" i="32"/>
  <c r="M722" i="32"/>
  <c r="M721" i="32"/>
  <c r="M720" i="32"/>
  <c r="M719" i="32"/>
  <c r="M718" i="32"/>
  <c r="M717" i="32"/>
  <c r="M716" i="32"/>
  <c r="M715" i="32"/>
  <c r="M714" i="32"/>
  <c r="M713" i="32"/>
  <c r="M712" i="32"/>
  <c r="M711" i="32"/>
  <c r="M710" i="32"/>
  <c r="M709" i="32"/>
  <c r="M708" i="32"/>
  <c r="M707" i="32"/>
  <c r="M706" i="32"/>
  <c r="M705" i="32"/>
  <c r="M704" i="32"/>
  <c r="M703" i="32"/>
  <c r="M702" i="32"/>
  <c r="M701" i="32"/>
  <c r="M700" i="32"/>
  <c r="M699" i="32"/>
  <c r="M698" i="32"/>
  <c r="M697" i="32"/>
  <c r="M696" i="32"/>
  <c r="M695" i="32"/>
  <c r="M694" i="32"/>
  <c r="M693" i="32"/>
  <c r="M692" i="32"/>
  <c r="M691" i="32"/>
  <c r="M690" i="32"/>
  <c r="M689" i="32"/>
  <c r="M688" i="32"/>
  <c r="M687" i="32"/>
  <c r="M686" i="32"/>
  <c r="M685" i="32"/>
  <c r="M684" i="32"/>
  <c r="M683" i="32"/>
  <c r="M682" i="32"/>
  <c r="M681" i="32"/>
  <c r="M680" i="32"/>
  <c r="M679" i="32"/>
  <c r="M678" i="32"/>
  <c r="M677" i="32"/>
  <c r="M676" i="32"/>
  <c r="M675" i="32"/>
  <c r="M674" i="32"/>
  <c r="M673" i="32"/>
  <c r="M672" i="32"/>
  <c r="M671" i="32"/>
  <c r="M670" i="32"/>
  <c r="M669" i="32"/>
  <c r="M668" i="32"/>
  <c r="M667" i="32"/>
  <c r="M666" i="32"/>
  <c r="M665" i="32"/>
  <c r="M664" i="32"/>
  <c r="M663" i="32"/>
  <c r="M662" i="32"/>
  <c r="M661" i="32"/>
  <c r="M660" i="32"/>
  <c r="M659" i="32"/>
  <c r="M658" i="32"/>
  <c r="M657" i="32"/>
  <c r="M656" i="32"/>
  <c r="M655" i="32"/>
  <c r="M654" i="32"/>
  <c r="M653" i="32"/>
  <c r="M652" i="32"/>
  <c r="M651" i="32"/>
  <c r="M650" i="32"/>
  <c r="M649" i="32"/>
  <c r="M648" i="32"/>
  <c r="M647" i="32"/>
  <c r="M646" i="32"/>
  <c r="M645" i="32"/>
  <c r="M644" i="32"/>
  <c r="M643" i="32"/>
  <c r="M642" i="32"/>
  <c r="M641" i="32"/>
  <c r="M640" i="32"/>
  <c r="M639" i="32"/>
  <c r="M638" i="32"/>
  <c r="M637" i="32"/>
  <c r="M636" i="32"/>
  <c r="M635" i="32"/>
  <c r="M634" i="32"/>
  <c r="M633" i="32"/>
  <c r="M632" i="32"/>
  <c r="M631" i="32"/>
  <c r="M630" i="32"/>
  <c r="M629" i="32"/>
  <c r="M628" i="32"/>
  <c r="M627" i="32"/>
  <c r="M626" i="32"/>
  <c r="M625" i="32"/>
  <c r="M624" i="32"/>
  <c r="M623" i="32"/>
  <c r="M622" i="32"/>
  <c r="M621" i="32"/>
  <c r="M620" i="32"/>
  <c r="M619" i="32"/>
  <c r="M618" i="32"/>
  <c r="M617" i="32"/>
  <c r="M616" i="32"/>
  <c r="M615" i="32"/>
  <c r="M614" i="32"/>
  <c r="M613" i="32"/>
  <c r="M612" i="32"/>
  <c r="M611" i="32"/>
  <c r="M610" i="32"/>
  <c r="M609" i="32"/>
  <c r="M608" i="32"/>
  <c r="M607" i="32"/>
  <c r="M606" i="32"/>
  <c r="M605" i="32"/>
  <c r="M604" i="32"/>
  <c r="M603" i="32"/>
  <c r="M602" i="32"/>
  <c r="M601" i="32"/>
  <c r="M600" i="32"/>
  <c r="M599" i="32"/>
  <c r="M598" i="32"/>
  <c r="M597" i="32"/>
  <c r="M596" i="32"/>
  <c r="M595" i="32"/>
  <c r="M594" i="32"/>
  <c r="M593" i="32"/>
  <c r="M592" i="32"/>
  <c r="M591" i="32"/>
  <c r="M590" i="32"/>
  <c r="M589" i="32"/>
  <c r="M588" i="32"/>
  <c r="M587" i="32"/>
  <c r="M586" i="32"/>
  <c r="M585" i="32"/>
  <c r="M584" i="32"/>
  <c r="M583" i="32"/>
  <c r="M582" i="32"/>
  <c r="M581" i="32"/>
  <c r="M580" i="32"/>
  <c r="M579" i="32"/>
  <c r="M578" i="32"/>
  <c r="M577" i="32"/>
  <c r="M576" i="32"/>
  <c r="M575" i="32"/>
  <c r="M574" i="32"/>
  <c r="M573" i="32"/>
  <c r="M572" i="32"/>
  <c r="M571" i="32"/>
  <c r="M570" i="32"/>
  <c r="M569" i="32"/>
  <c r="M568" i="32"/>
  <c r="M567" i="32"/>
  <c r="M566" i="32"/>
  <c r="M565" i="32"/>
  <c r="M564" i="32"/>
  <c r="M563" i="32"/>
  <c r="M562" i="32"/>
  <c r="M561" i="32"/>
  <c r="M560" i="32"/>
  <c r="M559" i="32"/>
  <c r="M558" i="32"/>
  <c r="M557" i="32"/>
  <c r="M556" i="32"/>
  <c r="M555" i="32"/>
  <c r="M554" i="32"/>
  <c r="M553" i="32"/>
  <c r="M552" i="32"/>
  <c r="M551" i="32"/>
  <c r="M550" i="32"/>
  <c r="M549" i="32"/>
  <c r="M548" i="32"/>
  <c r="M547" i="32"/>
  <c r="M546" i="32"/>
  <c r="M545" i="32"/>
  <c r="M544" i="32"/>
  <c r="M543" i="32"/>
  <c r="M542" i="32"/>
  <c r="M541" i="32"/>
  <c r="M540" i="32"/>
  <c r="M539" i="32"/>
  <c r="M538" i="32"/>
  <c r="M537" i="32"/>
  <c r="M536" i="32"/>
  <c r="M535" i="32"/>
  <c r="M534" i="32"/>
  <c r="M533" i="32"/>
  <c r="M532" i="32"/>
  <c r="M531" i="32"/>
  <c r="M530" i="32"/>
  <c r="M529" i="32"/>
  <c r="M528" i="32"/>
  <c r="M527" i="32"/>
  <c r="M526" i="32"/>
  <c r="M525" i="32"/>
  <c r="M524" i="32"/>
  <c r="M523" i="32"/>
  <c r="M522" i="32"/>
  <c r="M521" i="32"/>
  <c r="M520" i="32"/>
  <c r="M519" i="32"/>
  <c r="M518" i="32"/>
  <c r="M517" i="32"/>
  <c r="M516" i="32"/>
  <c r="M515" i="32"/>
  <c r="M514" i="32"/>
  <c r="M513" i="32"/>
  <c r="M512" i="32"/>
  <c r="M511" i="32"/>
  <c r="M510" i="32"/>
  <c r="M509" i="32"/>
  <c r="M508" i="32"/>
  <c r="M507" i="32"/>
  <c r="M506" i="32"/>
  <c r="M505" i="32"/>
  <c r="M504" i="32"/>
  <c r="M503" i="32"/>
  <c r="M502" i="32"/>
  <c r="M501" i="32"/>
  <c r="M500" i="32"/>
  <c r="M499" i="32"/>
  <c r="M498" i="32"/>
  <c r="M497" i="32"/>
  <c r="M496" i="32"/>
  <c r="M495" i="32"/>
  <c r="M494" i="32"/>
  <c r="M493" i="32"/>
  <c r="M492" i="32"/>
  <c r="M491" i="32"/>
  <c r="M490" i="32"/>
  <c r="M489" i="32"/>
  <c r="M488" i="32"/>
  <c r="M487" i="32"/>
  <c r="M486" i="32"/>
  <c r="M485" i="32"/>
  <c r="M484" i="32"/>
  <c r="M483" i="32"/>
  <c r="M482" i="32"/>
  <c r="M481" i="32"/>
  <c r="M480" i="32"/>
  <c r="M479" i="32"/>
  <c r="M478" i="32"/>
  <c r="M477" i="32"/>
  <c r="M476" i="32"/>
  <c r="M475" i="32"/>
  <c r="M474" i="32"/>
  <c r="M473" i="32"/>
  <c r="M472" i="32"/>
  <c r="M471" i="32"/>
  <c r="M470" i="32"/>
  <c r="M469" i="32"/>
  <c r="M468" i="32"/>
  <c r="M467" i="32"/>
  <c r="M466" i="32"/>
  <c r="M465" i="32"/>
  <c r="M464" i="32"/>
  <c r="M463" i="32"/>
  <c r="M462" i="32"/>
  <c r="M461" i="32"/>
  <c r="M460" i="32"/>
  <c r="M459" i="32"/>
  <c r="M458" i="32"/>
  <c r="M457" i="32"/>
  <c r="M456" i="32"/>
  <c r="M455" i="32"/>
  <c r="M454" i="32"/>
  <c r="M453" i="32"/>
  <c r="M452" i="32"/>
  <c r="M451" i="32"/>
  <c r="M450" i="32"/>
  <c r="M449" i="32"/>
  <c r="M448" i="32"/>
  <c r="M447" i="32"/>
  <c r="M446" i="32"/>
  <c r="M445" i="32"/>
  <c r="M444" i="32"/>
  <c r="M443" i="32"/>
  <c r="M442" i="32"/>
  <c r="M441" i="32"/>
  <c r="M440" i="32"/>
  <c r="M439" i="32"/>
  <c r="M438" i="32"/>
  <c r="M437" i="32"/>
  <c r="M436" i="32"/>
  <c r="M435" i="32"/>
  <c r="M434" i="32"/>
  <c r="M433" i="32"/>
  <c r="M432" i="32"/>
  <c r="M431" i="32"/>
  <c r="M430" i="32"/>
  <c r="M429" i="32"/>
  <c r="M428" i="32"/>
  <c r="M427" i="32"/>
  <c r="M426" i="32"/>
  <c r="M425" i="32"/>
  <c r="M424" i="32"/>
  <c r="M423" i="32"/>
  <c r="M422" i="32"/>
  <c r="M421" i="32"/>
  <c r="M420" i="32"/>
  <c r="M419" i="32"/>
  <c r="M418" i="32"/>
  <c r="M417" i="32"/>
  <c r="M416" i="32"/>
  <c r="M415" i="32"/>
  <c r="M414" i="32"/>
  <c r="M413" i="32"/>
  <c r="M412" i="32"/>
  <c r="M411" i="32"/>
  <c r="M410" i="32"/>
  <c r="M409" i="32"/>
  <c r="M408" i="32"/>
  <c r="M407" i="32"/>
  <c r="M406" i="32"/>
  <c r="M405" i="32"/>
  <c r="M404" i="32"/>
  <c r="M403" i="32"/>
  <c r="M402" i="32"/>
  <c r="M401" i="32"/>
  <c r="M400" i="32"/>
  <c r="M399" i="32"/>
  <c r="M398" i="32"/>
  <c r="M397" i="32"/>
  <c r="M396" i="32"/>
  <c r="M395" i="32"/>
  <c r="M394" i="32"/>
  <c r="M393" i="32"/>
  <c r="M392" i="32"/>
  <c r="M391" i="32"/>
  <c r="M390" i="32"/>
  <c r="M389" i="32"/>
  <c r="M388" i="32"/>
  <c r="M387" i="32"/>
  <c r="M386" i="32"/>
  <c r="M385" i="32"/>
  <c r="M384" i="32"/>
  <c r="M383" i="32"/>
  <c r="M382" i="32"/>
  <c r="M381" i="32"/>
  <c r="M380" i="32"/>
  <c r="M379" i="32"/>
  <c r="M378" i="32"/>
  <c r="M377" i="32"/>
  <c r="M376" i="32"/>
  <c r="M375" i="32"/>
  <c r="M374" i="32"/>
  <c r="M373" i="32"/>
  <c r="M372" i="32"/>
  <c r="M371" i="32"/>
  <c r="M370" i="32"/>
  <c r="M369" i="32"/>
  <c r="M368" i="32"/>
  <c r="M367" i="32"/>
  <c r="M366" i="32"/>
  <c r="M365" i="32"/>
  <c r="M364" i="32"/>
  <c r="M363" i="32"/>
  <c r="M362" i="32"/>
  <c r="M361" i="32"/>
  <c r="M360" i="32"/>
  <c r="M359" i="32"/>
  <c r="M358" i="32"/>
  <c r="M357" i="32"/>
  <c r="M356" i="32"/>
  <c r="M355" i="32"/>
  <c r="M354" i="32"/>
  <c r="M353" i="32"/>
  <c r="M352" i="32"/>
  <c r="M351" i="32"/>
  <c r="M350" i="32"/>
  <c r="M349" i="32"/>
  <c r="M348" i="32"/>
  <c r="M347" i="32"/>
  <c r="M346" i="32"/>
  <c r="M345" i="32"/>
  <c r="M344" i="32"/>
  <c r="M343" i="32"/>
  <c r="M342" i="32"/>
  <c r="M341" i="32"/>
  <c r="M340" i="32"/>
  <c r="M339" i="32"/>
  <c r="M338" i="32"/>
  <c r="M337" i="32"/>
  <c r="M336" i="32"/>
  <c r="M335" i="32"/>
  <c r="M334" i="32"/>
  <c r="M333" i="32"/>
  <c r="M332" i="32"/>
  <c r="M331" i="32"/>
  <c r="M330" i="32"/>
  <c r="M329" i="32"/>
  <c r="M328" i="32"/>
  <c r="M327" i="32"/>
  <c r="M326" i="32"/>
  <c r="M325" i="32"/>
  <c r="M324" i="32"/>
  <c r="M323" i="32"/>
  <c r="M322" i="32"/>
  <c r="M321" i="32"/>
  <c r="M320" i="32"/>
  <c r="M319" i="32"/>
  <c r="M318" i="32"/>
  <c r="M317" i="32"/>
  <c r="M316" i="32"/>
  <c r="M315" i="32"/>
  <c r="M314" i="32"/>
  <c r="M313" i="32"/>
  <c r="M312" i="32"/>
  <c r="M311" i="32"/>
  <c r="M310" i="32"/>
  <c r="M309" i="32"/>
  <c r="M308" i="32"/>
  <c r="M307" i="32"/>
  <c r="M306" i="32"/>
  <c r="M305" i="32"/>
  <c r="M304" i="32"/>
  <c r="M303" i="32"/>
  <c r="M302" i="32"/>
  <c r="M301" i="32"/>
  <c r="M300" i="32"/>
  <c r="M299" i="32"/>
  <c r="M298" i="32"/>
  <c r="M297" i="32"/>
  <c r="M296" i="32"/>
  <c r="M295" i="32"/>
  <c r="M294" i="32"/>
  <c r="M293" i="32"/>
  <c r="M292" i="32"/>
  <c r="M291" i="32"/>
  <c r="M290" i="32"/>
  <c r="M289" i="32"/>
  <c r="M288" i="32"/>
  <c r="M287" i="32"/>
  <c r="M286" i="32"/>
  <c r="M285" i="32"/>
  <c r="M284" i="32"/>
  <c r="M283" i="32"/>
  <c r="M282" i="32"/>
  <c r="M281" i="32"/>
  <c r="M280" i="32"/>
  <c r="M279" i="32"/>
  <c r="M278" i="32"/>
  <c r="M277" i="32"/>
  <c r="M276" i="32"/>
  <c r="M275" i="32"/>
  <c r="M274" i="32"/>
  <c r="M273" i="32"/>
  <c r="M272" i="32"/>
  <c r="M271" i="32"/>
  <c r="M270" i="32"/>
  <c r="M269" i="32"/>
  <c r="M268" i="32"/>
  <c r="M267" i="32"/>
  <c r="M266" i="32"/>
  <c r="M265" i="32"/>
  <c r="M264" i="32"/>
  <c r="M263" i="32"/>
  <c r="M262" i="32"/>
  <c r="M261" i="32"/>
  <c r="M260" i="32"/>
  <c r="M259" i="32"/>
  <c r="M258" i="32"/>
  <c r="M257" i="32"/>
  <c r="M256" i="32"/>
  <c r="M255" i="32"/>
  <c r="M254" i="32"/>
  <c r="M253" i="32"/>
  <c r="M252" i="32"/>
  <c r="M251" i="32"/>
  <c r="M250" i="32"/>
  <c r="M249" i="32"/>
  <c r="M248" i="32"/>
  <c r="M247" i="32"/>
  <c r="M246" i="32"/>
  <c r="M245" i="32"/>
  <c r="M244" i="32"/>
  <c r="M243" i="32"/>
  <c r="M242" i="32"/>
  <c r="M241" i="32"/>
  <c r="M240" i="32"/>
  <c r="M239" i="32"/>
  <c r="M238" i="32"/>
  <c r="M237" i="32"/>
  <c r="M236" i="32"/>
  <c r="M235" i="32"/>
  <c r="M234" i="32"/>
  <c r="M233" i="32"/>
  <c r="M232" i="32"/>
  <c r="M231" i="32"/>
  <c r="M230" i="32"/>
  <c r="M229" i="32"/>
  <c r="M228" i="32"/>
  <c r="M227" i="32"/>
  <c r="M226" i="32"/>
  <c r="M225" i="32"/>
  <c r="M224" i="32"/>
  <c r="M223" i="32"/>
  <c r="M222" i="32"/>
  <c r="M221" i="32"/>
  <c r="M220" i="32"/>
  <c r="M219" i="32"/>
  <c r="M218" i="32"/>
  <c r="M217" i="32"/>
  <c r="M216" i="32"/>
  <c r="M215" i="32"/>
  <c r="M214" i="32"/>
  <c r="M213" i="32"/>
  <c r="M212" i="32"/>
  <c r="M211" i="32"/>
  <c r="M210" i="32"/>
  <c r="M209" i="32"/>
  <c r="M208" i="32"/>
  <c r="M207" i="32"/>
  <c r="M206" i="32"/>
  <c r="M205" i="32"/>
  <c r="M204" i="32"/>
  <c r="M203" i="32"/>
  <c r="M202" i="32"/>
  <c r="M201" i="32"/>
  <c r="M200" i="32"/>
  <c r="M199" i="32"/>
  <c r="M198" i="32"/>
  <c r="M197" i="32"/>
  <c r="M196" i="32"/>
  <c r="M195" i="32"/>
  <c r="M194" i="32"/>
  <c r="M193" i="32"/>
  <c r="M192" i="32"/>
  <c r="M191" i="32"/>
  <c r="M190" i="32"/>
  <c r="M189" i="32"/>
  <c r="M188" i="32"/>
  <c r="M187" i="32"/>
  <c r="M186" i="32"/>
  <c r="M185" i="32"/>
  <c r="M184" i="32"/>
  <c r="M183" i="32"/>
  <c r="M182" i="32"/>
  <c r="M181" i="32"/>
  <c r="M180" i="32"/>
  <c r="M179" i="32"/>
  <c r="M178" i="32"/>
  <c r="M177" i="32"/>
  <c r="M176" i="32"/>
  <c r="M175" i="32"/>
  <c r="M174" i="32"/>
  <c r="M173" i="32"/>
  <c r="M172" i="32"/>
  <c r="M171" i="32"/>
  <c r="M170" i="32"/>
  <c r="M169" i="32"/>
  <c r="M168" i="32"/>
  <c r="M167" i="32"/>
  <c r="M166" i="32"/>
  <c r="M165" i="32"/>
  <c r="M164" i="32"/>
  <c r="M163" i="32"/>
  <c r="M162" i="32"/>
  <c r="M161" i="32"/>
  <c r="M160" i="32"/>
  <c r="M159" i="32"/>
  <c r="M158" i="32"/>
  <c r="M157" i="32"/>
  <c r="M156" i="32"/>
  <c r="M155" i="32"/>
  <c r="M154" i="32"/>
  <c r="M153" i="32"/>
  <c r="M152" i="32"/>
  <c r="M151" i="32"/>
  <c r="M150" i="32"/>
  <c r="M149" i="32"/>
  <c r="M148" i="32"/>
  <c r="M147" i="32"/>
  <c r="M146" i="32"/>
  <c r="M145" i="32"/>
  <c r="M144" i="32"/>
  <c r="M143" i="32"/>
  <c r="M142" i="32"/>
  <c r="M141" i="32"/>
  <c r="M140" i="32"/>
  <c r="M139" i="32"/>
  <c r="M138" i="32"/>
  <c r="M137" i="32"/>
  <c r="M136" i="32"/>
  <c r="M135" i="32"/>
  <c r="M134" i="32"/>
  <c r="M133" i="32"/>
  <c r="M132" i="32"/>
  <c r="M131" i="32"/>
  <c r="M130" i="32"/>
  <c r="M129" i="32"/>
  <c r="M128" i="32"/>
  <c r="M127" i="32"/>
  <c r="M126" i="32"/>
  <c r="M125" i="32"/>
  <c r="M124" i="32"/>
  <c r="M123" i="32"/>
  <c r="M122" i="32"/>
  <c r="M121" i="32"/>
  <c r="M120" i="32"/>
  <c r="M119" i="32"/>
  <c r="M118" i="32"/>
  <c r="M117" i="32"/>
  <c r="M116" i="32"/>
  <c r="M115" i="32"/>
  <c r="M114" i="32"/>
  <c r="M113" i="32"/>
  <c r="M112" i="32"/>
  <c r="M111" i="32"/>
  <c r="M110" i="32"/>
  <c r="M109" i="32"/>
  <c r="M108" i="32"/>
  <c r="M107" i="32"/>
  <c r="M106" i="32"/>
  <c r="M105" i="32"/>
  <c r="M104" i="32"/>
  <c r="M103" i="32"/>
  <c r="M102" i="32"/>
  <c r="M101" i="32"/>
  <c r="M100" i="32"/>
  <c r="M99" i="32"/>
  <c r="M98" i="32"/>
  <c r="M97" i="32"/>
  <c r="M96" i="32"/>
  <c r="M95" i="32"/>
  <c r="M94" i="32"/>
  <c r="M93" i="32"/>
  <c r="M92" i="32"/>
  <c r="M91" i="32"/>
  <c r="M90" i="32"/>
  <c r="M89" i="32"/>
  <c r="M88" i="32"/>
  <c r="M87" i="32"/>
  <c r="M86" i="32"/>
  <c r="M85" i="32"/>
  <c r="M84" i="32"/>
  <c r="M83" i="32"/>
  <c r="M82" i="32"/>
  <c r="M81" i="32"/>
  <c r="M80" i="32"/>
  <c r="M79" i="32"/>
  <c r="M78" i="32"/>
  <c r="M77" i="32"/>
  <c r="M76" i="32"/>
  <c r="M75" i="32"/>
  <c r="M74" i="32"/>
  <c r="M73" i="32"/>
  <c r="M72" i="32"/>
  <c r="M71" i="32"/>
  <c r="M70" i="32"/>
  <c r="M69" i="32"/>
  <c r="M68" i="32"/>
  <c r="M67" i="32"/>
  <c r="M66" i="32"/>
  <c r="M65" i="32"/>
  <c r="M64" i="32"/>
  <c r="M63" i="32"/>
  <c r="M62" i="32"/>
  <c r="M61" i="32"/>
  <c r="M60" i="32"/>
  <c r="M59" i="32"/>
  <c r="M58" i="32"/>
  <c r="M57" i="32"/>
  <c r="M56" i="32"/>
  <c r="M55" i="32"/>
  <c r="M54" i="32"/>
  <c r="M53" i="32"/>
  <c r="M52" i="32"/>
  <c r="M51" i="32"/>
  <c r="M50" i="32"/>
  <c r="M49" i="32"/>
  <c r="M48" i="32"/>
  <c r="M47" i="32"/>
  <c r="M46" i="32"/>
  <c r="M45" i="32"/>
  <c r="M44" i="32"/>
  <c r="M43" i="32"/>
  <c r="M42" i="32"/>
  <c r="M41" i="32"/>
  <c r="M40" i="32"/>
  <c r="M39" i="32"/>
  <c r="M38" i="32"/>
  <c r="M37" i="32"/>
  <c r="M36" i="32"/>
  <c r="M35" i="32"/>
  <c r="M34" i="32"/>
  <c r="M33" i="32"/>
  <c r="M32" i="32"/>
  <c r="M31" i="32"/>
  <c r="M30" i="32"/>
  <c r="M29" i="32"/>
  <c r="M28" i="32"/>
  <c r="M27" i="32"/>
  <c r="M26" i="32"/>
  <c r="M25" i="32"/>
  <c r="M24" i="32"/>
  <c r="M23" i="32"/>
  <c r="M22" i="32"/>
  <c r="M21" i="32"/>
  <c r="M20" i="32"/>
  <c r="M19" i="32"/>
  <c r="M18" i="32"/>
  <c r="M17" i="32"/>
  <c r="M16" i="32"/>
  <c r="M15" i="32"/>
  <c r="M14" i="32"/>
  <c r="M13" i="32"/>
  <c r="M12" i="32"/>
  <c r="M11" i="32"/>
  <c r="M10" i="32"/>
  <c r="M9" i="32"/>
  <c r="M8" i="32"/>
  <c r="M7" i="32"/>
  <c r="M6" i="32"/>
  <c r="M5" i="32"/>
  <c r="M4" i="32"/>
  <c r="M3" i="32"/>
  <c r="Y269" i="29"/>
  <c r="Y268" i="29"/>
  <c r="Y267" i="29"/>
  <c r="Y266" i="29"/>
  <c r="Y265" i="29"/>
  <c r="Y264" i="29"/>
  <c r="Y263" i="29"/>
  <c r="Y262" i="29"/>
  <c r="Y261" i="29"/>
  <c r="Y260" i="29"/>
  <c r="Y259" i="29"/>
  <c r="Y258" i="29"/>
  <c r="Y257" i="29"/>
  <c r="Y256" i="29"/>
  <c r="Y255" i="29"/>
  <c r="Y254" i="29"/>
  <c r="Y253" i="29"/>
  <c r="Y252" i="29"/>
  <c r="Y251" i="29"/>
  <c r="Y250" i="29"/>
  <c r="Y249" i="29"/>
  <c r="Y248" i="29"/>
  <c r="Y247" i="29"/>
  <c r="Y246" i="29"/>
  <c r="Y245" i="29"/>
  <c r="Y244" i="29"/>
  <c r="Y243" i="29"/>
  <c r="Y242" i="29"/>
  <c r="Y241" i="29"/>
  <c r="Y240" i="29"/>
  <c r="Y239" i="29"/>
  <c r="Y238" i="29"/>
  <c r="Y237" i="29"/>
  <c r="Y236" i="29"/>
  <c r="Y235" i="29"/>
  <c r="Y234" i="29"/>
  <c r="Y233" i="29"/>
  <c r="Y232" i="29"/>
  <c r="Y231" i="29"/>
  <c r="Y230" i="29"/>
  <c r="Y229" i="29"/>
  <c r="Y228" i="29"/>
  <c r="Y227" i="29"/>
  <c r="Y226" i="29"/>
  <c r="Y225" i="29"/>
  <c r="Y224" i="29"/>
  <c r="Y223" i="29"/>
  <c r="Y222" i="29"/>
  <c r="Y221" i="29"/>
  <c r="Y220" i="29"/>
  <c r="Y219" i="29"/>
  <c r="Y218" i="29"/>
  <c r="Y217" i="29"/>
  <c r="Y216" i="29"/>
  <c r="Y215" i="29"/>
  <c r="Y214" i="29"/>
  <c r="Y213" i="29"/>
  <c r="Y212" i="29"/>
  <c r="Y211" i="29"/>
  <c r="Y210" i="29"/>
  <c r="Y209" i="29"/>
  <c r="Y208" i="29"/>
  <c r="Y207" i="29"/>
  <c r="Y206" i="29"/>
  <c r="Y205" i="29"/>
  <c r="Y204" i="29"/>
  <c r="Y203" i="29"/>
  <c r="Y202" i="29"/>
  <c r="Y201" i="29"/>
  <c r="Y200" i="29"/>
  <c r="Y199" i="29"/>
  <c r="Y198" i="29"/>
  <c r="Y197" i="29"/>
  <c r="Y196" i="29"/>
  <c r="Y195" i="29"/>
  <c r="Y194" i="29"/>
  <c r="Y193" i="29"/>
  <c r="Y192" i="29"/>
  <c r="Y191" i="29"/>
  <c r="T191" i="29"/>
  <c r="Y190" i="29"/>
  <c r="T190" i="29"/>
  <c r="Y189" i="29"/>
  <c r="T189" i="29"/>
  <c r="Y188" i="29"/>
  <c r="T188" i="29"/>
  <c r="Y187" i="29"/>
  <c r="T187" i="29"/>
  <c r="Y186" i="29"/>
  <c r="T186" i="29"/>
  <c r="Y185" i="29"/>
  <c r="T185" i="29"/>
  <c r="Y184" i="29"/>
  <c r="T184" i="29"/>
  <c r="Y183" i="29"/>
  <c r="T183" i="29"/>
  <c r="Y182" i="29"/>
  <c r="T182" i="29"/>
  <c r="Y181" i="29"/>
  <c r="T181" i="29"/>
  <c r="Y180" i="29"/>
  <c r="T180" i="29"/>
  <c r="Y179" i="29"/>
  <c r="T179" i="29"/>
  <c r="Y178" i="29"/>
  <c r="T178" i="29"/>
  <c r="Y177" i="29"/>
  <c r="T177" i="29"/>
  <c r="Y176" i="29"/>
  <c r="T176" i="29"/>
  <c r="Y175" i="29"/>
  <c r="T175" i="29"/>
  <c r="Y174" i="29"/>
  <c r="T174" i="29"/>
  <c r="Y173" i="29"/>
  <c r="T173" i="29"/>
  <c r="Y172" i="29"/>
  <c r="T172" i="29"/>
  <c r="Y171" i="29"/>
  <c r="T171" i="29"/>
  <c r="Y170" i="29"/>
  <c r="T170" i="29"/>
  <c r="Y169" i="29"/>
  <c r="T169" i="29"/>
  <c r="Y168" i="29"/>
  <c r="T168" i="29"/>
  <c r="Y167" i="29"/>
  <c r="T167" i="29"/>
  <c r="Y166" i="29"/>
  <c r="T166" i="29"/>
  <c r="Y165" i="29"/>
  <c r="T165" i="29"/>
  <c r="Y164" i="29"/>
  <c r="T164" i="29"/>
  <c r="Y163" i="29"/>
  <c r="T163" i="29"/>
  <c r="Y162" i="29"/>
  <c r="T162" i="29"/>
  <c r="Y161" i="29"/>
  <c r="T161" i="29"/>
  <c r="Y160" i="29"/>
  <c r="T160" i="29"/>
  <c r="Y159" i="29"/>
  <c r="T159" i="29"/>
  <c r="Y158" i="29"/>
  <c r="T158" i="29"/>
  <c r="Y157" i="29"/>
  <c r="T157" i="29"/>
  <c r="Y156" i="29"/>
  <c r="T156" i="29"/>
  <c r="Y155" i="29"/>
  <c r="T155" i="29"/>
  <c r="Y154" i="29"/>
  <c r="T154" i="29"/>
  <c r="Y153" i="29"/>
  <c r="T153" i="29"/>
  <c r="Y152" i="29"/>
  <c r="T152" i="29"/>
  <c r="Y151" i="29"/>
  <c r="T151" i="29"/>
  <c r="Y150" i="29"/>
  <c r="T150" i="29"/>
  <c r="Y149" i="29"/>
  <c r="T149" i="29"/>
  <c r="Y148" i="29"/>
  <c r="T148" i="29"/>
  <c r="Y147" i="29"/>
  <c r="T147" i="29"/>
  <c r="Y146" i="29"/>
  <c r="T146" i="29"/>
  <c r="Y145" i="29"/>
  <c r="T145" i="29"/>
  <c r="Y144" i="29"/>
  <c r="T144" i="29"/>
  <c r="Y143" i="29"/>
  <c r="T143" i="29"/>
  <c r="Y142" i="29"/>
  <c r="T142" i="29"/>
  <c r="Y141" i="29"/>
  <c r="T141" i="29"/>
  <c r="Y140" i="29"/>
  <c r="T140" i="29"/>
  <c r="Y139" i="29"/>
  <c r="T139" i="29"/>
  <c r="Y138" i="29"/>
  <c r="T138" i="29"/>
  <c r="Y137" i="29"/>
  <c r="T137" i="29"/>
  <c r="Y136" i="29"/>
  <c r="T136" i="29"/>
  <c r="Y135" i="29"/>
  <c r="T135" i="29"/>
  <c r="Y134" i="29"/>
  <c r="T134" i="29"/>
  <c r="Y133" i="29"/>
  <c r="T133" i="29"/>
  <c r="Y132" i="29"/>
  <c r="T132" i="29"/>
  <c r="Y131" i="29"/>
  <c r="T131" i="29"/>
  <c r="Y130" i="29"/>
  <c r="T130" i="29"/>
  <c r="Y129" i="29"/>
  <c r="T129" i="29"/>
  <c r="Y128" i="29"/>
  <c r="T128" i="29"/>
  <c r="Y127" i="29"/>
  <c r="T127" i="29"/>
  <c r="Y126" i="29"/>
  <c r="T126" i="29"/>
  <c r="Y125" i="29"/>
  <c r="T125" i="29"/>
  <c r="Y124" i="29"/>
  <c r="T124" i="29"/>
  <c r="Y123" i="29"/>
  <c r="T123" i="29"/>
  <c r="Y122" i="29"/>
  <c r="T122" i="29"/>
  <c r="Y121" i="29"/>
  <c r="T121" i="29"/>
  <c r="Y120" i="29"/>
  <c r="T120" i="29"/>
  <c r="Y119" i="29"/>
  <c r="T119" i="29"/>
  <c r="Y118" i="29"/>
  <c r="T118" i="29"/>
  <c r="Y117" i="29"/>
  <c r="T117" i="29"/>
  <c r="Y116" i="29"/>
  <c r="T116" i="29"/>
  <c r="Y115" i="29"/>
  <c r="T115" i="29"/>
  <c r="Y114" i="29"/>
  <c r="T114" i="29"/>
  <c r="Y113" i="29"/>
  <c r="T113" i="29"/>
  <c r="Y112" i="29"/>
  <c r="T112" i="29"/>
  <c r="Y111" i="29"/>
  <c r="T111" i="29"/>
  <c r="Y110" i="29"/>
  <c r="T110" i="29"/>
  <c r="Y109" i="29"/>
  <c r="T109" i="29"/>
  <c r="Y108" i="29"/>
  <c r="T108" i="29"/>
  <c r="Y107" i="29"/>
  <c r="T107" i="29"/>
  <c r="Y106" i="29"/>
  <c r="T106" i="29"/>
  <c r="Y105" i="29"/>
  <c r="T105" i="29"/>
  <c r="Y104" i="29"/>
  <c r="T104" i="29"/>
  <c r="Y103" i="29"/>
  <c r="T103" i="29"/>
  <c r="Y102" i="29"/>
  <c r="T102" i="29"/>
  <c r="Y101" i="29"/>
  <c r="T101" i="29"/>
  <c r="Y100" i="29"/>
  <c r="T100" i="29"/>
  <c r="Y99" i="29"/>
  <c r="T99" i="29"/>
  <c r="Y98" i="29"/>
  <c r="T98" i="29"/>
  <c r="Y97" i="29"/>
  <c r="T97" i="29"/>
  <c r="Y96" i="29"/>
  <c r="T96" i="29"/>
  <c r="Y95" i="29"/>
  <c r="T95" i="29"/>
  <c r="Y94" i="29"/>
  <c r="T94" i="29"/>
  <c r="Y93" i="29"/>
  <c r="T93" i="29"/>
  <c r="Y92" i="29"/>
  <c r="T92" i="29"/>
  <c r="Y91" i="29"/>
  <c r="T91" i="29"/>
  <c r="Y90" i="29"/>
  <c r="T90" i="29"/>
  <c r="Y89" i="29"/>
  <c r="T89" i="29"/>
  <c r="Y88" i="29"/>
  <c r="T88" i="29"/>
  <c r="Y87" i="29"/>
  <c r="T87" i="29"/>
  <c r="Y86" i="29"/>
  <c r="T86" i="29"/>
  <c r="Y85" i="29"/>
  <c r="T85" i="29"/>
  <c r="Y84" i="29"/>
  <c r="T84" i="29"/>
  <c r="Y83" i="29"/>
  <c r="T83" i="29"/>
  <c r="Y82" i="29"/>
  <c r="T82" i="29"/>
  <c r="Y81" i="29"/>
  <c r="T81" i="29"/>
  <c r="Y80" i="29"/>
  <c r="T80" i="29"/>
  <c r="Y79" i="29"/>
  <c r="T79" i="29"/>
  <c r="Y78" i="29"/>
  <c r="T78" i="29"/>
  <c r="Y77" i="29"/>
  <c r="T77" i="29"/>
  <c r="Y76" i="29"/>
  <c r="T76" i="29"/>
  <c r="Y75" i="29"/>
  <c r="T75" i="29"/>
  <c r="Y74" i="29"/>
  <c r="T74" i="29"/>
  <c r="Y73" i="29"/>
  <c r="T73" i="29"/>
  <c r="Y72" i="29"/>
  <c r="T72" i="29"/>
  <c r="C72" i="29"/>
  <c r="Y71" i="29"/>
  <c r="T71" i="29"/>
  <c r="C71" i="29"/>
  <c r="Y70" i="29"/>
  <c r="T70" i="29"/>
  <c r="C70" i="29"/>
  <c r="Y69" i="29"/>
  <c r="T69" i="29"/>
  <c r="C69" i="29"/>
  <c r="Y68" i="29"/>
  <c r="T68" i="29"/>
  <c r="C68" i="29"/>
  <c r="Y67" i="29"/>
  <c r="T67" i="29"/>
  <c r="C67" i="29"/>
  <c r="Y66" i="29"/>
  <c r="T66" i="29"/>
  <c r="C66" i="29"/>
  <c r="Y65" i="29"/>
  <c r="T65" i="29"/>
  <c r="C65" i="29"/>
  <c r="Y64" i="29"/>
  <c r="T64" i="29"/>
  <c r="C64" i="29"/>
  <c r="Y63" i="29"/>
  <c r="T63" i="29"/>
  <c r="C63" i="29"/>
  <c r="Y62" i="29"/>
  <c r="T62" i="29"/>
  <c r="C62" i="29"/>
  <c r="Y61" i="29"/>
  <c r="T61" i="29"/>
  <c r="C61" i="29"/>
  <c r="Y60" i="29"/>
  <c r="T60" i="29"/>
  <c r="C60" i="29"/>
  <c r="Y59" i="29"/>
  <c r="T59" i="29"/>
  <c r="C59" i="29"/>
  <c r="Y58" i="29"/>
  <c r="T58" i="29"/>
  <c r="C58" i="29"/>
  <c r="Y57" i="29"/>
  <c r="T57" i="29"/>
  <c r="C57" i="29"/>
  <c r="Y56" i="29"/>
  <c r="T56" i="29"/>
  <c r="C56" i="29"/>
  <c r="Y55" i="29"/>
  <c r="T55" i="29"/>
  <c r="C55" i="29"/>
  <c r="Y54" i="29"/>
  <c r="T54" i="29"/>
  <c r="C54" i="29"/>
  <c r="Y53" i="29"/>
  <c r="T53" i="29"/>
  <c r="C53" i="29"/>
  <c r="Y52" i="29"/>
  <c r="T52" i="29"/>
  <c r="C52" i="29"/>
  <c r="Y51" i="29"/>
  <c r="T51" i="29"/>
  <c r="C51" i="29"/>
  <c r="Y50" i="29"/>
  <c r="T50" i="29"/>
  <c r="C50" i="29"/>
  <c r="Y49" i="29"/>
  <c r="T49" i="29"/>
  <c r="C49" i="29"/>
  <c r="Y48" i="29"/>
  <c r="T48" i="29"/>
  <c r="C48" i="29"/>
  <c r="Y47" i="29"/>
  <c r="T47" i="29"/>
  <c r="C47" i="29"/>
  <c r="Y46" i="29"/>
  <c r="T46" i="29"/>
  <c r="C46" i="29"/>
  <c r="Y45" i="29"/>
  <c r="T45" i="29"/>
  <c r="C45" i="29"/>
  <c r="Y44" i="29"/>
  <c r="T44" i="29"/>
  <c r="C44" i="29"/>
  <c r="Y43" i="29"/>
  <c r="T43" i="29"/>
  <c r="C43" i="29"/>
  <c r="Y42" i="29"/>
  <c r="T42" i="29"/>
  <c r="C42" i="29"/>
  <c r="Y41" i="29"/>
  <c r="T41" i="29"/>
  <c r="C41" i="29"/>
  <c r="Y40" i="29"/>
  <c r="T40" i="29"/>
  <c r="Y39" i="29"/>
  <c r="T39" i="29"/>
  <c r="Y38" i="29"/>
  <c r="T38" i="29"/>
  <c r="Y37" i="29"/>
  <c r="T37" i="29"/>
  <c r="Y36" i="29"/>
  <c r="T36" i="29"/>
  <c r="Y35" i="29"/>
  <c r="T35" i="29"/>
  <c r="Y34" i="29"/>
  <c r="T34" i="29"/>
  <c r="Y33" i="29"/>
  <c r="T33" i="29"/>
  <c r="Y32" i="29"/>
  <c r="T32" i="29"/>
  <c r="Y31" i="29"/>
  <c r="T31" i="29"/>
  <c r="Y30" i="29"/>
  <c r="T30" i="29"/>
  <c r="Y29" i="29"/>
  <c r="T29" i="29"/>
  <c r="Y28" i="29"/>
  <c r="T28" i="29"/>
  <c r="Y27" i="29"/>
  <c r="T27" i="29"/>
  <c r="Y26" i="29"/>
  <c r="T26" i="29"/>
  <c r="Y25" i="29"/>
  <c r="T25" i="29"/>
  <c r="Y24" i="29"/>
  <c r="T24" i="29"/>
  <c r="Y23" i="29"/>
  <c r="T23" i="29"/>
  <c r="Y22" i="29"/>
  <c r="T22" i="29"/>
  <c r="Y21" i="29"/>
  <c r="T21" i="29"/>
  <c r="Y20" i="29"/>
  <c r="T20" i="29"/>
  <c r="Y19" i="29"/>
  <c r="T19" i="29"/>
  <c r="Y18" i="29"/>
  <c r="T18" i="29"/>
  <c r="Y17" i="29"/>
  <c r="T17" i="29"/>
  <c r="Y16" i="29"/>
  <c r="T16" i="29"/>
  <c r="Y15" i="29"/>
  <c r="T15" i="29"/>
  <c r="Y14" i="29"/>
  <c r="T14" i="29"/>
  <c r="Y13" i="29"/>
  <c r="T13" i="29"/>
  <c r="Y12" i="29"/>
  <c r="T12" i="29"/>
  <c r="Y11" i="29"/>
  <c r="T11" i="29"/>
  <c r="Y10" i="29"/>
  <c r="T10" i="29"/>
  <c r="Y9" i="29"/>
  <c r="T9" i="29"/>
  <c r="Y8" i="29"/>
  <c r="T8" i="29"/>
  <c r="Y7" i="29"/>
  <c r="T7" i="29"/>
  <c r="Y6" i="29"/>
  <c r="T6" i="29"/>
  <c r="Y5" i="29"/>
  <c r="T5" i="29"/>
  <c r="Y4" i="29"/>
  <c r="T4" i="29"/>
  <c r="Y3" i="29"/>
  <c r="T3" i="29"/>
  <c r="Y2" i="29"/>
  <c r="T2" i="29"/>
  <c r="L137" i="28"/>
  <c r="H1016" i="27"/>
  <c r="G1016" i="27"/>
  <c r="R1055" i="24"/>
  <c r="Q1055" i="24"/>
  <c r="P1055" i="24"/>
  <c r="O1055" i="24"/>
  <c r="N1055" i="24"/>
  <c r="M1055" i="24"/>
  <c r="L1055" i="24"/>
  <c r="K1055" i="24"/>
  <c r="J1055" i="24"/>
  <c r="I1055" i="24"/>
  <c r="H1055" i="24"/>
  <c r="F1055" i="24"/>
  <c r="E1055" i="24"/>
  <c r="R1054" i="24"/>
  <c r="Q1054" i="24"/>
  <c r="P1054" i="24"/>
  <c r="O1054" i="24"/>
  <c r="N1054" i="24"/>
  <c r="M1054" i="24"/>
  <c r="L1054" i="24"/>
  <c r="K1054" i="24"/>
  <c r="J1054" i="24"/>
  <c r="I1054" i="24"/>
  <c r="H1054" i="24"/>
  <c r="F1054" i="24"/>
  <c r="E1054" i="24"/>
  <c r="R1053" i="24"/>
  <c r="Q1053" i="24"/>
  <c r="P1053" i="24"/>
  <c r="O1053" i="24"/>
  <c r="N1053" i="24"/>
  <c r="M1053" i="24"/>
  <c r="L1053" i="24"/>
  <c r="K1053" i="24"/>
  <c r="J1053" i="24"/>
  <c r="I1053" i="24"/>
  <c r="H1053" i="24"/>
  <c r="F1053" i="24"/>
  <c r="E1053" i="24"/>
  <c r="R1052" i="24"/>
  <c r="Q1052" i="24"/>
  <c r="P1052" i="24"/>
  <c r="O1052" i="24"/>
  <c r="N1052" i="24"/>
  <c r="M1052" i="24"/>
  <c r="L1052" i="24"/>
  <c r="K1052" i="24"/>
  <c r="J1052" i="24"/>
  <c r="I1052" i="24"/>
  <c r="H1052" i="24"/>
  <c r="F1052" i="24"/>
  <c r="E1052" i="24"/>
  <c r="R1051" i="24"/>
  <c r="Q1051" i="24"/>
  <c r="P1051" i="24"/>
  <c r="O1051" i="24"/>
  <c r="N1051" i="24"/>
  <c r="M1051" i="24"/>
  <c r="L1051" i="24"/>
  <c r="K1051" i="24"/>
  <c r="J1051" i="24"/>
  <c r="I1051" i="24"/>
  <c r="H1051" i="24"/>
  <c r="F1051" i="24"/>
  <c r="E1051" i="24"/>
  <c r="R1050" i="24"/>
  <c r="Q1050" i="24"/>
  <c r="P1050" i="24"/>
  <c r="O1050" i="24"/>
  <c r="N1050" i="24"/>
  <c r="M1050" i="24"/>
  <c r="L1050" i="24"/>
  <c r="K1050" i="24"/>
  <c r="J1050" i="24"/>
  <c r="I1050" i="24"/>
  <c r="H1050" i="24"/>
  <c r="F1050" i="24"/>
  <c r="E1050" i="24"/>
  <c r="R1049" i="24"/>
  <c r="Q1049" i="24"/>
  <c r="P1049" i="24"/>
  <c r="O1049" i="24"/>
  <c r="N1049" i="24"/>
  <c r="M1049" i="24"/>
  <c r="L1049" i="24"/>
  <c r="K1049" i="24"/>
  <c r="J1049" i="24"/>
  <c r="I1049" i="24"/>
  <c r="H1049" i="24"/>
  <c r="F1049" i="24"/>
  <c r="E1049" i="24"/>
  <c r="R1048" i="24"/>
  <c r="Q1048" i="24"/>
  <c r="P1048" i="24"/>
  <c r="O1048" i="24"/>
  <c r="N1048" i="24"/>
  <c r="M1048" i="24"/>
  <c r="L1048" i="24"/>
  <c r="K1048" i="24"/>
  <c r="J1048" i="24"/>
  <c r="I1048" i="24"/>
  <c r="H1048" i="24"/>
  <c r="G1048" i="24"/>
  <c r="F1048" i="24"/>
  <c r="E1048" i="24"/>
  <c r="R1047" i="24"/>
  <c r="Q1047" i="24"/>
  <c r="P1047" i="24"/>
  <c r="O1047" i="24"/>
  <c r="N1047" i="24"/>
  <c r="M1047" i="24"/>
  <c r="L1047" i="24"/>
  <c r="K1047" i="24"/>
  <c r="J1047" i="24"/>
  <c r="I1047" i="24"/>
  <c r="H1047" i="24"/>
  <c r="G1047" i="24"/>
  <c r="F1047" i="24"/>
  <c r="E1047" i="24"/>
  <c r="R1046" i="24"/>
  <c r="Q1046" i="24"/>
  <c r="P1046" i="24"/>
  <c r="O1046" i="24"/>
  <c r="N1046" i="24"/>
  <c r="M1046" i="24"/>
  <c r="L1046" i="24"/>
  <c r="K1046" i="24"/>
  <c r="J1046" i="24"/>
  <c r="I1046" i="24"/>
  <c r="H1046" i="24"/>
  <c r="F1046" i="24"/>
  <c r="E1046" i="24"/>
  <c r="R1045" i="24"/>
  <c r="Q1045" i="24"/>
  <c r="P1045" i="24"/>
  <c r="O1045" i="24"/>
  <c r="N1045" i="24"/>
  <c r="M1045" i="24"/>
  <c r="L1045" i="24"/>
  <c r="K1045" i="24"/>
  <c r="J1045" i="24"/>
  <c r="I1045" i="24"/>
  <c r="H1045" i="24"/>
  <c r="F1045" i="24"/>
  <c r="E1045" i="24"/>
  <c r="R1044" i="24"/>
  <c r="Q1044" i="24"/>
  <c r="P1044" i="24"/>
  <c r="O1044" i="24"/>
  <c r="N1044" i="24"/>
  <c r="M1044" i="24"/>
  <c r="L1044" i="24"/>
  <c r="K1044" i="24"/>
  <c r="J1044" i="24"/>
  <c r="I1044" i="24"/>
  <c r="H1044" i="24"/>
  <c r="F1044" i="24"/>
  <c r="E1044" i="24"/>
  <c r="R1043" i="24"/>
  <c r="Q1043" i="24"/>
  <c r="P1043" i="24"/>
  <c r="O1043" i="24"/>
  <c r="N1043" i="24"/>
  <c r="M1043" i="24"/>
  <c r="L1043" i="24"/>
  <c r="K1043" i="24"/>
  <c r="J1043" i="24"/>
  <c r="I1043" i="24"/>
  <c r="H1043" i="24"/>
  <c r="F1043" i="24"/>
  <c r="E1043" i="24"/>
  <c r="R1042" i="24"/>
  <c r="Q1042" i="24"/>
  <c r="P1042" i="24"/>
  <c r="O1042" i="24"/>
  <c r="N1042" i="24"/>
  <c r="M1042" i="24"/>
  <c r="L1042" i="24"/>
  <c r="K1042" i="24"/>
  <c r="J1042" i="24"/>
  <c r="I1042" i="24"/>
  <c r="H1042" i="24"/>
  <c r="F1042" i="24"/>
  <c r="E1042" i="24"/>
  <c r="R1041" i="24"/>
  <c r="Q1041" i="24"/>
  <c r="P1041" i="24"/>
  <c r="O1041" i="24"/>
  <c r="N1041" i="24"/>
  <c r="M1041" i="24"/>
  <c r="L1041" i="24"/>
  <c r="K1041" i="24"/>
  <c r="J1041" i="24"/>
  <c r="I1041" i="24"/>
  <c r="H1041" i="24"/>
  <c r="F1041" i="24"/>
  <c r="E1041" i="24"/>
  <c r="R1040" i="24"/>
  <c r="Q1040" i="24"/>
  <c r="P1040" i="24"/>
  <c r="O1040" i="24"/>
  <c r="N1040" i="24"/>
  <c r="M1040" i="24"/>
  <c r="L1040" i="24"/>
  <c r="K1040" i="24"/>
  <c r="J1040" i="24"/>
  <c r="I1040" i="24"/>
  <c r="H1040" i="24"/>
  <c r="F1040" i="24"/>
  <c r="E1040" i="24"/>
  <c r="R1039" i="24"/>
  <c r="Q1039" i="24"/>
  <c r="P1039" i="24"/>
  <c r="O1039" i="24"/>
  <c r="N1039" i="24"/>
  <c r="M1039" i="24"/>
  <c r="L1039" i="24"/>
  <c r="K1039" i="24"/>
  <c r="J1039" i="24"/>
  <c r="I1039" i="24"/>
  <c r="H1039" i="24"/>
  <c r="F1039" i="24"/>
  <c r="E1039" i="24"/>
  <c r="R1038" i="24"/>
  <c r="Q1038" i="24"/>
  <c r="P1038" i="24"/>
  <c r="O1038" i="24"/>
  <c r="N1038" i="24"/>
  <c r="M1038" i="24"/>
  <c r="L1038" i="24"/>
  <c r="K1038" i="24"/>
  <c r="J1038" i="24"/>
  <c r="I1038" i="24"/>
  <c r="H1038" i="24"/>
  <c r="F1038" i="24"/>
  <c r="E1038" i="24"/>
  <c r="R1037" i="24"/>
  <c r="Q1037" i="24"/>
  <c r="P1037" i="24"/>
  <c r="O1037" i="24"/>
  <c r="N1037" i="24"/>
  <c r="M1037" i="24"/>
  <c r="L1037" i="24"/>
  <c r="K1037" i="24"/>
  <c r="J1037" i="24"/>
  <c r="I1037" i="24"/>
  <c r="H1037" i="24"/>
  <c r="F1037" i="24"/>
  <c r="E1037" i="24"/>
  <c r="R1036" i="24"/>
  <c r="Q1036" i="24"/>
  <c r="P1036" i="24"/>
  <c r="O1036" i="24"/>
  <c r="N1036" i="24"/>
  <c r="M1036" i="24"/>
  <c r="L1036" i="24"/>
  <c r="K1036" i="24"/>
  <c r="J1036" i="24"/>
  <c r="I1036" i="24"/>
  <c r="H1036" i="24"/>
  <c r="F1036" i="24"/>
  <c r="E1036" i="24"/>
  <c r="R1035" i="24"/>
  <c r="Q1035" i="24"/>
  <c r="P1035" i="24"/>
  <c r="O1035" i="24"/>
  <c r="N1035" i="24"/>
  <c r="M1035" i="24"/>
  <c r="L1035" i="24"/>
  <c r="K1035" i="24"/>
  <c r="J1035" i="24"/>
  <c r="I1035" i="24"/>
  <c r="H1035" i="24"/>
  <c r="F1035" i="24"/>
  <c r="E1035" i="24"/>
  <c r="R1034" i="24"/>
  <c r="Q1034" i="24"/>
  <c r="P1034" i="24"/>
  <c r="O1034" i="24"/>
  <c r="N1034" i="24"/>
  <c r="M1034" i="24"/>
  <c r="L1034" i="24"/>
  <c r="K1034" i="24"/>
  <c r="J1034" i="24"/>
  <c r="I1034" i="24"/>
  <c r="H1034" i="24"/>
  <c r="F1034" i="24"/>
  <c r="E1034" i="24"/>
  <c r="R1033" i="24"/>
  <c r="Q1033" i="24"/>
  <c r="P1033" i="24"/>
  <c r="O1033" i="24"/>
  <c r="N1033" i="24"/>
  <c r="M1033" i="24"/>
  <c r="L1033" i="24"/>
  <c r="K1033" i="24"/>
  <c r="J1033" i="24"/>
  <c r="I1033" i="24"/>
  <c r="H1033" i="24"/>
  <c r="F1033" i="24"/>
  <c r="E1033" i="24"/>
  <c r="R1032" i="24"/>
  <c r="Q1032" i="24"/>
  <c r="P1032" i="24"/>
  <c r="O1032" i="24"/>
  <c r="N1032" i="24"/>
  <c r="M1032" i="24"/>
  <c r="L1032" i="24"/>
  <c r="K1032" i="24"/>
  <c r="J1032" i="24"/>
  <c r="I1032" i="24"/>
  <c r="H1032" i="24"/>
  <c r="F1032" i="24"/>
  <c r="E1032" i="24"/>
  <c r="R1031" i="24"/>
  <c r="Q1031" i="24"/>
  <c r="P1031" i="24"/>
  <c r="O1031" i="24"/>
  <c r="N1031" i="24"/>
  <c r="M1031" i="24"/>
  <c r="L1031" i="24"/>
  <c r="K1031" i="24"/>
  <c r="J1031" i="24"/>
  <c r="I1031" i="24"/>
  <c r="H1031" i="24"/>
  <c r="F1031" i="24"/>
  <c r="E1031" i="24"/>
  <c r="R1030" i="24"/>
  <c r="Q1030" i="24"/>
  <c r="P1030" i="24"/>
  <c r="O1030" i="24"/>
  <c r="N1030" i="24"/>
  <c r="M1030" i="24"/>
  <c r="L1030" i="24"/>
  <c r="K1030" i="24"/>
  <c r="J1030" i="24"/>
  <c r="I1030" i="24"/>
  <c r="H1030" i="24"/>
  <c r="F1030" i="24"/>
  <c r="E1030" i="24"/>
  <c r="R1029" i="24"/>
  <c r="Q1029" i="24"/>
  <c r="P1029" i="24"/>
  <c r="O1029" i="24"/>
  <c r="N1029" i="24"/>
  <c r="M1029" i="24"/>
  <c r="L1029" i="24"/>
  <c r="K1029" i="24"/>
  <c r="J1029" i="24"/>
  <c r="I1029" i="24"/>
  <c r="H1029" i="24"/>
  <c r="F1029" i="24"/>
  <c r="E1029" i="24"/>
  <c r="R1028" i="24"/>
  <c r="Q1028" i="24"/>
  <c r="P1028" i="24"/>
  <c r="O1028" i="24"/>
  <c r="N1028" i="24"/>
  <c r="M1028" i="24"/>
  <c r="L1028" i="24"/>
  <c r="K1028" i="24"/>
  <c r="J1028" i="24"/>
  <c r="I1028" i="24"/>
  <c r="H1028" i="24"/>
  <c r="F1028" i="24"/>
  <c r="E1028" i="24"/>
  <c r="R1027" i="24"/>
  <c r="Q1027" i="24"/>
  <c r="P1027" i="24"/>
  <c r="O1027" i="24"/>
  <c r="N1027" i="24"/>
  <c r="M1027" i="24"/>
  <c r="L1027" i="24"/>
  <c r="K1027" i="24"/>
  <c r="J1027" i="24"/>
  <c r="I1027" i="24"/>
  <c r="H1027" i="24"/>
  <c r="F1027" i="24"/>
  <c r="E1027" i="24"/>
  <c r="R1026" i="24"/>
  <c r="Q1026" i="24"/>
  <c r="P1026" i="24"/>
  <c r="O1026" i="24"/>
  <c r="N1026" i="24"/>
  <c r="M1026" i="24"/>
  <c r="L1026" i="24"/>
  <c r="K1026" i="24"/>
  <c r="J1026" i="24"/>
  <c r="I1026" i="24"/>
  <c r="H1026" i="24"/>
  <c r="F1026" i="24"/>
  <c r="E1026" i="24"/>
  <c r="R1025" i="24"/>
  <c r="Q1025" i="24"/>
  <c r="P1025" i="24"/>
  <c r="O1025" i="24"/>
  <c r="N1025" i="24"/>
  <c r="M1025" i="24"/>
  <c r="L1025" i="24"/>
  <c r="K1025" i="24"/>
  <c r="J1025" i="24"/>
  <c r="I1025" i="24"/>
  <c r="H1025" i="24"/>
  <c r="F1025" i="24"/>
  <c r="E1025" i="24"/>
  <c r="R1024" i="24"/>
  <c r="Q1024" i="24"/>
  <c r="P1024" i="24"/>
  <c r="O1024" i="24"/>
  <c r="N1024" i="24"/>
  <c r="M1024" i="24"/>
  <c r="L1024" i="24"/>
  <c r="K1024" i="24"/>
  <c r="J1024" i="24"/>
  <c r="I1024" i="24"/>
  <c r="H1024" i="24"/>
  <c r="F1024" i="24"/>
  <c r="E1024" i="24"/>
  <c r="R1023" i="24"/>
  <c r="Q1023" i="24"/>
  <c r="P1023" i="24"/>
  <c r="O1023" i="24"/>
  <c r="N1023" i="24"/>
  <c r="M1023" i="24"/>
  <c r="L1023" i="24"/>
  <c r="K1023" i="24"/>
  <c r="J1023" i="24"/>
  <c r="I1023" i="24"/>
  <c r="H1023" i="24"/>
  <c r="F1023" i="24"/>
  <c r="E1023" i="24"/>
  <c r="R1022" i="24"/>
  <c r="Q1022" i="24"/>
  <c r="P1022" i="24"/>
  <c r="O1022" i="24"/>
  <c r="N1022" i="24"/>
  <c r="M1022" i="24"/>
  <c r="L1022" i="24"/>
  <c r="K1022" i="24"/>
  <c r="J1022" i="24"/>
  <c r="I1022" i="24"/>
  <c r="H1022" i="24"/>
  <c r="F1022" i="24"/>
  <c r="E1022" i="24"/>
  <c r="R1021" i="24"/>
  <c r="Q1021" i="24"/>
  <c r="P1021" i="24"/>
  <c r="O1021" i="24"/>
  <c r="N1021" i="24"/>
  <c r="M1021" i="24"/>
  <c r="L1021" i="24"/>
  <c r="K1021" i="24"/>
  <c r="J1021" i="24"/>
  <c r="I1021" i="24"/>
  <c r="H1021" i="24"/>
  <c r="F1021" i="24"/>
  <c r="E1021" i="24"/>
  <c r="R1020" i="24"/>
  <c r="Q1020" i="24"/>
  <c r="P1020" i="24"/>
  <c r="O1020" i="24"/>
  <c r="N1020" i="24"/>
  <c r="M1020" i="24"/>
  <c r="L1020" i="24"/>
  <c r="K1020" i="24"/>
  <c r="J1020" i="24"/>
  <c r="I1020" i="24"/>
  <c r="H1020" i="24"/>
  <c r="F1020" i="24"/>
  <c r="E1020" i="24"/>
  <c r="R1019" i="24"/>
  <c r="Q1019" i="24"/>
  <c r="P1019" i="24"/>
  <c r="O1019" i="24"/>
  <c r="N1019" i="24"/>
  <c r="M1019" i="24"/>
  <c r="L1019" i="24"/>
  <c r="K1019" i="24"/>
  <c r="J1019" i="24"/>
  <c r="I1019" i="24"/>
  <c r="H1019" i="24"/>
  <c r="F1019" i="24"/>
  <c r="E1019" i="24"/>
  <c r="R1018" i="24"/>
  <c r="Q1018" i="24"/>
  <c r="P1018" i="24"/>
  <c r="O1018" i="24"/>
  <c r="N1018" i="24"/>
  <c r="M1018" i="24"/>
  <c r="L1018" i="24"/>
  <c r="K1018" i="24"/>
  <c r="J1018" i="24"/>
  <c r="I1018" i="24"/>
  <c r="H1018" i="24"/>
  <c r="F1018" i="24"/>
  <c r="E1018" i="24"/>
  <c r="R1017" i="24"/>
  <c r="Q1017" i="24"/>
  <c r="P1017" i="24"/>
  <c r="O1017" i="24"/>
  <c r="N1017" i="24"/>
  <c r="M1017" i="24"/>
  <c r="L1017" i="24"/>
  <c r="K1017" i="24"/>
  <c r="J1017" i="24"/>
  <c r="I1017" i="24"/>
  <c r="H1017" i="24"/>
  <c r="F1017" i="24"/>
  <c r="E1017" i="24"/>
  <c r="R1016" i="24"/>
  <c r="Q1016" i="24"/>
  <c r="P1016" i="24"/>
  <c r="O1016" i="24"/>
  <c r="N1016" i="24"/>
  <c r="M1016" i="24"/>
  <c r="L1016" i="24"/>
  <c r="K1016" i="24"/>
  <c r="J1016" i="24"/>
  <c r="I1016" i="24"/>
  <c r="H1016" i="24"/>
  <c r="F1016" i="24"/>
  <c r="E1016" i="24"/>
  <c r="R1015" i="24"/>
  <c r="Q1015" i="24"/>
  <c r="P1015" i="24"/>
  <c r="O1015" i="24"/>
  <c r="N1015" i="24"/>
  <c r="M1015" i="24"/>
  <c r="L1015" i="24"/>
  <c r="K1015" i="24"/>
  <c r="J1015" i="24"/>
  <c r="I1015" i="24"/>
  <c r="H1015" i="24"/>
  <c r="F1015" i="24"/>
  <c r="E1015" i="24"/>
  <c r="R1014" i="24"/>
  <c r="Q1014" i="24"/>
  <c r="P1014" i="24"/>
  <c r="O1014" i="24"/>
  <c r="N1014" i="24"/>
  <c r="M1014" i="24"/>
  <c r="L1014" i="24"/>
  <c r="K1014" i="24"/>
  <c r="J1014" i="24"/>
  <c r="I1014" i="24"/>
  <c r="H1014" i="24"/>
  <c r="F1014" i="24"/>
  <c r="E1014" i="24"/>
  <c r="R1013" i="24"/>
  <c r="Q1013" i="24"/>
  <c r="P1013" i="24"/>
  <c r="O1013" i="24"/>
  <c r="N1013" i="24"/>
  <c r="M1013" i="24"/>
  <c r="L1013" i="24"/>
  <c r="K1013" i="24"/>
  <c r="J1013" i="24"/>
  <c r="I1013" i="24"/>
  <c r="H1013" i="24"/>
  <c r="F1013" i="24"/>
  <c r="E1013" i="24"/>
  <c r="R1012" i="24"/>
  <c r="Q1012" i="24"/>
  <c r="P1012" i="24"/>
  <c r="O1012" i="24"/>
  <c r="N1012" i="24"/>
  <c r="M1012" i="24"/>
  <c r="L1012" i="24"/>
  <c r="K1012" i="24"/>
  <c r="J1012" i="24"/>
  <c r="I1012" i="24"/>
  <c r="H1012" i="24"/>
  <c r="F1012" i="24"/>
  <c r="E1012" i="24"/>
  <c r="R1011" i="24"/>
  <c r="Q1011" i="24"/>
  <c r="P1011" i="24"/>
  <c r="O1011" i="24"/>
  <c r="N1011" i="24"/>
  <c r="M1011" i="24"/>
  <c r="L1011" i="24"/>
  <c r="K1011" i="24"/>
  <c r="J1011" i="24"/>
  <c r="I1011" i="24"/>
  <c r="H1011" i="24"/>
  <c r="F1011" i="24"/>
  <c r="E1011" i="24"/>
  <c r="R1010" i="24"/>
  <c r="Q1010" i="24"/>
  <c r="P1010" i="24"/>
  <c r="O1010" i="24"/>
  <c r="N1010" i="24"/>
  <c r="M1010" i="24"/>
  <c r="L1010" i="24"/>
  <c r="K1010" i="24"/>
  <c r="J1010" i="24"/>
  <c r="I1010" i="24"/>
  <c r="H1010" i="24"/>
  <c r="F1010" i="24"/>
  <c r="E1010" i="24"/>
  <c r="R1009" i="24"/>
  <c r="Q1009" i="24"/>
  <c r="P1009" i="24"/>
  <c r="O1009" i="24"/>
  <c r="N1009" i="24"/>
  <c r="M1009" i="24"/>
  <c r="L1009" i="24"/>
  <c r="K1009" i="24"/>
  <c r="J1009" i="24"/>
  <c r="I1009" i="24"/>
  <c r="H1009" i="24"/>
  <c r="F1009" i="24"/>
  <c r="E1009" i="24"/>
  <c r="R1008" i="24"/>
  <c r="Q1008" i="24"/>
  <c r="P1008" i="24"/>
  <c r="O1008" i="24"/>
  <c r="N1008" i="24"/>
  <c r="M1008" i="24"/>
  <c r="L1008" i="24"/>
  <c r="K1008" i="24"/>
  <c r="J1008" i="24"/>
  <c r="I1008" i="24"/>
  <c r="H1008" i="24"/>
  <c r="F1008" i="24"/>
  <c r="E1008" i="24"/>
  <c r="R1007" i="24"/>
  <c r="Q1007" i="24"/>
  <c r="P1007" i="24"/>
  <c r="O1007" i="24"/>
  <c r="N1007" i="24"/>
  <c r="M1007" i="24"/>
  <c r="L1007" i="24"/>
  <c r="K1007" i="24"/>
  <c r="J1007" i="24"/>
  <c r="I1007" i="24"/>
  <c r="H1007" i="24"/>
  <c r="F1007" i="24"/>
  <c r="E1007" i="24"/>
  <c r="R1006" i="24"/>
  <c r="Q1006" i="24"/>
  <c r="P1006" i="24"/>
  <c r="O1006" i="24"/>
  <c r="N1006" i="24"/>
  <c r="M1006" i="24"/>
  <c r="L1006" i="24"/>
  <c r="K1006" i="24"/>
  <c r="J1006" i="24"/>
  <c r="I1006" i="24"/>
  <c r="H1006" i="24"/>
  <c r="F1006" i="24"/>
  <c r="E1006" i="24"/>
  <c r="R1005" i="24"/>
  <c r="Q1005" i="24"/>
  <c r="P1005" i="24"/>
  <c r="O1005" i="24"/>
  <c r="N1005" i="24"/>
  <c r="M1005" i="24"/>
  <c r="L1005" i="24"/>
  <c r="K1005" i="24"/>
  <c r="J1005" i="24"/>
  <c r="I1005" i="24"/>
  <c r="H1005" i="24"/>
  <c r="F1005" i="24"/>
  <c r="E1005" i="24"/>
  <c r="R1004" i="24"/>
  <c r="Q1004" i="24"/>
  <c r="P1004" i="24"/>
  <c r="O1004" i="24"/>
  <c r="N1004" i="24"/>
  <c r="M1004" i="24"/>
  <c r="L1004" i="24"/>
  <c r="K1004" i="24"/>
  <c r="J1004" i="24"/>
  <c r="I1004" i="24"/>
  <c r="H1004" i="24"/>
  <c r="F1004" i="24"/>
  <c r="E1004" i="24"/>
  <c r="R1003" i="24"/>
  <c r="Q1003" i="24"/>
  <c r="P1003" i="24"/>
  <c r="O1003" i="24"/>
  <c r="N1003" i="24"/>
  <c r="M1003" i="24"/>
  <c r="L1003" i="24"/>
  <c r="K1003" i="24"/>
  <c r="J1003" i="24"/>
  <c r="I1003" i="24"/>
  <c r="H1003" i="24"/>
  <c r="F1003" i="24"/>
  <c r="E1003" i="24"/>
  <c r="R1002" i="24"/>
  <c r="Q1002" i="24"/>
  <c r="P1002" i="24"/>
  <c r="O1002" i="24"/>
  <c r="N1002" i="24"/>
  <c r="M1002" i="24"/>
  <c r="L1002" i="24"/>
  <c r="K1002" i="24"/>
  <c r="J1002" i="24"/>
  <c r="I1002" i="24"/>
  <c r="H1002" i="24"/>
  <c r="F1002" i="24"/>
  <c r="E1002" i="24"/>
  <c r="R1001" i="24"/>
  <c r="Q1001" i="24"/>
  <c r="P1001" i="24"/>
  <c r="O1001" i="24"/>
  <c r="N1001" i="24"/>
  <c r="M1001" i="24"/>
  <c r="L1001" i="24"/>
  <c r="K1001" i="24"/>
  <c r="J1001" i="24"/>
  <c r="I1001" i="24"/>
  <c r="H1001" i="24"/>
  <c r="F1001" i="24"/>
  <c r="E1001" i="24"/>
  <c r="R1000" i="24"/>
  <c r="Q1000" i="24"/>
  <c r="P1000" i="24"/>
  <c r="O1000" i="24"/>
  <c r="N1000" i="24"/>
  <c r="M1000" i="24"/>
  <c r="L1000" i="24"/>
  <c r="K1000" i="24"/>
  <c r="J1000" i="24"/>
  <c r="I1000" i="24"/>
  <c r="H1000" i="24"/>
  <c r="F1000" i="24"/>
  <c r="E1000" i="24"/>
  <c r="R999" i="24"/>
  <c r="Q999" i="24"/>
  <c r="P999" i="24"/>
  <c r="O999" i="24"/>
  <c r="N999" i="24"/>
  <c r="M999" i="24"/>
  <c r="L999" i="24"/>
  <c r="K999" i="24"/>
  <c r="J999" i="24"/>
  <c r="I999" i="24"/>
  <c r="H999" i="24"/>
  <c r="F999" i="24"/>
  <c r="E999" i="24"/>
  <c r="R998" i="24"/>
  <c r="Q998" i="24"/>
  <c r="P998" i="24"/>
  <c r="O998" i="24"/>
  <c r="N998" i="24"/>
  <c r="M998" i="24"/>
  <c r="L998" i="24"/>
  <c r="K998" i="24"/>
  <c r="J998" i="24"/>
  <c r="I998" i="24"/>
  <c r="H998" i="24"/>
  <c r="F998" i="24"/>
  <c r="E998" i="24"/>
  <c r="R997" i="24"/>
  <c r="Q997" i="24"/>
  <c r="P997" i="24"/>
  <c r="O997" i="24"/>
  <c r="M997" i="24"/>
  <c r="L997" i="24"/>
  <c r="K997" i="24"/>
  <c r="J997" i="24"/>
  <c r="I997" i="24"/>
  <c r="H997" i="24"/>
  <c r="F997" i="24"/>
  <c r="E997" i="24"/>
  <c r="R996" i="24"/>
  <c r="Q996" i="24"/>
  <c r="P996" i="24"/>
  <c r="O996" i="24"/>
  <c r="M996" i="24"/>
  <c r="L996" i="24"/>
  <c r="K996" i="24"/>
  <c r="J996" i="24"/>
  <c r="I996" i="24"/>
  <c r="H996" i="24"/>
  <c r="F996" i="24"/>
  <c r="E996" i="24"/>
  <c r="R995" i="24"/>
  <c r="Q995" i="24"/>
  <c r="P995" i="24"/>
  <c r="O995" i="24"/>
  <c r="M995" i="24"/>
  <c r="L995" i="24"/>
  <c r="K995" i="24"/>
  <c r="J995" i="24"/>
  <c r="I995" i="24"/>
  <c r="H995" i="24"/>
  <c r="F995" i="24"/>
  <c r="E995" i="24"/>
  <c r="R994" i="24"/>
  <c r="Q994" i="24"/>
  <c r="P994" i="24"/>
  <c r="O994" i="24"/>
  <c r="M994" i="24"/>
  <c r="L994" i="24"/>
  <c r="K994" i="24"/>
  <c r="J994" i="24"/>
  <c r="I994" i="24"/>
  <c r="H994" i="24"/>
  <c r="F994" i="24"/>
  <c r="E994" i="24"/>
  <c r="R993" i="24"/>
  <c r="Q993" i="24"/>
  <c r="P993" i="24"/>
  <c r="O993" i="24"/>
  <c r="M993" i="24"/>
  <c r="L993" i="24"/>
  <c r="K993" i="24"/>
  <c r="J993" i="24"/>
  <c r="I993" i="24"/>
  <c r="H993" i="24"/>
  <c r="F993" i="24"/>
  <c r="E993" i="24"/>
  <c r="R992" i="24"/>
  <c r="Q992" i="24"/>
  <c r="P992" i="24"/>
  <c r="O992" i="24"/>
  <c r="M992" i="24"/>
  <c r="L992" i="24"/>
  <c r="K992" i="24"/>
  <c r="J992" i="24"/>
  <c r="I992" i="24"/>
  <c r="H992" i="24"/>
  <c r="F992" i="24"/>
  <c r="E992" i="24"/>
  <c r="R991" i="24"/>
  <c r="Q991" i="24"/>
  <c r="P991" i="24"/>
  <c r="O991" i="24"/>
  <c r="M991" i="24"/>
  <c r="L991" i="24"/>
  <c r="K991" i="24"/>
  <c r="J991" i="24"/>
  <c r="I991" i="24"/>
  <c r="H991" i="24"/>
  <c r="F991" i="24"/>
  <c r="E991" i="24"/>
  <c r="R990" i="24"/>
  <c r="Q990" i="24"/>
  <c r="P990" i="24"/>
  <c r="O990" i="24"/>
  <c r="M990" i="24"/>
  <c r="L990" i="24"/>
  <c r="K990" i="24"/>
  <c r="J990" i="24"/>
  <c r="I990" i="24"/>
  <c r="H990" i="24"/>
  <c r="F990" i="24"/>
  <c r="E990" i="24"/>
  <c r="R989" i="24"/>
  <c r="Q989" i="24"/>
  <c r="P989" i="24"/>
  <c r="O989" i="24"/>
  <c r="M989" i="24"/>
  <c r="L989" i="24"/>
  <c r="K989" i="24"/>
  <c r="J989" i="24"/>
  <c r="I989" i="24"/>
  <c r="H989" i="24"/>
  <c r="F989" i="24"/>
  <c r="E989" i="24"/>
  <c r="R988" i="24"/>
  <c r="Q988" i="24"/>
  <c r="P988" i="24"/>
  <c r="O988" i="24"/>
  <c r="M988" i="24"/>
  <c r="L988" i="24"/>
  <c r="K988" i="24"/>
  <c r="J988" i="24"/>
  <c r="I988" i="24"/>
  <c r="H988" i="24"/>
  <c r="F988" i="24"/>
  <c r="E988" i="24"/>
  <c r="R987" i="24"/>
  <c r="Q987" i="24"/>
  <c r="P987" i="24"/>
  <c r="O987" i="24"/>
  <c r="M987" i="24"/>
  <c r="L987" i="24"/>
  <c r="K987" i="24"/>
  <c r="J987" i="24"/>
  <c r="I987" i="24"/>
  <c r="H987" i="24"/>
  <c r="F987" i="24"/>
  <c r="E987" i="24"/>
  <c r="R986" i="24"/>
  <c r="Q986" i="24"/>
  <c r="P986" i="24"/>
  <c r="O986" i="24"/>
  <c r="M986" i="24"/>
  <c r="L986" i="24"/>
  <c r="K986" i="24"/>
  <c r="J986" i="24"/>
  <c r="I986" i="24"/>
  <c r="H986" i="24"/>
  <c r="F986" i="24"/>
  <c r="E986" i="24"/>
  <c r="R985" i="24"/>
  <c r="Q985" i="24"/>
  <c r="P985" i="24"/>
  <c r="O985" i="24"/>
  <c r="M985" i="24"/>
  <c r="L985" i="24"/>
  <c r="K985" i="24"/>
  <c r="J985" i="24"/>
  <c r="I985" i="24"/>
  <c r="H985" i="24"/>
  <c r="F985" i="24"/>
  <c r="E985" i="24"/>
  <c r="R984" i="24"/>
  <c r="Q984" i="24"/>
  <c r="P984" i="24"/>
  <c r="O984" i="24"/>
  <c r="M984" i="24"/>
  <c r="L984" i="24"/>
  <c r="K984" i="24"/>
  <c r="J984" i="24"/>
  <c r="I984" i="24"/>
  <c r="H984" i="24"/>
  <c r="F984" i="24"/>
  <c r="E984" i="24"/>
  <c r="R983" i="24"/>
  <c r="Q983" i="24"/>
  <c r="P983" i="24"/>
  <c r="O983" i="24"/>
  <c r="M983" i="24"/>
  <c r="L983" i="24"/>
  <c r="K983" i="24"/>
  <c r="J983" i="24"/>
  <c r="I983" i="24"/>
  <c r="H983" i="24"/>
  <c r="F983" i="24"/>
  <c r="E983" i="24"/>
  <c r="R982" i="24"/>
  <c r="Q982" i="24"/>
  <c r="P982" i="24"/>
  <c r="O982" i="24"/>
  <c r="M982" i="24"/>
  <c r="L982" i="24"/>
  <c r="K982" i="24"/>
  <c r="J982" i="24"/>
  <c r="I982" i="24"/>
  <c r="H982" i="24"/>
  <c r="F982" i="24"/>
  <c r="E982" i="24"/>
  <c r="R981" i="24"/>
  <c r="Q981" i="24"/>
  <c r="P981" i="24"/>
  <c r="O981" i="24"/>
  <c r="M981" i="24"/>
  <c r="L981" i="24"/>
  <c r="K981" i="24"/>
  <c r="J981" i="24"/>
  <c r="I981" i="24"/>
  <c r="H981" i="24"/>
  <c r="F981" i="24"/>
  <c r="E981" i="24"/>
  <c r="R980" i="24"/>
  <c r="Q980" i="24"/>
  <c r="P980" i="24"/>
  <c r="O980" i="24"/>
  <c r="M980" i="24"/>
  <c r="L980" i="24"/>
  <c r="K980" i="24"/>
  <c r="J980" i="24"/>
  <c r="I980" i="24"/>
  <c r="H980" i="24"/>
  <c r="F980" i="24"/>
  <c r="E980" i="24"/>
  <c r="R979" i="24"/>
  <c r="Q979" i="24"/>
  <c r="P979" i="24"/>
  <c r="O979" i="24"/>
  <c r="M979" i="24"/>
  <c r="L979" i="24"/>
  <c r="K979" i="24"/>
  <c r="J979" i="24"/>
  <c r="I979" i="24"/>
  <c r="H979" i="24"/>
  <c r="F979" i="24"/>
  <c r="E979" i="24"/>
  <c r="R978" i="24"/>
  <c r="Q978" i="24"/>
  <c r="P978" i="24"/>
  <c r="O978" i="24"/>
  <c r="M978" i="24"/>
  <c r="L978" i="24"/>
  <c r="K978" i="24"/>
  <c r="J978" i="24"/>
  <c r="I978" i="24"/>
  <c r="H978" i="24"/>
  <c r="F978" i="24"/>
  <c r="E978" i="24"/>
  <c r="R977" i="24"/>
  <c r="Q977" i="24"/>
  <c r="P977" i="24"/>
  <c r="O977" i="24"/>
  <c r="M977" i="24"/>
  <c r="L977" i="24"/>
  <c r="K977" i="24"/>
  <c r="J977" i="24"/>
  <c r="I977" i="24"/>
  <c r="H977" i="24"/>
  <c r="F977" i="24"/>
  <c r="E977" i="24"/>
  <c r="R976" i="24"/>
  <c r="Q976" i="24"/>
  <c r="P976" i="24"/>
  <c r="O976" i="24"/>
  <c r="M976" i="24"/>
  <c r="L976" i="24"/>
  <c r="K976" i="24"/>
  <c r="J976" i="24"/>
  <c r="I976" i="24"/>
  <c r="H976" i="24"/>
  <c r="F976" i="24"/>
  <c r="E976" i="24"/>
  <c r="R975" i="24"/>
  <c r="Q975" i="24"/>
  <c r="P975" i="24"/>
  <c r="O975" i="24"/>
  <c r="M975" i="24"/>
  <c r="L975" i="24"/>
  <c r="K975" i="24"/>
  <c r="J975" i="24"/>
  <c r="I975" i="24"/>
  <c r="H975" i="24"/>
  <c r="F975" i="24"/>
  <c r="E975" i="24"/>
  <c r="R974" i="24"/>
  <c r="Q974" i="24"/>
  <c r="P974" i="24"/>
  <c r="O974" i="24"/>
  <c r="M974" i="24"/>
  <c r="L974" i="24"/>
  <c r="K974" i="24"/>
  <c r="J974" i="24"/>
  <c r="I974" i="24"/>
  <c r="H974" i="24"/>
  <c r="F974" i="24"/>
  <c r="E974" i="24"/>
  <c r="R973" i="24"/>
  <c r="Q973" i="24"/>
  <c r="P973" i="24"/>
  <c r="O973" i="24"/>
  <c r="M973" i="24"/>
  <c r="L973" i="24"/>
  <c r="K973" i="24"/>
  <c r="J973" i="24"/>
  <c r="I973" i="24"/>
  <c r="H973" i="24"/>
  <c r="F973" i="24"/>
  <c r="E973" i="24"/>
  <c r="R972" i="24"/>
  <c r="Q972" i="24"/>
  <c r="P972" i="24"/>
  <c r="O972" i="24"/>
  <c r="M972" i="24"/>
  <c r="L972" i="24"/>
  <c r="K972" i="24"/>
  <c r="J972" i="24"/>
  <c r="I972" i="24"/>
  <c r="H972" i="24"/>
  <c r="F972" i="24"/>
  <c r="E972" i="24"/>
  <c r="R971" i="24"/>
  <c r="Q971" i="24"/>
  <c r="P971" i="24"/>
  <c r="O971" i="24"/>
  <c r="M971" i="24"/>
  <c r="L971" i="24"/>
  <c r="K971" i="24"/>
  <c r="J971" i="24"/>
  <c r="I971" i="24"/>
  <c r="H971" i="24"/>
  <c r="F971" i="24"/>
  <c r="E971" i="24"/>
  <c r="R970" i="24"/>
  <c r="Q970" i="24"/>
  <c r="P970" i="24"/>
  <c r="O970" i="24"/>
  <c r="M970" i="24"/>
  <c r="L970" i="24"/>
  <c r="K970" i="24"/>
  <c r="J970" i="24"/>
  <c r="I970" i="24"/>
  <c r="H970" i="24"/>
  <c r="F970" i="24"/>
  <c r="E970" i="24"/>
  <c r="R969" i="24"/>
  <c r="Q969" i="24"/>
  <c r="P969" i="24"/>
  <c r="O969" i="24"/>
  <c r="M969" i="24"/>
  <c r="L969" i="24"/>
  <c r="K969" i="24"/>
  <c r="J969" i="24"/>
  <c r="I969" i="24"/>
  <c r="H969" i="24"/>
  <c r="F969" i="24"/>
  <c r="E969" i="24"/>
  <c r="R968" i="24"/>
  <c r="Q968" i="24"/>
  <c r="P968" i="24"/>
  <c r="O968" i="24"/>
  <c r="M968" i="24"/>
  <c r="L968" i="24"/>
  <c r="K968" i="24"/>
  <c r="J968" i="24"/>
  <c r="I968" i="24"/>
  <c r="H968" i="24"/>
  <c r="F968" i="24"/>
  <c r="E968" i="24"/>
  <c r="R967" i="24"/>
  <c r="Q967" i="24"/>
  <c r="P967" i="24"/>
  <c r="O967" i="24"/>
  <c r="M967" i="24"/>
  <c r="L967" i="24"/>
  <c r="K967" i="24"/>
  <c r="J967" i="24"/>
  <c r="I967" i="24"/>
  <c r="H967" i="24"/>
  <c r="F967" i="24"/>
  <c r="E967" i="24"/>
  <c r="R966" i="24"/>
  <c r="Q966" i="24"/>
  <c r="P966" i="24"/>
  <c r="O966" i="24"/>
  <c r="M966" i="24"/>
  <c r="L966" i="24"/>
  <c r="K966" i="24"/>
  <c r="J966" i="24"/>
  <c r="I966" i="24"/>
  <c r="H966" i="24"/>
  <c r="F966" i="24"/>
  <c r="E966" i="24"/>
  <c r="R965" i="24"/>
  <c r="Q965" i="24"/>
  <c r="P965" i="24"/>
  <c r="O965" i="24"/>
  <c r="M965" i="24"/>
  <c r="L965" i="24"/>
  <c r="K965" i="24"/>
  <c r="J965" i="24"/>
  <c r="I965" i="24"/>
  <c r="H965" i="24"/>
  <c r="F965" i="24"/>
  <c r="E965" i="24"/>
  <c r="R964" i="24"/>
  <c r="Q964" i="24"/>
  <c r="P964" i="24"/>
  <c r="O964" i="24"/>
  <c r="M964" i="24"/>
  <c r="L964" i="24"/>
  <c r="K964" i="24"/>
  <c r="J964" i="24"/>
  <c r="I964" i="24"/>
  <c r="H964" i="24"/>
  <c r="F964" i="24"/>
  <c r="E964" i="24"/>
  <c r="R963" i="24"/>
  <c r="Q963" i="24"/>
  <c r="P963" i="24"/>
  <c r="O963" i="24"/>
  <c r="M963" i="24"/>
  <c r="L963" i="24"/>
  <c r="K963" i="24"/>
  <c r="J963" i="24"/>
  <c r="I963" i="24"/>
  <c r="H963" i="24"/>
  <c r="F963" i="24"/>
  <c r="E963" i="24"/>
  <c r="R962" i="24"/>
  <c r="Q962" i="24"/>
  <c r="P962" i="24"/>
  <c r="O962" i="24"/>
  <c r="M962" i="24"/>
  <c r="L962" i="24"/>
  <c r="K962" i="24"/>
  <c r="J962" i="24"/>
  <c r="I962" i="24"/>
  <c r="H962" i="24"/>
  <c r="F962" i="24"/>
  <c r="E962" i="24"/>
  <c r="R961" i="24"/>
  <c r="Q961" i="24"/>
  <c r="P961" i="24"/>
  <c r="O961" i="24"/>
  <c r="M961" i="24"/>
  <c r="L961" i="24"/>
  <c r="K961" i="24"/>
  <c r="J961" i="24"/>
  <c r="I961" i="24"/>
  <c r="H961" i="24"/>
  <c r="F961" i="24"/>
  <c r="E961" i="24"/>
  <c r="R960" i="24"/>
  <c r="Q960" i="24"/>
  <c r="P960" i="24"/>
  <c r="O960" i="24"/>
  <c r="M960" i="24"/>
  <c r="L960" i="24"/>
  <c r="K960" i="24"/>
  <c r="J960" i="24"/>
  <c r="I960" i="24"/>
  <c r="H960" i="24"/>
  <c r="F960" i="24"/>
  <c r="E960" i="24"/>
  <c r="R959" i="24"/>
  <c r="Q959" i="24"/>
  <c r="P959" i="24"/>
  <c r="O959" i="24"/>
  <c r="M959" i="24"/>
  <c r="L959" i="24"/>
  <c r="K959" i="24"/>
  <c r="J959" i="24"/>
  <c r="I959" i="24"/>
  <c r="H959" i="24"/>
  <c r="F959" i="24"/>
  <c r="E959" i="24"/>
  <c r="R958" i="24"/>
  <c r="Q958" i="24"/>
  <c r="P958" i="24"/>
  <c r="O958" i="24"/>
  <c r="M958" i="24"/>
  <c r="L958" i="24"/>
  <c r="K958" i="24"/>
  <c r="J958" i="24"/>
  <c r="I958" i="24"/>
  <c r="H958" i="24"/>
  <c r="F958" i="24"/>
  <c r="E958" i="24"/>
  <c r="R957" i="24"/>
  <c r="Q957" i="24"/>
  <c r="P957" i="24"/>
  <c r="O957" i="24"/>
  <c r="M957" i="24"/>
  <c r="L957" i="24"/>
  <c r="K957" i="24"/>
  <c r="J957" i="24"/>
  <c r="I957" i="24"/>
  <c r="H957" i="24"/>
  <c r="F957" i="24"/>
  <c r="E957" i="24"/>
  <c r="R956" i="24"/>
  <c r="Q956" i="24"/>
  <c r="P956" i="24"/>
  <c r="O956" i="24"/>
  <c r="M956" i="24"/>
  <c r="L956" i="24"/>
  <c r="K956" i="24"/>
  <c r="J956" i="24"/>
  <c r="I956" i="24"/>
  <c r="H956" i="24"/>
  <c r="F956" i="24"/>
  <c r="E956" i="24"/>
  <c r="R955" i="24"/>
  <c r="Q955" i="24"/>
  <c r="P955" i="24"/>
  <c r="O955" i="24"/>
  <c r="M955" i="24"/>
  <c r="L955" i="24"/>
  <c r="K955" i="24"/>
  <c r="J955" i="24"/>
  <c r="I955" i="24"/>
  <c r="H955" i="24"/>
  <c r="F955" i="24"/>
  <c r="E955" i="24"/>
  <c r="R954" i="24"/>
  <c r="Q954" i="24"/>
  <c r="P954" i="24"/>
  <c r="O954" i="24"/>
  <c r="M954" i="24"/>
  <c r="L954" i="24"/>
  <c r="K954" i="24"/>
  <c r="J954" i="24"/>
  <c r="I954" i="24"/>
  <c r="H954" i="24"/>
  <c r="F954" i="24"/>
  <c r="E954" i="24"/>
  <c r="R953" i="24"/>
  <c r="Q953" i="24"/>
  <c r="P953" i="24"/>
  <c r="O953" i="24"/>
  <c r="M953" i="24"/>
  <c r="L953" i="24"/>
  <c r="K953" i="24"/>
  <c r="J953" i="24"/>
  <c r="I953" i="24"/>
  <c r="H953" i="24"/>
  <c r="F953" i="24"/>
  <c r="E953" i="24"/>
  <c r="R952" i="24"/>
  <c r="Q952" i="24"/>
  <c r="P952" i="24"/>
  <c r="O952" i="24"/>
  <c r="M952" i="24"/>
  <c r="L952" i="24"/>
  <c r="K952" i="24"/>
  <c r="J952" i="24"/>
  <c r="I952" i="24"/>
  <c r="H952" i="24"/>
  <c r="F952" i="24"/>
  <c r="E952" i="24"/>
  <c r="R951" i="24"/>
  <c r="Q951" i="24"/>
  <c r="P951" i="24"/>
  <c r="O951" i="24"/>
  <c r="M951" i="24"/>
  <c r="L951" i="24"/>
  <c r="K951" i="24"/>
  <c r="J951" i="24"/>
  <c r="I951" i="24"/>
  <c r="H951" i="24"/>
  <c r="F951" i="24"/>
  <c r="E951" i="24"/>
  <c r="R950" i="24"/>
  <c r="Q950" i="24"/>
  <c r="P950" i="24"/>
  <c r="O950" i="24"/>
  <c r="M950" i="24"/>
  <c r="L950" i="24"/>
  <c r="K950" i="24"/>
  <c r="J950" i="24"/>
  <c r="I950" i="24"/>
  <c r="H950" i="24"/>
  <c r="F950" i="24"/>
  <c r="E950" i="24"/>
  <c r="R949" i="24"/>
  <c r="Q949" i="24"/>
  <c r="P949" i="24"/>
  <c r="O949" i="24"/>
  <c r="M949" i="24"/>
  <c r="L949" i="24"/>
  <c r="K949" i="24"/>
  <c r="J949" i="24"/>
  <c r="I949" i="24"/>
  <c r="H949" i="24"/>
  <c r="F949" i="24"/>
  <c r="E949" i="24"/>
  <c r="R948" i="24"/>
  <c r="Q948" i="24"/>
  <c r="P948" i="24"/>
  <c r="O948" i="24"/>
  <c r="M948" i="24"/>
  <c r="L948" i="24"/>
  <c r="K948" i="24"/>
  <c r="J948" i="24"/>
  <c r="I948" i="24"/>
  <c r="H948" i="24"/>
  <c r="F948" i="24"/>
  <c r="E948" i="24"/>
  <c r="R947" i="24"/>
  <c r="Q947" i="24"/>
  <c r="P947" i="24"/>
  <c r="O947" i="24"/>
  <c r="M947" i="24"/>
  <c r="L947" i="24"/>
  <c r="K947" i="24"/>
  <c r="J947" i="24"/>
  <c r="I947" i="24"/>
  <c r="H947" i="24"/>
  <c r="F947" i="24"/>
  <c r="E947" i="24"/>
  <c r="R946" i="24"/>
  <c r="Q946" i="24"/>
  <c r="P946" i="24"/>
  <c r="O946" i="24"/>
  <c r="M946" i="24"/>
  <c r="L946" i="24"/>
  <c r="K946" i="24"/>
  <c r="J946" i="24"/>
  <c r="I946" i="24"/>
  <c r="H946" i="24"/>
  <c r="F946" i="24"/>
  <c r="E946" i="24"/>
  <c r="R945" i="24"/>
  <c r="Q945" i="24"/>
  <c r="P945" i="24"/>
  <c r="O945" i="24"/>
  <c r="M945" i="24"/>
  <c r="L945" i="24"/>
  <c r="K945" i="24"/>
  <c r="J945" i="24"/>
  <c r="I945" i="24"/>
  <c r="H945" i="24"/>
  <c r="F945" i="24"/>
  <c r="E945" i="24"/>
  <c r="R944" i="24"/>
  <c r="Q944" i="24"/>
  <c r="P944" i="24"/>
  <c r="O944" i="24"/>
  <c r="M944" i="24"/>
  <c r="L944" i="24"/>
  <c r="K944" i="24"/>
  <c r="J944" i="24"/>
  <c r="I944" i="24"/>
  <c r="H944" i="24"/>
  <c r="F944" i="24"/>
  <c r="E944" i="24"/>
  <c r="R943" i="24"/>
  <c r="Q943" i="24"/>
  <c r="P943" i="24"/>
  <c r="O943" i="24"/>
  <c r="M943" i="24"/>
  <c r="L943" i="24"/>
  <c r="K943" i="24"/>
  <c r="J943" i="24"/>
  <c r="I943" i="24"/>
  <c r="H943" i="24"/>
  <c r="F943" i="24"/>
  <c r="E943" i="24"/>
  <c r="R942" i="24"/>
  <c r="Q942" i="24"/>
  <c r="P942" i="24"/>
  <c r="O942" i="24"/>
  <c r="M942" i="24"/>
  <c r="L942" i="24"/>
  <c r="K942" i="24"/>
  <c r="J942" i="24"/>
  <c r="I942" i="24"/>
  <c r="H942" i="24"/>
  <c r="F942" i="24"/>
  <c r="E942" i="24"/>
  <c r="R941" i="24"/>
  <c r="Q941" i="24"/>
  <c r="P941" i="24"/>
  <c r="O941" i="24"/>
  <c r="M941" i="24"/>
  <c r="L941" i="24"/>
  <c r="K941" i="24"/>
  <c r="J941" i="24"/>
  <c r="I941" i="24"/>
  <c r="H941" i="24"/>
  <c r="F941" i="24"/>
  <c r="E941" i="24"/>
  <c r="R940" i="24"/>
  <c r="Q940" i="24"/>
  <c r="P940" i="24"/>
  <c r="O940" i="24"/>
  <c r="M940" i="24"/>
  <c r="L940" i="24"/>
  <c r="K940" i="24"/>
  <c r="J940" i="24"/>
  <c r="I940" i="24"/>
  <c r="H940" i="24"/>
  <c r="F940" i="24"/>
  <c r="E940" i="24"/>
  <c r="R939" i="24"/>
  <c r="Q939" i="24"/>
  <c r="P939" i="24"/>
  <c r="O939" i="24"/>
  <c r="M939" i="24"/>
  <c r="L939" i="24"/>
  <c r="K939" i="24"/>
  <c r="J939" i="24"/>
  <c r="I939" i="24"/>
  <c r="H939" i="24"/>
  <c r="F939" i="24"/>
  <c r="E939" i="24"/>
  <c r="R938" i="24"/>
  <c r="Q938" i="24"/>
  <c r="P938" i="24"/>
  <c r="O938" i="24"/>
  <c r="M938" i="24"/>
  <c r="L938" i="24"/>
  <c r="K938" i="24"/>
  <c r="J938" i="24"/>
  <c r="I938" i="24"/>
  <c r="H938" i="24"/>
  <c r="F938" i="24"/>
  <c r="E938" i="24"/>
  <c r="R937" i="24"/>
  <c r="Q937" i="24"/>
  <c r="P937" i="24"/>
  <c r="O937" i="24"/>
  <c r="M937" i="24"/>
  <c r="L937" i="24"/>
  <c r="K937" i="24"/>
  <c r="J937" i="24"/>
  <c r="I937" i="24"/>
  <c r="H937" i="24"/>
  <c r="F937" i="24"/>
  <c r="E937" i="24"/>
  <c r="R936" i="24"/>
  <c r="Q936" i="24"/>
  <c r="P936" i="24"/>
  <c r="O936" i="24"/>
  <c r="M936" i="24"/>
  <c r="L936" i="24"/>
  <c r="K936" i="24"/>
  <c r="J936" i="24"/>
  <c r="I936" i="24"/>
  <c r="H936" i="24"/>
  <c r="F936" i="24"/>
  <c r="E936" i="24"/>
  <c r="R935" i="24"/>
  <c r="Q935" i="24"/>
  <c r="P935" i="24"/>
  <c r="O935" i="24"/>
  <c r="M935" i="24"/>
  <c r="L935" i="24"/>
  <c r="K935" i="24"/>
  <c r="J935" i="24"/>
  <c r="I935" i="24"/>
  <c r="H935" i="24"/>
  <c r="F935" i="24"/>
  <c r="E935" i="24"/>
  <c r="R934" i="24"/>
  <c r="Q934" i="24"/>
  <c r="P934" i="24"/>
  <c r="O934" i="24"/>
  <c r="M934" i="24"/>
  <c r="L934" i="24"/>
  <c r="K934" i="24"/>
  <c r="J934" i="24"/>
  <c r="I934" i="24"/>
  <c r="H934" i="24"/>
  <c r="F934" i="24"/>
  <c r="E934" i="24"/>
  <c r="R933" i="24"/>
  <c r="Q933" i="24"/>
  <c r="P933" i="24"/>
  <c r="O933" i="24"/>
  <c r="M933" i="24"/>
  <c r="L933" i="24"/>
  <c r="K933" i="24"/>
  <c r="J933" i="24"/>
  <c r="I933" i="24"/>
  <c r="H933" i="24"/>
  <c r="F933" i="24"/>
  <c r="E933" i="24"/>
  <c r="R932" i="24"/>
  <c r="Q932" i="24"/>
  <c r="P932" i="24"/>
  <c r="O932" i="24"/>
  <c r="M932" i="24"/>
  <c r="L932" i="24"/>
  <c r="K932" i="24"/>
  <c r="J932" i="24"/>
  <c r="I932" i="24"/>
  <c r="H932" i="24"/>
  <c r="F932" i="24"/>
  <c r="E932" i="24"/>
  <c r="R931" i="24"/>
  <c r="Q931" i="24"/>
  <c r="P931" i="24"/>
  <c r="O931" i="24"/>
  <c r="M931" i="24"/>
  <c r="L931" i="24"/>
  <c r="K931" i="24"/>
  <c r="J931" i="24"/>
  <c r="I931" i="24"/>
  <c r="H931" i="24"/>
  <c r="F931" i="24"/>
  <c r="E931" i="24"/>
  <c r="R930" i="24"/>
  <c r="Q930" i="24"/>
  <c r="P930" i="24"/>
  <c r="O930" i="24"/>
  <c r="M930" i="24"/>
  <c r="L930" i="24"/>
  <c r="K930" i="24"/>
  <c r="J930" i="24"/>
  <c r="I930" i="24"/>
  <c r="H930" i="24"/>
  <c r="F930" i="24"/>
  <c r="E930" i="24"/>
  <c r="R929" i="24"/>
  <c r="Q929" i="24"/>
  <c r="P929" i="24"/>
  <c r="O929" i="24"/>
  <c r="M929" i="24"/>
  <c r="L929" i="24"/>
  <c r="K929" i="24"/>
  <c r="J929" i="24"/>
  <c r="I929" i="24"/>
  <c r="H929" i="24"/>
  <c r="F929" i="24"/>
  <c r="E929" i="24"/>
  <c r="R928" i="24"/>
  <c r="Q928" i="24"/>
  <c r="P928" i="24"/>
  <c r="O928" i="24"/>
  <c r="M928" i="24"/>
  <c r="L928" i="24"/>
  <c r="K928" i="24"/>
  <c r="J928" i="24"/>
  <c r="I928" i="24"/>
  <c r="H928" i="24"/>
  <c r="F928" i="24"/>
  <c r="E928" i="24"/>
  <c r="R927" i="24"/>
  <c r="Q927" i="24"/>
  <c r="P927" i="24"/>
  <c r="O927" i="24"/>
  <c r="M927" i="24"/>
  <c r="L927" i="24"/>
  <c r="K927" i="24"/>
  <c r="J927" i="24"/>
  <c r="I927" i="24"/>
  <c r="H927" i="24"/>
  <c r="F927" i="24"/>
  <c r="E927" i="24"/>
  <c r="R926" i="24"/>
  <c r="Q926" i="24"/>
  <c r="P926" i="24"/>
  <c r="O926" i="24"/>
  <c r="M926" i="24"/>
  <c r="L926" i="24"/>
  <c r="K926" i="24"/>
  <c r="J926" i="24"/>
  <c r="I926" i="24"/>
  <c r="H926" i="24"/>
  <c r="F926" i="24"/>
  <c r="E926" i="24"/>
  <c r="R925" i="24"/>
  <c r="Q925" i="24"/>
  <c r="P925" i="24"/>
  <c r="O925" i="24"/>
  <c r="M925" i="24"/>
  <c r="L925" i="24"/>
  <c r="K925" i="24"/>
  <c r="J925" i="24"/>
  <c r="I925" i="24"/>
  <c r="H925" i="24"/>
  <c r="F925" i="24"/>
  <c r="E925" i="24"/>
  <c r="R924" i="24"/>
  <c r="Q924" i="24"/>
  <c r="P924" i="24"/>
  <c r="O924" i="24"/>
  <c r="M924" i="24"/>
  <c r="L924" i="24"/>
  <c r="K924" i="24"/>
  <c r="J924" i="24"/>
  <c r="I924" i="24"/>
  <c r="H924" i="24"/>
  <c r="F924" i="24"/>
  <c r="E924" i="24"/>
  <c r="R923" i="24"/>
  <c r="Q923" i="24"/>
  <c r="P923" i="24"/>
  <c r="O923" i="24"/>
  <c r="M923" i="24"/>
  <c r="L923" i="24"/>
  <c r="K923" i="24"/>
  <c r="J923" i="24"/>
  <c r="I923" i="24"/>
  <c r="H923" i="24"/>
  <c r="F923" i="24"/>
  <c r="E923" i="24"/>
  <c r="R922" i="24"/>
  <c r="Q922" i="24"/>
  <c r="P922" i="24"/>
  <c r="O922" i="24"/>
  <c r="M922" i="24"/>
  <c r="L922" i="24"/>
  <c r="K922" i="24"/>
  <c r="J922" i="24"/>
  <c r="I922" i="24"/>
  <c r="H922" i="24"/>
  <c r="F922" i="24"/>
  <c r="E922" i="24"/>
  <c r="R921" i="24"/>
  <c r="Q921" i="24"/>
  <c r="P921" i="24"/>
  <c r="O921" i="24"/>
  <c r="M921" i="24"/>
  <c r="L921" i="24"/>
  <c r="K921" i="24"/>
  <c r="J921" i="24"/>
  <c r="I921" i="24"/>
  <c r="H921" i="24"/>
  <c r="F921" i="24"/>
  <c r="E921" i="24"/>
  <c r="R920" i="24"/>
  <c r="Q920" i="24"/>
  <c r="P920" i="24"/>
  <c r="O920" i="24"/>
  <c r="M920" i="24"/>
  <c r="L920" i="24"/>
  <c r="K920" i="24"/>
  <c r="J920" i="24"/>
  <c r="I920" i="24"/>
  <c r="H920" i="24"/>
  <c r="F920" i="24"/>
  <c r="E920" i="24"/>
  <c r="R919" i="24"/>
  <c r="Q919" i="24"/>
  <c r="P919" i="24"/>
  <c r="O919" i="24"/>
  <c r="M919" i="24"/>
  <c r="L919" i="24"/>
  <c r="K919" i="24"/>
  <c r="J919" i="24"/>
  <c r="I919" i="24"/>
  <c r="H919" i="24"/>
  <c r="F919" i="24"/>
  <c r="E919" i="24"/>
  <c r="R918" i="24"/>
  <c r="Q918" i="24"/>
  <c r="P918" i="24"/>
  <c r="O918" i="24"/>
  <c r="M918" i="24"/>
  <c r="L918" i="24"/>
  <c r="K918" i="24"/>
  <c r="J918" i="24"/>
  <c r="I918" i="24"/>
  <c r="H918" i="24"/>
  <c r="F918" i="24"/>
  <c r="E918" i="24"/>
  <c r="R917" i="24"/>
  <c r="Q917" i="24"/>
  <c r="P917" i="24"/>
  <c r="O917" i="24"/>
  <c r="M917" i="24"/>
  <c r="L917" i="24"/>
  <c r="K917" i="24"/>
  <c r="J917" i="24"/>
  <c r="I917" i="24"/>
  <c r="H917" i="24"/>
  <c r="F917" i="24"/>
  <c r="E917" i="24"/>
  <c r="R916" i="24"/>
  <c r="Q916" i="24"/>
  <c r="P916" i="24"/>
  <c r="O916" i="24"/>
  <c r="M916" i="24"/>
  <c r="L916" i="24"/>
  <c r="K916" i="24"/>
  <c r="J916" i="24"/>
  <c r="I916" i="24"/>
  <c r="H916" i="24"/>
  <c r="F916" i="24"/>
  <c r="E916" i="24"/>
  <c r="R915" i="24"/>
  <c r="Q915" i="24"/>
  <c r="P915" i="24"/>
  <c r="O915" i="24"/>
  <c r="M915" i="24"/>
  <c r="L915" i="24"/>
  <c r="K915" i="24"/>
  <c r="J915" i="24"/>
  <c r="I915" i="24"/>
  <c r="H915" i="24"/>
  <c r="F915" i="24"/>
  <c r="E915" i="24"/>
  <c r="R914" i="24"/>
  <c r="Q914" i="24"/>
  <c r="P914" i="24"/>
  <c r="O914" i="24"/>
  <c r="M914" i="24"/>
  <c r="L914" i="24"/>
  <c r="K914" i="24"/>
  <c r="J914" i="24"/>
  <c r="I914" i="24"/>
  <c r="H914" i="24"/>
  <c r="F914" i="24"/>
  <c r="E914" i="24"/>
  <c r="R913" i="24"/>
  <c r="Q913" i="24"/>
  <c r="P913" i="24"/>
  <c r="O913" i="24"/>
  <c r="M913" i="24"/>
  <c r="L913" i="24"/>
  <c r="K913" i="24"/>
  <c r="J913" i="24"/>
  <c r="I913" i="24"/>
  <c r="H913" i="24"/>
  <c r="F913" i="24"/>
  <c r="E913" i="24"/>
  <c r="R912" i="24"/>
  <c r="Q912" i="24"/>
  <c r="P912" i="24"/>
  <c r="O912" i="24"/>
  <c r="M912" i="24"/>
  <c r="L912" i="24"/>
  <c r="K912" i="24"/>
  <c r="J912" i="24"/>
  <c r="I912" i="24"/>
  <c r="H912" i="24"/>
  <c r="F912" i="24"/>
  <c r="E912" i="24"/>
  <c r="R911" i="24"/>
  <c r="Q911" i="24"/>
  <c r="P911" i="24"/>
  <c r="O911" i="24"/>
  <c r="M911" i="24"/>
  <c r="L911" i="24"/>
  <c r="K911" i="24"/>
  <c r="J911" i="24"/>
  <c r="I911" i="24"/>
  <c r="H911" i="24"/>
  <c r="F911" i="24"/>
  <c r="E911" i="24"/>
  <c r="R910" i="24"/>
  <c r="Q910" i="24"/>
  <c r="P910" i="24"/>
  <c r="O910" i="24"/>
  <c r="M910" i="24"/>
  <c r="L910" i="24"/>
  <c r="K910" i="24"/>
  <c r="J910" i="24"/>
  <c r="I910" i="24"/>
  <c r="H910" i="24"/>
  <c r="F910" i="24"/>
  <c r="E910" i="24"/>
  <c r="R909" i="24"/>
  <c r="Q909" i="24"/>
  <c r="P909" i="24"/>
  <c r="O909" i="24"/>
  <c r="M909" i="24"/>
  <c r="L909" i="24"/>
  <c r="K909" i="24"/>
  <c r="J909" i="24"/>
  <c r="I909" i="24"/>
  <c r="H909" i="24"/>
  <c r="F909" i="24"/>
  <c r="E909" i="24"/>
  <c r="R908" i="24"/>
  <c r="Q908" i="24"/>
  <c r="P908" i="24"/>
  <c r="O908" i="24"/>
  <c r="M908" i="24"/>
  <c r="L908" i="24"/>
  <c r="K908" i="24"/>
  <c r="J908" i="24"/>
  <c r="I908" i="24"/>
  <c r="H908" i="24"/>
  <c r="F908" i="24"/>
  <c r="E908" i="24"/>
  <c r="R907" i="24"/>
  <c r="Q907" i="24"/>
  <c r="P907" i="24"/>
  <c r="O907" i="24"/>
  <c r="M907" i="24"/>
  <c r="L907" i="24"/>
  <c r="K907" i="24"/>
  <c r="J907" i="24"/>
  <c r="I907" i="24"/>
  <c r="H907" i="24"/>
  <c r="F907" i="24"/>
  <c r="E907" i="24"/>
  <c r="R906" i="24"/>
  <c r="Q906" i="24"/>
  <c r="P906" i="24"/>
  <c r="O906" i="24"/>
  <c r="M906" i="24"/>
  <c r="L906" i="24"/>
  <c r="K906" i="24"/>
  <c r="J906" i="24"/>
  <c r="I906" i="24"/>
  <c r="H906" i="24"/>
  <c r="F906" i="24"/>
  <c r="E906" i="24"/>
  <c r="R905" i="24"/>
  <c r="Q905" i="24"/>
  <c r="P905" i="24"/>
  <c r="O905" i="24"/>
  <c r="M905" i="24"/>
  <c r="L905" i="24"/>
  <c r="K905" i="24"/>
  <c r="J905" i="24"/>
  <c r="I905" i="24"/>
  <c r="H905" i="24"/>
  <c r="F905" i="24"/>
  <c r="E905" i="24"/>
  <c r="R904" i="24"/>
  <c r="Q904" i="24"/>
  <c r="P904" i="24"/>
  <c r="O904" i="24"/>
  <c r="M904" i="24"/>
  <c r="L904" i="24"/>
  <c r="K904" i="24"/>
  <c r="J904" i="24"/>
  <c r="I904" i="24"/>
  <c r="H904" i="24"/>
  <c r="F904" i="24"/>
  <c r="E904" i="24"/>
  <c r="R903" i="24"/>
  <c r="Q903" i="24"/>
  <c r="P903" i="24"/>
  <c r="O903" i="24"/>
  <c r="M903" i="24"/>
  <c r="L903" i="24"/>
  <c r="K903" i="24"/>
  <c r="J903" i="24"/>
  <c r="I903" i="24"/>
  <c r="H903" i="24"/>
  <c r="F903" i="24"/>
  <c r="E903" i="24"/>
  <c r="R902" i="24"/>
  <c r="Q902" i="24"/>
  <c r="P902" i="24"/>
  <c r="O902" i="24"/>
  <c r="M902" i="24"/>
  <c r="L902" i="24"/>
  <c r="K902" i="24"/>
  <c r="J902" i="24"/>
  <c r="I902" i="24"/>
  <c r="H902" i="24"/>
  <c r="F902" i="24"/>
  <c r="E902" i="24"/>
  <c r="R901" i="24"/>
  <c r="Q901" i="24"/>
  <c r="P901" i="24"/>
  <c r="O901" i="24"/>
  <c r="M901" i="24"/>
  <c r="L901" i="24"/>
  <c r="K901" i="24"/>
  <c r="J901" i="24"/>
  <c r="I901" i="24"/>
  <c r="H901" i="24"/>
  <c r="F901" i="24"/>
  <c r="E901" i="24"/>
  <c r="R900" i="24"/>
  <c r="Q900" i="24"/>
  <c r="P900" i="24"/>
  <c r="O900" i="24"/>
  <c r="M900" i="24"/>
  <c r="L900" i="24"/>
  <c r="K900" i="24"/>
  <c r="J900" i="24"/>
  <c r="I900" i="24"/>
  <c r="H900" i="24"/>
  <c r="F900" i="24"/>
  <c r="E900" i="24"/>
  <c r="R899" i="24"/>
  <c r="Q899" i="24"/>
  <c r="P899" i="24"/>
  <c r="O899" i="24"/>
  <c r="M899" i="24"/>
  <c r="L899" i="24"/>
  <c r="K899" i="24"/>
  <c r="J899" i="24"/>
  <c r="I899" i="24"/>
  <c r="H899" i="24"/>
  <c r="F899" i="24"/>
  <c r="E899" i="24"/>
  <c r="R898" i="24"/>
  <c r="Q898" i="24"/>
  <c r="P898" i="24"/>
  <c r="O898" i="24"/>
  <c r="M898" i="24"/>
  <c r="L898" i="24"/>
  <c r="K898" i="24"/>
  <c r="J898" i="24"/>
  <c r="I898" i="24"/>
  <c r="H898" i="24"/>
  <c r="F898" i="24"/>
  <c r="E898" i="24"/>
  <c r="R897" i="24"/>
  <c r="Q897" i="24"/>
  <c r="P897" i="24"/>
  <c r="O897" i="24"/>
  <c r="M897" i="24"/>
  <c r="L897" i="24"/>
  <c r="K897" i="24"/>
  <c r="J897" i="24"/>
  <c r="I897" i="24"/>
  <c r="H897" i="24"/>
  <c r="F897" i="24"/>
  <c r="E897" i="24"/>
  <c r="R896" i="24"/>
  <c r="Q896" i="24"/>
  <c r="P896" i="24"/>
  <c r="O896" i="24"/>
  <c r="M896" i="24"/>
  <c r="L896" i="24"/>
  <c r="K896" i="24"/>
  <c r="J896" i="24"/>
  <c r="I896" i="24"/>
  <c r="H896" i="24"/>
  <c r="F896" i="24"/>
  <c r="E896" i="24"/>
  <c r="R895" i="24"/>
  <c r="Q895" i="24"/>
  <c r="P895" i="24"/>
  <c r="O895" i="24"/>
  <c r="M895" i="24"/>
  <c r="L895" i="24"/>
  <c r="K895" i="24"/>
  <c r="J895" i="24"/>
  <c r="I895" i="24"/>
  <c r="H895" i="24"/>
  <c r="F895" i="24"/>
  <c r="E895" i="24"/>
  <c r="R894" i="24"/>
  <c r="Q894" i="24"/>
  <c r="P894" i="24"/>
  <c r="O894" i="24"/>
  <c r="M894" i="24"/>
  <c r="L894" i="24"/>
  <c r="K894" i="24"/>
  <c r="J894" i="24"/>
  <c r="I894" i="24"/>
  <c r="H894" i="24"/>
  <c r="F894" i="24"/>
  <c r="E894" i="24"/>
  <c r="R893" i="24"/>
  <c r="Q893" i="24"/>
  <c r="P893" i="24"/>
  <c r="O893" i="24"/>
  <c r="M893" i="24"/>
  <c r="L893" i="24"/>
  <c r="K893" i="24"/>
  <c r="J893" i="24"/>
  <c r="I893" i="24"/>
  <c r="H893" i="24"/>
  <c r="F893" i="24"/>
  <c r="E893" i="24"/>
  <c r="R892" i="24"/>
  <c r="Q892" i="24"/>
  <c r="P892" i="24"/>
  <c r="O892" i="24"/>
  <c r="M892" i="24"/>
  <c r="L892" i="24"/>
  <c r="K892" i="24"/>
  <c r="J892" i="24"/>
  <c r="I892" i="24"/>
  <c r="H892" i="24"/>
  <c r="F892" i="24"/>
  <c r="E892" i="24"/>
  <c r="R891" i="24"/>
  <c r="Q891" i="24"/>
  <c r="P891" i="24"/>
  <c r="O891" i="24"/>
  <c r="M891" i="24"/>
  <c r="L891" i="24"/>
  <c r="K891" i="24"/>
  <c r="J891" i="24"/>
  <c r="I891" i="24"/>
  <c r="H891" i="24"/>
  <c r="F891" i="24"/>
  <c r="E891" i="24"/>
  <c r="R890" i="24"/>
  <c r="Q890" i="24"/>
  <c r="P890" i="24"/>
  <c r="O890" i="24"/>
  <c r="M890" i="24"/>
  <c r="L890" i="24"/>
  <c r="K890" i="24"/>
  <c r="J890" i="24"/>
  <c r="I890" i="24"/>
  <c r="H890" i="24"/>
  <c r="F890" i="24"/>
  <c r="E890" i="24"/>
  <c r="R889" i="24"/>
  <c r="Q889" i="24"/>
  <c r="P889" i="24"/>
  <c r="O889" i="24"/>
  <c r="M889" i="24"/>
  <c r="L889" i="24"/>
  <c r="K889" i="24"/>
  <c r="J889" i="24"/>
  <c r="I889" i="24"/>
  <c r="H889" i="24"/>
  <c r="F889" i="24"/>
  <c r="E889" i="24"/>
  <c r="R888" i="24"/>
  <c r="Q888" i="24"/>
  <c r="P888" i="24"/>
  <c r="O888" i="24"/>
  <c r="M888" i="24"/>
  <c r="L888" i="24"/>
  <c r="K888" i="24"/>
  <c r="J888" i="24"/>
  <c r="I888" i="24"/>
  <c r="H888" i="24"/>
  <c r="F888" i="24"/>
  <c r="E888" i="24"/>
  <c r="R887" i="24"/>
  <c r="Q887" i="24"/>
  <c r="P887" i="24"/>
  <c r="O887" i="24"/>
  <c r="M887" i="24"/>
  <c r="L887" i="24"/>
  <c r="K887" i="24"/>
  <c r="J887" i="24"/>
  <c r="I887" i="24"/>
  <c r="H887" i="24"/>
  <c r="F887" i="24"/>
  <c r="E887" i="24"/>
  <c r="R886" i="24"/>
  <c r="Q886" i="24"/>
  <c r="P886" i="24"/>
  <c r="O886" i="24"/>
  <c r="M886" i="24"/>
  <c r="L886" i="24"/>
  <c r="K886" i="24"/>
  <c r="J886" i="24"/>
  <c r="I886" i="24"/>
  <c r="H886" i="24"/>
  <c r="F886" i="24"/>
  <c r="E886" i="24"/>
  <c r="R885" i="24"/>
  <c r="Q885" i="24"/>
  <c r="P885" i="24"/>
  <c r="O885" i="24"/>
  <c r="M885" i="24"/>
  <c r="L885" i="24"/>
  <c r="K885" i="24"/>
  <c r="J885" i="24"/>
  <c r="I885" i="24"/>
  <c r="H885" i="24"/>
  <c r="F885" i="24"/>
  <c r="E885" i="24"/>
  <c r="R884" i="24"/>
  <c r="Q884" i="24"/>
  <c r="P884" i="24"/>
  <c r="O884" i="24"/>
  <c r="M884" i="24"/>
  <c r="L884" i="24"/>
  <c r="K884" i="24"/>
  <c r="J884" i="24"/>
  <c r="I884" i="24"/>
  <c r="H884" i="24"/>
  <c r="F884" i="24"/>
  <c r="E884" i="24"/>
  <c r="R883" i="24"/>
  <c r="Q883" i="24"/>
  <c r="P883" i="24"/>
  <c r="O883" i="24"/>
  <c r="M883" i="24"/>
  <c r="L883" i="24"/>
  <c r="K883" i="24"/>
  <c r="J883" i="24"/>
  <c r="I883" i="24"/>
  <c r="H883" i="24"/>
  <c r="F883" i="24"/>
  <c r="E883" i="24"/>
  <c r="R882" i="24"/>
  <c r="Q882" i="24"/>
  <c r="P882" i="24"/>
  <c r="O882" i="24"/>
  <c r="M882" i="24"/>
  <c r="L882" i="24"/>
  <c r="K882" i="24"/>
  <c r="J882" i="24"/>
  <c r="I882" i="24"/>
  <c r="H882" i="24"/>
  <c r="F882" i="24"/>
  <c r="E882" i="24"/>
  <c r="R881" i="24"/>
  <c r="Q881" i="24"/>
  <c r="P881" i="24"/>
  <c r="O881" i="24"/>
  <c r="M881" i="24"/>
  <c r="L881" i="24"/>
  <c r="K881" i="24"/>
  <c r="J881" i="24"/>
  <c r="I881" i="24"/>
  <c r="H881" i="24"/>
  <c r="F881" i="24"/>
  <c r="E881" i="24"/>
  <c r="R880" i="24"/>
  <c r="Q880" i="24"/>
  <c r="P880" i="24"/>
  <c r="O880" i="24"/>
  <c r="M880" i="24"/>
  <c r="L880" i="24"/>
  <c r="K880" i="24"/>
  <c r="J880" i="24"/>
  <c r="I880" i="24"/>
  <c r="H880" i="24"/>
  <c r="F880" i="24"/>
  <c r="E880" i="24"/>
  <c r="R879" i="24"/>
  <c r="Q879" i="24"/>
  <c r="P879" i="24"/>
  <c r="O879" i="24"/>
  <c r="M879" i="24"/>
  <c r="L879" i="24"/>
  <c r="K879" i="24"/>
  <c r="J879" i="24"/>
  <c r="I879" i="24"/>
  <c r="H879" i="24"/>
  <c r="F879" i="24"/>
  <c r="E879" i="24"/>
  <c r="R878" i="24"/>
  <c r="Q878" i="24"/>
  <c r="P878" i="24"/>
  <c r="O878" i="24"/>
  <c r="M878" i="24"/>
  <c r="L878" i="24"/>
  <c r="K878" i="24"/>
  <c r="J878" i="24"/>
  <c r="I878" i="24"/>
  <c r="H878" i="24"/>
  <c r="F878" i="24"/>
  <c r="E878" i="24"/>
  <c r="R877" i="24"/>
  <c r="Q877" i="24"/>
  <c r="P877" i="24"/>
  <c r="O877" i="24"/>
  <c r="M877" i="24"/>
  <c r="L877" i="24"/>
  <c r="K877" i="24"/>
  <c r="J877" i="24"/>
  <c r="I877" i="24"/>
  <c r="H877" i="24"/>
  <c r="F877" i="24"/>
  <c r="E877" i="24"/>
  <c r="R876" i="24"/>
  <c r="Q876" i="24"/>
  <c r="P876" i="24"/>
  <c r="O876" i="24"/>
  <c r="M876" i="24"/>
  <c r="L876" i="24"/>
  <c r="K876" i="24"/>
  <c r="J876" i="24"/>
  <c r="I876" i="24"/>
  <c r="H876" i="24"/>
  <c r="F876" i="24"/>
  <c r="E876" i="24"/>
  <c r="R875" i="24"/>
  <c r="Q875" i="24"/>
  <c r="P875" i="24"/>
  <c r="O875" i="24"/>
  <c r="M875" i="24"/>
  <c r="L875" i="24"/>
  <c r="K875" i="24"/>
  <c r="J875" i="24"/>
  <c r="I875" i="24"/>
  <c r="H875" i="24"/>
  <c r="F875" i="24"/>
  <c r="E875" i="24"/>
  <c r="R874" i="24"/>
  <c r="Q874" i="24"/>
  <c r="P874" i="24"/>
  <c r="O874" i="24"/>
  <c r="M874" i="24"/>
  <c r="L874" i="24"/>
  <c r="K874" i="24"/>
  <c r="J874" i="24"/>
  <c r="I874" i="24"/>
  <c r="H874" i="24"/>
  <c r="F874" i="24"/>
  <c r="E874" i="24"/>
  <c r="R873" i="24"/>
  <c r="Q873" i="24"/>
  <c r="P873" i="24"/>
  <c r="O873" i="24"/>
  <c r="M873" i="24"/>
  <c r="L873" i="24"/>
  <c r="K873" i="24"/>
  <c r="J873" i="24"/>
  <c r="I873" i="24"/>
  <c r="H873" i="24"/>
  <c r="F873" i="24"/>
  <c r="E873" i="24"/>
  <c r="R872" i="24"/>
  <c r="Q872" i="24"/>
  <c r="P872" i="24"/>
  <c r="O872" i="24"/>
  <c r="M872" i="24"/>
  <c r="L872" i="24"/>
  <c r="K872" i="24"/>
  <c r="J872" i="24"/>
  <c r="I872" i="24"/>
  <c r="H872" i="24"/>
  <c r="F872" i="24"/>
  <c r="E872" i="24"/>
  <c r="R871" i="24"/>
  <c r="Q871" i="24"/>
  <c r="P871" i="24"/>
  <c r="O871" i="24"/>
  <c r="M871" i="24"/>
  <c r="L871" i="24"/>
  <c r="K871" i="24"/>
  <c r="J871" i="24"/>
  <c r="I871" i="24"/>
  <c r="H871" i="24"/>
  <c r="F871" i="24"/>
  <c r="E871" i="24"/>
  <c r="R870" i="24"/>
  <c r="Q870" i="24"/>
  <c r="P870" i="24"/>
  <c r="O870" i="24"/>
  <c r="M870" i="24"/>
  <c r="L870" i="24"/>
  <c r="K870" i="24"/>
  <c r="J870" i="24"/>
  <c r="I870" i="24"/>
  <c r="H870" i="24"/>
  <c r="F870" i="24"/>
  <c r="E870" i="24"/>
  <c r="R869" i="24"/>
  <c r="Q869" i="24"/>
  <c r="P869" i="24"/>
  <c r="O869" i="24"/>
  <c r="M869" i="24"/>
  <c r="L869" i="24"/>
  <c r="K869" i="24"/>
  <c r="J869" i="24"/>
  <c r="I869" i="24"/>
  <c r="H869" i="24"/>
  <c r="F869" i="24"/>
  <c r="E869" i="24"/>
  <c r="R868" i="24"/>
  <c r="Q868" i="24"/>
  <c r="P868" i="24"/>
  <c r="O868" i="24"/>
  <c r="M868" i="24"/>
  <c r="L868" i="24"/>
  <c r="K868" i="24"/>
  <c r="J868" i="24"/>
  <c r="I868" i="24"/>
  <c r="H868" i="24"/>
  <c r="F868" i="24"/>
  <c r="E868" i="24"/>
  <c r="R867" i="24"/>
  <c r="Q867" i="24"/>
  <c r="P867" i="24"/>
  <c r="O867" i="24"/>
  <c r="M867" i="24"/>
  <c r="L867" i="24"/>
  <c r="K867" i="24"/>
  <c r="J867" i="24"/>
  <c r="I867" i="24"/>
  <c r="H867" i="24"/>
  <c r="F867" i="24"/>
  <c r="E867" i="24"/>
  <c r="R866" i="24"/>
  <c r="Q866" i="24"/>
  <c r="P866" i="24"/>
  <c r="O866" i="24"/>
  <c r="M866" i="24"/>
  <c r="L866" i="24"/>
  <c r="K866" i="24"/>
  <c r="J866" i="24"/>
  <c r="I866" i="24"/>
  <c r="H866" i="24"/>
  <c r="F866" i="24"/>
  <c r="E866" i="24"/>
  <c r="R865" i="24"/>
  <c r="Q865" i="24"/>
  <c r="P865" i="24"/>
  <c r="O865" i="24"/>
  <c r="M865" i="24"/>
  <c r="L865" i="24"/>
  <c r="K865" i="24"/>
  <c r="J865" i="24"/>
  <c r="I865" i="24"/>
  <c r="H865" i="24"/>
  <c r="F865" i="24"/>
  <c r="E865" i="24"/>
  <c r="R864" i="24"/>
  <c r="Q864" i="24"/>
  <c r="P864" i="24"/>
  <c r="O864" i="24"/>
  <c r="M864" i="24"/>
  <c r="L864" i="24"/>
  <c r="K864" i="24"/>
  <c r="J864" i="24"/>
  <c r="I864" i="24"/>
  <c r="H864" i="24"/>
  <c r="F864" i="24"/>
  <c r="E864" i="24"/>
  <c r="R863" i="24"/>
  <c r="Q863" i="24"/>
  <c r="P863" i="24"/>
  <c r="O863" i="24"/>
  <c r="M863" i="24"/>
  <c r="L863" i="24"/>
  <c r="K863" i="24"/>
  <c r="J863" i="24"/>
  <c r="I863" i="24"/>
  <c r="H863" i="24"/>
  <c r="F863" i="24"/>
  <c r="E863" i="24"/>
  <c r="R862" i="24"/>
  <c r="Q862" i="24"/>
  <c r="P862" i="24"/>
  <c r="O862" i="24"/>
  <c r="M862" i="24"/>
  <c r="L862" i="24"/>
  <c r="K862" i="24"/>
  <c r="J862" i="24"/>
  <c r="I862" i="24"/>
  <c r="H862" i="24"/>
  <c r="F862" i="24"/>
  <c r="E862" i="24"/>
  <c r="R861" i="24"/>
  <c r="Q861" i="24"/>
  <c r="P861" i="24"/>
  <c r="O861" i="24"/>
  <c r="M861" i="24"/>
  <c r="L861" i="24"/>
  <c r="K861" i="24"/>
  <c r="J861" i="24"/>
  <c r="I861" i="24"/>
  <c r="H861" i="24"/>
  <c r="F861" i="24"/>
  <c r="E861" i="24"/>
  <c r="R860" i="24"/>
  <c r="Q860" i="24"/>
  <c r="P860" i="24"/>
  <c r="O860" i="24"/>
  <c r="M860" i="24"/>
  <c r="L860" i="24"/>
  <c r="K860" i="24"/>
  <c r="J860" i="24"/>
  <c r="I860" i="24"/>
  <c r="H860" i="24"/>
  <c r="F860" i="24"/>
  <c r="E860" i="24"/>
  <c r="R859" i="24"/>
  <c r="Q859" i="24"/>
  <c r="P859" i="24"/>
  <c r="O859" i="24"/>
  <c r="M859" i="24"/>
  <c r="L859" i="24"/>
  <c r="K859" i="24"/>
  <c r="J859" i="24"/>
  <c r="I859" i="24"/>
  <c r="H859" i="24"/>
  <c r="F859" i="24"/>
  <c r="E859" i="24"/>
  <c r="R858" i="24"/>
  <c r="Q858" i="24"/>
  <c r="P858" i="24"/>
  <c r="O858" i="24"/>
  <c r="M858" i="24"/>
  <c r="L858" i="24"/>
  <c r="K858" i="24"/>
  <c r="J858" i="24"/>
  <c r="I858" i="24"/>
  <c r="H858" i="24"/>
  <c r="F858" i="24"/>
  <c r="E858" i="24"/>
  <c r="R857" i="24"/>
  <c r="Q857" i="24"/>
  <c r="P857" i="24"/>
  <c r="O857" i="24"/>
  <c r="M857" i="24"/>
  <c r="L857" i="24"/>
  <c r="K857" i="24"/>
  <c r="J857" i="24"/>
  <c r="I857" i="24"/>
  <c r="H857" i="24"/>
  <c r="F857" i="24"/>
  <c r="E857" i="24"/>
  <c r="R856" i="24"/>
  <c r="Q856" i="24"/>
  <c r="P856" i="24"/>
  <c r="O856" i="24"/>
  <c r="M856" i="24"/>
  <c r="L856" i="24"/>
  <c r="K856" i="24"/>
  <c r="J856" i="24"/>
  <c r="I856" i="24"/>
  <c r="H856" i="24"/>
  <c r="F856" i="24"/>
  <c r="E856" i="24"/>
  <c r="R855" i="24"/>
  <c r="Q855" i="24"/>
  <c r="P855" i="24"/>
  <c r="O855" i="24"/>
  <c r="M855" i="24"/>
  <c r="L855" i="24"/>
  <c r="K855" i="24"/>
  <c r="J855" i="24"/>
  <c r="I855" i="24"/>
  <c r="H855" i="24"/>
  <c r="F855" i="24"/>
  <c r="E855" i="24"/>
  <c r="R854" i="24"/>
  <c r="Q854" i="24"/>
  <c r="P854" i="24"/>
  <c r="O854" i="24"/>
  <c r="M854" i="24"/>
  <c r="L854" i="24"/>
  <c r="K854" i="24"/>
  <c r="J854" i="24"/>
  <c r="I854" i="24"/>
  <c r="H854" i="24"/>
  <c r="F854" i="24"/>
  <c r="E854" i="24"/>
  <c r="R853" i="24"/>
  <c r="Q853" i="24"/>
  <c r="P853" i="24"/>
  <c r="O853" i="24"/>
  <c r="M853" i="24"/>
  <c r="L853" i="24"/>
  <c r="K853" i="24"/>
  <c r="J853" i="24"/>
  <c r="I853" i="24"/>
  <c r="H853" i="24"/>
  <c r="F853" i="24"/>
  <c r="E853" i="24"/>
  <c r="R852" i="24"/>
  <c r="Q852" i="24"/>
  <c r="P852" i="24"/>
  <c r="O852" i="24"/>
  <c r="M852" i="24"/>
  <c r="L852" i="24"/>
  <c r="K852" i="24"/>
  <c r="J852" i="24"/>
  <c r="I852" i="24"/>
  <c r="H852" i="24"/>
  <c r="F852" i="24"/>
  <c r="E852" i="24"/>
  <c r="R851" i="24"/>
  <c r="Q851" i="24"/>
  <c r="P851" i="24"/>
  <c r="O851" i="24"/>
  <c r="M851" i="24"/>
  <c r="L851" i="24"/>
  <c r="K851" i="24"/>
  <c r="J851" i="24"/>
  <c r="I851" i="24"/>
  <c r="H851" i="24"/>
  <c r="F851" i="24"/>
  <c r="E851" i="24"/>
  <c r="R850" i="24"/>
  <c r="Q850" i="24"/>
  <c r="P850" i="24"/>
  <c r="O850" i="24"/>
  <c r="M850" i="24"/>
  <c r="L850" i="24"/>
  <c r="K850" i="24"/>
  <c r="J850" i="24"/>
  <c r="I850" i="24"/>
  <c r="H850" i="24"/>
  <c r="F850" i="24"/>
  <c r="E850" i="24"/>
  <c r="R849" i="24"/>
  <c r="Q849" i="24"/>
  <c r="P849" i="24"/>
  <c r="O849" i="24"/>
  <c r="M849" i="24"/>
  <c r="L849" i="24"/>
  <c r="K849" i="24"/>
  <c r="J849" i="24"/>
  <c r="I849" i="24"/>
  <c r="H849" i="24"/>
  <c r="F849" i="24"/>
  <c r="E849" i="24"/>
  <c r="R848" i="24"/>
  <c r="Q848" i="24"/>
  <c r="P848" i="24"/>
  <c r="O848" i="24"/>
  <c r="M848" i="24"/>
  <c r="L848" i="24"/>
  <c r="K848" i="24"/>
  <c r="J848" i="24"/>
  <c r="I848" i="24"/>
  <c r="H848" i="24"/>
  <c r="F848" i="24"/>
  <c r="E848" i="24"/>
  <c r="R847" i="24"/>
  <c r="Q847" i="24"/>
  <c r="P847" i="24"/>
  <c r="O847" i="24"/>
  <c r="M847" i="24"/>
  <c r="L847" i="24"/>
  <c r="K847" i="24"/>
  <c r="J847" i="24"/>
  <c r="I847" i="24"/>
  <c r="H847" i="24"/>
  <c r="F847" i="24"/>
  <c r="E847" i="24"/>
  <c r="R846" i="24"/>
  <c r="Q846" i="24"/>
  <c r="P846" i="24"/>
  <c r="O846" i="24"/>
  <c r="M846" i="24"/>
  <c r="L846" i="24"/>
  <c r="K846" i="24"/>
  <c r="J846" i="24"/>
  <c r="I846" i="24"/>
  <c r="H846" i="24"/>
  <c r="F846" i="24"/>
  <c r="E846" i="24"/>
  <c r="R845" i="24"/>
  <c r="Q845" i="24"/>
  <c r="P845" i="24"/>
  <c r="O845" i="24"/>
  <c r="M845" i="24"/>
  <c r="L845" i="24"/>
  <c r="K845" i="24"/>
  <c r="J845" i="24"/>
  <c r="I845" i="24"/>
  <c r="H845" i="24"/>
  <c r="F845" i="24"/>
  <c r="E845" i="24"/>
  <c r="R844" i="24"/>
  <c r="Q844" i="24"/>
  <c r="P844" i="24"/>
  <c r="O844" i="24"/>
  <c r="M844" i="24"/>
  <c r="L844" i="24"/>
  <c r="K844" i="24"/>
  <c r="J844" i="24"/>
  <c r="I844" i="24"/>
  <c r="H844" i="24"/>
  <c r="F844" i="24"/>
  <c r="E844" i="24"/>
  <c r="R843" i="24"/>
  <c r="Q843" i="24"/>
  <c r="P843" i="24"/>
  <c r="O843" i="24"/>
  <c r="M843" i="24"/>
  <c r="L843" i="24"/>
  <c r="K843" i="24"/>
  <c r="J843" i="24"/>
  <c r="I843" i="24"/>
  <c r="H843" i="24"/>
  <c r="F843" i="24"/>
  <c r="E843" i="24"/>
  <c r="R842" i="24"/>
  <c r="Q842" i="24"/>
  <c r="P842" i="24"/>
  <c r="O842" i="24"/>
  <c r="M842" i="24"/>
  <c r="L842" i="24"/>
  <c r="K842" i="24"/>
  <c r="J842" i="24"/>
  <c r="I842" i="24"/>
  <c r="H842" i="24"/>
  <c r="F842" i="24"/>
  <c r="E842" i="24"/>
  <c r="R841" i="24"/>
  <c r="Q841" i="24"/>
  <c r="P841" i="24"/>
  <c r="O841" i="24"/>
  <c r="M841" i="24"/>
  <c r="L841" i="24"/>
  <c r="K841" i="24"/>
  <c r="J841" i="24"/>
  <c r="I841" i="24"/>
  <c r="H841" i="24"/>
  <c r="F841" i="24"/>
  <c r="E841" i="24"/>
  <c r="R840" i="24"/>
  <c r="Q840" i="24"/>
  <c r="P840" i="24"/>
  <c r="O840" i="24"/>
  <c r="M840" i="24"/>
  <c r="L840" i="24"/>
  <c r="K840" i="24"/>
  <c r="J840" i="24"/>
  <c r="I840" i="24"/>
  <c r="H840" i="24"/>
  <c r="F840" i="24"/>
  <c r="E840" i="24"/>
  <c r="R839" i="24"/>
  <c r="Q839" i="24"/>
  <c r="P839" i="24"/>
  <c r="O839" i="24"/>
  <c r="M839" i="24"/>
  <c r="L839" i="24"/>
  <c r="K839" i="24"/>
  <c r="J839" i="24"/>
  <c r="I839" i="24"/>
  <c r="H839" i="24"/>
  <c r="F839" i="24"/>
  <c r="E839" i="24"/>
  <c r="R838" i="24"/>
  <c r="Q838" i="24"/>
  <c r="P838" i="24"/>
  <c r="O838" i="24"/>
  <c r="M838" i="24"/>
  <c r="L838" i="24"/>
  <c r="K838" i="24"/>
  <c r="J838" i="24"/>
  <c r="I838" i="24"/>
  <c r="H838" i="24"/>
  <c r="F838" i="24"/>
  <c r="E838" i="24"/>
  <c r="R837" i="24"/>
  <c r="Q837" i="24"/>
  <c r="P837" i="24"/>
  <c r="O837" i="24"/>
  <c r="M837" i="24"/>
  <c r="L837" i="24"/>
  <c r="K837" i="24"/>
  <c r="J837" i="24"/>
  <c r="I837" i="24"/>
  <c r="H837" i="24"/>
  <c r="F837" i="24"/>
  <c r="E837" i="24"/>
  <c r="R836" i="24"/>
  <c r="Q836" i="24"/>
  <c r="P836" i="24"/>
  <c r="O836" i="24"/>
  <c r="M836" i="24"/>
  <c r="L836" i="24"/>
  <c r="K836" i="24"/>
  <c r="J836" i="24"/>
  <c r="I836" i="24"/>
  <c r="H836" i="24"/>
  <c r="F836" i="24"/>
  <c r="E836" i="24"/>
  <c r="R835" i="24"/>
  <c r="Q835" i="24"/>
  <c r="P835" i="24"/>
  <c r="O835" i="24"/>
  <c r="M835" i="24"/>
  <c r="L835" i="24"/>
  <c r="K835" i="24"/>
  <c r="J835" i="24"/>
  <c r="I835" i="24"/>
  <c r="H835" i="24"/>
  <c r="F835" i="24"/>
  <c r="E835" i="24"/>
  <c r="R834" i="24"/>
  <c r="Q834" i="24"/>
  <c r="P834" i="24"/>
  <c r="O834" i="24"/>
  <c r="M834" i="24"/>
  <c r="L834" i="24"/>
  <c r="K834" i="24"/>
  <c r="J834" i="24"/>
  <c r="I834" i="24"/>
  <c r="H834" i="24"/>
  <c r="F834" i="24"/>
  <c r="E834" i="24"/>
  <c r="R833" i="24"/>
  <c r="Q833" i="24"/>
  <c r="P833" i="24"/>
  <c r="O833" i="24"/>
  <c r="M833" i="24"/>
  <c r="L833" i="24"/>
  <c r="K833" i="24"/>
  <c r="J833" i="24"/>
  <c r="I833" i="24"/>
  <c r="H833" i="24"/>
  <c r="F833" i="24"/>
  <c r="E833" i="24"/>
  <c r="R832" i="24"/>
  <c r="Q832" i="24"/>
  <c r="P832" i="24"/>
  <c r="O832" i="24"/>
  <c r="M832" i="24"/>
  <c r="L832" i="24"/>
  <c r="K832" i="24"/>
  <c r="J832" i="24"/>
  <c r="I832" i="24"/>
  <c r="H832" i="24"/>
  <c r="F832" i="24"/>
  <c r="E832" i="24"/>
  <c r="R831" i="24"/>
  <c r="Q831" i="24"/>
  <c r="P831" i="24"/>
  <c r="O831" i="24"/>
  <c r="M831" i="24"/>
  <c r="L831" i="24"/>
  <c r="K831" i="24"/>
  <c r="J831" i="24"/>
  <c r="I831" i="24"/>
  <c r="H831" i="24"/>
  <c r="F831" i="24"/>
  <c r="E831" i="24"/>
  <c r="R830" i="24"/>
  <c r="Q830" i="24"/>
  <c r="P830" i="24"/>
  <c r="O830" i="24"/>
  <c r="M830" i="24"/>
  <c r="L830" i="24"/>
  <c r="K830" i="24"/>
  <c r="J830" i="24"/>
  <c r="I830" i="24"/>
  <c r="H830" i="24"/>
  <c r="F830" i="24"/>
  <c r="E830" i="24"/>
  <c r="R829" i="24"/>
  <c r="Q829" i="24"/>
  <c r="P829" i="24"/>
  <c r="O829" i="24"/>
  <c r="M829" i="24"/>
  <c r="L829" i="24"/>
  <c r="K829" i="24"/>
  <c r="J829" i="24"/>
  <c r="I829" i="24"/>
  <c r="H829" i="24"/>
  <c r="F829" i="24"/>
  <c r="E829" i="24"/>
  <c r="R828" i="24"/>
  <c r="Q828" i="24"/>
  <c r="P828" i="24"/>
  <c r="O828" i="24"/>
  <c r="M828" i="24"/>
  <c r="L828" i="24"/>
  <c r="K828" i="24"/>
  <c r="J828" i="24"/>
  <c r="I828" i="24"/>
  <c r="H828" i="24"/>
  <c r="F828" i="24"/>
  <c r="E828" i="24"/>
  <c r="R827" i="24"/>
  <c r="Q827" i="24"/>
  <c r="P827" i="24"/>
  <c r="O827" i="24"/>
  <c r="M827" i="24"/>
  <c r="L827" i="24"/>
  <c r="K827" i="24"/>
  <c r="J827" i="24"/>
  <c r="I827" i="24"/>
  <c r="H827" i="24"/>
  <c r="F827" i="24"/>
  <c r="E827" i="24"/>
  <c r="R826" i="24"/>
  <c r="Q826" i="24"/>
  <c r="P826" i="24"/>
  <c r="O826" i="24"/>
  <c r="M826" i="24"/>
  <c r="L826" i="24"/>
  <c r="K826" i="24"/>
  <c r="J826" i="24"/>
  <c r="I826" i="24"/>
  <c r="H826" i="24"/>
  <c r="F826" i="24"/>
  <c r="E826" i="24"/>
  <c r="R825" i="24"/>
  <c r="Q825" i="24"/>
  <c r="P825" i="24"/>
  <c r="O825" i="24"/>
  <c r="M825" i="24"/>
  <c r="L825" i="24"/>
  <c r="K825" i="24"/>
  <c r="J825" i="24"/>
  <c r="I825" i="24"/>
  <c r="H825" i="24"/>
  <c r="F825" i="24"/>
  <c r="E825" i="24"/>
  <c r="R824" i="24"/>
  <c r="Q824" i="24"/>
  <c r="P824" i="24"/>
  <c r="O824" i="24"/>
  <c r="M824" i="24"/>
  <c r="L824" i="24"/>
  <c r="K824" i="24"/>
  <c r="J824" i="24"/>
  <c r="I824" i="24"/>
  <c r="H824" i="24"/>
  <c r="F824" i="24"/>
  <c r="E824" i="24"/>
  <c r="R823" i="24"/>
  <c r="Q823" i="24"/>
  <c r="P823" i="24"/>
  <c r="O823" i="24"/>
  <c r="M823" i="24"/>
  <c r="L823" i="24"/>
  <c r="K823" i="24"/>
  <c r="J823" i="24"/>
  <c r="I823" i="24"/>
  <c r="H823" i="24"/>
  <c r="F823" i="24"/>
  <c r="E823" i="24"/>
  <c r="R822" i="24"/>
  <c r="Q822" i="24"/>
  <c r="P822" i="24"/>
  <c r="O822" i="24"/>
  <c r="M822" i="24"/>
  <c r="L822" i="24"/>
  <c r="K822" i="24"/>
  <c r="J822" i="24"/>
  <c r="I822" i="24"/>
  <c r="H822" i="24"/>
  <c r="F822" i="24"/>
  <c r="E822" i="24"/>
  <c r="R821" i="24"/>
  <c r="Q821" i="24"/>
  <c r="P821" i="24"/>
  <c r="O821" i="24"/>
  <c r="M821" i="24"/>
  <c r="L821" i="24"/>
  <c r="K821" i="24"/>
  <c r="J821" i="24"/>
  <c r="I821" i="24"/>
  <c r="H821" i="24"/>
  <c r="F821" i="24"/>
  <c r="E821" i="24"/>
  <c r="R820" i="24"/>
  <c r="Q820" i="24"/>
  <c r="P820" i="24"/>
  <c r="O820" i="24"/>
  <c r="M820" i="24"/>
  <c r="L820" i="24"/>
  <c r="K820" i="24"/>
  <c r="J820" i="24"/>
  <c r="I820" i="24"/>
  <c r="H820" i="24"/>
  <c r="F820" i="24"/>
  <c r="E820" i="24"/>
  <c r="R819" i="24"/>
  <c r="Q819" i="24"/>
  <c r="P819" i="24"/>
  <c r="O819" i="24"/>
  <c r="M819" i="24"/>
  <c r="L819" i="24"/>
  <c r="K819" i="24"/>
  <c r="J819" i="24"/>
  <c r="I819" i="24"/>
  <c r="H819" i="24"/>
  <c r="F819" i="24"/>
  <c r="E819" i="24"/>
  <c r="R818" i="24"/>
  <c r="Q818" i="24"/>
  <c r="P818" i="24"/>
  <c r="O818" i="24"/>
  <c r="M818" i="24"/>
  <c r="L818" i="24"/>
  <c r="K818" i="24"/>
  <c r="J818" i="24"/>
  <c r="I818" i="24"/>
  <c r="H818" i="24"/>
  <c r="F818" i="24"/>
  <c r="E818" i="24"/>
  <c r="R817" i="24"/>
  <c r="Q817" i="24"/>
  <c r="P817" i="24"/>
  <c r="O817" i="24"/>
  <c r="M817" i="24"/>
  <c r="L817" i="24"/>
  <c r="K817" i="24"/>
  <c r="J817" i="24"/>
  <c r="I817" i="24"/>
  <c r="H817" i="24"/>
  <c r="F817" i="24"/>
  <c r="E817" i="24"/>
  <c r="R816" i="24"/>
  <c r="Q816" i="24"/>
  <c r="P816" i="24"/>
  <c r="O816" i="24"/>
  <c r="M816" i="24"/>
  <c r="L816" i="24"/>
  <c r="K816" i="24"/>
  <c r="J816" i="24"/>
  <c r="I816" i="24"/>
  <c r="H816" i="24"/>
  <c r="F816" i="24"/>
  <c r="E816" i="24"/>
  <c r="R815" i="24"/>
  <c r="Q815" i="24"/>
  <c r="P815" i="24"/>
  <c r="O815" i="24"/>
  <c r="M815" i="24"/>
  <c r="L815" i="24"/>
  <c r="K815" i="24"/>
  <c r="J815" i="24"/>
  <c r="I815" i="24"/>
  <c r="H815" i="24"/>
  <c r="F815" i="24"/>
  <c r="E815" i="24"/>
  <c r="R814" i="24"/>
  <c r="Q814" i="24"/>
  <c r="P814" i="24"/>
  <c r="O814" i="24"/>
  <c r="M814" i="24"/>
  <c r="L814" i="24"/>
  <c r="K814" i="24"/>
  <c r="J814" i="24"/>
  <c r="I814" i="24"/>
  <c r="H814" i="24"/>
  <c r="F814" i="24"/>
  <c r="E814" i="24"/>
  <c r="R813" i="24"/>
  <c r="Q813" i="24"/>
  <c r="P813" i="24"/>
  <c r="O813" i="24"/>
  <c r="M813" i="24"/>
  <c r="L813" i="24"/>
  <c r="K813" i="24"/>
  <c r="J813" i="24"/>
  <c r="I813" i="24"/>
  <c r="H813" i="24"/>
  <c r="F813" i="24"/>
  <c r="E813" i="24"/>
  <c r="R812" i="24"/>
  <c r="Q812" i="24"/>
  <c r="P812" i="24"/>
  <c r="O812" i="24"/>
  <c r="M812" i="24"/>
  <c r="L812" i="24"/>
  <c r="K812" i="24"/>
  <c r="J812" i="24"/>
  <c r="I812" i="24"/>
  <c r="H812" i="24"/>
  <c r="F812" i="24"/>
  <c r="E812" i="24"/>
  <c r="R811" i="24"/>
  <c r="Q811" i="24"/>
  <c r="P811" i="24"/>
  <c r="O811" i="24"/>
  <c r="M811" i="24"/>
  <c r="L811" i="24"/>
  <c r="K811" i="24"/>
  <c r="J811" i="24"/>
  <c r="I811" i="24"/>
  <c r="H811" i="24"/>
  <c r="F811" i="24"/>
  <c r="E811" i="24"/>
  <c r="R810" i="24"/>
  <c r="Q810" i="24"/>
  <c r="P810" i="24"/>
  <c r="O810" i="24"/>
  <c r="M810" i="24"/>
  <c r="L810" i="24"/>
  <c r="K810" i="24"/>
  <c r="J810" i="24"/>
  <c r="I810" i="24"/>
  <c r="H810" i="24"/>
  <c r="F810" i="24"/>
  <c r="E810" i="24"/>
  <c r="R809" i="24"/>
  <c r="Q809" i="24"/>
  <c r="P809" i="24"/>
  <c r="O809" i="24"/>
  <c r="M809" i="24"/>
  <c r="L809" i="24"/>
  <c r="K809" i="24"/>
  <c r="J809" i="24"/>
  <c r="I809" i="24"/>
  <c r="H809" i="24"/>
  <c r="F809" i="24"/>
  <c r="E809" i="24"/>
  <c r="R808" i="24"/>
  <c r="Q808" i="24"/>
  <c r="P808" i="24"/>
  <c r="O808" i="24"/>
  <c r="M808" i="24"/>
  <c r="L808" i="24"/>
  <c r="K808" i="24"/>
  <c r="J808" i="24"/>
  <c r="I808" i="24"/>
  <c r="H808" i="24"/>
  <c r="F808" i="24"/>
  <c r="E808" i="24"/>
  <c r="R807" i="24"/>
  <c r="Q807" i="24"/>
  <c r="P807" i="24"/>
  <c r="O807" i="24"/>
  <c r="M807" i="24"/>
  <c r="L807" i="24"/>
  <c r="K807" i="24"/>
  <c r="J807" i="24"/>
  <c r="I807" i="24"/>
  <c r="H807" i="24"/>
  <c r="F807" i="24"/>
  <c r="E807" i="24"/>
  <c r="R806" i="24"/>
  <c r="Q806" i="24"/>
  <c r="P806" i="24"/>
  <c r="O806" i="24"/>
  <c r="M806" i="24"/>
  <c r="L806" i="24"/>
  <c r="K806" i="24"/>
  <c r="J806" i="24"/>
  <c r="I806" i="24"/>
  <c r="H806" i="24"/>
  <c r="F806" i="24"/>
  <c r="E806" i="24"/>
  <c r="R805" i="24"/>
  <c r="Q805" i="24"/>
  <c r="P805" i="24"/>
  <c r="O805" i="24"/>
  <c r="M805" i="24"/>
  <c r="L805" i="24"/>
  <c r="K805" i="24"/>
  <c r="J805" i="24"/>
  <c r="I805" i="24"/>
  <c r="H805" i="24"/>
  <c r="F805" i="24"/>
  <c r="E805" i="24"/>
  <c r="R804" i="24"/>
  <c r="Q804" i="24"/>
  <c r="P804" i="24"/>
  <c r="O804" i="24"/>
  <c r="M804" i="24"/>
  <c r="L804" i="24"/>
  <c r="K804" i="24"/>
  <c r="J804" i="24"/>
  <c r="I804" i="24"/>
  <c r="H804" i="24"/>
  <c r="F804" i="24"/>
  <c r="E804" i="24"/>
  <c r="R803" i="24"/>
  <c r="Q803" i="24"/>
  <c r="P803" i="24"/>
  <c r="O803" i="24"/>
  <c r="M803" i="24"/>
  <c r="L803" i="24"/>
  <c r="K803" i="24"/>
  <c r="J803" i="24"/>
  <c r="I803" i="24"/>
  <c r="H803" i="24"/>
  <c r="F803" i="24"/>
  <c r="E803" i="24"/>
  <c r="R802" i="24"/>
  <c r="Q802" i="24"/>
  <c r="P802" i="24"/>
  <c r="O802" i="24"/>
  <c r="M802" i="24"/>
  <c r="L802" i="24"/>
  <c r="K802" i="24"/>
  <c r="J802" i="24"/>
  <c r="I802" i="24"/>
  <c r="H802" i="24"/>
  <c r="F802" i="24"/>
  <c r="E802" i="24"/>
  <c r="R801" i="24"/>
  <c r="Q801" i="24"/>
  <c r="P801" i="24"/>
  <c r="O801" i="24"/>
  <c r="M801" i="24"/>
  <c r="L801" i="24"/>
  <c r="K801" i="24"/>
  <c r="J801" i="24"/>
  <c r="I801" i="24"/>
  <c r="H801" i="24"/>
  <c r="F801" i="24"/>
  <c r="E801" i="24"/>
  <c r="R800" i="24"/>
  <c r="Q800" i="24"/>
  <c r="P800" i="24"/>
  <c r="O800" i="24"/>
  <c r="M800" i="24"/>
  <c r="L800" i="24"/>
  <c r="K800" i="24"/>
  <c r="J800" i="24"/>
  <c r="I800" i="24"/>
  <c r="H800" i="24"/>
  <c r="F800" i="24"/>
  <c r="E800" i="24"/>
  <c r="R799" i="24"/>
  <c r="Q799" i="24"/>
  <c r="P799" i="24"/>
  <c r="O799" i="24"/>
  <c r="M799" i="24"/>
  <c r="L799" i="24"/>
  <c r="K799" i="24"/>
  <c r="J799" i="24"/>
  <c r="I799" i="24"/>
  <c r="H799" i="24"/>
  <c r="F799" i="24"/>
  <c r="E799" i="24"/>
  <c r="R798" i="24"/>
  <c r="Q798" i="24"/>
  <c r="P798" i="24"/>
  <c r="O798" i="24"/>
  <c r="M798" i="24"/>
  <c r="L798" i="24"/>
  <c r="K798" i="24"/>
  <c r="J798" i="24"/>
  <c r="I798" i="24"/>
  <c r="H798" i="24"/>
  <c r="F798" i="24"/>
  <c r="E798" i="24"/>
  <c r="R797" i="24"/>
  <c r="Q797" i="24"/>
  <c r="P797" i="24"/>
  <c r="O797" i="24"/>
  <c r="M797" i="24"/>
  <c r="L797" i="24"/>
  <c r="K797" i="24"/>
  <c r="J797" i="24"/>
  <c r="I797" i="24"/>
  <c r="H797" i="24"/>
  <c r="F797" i="24"/>
  <c r="E797" i="24"/>
  <c r="R796" i="24"/>
  <c r="Q796" i="24"/>
  <c r="P796" i="24"/>
  <c r="O796" i="24"/>
  <c r="M796" i="24"/>
  <c r="L796" i="24"/>
  <c r="K796" i="24"/>
  <c r="J796" i="24"/>
  <c r="I796" i="24"/>
  <c r="H796" i="24"/>
  <c r="F796" i="24"/>
  <c r="E796" i="24"/>
  <c r="R795" i="24"/>
  <c r="Q795" i="24"/>
  <c r="P795" i="24"/>
  <c r="O795" i="24"/>
  <c r="M795" i="24"/>
  <c r="L795" i="24"/>
  <c r="K795" i="24"/>
  <c r="J795" i="24"/>
  <c r="I795" i="24"/>
  <c r="H795" i="24"/>
  <c r="F795" i="24"/>
  <c r="E795" i="24"/>
  <c r="R794" i="24"/>
  <c r="Q794" i="24"/>
  <c r="P794" i="24"/>
  <c r="O794" i="24"/>
  <c r="N794" i="24"/>
  <c r="M794" i="24"/>
  <c r="L794" i="24"/>
  <c r="K794" i="24"/>
  <c r="J794" i="24"/>
  <c r="I794" i="24"/>
  <c r="H794" i="24"/>
  <c r="F794" i="24"/>
  <c r="E794" i="24"/>
  <c r="R793" i="24"/>
  <c r="Q793" i="24"/>
  <c r="P793" i="24"/>
  <c r="O793" i="24"/>
  <c r="M793" i="24"/>
  <c r="L793" i="24"/>
  <c r="K793" i="24"/>
  <c r="J793" i="24"/>
  <c r="I793" i="24"/>
  <c r="H793" i="24"/>
  <c r="F793" i="24"/>
  <c r="E793" i="24"/>
  <c r="R792" i="24"/>
  <c r="Q792" i="24"/>
  <c r="P792" i="24"/>
  <c r="O792" i="24"/>
  <c r="M792" i="24"/>
  <c r="L792" i="24"/>
  <c r="K792" i="24"/>
  <c r="J792" i="24"/>
  <c r="I792" i="24"/>
  <c r="H792" i="24"/>
  <c r="F792" i="24"/>
  <c r="E792" i="24"/>
  <c r="R791" i="24"/>
  <c r="Q791" i="24"/>
  <c r="P791" i="24"/>
  <c r="O791" i="24"/>
  <c r="M791" i="24"/>
  <c r="L791" i="24"/>
  <c r="K791" i="24"/>
  <c r="J791" i="24"/>
  <c r="I791" i="24"/>
  <c r="H791" i="24"/>
  <c r="F791" i="24"/>
  <c r="E791" i="24"/>
  <c r="R790" i="24"/>
  <c r="Q790" i="24"/>
  <c r="P790" i="24"/>
  <c r="O790" i="24"/>
  <c r="M790" i="24"/>
  <c r="L790" i="24"/>
  <c r="K790" i="24"/>
  <c r="J790" i="24"/>
  <c r="I790" i="24"/>
  <c r="H790" i="24"/>
  <c r="F790" i="24"/>
  <c r="E790" i="24"/>
  <c r="R789" i="24"/>
  <c r="Q789" i="24"/>
  <c r="P789" i="24"/>
  <c r="O789" i="24"/>
  <c r="M789" i="24"/>
  <c r="L789" i="24"/>
  <c r="K789" i="24"/>
  <c r="J789" i="24"/>
  <c r="I789" i="24"/>
  <c r="H789" i="24"/>
  <c r="F789" i="24"/>
  <c r="E789" i="24"/>
  <c r="R788" i="24"/>
  <c r="Q788" i="24"/>
  <c r="P788" i="24"/>
  <c r="O788" i="24"/>
  <c r="M788" i="24"/>
  <c r="L788" i="24"/>
  <c r="K788" i="24"/>
  <c r="J788" i="24"/>
  <c r="I788" i="24"/>
  <c r="H788" i="24"/>
  <c r="F788" i="24"/>
  <c r="E788" i="24"/>
  <c r="R787" i="24"/>
  <c r="Q787" i="24"/>
  <c r="P787" i="24"/>
  <c r="O787" i="24"/>
  <c r="M787" i="24"/>
  <c r="L787" i="24"/>
  <c r="K787" i="24"/>
  <c r="J787" i="24"/>
  <c r="I787" i="24"/>
  <c r="H787" i="24"/>
  <c r="F787" i="24"/>
  <c r="E787" i="24"/>
  <c r="R786" i="24"/>
  <c r="Q786" i="24"/>
  <c r="P786" i="24"/>
  <c r="O786" i="24"/>
  <c r="M786" i="24"/>
  <c r="L786" i="24"/>
  <c r="K786" i="24"/>
  <c r="J786" i="24"/>
  <c r="I786" i="24"/>
  <c r="H786" i="24"/>
  <c r="F786" i="24"/>
  <c r="E786" i="24"/>
  <c r="R785" i="24"/>
  <c r="Q785" i="24"/>
  <c r="P785" i="24"/>
  <c r="O785" i="24"/>
  <c r="M785" i="24"/>
  <c r="L785" i="24"/>
  <c r="K785" i="24"/>
  <c r="J785" i="24"/>
  <c r="I785" i="24"/>
  <c r="H785" i="24"/>
  <c r="F785" i="24"/>
  <c r="E785" i="24"/>
  <c r="R784" i="24"/>
  <c r="Q784" i="24"/>
  <c r="P784" i="24"/>
  <c r="O784" i="24"/>
  <c r="M784" i="24"/>
  <c r="L784" i="24"/>
  <c r="K784" i="24"/>
  <c r="J784" i="24"/>
  <c r="I784" i="24"/>
  <c r="H784" i="24"/>
  <c r="F784" i="24"/>
  <c r="E784" i="24"/>
  <c r="R783" i="24"/>
  <c r="Q783" i="24"/>
  <c r="P783" i="24"/>
  <c r="O783" i="24"/>
  <c r="M783" i="24"/>
  <c r="L783" i="24"/>
  <c r="K783" i="24"/>
  <c r="J783" i="24"/>
  <c r="I783" i="24"/>
  <c r="H783" i="24"/>
  <c r="F783" i="24"/>
  <c r="E783" i="24"/>
  <c r="R782" i="24"/>
  <c r="Q782" i="24"/>
  <c r="P782" i="24"/>
  <c r="O782" i="24"/>
  <c r="M782" i="24"/>
  <c r="L782" i="24"/>
  <c r="K782" i="24"/>
  <c r="J782" i="24"/>
  <c r="I782" i="24"/>
  <c r="H782" i="24"/>
  <c r="F782" i="24"/>
  <c r="E782" i="24"/>
  <c r="R781" i="24"/>
  <c r="Q781" i="24"/>
  <c r="P781" i="24"/>
  <c r="O781" i="24"/>
  <c r="M781" i="24"/>
  <c r="L781" i="24"/>
  <c r="K781" i="24"/>
  <c r="J781" i="24"/>
  <c r="I781" i="24"/>
  <c r="H781" i="24"/>
  <c r="F781" i="24"/>
  <c r="E781" i="24"/>
  <c r="R780" i="24"/>
  <c r="Q780" i="24"/>
  <c r="P780" i="24"/>
  <c r="O780" i="24"/>
  <c r="M780" i="24"/>
  <c r="L780" i="24"/>
  <c r="K780" i="24"/>
  <c r="J780" i="24"/>
  <c r="I780" i="24"/>
  <c r="H780" i="24"/>
  <c r="F780" i="24"/>
  <c r="E780" i="24"/>
  <c r="R779" i="24"/>
  <c r="Q779" i="24"/>
  <c r="P779" i="24"/>
  <c r="O779" i="24"/>
  <c r="M779" i="24"/>
  <c r="L779" i="24"/>
  <c r="K779" i="24"/>
  <c r="J779" i="24"/>
  <c r="I779" i="24"/>
  <c r="H779" i="24"/>
  <c r="F779" i="24"/>
  <c r="E779" i="24"/>
  <c r="R778" i="24"/>
  <c r="Q778" i="24"/>
  <c r="P778" i="24"/>
  <c r="O778" i="24"/>
  <c r="M778" i="24"/>
  <c r="L778" i="24"/>
  <c r="K778" i="24"/>
  <c r="J778" i="24"/>
  <c r="I778" i="24"/>
  <c r="H778" i="24"/>
  <c r="F778" i="24"/>
  <c r="E778" i="24"/>
  <c r="R777" i="24"/>
  <c r="Q777" i="24"/>
  <c r="P777" i="24"/>
  <c r="O777" i="24"/>
  <c r="M777" i="24"/>
  <c r="L777" i="24"/>
  <c r="K777" i="24"/>
  <c r="J777" i="24"/>
  <c r="I777" i="24"/>
  <c r="H777" i="24"/>
  <c r="F777" i="24"/>
  <c r="E777" i="24"/>
  <c r="R776" i="24"/>
  <c r="Q776" i="24"/>
  <c r="P776" i="24"/>
  <c r="O776" i="24"/>
  <c r="M776" i="24"/>
  <c r="L776" i="24"/>
  <c r="K776" i="24"/>
  <c r="J776" i="24"/>
  <c r="I776" i="24"/>
  <c r="H776" i="24"/>
  <c r="F776" i="24"/>
  <c r="E776" i="24"/>
  <c r="R775" i="24"/>
  <c r="Q775" i="24"/>
  <c r="P775" i="24"/>
  <c r="O775" i="24"/>
  <c r="M775" i="24"/>
  <c r="L775" i="24"/>
  <c r="K775" i="24"/>
  <c r="J775" i="24"/>
  <c r="I775" i="24"/>
  <c r="H775" i="24"/>
  <c r="F775" i="24"/>
  <c r="E775" i="24"/>
  <c r="R774" i="24"/>
  <c r="Q774" i="24"/>
  <c r="P774" i="24"/>
  <c r="O774" i="24"/>
  <c r="M774" i="24"/>
  <c r="L774" i="24"/>
  <c r="K774" i="24"/>
  <c r="J774" i="24"/>
  <c r="I774" i="24"/>
  <c r="H774" i="24"/>
  <c r="F774" i="24"/>
  <c r="E774" i="24"/>
  <c r="R773" i="24"/>
  <c r="Q773" i="24"/>
  <c r="P773" i="24"/>
  <c r="O773" i="24"/>
  <c r="M773" i="24"/>
  <c r="L773" i="24"/>
  <c r="K773" i="24"/>
  <c r="J773" i="24"/>
  <c r="I773" i="24"/>
  <c r="H773" i="24"/>
  <c r="F773" i="24"/>
  <c r="E773" i="24"/>
  <c r="R772" i="24"/>
  <c r="Q772" i="24"/>
  <c r="P772" i="24"/>
  <c r="O772" i="24"/>
  <c r="M772" i="24"/>
  <c r="L772" i="24"/>
  <c r="K772" i="24"/>
  <c r="J772" i="24"/>
  <c r="I772" i="24"/>
  <c r="H772" i="24"/>
  <c r="F772" i="24"/>
  <c r="E772" i="24"/>
  <c r="R771" i="24"/>
  <c r="Q771" i="24"/>
  <c r="P771" i="24"/>
  <c r="O771" i="24"/>
  <c r="M771" i="24"/>
  <c r="L771" i="24"/>
  <c r="K771" i="24"/>
  <c r="J771" i="24"/>
  <c r="I771" i="24"/>
  <c r="H771" i="24"/>
  <c r="F771" i="24"/>
  <c r="E771" i="24"/>
  <c r="R770" i="24"/>
  <c r="Q770" i="24"/>
  <c r="P770" i="24"/>
  <c r="O770" i="24"/>
  <c r="M770" i="24"/>
  <c r="L770" i="24"/>
  <c r="K770" i="24"/>
  <c r="J770" i="24"/>
  <c r="I770" i="24"/>
  <c r="H770" i="24"/>
  <c r="F770" i="24"/>
  <c r="E770" i="24"/>
  <c r="R769" i="24"/>
  <c r="Q769" i="24"/>
  <c r="P769" i="24"/>
  <c r="O769" i="24"/>
  <c r="M769" i="24"/>
  <c r="L769" i="24"/>
  <c r="K769" i="24"/>
  <c r="J769" i="24"/>
  <c r="I769" i="24"/>
  <c r="H769" i="24"/>
  <c r="F769" i="24"/>
  <c r="E769" i="24"/>
  <c r="R768" i="24"/>
  <c r="Q768" i="24"/>
  <c r="P768" i="24"/>
  <c r="O768" i="24"/>
  <c r="M768" i="24"/>
  <c r="L768" i="24"/>
  <c r="K768" i="24"/>
  <c r="J768" i="24"/>
  <c r="I768" i="24"/>
  <c r="H768" i="24"/>
  <c r="F768" i="24"/>
  <c r="E768" i="24"/>
  <c r="R767" i="24"/>
  <c r="Q767" i="24"/>
  <c r="P767" i="24"/>
  <c r="O767" i="24"/>
  <c r="M767" i="24"/>
  <c r="L767" i="24"/>
  <c r="K767" i="24"/>
  <c r="J767" i="24"/>
  <c r="I767" i="24"/>
  <c r="H767" i="24"/>
  <c r="F767" i="24"/>
  <c r="E767" i="24"/>
  <c r="R766" i="24"/>
  <c r="Q766" i="24"/>
  <c r="P766" i="24"/>
  <c r="O766" i="24"/>
  <c r="M766" i="24"/>
  <c r="L766" i="24"/>
  <c r="K766" i="24"/>
  <c r="J766" i="24"/>
  <c r="I766" i="24"/>
  <c r="H766" i="24"/>
  <c r="F766" i="24"/>
  <c r="E766" i="24"/>
  <c r="R765" i="24"/>
  <c r="Q765" i="24"/>
  <c r="P765" i="24"/>
  <c r="O765" i="24"/>
  <c r="M765" i="24"/>
  <c r="L765" i="24"/>
  <c r="K765" i="24"/>
  <c r="J765" i="24"/>
  <c r="I765" i="24"/>
  <c r="H765" i="24"/>
  <c r="F765" i="24"/>
  <c r="E765" i="24"/>
  <c r="R764" i="24"/>
  <c r="Q764" i="24"/>
  <c r="P764" i="24"/>
  <c r="O764" i="24"/>
  <c r="M764" i="24"/>
  <c r="L764" i="24"/>
  <c r="K764" i="24"/>
  <c r="J764" i="24"/>
  <c r="I764" i="24"/>
  <c r="H764" i="24"/>
  <c r="F764" i="24"/>
  <c r="E764" i="24"/>
  <c r="R763" i="24"/>
  <c r="Q763" i="24"/>
  <c r="P763" i="24"/>
  <c r="O763" i="24"/>
  <c r="M763" i="24"/>
  <c r="L763" i="24"/>
  <c r="K763" i="24"/>
  <c r="J763" i="24"/>
  <c r="I763" i="24"/>
  <c r="H763" i="24"/>
  <c r="F763" i="24"/>
  <c r="E763" i="24"/>
  <c r="R762" i="24"/>
  <c r="Q762" i="24"/>
  <c r="P762" i="24"/>
  <c r="O762" i="24"/>
  <c r="M762" i="24"/>
  <c r="L762" i="24"/>
  <c r="K762" i="24"/>
  <c r="J762" i="24"/>
  <c r="I762" i="24"/>
  <c r="H762" i="24"/>
  <c r="F762" i="24"/>
  <c r="E762" i="24"/>
  <c r="R761" i="24"/>
  <c r="Q761" i="24"/>
  <c r="P761" i="24"/>
  <c r="O761" i="24"/>
  <c r="M761" i="24"/>
  <c r="L761" i="24"/>
  <c r="K761" i="24"/>
  <c r="J761" i="24"/>
  <c r="I761" i="24"/>
  <c r="H761" i="24"/>
  <c r="F761" i="24"/>
  <c r="E761" i="24"/>
  <c r="R760" i="24"/>
  <c r="Q760" i="24"/>
  <c r="P760" i="24"/>
  <c r="O760" i="24"/>
  <c r="M760" i="24"/>
  <c r="L760" i="24"/>
  <c r="K760" i="24"/>
  <c r="J760" i="24"/>
  <c r="I760" i="24"/>
  <c r="H760" i="24"/>
  <c r="F760" i="24"/>
  <c r="E760" i="24"/>
  <c r="R759" i="24"/>
  <c r="Q759" i="24"/>
  <c r="P759" i="24"/>
  <c r="O759" i="24"/>
  <c r="M759" i="24"/>
  <c r="L759" i="24"/>
  <c r="K759" i="24"/>
  <c r="J759" i="24"/>
  <c r="I759" i="24"/>
  <c r="H759" i="24"/>
  <c r="F759" i="24"/>
  <c r="E759" i="24"/>
  <c r="R758" i="24"/>
  <c r="Q758" i="24"/>
  <c r="P758" i="24"/>
  <c r="O758" i="24"/>
  <c r="M758" i="24"/>
  <c r="L758" i="24"/>
  <c r="K758" i="24"/>
  <c r="J758" i="24"/>
  <c r="I758" i="24"/>
  <c r="H758" i="24"/>
  <c r="F758" i="24"/>
  <c r="E758" i="24"/>
  <c r="R757" i="24"/>
  <c r="Q757" i="24"/>
  <c r="P757" i="24"/>
  <c r="O757" i="24"/>
  <c r="M757" i="24"/>
  <c r="L757" i="24"/>
  <c r="K757" i="24"/>
  <c r="J757" i="24"/>
  <c r="I757" i="24"/>
  <c r="H757" i="24"/>
  <c r="F757" i="24"/>
  <c r="E757" i="24"/>
  <c r="R756" i="24"/>
  <c r="Q756" i="24"/>
  <c r="P756" i="24"/>
  <c r="O756" i="24"/>
  <c r="M756" i="24"/>
  <c r="L756" i="24"/>
  <c r="K756" i="24"/>
  <c r="J756" i="24"/>
  <c r="I756" i="24"/>
  <c r="H756" i="24"/>
  <c r="F756" i="24"/>
  <c r="E756" i="24"/>
  <c r="R755" i="24"/>
  <c r="Q755" i="24"/>
  <c r="P755" i="24"/>
  <c r="O755" i="24"/>
  <c r="M755" i="24"/>
  <c r="L755" i="24"/>
  <c r="K755" i="24"/>
  <c r="J755" i="24"/>
  <c r="I755" i="24"/>
  <c r="H755" i="24"/>
  <c r="F755" i="24"/>
  <c r="E755" i="24"/>
  <c r="R754" i="24"/>
  <c r="Q754" i="24"/>
  <c r="P754" i="24"/>
  <c r="O754" i="24"/>
  <c r="M754" i="24"/>
  <c r="L754" i="24"/>
  <c r="K754" i="24"/>
  <c r="J754" i="24"/>
  <c r="I754" i="24"/>
  <c r="H754" i="24"/>
  <c r="F754" i="24"/>
  <c r="E754" i="24"/>
  <c r="R753" i="24"/>
  <c r="Q753" i="24"/>
  <c r="P753" i="24"/>
  <c r="O753" i="24"/>
  <c r="M753" i="24"/>
  <c r="L753" i="24"/>
  <c r="K753" i="24"/>
  <c r="J753" i="24"/>
  <c r="I753" i="24"/>
  <c r="H753" i="24"/>
  <c r="F753" i="24"/>
  <c r="E753" i="24"/>
  <c r="R752" i="24"/>
  <c r="Q752" i="24"/>
  <c r="P752" i="24"/>
  <c r="O752" i="24"/>
  <c r="M752" i="24"/>
  <c r="L752" i="24"/>
  <c r="K752" i="24"/>
  <c r="J752" i="24"/>
  <c r="I752" i="24"/>
  <c r="H752" i="24"/>
  <c r="F752" i="24"/>
  <c r="E752" i="24"/>
  <c r="R751" i="24"/>
  <c r="Q751" i="24"/>
  <c r="P751" i="24"/>
  <c r="O751" i="24"/>
  <c r="M751" i="24"/>
  <c r="L751" i="24"/>
  <c r="K751" i="24"/>
  <c r="J751" i="24"/>
  <c r="I751" i="24"/>
  <c r="H751" i="24"/>
  <c r="F751" i="24"/>
  <c r="E751" i="24"/>
  <c r="R750" i="24"/>
  <c r="Q750" i="24"/>
  <c r="P750" i="24"/>
  <c r="O750" i="24"/>
  <c r="M750" i="24"/>
  <c r="L750" i="24"/>
  <c r="K750" i="24"/>
  <c r="J750" i="24"/>
  <c r="I750" i="24"/>
  <c r="H750" i="24"/>
  <c r="F750" i="24"/>
  <c r="E750" i="24"/>
  <c r="R749" i="24"/>
  <c r="Q749" i="24"/>
  <c r="P749" i="24"/>
  <c r="O749" i="24"/>
  <c r="M749" i="24"/>
  <c r="L749" i="24"/>
  <c r="K749" i="24"/>
  <c r="J749" i="24"/>
  <c r="I749" i="24"/>
  <c r="H749" i="24"/>
  <c r="F749" i="24"/>
  <c r="E749" i="24"/>
  <c r="R748" i="24"/>
  <c r="Q748" i="24"/>
  <c r="P748" i="24"/>
  <c r="O748" i="24"/>
  <c r="M748" i="24"/>
  <c r="L748" i="24"/>
  <c r="K748" i="24"/>
  <c r="J748" i="24"/>
  <c r="I748" i="24"/>
  <c r="H748" i="24"/>
  <c r="F748" i="24"/>
  <c r="E748" i="24"/>
  <c r="R747" i="24"/>
  <c r="Q747" i="24"/>
  <c r="P747" i="24"/>
  <c r="O747" i="24"/>
  <c r="M747" i="24"/>
  <c r="L747" i="24"/>
  <c r="K747" i="24"/>
  <c r="J747" i="24"/>
  <c r="I747" i="24"/>
  <c r="H747" i="24"/>
  <c r="F747" i="24"/>
  <c r="E747" i="24"/>
  <c r="R746" i="24"/>
  <c r="Q746" i="24"/>
  <c r="P746" i="24"/>
  <c r="O746" i="24"/>
  <c r="M746" i="24"/>
  <c r="L746" i="24"/>
  <c r="K746" i="24"/>
  <c r="J746" i="24"/>
  <c r="I746" i="24"/>
  <c r="H746" i="24"/>
  <c r="F746" i="24"/>
  <c r="E746" i="24"/>
  <c r="R745" i="24"/>
  <c r="Q745" i="24"/>
  <c r="P745" i="24"/>
  <c r="O745" i="24"/>
  <c r="M745" i="24"/>
  <c r="L745" i="24"/>
  <c r="K745" i="24"/>
  <c r="J745" i="24"/>
  <c r="I745" i="24"/>
  <c r="H745" i="24"/>
  <c r="F745" i="24"/>
  <c r="E745" i="24"/>
  <c r="R744" i="24"/>
  <c r="Q744" i="24"/>
  <c r="P744" i="24"/>
  <c r="O744" i="24"/>
  <c r="M744" i="24"/>
  <c r="L744" i="24"/>
  <c r="K744" i="24"/>
  <c r="J744" i="24"/>
  <c r="I744" i="24"/>
  <c r="H744" i="24"/>
  <c r="F744" i="24"/>
  <c r="E744" i="24"/>
  <c r="R743" i="24"/>
  <c r="Q743" i="24"/>
  <c r="P743" i="24"/>
  <c r="O743" i="24"/>
  <c r="M743" i="24"/>
  <c r="L743" i="24"/>
  <c r="K743" i="24"/>
  <c r="J743" i="24"/>
  <c r="I743" i="24"/>
  <c r="H743" i="24"/>
  <c r="F743" i="24"/>
  <c r="E743" i="24"/>
  <c r="R742" i="24"/>
  <c r="Q742" i="24"/>
  <c r="P742" i="24"/>
  <c r="O742" i="24"/>
  <c r="M742" i="24"/>
  <c r="L742" i="24"/>
  <c r="K742" i="24"/>
  <c r="J742" i="24"/>
  <c r="I742" i="24"/>
  <c r="H742" i="24"/>
  <c r="F742" i="24"/>
  <c r="E742" i="24"/>
  <c r="R741" i="24"/>
  <c r="Q741" i="24"/>
  <c r="P741" i="24"/>
  <c r="O741" i="24"/>
  <c r="M741" i="24"/>
  <c r="L741" i="24"/>
  <c r="K741" i="24"/>
  <c r="J741" i="24"/>
  <c r="I741" i="24"/>
  <c r="H741" i="24"/>
  <c r="F741" i="24"/>
  <c r="E741" i="24"/>
  <c r="R740" i="24"/>
  <c r="Q740" i="24"/>
  <c r="P740" i="24"/>
  <c r="O740" i="24"/>
  <c r="M740" i="24"/>
  <c r="L740" i="24"/>
  <c r="K740" i="24"/>
  <c r="J740" i="24"/>
  <c r="I740" i="24"/>
  <c r="H740" i="24"/>
  <c r="F740" i="24"/>
  <c r="E740" i="24"/>
  <c r="R739" i="24"/>
  <c r="Q739" i="24"/>
  <c r="P739" i="24"/>
  <c r="O739" i="24"/>
  <c r="M739" i="24"/>
  <c r="L739" i="24"/>
  <c r="K739" i="24"/>
  <c r="J739" i="24"/>
  <c r="I739" i="24"/>
  <c r="H739" i="24"/>
  <c r="F739" i="24"/>
  <c r="E739" i="24"/>
  <c r="R738" i="24"/>
  <c r="Q738" i="24"/>
  <c r="P738" i="24"/>
  <c r="O738" i="24"/>
  <c r="M738" i="24"/>
  <c r="L738" i="24"/>
  <c r="K738" i="24"/>
  <c r="J738" i="24"/>
  <c r="I738" i="24"/>
  <c r="H738" i="24"/>
  <c r="F738" i="24"/>
  <c r="E738" i="24"/>
  <c r="R737" i="24"/>
  <c r="Q737" i="24"/>
  <c r="P737" i="24"/>
  <c r="O737" i="24"/>
  <c r="M737" i="24"/>
  <c r="L737" i="24"/>
  <c r="K737" i="24"/>
  <c r="J737" i="24"/>
  <c r="I737" i="24"/>
  <c r="H737" i="24"/>
  <c r="F737" i="24"/>
  <c r="E737" i="24"/>
  <c r="R736" i="24"/>
  <c r="Q736" i="24"/>
  <c r="P736" i="24"/>
  <c r="O736" i="24"/>
  <c r="M736" i="24"/>
  <c r="L736" i="24"/>
  <c r="K736" i="24"/>
  <c r="J736" i="24"/>
  <c r="I736" i="24"/>
  <c r="H736" i="24"/>
  <c r="F736" i="24"/>
  <c r="E736" i="24"/>
  <c r="R735" i="24"/>
  <c r="Q735" i="24"/>
  <c r="P735" i="24"/>
  <c r="O735" i="24"/>
  <c r="M735" i="24"/>
  <c r="L735" i="24"/>
  <c r="K735" i="24"/>
  <c r="J735" i="24"/>
  <c r="I735" i="24"/>
  <c r="H735" i="24"/>
  <c r="F735" i="24"/>
  <c r="E735" i="24"/>
  <c r="R734" i="24"/>
  <c r="Q734" i="24"/>
  <c r="P734" i="24"/>
  <c r="O734" i="24"/>
  <c r="M734" i="24"/>
  <c r="L734" i="24"/>
  <c r="K734" i="24"/>
  <c r="J734" i="24"/>
  <c r="I734" i="24"/>
  <c r="H734" i="24"/>
  <c r="F734" i="24"/>
  <c r="E734" i="24"/>
  <c r="R733" i="24"/>
  <c r="Q733" i="24"/>
  <c r="P733" i="24"/>
  <c r="O733" i="24"/>
  <c r="M733" i="24"/>
  <c r="L733" i="24"/>
  <c r="K733" i="24"/>
  <c r="J733" i="24"/>
  <c r="I733" i="24"/>
  <c r="H733" i="24"/>
  <c r="F733" i="24"/>
  <c r="E733" i="24"/>
  <c r="R732" i="24"/>
  <c r="Q732" i="24"/>
  <c r="P732" i="24"/>
  <c r="O732" i="24"/>
  <c r="M732" i="24"/>
  <c r="L732" i="24"/>
  <c r="K732" i="24"/>
  <c r="J732" i="24"/>
  <c r="I732" i="24"/>
  <c r="H732" i="24"/>
  <c r="F732" i="24"/>
  <c r="E732" i="24"/>
  <c r="R731" i="24"/>
  <c r="Q731" i="24"/>
  <c r="P731" i="24"/>
  <c r="O731" i="24"/>
  <c r="M731" i="24"/>
  <c r="L731" i="24"/>
  <c r="K731" i="24"/>
  <c r="J731" i="24"/>
  <c r="I731" i="24"/>
  <c r="H731" i="24"/>
  <c r="F731" i="24"/>
  <c r="E731" i="24"/>
  <c r="R730" i="24"/>
  <c r="Q730" i="24"/>
  <c r="P730" i="24"/>
  <c r="O730" i="24"/>
  <c r="M730" i="24"/>
  <c r="L730" i="24"/>
  <c r="K730" i="24"/>
  <c r="J730" i="24"/>
  <c r="I730" i="24"/>
  <c r="H730" i="24"/>
  <c r="F730" i="24"/>
  <c r="E730" i="24"/>
  <c r="R729" i="24"/>
  <c r="Q729" i="24"/>
  <c r="P729" i="24"/>
  <c r="O729" i="24"/>
  <c r="M729" i="24"/>
  <c r="L729" i="24"/>
  <c r="K729" i="24"/>
  <c r="J729" i="24"/>
  <c r="I729" i="24"/>
  <c r="H729" i="24"/>
  <c r="F729" i="24"/>
  <c r="E729" i="24"/>
  <c r="R728" i="24"/>
  <c r="Q728" i="24"/>
  <c r="P728" i="24"/>
  <c r="O728" i="24"/>
  <c r="M728" i="24"/>
  <c r="L728" i="24"/>
  <c r="K728" i="24"/>
  <c r="J728" i="24"/>
  <c r="I728" i="24"/>
  <c r="H728" i="24"/>
  <c r="F728" i="24"/>
  <c r="E728" i="24"/>
  <c r="R727" i="24"/>
  <c r="Q727" i="24"/>
  <c r="P727" i="24"/>
  <c r="O727" i="24"/>
  <c r="M727" i="24"/>
  <c r="L727" i="24"/>
  <c r="K727" i="24"/>
  <c r="J727" i="24"/>
  <c r="I727" i="24"/>
  <c r="H727" i="24"/>
  <c r="F727" i="24"/>
  <c r="E727" i="24"/>
  <c r="R726" i="24"/>
  <c r="Q726" i="24"/>
  <c r="P726" i="24"/>
  <c r="O726" i="24"/>
  <c r="M726" i="24"/>
  <c r="L726" i="24"/>
  <c r="K726" i="24"/>
  <c r="J726" i="24"/>
  <c r="I726" i="24"/>
  <c r="H726" i="24"/>
  <c r="F726" i="24"/>
  <c r="E726" i="24"/>
  <c r="R725" i="24"/>
  <c r="Q725" i="24"/>
  <c r="P725" i="24"/>
  <c r="O725" i="24"/>
  <c r="M725" i="24"/>
  <c r="L725" i="24"/>
  <c r="K725" i="24"/>
  <c r="J725" i="24"/>
  <c r="I725" i="24"/>
  <c r="H725" i="24"/>
  <c r="F725" i="24"/>
  <c r="E725" i="24"/>
  <c r="R724" i="24"/>
  <c r="Q724" i="24"/>
  <c r="P724" i="24"/>
  <c r="O724" i="24"/>
  <c r="M724" i="24"/>
  <c r="L724" i="24"/>
  <c r="K724" i="24"/>
  <c r="J724" i="24"/>
  <c r="I724" i="24"/>
  <c r="H724" i="24"/>
  <c r="F724" i="24"/>
  <c r="E724" i="24"/>
  <c r="R723" i="24"/>
  <c r="Q723" i="24"/>
  <c r="P723" i="24"/>
  <c r="O723" i="24"/>
  <c r="M723" i="24"/>
  <c r="L723" i="24"/>
  <c r="K723" i="24"/>
  <c r="J723" i="24"/>
  <c r="I723" i="24"/>
  <c r="H723" i="24"/>
  <c r="F723" i="24"/>
  <c r="E723" i="24"/>
  <c r="R722" i="24"/>
  <c r="Q722" i="24"/>
  <c r="P722" i="24"/>
  <c r="O722" i="24"/>
  <c r="M722" i="24"/>
  <c r="L722" i="24"/>
  <c r="K722" i="24"/>
  <c r="J722" i="24"/>
  <c r="I722" i="24"/>
  <c r="H722" i="24"/>
  <c r="F722" i="24"/>
  <c r="E722" i="24"/>
  <c r="R721" i="24"/>
  <c r="Q721" i="24"/>
  <c r="P721" i="24"/>
  <c r="O721" i="24"/>
  <c r="M721" i="24"/>
  <c r="L721" i="24"/>
  <c r="K721" i="24"/>
  <c r="J721" i="24"/>
  <c r="I721" i="24"/>
  <c r="H721" i="24"/>
  <c r="F721" i="24"/>
  <c r="E721" i="24"/>
  <c r="R720" i="24"/>
  <c r="Q720" i="24"/>
  <c r="P720" i="24"/>
  <c r="O720" i="24"/>
  <c r="M720" i="24"/>
  <c r="L720" i="24"/>
  <c r="K720" i="24"/>
  <c r="J720" i="24"/>
  <c r="I720" i="24"/>
  <c r="H720" i="24"/>
  <c r="F720" i="24"/>
  <c r="E720" i="24"/>
  <c r="R719" i="24"/>
  <c r="Q719" i="24"/>
  <c r="P719" i="24"/>
  <c r="O719" i="24"/>
  <c r="M719" i="24"/>
  <c r="L719" i="24"/>
  <c r="K719" i="24"/>
  <c r="J719" i="24"/>
  <c r="I719" i="24"/>
  <c r="H719" i="24"/>
  <c r="F719" i="24"/>
  <c r="E719" i="24"/>
  <c r="R718" i="24"/>
  <c r="Q718" i="24"/>
  <c r="P718" i="24"/>
  <c r="O718" i="24"/>
  <c r="M718" i="24"/>
  <c r="L718" i="24"/>
  <c r="K718" i="24"/>
  <c r="J718" i="24"/>
  <c r="I718" i="24"/>
  <c r="H718" i="24"/>
  <c r="F718" i="24"/>
  <c r="E718" i="24"/>
  <c r="R717" i="24"/>
  <c r="Q717" i="24"/>
  <c r="P717" i="24"/>
  <c r="O717" i="24"/>
  <c r="M717" i="24"/>
  <c r="L717" i="24"/>
  <c r="K717" i="24"/>
  <c r="J717" i="24"/>
  <c r="I717" i="24"/>
  <c r="H717" i="24"/>
  <c r="F717" i="24"/>
  <c r="E717" i="24"/>
  <c r="R716" i="24"/>
  <c r="Q716" i="24"/>
  <c r="P716" i="24"/>
  <c r="O716" i="24"/>
  <c r="M716" i="24"/>
  <c r="L716" i="24"/>
  <c r="K716" i="24"/>
  <c r="J716" i="24"/>
  <c r="I716" i="24"/>
  <c r="H716" i="24"/>
  <c r="F716" i="24"/>
  <c r="E716" i="24"/>
  <c r="R715" i="24"/>
  <c r="Q715" i="24"/>
  <c r="P715" i="24"/>
  <c r="O715" i="24"/>
  <c r="M715" i="24"/>
  <c r="L715" i="24"/>
  <c r="K715" i="24"/>
  <c r="J715" i="24"/>
  <c r="I715" i="24"/>
  <c r="H715" i="24"/>
  <c r="F715" i="24"/>
  <c r="E715" i="24"/>
  <c r="R714" i="24"/>
  <c r="Q714" i="24"/>
  <c r="P714" i="24"/>
  <c r="O714" i="24"/>
  <c r="M714" i="24"/>
  <c r="L714" i="24"/>
  <c r="K714" i="24"/>
  <c r="J714" i="24"/>
  <c r="I714" i="24"/>
  <c r="H714" i="24"/>
  <c r="F714" i="24"/>
  <c r="E714" i="24"/>
  <c r="R713" i="24"/>
  <c r="Q713" i="24"/>
  <c r="P713" i="24"/>
  <c r="O713" i="24"/>
  <c r="M713" i="24"/>
  <c r="L713" i="24"/>
  <c r="K713" i="24"/>
  <c r="J713" i="24"/>
  <c r="I713" i="24"/>
  <c r="H713" i="24"/>
  <c r="F713" i="24"/>
  <c r="E713" i="24"/>
  <c r="R712" i="24"/>
  <c r="Q712" i="24"/>
  <c r="P712" i="24"/>
  <c r="O712" i="24"/>
  <c r="M712" i="24"/>
  <c r="L712" i="24"/>
  <c r="K712" i="24"/>
  <c r="J712" i="24"/>
  <c r="I712" i="24"/>
  <c r="H712" i="24"/>
  <c r="F712" i="24"/>
  <c r="E712" i="24"/>
  <c r="R711" i="24"/>
  <c r="Q711" i="24"/>
  <c r="P711" i="24"/>
  <c r="O711" i="24"/>
  <c r="M711" i="24"/>
  <c r="L711" i="24"/>
  <c r="K711" i="24"/>
  <c r="J711" i="24"/>
  <c r="I711" i="24"/>
  <c r="H711" i="24"/>
  <c r="F711" i="24"/>
  <c r="E711" i="24"/>
  <c r="R710" i="24"/>
  <c r="Q710" i="24"/>
  <c r="P710" i="24"/>
  <c r="O710" i="24"/>
  <c r="M710" i="24"/>
  <c r="L710" i="24"/>
  <c r="K710" i="24"/>
  <c r="J710" i="24"/>
  <c r="I710" i="24"/>
  <c r="H710" i="24"/>
  <c r="F710" i="24"/>
  <c r="E710" i="24"/>
  <c r="R709" i="24"/>
  <c r="Q709" i="24"/>
  <c r="P709" i="24"/>
  <c r="O709" i="24"/>
  <c r="M709" i="24"/>
  <c r="L709" i="24"/>
  <c r="K709" i="24"/>
  <c r="J709" i="24"/>
  <c r="I709" i="24"/>
  <c r="H709" i="24"/>
  <c r="F709" i="24"/>
  <c r="E709" i="24"/>
  <c r="R708" i="24"/>
  <c r="Q708" i="24"/>
  <c r="P708" i="24"/>
  <c r="O708" i="24"/>
  <c r="M708" i="24"/>
  <c r="L708" i="24"/>
  <c r="K708" i="24"/>
  <c r="J708" i="24"/>
  <c r="I708" i="24"/>
  <c r="H708" i="24"/>
  <c r="F708" i="24"/>
  <c r="E708" i="24"/>
  <c r="R707" i="24"/>
  <c r="Q707" i="24"/>
  <c r="P707" i="24"/>
  <c r="O707" i="24"/>
  <c r="M707" i="24"/>
  <c r="L707" i="24"/>
  <c r="K707" i="24"/>
  <c r="J707" i="24"/>
  <c r="I707" i="24"/>
  <c r="H707" i="24"/>
  <c r="F707" i="24"/>
  <c r="E707" i="24"/>
  <c r="R706" i="24"/>
  <c r="Q706" i="24"/>
  <c r="P706" i="24"/>
  <c r="O706" i="24"/>
  <c r="M706" i="24"/>
  <c r="L706" i="24"/>
  <c r="K706" i="24"/>
  <c r="J706" i="24"/>
  <c r="I706" i="24"/>
  <c r="H706" i="24"/>
  <c r="F706" i="24"/>
  <c r="E706" i="24"/>
  <c r="R705" i="24"/>
  <c r="Q705" i="24"/>
  <c r="P705" i="24"/>
  <c r="O705" i="24"/>
  <c r="M705" i="24"/>
  <c r="L705" i="24"/>
  <c r="K705" i="24"/>
  <c r="J705" i="24"/>
  <c r="I705" i="24"/>
  <c r="H705" i="24"/>
  <c r="F705" i="24"/>
  <c r="E705" i="24"/>
  <c r="R704" i="24"/>
  <c r="Q704" i="24"/>
  <c r="P704" i="24"/>
  <c r="O704" i="24"/>
  <c r="M704" i="24"/>
  <c r="L704" i="24"/>
  <c r="K704" i="24"/>
  <c r="J704" i="24"/>
  <c r="I704" i="24"/>
  <c r="H704" i="24"/>
  <c r="F704" i="24"/>
  <c r="E704" i="24"/>
  <c r="R703" i="24"/>
  <c r="Q703" i="24"/>
  <c r="P703" i="24"/>
  <c r="O703" i="24"/>
  <c r="M703" i="24"/>
  <c r="L703" i="24"/>
  <c r="K703" i="24"/>
  <c r="J703" i="24"/>
  <c r="I703" i="24"/>
  <c r="H703" i="24"/>
  <c r="F703" i="24"/>
  <c r="E703" i="24"/>
  <c r="R702" i="24"/>
  <c r="Q702" i="24"/>
  <c r="P702" i="24"/>
  <c r="O702" i="24"/>
  <c r="M702" i="24"/>
  <c r="L702" i="24"/>
  <c r="K702" i="24"/>
  <c r="J702" i="24"/>
  <c r="I702" i="24"/>
  <c r="H702" i="24"/>
  <c r="F702" i="24"/>
  <c r="E702" i="24"/>
  <c r="R701" i="24"/>
  <c r="Q701" i="24"/>
  <c r="P701" i="24"/>
  <c r="O701" i="24"/>
  <c r="M701" i="24"/>
  <c r="L701" i="24"/>
  <c r="K701" i="24"/>
  <c r="J701" i="24"/>
  <c r="I701" i="24"/>
  <c r="H701" i="24"/>
  <c r="F701" i="24"/>
  <c r="E701" i="24"/>
  <c r="R700" i="24"/>
  <c r="Q700" i="24"/>
  <c r="P700" i="24"/>
  <c r="O700" i="24"/>
  <c r="M700" i="24"/>
  <c r="L700" i="24"/>
  <c r="K700" i="24"/>
  <c r="J700" i="24"/>
  <c r="I700" i="24"/>
  <c r="H700" i="24"/>
  <c r="F700" i="24"/>
  <c r="E700" i="24"/>
  <c r="R699" i="24"/>
  <c r="Q699" i="24"/>
  <c r="P699" i="24"/>
  <c r="O699" i="24"/>
  <c r="M699" i="24"/>
  <c r="L699" i="24"/>
  <c r="K699" i="24"/>
  <c r="J699" i="24"/>
  <c r="I699" i="24"/>
  <c r="H699" i="24"/>
  <c r="F699" i="24"/>
  <c r="E699" i="24"/>
  <c r="R698" i="24"/>
  <c r="Q698" i="24"/>
  <c r="P698" i="24"/>
  <c r="O698" i="24"/>
  <c r="M698" i="24"/>
  <c r="L698" i="24"/>
  <c r="K698" i="24"/>
  <c r="J698" i="24"/>
  <c r="I698" i="24"/>
  <c r="H698" i="24"/>
  <c r="F698" i="24"/>
  <c r="E698" i="24"/>
  <c r="R697" i="24"/>
  <c r="Q697" i="24"/>
  <c r="P697" i="24"/>
  <c r="O697" i="24"/>
  <c r="M697" i="24"/>
  <c r="L697" i="24"/>
  <c r="K697" i="24"/>
  <c r="J697" i="24"/>
  <c r="I697" i="24"/>
  <c r="H697" i="24"/>
  <c r="F697" i="24"/>
  <c r="E697" i="24"/>
  <c r="R696" i="24"/>
  <c r="Q696" i="24"/>
  <c r="P696" i="24"/>
  <c r="O696" i="24"/>
  <c r="M696" i="24"/>
  <c r="L696" i="24"/>
  <c r="K696" i="24"/>
  <c r="J696" i="24"/>
  <c r="I696" i="24"/>
  <c r="H696" i="24"/>
  <c r="F696" i="24"/>
  <c r="E696" i="24"/>
  <c r="R695" i="24"/>
  <c r="Q695" i="24"/>
  <c r="P695" i="24"/>
  <c r="O695" i="24"/>
  <c r="M695" i="24"/>
  <c r="L695" i="24"/>
  <c r="K695" i="24"/>
  <c r="J695" i="24"/>
  <c r="I695" i="24"/>
  <c r="H695" i="24"/>
  <c r="F695" i="24"/>
  <c r="E695" i="24"/>
  <c r="R694" i="24"/>
  <c r="Q694" i="24"/>
  <c r="P694" i="24"/>
  <c r="O694" i="24"/>
  <c r="M694" i="24"/>
  <c r="L694" i="24"/>
  <c r="K694" i="24"/>
  <c r="J694" i="24"/>
  <c r="I694" i="24"/>
  <c r="H694" i="24"/>
  <c r="F694" i="24"/>
  <c r="E694" i="24"/>
  <c r="R693" i="24"/>
  <c r="Q693" i="24"/>
  <c r="P693" i="24"/>
  <c r="O693" i="24"/>
  <c r="M693" i="24"/>
  <c r="L693" i="24"/>
  <c r="K693" i="24"/>
  <c r="J693" i="24"/>
  <c r="I693" i="24"/>
  <c r="H693" i="24"/>
  <c r="F693" i="24"/>
  <c r="E693" i="24"/>
  <c r="R692" i="24"/>
  <c r="Q692" i="24"/>
  <c r="P692" i="24"/>
  <c r="O692" i="24"/>
  <c r="M692" i="24"/>
  <c r="L692" i="24"/>
  <c r="K692" i="24"/>
  <c r="J692" i="24"/>
  <c r="I692" i="24"/>
  <c r="H692" i="24"/>
  <c r="F692" i="24"/>
  <c r="E692" i="24"/>
  <c r="R691" i="24"/>
  <c r="Q691" i="24"/>
  <c r="P691" i="24"/>
  <c r="O691" i="24"/>
  <c r="M691" i="24"/>
  <c r="L691" i="24"/>
  <c r="K691" i="24"/>
  <c r="J691" i="24"/>
  <c r="I691" i="24"/>
  <c r="H691" i="24"/>
  <c r="F691" i="24"/>
  <c r="E691" i="24"/>
  <c r="R690" i="24"/>
  <c r="Q690" i="24"/>
  <c r="P690" i="24"/>
  <c r="O690" i="24"/>
  <c r="M690" i="24"/>
  <c r="L690" i="24"/>
  <c r="K690" i="24"/>
  <c r="J690" i="24"/>
  <c r="I690" i="24"/>
  <c r="H690" i="24"/>
  <c r="F690" i="24"/>
  <c r="E690" i="24"/>
  <c r="R689" i="24"/>
  <c r="Q689" i="24"/>
  <c r="P689" i="24"/>
  <c r="O689" i="24"/>
  <c r="M689" i="24"/>
  <c r="L689" i="24"/>
  <c r="K689" i="24"/>
  <c r="J689" i="24"/>
  <c r="I689" i="24"/>
  <c r="H689" i="24"/>
  <c r="F689" i="24"/>
  <c r="E689" i="24"/>
  <c r="R688" i="24"/>
  <c r="Q688" i="24"/>
  <c r="P688" i="24"/>
  <c r="O688" i="24"/>
  <c r="M688" i="24"/>
  <c r="L688" i="24"/>
  <c r="K688" i="24"/>
  <c r="J688" i="24"/>
  <c r="I688" i="24"/>
  <c r="H688" i="24"/>
  <c r="F688" i="24"/>
  <c r="E688" i="24"/>
  <c r="R687" i="24"/>
  <c r="Q687" i="24"/>
  <c r="P687" i="24"/>
  <c r="O687" i="24"/>
  <c r="M687" i="24"/>
  <c r="L687" i="24"/>
  <c r="K687" i="24"/>
  <c r="J687" i="24"/>
  <c r="I687" i="24"/>
  <c r="H687" i="24"/>
  <c r="F687" i="24"/>
  <c r="E687" i="24"/>
  <c r="R686" i="24"/>
  <c r="Q686" i="24"/>
  <c r="P686" i="24"/>
  <c r="O686" i="24"/>
  <c r="M686" i="24"/>
  <c r="L686" i="24"/>
  <c r="K686" i="24"/>
  <c r="J686" i="24"/>
  <c r="I686" i="24"/>
  <c r="H686" i="24"/>
  <c r="F686" i="24"/>
  <c r="E686" i="24"/>
  <c r="R685" i="24"/>
  <c r="Q685" i="24"/>
  <c r="P685" i="24"/>
  <c r="O685" i="24"/>
  <c r="M685" i="24"/>
  <c r="L685" i="24"/>
  <c r="K685" i="24"/>
  <c r="J685" i="24"/>
  <c r="I685" i="24"/>
  <c r="H685" i="24"/>
  <c r="F685" i="24"/>
  <c r="E685" i="24"/>
  <c r="R684" i="24"/>
  <c r="Q684" i="24"/>
  <c r="P684" i="24"/>
  <c r="O684" i="24"/>
  <c r="M684" i="24"/>
  <c r="L684" i="24"/>
  <c r="K684" i="24"/>
  <c r="J684" i="24"/>
  <c r="I684" i="24"/>
  <c r="H684" i="24"/>
  <c r="F684" i="24"/>
  <c r="E684" i="24"/>
  <c r="R683" i="24"/>
  <c r="Q683" i="24"/>
  <c r="P683" i="24"/>
  <c r="O683" i="24"/>
  <c r="M683" i="24"/>
  <c r="L683" i="24"/>
  <c r="K683" i="24"/>
  <c r="J683" i="24"/>
  <c r="I683" i="24"/>
  <c r="H683" i="24"/>
  <c r="F683" i="24"/>
  <c r="E683" i="24"/>
  <c r="R682" i="24"/>
  <c r="Q682" i="24"/>
  <c r="P682" i="24"/>
  <c r="O682" i="24"/>
  <c r="M682" i="24"/>
  <c r="L682" i="24"/>
  <c r="K682" i="24"/>
  <c r="J682" i="24"/>
  <c r="I682" i="24"/>
  <c r="H682" i="24"/>
  <c r="F682" i="24"/>
  <c r="E682" i="24"/>
  <c r="R681" i="24"/>
  <c r="Q681" i="24"/>
  <c r="P681" i="24"/>
  <c r="O681" i="24"/>
  <c r="M681" i="24"/>
  <c r="L681" i="24"/>
  <c r="K681" i="24"/>
  <c r="J681" i="24"/>
  <c r="I681" i="24"/>
  <c r="H681" i="24"/>
  <c r="F681" i="24"/>
  <c r="E681" i="24"/>
  <c r="R680" i="24"/>
  <c r="Q680" i="24"/>
  <c r="P680" i="24"/>
  <c r="O680" i="24"/>
  <c r="M680" i="24"/>
  <c r="L680" i="24"/>
  <c r="K680" i="24"/>
  <c r="J680" i="24"/>
  <c r="I680" i="24"/>
  <c r="H680" i="24"/>
  <c r="F680" i="24"/>
  <c r="E680" i="24"/>
  <c r="R679" i="24"/>
  <c r="Q679" i="24"/>
  <c r="P679" i="24"/>
  <c r="O679" i="24"/>
  <c r="M679" i="24"/>
  <c r="L679" i="24"/>
  <c r="K679" i="24"/>
  <c r="J679" i="24"/>
  <c r="I679" i="24"/>
  <c r="H679" i="24"/>
  <c r="F679" i="24"/>
  <c r="E679" i="24"/>
  <c r="R678" i="24"/>
  <c r="Q678" i="24"/>
  <c r="P678" i="24"/>
  <c r="O678" i="24"/>
  <c r="M678" i="24"/>
  <c r="L678" i="24"/>
  <c r="K678" i="24"/>
  <c r="J678" i="24"/>
  <c r="I678" i="24"/>
  <c r="H678" i="24"/>
  <c r="F678" i="24"/>
  <c r="E678" i="24"/>
  <c r="R677" i="24"/>
  <c r="Q677" i="24"/>
  <c r="P677" i="24"/>
  <c r="O677" i="24"/>
  <c r="M677" i="24"/>
  <c r="L677" i="24"/>
  <c r="K677" i="24"/>
  <c r="J677" i="24"/>
  <c r="I677" i="24"/>
  <c r="H677" i="24"/>
  <c r="F677" i="24"/>
  <c r="E677" i="24"/>
  <c r="R676" i="24"/>
  <c r="Q676" i="24"/>
  <c r="P676" i="24"/>
  <c r="O676" i="24"/>
  <c r="M676" i="24"/>
  <c r="L676" i="24"/>
  <c r="K676" i="24"/>
  <c r="J676" i="24"/>
  <c r="I676" i="24"/>
  <c r="H676" i="24"/>
  <c r="F676" i="24"/>
  <c r="E676" i="24"/>
  <c r="R675" i="24"/>
  <c r="Q675" i="24"/>
  <c r="P675" i="24"/>
  <c r="O675" i="24"/>
  <c r="M675" i="24"/>
  <c r="L675" i="24"/>
  <c r="K675" i="24"/>
  <c r="J675" i="24"/>
  <c r="I675" i="24"/>
  <c r="H675" i="24"/>
  <c r="F675" i="24"/>
  <c r="E675" i="24"/>
  <c r="R674" i="24"/>
  <c r="Q674" i="24"/>
  <c r="P674" i="24"/>
  <c r="O674" i="24"/>
  <c r="M674" i="24"/>
  <c r="L674" i="24"/>
  <c r="K674" i="24"/>
  <c r="J674" i="24"/>
  <c r="I674" i="24"/>
  <c r="H674" i="24"/>
  <c r="F674" i="24"/>
  <c r="E674" i="24"/>
  <c r="R673" i="24"/>
  <c r="Q673" i="24"/>
  <c r="P673" i="24"/>
  <c r="O673" i="24"/>
  <c r="M673" i="24"/>
  <c r="L673" i="24"/>
  <c r="K673" i="24"/>
  <c r="J673" i="24"/>
  <c r="I673" i="24"/>
  <c r="H673" i="24"/>
  <c r="F673" i="24"/>
  <c r="E673" i="24"/>
  <c r="R672" i="24"/>
  <c r="Q672" i="24"/>
  <c r="P672" i="24"/>
  <c r="O672" i="24"/>
  <c r="M672" i="24"/>
  <c r="L672" i="24"/>
  <c r="K672" i="24"/>
  <c r="J672" i="24"/>
  <c r="I672" i="24"/>
  <c r="H672" i="24"/>
  <c r="F672" i="24"/>
  <c r="E672" i="24"/>
  <c r="R671" i="24"/>
  <c r="Q671" i="24"/>
  <c r="P671" i="24"/>
  <c r="O671" i="24"/>
  <c r="M671" i="24"/>
  <c r="L671" i="24"/>
  <c r="K671" i="24"/>
  <c r="J671" i="24"/>
  <c r="I671" i="24"/>
  <c r="H671" i="24"/>
  <c r="F671" i="24"/>
  <c r="E671" i="24"/>
  <c r="R670" i="24"/>
  <c r="Q670" i="24"/>
  <c r="P670" i="24"/>
  <c r="O670" i="24"/>
  <c r="M670" i="24"/>
  <c r="L670" i="24"/>
  <c r="K670" i="24"/>
  <c r="J670" i="24"/>
  <c r="I670" i="24"/>
  <c r="H670" i="24"/>
  <c r="F670" i="24"/>
  <c r="E670" i="24"/>
  <c r="R669" i="24"/>
  <c r="Q669" i="24"/>
  <c r="P669" i="24"/>
  <c r="O669" i="24"/>
  <c r="M669" i="24"/>
  <c r="L669" i="24"/>
  <c r="K669" i="24"/>
  <c r="J669" i="24"/>
  <c r="I669" i="24"/>
  <c r="H669" i="24"/>
  <c r="F669" i="24"/>
  <c r="E669" i="24"/>
  <c r="R668" i="24"/>
  <c r="Q668" i="24"/>
  <c r="P668" i="24"/>
  <c r="O668" i="24"/>
  <c r="M668" i="24"/>
  <c r="L668" i="24"/>
  <c r="K668" i="24"/>
  <c r="J668" i="24"/>
  <c r="I668" i="24"/>
  <c r="H668" i="24"/>
  <c r="F668" i="24"/>
  <c r="E668" i="24"/>
  <c r="R667" i="24"/>
  <c r="Q667" i="24"/>
  <c r="P667" i="24"/>
  <c r="O667" i="24"/>
  <c r="M667" i="24"/>
  <c r="L667" i="24"/>
  <c r="K667" i="24"/>
  <c r="J667" i="24"/>
  <c r="I667" i="24"/>
  <c r="H667" i="24"/>
  <c r="F667" i="24"/>
  <c r="E667" i="24"/>
  <c r="R666" i="24"/>
  <c r="Q666" i="24"/>
  <c r="P666" i="24"/>
  <c r="O666" i="24"/>
  <c r="M666" i="24"/>
  <c r="L666" i="24"/>
  <c r="K666" i="24"/>
  <c r="J666" i="24"/>
  <c r="I666" i="24"/>
  <c r="H666" i="24"/>
  <c r="F666" i="24"/>
  <c r="E666" i="24"/>
  <c r="R665" i="24"/>
  <c r="Q665" i="24"/>
  <c r="P665" i="24"/>
  <c r="O665" i="24"/>
  <c r="M665" i="24"/>
  <c r="L665" i="24"/>
  <c r="K665" i="24"/>
  <c r="J665" i="24"/>
  <c r="I665" i="24"/>
  <c r="H665" i="24"/>
  <c r="F665" i="24"/>
  <c r="E665" i="24"/>
  <c r="R664" i="24"/>
  <c r="Q664" i="24"/>
  <c r="P664" i="24"/>
  <c r="O664" i="24"/>
  <c r="M664" i="24"/>
  <c r="L664" i="24"/>
  <c r="K664" i="24"/>
  <c r="J664" i="24"/>
  <c r="I664" i="24"/>
  <c r="H664" i="24"/>
  <c r="F664" i="24"/>
  <c r="E664" i="24"/>
  <c r="R663" i="24"/>
  <c r="Q663" i="24"/>
  <c r="P663" i="24"/>
  <c r="O663" i="24"/>
  <c r="M663" i="24"/>
  <c r="L663" i="24"/>
  <c r="K663" i="24"/>
  <c r="J663" i="24"/>
  <c r="I663" i="24"/>
  <c r="H663" i="24"/>
  <c r="F663" i="24"/>
  <c r="E663" i="24"/>
  <c r="R662" i="24"/>
  <c r="Q662" i="24"/>
  <c r="P662" i="24"/>
  <c r="O662" i="24"/>
  <c r="M662" i="24"/>
  <c r="L662" i="24"/>
  <c r="K662" i="24"/>
  <c r="J662" i="24"/>
  <c r="I662" i="24"/>
  <c r="H662" i="24"/>
  <c r="F662" i="24"/>
  <c r="E662" i="24"/>
  <c r="R661" i="24"/>
  <c r="Q661" i="24"/>
  <c r="P661" i="24"/>
  <c r="O661" i="24"/>
  <c r="M661" i="24"/>
  <c r="L661" i="24"/>
  <c r="K661" i="24"/>
  <c r="J661" i="24"/>
  <c r="I661" i="24"/>
  <c r="H661" i="24"/>
  <c r="F661" i="24"/>
  <c r="E661" i="24"/>
  <c r="R660" i="24"/>
  <c r="Q660" i="24"/>
  <c r="P660" i="24"/>
  <c r="O660" i="24"/>
  <c r="M660" i="24"/>
  <c r="L660" i="24"/>
  <c r="K660" i="24"/>
  <c r="J660" i="24"/>
  <c r="I660" i="24"/>
  <c r="H660" i="24"/>
  <c r="F660" i="24"/>
  <c r="E660" i="24"/>
  <c r="R659" i="24"/>
  <c r="Q659" i="24"/>
  <c r="P659" i="24"/>
  <c r="O659" i="24"/>
  <c r="M659" i="24"/>
  <c r="L659" i="24"/>
  <c r="K659" i="24"/>
  <c r="J659" i="24"/>
  <c r="I659" i="24"/>
  <c r="H659" i="24"/>
  <c r="F659" i="24"/>
  <c r="E659" i="24"/>
  <c r="R658" i="24"/>
  <c r="Q658" i="24"/>
  <c r="P658" i="24"/>
  <c r="O658" i="24"/>
  <c r="M658" i="24"/>
  <c r="L658" i="24"/>
  <c r="K658" i="24"/>
  <c r="J658" i="24"/>
  <c r="I658" i="24"/>
  <c r="H658" i="24"/>
  <c r="F658" i="24"/>
  <c r="E658" i="24"/>
  <c r="R657" i="24"/>
  <c r="Q657" i="24"/>
  <c r="P657" i="24"/>
  <c r="O657" i="24"/>
  <c r="M657" i="24"/>
  <c r="L657" i="24"/>
  <c r="K657" i="24"/>
  <c r="J657" i="24"/>
  <c r="I657" i="24"/>
  <c r="H657" i="24"/>
  <c r="F657" i="24"/>
  <c r="E657" i="24"/>
  <c r="R656" i="24"/>
  <c r="Q656" i="24"/>
  <c r="P656" i="24"/>
  <c r="O656" i="24"/>
  <c r="M656" i="24"/>
  <c r="L656" i="24"/>
  <c r="K656" i="24"/>
  <c r="J656" i="24"/>
  <c r="I656" i="24"/>
  <c r="H656" i="24"/>
  <c r="F656" i="24"/>
  <c r="E656" i="24"/>
  <c r="R655" i="24"/>
  <c r="Q655" i="24"/>
  <c r="P655" i="24"/>
  <c r="O655" i="24"/>
  <c r="M655" i="24"/>
  <c r="L655" i="24"/>
  <c r="K655" i="24"/>
  <c r="J655" i="24"/>
  <c r="I655" i="24"/>
  <c r="H655" i="24"/>
  <c r="F655" i="24"/>
  <c r="E655" i="24"/>
  <c r="R654" i="24"/>
  <c r="Q654" i="24"/>
  <c r="P654" i="24"/>
  <c r="O654" i="24"/>
  <c r="M654" i="24"/>
  <c r="L654" i="24"/>
  <c r="K654" i="24"/>
  <c r="J654" i="24"/>
  <c r="I654" i="24"/>
  <c r="H654" i="24"/>
  <c r="F654" i="24"/>
  <c r="E654" i="24"/>
  <c r="R653" i="24"/>
  <c r="Q653" i="24"/>
  <c r="P653" i="24"/>
  <c r="O653" i="24"/>
  <c r="M653" i="24"/>
  <c r="L653" i="24"/>
  <c r="K653" i="24"/>
  <c r="J653" i="24"/>
  <c r="I653" i="24"/>
  <c r="H653" i="24"/>
  <c r="F653" i="24"/>
  <c r="E653" i="24"/>
  <c r="R652" i="24"/>
  <c r="Q652" i="24"/>
  <c r="P652" i="24"/>
  <c r="O652" i="24"/>
  <c r="M652" i="24"/>
  <c r="L652" i="24"/>
  <c r="K652" i="24"/>
  <c r="J652" i="24"/>
  <c r="I652" i="24"/>
  <c r="H652" i="24"/>
  <c r="F652" i="24"/>
  <c r="E652" i="24"/>
  <c r="R651" i="24"/>
  <c r="Q651" i="24"/>
  <c r="P651" i="24"/>
  <c r="O651" i="24"/>
  <c r="M651" i="24"/>
  <c r="L651" i="24"/>
  <c r="K651" i="24"/>
  <c r="J651" i="24"/>
  <c r="I651" i="24"/>
  <c r="H651" i="24"/>
  <c r="F651" i="24"/>
  <c r="E651" i="24"/>
  <c r="R650" i="24"/>
  <c r="Q650" i="24"/>
  <c r="P650" i="24"/>
  <c r="O650" i="24"/>
  <c r="M650" i="24"/>
  <c r="L650" i="24"/>
  <c r="K650" i="24"/>
  <c r="J650" i="24"/>
  <c r="I650" i="24"/>
  <c r="H650" i="24"/>
  <c r="F650" i="24"/>
  <c r="E650" i="24"/>
  <c r="R649" i="24"/>
  <c r="Q649" i="24"/>
  <c r="P649" i="24"/>
  <c r="O649" i="24"/>
  <c r="M649" i="24"/>
  <c r="L649" i="24"/>
  <c r="K649" i="24"/>
  <c r="J649" i="24"/>
  <c r="I649" i="24"/>
  <c r="H649" i="24"/>
  <c r="F649" i="24"/>
  <c r="E649" i="24"/>
  <c r="R648" i="24"/>
  <c r="Q648" i="24"/>
  <c r="P648" i="24"/>
  <c r="O648" i="24"/>
  <c r="M648" i="24"/>
  <c r="L648" i="24"/>
  <c r="K648" i="24"/>
  <c r="J648" i="24"/>
  <c r="I648" i="24"/>
  <c r="H648" i="24"/>
  <c r="F648" i="24"/>
  <c r="E648" i="24"/>
  <c r="R647" i="24"/>
  <c r="Q647" i="24"/>
  <c r="P647" i="24"/>
  <c r="O647" i="24"/>
  <c r="M647" i="24"/>
  <c r="L647" i="24"/>
  <c r="K647" i="24"/>
  <c r="J647" i="24"/>
  <c r="I647" i="24"/>
  <c r="H647" i="24"/>
  <c r="F647" i="24"/>
  <c r="E647" i="24"/>
  <c r="R646" i="24"/>
  <c r="Q646" i="24"/>
  <c r="P646" i="24"/>
  <c r="O646" i="24"/>
  <c r="M646" i="24"/>
  <c r="L646" i="24"/>
  <c r="K646" i="24"/>
  <c r="J646" i="24"/>
  <c r="I646" i="24"/>
  <c r="H646" i="24"/>
  <c r="F646" i="24"/>
  <c r="E646" i="24"/>
  <c r="R645" i="24"/>
  <c r="Q645" i="24"/>
  <c r="P645" i="24"/>
  <c r="O645" i="24"/>
  <c r="M645" i="24"/>
  <c r="L645" i="24"/>
  <c r="K645" i="24"/>
  <c r="J645" i="24"/>
  <c r="I645" i="24"/>
  <c r="H645" i="24"/>
  <c r="F645" i="24"/>
  <c r="E645" i="24"/>
  <c r="R644" i="24"/>
  <c r="Q644" i="24"/>
  <c r="P644" i="24"/>
  <c r="O644" i="24"/>
  <c r="M644" i="24"/>
  <c r="L644" i="24"/>
  <c r="K644" i="24"/>
  <c r="J644" i="24"/>
  <c r="I644" i="24"/>
  <c r="H644" i="24"/>
  <c r="F644" i="24"/>
  <c r="E644" i="24"/>
  <c r="R643" i="24"/>
  <c r="Q643" i="24"/>
  <c r="P643" i="24"/>
  <c r="O643" i="24"/>
  <c r="M643" i="24"/>
  <c r="L643" i="24"/>
  <c r="K643" i="24"/>
  <c r="J643" i="24"/>
  <c r="I643" i="24"/>
  <c r="H643" i="24"/>
  <c r="F643" i="24"/>
  <c r="E643" i="24"/>
  <c r="R642" i="24"/>
  <c r="Q642" i="24"/>
  <c r="P642" i="24"/>
  <c r="O642" i="24"/>
  <c r="M642" i="24"/>
  <c r="L642" i="24"/>
  <c r="K642" i="24"/>
  <c r="J642" i="24"/>
  <c r="I642" i="24"/>
  <c r="H642" i="24"/>
  <c r="F642" i="24"/>
  <c r="E642" i="24"/>
  <c r="R641" i="24"/>
  <c r="Q641" i="24"/>
  <c r="P641" i="24"/>
  <c r="O641" i="24"/>
  <c r="M641" i="24"/>
  <c r="L641" i="24"/>
  <c r="K641" i="24"/>
  <c r="J641" i="24"/>
  <c r="I641" i="24"/>
  <c r="H641" i="24"/>
  <c r="F641" i="24"/>
  <c r="E641" i="24"/>
  <c r="R640" i="24"/>
  <c r="Q640" i="24"/>
  <c r="P640" i="24"/>
  <c r="O640" i="24"/>
  <c r="M640" i="24"/>
  <c r="L640" i="24"/>
  <c r="K640" i="24"/>
  <c r="J640" i="24"/>
  <c r="I640" i="24"/>
  <c r="H640" i="24"/>
  <c r="F640" i="24"/>
  <c r="E640" i="24"/>
  <c r="R639" i="24"/>
  <c r="Q639" i="24"/>
  <c r="P639" i="24"/>
  <c r="O639" i="24"/>
  <c r="M639" i="24"/>
  <c r="L639" i="24"/>
  <c r="K639" i="24"/>
  <c r="J639" i="24"/>
  <c r="I639" i="24"/>
  <c r="H639" i="24"/>
  <c r="F639" i="24"/>
  <c r="E639" i="24"/>
  <c r="R638" i="24"/>
  <c r="Q638" i="24"/>
  <c r="P638" i="24"/>
  <c r="O638" i="24"/>
  <c r="M638" i="24"/>
  <c r="L638" i="24"/>
  <c r="K638" i="24"/>
  <c r="J638" i="24"/>
  <c r="I638" i="24"/>
  <c r="H638" i="24"/>
  <c r="F638" i="24"/>
  <c r="E638" i="24"/>
  <c r="R637" i="24"/>
  <c r="Q637" i="24"/>
  <c r="P637" i="24"/>
  <c r="O637" i="24"/>
  <c r="M637" i="24"/>
  <c r="L637" i="24"/>
  <c r="K637" i="24"/>
  <c r="J637" i="24"/>
  <c r="I637" i="24"/>
  <c r="H637" i="24"/>
  <c r="F637" i="24"/>
  <c r="E637" i="24"/>
  <c r="R636" i="24"/>
  <c r="Q636" i="24"/>
  <c r="P636" i="24"/>
  <c r="O636" i="24"/>
  <c r="M636" i="24"/>
  <c r="L636" i="24"/>
  <c r="K636" i="24"/>
  <c r="J636" i="24"/>
  <c r="I636" i="24"/>
  <c r="H636" i="24"/>
  <c r="F636" i="24"/>
  <c r="E636" i="24"/>
  <c r="R635" i="24"/>
  <c r="Q635" i="24"/>
  <c r="P635" i="24"/>
  <c r="O635" i="24"/>
  <c r="M635" i="24"/>
  <c r="L635" i="24"/>
  <c r="K635" i="24"/>
  <c r="J635" i="24"/>
  <c r="I635" i="24"/>
  <c r="H635" i="24"/>
  <c r="F635" i="24"/>
  <c r="E635" i="24"/>
  <c r="R634" i="24"/>
  <c r="Q634" i="24"/>
  <c r="P634" i="24"/>
  <c r="O634" i="24"/>
  <c r="M634" i="24"/>
  <c r="L634" i="24"/>
  <c r="K634" i="24"/>
  <c r="J634" i="24"/>
  <c r="I634" i="24"/>
  <c r="H634" i="24"/>
  <c r="F634" i="24"/>
  <c r="E634" i="24"/>
  <c r="R633" i="24"/>
  <c r="Q633" i="24"/>
  <c r="P633" i="24"/>
  <c r="O633" i="24"/>
  <c r="M633" i="24"/>
  <c r="L633" i="24"/>
  <c r="K633" i="24"/>
  <c r="J633" i="24"/>
  <c r="I633" i="24"/>
  <c r="H633" i="24"/>
  <c r="F633" i="24"/>
  <c r="E633" i="24"/>
  <c r="R632" i="24"/>
  <c r="Q632" i="24"/>
  <c r="P632" i="24"/>
  <c r="O632" i="24"/>
  <c r="M632" i="24"/>
  <c r="L632" i="24"/>
  <c r="K632" i="24"/>
  <c r="J632" i="24"/>
  <c r="I632" i="24"/>
  <c r="H632" i="24"/>
  <c r="F632" i="24"/>
  <c r="E632" i="24"/>
  <c r="R631" i="24"/>
  <c r="Q631" i="24"/>
  <c r="P631" i="24"/>
  <c r="O631" i="24"/>
  <c r="M631" i="24"/>
  <c r="L631" i="24"/>
  <c r="K631" i="24"/>
  <c r="J631" i="24"/>
  <c r="I631" i="24"/>
  <c r="H631" i="24"/>
  <c r="F631" i="24"/>
  <c r="E631" i="24"/>
  <c r="R630" i="24"/>
  <c r="Q630" i="24"/>
  <c r="P630" i="24"/>
  <c r="O630" i="24"/>
  <c r="M630" i="24"/>
  <c r="L630" i="24"/>
  <c r="K630" i="24"/>
  <c r="J630" i="24"/>
  <c r="I630" i="24"/>
  <c r="H630" i="24"/>
  <c r="F630" i="24"/>
  <c r="E630" i="24"/>
  <c r="R629" i="24"/>
  <c r="Q629" i="24"/>
  <c r="P629" i="24"/>
  <c r="O629" i="24"/>
  <c r="M629" i="24"/>
  <c r="L629" i="24"/>
  <c r="K629" i="24"/>
  <c r="J629" i="24"/>
  <c r="I629" i="24"/>
  <c r="H629" i="24"/>
  <c r="F629" i="24"/>
  <c r="E629" i="24"/>
  <c r="R628" i="24"/>
  <c r="Q628" i="24"/>
  <c r="P628" i="24"/>
  <c r="O628" i="24"/>
  <c r="M628" i="24"/>
  <c r="L628" i="24"/>
  <c r="K628" i="24"/>
  <c r="J628" i="24"/>
  <c r="I628" i="24"/>
  <c r="H628" i="24"/>
  <c r="F628" i="24"/>
  <c r="E628" i="24"/>
  <c r="R627" i="24"/>
  <c r="Q627" i="24"/>
  <c r="P627" i="24"/>
  <c r="O627" i="24"/>
  <c r="M627" i="24"/>
  <c r="L627" i="24"/>
  <c r="K627" i="24"/>
  <c r="J627" i="24"/>
  <c r="I627" i="24"/>
  <c r="H627" i="24"/>
  <c r="F627" i="24"/>
  <c r="E627" i="24"/>
  <c r="R626" i="24"/>
  <c r="Q626" i="24"/>
  <c r="P626" i="24"/>
  <c r="O626" i="24"/>
  <c r="M626" i="24"/>
  <c r="L626" i="24"/>
  <c r="K626" i="24"/>
  <c r="J626" i="24"/>
  <c r="I626" i="24"/>
  <c r="H626" i="24"/>
  <c r="F626" i="24"/>
  <c r="E626" i="24"/>
  <c r="R625" i="24"/>
  <c r="Q625" i="24"/>
  <c r="P625" i="24"/>
  <c r="O625" i="24"/>
  <c r="M625" i="24"/>
  <c r="L625" i="24"/>
  <c r="K625" i="24"/>
  <c r="J625" i="24"/>
  <c r="I625" i="24"/>
  <c r="H625" i="24"/>
  <c r="F625" i="24"/>
  <c r="E625" i="24"/>
  <c r="R624" i="24"/>
  <c r="Q624" i="24"/>
  <c r="P624" i="24"/>
  <c r="O624" i="24"/>
  <c r="M624" i="24"/>
  <c r="L624" i="24"/>
  <c r="K624" i="24"/>
  <c r="J624" i="24"/>
  <c r="I624" i="24"/>
  <c r="H624" i="24"/>
  <c r="F624" i="24"/>
  <c r="E624" i="24"/>
  <c r="R623" i="24"/>
  <c r="Q623" i="24"/>
  <c r="P623" i="24"/>
  <c r="O623" i="24"/>
  <c r="M623" i="24"/>
  <c r="L623" i="24"/>
  <c r="K623" i="24"/>
  <c r="J623" i="24"/>
  <c r="I623" i="24"/>
  <c r="H623" i="24"/>
  <c r="F623" i="24"/>
  <c r="E623" i="24"/>
  <c r="R622" i="24"/>
  <c r="Q622" i="24"/>
  <c r="P622" i="24"/>
  <c r="O622" i="24"/>
  <c r="M622" i="24"/>
  <c r="L622" i="24"/>
  <c r="K622" i="24"/>
  <c r="J622" i="24"/>
  <c r="I622" i="24"/>
  <c r="H622" i="24"/>
  <c r="F622" i="24"/>
  <c r="E622" i="24"/>
  <c r="R621" i="24"/>
  <c r="Q621" i="24"/>
  <c r="P621" i="24"/>
  <c r="O621" i="24"/>
  <c r="M621" i="24"/>
  <c r="L621" i="24"/>
  <c r="K621" i="24"/>
  <c r="J621" i="24"/>
  <c r="I621" i="24"/>
  <c r="H621" i="24"/>
  <c r="F621" i="24"/>
  <c r="E621" i="24"/>
  <c r="R620" i="24"/>
  <c r="Q620" i="24"/>
  <c r="P620" i="24"/>
  <c r="O620" i="24"/>
  <c r="M620" i="24"/>
  <c r="L620" i="24"/>
  <c r="K620" i="24"/>
  <c r="J620" i="24"/>
  <c r="I620" i="24"/>
  <c r="H620" i="24"/>
  <c r="F620" i="24"/>
  <c r="E620" i="24"/>
  <c r="R619" i="24"/>
  <c r="Q619" i="24"/>
  <c r="P619" i="24"/>
  <c r="O619" i="24"/>
  <c r="M619" i="24"/>
  <c r="L619" i="24"/>
  <c r="K619" i="24"/>
  <c r="J619" i="24"/>
  <c r="I619" i="24"/>
  <c r="H619" i="24"/>
  <c r="F619" i="24"/>
  <c r="E619" i="24"/>
  <c r="R618" i="24"/>
  <c r="Q618" i="24"/>
  <c r="P618" i="24"/>
  <c r="O618" i="24"/>
  <c r="M618" i="24"/>
  <c r="L618" i="24"/>
  <c r="K618" i="24"/>
  <c r="J618" i="24"/>
  <c r="I618" i="24"/>
  <c r="H618" i="24"/>
  <c r="F618" i="24"/>
  <c r="E618" i="24"/>
  <c r="R617" i="24"/>
  <c r="Q617" i="24"/>
  <c r="P617" i="24"/>
  <c r="O617" i="24"/>
  <c r="M617" i="24"/>
  <c r="L617" i="24"/>
  <c r="K617" i="24"/>
  <c r="J617" i="24"/>
  <c r="I617" i="24"/>
  <c r="H617" i="24"/>
  <c r="F617" i="24"/>
  <c r="E617" i="24"/>
  <c r="R616" i="24"/>
  <c r="Q616" i="24"/>
  <c r="P616" i="24"/>
  <c r="O616" i="24"/>
  <c r="M616" i="24"/>
  <c r="L616" i="24"/>
  <c r="K616" i="24"/>
  <c r="J616" i="24"/>
  <c r="I616" i="24"/>
  <c r="H616" i="24"/>
  <c r="F616" i="24"/>
  <c r="E616" i="24"/>
  <c r="R615" i="24"/>
  <c r="Q615" i="24"/>
  <c r="P615" i="24"/>
  <c r="O615" i="24"/>
  <c r="M615" i="24"/>
  <c r="L615" i="24"/>
  <c r="K615" i="24"/>
  <c r="J615" i="24"/>
  <c r="I615" i="24"/>
  <c r="H615" i="24"/>
  <c r="F615" i="24"/>
  <c r="E615" i="24"/>
  <c r="R614" i="24"/>
  <c r="Q614" i="24"/>
  <c r="P614" i="24"/>
  <c r="O614" i="24"/>
  <c r="M614" i="24"/>
  <c r="L614" i="24"/>
  <c r="K614" i="24"/>
  <c r="J614" i="24"/>
  <c r="I614" i="24"/>
  <c r="H614" i="24"/>
  <c r="F614" i="24"/>
  <c r="E614" i="24"/>
  <c r="R613" i="24"/>
  <c r="Q613" i="24"/>
  <c r="P613" i="24"/>
  <c r="O613" i="24"/>
  <c r="M613" i="24"/>
  <c r="L613" i="24"/>
  <c r="K613" i="24"/>
  <c r="J613" i="24"/>
  <c r="I613" i="24"/>
  <c r="H613" i="24"/>
  <c r="F613" i="24"/>
  <c r="E613" i="24"/>
  <c r="R612" i="24"/>
  <c r="Q612" i="24"/>
  <c r="P612" i="24"/>
  <c r="O612" i="24"/>
  <c r="M612" i="24"/>
  <c r="L612" i="24"/>
  <c r="K612" i="24"/>
  <c r="J612" i="24"/>
  <c r="I612" i="24"/>
  <c r="H612" i="24"/>
  <c r="F612" i="24"/>
  <c r="E612" i="24"/>
  <c r="R611" i="24"/>
  <c r="Q611" i="24"/>
  <c r="P611" i="24"/>
  <c r="O611" i="24"/>
  <c r="M611" i="24"/>
  <c r="L611" i="24"/>
  <c r="K611" i="24"/>
  <c r="J611" i="24"/>
  <c r="I611" i="24"/>
  <c r="H611" i="24"/>
  <c r="F611" i="24"/>
  <c r="E611" i="24"/>
  <c r="R610" i="24"/>
  <c r="Q610" i="24"/>
  <c r="P610" i="24"/>
  <c r="O610" i="24"/>
  <c r="M610" i="24"/>
  <c r="L610" i="24"/>
  <c r="K610" i="24"/>
  <c r="J610" i="24"/>
  <c r="I610" i="24"/>
  <c r="H610" i="24"/>
  <c r="F610" i="24"/>
  <c r="E610" i="24"/>
  <c r="R609" i="24"/>
  <c r="Q609" i="24"/>
  <c r="P609" i="24"/>
  <c r="O609" i="24"/>
  <c r="M609" i="24"/>
  <c r="L609" i="24"/>
  <c r="K609" i="24"/>
  <c r="J609" i="24"/>
  <c r="I609" i="24"/>
  <c r="H609" i="24"/>
  <c r="F609" i="24"/>
  <c r="E609" i="24"/>
  <c r="R608" i="24"/>
  <c r="Q608" i="24"/>
  <c r="P608" i="24"/>
  <c r="O608" i="24"/>
  <c r="M608" i="24"/>
  <c r="L608" i="24"/>
  <c r="K608" i="24"/>
  <c r="J608" i="24"/>
  <c r="I608" i="24"/>
  <c r="H608" i="24"/>
  <c r="F608" i="24"/>
  <c r="E608" i="24"/>
  <c r="R607" i="24"/>
  <c r="Q607" i="24"/>
  <c r="P607" i="24"/>
  <c r="O607" i="24"/>
  <c r="M607" i="24"/>
  <c r="L607" i="24"/>
  <c r="K607" i="24"/>
  <c r="J607" i="24"/>
  <c r="I607" i="24"/>
  <c r="H607" i="24"/>
  <c r="F607" i="24"/>
  <c r="E607" i="24"/>
  <c r="R606" i="24"/>
  <c r="Q606" i="24"/>
  <c r="P606" i="24"/>
  <c r="O606" i="24"/>
  <c r="M606" i="24"/>
  <c r="L606" i="24"/>
  <c r="K606" i="24"/>
  <c r="J606" i="24"/>
  <c r="I606" i="24"/>
  <c r="H606" i="24"/>
  <c r="F606" i="24"/>
  <c r="E606" i="24"/>
  <c r="R605" i="24"/>
  <c r="Q605" i="24"/>
  <c r="P605" i="24"/>
  <c r="O605" i="24"/>
  <c r="M605" i="24"/>
  <c r="L605" i="24"/>
  <c r="K605" i="24"/>
  <c r="J605" i="24"/>
  <c r="I605" i="24"/>
  <c r="H605" i="24"/>
  <c r="F605" i="24"/>
  <c r="E605" i="24"/>
  <c r="R604" i="24"/>
  <c r="Q604" i="24"/>
  <c r="P604" i="24"/>
  <c r="O604" i="24"/>
  <c r="M604" i="24"/>
  <c r="L604" i="24"/>
  <c r="K604" i="24"/>
  <c r="J604" i="24"/>
  <c r="I604" i="24"/>
  <c r="H604" i="24"/>
  <c r="F604" i="24"/>
  <c r="E604" i="24"/>
  <c r="R603" i="24"/>
  <c r="Q603" i="24"/>
  <c r="P603" i="24"/>
  <c r="O603" i="24"/>
  <c r="M603" i="24"/>
  <c r="L603" i="24"/>
  <c r="K603" i="24"/>
  <c r="J603" i="24"/>
  <c r="I603" i="24"/>
  <c r="H603" i="24"/>
  <c r="F603" i="24"/>
  <c r="E603" i="24"/>
  <c r="R602" i="24"/>
  <c r="Q602" i="24"/>
  <c r="P602" i="24"/>
  <c r="O602" i="24"/>
  <c r="M602" i="24"/>
  <c r="L602" i="24"/>
  <c r="K602" i="24"/>
  <c r="J602" i="24"/>
  <c r="I602" i="24"/>
  <c r="H602" i="24"/>
  <c r="F602" i="24"/>
  <c r="E602" i="24"/>
  <c r="R601" i="24"/>
  <c r="Q601" i="24"/>
  <c r="P601" i="24"/>
  <c r="O601" i="24"/>
  <c r="M601" i="24"/>
  <c r="L601" i="24"/>
  <c r="K601" i="24"/>
  <c r="J601" i="24"/>
  <c r="I601" i="24"/>
  <c r="H601" i="24"/>
  <c r="F601" i="24"/>
  <c r="E601" i="24"/>
  <c r="R600" i="24"/>
  <c r="Q600" i="24"/>
  <c r="P600" i="24"/>
  <c r="O600" i="24"/>
  <c r="M600" i="24"/>
  <c r="L600" i="24"/>
  <c r="K600" i="24"/>
  <c r="J600" i="24"/>
  <c r="I600" i="24"/>
  <c r="H600" i="24"/>
  <c r="F600" i="24"/>
  <c r="E600" i="24"/>
  <c r="R599" i="24"/>
  <c r="Q599" i="24"/>
  <c r="P599" i="24"/>
  <c r="O599" i="24"/>
  <c r="M599" i="24"/>
  <c r="L599" i="24"/>
  <c r="K599" i="24"/>
  <c r="J599" i="24"/>
  <c r="I599" i="24"/>
  <c r="H599" i="24"/>
  <c r="F599" i="24"/>
  <c r="E599" i="24"/>
  <c r="R598" i="24"/>
  <c r="Q598" i="24"/>
  <c r="P598" i="24"/>
  <c r="O598" i="24"/>
  <c r="M598" i="24"/>
  <c r="L598" i="24"/>
  <c r="K598" i="24"/>
  <c r="J598" i="24"/>
  <c r="I598" i="24"/>
  <c r="H598" i="24"/>
  <c r="F598" i="24"/>
  <c r="E598" i="24"/>
  <c r="R597" i="24"/>
  <c r="Q597" i="24"/>
  <c r="P597" i="24"/>
  <c r="O597" i="24"/>
  <c r="M597" i="24"/>
  <c r="L597" i="24"/>
  <c r="K597" i="24"/>
  <c r="J597" i="24"/>
  <c r="I597" i="24"/>
  <c r="H597" i="24"/>
  <c r="F597" i="24"/>
  <c r="E597" i="24"/>
  <c r="R596" i="24"/>
  <c r="Q596" i="24"/>
  <c r="P596" i="24"/>
  <c r="O596" i="24"/>
  <c r="M596" i="24"/>
  <c r="L596" i="24"/>
  <c r="K596" i="24"/>
  <c r="J596" i="24"/>
  <c r="I596" i="24"/>
  <c r="H596" i="24"/>
  <c r="F596" i="24"/>
  <c r="E596" i="24"/>
  <c r="R595" i="24"/>
  <c r="Q595" i="24"/>
  <c r="P595" i="24"/>
  <c r="O595" i="24"/>
  <c r="M595" i="24"/>
  <c r="L595" i="24"/>
  <c r="K595" i="24"/>
  <c r="J595" i="24"/>
  <c r="I595" i="24"/>
  <c r="H595" i="24"/>
  <c r="F595" i="24"/>
  <c r="E595" i="24"/>
  <c r="R594" i="24"/>
  <c r="Q594" i="24"/>
  <c r="P594" i="24"/>
  <c r="O594" i="24"/>
  <c r="M594" i="24"/>
  <c r="L594" i="24"/>
  <c r="K594" i="24"/>
  <c r="J594" i="24"/>
  <c r="I594" i="24"/>
  <c r="H594" i="24"/>
  <c r="F594" i="24"/>
  <c r="E594" i="24"/>
  <c r="R593" i="24"/>
  <c r="Q593" i="24"/>
  <c r="P593" i="24"/>
  <c r="O593" i="24"/>
  <c r="M593" i="24"/>
  <c r="L593" i="24"/>
  <c r="K593" i="24"/>
  <c r="J593" i="24"/>
  <c r="I593" i="24"/>
  <c r="H593" i="24"/>
  <c r="F593" i="24"/>
  <c r="E593" i="24"/>
  <c r="R592" i="24"/>
  <c r="Q592" i="24"/>
  <c r="P592" i="24"/>
  <c r="O592" i="24"/>
  <c r="M592" i="24"/>
  <c r="L592" i="24"/>
  <c r="K592" i="24"/>
  <c r="J592" i="24"/>
  <c r="I592" i="24"/>
  <c r="H592" i="24"/>
  <c r="F592" i="24"/>
  <c r="E592" i="24"/>
  <c r="R591" i="24"/>
  <c r="Q591" i="24"/>
  <c r="P591" i="24"/>
  <c r="O591" i="24"/>
  <c r="M591" i="24"/>
  <c r="L591" i="24"/>
  <c r="K591" i="24"/>
  <c r="J591" i="24"/>
  <c r="I591" i="24"/>
  <c r="H591" i="24"/>
  <c r="F591" i="24"/>
  <c r="E591" i="24"/>
  <c r="R590" i="24"/>
  <c r="Q590" i="24"/>
  <c r="P590" i="24"/>
  <c r="O590" i="24"/>
  <c r="M590" i="24"/>
  <c r="L590" i="24"/>
  <c r="K590" i="24"/>
  <c r="J590" i="24"/>
  <c r="I590" i="24"/>
  <c r="H590" i="24"/>
  <c r="F590" i="24"/>
  <c r="E590" i="24"/>
  <c r="R589" i="24"/>
  <c r="Q589" i="24"/>
  <c r="P589" i="24"/>
  <c r="O589" i="24"/>
  <c r="M589" i="24"/>
  <c r="L589" i="24"/>
  <c r="K589" i="24"/>
  <c r="J589" i="24"/>
  <c r="I589" i="24"/>
  <c r="H589" i="24"/>
  <c r="F589" i="24"/>
  <c r="E589" i="24"/>
  <c r="R588" i="24"/>
  <c r="Q588" i="24"/>
  <c r="P588" i="24"/>
  <c r="O588" i="24"/>
  <c r="M588" i="24"/>
  <c r="L588" i="24"/>
  <c r="K588" i="24"/>
  <c r="J588" i="24"/>
  <c r="I588" i="24"/>
  <c r="H588" i="24"/>
  <c r="F588" i="24"/>
  <c r="E588" i="24"/>
  <c r="R587" i="24"/>
  <c r="Q587" i="24"/>
  <c r="P587" i="24"/>
  <c r="O587" i="24"/>
  <c r="M587" i="24"/>
  <c r="L587" i="24"/>
  <c r="K587" i="24"/>
  <c r="J587" i="24"/>
  <c r="I587" i="24"/>
  <c r="H587" i="24"/>
  <c r="F587" i="24"/>
  <c r="E587" i="24"/>
  <c r="R586" i="24"/>
  <c r="Q586" i="24"/>
  <c r="P586" i="24"/>
  <c r="O586" i="24"/>
  <c r="M586" i="24"/>
  <c r="L586" i="24"/>
  <c r="K586" i="24"/>
  <c r="J586" i="24"/>
  <c r="I586" i="24"/>
  <c r="H586" i="24"/>
  <c r="F586" i="24"/>
  <c r="E586" i="24"/>
  <c r="R585" i="24"/>
  <c r="Q585" i="24"/>
  <c r="P585" i="24"/>
  <c r="O585" i="24"/>
  <c r="M585" i="24"/>
  <c r="L585" i="24"/>
  <c r="K585" i="24"/>
  <c r="J585" i="24"/>
  <c r="I585" i="24"/>
  <c r="H585" i="24"/>
  <c r="F585" i="24"/>
  <c r="E585" i="24"/>
  <c r="R584" i="24"/>
  <c r="Q584" i="24"/>
  <c r="P584" i="24"/>
  <c r="O584" i="24"/>
  <c r="M584" i="24"/>
  <c r="L584" i="24"/>
  <c r="K584" i="24"/>
  <c r="J584" i="24"/>
  <c r="I584" i="24"/>
  <c r="H584" i="24"/>
  <c r="F584" i="24"/>
  <c r="E584" i="24"/>
  <c r="R583" i="24"/>
  <c r="Q583" i="24"/>
  <c r="P583" i="24"/>
  <c r="O583" i="24"/>
  <c r="M583" i="24"/>
  <c r="L583" i="24"/>
  <c r="K583" i="24"/>
  <c r="J583" i="24"/>
  <c r="I583" i="24"/>
  <c r="H583" i="24"/>
  <c r="F583" i="24"/>
  <c r="E583" i="24"/>
  <c r="R582" i="24"/>
  <c r="Q582" i="24"/>
  <c r="P582" i="24"/>
  <c r="O582" i="24"/>
  <c r="M582" i="24"/>
  <c r="L582" i="24"/>
  <c r="K582" i="24"/>
  <c r="J582" i="24"/>
  <c r="I582" i="24"/>
  <c r="H582" i="24"/>
  <c r="F582" i="24"/>
  <c r="E582" i="24"/>
  <c r="R581" i="24"/>
  <c r="Q581" i="24"/>
  <c r="P581" i="24"/>
  <c r="O581" i="24"/>
  <c r="M581" i="24"/>
  <c r="L581" i="24"/>
  <c r="K581" i="24"/>
  <c r="J581" i="24"/>
  <c r="I581" i="24"/>
  <c r="H581" i="24"/>
  <c r="F581" i="24"/>
  <c r="E581" i="24"/>
  <c r="R580" i="24"/>
  <c r="Q580" i="24"/>
  <c r="P580" i="24"/>
  <c r="O580" i="24"/>
  <c r="M580" i="24"/>
  <c r="L580" i="24"/>
  <c r="K580" i="24"/>
  <c r="J580" i="24"/>
  <c r="I580" i="24"/>
  <c r="H580" i="24"/>
  <c r="F580" i="24"/>
  <c r="E580" i="24"/>
  <c r="R579" i="24"/>
  <c r="Q579" i="24"/>
  <c r="P579" i="24"/>
  <c r="O579" i="24"/>
  <c r="M579" i="24"/>
  <c r="L579" i="24"/>
  <c r="K579" i="24"/>
  <c r="J579" i="24"/>
  <c r="I579" i="24"/>
  <c r="H579" i="24"/>
  <c r="F579" i="24"/>
  <c r="E579" i="24"/>
  <c r="R578" i="24"/>
  <c r="Q578" i="24"/>
  <c r="P578" i="24"/>
  <c r="O578" i="24"/>
  <c r="M578" i="24"/>
  <c r="L578" i="24"/>
  <c r="K578" i="24"/>
  <c r="J578" i="24"/>
  <c r="I578" i="24"/>
  <c r="H578" i="24"/>
  <c r="F578" i="24"/>
  <c r="E578" i="24"/>
  <c r="R577" i="24"/>
  <c r="Q577" i="24"/>
  <c r="P577" i="24"/>
  <c r="O577" i="24"/>
  <c r="M577" i="24"/>
  <c r="L577" i="24"/>
  <c r="K577" i="24"/>
  <c r="J577" i="24"/>
  <c r="I577" i="24"/>
  <c r="H577" i="24"/>
  <c r="F577" i="24"/>
  <c r="E577" i="24"/>
  <c r="R576" i="24"/>
  <c r="Q576" i="24"/>
  <c r="P576" i="24"/>
  <c r="O576" i="24"/>
  <c r="M576" i="24"/>
  <c r="L576" i="24"/>
  <c r="K576" i="24"/>
  <c r="J576" i="24"/>
  <c r="I576" i="24"/>
  <c r="H576" i="24"/>
  <c r="F576" i="24"/>
  <c r="E576" i="24"/>
  <c r="R575" i="24"/>
  <c r="Q575" i="24"/>
  <c r="P575" i="24"/>
  <c r="O575" i="24"/>
  <c r="M575" i="24"/>
  <c r="L575" i="24"/>
  <c r="K575" i="24"/>
  <c r="J575" i="24"/>
  <c r="I575" i="24"/>
  <c r="H575" i="24"/>
  <c r="F575" i="24"/>
  <c r="E575" i="24"/>
  <c r="R574" i="24"/>
  <c r="Q574" i="24"/>
  <c r="P574" i="24"/>
  <c r="O574" i="24"/>
  <c r="M574" i="24"/>
  <c r="L574" i="24"/>
  <c r="K574" i="24"/>
  <c r="J574" i="24"/>
  <c r="I574" i="24"/>
  <c r="H574" i="24"/>
  <c r="F574" i="24"/>
  <c r="E574" i="24"/>
  <c r="R573" i="24"/>
  <c r="Q573" i="24"/>
  <c r="P573" i="24"/>
  <c r="O573" i="24"/>
  <c r="M573" i="24"/>
  <c r="L573" i="24"/>
  <c r="K573" i="24"/>
  <c r="J573" i="24"/>
  <c r="I573" i="24"/>
  <c r="H573" i="24"/>
  <c r="F573" i="24"/>
  <c r="E573" i="24"/>
  <c r="R572" i="24"/>
  <c r="Q572" i="24"/>
  <c r="P572" i="24"/>
  <c r="O572" i="24"/>
  <c r="M572" i="24"/>
  <c r="L572" i="24"/>
  <c r="K572" i="24"/>
  <c r="J572" i="24"/>
  <c r="I572" i="24"/>
  <c r="H572" i="24"/>
  <c r="F572" i="24"/>
  <c r="E572" i="24"/>
  <c r="R571" i="24"/>
  <c r="Q571" i="24"/>
  <c r="P571" i="24"/>
  <c r="O571" i="24"/>
  <c r="M571" i="24"/>
  <c r="L571" i="24"/>
  <c r="K571" i="24"/>
  <c r="J571" i="24"/>
  <c r="I571" i="24"/>
  <c r="H571" i="24"/>
  <c r="F571" i="24"/>
  <c r="E571" i="24"/>
  <c r="R570" i="24"/>
  <c r="Q570" i="24"/>
  <c r="P570" i="24"/>
  <c r="O570" i="24"/>
  <c r="M570" i="24"/>
  <c r="L570" i="24"/>
  <c r="K570" i="24"/>
  <c r="J570" i="24"/>
  <c r="I570" i="24"/>
  <c r="H570" i="24"/>
  <c r="F570" i="24"/>
  <c r="E570" i="24"/>
  <c r="R569" i="24"/>
  <c r="Q569" i="24"/>
  <c r="P569" i="24"/>
  <c r="O569" i="24"/>
  <c r="M569" i="24"/>
  <c r="L569" i="24"/>
  <c r="K569" i="24"/>
  <c r="J569" i="24"/>
  <c r="I569" i="24"/>
  <c r="H569" i="24"/>
  <c r="F569" i="24"/>
  <c r="E569" i="24"/>
  <c r="R568" i="24"/>
  <c r="Q568" i="24"/>
  <c r="P568" i="24"/>
  <c r="O568" i="24"/>
  <c r="M568" i="24"/>
  <c r="L568" i="24"/>
  <c r="K568" i="24"/>
  <c r="J568" i="24"/>
  <c r="I568" i="24"/>
  <c r="H568" i="24"/>
  <c r="F568" i="24"/>
  <c r="E568" i="24"/>
  <c r="R567" i="24"/>
  <c r="Q567" i="24"/>
  <c r="P567" i="24"/>
  <c r="O567" i="24"/>
  <c r="M567" i="24"/>
  <c r="L567" i="24"/>
  <c r="K567" i="24"/>
  <c r="J567" i="24"/>
  <c r="I567" i="24"/>
  <c r="H567" i="24"/>
  <c r="F567" i="24"/>
  <c r="E567" i="24"/>
  <c r="R566" i="24"/>
  <c r="Q566" i="24"/>
  <c r="P566" i="24"/>
  <c r="O566" i="24"/>
  <c r="M566" i="24"/>
  <c r="L566" i="24"/>
  <c r="K566" i="24"/>
  <c r="J566" i="24"/>
  <c r="I566" i="24"/>
  <c r="H566" i="24"/>
  <c r="F566" i="24"/>
  <c r="E566" i="24"/>
  <c r="R565" i="24"/>
  <c r="Q565" i="24"/>
  <c r="P565" i="24"/>
  <c r="O565" i="24"/>
  <c r="M565" i="24"/>
  <c r="L565" i="24"/>
  <c r="K565" i="24"/>
  <c r="J565" i="24"/>
  <c r="I565" i="24"/>
  <c r="H565" i="24"/>
  <c r="F565" i="24"/>
  <c r="E565" i="24"/>
  <c r="R564" i="24"/>
  <c r="Q564" i="24"/>
  <c r="P564" i="24"/>
  <c r="O564" i="24"/>
  <c r="M564" i="24"/>
  <c r="L564" i="24"/>
  <c r="K564" i="24"/>
  <c r="J564" i="24"/>
  <c r="I564" i="24"/>
  <c r="H564" i="24"/>
  <c r="F564" i="24"/>
  <c r="E564" i="24"/>
  <c r="R563" i="24"/>
  <c r="Q563" i="24"/>
  <c r="P563" i="24"/>
  <c r="O563" i="24"/>
  <c r="M563" i="24"/>
  <c r="L563" i="24"/>
  <c r="K563" i="24"/>
  <c r="J563" i="24"/>
  <c r="I563" i="24"/>
  <c r="H563" i="24"/>
  <c r="F563" i="24"/>
  <c r="E563" i="24"/>
  <c r="R562" i="24"/>
  <c r="Q562" i="24"/>
  <c r="P562" i="24"/>
  <c r="O562" i="24"/>
  <c r="M562" i="24"/>
  <c r="L562" i="24"/>
  <c r="K562" i="24"/>
  <c r="J562" i="24"/>
  <c r="I562" i="24"/>
  <c r="H562" i="24"/>
  <c r="F562" i="24"/>
  <c r="E562" i="24"/>
  <c r="R561" i="24"/>
  <c r="Q561" i="24"/>
  <c r="P561" i="24"/>
  <c r="O561" i="24"/>
  <c r="M561" i="24"/>
  <c r="L561" i="24"/>
  <c r="K561" i="24"/>
  <c r="J561" i="24"/>
  <c r="I561" i="24"/>
  <c r="H561" i="24"/>
  <c r="F561" i="24"/>
  <c r="E561" i="24"/>
  <c r="R560" i="24"/>
  <c r="Q560" i="24"/>
  <c r="P560" i="24"/>
  <c r="O560" i="24"/>
  <c r="M560" i="24"/>
  <c r="L560" i="24"/>
  <c r="K560" i="24"/>
  <c r="J560" i="24"/>
  <c r="I560" i="24"/>
  <c r="H560" i="24"/>
  <c r="F560" i="24"/>
  <c r="E560" i="24"/>
  <c r="R559" i="24"/>
  <c r="Q559" i="24"/>
  <c r="P559" i="24"/>
  <c r="O559" i="24"/>
  <c r="M559" i="24"/>
  <c r="L559" i="24"/>
  <c r="K559" i="24"/>
  <c r="J559" i="24"/>
  <c r="I559" i="24"/>
  <c r="H559" i="24"/>
  <c r="F559" i="24"/>
  <c r="E559" i="24"/>
  <c r="R558" i="24"/>
  <c r="Q558" i="24"/>
  <c r="P558" i="24"/>
  <c r="O558" i="24"/>
  <c r="M558" i="24"/>
  <c r="L558" i="24"/>
  <c r="K558" i="24"/>
  <c r="J558" i="24"/>
  <c r="I558" i="24"/>
  <c r="H558" i="24"/>
  <c r="F558" i="24"/>
  <c r="E558" i="24"/>
  <c r="R557" i="24"/>
  <c r="Q557" i="24"/>
  <c r="P557" i="24"/>
  <c r="O557" i="24"/>
  <c r="M557" i="24"/>
  <c r="L557" i="24"/>
  <c r="K557" i="24"/>
  <c r="J557" i="24"/>
  <c r="I557" i="24"/>
  <c r="H557" i="24"/>
  <c r="F557" i="24"/>
  <c r="E557" i="24"/>
  <c r="R556" i="24"/>
  <c r="Q556" i="24"/>
  <c r="P556" i="24"/>
  <c r="O556" i="24"/>
  <c r="M556" i="24"/>
  <c r="L556" i="24"/>
  <c r="K556" i="24"/>
  <c r="J556" i="24"/>
  <c r="I556" i="24"/>
  <c r="H556" i="24"/>
  <c r="F556" i="24"/>
  <c r="E556" i="24"/>
  <c r="R555" i="24"/>
  <c r="Q555" i="24"/>
  <c r="P555" i="24"/>
  <c r="O555" i="24"/>
  <c r="M555" i="24"/>
  <c r="L555" i="24"/>
  <c r="K555" i="24"/>
  <c r="J555" i="24"/>
  <c r="I555" i="24"/>
  <c r="H555" i="24"/>
  <c r="F555" i="24"/>
  <c r="E555" i="24"/>
  <c r="R554" i="24"/>
  <c r="Q554" i="24"/>
  <c r="P554" i="24"/>
  <c r="O554" i="24"/>
  <c r="M554" i="24"/>
  <c r="L554" i="24"/>
  <c r="K554" i="24"/>
  <c r="J554" i="24"/>
  <c r="I554" i="24"/>
  <c r="H554" i="24"/>
  <c r="F554" i="24"/>
  <c r="E554" i="24"/>
  <c r="R553" i="24"/>
  <c r="Q553" i="24"/>
  <c r="P553" i="24"/>
  <c r="O553" i="24"/>
  <c r="M553" i="24"/>
  <c r="L553" i="24"/>
  <c r="K553" i="24"/>
  <c r="J553" i="24"/>
  <c r="I553" i="24"/>
  <c r="H553" i="24"/>
  <c r="F553" i="24"/>
  <c r="E553" i="24"/>
  <c r="R552" i="24"/>
  <c r="Q552" i="24"/>
  <c r="P552" i="24"/>
  <c r="O552" i="24"/>
  <c r="M552" i="24"/>
  <c r="L552" i="24"/>
  <c r="K552" i="24"/>
  <c r="J552" i="24"/>
  <c r="I552" i="24"/>
  <c r="H552" i="24"/>
  <c r="F552" i="24"/>
  <c r="E552" i="24"/>
  <c r="R551" i="24"/>
  <c r="Q551" i="24"/>
  <c r="P551" i="24"/>
  <c r="O551" i="24"/>
  <c r="M551" i="24"/>
  <c r="L551" i="24"/>
  <c r="K551" i="24"/>
  <c r="J551" i="24"/>
  <c r="I551" i="24"/>
  <c r="H551" i="24"/>
  <c r="F551" i="24"/>
  <c r="E551" i="24"/>
  <c r="R550" i="24"/>
  <c r="Q550" i="24"/>
  <c r="P550" i="24"/>
  <c r="O550" i="24"/>
  <c r="M550" i="24"/>
  <c r="L550" i="24"/>
  <c r="K550" i="24"/>
  <c r="J550" i="24"/>
  <c r="I550" i="24"/>
  <c r="H550" i="24"/>
  <c r="F550" i="24"/>
  <c r="E550" i="24"/>
  <c r="R549" i="24"/>
  <c r="Q549" i="24"/>
  <c r="P549" i="24"/>
  <c r="O549" i="24"/>
  <c r="M549" i="24"/>
  <c r="L549" i="24"/>
  <c r="K549" i="24"/>
  <c r="J549" i="24"/>
  <c r="I549" i="24"/>
  <c r="H549" i="24"/>
  <c r="F549" i="24"/>
  <c r="E549" i="24"/>
  <c r="R548" i="24"/>
  <c r="Q548" i="24"/>
  <c r="P548" i="24"/>
  <c r="O548" i="24"/>
  <c r="M548" i="24"/>
  <c r="L548" i="24"/>
  <c r="K548" i="24"/>
  <c r="J548" i="24"/>
  <c r="I548" i="24"/>
  <c r="H548" i="24"/>
  <c r="F548" i="24"/>
  <c r="E548" i="24"/>
  <c r="R547" i="24"/>
  <c r="Q547" i="24"/>
  <c r="P547" i="24"/>
  <c r="O547" i="24"/>
  <c r="M547" i="24"/>
  <c r="L547" i="24"/>
  <c r="K547" i="24"/>
  <c r="J547" i="24"/>
  <c r="I547" i="24"/>
  <c r="H547" i="24"/>
  <c r="F547" i="24"/>
  <c r="E547" i="24"/>
  <c r="R546" i="24"/>
  <c r="Q546" i="24"/>
  <c r="P546" i="24"/>
  <c r="O546" i="24"/>
  <c r="M546" i="24"/>
  <c r="L546" i="24"/>
  <c r="K546" i="24"/>
  <c r="J546" i="24"/>
  <c r="I546" i="24"/>
  <c r="H546" i="24"/>
  <c r="F546" i="24"/>
  <c r="E546" i="24"/>
  <c r="R545" i="24"/>
  <c r="Q545" i="24"/>
  <c r="P545" i="24"/>
  <c r="O545" i="24"/>
  <c r="M545" i="24"/>
  <c r="L545" i="24"/>
  <c r="K545" i="24"/>
  <c r="J545" i="24"/>
  <c r="I545" i="24"/>
  <c r="H545" i="24"/>
  <c r="F545" i="24"/>
  <c r="E545" i="24"/>
  <c r="R544" i="24"/>
  <c r="Q544" i="24"/>
  <c r="P544" i="24"/>
  <c r="O544" i="24"/>
  <c r="M544" i="24"/>
  <c r="L544" i="24"/>
  <c r="K544" i="24"/>
  <c r="J544" i="24"/>
  <c r="I544" i="24"/>
  <c r="H544" i="24"/>
  <c r="F544" i="24"/>
  <c r="E544" i="24"/>
  <c r="R543" i="24"/>
  <c r="Q543" i="24"/>
  <c r="P543" i="24"/>
  <c r="O543" i="24"/>
  <c r="M543" i="24"/>
  <c r="L543" i="24"/>
  <c r="K543" i="24"/>
  <c r="J543" i="24"/>
  <c r="I543" i="24"/>
  <c r="H543" i="24"/>
  <c r="F543" i="24"/>
  <c r="E543" i="24"/>
  <c r="R542" i="24"/>
  <c r="Q542" i="24"/>
  <c r="P542" i="24"/>
  <c r="O542" i="24"/>
  <c r="M542" i="24"/>
  <c r="L542" i="24"/>
  <c r="K542" i="24"/>
  <c r="J542" i="24"/>
  <c r="I542" i="24"/>
  <c r="H542" i="24"/>
  <c r="F542" i="24"/>
  <c r="E542" i="24"/>
  <c r="R541" i="24"/>
  <c r="Q541" i="24"/>
  <c r="P541" i="24"/>
  <c r="O541" i="24"/>
  <c r="M541" i="24"/>
  <c r="L541" i="24"/>
  <c r="K541" i="24"/>
  <c r="J541" i="24"/>
  <c r="I541" i="24"/>
  <c r="H541" i="24"/>
  <c r="F541" i="24"/>
  <c r="E541" i="24"/>
  <c r="R540" i="24"/>
  <c r="Q540" i="24"/>
  <c r="P540" i="24"/>
  <c r="O540" i="24"/>
  <c r="M540" i="24"/>
  <c r="L540" i="24"/>
  <c r="K540" i="24"/>
  <c r="J540" i="24"/>
  <c r="I540" i="24"/>
  <c r="H540" i="24"/>
  <c r="F540" i="24"/>
  <c r="E540" i="24"/>
  <c r="R539" i="24"/>
  <c r="Q539" i="24"/>
  <c r="P539" i="24"/>
  <c r="O539" i="24"/>
  <c r="M539" i="24"/>
  <c r="L539" i="24"/>
  <c r="K539" i="24"/>
  <c r="J539" i="24"/>
  <c r="I539" i="24"/>
  <c r="H539" i="24"/>
  <c r="F539" i="24"/>
  <c r="E539" i="24"/>
  <c r="R538" i="24"/>
  <c r="Q538" i="24"/>
  <c r="P538" i="24"/>
  <c r="O538" i="24"/>
  <c r="M538" i="24"/>
  <c r="L538" i="24"/>
  <c r="K538" i="24"/>
  <c r="J538" i="24"/>
  <c r="I538" i="24"/>
  <c r="H538" i="24"/>
  <c r="F538" i="24"/>
  <c r="E538" i="24"/>
  <c r="R537" i="24"/>
  <c r="Q537" i="24"/>
  <c r="P537" i="24"/>
  <c r="O537" i="24"/>
  <c r="M537" i="24"/>
  <c r="L537" i="24"/>
  <c r="K537" i="24"/>
  <c r="J537" i="24"/>
  <c r="I537" i="24"/>
  <c r="H537" i="24"/>
  <c r="F537" i="24"/>
  <c r="E537" i="24"/>
  <c r="R536" i="24"/>
  <c r="Q536" i="24"/>
  <c r="P536" i="24"/>
  <c r="O536" i="24"/>
  <c r="M536" i="24"/>
  <c r="L536" i="24"/>
  <c r="K536" i="24"/>
  <c r="J536" i="24"/>
  <c r="I536" i="24"/>
  <c r="H536" i="24"/>
  <c r="F536" i="24"/>
  <c r="E536" i="24"/>
  <c r="R535" i="24"/>
  <c r="Q535" i="24"/>
  <c r="P535" i="24"/>
  <c r="O535" i="24"/>
  <c r="M535" i="24"/>
  <c r="L535" i="24"/>
  <c r="K535" i="24"/>
  <c r="J535" i="24"/>
  <c r="I535" i="24"/>
  <c r="H535" i="24"/>
  <c r="F535" i="24"/>
  <c r="E535" i="24"/>
  <c r="R534" i="24"/>
  <c r="Q534" i="24"/>
  <c r="P534" i="24"/>
  <c r="O534" i="24"/>
  <c r="M534" i="24"/>
  <c r="L534" i="24"/>
  <c r="K534" i="24"/>
  <c r="J534" i="24"/>
  <c r="I534" i="24"/>
  <c r="H534" i="24"/>
  <c r="F534" i="24"/>
  <c r="E534" i="24"/>
  <c r="R533" i="24"/>
  <c r="Q533" i="24"/>
  <c r="P533" i="24"/>
  <c r="O533" i="24"/>
  <c r="M533" i="24"/>
  <c r="L533" i="24"/>
  <c r="K533" i="24"/>
  <c r="J533" i="24"/>
  <c r="I533" i="24"/>
  <c r="H533" i="24"/>
  <c r="F533" i="24"/>
  <c r="E533" i="24"/>
  <c r="R532" i="24"/>
  <c r="Q532" i="24"/>
  <c r="P532" i="24"/>
  <c r="O532" i="24"/>
  <c r="M532" i="24"/>
  <c r="L532" i="24"/>
  <c r="K532" i="24"/>
  <c r="J532" i="24"/>
  <c r="I532" i="24"/>
  <c r="H532" i="24"/>
  <c r="F532" i="24"/>
  <c r="E532" i="24"/>
  <c r="R531" i="24"/>
  <c r="Q531" i="24"/>
  <c r="P531" i="24"/>
  <c r="O531" i="24"/>
  <c r="M531" i="24"/>
  <c r="L531" i="24"/>
  <c r="K531" i="24"/>
  <c r="J531" i="24"/>
  <c r="I531" i="24"/>
  <c r="H531" i="24"/>
  <c r="F531" i="24"/>
  <c r="E531" i="24"/>
  <c r="R530" i="24"/>
  <c r="Q530" i="24"/>
  <c r="P530" i="24"/>
  <c r="O530" i="24"/>
  <c r="M530" i="24"/>
  <c r="L530" i="24"/>
  <c r="K530" i="24"/>
  <c r="J530" i="24"/>
  <c r="I530" i="24"/>
  <c r="H530" i="24"/>
  <c r="F530" i="24"/>
  <c r="E530" i="24"/>
  <c r="R529" i="24"/>
  <c r="Q529" i="24"/>
  <c r="P529" i="24"/>
  <c r="O529" i="24"/>
  <c r="M529" i="24"/>
  <c r="L529" i="24"/>
  <c r="K529" i="24"/>
  <c r="J529" i="24"/>
  <c r="I529" i="24"/>
  <c r="H529" i="24"/>
  <c r="F529" i="24"/>
  <c r="E529" i="24"/>
  <c r="R528" i="24"/>
  <c r="Q528" i="24"/>
  <c r="P528" i="24"/>
  <c r="O528" i="24"/>
  <c r="M528" i="24"/>
  <c r="L528" i="24"/>
  <c r="K528" i="24"/>
  <c r="J528" i="24"/>
  <c r="I528" i="24"/>
  <c r="H528" i="24"/>
  <c r="F528" i="24"/>
  <c r="E528" i="24"/>
  <c r="R527" i="24"/>
  <c r="Q527" i="24"/>
  <c r="P527" i="24"/>
  <c r="O527" i="24"/>
  <c r="M527" i="24"/>
  <c r="L527" i="24"/>
  <c r="K527" i="24"/>
  <c r="J527" i="24"/>
  <c r="I527" i="24"/>
  <c r="H527" i="24"/>
  <c r="F527" i="24"/>
  <c r="E527" i="24"/>
  <c r="R526" i="24"/>
  <c r="Q526" i="24"/>
  <c r="P526" i="24"/>
  <c r="O526" i="24"/>
  <c r="M526" i="24"/>
  <c r="L526" i="24"/>
  <c r="K526" i="24"/>
  <c r="J526" i="24"/>
  <c r="I526" i="24"/>
  <c r="H526" i="24"/>
  <c r="F526" i="24"/>
  <c r="E526" i="24"/>
  <c r="R525" i="24"/>
  <c r="Q525" i="24"/>
  <c r="P525" i="24"/>
  <c r="O525" i="24"/>
  <c r="M525" i="24"/>
  <c r="L525" i="24"/>
  <c r="K525" i="24"/>
  <c r="J525" i="24"/>
  <c r="I525" i="24"/>
  <c r="H525" i="24"/>
  <c r="F525" i="24"/>
  <c r="E525" i="24"/>
  <c r="R524" i="24"/>
  <c r="Q524" i="24"/>
  <c r="P524" i="24"/>
  <c r="O524" i="24"/>
  <c r="M524" i="24"/>
  <c r="L524" i="24"/>
  <c r="K524" i="24"/>
  <c r="J524" i="24"/>
  <c r="I524" i="24"/>
  <c r="H524" i="24"/>
  <c r="F524" i="24"/>
  <c r="E524" i="24"/>
  <c r="R523" i="24"/>
  <c r="Q523" i="24"/>
  <c r="P523" i="24"/>
  <c r="O523" i="24"/>
  <c r="M523" i="24"/>
  <c r="L523" i="24"/>
  <c r="K523" i="24"/>
  <c r="J523" i="24"/>
  <c r="I523" i="24"/>
  <c r="H523" i="24"/>
  <c r="F523" i="24"/>
  <c r="E523" i="24"/>
  <c r="R522" i="24"/>
  <c r="Q522" i="24"/>
  <c r="P522" i="24"/>
  <c r="O522" i="24"/>
  <c r="M522" i="24"/>
  <c r="L522" i="24"/>
  <c r="K522" i="24"/>
  <c r="J522" i="24"/>
  <c r="I522" i="24"/>
  <c r="H522" i="24"/>
  <c r="F522" i="24"/>
  <c r="E522" i="24"/>
  <c r="R521" i="24"/>
  <c r="Q521" i="24"/>
  <c r="P521" i="24"/>
  <c r="O521" i="24"/>
  <c r="M521" i="24"/>
  <c r="L521" i="24"/>
  <c r="K521" i="24"/>
  <c r="J521" i="24"/>
  <c r="I521" i="24"/>
  <c r="H521" i="24"/>
  <c r="F521" i="24"/>
  <c r="E521" i="24"/>
  <c r="R520" i="24"/>
  <c r="Q520" i="24"/>
  <c r="P520" i="24"/>
  <c r="O520" i="24"/>
  <c r="M520" i="24"/>
  <c r="L520" i="24"/>
  <c r="K520" i="24"/>
  <c r="J520" i="24"/>
  <c r="I520" i="24"/>
  <c r="H520" i="24"/>
  <c r="F520" i="24"/>
  <c r="E520" i="24"/>
  <c r="R519" i="24"/>
  <c r="Q519" i="24"/>
  <c r="P519" i="24"/>
  <c r="O519" i="24"/>
  <c r="M519" i="24"/>
  <c r="L519" i="24"/>
  <c r="K519" i="24"/>
  <c r="J519" i="24"/>
  <c r="I519" i="24"/>
  <c r="H519" i="24"/>
  <c r="F519" i="24"/>
  <c r="E519" i="24"/>
  <c r="R518" i="24"/>
  <c r="Q518" i="24"/>
  <c r="P518" i="24"/>
  <c r="O518" i="24"/>
  <c r="M518" i="24"/>
  <c r="L518" i="24"/>
  <c r="K518" i="24"/>
  <c r="J518" i="24"/>
  <c r="I518" i="24"/>
  <c r="H518" i="24"/>
  <c r="F518" i="24"/>
  <c r="E518" i="24"/>
  <c r="R517" i="24"/>
  <c r="Q517" i="24"/>
  <c r="P517" i="24"/>
  <c r="O517" i="24"/>
  <c r="M517" i="24"/>
  <c r="L517" i="24"/>
  <c r="K517" i="24"/>
  <c r="J517" i="24"/>
  <c r="I517" i="24"/>
  <c r="H517" i="24"/>
  <c r="F517" i="24"/>
  <c r="E517" i="24"/>
  <c r="R516" i="24"/>
  <c r="Q516" i="24"/>
  <c r="P516" i="24"/>
  <c r="O516" i="24"/>
  <c r="M516" i="24"/>
  <c r="L516" i="24"/>
  <c r="K516" i="24"/>
  <c r="J516" i="24"/>
  <c r="I516" i="24"/>
  <c r="H516" i="24"/>
  <c r="F516" i="24"/>
  <c r="E516" i="24"/>
  <c r="R515" i="24"/>
  <c r="Q515" i="24"/>
  <c r="P515" i="24"/>
  <c r="O515" i="24"/>
  <c r="M515" i="24"/>
  <c r="L515" i="24"/>
  <c r="K515" i="24"/>
  <c r="J515" i="24"/>
  <c r="I515" i="24"/>
  <c r="H515" i="24"/>
  <c r="F515" i="24"/>
  <c r="E515" i="24"/>
  <c r="R514" i="24"/>
  <c r="Q514" i="24"/>
  <c r="P514" i="24"/>
  <c r="O514" i="24"/>
  <c r="M514" i="24"/>
  <c r="L514" i="24"/>
  <c r="K514" i="24"/>
  <c r="J514" i="24"/>
  <c r="I514" i="24"/>
  <c r="H514" i="24"/>
  <c r="F514" i="24"/>
  <c r="E514" i="24"/>
  <c r="R513" i="24"/>
  <c r="Q513" i="24"/>
  <c r="P513" i="24"/>
  <c r="O513" i="24"/>
  <c r="M513" i="24"/>
  <c r="L513" i="24"/>
  <c r="K513" i="24"/>
  <c r="J513" i="24"/>
  <c r="I513" i="24"/>
  <c r="H513" i="24"/>
  <c r="F513" i="24"/>
  <c r="E513" i="24"/>
  <c r="R512" i="24"/>
  <c r="Q512" i="24"/>
  <c r="P512" i="24"/>
  <c r="O512" i="24"/>
  <c r="M512" i="24"/>
  <c r="L512" i="24"/>
  <c r="K512" i="24"/>
  <c r="J512" i="24"/>
  <c r="I512" i="24"/>
  <c r="H512" i="24"/>
  <c r="F512" i="24"/>
  <c r="E512" i="24"/>
  <c r="R511" i="24"/>
  <c r="Q511" i="24"/>
  <c r="P511" i="24"/>
  <c r="O511" i="24"/>
  <c r="M511" i="24"/>
  <c r="L511" i="24"/>
  <c r="K511" i="24"/>
  <c r="J511" i="24"/>
  <c r="I511" i="24"/>
  <c r="H511" i="24"/>
  <c r="F511" i="24"/>
  <c r="E511" i="24"/>
  <c r="R510" i="24"/>
  <c r="Q510" i="24"/>
  <c r="P510" i="24"/>
  <c r="O510" i="24"/>
  <c r="M510" i="24"/>
  <c r="L510" i="24"/>
  <c r="K510" i="24"/>
  <c r="J510" i="24"/>
  <c r="I510" i="24"/>
  <c r="H510" i="24"/>
  <c r="F510" i="24"/>
  <c r="E510" i="24"/>
  <c r="R509" i="24"/>
  <c r="Q509" i="24"/>
  <c r="P509" i="24"/>
  <c r="O509" i="24"/>
  <c r="M509" i="24"/>
  <c r="L509" i="24"/>
  <c r="K509" i="24"/>
  <c r="J509" i="24"/>
  <c r="I509" i="24"/>
  <c r="H509" i="24"/>
  <c r="F509" i="24"/>
  <c r="E509" i="24"/>
  <c r="R508" i="24"/>
  <c r="Q508" i="24"/>
  <c r="P508" i="24"/>
  <c r="O508" i="24"/>
  <c r="M508" i="24"/>
  <c r="L508" i="24"/>
  <c r="K508" i="24"/>
  <c r="J508" i="24"/>
  <c r="I508" i="24"/>
  <c r="H508" i="24"/>
  <c r="F508" i="24"/>
  <c r="E508" i="24"/>
  <c r="R507" i="24"/>
  <c r="Q507" i="24"/>
  <c r="P507" i="24"/>
  <c r="O507" i="24"/>
  <c r="M507" i="24"/>
  <c r="L507" i="24"/>
  <c r="K507" i="24"/>
  <c r="J507" i="24"/>
  <c r="I507" i="24"/>
  <c r="H507" i="24"/>
  <c r="F507" i="24"/>
  <c r="E507" i="24"/>
  <c r="R506" i="24"/>
  <c r="Q506" i="24"/>
  <c r="P506" i="24"/>
  <c r="O506" i="24"/>
  <c r="M506" i="24"/>
  <c r="L506" i="24"/>
  <c r="K506" i="24"/>
  <c r="J506" i="24"/>
  <c r="I506" i="24"/>
  <c r="H506" i="24"/>
  <c r="F506" i="24"/>
  <c r="E506" i="24"/>
  <c r="R505" i="24"/>
  <c r="Q505" i="24"/>
  <c r="P505" i="24"/>
  <c r="O505" i="24"/>
  <c r="M505" i="24"/>
  <c r="L505" i="24"/>
  <c r="K505" i="24"/>
  <c r="J505" i="24"/>
  <c r="I505" i="24"/>
  <c r="H505" i="24"/>
  <c r="F505" i="24"/>
  <c r="E505" i="24"/>
  <c r="R504" i="24"/>
  <c r="Q504" i="24"/>
  <c r="P504" i="24"/>
  <c r="O504" i="24"/>
  <c r="M504" i="24"/>
  <c r="L504" i="24"/>
  <c r="K504" i="24"/>
  <c r="J504" i="24"/>
  <c r="I504" i="24"/>
  <c r="H504" i="24"/>
  <c r="F504" i="24"/>
  <c r="E504" i="24"/>
  <c r="R503" i="24"/>
  <c r="Q503" i="24"/>
  <c r="P503" i="24"/>
  <c r="O503" i="24"/>
  <c r="M503" i="24"/>
  <c r="L503" i="24"/>
  <c r="K503" i="24"/>
  <c r="J503" i="24"/>
  <c r="I503" i="24"/>
  <c r="H503" i="24"/>
  <c r="F503" i="24"/>
  <c r="E503" i="24"/>
  <c r="R502" i="24"/>
  <c r="Q502" i="24"/>
  <c r="P502" i="24"/>
  <c r="O502" i="24"/>
  <c r="M502" i="24"/>
  <c r="L502" i="24"/>
  <c r="K502" i="24"/>
  <c r="J502" i="24"/>
  <c r="I502" i="24"/>
  <c r="H502" i="24"/>
  <c r="F502" i="24"/>
  <c r="E502" i="24"/>
  <c r="R501" i="24"/>
  <c r="Q501" i="24"/>
  <c r="P501" i="24"/>
  <c r="O501" i="24"/>
  <c r="M501" i="24"/>
  <c r="L501" i="24"/>
  <c r="K501" i="24"/>
  <c r="J501" i="24"/>
  <c r="I501" i="24"/>
  <c r="H501" i="24"/>
  <c r="F501" i="24"/>
  <c r="E501" i="24"/>
  <c r="R500" i="24"/>
  <c r="Q500" i="24"/>
  <c r="P500" i="24"/>
  <c r="O500" i="24"/>
  <c r="M500" i="24"/>
  <c r="L500" i="24"/>
  <c r="K500" i="24"/>
  <c r="J500" i="24"/>
  <c r="I500" i="24"/>
  <c r="H500" i="24"/>
  <c r="F500" i="24"/>
  <c r="E500" i="24"/>
  <c r="R499" i="24"/>
  <c r="Q499" i="24"/>
  <c r="P499" i="24"/>
  <c r="O499" i="24"/>
  <c r="M499" i="24"/>
  <c r="L499" i="24"/>
  <c r="K499" i="24"/>
  <c r="J499" i="24"/>
  <c r="I499" i="24"/>
  <c r="H499" i="24"/>
  <c r="F499" i="24"/>
  <c r="E499" i="24"/>
  <c r="R498" i="24"/>
  <c r="Q498" i="24"/>
  <c r="P498" i="24"/>
  <c r="O498" i="24"/>
  <c r="M498" i="24"/>
  <c r="L498" i="24"/>
  <c r="K498" i="24"/>
  <c r="J498" i="24"/>
  <c r="I498" i="24"/>
  <c r="H498" i="24"/>
  <c r="F498" i="24"/>
  <c r="E498" i="24"/>
  <c r="R497" i="24"/>
  <c r="Q497" i="24"/>
  <c r="P497" i="24"/>
  <c r="O497" i="24"/>
  <c r="M497" i="24"/>
  <c r="L497" i="24"/>
  <c r="K497" i="24"/>
  <c r="J497" i="24"/>
  <c r="I497" i="24"/>
  <c r="H497" i="24"/>
  <c r="F497" i="24"/>
  <c r="E497" i="24"/>
  <c r="R496" i="24"/>
  <c r="Q496" i="24"/>
  <c r="P496" i="24"/>
  <c r="O496" i="24"/>
  <c r="M496" i="24"/>
  <c r="L496" i="24"/>
  <c r="K496" i="24"/>
  <c r="J496" i="24"/>
  <c r="I496" i="24"/>
  <c r="H496" i="24"/>
  <c r="F496" i="24"/>
  <c r="E496" i="24"/>
  <c r="R495" i="24"/>
  <c r="Q495" i="24"/>
  <c r="P495" i="24"/>
  <c r="O495" i="24"/>
  <c r="M495" i="24"/>
  <c r="L495" i="24"/>
  <c r="K495" i="24"/>
  <c r="J495" i="24"/>
  <c r="I495" i="24"/>
  <c r="H495" i="24"/>
  <c r="F495" i="24"/>
  <c r="E495" i="24"/>
  <c r="R494" i="24"/>
  <c r="Q494" i="24"/>
  <c r="P494" i="24"/>
  <c r="O494" i="24"/>
  <c r="M494" i="24"/>
  <c r="L494" i="24"/>
  <c r="K494" i="24"/>
  <c r="J494" i="24"/>
  <c r="I494" i="24"/>
  <c r="H494" i="24"/>
  <c r="F494" i="24"/>
  <c r="E494" i="24"/>
  <c r="R493" i="24"/>
  <c r="Q493" i="24"/>
  <c r="P493" i="24"/>
  <c r="O493" i="24"/>
  <c r="M493" i="24"/>
  <c r="L493" i="24"/>
  <c r="K493" i="24"/>
  <c r="J493" i="24"/>
  <c r="I493" i="24"/>
  <c r="H493" i="24"/>
  <c r="F493" i="24"/>
  <c r="E493" i="24"/>
  <c r="R492" i="24"/>
  <c r="Q492" i="24"/>
  <c r="P492" i="24"/>
  <c r="O492" i="24"/>
  <c r="M492" i="24"/>
  <c r="L492" i="24"/>
  <c r="K492" i="24"/>
  <c r="J492" i="24"/>
  <c r="I492" i="24"/>
  <c r="H492" i="24"/>
  <c r="F492" i="24"/>
  <c r="E492" i="24"/>
  <c r="R491" i="24"/>
  <c r="Q491" i="24"/>
  <c r="P491" i="24"/>
  <c r="O491" i="24"/>
  <c r="M491" i="24"/>
  <c r="L491" i="24"/>
  <c r="K491" i="24"/>
  <c r="J491" i="24"/>
  <c r="I491" i="24"/>
  <c r="H491" i="24"/>
  <c r="F491" i="24"/>
  <c r="E491" i="24"/>
  <c r="R490" i="24"/>
  <c r="Q490" i="24"/>
  <c r="P490" i="24"/>
  <c r="O490" i="24"/>
  <c r="M490" i="24"/>
  <c r="L490" i="24"/>
  <c r="K490" i="24"/>
  <c r="J490" i="24"/>
  <c r="I490" i="24"/>
  <c r="H490" i="24"/>
  <c r="F490" i="24"/>
  <c r="E490" i="24"/>
  <c r="R489" i="24"/>
  <c r="Q489" i="24"/>
  <c r="P489" i="24"/>
  <c r="O489" i="24"/>
  <c r="M489" i="24"/>
  <c r="L489" i="24"/>
  <c r="K489" i="24"/>
  <c r="J489" i="24"/>
  <c r="I489" i="24"/>
  <c r="H489" i="24"/>
  <c r="F489" i="24"/>
  <c r="E489" i="24"/>
  <c r="R488" i="24"/>
  <c r="Q488" i="24"/>
  <c r="P488" i="24"/>
  <c r="O488" i="24"/>
  <c r="M488" i="24"/>
  <c r="L488" i="24"/>
  <c r="K488" i="24"/>
  <c r="J488" i="24"/>
  <c r="I488" i="24"/>
  <c r="H488" i="24"/>
  <c r="F488" i="24"/>
  <c r="E488" i="24"/>
  <c r="R487" i="24"/>
  <c r="Q487" i="24"/>
  <c r="P487" i="24"/>
  <c r="O487" i="24"/>
  <c r="M487" i="24"/>
  <c r="L487" i="24"/>
  <c r="K487" i="24"/>
  <c r="J487" i="24"/>
  <c r="I487" i="24"/>
  <c r="H487" i="24"/>
  <c r="F487" i="24"/>
  <c r="E487" i="24"/>
  <c r="R486" i="24"/>
  <c r="Q486" i="24"/>
  <c r="P486" i="24"/>
  <c r="O486" i="24"/>
  <c r="M486" i="24"/>
  <c r="L486" i="24"/>
  <c r="K486" i="24"/>
  <c r="J486" i="24"/>
  <c r="I486" i="24"/>
  <c r="H486" i="24"/>
  <c r="F486" i="24"/>
  <c r="E486" i="24"/>
  <c r="R485" i="24"/>
  <c r="Q485" i="24"/>
  <c r="P485" i="24"/>
  <c r="O485" i="24"/>
  <c r="M485" i="24"/>
  <c r="L485" i="24"/>
  <c r="K485" i="24"/>
  <c r="J485" i="24"/>
  <c r="I485" i="24"/>
  <c r="H485" i="24"/>
  <c r="F485" i="24"/>
  <c r="E485" i="24"/>
  <c r="R484" i="24"/>
  <c r="Q484" i="24"/>
  <c r="P484" i="24"/>
  <c r="O484" i="24"/>
  <c r="M484" i="24"/>
  <c r="L484" i="24"/>
  <c r="K484" i="24"/>
  <c r="J484" i="24"/>
  <c r="I484" i="24"/>
  <c r="H484" i="24"/>
  <c r="F484" i="24"/>
  <c r="E484" i="24"/>
  <c r="R483" i="24"/>
  <c r="Q483" i="24"/>
  <c r="P483" i="24"/>
  <c r="O483" i="24"/>
  <c r="M483" i="24"/>
  <c r="L483" i="24"/>
  <c r="K483" i="24"/>
  <c r="J483" i="24"/>
  <c r="I483" i="24"/>
  <c r="H483" i="24"/>
  <c r="F483" i="24"/>
  <c r="E483" i="24"/>
  <c r="R482" i="24"/>
  <c r="Q482" i="24"/>
  <c r="P482" i="24"/>
  <c r="O482" i="24"/>
  <c r="M482" i="24"/>
  <c r="L482" i="24"/>
  <c r="K482" i="24"/>
  <c r="J482" i="24"/>
  <c r="I482" i="24"/>
  <c r="H482" i="24"/>
  <c r="F482" i="24"/>
  <c r="E482" i="24"/>
  <c r="R481" i="24"/>
  <c r="Q481" i="24"/>
  <c r="P481" i="24"/>
  <c r="O481" i="24"/>
  <c r="M481" i="24"/>
  <c r="L481" i="24"/>
  <c r="K481" i="24"/>
  <c r="J481" i="24"/>
  <c r="I481" i="24"/>
  <c r="H481" i="24"/>
  <c r="F481" i="24"/>
  <c r="E481" i="24"/>
  <c r="R480" i="24"/>
  <c r="Q480" i="24"/>
  <c r="P480" i="24"/>
  <c r="O480" i="24"/>
  <c r="M480" i="24"/>
  <c r="L480" i="24"/>
  <c r="K480" i="24"/>
  <c r="J480" i="24"/>
  <c r="I480" i="24"/>
  <c r="H480" i="24"/>
  <c r="F480" i="24"/>
  <c r="E480" i="24"/>
  <c r="R479" i="24"/>
  <c r="Q479" i="24"/>
  <c r="P479" i="24"/>
  <c r="O479" i="24"/>
  <c r="M479" i="24"/>
  <c r="L479" i="24"/>
  <c r="K479" i="24"/>
  <c r="J479" i="24"/>
  <c r="I479" i="24"/>
  <c r="H479" i="24"/>
  <c r="F479" i="24"/>
  <c r="E479" i="24"/>
  <c r="R478" i="24"/>
  <c r="Q478" i="24"/>
  <c r="P478" i="24"/>
  <c r="O478" i="24"/>
  <c r="M478" i="24"/>
  <c r="L478" i="24"/>
  <c r="K478" i="24"/>
  <c r="J478" i="24"/>
  <c r="I478" i="24"/>
  <c r="H478" i="24"/>
  <c r="F478" i="24"/>
  <c r="E478" i="24"/>
  <c r="R477" i="24"/>
  <c r="Q477" i="24"/>
  <c r="P477" i="24"/>
  <c r="O477" i="24"/>
  <c r="M477" i="24"/>
  <c r="L477" i="24"/>
  <c r="K477" i="24"/>
  <c r="J477" i="24"/>
  <c r="I477" i="24"/>
  <c r="H477" i="24"/>
  <c r="F477" i="24"/>
  <c r="E477" i="24"/>
  <c r="R476" i="24"/>
  <c r="Q476" i="24"/>
  <c r="P476" i="24"/>
  <c r="O476" i="24"/>
  <c r="M476" i="24"/>
  <c r="L476" i="24"/>
  <c r="K476" i="24"/>
  <c r="J476" i="24"/>
  <c r="I476" i="24"/>
  <c r="H476" i="24"/>
  <c r="F476" i="24"/>
  <c r="E476" i="24"/>
  <c r="R475" i="24"/>
  <c r="Q475" i="24"/>
  <c r="P475" i="24"/>
  <c r="O475" i="24"/>
  <c r="M475" i="24"/>
  <c r="L475" i="24"/>
  <c r="K475" i="24"/>
  <c r="J475" i="24"/>
  <c r="I475" i="24"/>
  <c r="H475" i="24"/>
  <c r="F475" i="24"/>
  <c r="E475" i="24"/>
  <c r="R474" i="24"/>
  <c r="Q474" i="24"/>
  <c r="P474" i="24"/>
  <c r="O474" i="24"/>
  <c r="M474" i="24"/>
  <c r="L474" i="24"/>
  <c r="K474" i="24"/>
  <c r="J474" i="24"/>
  <c r="I474" i="24"/>
  <c r="H474" i="24"/>
  <c r="F474" i="24"/>
  <c r="E474" i="24"/>
  <c r="R473" i="24"/>
  <c r="Q473" i="24"/>
  <c r="P473" i="24"/>
  <c r="O473" i="24"/>
  <c r="M473" i="24"/>
  <c r="L473" i="24"/>
  <c r="K473" i="24"/>
  <c r="J473" i="24"/>
  <c r="I473" i="24"/>
  <c r="H473" i="24"/>
  <c r="F473" i="24"/>
  <c r="E473" i="24"/>
  <c r="R472" i="24"/>
  <c r="Q472" i="24"/>
  <c r="P472" i="24"/>
  <c r="O472" i="24"/>
  <c r="M472" i="24"/>
  <c r="L472" i="24"/>
  <c r="K472" i="24"/>
  <c r="J472" i="24"/>
  <c r="I472" i="24"/>
  <c r="H472" i="24"/>
  <c r="F472" i="24"/>
  <c r="E472" i="24"/>
  <c r="R471" i="24"/>
  <c r="Q471" i="24"/>
  <c r="P471" i="24"/>
  <c r="O471" i="24"/>
  <c r="M471" i="24"/>
  <c r="L471" i="24"/>
  <c r="K471" i="24"/>
  <c r="J471" i="24"/>
  <c r="I471" i="24"/>
  <c r="H471" i="24"/>
  <c r="F471" i="24"/>
  <c r="E471" i="24"/>
  <c r="R470" i="24"/>
  <c r="Q470" i="24"/>
  <c r="P470" i="24"/>
  <c r="O470" i="24"/>
  <c r="M470" i="24"/>
  <c r="L470" i="24"/>
  <c r="K470" i="24"/>
  <c r="J470" i="24"/>
  <c r="I470" i="24"/>
  <c r="H470" i="24"/>
  <c r="F470" i="24"/>
  <c r="E470" i="24"/>
  <c r="R469" i="24"/>
  <c r="Q469" i="24"/>
  <c r="P469" i="24"/>
  <c r="O469" i="24"/>
  <c r="M469" i="24"/>
  <c r="L469" i="24"/>
  <c r="K469" i="24"/>
  <c r="J469" i="24"/>
  <c r="I469" i="24"/>
  <c r="H469" i="24"/>
  <c r="F469" i="24"/>
  <c r="E469" i="24"/>
  <c r="R468" i="24"/>
  <c r="Q468" i="24"/>
  <c r="P468" i="24"/>
  <c r="O468" i="24"/>
  <c r="M468" i="24"/>
  <c r="L468" i="24"/>
  <c r="K468" i="24"/>
  <c r="J468" i="24"/>
  <c r="I468" i="24"/>
  <c r="H468" i="24"/>
  <c r="F468" i="24"/>
  <c r="E468" i="24"/>
  <c r="R467" i="24"/>
  <c r="Q467" i="24"/>
  <c r="P467" i="24"/>
  <c r="O467" i="24"/>
  <c r="M467" i="24"/>
  <c r="L467" i="24"/>
  <c r="K467" i="24"/>
  <c r="J467" i="24"/>
  <c r="I467" i="24"/>
  <c r="H467" i="24"/>
  <c r="F467" i="24"/>
  <c r="E467" i="24"/>
  <c r="R466" i="24"/>
  <c r="Q466" i="24"/>
  <c r="P466" i="24"/>
  <c r="O466" i="24"/>
  <c r="M466" i="24"/>
  <c r="L466" i="24"/>
  <c r="K466" i="24"/>
  <c r="J466" i="24"/>
  <c r="I466" i="24"/>
  <c r="H466" i="24"/>
  <c r="F466" i="24"/>
  <c r="E466" i="24"/>
  <c r="R465" i="24"/>
  <c r="Q465" i="24"/>
  <c r="P465" i="24"/>
  <c r="O465" i="24"/>
  <c r="M465" i="24"/>
  <c r="L465" i="24"/>
  <c r="K465" i="24"/>
  <c r="J465" i="24"/>
  <c r="I465" i="24"/>
  <c r="H465" i="24"/>
  <c r="F465" i="24"/>
  <c r="E465" i="24"/>
  <c r="R464" i="24"/>
  <c r="Q464" i="24"/>
  <c r="P464" i="24"/>
  <c r="O464" i="24"/>
  <c r="M464" i="24"/>
  <c r="L464" i="24"/>
  <c r="K464" i="24"/>
  <c r="J464" i="24"/>
  <c r="I464" i="24"/>
  <c r="H464" i="24"/>
  <c r="F464" i="24"/>
  <c r="E464" i="24"/>
  <c r="R463" i="24"/>
  <c r="Q463" i="24"/>
  <c r="P463" i="24"/>
  <c r="O463" i="24"/>
  <c r="M463" i="24"/>
  <c r="L463" i="24"/>
  <c r="K463" i="24"/>
  <c r="J463" i="24"/>
  <c r="I463" i="24"/>
  <c r="H463" i="24"/>
  <c r="F463" i="24"/>
  <c r="E463" i="24"/>
  <c r="R462" i="24"/>
  <c r="Q462" i="24"/>
  <c r="P462" i="24"/>
  <c r="O462" i="24"/>
  <c r="M462" i="24"/>
  <c r="L462" i="24"/>
  <c r="K462" i="24"/>
  <c r="J462" i="24"/>
  <c r="I462" i="24"/>
  <c r="H462" i="24"/>
  <c r="F462" i="24"/>
  <c r="E462" i="24"/>
  <c r="R461" i="24"/>
  <c r="Q461" i="24"/>
  <c r="P461" i="24"/>
  <c r="O461" i="24"/>
  <c r="M461" i="24"/>
  <c r="L461" i="24"/>
  <c r="K461" i="24"/>
  <c r="J461" i="24"/>
  <c r="I461" i="24"/>
  <c r="H461" i="24"/>
  <c r="F461" i="24"/>
  <c r="E461" i="24"/>
  <c r="R460" i="24"/>
  <c r="Q460" i="24"/>
  <c r="P460" i="24"/>
  <c r="O460" i="24"/>
  <c r="M460" i="24"/>
  <c r="L460" i="24"/>
  <c r="K460" i="24"/>
  <c r="J460" i="24"/>
  <c r="I460" i="24"/>
  <c r="H460" i="24"/>
  <c r="F460" i="24"/>
  <c r="E460" i="24"/>
  <c r="R459" i="24"/>
  <c r="Q459" i="24"/>
  <c r="P459" i="24"/>
  <c r="O459" i="24"/>
  <c r="M459" i="24"/>
  <c r="L459" i="24"/>
  <c r="K459" i="24"/>
  <c r="J459" i="24"/>
  <c r="I459" i="24"/>
  <c r="H459" i="24"/>
  <c r="F459" i="24"/>
  <c r="E459" i="24"/>
  <c r="R458" i="24"/>
  <c r="Q458" i="24"/>
  <c r="P458" i="24"/>
  <c r="O458" i="24"/>
  <c r="M458" i="24"/>
  <c r="L458" i="24"/>
  <c r="K458" i="24"/>
  <c r="J458" i="24"/>
  <c r="I458" i="24"/>
  <c r="H458" i="24"/>
  <c r="F458" i="24"/>
  <c r="E458" i="24"/>
  <c r="R457" i="24"/>
  <c r="Q457" i="24"/>
  <c r="P457" i="24"/>
  <c r="O457" i="24"/>
  <c r="M457" i="24"/>
  <c r="L457" i="24"/>
  <c r="K457" i="24"/>
  <c r="J457" i="24"/>
  <c r="I457" i="24"/>
  <c r="H457" i="24"/>
  <c r="F457" i="24"/>
  <c r="E457" i="24"/>
  <c r="R456" i="24"/>
  <c r="Q456" i="24"/>
  <c r="P456" i="24"/>
  <c r="O456" i="24"/>
  <c r="M456" i="24"/>
  <c r="L456" i="24"/>
  <c r="K456" i="24"/>
  <c r="J456" i="24"/>
  <c r="I456" i="24"/>
  <c r="H456" i="24"/>
  <c r="F456" i="24"/>
  <c r="E456" i="24"/>
  <c r="R455" i="24"/>
  <c r="Q455" i="24"/>
  <c r="P455" i="24"/>
  <c r="O455" i="24"/>
  <c r="M455" i="24"/>
  <c r="L455" i="24"/>
  <c r="K455" i="24"/>
  <c r="J455" i="24"/>
  <c r="I455" i="24"/>
  <c r="H455" i="24"/>
  <c r="F455" i="24"/>
  <c r="E455" i="24"/>
  <c r="R454" i="24"/>
  <c r="Q454" i="24"/>
  <c r="P454" i="24"/>
  <c r="O454" i="24"/>
  <c r="M454" i="24"/>
  <c r="L454" i="24"/>
  <c r="K454" i="24"/>
  <c r="J454" i="24"/>
  <c r="I454" i="24"/>
  <c r="H454" i="24"/>
  <c r="F454" i="24"/>
  <c r="E454" i="24"/>
  <c r="R453" i="24"/>
  <c r="Q453" i="24"/>
  <c r="P453" i="24"/>
  <c r="O453" i="24"/>
  <c r="M453" i="24"/>
  <c r="L453" i="24"/>
  <c r="K453" i="24"/>
  <c r="J453" i="24"/>
  <c r="I453" i="24"/>
  <c r="H453" i="24"/>
  <c r="F453" i="24"/>
  <c r="E453" i="24"/>
  <c r="R452" i="24"/>
  <c r="Q452" i="24"/>
  <c r="P452" i="24"/>
  <c r="O452" i="24"/>
  <c r="M452" i="24"/>
  <c r="L452" i="24"/>
  <c r="K452" i="24"/>
  <c r="J452" i="24"/>
  <c r="I452" i="24"/>
  <c r="H452" i="24"/>
  <c r="F452" i="24"/>
  <c r="E452" i="24"/>
  <c r="R451" i="24"/>
  <c r="Q451" i="24"/>
  <c r="P451" i="24"/>
  <c r="O451" i="24"/>
  <c r="M451" i="24"/>
  <c r="L451" i="24"/>
  <c r="K451" i="24"/>
  <c r="J451" i="24"/>
  <c r="I451" i="24"/>
  <c r="H451" i="24"/>
  <c r="F451" i="24"/>
  <c r="E451" i="24"/>
  <c r="R450" i="24"/>
  <c r="Q450" i="24"/>
  <c r="P450" i="24"/>
  <c r="O450" i="24"/>
  <c r="M450" i="24"/>
  <c r="L450" i="24"/>
  <c r="K450" i="24"/>
  <c r="J450" i="24"/>
  <c r="I450" i="24"/>
  <c r="H450" i="24"/>
  <c r="F450" i="24"/>
  <c r="E450" i="24"/>
  <c r="R449" i="24"/>
  <c r="Q449" i="24"/>
  <c r="P449" i="24"/>
  <c r="O449" i="24"/>
  <c r="M449" i="24"/>
  <c r="L449" i="24"/>
  <c r="K449" i="24"/>
  <c r="J449" i="24"/>
  <c r="I449" i="24"/>
  <c r="H449" i="24"/>
  <c r="F449" i="24"/>
  <c r="E449" i="24"/>
  <c r="R448" i="24"/>
  <c r="Q448" i="24"/>
  <c r="P448" i="24"/>
  <c r="O448" i="24"/>
  <c r="M448" i="24"/>
  <c r="L448" i="24"/>
  <c r="K448" i="24"/>
  <c r="J448" i="24"/>
  <c r="I448" i="24"/>
  <c r="H448" i="24"/>
  <c r="F448" i="24"/>
  <c r="E448" i="24"/>
  <c r="R447" i="24"/>
  <c r="Q447" i="24"/>
  <c r="P447" i="24"/>
  <c r="O447" i="24"/>
  <c r="M447" i="24"/>
  <c r="L447" i="24"/>
  <c r="K447" i="24"/>
  <c r="J447" i="24"/>
  <c r="I447" i="24"/>
  <c r="H447" i="24"/>
  <c r="F447" i="24"/>
  <c r="E447" i="24"/>
  <c r="R446" i="24"/>
  <c r="Q446" i="24"/>
  <c r="P446" i="24"/>
  <c r="O446" i="24"/>
  <c r="M446" i="24"/>
  <c r="L446" i="24"/>
  <c r="K446" i="24"/>
  <c r="J446" i="24"/>
  <c r="I446" i="24"/>
  <c r="H446" i="24"/>
  <c r="F446" i="24"/>
  <c r="E446" i="24"/>
  <c r="R445" i="24"/>
  <c r="Q445" i="24"/>
  <c r="P445" i="24"/>
  <c r="O445" i="24"/>
  <c r="M445" i="24"/>
  <c r="L445" i="24"/>
  <c r="K445" i="24"/>
  <c r="J445" i="24"/>
  <c r="I445" i="24"/>
  <c r="H445" i="24"/>
  <c r="F445" i="24"/>
  <c r="E445" i="24"/>
  <c r="R444" i="24"/>
  <c r="Q444" i="24"/>
  <c r="P444" i="24"/>
  <c r="O444" i="24"/>
  <c r="M444" i="24"/>
  <c r="L444" i="24"/>
  <c r="K444" i="24"/>
  <c r="J444" i="24"/>
  <c r="I444" i="24"/>
  <c r="H444" i="24"/>
  <c r="F444" i="24"/>
  <c r="E444" i="24"/>
  <c r="R443" i="24"/>
  <c r="Q443" i="24"/>
  <c r="P443" i="24"/>
  <c r="O443" i="24"/>
  <c r="M443" i="24"/>
  <c r="L443" i="24"/>
  <c r="K443" i="24"/>
  <c r="J443" i="24"/>
  <c r="I443" i="24"/>
  <c r="H443" i="24"/>
  <c r="F443" i="24"/>
  <c r="E443" i="24"/>
  <c r="R442" i="24"/>
  <c r="Q442" i="24"/>
  <c r="P442" i="24"/>
  <c r="O442" i="24"/>
  <c r="M442" i="24"/>
  <c r="L442" i="24"/>
  <c r="K442" i="24"/>
  <c r="J442" i="24"/>
  <c r="I442" i="24"/>
  <c r="H442" i="24"/>
  <c r="F442" i="24"/>
  <c r="E442" i="24"/>
  <c r="R441" i="24"/>
  <c r="Q441" i="24"/>
  <c r="P441" i="24"/>
  <c r="O441" i="24"/>
  <c r="M441" i="24"/>
  <c r="L441" i="24"/>
  <c r="K441" i="24"/>
  <c r="J441" i="24"/>
  <c r="I441" i="24"/>
  <c r="H441" i="24"/>
  <c r="F441" i="24"/>
  <c r="E441" i="24"/>
  <c r="R440" i="24"/>
  <c r="Q440" i="24"/>
  <c r="P440" i="24"/>
  <c r="O440" i="24"/>
  <c r="M440" i="24"/>
  <c r="L440" i="24"/>
  <c r="K440" i="24"/>
  <c r="J440" i="24"/>
  <c r="I440" i="24"/>
  <c r="H440" i="24"/>
  <c r="F440" i="24"/>
  <c r="E440" i="24"/>
  <c r="R439" i="24"/>
  <c r="Q439" i="24"/>
  <c r="P439" i="24"/>
  <c r="O439" i="24"/>
  <c r="M439" i="24"/>
  <c r="L439" i="24"/>
  <c r="K439" i="24"/>
  <c r="J439" i="24"/>
  <c r="I439" i="24"/>
  <c r="H439" i="24"/>
  <c r="F439" i="24"/>
  <c r="E439" i="24"/>
  <c r="R438" i="24"/>
  <c r="Q438" i="24"/>
  <c r="P438" i="24"/>
  <c r="O438" i="24"/>
  <c r="M438" i="24"/>
  <c r="L438" i="24"/>
  <c r="K438" i="24"/>
  <c r="J438" i="24"/>
  <c r="I438" i="24"/>
  <c r="H438" i="24"/>
  <c r="F438" i="24"/>
  <c r="E438" i="24"/>
  <c r="R437" i="24"/>
  <c r="Q437" i="24"/>
  <c r="P437" i="24"/>
  <c r="O437" i="24"/>
  <c r="M437" i="24"/>
  <c r="L437" i="24"/>
  <c r="K437" i="24"/>
  <c r="J437" i="24"/>
  <c r="I437" i="24"/>
  <c r="H437" i="24"/>
  <c r="F437" i="24"/>
  <c r="E437" i="24"/>
  <c r="R436" i="24"/>
  <c r="Q436" i="24"/>
  <c r="P436" i="24"/>
  <c r="O436" i="24"/>
  <c r="M436" i="24"/>
  <c r="L436" i="24"/>
  <c r="K436" i="24"/>
  <c r="J436" i="24"/>
  <c r="I436" i="24"/>
  <c r="H436" i="24"/>
  <c r="F436" i="24"/>
  <c r="E436" i="24"/>
  <c r="R435" i="24"/>
  <c r="Q435" i="24"/>
  <c r="P435" i="24"/>
  <c r="O435" i="24"/>
  <c r="M435" i="24"/>
  <c r="L435" i="24"/>
  <c r="K435" i="24"/>
  <c r="J435" i="24"/>
  <c r="I435" i="24"/>
  <c r="H435" i="24"/>
  <c r="F435" i="24"/>
  <c r="E435" i="24"/>
  <c r="R434" i="24"/>
  <c r="Q434" i="24"/>
  <c r="P434" i="24"/>
  <c r="O434" i="24"/>
  <c r="M434" i="24"/>
  <c r="L434" i="24"/>
  <c r="K434" i="24"/>
  <c r="J434" i="24"/>
  <c r="I434" i="24"/>
  <c r="H434" i="24"/>
  <c r="F434" i="24"/>
  <c r="E434" i="24"/>
  <c r="R433" i="24"/>
  <c r="Q433" i="24"/>
  <c r="P433" i="24"/>
  <c r="O433" i="24"/>
  <c r="M433" i="24"/>
  <c r="L433" i="24"/>
  <c r="K433" i="24"/>
  <c r="J433" i="24"/>
  <c r="I433" i="24"/>
  <c r="H433" i="24"/>
  <c r="F433" i="24"/>
  <c r="E433" i="24"/>
  <c r="R432" i="24"/>
  <c r="Q432" i="24"/>
  <c r="P432" i="24"/>
  <c r="O432" i="24"/>
  <c r="M432" i="24"/>
  <c r="L432" i="24"/>
  <c r="K432" i="24"/>
  <c r="J432" i="24"/>
  <c r="I432" i="24"/>
  <c r="H432" i="24"/>
  <c r="F432" i="24"/>
  <c r="E432" i="24"/>
  <c r="R431" i="24"/>
  <c r="Q431" i="24"/>
  <c r="P431" i="24"/>
  <c r="O431" i="24"/>
  <c r="N431" i="24"/>
  <c r="M431" i="24"/>
  <c r="L431" i="24"/>
  <c r="K431" i="24"/>
  <c r="J431" i="24"/>
  <c r="I431" i="24"/>
  <c r="H431" i="24"/>
  <c r="F431" i="24"/>
  <c r="E431" i="24"/>
  <c r="R430" i="24"/>
  <c r="Q430" i="24"/>
  <c r="P430" i="24"/>
  <c r="O430" i="24"/>
  <c r="M430" i="24"/>
  <c r="L430" i="24"/>
  <c r="K430" i="24"/>
  <c r="J430" i="24"/>
  <c r="I430" i="24"/>
  <c r="H430" i="24"/>
  <c r="F430" i="24"/>
  <c r="E430" i="24"/>
  <c r="R429" i="24"/>
  <c r="Q429" i="24"/>
  <c r="P429" i="24"/>
  <c r="O429" i="24"/>
  <c r="M429" i="24"/>
  <c r="L429" i="24"/>
  <c r="K429" i="24"/>
  <c r="J429" i="24"/>
  <c r="I429" i="24"/>
  <c r="H429" i="24"/>
  <c r="F429" i="24"/>
  <c r="E429" i="24"/>
  <c r="R428" i="24"/>
  <c r="Q428" i="24"/>
  <c r="P428" i="24"/>
  <c r="O428" i="24"/>
  <c r="M428" i="24"/>
  <c r="L428" i="24"/>
  <c r="K428" i="24"/>
  <c r="J428" i="24"/>
  <c r="I428" i="24"/>
  <c r="H428" i="24"/>
  <c r="F428" i="24"/>
  <c r="E428" i="24"/>
  <c r="R427" i="24"/>
  <c r="Q427" i="24"/>
  <c r="P427" i="24"/>
  <c r="O427" i="24"/>
  <c r="M427" i="24"/>
  <c r="L427" i="24"/>
  <c r="K427" i="24"/>
  <c r="J427" i="24"/>
  <c r="I427" i="24"/>
  <c r="H427" i="24"/>
  <c r="F427" i="24"/>
  <c r="E427" i="24"/>
  <c r="R426" i="24"/>
  <c r="Q426" i="24"/>
  <c r="P426" i="24"/>
  <c r="O426" i="24"/>
  <c r="M426" i="24"/>
  <c r="L426" i="24"/>
  <c r="K426" i="24"/>
  <c r="J426" i="24"/>
  <c r="I426" i="24"/>
  <c r="H426" i="24"/>
  <c r="F426" i="24"/>
  <c r="E426" i="24"/>
  <c r="R425" i="24"/>
  <c r="Q425" i="24"/>
  <c r="P425" i="24"/>
  <c r="O425" i="24"/>
  <c r="M425" i="24"/>
  <c r="L425" i="24"/>
  <c r="K425" i="24"/>
  <c r="J425" i="24"/>
  <c r="I425" i="24"/>
  <c r="H425" i="24"/>
  <c r="F425" i="24"/>
  <c r="E425" i="24"/>
  <c r="R424" i="24"/>
  <c r="Q424" i="24"/>
  <c r="P424" i="24"/>
  <c r="O424" i="24"/>
  <c r="M424" i="24"/>
  <c r="L424" i="24"/>
  <c r="K424" i="24"/>
  <c r="J424" i="24"/>
  <c r="I424" i="24"/>
  <c r="H424" i="24"/>
  <c r="F424" i="24"/>
  <c r="E424" i="24"/>
  <c r="R423" i="24"/>
  <c r="Q423" i="24"/>
  <c r="P423" i="24"/>
  <c r="O423" i="24"/>
  <c r="M423" i="24"/>
  <c r="L423" i="24"/>
  <c r="K423" i="24"/>
  <c r="J423" i="24"/>
  <c r="I423" i="24"/>
  <c r="H423" i="24"/>
  <c r="F423" i="24"/>
  <c r="E423" i="24"/>
  <c r="R422" i="24"/>
  <c r="Q422" i="24"/>
  <c r="P422" i="24"/>
  <c r="O422" i="24"/>
  <c r="M422" i="24"/>
  <c r="L422" i="24"/>
  <c r="K422" i="24"/>
  <c r="J422" i="24"/>
  <c r="I422" i="24"/>
  <c r="H422" i="24"/>
  <c r="F422" i="24"/>
  <c r="E422" i="24"/>
  <c r="R421" i="24"/>
  <c r="Q421" i="24"/>
  <c r="P421" i="24"/>
  <c r="O421" i="24"/>
  <c r="M421" i="24"/>
  <c r="L421" i="24"/>
  <c r="K421" i="24"/>
  <c r="J421" i="24"/>
  <c r="I421" i="24"/>
  <c r="H421" i="24"/>
  <c r="F421" i="24"/>
  <c r="E421" i="24"/>
  <c r="R420" i="24"/>
  <c r="Q420" i="24"/>
  <c r="P420" i="24"/>
  <c r="O420" i="24"/>
  <c r="M420" i="24"/>
  <c r="L420" i="24"/>
  <c r="K420" i="24"/>
  <c r="J420" i="24"/>
  <c r="I420" i="24"/>
  <c r="H420" i="24"/>
  <c r="F420" i="24"/>
  <c r="E420" i="24"/>
  <c r="R419" i="24"/>
  <c r="Q419" i="24"/>
  <c r="P419" i="24"/>
  <c r="O419" i="24"/>
  <c r="M419" i="24"/>
  <c r="L419" i="24"/>
  <c r="K419" i="24"/>
  <c r="J419" i="24"/>
  <c r="I419" i="24"/>
  <c r="H419" i="24"/>
  <c r="F419" i="24"/>
  <c r="E419" i="24"/>
  <c r="R418" i="24"/>
  <c r="Q418" i="24"/>
  <c r="P418" i="24"/>
  <c r="O418" i="24"/>
  <c r="M418" i="24"/>
  <c r="L418" i="24"/>
  <c r="K418" i="24"/>
  <c r="J418" i="24"/>
  <c r="I418" i="24"/>
  <c r="H418" i="24"/>
  <c r="F418" i="24"/>
  <c r="E418" i="24"/>
  <c r="R417" i="24"/>
  <c r="Q417" i="24"/>
  <c r="P417" i="24"/>
  <c r="O417" i="24"/>
  <c r="M417" i="24"/>
  <c r="L417" i="24"/>
  <c r="K417" i="24"/>
  <c r="J417" i="24"/>
  <c r="I417" i="24"/>
  <c r="H417" i="24"/>
  <c r="F417" i="24"/>
  <c r="E417" i="24"/>
  <c r="R416" i="24"/>
  <c r="Q416" i="24"/>
  <c r="P416" i="24"/>
  <c r="O416" i="24"/>
  <c r="M416" i="24"/>
  <c r="L416" i="24"/>
  <c r="K416" i="24"/>
  <c r="J416" i="24"/>
  <c r="I416" i="24"/>
  <c r="H416" i="24"/>
  <c r="F416" i="24"/>
  <c r="E416" i="24"/>
  <c r="R415" i="24"/>
  <c r="Q415" i="24"/>
  <c r="P415" i="24"/>
  <c r="O415" i="24"/>
  <c r="M415" i="24"/>
  <c r="L415" i="24"/>
  <c r="K415" i="24"/>
  <c r="J415" i="24"/>
  <c r="I415" i="24"/>
  <c r="H415" i="24"/>
  <c r="F415" i="24"/>
  <c r="E415" i="24"/>
  <c r="R414" i="24"/>
  <c r="Q414" i="24"/>
  <c r="P414" i="24"/>
  <c r="O414" i="24"/>
  <c r="M414" i="24"/>
  <c r="L414" i="24"/>
  <c r="K414" i="24"/>
  <c r="J414" i="24"/>
  <c r="I414" i="24"/>
  <c r="H414" i="24"/>
  <c r="F414" i="24"/>
  <c r="E414" i="24"/>
  <c r="R413" i="24"/>
  <c r="Q413" i="24"/>
  <c r="P413" i="24"/>
  <c r="O413" i="24"/>
  <c r="M413" i="24"/>
  <c r="L413" i="24"/>
  <c r="K413" i="24"/>
  <c r="J413" i="24"/>
  <c r="I413" i="24"/>
  <c r="H413" i="24"/>
  <c r="F413" i="24"/>
  <c r="E413" i="24"/>
  <c r="R412" i="24"/>
  <c r="Q412" i="24"/>
  <c r="P412" i="24"/>
  <c r="O412" i="24"/>
  <c r="M412" i="24"/>
  <c r="L412" i="24"/>
  <c r="K412" i="24"/>
  <c r="J412" i="24"/>
  <c r="I412" i="24"/>
  <c r="H412" i="24"/>
  <c r="F412" i="24"/>
  <c r="E412" i="24"/>
  <c r="R411" i="24"/>
  <c r="Q411" i="24"/>
  <c r="P411" i="24"/>
  <c r="O411" i="24"/>
  <c r="M411" i="24"/>
  <c r="L411" i="24"/>
  <c r="K411" i="24"/>
  <c r="J411" i="24"/>
  <c r="I411" i="24"/>
  <c r="H411" i="24"/>
  <c r="F411" i="24"/>
  <c r="E411" i="24"/>
  <c r="R410" i="24"/>
  <c r="Q410" i="24"/>
  <c r="P410" i="24"/>
  <c r="O410" i="24"/>
  <c r="M410" i="24"/>
  <c r="L410" i="24"/>
  <c r="K410" i="24"/>
  <c r="J410" i="24"/>
  <c r="I410" i="24"/>
  <c r="H410" i="24"/>
  <c r="F410" i="24"/>
  <c r="E410" i="24"/>
  <c r="R409" i="24"/>
  <c r="Q409" i="24"/>
  <c r="P409" i="24"/>
  <c r="O409" i="24"/>
  <c r="M409" i="24"/>
  <c r="L409" i="24"/>
  <c r="K409" i="24"/>
  <c r="J409" i="24"/>
  <c r="I409" i="24"/>
  <c r="H409" i="24"/>
  <c r="F409" i="24"/>
  <c r="E409" i="24"/>
  <c r="R408" i="24"/>
  <c r="Q408" i="24"/>
  <c r="P408" i="24"/>
  <c r="O408" i="24"/>
  <c r="M408" i="24"/>
  <c r="L408" i="24"/>
  <c r="K408" i="24"/>
  <c r="J408" i="24"/>
  <c r="I408" i="24"/>
  <c r="H408" i="24"/>
  <c r="F408" i="24"/>
  <c r="E408" i="24"/>
  <c r="R407" i="24"/>
  <c r="Q407" i="24"/>
  <c r="P407" i="24"/>
  <c r="O407" i="24"/>
  <c r="M407" i="24"/>
  <c r="L407" i="24"/>
  <c r="K407" i="24"/>
  <c r="J407" i="24"/>
  <c r="I407" i="24"/>
  <c r="H407" i="24"/>
  <c r="F407" i="24"/>
  <c r="E407" i="24"/>
  <c r="R406" i="24"/>
  <c r="Q406" i="24"/>
  <c r="P406" i="24"/>
  <c r="O406" i="24"/>
  <c r="M406" i="24"/>
  <c r="L406" i="24"/>
  <c r="K406" i="24"/>
  <c r="J406" i="24"/>
  <c r="I406" i="24"/>
  <c r="H406" i="24"/>
  <c r="F406" i="24"/>
  <c r="E406" i="24"/>
  <c r="R405" i="24"/>
  <c r="Q405" i="24"/>
  <c r="P405" i="24"/>
  <c r="O405" i="24"/>
  <c r="M405" i="24"/>
  <c r="L405" i="24"/>
  <c r="K405" i="24"/>
  <c r="J405" i="24"/>
  <c r="I405" i="24"/>
  <c r="H405" i="24"/>
  <c r="F405" i="24"/>
  <c r="E405" i="24"/>
  <c r="R404" i="24"/>
  <c r="Q404" i="24"/>
  <c r="P404" i="24"/>
  <c r="O404" i="24"/>
  <c r="M404" i="24"/>
  <c r="L404" i="24"/>
  <c r="K404" i="24"/>
  <c r="J404" i="24"/>
  <c r="I404" i="24"/>
  <c r="H404" i="24"/>
  <c r="F404" i="24"/>
  <c r="E404" i="24"/>
  <c r="R403" i="24"/>
  <c r="Q403" i="24"/>
  <c r="P403" i="24"/>
  <c r="O403" i="24"/>
  <c r="M403" i="24"/>
  <c r="L403" i="24"/>
  <c r="K403" i="24"/>
  <c r="J403" i="24"/>
  <c r="I403" i="24"/>
  <c r="H403" i="24"/>
  <c r="F403" i="24"/>
  <c r="E403" i="24"/>
  <c r="R402" i="24"/>
  <c r="Q402" i="24"/>
  <c r="P402" i="24"/>
  <c r="O402" i="24"/>
  <c r="M402" i="24"/>
  <c r="L402" i="24"/>
  <c r="K402" i="24"/>
  <c r="J402" i="24"/>
  <c r="I402" i="24"/>
  <c r="H402" i="24"/>
  <c r="F402" i="24"/>
  <c r="E402" i="24"/>
  <c r="R401" i="24"/>
  <c r="Q401" i="24"/>
  <c r="P401" i="24"/>
  <c r="O401" i="24"/>
  <c r="M401" i="24"/>
  <c r="L401" i="24"/>
  <c r="K401" i="24"/>
  <c r="J401" i="24"/>
  <c r="I401" i="24"/>
  <c r="H401" i="24"/>
  <c r="F401" i="24"/>
  <c r="E401" i="24"/>
  <c r="R400" i="24"/>
  <c r="Q400" i="24"/>
  <c r="P400" i="24"/>
  <c r="O400" i="24"/>
  <c r="M400" i="24"/>
  <c r="L400" i="24"/>
  <c r="K400" i="24"/>
  <c r="J400" i="24"/>
  <c r="I400" i="24"/>
  <c r="H400" i="24"/>
  <c r="F400" i="24"/>
  <c r="E400" i="24"/>
  <c r="R399" i="24"/>
  <c r="Q399" i="24"/>
  <c r="P399" i="24"/>
  <c r="O399" i="24"/>
  <c r="M399" i="24"/>
  <c r="L399" i="24"/>
  <c r="K399" i="24"/>
  <c r="J399" i="24"/>
  <c r="I399" i="24"/>
  <c r="H399" i="24"/>
  <c r="F399" i="24"/>
  <c r="E399" i="24"/>
  <c r="R398" i="24"/>
  <c r="Q398" i="24"/>
  <c r="P398" i="24"/>
  <c r="O398" i="24"/>
  <c r="M398" i="24"/>
  <c r="L398" i="24"/>
  <c r="K398" i="24"/>
  <c r="J398" i="24"/>
  <c r="I398" i="24"/>
  <c r="H398" i="24"/>
  <c r="F398" i="24"/>
  <c r="E398" i="24"/>
  <c r="R397" i="24"/>
  <c r="Q397" i="24"/>
  <c r="P397" i="24"/>
  <c r="O397" i="24"/>
  <c r="M397" i="24"/>
  <c r="L397" i="24"/>
  <c r="K397" i="24"/>
  <c r="J397" i="24"/>
  <c r="I397" i="24"/>
  <c r="H397" i="24"/>
  <c r="F397" i="24"/>
  <c r="E397" i="24"/>
  <c r="R396" i="24"/>
  <c r="Q396" i="24"/>
  <c r="P396" i="24"/>
  <c r="O396" i="24"/>
  <c r="M396" i="24"/>
  <c r="L396" i="24"/>
  <c r="K396" i="24"/>
  <c r="J396" i="24"/>
  <c r="I396" i="24"/>
  <c r="H396" i="24"/>
  <c r="F396" i="24"/>
  <c r="E396" i="24"/>
  <c r="R395" i="24"/>
  <c r="Q395" i="24"/>
  <c r="P395" i="24"/>
  <c r="O395" i="24"/>
  <c r="M395" i="24"/>
  <c r="L395" i="24"/>
  <c r="K395" i="24"/>
  <c r="J395" i="24"/>
  <c r="I395" i="24"/>
  <c r="H395" i="24"/>
  <c r="F395" i="24"/>
  <c r="E395" i="24"/>
  <c r="R394" i="24"/>
  <c r="Q394" i="24"/>
  <c r="P394" i="24"/>
  <c r="O394" i="24"/>
  <c r="M394" i="24"/>
  <c r="L394" i="24"/>
  <c r="K394" i="24"/>
  <c r="J394" i="24"/>
  <c r="I394" i="24"/>
  <c r="H394" i="24"/>
  <c r="F394" i="24"/>
  <c r="E394" i="24"/>
  <c r="R393" i="24"/>
  <c r="Q393" i="24"/>
  <c r="P393" i="24"/>
  <c r="O393" i="24"/>
  <c r="M393" i="24"/>
  <c r="L393" i="24"/>
  <c r="K393" i="24"/>
  <c r="J393" i="24"/>
  <c r="I393" i="24"/>
  <c r="H393" i="24"/>
  <c r="F393" i="24"/>
  <c r="E393" i="24"/>
  <c r="R392" i="24"/>
  <c r="Q392" i="24"/>
  <c r="P392" i="24"/>
  <c r="O392" i="24"/>
  <c r="M392" i="24"/>
  <c r="L392" i="24"/>
  <c r="K392" i="24"/>
  <c r="J392" i="24"/>
  <c r="I392" i="24"/>
  <c r="H392" i="24"/>
  <c r="F392" i="24"/>
  <c r="E392" i="24"/>
  <c r="R391" i="24"/>
  <c r="Q391" i="24"/>
  <c r="P391" i="24"/>
  <c r="O391" i="24"/>
  <c r="M391" i="24"/>
  <c r="L391" i="24"/>
  <c r="K391" i="24"/>
  <c r="J391" i="24"/>
  <c r="I391" i="24"/>
  <c r="H391" i="24"/>
  <c r="F391" i="24"/>
  <c r="E391" i="24"/>
  <c r="R390" i="24"/>
  <c r="Q390" i="24"/>
  <c r="P390" i="24"/>
  <c r="O390" i="24"/>
  <c r="M390" i="24"/>
  <c r="L390" i="24"/>
  <c r="K390" i="24"/>
  <c r="J390" i="24"/>
  <c r="I390" i="24"/>
  <c r="H390" i="24"/>
  <c r="F390" i="24"/>
  <c r="E390" i="24"/>
  <c r="R389" i="24"/>
  <c r="Q389" i="24"/>
  <c r="P389" i="24"/>
  <c r="O389" i="24"/>
  <c r="M389" i="24"/>
  <c r="L389" i="24"/>
  <c r="K389" i="24"/>
  <c r="J389" i="24"/>
  <c r="I389" i="24"/>
  <c r="H389" i="24"/>
  <c r="F389" i="24"/>
  <c r="E389" i="24"/>
  <c r="R388" i="24"/>
  <c r="Q388" i="24"/>
  <c r="P388" i="24"/>
  <c r="O388" i="24"/>
  <c r="M388" i="24"/>
  <c r="L388" i="24"/>
  <c r="K388" i="24"/>
  <c r="J388" i="24"/>
  <c r="I388" i="24"/>
  <c r="H388" i="24"/>
  <c r="F388" i="24"/>
  <c r="E388" i="24"/>
  <c r="R387" i="24"/>
  <c r="Q387" i="24"/>
  <c r="P387" i="24"/>
  <c r="O387" i="24"/>
  <c r="M387" i="24"/>
  <c r="L387" i="24"/>
  <c r="K387" i="24"/>
  <c r="J387" i="24"/>
  <c r="I387" i="24"/>
  <c r="H387" i="24"/>
  <c r="F387" i="24"/>
  <c r="E387" i="24"/>
  <c r="R386" i="24"/>
  <c r="Q386" i="24"/>
  <c r="P386" i="24"/>
  <c r="O386" i="24"/>
  <c r="M386" i="24"/>
  <c r="L386" i="24"/>
  <c r="K386" i="24"/>
  <c r="J386" i="24"/>
  <c r="I386" i="24"/>
  <c r="H386" i="24"/>
  <c r="F386" i="24"/>
  <c r="E386" i="24"/>
  <c r="R385" i="24"/>
  <c r="Q385" i="24"/>
  <c r="P385" i="24"/>
  <c r="O385" i="24"/>
  <c r="M385" i="24"/>
  <c r="L385" i="24"/>
  <c r="K385" i="24"/>
  <c r="J385" i="24"/>
  <c r="I385" i="24"/>
  <c r="H385" i="24"/>
  <c r="F385" i="24"/>
  <c r="E385" i="24"/>
  <c r="R384" i="24"/>
  <c r="Q384" i="24"/>
  <c r="P384" i="24"/>
  <c r="O384" i="24"/>
  <c r="M384" i="24"/>
  <c r="L384" i="24"/>
  <c r="K384" i="24"/>
  <c r="J384" i="24"/>
  <c r="I384" i="24"/>
  <c r="H384" i="24"/>
  <c r="F384" i="24"/>
  <c r="E384" i="24"/>
  <c r="R383" i="24"/>
  <c r="Q383" i="24"/>
  <c r="P383" i="24"/>
  <c r="O383" i="24"/>
  <c r="M383" i="24"/>
  <c r="L383" i="24"/>
  <c r="K383" i="24"/>
  <c r="J383" i="24"/>
  <c r="I383" i="24"/>
  <c r="H383" i="24"/>
  <c r="F383" i="24"/>
  <c r="E383" i="24"/>
  <c r="R382" i="24"/>
  <c r="Q382" i="24"/>
  <c r="P382" i="24"/>
  <c r="O382" i="24"/>
  <c r="M382" i="24"/>
  <c r="L382" i="24"/>
  <c r="K382" i="24"/>
  <c r="J382" i="24"/>
  <c r="I382" i="24"/>
  <c r="H382" i="24"/>
  <c r="F382" i="24"/>
  <c r="E382" i="24"/>
  <c r="R381" i="24"/>
  <c r="Q381" i="24"/>
  <c r="P381" i="24"/>
  <c r="O381" i="24"/>
  <c r="M381" i="24"/>
  <c r="L381" i="24"/>
  <c r="K381" i="24"/>
  <c r="J381" i="24"/>
  <c r="I381" i="24"/>
  <c r="H381" i="24"/>
  <c r="F381" i="24"/>
  <c r="E381" i="24"/>
  <c r="R380" i="24"/>
  <c r="Q380" i="24"/>
  <c r="P380" i="24"/>
  <c r="O380" i="24"/>
  <c r="M380" i="24"/>
  <c r="L380" i="24"/>
  <c r="K380" i="24"/>
  <c r="J380" i="24"/>
  <c r="I380" i="24"/>
  <c r="H380" i="24"/>
  <c r="F380" i="24"/>
  <c r="E380" i="24"/>
  <c r="R379" i="24"/>
  <c r="Q379" i="24"/>
  <c r="P379" i="24"/>
  <c r="O379" i="24"/>
  <c r="M379" i="24"/>
  <c r="L379" i="24"/>
  <c r="K379" i="24"/>
  <c r="J379" i="24"/>
  <c r="I379" i="24"/>
  <c r="H379" i="24"/>
  <c r="F379" i="24"/>
  <c r="E379" i="24"/>
  <c r="R378" i="24"/>
  <c r="Q378" i="24"/>
  <c r="P378" i="24"/>
  <c r="O378" i="24"/>
  <c r="M378" i="24"/>
  <c r="L378" i="24"/>
  <c r="K378" i="24"/>
  <c r="J378" i="24"/>
  <c r="I378" i="24"/>
  <c r="H378" i="24"/>
  <c r="F378" i="24"/>
  <c r="E378" i="24"/>
  <c r="R377" i="24"/>
  <c r="Q377" i="24"/>
  <c r="P377" i="24"/>
  <c r="O377" i="24"/>
  <c r="M377" i="24"/>
  <c r="L377" i="24"/>
  <c r="K377" i="24"/>
  <c r="J377" i="24"/>
  <c r="I377" i="24"/>
  <c r="H377" i="24"/>
  <c r="F377" i="24"/>
  <c r="E377" i="24"/>
  <c r="R376" i="24"/>
  <c r="Q376" i="24"/>
  <c r="P376" i="24"/>
  <c r="O376" i="24"/>
  <c r="M376" i="24"/>
  <c r="L376" i="24"/>
  <c r="K376" i="24"/>
  <c r="J376" i="24"/>
  <c r="I376" i="24"/>
  <c r="H376" i="24"/>
  <c r="F376" i="24"/>
  <c r="E376" i="24"/>
  <c r="R375" i="24"/>
  <c r="Q375" i="24"/>
  <c r="P375" i="24"/>
  <c r="O375" i="24"/>
  <c r="M375" i="24"/>
  <c r="L375" i="24"/>
  <c r="K375" i="24"/>
  <c r="J375" i="24"/>
  <c r="I375" i="24"/>
  <c r="H375" i="24"/>
  <c r="F375" i="24"/>
  <c r="E375" i="24"/>
  <c r="R374" i="24"/>
  <c r="Q374" i="24"/>
  <c r="P374" i="24"/>
  <c r="O374" i="24"/>
  <c r="M374" i="24"/>
  <c r="L374" i="24"/>
  <c r="K374" i="24"/>
  <c r="J374" i="24"/>
  <c r="I374" i="24"/>
  <c r="H374" i="24"/>
  <c r="F374" i="24"/>
  <c r="E374" i="24"/>
  <c r="R373" i="24"/>
  <c r="Q373" i="24"/>
  <c r="P373" i="24"/>
  <c r="O373" i="24"/>
  <c r="M373" i="24"/>
  <c r="L373" i="24"/>
  <c r="K373" i="24"/>
  <c r="J373" i="24"/>
  <c r="I373" i="24"/>
  <c r="H373" i="24"/>
  <c r="F373" i="24"/>
  <c r="E373" i="24"/>
  <c r="R372" i="24"/>
  <c r="Q372" i="24"/>
  <c r="P372" i="24"/>
  <c r="O372" i="24"/>
  <c r="M372" i="24"/>
  <c r="L372" i="24"/>
  <c r="K372" i="24"/>
  <c r="J372" i="24"/>
  <c r="I372" i="24"/>
  <c r="H372" i="24"/>
  <c r="F372" i="24"/>
  <c r="E372" i="24"/>
  <c r="R371" i="24"/>
  <c r="Q371" i="24"/>
  <c r="P371" i="24"/>
  <c r="O371" i="24"/>
  <c r="M371" i="24"/>
  <c r="L371" i="24"/>
  <c r="K371" i="24"/>
  <c r="J371" i="24"/>
  <c r="I371" i="24"/>
  <c r="H371" i="24"/>
  <c r="F371" i="24"/>
  <c r="E371" i="24"/>
  <c r="R370" i="24"/>
  <c r="Q370" i="24"/>
  <c r="P370" i="24"/>
  <c r="O370" i="24"/>
  <c r="M370" i="24"/>
  <c r="L370" i="24"/>
  <c r="K370" i="24"/>
  <c r="J370" i="24"/>
  <c r="I370" i="24"/>
  <c r="H370" i="24"/>
  <c r="F370" i="24"/>
  <c r="E370" i="24"/>
  <c r="R369" i="24"/>
  <c r="Q369" i="24"/>
  <c r="P369" i="24"/>
  <c r="O369" i="24"/>
  <c r="M369" i="24"/>
  <c r="L369" i="24"/>
  <c r="K369" i="24"/>
  <c r="J369" i="24"/>
  <c r="I369" i="24"/>
  <c r="H369" i="24"/>
  <c r="F369" i="24"/>
  <c r="E369" i="24"/>
  <c r="R368" i="24"/>
  <c r="Q368" i="24"/>
  <c r="P368" i="24"/>
  <c r="O368" i="24"/>
  <c r="M368" i="24"/>
  <c r="L368" i="24"/>
  <c r="K368" i="24"/>
  <c r="J368" i="24"/>
  <c r="I368" i="24"/>
  <c r="H368" i="24"/>
  <c r="F368" i="24"/>
  <c r="E368" i="24"/>
  <c r="R367" i="24"/>
  <c r="Q367" i="24"/>
  <c r="P367" i="24"/>
  <c r="O367" i="24"/>
  <c r="M367" i="24"/>
  <c r="L367" i="24"/>
  <c r="K367" i="24"/>
  <c r="J367" i="24"/>
  <c r="I367" i="24"/>
  <c r="H367" i="24"/>
  <c r="F367" i="24"/>
  <c r="E367" i="24"/>
  <c r="R366" i="24"/>
  <c r="Q366" i="24"/>
  <c r="P366" i="24"/>
  <c r="O366" i="24"/>
  <c r="M366" i="24"/>
  <c r="L366" i="24"/>
  <c r="K366" i="24"/>
  <c r="J366" i="24"/>
  <c r="I366" i="24"/>
  <c r="H366" i="24"/>
  <c r="F366" i="24"/>
  <c r="E366" i="24"/>
  <c r="R365" i="24"/>
  <c r="Q365" i="24"/>
  <c r="P365" i="24"/>
  <c r="O365" i="24"/>
  <c r="M365" i="24"/>
  <c r="L365" i="24"/>
  <c r="K365" i="24"/>
  <c r="J365" i="24"/>
  <c r="I365" i="24"/>
  <c r="H365" i="24"/>
  <c r="F365" i="24"/>
  <c r="E365" i="24"/>
  <c r="R364" i="24"/>
  <c r="Q364" i="24"/>
  <c r="P364" i="24"/>
  <c r="O364" i="24"/>
  <c r="M364" i="24"/>
  <c r="L364" i="24"/>
  <c r="K364" i="24"/>
  <c r="J364" i="24"/>
  <c r="I364" i="24"/>
  <c r="H364" i="24"/>
  <c r="F364" i="24"/>
  <c r="E364" i="24"/>
  <c r="R363" i="24"/>
  <c r="Q363" i="24"/>
  <c r="P363" i="24"/>
  <c r="O363" i="24"/>
  <c r="M363" i="24"/>
  <c r="L363" i="24"/>
  <c r="K363" i="24"/>
  <c r="J363" i="24"/>
  <c r="I363" i="24"/>
  <c r="H363" i="24"/>
  <c r="F363" i="24"/>
  <c r="E363" i="24"/>
  <c r="R362" i="24"/>
  <c r="Q362" i="24"/>
  <c r="P362" i="24"/>
  <c r="O362" i="24"/>
  <c r="M362" i="24"/>
  <c r="L362" i="24"/>
  <c r="K362" i="24"/>
  <c r="J362" i="24"/>
  <c r="I362" i="24"/>
  <c r="H362" i="24"/>
  <c r="F362" i="24"/>
  <c r="E362" i="24"/>
  <c r="R361" i="24"/>
  <c r="Q361" i="24"/>
  <c r="P361" i="24"/>
  <c r="O361" i="24"/>
  <c r="M361" i="24"/>
  <c r="L361" i="24"/>
  <c r="K361" i="24"/>
  <c r="J361" i="24"/>
  <c r="I361" i="24"/>
  <c r="H361" i="24"/>
  <c r="F361" i="24"/>
  <c r="E361" i="24"/>
  <c r="R360" i="24"/>
  <c r="Q360" i="24"/>
  <c r="P360" i="24"/>
  <c r="O360" i="24"/>
  <c r="M360" i="24"/>
  <c r="L360" i="24"/>
  <c r="K360" i="24"/>
  <c r="J360" i="24"/>
  <c r="I360" i="24"/>
  <c r="H360" i="24"/>
  <c r="F360" i="24"/>
  <c r="E360" i="24"/>
  <c r="R359" i="24"/>
  <c r="Q359" i="24"/>
  <c r="P359" i="24"/>
  <c r="O359" i="24"/>
  <c r="M359" i="24"/>
  <c r="L359" i="24"/>
  <c r="K359" i="24"/>
  <c r="J359" i="24"/>
  <c r="I359" i="24"/>
  <c r="H359" i="24"/>
  <c r="F359" i="24"/>
  <c r="E359" i="24"/>
  <c r="R358" i="24"/>
  <c r="Q358" i="24"/>
  <c r="P358" i="24"/>
  <c r="O358" i="24"/>
  <c r="M358" i="24"/>
  <c r="L358" i="24"/>
  <c r="K358" i="24"/>
  <c r="J358" i="24"/>
  <c r="I358" i="24"/>
  <c r="H358" i="24"/>
  <c r="F358" i="24"/>
  <c r="E358" i="24"/>
  <c r="R357" i="24"/>
  <c r="Q357" i="24"/>
  <c r="P357" i="24"/>
  <c r="O357" i="24"/>
  <c r="M357" i="24"/>
  <c r="L357" i="24"/>
  <c r="K357" i="24"/>
  <c r="J357" i="24"/>
  <c r="I357" i="24"/>
  <c r="H357" i="24"/>
  <c r="F357" i="24"/>
  <c r="E357" i="24"/>
  <c r="R356" i="24"/>
  <c r="Q356" i="24"/>
  <c r="P356" i="24"/>
  <c r="O356" i="24"/>
  <c r="M356" i="24"/>
  <c r="L356" i="24"/>
  <c r="K356" i="24"/>
  <c r="J356" i="24"/>
  <c r="I356" i="24"/>
  <c r="H356" i="24"/>
  <c r="F356" i="24"/>
  <c r="E356" i="24"/>
  <c r="R355" i="24"/>
  <c r="Q355" i="24"/>
  <c r="P355" i="24"/>
  <c r="O355" i="24"/>
  <c r="M355" i="24"/>
  <c r="L355" i="24"/>
  <c r="K355" i="24"/>
  <c r="J355" i="24"/>
  <c r="I355" i="24"/>
  <c r="H355" i="24"/>
  <c r="F355" i="24"/>
  <c r="E355" i="24"/>
  <c r="R354" i="24"/>
  <c r="Q354" i="24"/>
  <c r="P354" i="24"/>
  <c r="O354" i="24"/>
  <c r="M354" i="24"/>
  <c r="L354" i="24"/>
  <c r="K354" i="24"/>
  <c r="J354" i="24"/>
  <c r="I354" i="24"/>
  <c r="H354" i="24"/>
  <c r="F354" i="24"/>
  <c r="E354" i="24"/>
  <c r="R353" i="24"/>
  <c r="Q353" i="24"/>
  <c r="P353" i="24"/>
  <c r="O353" i="24"/>
  <c r="M353" i="24"/>
  <c r="L353" i="24"/>
  <c r="K353" i="24"/>
  <c r="J353" i="24"/>
  <c r="I353" i="24"/>
  <c r="H353" i="24"/>
  <c r="F353" i="24"/>
  <c r="E353" i="24"/>
  <c r="R352" i="24"/>
  <c r="Q352" i="24"/>
  <c r="P352" i="24"/>
  <c r="O352" i="24"/>
  <c r="M352" i="24"/>
  <c r="L352" i="24"/>
  <c r="K352" i="24"/>
  <c r="J352" i="24"/>
  <c r="I352" i="24"/>
  <c r="H352" i="24"/>
  <c r="F352" i="24"/>
  <c r="E352" i="24"/>
  <c r="R351" i="24"/>
  <c r="Q351" i="24"/>
  <c r="P351" i="24"/>
  <c r="O351" i="24"/>
  <c r="M351" i="24"/>
  <c r="L351" i="24"/>
  <c r="K351" i="24"/>
  <c r="J351" i="24"/>
  <c r="I351" i="24"/>
  <c r="H351" i="24"/>
  <c r="F351" i="24"/>
  <c r="E351" i="24"/>
  <c r="R350" i="24"/>
  <c r="Q350" i="24"/>
  <c r="P350" i="24"/>
  <c r="O350" i="24"/>
  <c r="M350" i="24"/>
  <c r="L350" i="24"/>
  <c r="K350" i="24"/>
  <c r="J350" i="24"/>
  <c r="I350" i="24"/>
  <c r="H350" i="24"/>
  <c r="F350" i="24"/>
  <c r="E350" i="24"/>
  <c r="R349" i="24"/>
  <c r="Q349" i="24"/>
  <c r="P349" i="24"/>
  <c r="O349" i="24"/>
  <c r="M349" i="24"/>
  <c r="L349" i="24"/>
  <c r="K349" i="24"/>
  <c r="J349" i="24"/>
  <c r="I349" i="24"/>
  <c r="H349" i="24"/>
  <c r="F349" i="24"/>
  <c r="E349" i="24"/>
  <c r="R348" i="24"/>
  <c r="Q348" i="24"/>
  <c r="P348" i="24"/>
  <c r="O348" i="24"/>
  <c r="M348" i="24"/>
  <c r="L348" i="24"/>
  <c r="K348" i="24"/>
  <c r="J348" i="24"/>
  <c r="I348" i="24"/>
  <c r="H348" i="24"/>
  <c r="F348" i="24"/>
  <c r="E348" i="24"/>
  <c r="R347" i="24"/>
  <c r="Q347" i="24"/>
  <c r="P347" i="24"/>
  <c r="O347" i="24"/>
  <c r="M347" i="24"/>
  <c r="L347" i="24"/>
  <c r="K347" i="24"/>
  <c r="J347" i="24"/>
  <c r="I347" i="24"/>
  <c r="H347" i="24"/>
  <c r="F347" i="24"/>
  <c r="E347" i="24"/>
  <c r="R346" i="24"/>
  <c r="Q346" i="24"/>
  <c r="P346" i="24"/>
  <c r="O346" i="24"/>
  <c r="M346" i="24"/>
  <c r="L346" i="24"/>
  <c r="K346" i="24"/>
  <c r="J346" i="24"/>
  <c r="I346" i="24"/>
  <c r="H346" i="24"/>
  <c r="F346" i="24"/>
  <c r="E346" i="24"/>
  <c r="R345" i="24"/>
  <c r="Q345" i="24"/>
  <c r="P345" i="24"/>
  <c r="O345" i="24"/>
  <c r="M345" i="24"/>
  <c r="L345" i="24"/>
  <c r="K345" i="24"/>
  <c r="J345" i="24"/>
  <c r="I345" i="24"/>
  <c r="H345" i="24"/>
  <c r="F345" i="24"/>
  <c r="E345" i="24"/>
  <c r="R344" i="24"/>
  <c r="Q344" i="24"/>
  <c r="P344" i="24"/>
  <c r="O344" i="24"/>
  <c r="M344" i="24"/>
  <c r="L344" i="24"/>
  <c r="K344" i="24"/>
  <c r="J344" i="24"/>
  <c r="I344" i="24"/>
  <c r="H344" i="24"/>
  <c r="F344" i="24"/>
  <c r="E344" i="24"/>
  <c r="R343" i="24"/>
  <c r="Q343" i="24"/>
  <c r="P343" i="24"/>
  <c r="O343" i="24"/>
  <c r="M343" i="24"/>
  <c r="L343" i="24"/>
  <c r="K343" i="24"/>
  <c r="J343" i="24"/>
  <c r="I343" i="24"/>
  <c r="H343" i="24"/>
  <c r="F343" i="24"/>
  <c r="E343" i="24"/>
  <c r="R342" i="24"/>
  <c r="Q342" i="24"/>
  <c r="P342" i="24"/>
  <c r="O342" i="24"/>
  <c r="M342" i="24"/>
  <c r="L342" i="24"/>
  <c r="K342" i="24"/>
  <c r="J342" i="24"/>
  <c r="I342" i="24"/>
  <c r="H342" i="24"/>
  <c r="F342" i="24"/>
  <c r="E342" i="24"/>
  <c r="R341" i="24"/>
  <c r="Q341" i="24"/>
  <c r="P341" i="24"/>
  <c r="O341" i="24"/>
  <c r="M341" i="24"/>
  <c r="L341" i="24"/>
  <c r="K341" i="24"/>
  <c r="J341" i="24"/>
  <c r="I341" i="24"/>
  <c r="H341" i="24"/>
  <c r="F341" i="24"/>
  <c r="E341" i="24"/>
  <c r="R340" i="24"/>
  <c r="Q340" i="24"/>
  <c r="P340" i="24"/>
  <c r="O340" i="24"/>
  <c r="M340" i="24"/>
  <c r="L340" i="24"/>
  <c r="K340" i="24"/>
  <c r="J340" i="24"/>
  <c r="I340" i="24"/>
  <c r="H340" i="24"/>
  <c r="F340" i="24"/>
  <c r="E340" i="24"/>
  <c r="R339" i="24"/>
  <c r="Q339" i="24"/>
  <c r="P339" i="24"/>
  <c r="O339" i="24"/>
  <c r="M339" i="24"/>
  <c r="L339" i="24"/>
  <c r="K339" i="24"/>
  <c r="J339" i="24"/>
  <c r="I339" i="24"/>
  <c r="H339" i="24"/>
  <c r="F339" i="24"/>
  <c r="E339" i="24"/>
  <c r="R338" i="24"/>
  <c r="Q338" i="24"/>
  <c r="P338" i="24"/>
  <c r="O338" i="24"/>
  <c r="M338" i="24"/>
  <c r="L338" i="24"/>
  <c r="K338" i="24"/>
  <c r="J338" i="24"/>
  <c r="I338" i="24"/>
  <c r="H338" i="24"/>
  <c r="F338" i="24"/>
  <c r="E338" i="24"/>
  <c r="R337" i="24"/>
  <c r="Q337" i="24"/>
  <c r="P337" i="24"/>
  <c r="O337" i="24"/>
  <c r="M337" i="24"/>
  <c r="L337" i="24"/>
  <c r="K337" i="24"/>
  <c r="J337" i="24"/>
  <c r="I337" i="24"/>
  <c r="H337" i="24"/>
  <c r="F337" i="24"/>
  <c r="E337" i="24"/>
  <c r="R336" i="24"/>
  <c r="Q336" i="24"/>
  <c r="P336" i="24"/>
  <c r="O336" i="24"/>
  <c r="M336" i="24"/>
  <c r="L336" i="24"/>
  <c r="K336" i="24"/>
  <c r="J336" i="24"/>
  <c r="I336" i="24"/>
  <c r="H336" i="24"/>
  <c r="F336" i="24"/>
  <c r="E336" i="24"/>
  <c r="R335" i="24"/>
  <c r="Q335" i="24"/>
  <c r="P335" i="24"/>
  <c r="O335" i="24"/>
  <c r="M335" i="24"/>
  <c r="L335" i="24"/>
  <c r="K335" i="24"/>
  <c r="J335" i="24"/>
  <c r="I335" i="24"/>
  <c r="H335" i="24"/>
  <c r="F335" i="24"/>
  <c r="E335" i="24"/>
  <c r="R334" i="24"/>
  <c r="Q334" i="24"/>
  <c r="P334" i="24"/>
  <c r="O334" i="24"/>
  <c r="M334" i="24"/>
  <c r="L334" i="24"/>
  <c r="K334" i="24"/>
  <c r="J334" i="24"/>
  <c r="I334" i="24"/>
  <c r="H334" i="24"/>
  <c r="F334" i="24"/>
  <c r="E334" i="24"/>
  <c r="R333" i="24"/>
  <c r="Q333" i="24"/>
  <c r="P333" i="24"/>
  <c r="O333" i="24"/>
  <c r="M333" i="24"/>
  <c r="L333" i="24"/>
  <c r="K333" i="24"/>
  <c r="J333" i="24"/>
  <c r="I333" i="24"/>
  <c r="H333" i="24"/>
  <c r="F333" i="24"/>
  <c r="E333" i="24"/>
  <c r="R332" i="24"/>
  <c r="Q332" i="24"/>
  <c r="P332" i="24"/>
  <c r="O332" i="24"/>
  <c r="M332" i="24"/>
  <c r="L332" i="24"/>
  <c r="K332" i="24"/>
  <c r="J332" i="24"/>
  <c r="I332" i="24"/>
  <c r="H332" i="24"/>
  <c r="F332" i="24"/>
  <c r="E332" i="24"/>
  <c r="R331" i="24"/>
  <c r="Q331" i="24"/>
  <c r="P331" i="24"/>
  <c r="O331" i="24"/>
  <c r="M331" i="24"/>
  <c r="L331" i="24"/>
  <c r="K331" i="24"/>
  <c r="J331" i="24"/>
  <c r="I331" i="24"/>
  <c r="H331" i="24"/>
  <c r="F331" i="24"/>
  <c r="E331" i="24"/>
  <c r="R330" i="24"/>
  <c r="Q330" i="24"/>
  <c r="P330" i="24"/>
  <c r="O330" i="24"/>
  <c r="M330" i="24"/>
  <c r="L330" i="24"/>
  <c r="K330" i="24"/>
  <c r="J330" i="24"/>
  <c r="I330" i="24"/>
  <c r="H330" i="24"/>
  <c r="F330" i="24"/>
  <c r="E330" i="24"/>
  <c r="R329" i="24"/>
  <c r="Q329" i="24"/>
  <c r="P329" i="24"/>
  <c r="O329" i="24"/>
  <c r="M329" i="24"/>
  <c r="L329" i="24"/>
  <c r="K329" i="24"/>
  <c r="J329" i="24"/>
  <c r="I329" i="24"/>
  <c r="H329" i="24"/>
  <c r="F329" i="24"/>
  <c r="E329" i="24"/>
  <c r="R328" i="24"/>
  <c r="Q328" i="24"/>
  <c r="P328" i="24"/>
  <c r="O328" i="24"/>
  <c r="M328" i="24"/>
  <c r="L328" i="24"/>
  <c r="K328" i="24"/>
  <c r="J328" i="24"/>
  <c r="I328" i="24"/>
  <c r="H328" i="24"/>
  <c r="F328" i="24"/>
  <c r="E328" i="24"/>
  <c r="R327" i="24"/>
  <c r="Q327" i="24"/>
  <c r="P327" i="24"/>
  <c r="O327" i="24"/>
  <c r="M327" i="24"/>
  <c r="L327" i="24"/>
  <c r="K327" i="24"/>
  <c r="J327" i="24"/>
  <c r="I327" i="24"/>
  <c r="H327" i="24"/>
  <c r="F327" i="24"/>
  <c r="E327" i="24"/>
  <c r="R326" i="24"/>
  <c r="Q326" i="24"/>
  <c r="P326" i="24"/>
  <c r="O326" i="24"/>
  <c r="M326" i="24"/>
  <c r="L326" i="24"/>
  <c r="K326" i="24"/>
  <c r="J326" i="24"/>
  <c r="I326" i="24"/>
  <c r="H326" i="24"/>
  <c r="F326" i="24"/>
  <c r="E326" i="24"/>
  <c r="R325" i="24"/>
  <c r="Q325" i="24"/>
  <c r="P325" i="24"/>
  <c r="O325" i="24"/>
  <c r="M325" i="24"/>
  <c r="L325" i="24"/>
  <c r="K325" i="24"/>
  <c r="J325" i="24"/>
  <c r="I325" i="24"/>
  <c r="H325" i="24"/>
  <c r="F325" i="24"/>
  <c r="E325" i="24"/>
  <c r="R324" i="24"/>
  <c r="Q324" i="24"/>
  <c r="P324" i="24"/>
  <c r="O324" i="24"/>
  <c r="M324" i="24"/>
  <c r="L324" i="24"/>
  <c r="K324" i="24"/>
  <c r="J324" i="24"/>
  <c r="I324" i="24"/>
  <c r="H324" i="24"/>
  <c r="F324" i="24"/>
  <c r="E324" i="24"/>
  <c r="R323" i="24"/>
  <c r="Q323" i="24"/>
  <c r="P323" i="24"/>
  <c r="O323" i="24"/>
  <c r="M323" i="24"/>
  <c r="L323" i="24"/>
  <c r="K323" i="24"/>
  <c r="J323" i="24"/>
  <c r="I323" i="24"/>
  <c r="H323" i="24"/>
  <c r="F323" i="24"/>
  <c r="E323" i="24"/>
  <c r="R322" i="24"/>
  <c r="Q322" i="24"/>
  <c r="P322" i="24"/>
  <c r="O322" i="24"/>
  <c r="M322" i="24"/>
  <c r="L322" i="24"/>
  <c r="K322" i="24"/>
  <c r="J322" i="24"/>
  <c r="I322" i="24"/>
  <c r="H322" i="24"/>
  <c r="F322" i="24"/>
  <c r="E322" i="24"/>
  <c r="R321" i="24"/>
  <c r="Q321" i="24"/>
  <c r="P321" i="24"/>
  <c r="O321" i="24"/>
  <c r="M321" i="24"/>
  <c r="L321" i="24"/>
  <c r="K321" i="24"/>
  <c r="J321" i="24"/>
  <c r="I321" i="24"/>
  <c r="H321" i="24"/>
  <c r="F321" i="24"/>
  <c r="E321" i="24"/>
  <c r="R320" i="24"/>
  <c r="Q320" i="24"/>
  <c r="P320" i="24"/>
  <c r="O320" i="24"/>
  <c r="M320" i="24"/>
  <c r="L320" i="24"/>
  <c r="K320" i="24"/>
  <c r="J320" i="24"/>
  <c r="I320" i="24"/>
  <c r="H320" i="24"/>
  <c r="F320" i="24"/>
  <c r="E320" i="24"/>
  <c r="R319" i="24"/>
  <c r="Q319" i="24"/>
  <c r="P319" i="24"/>
  <c r="O319" i="24"/>
  <c r="M319" i="24"/>
  <c r="L319" i="24"/>
  <c r="K319" i="24"/>
  <c r="J319" i="24"/>
  <c r="I319" i="24"/>
  <c r="H319" i="24"/>
  <c r="F319" i="24"/>
  <c r="E319" i="24"/>
  <c r="R318" i="24"/>
  <c r="Q318" i="24"/>
  <c r="P318" i="24"/>
  <c r="O318" i="24"/>
  <c r="M318" i="24"/>
  <c r="L318" i="24"/>
  <c r="K318" i="24"/>
  <c r="J318" i="24"/>
  <c r="I318" i="24"/>
  <c r="H318" i="24"/>
  <c r="F318" i="24"/>
  <c r="E318" i="24"/>
  <c r="R317" i="24"/>
  <c r="Q317" i="24"/>
  <c r="P317" i="24"/>
  <c r="O317" i="24"/>
  <c r="M317" i="24"/>
  <c r="L317" i="24"/>
  <c r="K317" i="24"/>
  <c r="J317" i="24"/>
  <c r="I317" i="24"/>
  <c r="H317" i="24"/>
  <c r="F317" i="24"/>
  <c r="E317" i="24"/>
  <c r="R316" i="24"/>
  <c r="Q316" i="24"/>
  <c r="P316" i="24"/>
  <c r="O316" i="24"/>
  <c r="M316" i="24"/>
  <c r="L316" i="24"/>
  <c r="K316" i="24"/>
  <c r="J316" i="24"/>
  <c r="I316" i="24"/>
  <c r="H316" i="24"/>
  <c r="F316" i="24"/>
  <c r="E316" i="24"/>
  <c r="R315" i="24"/>
  <c r="Q315" i="24"/>
  <c r="P315" i="24"/>
  <c r="O315" i="24"/>
  <c r="M315" i="24"/>
  <c r="L315" i="24"/>
  <c r="K315" i="24"/>
  <c r="J315" i="24"/>
  <c r="I315" i="24"/>
  <c r="H315" i="24"/>
  <c r="F315" i="24"/>
  <c r="E315" i="24"/>
  <c r="R314" i="24"/>
  <c r="Q314" i="24"/>
  <c r="P314" i="24"/>
  <c r="O314" i="24"/>
  <c r="M314" i="24"/>
  <c r="L314" i="24"/>
  <c r="K314" i="24"/>
  <c r="J314" i="24"/>
  <c r="I314" i="24"/>
  <c r="H314" i="24"/>
  <c r="F314" i="24"/>
  <c r="E314" i="24"/>
  <c r="R313" i="24"/>
  <c r="Q313" i="24"/>
  <c r="P313" i="24"/>
  <c r="O313" i="24"/>
  <c r="M313" i="24"/>
  <c r="L313" i="24"/>
  <c r="K313" i="24"/>
  <c r="J313" i="24"/>
  <c r="I313" i="24"/>
  <c r="H313" i="24"/>
  <c r="F313" i="24"/>
  <c r="E313" i="24"/>
  <c r="R312" i="24"/>
  <c r="Q312" i="24"/>
  <c r="P312" i="24"/>
  <c r="O312" i="24"/>
  <c r="M312" i="24"/>
  <c r="L312" i="24"/>
  <c r="K312" i="24"/>
  <c r="J312" i="24"/>
  <c r="I312" i="24"/>
  <c r="H312" i="24"/>
  <c r="F312" i="24"/>
  <c r="E312" i="24"/>
  <c r="R311" i="24"/>
  <c r="Q311" i="24"/>
  <c r="P311" i="24"/>
  <c r="O311" i="24"/>
  <c r="M311" i="24"/>
  <c r="L311" i="24"/>
  <c r="K311" i="24"/>
  <c r="J311" i="24"/>
  <c r="I311" i="24"/>
  <c r="H311" i="24"/>
  <c r="F311" i="24"/>
  <c r="E311" i="24"/>
  <c r="R310" i="24"/>
  <c r="Q310" i="24"/>
  <c r="P310" i="24"/>
  <c r="O310" i="24"/>
  <c r="M310" i="24"/>
  <c r="L310" i="24"/>
  <c r="K310" i="24"/>
  <c r="J310" i="24"/>
  <c r="I310" i="24"/>
  <c r="H310" i="24"/>
  <c r="F310" i="24"/>
  <c r="E310" i="24"/>
  <c r="R309" i="24"/>
  <c r="Q309" i="24"/>
  <c r="P309" i="24"/>
  <c r="O309" i="24"/>
  <c r="M309" i="24"/>
  <c r="L309" i="24"/>
  <c r="K309" i="24"/>
  <c r="J309" i="24"/>
  <c r="I309" i="24"/>
  <c r="H309" i="24"/>
  <c r="F309" i="24"/>
  <c r="E309" i="24"/>
  <c r="R308" i="24"/>
  <c r="Q308" i="24"/>
  <c r="P308" i="24"/>
  <c r="O308" i="24"/>
  <c r="M308" i="24"/>
  <c r="L308" i="24"/>
  <c r="K308" i="24"/>
  <c r="J308" i="24"/>
  <c r="I308" i="24"/>
  <c r="H308" i="24"/>
  <c r="F308" i="24"/>
  <c r="E308" i="24"/>
  <c r="R307" i="24"/>
  <c r="Q307" i="24"/>
  <c r="P307" i="24"/>
  <c r="O307" i="24"/>
  <c r="M307" i="24"/>
  <c r="L307" i="24"/>
  <c r="K307" i="24"/>
  <c r="J307" i="24"/>
  <c r="I307" i="24"/>
  <c r="H307" i="24"/>
  <c r="F307" i="24"/>
  <c r="E307" i="24"/>
  <c r="R306" i="24"/>
  <c r="Q306" i="24"/>
  <c r="P306" i="24"/>
  <c r="O306" i="24"/>
  <c r="M306" i="24"/>
  <c r="L306" i="24"/>
  <c r="K306" i="24"/>
  <c r="J306" i="24"/>
  <c r="I306" i="24"/>
  <c r="H306" i="24"/>
  <c r="F306" i="24"/>
  <c r="E306" i="24"/>
  <c r="R305" i="24"/>
  <c r="Q305" i="24"/>
  <c r="P305" i="24"/>
  <c r="O305" i="24"/>
  <c r="M305" i="24"/>
  <c r="L305" i="24"/>
  <c r="K305" i="24"/>
  <c r="J305" i="24"/>
  <c r="I305" i="24"/>
  <c r="H305" i="24"/>
  <c r="F305" i="24"/>
  <c r="E305" i="24"/>
  <c r="R304" i="24"/>
  <c r="Q304" i="24"/>
  <c r="P304" i="24"/>
  <c r="O304" i="24"/>
  <c r="M304" i="24"/>
  <c r="L304" i="24"/>
  <c r="K304" i="24"/>
  <c r="J304" i="24"/>
  <c r="I304" i="24"/>
  <c r="H304" i="24"/>
  <c r="F304" i="24"/>
  <c r="E304" i="24"/>
  <c r="R303" i="24"/>
  <c r="Q303" i="24"/>
  <c r="P303" i="24"/>
  <c r="O303" i="24"/>
  <c r="M303" i="24"/>
  <c r="L303" i="24"/>
  <c r="K303" i="24"/>
  <c r="J303" i="24"/>
  <c r="I303" i="24"/>
  <c r="H303" i="24"/>
  <c r="F303" i="24"/>
  <c r="E303" i="24"/>
  <c r="R302" i="24"/>
  <c r="Q302" i="24"/>
  <c r="P302" i="24"/>
  <c r="O302" i="24"/>
  <c r="M302" i="24"/>
  <c r="L302" i="24"/>
  <c r="K302" i="24"/>
  <c r="J302" i="24"/>
  <c r="I302" i="24"/>
  <c r="H302" i="24"/>
  <c r="F302" i="24"/>
  <c r="E302" i="24"/>
  <c r="R301" i="24"/>
  <c r="Q301" i="24"/>
  <c r="P301" i="24"/>
  <c r="O301" i="24"/>
  <c r="M301" i="24"/>
  <c r="L301" i="24"/>
  <c r="K301" i="24"/>
  <c r="J301" i="24"/>
  <c r="I301" i="24"/>
  <c r="H301" i="24"/>
  <c r="F301" i="24"/>
  <c r="E301" i="24"/>
  <c r="R300" i="24"/>
  <c r="Q300" i="24"/>
  <c r="P300" i="24"/>
  <c r="O300" i="24"/>
  <c r="M300" i="24"/>
  <c r="L300" i="24"/>
  <c r="K300" i="24"/>
  <c r="J300" i="24"/>
  <c r="I300" i="24"/>
  <c r="H300" i="24"/>
  <c r="F300" i="24"/>
  <c r="E300" i="24"/>
  <c r="R299" i="24"/>
  <c r="Q299" i="24"/>
  <c r="P299" i="24"/>
  <c r="O299" i="24"/>
  <c r="M299" i="24"/>
  <c r="L299" i="24"/>
  <c r="K299" i="24"/>
  <c r="J299" i="24"/>
  <c r="I299" i="24"/>
  <c r="H299" i="24"/>
  <c r="F299" i="24"/>
  <c r="E299" i="24"/>
  <c r="R298" i="24"/>
  <c r="Q298" i="24"/>
  <c r="P298" i="24"/>
  <c r="O298" i="24"/>
  <c r="M298" i="24"/>
  <c r="L298" i="24"/>
  <c r="K298" i="24"/>
  <c r="J298" i="24"/>
  <c r="I298" i="24"/>
  <c r="H298" i="24"/>
  <c r="F298" i="24"/>
  <c r="E298" i="24"/>
  <c r="R297" i="24"/>
  <c r="Q297" i="24"/>
  <c r="P297" i="24"/>
  <c r="O297" i="24"/>
  <c r="M297" i="24"/>
  <c r="L297" i="24"/>
  <c r="K297" i="24"/>
  <c r="J297" i="24"/>
  <c r="I297" i="24"/>
  <c r="H297" i="24"/>
  <c r="F297" i="24"/>
  <c r="E297" i="24"/>
  <c r="R296" i="24"/>
  <c r="Q296" i="24"/>
  <c r="P296" i="24"/>
  <c r="O296" i="24"/>
  <c r="M296" i="24"/>
  <c r="L296" i="24"/>
  <c r="K296" i="24"/>
  <c r="J296" i="24"/>
  <c r="I296" i="24"/>
  <c r="H296" i="24"/>
  <c r="F296" i="24"/>
  <c r="E296" i="24"/>
  <c r="R295" i="24"/>
  <c r="Q295" i="24"/>
  <c r="P295" i="24"/>
  <c r="O295" i="24"/>
  <c r="M295" i="24"/>
  <c r="L295" i="24"/>
  <c r="K295" i="24"/>
  <c r="J295" i="24"/>
  <c r="I295" i="24"/>
  <c r="H295" i="24"/>
  <c r="F295" i="24"/>
  <c r="E295" i="24"/>
  <c r="R294" i="24"/>
  <c r="Q294" i="24"/>
  <c r="P294" i="24"/>
  <c r="O294" i="24"/>
  <c r="M294" i="24"/>
  <c r="L294" i="24"/>
  <c r="K294" i="24"/>
  <c r="J294" i="24"/>
  <c r="I294" i="24"/>
  <c r="H294" i="24"/>
  <c r="F294" i="24"/>
  <c r="E294" i="24"/>
  <c r="R293" i="24"/>
  <c r="Q293" i="24"/>
  <c r="P293" i="24"/>
  <c r="O293" i="24"/>
  <c r="M293" i="24"/>
  <c r="L293" i="24"/>
  <c r="K293" i="24"/>
  <c r="J293" i="24"/>
  <c r="I293" i="24"/>
  <c r="H293" i="24"/>
  <c r="F293" i="24"/>
  <c r="E293" i="24"/>
  <c r="R292" i="24"/>
  <c r="Q292" i="24"/>
  <c r="P292" i="24"/>
  <c r="O292" i="24"/>
  <c r="M292" i="24"/>
  <c r="L292" i="24"/>
  <c r="K292" i="24"/>
  <c r="J292" i="24"/>
  <c r="I292" i="24"/>
  <c r="H292" i="24"/>
  <c r="F292" i="24"/>
  <c r="E292" i="24"/>
  <c r="R291" i="24"/>
  <c r="Q291" i="24"/>
  <c r="P291" i="24"/>
  <c r="O291" i="24"/>
  <c r="M291" i="24"/>
  <c r="L291" i="24"/>
  <c r="K291" i="24"/>
  <c r="J291" i="24"/>
  <c r="I291" i="24"/>
  <c r="H291" i="24"/>
  <c r="F291" i="24"/>
  <c r="E291" i="24"/>
  <c r="R290" i="24"/>
  <c r="Q290" i="24"/>
  <c r="P290" i="24"/>
  <c r="O290" i="24"/>
  <c r="M290" i="24"/>
  <c r="L290" i="24"/>
  <c r="K290" i="24"/>
  <c r="J290" i="24"/>
  <c r="I290" i="24"/>
  <c r="H290" i="24"/>
  <c r="F290" i="24"/>
  <c r="E290" i="24"/>
  <c r="R289" i="24"/>
  <c r="Q289" i="24"/>
  <c r="P289" i="24"/>
  <c r="O289" i="24"/>
  <c r="M289" i="24"/>
  <c r="L289" i="24"/>
  <c r="K289" i="24"/>
  <c r="J289" i="24"/>
  <c r="I289" i="24"/>
  <c r="H289" i="24"/>
  <c r="F289" i="24"/>
  <c r="E289" i="24"/>
  <c r="R288" i="24"/>
  <c r="Q288" i="24"/>
  <c r="P288" i="24"/>
  <c r="O288" i="24"/>
  <c r="M288" i="24"/>
  <c r="L288" i="24"/>
  <c r="K288" i="24"/>
  <c r="J288" i="24"/>
  <c r="I288" i="24"/>
  <c r="H288" i="24"/>
  <c r="F288" i="24"/>
  <c r="E288" i="24"/>
  <c r="R287" i="24"/>
  <c r="Q287" i="24"/>
  <c r="P287" i="24"/>
  <c r="O287" i="24"/>
  <c r="M287" i="24"/>
  <c r="L287" i="24"/>
  <c r="K287" i="24"/>
  <c r="J287" i="24"/>
  <c r="I287" i="24"/>
  <c r="H287" i="24"/>
  <c r="F287" i="24"/>
  <c r="E287" i="24"/>
  <c r="R286" i="24"/>
  <c r="Q286" i="24"/>
  <c r="P286" i="24"/>
  <c r="O286" i="24"/>
  <c r="M286" i="24"/>
  <c r="L286" i="24"/>
  <c r="K286" i="24"/>
  <c r="J286" i="24"/>
  <c r="I286" i="24"/>
  <c r="H286" i="24"/>
  <c r="F286" i="24"/>
  <c r="E286" i="24"/>
  <c r="R285" i="24"/>
  <c r="Q285" i="24"/>
  <c r="P285" i="24"/>
  <c r="O285" i="24"/>
  <c r="M285" i="24"/>
  <c r="L285" i="24"/>
  <c r="K285" i="24"/>
  <c r="J285" i="24"/>
  <c r="I285" i="24"/>
  <c r="H285" i="24"/>
  <c r="F285" i="24"/>
  <c r="E285" i="24"/>
  <c r="R284" i="24"/>
  <c r="Q284" i="24"/>
  <c r="P284" i="24"/>
  <c r="O284" i="24"/>
  <c r="M284" i="24"/>
  <c r="L284" i="24"/>
  <c r="K284" i="24"/>
  <c r="J284" i="24"/>
  <c r="I284" i="24"/>
  <c r="H284" i="24"/>
  <c r="F284" i="24"/>
  <c r="E284" i="24"/>
  <c r="R283" i="24"/>
  <c r="Q283" i="24"/>
  <c r="P283" i="24"/>
  <c r="O283" i="24"/>
  <c r="M283" i="24"/>
  <c r="L283" i="24"/>
  <c r="K283" i="24"/>
  <c r="J283" i="24"/>
  <c r="I283" i="24"/>
  <c r="H283" i="24"/>
  <c r="F283" i="24"/>
  <c r="E283" i="24"/>
  <c r="R282" i="24"/>
  <c r="Q282" i="24"/>
  <c r="P282" i="24"/>
  <c r="O282" i="24"/>
  <c r="M282" i="24"/>
  <c r="L282" i="24"/>
  <c r="K282" i="24"/>
  <c r="J282" i="24"/>
  <c r="I282" i="24"/>
  <c r="H282" i="24"/>
  <c r="F282" i="24"/>
  <c r="E282" i="24"/>
  <c r="R281" i="24"/>
  <c r="Q281" i="24"/>
  <c r="P281" i="24"/>
  <c r="O281" i="24"/>
  <c r="M281" i="24"/>
  <c r="L281" i="24"/>
  <c r="K281" i="24"/>
  <c r="J281" i="24"/>
  <c r="I281" i="24"/>
  <c r="H281" i="24"/>
  <c r="F281" i="24"/>
  <c r="E281" i="24"/>
  <c r="R280" i="24"/>
  <c r="Q280" i="24"/>
  <c r="P280" i="24"/>
  <c r="O280" i="24"/>
  <c r="M280" i="24"/>
  <c r="L280" i="24"/>
  <c r="K280" i="24"/>
  <c r="J280" i="24"/>
  <c r="I280" i="24"/>
  <c r="H280" i="24"/>
  <c r="F280" i="24"/>
  <c r="E280" i="24"/>
  <c r="R279" i="24"/>
  <c r="Q279" i="24"/>
  <c r="P279" i="24"/>
  <c r="O279" i="24"/>
  <c r="M279" i="24"/>
  <c r="L279" i="24"/>
  <c r="K279" i="24"/>
  <c r="J279" i="24"/>
  <c r="I279" i="24"/>
  <c r="H279" i="24"/>
  <c r="F279" i="24"/>
  <c r="E279" i="24"/>
  <c r="R278" i="24"/>
  <c r="Q278" i="24"/>
  <c r="P278" i="24"/>
  <c r="O278" i="24"/>
  <c r="M278" i="24"/>
  <c r="L278" i="24"/>
  <c r="K278" i="24"/>
  <c r="J278" i="24"/>
  <c r="I278" i="24"/>
  <c r="H278" i="24"/>
  <c r="F278" i="24"/>
  <c r="E278" i="24"/>
  <c r="R277" i="24"/>
  <c r="Q277" i="24"/>
  <c r="P277" i="24"/>
  <c r="O277" i="24"/>
  <c r="M277" i="24"/>
  <c r="L277" i="24"/>
  <c r="K277" i="24"/>
  <c r="J277" i="24"/>
  <c r="I277" i="24"/>
  <c r="H277" i="24"/>
  <c r="F277" i="24"/>
  <c r="E277" i="24"/>
  <c r="R276" i="24"/>
  <c r="Q276" i="24"/>
  <c r="P276" i="24"/>
  <c r="O276" i="24"/>
  <c r="M276" i="24"/>
  <c r="L276" i="24"/>
  <c r="K276" i="24"/>
  <c r="J276" i="24"/>
  <c r="I276" i="24"/>
  <c r="H276" i="24"/>
  <c r="F276" i="24"/>
  <c r="E276" i="24"/>
  <c r="R275" i="24"/>
  <c r="Q275" i="24"/>
  <c r="P275" i="24"/>
  <c r="O275" i="24"/>
  <c r="M275" i="24"/>
  <c r="L275" i="24"/>
  <c r="K275" i="24"/>
  <c r="J275" i="24"/>
  <c r="I275" i="24"/>
  <c r="H275" i="24"/>
  <c r="F275" i="24"/>
  <c r="E275" i="24"/>
  <c r="R274" i="24"/>
  <c r="Q274" i="24"/>
  <c r="P274" i="24"/>
  <c r="O274" i="24"/>
  <c r="M274" i="24"/>
  <c r="L274" i="24"/>
  <c r="K274" i="24"/>
  <c r="J274" i="24"/>
  <c r="I274" i="24"/>
  <c r="H274" i="24"/>
  <c r="F274" i="24"/>
  <c r="E274" i="24"/>
  <c r="R273" i="24"/>
  <c r="Q273" i="24"/>
  <c r="P273" i="24"/>
  <c r="O273" i="24"/>
  <c r="M273" i="24"/>
  <c r="L273" i="24"/>
  <c r="K273" i="24"/>
  <c r="J273" i="24"/>
  <c r="I273" i="24"/>
  <c r="H273" i="24"/>
  <c r="F273" i="24"/>
  <c r="E273" i="24"/>
  <c r="R272" i="24"/>
  <c r="Q272" i="24"/>
  <c r="P272" i="24"/>
  <c r="O272" i="24"/>
  <c r="M272" i="24"/>
  <c r="L272" i="24"/>
  <c r="K272" i="24"/>
  <c r="J272" i="24"/>
  <c r="I272" i="24"/>
  <c r="H272" i="24"/>
  <c r="F272" i="24"/>
  <c r="E272" i="24"/>
  <c r="R271" i="24"/>
  <c r="Q271" i="24"/>
  <c r="P271" i="24"/>
  <c r="O271" i="24"/>
  <c r="M271" i="24"/>
  <c r="L271" i="24"/>
  <c r="K271" i="24"/>
  <c r="J271" i="24"/>
  <c r="I271" i="24"/>
  <c r="H271" i="24"/>
  <c r="F271" i="24"/>
  <c r="E271" i="24"/>
  <c r="R270" i="24"/>
  <c r="Q270" i="24"/>
  <c r="P270" i="24"/>
  <c r="O270" i="24"/>
  <c r="M270" i="24"/>
  <c r="L270" i="24"/>
  <c r="K270" i="24"/>
  <c r="J270" i="24"/>
  <c r="I270" i="24"/>
  <c r="H270" i="24"/>
  <c r="F270" i="24"/>
  <c r="E270" i="24"/>
  <c r="R269" i="24"/>
  <c r="Q269" i="24"/>
  <c r="P269" i="24"/>
  <c r="O269" i="24"/>
  <c r="M269" i="24"/>
  <c r="L269" i="24"/>
  <c r="K269" i="24"/>
  <c r="J269" i="24"/>
  <c r="I269" i="24"/>
  <c r="H269" i="24"/>
  <c r="F269" i="24"/>
  <c r="E269" i="24"/>
  <c r="R268" i="24"/>
  <c r="Q268" i="24"/>
  <c r="P268" i="24"/>
  <c r="O268" i="24"/>
  <c r="M268" i="24"/>
  <c r="L268" i="24"/>
  <c r="K268" i="24"/>
  <c r="J268" i="24"/>
  <c r="I268" i="24"/>
  <c r="H268" i="24"/>
  <c r="F268" i="24"/>
  <c r="E268" i="24"/>
  <c r="R267" i="24"/>
  <c r="Q267" i="24"/>
  <c r="P267" i="24"/>
  <c r="O267" i="24"/>
  <c r="M267" i="24"/>
  <c r="L267" i="24"/>
  <c r="K267" i="24"/>
  <c r="J267" i="24"/>
  <c r="I267" i="24"/>
  <c r="H267" i="24"/>
  <c r="F267" i="24"/>
  <c r="E267" i="24"/>
  <c r="R266" i="24"/>
  <c r="Q266" i="24"/>
  <c r="P266" i="24"/>
  <c r="O266" i="24"/>
  <c r="M266" i="24"/>
  <c r="L266" i="24"/>
  <c r="K266" i="24"/>
  <c r="J266" i="24"/>
  <c r="I266" i="24"/>
  <c r="H266" i="24"/>
  <c r="F266" i="24"/>
  <c r="E266" i="24"/>
  <c r="R265" i="24"/>
  <c r="Q265" i="24"/>
  <c r="P265" i="24"/>
  <c r="O265" i="24"/>
  <c r="M265" i="24"/>
  <c r="L265" i="24"/>
  <c r="K265" i="24"/>
  <c r="J265" i="24"/>
  <c r="I265" i="24"/>
  <c r="H265" i="24"/>
  <c r="F265" i="24"/>
  <c r="E265" i="24"/>
  <c r="R264" i="24"/>
  <c r="Q264" i="24"/>
  <c r="P264" i="24"/>
  <c r="O264" i="24"/>
  <c r="M264" i="24"/>
  <c r="L264" i="24"/>
  <c r="K264" i="24"/>
  <c r="J264" i="24"/>
  <c r="I264" i="24"/>
  <c r="H264" i="24"/>
  <c r="F264" i="24"/>
  <c r="E264" i="24"/>
  <c r="R263" i="24"/>
  <c r="Q263" i="24"/>
  <c r="P263" i="24"/>
  <c r="O263" i="24"/>
  <c r="M263" i="24"/>
  <c r="L263" i="24"/>
  <c r="K263" i="24"/>
  <c r="J263" i="24"/>
  <c r="I263" i="24"/>
  <c r="H263" i="24"/>
  <c r="F263" i="24"/>
  <c r="E263" i="24"/>
  <c r="R262" i="24"/>
  <c r="Q262" i="24"/>
  <c r="P262" i="24"/>
  <c r="O262" i="24"/>
  <c r="M262" i="24"/>
  <c r="L262" i="24"/>
  <c r="K262" i="24"/>
  <c r="J262" i="24"/>
  <c r="I262" i="24"/>
  <c r="H262" i="24"/>
  <c r="F262" i="24"/>
  <c r="E262" i="24"/>
  <c r="R261" i="24"/>
  <c r="Q261" i="24"/>
  <c r="P261" i="24"/>
  <c r="O261" i="24"/>
  <c r="M261" i="24"/>
  <c r="L261" i="24"/>
  <c r="K261" i="24"/>
  <c r="J261" i="24"/>
  <c r="I261" i="24"/>
  <c r="H261" i="24"/>
  <c r="F261" i="24"/>
  <c r="E261" i="24"/>
  <c r="R260" i="24"/>
  <c r="Q260" i="24"/>
  <c r="P260" i="24"/>
  <c r="O260" i="24"/>
  <c r="M260" i="24"/>
  <c r="L260" i="24"/>
  <c r="K260" i="24"/>
  <c r="J260" i="24"/>
  <c r="I260" i="24"/>
  <c r="H260" i="24"/>
  <c r="F260" i="24"/>
  <c r="E260" i="24"/>
  <c r="R259" i="24"/>
  <c r="Q259" i="24"/>
  <c r="P259" i="24"/>
  <c r="O259" i="24"/>
  <c r="M259" i="24"/>
  <c r="L259" i="24"/>
  <c r="K259" i="24"/>
  <c r="J259" i="24"/>
  <c r="I259" i="24"/>
  <c r="H259" i="24"/>
  <c r="F259" i="24"/>
  <c r="E259" i="24"/>
  <c r="R258" i="24"/>
  <c r="Q258" i="24"/>
  <c r="P258" i="24"/>
  <c r="O258" i="24"/>
  <c r="M258" i="24"/>
  <c r="L258" i="24"/>
  <c r="K258" i="24"/>
  <c r="J258" i="24"/>
  <c r="I258" i="24"/>
  <c r="H258" i="24"/>
  <c r="F258" i="24"/>
  <c r="E258" i="24"/>
  <c r="R257" i="24"/>
  <c r="Q257" i="24"/>
  <c r="P257" i="24"/>
  <c r="O257" i="24"/>
  <c r="M257" i="24"/>
  <c r="L257" i="24"/>
  <c r="K257" i="24"/>
  <c r="J257" i="24"/>
  <c r="I257" i="24"/>
  <c r="H257" i="24"/>
  <c r="F257" i="24"/>
  <c r="E257" i="24"/>
  <c r="R256" i="24"/>
  <c r="Q256" i="24"/>
  <c r="P256" i="24"/>
  <c r="O256" i="24"/>
  <c r="M256" i="24"/>
  <c r="L256" i="24"/>
  <c r="K256" i="24"/>
  <c r="J256" i="24"/>
  <c r="I256" i="24"/>
  <c r="H256" i="24"/>
  <c r="F256" i="24"/>
  <c r="E256" i="24"/>
  <c r="R255" i="24"/>
  <c r="Q255" i="24"/>
  <c r="P255" i="24"/>
  <c r="O255" i="24"/>
  <c r="M255" i="24"/>
  <c r="L255" i="24"/>
  <c r="K255" i="24"/>
  <c r="J255" i="24"/>
  <c r="I255" i="24"/>
  <c r="H255" i="24"/>
  <c r="F255" i="24"/>
  <c r="E255" i="24"/>
  <c r="R254" i="24"/>
  <c r="Q254" i="24"/>
  <c r="P254" i="24"/>
  <c r="O254" i="24"/>
  <c r="M254" i="24"/>
  <c r="L254" i="24"/>
  <c r="K254" i="24"/>
  <c r="J254" i="24"/>
  <c r="I254" i="24"/>
  <c r="H254" i="24"/>
  <c r="F254" i="24"/>
  <c r="E254" i="24"/>
  <c r="R253" i="24"/>
  <c r="Q253" i="24"/>
  <c r="P253" i="24"/>
  <c r="O253" i="24"/>
  <c r="M253" i="24"/>
  <c r="L253" i="24"/>
  <c r="K253" i="24"/>
  <c r="J253" i="24"/>
  <c r="I253" i="24"/>
  <c r="H253" i="24"/>
  <c r="F253" i="24"/>
  <c r="E253" i="24"/>
  <c r="R252" i="24"/>
  <c r="Q252" i="24"/>
  <c r="P252" i="24"/>
  <c r="O252" i="24"/>
  <c r="M252" i="24"/>
  <c r="L252" i="24"/>
  <c r="K252" i="24"/>
  <c r="J252" i="24"/>
  <c r="I252" i="24"/>
  <c r="H252" i="24"/>
  <c r="F252" i="24"/>
  <c r="E252" i="24"/>
  <c r="R251" i="24"/>
  <c r="Q251" i="24"/>
  <c r="P251" i="24"/>
  <c r="O251" i="24"/>
  <c r="M251" i="24"/>
  <c r="L251" i="24"/>
  <c r="K251" i="24"/>
  <c r="J251" i="24"/>
  <c r="I251" i="24"/>
  <c r="H251" i="24"/>
  <c r="F251" i="24"/>
  <c r="E251" i="24"/>
  <c r="R250" i="24"/>
  <c r="Q250" i="24"/>
  <c r="P250" i="24"/>
  <c r="O250" i="24"/>
  <c r="M250" i="24"/>
  <c r="L250" i="24"/>
  <c r="K250" i="24"/>
  <c r="J250" i="24"/>
  <c r="I250" i="24"/>
  <c r="H250" i="24"/>
  <c r="F250" i="24"/>
  <c r="E250" i="24"/>
  <c r="R249" i="24"/>
  <c r="Q249" i="24"/>
  <c r="P249" i="24"/>
  <c r="O249" i="24"/>
  <c r="M249" i="24"/>
  <c r="L249" i="24"/>
  <c r="K249" i="24"/>
  <c r="J249" i="24"/>
  <c r="I249" i="24"/>
  <c r="H249" i="24"/>
  <c r="F249" i="24"/>
  <c r="E249" i="24"/>
  <c r="R248" i="24"/>
  <c r="Q248" i="24"/>
  <c r="P248" i="24"/>
  <c r="O248" i="24"/>
  <c r="M248" i="24"/>
  <c r="L248" i="24"/>
  <c r="K248" i="24"/>
  <c r="J248" i="24"/>
  <c r="I248" i="24"/>
  <c r="H248" i="24"/>
  <c r="F248" i="24"/>
  <c r="E248" i="24"/>
  <c r="R247" i="24"/>
  <c r="Q247" i="24"/>
  <c r="P247" i="24"/>
  <c r="O247" i="24"/>
  <c r="M247" i="24"/>
  <c r="L247" i="24"/>
  <c r="K247" i="24"/>
  <c r="J247" i="24"/>
  <c r="I247" i="24"/>
  <c r="H247" i="24"/>
  <c r="F247" i="24"/>
  <c r="E247" i="24"/>
  <c r="R246" i="24"/>
  <c r="Q246" i="24"/>
  <c r="P246" i="24"/>
  <c r="O246" i="24"/>
  <c r="M246" i="24"/>
  <c r="L246" i="24"/>
  <c r="K246" i="24"/>
  <c r="J246" i="24"/>
  <c r="I246" i="24"/>
  <c r="H246" i="24"/>
  <c r="F246" i="24"/>
  <c r="E246" i="24"/>
  <c r="R245" i="24"/>
  <c r="Q245" i="24"/>
  <c r="P245" i="24"/>
  <c r="O245" i="24"/>
  <c r="M245" i="24"/>
  <c r="L245" i="24"/>
  <c r="K245" i="24"/>
  <c r="J245" i="24"/>
  <c r="I245" i="24"/>
  <c r="H245" i="24"/>
  <c r="F245" i="24"/>
  <c r="E245" i="24"/>
  <c r="R244" i="24"/>
  <c r="Q244" i="24"/>
  <c r="P244" i="24"/>
  <c r="O244" i="24"/>
  <c r="M244" i="24"/>
  <c r="L244" i="24"/>
  <c r="K244" i="24"/>
  <c r="J244" i="24"/>
  <c r="I244" i="24"/>
  <c r="H244" i="24"/>
  <c r="F244" i="24"/>
  <c r="E244" i="24"/>
  <c r="R243" i="24"/>
  <c r="Q243" i="24"/>
  <c r="P243" i="24"/>
  <c r="O243" i="24"/>
  <c r="M243" i="24"/>
  <c r="L243" i="24"/>
  <c r="K243" i="24"/>
  <c r="J243" i="24"/>
  <c r="I243" i="24"/>
  <c r="H243" i="24"/>
  <c r="F243" i="24"/>
  <c r="E243" i="24"/>
  <c r="R242" i="24"/>
  <c r="Q242" i="24"/>
  <c r="P242" i="24"/>
  <c r="O242" i="24"/>
  <c r="M242" i="24"/>
  <c r="L242" i="24"/>
  <c r="K242" i="24"/>
  <c r="J242" i="24"/>
  <c r="I242" i="24"/>
  <c r="H242" i="24"/>
  <c r="F242" i="24"/>
  <c r="E242" i="24"/>
  <c r="R241" i="24"/>
  <c r="Q241" i="24"/>
  <c r="P241" i="24"/>
  <c r="O241" i="24"/>
  <c r="M241" i="24"/>
  <c r="L241" i="24"/>
  <c r="K241" i="24"/>
  <c r="J241" i="24"/>
  <c r="I241" i="24"/>
  <c r="H241" i="24"/>
  <c r="F241" i="24"/>
  <c r="E241" i="24"/>
  <c r="R240" i="24"/>
  <c r="Q240" i="24"/>
  <c r="P240" i="24"/>
  <c r="O240" i="24"/>
  <c r="M240" i="24"/>
  <c r="L240" i="24"/>
  <c r="K240" i="24"/>
  <c r="J240" i="24"/>
  <c r="I240" i="24"/>
  <c r="H240" i="24"/>
  <c r="F240" i="24"/>
  <c r="E240" i="24"/>
  <c r="R239" i="24"/>
  <c r="Q239" i="24"/>
  <c r="P239" i="24"/>
  <c r="O239" i="24"/>
  <c r="M239" i="24"/>
  <c r="L239" i="24"/>
  <c r="K239" i="24"/>
  <c r="J239" i="24"/>
  <c r="I239" i="24"/>
  <c r="H239" i="24"/>
  <c r="F239" i="24"/>
  <c r="E239" i="24"/>
  <c r="R238" i="24"/>
  <c r="Q238" i="24"/>
  <c r="P238" i="24"/>
  <c r="O238" i="24"/>
  <c r="M238" i="24"/>
  <c r="L238" i="24"/>
  <c r="K238" i="24"/>
  <c r="J238" i="24"/>
  <c r="I238" i="24"/>
  <c r="H238" i="24"/>
  <c r="F238" i="24"/>
  <c r="E238" i="24"/>
  <c r="R237" i="24"/>
  <c r="Q237" i="24"/>
  <c r="P237" i="24"/>
  <c r="O237" i="24"/>
  <c r="M237" i="24"/>
  <c r="L237" i="24"/>
  <c r="K237" i="24"/>
  <c r="J237" i="24"/>
  <c r="I237" i="24"/>
  <c r="H237" i="24"/>
  <c r="F237" i="24"/>
  <c r="E237" i="24"/>
  <c r="R236" i="24"/>
  <c r="Q236" i="24"/>
  <c r="P236" i="24"/>
  <c r="O236" i="24"/>
  <c r="M236" i="24"/>
  <c r="L236" i="24"/>
  <c r="K236" i="24"/>
  <c r="J236" i="24"/>
  <c r="I236" i="24"/>
  <c r="H236" i="24"/>
  <c r="F236" i="24"/>
  <c r="E236" i="24"/>
  <c r="R235" i="24"/>
  <c r="Q235" i="24"/>
  <c r="P235" i="24"/>
  <c r="O235" i="24"/>
  <c r="M235" i="24"/>
  <c r="L235" i="24"/>
  <c r="K235" i="24"/>
  <c r="J235" i="24"/>
  <c r="I235" i="24"/>
  <c r="H235" i="24"/>
  <c r="F235" i="24"/>
  <c r="E235" i="24"/>
  <c r="R234" i="24"/>
  <c r="Q234" i="24"/>
  <c r="P234" i="24"/>
  <c r="O234" i="24"/>
  <c r="M234" i="24"/>
  <c r="L234" i="24"/>
  <c r="K234" i="24"/>
  <c r="J234" i="24"/>
  <c r="I234" i="24"/>
  <c r="H234" i="24"/>
  <c r="F234" i="24"/>
  <c r="E234" i="24"/>
  <c r="R233" i="24"/>
  <c r="Q233" i="24"/>
  <c r="P233" i="24"/>
  <c r="O233" i="24"/>
  <c r="M233" i="24"/>
  <c r="L233" i="24"/>
  <c r="K233" i="24"/>
  <c r="J233" i="24"/>
  <c r="I233" i="24"/>
  <c r="H233" i="24"/>
  <c r="F233" i="24"/>
  <c r="E233" i="24"/>
  <c r="R232" i="24"/>
  <c r="Q232" i="24"/>
  <c r="P232" i="24"/>
  <c r="O232" i="24"/>
  <c r="M232" i="24"/>
  <c r="L232" i="24"/>
  <c r="K232" i="24"/>
  <c r="J232" i="24"/>
  <c r="I232" i="24"/>
  <c r="H232" i="24"/>
  <c r="F232" i="24"/>
  <c r="E232" i="24"/>
  <c r="R231" i="24"/>
  <c r="Q231" i="24"/>
  <c r="P231" i="24"/>
  <c r="O231" i="24"/>
  <c r="M231" i="24"/>
  <c r="L231" i="24"/>
  <c r="K231" i="24"/>
  <c r="J231" i="24"/>
  <c r="I231" i="24"/>
  <c r="H231" i="24"/>
  <c r="F231" i="24"/>
  <c r="E231" i="24"/>
  <c r="R230" i="24"/>
  <c r="Q230" i="24"/>
  <c r="P230" i="24"/>
  <c r="O230" i="24"/>
  <c r="M230" i="24"/>
  <c r="L230" i="24"/>
  <c r="K230" i="24"/>
  <c r="J230" i="24"/>
  <c r="I230" i="24"/>
  <c r="H230" i="24"/>
  <c r="F230" i="24"/>
  <c r="E230" i="24"/>
  <c r="R229" i="24"/>
  <c r="Q229" i="24"/>
  <c r="P229" i="24"/>
  <c r="O229" i="24"/>
  <c r="M229" i="24"/>
  <c r="L229" i="24"/>
  <c r="K229" i="24"/>
  <c r="J229" i="24"/>
  <c r="I229" i="24"/>
  <c r="H229" i="24"/>
  <c r="F229" i="24"/>
  <c r="E229" i="24"/>
  <c r="R228" i="24"/>
  <c r="Q228" i="24"/>
  <c r="P228" i="24"/>
  <c r="O228" i="24"/>
  <c r="M228" i="24"/>
  <c r="L228" i="24"/>
  <c r="K228" i="24"/>
  <c r="J228" i="24"/>
  <c r="I228" i="24"/>
  <c r="H228" i="24"/>
  <c r="F228" i="24"/>
  <c r="E228" i="24"/>
  <c r="R227" i="24"/>
  <c r="Q227" i="24"/>
  <c r="P227" i="24"/>
  <c r="O227" i="24"/>
  <c r="M227" i="24"/>
  <c r="L227" i="24"/>
  <c r="K227" i="24"/>
  <c r="J227" i="24"/>
  <c r="I227" i="24"/>
  <c r="H227" i="24"/>
  <c r="F227" i="24"/>
  <c r="E227" i="24"/>
  <c r="R226" i="24"/>
  <c r="Q226" i="24"/>
  <c r="P226" i="24"/>
  <c r="O226" i="24"/>
  <c r="M226" i="24"/>
  <c r="L226" i="24"/>
  <c r="K226" i="24"/>
  <c r="J226" i="24"/>
  <c r="I226" i="24"/>
  <c r="H226" i="24"/>
  <c r="F226" i="24"/>
  <c r="E226" i="24"/>
  <c r="R225" i="24"/>
  <c r="Q225" i="24"/>
  <c r="P225" i="24"/>
  <c r="O225" i="24"/>
  <c r="M225" i="24"/>
  <c r="L225" i="24"/>
  <c r="K225" i="24"/>
  <c r="J225" i="24"/>
  <c r="I225" i="24"/>
  <c r="H225" i="24"/>
  <c r="F225" i="24"/>
  <c r="E225" i="24"/>
  <c r="R224" i="24"/>
  <c r="Q224" i="24"/>
  <c r="P224" i="24"/>
  <c r="O224" i="24"/>
  <c r="M224" i="24"/>
  <c r="L224" i="24"/>
  <c r="K224" i="24"/>
  <c r="J224" i="24"/>
  <c r="I224" i="24"/>
  <c r="H224" i="24"/>
  <c r="F224" i="24"/>
  <c r="E224" i="24"/>
  <c r="R223" i="24"/>
  <c r="Q223" i="24"/>
  <c r="P223" i="24"/>
  <c r="O223" i="24"/>
  <c r="M223" i="24"/>
  <c r="L223" i="24"/>
  <c r="K223" i="24"/>
  <c r="J223" i="24"/>
  <c r="I223" i="24"/>
  <c r="H223" i="24"/>
  <c r="F223" i="24"/>
  <c r="E223" i="24"/>
  <c r="R222" i="24"/>
  <c r="Q222" i="24"/>
  <c r="P222" i="24"/>
  <c r="O222" i="24"/>
  <c r="M222" i="24"/>
  <c r="L222" i="24"/>
  <c r="K222" i="24"/>
  <c r="J222" i="24"/>
  <c r="I222" i="24"/>
  <c r="H222" i="24"/>
  <c r="F222" i="24"/>
  <c r="E222" i="24"/>
  <c r="R221" i="24"/>
  <c r="Q221" i="24"/>
  <c r="P221" i="24"/>
  <c r="O221" i="24"/>
  <c r="M221" i="24"/>
  <c r="L221" i="24"/>
  <c r="K221" i="24"/>
  <c r="J221" i="24"/>
  <c r="I221" i="24"/>
  <c r="H221" i="24"/>
  <c r="F221" i="24"/>
  <c r="E221" i="24"/>
  <c r="R220" i="24"/>
  <c r="Q220" i="24"/>
  <c r="P220" i="24"/>
  <c r="O220" i="24"/>
  <c r="M220" i="24"/>
  <c r="L220" i="24"/>
  <c r="K220" i="24"/>
  <c r="J220" i="24"/>
  <c r="I220" i="24"/>
  <c r="H220" i="24"/>
  <c r="F220" i="24"/>
  <c r="E220" i="24"/>
  <c r="R219" i="24"/>
  <c r="Q219" i="24"/>
  <c r="P219" i="24"/>
  <c r="O219" i="24"/>
  <c r="M219" i="24"/>
  <c r="L219" i="24"/>
  <c r="K219" i="24"/>
  <c r="J219" i="24"/>
  <c r="I219" i="24"/>
  <c r="H219" i="24"/>
  <c r="F219" i="24"/>
  <c r="E219" i="24"/>
  <c r="R218" i="24"/>
  <c r="Q218" i="24"/>
  <c r="P218" i="24"/>
  <c r="O218" i="24"/>
  <c r="M218" i="24"/>
  <c r="L218" i="24"/>
  <c r="K218" i="24"/>
  <c r="J218" i="24"/>
  <c r="I218" i="24"/>
  <c r="H218" i="24"/>
  <c r="F218" i="24"/>
  <c r="E218" i="24"/>
  <c r="R217" i="24"/>
  <c r="Q217" i="24"/>
  <c r="P217" i="24"/>
  <c r="O217" i="24"/>
  <c r="M217" i="24"/>
  <c r="L217" i="24"/>
  <c r="K217" i="24"/>
  <c r="J217" i="24"/>
  <c r="I217" i="24"/>
  <c r="H217" i="24"/>
  <c r="F217" i="24"/>
  <c r="E217" i="24"/>
  <c r="R216" i="24"/>
  <c r="Q216" i="24"/>
  <c r="P216" i="24"/>
  <c r="O216" i="24"/>
  <c r="M216" i="24"/>
  <c r="L216" i="24"/>
  <c r="K216" i="24"/>
  <c r="J216" i="24"/>
  <c r="I216" i="24"/>
  <c r="H216" i="24"/>
  <c r="F216" i="24"/>
  <c r="E216" i="24"/>
  <c r="R215" i="24"/>
  <c r="Q215" i="24"/>
  <c r="P215" i="24"/>
  <c r="O215" i="24"/>
  <c r="M215" i="24"/>
  <c r="L215" i="24"/>
  <c r="K215" i="24"/>
  <c r="J215" i="24"/>
  <c r="I215" i="24"/>
  <c r="H215" i="24"/>
  <c r="F215" i="24"/>
  <c r="E215" i="24"/>
  <c r="R214" i="24"/>
  <c r="Q214" i="24"/>
  <c r="P214" i="24"/>
  <c r="O214" i="24"/>
  <c r="M214" i="24"/>
  <c r="L214" i="24"/>
  <c r="K214" i="24"/>
  <c r="J214" i="24"/>
  <c r="I214" i="24"/>
  <c r="H214" i="24"/>
  <c r="F214" i="24"/>
  <c r="E214" i="24"/>
  <c r="R213" i="24"/>
  <c r="Q213" i="24"/>
  <c r="P213" i="24"/>
  <c r="O213" i="24"/>
  <c r="M213" i="24"/>
  <c r="L213" i="24"/>
  <c r="K213" i="24"/>
  <c r="J213" i="24"/>
  <c r="I213" i="24"/>
  <c r="H213" i="24"/>
  <c r="F213" i="24"/>
  <c r="E213" i="24"/>
  <c r="R212" i="24"/>
  <c r="Q212" i="24"/>
  <c r="P212" i="24"/>
  <c r="O212" i="24"/>
  <c r="M212" i="24"/>
  <c r="L212" i="24"/>
  <c r="K212" i="24"/>
  <c r="J212" i="24"/>
  <c r="I212" i="24"/>
  <c r="H212" i="24"/>
  <c r="F212" i="24"/>
  <c r="E212" i="24"/>
  <c r="R211" i="24"/>
  <c r="Q211" i="24"/>
  <c r="P211" i="24"/>
  <c r="O211" i="24"/>
  <c r="M211" i="24"/>
  <c r="L211" i="24"/>
  <c r="K211" i="24"/>
  <c r="J211" i="24"/>
  <c r="I211" i="24"/>
  <c r="H211" i="24"/>
  <c r="F211" i="24"/>
  <c r="E211" i="24"/>
  <c r="R210" i="24"/>
  <c r="Q210" i="24"/>
  <c r="P210" i="24"/>
  <c r="O210" i="24"/>
  <c r="M210" i="24"/>
  <c r="L210" i="24"/>
  <c r="K210" i="24"/>
  <c r="J210" i="24"/>
  <c r="I210" i="24"/>
  <c r="H210" i="24"/>
  <c r="F210" i="24"/>
  <c r="E210" i="24"/>
  <c r="R209" i="24"/>
  <c r="Q209" i="24"/>
  <c r="P209" i="24"/>
  <c r="O209" i="24"/>
  <c r="M209" i="24"/>
  <c r="L209" i="24"/>
  <c r="K209" i="24"/>
  <c r="J209" i="24"/>
  <c r="I209" i="24"/>
  <c r="H209" i="24"/>
  <c r="F209" i="24"/>
  <c r="E209" i="24"/>
  <c r="R208" i="24"/>
  <c r="Q208" i="24"/>
  <c r="P208" i="24"/>
  <c r="O208" i="24"/>
  <c r="M208" i="24"/>
  <c r="L208" i="24"/>
  <c r="K208" i="24"/>
  <c r="J208" i="24"/>
  <c r="I208" i="24"/>
  <c r="H208" i="24"/>
  <c r="F208" i="24"/>
  <c r="E208" i="24"/>
  <c r="R207" i="24"/>
  <c r="Q207" i="24"/>
  <c r="P207" i="24"/>
  <c r="O207" i="24"/>
  <c r="M207" i="24"/>
  <c r="L207" i="24"/>
  <c r="K207" i="24"/>
  <c r="J207" i="24"/>
  <c r="I207" i="24"/>
  <c r="H207" i="24"/>
  <c r="F207" i="24"/>
  <c r="E207" i="24"/>
  <c r="R206" i="24"/>
  <c r="Q206" i="24"/>
  <c r="P206" i="24"/>
  <c r="O206" i="24"/>
  <c r="M206" i="24"/>
  <c r="L206" i="24"/>
  <c r="K206" i="24"/>
  <c r="J206" i="24"/>
  <c r="I206" i="24"/>
  <c r="H206" i="24"/>
  <c r="F206" i="24"/>
  <c r="E206" i="24"/>
  <c r="R205" i="24"/>
  <c r="Q205" i="24"/>
  <c r="P205" i="24"/>
  <c r="O205" i="24"/>
  <c r="M205" i="24"/>
  <c r="L205" i="24"/>
  <c r="K205" i="24"/>
  <c r="J205" i="24"/>
  <c r="I205" i="24"/>
  <c r="H205" i="24"/>
  <c r="F205" i="24"/>
  <c r="E205" i="24"/>
  <c r="R204" i="24"/>
  <c r="Q204" i="24"/>
  <c r="P204" i="24"/>
  <c r="O204" i="24"/>
  <c r="M204" i="24"/>
  <c r="L204" i="24"/>
  <c r="K204" i="24"/>
  <c r="J204" i="24"/>
  <c r="I204" i="24"/>
  <c r="H204" i="24"/>
  <c r="F204" i="24"/>
  <c r="E204" i="24"/>
  <c r="R203" i="24"/>
  <c r="Q203" i="24"/>
  <c r="P203" i="24"/>
  <c r="O203" i="24"/>
  <c r="M203" i="24"/>
  <c r="L203" i="24"/>
  <c r="K203" i="24"/>
  <c r="J203" i="24"/>
  <c r="I203" i="24"/>
  <c r="H203" i="24"/>
  <c r="F203" i="24"/>
  <c r="E203" i="24"/>
  <c r="R202" i="24"/>
  <c r="Q202" i="24"/>
  <c r="P202" i="24"/>
  <c r="O202" i="24"/>
  <c r="M202" i="24"/>
  <c r="L202" i="24"/>
  <c r="K202" i="24"/>
  <c r="J202" i="24"/>
  <c r="I202" i="24"/>
  <c r="H202" i="24"/>
  <c r="F202" i="24"/>
  <c r="E202" i="24"/>
  <c r="R201" i="24"/>
  <c r="Q201" i="24"/>
  <c r="P201" i="24"/>
  <c r="O201" i="24"/>
  <c r="M201" i="24"/>
  <c r="L201" i="24"/>
  <c r="K201" i="24"/>
  <c r="J201" i="24"/>
  <c r="I201" i="24"/>
  <c r="H201" i="24"/>
  <c r="F201" i="24"/>
  <c r="E201" i="24"/>
  <c r="R200" i="24"/>
  <c r="Q200" i="24"/>
  <c r="P200" i="24"/>
  <c r="O200" i="24"/>
  <c r="M200" i="24"/>
  <c r="L200" i="24"/>
  <c r="K200" i="24"/>
  <c r="J200" i="24"/>
  <c r="I200" i="24"/>
  <c r="H200" i="24"/>
  <c r="F200" i="24"/>
  <c r="E200" i="24"/>
  <c r="R199" i="24"/>
  <c r="Q199" i="24"/>
  <c r="P199" i="24"/>
  <c r="O199" i="24"/>
  <c r="M199" i="24"/>
  <c r="L199" i="24"/>
  <c r="K199" i="24"/>
  <c r="J199" i="24"/>
  <c r="I199" i="24"/>
  <c r="H199" i="24"/>
  <c r="F199" i="24"/>
  <c r="E199" i="24"/>
  <c r="R198" i="24"/>
  <c r="Q198" i="24"/>
  <c r="P198" i="24"/>
  <c r="O198" i="24"/>
  <c r="M198" i="24"/>
  <c r="L198" i="24"/>
  <c r="K198" i="24"/>
  <c r="J198" i="24"/>
  <c r="I198" i="24"/>
  <c r="H198" i="24"/>
  <c r="F198" i="24"/>
  <c r="E198" i="24"/>
  <c r="R197" i="24"/>
  <c r="Q197" i="24"/>
  <c r="P197" i="24"/>
  <c r="O197" i="24"/>
  <c r="M197" i="24"/>
  <c r="L197" i="24"/>
  <c r="K197" i="24"/>
  <c r="J197" i="24"/>
  <c r="I197" i="24"/>
  <c r="H197" i="24"/>
  <c r="F197" i="24"/>
  <c r="E197" i="24"/>
  <c r="R196" i="24"/>
  <c r="Q196" i="24"/>
  <c r="P196" i="24"/>
  <c r="O196" i="24"/>
  <c r="M196" i="24"/>
  <c r="L196" i="24"/>
  <c r="K196" i="24"/>
  <c r="J196" i="24"/>
  <c r="I196" i="24"/>
  <c r="H196" i="24"/>
  <c r="F196" i="24"/>
  <c r="E196" i="24"/>
  <c r="R195" i="24"/>
  <c r="Q195" i="24"/>
  <c r="P195" i="24"/>
  <c r="O195" i="24"/>
  <c r="M195" i="24"/>
  <c r="L195" i="24"/>
  <c r="K195" i="24"/>
  <c r="J195" i="24"/>
  <c r="I195" i="24"/>
  <c r="H195" i="24"/>
  <c r="F195" i="24"/>
  <c r="E195" i="24"/>
  <c r="R194" i="24"/>
  <c r="Q194" i="24"/>
  <c r="P194" i="24"/>
  <c r="O194" i="24"/>
  <c r="M194" i="24"/>
  <c r="L194" i="24"/>
  <c r="K194" i="24"/>
  <c r="J194" i="24"/>
  <c r="I194" i="24"/>
  <c r="H194" i="24"/>
  <c r="F194" i="24"/>
  <c r="E194" i="24"/>
  <c r="R193" i="24"/>
  <c r="Q193" i="24"/>
  <c r="P193" i="24"/>
  <c r="O193" i="24"/>
  <c r="M193" i="24"/>
  <c r="L193" i="24"/>
  <c r="K193" i="24"/>
  <c r="J193" i="24"/>
  <c r="I193" i="24"/>
  <c r="H193" i="24"/>
  <c r="F193" i="24"/>
  <c r="E193" i="24"/>
  <c r="R192" i="24"/>
  <c r="Q192" i="24"/>
  <c r="P192" i="24"/>
  <c r="O192" i="24"/>
  <c r="M192" i="24"/>
  <c r="L192" i="24"/>
  <c r="K192" i="24"/>
  <c r="J192" i="24"/>
  <c r="I192" i="24"/>
  <c r="H192" i="24"/>
  <c r="F192" i="24"/>
  <c r="E192" i="24"/>
  <c r="R191" i="24"/>
  <c r="Q191" i="24"/>
  <c r="P191" i="24"/>
  <c r="O191" i="24"/>
  <c r="M191" i="24"/>
  <c r="L191" i="24"/>
  <c r="K191" i="24"/>
  <c r="J191" i="24"/>
  <c r="I191" i="24"/>
  <c r="H191" i="24"/>
  <c r="F191" i="24"/>
  <c r="E191" i="24"/>
  <c r="R190" i="24"/>
  <c r="Q190" i="24"/>
  <c r="P190" i="24"/>
  <c r="O190" i="24"/>
  <c r="M190" i="24"/>
  <c r="L190" i="24"/>
  <c r="K190" i="24"/>
  <c r="J190" i="24"/>
  <c r="I190" i="24"/>
  <c r="H190" i="24"/>
  <c r="F190" i="24"/>
  <c r="E190" i="24"/>
  <c r="R189" i="24"/>
  <c r="Q189" i="24"/>
  <c r="P189" i="24"/>
  <c r="O189" i="24"/>
  <c r="M189" i="24"/>
  <c r="L189" i="24"/>
  <c r="K189" i="24"/>
  <c r="J189" i="24"/>
  <c r="I189" i="24"/>
  <c r="H189" i="24"/>
  <c r="F189" i="24"/>
  <c r="E189" i="24"/>
  <c r="R188" i="24"/>
  <c r="Q188" i="24"/>
  <c r="P188" i="24"/>
  <c r="O188" i="24"/>
  <c r="M188" i="24"/>
  <c r="L188" i="24"/>
  <c r="K188" i="24"/>
  <c r="J188" i="24"/>
  <c r="I188" i="24"/>
  <c r="H188" i="24"/>
  <c r="F188" i="24"/>
  <c r="E188" i="24"/>
  <c r="R187" i="24"/>
  <c r="Q187" i="24"/>
  <c r="P187" i="24"/>
  <c r="O187" i="24"/>
  <c r="M187" i="24"/>
  <c r="L187" i="24"/>
  <c r="K187" i="24"/>
  <c r="J187" i="24"/>
  <c r="I187" i="24"/>
  <c r="H187" i="24"/>
  <c r="F187" i="24"/>
  <c r="E187" i="24"/>
  <c r="R186" i="24"/>
  <c r="Q186" i="24"/>
  <c r="P186" i="24"/>
  <c r="O186" i="24"/>
  <c r="M186" i="24"/>
  <c r="L186" i="24"/>
  <c r="K186" i="24"/>
  <c r="J186" i="24"/>
  <c r="I186" i="24"/>
  <c r="H186" i="24"/>
  <c r="F186" i="24"/>
  <c r="E186" i="24"/>
  <c r="R185" i="24"/>
  <c r="Q185" i="24"/>
  <c r="P185" i="24"/>
  <c r="O185" i="24"/>
  <c r="M185" i="24"/>
  <c r="L185" i="24"/>
  <c r="K185" i="24"/>
  <c r="J185" i="24"/>
  <c r="I185" i="24"/>
  <c r="H185" i="24"/>
  <c r="F185" i="24"/>
  <c r="E185" i="24"/>
  <c r="R184" i="24"/>
  <c r="Q184" i="24"/>
  <c r="P184" i="24"/>
  <c r="O184" i="24"/>
  <c r="M184" i="24"/>
  <c r="L184" i="24"/>
  <c r="K184" i="24"/>
  <c r="J184" i="24"/>
  <c r="I184" i="24"/>
  <c r="H184" i="24"/>
  <c r="F184" i="24"/>
  <c r="E184" i="24"/>
  <c r="R183" i="24"/>
  <c r="Q183" i="24"/>
  <c r="P183" i="24"/>
  <c r="O183" i="24"/>
  <c r="M183" i="24"/>
  <c r="L183" i="24"/>
  <c r="K183" i="24"/>
  <c r="J183" i="24"/>
  <c r="I183" i="24"/>
  <c r="H183" i="24"/>
  <c r="F183" i="24"/>
  <c r="E183" i="24"/>
  <c r="R182" i="24"/>
  <c r="Q182" i="24"/>
  <c r="P182" i="24"/>
  <c r="O182" i="24"/>
  <c r="M182" i="24"/>
  <c r="L182" i="24"/>
  <c r="K182" i="24"/>
  <c r="J182" i="24"/>
  <c r="I182" i="24"/>
  <c r="H182" i="24"/>
  <c r="F182" i="24"/>
  <c r="E182" i="24"/>
  <c r="R181" i="24"/>
  <c r="Q181" i="24"/>
  <c r="P181" i="24"/>
  <c r="O181" i="24"/>
  <c r="M181" i="24"/>
  <c r="L181" i="24"/>
  <c r="K181" i="24"/>
  <c r="J181" i="24"/>
  <c r="I181" i="24"/>
  <c r="H181" i="24"/>
  <c r="F181" i="24"/>
  <c r="E181" i="24"/>
  <c r="R180" i="24"/>
  <c r="Q180" i="24"/>
  <c r="P180" i="24"/>
  <c r="O180" i="24"/>
  <c r="M180" i="24"/>
  <c r="L180" i="24"/>
  <c r="K180" i="24"/>
  <c r="J180" i="24"/>
  <c r="I180" i="24"/>
  <c r="H180" i="24"/>
  <c r="F180" i="24"/>
  <c r="E180" i="24"/>
  <c r="R179" i="24"/>
  <c r="Q179" i="24"/>
  <c r="P179" i="24"/>
  <c r="O179" i="24"/>
  <c r="M179" i="24"/>
  <c r="L179" i="24"/>
  <c r="K179" i="24"/>
  <c r="J179" i="24"/>
  <c r="I179" i="24"/>
  <c r="H179" i="24"/>
  <c r="F179" i="24"/>
  <c r="E179" i="24"/>
  <c r="R178" i="24"/>
  <c r="Q178" i="24"/>
  <c r="P178" i="24"/>
  <c r="O178" i="24"/>
  <c r="M178" i="24"/>
  <c r="L178" i="24"/>
  <c r="K178" i="24"/>
  <c r="J178" i="24"/>
  <c r="I178" i="24"/>
  <c r="H178" i="24"/>
  <c r="F178" i="24"/>
  <c r="E178" i="24"/>
  <c r="R177" i="24"/>
  <c r="Q177" i="24"/>
  <c r="P177" i="24"/>
  <c r="O177" i="24"/>
  <c r="M177" i="24"/>
  <c r="L177" i="24"/>
  <c r="K177" i="24"/>
  <c r="J177" i="24"/>
  <c r="I177" i="24"/>
  <c r="H177" i="24"/>
  <c r="F177" i="24"/>
  <c r="E177" i="24"/>
  <c r="R176" i="24"/>
  <c r="Q176" i="24"/>
  <c r="P176" i="24"/>
  <c r="O176" i="24"/>
  <c r="M176" i="24"/>
  <c r="L176" i="24"/>
  <c r="K176" i="24"/>
  <c r="J176" i="24"/>
  <c r="I176" i="24"/>
  <c r="H176" i="24"/>
  <c r="F176" i="24"/>
  <c r="E176" i="24"/>
  <c r="R175" i="24"/>
  <c r="Q175" i="24"/>
  <c r="P175" i="24"/>
  <c r="O175" i="24"/>
  <c r="M175" i="24"/>
  <c r="L175" i="24"/>
  <c r="K175" i="24"/>
  <c r="J175" i="24"/>
  <c r="I175" i="24"/>
  <c r="H175" i="24"/>
  <c r="F175" i="24"/>
  <c r="E175" i="24"/>
  <c r="R174" i="24"/>
  <c r="Q174" i="24"/>
  <c r="P174" i="24"/>
  <c r="O174" i="24"/>
  <c r="M174" i="24"/>
  <c r="L174" i="24"/>
  <c r="K174" i="24"/>
  <c r="J174" i="24"/>
  <c r="I174" i="24"/>
  <c r="H174" i="24"/>
  <c r="F174" i="24"/>
  <c r="E174" i="24"/>
  <c r="R173" i="24"/>
  <c r="Q173" i="24"/>
  <c r="P173" i="24"/>
  <c r="O173" i="24"/>
  <c r="M173" i="24"/>
  <c r="L173" i="24"/>
  <c r="K173" i="24"/>
  <c r="J173" i="24"/>
  <c r="I173" i="24"/>
  <c r="H173" i="24"/>
  <c r="F173" i="24"/>
  <c r="E173" i="24"/>
  <c r="R172" i="24"/>
  <c r="Q172" i="24"/>
  <c r="P172" i="24"/>
  <c r="O172" i="24"/>
  <c r="M172" i="24"/>
  <c r="L172" i="24"/>
  <c r="K172" i="24"/>
  <c r="J172" i="24"/>
  <c r="I172" i="24"/>
  <c r="H172" i="24"/>
  <c r="F172" i="24"/>
  <c r="E172" i="24"/>
  <c r="R171" i="24"/>
  <c r="Q171" i="24"/>
  <c r="P171" i="24"/>
  <c r="O171" i="24"/>
  <c r="M171" i="24"/>
  <c r="L171" i="24"/>
  <c r="K171" i="24"/>
  <c r="J171" i="24"/>
  <c r="I171" i="24"/>
  <c r="H171" i="24"/>
  <c r="F171" i="24"/>
  <c r="E171" i="24"/>
  <c r="R170" i="24"/>
  <c r="Q170" i="24"/>
  <c r="P170" i="24"/>
  <c r="O170" i="24"/>
  <c r="M170" i="24"/>
  <c r="L170" i="24"/>
  <c r="K170" i="24"/>
  <c r="J170" i="24"/>
  <c r="I170" i="24"/>
  <c r="H170" i="24"/>
  <c r="F170" i="24"/>
  <c r="E170" i="24"/>
  <c r="R169" i="24"/>
  <c r="Q169" i="24"/>
  <c r="P169" i="24"/>
  <c r="O169" i="24"/>
  <c r="M169" i="24"/>
  <c r="L169" i="24"/>
  <c r="K169" i="24"/>
  <c r="J169" i="24"/>
  <c r="I169" i="24"/>
  <c r="H169" i="24"/>
  <c r="F169" i="24"/>
  <c r="E169" i="24"/>
  <c r="R168" i="24"/>
  <c r="Q168" i="24"/>
  <c r="P168" i="24"/>
  <c r="O168" i="24"/>
  <c r="M168" i="24"/>
  <c r="L168" i="24"/>
  <c r="K168" i="24"/>
  <c r="J168" i="24"/>
  <c r="I168" i="24"/>
  <c r="H168" i="24"/>
  <c r="F168" i="24"/>
  <c r="E168" i="24"/>
  <c r="R167" i="24"/>
  <c r="Q167" i="24"/>
  <c r="P167" i="24"/>
  <c r="O167" i="24"/>
  <c r="M167" i="24"/>
  <c r="L167" i="24"/>
  <c r="K167" i="24"/>
  <c r="J167" i="24"/>
  <c r="I167" i="24"/>
  <c r="H167" i="24"/>
  <c r="F167" i="24"/>
  <c r="E167" i="24"/>
  <c r="R166" i="24"/>
  <c r="Q166" i="24"/>
  <c r="P166" i="24"/>
  <c r="O166" i="24"/>
  <c r="M166" i="24"/>
  <c r="L166" i="24"/>
  <c r="K166" i="24"/>
  <c r="J166" i="24"/>
  <c r="I166" i="24"/>
  <c r="H166" i="24"/>
  <c r="F166" i="24"/>
  <c r="E166" i="24"/>
  <c r="R165" i="24"/>
  <c r="Q165" i="24"/>
  <c r="P165" i="24"/>
  <c r="O165" i="24"/>
  <c r="M165" i="24"/>
  <c r="L165" i="24"/>
  <c r="K165" i="24"/>
  <c r="J165" i="24"/>
  <c r="I165" i="24"/>
  <c r="H165" i="24"/>
  <c r="F165" i="24"/>
  <c r="E165" i="24"/>
  <c r="R164" i="24"/>
  <c r="Q164" i="24"/>
  <c r="P164" i="24"/>
  <c r="O164" i="24"/>
  <c r="M164" i="24"/>
  <c r="L164" i="24"/>
  <c r="K164" i="24"/>
  <c r="J164" i="24"/>
  <c r="I164" i="24"/>
  <c r="H164" i="24"/>
  <c r="F164" i="24"/>
  <c r="E164" i="24"/>
  <c r="R163" i="24"/>
  <c r="Q163" i="24"/>
  <c r="P163" i="24"/>
  <c r="O163" i="24"/>
  <c r="M163" i="24"/>
  <c r="L163" i="24"/>
  <c r="K163" i="24"/>
  <c r="J163" i="24"/>
  <c r="I163" i="24"/>
  <c r="H163" i="24"/>
  <c r="F163" i="24"/>
  <c r="E163" i="24"/>
  <c r="R162" i="24"/>
  <c r="Q162" i="24"/>
  <c r="P162" i="24"/>
  <c r="O162" i="24"/>
  <c r="M162" i="24"/>
  <c r="L162" i="24"/>
  <c r="K162" i="24"/>
  <c r="J162" i="24"/>
  <c r="I162" i="24"/>
  <c r="H162" i="24"/>
  <c r="F162" i="24"/>
  <c r="E162" i="24"/>
  <c r="R161" i="24"/>
  <c r="Q161" i="24"/>
  <c r="P161" i="24"/>
  <c r="O161" i="24"/>
  <c r="M161" i="24"/>
  <c r="L161" i="24"/>
  <c r="K161" i="24"/>
  <c r="J161" i="24"/>
  <c r="I161" i="24"/>
  <c r="H161" i="24"/>
  <c r="F161" i="24"/>
  <c r="E161" i="24"/>
  <c r="R160" i="24"/>
  <c r="Q160" i="24"/>
  <c r="P160" i="24"/>
  <c r="O160" i="24"/>
  <c r="M160" i="24"/>
  <c r="L160" i="24"/>
  <c r="K160" i="24"/>
  <c r="J160" i="24"/>
  <c r="I160" i="24"/>
  <c r="H160" i="24"/>
  <c r="F160" i="24"/>
  <c r="E160" i="24"/>
  <c r="R159" i="24"/>
  <c r="Q159" i="24"/>
  <c r="P159" i="24"/>
  <c r="O159" i="24"/>
  <c r="M159" i="24"/>
  <c r="L159" i="24"/>
  <c r="K159" i="24"/>
  <c r="J159" i="24"/>
  <c r="I159" i="24"/>
  <c r="H159" i="24"/>
  <c r="F159" i="24"/>
  <c r="E159" i="24"/>
  <c r="R158" i="24"/>
  <c r="Q158" i="24"/>
  <c r="P158" i="24"/>
  <c r="O158" i="24"/>
  <c r="M158" i="24"/>
  <c r="L158" i="24"/>
  <c r="K158" i="24"/>
  <c r="J158" i="24"/>
  <c r="I158" i="24"/>
  <c r="H158" i="24"/>
  <c r="F158" i="24"/>
  <c r="E158" i="24"/>
  <c r="R157" i="24"/>
  <c r="Q157" i="24"/>
  <c r="P157" i="24"/>
  <c r="O157" i="24"/>
  <c r="M157" i="24"/>
  <c r="L157" i="24"/>
  <c r="K157" i="24"/>
  <c r="J157" i="24"/>
  <c r="I157" i="24"/>
  <c r="H157" i="24"/>
  <c r="F157" i="24"/>
  <c r="E157" i="24"/>
  <c r="R156" i="24"/>
  <c r="Q156" i="24"/>
  <c r="P156" i="24"/>
  <c r="O156" i="24"/>
  <c r="M156" i="24"/>
  <c r="L156" i="24"/>
  <c r="K156" i="24"/>
  <c r="J156" i="24"/>
  <c r="I156" i="24"/>
  <c r="H156" i="24"/>
  <c r="F156" i="24"/>
  <c r="E156" i="24"/>
  <c r="R155" i="24"/>
  <c r="Q155" i="24"/>
  <c r="P155" i="24"/>
  <c r="O155" i="24"/>
  <c r="M155" i="24"/>
  <c r="L155" i="24"/>
  <c r="K155" i="24"/>
  <c r="J155" i="24"/>
  <c r="I155" i="24"/>
  <c r="H155" i="24"/>
  <c r="F155" i="24"/>
  <c r="E155" i="24"/>
  <c r="R154" i="24"/>
  <c r="Q154" i="24"/>
  <c r="P154" i="24"/>
  <c r="O154" i="24"/>
  <c r="M154" i="24"/>
  <c r="L154" i="24"/>
  <c r="K154" i="24"/>
  <c r="J154" i="24"/>
  <c r="I154" i="24"/>
  <c r="H154" i="24"/>
  <c r="F154" i="24"/>
  <c r="E154" i="24"/>
  <c r="R153" i="24"/>
  <c r="Q153" i="24"/>
  <c r="P153" i="24"/>
  <c r="O153" i="24"/>
  <c r="M153" i="24"/>
  <c r="L153" i="24"/>
  <c r="K153" i="24"/>
  <c r="J153" i="24"/>
  <c r="I153" i="24"/>
  <c r="H153" i="24"/>
  <c r="F153" i="24"/>
  <c r="E153" i="24"/>
  <c r="R152" i="24"/>
  <c r="Q152" i="24"/>
  <c r="P152" i="24"/>
  <c r="O152" i="24"/>
  <c r="M152" i="24"/>
  <c r="L152" i="24"/>
  <c r="K152" i="24"/>
  <c r="J152" i="24"/>
  <c r="I152" i="24"/>
  <c r="H152" i="24"/>
  <c r="F152" i="24"/>
  <c r="E152" i="24"/>
  <c r="R151" i="24"/>
  <c r="Q151" i="24"/>
  <c r="P151" i="24"/>
  <c r="O151" i="24"/>
  <c r="M151" i="24"/>
  <c r="L151" i="24"/>
  <c r="K151" i="24"/>
  <c r="J151" i="24"/>
  <c r="I151" i="24"/>
  <c r="H151" i="24"/>
  <c r="F151" i="24"/>
  <c r="E151" i="24"/>
  <c r="R150" i="24"/>
  <c r="Q150" i="24"/>
  <c r="P150" i="24"/>
  <c r="O150" i="24"/>
  <c r="M150" i="24"/>
  <c r="L150" i="24"/>
  <c r="K150" i="24"/>
  <c r="J150" i="24"/>
  <c r="I150" i="24"/>
  <c r="H150" i="24"/>
  <c r="F150" i="24"/>
  <c r="E150" i="24"/>
  <c r="R149" i="24"/>
  <c r="Q149" i="24"/>
  <c r="P149" i="24"/>
  <c r="O149" i="24"/>
  <c r="M149" i="24"/>
  <c r="L149" i="24"/>
  <c r="K149" i="24"/>
  <c r="J149" i="24"/>
  <c r="I149" i="24"/>
  <c r="H149" i="24"/>
  <c r="F149" i="24"/>
  <c r="E149" i="24"/>
  <c r="R148" i="24"/>
  <c r="Q148" i="24"/>
  <c r="P148" i="24"/>
  <c r="O148" i="24"/>
  <c r="M148" i="24"/>
  <c r="L148" i="24"/>
  <c r="K148" i="24"/>
  <c r="J148" i="24"/>
  <c r="I148" i="24"/>
  <c r="H148" i="24"/>
  <c r="F148" i="24"/>
  <c r="E148" i="24"/>
  <c r="R147" i="24"/>
  <c r="Q147" i="24"/>
  <c r="P147" i="24"/>
  <c r="O147" i="24"/>
  <c r="M147" i="24"/>
  <c r="L147" i="24"/>
  <c r="K147" i="24"/>
  <c r="J147" i="24"/>
  <c r="I147" i="24"/>
  <c r="H147" i="24"/>
  <c r="F147" i="24"/>
  <c r="E147" i="24"/>
  <c r="R146" i="24"/>
  <c r="Q146" i="24"/>
  <c r="P146" i="24"/>
  <c r="O146" i="24"/>
  <c r="M146" i="24"/>
  <c r="L146" i="24"/>
  <c r="K146" i="24"/>
  <c r="J146" i="24"/>
  <c r="I146" i="24"/>
  <c r="H146" i="24"/>
  <c r="F146" i="24"/>
  <c r="E146" i="24"/>
  <c r="R145" i="24"/>
  <c r="Q145" i="24"/>
  <c r="P145" i="24"/>
  <c r="O145" i="24"/>
  <c r="M145" i="24"/>
  <c r="L145" i="24"/>
  <c r="K145" i="24"/>
  <c r="J145" i="24"/>
  <c r="I145" i="24"/>
  <c r="H145" i="24"/>
  <c r="F145" i="24"/>
  <c r="E145" i="24"/>
  <c r="R144" i="24"/>
  <c r="Q144" i="24"/>
  <c r="P144" i="24"/>
  <c r="O144" i="24"/>
  <c r="M144" i="24"/>
  <c r="L144" i="24"/>
  <c r="K144" i="24"/>
  <c r="J144" i="24"/>
  <c r="I144" i="24"/>
  <c r="H144" i="24"/>
  <c r="F144" i="24"/>
  <c r="E144" i="24"/>
  <c r="R143" i="24"/>
  <c r="Q143" i="24"/>
  <c r="P143" i="24"/>
  <c r="O143" i="24"/>
  <c r="M143" i="24"/>
  <c r="L143" i="24"/>
  <c r="K143" i="24"/>
  <c r="J143" i="24"/>
  <c r="I143" i="24"/>
  <c r="H143" i="24"/>
  <c r="F143" i="24"/>
  <c r="E143" i="24"/>
  <c r="R142" i="24"/>
  <c r="Q142" i="24"/>
  <c r="P142" i="24"/>
  <c r="O142" i="24"/>
  <c r="M142" i="24"/>
  <c r="L142" i="24"/>
  <c r="K142" i="24"/>
  <c r="J142" i="24"/>
  <c r="I142" i="24"/>
  <c r="H142" i="24"/>
  <c r="F142" i="24"/>
  <c r="E142" i="24"/>
  <c r="R141" i="24"/>
  <c r="Q141" i="24"/>
  <c r="P141" i="24"/>
  <c r="O141" i="24"/>
  <c r="M141" i="24"/>
  <c r="L141" i="24"/>
  <c r="K141" i="24"/>
  <c r="J141" i="24"/>
  <c r="I141" i="24"/>
  <c r="H141" i="24"/>
  <c r="F141" i="24"/>
  <c r="E141" i="24"/>
  <c r="R140" i="24"/>
  <c r="Q140" i="24"/>
  <c r="P140" i="24"/>
  <c r="O140" i="24"/>
  <c r="M140" i="24"/>
  <c r="L140" i="24"/>
  <c r="K140" i="24"/>
  <c r="J140" i="24"/>
  <c r="I140" i="24"/>
  <c r="H140" i="24"/>
  <c r="F140" i="24"/>
  <c r="E140" i="24"/>
  <c r="R139" i="24"/>
  <c r="Q139" i="24"/>
  <c r="P139" i="24"/>
  <c r="O139" i="24"/>
  <c r="M139" i="24"/>
  <c r="L139" i="24"/>
  <c r="K139" i="24"/>
  <c r="J139" i="24"/>
  <c r="I139" i="24"/>
  <c r="H139" i="24"/>
  <c r="F139" i="24"/>
  <c r="E139" i="24"/>
  <c r="R138" i="24"/>
  <c r="Q138" i="24"/>
  <c r="P138" i="24"/>
  <c r="O138" i="24"/>
  <c r="M138" i="24"/>
  <c r="L138" i="24"/>
  <c r="K138" i="24"/>
  <c r="J138" i="24"/>
  <c r="I138" i="24"/>
  <c r="H138" i="24"/>
  <c r="F138" i="24"/>
  <c r="E138" i="24"/>
  <c r="R137" i="24"/>
  <c r="Q137" i="24"/>
  <c r="P137" i="24"/>
  <c r="O137" i="24"/>
  <c r="M137" i="24"/>
  <c r="L137" i="24"/>
  <c r="K137" i="24"/>
  <c r="J137" i="24"/>
  <c r="I137" i="24"/>
  <c r="H137" i="24"/>
  <c r="F137" i="24"/>
  <c r="E137" i="24"/>
  <c r="R136" i="24"/>
  <c r="Q136" i="24"/>
  <c r="P136" i="24"/>
  <c r="O136" i="24"/>
  <c r="M136" i="24"/>
  <c r="L136" i="24"/>
  <c r="K136" i="24"/>
  <c r="J136" i="24"/>
  <c r="I136" i="24"/>
  <c r="H136" i="24"/>
  <c r="F136" i="24"/>
  <c r="E136" i="24"/>
  <c r="R135" i="24"/>
  <c r="Q135" i="24"/>
  <c r="P135" i="24"/>
  <c r="O135" i="24"/>
  <c r="M135" i="24"/>
  <c r="L135" i="24"/>
  <c r="K135" i="24"/>
  <c r="J135" i="24"/>
  <c r="I135" i="24"/>
  <c r="H135" i="24"/>
  <c r="F135" i="24"/>
  <c r="E135" i="24"/>
  <c r="R134" i="24"/>
  <c r="Q134" i="24"/>
  <c r="P134" i="24"/>
  <c r="O134" i="24"/>
  <c r="M134" i="24"/>
  <c r="L134" i="24"/>
  <c r="K134" i="24"/>
  <c r="J134" i="24"/>
  <c r="I134" i="24"/>
  <c r="H134" i="24"/>
  <c r="F134" i="24"/>
  <c r="E134" i="24"/>
  <c r="R133" i="24"/>
  <c r="Q133" i="24"/>
  <c r="P133" i="24"/>
  <c r="O133" i="24"/>
  <c r="M133" i="24"/>
  <c r="L133" i="24"/>
  <c r="K133" i="24"/>
  <c r="J133" i="24"/>
  <c r="I133" i="24"/>
  <c r="H133" i="24"/>
  <c r="F133" i="24"/>
  <c r="E133" i="24"/>
  <c r="R132" i="24"/>
  <c r="Q132" i="24"/>
  <c r="P132" i="24"/>
  <c r="O132" i="24"/>
  <c r="M132" i="24"/>
  <c r="L132" i="24"/>
  <c r="K132" i="24"/>
  <c r="J132" i="24"/>
  <c r="I132" i="24"/>
  <c r="H132" i="24"/>
  <c r="F132" i="24"/>
  <c r="E132" i="24"/>
  <c r="R131" i="24"/>
  <c r="Q131" i="24"/>
  <c r="P131" i="24"/>
  <c r="O131" i="24"/>
  <c r="M131" i="24"/>
  <c r="L131" i="24"/>
  <c r="K131" i="24"/>
  <c r="J131" i="24"/>
  <c r="I131" i="24"/>
  <c r="H131" i="24"/>
  <c r="F131" i="24"/>
  <c r="E131" i="24"/>
  <c r="R130" i="24"/>
  <c r="Q130" i="24"/>
  <c r="P130" i="24"/>
  <c r="O130" i="24"/>
  <c r="M130" i="24"/>
  <c r="L130" i="24"/>
  <c r="K130" i="24"/>
  <c r="J130" i="24"/>
  <c r="I130" i="24"/>
  <c r="H130" i="24"/>
  <c r="F130" i="24"/>
  <c r="E130" i="24"/>
  <c r="R129" i="24"/>
  <c r="Q129" i="24"/>
  <c r="P129" i="24"/>
  <c r="O129" i="24"/>
  <c r="M129" i="24"/>
  <c r="L129" i="24"/>
  <c r="K129" i="24"/>
  <c r="J129" i="24"/>
  <c r="I129" i="24"/>
  <c r="H129" i="24"/>
  <c r="F129" i="24"/>
  <c r="E129" i="24"/>
  <c r="R128" i="24"/>
  <c r="Q128" i="24"/>
  <c r="P128" i="24"/>
  <c r="O128" i="24"/>
  <c r="M128" i="24"/>
  <c r="L128" i="24"/>
  <c r="K128" i="24"/>
  <c r="J128" i="24"/>
  <c r="I128" i="24"/>
  <c r="H128" i="24"/>
  <c r="F128" i="24"/>
  <c r="E128" i="24"/>
  <c r="R127" i="24"/>
  <c r="Q127" i="24"/>
  <c r="P127" i="24"/>
  <c r="O127" i="24"/>
  <c r="M127" i="24"/>
  <c r="L127" i="24"/>
  <c r="K127" i="24"/>
  <c r="J127" i="24"/>
  <c r="I127" i="24"/>
  <c r="H127" i="24"/>
  <c r="F127" i="24"/>
  <c r="E127" i="24"/>
  <c r="R126" i="24"/>
  <c r="Q126" i="24"/>
  <c r="P126" i="24"/>
  <c r="O126" i="24"/>
  <c r="M126" i="24"/>
  <c r="L126" i="24"/>
  <c r="K126" i="24"/>
  <c r="J126" i="24"/>
  <c r="I126" i="24"/>
  <c r="H126" i="24"/>
  <c r="F126" i="24"/>
  <c r="E126" i="24"/>
  <c r="R125" i="24"/>
  <c r="Q125" i="24"/>
  <c r="P125" i="24"/>
  <c r="O125" i="24"/>
  <c r="M125" i="24"/>
  <c r="L125" i="24"/>
  <c r="K125" i="24"/>
  <c r="J125" i="24"/>
  <c r="I125" i="24"/>
  <c r="H125" i="24"/>
  <c r="F125" i="24"/>
  <c r="E125" i="24"/>
  <c r="R124" i="24"/>
  <c r="Q124" i="24"/>
  <c r="P124" i="24"/>
  <c r="O124" i="24"/>
  <c r="M124" i="24"/>
  <c r="L124" i="24"/>
  <c r="K124" i="24"/>
  <c r="J124" i="24"/>
  <c r="I124" i="24"/>
  <c r="H124" i="24"/>
  <c r="F124" i="24"/>
  <c r="E124" i="24"/>
  <c r="R123" i="24"/>
  <c r="Q123" i="24"/>
  <c r="P123" i="24"/>
  <c r="O123" i="24"/>
  <c r="M123" i="24"/>
  <c r="L123" i="24"/>
  <c r="K123" i="24"/>
  <c r="J123" i="24"/>
  <c r="I123" i="24"/>
  <c r="H123" i="24"/>
  <c r="F123" i="24"/>
  <c r="E123" i="24"/>
  <c r="R122" i="24"/>
  <c r="Q122" i="24"/>
  <c r="P122" i="24"/>
  <c r="O122" i="24"/>
  <c r="M122" i="24"/>
  <c r="L122" i="24"/>
  <c r="K122" i="24"/>
  <c r="J122" i="24"/>
  <c r="I122" i="24"/>
  <c r="H122" i="24"/>
  <c r="F122" i="24"/>
  <c r="E122" i="24"/>
  <c r="R121" i="24"/>
  <c r="Q121" i="24"/>
  <c r="P121" i="24"/>
  <c r="O121" i="24"/>
  <c r="M121" i="24"/>
  <c r="L121" i="24"/>
  <c r="K121" i="24"/>
  <c r="J121" i="24"/>
  <c r="I121" i="24"/>
  <c r="H121" i="24"/>
  <c r="F121" i="24"/>
  <c r="E121" i="24"/>
  <c r="R120" i="24"/>
  <c r="Q120" i="24"/>
  <c r="P120" i="24"/>
  <c r="O120" i="24"/>
  <c r="M120" i="24"/>
  <c r="L120" i="24"/>
  <c r="K120" i="24"/>
  <c r="J120" i="24"/>
  <c r="I120" i="24"/>
  <c r="H120" i="24"/>
  <c r="F120" i="24"/>
  <c r="E120" i="24"/>
  <c r="R119" i="24"/>
  <c r="Q119" i="24"/>
  <c r="P119" i="24"/>
  <c r="O119" i="24"/>
  <c r="M119" i="24"/>
  <c r="L119" i="24"/>
  <c r="K119" i="24"/>
  <c r="J119" i="24"/>
  <c r="I119" i="24"/>
  <c r="H119" i="24"/>
  <c r="F119" i="24"/>
  <c r="E119" i="24"/>
  <c r="R118" i="24"/>
  <c r="Q118" i="24"/>
  <c r="P118" i="24"/>
  <c r="O118" i="24"/>
  <c r="M118" i="24"/>
  <c r="L118" i="24"/>
  <c r="K118" i="24"/>
  <c r="J118" i="24"/>
  <c r="I118" i="24"/>
  <c r="H118" i="24"/>
  <c r="F118" i="24"/>
  <c r="E118" i="24"/>
  <c r="R117" i="24"/>
  <c r="Q117" i="24"/>
  <c r="P117" i="24"/>
  <c r="O117" i="24"/>
  <c r="M117" i="24"/>
  <c r="L117" i="24"/>
  <c r="K117" i="24"/>
  <c r="J117" i="24"/>
  <c r="I117" i="24"/>
  <c r="H117" i="24"/>
  <c r="F117" i="24"/>
  <c r="E117" i="24"/>
  <c r="R116" i="24"/>
  <c r="Q116" i="24"/>
  <c r="P116" i="24"/>
  <c r="O116" i="24"/>
  <c r="M116" i="24"/>
  <c r="L116" i="24"/>
  <c r="K116" i="24"/>
  <c r="J116" i="24"/>
  <c r="I116" i="24"/>
  <c r="H116" i="24"/>
  <c r="F116" i="24"/>
  <c r="E116" i="24"/>
  <c r="R115" i="24"/>
  <c r="Q115" i="24"/>
  <c r="P115" i="24"/>
  <c r="O115" i="24"/>
  <c r="M115" i="24"/>
  <c r="L115" i="24"/>
  <c r="K115" i="24"/>
  <c r="J115" i="24"/>
  <c r="I115" i="24"/>
  <c r="H115" i="24"/>
  <c r="F115" i="24"/>
  <c r="E115" i="24"/>
  <c r="R114" i="24"/>
  <c r="Q114" i="24"/>
  <c r="P114" i="24"/>
  <c r="O114" i="24"/>
  <c r="M114" i="24"/>
  <c r="L114" i="24"/>
  <c r="K114" i="24"/>
  <c r="J114" i="24"/>
  <c r="I114" i="24"/>
  <c r="H114" i="24"/>
  <c r="F114" i="24"/>
  <c r="E114" i="24"/>
  <c r="R113" i="24"/>
  <c r="Q113" i="24"/>
  <c r="P113" i="24"/>
  <c r="O113" i="24"/>
  <c r="M113" i="24"/>
  <c r="L113" i="24"/>
  <c r="K113" i="24"/>
  <c r="J113" i="24"/>
  <c r="I113" i="24"/>
  <c r="H113" i="24"/>
  <c r="F113" i="24"/>
  <c r="E113" i="24"/>
  <c r="R112" i="24"/>
  <c r="Q112" i="24"/>
  <c r="P112" i="24"/>
  <c r="O112" i="24"/>
  <c r="M112" i="24"/>
  <c r="L112" i="24"/>
  <c r="K112" i="24"/>
  <c r="J112" i="24"/>
  <c r="I112" i="24"/>
  <c r="H112" i="24"/>
  <c r="F112" i="24"/>
  <c r="E112" i="24"/>
  <c r="R111" i="24"/>
  <c r="Q111" i="24"/>
  <c r="P111" i="24"/>
  <c r="O111" i="24"/>
  <c r="M111" i="24"/>
  <c r="L111" i="24"/>
  <c r="K111" i="24"/>
  <c r="J111" i="24"/>
  <c r="I111" i="24"/>
  <c r="H111" i="24"/>
  <c r="F111" i="24"/>
  <c r="E111" i="24"/>
  <c r="R110" i="24"/>
  <c r="Q110" i="24"/>
  <c r="P110" i="24"/>
  <c r="O110" i="24"/>
  <c r="M110" i="24"/>
  <c r="L110" i="24"/>
  <c r="K110" i="24"/>
  <c r="J110" i="24"/>
  <c r="I110" i="24"/>
  <c r="H110" i="24"/>
  <c r="F110" i="24"/>
  <c r="E110" i="24"/>
  <c r="R109" i="24"/>
  <c r="Q109" i="24"/>
  <c r="P109" i="24"/>
  <c r="O109" i="24"/>
  <c r="M109" i="24"/>
  <c r="L109" i="24"/>
  <c r="K109" i="24"/>
  <c r="J109" i="24"/>
  <c r="I109" i="24"/>
  <c r="H109" i="24"/>
  <c r="F109" i="24"/>
  <c r="E109" i="24"/>
  <c r="R108" i="24"/>
  <c r="Q108" i="24"/>
  <c r="P108" i="24"/>
  <c r="O108" i="24"/>
  <c r="M108" i="24"/>
  <c r="L108" i="24"/>
  <c r="K108" i="24"/>
  <c r="J108" i="24"/>
  <c r="I108" i="24"/>
  <c r="H108" i="24"/>
  <c r="F108" i="24"/>
  <c r="E108" i="24"/>
  <c r="R107" i="24"/>
  <c r="Q107" i="24"/>
  <c r="P107" i="24"/>
  <c r="O107" i="24"/>
  <c r="M107" i="24"/>
  <c r="L107" i="24"/>
  <c r="K107" i="24"/>
  <c r="J107" i="24"/>
  <c r="I107" i="24"/>
  <c r="H107" i="24"/>
  <c r="F107" i="24"/>
  <c r="E107" i="24"/>
  <c r="R106" i="24"/>
  <c r="Q106" i="24"/>
  <c r="P106" i="24"/>
  <c r="O106" i="24"/>
  <c r="M106" i="24"/>
  <c r="L106" i="24"/>
  <c r="K106" i="24"/>
  <c r="J106" i="24"/>
  <c r="I106" i="24"/>
  <c r="H106" i="24"/>
  <c r="F106" i="24"/>
  <c r="E106" i="24"/>
  <c r="R105" i="24"/>
  <c r="Q105" i="24"/>
  <c r="P105" i="24"/>
  <c r="O105" i="24"/>
  <c r="M105" i="24"/>
  <c r="L105" i="24"/>
  <c r="K105" i="24"/>
  <c r="J105" i="24"/>
  <c r="I105" i="24"/>
  <c r="H105" i="24"/>
  <c r="F105" i="24"/>
  <c r="E105" i="24"/>
  <c r="R104" i="24"/>
  <c r="Q104" i="24"/>
  <c r="P104" i="24"/>
  <c r="O104" i="24"/>
  <c r="M104" i="24"/>
  <c r="L104" i="24"/>
  <c r="K104" i="24"/>
  <c r="J104" i="24"/>
  <c r="I104" i="24"/>
  <c r="H104" i="24"/>
  <c r="F104" i="24"/>
  <c r="E104" i="24"/>
  <c r="R103" i="24"/>
  <c r="Q103" i="24"/>
  <c r="P103" i="24"/>
  <c r="O103" i="24"/>
  <c r="M103" i="24"/>
  <c r="L103" i="24"/>
  <c r="K103" i="24"/>
  <c r="J103" i="24"/>
  <c r="I103" i="24"/>
  <c r="H103" i="24"/>
  <c r="F103" i="24"/>
  <c r="E103" i="24"/>
  <c r="R102" i="24"/>
  <c r="Q102" i="24"/>
  <c r="P102" i="24"/>
  <c r="O102" i="24"/>
  <c r="M102" i="24"/>
  <c r="L102" i="24"/>
  <c r="K102" i="24"/>
  <c r="J102" i="24"/>
  <c r="I102" i="24"/>
  <c r="H102" i="24"/>
  <c r="F102" i="24"/>
  <c r="E102" i="24"/>
  <c r="R101" i="24"/>
  <c r="Q101" i="24"/>
  <c r="P101" i="24"/>
  <c r="O101" i="24"/>
  <c r="M101" i="24"/>
  <c r="L101" i="24"/>
  <c r="K101" i="24"/>
  <c r="J101" i="24"/>
  <c r="I101" i="24"/>
  <c r="H101" i="24"/>
  <c r="F101" i="24"/>
  <c r="E101" i="24"/>
  <c r="R100" i="24"/>
  <c r="Q100" i="24"/>
  <c r="P100" i="24"/>
  <c r="O100" i="24"/>
  <c r="M100" i="24"/>
  <c r="L100" i="24"/>
  <c r="K100" i="24"/>
  <c r="J100" i="24"/>
  <c r="I100" i="24"/>
  <c r="H100" i="24"/>
  <c r="F100" i="24"/>
  <c r="E100" i="24"/>
  <c r="R99" i="24"/>
  <c r="Q99" i="24"/>
  <c r="P99" i="24"/>
  <c r="O99" i="24"/>
  <c r="M99" i="24"/>
  <c r="L99" i="24"/>
  <c r="K99" i="24"/>
  <c r="J99" i="24"/>
  <c r="I99" i="24"/>
  <c r="H99" i="24"/>
  <c r="F99" i="24"/>
  <c r="E99" i="24"/>
  <c r="R98" i="24"/>
  <c r="Q98" i="24"/>
  <c r="P98" i="24"/>
  <c r="O98" i="24"/>
  <c r="M98" i="24"/>
  <c r="L98" i="24"/>
  <c r="K98" i="24"/>
  <c r="J98" i="24"/>
  <c r="I98" i="24"/>
  <c r="H98" i="24"/>
  <c r="F98" i="24"/>
  <c r="E98" i="24"/>
  <c r="R97" i="24"/>
  <c r="Q97" i="24"/>
  <c r="P97" i="24"/>
  <c r="O97" i="24"/>
  <c r="M97" i="24"/>
  <c r="L97" i="24"/>
  <c r="K97" i="24"/>
  <c r="J97" i="24"/>
  <c r="I97" i="24"/>
  <c r="H97" i="24"/>
  <c r="F97" i="24"/>
  <c r="E97" i="24"/>
  <c r="R96" i="24"/>
  <c r="Q96" i="24"/>
  <c r="P96" i="24"/>
  <c r="O96" i="24"/>
  <c r="M96" i="24"/>
  <c r="L96" i="24"/>
  <c r="K96" i="24"/>
  <c r="J96" i="24"/>
  <c r="I96" i="24"/>
  <c r="H96" i="24"/>
  <c r="F96" i="24"/>
  <c r="E96" i="24"/>
  <c r="R95" i="24"/>
  <c r="Q95" i="24"/>
  <c r="P95" i="24"/>
  <c r="O95" i="24"/>
  <c r="M95" i="24"/>
  <c r="L95" i="24"/>
  <c r="K95" i="24"/>
  <c r="J95" i="24"/>
  <c r="I95" i="24"/>
  <c r="H95" i="24"/>
  <c r="F95" i="24"/>
  <c r="E95" i="24"/>
  <c r="R94" i="24"/>
  <c r="Q94" i="24"/>
  <c r="P94" i="24"/>
  <c r="O94" i="24"/>
  <c r="M94" i="24"/>
  <c r="L94" i="24"/>
  <c r="K94" i="24"/>
  <c r="J94" i="24"/>
  <c r="I94" i="24"/>
  <c r="H94" i="24"/>
  <c r="F94" i="24"/>
  <c r="E94" i="24"/>
  <c r="R93" i="24"/>
  <c r="Q93" i="24"/>
  <c r="P93" i="24"/>
  <c r="O93" i="24"/>
  <c r="M93" i="24"/>
  <c r="L93" i="24"/>
  <c r="K93" i="24"/>
  <c r="J93" i="24"/>
  <c r="I93" i="24"/>
  <c r="H93" i="24"/>
  <c r="F93" i="24"/>
  <c r="E93" i="24"/>
  <c r="R92" i="24"/>
  <c r="Q92" i="24"/>
  <c r="P92" i="24"/>
  <c r="O92" i="24"/>
  <c r="M92" i="24"/>
  <c r="L92" i="24"/>
  <c r="K92" i="24"/>
  <c r="J92" i="24"/>
  <c r="I92" i="24"/>
  <c r="H92" i="24"/>
  <c r="F92" i="24"/>
  <c r="E92" i="24"/>
  <c r="R91" i="24"/>
  <c r="Q91" i="24"/>
  <c r="P91" i="24"/>
  <c r="O91" i="24"/>
  <c r="M91" i="24"/>
  <c r="L91" i="24"/>
  <c r="K91" i="24"/>
  <c r="J91" i="24"/>
  <c r="I91" i="24"/>
  <c r="H91" i="24"/>
  <c r="F91" i="24"/>
  <c r="E91" i="24"/>
  <c r="R90" i="24"/>
  <c r="Q90" i="24"/>
  <c r="P90" i="24"/>
  <c r="O90" i="24"/>
  <c r="M90" i="24"/>
  <c r="L90" i="24"/>
  <c r="K90" i="24"/>
  <c r="J90" i="24"/>
  <c r="I90" i="24"/>
  <c r="H90" i="24"/>
  <c r="F90" i="24"/>
  <c r="E90" i="24"/>
  <c r="R89" i="24"/>
  <c r="Q89" i="24"/>
  <c r="P89" i="24"/>
  <c r="O89" i="24"/>
  <c r="M89" i="24"/>
  <c r="L89" i="24"/>
  <c r="K89" i="24"/>
  <c r="J89" i="24"/>
  <c r="I89" i="24"/>
  <c r="H89" i="24"/>
  <c r="F89" i="24"/>
  <c r="E89" i="24"/>
  <c r="R88" i="24"/>
  <c r="Q88" i="24"/>
  <c r="P88" i="24"/>
  <c r="O88" i="24"/>
  <c r="M88" i="24"/>
  <c r="L88" i="24"/>
  <c r="K88" i="24"/>
  <c r="J88" i="24"/>
  <c r="I88" i="24"/>
  <c r="H88" i="24"/>
  <c r="F88" i="24"/>
  <c r="E88" i="24"/>
  <c r="R87" i="24"/>
  <c r="Q87" i="24"/>
  <c r="P87" i="24"/>
  <c r="O87" i="24"/>
  <c r="M87" i="24"/>
  <c r="L87" i="24"/>
  <c r="K87" i="24"/>
  <c r="J87" i="24"/>
  <c r="I87" i="24"/>
  <c r="H87" i="24"/>
  <c r="F87" i="24"/>
  <c r="E87" i="24"/>
  <c r="R86" i="24"/>
  <c r="Q86" i="24"/>
  <c r="P86" i="24"/>
  <c r="O86" i="24"/>
  <c r="M86" i="24"/>
  <c r="L86" i="24"/>
  <c r="K86" i="24"/>
  <c r="J86" i="24"/>
  <c r="I86" i="24"/>
  <c r="H86" i="24"/>
  <c r="F86" i="24"/>
  <c r="E86" i="24"/>
  <c r="R85" i="24"/>
  <c r="Q85" i="24"/>
  <c r="P85" i="24"/>
  <c r="O85" i="24"/>
  <c r="M85" i="24"/>
  <c r="L85" i="24"/>
  <c r="K85" i="24"/>
  <c r="J85" i="24"/>
  <c r="I85" i="24"/>
  <c r="H85" i="24"/>
  <c r="F85" i="24"/>
  <c r="E85" i="24"/>
  <c r="R84" i="24"/>
  <c r="Q84" i="24"/>
  <c r="P84" i="24"/>
  <c r="O84" i="24"/>
  <c r="M84" i="24"/>
  <c r="L84" i="24"/>
  <c r="K84" i="24"/>
  <c r="J84" i="24"/>
  <c r="I84" i="24"/>
  <c r="H84" i="24"/>
  <c r="F84" i="24"/>
  <c r="E84" i="24"/>
  <c r="R83" i="24"/>
  <c r="Q83" i="24"/>
  <c r="P83" i="24"/>
  <c r="O83" i="24"/>
  <c r="M83" i="24"/>
  <c r="L83" i="24"/>
  <c r="K83" i="24"/>
  <c r="J83" i="24"/>
  <c r="I83" i="24"/>
  <c r="H83" i="24"/>
  <c r="F83" i="24"/>
  <c r="E83" i="24"/>
  <c r="R82" i="24"/>
  <c r="Q82" i="24"/>
  <c r="P82" i="24"/>
  <c r="O82" i="24"/>
  <c r="M82" i="24"/>
  <c r="L82" i="24"/>
  <c r="K82" i="24"/>
  <c r="J82" i="24"/>
  <c r="I82" i="24"/>
  <c r="H82" i="24"/>
  <c r="F82" i="24"/>
  <c r="E82" i="24"/>
  <c r="R81" i="24"/>
  <c r="Q81" i="24"/>
  <c r="P81" i="24"/>
  <c r="O81" i="24"/>
  <c r="M81" i="24"/>
  <c r="L81" i="24"/>
  <c r="K81" i="24"/>
  <c r="J81" i="24"/>
  <c r="I81" i="24"/>
  <c r="H81" i="24"/>
  <c r="F81" i="24"/>
  <c r="E81" i="24"/>
  <c r="R80" i="24"/>
  <c r="Q80" i="24"/>
  <c r="P80" i="24"/>
  <c r="O80" i="24"/>
  <c r="M80" i="24"/>
  <c r="L80" i="24"/>
  <c r="K80" i="24"/>
  <c r="J80" i="24"/>
  <c r="I80" i="24"/>
  <c r="H80" i="24"/>
  <c r="F80" i="24"/>
  <c r="E80" i="24"/>
  <c r="R79" i="24"/>
  <c r="Q79" i="24"/>
  <c r="P79" i="24"/>
  <c r="O79" i="24"/>
  <c r="M79" i="24"/>
  <c r="L79" i="24"/>
  <c r="K79" i="24"/>
  <c r="J79" i="24"/>
  <c r="I79" i="24"/>
  <c r="H79" i="24"/>
  <c r="F79" i="24"/>
  <c r="E79" i="24"/>
  <c r="R78" i="24"/>
  <c r="Q78" i="24"/>
  <c r="P78" i="24"/>
  <c r="O78" i="24"/>
  <c r="M78" i="24"/>
  <c r="L78" i="24"/>
  <c r="K78" i="24"/>
  <c r="J78" i="24"/>
  <c r="I78" i="24"/>
  <c r="H78" i="24"/>
  <c r="F78" i="24"/>
  <c r="E78" i="24"/>
  <c r="R77" i="24"/>
  <c r="Q77" i="24"/>
  <c r="P77" i="24"/>
  <c r="O77" i="24"/>
  <c r="M77" i="24"/>
  <c r="L77" i="24"/>
  <c r="K77" i="24"/>
  <c r="J77" i="24"/>
  <c r="I77" i="24"/>
  <c r="H77" i="24"/>
  <c r="F77" i="24"/>
  <c r="E77" i="24"/>
  <c r="R76" i="24"/>
  <c r="Q76" i="24"/>
  <c r="P76" i="24"/>
  <c r="O76" i="24"/>
  <c r="M76" i="24"/>
  <c r="L76" i="24"/>
  <c r="K76" i="24"/>
  <c r="J76" i="24"/>
  <c r="I76" i="24"/>
  <c r="H76" i="24"/>
  <c r="F76" i="24"/>
  <c r="E76" i="24"/>
  <c r="R75" i="24"/>
  <c r="Q75" i="24"/>
  <c r="P75" i="24"/>
  <c r="O75" i="24"/>
  <c r="M75" i="24"/>
  <c r="L75" i="24"/>
  <c r="K75" i="24"/>
  <c r="J75" i="24"/>
  <c r="I75" i="24"/>
  <c r="H75" i="24"/>
  <c r="F75" i="24"/>
  <c r="E75" i="24"/>
  <c r="R74" i="24"/>
  <c r="Q74" i="24"/>
  <c r="P74" i="24"/>
  <c r="O74" i="24"/>
  <c r="M74" i="24"/>
  <c r="L74" i="24"/>
  <c r="K74" i="24"/>
  <c r="J74" i="24"/>
  <c r="I74" i="24"/>
  <c r="H74" i="24"/>
  <c r="F74" i="24"/>
  <c r="E74" i="24"/>
  <c r="R73" i="24"/>
  <c r="Q73" i="24"/>
  <c r="P73" i="24"/>
  <c r="O73" i="24"/>
  <c r="M73" i="24"/>
  <c r="L73" i="24"/>
  <c r="K73" i="24"/>
  <c r="J73" i="24"/>
  <c r="I73" i="24"/>
  <c r="H73" i="24"/>
  <c r="F73" i="24"/>
  <c r="E73" i="24"/>
  <c r="R72" i="24"/>
  <c r="Q72" i="24"/>
  <c r="P72" i="24"/>
  <c r="O72" i="24"/>
  <c r="M72" i="24"/>
  <c r="L72" i="24"/>
  <c r="K72" i="24"/>
  <c r="J72" i="24"/>
  <c r="I72" i="24"/>
  <c r="H72" i="24"/>
  <c r="F72" i="24"/>
  <c r="E72" i="24"/>
  <c r="R71" i="24"/>
  <c r="Q71" i="24"/>
  <c r="P71" i="24"/>
  <c r="O71" i="24"/>
  <c r="M71" i="24"/>
  <c r="L71" i="24"/>
  <c r="K71" i="24"/>
  <c r="J71" i="24"/>
  <c r="I71" i="24"/>
  <c r="H71" i="24"/>
  <c r="F71" i="24"/>
  <c r="E71" i="24"/>
  <c r="R70" i="24"/>
  <c r="Q70" i="24"/>
  <c r="P70" i="24"/>
  <c r="O70" i="24"/>
  <c r="M70" i="24"/>
  <c r="L70" i="24"/>
  <c r="K70" i="24"/>
  <c r="J70" i="24"/>
  <c r="I70" i="24"/>
  <c r="H70" i="24"/>
  <c r="F70" i="24"/>
  <c r="E70" i="24"/>
  <c r="R69" i="24"/>
  <c r="Q69" i="24"/>
  <c r="P69" i="24"/>
  <c r="O69" i="24"/>
  <c r="M69" i="24"/>
  <c r="L69" i="24"/>
  <c r="K69" i="24"/>
  <c r="J69" i="24"/>
  <c r="I69" i="24"/>
  <c r="H69" i="24"/>
  <c r="F69" i="24"/>
  <c r="E69" i="24"/>
  <c r="R68" i="24"/>
  <c r="Q68" i="24"/>
  <c r="P68" i="24"/>
  <c r="O68" i="24"/>
  <c r="M68" i="24"/>
  <c r="L68" i="24"/>
  <c r="K68" i="24"/>
  <c r="J68" i="24"/>
  <c r="I68" i="24"/>
  <c r="H68" i="24"/>
  <c r="F68" i="24"/>
  <c r="E68" i="24"/>
  <c r="R67" i="24"/>
  <c r="Q67" i="24"/>
  <c r="P67" i="24"/>
  <c r="O67" i="24"/>
  <c r="M67" i="24"/>
  <c r="L67" i="24"/>
  <c r="K67" i="24"/>
  <c r="J67" i="24"/>
  <c r="I67" i="24"/>
  <c r="H67" i="24"/>
  <c r="F67" i="24"/>
  <c r="E67" i="24"/>
  <c r="R66" i="24"/>
  <c r="Q66" i="24"/>
  <c r="P66" i="24"/>
  <c r="O66" i="24"/>
  <c r="M66" i="24"/>
  <c r="L66" i="24"/>
  <c r="K66" i="24"/>
  <c r="J66" i="24"/>
  <c r="I66" i="24"/>
  <c r="H66" i="24"/>
  <c r="F66" i="24"/>
  <c r="E66" i="24"/>
  <c r="R65" i="24"/>
  <c r="Q65" i="24"/>
  <c r="P65" i="24"/>
  <c r="O65" i="24"/>
  <c r="M65" i="24"/>
  <c r="L65" i="24"/>
  <c r="K65" i="24"/>
  <c r="J65" i="24"/>
  <c r="I65" i="24"/>
  <c r="H65" i="24"/>
  <c r="F65" i="24"/>
  <c r="E65" i="24"/>
  <c r="R64" i="24"/>
  <c r="Q64" i="24"/>
  <c r="P64" i="24"/>
  <c r="O64" i="24"/>
  <c r="M64" i="24"/>
  <c r="L64" i="24"/>
  <c r="K64" i="24"/>
  <c r="J64" i="24"/>
  <c r="I64" i="24"/>
  <c r="H64" i="24"/>
  <c r="F64" i="24"/>
  <c r="E64" i="24"/>
  <c r="R63" i="24"/>
  <c r="Q63" i="24"/>
  <c r="P63" i="24"/>
  <c r="O63" i="24"/>
  <c r="M63" i="24"/>
  <c r="L63" i="24"/>
  <c r="K63" i="24"/>
  <c r="J63" i="24"/>
  <c r="I63" i="24"/>
  <c r="H63" i="24"/>
  <c r="F63" i="24"/>
  <c r="E63" i="24"/>
  <c r="R62" i="24"/>
  <c r="Q62" i="24"/>
  <c r="P62" i="24"/>
  <c r="O62" i="24"/>
  <c r="M62" i="24"/>
  <c r="L62" i="24"/>
  <c r="K62" i="24"/>
  <c r="J62" i="24"/>
  <c r="I62" i="24"/>
  <c r="H62" i="24"/>
  <c r="F62" i="24"/>
  <c r="E62" i="24"/>
  <c r="R61" i="24"/>
  <c r="Q61" i="24"/>
  <c r="P61" i="24"/>
  <c r="O61" i="24"/>
  <c r="M61" i="24"/>
  <c r="L61" i="24"/>
  <c r="K61" i="24"/>
  <c r="J61" i="24"/>
  <c r="I61" i="24"/>
  <c r="H61" i="24"/>
  <c r="F61" i="24"/>
  <c r="E61" i="24"/>
  <c r="R60" i="24"/>
  <c r="Q60" i="24"/>
  <c r="P60" i="24"/>
  <c r="O60" i="24"/>
  <c r="M60" i="24"/>
  <c r="L60" i="24"/>
  <c r="K60" i="24"/>
  <c r="J60" i="24"/>
  <c r="I60" i="24"/>
  <c r="H60" i="24"/>
  <c r="F60" i="24"/>
  <c r="E60" i="24"/>
  <c r="R59" i="24"/>
  <c r="Q59" i="24"/>
  <c r="P59" i="24"/>
  <c r="O59" i="24"/>
  <c r="M59" i="24"/>
  <c r="L59" i="24"/>
  <c r="K59" i="24"/>
  <c r="J59" i="24"/>
  <c r="I59" i="24"/>
  <c r="H59" i="24"/>
  <c r="F59" i="24"/>
  <c r="E59" i="24"/>
  <c r="R58" i="24"/>
  <c r="Q58" i="24"/>
  <c r="P58" i="24"/>
  <c r="O58" i="24"/>
  <c r="M58" i="24"/>
  <c r="L58" i="24"/>
  <c r="K58" i="24"/>
  <c r="J58" i="24"/>
  <c r="I58" i="24"/>
  <c r="H58" i="24"/>
  <c r="F58" i="24"/>
  <c r="E58" i="24"/>
  <c r="R57" i="24"/>
  <c r="Q57" i="24"/>
  <c r="P57" i="24"/>
  <c r="O57" i="24"/>
  <c r="M57" i="24"/>
  <c r="L57" i="24"/>
  <c r="K57" i="24"/>
  <c r="J57" i="24"/>
  <c r="I57" i="24"/>
  <c r="H57" i="24"/>
  <c r="F57" i="24"/>
  <c r="E57" i="24"/>
  <c r="R56" i="24"/>
  <c r="Q56" i="24"/>
  <c r="P56" i="24"/>
  <c r="O56" i="24"/>
  <c r="M56" i="24"/>
  <c r="L56" i="24"/>
  <c r="K56" i="24"/>
  <c r="J56" i="24"/>
  <c r="I56" i="24"/>
  <c r="H56" i="24"/>
  <c r="F56" i="24"/>
  <c r="E56" i="24"/>
  <c r="R55" i="24"/>
  <c r="Q55" i="24"/>
  <c r="P55" i="24"/>
  <c r="O55" i="24"/>
  <c r="M55" i="24"/>
  <c r="L55" i="24"/>
  <c r="K55" i="24"/>
  <c r="J55" i="24"/>
  <c r="I55" i="24"/>
  <c r="H55" i="24"/>
  <c r="F55" i="24"/>
  <c r="E55" i="24"/>
  <c r="R54" i="24"/>
  <c r="Q54" i="24"/>
  <c r="P54" i="24"/>
  <c r="O54" i="24"/>
  <c r="M54" i="24"/>
  <c r="L54" i="24"/>
  <c r="K54" i="24"/>
  <c r="J54" i="24"/>
  <c r="I54" i="24"/>
  <c r="H54" i="24"/>
  <c r="F54" i="24"/>
  <c r="E54" i="24"/>
  <c r="R53" i="24"/>
  <c r="Q53" i="24"/>
  <c r="P53" i="24"/>
  <c r="O53" i="24"/>
  <c r="M53" i="24"/>
  <c r="L53" i="24"/>
  <c r="K53" i="24"/>
  <c r="J53" i="24"/>
  <c r="I53" i="24"/>
  <c r="H53" i="24"/>
  <c r="F53" i="24"/>
  <c r="E53" i="24"/>
  <c r="R52" i="24"/>
  <c r="Q52" i="24"/>
  <c r="P52" i="24"/>
  <c r="O52" i="24"/>
  <c r="M52" i="24"/>
  <c r="L52" i="24"/>
  <c r="K52" i="24"/>
  <c r="J52" i="24"/>
  <c r="I52" i="24"/>
  <c r="H52" i="24"/>
  <c r="F52" i="24"/>
  <c r="E52" i="24"/>
  <c r="R51" i="24"/>
  <c r="Q51" i="24"/>
  <c r="P51" i="24"/>
  <c r="O51" i="24"/>
  <c r="M51" i="24"/>
  <c r="L51" i="24"/>
  <c r="K51" i="24"/>
  <c r="J51" i="24"/>
  <c r="I51" i="24"/>
  <c r="H51" i="24"/>
  <c r="F51" i="24"/>
  <c r="E51" i="24"/>
  <c r="R50" i="24"/>
  <c r="Q50" i="24"/>
  <c r="P50" i="24"/>
  <c r="O50" i="24"/>
  <c r="M50" i="24"/>
  <c r="L50" i="24"/>
  <c r="K50" i="24"/>
  <c r="J50" i="24"/>
  <c r="I50" i="24"/>
  <c r="H50" i="24"/>
  <c r="F50" i="24"/>
  <c r="E50" i="24"/>
  <c r="R49" i="24"/>
  <c r="Q49" i="24"/>
  <c r="P49" i="24"/>
  <c r="O49" i="24"/>
  <c r="M49" i="24"/>
  <c r="L49" i="24"/>
  <c r="K49" i="24"/>
  <c r="J49" i="24"/>
  <c r="I49" i="24"/>
  <c r="H49" i="24"/>
  <c r="F49" i="24"/>
  <c r="E49" i="24"/>
  <c r="R48" i="24"/>
  <c r="Q48" i="24"/>
  <c r="P48" i="24"/>
  <c r="O48" i="24"/>
  <c r="M48" i="24"/>
  <c r="L48" i="24"/>
  <c r="K48" i="24"/>
  <c r="J48" i="24"/>
  <c r="I48" i="24"/>
  <c r="H48" i="24"/>
  <c r="F48" i="24"/>
  <c r="E48" i="24"/>
  <c r="R47" i="24"/>
  <c r="Q47" i="24"/>
  <c r="P47" i="24"/>
  <c r="O47" i="24"/>
  <c r="M47" i="24"/>
  <c r="L47" i="24"/>
  <c r="K47" i="24"/>
  <c r="J47" i="24"/>
  <c r="I47" i="24"/>
  <c r="H47" i="24"/>
  <c r="F47" i="24"/>
  <c r="E47" i="24"/>
  <c r="R46" i="24"/>
  <c r="Q46" i="24"/>
  <c r="P46" i="24"/>
  <c r="O46" i="24"/>
  <c r="N46" i="24"/>
  <c r="M46" i="24"/>
  <c r="L46" i="24"/>
  <c r="K46" i="24"/>
  <c r="J46" i="24"/>
  <c r="I46" i="24"/>
  <c r="H46" i="24"/>
  <c r="F46" i="24"/>
  <c r="E46" i="24"/>
  <c r="R45" i="24"/>
  <c r="Q45" i="24"/>
  <c r="P45" i="24"/>
  <c r="O45" i="24"/>
  <c r="M45" i="24"/>
  <c r="L45" i="24"/>
  <c r="K45" i="24"/>
  <c r="J45" i="24"/>
  <c r="I45" i="24"/>
  <c r="H45" i="24"/>
  <c r="F45" i="24"/>
  <c r="E45" i="24"/>
  <c r="R44" i="24"/>
  <c r="Q44" i="24"/>
  <c r="P44" i="24"/>
  <c r="O44" i="24"/>
  <c r="M44" i="24"/>
  <c r="L44" i="24"/>
  <c r="K44" i="24"/>
  <c r="J44" i="24"/>
  <c r="I44" i="24"/>
  <c r="H44" i="24"/>
  <c r="F44" i="24"/>
  <c r="E44" i="24"/>
  <c r="R43" i="24"/>
  <c r="Q43" i="24"/>
  <c r="P43" i="24"/>
  <c r="O43" i="24"/>
  <c r="M43" i="24"/>
  <c r="L43" i="24"/>
  <c r="K43" i="24"/>
  <c r="J43" i="24"/>
  <c r="I43" i="24"/>
  <c r="H43" i="24"/>
  <c r="F43" i="24"/>
  <c r="E43" i="24"/>
  <c r="R42" i="24"/>
  <c r="Q42" i="24"/>
  <c r="P42" i="24"/>
  <c r="O42" i="24"/>
  <c r="M42" i="24"/>
  <c r="L42" i="24"/>
  <c r="K42" i="24"/>
  <c r="J42" i="24"/>
  <c r="I42" i="24"/>
  <c r="H42" i="24"/>
  <c r="F42" i="24"/>
  <c r="E42" i="24"/>
  <c r="R41" i="24"/>
  <c r="Q41" i="24"/>
  <c r="P41" i="24"/>
  <c r="O41" i="24"/>
  <c r="M41" i="24"/>
  <c r="L41" i="24"/>
  <c r="K41" i="24"/>
  <c r="J41" i="24"/>
  <c r="I41" i="24"/>
  <c r="H41" i="24"/>
  <c r="F41" i="24"/>
  <c r="E41" i="24"/>
  <c r="R40" i="24"/>
  <c r="Q40" i="24"/>
  <c r="P40" i="24"/>
  <c r="O40" i="24"/>
  <c r="M40" i="24"/>
  <c r="L40" i="24"/>
  <c r="K40" i="24"/>
  <c r="J40" i="24"/>
  <c r="I40" i="24"/>
  <c r="H40" i="24"/>
  <c r="F40" i="24"/>
  <c r="E40" i="24"/>
  <c r="R39" i="24"/>
  <c r="Q39" i="24"/>
  <c r="P39" i="24"/>
  <c r="O39" i="24"/>
  <c r="M39" i="24"/>
  <c r="L39" i="24"/>
  <c r="K39" i="24"/>
  <c r="J39" i="24"/>
  <c r="I39" i="24"/>
  <c r="H39" i="24"/>
  <c r="F39" i="24"/>
  <c r="E39" i="24"/>
  <c r="R38" i="24"/>
  <c r="Q38" i="24"/>
  <c r="P38" i="24"/>
  <c r="O38" i="24"/>
  <c r="M38" i="24"/>
  <c r="L38" i="24"/>
  <c r="K38" i="24"/>
  <c r="J38" i="24"/>
  <c r="I38" i="24"/>
  <c r="H38" i="24"/>
  <c r="F38" i="24"/>
  <c r="E38" i="24"/>
  <c r="R37" i="24"/>
  <c r="Q37" i="24"/>
  <c r="P37" i="24"/>
  <c r="O37" i="24"/>
  <c r="M37" i="24"/>
  <c r="L37" i="24"/>
  <c r="K37" i="24"/>
  <c r="J37" i="24"/>
  <c r="I37" i="24"/>
  <c r="H37" i="24"/>
  <c r="F37" i="24"/>
  <c r="E37" i="24"/>
  <c r="R36" i="24"/>
  <c r="Q36" i="24"/>
  <c r="P36" i="24"/>
  <c r="O36" i="24"/>
  <c r="M36" i="24"/>
  <c r="L36" i="24"/>
  <c r="K36" i="24"/>
  <c r="J36" i="24"/>
  <c r="I36" i="24"/>
  <c r="H36" i="24"/>
  <c r="F36" i="24"/>
  <c r="E36" i="24"/>
  <c r="R35" i="24"/>
  <c r="Q35" i="24"/>
  <c r="P35" i="24"/>
  <c r="O35" i="24"/>
  <c r="M35" i="24"/>
  <c r="L35" i="24"/>
  <c r="K35" i="24"/>
  <c r="J35" i="24"/>
  <c r="I35" i="24"/>
  <c r="H35" i="24"/>
  <c r="F35" i="24"/>
  <c r="E35" i="24"/>
  <c r="R34" i="24"/>
  <c r="Q34" i="24"/>
  <c r="P34" i="24"/>
  <c r="O34" i="24"/>
  <c r="M34" i="24"/>
  <c r="L34" i="24"/>
  <c r="K34" i="24"/>
  <c r="J34" i="24"/>
  <c r="I34" i="24"/>
  <c r="H34" i="24"/>
  <c r="F34" i="24"/>
  <c r="E34" i="24"/>
  <c r="R33" i="24"/>
  <c r="Q33" i="24"/>
  <c r="P33" i="24"/>
  <c r="O33" i="24"/>
  <c r="M33" i="24"/>
  <c r="L33" i="24"/>
  <c r="K33" i="24"/>
  <c r="J33" i="24"/>
  <c r="I33" i="24"/>
  <c r="H33" i="24"/>
  <c r="F33" i="24"/>
  <c r="E33" i="24"/>
  <c r="R32" i="24"/>
  <c r="Q32" i="24"/>
  <c r="P32" i="24"/>
  <c r="O32" i="24"/>
  <c r="M32" i="24"/>
  <c r="L32" i="24"/>
  <c r="K32" i="24"/>
  <c r="J32" i="24"/>
  <c r="I32" i="24"/>
  <c r="H32" i="24"/>
  <c r="F32" i="24"/>
  <c r="E32" i="24"/>
  <c r="R31" i="24"/>
  <c r="Q31" i="24"/>
  <c r="P31" i="24"/>
  <c r="O31" i="24"/>
  <c r="M31" i="24"/>
  <c r="L31" i="24"/>
  <c r="K31" i="24"/>
  <c r="J31" i="24"/>
  <c r="I31" i="24"/>
  <c r="H31" i="24"/>
  <c r="F31" i="24"/>
  <c r="E31" i="24"/>
  <c r="R30" i="24"/>
  <c r="Q30" i="24"/>
  <c r="P30" i="24"/>
  <c r="O30" i="24"/>
  <c r="N30" i="24"/>
  <c r="M30" i="24"/>
  <c r="L30" i="24"/>
  <c r="K30" i="24"/>
  <c r="J30" i="24"/>
  <c r="I30" i="24"/>
  <c r="H30" i="24"/>
  <c r="G30" i="24"/>
  <c r="F30" i="24"/>
  <c r="E30" i="24"/>
  <c r="R29" i="24"/>
  <c r="Q29" i="24"/>
  <c r="P29" i="24"/>
  <c r="O29" i="24"/>
  <c r="N29" i="24"/>
  <c r="M29" i="24"/>
  <c r="L29" i="24"/>
  <c r="K29" i="24"/>
  <c r="J29" i="24"/>
  <c r="I29" i="24"/>
  <c r="H29" i="24"/>
  <c r="G29" i="24"/>
  <c r="F29" i="24"/>
  <c r="E29" i="24"/>
  <c r="R28" i="24"/>
  <c r="Q28" i="24"/>
  <c r="P28" i="24"/>
  <c r="O28" i="24"/>
  <c r="M28" i="24"/>
  <c r="L28" i="24"/>
  <c r="K28" i="24"/>
  <c r="J28" i="24"/>
  <c r="I28" i="24"/>
  <c r="H28" i="24"/>
  <c r="F28" i="24"/>
  <c r="E28" i="24"/>
  <c r="R27" i="24"/>
  <c r="Q27" i="24"/>
  <c r="P27" i="24"/>
  <c r="O27" i="24"/>
  <c r="N27" i="24"/>
  <c r="M27" i="24"/>
  <c r="L27" i="24"/>
  <c r="K27" i="24"/>
  <c r="J27" i="24"/>
  <c r="I27" i="24"/>
  <c r="H27" i="24"/>
  <c r="F27" i="24"/>
  <c r="E27" i="24"/>
  <c r="R26" i="24"/>
  <c r="Q26" i="24"/>
  <c r="P26" i="24"/>
  <c r="O26" i="24"/>
  <c r="M26" i="24"/>
  <c r="L26" i="24"/>
  <c r="K26" i="24"/>
  <c r="J26" i="24"/>
  <c r="I26" i="24"/>
  <c r="H26" i="24"/>
  <c r="F26" i="24"/>
  <c r="E26" i="24"/>
  <c r="R25" i="24"/>
  <c r="Q25" i="24"/>
  <c r="P25" i="24"/>
  <c r="O25" i="24"/>
  <c r="M25" i="24"/>
  <c r="L25" i="24"/>
  <c r="K25" i="24"/>
  <c r="J25" i="24"/>
  <c r="I25" i="24"/>
  <c r="H25" i="24"/>
  <c r="F25" i="24"/>
  <c r="E25" i="24"/>
  <c r="R24" i="24"/>
  <c r="Q24" i="24"/>
  <c r="P24" i="24"/>
  <c r="O24" i="24"/>
  <c r="M24" i="24"/>
  <c r="L24" i="24"/>
  <c r="K24" i="24"/>
  <c r="J24" i="24"/>
  <c r="I24" i="24"/>
  <c r="H24" i="24"/>
  <c r="F24" i="24"/>
  <c r="E24" i="24"/>
  <c r="R23" i="24"/>
  <c r="Q23" i="24"/>
  <c r="P23" i="24"/>
  <c r="O23" i="24"/>
  <c r="M23" i="24"/>
  <c r="L23" i="24"/>
  <c r="K23" i="24"/>
  <c r="J23" i="24"/>
  <c r="I23" i="24"/>
  <c r="H23" i="24"/>
  <c r="F23" i="24"/>
  <c r="E23" i="24"/>
  <c r="R22" i="24"/>
  <c r="Q22" i="24"/>
  <c r="P22" i="24"/>
  <c r="O22" i="24"/>
  <c r="M22" i="24"/>
  <c r="L22" i="24"/>
  <c r="K22" i="24"/>
  <c r="J22" i="24"/>
  <c r="I22" i="24"/>
  <c r="H22" i="24"/>
  <c r="F22" i="24"/>
  <c r="E22" i="24"/>
  <c r="R21" i="24"/>
  <c r="Q21" i="24"/>
  <c r="P21" i="24"/>
  <c r="O21" i="24"/>
  <c r="M21" i="24"/>
  <c r="L21" i="24"/>
  <c r="K21" i="24"/>
  <c r="J21" i="24"/>
  <c r="I21" i="24"/>
  <c r="H21" i="24"/>
  <c r="F21" i="24"/>
  <c r="E21" i="24"/>
  <c r="R20" i="24"/>
  <c r="Q20" i="24"/>
  <c r="P20" i="24"/>
  <c r="O20" i="24"/>
  <c r="M20" i="24"/>
  <c r="L20" i="24"/>
  <c r="K20" i="24"/>
  <c r="J20" i="24"/>
  <c r="I20" i="24"/>
  <c r="H20" i="24"/>
  <c r="F20" i="24"/>
  <c r="E20" i="24"/>
  <c r="R19" i="24"/>
  <c r="Q19" i="24"/>
  <c r="P19" i="24"/>
  <c r="O19" i="24"/>
  <c r="M19" i="24"/>
  <c r="L19" i="24"/>
  <c r="K19" i="24"/>
  <c r="J19" i="24"/>
  <c r="I19" i="24"/>
  <c r="H19" i="24"/>
  <c r="F19" i="24"/>
  <c r="E19" i="24"/>
  <c r="R18" i="24"/>
  <c r="Q18" i="24"/>
  <c r="P18" i="24"/>
  <c r="O18" i="24"/>
  <c r="M18" i="24"/>
  <c r="L18" i="24"/>
  <c r="K18" i="24"/>
  <c r="J18" i="24"/>
  <c r="I18" i="24"/>
  <c r="H18" i="24"/>
  <c r="F18" i="24"/>
  <c r="E18" i="24"/>
  <c r="R17" i="24"/>
  <c r="Q17" i="24"/>
  <c r="P17" i="24"/>
  <c r="O17" i="24"/>
  <c r="M17" i="24"/>
  <c r="L17" i="24"/>
  <c r="K17" i="24"/>
  <c r="J17" i="24"/>
  <c r="I17" i="24"/>
  <c r="H17" i="24"/>
  <c r="F17" i="24"/>
  <c r="E17" i="24"/>
  <c r="R16" i="24"/>
  <c r="Q16" i="24"/>
  <c r="P16" i="24"/>
  <c r="O16" i="24"/>
  <c r="M16" i="24"/>
  <c r="L16" i="24"/>
  <c r="K16" i="24"/>
  <c r="J16" i="24"/>
  <c r="I16" i="24"/>
  <c r="H16" i="24"/>
  <c r="F16" i="24"/>
  <c r="E16" i="24"/>
  <c r="R15" i="24"/>
  <c r="Q15" i="24"/>
  <c r="P15" i="24"/>
  <c r="O15" i="24"/>
  <c r="N15" i="24"/>
  <c r="M15" i="24"/>
  <c r="L15" i="24"/>
  <c r="K15" i="24"/>
  <c r="J15" i="24"/>
  <c r="I15" i="24"/>
  <c r="H15" i="24"/>
  <c r="F15" i="24"/>
  <c r="E15" i="24"/>
  <c r="R14" i="24"/>
  <c r="Q14" i="24"/>
  <c r="P14" i="24"/>
  <c r="O14" i="24"/>
  <c r="M14" i="24"/>
  <c r="L14" i="24"/>
  <c r="K14" i="24"/>
  <c r="J14" i="24"/>
  <c r="I14" i="24"/>
  <c r="H14" i="24"/>
  <c r="F14" i="24"/>
  <c r="E14" i="24"/>
  <c r="R13" i="24"/>
  <c r="Q13" i="24"/>
  <c r="P13" i="24"/>
  <c r="O13" i="24"/>
  <c r="M13" i="24"/>
  <c r="L13" i="24"/>
  <c r="K13" i="24"/>
  <c r="J13" i="24"/>
  <c r="I13" i="24"/>
  <c r="H13" i="24"/>
  <c r="F13" i="24"/>
  <c r="E13" i="24"/>
  <c r="R12" i="24"/>
  <c r="Q12" i="24"/>
  <c r="P12" i="24"/>
  <c r="O12" i="24"/>
  <c r="M12" i="24"/>
  <c r="L12" i="24"/>
  <c r="K12" i="24"/>
  <c r="J12" i="24"/>
  <c r="I12" i="24"/>
  <c r="H12" i="24"/>
  <c r="F12" i="24"/>
  <c r="E12" i="24"/>
  <c r="R11" i="24"/>
  <c r="Q11" i="24"/>
  <c r="P11" i="24"/>
  <c r="O11" i="24"/>
  <c r="M11" i="24"/>
  <c r="L11" i="24"/>
  <c r="K11" i="24"/>
  <c r="J11" i="24"/>
  <c r="I11" i="24"/>
  <c r="H11" i="24"/>
  <c r="F11" i="24"/>
  <c r="E11" i="24"/>
  <c r="R10" i="24"/>
  <c r="Q10" i="24"/>
  <c r="P10" i="24"/>
  <c r="O10" i="24"/>
  <c r="M10" i="24"/>
  <c r="L10" i="24"/>
  <c r="K10" i="24"/>
  <c r="J10" i="24"/>
  <c r="I10" i="24"/>
  <c r="H10" i="24"/>
  <c r="F10" i="24"/>
  <c r="E10" i="24"/>
  <c r="R9" i="24"/>
  <c r="Q9" i="24"/>
  <c r="P9" i="24"/>
  <c r="O9" i="24"/>
  <c r="M9" i="24"/>
  <c r="L9" i="24"/>
  <c r="K9" i="24"/>
  <c r="J9" i="24"/>
  <c r="I9" i="24"/>
  <c r="H9" i="24"/>
  <c r="F9" i="24"/>
  <c r="E9" i="24"/>
  <c r="R8" i="24"/>
  <c r="Q8" i="24"/>
  <c r="P8" i="24"/>
  <c r="O8" i="24"/>
  <c r="N8" i="24"/>
  <c r="M8" i="24"/>
  <c r="L8" i="24"/>
  <c r="K8" i="24"/>
  <c r="J8" i="24"/>
  <c r="I8" i="24"/>
  <c r="H8" i="24"/>
  <c r="G8" i="24"/>
  <c r="F8" i="24"/>
  <c r="E8" i="24"/>
  <c r="R7" i="24"/>
  <c r="Q7" i="24"/>
  <c r="P7" i="24"/>
  <c r="O7" i="24"/>
  <c r="M7" i="24"/>
  <c r="L7" i="24"/>
  <c r="K7" i="24"/>
  <c r="J7" i="24"/>
  <c r="I7" i="24"/>
  <c r="H7" i="24"/>
  <c r="F7" i="24"/>
  <c r="E7" i="24"/>
  <c r="R6" i="24"/>
  <c r="Q6" i="24"/>
  <c r="P6" i="24"/>
  <c r="O6" i="24"/>
  <c r="M6" i="24"/>
  <c r="L6" i="24"/>
  <c r="K6" i="24"/>
  <c r="J6" i="24"/>
  <c r="I6" i="24"/>
  <c r="H6" i="24"/>
  <c r="F6" i="24"/>
  <c r="E6" i="24"/>
  <c r="R5" i="24"/>
  <c r="Q5" i="24"/>
  <c r="P5" i="24"/>
  <c r="O5" i="24"/>
  <c r="M5" i="24"/>
  <c r="L5" i="24"/>
  <c r="K5" i="24"/>
  <c r="J5" i="24"/>
  <c r="I5" i="24"/>
  <c r="H5" i="24"/>
  <c r="F5" i="24"/>
  <c r="E5" i="24"/>
  <c r="R4" i="24"/>
  <c r="Q4" i="24"/>
  <c r="P4" i="24"/>
  <c r="O4" i="24"/>
  <c r="M4" i="24"/>
  <c r="L4" i="24"/>
  <c r="K4" i="24"/>
  <c r="J4" i="24"/>
  <c r="I4" i="24"/>
  <c r="H4" i="24"/>
  <c r="F4" i="24"/>
  <c r="E4" i="24"/>
  <c r="R3" i="24"/>
  <c r="Q3" i="24"/>
  <c r="P3" i="24"/>
  <c r="O3" i="24"/>
  <c r="M3" i="24"/>
  <c r="L3" i="24"/>
  <c r="K3" i="24"/>
  <c r="J3" i="24"/>
  <c r="I3" i="24"/>
  <c r="H3" i="24"/>
  <c r="F3" i="24"/>
  <c r="E3" i="24"/>
  <c r="R2" i="24"/>
  <c r="Q2" i="24"/>
  <c r="P2" i="24"/>
  <c r="O2" i="24"/>
  <c r="M2" i="24"/>
  <c r="L2" i="24"/>
  <c r="K2" i="24"/>
  <c r="J2" i="24"/>
  <c r="I2" i="24"/>
  <c r="H2" i="24"/>
  <c r="F2" i="24"/>
  <c r="E2" i="24"/>
  <c r="R1" i="24"/>
  <c r="Q1" i="24"/>
  <c r="P1" i="24"/>
  <c r="O1" i="24"/>
  <c r="N1" i="24"/>
  <c r="M1" i="24"/>
  <c r="L1" i="24"/>
  <c r="K1" i="24"/>
  <c r="J1" i="24"/>
  <c r="I1" i="24"/>
  <c r="H1" i="24"/>
  <c r="G1" i="24"/>
  <c r="F1" i="24"/>
  <c r="E1" i="24"/>
  <c r="N997" i="23"/>
  <c r="N996" i="23"/>
  <c r="N995" i="23"/>
  <c r="N994" i="23"/>
  <c r="N993" i="23"/>
  <c r="N992" i="23"/>
  <c r="N991" i="23"/>
  <c r="N990" i="23"/>
  <c r="N989" i="23"/>
  <c r="N988" i="23"/>
  <c r="N987" i="23"/>
  <c r="N986" i="23"/>
  <c r="N985" i="23"/>
  <c r="N984" i="23"/>
  <c r="N983" i="23"/>
  <c r="N982" i="23"/>
  <c r="N981" i="23"/>
  <c r="N980" i="23"/>
  <c r="N979" i="23"/>
  <c r="N978" i="23"/>
  <c r="N977" i="23"/>
  <c r="N976" i="23"/>
  <c r="N975" i="23"/>
  <c r="N974" i="23"/>
  <c r="N973" i="23"/>
  <c r="N972" i="23"/>
  <c r="N971" i="23"/>
  <c r="N970" i="23"/>
  <c r="N969" i="23"/>
  <c r="N968" i="23"/>
  <c r="N967" i="23"/>
  <c r="N966" i="23"/>
  <c r="N965" i="23"/>
  <c r="N964" i="23"/>
  <c r="N963" i="23"/>
  <c r="N962" i="23"/>
  <c r="N961" i="23"/>
  <c r="N960" i="23"/>
  <c r="N959" i="23"/>
  <c r="N958" i="23"/>
  <c r="N957" i="23"/>
  <c r="N956" i="23"/>
  <c r="N955" i="23"/>
  <c r="N954" i="23"/>
  <c r="N953" i="23"/>
  <c r="N952" i="23"/>
  <c r="N951" i="23"/>
  <c r="N950" i="23"/>
  <c r="N949" i="23"/>
  <c r="N948" i="23"/>
  <c r="N947" i="23"/>
  <c r="N946" i="23"/>
  <c r="N945" i="23"/>
  <c r="N944" i="23"/>
  <c r="N943" i="23"/>
  <c r="N942" i="23"/>
  <c r="N941" i="23"/>
  <c r="N940" i="23"/>
  <c r="N939" i="23"/>
  <c r="N938" i="23"/>
  <c r="N937" i="23"/>
  <c r="N936" i="23"/>
  <c r="N935" i="23"/>
  <c r="N934" i="23"/>
  <c r="N933" i="23"/>
  <c r="N932" i="23"/>
  <c r="N931" i="23"/>
  <c r="N930" i="23"/>
  <c r="N929" i="23"/>
  <c r="N928" i="23"/>
  <c r="N927" i="23"/>
  <c r="N926" i="23"/>
  <c r="N925" i="23"/>
  <c r="N924" i="23"/>
  <c r="N923" i="23"/>
  <c r="N922" i="23"/>
  <c r="N921" i="23"/>
  <c r="N920" i="23"/>
  <c r="N919" i="23"/>
  <c r="N918" i="23"/>
  <c r="N917" i="23"/>
  <c r="N916" i="23"/>
  <c r="N915" i="23"/>
  <c r="N914" i="23"/>
  <c r="N913" i="23"/>
  <c r="N912" i="23"/>
  <c r="N911" i="23"/>
  <c r="N910" i="23"/>
  <c r="N909" i="23"/>
  <c r="N908" i="23"/>
  <c r="N907" i="23"/>
  <c r="N906" i="23"/>
  <c r="N905" i="23"/>
  <c r="N904" i="23"/>
  <c r="N903" i="23"/>
  <c r="N902" i="23"/>
  <c r="N901" i="23"/>
  <c r="N900" i="23"/>
  <c r="N899" i="23"/>
  <c r="N898" i="23"/>
  <c r="N897" i="23"/>
  <c r="N896" i="23"/>
  <c r="N895" i="23"/>
  <c r="N894" i="23"/>
  <c r="N893" i="23"/>
  <c r="N892" i="23"/>
  <c r="N891" i="23"/>
  <c r="N890" i="23"/>
  <c r="N889" i="23"/>
  <c r="N888" i="23"/>
  <c r="N887" i="23"/>
  <c r="N886" i="23"/>
  <c r="N885" i="23"/>
  <c r="N884" i="23"/>
  <c r="N883" i="23"/>
  <c r="N882" i="23"/>
  <c r="N881" i="23"/>
  <c r="N880" i="23"/>
  <c r="N879" i="23"/>
  <c r="N878" i="23"/>
  <c r="N877" i="23"/>
  <c r="N876" i="23"/>
  <c r="N875" i="23"/>
  <c r="N874" i="23"/>
  <c r="N873" i="23"/>
  <c r="N872" i="23"/>
  <c r="N871" i="23"/>
  <c r="N870" i="23"/>
  <c r="N869" i="23"/>
  <c r="N868" i="23"/>
  <c r="N867" i="23"/>
  <c r="N866" i="23"/>
  <c r="N865" i="23"/>
  <c r="N864" i="23"/>
  <c r="N863" i="23"/>
  <c r="N862" i="23"/>
  <c r="N861" i="23"/>
  <c r="N860" i="23"/>
  <c r="N859" i="23"/>
  <c r="N858" i="23"/>
  <c r="N857" i="23"/>
  <c r="N856" i="23"/>
  <c r="N855" i="23"/>
  <c r="N854" i="23"/>
  <c r="N853" i="23"/>
  <c r="N852" i="23"/>
  <c r="N851" i="23"/>
  <c r="N850" i="23"/>
  <c r="N849" i="23"/>
  <c r="N848" i="23"/>
  <c r="N847" i="23"/>
  <c r="N846" i="23"/>
  <c r="N845" i="23"/>
  <c r="N844" i="23"/>
  <c r="N843" i="23"/>
  <c r="N842" i="23"/>
  <c r="N841" i="23"/>
  <c r="N840" i="23"/>
  <c r="N839" i="23"/>
  <c r="N838" i="23"/>
  <c r="N837" i="23"/>
  <c r="N836" i="23"/>
  <c r="N835" i="23"/>
  <c r="N834" i="23"/>
  <c r="N833" i="23"/>
  <c r="N832" i="23"/>
  <c r="N831" i="23"/>
  <c r="N830" i="23"/>
  <c r="N829" i="23"/>
  <c r="N828" i="23"/>
  <c r="N827" i="23"/>
  <c r="N826" i="23"/>
  <c r="N825" i="23"/>
  <c r="N824" i="23"/>
  <c r="N823" i="23"/>
  <c r="N822" i="23"/>
  <c r="N821" i="23"/>
  <c r="N820" i="23"/>
  <c r="N819" i="23"/>
  <c r="N818" i="23"/>
  <c r="N817" i="23"/>
  <c r="N816" i="23"/>
  <c r="N815" i="23"/>
  <c r="N814" i="23"/>
  <c r="N813" i="23"/>
  <c r="N812" i="23"/>
  <c r="N811" i="23"/>
  <c r="N810" i="23"/>
  <c r="N809" i="23"/>
  <c r="N808" i="23"/>
  <c r="N807" i="23"/>
  <c r="N806" i="23"/>
  <c r="N805" i="23"/>
  <c r="N804" i="23"/>
  <c r="N803" i="23"/>
  <c r="N802" i="23"/>
  <c r="N801" i="23"/>
  <c r="N800" i="23"/>
  <c r="N799" i="23"/>
  <c r="N798" i="23"/>
  <c r="N797" i="23"/>
  <c r="N796" i="23"/>
  <c r="N795" i="23"/>
  <c r="N794" i="23"/>
  <c r="N793" i="23"/>
  <c r="N792" i="23"/>
  <c r="N791" i="23"/>
  <c r="N790" i="23"/>
  <c r="N789" i="23"/>
  <c r="N788" i="23"/>
  <c r="N787" i="23"/>
  <c r="N786" i="23"/>
  <c r="N785" i="23"/>
  <c r="N784" i="23"/>
  <c r="N783" i="23"/>
  <c r="N782" i="23"/>
  <c r="N781" i="23"/>
  <c r="N780" i="23"/>
  <c r="N779" i="23"/>
  <c r="N778" i="23"/>
  <c r="N777" i="23"/>
  <c r="N776" i="23"/>
  <c r="N775" i="23"/>
  <c r="N774" i="23"/>
  <c r="N773" i="23"/>
  <c r="N772" i="23"/>
  <c r="N771" i="23"/>
  <c r="N770" i="23"/>
  <c r="N769" i="23"/>
  <c r="N768" i="23"/>
  <c r="N767" i="23"/>
  <c r="N766" i="23"/>
  <c r="N765" i="23"/>
  <c r="N764" i="23"/>
  <c r="N763" i="23"/>
  <c r="N762" i="23"/>
  <c r="N761" i="23"/>
  <c r="N760" i="23"/>
  <c r="N759" i="23"/>
  <c r="N758" i="23"/>
  <c r="N757" i="23"/>
  <c r="N756" i="23"/>
  <c r="N755" i="23"/>
  <c r="N754" i="23"/>
  <c r="N753" i="23"/>
  <c r="N752" i="23"/>
  <c r="N751" i="23"/>
  <c r="N750" i="23"/>
  <c r="N749" i="23"/>
  <c r="N748" i="23"/>
  <c r="N747" i="23"/>
  <c r="N746" i="23"/>
  <c r="N745" i="23"/>
  <c r="N744" i="23"/>
  <c r="N743" i="23"/>
  <c r="N742" i="23"/>
  <c r="N741" i="23"/>
  <c r="N740" i="23"/>
  <c r="N739" i="23"/>
  <c r="N738" i="23"/>
  <c r="N737" i="23"/>
  <c r="N736" i="23"/>
  <c r="N735" i="23"/>
  <c r="N734" i="23"/>
  <c r="N733" i="23"/>
  <c r="N732" i="23"/>
  <c r="N731" i="23"/>
  <c r="N730" i="23"/>
  <c r="N729" i="23"/>
  <c r="N728" i="23"/>
  <c r="N727" i="23"/>
  <c r="N726" i="23"/>
  <c r="N725" i="23"/>
  <c r="N724" i="23"/>
  <c r="N723" i="23"/>
  <c r="N722" i="23"/>
  <c r="N721" i="23"/>
  <c r="N720" i="23"/>
  <c r="N719" i="23"/>
  <c r="N718" i="23"/>
  <c r="N717" i="23"/>
  <c r="N716" i="23"/>
  <c r="N715" i="23"/>
  <c r="N714" i="23"/>
  <c r="N713" i="23"/>
  <c r="N712" i="23"/>
  <c r="N711" i="23"/>
  <c r="N710" i="23"/>
  <c r="N709" i="23"/>
  <c r="N708" i="23"/>
  <c r="N707" i="23"/>
  <c r="N706" i="23"/>
  <c r="N705" i="23"/>
  <c r="N704" i="23"/>
  <c r="N703" i="23"/>
  <c r="N702" i="23"/>
  <c r="N701" i="23"/>
  <c r="N700" i="23"/>
  <c r="N699" i="23"/>
  <c r="N698" i="23"/>
  <c r="N697" i="23"/>
  <c r="N696" i="23"/>
  <c r="N695" i="23"/>
  <c r="N694" i="23"/>
  <c r="N693" i="23"/>
  <c r="N692" i="23"/>
  <c r="N691" i="23"/>
  <c r="N690" i="23"/>
  <c r="N689" i="23"/>
  <c r="N688" i="23"/>
  <c r="N687" i="23"/>
  <c r="N686" i="23"/>
  <c r="N685" i="23"/>
  <c r="N684" i="23"/>
  <c r="N683" i="23"/>
  <c r="N682" i="23"/>
  <c r="N681" i="23"/>
  <c r="N680" i="23"/>
  <c r="N679" i="23"/>
  <c r="N678" i="23"/>
  <c r="N677" i="23"/>
  <c r="N676" i="23"/>
  <c r="N675" i="23"/>
  <c r="N674" i="23"/>
  <c r="N673" i="23"/>
  <c r="N672" i="23"/>
  <c r="N671" i="23"/>
  <c r="N670" i="23"/>
  <c r="N669" i="23"/>
  <c r="N668" i="23"/>
  <c r="N667" i="23"/>
  <c r="N666" i="23"/>
  <c r="N665" i="23"/>
  <c r="N664" i="23"/>
  <c r="N663" i="23"/>
  <c r="N662" i="23"/>
  <c r="N661" i="23"/>
  <c r="N660" i="23"/>
  <c r="N659" i="23"/>
  <c r="N658" i="23"/>
  <c r="N657" i="23"/>
  <c r="N656" i="23"/>
  <c r="N655" i="23"/>
  <c r="N654" i="23"/>
  <c r="N653" i="23"/>
  <c r="N652" i="23"/>
  <c r="N651" i="23"/>
  <c r="N650" i="23"/>
  <c r="N649" i="23"/>
  <c r="N648" i="23"/>
  <c r="N647" i="23"/>
  <c r="N646" i="23"/>
  <c r="N645" i="23"/>
  <c r="N644" i="23"/>
  <c r="N643" i="23"/>
  <c r="N642" i="23"/>
  <c r="N641" i="23"/>
  <c r="N640" i="23"/>
  <c r="N639" i="23"/>
  <c r="N638" i="23"/>
  <c r="N637" i="23"/>
  <c r="N636" i="23"/>
  <c r="N635" i="23"/>
  <c r="N634" i="23"/>
  <c r="N633" i="23"/>
  <c r="N632" i="23"/>
  <c r="N631" i="23"/>
  <c r="N630" i="23"/>
  <c r="N629" i="23"/>
  <c r="N628" i="23"/>
  <c r="N627" i="23"/>
  <c r="N626" i="23"/>
  <c r="N625" i="23"/>
  <c r="N624" i="23"/>
  <c r="N623" i="23"/>
  <c r="N622" i="23"/>
  <c r="N621" i="23"/>
  <c r="N620" i="23"/>
  <c r="N619" i="23"/>
  <c r="N618" i="23"/>
  <c r="N617" i="23"/>
  <c r="N616" i="23"/>
  <c r="N615" i="23"/>
  <c r="N614" i="23"/>
  <c r="N613" i="23"/>
  <c r="N612" i="23"/>
  <c r="N611" i="23"/>
  <c r="N610" i="23"/>
  <c r="N609" i="23"/>
  <c r="N608" i="23"/>
  <c r="N607" i="23"/>
  <c r="N606" i="23"/>
  <c r="N605" i="23"/>
  <c r="N604" i="23"/>
  <c r="N603" i="23"/>
  <c r="N602" i="23"/>
  <c r="N601" i="23"/>
  <c r="N600" i="23"/>
  <c r="N599" i="23"/>
  <c r="N598" i="23"/>
  <c r="N597" i="23"/>
  <c r="N596" i="23"/>
  <c r="N595" i="23"/>
  <c r="N594" i="23"/>
  <c r="N593" i="23"/>
  <c r="N592" i="23"/>
  <c r="N591" i="23"/>
  <c r="N590" i="23"/>
  <c r="N589" i="23"/>
  <c r="N588" i="23"/>
  <c r="N587" i="23"/>
  <c r="N586" i="23"/>
  <c r="N585" i="23"/>
  <c r="N584" i="23"/>
  <c r="N583" i="23"/>
  <c r="N582" i="23"/>
  <c r="N581" i="23"/>
  <c r="N580" i="23"/>
  <c r="N579" i="23"/>
  <c r="N578" i="23"/>
  <c r="N577" i="23"/>
  <c r="N576" i="23"/>
  <c r="N575" i="23"/>
  <c r="N574" i="23"/>
  <c r="N573" i="23"/>
  <c r="N572" i="23"/>
  <c r="N571" i="23"/>
  <c r="N570" i="23"/>
  <c r="N569" i="23"/>
  <c r="N568" i="23"/>
  <c r="N567" i="23"/>
  <c r="N566" i="23"/>
  <c r="N565" i="23"/>
  <c r="N564" i="23"/>
  <c r="N563" i="23"/>
  <c r="N562" i="23"/>
  <c r="N561" i="23"/>
  <c r="N560" i="23"/>
  <c r="N559" i="23"/>
  <c r="N558" i="23"/>
  <c r="N557" i="23"/>
  <c r="N556" i="23"/>
  <c r="N555" i="23"/>
  <c r="N554" i="23"/>
  <c r="N553" i="23"/>
  <c r="N552" i="23"/>
  <c r="N551" i="23"/>
  <c r="N550" i="23"/>
  <c r="N549" i="23"/>
  <c r="N548" i="23"/>
  <c r="N547" i="23"/>
  <c r="N546" i="23"/>
  <c r="N545" i="23"/>
  <c r="N544" i="23"/>
  <c r="N543" i="23"/>
  <c r="N542" i="23"/>
  <c r="N541" i="23"/>
  <c r="N540" i="23"/>
  <c r="N539" i="23"/>
  <c r="N538" i="23"/>
  <c r="N537" i="23"/>
  <c r="N536" i="23"/>
  <c r="N535" i="23"/>
  <c r="N534" i="23"/>
  <c r="N533" i="23"/>
  <c r="N532" i="23"/>
  <c r="N531" i="23"/>
  <c r="N530" i="23"/>
  <c r="N529" i="23"/>
  <c r="N528" i="23"/>
  <c r="N527" i="23"/>
  <c r="N526" i="23"/>
  <c r="N525" i="23"/>
  <c r="N524" i="23"/>
  <c r="N523" i="23"/>
  <c r="N522" i="23"/>
  <c r="N521" i="23"/>
  <c r="N520" i="23"/>
  <c r="N519" i="23"/>
  <c r="N518" i="23"/>
  <c r="N517" i="23"/>
  <c r="N516" i="23"/>
  <c r="N515" i="23"/>
  <c r="N514" i="23"/>
  <c r="N513" i="23"/>
  <c r="N512" i="23"/>
  <c r="N511" i="23"/>
  <c r="N510" i="23"/>
  <c r="N509" i="23"/>
  <c r="N508" i="23"/>
  <c r="N507" i="23"/>
  <c r="N506" i="23"/>
  <c r="N505" i="23"/>
  <c r="N504" i="23"/>
  <c r="N503" i="23"/>
  <c r="N502" i="23"/>
  <c r="N501" i="23"/>
  <c r="N500" i="23"/>
  <c r="N499" i="23"/>
  <c r="N498" i="23"/>
  <c r="N497" i="23"/>
  <c r="N496" i="23"/>
  <c r="N495" i="23"/>
  <c r="N494" i="23"/>
  <c r="N493" i="23"/>
  <c r="N492" i="23"/>
  <c r="N491" i="23"/>
  <c r="N490" i="23"/>
  <c r="N489" i="23"/>
  <c r="N488" i="23"/>
  <c r="N487" i="23"/>
  <c r="N486" i="23"/>
  <c r="N485" i="23"/>
  <c r="N484" i="23"/>
  <c r="N483" i="23"/>
  <c r="N482" i="23"/>
  <c r="N481" i="23"/>
  <c r="N480" i="23"/>
  <c r="N479" i="23"/>
  <c r="N478" i="23"/>
  <c r="N477" i="23"/>
  <c r="N476" i="23"/>
  <c r="N475" i="23"/>
  <c r="N474" i="23"/>
  <c r="N473" i="23"/>
  <c r="N472" i="23"/>
  <c r="N471" i="23"/>
  <c r="N470" i="23"/>
  <c r="N469" i="23"/>
  <c r="N468" i="23"/>
  <c r="N467" i="23"/>
  <c r="N466" i="23"/>
  <c r="N465" i="23"/>
  <c r="N464" i="23"/>
  <c r="N463" i="23"/>
  <c r="N462" i="23"/>
  <c r="N461" i="23"/>
  <c r="N460" i="23"/>
  <c r="N459" i="23"/>
  <c r="N458" i="23"/>
  <c r="N457" i="23"/>
  <c r="N456" i="23"/>
  <c r="N455" i="23"/>
  <c r="N454" i="23"/>
  <c r="N453" i="23"/>
  <c r="N452" i="23"/>
  <c r="N451" i="23"/>
  <c r="N450" i="23"/>
  <c r="N449" i="23"/>
  <c r="N448" i="23"/>
  <c r="N447" i="23"/>
  <c r="N446" i="23"/>
  <c r="N445" i="23"/>
  <c r="N444" i="23"/>
  <c r="N443" i="23"/>
  <c r="N442" i="23"/>
  <c r="N441" i="23"/>
  <c r="N440" i="23"/>
  <c r="N439" i="23"/>
  <c r="N438" i="23"/>
  <c r="N437" i="23"/>
  <c r="N436" i="23"/>
  <c r="N435" i="23"/>
  <c r="N434" i="23"/>
  <c r="N433" i="23"/>
  <c r="N432" i="23"/>
  <c r="N430" i="23"/>
  <c r="N429" i="23"/>
  <c r="N428" i="23"/>
  <c r="N427" i="23"/>
  <c r="N426" i="23"/>
  <c r="N425" i="23"/>
  <c r="N424" i="23"/>
  <c r="N423" i="23"/>
  <c r="N422" i="23"/>
  <c r="N421" i="23"/>
  <c r="N420" i="23"/>
  <c r="N419" i="23"/>
  <c r="N418" i="23"/>
  <c r="N417" i="23"/>
  <c r="N416" i="23"/>
  <c r="N415" i="23"/>
  <c r="N414" i="23"/>
  <c r="N413" i="23"/>
  <c r="N412" i="23"/>
  <c r="N411" i="23"/>
  <c r="N410" i="23"/>
  <c r="N409" i="23"/>
  <c r="N408" i="23"/>
  <c r="N407" i="23"/>
  <c r="N406" i="23"/>
  <c r="N405" i="23"/>
  <c r="N404" i="23"/>
  <c r="N403" i="23"/>
  <c r="N402" i="23"/>
  <c r="N401" i="23"/>
  <c r="N400" i="23"/>
  <c r="N399" i="23"/>
  <c r="N398" i="23"/>
  <c r="N397" i="23"/>
  <c r="N396" i="23"/>
  <c r="N395" i="23"/>
  <c r="N394" i="23"/>
  <c r="N393" i="23"/>
  <c r="N392" i="23"/>
  <c r="N391" i="23"/>
  <c r="N390" i="23"/>
  <c r="N389" i="23"/>
  <c r="N388" i="23"/>
  <c r="N387" i="23"/>
  <c r="N386" i="23"/>
  <c r="N385" i="23"/>
  <c r="N384" i="23"/>
  <c r="N383" i="23"/>
  <c r="N382" i="23"/>
  <c r="N381" i="23"/>
  <c r="N380" i="23"/>
  <c r="N379" i="23"/>
  <c r="N378" i="23"/>
  <c r="N377" i="23"/>
  <c r="N376" i="23"/>
  <c r="N375" i="23"/>
  <c r="N374" i="23"/>
  <c r="N373" i="23"/>
  <c r="N372" i="23"/>
  <c r="N371" i="23"/>
  <c r="N370" i="23"/>
  <c r="N369" i="23"/>
  <c r="N368" i="23"/>
  <c r="N367" i="23"/>
  <c r="N366" i="23"/>
  <c r="N365" i="23"/>
  <c r="N364" i="23"/>
  <c r="N363" i="23"/>
  <c r="N362" i="23"/>
  <c r="N361" i="23"/>
  <c r="N360" i="23"/>
  <c r="N359" i="23"/>
  <c r="N358" i="23"/>
  <c r="N357" i="23"/>
  <c r="N356" i="23"/>
  <c r="N355" i="23"/>
  <c r="N354" i="23"/>
  <c r="N353" i="23"/>
  <c r="N352" i="23"/>
  <c r="N351" i="23"/>
  <c r="N350" i="23"/>
  <c r="N349" i="23"/>
  <c r="N348" i="23"/>
  <c r="N347" i="23"/>
  <c r="N346" i="23"/>
  <c r="N345" i="23"/>
  <c r="N344" i="23"/>
  <c r="N343" i="23"/>
  <c r="N342" i="23"/>
  <c r="N341" i="23"/>
  <c r="N340" i="23"/>
  <c r="N339" i="23"/>
  <c r="N338" i="23"/>
  <c r="N337" i="23"/>
  <c r="N336" i="23"/>
  <c r="N335" i="23"/>
  <c r="N334" i="23"/>
  <c r="N333" i="23"/>
  <c r="N332" i="23"/>
  <c r="N331" i="23"/>
  <c r="N330" i="23"/>
  <c r="N329" i="23"/>
  <c r="N328" i="23"/>
  <c r="N327" i="23"/>
  <c r="N326" i="23"/>
  <c r="N325" i="23"/>
  <c r="N324" i="23"/>
  <c r="N323" i="23"/>
  <c r="N322" i="23"/>
  <c r="N321" i="23"/>
  <c r="N320" i="23"/>
  <c r="N319" i="23"/>
  <c r="N318" i="23"/>
  <c r="N317" i="23"/>
  <c r="N316" i="23"/>
  <c r="N315" i="23"/>
  <c r="N314" i="23"/>
  <c r="N313" i="23"/>
  <c r="N312" i="23"/>
  <c r="N311" i="23"/>
  <c r="N310" i="23"/>
  <c r="N309" i="23"/>
  <c r="N308" i="23"/>
  <c r="N307" i="23"/>
  <c r="N306" i="23"/>
  <c r="N305" i="23"/>
  <c r="N304" i="23"/>
  <c r="N303" i="23"/>
  <c r="N302" i="23"/>
  <c r="N301" i="23"/>
  <c r="N300" i="23"/>
  <c r="N299" i="23"/>
  <c r="N298" i="23"/>
  <c r="N297" i="23"/>
  <c r="N296" i="23"/>
  <c r="N295" i="23"/>
  <c r="N294" i="23"/>
  <c r="N293" i="23"/>
  <c r="N292" i="23"/>
  <c r="N291" i="23"/>
  <c r="N290" i="23"/>
  <c r="N289" i="23"/>
  <c r="N288" i="23"/>
  <c r="N287" i="23"/>
  <c r="N286" i="23"/>
  <c r="N285" i="23"/>
  <c r="N284" i="23"/>
  <c r="N283" i="23"/>
  <c r="N282" i="23"/>
  <c r="N281" i="23"/>
  <c r="N280" i="23"/>
  <c r="N279" i="23"/>
  <c r="N278" i="23"/>
  <c r="N277" i="23"/>
  <c r="N276" i="23"/>
  <c r="N275" i="23"/>
  <c r="N274" i="23"/>
  <c r="N273" i="23"/>
  <c r="N272" i="23"/>
  <c r="N271" i="23"/>
  <c r="N270" i="23"/>
  <c r="N269" i="23"/>
  <c r="N268" i="23"/>
  <c r="N267" i="23"/>
  <c r="N266" i="23"/>
  <c r="N265" i="23"/>
  <c r="N264" i="23"/>
  <c r="N263" i="23"/>
  <c r="N262" i="23"/>
  <c r="N261" i="23"/>
  <c r="N260" i="23"/>
  <c r="N259" i="23"/>
  <c r="N258" i="23"/>
  <c r="N257" i="23"/>
  <c r="N256" i="23"/>
  <c r="N255" i="23"/>
  <c r="N254" i="23"/>
  <c r="N253" i="23"/>
  <c r="N252" i="23"/>
  <c r="N251" i="23"/>
  <c r="N250" i="23"/>
  <c r="N249" i="23"/>
  <c r="N248" i="23"/>
  <c r="N247" i="23"/>
  <c r="N246" i="23"/>
  <c r="N245" i="23"/>
  <c r="N244" i="23"/>
  <c r="N243" i="23"/>
  <c r="N242" i="23"/>
  <c r="N241" i="23"/>
  <c r="N240" i="23"/>
  <c r="N239" i="23"/>
  <c r="N238" i="23"/>
  <c r="N237" i="23"/>
  <c r="N236" i="23"/>
  <c r="N235" i="23"/>
  <c r="N234" i="23"/>
  <c r="N233" i="23"/>
  <c r="N232" i="23"/>
  <c r="N231" i="23"/>
  <c r="N230" i="23"/>
  <c r="N229" i="23"/>
  <c r="N228" i="23"/>
  <c r="N227" i="23"/>
  <c r="N226" i="23"/>
  <c r="N225" i="23"/>
  <c r="N224" i="23"/>
  <c r="N223" i="23"/>
  <c r="N222" i="23"/>
  <c r="N221" i="23"/>
  <c r="N220" i="23"/>
  <c r="N219" i="23"/>
  <c r="N218" i="23"/>
  <c r="N217" i="23"/>
  <c r="N216" i="23"/>
  <c r="N215" i="23"/>
  <c r="N214" i="23"/>
  <c r="N213" i="23"/>
  <c r="N212" i="23"/>
  <c r="N211" i="23"/>
  <c r="N210" i="23"/>
  <c r="N209" i="23"/>
  <c r="N208" i="23"/>
  <c r="N207" i="23"/>
  <c r="N206" i="23"/>
  <c r="N205" i="23"/>
  <c r="N204" i="23"/>
  <c r="N203" i="23"/>
  <c r="N202" i="23"/>
  <c r="N201" i="23"/>
  <c r="N200" i="23"/>
  <c r="N199" i="23"/>
  <c r="N198" i="23"/>
  <c r="N197" i="23"/>
  <c r="N196" i="23"/>
  <c r="N195" i="23"/>
  <c r="N194" i="23"/>
  <c r="N193" i="23"/>
  <c r="N192" i="23"/>
  <c r="N191" i="23"/>
  <c r="N190" i="23"/>
  <c r="N189" i="23"/>
  <c r="N188" i="23"/>
  <c r="N187" i="23"/>
  <c r="N186" i="23"/>
  <c r="N185" i="23"/>
  <c r="N184" i="23"/>
  <c r="N183" i="23"/>
  <c r="N182" i="23"/>
  <c r="N181" i="23"/>
  <c r="N180" i="23"/>
  <c r="N179" i="23"/>
  <c r="N178" i="23"/>
  <c r="N177" i="23"/>
  <c r="N176" i="23"/>
  <c r="N175" i="23"/>
  <c r="N174" i="23"/>
  <c r="N173" i="23"/>
  <c r="N172" i="23"/>
  <c r="N171" i="23"/>
  <c r="N170" i="23"/>
  <c r="N169" i="23"/>
  <c r="N168" i="23"/>
  <c r="N167" i="23"/>
  <c r="N166" i="23"/>
  <c r="N165" i="23"/>
  <c r="N164" i="23"/>
  <c r="N163" i="23"/>
  <c r="N162" i="23"/>
  <c r="N161" i="23"/>
  <c r="N160" i="23"/>
  <c r="N159" i="23"/>
  <c r="N158" i="23"/>
  <c r="N157" i="23"/>
  <c r="N156" i="23"/>
  <c r="N155" i="23"/>
  <c r="N154" i="23"/>
  <c r="N153" i="23"/>
  <c r="N152" i="23"/>
  <c r="N151" i="23"/>
  <c r="N150" i="23"/>
  <c r="N149" i="23"/>
  <c r="N148" i="23"/>
  <c r="N147" i="23"/>
  <c r="N146" i="23"/>
  <c r="N145" i="23"/>
  <c r="N144" i="23"/>
  <c r="N143" i="23"/>
  <c r="N142" i="23"/>
  <c r="N141" i="23"/>
  <c r="N140" i="23"/>
  <c r="N139" i="23"/>
  <c r="N138" i="23"/>
  <c r="N137" i="23"/>
  <c r="N136" i="23"/>
  <c r="N135" i="23"/>
  <c r="N134" i="23"/>
  <c r="N133" i="23"/>
  <c r="N132" i="23"/>
  <c r="N131" i="23"/>
  <c r="N130" i="23"/>
  <c r="N129" i="23"/>
  <c r="N128" i="23"/>
  <c r="N127" i="23"/>
  <c r="N126" i="23"/>
  <c r="N125" i="23"/>
  <c r="N124" i="23"/>
  <c r="N123" i="23"/>
  <c r="N122" i="23"/>
  <c r="N121" i="23"/>
  <c r="N120" i="23"/>
  <c r="N119" i="23"/>
  <c r="N118" i="23"/>
  <c r="N117" i="23"/>
  <c r="N116" i="23"/>
  <c r="N115" i="23"/>
  <c r="N114" i="23"/>
  <c r="N113" i="23"/>
  <c r="N112" i="23"/>
  <c r="N111" i="23"/>
  <c r="N110" i="23"/>
  <c r="N109" i="23"/>
  <c r="N108" i="23"/>
  <c r="N107" i="23"/>
  <c r="N106" i="23"/>
  <c r="N105" i="23"/>
  <c r="N104" i="23"/>
  <c r="N103" i="23"/>
  <c r="N102" i="23"/>
  <c r="N101" i="23"/>
  <c r="N100" i="23"/>
  <c r="N99" i="23"/>
  <c r="N98" i="23"/>
  <c r="N97" i="23"/>
  <c r="N96" i="23"/>
  <c r="N95" i="23"/>
  <c r="N94" i="23"/>
  <c r="N93" i="23"/>
  <c r="N92" i="23"/>
  <c r="N91" i="23"/>
  <c r="N90" i="23"/>
  <c r="N89" i="23"/>
  <c r="N88" i="23"/>
  <c r="N87" i="23"/>
  <c r="N86" i="23"/>
  <c r="N85" i="23"/>
  <c r="N84" i="23"/>
  <c r="N83" i="23"/>
  <c r="N82" i="23"/>
  <c r="N81" i="23"/>
  <c r="N80" i="23"/>
  <c r="N79" i="23"/>
  <c r="N78" i="23"/>
  <c r="N77" i="23"/>
  <c r="N76" i="23"/>
  <c r="N75" i="23"/>
  <c r="N74" i="23"/>
  <c r="N73" i="23"/>
  <c r="N72" i="23"/>
  <c r="N71" i="23"/>
  <c r="N70" i="23"/>
  <c r="N69" i="23"/>
  <c r="N68" i="23"/>
  <c r="N67" i="23"/>
  <c r="N66" i="23"/>
  <c r="N65" i="23"/>
  <c r="N64" i="23"/>
  <c r="N63" i="23"/>
  <c r="N62" i="23"/>
  <c r="N61" i="23"/>
  <c r="N60" i="23"/>
  <c r="N59" i="23"/>
  <c r="N58" i="23"/>
  <c r="N57" i="23"/>
  <c r="N56" i="23"/>
  <c r="N55" i="23"/>
  <c r="N54" i="23"/>
  <c r="N53" i="23"/>
  <c r="N52" i="23"/>
  <c r="N51" i="23"/>
  <c r="N50" i="23"/>
  <c r="N49" i="23"/>
  <c r="N48" i="23"/>
  <c r="N47" i="23"/>
  <c r="N46" i="23"/>
  <c r="N45" i="23"/>
  <c r="N44" i="23"/>
  <c r="N43" i="23"/>
  <c r="N42" i="23"/>
  <c r="N41" i="23"/>
  <c r="N40" i="23"/>
  <c r="N39" i="23"/>
  <c r="N38" i="23"/>
  <c r="N37" i="23"/>
  <c r="N36" i="23"/>
  <c r="N35" i="23"/>
  <c r="N34" i="23"/>
  <c r="N33" i="23"/>
  <c r="N32" i="23"/>
  <c r="N31" i="23"/>
  <c r="N30" i="23"/>
  <c r="N29" i="23"/>
  <c r="N28" i="23"/>
  <c r="N26" i="23"/>
  <c r="N25" i="23"/>
  <c r="N24" i="23"/>
  <c r="N23" i="23"/>
  <c r="N22" i="23"/>
  <c r="N21" i="23"/>
  <c r="N20" i="23"/>
  <c r="N19" i="23"/>
  <c r="N18" i="23"/>
  <c r="N17" i="23"/>
  <c r="N16" i="23"/>
  <c r="N15" i="23"/>
  <c r="N14" i="23"/>
  <c r="N13" i="23"/>
  <c r="N12" i="23"/>
  <c r="N11" i="23"/>
  <c r="N10" i="23"/>
  <c r="N9" i="23"/>
  <c r="N8" i="23"/>
  <c r="N7" i="23"/>
  <c r="N6" i="23"/>
  <c r="N5" i="23"/>
  <c r="N4" i="23"/>
  <c r="N3" i="23"/>
  <c r="N2" i="23"/>
  <c r="P997" i="22"/>
  <c r="P996" i="22"/>
  <c r="P995" i="22"/>
  <c r="P994" i="22"/>
  <c r="P993" i="22"/>
  <c r="P992" i="22"/>
  <c r="P991" i="22"/>
  <c r="P990" i="22"/>
  <c r="P989" i="22"/>
  <c r="P988" i="22"/>
  <c r="P987" i="22"/>
  <c r="P986" i="22"/>
  <c r="P985" i="22"/>
  <c r="P984" i="22"/>
  <c r="P983" i="22"/>
  <c r="P982" i="22"/>
  <c r="P981" i="22"/>
  <c r="P980" i="22"/>
  <c r="P979" i="22"/>
  <c r="P978" i="22"/>
  <c r="P977" i="22"/>
  <c r="P976" i="22"/>
  <c r="P975" i="22"/>
  <c r="P974" i="22"/>
  <c r="P973" i="22"/>
  <c r="P972" i="22"/>
  <c r="P971" i="22"/>
  <c r="P970" i="22"/>
  <c r="P969" i="22"/>
  <c r="P968" i="22"/>
  <c r="P967" i="22"/>
  <c r="P966" i="22"/>
  <c r="P965" i="22"/>
  <c r="P964" i="22"/>
  <c r="P963" i="22"/>
  <c r="P962" i="22"/>
  <c r="P961" i="22"/>
  <c r="P960" i="22"/>
  <c r="P959" i="22"/>
  <c r="P958" i="22"/>
  <c r="P957" i="22"/>
  <c r="P956" i="22"/>
  <c r="P955" i="22"/>
  <c r="P954" i="22"/>
  <c r="P953" i="22"/>
  <c r="P952" i="22"/>
  <c r="P951" i="22"/>
  <c r="P950" i="22"/>
  <c r="P949" i="22"/>
  <c r="P948" i="22"/>
  <c r="P947" i="22"/>
  <c r="P946" i="22"/>
  <c r="P945" i="22"/>
  <c r="P944" i="22"/>
  <c r="P943" i="22"/>
  <c r="P942" i="22"/>
  <c r="P941" i="22"/>
  <c r="P940" i="22"/>
  <c r="P939" i="22"/>
  <c r="P938" i="22"/>
  <c r="P937" i="22"/>
  <c r="P936" i="22"/>
  <c r="P935" i="22"/>
  <c r="P934" i="22"/>
  <c r="P933" i="22"/>
  <c r="P932" i="22"/>
  <c r="P931" i="22"/>
  <c r="P930" i="22"/>
  <c r="P929" i="22"/>
  <c r="P928" i="22"/>
  <c r="P927" i="22"/>
  <c r="P926" i="22"/>
  <c r="P925" i="22"/>
  <c r="P924" i="22"/>
  <c r="P923" i="22"/>
  <c r="P922" i="22"/>
  <c r="P921" i="22"/>
  <c r="P920" i="22"/>
  <c r="P919" i="22"/>
  <c r="P918" i="22"/>
  <c r="P917" i="22"/>
  <c r="P916" i="22"/>
  <c r="P915" i="22"/>
  <c r="P914" i="22"/>
  <c r="P913" i="22"/>
  <c r="P912" i="22"/>
  <c r="P911" i="22"/>
  <c r="P910" i="22"/>
  <c r="P909" i="22"/>
  <c r="P908" i="22"/>
  <c r="P907" i="22"/>
  <c r="P906" i="22"/>
  <c r="P905" i="22"/>
  <c r="P904" i="22"/>
  <c r="P903" i="22"/>
  <c r="P902" i="22"/>
  <c r="P901" i="22"/>
  <c r="P900" i="22"/>
  <c r="P899" i="22"/>
  <c r="P898" i="22"/>
  <c r="P897" i="22"/>
  <c r="P896" i="22"/>
  <c r="P895" i="22"/>
  <c r="P894" i="22"/>
  <c r="P893" i="22"/>
  <c r="P892" i="22"/>
  <c r="P891" i="22"/>
  <c r="P890" i="22"/>
  <c r="P889" i="22"/>
  <c r="P888" i="22"/>
  <c r="P887" i="22"/>
  <c r="P886" i="22"/>
  <c r="P885" i="22"/>
  <c r="P884" i="22"/>
  <c r="P883" i="22"/>
  <c r="P882" i="22"/>
  <c r="P881" i="22"/>
  <c r="P880" i="22"/>
  <c r="P879" i="22"/>
  <c r="P878" i="22"/>
  <c r="P877" i="22"/>
  <c r="P876" i="22"/>
  <c r="P875" i="22"/>
  <c r="P874" i="22"/>
  <c r="P873" i="22"/>
  <c r="P872" i="22"/>
  <c r="P871" i="22"/>
  <c r="P870" i="22"/>
  <c r="P869" i="22"/>
  <c r="P868" i="22"/>
  <c r="P867" i="22"/>
  <c r="P866" i="22"/>
  <c r="P865" i="22"/>
  <c r="P864" i="22"/>
  <c r="P863" i="22"/>
  <c r="P862" i="22"/>
  <c r="P861" i="22"/>
  <c r="P860" i="22"/>
  <c r="P859" i="22"/>
  <c r="P858" i="22"/>
  <c r="P857" i="22"/>
  <c r="P856" i="22"/>
  <c r="P855" i="22"/>
  <c r="P854" i="22"/>
  <c r="P853" i="22"/>
  <c r="P852" i="22"/>
  <c r="P851" i="22"/>
  <c r="P850" i="22"/>
  <c r="P849" i="22"/>
  <c r="P848" i="22"/>
  <c r="P847" i="22"/>
  <c r="P846" i="22"/>
  <c r="P845" i="22"/>
  <c r="P844" i="22"/>
  <c r="P843" i="22"/>
  <c r="P842" i="22"/>
  <c r="P841" i="22"/>
  <c r="P840" i="22"/>
  <c r="P839" i="22"/>
  <c r="P838" i="22"/>
  <c r="P837" i="22"/>
  <c r="P836" i="22"/>
  <c r="P835" i="22"/>
  <c r="P834" i="22"/>
  <c r="P833" i="22"/>
  <c r="P832" i="22"/>
  <c r="P831" i="22"/>
  <c r="P830" i="22"/>
  <c r="P829" i="22"/>
  <c r="P828" i="22"/>
  <c r="P827" i="22"/>
  <c r="P826" i="22"/>
  <c r="P825" i="22"/>
  <c r="P824" i="22"/>
  <c r="P823" i="22"/>
  <c r="P822" i="22"/>
  <c r="P821" i="22"/>
  <c r="P820" i="22"/>
  <c r="P819" i="22"/>
  <c r="P818" i="22"/>
  <c r="P817" i="22"/>
  <c r="P816" i="22"/>
  <c r="P815" i="22"/>
  <c r="P814" i="22"/>
  <c r="P813" i="22"/>
  <c r="P812" i="22"/>
  <c r="P811" i="22"/>
  <c r="P810" i="22"/>
  <c r="P809" i="22"/>
  <c r="P808" i="22"/>
  <c r="P807" i="22"/>
  <c r="P806" i="22"/>
  <c r="P805" i="22"/>
  <c r="P804" i="22"/>
  <c r="P803" i="22"/>
  <c r="P802" i="22"/>
  <c r="P801" i="22"/>
  <c r="P800" i="22"/>
  <c r="P799" i="22"/>
  <c r="P798" i="22"/>
  <c r="P797" i="22"/>
  <c r="P796" i="22"/>
  <c r="P795" i="22"/>
  <c r="P794" i="22"/>
  <c r="P793" i="22"/>
  <c r="P792" i="22"/>
  <c r="P791" i="22"/>
  <c r="P790" i="22"/>
  <c r="P789" i="22"/>
  <c r="P788" i="22"/>
  <c r="P787" i="22"/>
  <c r="P786" i="22"/>
  <c r="P785" i="22"/>
  <c r="P784" i="22"/>
  <c r="P783" i="22"/>
  <c r="P782" i="22"/>
  <c r="P781" i="22"/>
  <c r="P780" i="22"/>
  <c r="P779" i="22"/>
  <c r="P778" i="22"/>
  <c r="P777" i="22"/>
  <c r="P776" i="22"/>
  <c r="P775" i="22"/>
  <c r="P774" i="22"/>
  <c r="P773" i="22"/>
  <c r="P772" i="22"/>
  <c r="P771" i="22"/>
  <c r="P770" i="22"/>
  <c r="P769" i="22"/>
  <c r="P768" i="22"/>
  <c r="P767" i="22"/>
  <c r="P766" i="22"/>
  <c r="P765" i="22"/>
  <c r="P764" i="22"/>
  <c r="P763" i="22"/>
  <c r="P762" i="22"/>
  <c r="P761" i="22"/>
  <c r="P760" i="22"/>
  <c r="P759" i="22"/>
  <c r="P758" i="22"/>
  <c r="P757" i="22"/>
  <c r="P756" i="22"/>
  <c r="P755" i="22"/>
  <c r="P754" i="22"/>
  <c r="P753" i="22"/>
  <c r="P752" i="22"/>
  <c r="P751" i="22"/>
  <c r="P750" i="22"/>
  <c r="P749" i="22"/>
  <c r="P748" i="22"/>
  <c r="P747" i="22"/>
  <c r="P746" i="22"/>
  <c r="P745" i="22"/>
  <c r="P744" i="22"/>
  <c r="P743" i="22"/>
  <c r="P742" i="22"/>
  <c r="P741" i="22"/>
  <c r="P740" i="22"/>
  <c r="P739" i="22"/>
  <c r="P738" i="22"/>
  <c r="P737" i="22"/>
  <c r="P736" i="22"/>
  <c r="P735" i="22"/>
  <c r="P734" i="22"/>
  <c r="P733" i="22"/>
  <c r="P732" i="22"/>
  <c r="P731" i="22"/>
  <c r="P730" i="22"/>
  <c r="P729" i="22"/>
  <c r="P728" i="22"/>
  <c r="P727" i="22"/>
  <c r="P726" i="22"/>
  <c r="P725" i="22"/>
  <c r="P724" i="22"/>
  <c r="P723" i="22"/>
  <c r="P722" i="22"/>
  <c r="P721" i="22"/>
  <c r="P720" i="22"/>
  <c r="P719" i="22"/>
  <c r="P718" i="22"/>
  <c r="P717" i="22"/>
  <c r="P716" i="22"/>
  <c r="P715" i="22"/>
  <c r="P714" i="22"/>
  <c r="P713" i="22"/>
  <c r="P712" i="22"/>
  <c r="P711" i="22"/>
  <c r="P710" i="22"/>
  <c r="P709" i="22"/>
  <c r="P708" i="22"/>
  <c r="P707" i="22"/>
  <c r="P706" i="22"/>
  <c r="P705" i="22"/>
  <c r="P704" i="22"/>
  <c r="P703" i="22"/>
  <c r="P702" i="22"/>
  <c r="P701" i="22"/>
  <c r="P700" i="22"/>
  <c r="P699" i="22"/>
  <c r="P698" i="22"/>
  <c r="P697" i="22"/>
  <c r="P696" i="22"/>
  <c r="P695" i="22"/>
  <c r="P694" i="22"/>
  <c r="P693" i="22"/>
  <c r="P692" i="22"/>
  <c r="P691" i="22"/>
  <c r="P690" i="22"/>
  <c r="P689" i="22"/>
  <c r="P688" i="22"/>
  <c r="P687" i="22"/>
  <c r="P686" i="22"/>
  <c r="P685" i="22"/>
  <c r="P684" i="22"/>
  <c r="P683" i="22"/>
  <c r="P682" i="22"/>
  <c r="P681" i="22"/>
  <c r="P680" i="22"/>
  <c r="P679" i="22"/>
  <c r="P678" i="22"/>
  <c r="P677" i="22"/>
  <c r="P676" i="22"/>
  <c r="P675" i="22"/>
  <c r="P674" i="22"/>
  <c r="P673" i="22"/>
  <c r="P672" i="22"/>
  <c r="P671" i="22"/>
  <c r="P670" i="22"/>
  <c r="P669" i="22"/>
  <c r="P668" i="22"/>
  <c r="P667" i="22"/>
  <c r="P666" i="22"/>
  <c r="P665" i="22"/>
  <c r="P664" i="22"/>
  <c r="P663" i="22"/>
  <c r="P662" i="22"/>
  <c r="P661" i="22"/>
  <c r="P660" i="22"/>
  <c r="P659" i="22"/>
  <c r="P658" i="22"/>
  <c r="P657" i="22"/>
  <c r="P656" i="22"/>
  <c r="P655" i="22"/>
  <c r="P654" i="22"/>
  <c r="P653" i="22"/>
  <c r="P652" i="22"/>
  <c r="P651" i="22"/>
  <c r="P650" i="22"/>
  <c r="P649" i="22"/>
  <c r="P648" i="22"/>
  <c r="P647" i="22"/>
  <c r="P646" i="22"/>
  <c r="P645" i="22"/>
  <c r="P644" i="22"/>
  <c r="P643" i="22"/>
  <c r="P642" i="22"/>
  <c r="P641" i="22"/>
  <c r="P640" i="22"/>
  <c r="P639" i="22"/>
  <c r="P638" i="22"/>
  <c r="P637" i="22"/>
  <c r="P636" i="22"/>
  <c r="P635" i="22"/>
  <c r="P634" i="22"/>
  <c r="P633" i="22"/>
  <c r="P632" i="22"/>
  <c r="P631" i="22"/>
  <c r="P630" i="22"/>
  <c r="P629" i="22"/>
  <c r="P628" i="22"/>
  <c r="P627" i="22"/>
  <c r="P626" i="22"/>
  <c r="P625" i="22"/>
  <c r="P624" i="22"/>
  <c r="P623" i="22"/>
  <c r="P622" i="22"/>
  <c r="P621" i="22"/>
  <c r="P620" i="22"/>
  <c r="P619" i="22"/>
  <c r="P618" i="22"/>
  <c r="P617" i="22"/>
  <c r="P616" i="22"/>
  <c r="P615" i="22"/>
  <c r="P614" i="22"/>
  <c r="P613" i="22"/>
  <c r="P612" i="22"/>
  <c r="P611" i="22"/>
  <c r="P610" i="22"/>
  <c r="P609" i="22"/>
  <c r="P608" i="22"/>
  <c r="P607" i="22"/>
  <c r="P606" i="22"/>
  <c r="P605" i="22"/>
  <c r="P604" i="22"/>
  <c r="P603" i="22"/>
  <c r="P602" i="22"/>
  <c r="P601" i="22"/>
  <c r="P600" i="22"/>
  <c r="P599" i="22"/>
  <c r="P598" i="22"/>
  <c r="P597" i="22"/>
  <c r="P596" i="22"/>
  <c r="P595" i="22"/>
  <c r="P594" i="22"/>
  <c r="P593" i="22"/>
  <c r="P592" i="22"/>
  <c r="P591" i="22"/>
  <c r="P590" i="22"/>
  <c r="P589" i="22"/>
  <c r="P588" i="22"/>
  <c r="P587" i="22"/>
  <c r="P586" i="22"/>
  <c r="P585" i="22"/>
  <c r="P584" i="22"/>
  <c r="P583" i="22"/>
  <c r="P582" i="22"/>
  <c r="P581" i="22"/>
  <c r="P580" i="22"/>
  <c r="P579" i="22"/>
  <c r="P578" i="22"/>
  <c r="P577" i="22"/>
  <c r="P576" i="22"/>
  <c r="P575" i="22"/>
  <c r="P574" i="22"/>
  <c r="P573" i="22"/>
  <c r="P572" i="22"/>
  <c r="P571" i="22"/>
  <c r="P570" i="22"/>
  <c r="P569" i="22"/>
  <c r="P568" i="22"/>
  <c r="P567" i="22"/>
  <c r="P566" i="22"/>
  <c r="P565" i="22"/>
  <c r="P564" i="22"/>
  <c r="P563" i="22"/>
  <c r="P562" i="22"/>
  <c r="P561" i="22"/>
  <c r="P560" i="22"/>
  <c r="P559" i="22"/>
  <c r="P558" i="22"/>
  <c r="P557" i="22"/>
  <c r="P556" i="22"/>
  <c r="P555" i="22"/>
  <c r="P554" i="22"/>
  <c r="P553" i="22"/>
  <c r="P552" i="22"/>
  <c r="P551" i="22"/>
  <c r="P550" i="22"/>
  <c r="P549" i="22"/>
  <c r="P548" i="22"/>
  <c r="P547" i="22"/>
  <c r="P546" i="22"/>
  <c r="P545" i="22"/>
  <c r="P544" i="22"/>
  <c r="P543" i="22"/>
  <c r="P542" i="22"/>
  <c r="P541" i="22"/>
  <c r="P540" i="22"/>
  <c r="P539" i="22"/>
  <c r="P538" i="22"/>
  <c r="P537" i="22"/>
  <c r="P536" i="22"/>
  <c r="P535" i="22"/>
  <c r="P534" i="22"/>
  <c r="P533" i="22"/>
  <c r="P532" i="22"/>
  <c r="P531" i="22"/>
  <c r="P530" i="22"/>
  <c r="P529" i="22"/>
  <c r="P528" i="22"/>
  <c r="P527" i="22"/>
  <c r="P526" i="22"/>
  <c r="P525" i="22"/>
  <c r="P524" i="22"/>
  <c r="P523" i="22"/>
  <c r="P522" i="22"/>
  <c r="P521" i="22"/>
  <c r="P520" i="22"/>
  <c r="P519" i="22"/>
  <c r="P518" i="22"/>
  <c r="P517" i="22"/>
  <c r="P516" i="22"/>
  <c r="P515" i="22"/>
  <c r="P514" i="22"/>
  <c r="P513" i="22"/>
  <c r="P512" i="22"/>
  <c r="P511" i="22"/>
  <c r="P510" i="22"/>
  <c r="P509" i="22"/>
  <c r="P508" i="22"/>
  <c r="P507" i="22"/>
  <c r="P506" i="22"/>
  <c r="P505" i="22"/>
  <c r="P504" i="22"/>
  <c r="P503" i="22"/>
  <c r="P502" i="22"/>
  <c r="P501" i="22"/>
  <c r="P500" i="22"/>
  <c r="P499" i="22"/>
  <c r="P498" i="22"/>
  <c r="P497" i="22"/>
  <c r="P496" i="22"/>
  <c r="P495" i="22"/>
  <c r="P494" i="22"/>
  <c r="P493" i="22"/>
  <c r="P492" i="22"/>
  <c r="P491" i="22"/>
  <c r="P490" i="22"/>
  <c r="P489" i="22"/>
  <c r="P488" i="22"/>
  <c r="P487" i="22"/>
  <c r="P486" i="22"/>
  <c r="P485" i="22"/>
  <c r="P484" i="22"/>
  <c r="P483" i="22"/>
  <c r="P482" i="22"/>
  <c r="P481" i="22"/>
  <c r="P480" i="22"/>
  <c r="P479" i="22"/>
  <c r="P478" i="22"/>
  <c r="P477" i="22"/>
  <c r="P476" i="22"/>
  <c r="P475" i="22"/>
  <c r="P474" i="22"/>
  <c r="P473" i="22"/>
  <c r="P472" i="22"/>
  <c r="P471" i="22"/>
  <c r="P470" i="22"/>
  <c r="P469" i="22"/>
  <c r="P468" i="22"/>
  <c r="P467" i="22"/>
  <c r="P466" i="22"/>
  <c r="P465" i="22"/>
  <c r="P464" i="22"/>
  <c r="P463" i="22"/>
  <c r="P462" i="22"/>
  <c r="P461" i="22"/>
  <c r="P460" i="22"/>
  <c r="P459" i="22"/>
  <c r="P458" i="22"/>
  <c r="P457" i="22"/>
  <c r="P456" i="22"/>
  <c r="P455" i="22"/>
  <c r="P454" i="22"/>
  <c r="P453" i="22"/>
  <c r="P452" i="22"/>
  <c r="P451" i="22"/>
  <c r="P450" i="22"/>
  <c r="P449" i="22"/>
  <c r="P448" i="22"/>
  <c r="P447" i="22"/>
  <c r="P446" i="22"/>
  <c r="P445" i="22"/>
  <c r="P444" i="22"/>
  <c r="P443" i="22"/>
  <c r="P442" i="22"/>
  <c r="P441" i="22"/>
  <c r="P440" i="22"/>
  <c r="P439" i="22"/>
  <c r="P438" i="22"/>
  <c r="P437" i="22"/>
  <c r="P436" i="22"/>
  <c r="P435" i="22"/>
  <c r="P434" i="22"/>
  <c r="P433" i="22"/>
  <c r="P432" i="22"/>
  <c r="P430" i="22"/>
  <c r="P429" i="22"/>
  <c r="P428" i="22"/>
  <c r="P427" i="22"/>
  <c r="P426" i="22"/>
  <c r="P425" i="22"/>
  <c r="P424" i="22"/>
  <c r="P423" i="22"/>
  <c r="P422" i="22"/>
  <c r="P421" i="22"/>
  <c r="P420" i="22"/>
  <c r="P419" i="22"/>
  <c r="P418" i="22"/>
  <c r="P417" i="22"/>
  <c r="P416" i="22"/>
  <c r="P415" i="22"/>
  <c r="P414" i="22"/>
  <c r="P413" i="22"/>
  <c r="P412" i="22"/>
  <c r="P411" i="22"/>
  <c r="P410" i="22"/>
  <c r="P409" i="22"/>
  <c r="P408" i="22"/>
  <c r="P407" i="22"/>
  <c r="P406" i="22"/>
  <c r="P405" i="22"/>
  <c r="P404" i="22"/>
  <c r="P403" i="22"/>
  <c r="P402" i="22"/>
  <c r="P401" i="22"/>
  <c r="P400" i="22"/>
  <c r="P399" i="22"/>
  <c r="P398" i="22"/>
  <c r="P397" i="22"/>
  <c r="P396" i="22"/>
  <c r="P395" i="22"/>
  <c r="P394" i="22"/>
  <c r="P393" i="22"/>
  <c r="P392" i="22"/>
  <c r="P391" i="22"/>
  <c r="P390" i="22"/>
  <c r="P389" i="22"/>
  <c r="P388" i="22"/>
  <c r="P387" i="22"/>
  <c r="P386" i="22"/>
  <c r="P385" i="22"/>
  <c r="P384" i="22"/>
  <c r="P383" i="22"/>
  <c r="P382" i="22"/>
  <c r="P381" i="22"/>
  <c r="P380" i="22"/>
  <c r="P379" i="22"/>
  <c r="P378" i="22"/>
  <c r="P377" i="22"/>
  <c r="P376" i="22"/>
  <c r="P375" i="22"/>
  <c r="P374" i="22"/>
  <c r="P373" i="22"/>
  <c r="P372" i="22"/>
  <c r="P371" i="22"/>
  <c r="P370" i="22"/>
  <c r="P369" i="22"/>
  <c r="P368" i="22"/>
  <c r="P367" i="22"/>
  <c r="P366" i="22"/>
  <c r="P365" i="22"/>
  <c r="P364" i="22"/>
  <c r="P363" i="22"/>
  <c r="P362" i="22"/>
  <c r="P361" i="22"/>
  <c r="P360" i="22"/>
  <c r="P359" i="22"/>
  <c r="P358" i="22"/>
  <c r="P357" i="22"/>
  <c r="P356" i="22"/>
  <c r="P355" i="22"/>
  <c r="P354" i="22"/>
  <c r="P353" i="22"/>
  <c r="P352" i="22"/>
  <c r="P351" i="22"/>
  <c r="P350" i="22"/>
  <c r="P349" i="22"/>
  <c r="P348" i="22"/>
  <c r="P347" i="22"/>
  <c r="P346" i="22"/>
  <c r="P345" i="22"/>
  <c r="P344" i="22"/>
  <c r="P343" i="22"/>
  <c r="P342" i="22"/>
  <c r="P341" i="22"/>
  <c r="P340" i="22"/>
  <c r="P339" i="22"/>
  <c r="P338" i="22"/>
  <c r="P337" i="22"/>
  <c r="P336" i="22"/>
  <c r="P335" i="22"/>
  <c r="P334" i="22"/>
  <c r="P333" i="22"/>
  <c r="P332" i="22"/>
  <c r="P331" i="22"/>
  <c r="P330" i="22"/>
  <c r="P329" i="22"/>
  <c r="P328" i="22"/>
  <c r="P327" i="22"/>
  <c r="P326" i="22"/>
  <c r="P325" i="22"/>
  <c r="P324" i="22"/>
  <c r="P323" i="22"/>
  <c r="P322" i="22"/>
  <c r="P321" i="22"/>
  <c r="P320" i="22"/>
  <c r="P319" i="22"/>
  <c r="P318" i="22"/>
  <c r="P317" i="22"/>
  <c r="P316" i="22"/>
  <c r="P315" i="22"/>
  <c r="P314" i="22"/>
  <c r="P313" i="22"/>
  <c r="P312" i="22"/>
  <c r="P311" i="22"/>
  <c r="P310" i="22"/>
  <c r="P309" i="22"/>
  <c r="P308" i="22"/>
  <c r="P307" i="22"/>
  <c r="P306" i="22"/>
  <c r="P305" i="22"/>
  <c r="P304" i="22"/>
  <c r="P303" i="22"/>
  <c r="P302" i="22"/>
  <c r="P301" i="22"/>
  <c r="P300" i="22"/>
  <c r="P299" i="22"/>
  <c r="P298" i="22"/>
  <c r="P297" i="22"/>
  <c r="P296" i="22"/>
  <c r="P295" i="22"/>
  <c r="P294" i="22"/>
  <c r="P293" i="22"/>
  <c r="P292" i="22"/>
  <c r="P291" i="22"/>
  <c r="P290" i="22"/>
  <c r="P289" i="22"/>
  <c r="P288" i="22"/>
  <c r="P287" i="22"/>
  <c r="P286" i="22"/>
  <c r="P285" i="22"/>
  <c r="P284" i="22"/>
  <c r="P283" i="22"/>
  <c r="P282" i="22"/>
  <c r="P281" i="22"/>
  <c r="P280" i="22"/>
  <c r="P279" i="22"/>
  <c r="P278" i="22"/>
  <c r="P277" i="22"/>
  <c r="P276" i="22"/>
  <c r="P275" i="22"/>
  <c r="P274" i="22"/>
  <c r="P273" i="22"/>
  <c r="P272" i="22"/>
  <c r="P271" i="22"/>
  <c r="P270" i="22"/>
  <c r="P269" i="22"/>
  <c r="P268" i="22"/>
  <c r="P267" i="22"/>
  <c r="P266" i="22"/>
  <c r="P265" i="22"/>
  <c r="P264" i="22"/>
  <c r="P263" i="22"/>
  <c r="P262" i="22"/>
  <c r="P261" i="22"/>
  <c r="P260" i="22"/>
  <c r="P259" i="22"/>
  <c r="P258" i="22"/>
  <c r="P257" i="22"/>
  <c r="P256" i="22"/>
  <c r="P255" i="22"/>
  <c r="P254" i="22"/>
  <c r="P253" i="22"/>
  <c r="P252" i="22"/>
  <c r="P251" i="22"/>
  <c r="P250" i="22"/>
  <c r="P249" i="22"/>
  <c r="P248" i="22"/>
  <c r="P247" i="22"/>
  <c r="P246" i="22"/>
  <c r="P245" i="22"/>
  <c r="P244" i="22"/>
  <c r="P243" i="22"/>
  <c r="P242" i="22"/>
  <c r="P241" i="22"/>
  <c r="P240" i="22"/>
  <c r="P239" i="22"/>
  <c r="P238" i="22"/>
  <c r="P237" i="22"/>
  <c r="P236" i="22"/>
  <c r="P235" i="22"/>
  <c r="P234" i="22"/>
  <c r="P233" i="22"/>
  <c r="P232" i="22"/>
  <c r="P231" i="22"/>
  <c r="P230" i="22"/>
  <c r="P229" i="22"/>
  <c r="P228" i="22"/>
  <c r="P227" i="22"/>
  <c r="P226" i="22"/>
  <c r="P225" i="22"/>
  <c r="P224" i="22"/>
  <c r="P223" i="22"/>
  <c r="P222" i="22"/>
  <c r="P221" i="22"/>
  <c r="P220" i="22"/>
  <c r="P219" i="22"/>
  <c r="P218" i="22"/>
  <c r="P217" i="22"/>
  <c r="P216" i="22"/>
  <c r="P215" i="22"/>
  <c r="P214" i="22"/>
  <c r="P213" i="22"/>
  <c r="P212" i="22"/>
  <c r="P211" i="22"/>
  <c r="P210" i="22"/>
  <c r="P209" i="22"/>
  <c r="P208" i="22"/>
  <c r="P207" i="22"/>
  <c r="P206" i="22"/>
  <c r="P205" i="22"/>
  <c r="P204" i="22"/>
  <c r="P203" i="22"/>
  <c r="P202" i="22"/>
  <c r="P201" i="22"/>
  <c r="P200" i="22"/>
  <c r="P199" i="22"/>
  <c r="P198" i="22"/>
  <c r="P197" i="22"/>
  <c r="P196" i="22"/>
  <c r="P195" i="22"/>
  <c r="P194" i="22"/>
  <c r="P193" i="22"/>
  <c r="P192" i="22"/>
  <c r="P191" i="22"/>
  <c r="P190" i="22"/>
  <c r="P189" i="22"/>
  <c r="P188" i="22"/>
  <c r="P187" i="22"/>
  <c r="P186" i="22"/>
  <c r="P185" i="22"/>
  <c r="P184" i="22"/>
  <c r="P183" i="22"/>
  <c r="P182" i="22"/>
  <c r="P181" i="22"/>
  <c r="P180" i="22"/>
  <c r="P179" i="22"/>
  <c r="P178" i="22"/>
  <c r="P177" i="22"/>
  <c r="P176" i="22"/>
  <c r="P175" i="22"/>
  <c r="P174" i="22"/>
  <c r="P173" i="22"/>
  <c r="P172" i="22"/>
  <c r="P171" i="22"/>
  <c r="P170" i="22"/>
  <c r="P169" i="22"/>
  <c r="P168" i="22"/>
  <c r="P167" i="22"/>
  <c r="P166" i="22"/>
  <c r="P165" i="22"/>
  <c r="P164" i="22"/>
  <c r="P163" i="22"/>
  <c r="P162" i="22"/>
  <c r="P161" i="22"/>
  <c r="P160" i="22"/>
  <c r="P159" i="22"/>
  <c r="P158" i="22"/>
  <c r="P157" i="22"/>
  <c r="P156" i="22"/>
  <c r="P155" i="22"/>
  <c r="P154" i="22"/>
  <c r="P153" i="22"/>
  <c r="P152" i="22"/>
  <c r="P151" i="22"/>
  <c r="P150" i="22"/>
  <c r="P149" i="22"/>
  <c r="P148" i="22"/>
  <c r="P147" i="22"/>
  <c r="P146" i="22"/>
  <c r="P145" i="22"/>
  <c r="P144" i="22"/>
  <c r="P143" i="22"/>
  <c r="P142" i="22"/>
  <c r="P141" i="22"/>
  <c r="P140" i="22"/>
  <c r="P139" i="22"/>
  <c r="P138" i="22"/>
  <c r="P137" i="22"/>
  <c r="P136" i="22"/>
  <c r="P135" i="22"/>
  <c r="P134" i="22"/>
  <c r="P133" i="22"/>
  <c r="P132" i="22"/>
  <c r="P131" i="22"/>
  <c r="P130" i="22"/>
  <c r="P129" i="22"/>
  <c r="P128" i="22"/>
  <c r="P127" i="22"/>
  <c r="P126" i="22"/>
  <c r="P125" i="22"/>
  <c r="P124" i="22"/>
  <c r="P123" i="22"/>
  <c r="P122" i="22"/>
  <c r="P121" i="22"/>
  <c r="P120" i="22"/>
  <c r="P119" i="22"/>
  <c r="P118" i="22"/>
  <c r="P117" i="22"/>
  <c r="P116" i="22"/>
  <c r="P115" i="22"/>
  <c r="P114" i="22"/>
  <c r="P113" i="22"/>
  <c r="P112" i="22"/>
  <c r="P111" i="22"/>
  <c r="P110" i="22"/>
  <c r="P109" i="22"/>
  <c r="P108" i="22"/>
  <c r="P107" i="22"/>
  <c r="P106" i="22"/>
  <c r="P105" i="22"/>
  <c r="P104" i="22"/>
  <c r="P103" i="22"/>
  <c r="P102" i="22"/>
  <c r="P101" i="22"/>
  <c r="P100" i="22"/>
  <c r="P99" i="22"/>
  <c r="P98" i="22"/>
  <c r="P97" i="22"/>
  <c r="P96" i="22"/>
  <c r="P95" i="22"/>
  <c r="P94" i="22"/>
  <c r="P93" i="22"/>
  <c r="P92" i="22"/>
  <c r="P91" i="22"/>
  <c r="P90" i="22"/>
  <c r="P89" i="22"/>
  <c r="P88" i="22"/>
  <c r="P87" i="22"/>
  <c r="P86" i="22"/>
  <c r="P85" i="22"/>
  <c r="P84" i="22"/>
  <c r="P83" i="22"/>
  <c r="P82" i="22"/>
  <c r="P81" i="22"/>
  <c r="P80" i="22"/>
  <c r="P79" i="22"/>
  <c r="P78" i="22"/>
  <c r="P77" i="22"/>
  <c r="P76" i="22"/>
  <c r="P75" i="22"/>
  <c r="P74" i="22"/>
  <c r="P73" i="22"/>
  <c r="P72" i="22"/>
  <c r="P71" i="22"/>
  <c r="P70" i="22"/>
  <c r="P69" i="22"/>
  <c r="P68" i="22"/>
  <c r="P67" i="22"/>
  <c r="P66" i="22"/>
  <c r="P65" i="22"/>
  <c r="P64" i="22"/>
  <c r="P63" i="22"/>
  <c r="P62" i="22"/>
  <c r="P61" i="22"/>
  <c r="P60" i="22"/>
  <c r="P59" i="22"/>
  <c r="P58" i="22"/>
  <c r="P57" i="22"/>
  <c r="P56" i="22"/>
  <c r="P55" i="22"/>
  <c r="P54" i="22"/>
  <c r="P53" i="22"/>
  <c r="P52" i="22"/>
  <c r="P51" i="22"/>
  <c r="P50" i="22"/>
  <c r="P49" i="22"/>
  <c r="P48" i="22"/>
  <c r="P47" i="22"/>
  <c r="P46" i="22"/>
  <c r="P45" i="22"/>
  <c r="P44" i="22"/>
  <c r="P43" i="22"/>
  <c r="P42" i="22"/>
  <c r="P41" i="22"/>
  <c r="P40" i="22"/>
  <c r="P39" i="22"/>
  <c r="P38" i="22"/>
  <c r="P37" i="22"/>
  <c r="P36" i="22"/>
  <c r="P35" i="22"/>
  <c r="P34" i="22"/>
  <c r="P33" i="22"/>
  <c r="P32" i="22"/>
  <c r="P31" i="22"/>
  <c r="P30" i="22"/>
  <c r="P29" i="22"/>
  <c r="P28" i="22"/>
  <c r="P26" i="22"/>
  <c r="P25" i="22"/>
  <c r="P24" i="22"/>
  <c r="P23" i="22"/>
  <c r="P22" i="22"/>
  <c r="P21" i="22"/>
  <c r="P20" i="22"/>
  <c r="P19" i="22"/>
  <c r="P18" i="22"/>
  <c r="P17" i="22"/>
  <c r="P16" i="22"/>
  <c r="P15" i="22"/>
  <c r="P14" i="22"/>
  <c r="P13" i="22"/>
  <c r="P12" i="22"/>
  <c r="P11" i="22"/>
  <c r="P10" i="22"/>
  <c r="P9" i="22"/>
  <c r="P8" i="22"/>
  <c r="P7" i="22"/>
  <c r="P6" i="22"/>
  <c r="P5" i="22"/>
  <c r="P4" i="22"/>
  <c r="P3" i="22"/>
  <c r="P2" i="22"/>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C361" i="19"/>
  <c r="C360" i="19"/>
  <c r="C359" i="19"/>
  <c r="C358" i="19"/>
  <c r="C357" i="19"/>
  <c r="C356" i="19"/>
  <c r="C355" i="19"/>
  <c r="C354" i="19"/>
  <c r="C353" i="19"/>
  <c r="C352" i="19"/>
  <c r="C351" i="19"/>
  <c r="C350" i="19"/>
  <c r="C349" i="19"/>
  <c r="C348" i="19"/>
  <c r="C347" i="19"/>
  <c r="C346" i="19"/>
  <c r="C345" i="19"/>
  <c r="C344" i="19"/>
  <c r="C343" i="19"/>
  <c r="C342" i="19"/>
  <c r="C341" i="19"/>
  <c r="C340" i="19"/>
  <c r="C339" i="19"/>
  <c r="C338" i="19"/>
  <c r="C337" i="19"/>
  <c r="C336" i="19"/>
  <c r="C335" i="19"/>
  <c r="C334" i="19"/>
  <c r="C333" i="19"/>
  <c r="C332" i="19"/>
  <c r="C331" i="19"/>
  <c r="C330" i="19"/>
  <c r="C329" i="19"/>
  <c r="C328" i="19"/>
  <c r="C327" i="19"/>
  <c r="C326" i="19"/>
  <c r="C325" i="19"/>
  <c r="C324" i="19"/>
  <c r="C323" i="19"/>
  <c r="C322" i="19"/>
  <c r="C321" i="19"/>
  <c r="C320" i="19"/>
  <c r="C319" i="19"/>
  <c r="C318" i="19"/>
  <c r="C317" i="19"/>
  <c r="C316" i="19"/>
  <c r="C315" i="19"/>
  <c r="C314" i="19"/>
  <c r="C313" i="19"/>
  <c r="C312" i="19"/>
  <c r="C311" i="19"/>
  <c r="C310" i="19"/>
  <c r="C309" i="19"/>
  <c r="C308" i="19"/>
  <c r="C307" i="19"/>
  <c r="C306" i="19"/>
  <c r="C305" i="19"/>
  <c r="C304" i="19"/>
  <c r="C303" i="19"/>
  <c r="C302" i="19"/>
  <c r="C301" i="19"/>
  <c r="C300" i="19"/>
  <c r="C299" i="19"/>
  <c r="C298" i="19"/>
  <c r="C297" i="19"/>
  <c r="C296" i="19"/>
  <c r="C295" i="19"/>
  <c r="C294" i="19"/>
  <c r="C293" i="19"/>
  <c r="C292" i="19"/>
  <c r="C291" i="19"/>
  <c r="C290" i="19"/>
  <c r="C289" i="19"/>
  <c r="C288" i="19"/>
  <c r="C287" i="19"/>
  <c r="C286" i="19"/>
  <c r="C285" i="19"/>
  <c r="C284" i="19"/>
  <c r="C283" i="19"/>
  <c r="C282" i="19"/>
  <c r="C281" i="19"/>
  <c r="C280" i="19"/>
  <c r="C279" i="19"/>
  <c r="C278" i="19"/>
  <c r="C277" i="19"/>
  <c r="C276" i="19"/>
  <c r="C275" i="19"/>
  <c r="C274" i="19"/>
  <c r="C273" i="19"/>
  <c r="C272" i="19"/>
  <c r="C271" i="19"/>
  <c r="C270" i="19"/>
  <c r="C269" i="19"/>
  <c r="C268" i="19"/>
  <c r="C267" i="19"/>
  <c r="C266" i="19"/>
  <c r="C265" i="19"/>
  <c r="C264" i="19"/>
  <c r="C263" i="19"/>
  <c r="C262" i="19"/>
  <c r="C261" i="19"/>
  <c r="C260" i="19"/>
  <c r="C259" i="19"/>
  <c r="C258" i="19"/>
  <c r="C257" i="19"/>
  <c r="C256" i="19"/>
  <c r="C255" i="19"/>
  <c r="C254" i="19"/>
  <c r="C253" i="19"/>
  <c r="C252" i="19"/>
  <c r="C251" i="19"/>
  <c r="C250" i="19"/>
  <c r="C249" i="19"/>
  <c r="C248" i="19"/>
  <c r="C247" i="19"/>
  <c r="C246" i="19"/>
  <c r="C245" i="19"/>
  <c r="C244" i="19"/>
  <c r="C243" i="19"/>
  <c r="C242" i="19"/>
  <c r="C241" i="19"/>
  <c r="C240" i="19"/>
  <c r="C239" i="19"/>
  <c r="C238" i="19"/>
  <c r="C237" i="19"/>
  <c r="C236" i="19"/>
  <c r="C235" i="19"/>
  <c r="C234" i="19"/>
  <c r="C233" i="19"/>
  <c r="C232" i="19"/>
  <c r="C231" i="19"/>
  <c r="C230" i="19"/>
  <c r="C229" i="19"/>
  <c r="C228" i="19"/>
  <c r="C227" i="19"/>
  <c r="C226" i="19"/>
  <c r="C225" i="19"/>
  <c r="C224" i="19"/>
  <c r="C223" i="19"/>
  <c r="C222" i="19"/>
  <c r="C221" i="19"/>
  <c r="C220" i="19"/>
  <c r="C219" i="19"/>
  <c r="C218" i="19"/>
  <c r="C217" i="19"/>
  <c r="C216" i="19"/>
  <c r="C215" i="19"/>
  <c r="C214" i="19"/>
  <c r="C213" i="19"/>
  <c r="C212" i="19"/>
  <c r="C211" i="19"/>
  <c r="C210" i="19"/>
  <c r="C209" i="19"/>
  <c r="C208" i="19"/>
  <c r="C207" i="19"/>
  <c r="C206" i="19"/>
  <c r="C205" i="19"/>
  <c r="C204" i="19"/>
  <c r="C203" i="19"/>
  <c r="C202" i="19"/>
  <c r="C201" i="19"/>
  <c r="C200" i="19"/>
  <c r="C199" i="19"/>
  <c r="C198" i="19"/>
  <c r="C197" i="19"/>
  <c r="C196" i="19"/>
  <c r="C195" i="19"/>
  <c r="C194" i="19"/>
  <c r="C193" i="19"/>
  <c r="C192" i="19"/>
  <c r="C191" i="19"/>
  <c r="C190" i="19"/>
  <c r="C189" i="19"/>
  <c r="C188" i="19"/>
  <c r="C187" i="19"/>
  <c r="C186" i="19"/>
  <c r="C185" i="19"/>
  <c r="C184" i="19"/>
  <c r="C183" i="19"/>
  <c r="C182" i="19"/>
  <c r="C181" i="19"/>
  <c r="C180" i="19"/>
  <c r="C179" i="19"/>
  <c r="C178" i="19"/>
  <c r="C177" i="19"/>
  <c r="C176" i="19"/>
  <c r="C175" i="19"/>
  <c r="C174" i="19"/>
  <c r="C173" i="19"/>
  <c r="C172" i="19"/>
  <c r="C171" i="19"/>
  <c r="C170" i="19"/>
  <c r="C169" i="19"/>
  <c r="C168" i="19"/>
  <c r="C167" i="19"/>
  <c r="C166" i="19"/>
  <c r="C165" i="19"/>
  <c r="C164" i="19"/>
  <c r="C163" i="19"/>
  <c r="C162" i="19"/>
  <c r="C161" i="19"/>
  <c r="C160" i="19"/>
  <c r="C159" i="19"/>
  <c r="C158" i="19"/>
  <c r="C157" i="19"/>
  <c r="C156" i="19"/>
  <c r="C155" i="19"/>
  <c r="C154" i="19"/>
  <c r="C153" i="19"/>
  <c r="C152" i="19"/>
  <c r="C151" i="19"/>
  <c r="C150" i="19"/>
  <c r="C149" i="19"/>
  <c r="C148" i="19"/>
  <c r="C147" i="19"/>
  <c r="C146" i="19"/>
  <c r="C145" i="19"/>
  <c r="C144" i="19"/>
  <c r="C143" i="19"/>
  <c r="C142" i="19"/>
  <c r="C141" i="19"/>
  <c r="C140" i="19"/>
  <c r="C139" i="19"/>
  <c r="C138" i="19"/>
  <c r="C137" i="19"/>
  <c r="C136" i="19"/>
  <c r="C135" i="19"/>
  <c r="C134" i="19"/>
  <c r="C133" i="19"/>
  <c r="C132" i="19"/>
  <c r="C131" i="19"/>
  <c r="C130" i="19"/>
  <c r="C129" i="19"/>
  <c r="C128" i="19"/>
  <c r="C127" i="19"/>
  <c r="C126" i="19"/>
  <c r="C125" i="19"/>
  <c r="C124" i="19"/>
  <c r="C123" i="19"/>
  <c r="C122" i="19"/>
  <c r="C121" i="19"/>
  <c r="C120" i="19"/>
  <c r="C119" i="19"/>
  <c r="C118" i="19"/>
  <c r="C117" i="19"/>
  <c r="C116" i="19"/>
  <c r="C115" i="19"/>
  <c r="C114" i="19"/>
  <c r="C113" i="19"/>
  <c r="C112" i="19"/>
  <c r="C111" i="19"/>
  <c r="C110" i="19"/>
  <c r="C109" i="19"/>
  <c r="C108" i="19"/>
  <c r="C107" i="19"/>
  <c r="C106" i="19"/>
  <c r="C105" i="19"/>
  <c r="C104" i="19"/>
  <c r="C103" i="19"/>
  <c r="C102" i="19"/>
  <c r="C101" i="19"/>
  <c r="C100" i="19"/>
  <c r="C99" i="19"/>
  <c r="C98" i="19"/>
  <c r="C97" i="19"/>
  <c r="C96" i="19"/>
  <c r="C95" i="19"/>
  <c r="C94" i="19"/>
  <c r="C93" i="19"/>
  <c r="C92" i="19"/>
  <c r="C91" i="19"/>
  <c r="C90" i="19"/>
  <c r="C89" i="19"/>
  <c r="C88" i="19"/>
  <c r="C87" i="19"/>
  <c r="C86" i="19"/>
  <c r="C85" i="19"/>
  <c r="C84" i="19"/>
  <c r="C83" i="19"/>
  <c r="C82" i="19"/>
  <c r="C81" i="19"/>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8" i="19"/>
  <c r="C37" i="19"/>
  <c r="C36" i="19"/>
  <c r="C35" i="19"/>
  <c r="C34" i="19"/>
  <c r="C33" i="19"/>
  <c r="C32" i="19"/>
  <c r="C31" i="19"/>
  <c r="C30" i="19"/>
  <c r="C29" i="19"/>
  <c r="C28" i="19"/>
  <c r="C27" i="19"/>
  <c r="C26" i="19"/>
  <c r="C25" i="19"/>
  <c r="C24" i="19"/>
  <c r="C23" i="19"/>
  <c r="C22" i="19"/>
  <c r="C21" i="19"/>
  <c r="C20" i="19"/>
  <c r="C19" i="19"/>
  <c r="C18" i="19"/>
  <c r="C17" i="19"/>
  <c r="C16" i="19"/>
  <c r="C15" i="19"/>
  <c r="C14" i="19"/>
  <c r="C13" i="19"/>
  <c r="C12" i="19"/>
  <c r="C11" i="19"/>
  <c r="C10" i="19"/>
  <c r="C9" i="19"/>
  <c r="C8" i="19"/>
  <c r="C7" i="19"/>
  <c r="C6" i="19"/>
  <c r="C5" i="19"/>
  <c r="C4" i="19"/>
  <c r="C3" i="19"/>
  <c r="C2" i="19"/>
  <c r="L1020" i="17"/>
  <c r="J1020" i="17"/>
  <c r="H1020" i="17"/>
  <c r="F1020" i="17"/>
  <c r="D1020" i="17"/>
  <c r="B1020" i="17"/>
  <c r="C1020" i="17" s="1"/>
  <c r="A1020" i="17"/>
  <c r="K1020" i="17" s="1"/>
  <c r="L1019" i="17"/>
  <c r="J1019" i="17"/>
  <c r="H1019" i="17"/>
  <c r="F1019" i="17"/>
  <c r="B1019" i="17"/>
  <c r="C1019" i="17" s="1"/>
  <c r="D1019" i="17" s="1"/>
  <c r="A1019" i="17"/>
  <c r="K1019" i="17" s="1"/>
  <c r="L1018" i="17"/>
  <c r="J1018" i="17"/>
  <c r="H1018" i="17"/>
  <c r="F1018" i="17"/>
  <c r="D1018" i="17"/>
  <c r="B1018" i="17"/>
  <c r="C1018" i="17" s="1"/>
  <c r="A1018" i="17"/>
  <c r="K1018" i="17" s="1"/>
  <c r="L1017" i="17"/>
  <c r="J1017" i="17"/>
  <c r="H1017" i="17"/>
  <c r="F1017" i="17"/>
  <c r="B1017" i="17"/>
  <c r="C1017" i="17" s="1"/>
  <c r="D1017" i="17" s="1"/>
  <c r="A1017" i="17"/>
  <c r="K1017" i="17" s="1"/>
  <c r="L1016" i="17"/>
  <c r="J1016" i="17"/>
  <c r="H1016" i="17"/>
  <c r="F1016" i="17"/>
  <c r="D1016" i="17"/>
  <c r="B1016" i="17"/>
  <c r="C1016" i="17" s="1"/>
  <c r="A1016" i="17"/>
  <c r="K1016" i="17" s="1"/>
  <c r="L1015" i="17"/>
  <c r="J1015" i="17"/>
  <c r="H1015" i="17"/>
  <c r="F1015" i="17"/>
  <c r="B1015" i="17"/>
  <c r="C1015" i="17" s="1"/>
  <c r="D1015" i="17" s="1"/>
  <c r="A1015" i="17"/>
  <c r="K1015" i="17" s="1"/>
  <c r="L1014" i="17"/>
  <c r="J1014" i="17"/>
  <c r="H1014" i="17"/>
  <c r="F1014" i="17"/>
  <c r="D1014" i="17"/>
  <c r="B1014" i="17"/>
  <c r="C1014" i="17" s="1"/>
  <c r="A1014" i="17"/>
  <c r="K1014" i="17" s="1"/>
  <c r="L1013" i="17"/>
  <c r="J1013" i="17"/>
  <c r="H1013" i="17"/>
  <c r="F1013" i="17"/>
  <c r="B1013" i="17"/>
  <c r="C1013" i="17" s="1"/>
  <c r="D1013" i="17" s="1"/>
  <c r="A1013" i="17"/>
  <c r="K1013" i="17" s="1"/>
  <c r="L1012" i="17"/>
  <c r="J1012" i="17"/>
  <c r="H1012" i="17"/>
  <c r="F1012" i="17"/>
  <c r="D1012" i="17"/>
  <c r="B1012" i="17"/>
  <c r="C1012" i="17" s="1"/>
  <c r="A1012" i="17"/>
  <c r="K1012" i="17" s="1"/>
  <c r="L1011" i="17"/>
  <c r="J1011" i="17"/>
  <c r="H1011" i="17"/>
  <c r="F1011" i="17"/>
  <c r="B1011" i="17"/>
  <c r="C1011" i="17" s="1"/>
  <c r="D1011" i="17" s="1"/>
  <c r="A1011" i="17"/>
  <c r="K1011" i="17" s="1"/>
  <c r="L1010" i="17"/>
  <c r="J1010" i="17"/>
  <c r="H1010" i="17"/>
  <c r="F1010" i="17"/>
  <c r="D1010" i="17"/>
  <c r="B1010" i="17"/>
  <c r="C1010" i="17" s="1"/>
  <c r="A1010" i="17"/>
  <c r="K1010" i="17" s="1"/>
  <c r="L1009" i="17"/>
  <c r="J1009" i="17"/>
  <c r="H1009" i="17"/>
  <c r="F1009" i="17"/>
  <c r="B1009" i="17"/>
  <c r="C1009" i="17" s="1"/>
  <c r="D1009" i="17" s="1"/>
  <c r="A1009" i="17"/>
  <c r="K1009" i="17" s="1"/>
  <c r="L1008" i="17"/>
  <c r="J1008" i="17"/>
  <c r="H1008" i="17"/>
  <c r="F1008" i="17"/>
  <c r="D1008" i="17"/>
  <c r="B1008" i="17"/>
  <c r="C1008" i="17" s="1"/>
  <c r="A1008" i="17"/>
  <c r="K1008" i="17" s="1"/>
  <c r="L1007" i="17"/>
  <c r="J1007" i="17"/>
  <c r="H1007" i="17"/>
  <c r="F1007" i="17"/>
  <c r="B1007" i="17"/>
  <c r="C1007" i="17" s="1"/>
  <c r="D1007" i="17" s="1"/>
  <c r="A1007" i="17"/>
  <c r="K1007" i="17" s="1"/>
  <c r="L1006" i="17"/>
  <c r="J1006" i="17"/>
  <c r="H1006" i="17"/>
  <c r="F1006" i="17"/>
  <c r="D1006" i="17"/>
  <c r="B1006" i="17"/>
  <c r="C1006" i="17" s="1"/>
  <c r="A1006" i="17"/>
  <c r="K1006" i="17" s="1"/>
  <c r="L1005" i="17"/>
  <c r="J1005" i="17"/>
  <c r="H1005" i="17"/>
  <c r="F1005" i="17"/>
  <c r="B1005" i="17"/>
  <c r="C1005" i="17" s="1"/>
  <c r="D1005" i="17" s="1"/>
  <c r="A1005" i="17"/>
  <c r="K1005" i="17" s="1"/>
  <c r="L1004" i="17"/>
  <c r="J1004" i="17"/>
  <c r="H1004" i="17"/>
  <c r="F1004" i="17"/>
  <c r="D1004" i="17"/>
  <c r="B1004" i="17"/>
  <c r="C1004" i="17" s="1"/>
  <c r="A1004" i="17"/>
  <c r="K1004" i="17" s="1"/>
  <c r="L1003" i="17"/>
  <c r="J1003" i="17"/>
  <c r="H1003" i="17"/>
  <c r="F1003" i="17"/>
  <c r="B1003" i="17"/>
  <c r="C1003" i="17" s="1"/>
  <c r="D1003" i="17" s="1"/>
  <c r="A1003" i="17"/>
  <c r="K1003" i="17" s="1"/>
  <c r="L1002" i="17"/>
  <c r="J1002" i="17"/>
  <c r="H1002" i="17"/>
  <c r="F1002" i="17"/>
  <c r="D1002" i="17"/>
  <c r="B1002" i="17"/>
  <c r="C1002" i="17" s="1"/>
  <c r="A1002" i="17"/>
  <c r="K1002" i="17" s="1"/>
  <c r="L1001" i="17"/>
  <c r="J1001" i="17"/>
  <c r="H1001" i="17"/>
  <c r="F1001" i="17"/>
  <c r="B1001" i="17"/>
  <c r="C1001" i="17" s="1"/>
  <c r="D1001" i="17" s="1"/>
  <c r="A1001" i="17"/>
  <c r="K1001" i="17" s="1"/>
  <c r="L1000" i="17"/>
  <c r="J1000" i="17"/>
  <c r="H1000" i="17"/>
  <c r="F1000" i="17"/>
  <c r="D1000" i="17"/>
  <c r="B1000" i="17"/>
  <c r="C1000" i="17" s="1"/>
  <c r="A1000" i="17"/>
  <c r="K1000" i="17" s="1"/>
  <c r="L999" i="17"/>
  <c r="J999" i="17"/>
  <c r="H999" i="17"/>
  <c r="F999" i="17"/>
  <c r="B999" i="17"/>
  <c r="C999" i="17" s="1"/>
  <c r="D999" i="17" s="1"/>
  <c r="A999" i="17"/>
  <c r="K999" i="17" s="1"/>
  <c r="L998" i="17"/>
  <c r="J998" i="17"/>
  <c r="H998" i="17"/>
  <c r="F998" i="17"/>
  <c r="D998" i="17"/>
  <c r="B998" i="17"/>
  <c r="C998" i="17" s="1"/>
  <c r="A998" i="17"/>
  <c r="K998" i="17" s="1"/>
  <c r="L997" i="17"/>
  <c r="J997" i="17"/>
  <c r="H997" i="17"/>
  <c r="F997" i="17"/>
  <c r="B997" i="17"/>
  <c r="C997" i="17" s="1"/>
  <c r="D997" i="17" s="1"/>
  <c r="A997" i="17"/>
  <c r="K997" i="17" s="1"/>
  <c r="L996" i="17"/>
  <c r="J996" i="17"/>
  <c r="H996" i="17"/>
  <c r="F996" i="17"/>
  <c r="D996" i="17"/>
  <c r="B996" i="17"/>
  <c r="C996" i="17" s="1"/>
  <c r="A996" i="17"/>
  <c r="K996" i="17" s="1"/>
  <c r="L995" i="17"/>
  <c r="J995" i="17"/>
  <c r="H995" i="17"/>
  <c r="F995" i="17"/>
  <c r="B995" i="17"/>
  <c r="C995" i="17" s="1"/>
  <c r="D995" i="17" s="1"/>
  <c r="A995" i="17"/>
  <c r="K995" i="17" s="1"/>
  <c r="L994" i="17"/>
  <c r="J994" i="17"/>
  <c r="H994" i="17"/>
  <c r="F994" i="17"/>
  <c r="D994" i="17"/>
  <c r="B994" i="17"/>
  <c r="C994" i="17" s="1"/>
  <c r="A994" i="17"/>
  <c r="K994" i="17" s="1"/>
  <c r="L993" i="17"/>
  <c r="J993" i="17"/>
  <c r="H993" i="17"/>
  <c r="F993" i="17"/>
  <c r="B993" i="17"/>
  <c r="C993" i="17" s="1"/>
  <c r="D993" i="17" s="1"/>
  <c r="A993" i="17"/>
  <c r="K993" i="17" s="1"/>
  <c r="L992" i="17"/>
  <c r="J992" i="17"/>
  <c r="H992" i="17"/>
  <c r="F992" i="17"/>
  <c r="D992" i="17"/>
  <c r="B992" i="17"/>
  <c r="C992" i="17" s="1"/>
  <c r="A992" i="17"/>
  <c r="K992" i="17" s="1"/>
  <c r="L991" i="17"/>
  <c r="J991" i="17"/>
  <c r="H991" i="17"/>
  <c r="F991" i="17"/>
  <c r="B991" i="17"/>
  <c r="C991" i="17" s="1"/>
  <c r="D991" i="17" s="1"/>
  <c r="A991" i="17"/>
  <c r="K991" i="17" s="1"/>
  <c r="L990" i="17"/>
  <c r="J990" i="17"/>
  <c r="H990" i="17"/>
  <c r="F990" i="17"/>
  <c r="D990" i="17"/>
  <c r="B990" i="17"/>
  <c r="C990" i="17" s="1"/>
  <c r="A990" i="17"/>
  <c r="K990" i="17" s="1"/>
  <c r="L989" i="17"/>
  <c r="J989" i="17"/>
  <c r="H989" i="17"/>
  <c r="F989" i="17"/>
  <c r="B989" i="17"/>
  <c r="C989" i="17" s="1"/>
  <c r="D989" i="17" s="1"/>
  <c r="A989" i="17"/>
  <c r="K989" i="17" s="1"/>
  <c r="L988" i="17"/>
  <c r="J988" i="17"/>
  <c r="H988" i="17"/>
  <c r="F988" i="17"/>
  <c r="D988" i="17"/>
  <c r="B988" i="17"/>
  <c r="C988" i="17" s="1"/>
  <c r="A988" i="17"/>
  <c r="K988" i="17" s="1"/>
  <c r="L987" i="17"/>
  <c r="J987" i="17"/>
  <c r="H987" i="17"/>
  <c r="F987" i="17"/>
  <c r="B987" i="17"/>
  <c r="C987" i="17" s="1"/>
  <c r="D987" i="17" s="1"/>
  <c r="A987" i="17"/>
  <c r="K987" i="17" s="1"/>
  <c r="L986" i="17"/>
  <c r="J986" i="17"/>
  <c r="H986" i="17"/>
  <c r="F986" i="17"/>
  <c r="D986" i="17"/>
  <c r="B986" i="17"/>
  <c r="C986" i="17" s="1"/>
  <c r="A986" i="17"/>
  <c r="K986" i="17" s="1"/>
  <c r="L985" i="17"/>
  <c r="J985" i="17"/>
  <c r="H985" i="17"/>
  <c r="F985" i="17"/>
  <c r="B985" i="17"/>
  <c r="C985" i="17" s="1"/>
  <c r="D985" i="17" s="1"/>
  <c r="A985" i="17"/>
  <c r="K985" i="17" s="1"/>
  <c r="L984" i="17"/>
  <c r="J984" i="17"/>
  <c r="H984" i="17"/>
  <c r="F984" i="17"/>
  <c r="D984" i="17"/>
  <c r="B984" i="17"/>
  <c r="C984" i="17" s="1"/>
  <c r="A984" i="17"/>
  <c r="K984" i="17" s="1"/>
  <c r="L983" i="17"/>
  <c r="J983" i="17"/>
  <c r="H983" i="17"/>
  <c r="F983" i="17"/>
  <c r="B983" i="17"/>
  <c r="C983" i="17" s="1"/>
  <c r="D983" i="17" s="1"/>
  <c r="A983" i="17"/>
  <c r="K983" i="17" s="1"/>
  <c r="L982" i="17"/>
  <c r="J982" i="17"/>
  <c r="H982" i="17"/>
  <c r="F982" i="17"/>
  <c r="D982" i="17"/>
  <c r="B982" i="17"/>
  <c r="C982" i="17" s="1"/>
  <c r="A982" i="17"/>
  <c r="K982" i="17" s="1"/>
  <c r="L981" i="17"/>
  <c r="J981" i="17"/>
  <c r="H981" i="17"/>
  <c r="F981" i="17"/>
  <c r="B981" i="17"/>
  <c r="C981" i="17" s="1"/>
  <c r="D981" i="17" s="1"/>
  <c r="A981" i="17"/>
  <c r="K981" i="17" s="1"/>
  <c r="L980" i="17"/>
  <c r="J980" i="17"/>
  <c r="H980" i="17"/>
  <c r="F980" i="17"/>
  <c r="D980" i="17"/>
  <c r="B980" i="17"/>
  <c r="C980" i="17" s="1"/>
  <c r="A980" i="17"/>
  <c r="K980" i="17" s="1"/>
  <c r="L979" i="17"/>
  <c r="J979" i="17"/>
  <c r="H979" i="17"/>
  <c r="F979" i="17"/>
  <c r="B979" i="17"/>
  <c r="C979" i="17" s="1"/>
  <c r="D979" i="17" s="1"/>
  <c r="A979" i="17"/>
  <c r="K979" i="17" s="1"/>
  <c r="L978" i="17"/>
  <c r="J978" i="17"/>
  <c r="H978" i="17"/>
  <c r="F978" i="17"/>
  <c r="D978" i="17"/>
  <c r="B978" i="17"/>
  <c r="C978" i="17" s="1"/>
  <c r="A978" i="17"/>
  <c r="K978" i="17" s="1"/>
  <c r="L977" i="17"/>
  <c r="J977" i="17"/>
  <c r="H977" i="17"/>
  <c r="F977" i="17"/>
  <c r="B977" i="17"/>
  <c r="C977" i="17" s="1"/>
  <c r="D977" i="17" s="1"/>
  <c r="A977" i="17"/>
  <c r="K977" i="17" s="1"/>
  <c r="L976" i="17"/>
  <c r="J976" i="17"/>
  <c r="H976" i="17"/>
  <c r="F976" i="17"/>
  <c r="D976" i="17"/>
  <c r="B976" i="17"/>
  <c r="C976" i="17" s="1"/>
  <c r="A976" i="17"/>
  <c r="K976" i="17" s="1"/>
  <c r="L975" i="17"/>
  <c r="J975" i="17"/>
  <c r="H975" i="17"/>
  <c r="F975" i="17"/>
  <c r="B975" i="17"/>
  <c r="C975" i="17" s="1"/>
  <c r="D975" i="17" s="1"/>
  <c r="A975" i="17"/>
  <c r="K975" i="17" s="1"/>
  <c r="L974" i="17"/>
  <c r="J974" i="17"/>
  <c r="H974" i="17"/>
  <c r="F974" i="17"/>
  <c r="D974" i="17"/>
  <c r="B974" i="17"/>
  <c r="C974" i="17" s="1"/>
  <c r="A974" i="17"/>
  <c r="K974" i="17" s="1"/>
  <c r="L973" i="17"/>
  <c r="J973" i="17"/>
  <c r="H973" i="17"/>
  <c r="F973" i="17"/>
  <c r="B973" i="17"/>
  <c r="C973" i="17" s="1"/>
  <c r="D973" i="17" s="1"/>
  <c r="A973" i="17"/>
  <c r="K973" i="17" s="1"/>
  <c r="L972" i="17"/>
  <c r="J972" i="17"/>
  <c r="H972" i="17"/>
  <c r="F972" i="17"/>
  <c r="D972" i="17"/>
  <c r="B972" i="17"/>
  <c r="C972" i="17" s="1"/>
  <c r="A972" i="17"/>
  <c r="K972" i="17" s="1"/>
  <c r="L971" i="17"/>
  <c r="J971" i="17"/>
  <c r="H971" i="17"/>
  <c r="F971" i="17"/>
  <c r="B971" i="17"/>
  <c r="C971" i="17" s="1"/>
  <c r="D971" i="17" s="1"/>
  <c r="A971" i="17"/>
  <c r="K971" i="17" s="1"/>
  <c r="L970" i="17"/>
  <c r="J970" i="17"/>
  <c r="H970" i="17"/>
  <c r="F970" i="17"/>
  <c r="D970" i="17"/>
  <c r="B970" i="17"/>
  <c r="C970" i="17" s="1"/>
  <c r="A970" i="17"/>
  <c r="K970" i="17" s="1"/>
  <c r="L969" i="17"/>
  <c r="J969" i="17"/>
  <c r="H969" i="17"/>
  <c r="F969" i="17"/>
  <c r="B969" i="17"/>
  <c r="C969" i="17" s="1"/>
  <c r="D969" i="17" s="1"/>
  <c r="A969" i="17"/>
  <c r="K969" i="17" s="1"/>
  <c r="L968" i="17"/>
  <c r="J968" i="17"/>
  <c r="H968" i="17"/>
  <c r="F968" i="17"/>
  <c r="D968" i="17"/>
  <c r="B968" i="17"/>
  <c r="C968" i="17" s="1"/>
  <c r="A968" i="17"/>
  <c r="K968" i="17" s="1"/>
  <c r="L967" i="17"/>
  <c r="J967" i="17"/>
  <c r="H967" i="17"/>
  <c r="F967" i="17"/>
  <c r="B967" i="17"/>
  <c r="C967" i="17" s="1"/>
  <c r="D967" i="17" s="1"/>
  <c r="A967" i="17"/>
  <c r="K967" i="17" s="1"/>
  <c r="L966" i="17"/>
  <c r="J966" i="17"/>
  <c r="H966" i="17"/>
  <c r="F966" i="17"/>
  <c r="D966" i="17"/>
  <c r="B966" i="17"/>
  <c r="C966" i="17" s="1"/>
  <c r="A966" i="17"/>
  <c r="K966" i="17" s="1"/>
  <c r="L965" i="17"/>
  <c r="J965" i="17"/>
  <c r="H965" i="17"/>
  <c r="F965" i="17"/>
  <c r="B965" i="17"/>
  <c r="C965" i="17" s="1"/>
  <c r="D965" i="17" s="1"/>
  <c r="A965" i="17"/>
  <c r="K965" i="17" s="1"/>
  <c r="L964" i="17"/>
  <c r="J964" i="17"/>
  <c r="H964" i="17"/>
  <c r="F964" i="17"/>
  <c r="D964" i="17"/>
  <c r="B964" i="17"/>
  <c r="C964" i="17" s="1"/>
  <c r="A964" i="17"/>
  <c r="K964" i="17" s="1"/>
  <c r="L963" i="17"/>
  <c r="J963" i="17"/>
  <c r="H963" i="17"/>
  <c r="F963" i="17"/>
  <c r="B963" i="17"/>
  <c r="C963" i="17" s="1"/>
  <c r="D963" i="17" s="1"/>
  <c r="A963" i="17"/>
  <c r="K963" i="17" s="1"/>
  <c r="L962" i="17"/>
  <c r="J962" i="17"/>
  <c r="H962" i="17"/>
  <c r="F962" i="17"/>
  <c r="D962" i="17"/>
  <c r="B962" i="17"/>
  <c r="C962" i="17" s="1"/>
  <c r="A962" i="17"/>
  <c r="K962" i="17" s="1"/>
  <c r="L961" i="17"/>
  <c r="J961" i="17"/>
  <c r="H961" i="17"/>
  <c r="F961" i="17"/>
  <c r="B961" i="17"/>
  <c r="C961" i="17" s="1"/>
  <c r="D961" i="17" s="1"/>
  <c r="A961" i="17"/>
  <c r="K961" i="17" s="1"/>
  <c r="L960" i="17"/>
  <c r="J960" i="17"/>
  <c r="H960" i="17"/>
  <c r="F960" i="17"/>
  <c r="D960" i="17"/>
  <c r="B960" i="17"/>
  <c r="C960" i="17" s="1"/>
  <c r="A960" i="17"/>
  <c r="K960" i="17" s="1"/>
  <c r="L959" i="17"/>
  <c r="J959" i="17"/>
  <c r="H959" i="17"/>
  <c r="F959" i="17"/>
  <c r="B959" i="17"/>
  <c r="C959" i="17" s="1"/>
  <c r="D959" i="17" s="1"/>
  <c r="A959" i="17"/>
  <c r="K959" i="17" s="1"/>
  <c r="L958" i="17"/>
  <c r="J958" i="17"/>
  <c r="H958" i="17"/>
  <c r="F958" i="17"/>
  <c r="D958" i="17"/>
  <c r="B958" i="17"/>
  <c r="C958" i="17" s="1"/>
  <c r="A958" i="17"/>
  <c r="K958" i="17" s="1"/>
  <c r="L957" i="17"/>
  <c r="J957" i="17"/>
  <c r="H957" i="17"/>
  <c r="F957" i="17"/>
  <c r="B957" i="17"/>
  <c r="C957" i="17" s="1"/>
  <c r="D957" i="17" s="1"/>
  <c r="A957" i="17"/>
  <c r="K957" i="17" s="1"/>
  <c r="L956" i="17"/>
  <c r="J956" i="17"/>
  <c r="H956" i="17"/>
  <c r="F956" i="17"/>
  <c r="D956" i="17"/>
  <c r="B956" i="17"/>
  <c r="C956" i="17" s="1"/>
  <c r="A956" i="17"/>
  <c r="K956" i="17" s="1"/>
  <c r="L955" i="17"/>
  <c r="J955" i="17"/>
  <c r="H955" i="17"/>
  <c r="F955" i="17"/>
  <c r="B955" i="17"/>
  <c r="C955" i="17" s="1"/>
  <c r="D955" i="17" s="1"/>
  <c r="A955" i="17"/>
  <c r="K955" i="17" s="1"/>
  <c r="L954" i="17"/>
  <c r="J954" i="17"/>
  <c r="H954" i="17"/>
  <c r="F954" i="17"/>
  <c r="D954" i="17"/>
  <c r="B954" i="17"/>
  <c r="C954" i="17" s="1"/>
  <c r="A954" i="17"/>
  <c r="K954" i="17" s="1"/>
  <c r="L953" i="17"/>
  <c r="J953" i="17"/>
  <c r="H953" i="17"/>
  <c r="F953" i="17"/>
  <c r="B953" i="17"/>
  <c r="C953" i="17" s="1"/>
  <c r="D953" i="17" s="1"/>
  <c r="A953" i="17"/>
  <c r="K953" i="17" s="1"/>
  <c r="L952" i="17"/>
  <c r="J952" i="17"/>
  <c r="H952" i="17"/>
  <c r="F952" i="17"/>
  <c r="D952" i="17"/>
  <c r="B952" i="17"/>
  <c r="C952" i="17" s="1"/>
  <c r="A952" i="17"/>
  <c r="K952" i="17" s="1"/>
  <c r="L951" i="17"/>
  <c r="J951" i="17"/>
  <c r="H951" i="17"/>
  <c r="F951" i="17"/>
  <c r="B951" i="17"/>
  <c r="C951" i="17" s="1"/>
  <c r="D951" i="17" s="1"/>
  <c r="A951" i="17"/>
  <c r="K951" i="17" s="1"/>
  <c r="L950" i="17"/>
  <c r="J950" i="17"/>
  <c r="H950" i="17"/>
  <c r="F950" i="17"/>
  <c r="D950" i="17"/>
  <c r="B950" i="17"/>
  <c r="C950" i="17" s="1"/>
  <c r="A950" i="17"/>
  <c r="K950" i="17" s="1"/>
  <c r="L949" i="17"/>
  <c r="J949" i="17"/>
  <c r="H949" i="17"/>
  <c r="F949" i="17"/>
  <c r="B949" i="17"/>
  <c r="C949" i="17" s="1"/>
  <c r="D949" i="17" s="1"/>
  <c r="A949" i="17"/>
  <c r="K949" i="17" s="1"/>
  <c r="L948" i="17"/>
  <c r="J948" i="17"/>
  <c r="H948" i="17"/>
  <c r="F948" i="17"/>
  <c r="D948" i="17"/>
  <c r="B948" i="17"/>
  <c r="C948" i="17" s="1"/>
  <c r="A948" i="17"/>
  <c r="K948" i="17" s="1"/>
  <c r="L947" i="17"/>
  <c r="J947" i="17"/>
  <c r="H947" i="17"/>
  <c r="F947" i="17"/>
  <c r="B947" i="17"/>
  <c r="C947" i="17" s="1"/>
  <c r="D947" i="17" s="1"/>
  <c r="A947" i="17"/>
  <c r="K947" i="17" s="1"/>
  <c r="L946" i="17"/>
  <c r="J946" i="17"/>
  <c r="H946" i="17"/>
  <c r="F946" i="17"/>
  <c r="D946" i="17"/>
  <c r="B946" i="17"/>
  <c r="C946" i="17" s="1"/>
  <c r="A946" i="17"/>
  <c r="K946" i="17" s="1"/>
  <c r="L945" i="17"/>
  <c r="J945" i="17"/>
  <c r="H945" i="17"/>
  <c r="F945" i="17"/>
  <c r="B945" i="17"/>
  <c r="C945" i="17" s="1"/>
  <c r="D945" i="17" s="1"/>
  <c r="A945" i="17"/>
  <c r="K945" i="17" s="1"/>
  <c r="L944" i="17"/>
  <c r="J944" i="17"/>
  <c r="H944" i="17"/>
  <c r="F944" i="17"/>
  <c r="D944" i="17"/>
  <c r="B944" i="17"/>
  <c r="C944" i="17" s="1"/>
  <c r="A944" i="17"/>
  <c r="K944" i="17" s="1"/>
  <c r="L943" i="17"/>
  <c r="J943" i="17"/>
  <c r="H943" i="17"/>
  <c r="F943" i="17"/>
  <c r="B943" i="17"/>
  <c r="C943" i="17" s="1"/>
  <c r="D943" i="17" s="1"/>
  <c r="A943" i="17"/>
  <c r="K943" i="17" s="1"/>
  <c r="L942" i="17"/>
  <c r="J942" i="17"/>
  <c r="H942" i="17"/>
  <c r="F942" i="17"/>
  <c r="D942" i="17"/>
  <c r="B942" i="17"/>
  <c r="C942" i="17" s="1"/>
  <c r="A942" i="17"/>
  <c r="K942" i="17" s="1"/>
  <c r="L941" i="17"/>
  <c r="J941" i="17"/>
  <c r="H941" i="17"/>
  <c r="F941" i="17"/>
  <c r="B941" i="17"/>
  <c r="C941" i="17" s="1"/>
  <c r="D941" i="17" s="1"/>
  <c r="A941" i="17"/>
  <c r="K941" i="17" s="1"/>
  <c r="L940" i="17"/>
  <c r="J940" i="17"/>
  <c r="H940" i="17"/>
  <c r="F940" i="17"/>
  <c r="D940" i="17"/>
  <c r="B940" i="17"/>
  <c r="C940" i="17" s="1"/>
  <c r="A940" i="17"/>
  <c r="K940" i="17" s="1"/>
  <c r="L939" i="17"/>
  <c r="J939" i="17"/>
  <c r="H939" i="17"/>
  <c r="F939" i="17"/>
  <c r="B939" i="17"/>
  <c r="C939" i="17" s="1"/>
  <c r="D939" i="17" s="1"/>
  <c r="A939" i="17"/>
  <c r="K939" i="17" s="1"/>
  <c r="L938" i="17"/>
  <c r="J938" i="17"/>
  <c r="H938" i="17"/>
  <c r="F938" i="17"/>
  <c r="D938" i="17"/>
  <c r="B938" i="17"/>
  <c r="C938" i="17" s="1"/>
  <c r="A938" i="17"/>
  <c r="K938" i="17" s="1"/>
  <c r="L937" i="17"/>
  <c r="J937" i="17"/>
  <c r="H937" i="17"/>
  <c r="F937" i="17"/>
  <c r="B937" i="17"/>
  <c r="C937" i="17" s="1"/>
  <c r="D937" i="17" s="1"/>
  <c r="A937" i="17"/>
  <c r="K937" i="17" s="1"/>
  <c r="L936" i="17"/>
  <c r="J936" i="17"/>
  <c r="H936" i="17"/>
  <c r="F936" i="17"/>
  <c r="D936" i="17"/>
  <c r="B936" i="17"/>
  <c r="C936" i="17" s="1"/>
  <c r="A936" i="17"/>
  <c r="K936" i="17" s="1"/>
  <c r="L935" i="17"/>
  <c r="J935" i="17"/>
  <c r="H935" i="17"/>
  <c r="F935" i="17"/>
  <c r="B935" i="17"/>
  <c r="C935" i="17" s="1"/>
  <c r="D935" i="17" s="1"/>
  <c r="A935" i="17"/>
  <c r="K935" i="17" s="1"/>
  <c r="L934" i="17"/>
  <c r="J934" i="17"/>
  <c r="H934" i="17"/>
  <c r="F934" i="17"/>
  <c r="D934" i="17"/>
  <c r="B934" i="17"/>
  <c r="C934" i="17" s="1"/>
  <c r="A934" i="17"/>
  <c r="K934" i="17" s="1"/>
  <c r="L933" i="17"/>
  <c r="J933" i="17"/>
  <c r="H933" i="17"/>
  <c r="F933" i="17"/>
  <c r="B933" i="17"/>
  <c r="C933" i="17" s="1"/>
  <c r="D933" i="17" s="1"/>
  <c r="A933" i="17"/>
  <c r="K933" i="17" s="1"/>
  <c r="L932" i="17"/>
  <c r="J932" i="17"/>
  <c r="H932" i="17"/>
  <c r="F932" i="17"/>
  <c r="D932" i="17"/>
  <c r="B932" i="17"/>
  <c r="C932" i="17" s="1"/>
  <c r="A932" i="17"/>
  <c r="K932" i="17" s="1"/>
  <c r="L931" i="17"/>
  <c r="J931" i="17"/>
  <c r="H931" i="17"/>
  <c r="F931" i="17"/>
  <c r="B931" i="17"/>
  <c r="C931" i="17" s="1"/>
  <c r="D931" i="17" s="1"/>
  <c r="A931" i="17"/>
  <c r="K931" i="17" s="1"/>
  <c r="L930" i="17"/>
  <c r="J930" i="17"/>
  <c r="H930" i="17"/>
  <c r="F930" i="17"/>
  <c r="D930" i="17"/>
  <c r="B930" i="17"/>
  <c r="C930" i="17" s="1"/>
  <c r="A930" i="17"/>
  <c r="K930" i="17" s="1"/>
  <c r="L929" i="17"/>
  <c r="J929" i="17"/>
  <c r="H929" i="17"/>
  <c r="F929" i="17"/>
  <c r="B929" i="17"/>
  <c r="C929" i="17" s="1"/>
  <c r="D929" i="17" s="1"/>
  <c r="A929" i="17"/>
  <c r="K929" i="17" s="1"/>
  <c r="L928" i="17"/>
  <c r="J928" i="17"/>
  <c r="H928" i="17"/>
  <c r="F928" i="17"/>
  <c r="D928" i="17"/>
  <c r="B928" i="17"/>
  <c r="C928" i="17" s="1"/>
  <c r="A928" i="17"/>
  <c r="K928" i="17" s="1"/>
  <c r="L927" i="17"/>
  <c r="J927" i="17"/>
  <c r="H927" i="17"/>
  <c r="F927" i="17"/>
  <c r="B927" i="17"/>
  <c r="C927" i="17" s="1"/>
  <c r="D927" i="17" s="1"/>
  <c r="A927" i="17"/>
  <c r="K927" i="17" s="1"/>
  <c r="L926" i="17"/>
  <c r="J926" i="17"/>
  <c r="H926" i="17"/>
  <c r="F926" i="17"/>
  <c r="D926" i="17"/>
  <c r="B926" i="17"/>
  <c r="C926" i="17" s="1"/>
  <c r="A926" i="17"/>
  <c r="K926" i="17" s="1"/>
  <c r="L925" i="17"/>
  <c r="J925" i="17"/>
  <c r="H925" i="17"/>
  <c r="F925" i="17"/>
  <c r="B925" i="17"/>
  <c r="C925" i="17" s="1"/>
  <c r="D925" i="17" s="1"/>
  <c r="A925" i="17"/>
  <c r="K925" i="17" s="1"/>
  <c r="L924" i="17"/>
  <c r="J924" i="17"/>
  <c r="H924" i="17"/>
  <c r="F924" i="17"/>
  <c r="D924" i="17"/>
  <c r="B924" i="17"/>
  <c r="C924" i="17" s="1"/>
  <c r="A924" i="17"/>
  <c r="K924" i="17" s="1"/>
  <c r="L923" i="17"/>
  <c r="J923" i="17"/>
  <c r="H923" i="17"/>
  <c r="F923" i="17"/>
  <c r="B923" i="17"/>
  <c r="C923" i="17" s="1"/>
  <c r="D923" i="17" s="1"/>
  <c r="A923" i="17"/>
  <c r="K923" i="17" s="1"/>
  <c r="L922" i="17"/>
  <c r="J922" i="17"/>
  <c r="H922" i="17"/>
  <c r="F922" i="17"/>
  <c r="D922" i="17"/>
  <c r="B922" i="17"/>
  <c r="C922" i="17" s="1"/>
  <c r="A922" i="17"/>
  <c r="K922" i="17" s="1"/>
  <c r="L921" i="17"/>
  <c r="J921" i="17"/>
  <c r="H921" i="17"/>
  <c r="F921" i="17"/>
  <c r="B921" i="17"/>
  <c r="C921" i="17" s="1"/>
  <c r="D921" i="17" s="1"/>
  <c r="A921" i="17"/>
  <c r="K921" i="17" s="1"/>
  <c r="L920" i="17"/>
  <c r="J920" i="17"/>
  <c r="H920" i="17"/>
  <c r="F920" i="17"/>
  <c r="D920" i="17"/>
  <c r="B920" i="17"/>
  <c r="C920" i="17" s="1"/>
  <c r="A920" i="17"/>
  <c r="K920" i="17" s="1"/>
  <c r="L919" i="17"/>
  <c r="J919" i="17"/>
  <c r="H919" i="17"/>
  <c r="F919" i="17"/>
  <c r="B919" i="17"/>
  <c r="C919" i="17" s="1"/>
  <c r="D919" i="17" s="1"/>
  <c r="A919" i="17"/>
  <c r="K919" i="17" s="1"/>
  <c r="L918" i="17"/>
  <c r="J918" i="17"/>
  <c r="H918" i="17"/>
  <c r="F918" i="17"/>
  <c r="D918" i="17"/>
  <c r="B918" i="17"/>
  <c r="C918" i="17" s="1"/>
  <c r="A918" i="17"/>
  <c r="K918" i="17" s="1"/>
  <c r="L917" i="17"/>
  <c r="J917" i="17"/>
  <c r="H917" i="17"/>
  <c r="F917" i="17"/>
  <c r="B917" i="17"/>
  <c r="C917" i="17" s="1"/>
  <c r="D917" i="17" s="1"/>
  <c r="A917" i="17"/>
  <c r="K917" i="17" s="1"/>
  <c r="L916" i="17"/>
  <c r="J916" i="17"/>
  <c r="H916" i="17"/>
  <c r="F916" i="17"/>
  <c r="D916" i="17"/>
  <c r="B916" i="17"/>
  <c r="C916" i="17" s="1"/>
  <c r="A916" i="17"/>
  <c r="K916" i="17" s="1"/>
  <c r="L915" i="17"/>
  <c r="J915" i="17"/>
  <c r="H915" i="17"/>
  <c r="F915" i="17"/>
  <c r="B915" i="17"/>
  <c r="C915" i="17" s="1"/>
  <c r="D915" i="17" s="1"/>
  <c r="A915" i="17"/>
  <c r="K915" i="17" s="1"/>
  <c r="L914" i="17"/>
  <c r="J914" i="17"/>
  <c r="H914" i="17"/>
  <c r="F914" i="17"/>
  <c r="D914" i="17"/>
  <c r="B914" i="17"/>
  <c r="C914" i="17" s="1"/>
  <c r="A914" i="17"/>
  <c r="K914" i="17" s="1"/>
  <c r="L913" i="17"/>
  <c r="J913" i="17"/>
  <c r="H913" i="17"/>
  <c r="F913" i="17"/>
  <c r="B913" i="17"/>
  <c r="C913" i="17" s="1"/>
  <c r="D913" i="17" s="1"/>
  <c r="A913" i="17"/>
  <c r="K913" i="17" s="1"/>
  <c r="L912" i="17"/>
  <c r="J912" i="17"/>
  <c r="H912" i="17"/>
  <c r="F912" i="17"/>
  <c r="D912" i="17"/>
  <c r="B912" i="17"/>
  <c r="C912" i="17" s="1"/>
  <c r="A912" i="17"/>
  <c r="K912" i="17" s="1"/>
  <c r="L911" i="17"/>
  <c r="J911" i="17"/>
  <c r="H911" i="17"/>
  <c r="F911" i="17"/>
  <c r="B911" i="17"/>
  <c r="C911" i="17" s="1"/>
  <c r="D911" i="17" s="1"/>
  <c r="A911" i="17"/>
  <c r="K911" i="17" s="1"/>
  <c r="L910" i="17"/>
  <c r="J910" i="17"/>
  <c r="H910" i="17"/>
  <c r="F910" i="17"/>
  <c r="D910" i="17"/>
  <c r="B910" i="17"/>
  <c r="C910" i="17" s="1"/>
  <c r="A910" i="17"/>
  <c r="K910" i="17" s="1"/>
  <c r="L909" i="17"/>
  <c r="J909" i="17"/>
  <c r="H909" i="17"/>
  <c r="F909" i="17"/>
  <c r="B909" i="17"/>
  <c r="C909" i="17" s="1"/>
  <c r="D909" i="17" s="1"/>
  <c r="A909" i="17"/>
  <c r="K909" i="17" s="1"/>
  <c r="L908" i="17"/>
  <c r="J908" i="17"/>
  <c r="H908" i="17"/>
  <c r="F908" i="17"/>
  <c r="D908" i="17"/>
  <c r="B908" i="17"/>
  <c r="C908" i="17" s="1"/>
  <c r="A908" i="17"/>
  <c r="K908" i="17" s="1"/>
  <c r="L907" i="17"/>
  <c r="J907" i="17"/>
  <c r="H907" i="17"/>
  <c r="F907" i="17"/>
  <c r="B907" i="17"/>
  <c r="C907" i="17" s="1"/>
  <c r="D907" i="17" s="1"/>
  <c r="A907" i="17"/>
  <c r="K907" i="17" s="1"/>
  <c r="L906" i="17"/>
  <c r="J906" i="17"/>
  <c r="H906" i="17"/>
  <c r="F906" i="17"/>
  <c r="D906" i="17"/>
  <c r="B906" i="17"/>
  <c r="C906" i="17" s="1"/>
  <c r="A906" i="17"/>
  <c r="K906" i="17" s="1"/>
  <c r="L905" i="17"/>
  <c r="J905" i="17"/>
  <c r="H905" i="17"/>
  <c r="F905" i="17"/>
  <c r="B905" i="17"/>
  <c r="C905" i="17" s="1"/>
  <c r="D905" i="17" s="1"/>
  <c r="A905" i="17"/>
  <c r="K905" i="17" s="1"/>
  <c r="L904" i="17"/>
  <c r="J904" i="17"/>
  <c r="H904" i="17"/>
  <c r="F904" i="17"/>
  <c r="D904" i="17"/>
  <c r="B904" i="17"/>
  <c r="C904" i="17" s="1"/>
  <c r="A904" i="17"/>
  <c r="K904" i="17" s="1"/>
  <c r="L903" i="17"/>
  <c r="J903" i="17"/>
  <c r="H903" i="17"/>
  <c r="F903" i="17"/>
  <c r="B903" i="17"/>
  <c r="C903" i="17" s="1"/>
  <c r="D903" i="17" s="1"/>
  <c r="A903" i="17"/>
  <c r="K903" i="17" s="1"/>
  <c r="L902" i="17"/>
  <c r="J902" i="17"/>
  <c r="H902" i="17"/>
  <c r="F902" i="17"/>
  <c r="D902" i="17"/>
  <c r="B902" i="17"/>
  <c r="C902" i="17" s="1"/>
  <c r="A902" i="17"/>
  <c r="K902" i="17" s="1"/>
  <c r="L901" i="17"/>
  <c r="J901" i="17"/>
  <c r="H901" i="17"/>
  <c r="F901" i="17"/>
  <c r="B901" i="17"/>
  <c r="C901" i="17" s="1"/>
  <c r="D901" i="17" s="1"/>
  <c r="A901" i="17"/>
  <c r="K901" i="17" s="1"/>
  <c r="L900" i="17"/>
  <c r="J900" i="17"/>
  <c r="H900" i="17"/>
  <c r="F900" i="17"/>
  <c r="D900" i="17"/>
  <c r="B900" i="17"/>
  <c r="C900" i="17" s="1"/>
  <c r="A900" i="17"/>
  <c r="K900" i="17" s="1"/>
  <c r="L899" i="17"/>
  <c r="J899" i="17"/>
  <c r="H899" i="17"/>
  <c r="F899" i="17"/>
  <c r="B899" i="17"/>
  <c r="C899" i="17" s="1"/>
  <c r="D899" i="17" s="1"/>
  <c r="A899" i="17"/>
  <c r="K899" i="17" s="1"/>
  <c r="L898" i="17"/>
  <c r="J898" i="17"/>
  <c r="H898" i="17"/>
  <c r="F898" i="17"/>
  <c r="D898" i="17"/>
  <c r="B898" i="17"/>
  <c r="C898" i="17" s="1"/>
  <c r="A898" i="17"/>
  <c r="K898" i="17" s="1"/>
  <c r="L897" i="17"/>
  <c r="J897" i="17"/>
  <c r="H897" i="17"/>
  <c r="F897" i="17"/>
  <c r="B897" i="17"/>
  <c r="C897" i="17" s="1"/>
  <c r="D897" i="17" s="1"/>
  <c r="A897" i="17"/>
  <c r="K897" i="17" s="1"/>
  <c r="L896" i="17"/>
  <c r="J896" i="17"/>
  <c r="H896" i="17"/>
  <c r="F896" i="17"/>
  <c r="D896" i="17"/>
  <c r="B896" i="17"/>
  <c r="C896" i="17" s="1"/>
  <c r="A896" i="17"/>
  <c r="K896" i="17" s="1"/>
  <c r="L895" i="17"/>
  <c r="J895" i="17"/>
  <c r="H895" i="17"/>
  <c r="F895" i="17"/>
  <c r="B895" i="17"/>
  <c r="C895" i="17" s="1"/>
  <c r="D895" i="17" s="1"/>
  <c r="A895" i="17"/>
  <c r="K895" i="17" s="1"/>
  <c r="L894" i="17"/>
  <c r="J894" i="17"/>
  <c r="H894" i="17"/>
  <c r="F894" i="17"/>
  <c r="D894" i="17"/>
  <c r="B894" i="17"/>
  <c r="C894" i="17" s="1"/>
  <c r="A894" i="17"/>
  <c r="K894" i="17" s="1"/>
  <c r="L893" i="17"/>
  <c r="J893" i="17"/>
  <c r="H893" i="17"/>
  <c r="F893" i="17"/>
  <c r="B893" i="17"/>
  <c r="C893" i="17" s="1"/>
  <c r="D893" i="17" s="1"/>
  <c r="A893" i="17"/>
  <c r="K893" i="17" s="1"/>
  <c r="L892" i="17"/>
  <c r="J892" i="17"/>
  <c r="H892" i="17"/>
  <c r="F892" i="17"/>
  <c r="D892" i="17"/>
  <c r="B892" i="17"/>
  <c r="C892" i="17" s="1"/>
  <c r="A892" i="17"/>
  <c r="K892" i="17" s="1"/>
  <c r="L891" i="17"/>
  <c r="J891" i="17"/>
  <c r="H891" i="17"/>
  <c r="F891" i="17"/>
  <c r="B891" i="17"/>
  <c r="C891" i="17" s="1"/>
  <c r="D891" i="17" s="1"/>
  <c r="A891" i="17"/>
  <c r="K891" i="17" s="1"/>
  <c r="L890" i="17"/>
  <c r="J890" i="17"/>
  <c r="H890" i="17"/>
  <c r="F890" i="17"/>
  <c r="D890" i="17"/>
  <c r="B890" i="17"/>
  <c r="C890" i="17" s="1"/>
  <c r="A890" i="17"/>
  <c r="K890" i="17" s="1"/>
  <c r="L889" i="17"/>
  <c r="J889" i="17"/>
  <c r="H889" i="17"/>
  <c r="F889" i="17"/>
  <c r="B889" i="17"/>
  <c r="C889" i="17" s="1"/>
  <c r="D889" i="17" s="1"/>
  <c r="A889" i="17"/>
  <c r="K889" i="17" s="1"/>
  <c r="L888" i="17"/>
  <c r="J888" i="17"/>
  <c r="H888" i="17"/>
  <c r="F888" i="17"/>
  <c r="D888" i="17"/>
  <c r="B888" i="17"/>
  <c r="C888" i="17" s="1"/>
  <c r="A888" i="17"/>
  <c r="K888" i="17" s="1"/>
  <c r="L887" i="17"/>
  <c r="J887" i="17"/>
  <c r="H887" i="17"/>
  <c r="F887" i="17"/>
  <c r="B887" i="17"/>
  <c r="C887" i="17" s="1"/>
  <c r="D887" i="17" s="1"/>
  <c r="A887" i="17"/>
  <c r="K887" i="17" s="1"/>
  <c r="L886" i="17"/>
  <c r="J886" i="17"/>
  <c r="H886" i="17"/>
  <c r="F886" i="17"/>
  <c r="D886" i="17"/>
  <c r="B886" i="17"/>
  <c r="C886" i="17" s="1"/>
  <c r="A886" i="17"/>
  <c r="K886" i="17" s="1"/>
  <c r="L885" i="17"/>
  <c r="J885" i="17"/>
  <c r="H885" i="17"/>
  <c r="F885" i="17"/>
  <c r="B885" i="17"/>
  <c r="C885" i="17" s="1"/>
  <c r="D885" i="17" s="1"/>
  <c r="A885" i="17"/>
  <c r="K885" i="17" s="1"/>
  <c r="L884" i="17"/>
  <c r="J884" i="17"/>
  <c r="H884" i="17"/>
  <c r="F884" i="17"/>
  <c r="D884" i="17"/>
  <c r="B884" i="17"/>
  <c r="C884" i="17" s="1"/>
  <c r="A884" i="17"/>
  <c r="K884" i="17" s="1"/>
  <c r="L883" i="17"/>
  <c r="J883" i="17"/>
  <c r="H883" i="17"/>
  <c r="F883" i="17"/>
  <c r="B883" i="17"/>
  <c r="C883" i="17" s="1"/>
  <c r="D883" i="17" s="1"/>
  <c r="A883" i="17"/>
  <c r="K883" i="17" s="1"/>
  <c r="L882" i="17"/>
  <c r="J882" i="17"/>
  <c r="H882" i="17"/>
  <c r="F882" i="17"/>
  <c r="D882" i="17"/>
  <c r="B882" i="17"/>
  <c r="C882" i="17" s="1"/>
  <c r="A882" i="17"/>
  <c r="K882" i="17" s="1"/>
  <c r="L881" i="17"/>
  <c r="J881" i="17"/>
  <c r="H881" i="17"/>
  <c r="F881" i="17"/>
  <c r="B881" i="17"/>
  <c r="C881" i="17" s="1"/>
  <c r="D881" i="17" s="1"/>
  <c r="A881" i="17"/>
  <c r="K881" i="17" s="1"/>
  <c r="L880" i="17"/>
  <c r="J880" i="17"/>
  <c r="H880" i="17"/>
  <c r="F880" i="17"/>
  <c r="D880" i="17"/>
  <c r="B880" i="17"/>
  <c r="C880" i="17" s="1"/>
  <c r="A880" i="17"/>
  <c r="K880" i="17" s="1"/>
  <c r="L879" i="17"/>
  <c r="J879" i="17"/>
  <c r="H879" i="17"/>
  <c r="F879" i="17"/>
  <c r="B879" i="17"/>
  <c r="C879" i="17" s="1"/>
  <c r="D879" i="17" s="1"/>
  <c r="A879" i="17"/>
  <c r="K879" i="17" s="1"/>
  <c r="L878" i="17"/>
  <c r="J878" i="17"/>
  <c r="H878" i="17"/>
  <c r="F878" i="17"/>
  <c r="D878" i="17"/>
  <c r="B878" i="17"/>
  <c r="C878" i="17" s="1"/>
  <c r="A878" i="17"/>
  <c r="K878" i="17" s="1"/>
  <c r="L877" i="17"/>
  <c r="J877" i="17"/>
  <c r="H877" i="17"/>
  <c r="F877" i="17"/>
  <c r="B877" i="17"/>
  <c r="C877" i="17" s="1"/>
  <c r="D877" i="17" s="1"/>
  <c r="A877" i="17"/>
  <c r="K877" i="17" s="1"/>
  <c r="L876" i="17"/>
  <c r="J876" i="17"/>
  <c r="H876" i="17"/>
  <c r="F876" i="17"/>
  <c r="D876" i="17"/>
  <c r="B876" i="17"/>
  <c r="C876" i="17" s="1"/>
  <c r="A876" i="17"/>
  <c r="K876" i="17" s="1"/>
  <c r="L875" i="17"/>
  <c r="J875" i="17"/>
  <c r="H875" i="17"/>
  <c r="F875" i="17"/>
  <c r="B875" i="17"/>
  <c r="C875" i="17" s="1"/>
  <c r="D875" i="17" s="1"/>
  <c r="A875" i="17"/>
  <c r="K875" i="17" s="1"/>
  <c r="L874" i="17"/>
  <c r="J874" i="17"/>
  <c r="H874" i="17"/>
  <c r="F874" i="17"/>
  <c r="D874" i="17"/>
  <c r="B874" i="17"/>
  <c r="C874" i="17" s="1"/>
  <c r="A874" i="17"/>
  <c r="K874" i="17" s="1"/>
  <c r="L873" i="17"/>
  <c r="J873" i="17"/>
  <c r="H873" i="17"/>
  <c r="F873" i="17"/>
  <c r="B873" i="17"/>
  <c r="C873" i="17" s="1"/>
  <c r="D873" i="17" s="1"/>
  <c r="A873" i="17"/>
  <c r="K873" i="17" s="1"/>
  <c r="L872" i="17"/>
  <c r="J872" i="17"/>
  <c r="H872" i="17"/>
  <c r="F872" i="17"/>
  <c r="D872" i="17"/>
  <c r="B872" i="17"/>
  <c r="C872" i="17" s="1"/>
  <c r="A872" i="17"/>
  <c r="K872" i="17" s="1"/>
  <c r="L871" i="17"/>
  <c r="J871" i="17"/>
  <c r="H871" i="17"/>
  <c r="F871" i="17"/>
  <c r="B871" i="17"/>
  <c r="C871" i="17" s="1"/>
  <c r="D871" i="17" s="1"/>
  <c r="A871" i="17"/>
  <c r="K871" i="17" s="1"/>
  <c r="L870" i="17"/>
  <c r="J870" i="17"/>
  <c r="H870" i="17"/>
  <c r="F870" i="17"/>
  <c r="D870" i="17"/>
  <c r="B870" i="17"/>
  <c r="C870" i="17" s="1"/>
  <c r="A870" i="17"/>
  <c r="K870" i="17" s="1"/>
  <c r="L869" i="17"/>
  <c r="J869" i="17"/>
  <c r="H869" i="17"/>
  <c r="F869" i="17"/>
  <c r="B869" i="17"/>
  <c r="C869" i="17" s="1"/>
  <c r="D869" i="17" s="1"/>
  <c r="A869" i="17"/>
  <c r="K869" i="17" s="1"/>
  <c r="L868" i="17"/>
  <c r="J868" i="17"/>
  <c r="H868" i="17"/>
  <c r="F868" i="17"/>
  <c r="D868" i="17"/>
  <c r="B868" i="17"/>
  <c r="C868" i="17" s="1"/>
  <c r="A868" i="17"/>
  <c r="K868" i="17" s="1"/>
  <c r="L867" i="17"/>
  <c r="J867" i="17"/>
  <c r="H867" i="17"/>
  <c r="F867" i="17"/>
  <c r="B867" i="17"/>
  <c r="C867" i="17" s="1"/>
  <c r="D867" i="17" s="1"/>
  <c r="A867" i="17"/>
  <c r="K867" i="17" s="1"/>
  <c r="L866" i="17"/>
  <c r="J866" i="17"/>
  <c r="H866" i="17"/>
  <c r="F866" i="17"/>
  <c r="D866" i="17"/>
  <c r="B866" i="17"/>
  <c r="C866" i="17" s="1"/>
  <c r="A866" i="17"/>
  <c r="K866" i="17" s="1"/>
  <c r="L865" i="17"/>
  <c r="J865" i="17"/>
  <c r="H865" i="17"/>
  <c r="F865" i="17"/>
  <c r="B865" i="17"/>
  <c r="C865" i="17" s="1"/>
  <c r="D865" i="17" s="1"/>
  <c r="A865" i="17"/>
  <c r="K865" i="17" s="1"/>
  <c r="L864" i="17"/>
  <c r="J864" i="17"/>
  <c r="H864" i="17"/>
  <c r="F864" i="17"/>
  <c r="D864" i="17"/>
  <c r="B864" i="17"/>
  <c r="C864" i="17" s="1"/>
  <c r="A864" i="17"/>
  <c r="K864" i="17" s="1"/>
  <c r="L863" i="17"/>
  <c r="J863" i="17"/>
  <c r="H863" i="17"/>
  <c r="F863" i="17"/>
  <c r="B863" i="17"/>
  <c r="C863" i="17" s="1"/>
  <c r="D863" i="17" s="1"/>
  <c r="A863" i="17"/>
  <c r="K863" i="17" s="1"/>
  <c r="L862" i="17"/>
  <c r="J862" i="17"/>
  <c r="H862" i="17"/>
  <c r="F862" i="17"/>
  <c r="D862" i="17"/>
  <c r="B862" i="17"/>
  <c r="C862" i="17" s="1"/>
  <c r="A862" i="17"/>
  <c r="K862" i="17" s="1"/>
  <c r="L861" i="17"/>
  <c r="J861" i="17"/>
  <c r="H861" i="17"/>
  <c r="F861" i="17"/>
  <c r="B861" i="17"/>
  <c r="C861" i="17" s="1"/>
  <c r="D861" i="17" s="1"/>
  <c r="A861" i="17"/>
  <c r="K861" i="17" s="1"/>
  <c r="L860" i="17"/>
  <c r="J860" i="17"/>
  <c r="H860" i="17"/>
  <c r="F860" i="17"/>
  <c r="D860" i="17"/>
  <c r="B860" i="17"/>
  <c r="C860" i="17" s="1"/>
  <c r="A860" i="17"/>
  <c r="K860" i="17" s="1"/>
  <c r="J859" i="17"/>
  <c r="F859" i="17"/>
  <c r="B859" i="17"/>
  <c r="C859" i="17" s="1"/>
  <c r="D859" i="17" s="1"/>
  <c r="A859" i="17"/>
  <c r="L858" i="17"/>
  <c r="J858" i="17"/>
  <c r="H858" i="17"/>
  <c r="F858" i="17"/>
  <c r="B858" i="17"/>
  <c r="C858" i="17" s="1"/>
  <c r="D858" i="17" s="1"/>
  <c r="A858" i="17"/>
  <c r="K858" i="17" s="1"/>
  <c r="L857" i="17"/>
  <c r="J857" i="17"/>
  <c r="H857" i="17"/>
  <c r="F857" i="17"/>
  <c r="D857" i="17"/>
  <c r="B857" i="17"/>
  <c r="C857" i="17" s="1"/>
  <c r="A857" i="17"/>
  <c r="K857" i="17" s="1"/>
  <c r="L856" i="17"/>
  <c r="J856" i="17"/>
  <c r="H856" i="17"/>
  <c r="F856" i="17"/>
  <c r="B856" i="17"/>
  <c r="C856" i="17" s="1"/>
  <c r="D856" i="17" s="1"/>
  <c r="A856" i="17"/>
  <c r="K856" i="17" s="1"/>
  <c r="L855" i="17"/>
  <c r="J855" i="17"/>
  <c r="H855" i="17"/>
  <c r="F855" i="17"/>
  <c r="D855" i="17"/>
  <c r="B855" i="17"/>
  <c r="C855" i="17" s="1"/>
  <c r="A855" i="17"/>
  <c r="K855" i="17" s="1"/>
  <c r="L854" i="17"/>
  <c r="J854" i="17"/>
  <c r="H854" i="17"/>
  <c r="F854" i="17"/>
  <c r="B854" i="17"/>
  <c r="C854" i="17" s="1"/>
  <c r="D854" i="17" s="1"/>
  <c r="A854" i="17"/>
  <c r="K854" i="17" s="1"/>
  <c r="L853" i="17"/>
  <c r="J853" i="17"/>
  <c r="H853" i="17"/>
  <c r="F853" i="17"/>
  <c r="D853" i="17"/>
  <c r="B853" i="17"/>
  <c r="C853" i="17" s="1"/>
  <c r="A853" i="17"/>
  <c r="K853" i="17" s="1"/>
  <c r="L852" i="17"/>
  <c r="J852" i="17"/>
  <c r="H852" i="17"/>
  <c r="F852" i="17"/>
  <c r="B852" i="17"/>
  <c r="C852" i="17" s="1"/>
  <c r="D852" i="17" s="1"/>
  <c r="A852" i="17"/>
  <c r="K852" i="17" s="1"/>
  <c r="L851" i="17"/>
  <c r="J851" i="17"/>
  <c r="H851" i="17"/>
  <c r="F851" i="17"/>
  <c r="D851" i="17"/>
  <c r="B851" i="17"/>
  <c r="C851" i="17" s="1"/>
  <c r="A851" i="17"/>
  <c r="K851" i="17" s="1"/>
  <c r="L850" i="17"/>
  <c r="J850" i="17"/>
  <c r="H850" i="17"/>
  <c r="F850" i="17"/>
  <c r="B850" i="17"/>
  <c r="C850" i="17" s="1"/>
  <c r="D850" i="17" s="1"/>
  <c r="A850" i="17"/>
  <c r="K850" i="17" s="1"/>
  <c r="L849" i="17"/>
  <c r="J849" i="17"/>
  <c r="H849" i="17"/>
  <c r="F849" i="17"/>
  <c r="D849" i="17"/>
  <c r="B849" i="17"/>
  <c r="C849" i="17" s="1"/>
  <c r="A849" i="17"/>
  <c r="K849" i="17" s="1"/>
  <c r="L848" i="17"/>
  <c r="J848" i="17"/>
  <c r="H848" i="17"/>
  <c r="F848" i="17"/>
  <c r="B848" i="17"/>
  <c r="C848" i="17" s="1"/>
  <c r="D848" i="17" s="1"/>
  <c r="A848" i="17"/>
  <c r="K848" i="17" s="1"/>
  <c r="L847" i="17"/>
  <c r="J847" i="17"/>
  <c r="H847" i="17"/>
  <c r="F847" i="17"/>
  <c r="D847" i="17"/>
  <c r="B847" i="17"/>
  <c r="C847" i="17" s="1"/>
  <c r="A847" i="17"/>
  <c r="K847" i="17" s="1"/>
  <c r="L846" i="17"/>
  <c r="J846" i="17"/>
  <c r="H846" i="17"/>
  <c r="F846" i="17"/>
  <c r="B846" i="17"/>
  <c r="C846" i="17" s="1"/>
  <c r="D846" i="17" s="1"/>
  <c r="A846" i="17"/>
  <c r="K846" i="17" s="1"/>
  <c r="L845" i="17"/>
  <c r="J845" i="17"/>
  <c r="H845" i="17"/>
  <c r="F845" i="17"/>
  <c r="D845" i="17"/>
  <c r="B845" i="17"/>
  <c r="C845" i="17" s="1"/>
  <c r="A845" i="17"/>
  <c r="K845" i="17" s="1"/>
  <c r="L844" i="17"/>
  <c r="J844" i="17"/>
  <c r="H844" i="17"/>
  <c r="F844" i="17"/>
  <c r="B844" i="17"/>
  <c r="C844" i="17" s="1"/>
  <c r="D844" i="17" s="1"/>
  <c r="A844" i="17"/>
  <c r="K844" i="17" s="1"/>
  <c r="L843" i="17"/>
  <c r="J843" i="17"/>
  <c r="H843" i="17"/>
  <c r="F843" i="17"/>
  <c r="D843" i="17"/>
  <c r="B843" i="17"/>
  <c r="C843" i="17" s="1"/>
  <c r="A843" i="17"/>
  <c r="K843" i="17" s="1"/>
  <c r="L842" i="17"/>
  <c r="J842" i="17"/>
  <c r="H842" i="17"/>
  <c r="F842" i="17"/>
  <c r="B842" i="17"/>
  <c r="C842" i="17" s="1"/>
  <c r="D842" i="17" s="1"/>
  <c r="A842" i="17"/>
  <c r="K842" i="17" s="1"/>
  <c r="L841" i="17"/>
  <c r="J841" i="17"/>
  <c r="H841" i="17"/>
  <c r="F841" i="17"/>
  <c r="D841" i="17"/>
  <c r="B841" i="17"/>
  <c r="C841" i="17" s="1"/>
  <c r="A841" i="17"/>
  <c r="K841" i="17" s="1"/>
  <c r="L840" i="17"/>
  <c r="J840" i="17"/>
  <c r="H840" i="17"/>
  <c r="F840" i="17"/>
  <c r="B840" i="17"/>
  <c r="C840" i="17" s="1"/>
  <c r="D840" i="17" s="1"/>
  <c r="A840" i="17"/>
  <c r="K840" i="17" s="1"/>
  <c r="L839" i="17"/>
  <c r="J839" i="17"/>
  <c r="H839" i="17"/>
  <c r="F839" i="17"/>
  <c r="D839" i="17"/>
  <c r="B839" i="17"/>
  <c r="C839" i="17" s="1"/>
  <c r="A839" i="17"/>
  <c r="K839" i="17" s="1"/>
  <c r="L838" i="17"/>
  <c r="J838" i="17"/>
  <c r="H838" i="17"/>
  <c r="F838" i="17"/>
  <c r="B838" i="17"/>
  <c r="C838" i="17" s="1"/>
  <c r="D838" i="17" s="1"/>
  <c r="A838" i="17"/>
  <c r="K838" i="17" s="1"/>
  <c r="L837" i="17"/>
  <c r="J837" i="17"/>
  <c r="H837" i="17"/>
  <c r="F837" i="17"/>
  <c r="D837" i="17"/>
  <c r="B837" i="17"/>
  <c r="C837" i="17" s="1"/>
  <c r="A837" i="17"/>
  <c r="K837" i="17" s="1"/>
  <c r="L836" i="17"/>
  <c r="J836" i="17"/>
  <c r="H836" i="17"/>
  <c r="F836" i="17"/>
  <c r="B836" i="17"/>
  <c r="C836" i="17" s="1"/>
  <c r="D836" i="17" s="1"/>
  <c r="A836" i="17"/>
  <c r="K836" i="17" s="1"/>
  <c r="L835" i="17"/>
  <c r="J835" i="17"/>
  <c r="H835" i="17"/>
  <c r="F835" i="17"/>
  <c r="D835" i="17"/>
  <c r="B835" i="17"/>
  <c r="C835" i="17" s="1"/>
  <c r="A835" i="17"/>
  <c r="K835" i="17" s="1"/>
  <c r="L834" i="17"/>
  <c r="J834" i="17"/>
  <c r="H834" i="17"/>
  <c r="F834" i="17"/>
  <c r="B834" i="17"/>
  <c r="C834" i="17" s="1"/>
  <c r="D834" i="17" s="1"/>
  <c r="A834" i="17"/>
  <c r="K834" i="17" s="1"/>
  <c r="L833" i="17"/>
  <c r="J833" i="17"/>
  <c r="H833" i="17"/>
  <c r="F833" i="17"/>
  <c r="D833" i="17"/>
  <c r="B833" i="17"/>
  <c r="C833" i="17" s="1"/>
  <c r="A833" i="17"/>
  <c r="K833" i="17" s="1"/>
  <c r="L832" i="17"/>
  <c r="J832" i="17"/>
  <c r="H832" i="17"/>
  <c r="F832" i="17"/>
  <c r="B832" i="17"/>
  <c r="C832" i="17" s="1"/>
  <c r="D832" i="17" s="1"/>
  <c r="A832" i="17"/>
  <c r="K832" i="17" s="1"/>
  <c r="L831" i="17"/>
  <c r="J831" i="17"/>
  <c r="H831" i="17"/>
  <c r="F831" i="17"/>
  <c r="D831" i="17"/>
  <c r="B831" i="17"/>
  <c r="C831" i="17" s="1"/>
  <c r="A831" i="17"/>
  <c r="K831" i="17" s="1"/>
  <c r="L830" i="17"/>
  <c r="J830" i="17"/>
  <c r="H830" i="17"/>
  <c r="F830" i="17"/>
  <c r="B830" i="17"/>
  <c r="C830" i="17" s="1"/>
  <c r="D830" i="17" s="1"/>
  <c r="A830" i="17"/>
  <c r="K830" i="17" s="1"/>
  <c r="L829" i="17"/>
  <c r="J829" i="17"/>
  <c r="H829" i="17"/>
  <c r="F829" i="17"/>
  <c r="D829" i="17"/>
  <c r="B829" i="17"/>
  <c r="C829" i="17" s="1"/>
  <c r="A829" i="17"/>
  <c r="K829" i="17" s="1"/>
  <c r="L828" i="17"/>
  <c r="J828" i="17"/>
  <c r="H828" i="17"/>
  <c r="F828" i="17"/>
  <c r="B828" i="17"/>
  <c r="C828" i="17" s="1"/>
  <c r="D828" i="17" s="1"/>
  <c r="A828" i="17"/>
  <c r="K828" i="17" s="1"/>
  <c r="L827" i="17"/>
  <c r="J827" i="17"/>
  <c r="H827" i="17"/>
  <c r="F827" i="17"/>
  <c r="D827" i="17"/>
  <c r="B827" i="17"/>
  <c r="C827" i="17" s="1"/>
  <c r="A827" i="17"/>
  <c r="K827" i="17" s="1"/>
  <c r="L826" i="17"/>
  <c r="J826" i="17"/>
  <c r="H826" i="17"/>
  <c r="F826" i="17"/>
  <c r="B826" i="17"/>
  <c r="C826" i="17" s="1"/>
  <c r="D826" i="17" s="1"/>
  <c r="A826" i="17"/>
  <c r="K826" i="17" s="1"/>
  <c r="L825" i="17"/>
  <c r="J825" i="17"/>
  <c r="H825" i="17"/>
  <c r="F825" i="17"/>
  <c r="D825" i="17"/>
  <c r="B825" i="17"/>
  <c r="C825" i="17" s="1"/>
  <c r="A825" i="17"/>
  <c r="K825" i="17" s="1"/>
  <c r="L824" i="17"/>
  <c r="J824" i="17"/>
  <c r="H824" i="17"/>
  <c r="F824" i="17"/>
  <c r="B824" i="17"/>
  <c r="C824" i="17" s="1"/>
  <c r="D824" i="17" s="1"/>
  <c r="A824" i="17"/>
  <c r="K824" i="17" s="1"/>
  <c r="L823" i="17"/>
  <c r="J823" i="17"/>
  <c r="H823" i="17"/>
  <c r="F823" i="17"/>
  <c r="D823" i="17"/>
  <c r="B823" i="17"/>
  <c r="C823" i="17" s="1"/>
  <c r="A823" i="17"/>
  <c r="K823" i="17" s="1"/>
  <c r="L822" i="17"/>
  <c r="J822" i="17"/>
  <c r="H822" i="17"/>
  <c r="F822" i="17"/>
  <c r="B822" i="17"/>
  <c r="C822" i="17" s="1"/>
  <c r="D822" i="17" s="1"/>
  <c r="A822" i="17"/>
  <c r="K822" i="17" s="1"/>
  <c r="L821" i="17"/>
  <c r="J821" i="17"/>
  <c r="H821" i="17"/>
  <c r="F821" i="17"/>
  <c r="D821" i="17"/>
  <c r="B821" i="17"/>
  <c r="C821" i="17" s="1"/>
  <c r="A821" i="17"/>
  <c r="K821" i="17" s="1"/>
  <c r="L820" i="17"/>
  <c r="J820" i="17"/>
  <c r="H820" i="17"/>
  <c r="F820" i="17"/>
  <c r="B820" i="17"/>
  <c r="C820" i="17" s="1"/>
  <c r="D820" i="17" s="1"/>
  <c r="A820" i="17"/>
  <c r="K820" i="17" s="1"/>
  <c r="L819" i="17"/>
  <c r="J819" i="17"/>
  <c r="H819" i="17"/>
  <c r="F819" i="17"/>
  <c r="B819" i="17"/>
  <c r="C819" i="17" s="1"/>
  <c r="D819" i="17" s="1"/>
  <c r="A819" i="17"/>
  <c r="K819" i="17" s="1"/>
  <c r="L818" i="17"/>
  <c r="J818" i="17"/>
  <c r="H818" i="17"/>
  <c r="F818" i="17"/>
  <c r="D818" i="17"/>
  <c r="B818" i="17"/>
  <c r="C818" i="17" s="1"/>
  <c r="A818" i="17"/>
  <c r="K818" i="17" s="1"/>
  <c r="L817" i="17"/>
  <c r="J817" i="17"/>
  <c r="H817" i="17"/>
  <c r="F817" i="17"/>
  <c r="B817" i="17"/>
  <c r="C817" i="17" s="1"/>
  <c r="D817" i="17" s="1"/>
  <c r="A817" i="17"/>
  <c r="K817" i="17" s="1"/>
  <c r="L816" i="17"/>
  <c r="J816" i="17"/>
  <c r="H816" i="17"/>
  <c r="F816" i="17"/>
  <c r="D816" i="17"/>
  <c r="B816" i="17"/>
  <c r="C816" i="17" s="1"/>
  <c r="A816" i="17"/>
  <c r="K816" i="17" s="1"/>
  <c r="L815" i="17"/>
  <c r="J815" i="17"/>
  <c r="H815" i="17"/>
  <c r="F815" i="17"/>
  <c r="B815" i="17"/>
  <c r="C815" i="17" s="1"/>
  <c r="D815" i="17" s="1"/>
  <c r="A815" i="17"/>
  <c r="K815" i="17" s="1"/>
  <c r="L814" i="17"/>
  <c r="J814" i="17"/>
  <c r="H814" i="17"/>
  <c r="F814" i="17"/>
  <c r="D814" i="17"/>
  <c r="B814" i="17"/>
  <c r="C814" i="17" s="1"/>
  <c r="A814" i="17"/>
  <c r="K814" i="17" s="1"/>
  <c r="L813" i="17"/>
  <c r="J813" i="17"/>
  <c r="H813" i="17"/>
  <c r="F813" i="17"/>
  <c r="B813" i="17"/>
  <c r="C813" i="17" s="1"/>
  <c r="D813" i="17" s="1"/>
  <c r="A813" i="17"/>
  <c r="K813" i="17" s="1"/>
  <c r="L812" i="17"/>
  <c r="J812" i="17"/>
  <c r="H812" i="17"/>
  <c r="F812" i="17"/>
  <c r="D812" i="17"/>
  <c r="B812" i="17"/>
  <c r="C812" i="17" s="1"/>
  <c r="A812" i="17"/>
  <c r="K812" i="17" s="1"/>
  <c r="L811" i="17"/>
  <c r="J811" i="17"/>
  <c r="H811" i="17"/>
  <c r="F811" i="17"/>
  <c r="B811" i="17"/>
  <c r="C811" i="17" s="1"/>
  <c r="D811" i="17" s="1"/>
  <c r="A811" i="17"/>
  <c r="K811" i="17" s="1"/>
  <c r="L810" i="17"/>
  <c r="J810" i="17"/>
  <c r="H810" i="17"/>
  <c r="F810" i="17"/>
  <c r="D810" i="17"/>
  <c r="B810" i="17"/>
  <c r="C810" i="17" s="1"/>
  <c r="A810" i="17"/>
  <c r="K810" i="17" s="1"/>
  <c r="L809" i="17"/>
  <c r="J809" i="17"/>
  <c r="H809" i="17"/>
  <c r="F809" i="17"/>
  <c r="B809" i="17"/>
  <c r="C809" i="17" s="1"/>
  <c r="D809" i="17" s="1"/>
  <c r="A809" i="17"/>
  <c r="K809" i="17" s="1"/>
  <c r="L808" i="17"/>
  <c r="J808" i="17"/>
  <c r="H808" i="17"/>
  <c r="F808" i="17"/>
  <c r="D808" i="17"/>
  <c r="B808" i="17"/>
  <c r="C808" i="17" s="1"/>
  <c r="A808" i="17"/>
  <c r="K808" i="17" s="1"/>
  <c r="L807" i="17"/>
  <c r="J807" i="17"/>
  <c r="H807" i="17"/>
  <c r="F807" i="17"/>
  <c r="B807" i="17"/>
  <c r="C807" i="17" s="1"/>
  <c r="D807" i="17" s="1"/>
  <c r="A807" i="17"/>
  <c r="K807" i="17" s="1"/>
  <c r="L806" i="17"/>
  <c r="J806" i="17"/>
  <c r="H806" i="17"/>
  <c r="F806" i="17"/>
  <c r="D806" i="17"/>
  <c r="B806" i="17"/>
  <c r="C806" i="17" s="1"/>
  <c r="A806" i="17"/>
  <c r="K806" i="17" s="1"/>
  <c r="L805" i="17"/>
  <c r="J805" i="17"/>
  <c r="H805" i="17"/>
  <c r="F805" i="17"/>
  <c r="B805" i="17"/>
  <c r="C805" i="17" s="1"/>
  <c r="D805" i="17" s="1"/>
  <c r="A805" i="17"/>
  <c r="K805" i="17" s="1"/>
  <c r="L804" i="17"/>
  <c r="J804" i="17"/>
  <c r="H804" i="17"/>
  <c r="F804" i="17"/>
  <c r="D804" i="17"/>
  <c r="B804" i="17"/>
  <c r="C804" i="17" s="1"/>
  <c r="A804" i="17"/>
  <c r="K804" i="17" s="1"/>
  <c r="L803" i="17"/>
  <c r="J803" i="17"/>
  <c r="H803" i="17"/>
  <c r="F803" i="17"/>
  <c r="B803" i="17"/>
  <c r="C803" i="17" s="1"/>
  <c r="D803" i="17" s="1"/>
  <c r="A803" i="17"/>
  <c r="K803" i="17" s="1"/>
  <c r="L802" i="17"/>
  <c r="J802" i="17"/>
  <c r="H802" i="17"/>
  <c r="F802" i="17"/>
  <c r="D802" i="17"/>
  <c r="B802" i="17"/>
  <c r="C802" i="17" s="1"/>
  <c r="A802" i="17"/>
  <c r="K802" i="17" s="1"/>
  <c r="L801" i="17"/>
  <c r="J801" i="17"/>
  <c r="H801" i="17"/>
  <c r="F801" i="17"/>
  <c r="B801" i="17"/>
  <c r="C801" i="17" s="1"/>
  <c r="D801" i="17" s="1"/>
  <c r="A801" i="17"/>
  <c r="K801" i="17" s="1"/>
  <c r="L800" i="17"/>
  <c r="J800" i="17"/>
  <c r="H800" i="17"/>
  <c r="F800" i="17"/>
  <c r="D800" i="17"/>
  <c r="B800" i="17"/>
  <c r="C800" i="17" s="1"/>
  <c r="A800" i="17"/>
  <c r="K800" i="17" s="1"/>
  <c r="L799" i="17"/>
  <c r="J799" i="17"/>
  <c r="H799" i="17"/>
  <c r="F799" i="17"/>
  <c r="B799" i="17"/>
  <c r="C799" i="17" s="1"/>
  <c r="D799" i="17" s="1"/>
  <c r="A799" i="17"/>
  <c r="K799" i="17" s="1"/>
  <c r="L798" i="17"/>
  <c r="J798" i="17"/>
  <c r="H798" i="17"/>
  <c r="F798" i="17"/>
  <c r="D798" i="17"/>
  <c r="B798" i="17"/>
  <c r="C798" i="17" s="1"/>
  <c r="A798" i="17"/>
  <c r="K798" i="17" s="1"/>
  <c r="L797" i="17"/>
  <c r="J797" i="17"/>
  <c r="H797" i="17"/>
  <c r="F797" i="17"/>
  <c r="B797" i="17"/>
  <c r="C797" i="17" s="1"/>
  <c r="D797" i="17" s="1"/>
  <c r="A797" i="17"/>
  <c r="K797" i="17" s="1"/>
  <c r="L796" i="17"/>
  <c r="J796" i="17"/>
  <c r="H796" i="17"/>
  <c r="F796" i="17"/>
  <c r="D796" i="17"/>
  <c r="B796" i="17"/>
  <c r="C796" i="17" s="1"/>
  <c r="A796" i="17"/>
  <c r="K796" i="17" s="1"/>
  <c r="L795" i="17"/>
  <c r="J795" i="17"/>
  <c r="H795" i="17"/>
  <c r="F795" i="17"/>
  <c r="B795" i="17"/>
  <c r="C795" i="17" s="1"/>
  <c r="D795" i="17" s="1"/>
  <c r="A795" i="17"/>
  <c r="K795" i="17" s="1"/>
  <c r="L794" i="17"/>
  <c r="J794" i="17"/>
  <c r="H794" i="17"/>
  <c r="F794" i="17"/>
  <c r="D794" i="17"/>
  <c r="B794" i="17"/>
  <c r="C794" i="17" s="1"/>
  <c r="A794" i="17"/>
  <c r="K794" i="17" s="1"/>
  <c r="L793" i="17"/>
  <c r="J793" i="17"/>
  <c r="H793" i="17"/>
  <c r="F793" i="17"/>
  <c r="B793" i="17"/>
  <c r="C793" i="17" s="1"/>
  <c r="D793" i="17" s="1"/>
  <c r="A793" i="17"/>
  <c r="K793" i="17" s="1"/>
  <c r="L792" i="17"/>
  <c r="J792" i="17"/>
  <c r="H792" i="17"/>
  <c r="F792" i="17"/>
  <c r="D792" i="17"/>
  <c r="B792" i="17"/>
  <c r="C792" i="17" s="1"/>
  <c r="A792" i="17"/>
  <c r="K792" i="17" s="1"/>
  <c r="L791" i="17"/>
  <c r="J791" i="17"/>
  <c r="H791" i="17"/>
  <c r="F791" i="17"/>
  <c r="B791" i="17"/>
  <c r="C791" i="17" s="1"/>
  <c r="D791" i="17" s="1"/>
  <c r="A791" i="17"/>
  <c r="K791" i="17" s="1"/>
  <c r="L790" i="17"/>
  <c r="J790" i="17"/>
  <c r="H790" i="17"/>
  <c r="F790" i="17"/>
  <c r="D790" i="17"/>
  <c r="B790" i="17"/>
  <c r="C790" i="17" s="1"/>
  <c r="A790" i="17"/>
  <c r="K790" i="17" s="1"/>
  <c r="L789" i="17"/>
  <c r="J789" i="17"/>
  <c r="H789" i="17"/>
  <c r="F789" i="17"/>
  <c r="B789" i="17"/>
  <c r="C789" i="17" s="1"/>
  <c r="D789" i="17" s="1"/>
  <c r="A789" i="17"/>
  <c r="K789" i="17" s="1"/>
  <c r="L788" i="17"/>
  <c r="J788" i="17"/>
  <c r="H788" i="17"/>
  <c r="F788" i="17"/>
  <c r="D788" i="17"/>
  <c r="B788" i="17"/>
  <c r="C788" i="17" s="1"/>
  <c r="A788" i="17"/>
  <c r="K788" i="17" s="1"/>
  <c r="L787" i="17"/>
  <c r="J787" i="17"/>
  <c r="H787" i="17"/>
  <c r="F787" i="17"/>
  <c r="D787" i="17"/>
  <c r="B787" i="17"/>
  <c r="C787" i="17" s="1"/>
  <c r="A787" i="17"/>
  <c r="K787" i="17" s="1"/>
  <c r="L786" i="17"/>
  <c r="J786" i="17"/>
  <c r="H786" i="17"/>
  <c r="F786" i="17"/>
  <c r="B786" i="17"/>
  <c r="C786" i="17" s="1"/>
  <c r="D786" i="17" s="1"/>
  <c r="A786" i="17"/>
  <c r="K786" i="17" s="1"/>
  <c r="L785" i="17"/>
  <c r="J785" i="17"/>
  <c r="H785" i="17"/>
  <c r="F785" i="17"/>
  <c r="D785" i="17"/>
  <c r="B785" i="17"/>
  <c r="C785" i="17" s="1"/>
  <c r="A785" i="17"/>
  <c r="K785" i="17" s="1"/>
  <c r="L784" i="17"/>
  <c r="J784" i="17"/>
  <c r="H784" i="17"/>
  <c r="F784" i="17"/>
  <c r="B784" i="17"/>
  <c r="C784" i="17" s="1"/>
  <c r="D784" i="17" s="1"/>
  <c r="A784" i="17"/>
  <c r="K784" i="17" s="1"/>
  <c r="L783" i="17"/>
  <c r="J783" i="17"/>
  <c r="H783" i="17"/>
  <c r="F783" i="17"/>
  <c r="D783" i="17"/>
  <c r="B783" i="17"/>
  <c r="C783" i="17" s="1"/>
  <c r="A783" i="17"/>
  <c r="K783" i="17" s="1"/>
  <c r="L782" i="17"/>
  <c r="J782" i="17"/>
  <c r="H782" i="17"/>
  <c r="F782" i="17"/>
  <c r="B782" i="17"/>
  <c r="C782" i="17" s="1"/>
  <c r="D782" i="17" s="1"/>
  <c r="A782" i="17"/>
  <c r="K782" i="17" s="1"/>
  <c r="L781" i="17"/>
  <c r="J781" i="17"/>
  <c r="H781" i="17"/>
  <c r="F781" i="17"/>
  <c r="D781" i="17"/>
  <c r="B781" i="17"/>
  <c r="C781" i="17" s="1"/>
  <c r="A781" i="17"/>
  <c r="K781" i="17" s="1"/>
  <c r="L780" i="17"/>
  <c r="J780" i="17"/>
  <c r="H780" i="17"/>
  <c r="F780" i="17"/>
  <c r="B780" i="17"/>
  <c r="C780" i="17" s="1"/>
  <c r="D780" i="17" s="1"/>
  <c r="A780" i="17"/>
  <c r="K780" i="17" s="1"/>
  <c r="L779" i="17"/>
  <c r="J779" i="17"/>
  <c r="H779" i="17"/>
  <c r="F779" i="17"/>
  <c r="D779" i="17"/>
  <c r="B779" i="17"/>
  <c r="C779" i="17" s="1"/>
  <c r="A779" i="17"/>
  <c r="K779" i="17" s="1"/>
  <c r="L778" i="17"/>
  <c r="J778" i="17"/>
  <c r="H778" i="17"/>
  <c r="F778" i="17"/>
  <c r="B778" i="17"/>
  <c r="C778" i="17" s="1"/>
  <c r="D778" i="17" s="1"/>
  <c r="A778" i="17"/>
  <c r="K778" i="17" s="1"/>
  <c r="L777" i="17"/>
  <c r="J777" i="17"/>
  <c r="H777" i="17"/>
  <c r="F777" i="17"/>
  <c r="D777" i="17"/>
  <c r="B777" i="17"/>
  <c r="C777" i="17" s="1"/>
  <c r="A777" i="17"/>
  <c r="K777" i="17" s="1"/>
  <c r="L776" i="17"/>
  <c r="J776" i="17"/>
  <c r="H776" i="17"/>
  <c r="F776" i="17"/>
  <c r="B776" i="17"/>
  <c r="C776" i="17" s="1"/>
  <c r="D776" i="17" s="1"/>
  <c r="A776" i="17"/>
  <c r="K776" i="17" s="1"/>
  <c r="L775" i="17"/>
  <c r="J775" i="17"/>
  <c r="H775" i="17"/>
  <c r="F775" i="17"/>
  <c r="D775" i="17"/>
  <c r="B775" i="17"/>
  <c r="C775" i="17" s="1"/>
  <c r="A775" i="17"/>
  <c r="K775" i="17" s="1"/>
  <c r="L774" i="17"/>
  <c r="J774" i="17"/>
  <c r="H774" i="17"/>
  <c r="F774" i="17"/>
  <c r="B774" i="17"/>
  <c r="C774" i="17" s="1"/>
  <c r="D774" i="17" s="1"/>
  <c r="A774" i="17"/>
  <c r="K774" i="17" s="1"/>
  <c r="L773" i="17"/>
  <c r="J773" i="17"/>
  <c r="H773" i="17"/>
  <c r="F773" i="17"/>
  <c r="D773" i="17"/>
  <c r="B773" i="17"/>
  <c r="C773" i="17" s="1"/>
  <c r="A773" i="17"/>
  <c r="K773" i="17" s="1"/>
  <c r="L772" i="17"/>
  <c r="J772" i="17"/>
  <c r="H772" i="17"/>
  <c r="F772" i="17"/>
  <c r="B772" i="17"/>
  <c r="C772" i="17" s="1"/>
  <c r="D772" i="17" s="1"/>
  <c r="A772" i="17"/>
  <c r="K772" i="17" s="1"/>
  <c r="L771" i="17"/>
  <c r="J771" i="17"/>
  <c r="H771" i="17"/>
  <c r="F771" i="17"/>
  <c r="D771" i="17"/>
  <c r="B771" i="17"/>
  <c r="C771" i="17" s="1"/>
  <c r="A771" i="17"/>
  <c r="K771" i="17" s="1"/>
  <c r="L770" i="17"/>
  <c r="J770" i="17"/>
  <c r="H770" i="17"/>
  <c r="F770" i="17"/>
  <c r="B770" i="17"/>
  <c r="C770" i="17" s="1"/>
  <c r="D770" i="17" s="1"/>
  <c r="A770" i="17"/>
  <c r="K770" i="17" s="1"/>
  <c r="L769" i="17"/>
  <c r="J769" i="17"/>
  <c r="H769" i="17"/>
  <c r="F769" i="17"/>
  <c r="D769" i="17"/>
  <c r="B769" i="17"/>
  <c r="C769" i="17" s="1"/>
  <c r="A769" i="17"/>
  <c r="K769" i="17" s="1"/>
  <c r="L768" i="17"/>
  <c r="J768" i="17"/>
  <c r="H768" i="17"/>
  <c r="F768" i="17"/>
  <c r="B768" i="17"/>
  <c r="C768" i="17" s="1"/>
  <c r="D768" i="17" s="1"/>
  <c r="A768" i="17"/>
  <c r="K768" i="17" s="1"/>
  <c r="L767" i="17"/>
  <c r="J767" i="17"/>
  <c r="H767" i="17"/>
  <c r="F767" i="17"/>
  <c r="D767" i="17"/>
  <c r="B767" i="17"/>
  <c r="C767" i="17" s="1"/>
  <c r="A767" i="17"/>
  <c r="K767" i="17" s="1"/>
  <c r="L766" i="17"/>
  <c r="J766" i="17"/>
  <c r="H766" i="17"/>
  <c r="F766" i="17"/>
  <c r="B766" i="17"/>
  <c r="C766" i="17" s="1"/>
  <c r="D766" i="17" s="1"/>
  <c r="A766" i="17"/>
  <c r="K766" i="17" s="1"/>
  <c r="L765" i="17"/>
  <c r="J765" i="17"/>
  <c r="H765" i="17"/>
  <c r="F765" i="17"/>
  <c r="D765" i="17"/>
  <c r="B765" i="17"/>
  <c r="C765" i="17" s="1"/>
  <c r="A765" i="17"/>
  <c r="K765" i="17" s="1"/>
  <c r="L764" i="17"/>
  <c r="J764" i="17"/>
  <c r="H764" i="17"/>
  <c r="F764" i="17"/>
  <c r="B764" i="17"/>
  <c r="C764" i="17" s="1"/>
  <c r="D764" i="17" s="1"/>
  <c r="A764" i="17"/>
  <c r="K764" i="17" s="1"/>
  <c r="L763" i="17"/>
  <c r="J763" i="17"/>
  <c r="H763" i="17"/>
  <c r="F763" i="17"/>
  <c r="D763" i="17"/>
  <c r="B763" i="17"/>
  <c r="C763" i="17" s="1"/>
  <c r="A763" i="17"/>
  <c r="K763" i="17" s="1"/>
  <c r="L762" i="17"/>
  <c r="J762" i="17"/>
  <c r="H762" i="17"/>
  <c r="F762" i="17"/>
  <c r="D762" i="17"/>
  <c r="B762" i="17"/>
  <c r="C762" i="17" s="1"/>
  <c r="A762" i="17"/>
  <c r="K762" i="17" s="1"/>
  <c r="L761" i="17"/>
  <c r="J761" i="17"/>
  <c r="H761" i="17"/>
  <c r="F761" i="17"/>
  <c r="B761" i="17"/>
  <c r="C761" i="17" s="1"/>
  <c r="D761" i="17" s="1"/>
  <c r="A761" i="17"/>
  <c r="K761" i="17" s="1"/>
  <c r="L760" i="17"/>
  <c r="J760" i="17"/>
  <c r="H760" i="17"/>
  <c r="F760" i="17"/>
  <c r="D760" i="17"/>
  <c r="B760" i="17"/>
  <c r="C760" i="17" s="1"/>
  <c r="A760" i="17"/>
  <c r="K760" i="17" s="1"/>
  <c r="L759" i="17"/>
  <c r="J759" i="17"/>
  <c r="H759" i="17"/>
  <c r="F759" i="17"/>
  <c r="B759" i="17"/>
  <c r="C759" i="17" s="1"/>
  <c r="D759" i="17" s="1"/>
  <c r="A759" i="17"/>
  <c r="K759" i="17" s="1"/>
  <c r="L758" i="17"/>
  <c r="J758" i="17"/>
  <c r="H758" i="17"/>
  <c r="F758" i="17"/>
  <c r="D758" i="17"/>
  <c r="B758" i="17"/>
  <c r="C758" i="17" s="1"/>
  <c r="A758" i="17"/>
  <c r="K758" i="17" s="1"/>
  <c r="L757" i="17"/>
  <c r="J757" i="17"/>
  <c r="H757" i="17"/>
  <c r="F757" i="17"/>
  <c r="B757" i="17"/>
  <c r="C757" i="17" s="1"/>
  <c r="D757" i="17" s="1"/>
  <c r="A757" i="17"/>
  <c r="K757" i="17" s="1"/>
  <c r="L756" i="17"/>
  <c r="J756" i="17"/>
  <c r="H756" i="17"/>
  <c r="F756" i="17"/>
  <c r="D756" i="17"/>
  <c r="B756" i="17"/>
  <c r="C756" i="17" s="1"/>
  <c r="A756" i="17"/>
  <c r="K756" i="17" s="1"/>
  <c r="L755" i="17"/>
  <c r="J755" i="17"/>
  <c r="H755" i="17"/>
  <c r="F755" i="17"/>
  <c r="B755" i="17"/>
  <c r="C755" i="17" s="1"/>
  <c r="D755" i="17" s="1"/>
  <c r="A755" i="17"/>
  <c r="K755" i="17" s="1"/>
  <c r="L754" i="17"/>
  <c r="J754" i="17"/>
  <c r="H754" i="17"/>
  <c r="F754" i="17"/>
  <c r="D754" i="17"/>
  <c r="B754" i="17"/>
  <c r="C754" i="17" s="1"/>
  <c r="A754" i="17"/>
  <c r="K754" i="17" s="1"/>
  <c r="L753" i="17"/>
  <c r="J753" i="17"/>
  <c r="H753" i="17"/>
  <c r="F753" i="17"/>
  <c r="B753" i="17"/>
  <c r="C753" i="17" s="1"/>
  <c r="D753" i="17" s="1"/>
  <c r="A753" i="17"/>
  <c r="K753" i="17" s="1"/>
  <c r="L752" i="17"/>
  <c r="J752" i="17"/>
  <c r="H752" i="17"/>
  <c r="F752" i="17"/>
  <c r="D752" i="17"/>
  <c r="B752" i="17"/>
  <c r="C752" i="17" s="1"/>
  <c r="A752" i="17"/>
  <c r="K752" i="17" s="1"/>
  <c r="L751" i="17"/>
  <c r="J751" i="17"/>
  <c r="H751" i="17"/>
  <c r="F751" i="17"/>
  <c r="B751" i="17"/>
  <c r="C751" i="17" s="1"/>
  <c r="D751" i="17" s="1"/>
  <c r="A751" i="17"/>
  <c r="K751" i="17" s="1"/>
  <c r="L750" i="17"/>
  <c r="J750" i="17"/>
  <c r="H750" i="17"/>
  <c r="F750" i="17"/>
  <c r="D750" i="17"/>
  <c r="B750" i="17"/>
  <c r="C750" i="17" s="1"/>
  <c r="A750" i="17"/>
  <c r="K750" i="17" s="1"/>
  <c r="L749" i="17"/>
  <c r="J749" i="17"/>
  <c r="H749" i="17"/>
  <c r="F749" i="17"/>
  <c r="B749" i="17"/>
  <c r="C749" i="17" s="1"/>
  <c r="D749" i="17" s="1"/>
  <c r="A749" i="17"/>
  <c r="K749" i="17" s="1"/>
  <c r="L748" i="17"/>
  <c r="J748" i="17"/>
  <c r="H748" i="17"/>
  <c r="F748" i="17"/>
  <c r="D748" i="17"/>
  <c r="B748" i="17"/>
  <c r="C748" i="17" s="1"/>
  <c r="A748" i="17"/>
  <c r="K748" i="17" s="1"/>
  <c r="L747" i="17"/>
  <c r="J747" i="17"/>
  <c r="H747" i="17"/>
  <c r="F747" i="17"/>
  <c r="B747" i="17"/>
  <c r="C747" i="17" s="1"/>
  <c r="D747" i="17" s="1"/>
  <c r="A747" i="17"/>
  <c r="K747" i="17" s="1"/>
  <c r="L746" i="17"/>
  <c r="J746" i="17"/>
  <c r="H746" i="17"/>
  <c r="F746" i="17"/>
  <c r="D746" i="17"/>
  <c r="B746" i="17"/>
  <c r="C746" i="17" s="1"/>
  <c r="A746" i="17"/>
  <c r="K746" i="17" s="1"/>
  <c r="L745" i="17"/>
  <c r="J745" i="17"/>
  <c r="H745" i="17"/>
  <c r="F745" i="17"/>
  <c r="B745" i="17"/>
  <c r="C745" i="17" s="1"/>
  <c r="D745" i="17" s="1"/>
  <c r="A745" i="17"/>
  <c r="K745" i="17" s="1"/>
  <c r="L744" i="17"/>
  <c r="J744" i="17"/>
  <c r="H744" i="17"/>
  <c r="F744" i="17"/>
  <c r="D744" i="17"/>
  <c r="B744" i="17"/>
  <c r="C744" i="17" s="1"/>
  <c r="A744" i="17"/>
  <c r="K744" i="17" s="1"/>
  <c r="L743" i="17"/>
  <c r="J743" i="17"/>
  <c r="H743" i="17"/>
  <c r="F743" i="17"/>
  <c r="B743" i="17"/>
  <c r="C743" i="17" s="1"/>
  <c r="D743" i="17" s="1"/>
  <c r="A743" i="17"/>
  <c r="K743" i="17" s="1"/>
  <c r="L742" i="17"/>
  <c r="J742" i="17"/>
  <c r="H742" i="17"/>
  <c r="F742" i="17"/>
  <c r="D742" i="17"/>
  <c r="B742" i="17"/>
  <c r="C742" i="17" s="1"/>
  <c r="A742" i="17"/>
  <c r="K742" i="17" s="1"/>
  <c r="L741" i="17"/>
  <c r="J741" i="17"/>
  <c r="H741" i="17"/>
  <c r="F741" i="17"/>
  <c r="B741" i="17"/>
  <c r="C741" i="17" s="1"/>
  <c r="D741" i="17" s="1"/>
  <c r="A741" i="17"/>
  <c r="K741" i="17" s="1"/>
  <c r="L740" i="17"/>
  <c r="J740" i="17"/>
  <c r="H740" i="17"/>
  <c r="F740" i="17"/>
  <c r="D740" i="17"/>
  <c r="B740" i="17"/>
  <c r="C740" i="17" s="1"/>
  <c r="A740" i="17"/>
  <c r="K740" i="17" s="1"/>
  <c r="L739" i="17"/>
  <c r="J739" i="17"/>
  <c r="H739" i="17"/>
  <c r="F739" i="17"/>
  <c r="B739" i="17"/>
  <c r="C739" i="17" s="1"/>
  <c r="D739" i="17" s="1"/>
  <c r="A739" i="17"/>
  <c r="K739" i="17" s="1"/>
  <c r="L738" i="17"/>
  <c r="J738" i="17"/>
  <c r="H738" i="17"/>
  <c r="F738" i="17"/>
  <c r="D738" i="17"/>
  <c r="B738" i="17"/>
  <c r="C738" i="17" s="1"/>
  <c r="A738" i="17"/>
  <c r="K738" i="17" s="1"/>
  <c r="L737" i="17"/>
  <c r="J737" i="17"/>
  <c r="H737" i="17"/>
  <c r="F737" i="17"/>
  <c r="B737" i="17"/>
  <c r="C737" i="17" s="1"/>
  <c r="D737" i="17" s="1"/>
  <c r="A737" i="17"/>
  <c r="K737" i="17" s="1"/>
  <c r="L736" i="17"/>
  <c r="J736" i="17"/>
  <c r="H736" i="17"/>
  <c r="F736" i="17"/>
  <c r="D736" i="17"/>
  <c r="B736" i="17"/>
  <c r="C736" i="17" s="1"/>
  <c r="A736" i="17"/>
  <c r="K736" i="17" s="1"/>
  <c r="L735" i="17"/>
  <c r="J735" i="17"/>
  <c r="H735" i="17"/>
  <c r="F735" i="17"/>
  <c r="B735" i="17"/>
  <c r="C735" i="17" s="1"/>
  <c r="D735" i="17" s="1"/>
  <c r="A735" i="17"/>
  <c r="K735" i="17" s="1"/>
  <c r="L734" i="17"/>
  <c r="J734" i="17"/>
  <c r="H734" i="17"/>
  <c r="F734" i="17"/>
  <c r="D734" i="17"/>
  <c r="B734" i="17"/>
  <c r="C734" i="17" s="1"/>
  <c r="A734" i="17"/>
  <c r="K734" i="17" s="1"/>
  <c r="L733" i="17"/>
  <c r="J733" i="17"/>
  <c r="H733" i="17"/>
  <c r="F733" i="17"/>
  <c r="B733" i="17"/>
  <c r="C733" i="17" s="1"/>
  <c r="D733" i="17" s="1"/>
  <c r="A733" i="17"/>
  <c r="K733" i="17" s="1"/>
  <c r="L732" i="17"/>
  <c r="J732" i="17"/>
  <c r="H732" i="17"/>
  <c r="F732" i="17"/>
  <c r="D732" i="17"/>
  <c r="B732" i="17"/>
  <c r="C732" i="17" s="1"/>
  <c r="A732" i="17"/>
  <c r="K732" i="17" s="1"/>
  <c r="L731" i="17"/>
  <c r="J731" i="17"/>
  <c r="H731" i="17"/>
  <c r="F731" i="17"/>
  <c r="B731" i="17"/>
  <c r="C731" i="17" s="1"/>
  <c r="D731" i="17" s="1"/>
  <c r="A731" i="17"/>
  <c r="K731" i="17" s="1"/>
  <c r="L730" i="17"/>
  <c r="J730" i="17"/>
  <c r="H730" i="17"/>
  <c r="F730" i="17"/>
  <c r="D730" i="17"/>
  <c r="B730" i="17"/>
  <c r="C730" i="17" s="1"/>
  <c r="A730" i="17"/>
  <c r="K730" i="17" s="1"/>
  <c r="L729" i="17"/>
  <c r="J729" i="17"/>
  <c r="H729" i="17"/>
  <c r="F729" i="17"/>
  <c r="D729" i="17"/>
  <c r="B729" i="17"/>
  <c r="C729" i="17" s="1"/>
  <c r="A729" i="17"/>
  <c r="K729" i="17" s="1"/>
  <c r="L728" i="17"/>
  <c r="J728" i="17"/>
  <c r="H728" i="17"/>
  <c r="F728" i="17"/>
  <c r="B728" i="17"/>
  <c r="C728" i="17" s="1"/>
  <c r="D728" i="17" s="1"/>
  <c r="A728" i="17"/>
  <c r="K728" i="17" s="1"/>
  <c r="C727" i="17"/>
  <c r="D727" i="17" s="1"/>
  <c r="B727" i="17"/>
  <c r="A727" i="17"/>
  <c r="K727" i="17" s="1"/>
  <c r="C726" i="17"/>
  <c r="D726" i="17" s="1"/>
  <c r="B726" i="17"/>
  <c r="A726" i="17"/>
  <c r="K726" i="17" s="1"/>
  <c r="C725" i="17"/>
  <c r="D725" i="17" s="1"/>
  <c r="B725" i="17"/>
  <c r="A725" i="17"/>
  <c r="K725" i="17" s="1"/>
  <c r="C724" i="17"/>
  <c r="D724" i="17" s="1"/>
  <c r="B724" i="17"/>
  <c r="A724" i="17"/>
  <c r="K724" i="17" s="1"/>
  <c r="C723" i="17"/>
  <c r="D723" i="17" s="1"/>
  <c r="B723" i="17"/>
  <c r="A723" i="17"/>
  <c r="K723" i="17" s="1"/>
  <c r="C722" i="17"/>
  <c r="D722" i="17" s="1"/>
  <c r="B722" i="17"/>
  <c r="A722" i="17"/>
  <c r="K722" i="17" s="1"/>
  <c r="C721" i="17"/>
  <c r="D721" i="17" s="1"/>
  <c r="B721" i="17"/>
  <c r="A721" i="17"/>
  <c r="K721" i="17" s="1"/>
  <c r="C720" i="17"/>
  <c r="D720" i="17" s="1"/>
  <c r="B720" i="17"/>
  <c r="A720" i="17"/>
  <c r="K720" i="17" s="1"/>
  <c r="C719" i="17"/>
  <c r="D719" i="17" s="1"/>
  <c r="B719" i="17"/>
  <c r="A719" i="17"/>
  <c r="K719" i="17" s="1"/>
  <c r="C718" i="17"/>
  <c r="D718" i="17" s="1"/>
  <c r="B718" i="17"/>
  <c r="A718" i="17"/>
  <c r="K718" i="17" s="1"/>
  <c r="C717" i="17"/>
  <c r="D717" i="17" s="1"/>
  <c r="B717" i="17"/>
  <c r="A717" i="17"/>
  <c r="K717" i="17" s="1"/>
  <c r="C716" i="17"/>
  <c r="D716" i="17" s="1"/>
  <c r="B716" i="17"/>
  <c r="A716" i="17"/>
  <c r="K716" i="17" s="1"/>
  <c r="C715" i="17"/>
  <c r="D715" i="17" s="1"/>
  <c r="B715" i="17"/>
  <c r="A715" i="17"/>
  <c r="K715" i="17" s="1"/>
  <c r="C714" i="17"/>
  <c r="D714" i="17" s="1"/>
  <c r="B714" i="17"/>
  <c r="A714" i="17"/>
  <c r="K714" i="17" s="1"/>
  <c r="C713" i="17"/>
  <c r="D713" i="17" s="1"/>
  <c r="B713" i="17"/>
  <c r="A713" i="17"/>
  <c r="K713" i="17" s="1"/>
  <c r="C712" i="17"/>
  <c r="D712" i="17" s="1"/>
  <c r="B712" i="17"/>
  <c r="A712" i="17"/>
  <c r="K712" i="17" s="1"/>
  <c r="C711" i="17"/>
  <c r="D711" i="17" s="1"/>
  <c r="B711" i="17"/>
  <c r="A711" i="17"/>
  <c r="K711" i="17" s="1"/>
  <c r="C710" i="17"/>
  <c r="D710" i="17" s="1"/>
  <c r="B710" i="17"/>
  <c r="A710" i="17"/>
  <c r="K710" i="17" s="1"/>
  <c r="C709" i="17"/>
  <c r="D709" i="17" s="1"/>
  <c r="B709" i="17"/>
  <c r="A709" i="17"/>
  <c r="K709" i="17" s="1"/>
  <c r="C708" i="17"/>
  <c r="D708" i="17" s="1"/>
  <c r="B708" i="17"/>
  <c r="A708" i="17"/>
  <c r="K708" i="17" s="1"/>
  <c r="C707" i="17"/>
  <c r="D707" i="17" s="1"/>
  <c r="B707" i="17"/>
  <c r="A707" i="17"/>
  <c r="K707" i="17" s="1"/>
  <c r="C706" i="17"/>
  <c r="D706" i="17" s="1"/>
  <c r="B706" i="17"/>
  <c r="A706" i="17"/>
  <c r="K706" i="17" s="1"/>
  <c r="C705" i="17"/>
  <c r="D705" i="17" s="1"/>
  <c r="B705" i="17"/>
  <c r="A705" i="17"/>
  <c r="K705" i="17" s="1"/>
  <c r="C704" i="17"/>
  <c r="D704" i="17" s="1"/>
  <c r="B704" i="17"/>
  <c r="A704" i="17"/>
  <c r="K704" i="17" s="1"/>
  <c r="C703" i="17"/>
  <c r="D703" i="17" s="1"/>
  <c r="B703" i="17"/>
  <c r="A703" i="17"/>
  <c r="K703" i="17" s="1"/>
  <c r="C702" i="17"/>
  <c r="D702" i="17" s="1"/>
  <c r="B702" i="17"/>
  <c r="A702" i="17"/>
  <c r="K702" i="17" s="1"/>
  <c r="C701" i="17"/>
  <c r="D701" i="17" s="1"/>
  <c r="B701" i="17"/>
  <c r="A701" i="17"/>
  <c r="K701" i="17" s="1"/>
  <c r="C700" i="17"/>
  <c r="D700" i="17" s="1"/>
  <c r="B700" i="17"/>
  <c r="A700" i="17"/>
  <c r="K700" i="17" s="1"/>
  <c r="C699" i="17"/>
  <c r="D699" i="17" s="1"/>
  <c r="B699" i="17"/>
  <c r="A699" i="17"/>
  <c r="K699" i="17" s="1"/>
  <c r="C698" i="17"/>
  <c r="D698" i="17" s="1"/>
  <c r="B698" i="17"/>
  <c r="A698" i="17"/>
  <c r="K698" i="17" s="1"/>
  <c r="C697" i="17"/>
  <c r="D697" i="17" s="1"/>
  <c r="B697" i="17"/>
  <c r="A697" i="17"/>
  <c r="K697" i="17" s="1"/>
  <c r="C696" i="17"/>
  <c r="D696" i="17" s="1"/>
  <c r="B696" i="17"/>
  <c r="A696" i="17"/>
  <c r="K696" i="17" s="1"/>
  <c r="C695" i="17"/>
  <c r="D695" i="17" s="1"/>
  <c r="B695" i="17"/>
  <c r="A695" i="17"/>
  <c r="K695" i="17" s="1"/>
  <c r="C694" i="17"/>
  <c r="D694" i="17" s="1"/>
  <c r="B694" i="17"/>
  <c r="A694" i="17"/>
  <c r="K694" i="17" s="1"/>
  <c r="C693" i="17"/>
  <c r="D693" i="17" s="1"/>
  <c r="B693" i="17"/>
  <c r="A693" i="17"/>
  <c r="K693" i="17" s="1"/>
  <c r="C692" i="17"/>
  <c r="D692" i="17" s="1"/>
  <c r="B692" i="17"/>
  <c r="A692" i="17"/>
  <c r="K692" i="17" s="1"/>
  <c r="C691" i="17"/>
  <c r="D691" i="17" s="1"/>
  <c r="B691" i="17"/>
  <c r="A691" i="17"/>
  <c r="K691" i="17" s="1"/>
  <c r="C690" i="17"/>
  <c r="D690" i="17" s="1"/>
  <c r="B690" i="17"/>
  <c r="A690" i="17"/>
  <c r="K690" i="17" s="1"/>
  <c r="C689" i="17"/>
  <c r="D689" i="17" s="1"/>
  <c r="B689" i="17"/>
  <c r="A689" i="17"/>
  <c r="K689" i="17" s="1"/>
  <c r="C688" i="17"/>
  <c r="D688" i="17" s="1"/>
  <c r="B688" i="17"/>
  <c r="A688" i="17"/>
  <c r="K688" i="17" s="1"/>
  <c r="C687" i="17"/>
  <c r="D687" i="17" s="1"/>
  <c r="B687" i="17"/>
  <c r="A687" i="17"/>
  <c r="K687" i="17" s="1"/>
  <c r="C686" i="17"/>
  <c r="D686" i="17" s="1"/>
  <c r="B686" i="17"/>
  <c r="A686" i="17"/>
  <c r="K686" i="17" s="1"/>
  <c r="C685" i="17"/>
  <c r="D685" i="17" s="1"/>
  <c r="B685" i="17"/>
  <c r="A685" i="17"/>
  <c r="K685" i="17" s="1"/>
  <c r="C684" i="17"/>
  <c r="D684" i="17" s="1"/>
  <c r="B684" i="17"/>
  <c r="A684" i="17"/>
  <c r="K684" i="17" s="1"/>
  <c r="C683" i="17"/>
  <c r="D683" i="17" s="1"/>
  <c r="B683" i="17"/>
  <c r="A683" i="17"/>
  <c r="K683" i="17" s="1"/>
  <c r="C682" i="17"/>
  <c r="D682" i="17" s="1"/>
  <c r="B682" i="17"/>
  <c r="A682" i="17"/>
  <c r="K682" i="17" s="1"/>
  <c r="C681" i="17"/>
  <c r="D681" i="17" s="1"/>
  <c r="B681" i="17"/>
  <c r="A681" i="17"/>
  <c r="K681" i="17" s="1"/>
  <c r="C680" i="17"/>
  <c r="D680" i="17" s="1"/>
  <c r="B680" i="17"/>
  <c r="A680" i="17"/>
  <c r="K680" i="17" s="1"/>
  <c r="C679" i="17"/>
  <c r="D679" i="17" s="1"/>
  <c r="B679" i="17"/>
  <c r="A679" i="17"/>
  <c r="K679" i="17" s="1"/>
  <c r="C678" i="17"/>
  <c r="D678" i="17" s="1"/>
  <c r="B678" i="17"/>
  <c r="A678" i="17"/>
  <c r="K678" i="17" s="1"/>
  <c r="C677" i="17"/>
  <c r="D677" i="17" s="1"/>
  <c r="B677" i="17"/>
  <c r="A677" i="17"/>
  <c r="K677" i="17" s="1"/>
  <c r="C676" i="17"/>
  <c r="D676" i="17" s="1"/>
  <c r="B676" i="17"/>
  <c r="A676" i="17"/>
  <c r="K676" i="17" s="1"/>
  <c r="C675" i="17"/>
  <c r="D675" i="17" s="1"/>
  <c r="B675" i="17"/>
  <c r="A675" i="17"/>
  <c r="K675" i="17" s="1"/>
  <c r="C674" i="17"/>
  <c r="D674" i="17" s="1"/>
  <c r="B674" i="17"/>
  <c r="A674" i="17"/>
  <c r="K674" i="17" s="1"/>
  <c r="C673" i="17"/>
  <c r="D673" i="17" s="1"/>
  <c r="B673" i="17"/>
  <c r="A673" i="17"/>
  <c r="K673" i="17" s="1"/>
  <c r="C672" i="17"/>
  <c r="D672" i="17" s="1"/>
  <c r="B672" i="17"/>
  <c r="A672" i="17"/>
  <c r="K672" i="17" s="1"/>
  <c r="C671" i="17"/>
  <c r="D671" i="17" s="1"/>
  <c r="B671" i="17"/>
  <c r="A671" i="17"/>
  <c r="K671" i="17" s="1"/>
  <c r="C670" i="17"/>
  <c r="D670" i="17" s="1"/>
  <c r="B670" i="17"/>
  <c r="A670" i="17"/>
  <c r="K670" i="17" s="1"/>
  <c r="C669" i="17"/>
  <c r="D669" i="17" s="1"/>
  <c r="B669" i="17"/>
  <c r="A669" i="17"/>
  <c r="K669" i="17" s="1"/>
  <c r="C668" i="17"/>
  <c r="D668" i="17" s="1"/>
  <c r="B668" i="17"/>
  <c r="A668" i="17"/>
  <c r="K668" i="17" s="1"/>
  <c r="C667" i="17"/>
  <c r="D667" i="17" s="1"/>
  <c r="B667" i="17"/>
  <c r="A667" i="17"/>
  <c r="K667" i="17" s="1"/>
  <c r="C666" i="17"/>
  <c r="D666" i="17" s="1"/>
  <c r="B666" i="17"/>
  <c r="A666" i="17"/>
  <c r="K666" i="17" s="1"/>
  <c r="C665" i="17"/>
  <c r="D665" i="17" s="1"/>
  <c r="B665" i="17"/>
  <c r="A665" i="17"/>
  <c r="K665" i="17" s="1"/>
  <c r="C664" i="17"/>
  <c r="D664" i="17" s="1"/>
  <c r="B664" i="17"/>
  <c r="A664" i="17"/>
  <c r="K664" i="17" s="1"/>
  <c r="C663" i="17"/>
  <c r="D663" i="17" s="1"/>
  <c r="B663" i="17"/>
  <c r="A663" i="17"/>
  <c r="K663" i="17" s="1"/>
  <c r="C662" i="17"/>
  <c r="D662" i="17" s="1"/>
  <c r="B662" i="17"/>
  <c r="A662" i="17"/>
  <c r="K662" i="17" s="1"/>
  <c r="C661" i="17"/>
  <c r="D661" i="17" s="1"/>
  <c r="B661" i="17"/>
  <c r="A661" i="17"/>
  <c r="K661" i="17" s="1"/>
  <c r="C660" i="17"/>
  <c r="D660" i="17" s="1"/>
  <c r="B660" i="17"/>
  <c r="A660" i="17"/>
  <c r="K660" i="17" s="1"/>
  <c r="C659" i="17"/>
  <c r="D659" i="17" s="1"/>
  <c r="B659" i="17"/>
  <c r="A659" i="17"/>
  <c r="K659" i="17" s="1"/>
  <c r="C658" i="17"/>
  <c r="D658" i="17" s="1"/>
  <c r="B658" i="17"/>
  <c r="A658" i="17"/>
  <c r="K658" i="17" s="1"/>
  <c r="C657" i="17"/>
  <c r="D657" i="17" s="1"/>
  <c r="B657" i="17"/>
  <c r="A657" i="17"/>
  <c r="K657" i="17" s="1"/>
  <c r="C656" i="17"/>
  <c r="D656" i="17" s="1"/>
  <c r="B656" i="17"/>
  <c r="A656" i="17"/>
  <c r="K656" i="17" s="1"/>
  <c r="C655" i="17"/>
  <c r="D655" i="17" s="1"/>
  <c r="B655" i="17"/>
  <c r="A655" i="17"/>
  <c r="K655" i="17" s="1"/>
  <c r="C654" i="17"/>
  <c r="D654" i="17" s="1"/>
  <c r="B654" i="17"/>
  <c r="A654" i="17"/>
  <c r="K654" i="17" s="1"/>
  <c r="C653" i="17"/>
  <c r="D653" i="17" s="1"/>
  <c r="B653" i="17"/>
  <c r="A653" i="17"/>
  <c r="K653" i="17" s="1"/>
  <c r="C652" i="17"/>
  <c r="D652" i="17" s="1"/>
  <c r="B652" i="17"/>
  <c r="A652" i="17"/>
  <c r="K652" i="17" s="1"/>
  <c r="C651" i="17"/>
  <c r="D651" i="17" s="1"/>
  <c r="B651" i="17"/>
  <c r="A651" i="17"/>
  <c r="K651" i="17" s="1"/>
  <c r="E650" i="17"/>
  <c r="C650" i="17"/>
  <c r="D650" i="17" s="1"/>
  <c r="B650" i="17"/>
  <c r="A650" i="17"/>
  <c r="C649" i="17"/>
  <c r="D649" i="17" s="1"/>
  <c r="B649" i="17"/>
  <c r="A649" i="17"/>
  <c r="I648" i="17"/>
  <c r="E648" i="17"/>
  <c r="C648" i="17"/>
  <c r="D648" i="17" s="1"/>
  <c r="B648" i="17"/>
  <c r="A648" i="17"/>
  <c r="C647" i="17"/>
  <c r="D647" i="17" s="1"/>
  <c r="B647" i="17"/>
  <c r="A647" i="17"/>
  <c r="I646" i="17"/>
  <c r="E646" i="17"/>
  <c r="C646" i="17"/>
  <c r="D646" i="17" s="1"/>
  <c r="B646" i="17"/>
  <c r="A646" i="17"/>
  <c r="C645" i="17"/>
  <c r="D645" i="17" s="1"/>
  <c r="B645" i="17"/>
  <c r="A645" i="17"/>
  <c r="I644" i="17"/>
  <c r="E644" i="17"/>
  <c r="C644" i="17"/>
  <c r="D644" i="17" s="1"/>
  <c r="B644" i="17"/>
  <c r="A644" i="17"/>
  <c r="C643" i="17"/>
  <c r="D643" i="17" s="1"/>
  <c r="B643" i="17"/>
  <c r="A643" i="17"/>
  <c r="I642" i="17"/>
  <c r="E642" i="17"/>
  <c r="C642" i="17"/>
  <c r="D642" i="17" s="1"/>
  <c r="B642" i="17"/>
  <c r="A642" i="17"/>
  <c r="C641" i="17"/>
  <c r="D641" i="17" s="1"/>
  <c r="B641" i="17"/>
  <c r="A641" i="17"/>
  <c r="I640" i="17"/>
  <c r="E640" i="17"/>
  <c r="C640" i="17"/>
  <c r="D640" i="17" s="1"/>
  <c r="B640" i="17"/>
  <c r="A640" i="17"/>
  <c r="C639" i="17"/>
  <c r="D639" i="17" s="1"/>
  <c r="B639" i="17"/>
  <c r="A639" i="17"/>
  <c r="I638" i="17"/>
  <c r="E638" i="17"/>
  <c r="C638" i="17"/>
  <c r="D638" i="17" s="1"/>
  <c r="B638" i="17"/>
  <c r="A638" i="17"/>
  <c r="C637" i="17"/>
  <c r="D637" i="17" s="1"/>
  <c r="B637" i="17"/>
  <c r="A637" i="17"/>
  <c r="I636" i="17"/>
  <c r="E636" i="17"/>
  <c r="C636" i="17"/>
  <c r="D636" i="17" s="1"/>
  <c r="B636" i="17"/>
  <c r="A636" i="17"/>
  <c r="C635" i="17"/>
  <c r="D635" i="17" s="1"/>
  <c r="B635" i="17"/>
  <c r="A635" i="17"/>
  <c r="I634" i="17"/>
  <c r="E634" i="17"/>
  <c r="C634" i="17"/>
  <c r="D634" i="17" s="1"/>
  <c r="B634" i="17"/>
  <c r="A634" i="17"/>
  <c r="C633" i="17"/>
  <c r="D633" i="17" s="1"/>
  <c r="B633" i="17"/>
  <c r="A633" i="17"/>
  <c r="I632" i="17"/>
  <c r="E632" i="17"/>
  <c r="C632" i="17"/>
  <c r="D632" i="17" s="1"/>
  <c r="B632" i="17"/>
  <c r="A632" i="17"/>
  <c r="C631" i="17"/>
  <c r="D631" i="17" s="1"/>
  <c r="B631" i="17"/>
  <c r="A631" i="17"/>
  <c r="I630" i="17"/>
  <c r="E630" i="17"/>
  <c r="C630" i="17"/>
  <c r="D630" i="17" s="1"/>
  <c r="B630" i="17"/>
  <c r="A630" i="17"/>
  <c r="C629" i="17"/>
  <c r="D629" i="17" s="1"/>
  <c r="B629" i="17"/>
  <c r="A629" i="17"/>
  <c r="I628" i="17"/>
  <c r="E628" i="17"/>
  <c r="C628" i="17"/>
  <c r="D628" i="17" s="1"/>
  <c r="B628" i="17"/>
  <c r="A628" i="17"/>
  <c r="C627" i="17"/>
  <c r="D627" i="17" s="1"/>
  <c r="B627" i="17"/>
  <c r="A627" i="17"/>
  <c r="I626" i="17"/>
  <c r="E626" i="17"/>
  <c r="C626" i="17"/>
  <c r="D626" i="17" s="1"/>
  <c r="B626" i="17"/>
  <c r="A626" i="17"/>
  <c r="C625" i="17"/>
  <c r="D625" i="17" s="1"/>
  <c r="B625" i="17"/>
  <c r="A625" i="17"/>
  <c r="I624" i="17"/>
  <c r="E624" i="17"/>
  <c r="C624" i="17"/>
  <c r="D624" i="17" s="1"/>
  <c r="B624" i="17"/>
  <c r="A624" i="17"/>
  <c r="C623" i="17"/>
  <c r="D623" i="17" s="1"/>
  <c r="B623" i="17"/>
  <c r="A623" i="17"/>
  <c r="I622" i="17"/>
  <c r="E622" i="17"/>
  <c r="C622" i="17"/>
  <c r="D622" i="17" s="1"/>
  <c r="B622" i="17"/>
  <c r="A622" i="17"/>
  <c r="C621" i="17"/>
  <c r="D621" i="17" s="1"/>
  <c r="B621" i="17"/>
  <c r="A621" i="17"/>
  <c r="I620" i="17"/>
  <c r="E620" i="17"/>
  <c r="C620" i="17"/>
  <c r="D620" i="17" s="1"/>
  <c r="B620" i="17"/>
  <c r="A620" i="17"/>
  <c r="C619" i="17"/>
  <c r="D619" i="17" s="1"/>
  <c r="B619" i="17"/>
  <c r="A619" i="17"/>
  <c r="I618" i="17"/>
  <c r="E618" i="17"/>
  <c r="C618" i="17"/>
  <c r="D618" i="17" s="1"/>
  <c r="B618" i="17"/>
  <c r="A618" i="17"/>
  <c r="C617" i="17"/>
  <c r="D617" i="17" s="1"/>
  <c r="B617" i="17"/>
  <c r="A617" i="17"/>
  <c r="I616" i="17"/>
  <c r="E616" i="17"/>
  <c r="C616" i="17"/>
  <c r="D616" i="17" s="1"/>
  <c r="B616" i="17"/>
  <c r="A616" i="17"/>
  <c r="C615" i="17"/>
  <c r="D615" i="17" s="1"/>
  <c r="B615" i="17"/>
  <c r="A615" i="17"/>
  <c r="I614" i="17"/>
  <c r="E614" i="17"/>
  <c r="C614" i="17"/>
  <c r="D614" i="17" s="1"/>
  <c r="B614" i="17"/>
  <c r="A614" i="17"/>
  <c r="C613" i="17"/>
  <c r="D613" i="17" s="1"/>
  <c r="B613" i="17"/>
  <c r="A613" i="17"/>
  <c r="I612" i="17"/>
  <c r="E612" i="17"/>
  <c r="C612" i="17"/>
  <c r="D612" i="17" s="1"/>
  <c r="B612" i="17"/>
  <c r="A612" i="17"/>
  <c r="C611" i="17"/>
  <c r="D611" i="17" s="1"/>
  <c r="B611" i="17"/>
  <c r="A611" i="17"/>
  <c r="I610" i="17"/>
  <c r="E610" i="17"/>
  <c r="C610" i="17"/>
  <c r="D610" i="17" s="1"/>
  <c r="B610" i="17"/>
  <c r="A610" i="17"/>
  <c r="C609" i="17"/>
  <c r="D609" i="17" s="1"/>
  <c r="B609" i="17"/>
  <c r="A609" i="17"/>
  <c r="I608" i="17"/>
  <c r="E608" i="17"/>
  <c r="C608" i="17"/>
  <c r="D608" i="17" s="1"/>
  <c r="B608" i="17"/>
  <c r="A608" i="17"/>
  <c r="C607" i="17"/>
  <c r="D607" i="17" s="1"/>
  <c r="B607" i="17"/>
  <c r="A607" i="17"/>
  <c r="I606" i="17"/>
  <c r="E606" i="17"/>
  <c r="C606" i="17"/>
  <c r="D606" i="17" s="1"/>
  <c r="B606" i="17"/>
  <c r="A606" i="17"/>
  <c r="C605" i="17"/>
  <c r="D605" i="17" s="1"/>
  <c r="B605" i="17"/>
  <c r="A605" i="17"/>
  <c r="I604" i="17"/>
  <c r="E604" i="17"/>
  <c r="C604" i="17"/>
  <c r="D604" i="17" s="1"/>
  <c r="B604" i="17"/>
  <c r="A604" i="17"/>
  <c r="C603" i="17"/>
  <c r="D603" i="17" s="1"/>
  <c r="B603" i="17"/>
  <c r="A603" i="17"/>
  <c r="I602" i="17"/>
  <c r="E602" i="17"/>
  <c r="C602" i="17"/>
  <c r="D602" i="17" s="1"/>
  <c r="B602" i="17"/>
  <c r="A602" i="17"/>
  <c r="C601" i="17"/>
  <c r="D601" i="17" s="1"/>
  <c r="B601" i="17"/>
  <c r="A601" i="17"/>
  <c r="I600" i="17"/>
  <c r="E600" i="17"/>
  <c r="C600" i="17"/>
  <c r="D600" i="17" s="1"/>
  <c r="B600" i="17"/>
  <c r="A600" i="17"/>
  <c r="C599" i="17"/>
  <c r="D599" i="17" s="1"/>
  <c r="B599" i="17"/>
  <c r="A599" i="17"/>
  <c r="I598" i="17"/>
  <c r="E598" i="17"/>
  <c r="C598" i="17"/>
  <c r="D598" i="17" s="1"/>
  <c r="B598" i="17"/>
  <c r="A598" i="17"/>
  <c r="C597" i="17"/>
  <c r="D597" i="17" s="1"/>
  <c r="B597" i="17"/>
  <c r="A597" i="17"/>
  <c r="I596" i="17"/>
  <c r="E596" i="17"/>
  <c r="C596" i="17"/>
  <c r="D596" i="17" s="1"/>
  <c r="B596" i="17"/>
  <c r="A596" i="17"/>
  <c r="C595" i="17"/>
  <c r="D595" i="17" s="1"/>
  <c r="B595" i="17"/>
  <c r="A595" i="17"/>
  <c r="I594" i="17"/>
  <c r="E594" i="17"/>
  <c r="C594" i="17"/>
  <c r="D594" i="17" s="1"/>
  <c r="B594" i="17"/>
  <c r="A594" i="17"/>
  <c r="C593" i="17"/>
  <c r="D593" i="17" s="1"/>
  <c r="B593" i="17"/>
  <c r="A593" i="17"/>
  <c r="I592" i="17"/>
  <c r="E592" i="17"/>
  <c r="C592" i="17"/>
  <c r="D592" i="17" s="1"/>
  <c r="B592" i="17"/>
  <c r="A592" i="17"/>
  <c r="C591" i="17"/>
  <c r="D591" i="17" s="1"/>
  <c r="B591" i="17"/>
  <c r="A591" i="17"/>
  <c r="I590" i="17"/>
  <c r="E590" i="17"/>
  <c r="C590" i="17"/>
  <c r="D590" i="17" s="1"/>
  <c r="B590" i="17"/>
  <c r="A590" i="17"/>
  <c r="C589" i="17"/>
  <c r="D589" i="17" s="1"/>
  <c r="B589" i="17"/>
  <c r="A589" i="17"/>
  <c r="I588" i="17"/>
  <c r="E588" i="17"/>
  <c r="C588" i="17"/>
  <c r="D588" i="17" s="1"/>
  <c r="B588" i="17"/>
  <c r="A588" i="17"/>
  <c r="C587" i="17"/>
  <c r="D587" i="17" s="1"/>
  <c r="B587" i="17"/>
  <c r="A587" i="17"/>
  <c r="I586" i="17"/>
  <c r="E586" i="17"/>
  <c r="C586" i="17"/>
  <c r="D586" i="17" s="1"/>
  <c r="B586" i="17"/>
  <c r="A586" i="17"/>
  <c r="C585" i="17"/>
  <c r="D585" i="17" s="1"/>
  <c r="B585" i="17"/>
  <c r="A585" i="17"/>
  <c r="I584" i="17"/>
  <c r="E584" i="17"/>
  <c r="C584" i="17"/>
  <c r="D584" i="17" s="1"/>
  <c r="B584" i="17"/>
  <c r="A584" i="17"/>
  <c r="C583" i="17"/>
  <c r="D583" i="17" s="1"/>
  <c r="B583" i="17"/>
  <c r="A583" i="17"/>
  <c r="I582" i="17"/>
  <c r="E582" i="17"/>
  <c r="C582" i="17"/>
  <c r="D582" i="17" s="1"/>
  <c r="B582" i="17"/>
  <c r="A582" i="17"/>
  <c r="C581" i="17"/>
  <c r="D581" i="17" s="1"/>
  <c r="B581" i="17"/>
  <c r="A581" i="17"/>
  <c r="I580" i="17"/>
  <c r="E580" i="17"/>
  <c r="C580" i="17"/>
  <c r="D580" i="17" s="1"/>
  <c r="B580" i="17"/>
  <c r="A580" i="17"/>
  <c r="C579" i="17"/>
  <c r="D579" i="17" s="1"/>
  <c r="B579" i="17"/>
  <c r="A579" i="17"/>
  <c r="I578" i="17"/>
  <c r="E578" i="17"/>
  <c r="C578" i="17"/>
  <c r="D578" i="17" s="1"/>
  <c r="B578" i="17"/>
  <c r="A578" i="17"/>
  <c r="C577" i="17"/>
  <c r="D577" i="17" s="1"/>
  <c r="B577" i="17"/>
  <c r="A577" i="17"/>
  <c r="I576" i="17"/>
  <c r="E576" i="17"/>
  <c r="C576" i="17"/>
  <c r="D576" i="17" s="1"/>
  <c r="B576" i="17"/>
  <c r="A576" i="17"/>
  <c r="C575" i="17"/>
  <c r="D575" i="17" s="1"/>
  <c r="B575" i="17"/>
  <c r="A575" i="17"/>
  <c r="I574" i="17"/>
  <c r="E574" i="17"/>
  <c r="C574" i="17"/>
  <c r="D574" i="17" s="1"/>
  <c r="B574" i="17"/>
  <c r="A574" i="17"/>
  <c r="C573" i="17"/>
  <c r="D573" i="17" s="1"/>
  <c r="B573" i="17"/>
  <c r="A573" i="17"/>
  <c r="I572" i="17"/>
  <c r="E572" i="17"/>
  <c r="C572" i="17"/>
  <c r="D572" i="17" s="1"/>
  <c r="B572" i="17"/>
  <c r="A572" i="17"/>
  <c r="C571" i="17"/>
  <c r="D571" i="17" s="1"/>
  <c r="B571" i="17"/>
  <c r="A571" i="17"/>
  <c r="I570" i="17"/>
  <c r="E570" i="17"/>
  <c r="C570" i="17"/>
  <c r="D570" i="17" s="1"/>
  <c r="B570" i="17"/>
  <c r="A570" i="17"/>
  <c r="C569" i="17"/>
  <c r="D569" i="17" s="1"/>
  <c r="B569" i="17"/>
  <c r="A569" i="17"/>
  <c r="I568" i="17"/>
  <c r="E568" i="17"/>
  <c r="C568" i="17"/>
  <c r="D568" i="17" s="1"/>
  <c r="B568" i="17"/>
  <c r="A568" i="17"/>
  <c r="C567" i="17"/>
  <c r="D567" i="17" s="1"/>
  <c r="B567" i="17"/>
  <c r="A567" i="17"/>
  <c r="I566" i="17"/>
  <c r="E566" i="17"/>
  <c r="C566" i="17"/>
  <c r="D566" i="17" s="1"/>
  <c r="B566" i="17"/>
  <c r="A566" i="17"/>
  <c r="C565" i="17"/>
  <c r="D565" i="17" s="1"/>
  <c r="B565" i="17"/>
  <c r="A565" i="17"/>
  <c r="I564" i="17"/>
  <c r="E564" i="17"/>
  <c r="C564" i="17"/>
  <c r="D564" i="17" s="1"/>
  <c r="B564" i="17"/>
  <c r="A564" i="17"/>
  <c r="C563" i="17"/>
  <c r="D563" i="17" s="1"/>
  <c r="B563" i="17"/>
  <c r="A563" i="17"/>
  <c r="I562" i="17"/>
  <c r="E562" i="17"/>
  <c r="C562" i="17"/>
  <c r="D562" i="17" s="1"/>
  <c r="B562" i="17"/>
  <c r="A562" i="17"/>
  <c r="C561" i="17"/>
  <c r="D561" i="17" s="1"/>
  <c r="B561" i="17"/>
  <c r="A561" i="17"/>
  <c r="I560" i="17"/>
  <c r="E560" i="17"/>
  <c r="C560" i="17"/>
  <c r="D560" i="17" s="1"/>
  <c r="B560" i="17"/>
  <c r="A560" i="17"/>
  <c r="C559" i="17"/>
  <c r="D559" i="17" s="1"/>
  <c r="B559" i="17"/>
  <c r="A559" i="17"/>
  <c r="I558" i="17"/>
  <c r="E558" i="17"/>
  <c r="C558" i="17"/>
  <c r="D558" i="17" s="1"/>
  <c r="B558" i="17"/>
  <c r="A558" i="17"/>
  <c r="C557" i="17"/>
  <c r="D557" i="17" s="1"/>
  <c r="B557" i="17"/>
  <c r="A557" i="17"/>
  <c r="I556" i="17"/>
  <c r="E556" i="17"/>
  <c r="C556" i="17"/>
  <c r="D556" i="17" s="1"/>
  <c r="B556" i="17"/>
  <c r="A556" i="17"/>
  <c r="C555" i="17"/>
  <c r="D555" i="17" s="1"/>
  <c r="B555" i="17"/>
  <c r="A555" i="17"/>
  <c r="I554" i="17"/>
  <c r="E554" i="17"/>
  <c r="C554" i="17"/>
  <c r="D554" i="17" s="1"/>
  <c r="B554" i="17"/>
  <c r="A554" i="17"/>
  <c r="C553" i="17"/>
  <c r="D553" i="17" s="1"/>
  <c r="B553" i="17"/>
  <c r="A553" i="17"/>
  <c r="I552" i="17"/>
  <c r="E552" i="17"/>
  <c r="C552" i="17"/>
  <c r="D552" i="17" s="1"/>
  <c r="B552" i="17"/>
  <c r="A552" i="17"/>
  <c r="C551" i="17"/>
  <c r="D551" i="17" s="1"/>
  <c r="B551" i="17"/>
  <c r="A551" i="17"/>
  <c r="I550" i="17"/>
  <c r="E550" i="17"/>
  <c r="C550" i="17"/>
  <c r="D550" i="17" s="1"/>
  <c r="B550" i="17"/>
  <c r="A550" i="17"/>
  <c r="C549" i="17"/>
  <c r="D549" i="17" s="1"/>
  <c r="B549" i="17"/>
  <c r="A549" i="17"/>
  <c r="I548" i="17"/>
  <c r="E548" i="17"/>
  <c r="C548" i="17"/>
  <c r="D548" i="17" s="1"/>
  <c r="B548" i="17"/>
  <c r="A548" i="17"/>
  <c r="C547" i="17"/>
  <c r="D547" i="17" s="1"/>
  <c r="B547" i="17"/>
  <c r="A547" i="17"/>
  <c r="I546" i="17"/>
  <c r="E546" i="17"/>
  <c r="C546" i="17"/>
  <c r="D546" i="17" s="1"/>
  <c r="B546" i="17"/>
  <c r="A546" i="17"/>
  <c r="C545" i="17"/>
  <c r="D545" i="17" s="1"/>
  <c r="B545" i="17"/>
  <c r="A545" i="17"/>
  <c r="I544" i="17"/>
  <c r="E544" i="17"/>
  <c r="C544" i="17"/>
  <c r="D544" i="17" s="1"/>
  <c r="B544" i="17"/>
  <c r="A544" i="17"/>
  <c r="C543" i="17"/>
  <c r="D543" i="17" s="1"/>
  <c r="B543" i="17"/>
  <c r="A543" i="17"/>
  <c r="I542" i="17"/>
  <c r="E542" i="17"/>
  <c r="C542" i="17"/>
  <c r="D542" i="17" s="1"/>
  <c r="B542" i="17"/>
  <c r="A542" i="17"/>
  <c r="C541" i="17"/>
  <c r="D541" i="17" s="1"/>
  <c r="B541" i="17"/>
  <c r="A541" i="17"/>
  <c r="I540" i="17"/>
  <c r="E540" i="17"/>
  <c r="C540" i="17"/>
  <c r="D540" i="17" s="1"/>
  <c r="B540" i="17"/>
  <c r="A540" i="17"/>
  <c r="C539" i="17"/>
  <c r="D539" i="17" s="1"/>
  <c r="B539" i="17"/>
  <c r="A539" i="17"/>
  <c r="I538" i="17"/>
  <c r="E538" i="17"/>
  <c r="C538" i="17"/>
  <c r="D538" i="17" s="1"/>
  <c r="B538" i="17"/>
  <c r="A538" i="17"/>
  <c r="C537" i="17"/>
  <c r="D537" i="17" s="1"/>
  <c r="B537" i="17"/>
  <c r="A537" i="17"/>
  <c r="I536" i="17"/>
  <c r="E536" i="17"/>
  <c r="C536" i="17"/>
  <c r="D536" i="17" s="1"/>
  <c r="B536" i="17"/>
  <c r="A536" i="17"/>
  <c r="C535" i="17"/>
  <c r="D535" i="17" s="1"/>
  <c r="B535" i="17"/>
  <c r="A535" i="17"/>
  <c r="I534" i="17"/>
  <c r="E534" i="17"/>
  <c r="C534" i="17"/>
  <c r="D534" i="17" s="1"/>
  <c r="B534" i="17"/>
  <c r="A534" i="17"/>
  <c r="C533" i="17"/>
  <c r="D533" i="17" s="1"/>
  <c r="B533" i="17"/>
  <c r="A533" i="17"/>
  <c r="I532" i="17"/>
  <c r="E532" i="17"/>
  <c r="C532" i="17"/>
  <c r="D532" i="17" s="1"/>
  <c r="B532" i="17"/>
  <c r="A532" i="17"/>
  <c r="C531" i="17"/>
  <c r="D531" i="17" s="1"/>
  <c r="B531" i="17"/>
  <c r="A531" i="17"/>
  <c r="I530" i="17"/>
  <c r="E530" i="17"/>
  <c r="C530" i="17"/>
  <c r="D530" i="17" s="1"/>
  <c r="B530" i="17"/>
  <c r="A530" i="17"/>
  <c r="C529" i="17"/>
  <c r="D529" i="17" s="1"/>
  <c r="B529" i="17"/>
  <c r="A529" i="17"/>
  <c r="I528" i="17"/>
  <c r="E528" i="17"/>
  <c r="C528" i="17"/>
  <c r="D528" i="17" s="1"/>
  <c r="B528" i="17"/>
  <c r="A528" i="17"/>
  <c r="C527" i="17"/>
  <c r="D527" i="17" s="1"/>
  <c r="B527" i="17"/>
  <c r="A527" i="17"/>
  <c r="I526" i="17"/>
  <c r="E526" i="17"/>
  <c r="C526" i="17"/>
  <c r="D526" i="17" s="1"/>
  <c r="B526" i="17"/>
  <c r="A526" i="17"/>
  <c r="C525" i="17"/>
  <c r="D525" i="17" s="1"/>
  <c r="B525" i="17"/>
  <c r="A525" i="17"/>
  <c r="I524" i="17"/>
  <c r="E524" i="17"/>
  <c r="C524" i="17"/>
  <c r="D524" i="17" s="1"/>
  <c r="B524" i="17"/>
  <c r="A524" i="17"/>
  <c r="C523" i="17"/>
  <c r="D523" i="17" s="1"/>
  <c r="B523" i="17"/>
  <c r="A523" i="17"/>
  <c r="I522" i="17"/>
  <c r="E522" i="17"/>
  <c r="C522" i="17"/>
  <c r="D522" i="17" s="1"/>
  <c r="B522" i="17"/>
  <c r="A522" i="17"/>
  <c r="C521" i="17"/>
  <c r="D521" i="17" s="1"/>
  <c r="B521" i="17"/>
  <c r="A521" i="17"/>
  <c r="I520" i="17"/>
  <c r="E520" i="17"/>
  <c r="C520" i="17"/>
  <c r="D520" i="17" s="1"/>
  <c r="B520" i="17"/>
  <c r="A520" i="17"/>
  <c r="C519" i="17"/>
  <c r="D519" i="17" s="1"/>
  <c r="B519" i="17"/>
  <c r="A519" i="17"/>
  <c r="I518" i="17"/>
  <c r="E518" i="17"/>
  <c r="C518" i="17"/>
  <c r="D518" i="17" s="1"/>
  <c r="B518" i="17"/>
  <c r="A518" i="17"/>
  <c r="C517" i="17"/>
  <c r="D517" i="17" s="1"/>
  <c r="B517" i="17"/>
  <c r="A517" i="17"/>
  <c r="I516" i="17"/>
  <c r="E516" i="17"/>
  <c r="C516" i="17"/>
  <c r="D516" i="17" s="1"/>
  <c r="B516" i="17"/>
  <c r="A516" i="17"/>
  <c r="C515" i="17"/>
  <c r="D515" i="17" s="1"/>
  <c r="B515" i="17"/>
  <c r="A515" i="17"/>
  <c r="I514" i="17"/>
  <c r="E514" i="17"/>
  <c r="C514" i="17"/>
  <c r="D514" i="17" s="1"/>
  <c r="B514" i="17"/>
  <c r="A514" i="17"/>
  <c r="C513" i="17"/>
  <c r="D513" i="17" s="1"/>
  <c r="B513" i="17"/>
  <c r="A513" i="17"/>
  <c r="I512" i="17"/>
  <c r="E512" i="17"/>
  <c r="C512" i="17"/>
  <c r="D512" i="17" s="1"/>
  <c r="B512" i="17"/>
  <c r="A512" i="17"/>
  <c r="C511" i="17"/>
  <c r="D511" i="17" s="1"/>
  <c r="B511" i="17"/>
  <c r="A511" i="17"/>
  <c r="I510" i="17"/>
  <c r="E510" i="17"/>
  <c r="C510" i="17"/>
  <c r="D510" i="17" s="1"/>
  <c r="B510" i="17"/>
  <c r="A510" i="17"/>
  <c r="C509" i="17"/>
  <c r="D509" i="17" s="1"/>
  <c r="B509" i="17"/>
  <c r="A509" i="17"/>
  <c r="I508" i="17"/>
  <c r="E508" i="17"/>
  <c r="C508" i="17"/>
  <c r="D508" i="17" s="1"/>
  <c r="B508" i="17"/>
  <c r="A508" i="17"/>
  <c r="C507" i="17"/>
  <c r="D507" i="17" s="1"/>
  <c r="B507" i="17"/>
  <c r="A507" i="17"/>
  <c r="I506" i="17"/>
  <c r="E506" i="17"/>
  <c r="C506" i="17"/>
  <c r="D506" i="17" s="1"/>
  <c r="B506" i="17"/>
  <c r="A506" i="17"/>
  <c r="C505" i="17"/>
  <c r="D505" i="17" s="1"/>
  <c r="B505" i="17"/>
  <c r="A505" i="17"/>
  <c r="I504" i="17"/>
  <c r="E504" i="17"/>
  <c r="C504" i="17"/>
  <c r="D504" i="17" s="1"/>
  <c r="B504" i="17"/>
  <c r="A504" i="17"/>
  <c r="C503" i="17"/>
  <c r="D503" i="17" s="1"/>
  <c r="B503" i="17"/>
  <c r="A503" i="17"/>
  <c r="I502" i="17"/>
  <c r="E502" i="17"/>
  <c r="C502" i="17"/>
  <c r="D502" i="17" s="1"/>
  <c r="B502" i="17"/>
  <c r="A502" i="17"/>
  <c r="C501" i="17"/>
  <c r="D501" i="17" s="1"/>
  <c r="B501" i="17"/>
  <c r="A501" i="17"/>
  <c r="I500" i="17"/>
  <c r="E500" i="17"/>
  <c r="C500" i="17"/>
  <c r="D500" i="17" s="1"/>
  <c r="B500" i="17"/>
  <c r="A500" i="17"/>
  <c r="C499" i="17"/>
  <c r="D499" i="17" s="1"/>
  <c r="B499" i="17"/>
  <c r="A499" i="17"/>
  <c r="I498" i="17"/>
  <c r="E498" i="17"/>
  <c r="C498" i="17"/>
  <c r="D498" i="17" s="1"/>
  <c r="B498" i="17"/>
  <c r="A498" i="17"/>
  <c r="C497" i="17"/>
  <c r="D497" i="17" s="1"/>
  <c r="B497" i="17"/>
  <c r="A497" i="17"/>
  <c r="I496" i="17"/>
  <c r="E496" i="17"/>
  <c r="C496" i="17"/>
  <c r="D496" i="17" s="1"/>
  <c r="B496" i="17"/>
  <c r="A496" i="17"/>
  <c r="C495" i="17"/>
  <c r="D495" i="17" s="1"/>
  <c r="B495" i="17"/>
  <c r="A495" i="17"/>
  <c r="I494" i="17"/>
  <c r="E494" i="17"/>
  <c r="C494" i="17"/>
  <c r="D494" i="17" s="1"/>
  <c r="B494" i="17"/>
  <c r="A494" i="17"/>
  <c r="C493" i="17"/>
  <c r="D493" i="17" s="1"/>
  <c r="B493" i="17"/>
  <c r="A493" i="17"/>
  <c r="I492" i="17"/>
  <c r="E492" i="17"/>
  <c r="C492" i="17"/>
  <c r="D492" i="17" s="1"/>
  <c r="B492" i="17"/>
  <c r="A492" i="17"/>
  <c r="C491" i="17"/>
  <c r="D491" i="17" s="1"/>
  <c r="B491" i="17"/>
  <c r="A491" i="17"/>
  <c r="I490" i="17"/>
  <c r="E490" i="17"/>
  <c r="C490" i="17"/>
  <c r="D490" i="17" s="1"/>
  <c r="B490" i="17"/>
  <c r="A490" i="17"/>
  <c r="C489" i="17"/>
  <c r="D489" i="17" s="1"/>
  <c r="B489" i="17"/>
  <c r="A489" i="17"/>
  <c r="I488" i="17"/>
  <c r="E488" i="17"/>
  <c r="C488" i="17"/>
  <c r="D488" i="17" s="1"/>
  <c r="B488" i="17"/>
  <c r="A488" i="17"/>
  <c r="C487" i="17"/>
  <c r="D487" i="17" s="1"/>
  <c r="B487" i="17"/>
  <c r="A487" i="17"/>
  <c r="I486" i="17"/>
  <c r="E486" i="17"/>
  <c r="C486" i="17"/>
  <c r="D486" i="17" s="1"/>
  <c r="B486" i="17"/>
  <c r="A486" i="17"/>
  <c r="C485" i="17"/>
  <c r="D485" i="17" s="1"/>
  <c r="B485" i="17"/>
  <c r="A485" i="17"/>
  <c r="I484" i="17"/>
  <c r="E484" i="17"/>
  <c r="C484" i="17"/>
  <c r="D484" i="17" s="1"/>
  <c r="B484" i="17"/>
  <c r="A484" i="17"/>
  <c r="C483" i="17"/>
  <c r="D483" i="17" s="1"/>
  <c r="B483" i="17"/>
  <c r="A483" i="17"/>
  <c r="I482" i="17"/>
  <c r="E482" i="17"/>
  <c r="C482" i="17"/>
  <c r="D482" i="17" s="1"/>
  <c r="B482" i="17"/>
  <c r="A482" i="17"/>
  <c r="C481" i="17"/>
  <c r="D481" i="17" s="1"/>
  <c r="B481" i="17"/>
  <c r="A481" i="17"/>
  <c r="I480" i="17"/>
  <c r="E480" i="17"/>
  <c r="C480" i="17"/>
  <c r="D480" i="17" s="1"/>
  <c r="B480" i="17"/>
  <c r="A480" i="17"/>
  <c r="C479" i="17"/>
  <c r="D479" i="17" s="1"/>
  <c r="B479" i="17"/>
  <c r="A479" i="17"/>
  <c r="I478" i="17"/>
  <c r="E478" i="17"/>
  <c r="C478" i="17"/>
  <c r="D478" i="17" s="1"/>
  <c r="B478" i="17"/>
  <c r="A478" i="17"/>
  <c r="C477" i="17"/>
  <c r="D477" i="17" s="1"/>
  <c r="B477" i="17"/>
  <c r="A477" i="17"/>
  <c r="I476" i="17"/>
  <c r="E476" i="17"/>
  <c r="C476" i="17"/>
  <c r="D476" i="17" s="1"/>
  <c r="B476" i="17"/>
  <c r="A476" i="17"/>
  <c r="C475" i="17"/>
  <c r="D475" i="17" s="1"/>
  <c r="B475" i="17"/>
  <c r="A475" i="17"/>
  <c r="I474" i="17"/>
  <c r="E474" i="17"/>
  <c r="C474" i="17"/>
  <c r="D474" i="17" s="1"/>
  <c r="B474" i="17"/>
  <c r="A474" i="17"/>
  <c r="C473" i="17"/>
  <c r="D473" i="17" s="1"/>
  <c r="B473" i="17"/>
  <c r="A473" i="17"/>
  <c r="I472" i="17"/>
  <c r="E472" i="17"/>
  <c r="C472" i="17"/>
  <c r="D472" i="17" s="1"/>
  <c r="B472" i="17"/>
  <c r="A472" i="17"/>
  <c r="C471" i="17"/>
  <c r="D471" i="17" s="1"/>
  <c r="B471" i="17"/>
  <c r="A471" i="17"/>
  <c r="I470" i="17"/>
  <c r="E470" i="17"/>
  <c r="C470" i="17"/>
  <c r="D470" i="17" s="1"/>
  <c r="B470" i="17"/>
  <c r="A470" i="17"/>
  <c r="C469" i="17"/>
  <c r="D469" i="17" s="1"/>
  <c r="B469" i="17"/>
  <c r="A469" i="17"/>
  <c r="I468" i="17"/>
  <c r="E468" i="17"/>
  <c r="C468" i="17"/>
  <c r="D468" i="17" s="1"/>
  <c r="B468" i="17"/>
  <c r="A468" i="17"/>
  <c r="C467" i="17"/>
  <c r="D467" i="17" s="1"/>
  <c r="B467" i="17"/>
  <c r="A467" i="17"/>
  <c r="I466" i="17"/>
  <c r="E466" i="17"/>
  <c r="C466" i="17"/>
  <c r="D466" i="17" s="1"/>
  <c r="B466" i="17"/>
  <c r="A466" i="17"/>
  <c r="C465" i="17"/>
  <c r="D465" i="17" s="1"/>
  <c r="B465" i="17"/>
  <c r="A465" i="17"/>
  <c r="I464" i="17"/>
  <c r="E464" i="17"/>
  <c r="C464" i="17"/>
  <c r="D464" i="17" s="1"/>
  <c r="B464" i="17"/>
  <c r="A464" i="17"/>
  <c r="C463" i="17"/>
  <c r="D463" i="17" s="1"/>
  <c r="B463" i="17"/>
  <c r="A463" i="17"/>
  <c r="I462" i="17"/>
  <c r="E462" i="17"/>
  <c r="C462" i="17"/>
  <c r="D462" i="17" s="1"/>
  <c r="B462" i="17"/>
  <c r="A462" i="17"/>
  <c r="C461" i="17"/>
  <c r="D461" i="17" s="1"/>
  <c r="B461" i="17"/>
  <c r="A461" i="17"/>
  <c r="I460" i="17"/>
  <c r="E460" i="17"/>
  <c r="C460" i="17"/>
  <c r="D460" i="17" s="1"/>
  <c r="B460" i="17"/>
  <c r="A460" i="17"/>
  <c r="C459" i="17"/>
  <c r="D459" i="17" s="1"/>
  <c r="B459" i="17"/>
  <c r="A459" i="17"/>
  <c r="I458" i="17"/>
  <c r="E458" i="17"/>
  <c r="C458" i="17"/>
  <c r="D458" i="17" s="1"/>
  <c r="B458" i="17"/>
  <c r="A458" i="17"/>
  <c r="C457" i="17"/>
  <c r="D457" i="17" s="1"/>
  <c r="B457" i="17"/>
  <c r="A457" i="17"/>
  <c r="I456" i="17"/>
  <c r="E456" i="17"/>
  <c r="C456" i="17"/>
  <c r="D456" i="17" s="1"/>
  <c r="B456" i="17"/>
  <c r="A456" i="17"/>
  <c r="C455" i="17"/>
  <c r="D455" i="17" s="1"/>
  <c r="B455" i="17"/>
  <c r="A455" i="17"/>
  <c r="I454" i="17"/>
  <c r="E454" i="17"/>
  <c r="C454" i="17"/>
  <c r="D454" i="17" s="1"/>
  <c r="B454" i="17"/>
  <c r="A454" i="17"/>
  <c r="C453" i="17"/>
  <c r="D453" i="17" s="1"/>
  <c r="B453" i="17"/>
  <c r="A453" i="17"/>
  <c r="I452" i="17"/>
  <c r="E452" i="17"/>
  <c r="C452" i="17"/>
  <c r="D452" i="17" s="1"/>
  <c r="B452" i="17"/>
  <c r="A452" i="17"/>
  <c r="C451" i="17"/>
  <c r="D451" i="17" s="1"/>
  <c r="B451" i="17"/>
  <c r="A451" i="17"/>
  <c r="I450" i="17"/>
  <c r="E450" i="17"/>
  <c r="C450" i="17"/>
  <c r="D450" i="17" s="1"/>
  <c r="B450" i="17"/>
  <c r="A450" i="17"/>
  <c r="C449" i="17"/>
  <c r="D449" i="17" s="1"/>
  <c r="B449" i="17"/>
  <c r="A449" i="17"/>
  <c r="I448" i="17"/>
  <c r="E448" i="17"/>
  <c r="C448" i="17"/>
  <c r="D448" i="17" s="1"/>
  <c r="B448" i="17"/>
  <c r="A448" i="17"/>
  <c r="C447" i="17"/>
  <c r="D447" i="17" s="1"/>
  <c r="B447" i="17"/>
  <c r="A447" i="17"/>
  <c r="I446" i="17"/>
  <c r="E446" i="17"/>
  <c r="C446" i="17"/>
  <c r="D446" i="17" s="1"/>
  <c r="B446" i="17"/>
  <c r="A446" i="17"/>
  <c r="C445" i="17"/>
  <c r="D445" i="17" s="1"/>
  <c r="B445" i="17"/>
  <c r="A445" i="17"/>
  <c r="I444" i="17"/>
  <c r="E444" i="17"/>
  <c r="C444" i="17"/>
  <c r="D444" i="17" s="1"/>
  <c r="B444" i="17"/>
  <c r="A444" i="17"/>
  <c r="C443" i="17"/>
  <c r="D443" i="17" s="1"/>
  <c r="B443" i="17"/>
  <c r="A443" i="17"/>
  <c r="I442" i="17"/>
  <c r="E442" i="17"/>
  <c r="C442" i="17"/>
  <c r="D442" i="17" s="1"/>
  <c r="B442" i="17"/>
  <c r="A442" i="17"/>
  <c r="C441" i="17"/>
  <c r="D441" i="17" s="1"/>
  <c r="B441" i="17"/>
  <c r="A441" i="17"/>
  <c r="I440" i="17"/>
  <c r="E440" i="17"/>
  <c r="C440" i="17"/>
  <c r="D440" i="17" s="1"/>
  <c r="B440" i="17"/>
  <c r="A440" i="17"/>
  <c r="C439" i="17"/>
  <c r="D439" i="17" s="1"/>
  <c r="B439" i="17"/>
  <c r="A439" i="17"/>
  <c r="I438" i="17"/>
  <c r="E438" i="17"/>
  <c r="C438" i="17"/>
  <c r="D438" i="17" s="1"/>
  <c r="B438" i="17"/>
  <c r="A438" i="17"/>
  <c r="C437" i="17"/>
  <c r="D437" i="17" s="1"/>
  <c r="B437" i="17"/>
  <c r="A437" i="17"/>
  <c r="I436" i="17"/>
  <c r="E436" i="17"/>
  <c r="C436" i="17"/>
  <c r="D436" i="17" s="1"/>
  <c r="B436" i="17"/>
  <c r="A436" i="17"/>
  <c r="C435" i="17"/>
  <c r="D435" i="17" s="1"/>
  <c r="B435" i="17"/>
  <c r="A435" i="17"/>
  <c r="I434" i="17"/>
  <c r="E434" i="17"/>
  <c r="C434" i="17"/>
  <c r="D434" i="17" s="1"/>
  <c r="B434" i="17"/>
  <c r="A434" i="17"/>
  <c r="C433" i="17"/>
  <c r="D433" i="17" s="1"/>
  <c r="B433" i="17"/>
  <c r="A433" i="17"/>
  <c r="I432" i="17"/>
  <c r="E432" i="17"/>
  <c r="C432" i="17"/>
  <c r="D432" i="17" s="1"/>
  <c r="B432" i="17"/>
  <c r="A432" i="17"/>
  <c r="C431" i="17"/>
  <c r="D431" i="17" s="1"/>
  <c r="B431" i="17"/>
  <c r="A431" i="17"/>
  <c r="I430" i="17"/>
  <c r="E430" i="17"/>
  <c r="C430" i="17"/>
  <c r="D430" i="17" s="1"/>
  <c r="B430" i="17"/>
  <c r="A430" i="17"/>
  <c r="C429" i="17"/>
  <c r="D429" i="17" s="1"/>
  <c r="B429" i="17"/>
  <c r="A429" i="17"/>
  <c r="I428" i="17"/>
  <c r="E428" i="17"/>
  <c r="C428" i="17"/>
  <c r="D428" i="17" s="1"/>
  <c r="B428" i="17"/>
  <c r="A428" i="17"/>
  <c r="C427" i="17"/>
  <c r="D427" i="17" s="1"/>
  <c r="B427" i="17"/>
  <c r="A427" i="17"/>
  <c r="I426" i="17"/>
  <c r="E426" i="17"/>
  <c r="C426" i="17"/>
  <c r="D426" i="17" s="1"/>
  <c r="B426" i="17"/>
  <c r="A426" i="17"/>
  <c r="C425" i="17"/>
  <c r="D425" i="17" s="1"/>
  <c r="B425" i="17"/>
  <c r="A425" i="17"/>
  <c r="I424" i="17"/>
  <c r="E424" i="17"/>
  <c r="C424" i="17"/>
  <c r="D424" i="17" s="1"/>
  <c r="B424" i="17"/>
  <c r="A424" i="17"/>
  <c r="C423" i="17"/>
  <c r="D423" i="17" s="1"/>
  <c r="B423" i="17"/>
  <c r="A423" i="17"/>
  <c r="I422" i="17"/>
  <c r="E422" i="17"/>
  <c r="C422" i="17"/>
  <c r="D422" i="17" s="1"/>
  <c r="B422" i="17"/>
  <c r="A422" i="17"/>
  <c r="C421" i="17"/>
  <c r="D421" i="17" s="1"/>
  <c r="B421" i="17"/>
  <c r="A421" i="17"/>
  <c r="I420" i="17"/>
  <c r="E420" i="17"/>
  <c r="C420" i="17"/>
  <c r="D420" i="17" s="1"/>
  <c r="B420" i="17"/>
  <c r="A420" i="17"/>
  <c r="C419" i="17"/>
  <c r="D419" i="17" s="1"/>
  <c r="B419" i="17"/>
  <c r="A419" i="17"/>
  <c r="I418" i="17"/>
  <c r="E418" i="17"/>
  <c r="C418" i="17"/>
  <c r="D418" i="17" s="1"/>
  <c r="B418" i="17"/>
  <c r="A418" i="17"/>
  <c r="C417" i="17"/>
  <c r="D417" i="17" s="1"/>
  <c r="B417" i="17"/>
  <c r="A417" i="17"/>
  <c r="I416" i="17"/>
  <c r="E416" i="17"/>
  <c r="C416" i="17"/>
  <c r="D416" i="17" s="1"/>
  <c r="B416" i="17"/>
  <c r="A416" i="17"/>
  <c r="C415" i="17"/>
  <c r="D415" i="17" s="1"/>
  <c r="B415" i="17"/>
  <c r="A415" i="17"/>
  <c r="I414" i="17"/>
  <c r="E414" i="17"/>
  <c r="C414" i="17"/>
  <c r="D414" i="17" s="1"/>
  <c r="B414" i="17"/>
  <c r="A414" i="17"/>
  <c r="C413" i="17"/>
  <c r="D413" i="17" s="1"/>
  <c r="B413" i="17"/>
  <c r="A413" i="17"/>
  <c r="I412" i="17"/>
  <c r="E412" i="17"/>
  <c r="C412" i="17"/>
  <c r="D412" i="17" s="1"/>
  <c r="B412" i="17"/>
  <c r="A412" i="17"/>
  <c r="C411" i="17"/>
  <c r="D411" i="17" s="1"/>
  <c r="B411" i="17"/>
  <c r="A411" i="17"/>
  <c r="I410" i="17"/>
  <c r="E410" i="17"/>
  <c r="C410" i="17"/>
  <c r="D410" i="17" s="1"/>
  <c r="B410" i="17"/>
  <c r="A410" i="17"/>
  <c r="C409" i="17"/>
  <c r="D409" i="17" s="1"/>
  <c r="B409" i="17"/>
  <c r="A409" i="17"/>
  <c r="I408" i="17"/>
  <c r="E408" i="17"/>
  <c r="C408" i="17"/>
  <c r="D408" i="17" s="1"/>
  <c r="B408" i="17"/>
  <c r="A408" i="17"/>
  <c r="C407" i="17"/>
  <c r="D407" i="17" s="1"/>
  <c r="B407" i="17"/>
  <c r="A407" i="17"/>
  <c r="I406" i="17"/>
  <c r="E406" i="17"/>
  <c r="C406" i="17"/>
  <c r="D406" i="17" s="1"/>
  <c r="B406" i="17"/>
  <c r="A406" i="17"/>
  <c r="C405" i="17"/>
  <c r="D405" i="17" s="1"/>
  <c r="B405" i="17"/>
  <c r="A405" i="17"/>
  <c r="I404" i="17"/>
  <c r="E404" i="17"/>
  <c r="C404" i="17"/>
  <c r="D404" i="17" s="1"/>
  <c r="B404" i="17"/>
  <c r="A404" i="17"/>
  <c r="C403" i="17"/>
  <c r="D403" i="17" s="1"/>
  <c r="B403" i="17"/>
  <c r="A403" i="17"/>
  <c r="I402" i="17"/>
  <c r="E402" i="17"/>
  <c r="C402" i="17"/>
  <c r="D402" i="17" s="1"/>
  <c r="B402" i="17"/>
  <c r="A402" i="17"/>
  <c r="C401" i="17"/>
  <c r="D401" i="17" s="1"/>
  <c r="B401" i="17"/>
  <c r="A401" i="17"/>
  <c r="I400" i="17"/>
  <c r="E400" i="17"/>
  <c r="C400" i="17"/>
  <c r="D400" i="17" s="1"/>
  <c r="B400" i="17"/>
  <c r="A400" i="17"/>
  <c r="C399" i="17"/>
  <c r="D399" i="17" s="1"/>
  <c r="B399" i="17"/>
  <c r="A399" i="17"/>
  <c r="I398" i="17"/>
  <c r="E398" i="17"/>
  <c r="C398" i="17"/>
  <c r="D398" i="17" s="1"/>
  <c r="B398" i="17"/>
  <c r="A398" i="17"/>
  <c r="C397" i="17"/>
  <c r="D397" i="17" s="1"/>
  <c r="B397" i="17"/>
  <c r="A397" i="17"/>
  <c r="I396" i="17"/>
  <c r="E396" i="17"/>
  <c r="C396" i="17"/>
  <c r="D396" i="17" s="1"/>
  <c r="B396" i="17"/>
  <c r="A396" i="17"/>
  <c r="C395" i="17"/>
  <c r="D395" i="17" s="1"/>
  <c r="B395" i="17"/>
  <c r="A395" i="17"/>
  <c r="I394" i="17"/>
  <c r="E394" i="17"/>
  <c r="C394" i="17"/>
  <c r="D394" i="17" s="1"/>
  <c r="B394" i="17"/>
  <c r="A394" i="17"/>
  <c r="C393" i="17"/>
  <c r="D393" i="17" s="1"/>
  <c r="B393" i="17"/>
  <c r="A393" i="17"/>
  <c r="I392" i="17"/>
  <c r="E392" i="17"/>
  <c r="C392" i="17"/>
  <c r="D392" i="17" s="1"/>
  <c r="B392" i="17"/>
  <c r="A392" i="17"/>
  <c r="C391" i="17"/>
  <c r="D391" i="17" s="1"/>
  <c r="B391" i="17"/>
  <c r="A391" i="17"/>
  <c r="I390" i="17"/>
  <c r="E390" i="17"/>
  <c r="C390" i="17"/>
  <c r="D390" i="17" s="1"/>
  <c r="B390" i="17"/>
  <c r="A390" i="17"/>
  <c r="C389" i="17"/>
  <c r="D389" i="17" s="1"/>
  <c r="B389" i="17"/>
  <c r="A389" i="17"/>
  <c r="I388" i="17"/>
  <c r="E388" i="17"/>
  <c r="C388" i="17"/>
  <c r="D388" i="17" s="1"/>
  <c r="B388" i="17"/>
  <c r="A388" i="17"/>
  <c r="C387" i="17"/>
  <c r="D387" i="17" s="1"/>
  <c r="B387" i="17"/>
  <c r="A387" i="17"/>
  <c r="I386" i="17"/>
  <c r="E386" i="17"/>
  <c r="C386" i="17"/>
  <c r="D386" i="17" s="1"/>
  <c r="B386" i="17"/>
  <c r="A386" i="17"/>
  <c r="C385" i="17"/>
  <c r="D385" i="17" s="1"/>
  <c r="B385" i="17"/>
  <c r="A385" i="17"/>
  <c r="I384" i="17"/>
  <c r="E384" i="17"/>
  <c r="C384" i="17"/>
  <c r="D384" i="17" s="1"/>
  <c r="B384" i="17"/>
  <c r="A384" i="17"/>
  <c r="C383" i="17"/>
  <c r="D383" i="17" s="1"/>
  <c r="B383" i="17"/>
  <c r="A383" i="17"/>
  <c r="I382" i="17"/>
  <c r="E382" i="17"/>
  <c r="C382" i="17"/>
  <c r="D382" i="17" s="1"/>
  <c r="B382" i="17"/>
  <c r="A382" i="17"/>
  <c r="C381" i="17"/>
  <c r="D381" i="17" s="1"/>
  <c r="B381" i="17"/>
  <c r="A381" i="17"/>
  <c r="I380" i="17"/>
  <c r="E380" i="17"/>
  <c r="C380" i="17"/>
  <c r="D380" i="17" s="1"/>
  <c r="B380" i="17"/>
  <c r="A380" i="17"/>
  <c r="C379" i="17"/>
  <c r="D379" i="17" s="1"/>
  <c r="B379" i="17"/>
  <c r="A379" i="17"/>
  <c r="I378" i="17"/>
  <c r="E378" i="17"/>
  <c r="C378" i="17"/>
  <c r="D378" i="17" s="1"/>
  <c r="B378" i="17"/>
  <c r="A378" i="17"/>
  <c r="C377" i="17"/>
  <c r="D377" i="17" s="1"/>
  <c r="B377" i="17"/>
  <c r="A377" i="17"/>
  <c r="I376" i="17"/>
  <c r="E376" i="17"/>
  <c r="C376" i="17"/>
  <c r="D376" i="17" s="1"/>
  <c r="B376" i="17"/>
  <c r="A376" i="17"/>
  <c r="C375" i="17"/>
  <c r="D375" i="17" s="1"/>
  <c r="B375" i="17"/>
  <c r="A375" i="17"/>
  <c r="I374" i="17"/>
  <c r="E374" i="17"/>
  <c r="C374" i="17"/>
  <c r="D374" i="17" s="1"/>
  <c r="B374" i="17"/>
  <c r="A374" i="17"/>
  <c r="C373" i="17"/>
  <c r="D373" i="17" s="1"/>
  <c r="B373" i="17"/>
  <c r="A373" i="17"/>
  <c r="I372" i="17"/>
  <c r="E372" i="17"/>
  <c r="C372" i="17"/>
  <c r="D372" i="17" s="1"/>
  <c r="B372" i="17"/>
  <c r="A372" i="17"/>
  <c r="C371" i="17"/>
  <c r="D371" i="17" s="1"/>
  <c r="B371" i="17"/>
  <c r="A371" i="17"/>
  <c r="I370" i="17"/>
  <c r="E370" i="17"/>
  <c r="C370" i="17"/>
  <c r="D370" i="17" s="1"/>
  <c r="B370" i="17"/>
  <c r="A370" i="17"/>
  <c r="C369" i="17"/>
  <c r="D369" i="17" s="1"/>
  <c r="B369" i="17"/>
  <c r="A369" i="17"/>
  <c r="I368" i="17"/>
  <c r="E368" i="17"/>
  <c r="C368" i="17"/>
  <c r="D368" i="17" s="1"/>
  <c r="B368" i="17"/>
  <c r="A368" i="17"/>
  <c r="C367" i="17"/>
  <c r="D367" i="17" s="1"/>
  <c r="B367" i="17"/>
  <c r="A367" i="17"/>
  <c r="I366" i="17"/>
  <c r="E366" i="17"/>
  <c r="C366" i="17"/>
  <c r="D366" i="17" s="1"/>
  <c r="B366" i="17"/>
  <c r="A366" i="17"/>
  <c r="C365" i="17"/>
  <c r="D365" i="17" s="1"/>
  <c r="B365" i="17"/>
  <c r="A365" i="17"/>
  <c r="I364" i="17"/>
  <c r="E364" i="17"/>
  <c r="C364" i="17"/>
  <c r="D364" i="17" s="1"/>
  <c r="B364" i="17"/>
  <c r="A364" i="17"/>
  <c r="C363" i="17"/>
  <c r="D363" i="17" s="1"/>
  <c r="B363" i="17"/>
  <c r="A363" i="17"/>
  <c r="I362" i="17"/>
  <c r="E362" i="17"/>
  <c r="C362" i="17"/>
  <c r="D362" i="17" s="1"/>
  <c r="B362" i="17"/>
  <c r="A362" i="17"/>
  <c r="C361" i="17"/>
  <c r="D361" i="17" s="1"/>
  <c r="B361" i="17"/>
  <c r="A361" i="17"/>
  <c r="I360" i="17"/>
  <c r="E360" i="17"/>
  <c r="C360" i="17"/>
  <c r="D360" i="17" s="1"/>
  <c r="B360" i="17"/>
  <c r="A360" i="17"/>
  <c r="C359" i="17"/>
  <c r="D359" i="17" s="1"/>
  <c r="B359" i="17"/>
  <c r="A359" i="17"/>
  <c r="I358" i="17"/>
  <c r="E358" i="17"/>
  <c r="C358" i="17"/>
  <c r="D358" i="17" s="1"/>
  <c r="B358" i="17"/>
  <c r="A358" i="17"/>
  <c r="C357" i="17"/>
  <c r="D357" i="17" s="1"/>
  <c r="B357" i="17"/>
  <c r="A357" i="17"/>
  <c r="I356" i="17"/>
  <c r="E356" i="17"/>
  <c r="C356" i="17"/>
  <c r="D356" i="17" s="1"/>
  <c r="B356" i="17"/>
  <c r="A356" i="17"/>
  <c r="C355" i="17"/>
  <c r="D355" i="17" s="1"/>
  <c r="B355" i="17"/>
  <c r="A355" i="17"/>
  <c r="I354" i="17"/>
  <c r="E354" i="17"/>
  <c r="C354" i="17"/>
  <c r="D354" i="17" s="1"/>
  <c r="B354" i="17"/>
  <c r="A354" i="17"/>
  <c r="C353" i="17"/>
  <c r="D353" i="17" s="1"/>
  <c r="B353" i="17"/>
  <c r="A353" i="17"/>
  <c r="I352" i="17"/>
  <c r="E352" i="17"/>
  <c r="C352" i="17"/>
  <c r="D352" i="17" s="1"/>
  <c r="B352" i="17"/>
  <c r="A352" i="17"/>
  <c r="C351" i="17"/>
  <c r="D351" i="17" s="1"/>
  <c r="B351" i="17"/>
  <c r="A351" i="17"/>
  <c r="I350" i="17"/>
  <c r="E350" i="17"/>
  <c r="C350" i="17"/>
  <c r="D350" i="17" s="1"/>
  <c r="B350" i="17"/>
  <c r="A350" i="17"/>
  <c r="C349" i="17"/>
  <c r="D349" i="17" s="1"/>
  <c r="B349" i="17"/>
  <c r="A349" i="17"/>
  <c r="I348" i="17"/>
  <c r="E348" i="17"/>
  <c r="C348" i="17"/>
  <c r="D348" i="17" s="1"/>
  <c r="B348" i="17"/>
  <c r="A348" i="17"/>
  <c r="C347" i="17"/>
  <c r="D347" i="17" s="1"/>
  <c r="B347" i="17"/>
  <c r="A347" i="17"/>
  <c r="I346" i="17"/>
  <c r="E346" i="17"/>
  <c r="C346" i="17"/>
  <c r="D346" i="17" s="1"/>
  <c r="B346" i="17"/>
  <c r="A346" i="17"/>
  <c r="C345" i="17"/>
  <c r="D345" i="17" s="1"/>
  <c r="B345" i="17"/>
  <c r="A345" i="17"/>
  <c r="I344" i="17"/>
  <c r="E344" i="17"/>
  <c r="C344" i="17"/>
  <c r="D344" i="17" s="1"/>
  <c r="B344" i="17"/>
  <c r="A344" i="17"/>
  <c r="C343" i="17"/>
  <c r="D343" i="17" s="1"/>
  <c r="B343" i="17"/>
  <c r="A343" i="17"/>
  <c r="I342" i="17"/>
  <c r="E342" i="17"/>
  <c r="C342" i="17"/>
  <c r="D342" i="17" s="1"/>
  <c r="B342" i="17"/>
  <c r="A342" i="17"/>
  <c r="C341" i="17"/>
  <c r="D341" i="17" s="1"/>
  <c r="B341" i="17"/>
  <c r="A341" i="17"/>
  <c r="I340" i="17"/>
  <c r="E340" i="17"/>
  <c r="C340" i="17"/>
  <c r="D340" i="17" s="1"/>
  <c r="B340" i="17"/>
  <c r="A340" i="17"/>
  <c r="C339" i="17"/>
  <c r="D339" i="17" s="1"/>
  <c r="B339" i="17"/>
  <c r="A339" i="17"/>
  <c r="I338" i="17"/>
  <c r="E338" i="17"/>
  <c r="C338" i="17"/>
  <c r="D338" i="17" s="1"/>
  <c r="B338" i="17"/>
  <c r="A338" i="17"/>
  <c r="C337" i="17"/>
  <c r="D337" i="17" s="1"/>
  <c r="B337" i="17"/>
  <c r="A337" i="17"/>
  <c r="I336" i="17"/>
  <c r="E336" i="17"/>
  <c r="C336" i="17"/>
  <c r="D336" i="17" s="1"/>
  <c r="B336" i="17"/>
  <c r="A336" i="17"/>
  <c r="C335" i="17"/>
  <c r="D335" i="17" s="1"/>
  <c r="B335" i="17"/>
  <c r="A335" i="17"/>
  <c r="I334" i="17"/>
  <c r="E334" i="17"/>
  <c r="C334" i="17"/>
  <c r="D334" i="17" s="1"/>
  <c r="B334" i="17"/>
  <c r="A334" i="17"/>
  <c r="C333" i="17"/>
  <c r="D333" i="17" s="1"/>
  <c r="B333" i="17"/>
  <c r="A333" i="17"/>
  <c r="I332" i="17"/>
  <c r="E332" i="17"/>
  <c r="C332" i="17"/>
  <c r="D332" i="17" s="1"/>
  <c r="B332" i="17"/>
  <c r="A332" i="17"/>
  <c r="C331" i="17"/>
  <c r="D331" i="17" s="1"/>
  <c r="B331" i="17"/>
  <c r="A331" i="17"/>
  <c r="I330" i="17"/>
  <c r="E330" i="17"/>
  <c r="C330" i="17"/>
  <c r="D330" i="17" s="1"/>
  <c r="B330" i="17"/>
  <c r="A330" i="17"/>
  <c r="C329" i="17"/>
  <c r="D329" i="17" s="1"/>
  <c r="B329" i="17"/>
  <c r="A329" i="17"/>
  <c r="I328" i="17"/>
  <c r="E328" i="17"/>
  <c r="C328" i="17"/>
  <c r="D328" i="17" s="1"/>
  <c r="B328" i="17"/>
  <c r="A328" i="17"/>
  <c r="C327" i="17"/>
  <c r="D327" i="17" s="1"/>
  <c r="B327" i="17"/>
  <c r="A327" i="17"/>
  <c r="I326" i="17"/>
  <c r="E326" i="17"/>
  <c r="C326" i="17"/>
  <c r="D326" i="17" s="1"/>
  <c r="B326" i="17"/>
  <c r="A326" i="17"/>
  <c r="C325" i="17"/>
  <c r="D325" i="17" s="1"/>
  <c r="B325" i="17"/>
  <c r="A325" i="17"/>
  <c r="I324" i="17"/>
  <c r="E324" i="17"/>
  <c r="C324" i="17"/>
  <c r="D324" i="17" s="1"/>
  <c r="B324" i="17"/>
  <c r="A324" i="17"/>
  <c r="C323" i="17"/>
  <c r="D323" i="17" s="1"/>
  <c r="B323" i="17"/>
  <c r="A323" i="17"/>
  <c r="I322" i="17"/>
  <c r="E322" i="17"/>
  <c r="C322" i="17"/>
  <c r="D322" i="17" s="1"/>
  <c r="B322" i="17"/>
  <c r="A322" i="17"/>
  <c r="C321" i="17"/>
  <c r="D321" i="17" s="1"/>
  <c r="B321" i="17"/>
  <c r="A321" i="17"/>
  <c r="I320" i="17"/>
  <c r="E320" i="17"/>
  <c r="C320" i="17"/>
  <c r="D320" i="17" s="1"/>
  <c r="B320" i="17"/>
  <c r="A320" i="17"/>
  <c r="C319" i="17"/>
  <c r="D319" i="17" s="1"/>
  <c r="B319" i="17"/>
  <c r="A319" i="17"/>
  <c r="I318" i="17"/>
  <c r="E318" i="17"/>
  <c r="C318" i="17"/>
  <c r="D318" i="17" s="1"/>
  <c r="B318" i="17"/>
  <c r="A318" i="17"/>
  <c r="C317" i="17"/>
  <c r="D317" i="17" s="1"/>
  <c r="B317" i="17"/>
  <c r="A317" i="17"/>
  <c r="I316" i="17"/>
  <c r="E316" i="17"/>
  <c r="C316" i="17"/>
  <c r="D316" i="17" s="1"/>
  <c r="B316" i="17"/>
  <c r="A316" i="17"/>
  <c r="C315" i="17"/>
  <c r="D315" i="17" s="1"/>
  <c r="B315" i="17"/>
  <c r="A315" i="17"/>
  <c r="I314" i="17"/>
  <c r="E314" i="17"/>
  <c r="C314" i="17"/>
  <c r="D314" i="17" s="1"/>
  <c r="B314" i="17"/>
  <c r="A314" i="17"/>
  <c r="C313" i="17"/>
  <c r="D313" i="17" s="1"/>
  <c r="B313" i="17"/>
  <c r="A313" i="17"/>
  <c r="I312" i="17"/>
  <c r="E312" i="17"/>
  <c r="C312" i="17"/>
  <c r="D312" i="17" s="1"/>
  <c r="B312" i="17"/>
  <c r="A312" i="17"/>
  <c r="C311" i="17"/>
  <c r="D311" i="17" s="1"/>
  <c r="B311" i="17"/>
  <c r="A311" i="17"/>
  <c r="I310" i="17"/>
  <c r="E310" i="17"/>
  <c r="C310" i="17"/>
  <c r="D310" i="17" s="1"/>
  <c r="B310" i="17"/>
  <c r="A310" i="17"/>
  <c r="C309" i="17"/>
  <c r="D309" i="17" s="1"/>
  <c r="B309" i="17"/>
  <c r="A309" i="17"/>
  <c r="I308" i="17"/>
  <c r="E308" i="17"/>
  <c r="C308" i="17"/>
  <c r="D308" i="17" s="1"/>
  <c r="B308" i="17"/>
  <c r="A308" i="17"/>
  <c r="C307" i="17"/>
  <c r="D307" i="17" s="1"/>
  <c r="B307" i="17"/>
  <c r="A307" i="17"/>
  <c r="I306" i="17"/>
  <c r="E306" i="17"/>
  <c r="C306" i="17"/>
  <c r="D306" i="17" s="1"/>
  <c r="B306" i="17"/>
  <c r="A306" i="17"/>
  <c r="C305" i="17"/>
  <c r="D305" i="17" s="1"/>
  <c r="B305" i="17"/>
  <c r="A305" i="17"/>
  <c r="I304" i="17"/>
  <c r="E304" i="17"/>
  <c r="C304" i="17"/>
  <c r="D304" i="17" s="1"/>
  <c r="B304" i="17"/>
  <c r="A304" i="17"/>
  <c r="C303" i="17"/>
  <c r="D303" i="17" s="1"/>
  <c r="B303" i="17"/>
  <c r="A303" i="17"/>
  <c r="I302" i="17"/>
  <c r="E302" i="17"/>
  <c r="C302" i="17"/>
  <c r="D302" i="17" s="1"/>
  <c r="B302" i="17"/>
  <c r="A302" i="17"/>
  <c r="C301" i="17"/>
  <c r="D301" i="17" s="1"/>
  <c r="B301" i="17"/>
  <c r="A301" i="17"/>
  <c r="I300" i="17"/>
  <c r="E300" i="17"/>
  <c r="C300" i="17"/>
  <c r="D300" i="17" s="1"/>
  <c r="B300" i="17"/>
  <c r="A300" i="17"/>
  <c r="C299" i="17"/>
  <c r="D299" i="17" s="1"/>
  <c r="B299" i="17"/>
  <c r="A299" i="17"/>
  <c r="I298" i="17"/>
  <c r="E298" i="17"/>
  <c r="C298" i="17"/>
  <c r="D298" i="17" s="1"/>
  <c r="B298" i="17"/>
  <c r="A298" i="17"/>
  <c r="C297" i="17"/>
  <c r="D297" i="17" s="1"/>
  <c r="B297" i="17"/>
  <c r="A297" i="17"/>
  <c r="I296" i="17"/>
  <c r="E296" i="17"/>
  <c r="C296" i="17"/>
  <c r="D296" i="17" s="1"/>
  <c r="B296" i="17"/>
  <c r="A296" i="17"/>
  <c r="C295" i="17"/>
  <c r="D295" i="17" s="1"/>
  <c r="B295" i="17"/>
  <c r="A295" i="17"/>
  <c r="I294" i="17"/>
  <c r="E294" i="17"/>
  <c r="C294" i="17"/>
  <c r="D294" i="17" s="1"/>
  <c r="B294" i="17"/>
  <c r="A294" i="17"/>
  <c r="C293" i="17"/>
  <c r="D293" i="17" s="1"/>
  <c r="B293" i="17"/>
  <c r="A293" i="17"/>
  <c r="I292" i="17"/>
  <c r="E292" i="17"/>
  <c r="C292" i="17"/>
  <c r="D292" i="17" s="1"/>
  <c r="B292" i="17"/>
  <c r="A292" i="17"/>
  <c r="C291" i="17"/>
  <c r="D291" i="17" s="1"/>
  <c r="B291" i="17"/>
  <c r="A291" i="17"/>
  <c r="I290" i="17"/>
  <c r="E290" i="17"/>
  <c r="C290" i="17"/>
  <c r="D290" i="17" s="1"/>
  <c r="B290" i="17"/>
  <c r="A290" i="17"/>
  <c r="C289" i="17"/>
  <c r="D289" i="17" s="1"/>
  <c r="B289" i="17"/>
  <c r="A289" i="17"/>
  <c r="I288" i="17"/>
  <c r="E288" i="17"/>
  <c r="C288" i="17"/>
  <c r="D288" i="17" s="1"/>
  <c r="B288" i="17"/>
  <c r="A288" i="17"/>
  <c r="C287" i="17"/>
  <c r="D287" i="17" s="1"/>
  <c r="B287" i="17"/>
  <c r="A287" i="17"/>
  <c r="I286" i="17"/>
  <c r="E286" i="17"/>
  <c r="C286" i="17"/>
  <c r="D286" i="17" s="1"/>
  <c r="B286" i="17"/>
  <c r="A286" i="17"/>
  <c r="C285" i="17"/>
  <c r="D285" i="17" s="1"/>
  <c r="B285" i="17"/>
  <c r="A285" i="17"/>
  <c r="I284" i="17"/>
  <c r="E284" i="17"/>
  <c r="C284" i="17"/>
  <c r="D284" i="17" s="1"/>
  <c r="B284" i="17"/>
  <c r="A284" i="17"/>
  <c r="C283" i="17"/>
  <c r="D283" i="17" s="1"/>
  <c r="B283" i="17"/>
  <c r="A283" i="17"/>
  <c r="I282" i="17"/>
  <c r="E282" i="17"/>
  <c r="C282" i="17"/>
  <c r="D282" i="17" s="1"/>
  <c r="B282" i="17"/>
  <c r="A282" i="17"/>
  <c r="C281" i="17"/>
  <c r="D281" i="17" s="1"/>
  <c r="B281" i="17"/>
  <c r="A281" i="17"/>
  <c r="I280" i="17"/>
  <c r="E280" i="17"/>
  <c r="C280" i="17"/>
  <c r="D280" i="17" s="1"/>
  <c r="B280" i="17"/>
  <c r="A280" i="17"/>
  <c r="C279" i="17"/>
  <c r="D279" i="17" s="1"/>
  <c r="B279" i="17"/>
  <c r="A279" i="17"/>
  <c r="I278" i="17"/>
  <c r="E278" i="17"/>
  <c r="C278" i="17"/>
  <c r="D278" i="17" s="1"/>
  <c r="B278" i="17"/>
  <c r="A278" i="17"/>
  <c r="C277" i="17"/>
  <c r="D277" i="17" s="1"/>
  <c r="B277" i="17"/>
  <c r="A277" i="17"/>
  <c r="I276" i="17"/>
  <c r="E276" i="17"/>
  <c r="C276" i="17"/>
  <c r="D276" i="17" s="1"/>
  <c r="B276" i="17"/>
  <c r="A276" i="17"/>
  <c r="C275" i="17"/>
  <c r="D275" i="17" s="1"/>
  <c r="B275" i="17"/>
  <c r="A275" i="17"/>
  <c r="I274" i="17"/>
  <c r="E274" i="17"/>
  <c r="C274" i="17"/>
  <c r="D274" i="17" s="1"/>
  <c r="B274" i="17"/>
  <c r="A274" i="17"/>
  <c r="C273" i="17"/>
  <c r="D273" i="17" s="1"/>
  <c r="B273" i="17"/>
  <c r="A273" i="17"/>
  <c r="I272" i="17"/>
  <c r="E272" i="17"/>
  <c r="C272" i="17"/>
  <c r="D272" i="17" s="1"/>
  <c r="B272" i="17"/>
  <c r="A272" i="17"/>
  <c r="C271" i="17"/>
  <c r="D271" i="17" s="1"/>
  <c r="B271" i="17"/>
  <c r="A271" i="17"/>
  <c r="I270" i="17"/>
  <c r="E270" i="17"/>
  <c r="C270" i="17"/>
  <c r="D270" i="17" s="1"/>
  <c r="B270" i="17"/>
  <c r="A270" i="17"/>
  <c r="C269" i="17"/>
  <c r="D269" i="17" s="1"/>
  <c r="B269" i="17"/>
  <c r="A269" i="17"/>
  <c r="I268" i="17"/>
  <c r="E268" i="17"/>
  <c r="C268" i="17"/>
  <c r="D268" i="17" s="1"/>
  <c r="B268" i="17"/>
  <c r="A268" i="17"/>
  <c r="C267" i="17"/>
  <c r="D267" i="17" s="1"/>
  <c r="B267" i="17"/>
  <c r="A267" i="17"/>
  <c r="I266" i="17"/>
  <c r="E266" i="17"/>
  <c r="C266" i="17"/>
  <c r="D266" i="17" s="1"/>
  <c r="B266" i="17"/>
  <c r="A266" i="17"/>
  <c r="C265" i="17"/>
  <c r="D265" i="17" s="1"/>
  <c r="B265" i="17"/>
  <c r="A265" i="17"/>
  <c r="I264" i="17"/>
  <c r="E264" i="17"/>
  <c r="C264" i="17"/>
  <c r="D264" i="17" s="1"/>
  <c r="B264" i="17"/>
  <c r="A264" i="17"/>
  <c r="C263" i="17"/>
  <c r="D263" i="17" s="1"/>
  <c r="B263" i="17"/>
  <c r="A263" i="17"/>
  <c r="I262" i="17"/>
  <c r="E262" i="17"/>
  <c r="C262" i="17"/>
  <c r="D262" i="17" s="1"/>
  <c r="B262" i="17"/>
  <c r="A262" i="17"/>
  <c r="C261" i="17"/>
  <c r="D261" i="17" s="1"/>
  <c r="B261" i="17"/>
  <c r="A261" i="17"/>
  <c r="I260" i="17"/>
  <c r="E260" i="17"/>
  <c r="C260" i="17"/>
  <c r="D260" i="17" s="1"/>
  <c r="B260" i="17"/>
  <c r="A260" i="17"/>
  <c r="C259" i="17"/>
  <c r="D259" i="17" s="1"/>
  <c r="B259" i="17"/>
  <c r="A259" i="17"/>
  <c r="I258" i="17"/>
  <c r="E258" i="17"/>
  <c r="C258" i="17"/>
  <c r="D258" i="17" s="1"/>
  <c r="B258" i="17"/>
  <c r="A258" i="17"/>
  <c r="C257" i="17"/>
  <c r="D257" i="17" s="1"/>
  <c r="B257" i="17"/>
  <c r="A257" i="17"/>
  <c r="I256" i="17"/>
  <c r="E256" i="17"/>
  <c r="C256" i="17"/>
  <c r="D256" i="17" s="1"/>
  <c r="B256" i="17"/>
  <c r="A256" i="17"/>
  <c r="C255" i="17"/>
  <c r="D255" i="17" s="1"/>
  <c r="B255" i="17"/>
  <c r="A255" i="17"/>
  <c r="I254" i="17"/>
  <c r="E254" i="17"/>
  <c r="C254" i="17"/>
  <c r="D254" i="17" s="1"/>
  <c r="B254" i="17"/>
  <c r="A254" i="17"/>
  <c r="C253" i="17"/>
  <c r="D253" i="17" s="1"/>
  <c r="B253" i="17"/>
  <c r="A253" i="17"/>
  <c r="I252" i="17"/>
  <c r="E252" i="17"/>
  <c r="C252" i="17"/>
  <c r="D252" i="17" s="1"/>
  <c r="B252" i="17"/>
  <c r="A252" i="17"/>
  <c r="C251" i="17"/>
  <c r="D251" i="17" s="1"/>
  <c r="B251" i="17"/>
  <c r="A251" i="17"/>
  <c r="I250" i="17"/>
  <c r="E250" i="17"/>
  <c r="C250" i="17"/>
  <c r="D250" i="17" s="1"/>
  <c r="B250" i="17"/>
  <c r="A250" i="17"/>
  <c r="C249" i="17"/>
  <c r="D249" i="17" s="1"/>
  <c r="B249" i="17"/>
  <c r="A249" i="17"/>
  <c r="I248" i="17"/>
  <c r="E248" i="17"/>
  <c r="C248" i="17"/>
  <c r="D248" i="17" s="1"/>
  <c r="B248" i="17"/>
  <c r="A248" i="17"/>
  <c r="C247" i="17"/>
  <c r="D247" i="17" s="1"/>
  <c r="B247" i="17"/>
  <c r="A247" i="17"/>
  <c r="I246" i="17"/>
  <c r="E246" i="17"/>
  <c r="C246" i="17"/>
  <c r="D246" i="17" s="1"/>
  <c r="B246" i="17"/>
  <c r="A246" i="17"/>
  <c r="C245" i="17"/>
  <c r="D245" i="17" s="1"/>
  <c r="B245" i="17"/>
  <c r="A245" i="17"/>
  <c r="I244" i="17"/>
  <c r="E244" i="17"/>
  <c r="C244" i="17"/>
  <c r="D244" i="17" s="1"/>
  <c r="B244" i="17"/>
  <c r="A244" i="17"/>
  <c r="C243" i="17"/>
  <c r="D243" i="17" s="1"/>
  <c r="B243" i="17"/>
  <c r="A243" i="17"/>
  <c r="I242" i="17"/>
  <c r="E242" i="17"/>
  <c r="C242" i="17"/>
  <c r="D242" i="17" s="1"/>
  <c r="B242" i="17"/>
  <c r="A242" i="17"/>
  <c r="C241" i="17"/>
  <c r="D241" i="17" s="1"/>
  <c r="B241" i="17"/>
  <c r="A241" i="17"/>
  <c r="I240" i="17"/>
  <c r="E240" i="17"/>
  <c r="C240" i="17"/>
  <c r="D240" i="17" s="1"/>
  <c r="B240" i="17"/>
  <c r="A240" i="17"/>
  <c r="C239" i="17"/>
  <c r="D239" i="17" s="1"/>
  <c r="B239" i="17"/>
  <c r="A239" i="17"/>
  <c r="I238" i="17"/>
  <c r="E238" i="17"/>
  <c r="C238" i="17"/>
  <c r="D238" i="17" s="1"/>
  <c r="B238" i="17"/>
  <c r="A238" i="17"/>
  <c r="C237" i="17"/>
  <c r="D237" i="17" s="1"/>
  <c r="B237" i="17"/>
  <c r="A237" i="17"/>
  <c r="I236" i="17"/>
  <c r="E236" i="17"/>
  <c r="C236" i="17"/>
  <c r="D236" i="17" s="1"/>
  <c r="B236" i="17"/>
  <c r="A236" i="17"/>
  <c r="C235" i="17"/>
  <c r="D235" i="17" s="1"/>
  <c r="B235" i="17"/>
  <c r="A235" i="17"/>
  <c r="I234" i="17"/>
  <c r="E234" i="17"/>
  <c r="C234" i="17"/>
  <c r="D234" i="17" s="1"/>
  <c r="B234" i="17"/>
  <c r="A234" i="17"/>
  <c r="C233" i="17"/>
  <c r="D233" i="17" s="1"/>
  <c r="B233" i="17"/>
  <c r="A233" i="17"/>
  <c r="I232" i="17"/>
  <c r="E232" i="17"/>
  <c r="C232" i="17"/>
  <c r="D232" i="17" s="1"/>
  <c r="B232" i="17"/>
  <c r="A232" i="17"/>
  <c r="C231" i="17"/>
  <c r="D231" i="17" s="1"/>
  <c r="B231" i="17"/>
  <c r="A231" i="17"/>
  <c r="I230" i="17"/>
  <c r="E230" i="17"/>
  <c r="C230" i="17"/>
  <c r="D230" i="17" s="1"/>
  <c r="B230" i="17"/>
  <c r="A230" i="17"/>
  <c r="C229" i="17"/>
  <c r="D229" i="17" s="1"/>
  <c r="B229" i="17"/>
  <c r="A229" i="17"/>
  <c r="I228" i="17"/>
  <c r="E228" i="17"/>
  <c r="C228" i="17"/>
  <c r="D228" i="17" s="1"/>
  <c r="B228" i="17"/>
  <c r="A228" i="17"/>
  <c r="C227" i="17"/>
  <c r="D227" i="17" s="1"/>
  <c r="B227" i="17"/>
  <c r="A227" i="17"/>
  <c r="I226" i="17"/>
  <c r="E226" i="17"/>
  <c r="C226" i="17"/>
  <c r="D226" i="17" s="1"/>
  <c r="B226" i="17"/>
  <c r="A226" i="17"/>
  <c r="C225" i="17"/>
  <c r="D225" i="17" s="1"/>
  <c r="B225" i="17"/>
  <c r="A225" i="17"/>
  <c r="I224" i="17"/>
  <c r="E224" i="17"/>
  <c r="C224" i="17"/>
  <c r="D224" i="17" s="1"/>
  <c r="B224" i="17"/>
  <c r="A224" i="17"/>
  <c r="C223" i="17"/>
  <c r="D223" i="17" s="1"/>
  <c r="B223" i="17"/>
  <c r="A223" i="17"/>
  <c r="I222" i="17"/>
  <c r="E222" i="17"/>
  <c r="C222" i="17"/>
  <c r="D222" i="17" s="1"/>
  <c r="B222" i="17"/>
  <c r="A222" i="17"/>
  <c r="C221" i="17"/>
  <c r="D221" i="17" s="1"/>
  <c r="B221" i="17"/>
  <c r="A221" i="17"/>
  <c r="I220" i="17"/>
  <c r="E220" i="17"/>
  <c r="C220" i="17"/>
  <c r="D220" i="17" s="1"/>
  <c r="B220" i="17"/>
  <c r="A220" i="17"/>
  <c r="C219" i="17"/>
  <c r="D219" i="17" s="1"/>
  <c r="B219" i="17"/>
  <c r="A219" i="17"/>
  <c r="I218" i="17"/>
  <c r="E218" i="17"/>
  <c r="C218" i="17"/>
  <c r="D218" i="17" s="1"/>
  <c r="B218" i="17"/>
  <c r="A218" i="17"/>
  <c r="C217" i="17"/>
  <c r="D217" i="17" s="1"/>
  <c r="B217" i="17"/>
  <c r="A217" i="17"/>
  <c r="I216" i="17"/>
  <c r="E216" i="17"/>
  <c r="C216" i="17"/>
  <c r="D216" i="17" s="1"/>
  <c r="B216" i="17"/>
  <c r="A216" i="17"/>
  <c r="C215" i="17"/>
  <c r="D215" i="17" s="1"/>
  <c r="B215" i="17"/>
  <c r="A215" i="17"/>
  <c r="I214" i="17"/>
  <c r="E214" i="17"/>
  <c r="C214" i="17"/>
  <c r="D214" i="17" s="1"/>
  <c r="B214" i="17"/>
  <c r="A214" i="17"/>
  <c r="C213" i="17"/>
  <c r="D213" i="17" s="1"/>
  <c r="B213" i="17"/>
  <c r="A213" i="17"/>
  <c r="I212" i="17"/>
  <c r="E212" i="17"/>
  <c r="C212" i="17"/>
  <c r="D212" i="17" s="1"/>
  <c r="B212" i="17"/>
  <c r="A212" i="17"/>
  <c r="C211" i="17"/>
  <c r="D211" i="17" s="1"/>
  <c r="B211" i="17"/>
  <c r="A211" i="17"/>
  <c r="I210" i="17"/>
  <c r="E210" i="17"/>
  <c r="C210" i="17"/>
  <c r="D210" i="17" s="1"/>
  <c r="B210" i="17"/>
  <c r="A210" i="17"/>
  <c r="C209" i="17"/>
  <c r="D209" i="17" s="1"/>
  <c r="B209" i="17"/>
  <c r="A209" i="17"/>
  <c r="I208" i="17"/>
  <c r="E208" i="17"/>
  <c r="C208" i="17"/>
  <c r="D208" i="17" s="1"/>
  <c r="B208" i="17"/>
  <c r="A208" i="17"/>
  <c r="C207" i="17"/>
  <c r="D207" i="17" s="1"/>
  <c r="B207" i="17"/>
  <c r="A207" i="17"/>
  <c r="I206" i="17"/>
  <c r="E206" i="17"/>
  <c r="C206" i="17"/>
  <c r="D206" i="17" s="1"/>
  <c r="B206" i="17"/>
  <c r="A206" i="17"/>
  <c r="C205" i="17"/>
  <c r="D205" i="17" s="1"/>
  <c r="B205" i="17"/>
  <c r="A205" i="17"/>
  <c r="I204" i="17"/>
  <c r="E204" i="17"/>
  <c r="C204" i="17"/>
  <c r="D204" i="17" s="1"/>
  <c r="B204" i="17"/>
  <c r="A204" i="17"/>
  <c r="C203" i="17"/>
  <c r="D203" i="17" s="1"/>
  <c r="B203" i="17"/>
  <c r="A203" i="17"/>
  <c r="I202" i="17"/>
  <c r="E202" i="17"/>
  <c r="C202" i="17"/>
  <c r="D202" i="17" s="1"/>
  <c r="B202" i="17"/>
  <c r="A202" i="17"/>
  <c r="C201" i="17"/>
  <c r="D201" i="17" s="1"/>
  <c r="B201" i="17"/>
  <c r="A201" i="17"/>
  <c r="I200" i="17"/>
  <c r="E200" i="17"/>
  <c r="C200" i="17"/>
  <c r="D200" i="17" s="1"/>
  <c r="B200" i="17"/>
  <c r="A200" i="17"/>
  <c r="C199" i="17"/>
  <c r="D199" i="17" s="1"/>
  <c r="B199" i="17"/>
  <c r="A199" i="17"/>
  <c r="I198" i="17"/>
  <c r="E198" i="17"/>
  <c r="C198" i="17"/>
  <c r="D198" i="17" s="1"/>
  <c r="B198" i="17"/>
  <c r="A198" i="17"/>
  <c r="C197" i="17"/>
  <c r="D197" i="17" s="1"/>
  <c r="B197" i="17"/>
  <c r="A197" i="17"/>
  <c r="I196" i="17"/>
  <c r="E196" i="17"/>
  <c r="C196" i="17"/>
  <c r="D196" i="17" s="1"/>
  <c r="B196" i="17"/>
  <c r="A196" i="17"/>
  <c r="C195" i="17"/>
  <c r="D195" i="17" s="1"/>
  <c r="B195" i="17"/>
  <c r="A195" i="17"/>
  <c r="I194" i="17"/>
  <c r="E194" i="17"/>
  <c r="C194" i="17"/>
  <c r="D194" i="17" s="1"/>
  <c r="B194" i="17"/>
  <c r="A194" i="17"/>
  <c r="C193" i="17"/>
  <c r="D193" i="17" s="1"/>
  <c r="B193" i="17"/>
  <c r="A193" i="17"/>
  <c r="I192" i="17"/>
  <c r="E192" i="17"/>
  <c r="C192" i="17"/>
  <c r="D192" i="17" s="1"/>
  <c r="B192" i="17"/>
  <c r="A192" i="17"/>
  <c r="C191" i="17"/>
  <c r="D191" i="17" s="1"/>
  <c r="B191" i="17"/>
  <c r="A191" i="17"/>
  <c r="I190" i="17"/>
  <c r="E190" i="17"/>
  <c r="C190" i="17"/>
  <c r="D190" i="17" s="1"/>
  <c r="B190" i="17"/>
  <c r="A190" i="17"/>
  <c r="C189" i="17"/>
  <c r="D189" i="17" s="1"/>
  <c r="B189" i="17"/>
  <c r="A189" i="17"/>
  <c r="I188" i="17"/>
  <c r="F188" i="17"/>
  <c r="B188" i="17"/>
  <c r="C188" i="17" s="1"/>
  <c r="D188" i="17" s="1"/>
  <c r="A188" i="17"/>
  <c r="L187" i="17"/>
  <c r="J187" i="17"/>
  <c r="H187" i="17"/>
  <c r="F187" i="17"/>
  <c r="B187" i="17"/>
  <c r="C187" i="17" s="1"/>
  <c r="D187" i="17" s="1"/>
  <c r="A187" i="17"/>
  <c r="K187" i="17" s="1"/>
  <c r="L186" i="17"/>
  <c r="J186" i="17"/>
  <c r="H186" i="17"/>
  <c r="F186" i="17"/>
  <c r="B186" i="17"/>
  <c r="C186" i="17" s="1"/>
  <c r="D186" i="17" s="1"/>
  <c r="A186" i="17"/>
  <c r="K186" i="17" s="1"/>
  <c r="L185" i="17"/>
  <c r="J185" i="17"/>
  <c r="H185" i="17"/>
  <c r="F185" i="17"/>
  <c r="B185" i="17"/>
  <c r="C185" i="17" s="1"/>
  <c r="D185" i="17" s="1"/>
  <c r="A185" i="17"/>
  <c r="K185" i="17" s="1"/>
  <c r="L184" i="17"/>
  <c r="J184" i="17"/>
  <c r="H184" i="17"/>
  <c r="F184" i="17"/>
  <c r="B184" i="17"/>
  <c r="C184" i="17" s="1"/>
  <c r="D184" i="17" s="1"/>
  <c r="A184" i="17"/>
  <c r="K184" i="17" s="1"/>
  <c r="L183" i="17"/>
  <c r="J183" i="17"/>
  <c r="H183" i="17"/>
  <c r="F183" i="17"/>
  <c r="B183" i="17"/>
  <c r="C183" i="17" s="1"/>
  <c r="D183" i="17" s="1"/>
  <c r="A183" i="17"/>
  <c r="K183" i="17" s="1"/>
  <c r="L182" i="17"/>
  <c r="J182" i="17"/>
  <c r="H182" i="17"/>
  <c r="F182" i="17"/>
  <c r="B182" i="17"/>
  <c r="C182" i="17" s="1"/>
  <c r="D182" i="17" s="1"/>
  <c r="A182" i="17"/>
  <c r="K182" i="17" s="1"/>
  <c r="L181" i="17"/>
  <c r="J181" i="17"/>
  <c r="H181" i="17"/>
  <c r="F181" i="17"/>
  <c r="B181" i="17"/>
  <c r="C181" i="17" s="1"/>
  <c r="D181" i="17" s="1"/>
  <c r="A181" i="17"/>
  <c r="K181" i="17" s="1"/>
  <c r="L180" i="17"/>
  <c r="J180" i="17"/>
  <c r="H180" i="17"/>
  <c r="F180" i="17"/>
  <c r="B180" i="17"/>
  <c r="C180" i="17" s="1"/>
  <c r="D180" i="17" s="1"/>
  <c r="A180" i="17"/>
  <c r="K180" i="17" s="1"/>
  <c r="L179" i="17"/>
  <c r="J179" i="17"/>
  <c r="H179" i="17"/>
  <c r="F179" i="17"/>
  <c r="B179" i="17"/>
  <c r="C179" i="17" s="1"/>
  <c r="D179" i="17" s="1"/>
  <c r="A179" i="17"/>
  <c r="K179" i="17" s="1"/>
  <c r="L178" i="17"/>
  <c r="J178" i="17"/>
  <c r="H178" i="17"/>
  <c r="F178" i="17"/>
  <c r="B178" i="17"/>
  <c r="C178" i="17" s="1"/>
  <c r="D178" i="17" s="1"/>
  <c r="A178" i="17"/>
  <c r="K178" i="17" s="1"/>
  <c r="L177" i="17"/>
  <c r="J177" i="17"/>
  <c r="H177" i="17"/>
  <c r="F177" i="17"/>
  <c r="B177" i="17"/>
  <c r="C177" i="17" s="1"/>
  <c r="D177" i="17" s="1"/>
  <c r="A177" i="17"/>
  <c r="K177" i="17" s="1"/>
  <c r="L176" i="17"/>
  <c r="J176" i="17"/>
  <c r="H176" i="17"/>
  <c r="F176" i="17"/>
  <c r="B176" i="17"/>
  <c r="C176" i="17" s="1"/>
  <c r="D176" i="17" s="1"/>
  <c r="A176" i="17"/>
  <c r="K176" i="17" s="1"/>
  <c r="L175" i="17"/>
  <c r="J175" i="17"/>
  <c r="H175" i="17"/>
  <c r="F175" i="17"/>
  <c r="B175" i="17"/>
  <c r="C175" i="17" s="1"/>
  <c r="D175" i="17" s="1"/>
  <c r="A175" i="17"/>
  <c r="K175" i="17" s="1"/>
  <c r="L174" i="17"/>
  <c r="J174" i="17"/>
  <c r="H174" i="17"/>
  <c r="F174" i="17"/>
  <c r="B174" i="17"/>
  <c r="C174" i="17" s="1"/>
  <c r="D174" i="17" s="1"/>
  <c r="A174" i="17"/>
  <c r="K174" i="17" s="1"/>
  <c r="L173" i="17"/>
  <c r="J173" i="17"/>
  <c r="H173" i="17"/>
  <c r="F173" i="17"/>
  <c r="B173" i="17"/>
  <c r="C173" i="17" s="1"/>
  <c r="D173" i="17" s="1"/>
  <c r="A173" i="17"/>
  <c r="K173" i="17" s="1"/>
  <c r="L172" i="17"/>
  <c r="J172" i="17"/>
  <c r="H172" i="17"/>
  <c r="F172" i="17"/>
  <c r="B172" i="17"/>
  <c r="C172" i="17" s="1"/>
  <c r="D172" i="17" s="1"/>
  <c r="A172" i="17"/>
  <c r="K172" i="17" s="1"/>
  <c r="L171" i="17"/>
  <c r="J171" i="17"/>
  <c r="H171" i="17"/>
  <c r="F171" i="17"/>
  <c r="B171" i="17"/>
  <c r="C171" i="17" s="1"/>
  <c r="D171" i="17" s="1"/>
  <c r="A171" i="17"/>
  <c r="K171" i="17" s="1"/>
  <c r="L170" i="17"/>
  <c r="J170" i="17"/>
  <c r="H170" i="17"/>
  <c r="F170" i="17"/>
  <c r="B170" i="17"/>
  <c r="C170" i="17" s="1"/>
  <c r="D170" i="17" s="1"/>
  <c r="A170" i="17"/>
  <c r="K170" i="17" s="1"/>
  <c r="L169" i="17"/>
  <c r="J169" i="17"/>
  <c r="H169" i="17"/>
  <c r="F169" i="17"/>
  <c r="B169" i="17"/>
  <c r="C169" i="17" s="1"/>
  <c r="D169" i="17" s="1"/>
  <c r="A169" i="17"/>
  <c r="K169" i="17" s="1"/>
  <c r="L168" i="17"/>
  <c r="J168" i="17"/>
  <c r="H168" i="17"/>
  <c r="F168" i="17"/>
  <c r="B168" i="17"/>
  <c r="C168" i="17" s="1"/>
  <c r="D168" i="17" s="1"/>
  <c r="A168" i="17"/>
  <c r="K168" i="17" s="1"/>
  <c r="L167" i="17"/>
  <c r="J167" i="17"/>
  <c r="H167" i="17"/>
  <c r="F167" i="17"/>
  <c r="B167" i="17"/>
  <c r="C167" i="17" s="1"/>
  <c r="D167" i="17" s="1"/>
  <c r="A167" i="17"/>
  <c r="K167" i="17" s="1"/>
  <c r="L166" i="17"/>
  <c r="J166" i="17"/>
  <c r="H166" i="17"/>
  <c r="F166" i="17"/>
  <c r="B166" i="17"/>
  <c r="C166" i="17" s="1"/>
  <c r="D166" i="17" s="1"/>
  <c r="A166" i="17"/>
  <c r="K166" i="17" s="1"/>
  <c r="L165" i="17"/>
  <c r="J165" i="17"/>
  <c r="H165" i="17"/>
  <c r="F165" i="17"/>
  <c r="B165" i="17"/>
  <c r="C165" i="17" s="1"/>
  <c r="D165" i="17" s="1"/>
  <c r="A165" i="17"/>
  <c r="K165" i="17" s="1"/>
  <c r="L164" i="17"/>
  <c r="J164" i="17"/>
  <c r="H164" i="17"/>
  <c r="F164" i="17"/>
  <c r="B164" i="17"/>
  <c r="C164" i="17" s="1"/>
  <c r="D164" i="17" s="1"/>
  <c r="A164" i="17"/>
  <c r="K164" i="17" s="1"/>
  <c r="L163" i="17"/>
  <c r="J163" i="17"/>
  <c r="H163" i="17"/>
  <c r="F163" i="17"/>
  <c r="B163" i="17"/>
  <c r="C163" i="17" s="1"/>
  <c r="D163" i="17" s="1"/>
  <c r="A163" i="17"/>
  <c r="K163" i="17" s="1"/>
  <c r="L162" i="17"/>
  <c r="J162" i="17"/>
  <c r="H162" i="17"/>
  <c r="F162" i="17"/>
  <c r="B162" i="17"/>
  <c r="C162" i="17" s="1"/>
  <c r="D162" i="17" s="1"/>
  <c r="A162" i="17"/>
  <c r="K162" i="17" s="1"/>
  <c r="L161" i="17"/>
  <c r="J161" i="17"/>
  <c r="H161" i="17"/>
  <c r="F161" i="17"/>
  <c r="B161" i="17"/>
  <c r="C161" i="17" s="1"/>
  <c r="D161" i="17" s="1"/>
  <c r="A161" i="17"/>
  <c r="K161" i="17" s="1"/>
  <c r="L160" i="17"/>
  <c r="J160" i="17"/>
  <c r="H160" i="17"/>
  <c r="F160" i="17"/>
  <c r="B160" i="17"/>
  <c r="C160" i="17" s="1"/>
  <c r="D160" i="17" s="1"/>
  <c r="A160" i="17"/>
  <c r="K160" i="17" s="1"/>
  <c r="L159" i="17"/>
  <c r="J159" i="17"/>
  <c r="H159" i="17"/>
  <c r="F159" i="17"/>
  <c r="B159" i="17"/>
  <c r="C159" i="17" s="1"/>
  <c r="D159" i="17" s="1"/>
  <c r="A159" i="17"/>
  <c r="K159" i="17" s="1"/>
  <c r="L158" i="17"/>
  <c r="J158" i="17"/>
  <c r="H158" i="17"/>
  <c r="F158" i="17"/>
  <c r="B158" i="17"/>
  <c r="C158" i="17" s="1"/>
  <c r="D158" i="17" s="1"/>
  <c r="A158" i="17"/>
  <c r="K158" i="17" s="1"/>
  <c r="L157" i="17"/>
  <c r="J157" i="17"/>
  <c r="H157" i="17"/>
  <c r="F157" i="17"/>
  <c r="B157" i="17"/>
  <c r="C157" i="17" s="1"/>
  <c r="D157" i="17" s="1"/>
  <c r="A157" i="17"/>
  <c r="K157" i="17" s="1"/>
  <c r="L156" i="17"/>
  <c r="J156" i="17"/>
  <c r="H156" i="17"/>
  <c r="F156" i="17"/>
  <c r="B156" i="17"/>
  <c r="C156" i="17" s="1"/>
  <c r="D156" i="17" s="1"/>
  <c r="A156" i="17"/>
  <c r="K156" i="17" s="1"/>
  <c r="L155" i="17"/>
  <c r="J155" i="17"/>
  <c r="H155" i="17"/>
  <c r="F155" i="17"/>
  <c r="B155" i="17"/>
  <c r="C155" i="17" s="1"/>
  <c r="D155" i="17" s="1"/>
  <c r="A155" i="17"/>
  <c r="K155" i="17" s="1"/>
  <c r="L154" i="17"/>
  <c r="J154" i="17"/>
  <c r="H154" i="17"/>
  <c r="F154" i="17"/>
  <c r="B154" i="17"/>
  <c r="C154" i="17" s="1"/>
  <c r="D154" i="17" s="1"/>
  <c r="A154" i="17"/>
  <c r="K154" i="17" s="1"/>
  <c r="L153" i="17"/>
  <c r="J153" i="17"/>
  <c r="H153" i="17"/>
  <c r="F153" i="17"/>
  <c r="B153" i="17"/>
  <c r="C153" i="17" s="1"/>
  <c r="D153" i="17" s="1"/>
  <c r="A153" i="17"/>
  <c r="K153" i="17" s="1"/>
  <c r="L152" i="17"/>
  <c r="J152" i="17"/>
  <c r="H152" i="17"/>
  <c r="F152" i="17"/>
  <c r="B152" i="17"/>
  <c r="C152" i="17" s="1"/>
  <c r="D152" i="17" s="1"/>
  <c r="A152" i="17"/>
  <c r="K152" i="17" s="1"/>
  <c r="L151" i="17"/>
  <c r="J151" i="17"/>
  <c r="H151" i="17"/>
  <c r="F151" i="17"/>
  <c r="B151" i="17"/>
  <c r="C151" i="17" s="1"/>
  <c r="D151" i="17" s="1"/>
  <c r="A151" i="17"/>
  <c r="K151" i="17" s="1"/>
  <c r="L150" i="17"/>
  <c r="J150" i="17"/>
  <c r="H150" i="17"/>
  <c r="F150" i="17"/>
  <c r="B150" i="17"/>
  <c r="C150" i="17" s="1"/>
  <c r="D150" i="17" s="1"/>
  <c r="A150" i="17"/>
  <c r="K150" i="17" s="1"/>
  <c r="L149" i="17"/>
  <c r="J149" i="17"/>
  <c r="H149" i="17"/>
  <c r="F149" i="17"/>
  <c r="B149" i="17"/>
  <c r="C149" i="17" s="1"/>
  <c r="D149" i="17" s="1"/>
  <c r="A149" i="17"/>
  <c r="K149" i="17" s="1"/>
  <c r="L148" i="17"/>
  <c r="J148" i="17"/>
  <c r="H148" i="17"/>
  <c r="F148" i="17"/>
  <c r="B148" i="17"/>
  <c r="C148" i="17" s="1"/>
  <c r="D148" i="17" s="1"/>
  <c r="A148" i="17"/>
  <c r="K148" i="17" s="1"/>
  <c r="L147" i="17"/>
  <c r="J147" i="17"/>
  <c r="H147" i="17"/>
  <c r="F147" i="17"/>
  <c r="B147" i="17"/>
  <c r="C147" i="17" s="1"/>
  <c r="D147" i="17" s="1"/>
  <c r="A147" i="17"/>
  <c r="K147" i="17" s="1"/>
  <c r="L146" i="17"/>
  <c r="J146" i="17"/>
  <c r="H146" i="17"/>
  <c r="F146" i="17"/>
  <c r="B146" i="17"/>
  <c r="C146" i="17" s="1"/>
  <c r="D146" i="17" s="1"/>
  <c r="A146" i="17"/>
  <c r="K146" i="17" s="1"/>
  <c r="L145" i="17"/>
  <c r="J145" i="17"/>
  <c r="H145" i="17"/>
  <c r="F145" i="17"/>
  <c r="B145" i="17"/>
  <c r="C145" i="17" s="1"/>
  <c r="D145" i="17" s="1"/>
  <c r="A145" i="17"/>
  <c r="K145" i="17" s="1"/>
  <c r="L144" i="17"/>
  <c r="J144" i="17"/>
  <c r="H144" i="17"/>
  <c r="F144" i="17"/>
  <c r="B144" i="17"/>
  <c r="C144" i="17" s="1"/>
  <c r="D144" i="17" s="1"/>
  <c r="A144" i="17"/>
  <c r="K144" i="17" s="1"/>
  <c r="L143" i="17"/>
  <c r="J143" i="17"/>
  <c r="H143" i="17"/>
  <c r="F143" i="17"/>
  <c r="B143" i="17"/>
  <c r="C143" i="17" s="1"/>
  <c r="D143" i="17" s="1"/>
  <c r="A143" i="17"/>
  <c r="K143" i="17" s="1"/>
  <c r="L142" i="17"/>
  <c r="J142" i="17"/>
  <c r="H142" i="17"/>
  <c r="F142" i="17"/>
  <c r="B142" i="17"/>
  <c r="C142" i="17" s="1"/>
  <c r="D142" i="17" s="1"/>
  <c r="A142" i="17"/>
  <c r="K142" i="17" s="1"/>
  <c r="L141" i="17"/>
  <c r="J141" i="17"/>
  <c r="H141" i="17"/>
  <c r="F141" i="17"/>
  <c r="B141" i="17"/>
  <c r="C141" i="17" s="1"/>
  <c r="D141" i="17" s="1"/>
  <c r="A141" i="17"/>
  <c r="K141" i="17" s="1"/>
  <c r="L140" i="17"/>
  <c r="J140" i="17"/>
  <c r="H140" i="17"/>
  <c r="F140" i="17"/>
  <c r="B140" i="17"/>
  <c r="C140" i="17" s="1"/>
  <c r="D140" i="17" s="1"/>
  <c r="A140" i="17"/>
  <c r="K140" i="17" s="1"/>
  <c r="L139" i="17"/>
  <c r="J139" i="17"/>
  <c r="H139" i="17"/>
  <c r="F139" i="17"/>
  <c r="B139" i="17"/>
  <c r="C139" i="17" s="1"/>
  <c r="D139" i="17" s="1"/>
  <c r="A139" i="17"/>
  <c r="K139" i="17" s="1"/>
  <c r="L138" i="17"/>
  <c r="J138" i="17"/>
  <c r="H138" i="17"/>
  <c r="F138" i="17"/>
  <c r="B138" i="17"/>
  <c r="C138" i="17" s="1"/>
  <c r="D138" i="17" s="1"/>
  <c r="A138" i="17"/>
  <c r="K138" i="17" s="1"/>
  <c r="L137" i="17"/>
  <c r="J137" i="17"/>
  <c r="H137" i="17"/>
  <c r="F137" i="17"/>
  <c r="B137" i="17"/>
  <c r="C137" i="17" s="1"/>
  <c r="D137" i="17" s="1"/>
  <c r="A137" i="17"/>
  <c r="K137" i="17" s="1"/>
  <c r="L136" i="17"/>
  <c r="J136" i="17"/>
  <c r="H136" i="17"/>
  <c r="F136" i="17"/>
  <c r="B136" i="17"/>
  <c r="C136" i="17" s="1"/>
  <c r="D136" i="17" s="1"/>
  <c r="A136" i="17"/>
  <c r="K136" i="17" s="1"/>
  <c r="L135" i="17"/>
  <c r="J135" i="17"/>
  <c r="H135" i="17"/>
  <c r="F135" i="17"/>
  <c r="B135" i="17"/>
  <c r="C135" i="17" s="1"/>
  <c r="D135" i="17" s="1"/>
  <c r="A135" i="17"/>
  <c r="K135" i="17" s="1"/>
  <c r="L134" i="17"/>
  <c r="J134" i="17"/>
  <c r="H134" i="17"/>
  <c r="F134" i="17"/>
  <c r="B134" i="17"/>
  <c r="C134" i="17" s="1"/>
  <c r="D134" i="17" s="1"/>
  <c r="A134" i="17"/>
  <c r="K134" i="17" s="1"/>
  <c r="L133" i="17"/>
  <c r="J133" i="17"/>
  <c r="H133" i="17"/>
  <c r="F133" i="17"/>
  <c r="B133" i="17"/>
  <c r="C133" i="17" s="1"/>
  <c r="D133" i="17" s="1"/>
  <c r="A133" i="17"/>
  <c r="K133" i="17" s="1"/>
  <c r="L132" i="17"/>
  <c r="J132" i="17"/>
  <c r="H132" i="17"/>
  <c r="F132" i="17"/>
  <c r="B132" i="17"/>
  <c r="C132" i="17" s="1"/>
  <c r="D132" i="17" s="1"/>
  <c r="A132" i="17"/>
  <c r="K132" i="17" s="1"/>
  <c r="L131" i="17"/>
  <c r="J131" i="17"/>
  <c r="H131" i="17"/>
  <c r="F131" i="17"/>
  <c r="B131" i="17"/>
  <c r="C131" i="17" s="1"/>
  <c r="D131" i="17" s="1"/>
  <c r="A131" i="17"/>
  <c r="K131" i="17" s="1"/>
  <c r="L130" i="17"/>
  <c r="J130" i="17"/>
  <c r="H130" i="17"/>
  <c r="F130" i="17"/>
  <c r="B130" i="17"/>
  <c r="C130" i="17" s="1"/>
  <c r="D130" i="17" s="1"/>
  <c r="A130" i="17"/>
  <c r="K130" i="17" s="1"/>
  <c r="L129" i="17"/>
  <c r="J129" i="17"/>
  <c r="H129" i="17"/>
  <c r="F129" i="17"/>
  <c r="B129" i="17"/>
  <c r="C129" i="17" s="1"/>
  <c r="D129" i="17" s="1"/>
  <c r="A129" i="17"/>
  <c r="K129" i="17" s="1"/>
  <c r="L128" i="17"/>
  <c r="J128" i="17"/>
  <c r="H128" i="17"/>
  <c r="F128" i="17"/>
  <c r="B128" i="17"/>
  <c r="C128" i="17" s="1"/>
  <c r="D128" i="17" s="1"/>
  <c r="A128" i="17"/>
  <c r="K128" i="17" s="1"/>
  <c r="L127" i="17"/>
  <c r="J127" i="17"/>
  <c r="H127" i="17"/>
  <c r="F127" i="17"/>
  <c r="B127" i="17"/>
  <c r="C127" i="17" s="1"/>
  <c r="D127" i="17" s="1"/>
  <c r="A127" i="17"/>
  <c r="K127" i="17" s="1"/>
  <c r="L126" i="17"/>
  <c r="J126" i="17"/>
  <c r="H126" i="17"/>
  <c r="F126" i="17"/>
  <c r="B126" i="17"/>
  <c r="C126" i="17" s="1"/>
  <c r="D126" i="17" s="1"/>
  <c r="A126" i="17"/>
  <c r="K126" i="17" s="1"/>
  <c r="L125" i="17"/>
  <c r="J125" i="17"/>
  <c r="H125" i="17"/>
  <c r="F125" i="17"/>
  <c r="B125" i="17"/>
  <c r="C125" i="17" s="1"/>
  <c r="D125" i="17" s="1"/>
  <c r="A125" i="17"/>
  <c r="K125" i="17" s="1"/>
  <c r="L124" i="17"/>
  <c r="J124" i="17"/>
  <c r="H124" i="17"/>
  <c r="F124" i="17"/>
  <c r="B124" i="17"/>
  <c r="C124" i="17" s="1"/>
  <c r="D124" i="17" s="1"/>
  <c r="A124" i="17"/>
  <c r="K124" i="17" s="1"/>
  <c r="L123" i="17"/>
  <c r="J123" i="17"/>
  <c r="H123" i="17"/>
  <c r="F123" i="17"/>
  <c r="B123" i="17"/>
  <c r="C123" i="17" s="1"/>
  <c r="D123" i="17" s="1"/>
  <c r="A123" i="17"/>
  <c r="K123" i="17" s="1"/>
  <c r="L122" i="17"/>
  <c r="J122" i="17"/>
  <c r="H122" i="17"/>
  <c r="F122" i="17"/>
  <c r="B122" i="17"/>
  <c r="C122" i="17" s="1"/>
  <c r="D122" i="17" s="1"/>
  <c r="A122" i="17"/>
  <c r="K122" i="17" s="1"/>
  <c r="L121" i="17"/>
  <c r="J121" i="17"/>
  <c r="H121" i="17"/>
  <c r="F121" i="17"/>
  <c r="B121" i="17"/>
  <c r="C121" i="17" s="1"/>
  <c r="D121" i="17" s="1"/>
  <c r="A121" i="17"/>
  <c r="K121" i="17" s="1"/>
  <c r="L120" i="17"/>
  <c r="J120" i="17"/>
  <c r="H120" i="17"/>
  <c r="F120" i="17"/>
  <c r="B120" i="17"/>
  <c r="C120" i="17" s="1"/>
  <c r="D120" i="17" s="1"/>
  <c r="A120" i="17"/>
  <c r="K120" i="17" s="1"/>
  <c r="L119" i="17"/>
  <c r="J119" i="17"/>
  <c r="H119" i="17"/>
  <c r="F119" i="17"/>
  <c r="B119" i="17"/>
  <c r="C119" i="17" s="1"/>
  <c r="D119" i="17" s="1"/>
  <c r="A119" i="17"/>
  <c r="K119" i="17" s="1"/>
  <c r="L118" i="17"/>
  <c r="J118" i="17"/>
  <c r="H118" i="17"/>
  <c r="F118" i="17"/>
  <c r="B118" i="17"/>
  <c r="C118" i="17" s="1"/>
  <c r="D118" i="17" s="1"/>
  <c r="A118" i="17"/>
  <c r="K118" i="17" s="1"/>
  <c r="L117" i="17"/>
  <c r="J117" i="17"/>
  <c r="H117" i="17"/>
  <c r="F117" i="17"/>
  <c r="B117" i="17"/>
  <c r="C117" i="17" s="1"/>
  <c r="D117" i="17" s="1"/>
  <c r="A117" i="17"/>
  <c r="K117" i="17" s="1"/>
  <c r="L116" i="17"/>
  <c r="J116" i="17"/>
  <c r="H116" i="17"/>
  <c r="F116" i="17"/>
  <c r="B116" i="17"/>
  <c r="C116" i="17" s="1"/>
  <c r="D116" i="17" s="1"/>
  <c r="A116" i="17"/>
  <c r="K116" i="17" s="1"/>
  <c r="L115" i="17"/>
  <c r="J115" i="17"/>
  <c r="H115" i="17"/>
  <c r="F115" i="17"/>
  <c r="B115" i="17"/>
  <c r="C115" i="17" s="1"/>
  <c r="D115" i="17" s="1"/>
  <c r="A115" i="17"/>
  <c r="K115" i="17" s="1"/>
  <c r="L114" i="17"/>
  <c r="J114" i="17"/>
  <c r="H114" i="17"/>
  <c r="F114" i="17"/>
  <c r="B114" i="17"/>
  <c r="C114" i="17" s="1"/>
  <c r="D114" i="17" s="1"/>
  <c r="A114" i="17"/>
  <c r="K114" i="17" s="1"/>
  <c r="L113" i="17"/>
  <c r="J113" i="17"/>
  <c r="H113" i="17"/>
  <c r="F113" i="17"/>
  <c r="B113" i="17"/>
  <c r="C113" i="17" s="1"/>
  <c r="D113" i="17" s="1"/>
  <c r="A113" i="17"/>
  <c r="K113" i="17" s="1"/>
  <c r="L112" i="17"/>
  <c r="J112" i="17"/>
  <c r="H112" i="17"/>
  <c r="F112" i="17"/>
  <c r="B112" i="17"/>
  <c r="C112" i="17" s="1"/>
  <c r="D112" i="17" s="1"/>
  <c r="A112" i="17"/>
  <c r="K112" i="17" s="1"/>
  <c r="L111" i="17"/>
  <c r="J111" i="17"/>
  <c r="H111" i="17"/>
  <c r="F111" i="17"/>
  <c r="B111" i="17"/>
  <c r="C111" i="17" s="1"/>
  <c r="D111" i="17" s="1"/>
  <c r="A111" i="17"/>
  <c r="K111" i="17" s="1"/>
  <c r="L110" i="17"/>
  <c r="J110" i="17"/>
  <c r="H110" i="17"/>
  <c r="F110" i="17"/>
  <c r="B110" i="17"/>
  <c r="C110" i="17" s="1"/>
  <c r="D110" i="17" s="1"/>
  <c r="A110" i="17"/>
  <c r="K110" i="17" s="1"/>
  <c r="L109" i="17"/>
  <c r="J109" i="17"/>
  <c r="H109" i="17"/>
  <c r="F109" i="17"/>
  <c r="B109" i="17"/>
  <c r="C109" i="17" s="1"/>
  <c r="D109" i="17" s="1"/>
  <c r="A109" i="17"/>
  <c r="K109" i="17" s="1"/>
  <c r="L108" i="17"/>
  <c r="J108" i="17"/>
  <c r="H108" i="17"/>
  <c r="F108" i="17"/>
  <c r="B108" i="17"/>
  <c r="C108" i="17" s="1"/>
  <c r="D108" i="17" s="1"/>
  <c r="A108" i="17"/>
  <c r="K108" i="17" s="1"/>
  <c r="L107" i="17"/>
  <c r="J107" i="17"/>
  <c r="H107" i="17"/>
  <c r="F107" i="17"/>
  <c r="B107" i="17"/>
  <c r="C107" i="17" s="1"/>
  <c r="D107" i="17" s="1"/>
  <c r="A107" i="17"/>
  <c r="K107" i="17" s="1"/>
  <c r="L106" i="17"/>
  <c r="J106" i="17"/>
  <c r="H106" i="17"/>
  <c r="F106" i="17"/>
  <c r="B106" i="17"/>
  <c r="C106" i="17" s="1"/>
  <c r="D106" i="17" s="1"/>
  <c r="A106" i="17"/>
  <c r="K106" i="17" s="1"/>
  <c r="L105" i="17"/>
  <c r="J105" i="17"/>
  <c r="H105" i="17"/>
  <c r="F105" i="17"/>
  <c r="B105" i="17"/>
  <c r="C105" i="17" s="1"/>
  <c r="D105" i="17" s="1"/>
  <c r="A105" i="17"/>
  <c r="K105" i="17" s="1"/>
  <c r="L104" i="17"/>
  <c r="J104" i="17"/>
  <c r="H104" i="17"/>
  <c r="F104" i="17"/>
  <c r="B104" i="17"/>
  <c r="C104" i="17" s="1"/>
  <c r="D104" i="17" s="1"/>
  <c r="A104" i="17"/>
  <c r="K104" i="17" s="1"/>
  <c r="L103" i="17"/>
  <c r="J103" i="17"/>
  <c r="H103" i="17"/>
  <c r="F103" i="17"/>
  <c r="B103" i="17"/>
  <c r="C103" i="17" s="1"/>
  <c r="D103" i="17" s="1"/>
  <c r="A103" i="17"/>
  <c r="K103" i="17" s="1"/>
  <c r="L102" i="17"/>
  <c r="J102" i="17"/>
  <c r="H102" i="17"/>
  <c r="F102" i="17"/>
  <c r="B102" i="17"/>
  <c r="C102" i="17" s="1"/>
  <c r="D102" i="17" s="1"/>
  <c r="A102" i="17"/>
  <c r="K102" i="17" s="1"/>
  <c r="L101" i="17"/>
  <c r="J101" i="17"/>
  <c r="H101" i="17"/>
  <c r="F101" i="17"/>
  <c r="B101" i="17"/>
  <c r="C101" i="17" s="1"/>
  <c r="D101" i="17" s="1"/>
  <c r="A101" i="17"/>
  <c r="K101" i="17" s="1"/>
  <c r="L100" i="17"/>
  <c r="J100" i="17"/>
  <c r="H100" i="17"/>
  <c r="F100" i="17"/>
  <c r="B100" i="17"/>
  <c r="C100" i="17" s="1"/>
  <c r="D100" i="17" s="1"/>
  <c r="A100" i="17"/>
  <c r="K100" i="17" s="1"/>
  <c r="L99" i="17"/>
  <c r="J99" i="17"/>
  <c r="H99" i="17"/>
  <c r="F99" i="17"/>
  <c r="B99" i="17"/>
  <c r="C99" i="17" s="1"/>
  <c r="D99" i="17" s="1"/>
  <c r="A99" i="17"/>
  <c r="K99" i="17" s="1"/>
  <c r="L98" i="17"/>
  <c r="J98" i="17"/>
  <c r="H98" i="17"/>
  <c r="F98" i="17"/>
  <c r="B98" i="17"/>
  <c r="C98" i="17" s="1"/>
  <c r="D98" i="17" s="1"/>
  <c r="A98" i="17"/>
  <c r="K98" i="17" s="1"/>
  <c r="L97" i="17"/>
  <c r="J97" i="17"/>
  <c r="H97" i="17"/>
  <c r="F97" i="17"/>
  <c r="B97" i="17"/>
  <c r="C97" i="17" s="1"/>
  <c r="D97" i="17" s="1"/>
  <c r="A97" i="17"/>
  <c r="K97" i="17" s="1"/>
  <c r="L96" i="17"/>
  <c r="J96" i="17"/>
  <c r="H96" i="17"/>
  <c r="F96" i="17"/>
  <c r="B96" i="17"/>
  <c r="C96" i="17" s="1"/>
  <c r="D96" i="17" s="1"/>
  <c r="A96" i="17"/>
  <c r="K96" i="17" s="1"/>
  <c r="L95" i="17"/>
  <c r="J95" i="17"/>
  <c r="H95" i="17"/>
  <c r="F95" i="17"/>
  <c r="B95" i="17"/>
  <c r="C95" i="17" s="1"/>
  <c r="D95" i="17" s="1"/>
  <c r="A95" i="17"/>
  <c r="K95" i="17" s="1"/>
  <c r="L94" i="17"/>
  <c r="J94" i="17"/>
  <c r="H94" i="17"/>
  <c r="F94" i="17"/>
  <c r="B94" i="17"/>
  <c r="C94" i="17" s="1"/>
  <c r="D94" i="17" s="1"/>
  <c r="A94" i="17"/>
  <c r="K94" i="17" s="1"/>
  <c r="L93" i="17"/>
  <c r="J93" i="17"/>
  <c r="H93" i="17"/>
  <c r="F93" i="17"/>
  <c r="B93" i="17"/>
  <c r="C93" i="17" s="1"/>
  <c r="D93" i="17" s="1"/>
  <c r="A93" i="17"/>
  <c r="K93" i="17" s="1"/>
  <c r="L92" i="17"/>
  <c r="J92" i="17"/>
  <c r="H92" i="17"/>
  <c r="F92" i="17"/>
  <c r="B92" i="17"/>
  <c r="C92" i="17" s="1"/>
  <c r="D92" i="17" s="1"/>
  <c r="A92" i="17"/>
  <c r="K92" i="17" s="1"/>
  <c r="L91" i="17"/>
  <c r="J91" i="17"/>
  <c r="H91" i="17"/>
  <c r="F91" i="17"/>
  <c r="B91" i="17"/>
  <c r="C91" i="17" s="1"/>
  <c r="D91" i="17" s="1"/>
  <c r="A91" i="17"/>
  <c r="K91" i="17" s="1"/>
  <c r="L90" i="17"/>
  <c r="J90" i="17"/>
  <c r="H90" i="17"/>
  <c r="F90" i="17"/>
  <c r="B90" i="17"/>
  <c r="C90" i="17" s="1"/>
  <c r="D90" i="17" s="1"/>
  <c r="A90" i="17"/>
  <c r="K90" i="17" s="1"/>
  <c r="L89" i="17"/>
  <c r="J89" i="17"/>
  <c r="H89" i="17"/>
  <c r="F89" i="17"/>
  <c r="B89" i="17"/>
  <c r="C89" i="17" s="1"/>
  <c r="D89" i="17" s="1"/>
  <c r="A89" i="17"/>
  <c r="K89" i="17" s="1"/>
  <c r="L88" i="17"/>
  <c r="J88" i="17"/>
  <c r="H88" i="17"/>
  <c r="F88" i="17"/>
  <c r="B88" i="17"/>
  <c r="C88" i="17" s="1"/>
  <c r="D88" i="17" s="1"/>
  <c r="A88" i="17"/>
  <c r="K88" i="17" s="1"/>
  <c r="L87" i="17"/>
  <c r="J87" i="17"/>
  <c r="H87" i="17"/>
  <c r="F87" i="17"/>
  <c r="B87" i="17"/>
  <c r="C87" i="17" s="1"/>
  <c r="D87" i="17" s="1"/>
  <c r="A87" i="17"/>
  <c r="K87" i="17" s="1"/>
  <c r="L86" i="17"/>
  <c r="J86" i="17"/>
  <c r="H86" i="17"/>
  <c r="F86" i="17"/>
  <c r="B86" i="17"/>
  <c r="C86" i="17" s="1"/>
  <c r="D86" i="17" s="1"/>
  <c r="A86" i="17"/>
  <c r="K86" i="17" s="1"/>
  <c r="L85" i="17"/>
  <c r="J85" i="17"/>
  <c r="H85" i="17"/>
  <c r="F85" i="17"/>
  <c r="B85" i="17"/>
  <c r="C85" i="17" s="1"/>
  <c r="D85" i="17" s="1"/>
  <c r="A85" i="17"/>
  <c r="K85" i="17" s="1"/>
  <c r="L84" i="17"/>
  <c r="J84" i="17"/>
  <c r="H84" i="17"/>
  <c r="F84" i="17"/>
  <c r="B84" i="17"/>
  <c r="C84" i="17" s="1"/>
  <c r="D84" i="17" s="1"/>
  <c r="A84" i="17"/>
  <c r="K84" i="17" s="1"/>
  <c r="L83" i="17"/>
  <c r="J83" i="17"/>
  <c r="H83" i="17"/>
  <c r="F83" i="17"/>
  <c r="B83" i="17"/>
  <c r="C83" i="17" s="1"/>
  <c r="D83" i="17" s="1"/>
  <c r="A83" i="17"/>
  <c r="K83" i="17" s="1"/>
  <c r="L82" i="17"/>
  <c r="J82" i="17"/>
  <c r="H82" i="17"/>
  <c r="F82" i="17"/>
  <c r="B82" i="17"/>
  <c r="C82" i="17" s="1"/>
  <c r="D82" i="17" s="1"/>
  <c r="A82" i="17"/>
  <c r="K82" i="17" s="1"/>
  <c r="L81" i="17"/>
  <c r="J81" i="17"/>
  <c r="H81" i="17"/>
  <c r="F81" i="17"/>
  <c r="B81" i="17"/>
  <c r="C81" i="17" s="1"/>
  <c r="D81" i="17" s="1"/>
  <c r="A81" i="17"/>
  <c r="K81" i="17" s="1"/>
  <c r="L80" i="17"/>
  <c r="J80" i="17"/>
  <c r="H80" i="17"/>
  <c r="F80" i="17"/>
  <c r="B80" i="17"/>
  <c r="C80" i="17" s="1"/>
  <c r="D80" i="17" s="1"/>
  <c r="A80" i="17"/>
  <c r="K80" i="17" s="1"/>
  <c r="L79" i="17"/>
  <c r="J79" i="17"/>
  <c r="H79" i="17"/>
  <c r="F79" i="17"/>
  <c r="B79" i="17"/>
  <c r="C79" i="17" s="1"/>
  <c r="D79" i="17" s="1"/>
  <c r="A79" i="17"/>
  <c r="K79" i="17" s="1"/>
  <c r="L78" i="17"/>
  <c r="J78" i="17"/>
  <c r="H78" i="17"/>
  <c r="F78" i="17"/>
  <c r="B78" i="17"/>
  <c r="C78" i="17" s="1"/>
  <c r="D78" i="17" s="1"/>
  <c r="A78" i="17"/>
  <c r="K78" i="17" s="1"/>
  <c r="L77" i="17"/>
  <c r="J77" i="17"/>
  <c r="H77" i="17"/>
  <c r="F77" i="17"/>
  <c r="B77" i="17"/>
  <c r="C77" i="17" s="1"/>
  <c r="D77" i="17" s="1"/>
  <c r="A77" i="17"/>
  <c r="K77" i="17" s="1"/>
  <c r="L76" i="17"/>
  <c r="J76" i="17"/>
  <c r="H76" i="17"/>
  <c r="F76" i="17"/>
  <c r="B76" i="17"/>
  <c r="C76" i="17" s="1"/>
  <c r="D76" i="17" s="1"/>
  <c r="A76" i="17"/>
  <c r="K76" i="17" s="1"/>
  <c r="L75" i="17"/>
  <c r="J75" i="17"/>
  <c r="H75" i="17"/>
  <c r="F75" i="17"/>
  <c r="B75" i="17"/>
  <c r="C75" i="17" s="1"/>
  <c r="D75" i="17" s="1"/>
  <c r="A75" i="17"/>
  <c r="K75" i="17" s="1"/>
  <c r="L74" i="17"/>
  <c r="J74" i="17"/>
  <c r="H74" i="17"/>
  <c r="F74" i="17"/>
  <c r="B74" i="17"/>
  <c r="C74" i="17" s="1"/>
  <c r="D74" i="17" s="1"/>
  <c r="A74" i="17"/>
  <c r="K74" i="17" s="1"/>
  <c r="L73" i="17"/>
  <c r="J73" i="17"/>
  <c r="H73" i="17"/>
  <c r="F73" i="17"/>
  <c r="B73" i="17"/>
  <c r="C73" i="17" s="1"/>
  <c r="D73" i="17" s="1"/>
  <c r="A73" i="17"/>
  <c r="K73" i="17" s="1"/>
  <c r="L72" i="17"/>
  <c r="J72" i="17"/>
  <c r="H72" i="17"/>
  <c r="F72" i="17"/>
  <c r="B72" i="17"/>
  <c r="C72" i="17" s="1"/>
  <c r="D72" i="17" s="1"/>
  <c r="A72" i="17"/>
  <c r="K72" i="17" s="1"/>
  <c r="L71" i="17"/>
  <c r="J71" i="17"/>
  <c r="H71" i="17"/>
  <c r="F71" i="17"/>
  <c r="B71" i="17"/>
  <c r="C71" i="17" s="1"/>
  <c r="D71" i="17" s="1"/>
  <c r="A71" i="17"/>
  <c r="K71" i="17" s="1"/>
  <c r="L70" i="17"/>
  <c r="J70" i="17"/>
  <c r="H70" i="17"/>
  <c r="F70" i="17"/>
  <c r="B70" i="17"/>
  <c r="C70" i="17" s="1"/>
  <c r="D70" i="17" s="1"/>
  <c r="A70" i="17"/>
  <c r="K70" i="17" s="1"/>
  <c r="L69" i="17"/>
  <c r="J69" i="17"/>
  <c r="H69" i="17"/>
  <c r="F69" i="17"/>
  <c r="B69" i="17"/>
  <c r="C69" i="17" s="1"/>
  <c r="D69" i="17" s="1"/>
  <c r="A69" i="17"/>
  <c r="K69" i="17" s="1"/>
  <c r="L68" i="17"/>
  <c r="J68" i="17"/>
  <c r="H68" i="17"/>
  <c r="F68" i="17"/>
  <c r="B68" i="17"/>
  <c r="C68" i="17" s="1"/>
  <c r="D68" i="17" s="1"/>
  <c r="A68" i="17"/>
  <c r="K68" i="17" s="1"/>
  <c r="L67" i="17"/>
  <c r="J67" i="17"/>
  <c r="H67" i="17"/>
  <c r="F67" i="17"/>
  <c r="B67" i="17"/>
  <c r="C67" i="17" s="1"/>
  <c r="D67" i="17" s="1"/>
  <c r="A67" i="17"/>
  <c r="K67" i="17" s="1"/>
  <c r="L66" i="17"/>
  <c r="J66" i="17"/>
  <c r="H66" i="17"/>
  <c r="F66" i="17"/>
  <c r="B66" i="17"/>
  <c r="C66" i="17" s="1"/>
  <c r="D66" i="17" s="1"/>
  <c r="A66" i="17"/>
  <c r="K66" i="17" s="1"/>
  <c r="L65" i="17"/>
  <c r="J65" i="17"/>
  <c r="H65" i="17"/>
  <c r="F65" i="17"/>
  <c r="B65" i="17"/>
  <c r="C65" i="17" s="1"/>
  <c r="D65" i="17" s="1"/>
  <c r="A65" i="17"/>
  <c r="K65" i="17" s="1"/>
  <c r="L64" i="17"/>
  <c r="J64" i="17"/>
  <c r="H64" i="17"/>
  <c r="F64" i="17"/>
  <c r="B64" i="17"/>
  <c r="C64" i="17" s="1"/>
  <c r="D64" i="17" s="1"/>
  <c r="A64" i="17"/>
  <c r="K64" i="17" s="1"/>
  <c r="L63" i="17"/>
  <c r="J63" i="17"/>
  <c r="H63" i="17"/>
  <c r="F63" i="17"/>
  <c r="B63" i="17"/>
  <c r="C63" i="17" s="1"/>
  <c r="D63" i="17" s="1"/>
  <c r="A63" i="17"/>
  <c r="K63" i="17" s="1"/>
  <c r="L62" i="17"/>
  <c r="J62" i="17"/>
  <c r="H62" i="17"/>
  <c r="F62" i="17"/>
  <c r="B62" i="17"/>
  <c r="C62" i="17" s="1"/>
  <c r="D62" i="17" s="1"/>
  <c r="A62" i="17"/>
  <c r="K62" i="17" s="1"/>
  <c r="L61" i="17"/>
  <c r="J61" i="17"/>
  <c r="H61" i="17"/>
  <c r="F61" i="17"/>
  <c r="B61" i="17"/>
  <c r="C61" i="17" s="1"/>
  <c r="D61" i="17" s="1"/>
  <c r="A61" i="17"/>
  <c r="K61" i="17" s="1"/>
  <c r="L60" i="17"/>
  <c r="J60" i="17"/>
  <c r="H60" i="17"/>
  <c r="F60" i="17"/>
  <c r="B60" i="17"/>
  <c r="C60" i="17" s="1"/>
  <c r="D60" i="17" s="1"/>
  <c r="A60" i="17"/>
  <c r="K60" i="17" s="1"/>
  <c r="L59" i="17"/>
  <c r="J59" i="17"/>
  <c r="H59" i="17"/>
  <c r="F59" i="17"/>
  <c r="B59" i="17"/>
  <c r="C59" i="17" s="1"/>
  <c r="D59" i="17" s="1"/>
  <c r="A59" i="17"/>
  <c r="K59" i="17" s="1"/>
  <c r="L58" i="17"/>
  <c r="J58" i="17"/>
  <c r="H58" i="17"/>
  <c r="F58" i="17"/>
  <c r="B58" i="17"/>
  <c r="C58" i="17" s="1"/>
  <c r="D58" i="17" s="1"/>
  <c r="A58" i="17"/>
  <c r="K58" i="17" s="1"/>
  <c r="L57" i="17"/>
  <c r="J57" i="17"/>
  <c r="H57" i="17"/>
  <c r="F57" i="17"/>
  <c r="B57" i="17"/>
  <c r="C57" i="17" s="1"/>
  <c r="D57" i="17" s="1"/>
  <c r="A57" i="17"/>
  <c r="K57" i="17" s="1"/>
  <c r="L56" i="17"/>
  <c r="J56" i="17"/>
  <c r="H56" i="17"/>
  <c r="F56" i="17"/>
  <c r="B56" i="17"/>
  <c r="C56" i="17" s="1"/>
  <c r="D56" i="17" s="1"/>
  <c r="A56" i="17"/>
  <c r="K56" i="17" s="1"/>
  <c r="L55" i="17"/>
  <c r="J55" i="17"/>
  <c r="H55" i="17"/>
  <c r="F55" i="17"/>
  <c r="B55" i="17"/>
  <c r="C55" i="17" s="1"/>
  <c r="D55" i="17" s="1"/>
  <c r="A55" i="17"/>
  <c r="K55" i="17" s="1"/>
  <c r="L54" i="17"/>
  <c r="J54" i="17"/>
  <c r="H54" i="17"/>
  <c r="F54" i="17"/>
  <c r="B54" i="17"/>
  <c r="C54" i="17" s="1"/>
  <c r="D54" i="17" s="1"/>
  <c r="A54" i="17"/>
  <c r="K54" i="17" s="1"/>
  <c r="L53" i="17"/>
  <c r="J53" i="17"/>
  <c r="H53" i="17"/>
  <c r="F53" i="17"/>
  <c r="B53" i="17"/>
  <c r="C53" i="17" s="1"/>
  <c r="D53" i="17" s="1"/>
  <c r="A53" i="17"/>
  <c r="K53" i="17" s="1"/>
  <c r="L52" i="17"/>
  <c r="J52" i="17"/>
  <c r="H52" i="17"/>
  <c r="F52" i="17"/>
  <c r="B52" i="17"/>
  <c r="C52" i="17" s="1"/>
  <c r="D52" i="17" s="1"/>
  <c r="A52" i="17"/>
  <c r="K52" i="17" s="1"/>
  <c r="L51" i="17"/>
  <c r="J51" i="17"/>
  <c r="H51" i="17"/>
  <c r="F51" i="17"/>
  <c r="B51" i="17"/>
  <c r="C51" i="17" s="1"/>
  <c r="D51" i="17" s="1"/>
  <c r="A51" i="17"/>
  <c r="K51" i="17" s="1"/>
  <c r="L50" i="17"/>
  <c r="J50" i="17"/>
  <c r="H50" i="17"/>
  <c r="F50" i="17"/>
  <c r="B50" i="17"/>
  <c r="C50" i="17" s="1"/>
  <c r="D50" i="17" s="1"/>
  <c r="A50" i="17"/>
  <c r="K50" i="17" s="1"/>
  <c r="L49" i="17"/>
  <c r="J49" i="17"/>
  <c r="H49" i="17"/>
  <c r="F49" i="17"/>
  <c r="B49" i="17"/>
  <c r="C49" i="17" s="1"/>
  <c r="D49" i="17" s="1"/>
  <c r="A49" i="17"/>
  <c r="K49" i="17" s="1"/>
  <c r="L48" i="17"/>
  <c r="J48" i="17"/>
  <c r="H48" i="17"/>
  <c r="F48" i="17"/>
  <c r="B48" i="17"/>
  <c r="C48" i="17" s="1"/>
  <c r="D48" i="17" s="1"/>
  <c r="A48" i="17"/>
  <c r="K48" i="17" s="1"/>
  <c r="L47" i="17"/>
  <c r="J47" i="17"/>
  <c r="H47" i="17"/>
  <c r="F47" i="17"/>
  <c r="B47" i="17"/>
  <c r="C47" i="17" s="1"/>
  <c r="D47" i="17" s="1"/>
  <c r="A47" i="17"/>
  <c r="K47" i="17" s="1"/>
  <c r="L46" i="17"/>
  <c r="J46" i="17"/>
  <c r="H46" i="17"/>
  <c r="F46" i="17"/>
  <c r="B46" i="17"/>
  <c r="C46" i="17" s="1"/>
  <c r="D46" i="17" s="1"/>
  <c r="A46" i="17"/>
  <c r="K46" i="17" s="1"/>
  <c r="L45" i="17"/>
  <c r="J45" i="17"/>
  <c r="H45" i="17"/>
  <c r="F45" i="17"/>
  <c r="B45" i="17"/>
  <c r="C45" i="17" s="1"/>
  <c r="D45" i="17" s="1"/>
  <c r="A45" i="17"/>
  <c r="K45" i="17" s="1"/>
  <c r="L44" i="17"/>
  <c r="J44" i="17"/>
  <c r="H44" i="17"/>
  <c r="F44" i="17"/>
  <c r="B44" i="17"/>
  <c r="C44" i="17" s="1"/>
  <c r="D44" i="17" s="1"/>
  <c r="A44" i="17"/>
  <c r="K44" i="17" s="1"/>
  <c r="L43" i="17"/>
  <c r="J43" i="17"/>
  <c r="H43" i="17"/>
  <c r="F43" i="17"/>
  <c r="B43" i="17"/>
  <c r="C43" i="17" s="1"/>
  <c r="D43" i="17" s="1"/>
  <c r="A43" i="17"/>
  <c r="K43" i="17" s="1"/>
  <c r="L42" i="17"/>
  <c r="J42" i="17"/>
  <c r="H42" i="17"/>
  <c r="F42" i="17"/>
  <c r="B42" i="17"/>
  <c r="C42" i="17" s="1"/>
  <c r="D42" i="17" s="1"/>
  <c r="A42" i="17"/>
  <c r="K42" i="17" s="1"/>
  <c r="L41" i="17"/>
  <c r="J41" i="17"/>
  <c r="H41" i="17"/>
  <c r="F41" i="17"/>
  <c r="B41" i="17"/>
  <c r="C41" i="17" s="1"/>
  <c r="D41" i="17" s="1"/>
  <c r="A41" i="17"/>
  <c r="K41" i="17" s="1"/>
  <c r="L40" i="17"/>
  <c r="J40" i="17"/>
  <c r="H40" i="17"/>
  <c r="F40" i="17"/>
  <c r="B40" i="17"/>
  <c r="C40" i="17" s="1"/>
  <c r="D40" i="17" s="1"/>
  <c r="A40" i="17"/>
  <c r="K40" i="17" s="1"/>
  <c r="L39" i="17"/>
  <c r="J39" i="17"/>
  <c r="H39" i="17"/>
  <c r="F39" i="17"/>
  <c r="B39" i="17"/>
  <c r="C39" i="17" s="1"/>
  <c r="D39" i="17" s="1"/>
  <c r="A39" i="17"/>
  <c r="K39" i="17" s="1"/>
  <c r="L38" i="17"/>
  <c r="J38" i="17"/>
  <c r="H38" i="17"/>
  <c r="F38" i="17"/>
  <c r="B38" i="17"/>
  <c r="C38" i="17" s="1"/>
  <c r="D38" i="17" s="1"/>
  <c r="A38" i="17"/>
  <c r="K38" i="17" s="1"/>
  <c r="L37" i="17"/>
  <c r="J37" i="17"/>
  <c r="H37" i="17"/>
  <c r="F37" i="17"/>
  <c r="B37" i="17"/>
  <c r="C37" i="17" s="1"/>
  <c r="D37" i="17" s="1"/>
  <c r="A37" i="17"/>
  <c r="K37" i="17" s="1"/>
  <c r="L36" i="17"/>
  <c r="J36" i="17"/>
  <c r="H36" i="17"/>
  <c r="F36" i="17"/>
  <c r="B36" i="17"/>
  <c r="C36" i="17" s="1"/>
  <c r="D36" i="17" s="1"/>
  <c r="A36" i="17"/>
  <c r="K36" i="17" s="1"/>
  <c r="L35" i="17"/>
  <c r="J35" i="17"/>
  <c r="H35" i="17"/>
  <c r="F35" i="17"/>
  <c r="B35" i="17"/>
  <c r="C35" i="17" s="1"/>
  <c r="D35" i="17" s="1"/>
  <c r="A35" i="17"/>
  <c r="K35" i="17" s="1"/>
  <c r="L34" i="17"/>
  <c r="J34" i="17"/>
  <c r="H34" i="17"/>
  <c r="F34" i="17"/>
  <c r="B34" i="17"/>
  <c r="C34" i="17" s="1"/>
  <c r="D34" i="17" s="1"/>
  <c r="A34" i="17"/>
  <c r="K34" i="17" s="1"/>
  <c r="L33" i="17"/>
  <c r="J33" i="17"/>
  <c r="H33" i="17"/>
  <c r="F33" i="17"/>
  <c r="B33" i="17"/>
  <c r="C33" i="17" s="1"/>
  <c r="D33" i="17" s="1"/>
  <c r="A33" i="17"/>
  <c r="K33" i="17" s="1"/>
  <c r="L32" i="17"/>
  <c r="J32" i="17"/>
  <c r="H32" i="17"/>
  <c r="F32" i="17"/>
  <c r="B32" i="17"/>
  <c r="C32" i="17" s="1"/>
  <c r="D32" i="17" s="1"/>
  <c r="A32" i="17"/>
  <c r="K32" i="17" s="1"/>
  <c r="L31" i="17"/>
  <c r="J31" i="17"/>
  <c r="H31" i="17"/>
  <c r="F31" i="17"/>
  <c r="B31" i="17"/>
  <c r="C31" i="17" s="1"/>
  <c r="D31" i="17" s="1"/>
  <c r="A31" i="17"/>
  <c r="K31" i="17" s="1"/>
  <c r="L30" i="17"/>
  <c r="J30" i="17"/>
  <c r="H30" i="17"/>
  <c r="F30" i="17"/>
  <c r="B30" i="17"/>
  <c r="C30" i="17" s="1"/>
  <c r="D30" i="17" s="1"/>
  <c r="A30" i="17"/>
  <c r="K30" i="17" s="1"/>
  <c r="L29" i="17"/>
  <c r="J29" i="17"/>
  <c r="H29" i="17"/>
  <c r="F29" i="17"/>
  <c r="B29" i="17"/>
  <c r="C29" i="17" s="1"/>
  <c r="D29" i="17" s="1"/>
  <c r="A29" i="17"/>
  <c r="K29" i="17" s="1"/>
  <c r="L28" i="17"/>
  <c r="J28" i="17"/>
  <c r="H28" i="17"/>
  <c r="F28" i="17"/>
  <c r="B28" i="17"/>
  <c r="C28" i="17" s="1"/>
  <c r="D28" i="17" s="1"/>
  <c r="A28" i="17"/>
  <c r="K28" i="17" s="1"/>
  <c r="L27" i="17"/>
  <c r="J27" i="17"/>
  <c r="H27" i="17"/>
  <c r="F27" i="17"/>
  <c r="B27" i="17"/>
  <c r="C27" i="17" s="1"/>
  <c r="D27" i="17" s="1"/>
  <c r="A27" i="17"/>
  <c r="K27" i="17" s="1"/>
  <c r="L26" i="17"/>
  <c r="J26" i="17"/>
  <c r="H26" i="17"/>
  <c r="F26" i="17"/>
  <c r="B26" i="17"/>
  <c r="C26" i="17" s="1"/>
  <c r="D26" i="17" s="1"/>
  <c r="A26" i="17"/>
  <c r="K26" i="17" s="1"/>
  <c r="L25" i="17"/>
  <c r="J25" i="17"/>
  <c r="H25" i="17"/>
  <c r="F25" i="17"/>
  <c r="B25" i="17"/>
  <c r="C25" i="17" s="1"/>
  <c r="D25" i="17" s="1"/>
  <c r="A25" i="17"/>
  <c r="K25" i="17" s="1"/>
  <c r="L24" i="17"/>
  <c r="J24" i="17"/>
  <c r="H24" i="17"/>
  <c r="F24" i="17"/>
  <c r="B24" i="17"/>
  <c r="C24" i="17" s="1"/>
  <c r="D24" i="17" s="1"/>
  <c r="A24" i="17"/>
  <c r="K24" i="17" s="1"/>
  <c r="L23" i="17"/>
  <c r="J23" i="17"/>
  <c r="H23" i="17"/>
  <c r="F23" i="17"/>
  <c r="B23" i="17"/>
  <c r="C23" i="17" s="1"/>
  <c r="D23" i="17" s="1"/>
  <c r="A23" i="17"/>
  <c r="K23" i="17" s="1"/>
  <c r="L22" i="17"/>
  <c r="J22" i="17"/>
  <c r="H22" i="17"/>
  <c r="F22" i="17"/>
  <c r="B22" i="17"/>
  <c r="C22" i="17" s="1"/>
  <c r="D22" i="17" s="1"/>
  <c r="A22" i="17"/>
  <c r="K22" i="17" s="1"/>
  <c r="L21" i="17"/>
  <c r="J21" i="17"/>
  <c r="H21" i="17"/>
  <c r="F21" i="17"/>
  <c r="B21" i="17"/>
  <c r="C21" i="17" s="1"/>
  <c r="D21" i="17" s="1"/>
  <c r="A21" i="17"/>
  <c r="K21" i="17" s="1"/>
  <c r="L20" i="17"/>
  <c r="J20" i="17"/>
  <c r="H20" i="17"/>
  <c r="F20" i="17"/>
  <c r="B20" i="17"/>
  <c r="C20" i="17" s="1"/>
  <c r="D20" i="17" s="1"/>
  <c r="A20" i="17"/>
  <c r="K20" i="17" s="1"/>
  <c r="L19" i="17"/>
  <c r="J19" i="17"/>
  <c r="H19" i="17"/>
  <c r="F19" i="17"/>
  <c r="B19" i="17"/>
  <c r="C19" i="17" s="1"/>
  <c r="D19" i="17" s="1"/>
  <c r="A19" i="17"/>
  <c r="K19" i="17" s="1"/>
  <c r="L18" i="17"/>
  <c r="J18" i="17"/>
  <c r="H18" i="17"/>
  <c r="F18" i="17"/>
  <c r="B18" i="17"/>
  <c r="C18" i="17" s="1"/>
  <c r="D18" i="17" s="1"/>
  <c r="A18" i="17"/>
  <c r="K18" i="17" s="1"/>
  <c r="L17" i="17"/>
  <c r="J17" i="17"/>
  <c r="H17" i="17"/>
  <c r="F17" i="17"/>
  <c r="B17" i="17"/>
  <c r="C17" i="17" s="1"/>
  <c r="D17" i="17" s="1"/>
  <c r="A17" i="17"/>
  <c r="K17" i="17" s="1"/>
  <c r="L16" i="17"/>
  <c r="J16" i="17"/>
  <c r="H16" i="17"/>
  <c r="F16" i="17"/>
  <c r="B16" i="17"/>
  <c r="C16" i="17" s="1"/>
  <c r="D16" i="17" s="1"/>
  <c r="A16" i="17"/>
  <c r="K16" i="17" s="1"/>
  <c r="L15" i="17"/>
  <c r="J15" i="17"/>
  <c r="H15" i="17"/>
  <c r="F15" i="17"/>
  <c r="B15" i="17"/>
  <c r="C15" i="17" s="1"/>
  <c r="D15" i="17" s="1"/>
  <c r="A15" i="17"/>
  <c r="K15" i="17" s="1"/>
  <c r="L14" i="17"/>
  <c r="J14" i="17"/>
  <c r="H14" i="17"/>
  <c r="F14" i="17"/>
  <c r="B14" i="17"/>
  <c r="C14" i="17" s="1"/>
  <c r="D14" i="17" s="1"/>
  <c r="A14" i="17"/>
  <c r="K14" i="17" s="1"/>
  <c r="L13" i="17"/>
  <c r="J13" i="17"/>
  <c r="H13" i="17"/>
  <c r="F13" i="17"/>
  <c r="B13" i="17"/>
  <c r="C13" i="17" s="1"/>
  <c r="D13" i="17" s="1"/>
  <c r="A13" i="17"/>
  <c r="K13" i="17" s="1"/>
  <c r="L12" i="17"/>
  <c r="J12" i="17"/>
  <c r="H12" i="17"/>
  <c r="F12" i="17"/>
  <c r="B12" i="17"/>
  <c r="C12" i="17" s="1"/>
  <c r="D12" i="17" s="1"/>
  <c r="A12" i="17"/>
  <c r="K12" i="17" s="1"/>
  <c r="L11" i="17"/>
  <c r="J11" i="17"/>
  <c r="H11" i="17"/>
  <c r="F11" i="17"/>
  <c r="B11" i="17"/>
  <c r="C11" i="17" s="1"/>
  <c r="D11" i="17" s="1"/>
  <c r="A11" i="17"/>
  <c r="K11" i="17" s="1"/>
  <c r="L10" i="17"/>
  <c r="J10" i="17"/>
  <c r="H10" i="17"/>
  <c r="F10" i="17"/>
  <c r="B10" i="17"/>
  <c r="C10" i="17" s="1"/>
  <c r="D10" i="17" s="1"/>
  <c r="A10" i="17"/>
  <c r="K10" i="17" s="1"/>
  <c r="L9" i="17"/>
  <c r="J9" i="17"/>
  <c r="H9" i="17"/>
  <c r="F9" i="17"/>
  <c r="B9" i="17"/>
  <c r="C9" i="17" s="1"/>
  <c r="D9" i="17" s="1"/>
  <c r="A9" i="17"/>
  <c r="K9" i="17" s="1"/>
  <c r="L8" i="17"/>
  <c r="J8" i="17"/>
  <c r="H8" i="17"/>
  <c r="F8" i="17"/>
  <c r="B8" i="17"/>
  <c r="C8" i="17" s="1"/>
  <c r="D8" i="17" s="1"/>
  <c r="A8" i="17"/>
  <c r="K8" i="17" s="1"/>
  <c r="L7" i="17"/>
  <c r="J7" i="17"/>
  <c r="H7" i="17"/>
  <c r="F7" i="17"/>
  <c r="B7" i="17"/>
  <c r="C7" i="17" s="1"/>
  <c r="D7" i="17" s="1"/>
  <c r="A7" i="17"/>
  <c r="K7" i="17" s="1"/>
  <c r="L6" i="17"/>
  <c r="J6" i="17"/>
  <c r="H6" i="17"/>
  <c r="F6" i="17"/>
  <c r="B6" i="17"/>
  <c r="C6" i="17" s="1"/>
  <c r="D6" i="17" s="1"/>
  <c r="A6" i="17"/>
  <c r="K6" i="17" s="1"/>
  <c r="L5" i="17"/>
  <c r="J5" i="17"/>
  <c r="H5" i="17"/>
  <c r="F5" i="17"/>
  <c r="B5" i="17"/>
  <c r="C5" i="17" s="1"/>
  <c r="D5" i="17" s="1"/>
  <c r="A5" i="17"/>
  <c r="K5" i="17" s="1"/>
  <c r="L4" i="17"/>
  <c r="J4" i="17"/>
  <c r="H4" i="17"/>
  <c r="F4" i="17"/>
  <c r="B4" i="17"/>
  <c r="C4" i="17" s="1"/>
  <c r="D4" i="17" s="1"/>
  <c r="A4" i="17"/>
  <c r="K4" i="17" s="1"/>
  <c r="L3" i="17"/>
  <c r="J3" i="17"/>
  <c r="H3" i="17"/>
  <c r="F3" i="17"/>
  <c r="B3" i="17"/>
  <c r="C3" i="17" s="1"/>
  <c r="D3" i="17" s="1"/>
  <c r="A3" i="17"/>
  <c r="K3" i="17" s="1"/>
  <c r="L2" i="17"/>
  <c r="J2" i="17"/>
  <c r="H2" i="17"/>
  <c r="F2" i="17"/>
  <c r="B2" i="17"/>
  <c r="C2" i="17" s="1"/>
  <c r="A2" i="17"/>
  <c r="K2" i="17" s="1"/>
  <c r="P997" i="16"/>
  <c r="P996" i="16"/>
  <c r="P995" i="16"/>
  <c r="P994" i="16"/>
  <c r="P993" i="16"/>
  <c r="P992" i="16"/>
  <c r="P991" i="16"/>
  <c r="P990" i="16"/>
  <c r="P989" i="16"/>
  <c r="P988" i="16"/>
  <c r="P987" i="16"/>
  <c r="P986" i="16"/>
  <c r="P985" i="16"/>
  <c r="P984" i="16"/>
  <c r="P983" i="16"/>
  <c r="P982" i="16"/>
  <c r="P981" i="16"/>
  <c r="P980" i="16"/>
  <c r="P979" i="16"/>
  <c r="P978" i="16"/>
  <c r="P977" i="16"/>
  <c r="P976" i="16"/>
  <c r="P975" i="16"/>
  <c r="P974" i="16"/>
  <c r="P973" i="16"/>
  <c r="P972" i="16"/>
  <c r="P971" i="16"/>
  <c r="P970" i="16"/>
  <c r="P969" i="16"/>
  <c r="P968" i="16"/>
  <c r="P967" i="16"/>
  <c r="P966" i="16"/>
  <c r="P965" i="16"/>
  <c r="P964" i="16"/>
  <c r="P963" i="16"/>
  <c r="P962" i="16"/>
  <c r="P961" i="16"/>
  <c r="P960" i="16"/>
  <c r="P959" i="16"/>
  <c r="P958" i="16"/>
  <c r="P957" i="16"/>
  <c r="P956" i="16"/>
  <c r="P955" i="16"/>
  <c r="P954" i="16"/>
  <c r="P953" i="16"/>
  <c r="P952" i="16"/>
  <c r="P951" i="16"/>
  <c r="P950" i="16"/>
  <c r="P949" i="16"/>
  <c r="P948" i="16"/>
  <c r="P947" i="16"/>
  <c r="P946" i="16"/>
  <c r="P945" i="16"/>
  <c r="P944" i="16"/>
  <c r="P943" i="16"/>
  <c r="P942" i="16"/>
  <c r="P941" i="16"/>
  <c r="P940" i="16"/>
  <c r="P939" i="16"/>
  <c r="P938" i="16"/>
  <c r="P937" i="16"/>
  <c r="P936" i="16"/>
  <c r="P935" i="16"/>
  <c r="P934" i="16"/>
  <c r="P933" i="16"/>
  <c r="P932" i="16"/>
  <c r="P931" i="16"/>
  <c r="P930" i="16"/>
  <c r="P929" i="16"/>
  <c r="P928" i="16"/>
  <c r="P927" i="16"/>
  <c r="P926" i="16"/>
  <c r="P925" i="16"/>
  <c r="P924" i="16"/>
  <c r="P923" i="16"/>
  <c r="P922" i="16"/>
  <c r="P921" i="16"/>
  <c r="P920" i="16"/>
  <c r="P919" i="16"/>
  <c r="P918" i="16"/>
  <c r="P917" i="16"/>
  <c r="P916" i="16"/>
  <c r="P915" i="16"/>
  <c r="P914" i="16"/>
  <c r="P913" i="16"/>
  <c r="P912" i="16"/>
  <c r="P911" i="16"/>
  <c r="P910" i="16"/>
  <c r="P909" i="16"/>
  <c r="P908" i="16"/>
  <c r="P907" i="16"/>
  <c r="P906" i="16"/>
  <c r="P905" i="16"/>
  <c r="P904" i="16"/>
  <c r="P903" i="16"/>
  <c r="P902" i="16"/>
  <c r="P901" i="16"/>
  <c r="P900" i="16"/>
  <c r="P899" i="16"/>
  <c r="P898" i="16"/>
  <c r="P897" i="16"/>
  <c r="P896" i="16"/>
  <c r="P895" i="16"/>
  <c r="P894" i="16"/>
  <c r="P893" i="16"/>
  <c r="P892" i="16"/>
  <c r="P891" i="16"/>
  <c r="P890" i="16"/>
  <c r="P889" i="16"/>
  <c r="P888" i="16"/>
  <c r="P887" i="16"/>
  <c r="P886" i="16"/>
  <c r="P885" i="16"/>
  <c r="P884" i="16"/>
  <c r="P883" i="16"/>
  <c r="P882" i="16"/>
  <c r="P881" i="16"/>
  <c r="P880" i="16"/>
  <c r="P879" i="16"/>
  <c r="P878" i="16"/>
  <c r="P877" i="16"/>
  <c r="P876" i="16"/>
  <c r="P875" i="16"/>
  <c r="P874" i="16"/>
  <c r="P873" i="16"/>
  <c r="P872" i="16"/>
  <c r="P871" i="16"/>
  <c r="P870" i="16"/>
  <c r="P869" i="16"/>
  <c r="P868" i="16"/>
  <c r="P867" i="16"/>
  <c r="P866" i="16"/>
  <c r="P865" i="16"/>
  <c r="P864" i="16"/>
  <c r="P863" i="16"/>
  <c r="P862" i="16"/>
  <c r="P861" i="16"/>
  <c r="P860" i="16"/>
  <c r="P859" i="16"/>
  <c r="P858" i="16"/>
  <c r="P857" i="16"/>
  <c r="P856" i="16"/>
  <c r="P855" i="16"/>
  <c r="P854" i="16"/>
  <c r="P853" i="16"/>
  <c r="P852" i="16"/>
  <c r="P851" i="16"/>
  <c r="P850" i="16"/>
  <c r="P849" i="16"/>
  <c r="P848" i="16"/>
  <c r="P847" i="16"/>
  <c r="P846" i="16"/>
  <c r="P845" i="16"/>
  <c r="P844" i="16"/>
  <c r="P843" i="16"/>
  <c r="P842" i="16"/>
  <c r="P841" i="16"/>
  <c r="P840" i="16"/>
  <c r="P839" i="16"/>
  <c r="P838" i="16"/>
  <c r="P837" i="16"/>
  <c r="P836" i="16"/>
  <c r="P835" i="16"/>
  <c r="P834" i="16"/>
  <c r="P833" i="16"/>
  <c r="P832" i="16"/>
  <c r="P831" i="16"/>
  <c r="P830" i="16"/>
  <c r="P829" i="16"/>
  <c r="P828" i="16"/>
  <c r="P827" i="16"/>
  <c r="P826" i="16"/>
  <c r="P825" i="16"/>
  <c r="P824" i="16"/>
  <c r="P823" i="16"/>
  <c r="P822" i="16"/>
  <c r="P821" i="16"/>
  <c r="P820" i="16"/>
  <c r="P819" i="16"/>
  <c r="P818" i="16"/>
  <c r="P817" i="16"/>
  <c r="P816" i="16"/>
  <c r="P815" i="16"/>
  <c r="P814" i="16"/>
  <c r="P813" i="16"/>
  <c r="P812" i="16"/>
  <c r="P811" i="16"/>
  <c r="P810" i="16"/>
  <c r="P809" i="16"/>
  <c r="P808" i="16"/>
  <c r="P807" i="16"/>
  <c r="P806" i="16"/>
  <c r="P805" i="16"/>
  <c r="P804" i="16"/>
  <c r="P803" i="16"/>
  <c r="P802" i="16"/>
  <c r="P801" i="16"/>
  <c r="P800" i="16"/>
  <c r="P799" i="16"/>
  <c r="P798" i="16"/>
  <c r="P797" i="16"/>
  <c r="P796" i="16"/>
  <c r="P795" i="16"/>
  <c r="P793" i="16"/>
  <c r="P792" i="16"/>
  <c r="P791" i="16"/>
  <c r="P790" i="16"/>
  <c r="P789" i="16"/>
  <c r="P788" i="16"/>
  <c r="P787" i="16"/>
  <c r="P786" i="16"/>
  <c r="P785" i="16"/>
  <c r="P784" i="16"/>
  <c r="P783" i="16"/>
  <c r="P782" i="16"/>
  <c r="P781" i="16"/>
  <c r="P780" i="16"/>
  <c r="P779" i="16"/>
  <c r="P778" i="16"/>
  <c r="P777" i="16"/>
  <c r="P776" i="16"/>
  <c r="P775" i="16"/>
  <c r="P774" i="16"/>
  <c r="P773" i="16"/>
  <c r="P772" i="16"/>
  <c r="P771" i="16"/>
  <c r="P770" i="16"/>
  <c r="P769" i="16"/>
  <c r="P768" i="16"/>
  <c r="P767" i="16"/>
  <c r="P766" i="16"/>
  <c r="P765" i="16"/>
  <c r="P764" i="16"/>
  <c r="P763" i="16"/>
  <c r="P762" i="16"/>
  <c r="P761" i="16"/>
  <c r="P760" i="16"/>
  <c r="P759" i="16"/>
  <c r="P758" i="16"/>
  <c r="P757" i="16"/>
  <c r="P756" i="16"/>
  <c r="P755" i="16"/>
  <c r="P754" i="16"/>
  <c r="P753" i="16"/>
  <c r="P752" i="16"/>
  <c r="P751" i="16"/>
  <c r="P750" i="16"/>
  <c r="P749" i="16"/>
  <c r="P748" i="16"/>
  <c r="P747" i="16"/>
  <c r="P746" i="16"/>
  <c r="P745" i="16"/>
  <c r="P744" i="16"/>
  <c r="P743" i="16"/>
  <c r="P742" i="16"/>
  <c r="P741" i="16"/>
  <c r="P740" i="16"/>
  <c r="P739" i="16"/>
  <c r="P738" i="16"/>
  <c r="P737" i="16"/>
  <c r="P736" i="16"/>
  <c r="P735" i="16"/>
  <c r="P734" i="16"/>
  <c r="P733" i="16"/>
  <c r="P732" i="16"/>
  <c r="P731" i="16"/>
  <c r="P730" i="16"/>
  <c r="P729" i="16"/>
  <c r="P728" i="16"/>
  <c r="P727" i="16"/>
  <c r="P726" i="16"/>
  <c r="P725" i="16"/>
  <c r="P724" i="16"/>
  <c r="P723" i="16"/>
  <c r="P722" i="16"/>
  <c r="P721" i="16"/>
  <c r="P720" i="16"/>
  <c r="P719" i="16"/>
  <c r="P718" i="16"/>
  <c r="P717" i="16"/>
  <c r="P716" i="16"/>
  <c r="P715" i="16"/>
  <c r="P714" i="16"/>
  <c r="P713" i="16"/>
  <c r="P712" i="16"/>
  <c r="P711" i="16"/>
  <c r="P710" i="16"/>
  <c r="P709" i="16"/>
  <c r="P708" i="16"/>
  <c r="P707" i="16"/>
  <c r="P706" i="16"/>
  <c r="P705" i="16"/>
  <c r="P704" i="16"/>
  <c r="P703" i="16"/>
  <c r="P702" i="16"/>
  <c r="P701" i="16"/>
  <c r="P700" i="16"/>
  <c r="P699" i="16"/>
  <c r="P698" i="16"/>
  <c r="P697" i="16"/>
  <c r="P696" i="16"/>
  <c r="P695" i="16"/>
  <c r="P694" i="16"/>
  <c r="P693" i="16"/>
  <c r="P692" i="16"/>
  <c r="P691" i="16"/>
  <c r="P690" i="16"/>
  <c r="P689" i="16"/>
  <c r="P688" i="16"/>
  <c r="P687" i="16"/>
  <c r="P686" i="16"/>
  <c r="P685" i="16"/>
  <c r="P684" i="16"/>
  <c r="P683" i="16"/>
  <c r="P682" i="16"/>
  <c r="P681" i="16"/>
  <c r="P680" i="16"/>
  <c r="P679" i="16"/>
  <c r="P678" i="16"/>
  <c r="P677" i="16"/>
  <c r="P676" i="16"/>
  <c r="P675" i="16"/>
  <c r="P674" i="16"/>
  <c r="P673" i="16"/>
  <c r="P672" i="16"/>
  <c r="P671" i="16"/>
  <c r="P670" i="16"/>
  <c r="P669" i="16"/>
  <c r="P668" i="16"/>
  <c r="P667" i="16"/>
  <c r="P666" i="16"/>
  <c r="P665" i="16"/>
  <c r="P664" i="16"/>
  <c r="P663" i="16"/>
  <c r="P662" i="16"/>
  <c r="P661" i="16"/>
  <c r="P660" i="16"/>
  <c r="P659" i="16"/>
  <c r="P658" i="16"/>
  <c r="P657" i="16"/>
  <c r="P656" i="16"/>
  <c r="P655" i="16"/>
  <c r="P654" i="16"/>
  <c r="P653" i="16"/>
  <c r="P652" i="16"/>
  <c r="P651" i="16"/>
  <c r="P650" i="16"/>
  <c r="P649" i="16"/>
  <c r="P648" i="16"/>
  <c r="P647" i="16"/>
  <c r="P646" i="16"/>
  <c r="P645" i="16"/>
  <c r="P644" i="16"/>
  <c r="P643" i="16"/>
  <c r="P642" i="16"/>
  <c r="P641" i="16"/>
  <c r="P640" i="16"/>
  <c r="P639" i="16"/>
  <c r="P638" i="16"/>
  <c r="P637" i="16"/>
  <c r="P636" i="16"/>
  <c r="P635" i="16"/>
  <c r="P634" i="16"/>
  <c r="P633" i="16"/>
  <c r="P632" i="16"/>
  <c r="P631" i="16"/>
  <c r="P630" i="16"/>
  <c r="P629" i="16"/>
  <c r="P628" i="16"/>
  <c r="P627" i="16"/>
  <c r="P626" i="16"/>
  <c r="P625" i="16"/>
  <c r="P624" i="16"/>
  <c r="P623" i="16"/>
  <c r="P622" i="16"/>
  <c r="P621" i="16"/>
  <c r="P620" i="16"/>
  <c r="P619" i="16"/>
  <c r="P618" i="16"/>
  <c r="P617" i="16"/>
  <c r="P616" i="16"/>
  <c r="P615" i="16"/>
  <c r="P614" i="16"/>
  <c r="P613" i="16"/>
  <c r="P612" i="16"/>
  <c r="P611" i="16"/>
  <c r="P610" i="16"/>
  <c r="P609" i="16"/>
  <c r="P608" i="16"/>
  <c r="P607" i="16"/>
  <c r="P606" i="16"/>
  <c r="P605" i="16"/>
  <c r="P604" i="16"/>
  <c r="P603" i="16"/>
  <c r="P602" i="16"/>
  <c r="P601" i="16"/>
  <c r="P600" i="16"/>
  <c r="P599" i="16"/>
  <c r="P598" i="16"/>
  <c r="P597" i="16"/>
  <c r="P596" i="16"/>
  <c r="P595" i="16"/>
  <c r="P594" i="16"/>
  <c r="P593" i="16"/>
  <c r="P592" i="16"/>
  <c r="P591" i="16"/>
  <c r="P590" i="16"/>
  <c r="P589" i="16"/>
  <c r="P588" i="16"/>
  <c r="P587" i="16"/>
  <c r="P586" i="16"/>
  <c r="P585" i="16"/>
  <c r="P584" i="16"/>
  <c r="P583" i="16"/>
  <c r="P582" i="16"/>
  <c r="P581" i="16"/>
  <c r="P580" i="16"/>
  <c r="P579" i="16"/>
  <c r="P578" i="16"/>
  <c r="P577" i="16"/>
  <c r="P576" i="16"/>
  <c r="P575" i="16"/>
  <c r="P574" i="16"/>
  <c r="P573" i="16"/>
  <c r="P572" i="16"/>
  <c r="P571" i="16"/>
  <c r="P570" i="16"/>
  <c r="P569" i="16"/>
  <c r="P568" i="16"/>
  <c r="P567" i="16"/>
  <c r="P566" i="16"/>
  <c r="P565" i="16"/>
  <c r="P564" i="16"/>
  <c r="P563" i="16"/>
  <c r="P562" i="16"/>
  <c r="P561" i="16"/>
  <c r="P560" i="16"/>
  <c r="P559" i="16"/>
  <c r="P558" i="16"/>
  <c r="P557" i="16"/>
  <c r="P556" i="16"/>
  <c r="P555" i="16"/>
  <c r="P554" i="16"/>
  <c r="P553" i="16"/>
  <c r="P552" i="16"/>
  <c r="P551" i="16"/>
  <c r="P550" i="16"/>
  <c r="P549" i="16"/>
  <c r="P548" i="16"/>
  <c r="P547" i="16"/>
  <c r="P546" i="16"/>
  <c r="P545" i="16"/>
  <c r="P544" i="16"/>
  <c r="P543" i="16"/>
  <c r="P542" i="16"/>
  <c r="P541" i="16"/>
  <c r="P540" i="16"/>
  <c r="P539" i="16"/>
  <c r="P538" i="16"/>
  <c r="P537" i="16"/>
  <c r="P536" i="16"/>
  <c r="P535" i="16"/>
  <c r="P534" i="16"/>
  <c r="P533" i="16"/>
  <c r="P532" i="16"/>
  <c r="P531" i="16"/>
  <c r="P530" i="16"/>
  <c r="P529" i="16"/>
  <c r="P528" i="16"/>
  <c r="P527" i="16"/>
  <c r="P526" i="16"/>
  <c r="P525" i="16"/>
  <c r="P524" i="16"/>
  <c r="P523" i="16"/>
  <c r="P522" i="16"/>
  <c r="P521" i="16"/>
  <c r="P520" i="16"/>
  <c r="P519" i="16"/>
  <c r="P518" i="16"/>
  <c r="P517" i="16"/>
  <c r="P516" i="16"/>
  <c r="P515" i="16"/>
  <c r="P514" i="16"/>
  <c r="P513" i="16"/>
  <c r="P512" i="16"/>
  <c r="P511" i="16"/>
  <c r="P510" i="16"/>
  <c r="P509" i="16"/>
  <c r="P508" i="16"/>
  <c r="P507" i="16"/>
  <c r="P506" i="16"/>
  <c r="P505" i="16"/>
  <c r="P504" i="16"/>
  <c r="P503" i="16"/>
  <c r="P502" i="16"/>
  <c r="P501" i="16"/>
  <c r="P500" i="16"/>
  <c r="P499" i="16"/>
  <c r="P498" i="16"/>
  <c r="P497" i="16"/>
  <c r="P496" i="16"/>
  <c r="P495" i="16"/>
  <c r="P494" i="16"/>
  <c r="P493" i="16"/>
  <c r="P492" i="16"/>
  <c r="P491" i="16"/>
  <c r="P490" i="16"/>
  <c r="P489" i="16"/>
  <c r="P488" i="16"/>
  <c r="P487" i="16"/>
  <c r="P486" i="16"/>
  <c r="P485" i="16"/>
  <c r="P484" i="16"/>
  <c r="P483" i="16"/>
  <c r="P482" i="16"/>
  <c r="P481" i="16"/>
  <c r="P480" i="16"/>
  <c r="P479" i="16"/>
  <c r="P478" i="16"/>
  <c r="P477" i="16"/>
  <c r="P476" i="16"/>
  <c r="P475" i="16"/>
  <c r="P474" i="16"/>
  <c r="P473" i="16"/>
  <c r="P472" i="16"/>
  <c r="P471" i="16"/>
  <c r="P470" i="16"/>
  <c r="P469" i="16"/>
  <c r="P468" i="16"/>
  <c r="P467" i="16"/>
  <c r="P466" i="16"/>
  <c r="P465" i="16"/>
  <c r="P464" i="16"/>
  <c r="P463" i="16"/>
  <c r="P462" i="16"/>
  <c r="P461" i="16"/>
  <c r="P460" i="16"/>
  <c r="P459" i="16"/>
  <c r="P458" i="16"/>
  <c r="P457" i="16"/>
  <c r="P456" i="16"/>
  <c r="P455" i="16"/>
  <c r="P454" i="16"/>
  <c r="P453" i="16"/>
  <c r="P452" i="16"/>
  <c r="P451" i="16"/>
  <c r="P450" i="16"/>
  <c r="P449" i="16"/>
  <c r="P448" i="16"/>
  <c r="P447" i="16"/>
  <c r="P446" i="16"/>
  <c r="P445" i="16"/>
  <c r="P444" i="16"/>
  <c r="P443" i="16"/>
  <c r="P442" i="16"/>
  <c r="P441" i="16"/>
  <c r="P440" i="16"/>
  <c r="P439" i="16"/>
  <c r="P438" i="16"/>
  <c r="P437" i="16"/>
  <c r="P436" i="16"/>
  <c r="P435" i="16"/>
  <c r="P434" i="16"/>
  <c r="P433" i="16"/>
  <c r="P432" i="16"/>
  <c r="P430" i="16"/>
  <c r="P429" i="16"/>
  <c r="P428" i="16"/>
  <c r="P427" i="16"/>
  <c r="P426" i="16"/>
  <c r="P425" i="16"/>
  <c r="P424" i="16"/>
  <c r="P423" i="16"/>
  <c r="P422" i="16"/>
  <c r="P421" i="16"/>
  <c r="P420" i="16"/>
  <c r="P419" i="16"/>
  <c r="P418" i="16"/>
  <c r="P417" i="16"/>
  <c r="P416" i="16"/>
  <c r="P415" i="16"/>
  <c r="P414" i="16"/>
  <c r="P413" i="16"/>
  <c r="P412" i="16"/>
  <c r="P411" i="16"/>
  <c r="P410" i="16"/>
  <c r="P409" i="16"/>
  <c r="P408" i="16"/>
  <c r="P407" i="16"/>
  <c r="P406" i="16"/>
  <c r="P405" i="16"/>
  <c r="P404" i="16"/>
  <c r="P403" i="16"/>
  <c r="P402" i="16"/>
  <c r="P401" i="16"/>
  <c r="P400" i="16"/>
  <c r="P399" i="16"/>
  <c r="P398" i="16"/>
  <c r="P397" i="16"/>
  <c r="P396" i="16"/>
  <c r="P395" i="16"/>
  <c r="P394" i="16"/>
  <c r="P393" i="16"/>
  <c r="P392" i="16"/>
  <c r="P391" i="16"/>
  <c r="P390" i="16"/>
  <c r="P389" i="16"/>
  <c r="P388" i="16"/>
  <c r="P387" i="16"/>
  <c r="P386" i="16"/>
  <c r="P385" i="16"/>
  <c r="P384" i="16"/>
  <c r="P383" i="16"/>
  <c r="P382" i="16"/>
  <c r="P381" i="16"/>
  <c r="P380" i="16"/>
  <c r="P379" i="16"/>
  <c r="P378" i="16"/>
  <c r="P377" i="16"/>
  <c r="P376" i="16"/>
  <c r="P375" i="16"/>
  <c r="P374" i="16"/>
  <c r="P373" i="16"/>
  <c r="P372" i="16"/>
  <c r="P371" i="16"/>
  <c r="P370" i="16"/>
  <c r="P369" i="16"/>
  <c r="P368" i="16"/>
  <c r="P367" i="16"/>
  <c r="P366" i="16"/>
  <c r="P365" i="16"/>
  <c r="P364" i="16"/>
  <c r="P363" i="16"/>
  <c r="P362" i="16"/>
  <c r="P361" i="16"/>
  <c r="P360" i="16"/>
  <c r="P359" i="16"/>
  <c r="P358" i="16"/>
  <c r="P357" i="16"/>
  <c r="P356" i="16"/>
  <c r="P355" i="16"/>
  <c r="P354" i="16"/>
  <c r="P353" i="16"/>
  <c r="P352" i="16"/>
  <c r="P351" i="16"/>
  <c r="P350" i="16"/>
  <c r="P349" i="16"/>
  <c r="P348" i="16"/>
  <c r="P347" i="16"/>
  <c r="P346" i="16"/>
  <c r="P345" i="16"/>
  <c r="P344" i="16"/>
  <c r="P343" i="16"/>
  <c r="P342" i="16"/>
  <c r="P341" i="16"/>
  <c r="P340" i="16"/>
  <c r="P339" i="16"/>
  <c r="P338" i="16"/>
  <c r="P337" i="16"/>
  <c r="P336" i="16"/>
  <c r="P335" i="16"/>
  <c r="P334" i="16"/>
  <c r="P333" i="16"/>
  <c r="P332" i="16"/>
  <c r="P331" i="16"/>
  <c r="P330" i="16"/>
  <c r="P329" i="16"/>
  <c r="P328" i="16"/>
  <c r="P327" i="16"/>
  <c r="P326" i="16"/>
  <c r="P325" i="16"/>
  <c r="P324" i="16"/>
  <c r="P323" i="16"/>
  <c r="P322" i="16"/>
  <c r="P321" i="16"/>
  <c r="P320" i="16"/>
  <c r="P319" i="16"/>
  <c r="P318" i="16"/>
  <c r="P317" i="16"/>
  <c r="P316" i="16"/>
  <c r="P315" i="16"/>
  <c r="P314" i="16"/>
  <c r="P313" i="16"/>
  <c r="P312" i="16"/>
  <c r="P311" i="16"/>
  <c r="P310" i="16"/>
  <c r="P309" i="16"/>
  <c r="P308" i="16"/>
  <c r="P307" i="16"/>
  <c r="P306" i="16"/>
  <c r="P305" i="16"/>
  <c r="P304" i="16"/>
  <c r="P303" i="16"/>
  <c r="P302" i="16"/>
  <c r="P301" i="16"/>
  <c r="P300" i="16"/>
  <c r="P299" i="16"/>
  <c r="P298" i="16"/>
  <c r="P297" i="16"/>
  <c r="P296" i="16"/>
  <c r="P295" i="16"/>
  <c r="P294" i="16"/>
  <c r="P293" i="16"/>
  <c r="P292" i="16"/>
  <c r="P291" i="16"/>
  <c r="P290" i="16"/>
  <c r="P289" i="16"/>
  <c r="P288" i="16"/>
  <c r="P287" i="16"/>
  <c r="P286" i="16"/>
  <c r="P285" i="16"/>
  <c r="P284" i="16"/>
  <c r="P283" i="16"/>
  <c r="P282" i="16"/>
  <c r="P281" i="16"/>
  <c r="P280" i="16"/>
  <c r="P279" i="16"/>
  <c r="P278" i="16"/>
  <c r="P277" i="16"/>
  <c r="P276" i="16"/>
  <c r="P275" i="16"/>
  <c r="P274" i="16"/>
  <c r="P273" i="16"/>
  <c r="P272" i="16"/>
  <c r="P271" i="16"/>
  <c r="P270" i="16"/>
  <c r="P269" i="16"/>
  <c r="P268" i="16"/>
  <c r="P267" i="16"/>
  <c r="P266" i="16"/>
  <c r="P265" i="16"/>
  <c r="P264" i="16"/>
  <c r="P263" i="16"/>
  <c r="P262" i="16"/>
  <c r="P261" i="16"/>
  <c r="P260" i="16"/>
  <c r="P259" i="16"/>
  <c r="P258" i="16"/>
  <c r="P257" i="16"/>
  <c r="P256" i="16"/>
  <c r="P255" i="16"/>
  <c r="P254" i="16"/>
  <c r="P253" i="16"/>
  <c r="P252" i="16"/>
  <c r="P251" i="16"/>
  <c r="P250" i="16"/>
  <c r="P249" i="16"/>
  <c r="P248" i="16"/>
  <c r="P247" i="16"/>
  <c r="P246" i="16"/>
  <c r="P245" i="16"/>
  <c r="P244" i="16"/>
  <c r="P243" i="16"/>
  <c r="P242" i="16"/>
  <c r="P241" i="16"/>
  <c r="P240" i="16"/>
  <c r="P239" i="16"/>
  <c r="P238" i="16"/>
  <c r="P237" i="16"/>
  <c r="P236" i="16"/>
  <c r="P235" i="16"/>
  <c r="P234" i="16"/>
  <c r="P233" i="16"/>
  <c r="P232" i="16"/>
  <c r="P231" i="16"/>
  <c r="P230" i="16"/>
  <c r="P229" i="16"/>
  <c r="P228" i="16"/>
  <c r="P227" i="16"/>
  <c r="P226" i="16"/>
  <c r="P225" i="16"/>
  <c r="P224" i="16"/>
  <c r="P223" i="16"/>
  <c r="P222" i="16"/>
  <c r="P221" i="16"/>
  <c r="P220" i="16"/>
  <c r="P219" i="16"/>
  <c r="P218" i="16"/>
  <c r="P217" i="16"/>
  <c r="P216" i="16"/>
  <c r="P215" i="16"/>
  <c r="P214" i="16"/>
  <c r="P213" i="16"/>
  <c r="P212" i="16"/>
  <c r="P211" i="16"/>
  <c r="P210" i="16"/>
  <c r="P209" i="16"/>
  <c r="P208" i="16"/>
  <c r="P207" i="16"/>
  <c r="P206" i="16"/>
  <c r="P205" i="16"/>
  <c r="P204" i="16"/>
  <c r="P203" i="16"/>
  <c r="P202" i="16"/>
  <c r="P201" i="16"/>
  <c r="P200" i="16"/>
  <c r="P199" i="16"/>
  <c r="P198" i="16"/>
  <c r="P197" i="16"/>
  <c r="P196" i="16"/>
  <c r="P195" i="16"/>
  <c r="P194" i="16"/>
  <c r="P193" i="16"/>
  <c r="P192" i="16"/>
  <c r="P191" i="16"/>
  <c r="P190" i="16"/>
  <c r="P189" i="16"/>
  <c r="P188" i="16"/>
  <c r="P187" i="16"/>
  <c r="P186" i="16"/>
  <c r="P185" i="16"/>
  <c r="P184" i="16"/>
  <c r="P183" i="16"/>
  <c r="P182" i="16"/>
  <c r="P181" i="16"/>
  <c r="P180" i="16"/>
  <c r="P179" i="16"/>
  <c r="P178" i="16"/>
  <c r="P177" i="16"/>
  <c r="P176" i="16"/>
  <c r="P175" i="16"/>
  <c r="P174" i="16"/>
  <c r="P173" i="16"/>
  <c r="P172" i="16"/>
  <c r="P171" i="16"/>
  <c r="P170" i="16"/>
  <c r="P169" i="16"/>
  <c r="P168" i="16"/>
  <c r="P167" i="16"/>
  <c r="P166" i="16"/>
  <c r="P165" i="16"/>
  <c r="P164" i="16"/>
  <c r="P163" i="16"/>
  <c r="P162" i="16"/>
  <c r="P161" i="16"/>
  <c r="P160" i="16"/>
  <c r="P159" i="16"/>
  <c r="P158" i="16"/>
  <c r="P157" i="16"/>
  <c r="P156" i="16"/>
  <c r="P155" i="16"/>
  <c r="P154" i="16"/>
  <c r="P153" i="16"/>
  <c r="P152" i="16"/>
  <c r="P151" i="16"/>
  <c r="P150" i="16"/>
  <c r="P149" i="16"/>
  <c r="P148" i="16"/>
  <c r="P147" i="16"/>
  <c r="P146" i="16"/>
  <c r="P145" i="16"/>
  <c r="P144" i="16"/>
  <c r="P143" i="16"/>
  <c r="P142" i="16"/>
  <c r="P141" i="16"/>
  <c r="P140" i="16"/>
  <c r="P139" i="16"/>
  <c r="P138" i="16"/>
  <c r="P137" i="16"/>
  <c r="P136" i="16"/>
  <c r="P135" i="16"/>
  <c r="P134" i="16"/>
  <c r="P133" i="16"/>
  <c r="P132" i="16"/>
  <c r="P131" i="16"/>
  <c r="P130" i="16"/>
  <c r="P129" i="16"/>
  <c r="P128" i="16"/>
  <c r="P127" i="16"/>
  <c r="P126" i="16"/>
  <c r="P125" i="16"/>
  <c r="P124" i="16"/>
  <c r="P123" i="16"/>
  <c r="P122" i="16"/>
  <c r="P121" i="16"/>
  <c r="P120" i="16"/>
  <c r="P119" i="16"/>
  <c r="P118" i="16"/>
  <c r="P117" i="16"/>
  <c r="P116" i="16"/>
  <c r="P115" i="16"/>
  <c r="P114" i="16"/>
  <c r="P113" i="16"/>
  <c r="P112" i="16"/>
  <c r="P111" i="16"/>
  <c r="P110" i="16"/>
  <c r="P109" i="16"/>
  <c r="P108" i="16"/>
  <c r="P107" i="16"/>
  <c r="P106" i="16"/>
  <c r="P105" i="16"/>
  <c r="P104" i="16"/>
  <c r="P103" i="16"/>
  <c r="P102" i="16"/>
  <c r="P101" i="16"/>
  <c r="P100" i="16"/>
  <c r="P99" i="16"/>
  <c r="P98" i="16"/>
  <c r="P97" i="16"/>
  <c r="P96" i="16"/>
  <c r="P95" i="16"/>
  <c r="P94" i="16"/>
  <c r="P93" i="16"/>
  <c r="P92" i="16"/>
  <c r="P91" i="16"/>
  <c r="P90" i="16"/>
  <c r="P89" i="16"/>
  <c r="P88" i="16"/>
  <c r="P87" i="16"/>
  <c r="P86" i="16"/>
  <c r="P85" i="16"/>
  <c r="P84" i="16"/>
  <c r="P83" i="16"/>
  <c r="P82" i="16"/>
  <c r="P81" i="16"/>
  <c r="P80" i="16"/>
  <c r="P79" i="16"/>
  <c r="P78" i="16"/>
  <c r="P77" i="16"/>
  <c r="P76" i="16"/>
  <c r="P75" i="16"/>
  <c r="P74" i="16"/>
  <c r="P73" i="16"/>
  <c r="P72" i="16"/>
  <c r="P71" i="16"/>
  <c r="P70" i="16"/>
  <c r="P69" i="16"/>
  <c r="P68" i="16"/>
  <c r="P67" i="16"/>
  <c r="P66" i="16"/>
  <c r="P65" i="16"/>
  <c r="P64" i="16"/>
  <c r="P63" i="16"/>
  <c r="P62" i="16"/>
  <c r="P61" i="16"/>
  <c r="P60" i="16"/>
  <c r="P59" i="16"/>
  <c r="P58" i="16"/>
  <c r="P57" i="16"/>
  <c r="P56" i="16"/>
  <c r="P55" i="16"/>
  <c r="P54" i="16"/>
  <c r="P53" i="16"/>
  <c r="P52" i="16"/>
  <c r="P51" i="16"/>
  <c r="P50" i="16"/>
  <c r="P49" i="16"/>
  <c r="P48" i="16"/>
  <c r="P47" i="16"/>
  <c r="P45" i="16"/>
  <c r="P44" i="16"/>
  <c r="P43" i="16"/>
  <c r="P42" i="16"/>
  <c r="P41" i="16"/>
  <c r="P40" i="16"/>
  <c r="P39" i="16"/>
  <c r="P38" i="16"/>
  <c r="P37" i="16"/>
  <c r="P36" i="16"/>
  <c r="P35" i="16"/>
  <c r="P34" i="16"/>
  <c r="P33" i="16"/>
  <c r="P32" i="16"/>
  <c r="P31" i="16"/>
  <c r="P30" i="16"/>
  <c r="P29" i="16"/>
  <c r="P28" i="16"/>
  <c r="P26" i="16"/>
  <c r="P25" i="16"/>
  <c r="P24" i="16"/>
  <c r="P23" i="16"/>
  <c r="P22" i="16"/>
  <c r="P21" i="16"/>
  <c r="P20" i="16"/>
  <c r="P19" i="16"/>
  <c r="P18" i="16"/>
  <c r="P17" i="16"/>
  <c r="P16" i="16"/>
  <c r="P14" i="16"/>
  <c r="P13" i="16"/>
  <c r="P12" i="16"/>
  <c r="P11" i="16"/>
  <c r="P10" i="16"/>
  <c r="P9" i="16"/>
  <c r="P8" i="16"/>
  <c r="P7" i="16"/>
  <c r="P6" i="16"/>
  <c r="P5" i="16"/>
  <c r="P4" i="16"/>
  <c r="P3" i="16"/>
  <c r="P2" i="16"/>
  <c r="L1120" i="3"/>
  <c r="L1119" i="3"/>
  <c r="L1118" i="3"/>
  <c r="L1117" i="3"/>
  <c r="L1116" i="3"/>
  <c r="L1115" i="3"/>
  <c r="L1114" i="3"/>
  <c r="L1113" i="3"/>
  <c r="L1112" i="3"/>
  <c r="L1111" i="3"/>
  <c r="L1110" i="3"/>
  <c r="L1109" i="3"/>
  <c r="L1108" i="3"/>
  <c r="L1107" i="3"/>
  <c r="L1106" i="3"/>
  <c r="L1105" i="3"/>
  <c r="L1104" i="3"/>
  <c r="L1103" i="3"/>
  <c r="L1102" i="3"/>
  <c r="L1101" i="3"/>
  <c r="L1100" i="3"/>
  <c r="L1099" i="3"/>
  <c r="L1098" i="3"/>
  <c r="L1097" i="3"/>
  <c r="L1096" i="3"/>
  <c r="L1095" i="3"/>
  <c r="L1094" i="3"/>
  <c r="L1093" i="3"/>
  <c r="L1092" i="3"/>
  <c r="L1091" i="3"/>
  <c r="L1090" i="3"/>
  <c r="L1089" i="3"/>
  <c r="L1088" i="3"/>
  <c r="L1087" i="3"/>
  <c r="L1086" i="3"/>
  <c r="L1085" i="3"/>
  <c r="L1084" i="3"/>
  <c r="L1083" i="3"/>
  <c r="L1082" i="3"/>
  <c r="L1081" i="3"/>
  <c r="L1080" i="3"/>
  <c r="L1079" i="3"/>
  <c r="L1078" i="3"/>
  <c r="L1077" i="3"/>
  <c r="L1076" i="3"/>
  <c r="L1075" i="3"/>
  <c r="L1074" i="3"/>
  <c r="L1073" i="3"/>
  <c r="L1072" i="3"/>
  <c r="L1071" i="3"/>
  <c r="L1070" i="3"/>
  <c r="L1069" i="3"/>
  <c r="L1068" i="3"/>
  <c r="L1067" i="3"/>
  <c r="L1066" i="3"/>
  <c r="L1065" i="3"/>
  <c r="L1064" i="3"/>
  <c r="L1063" i="3"/>
  <c r="L1062" i="3"/>
  <c r="L1061" i="3"/>
  <c r="L1060" i="3"/>
  <c r="L1059" i="3"/>
  <c r="L1058" i="3"/>
  <c r="L1057" i="3"/>
  <c r="L1056" i="3"/>
  <c r="L1055" i="3"/>
  <c r="L1054" i="3"/>
  <c r="L1053" i="3"/>
  <c r="L1052" i="3"/>
  <c r="L1051" i="3"/>
  <c r="L1050" i="3"/>
  <c r="L1049" i="3"/>
  <c r="L1048" i="3"/>
  <c r="L1047" i="3"/>
  <c r="L1046" i="3"/>
  <c r="L1045" i="3"/>
  <c r="L1044" i="3"/>
  <c r="L1043" i="3"/>
  <c r="L1042" i="3"/>
  <c r="L1041" i="3"/>
  <c r="L1040" i="3"/>
  <c r="L1039" i="3"/>
  <c r="L1038" i="3"/>
  <c r="L1037" i="3"/>
  <c r="L1036" i="3"/>
  <c r="L1035" i="3"/>
  <c r="L1034" i="3"/>
  <c r="L1033" i="3"/>
  <c r="L1032" i="3"/>
  <c r="L1031" i="3"/>
  <c r="L1030" i="3"/>
  <c r="L1029" i="3"/>
  <c r="L1028" i="3"/>
  <c r="L1027" i="3"/>
  <c r="L1026" i="3"/>
  <c r="L1025" i="3"/>
  <c r="L1024" i="3"/>
  <c r="L1023" i="3"/>
  <c r="L1022" i="3"/>
  <c r="L1021" i="3"/>
  <c r="L1020" i="3"/>
  <c r="L1019" i="3"/>
  <c r="L1018" i="3"/>
  <c r="L1017" i="3"/>
  <c r="L1016" i="3"/>
  <c r="L1015" i="3"/>
  <c r="L1014" i="3"/>
  <c r="L1013" i="3"/>
  <c r="L1012" i="3"/>
  <c r="L1011" i="3"/>
  <c r="L1010" i="3"/>
  <c r="L1009" i="3"/>
  <c r="L1008" i="3"/>
  <c r="L1007" i="3"/>
  <c r="L1006" i="3"/>
  <c r="L1005" i="3"/>
  <c r="L1004" i="3"/>
  <c r="L1003" i="3"/>
  <c r="L1002" i="3"/>
  <c r="L1001" i="3"/>
  <c r="L1000" i="3"/>
  <c r="L999" i="3"/>
  <c r="L998" i="3"/>
  <c r="L997" i="3"/>
  <c r="L996" i="3"/>
  <c r="L995" i="3"/>
  <c r="L994" i="3"/>
  <c r="L993" i="3"/>
  <c r="L992" i="3"/>
  <c r="L991" i="3"/>
  <c r="L990" i="3"/>
  <c r="L989" i="3"/>
  <c r="L988" i="3"/>
  <c r="L987" i="3"/>
  <c r="L986" i="3"/>
  <c r="L985" i="3"/>
  <c r="L984" i="3"/>
  <c r="L983" i="3"/>
  <c r="L982" i="3"/>
  <c r="L981" i="3"/>
  <c r="L980" i="3"/>
  <c r="L979" i="3"/>
  <c r="L978" i="3"/>
  <c r="L977" i="3"/>
  <c r="L976" i="3"/>
  <c r="L975" i="3"/>
  <c r="L974" i="3"/>
  <c r="L973" i="3"/>
  <c r="L972" i="3"/>
  <c r="L971" i="3"/>
  <c r="L970" i="3"/>
  <c r="L969" i="3"/>
  <c r="L968" i="3"/>
  <c r="L967" i="3"/>
  <c r="L966" i="3"/>
  <c r="L965" i="3"/>
  <c r="L964" i="3"/>
  <c r="L963" i="3"/>
  <c r="L962" i="3"/>
  <c r="L961" i="3"/>
  <c r="L960" i="3"/>
  <c r="L959" i="3"/>
  <c r="L958" i="3"/>
  <c r="L957" i="3"/>
  <c r="L956" i="3"/>
  <c r="L955" i="3"/>
  <c r="L954" i="3"/>
  <c r="L953" i="3"/>
  <c r="L952" i="3"/>
  <c r="L951" i="3"/>
  <c r="L950" i="3"/>
  <c r="L949" i="3"/>
  <c r="L948" i="3"/>
  <c r="L947" i="3"/>
  <c r="L946" i="3"/>
  <c r="L945" i="3"/>
  <c r="L944" i="3"/>
  <c r="L943" i="3"/>
  <c r="L942" i="3"/>
  <c r="L941" i="3"/>
  <c r="L940" i="3"/>
  <c r="L939" i="3"/>
  <c r="L938" i="3"/>
  <c r="L937" i="3"/>
  <c r="L936" i="3"/>
  <c r="L935" i="3"/>
  <c r="L934" i="3"/>
  <c r="L933" i="3"/>
  <c r="L932" i="3"/>
  <c r="L931" i="3"/>
  <c r="L930" i="3"/>
  <c r="L929" i="3"/>
  <c r="L928" i="3"/>
  <c r="L927" i="3"/>
  <c r="L926" i="3"/>
  <c r="L925" i="3"/>
  <c r="L924" i="3"/>
  <c r="L923" i="3"/>
  <c r="L922" i="3"/>
  <c r="L921" i="3"/>
  <c r="L920" i="3"/>
  <c r="L919" i="3"/>
  <c r="L918" i="3"/>
  <c r="L917" i="3"/>
  <c r="L916" i="3"/>
  <c r="L915" i="3"/>
  <c r="L914" i="3"/>
  <c r="L913" i="3"/>
  <c r="L912" i="3"/>
  <c r="L911" i="3"/>
  <c r="L910" i="3"/>
  <c r="L909" i="3"/>
  <c r="L908" i="3"/>
  <c r="L907" i="3"/>
  <c r="L906" i="3"/>
  <c r="L905" i="3"/>
  <c r="L904" i="3"/>
  <c r="L903" i="3"/>
  <c r="L902" i="3"/>
  <c r="L901" i="3"/>
  <c r="L900" i="3"/>
  <c r="L899" i="3"/>
  <c r="L898" i="3"/>
  <c r="L897" i="3"/>
  <c r="L896" i="3"/>
  <c r="L895" i="3"/>
  <c r="L894" i="3"/>
  <c r="L893" i="3"/>
  <c r="L892" i="3"/>
  <c r="L891" i="3"/>
  <c r="L890" i="3"/>
  <c r="L889" i="3"/>
  <c r="L888" i="3"/>
  <c r="L887" i="3"/>
  <c r="L886" i="3"/>
  <c r="L885" i="3"/>
  <c r="L884" i="3"/>
  <c r="L883" i="3"/>
  <c r="L882" i="3"/>
  <c r="L881" i="3"/>
  <c r="L880" i="3"/>
  <c r="L879" i="3"/>
  <c r="L878" i="3"/>
  <c r="L877" i="3"/>
  <c r="L876" i="3"/>
  <c r="L875" i="3"/>
  <c r="L874" i="3"/>
  <c r="L873" i="3"/>
  <c r="L872" i="3"/>
  <c r="L871" i="3"/>
  <c r="L870" i="3"/>
  <c r="L869" i="3"/>
  <c r="L868" i="3"/>
  <c r="L867" i="3"/>
  <c r="L866" i="3"/>
  <c r="L865" i="3"/>
  <c r="L864" i="3"/>
  <c r="L863" i="3"/>
  <c r="L862" i="3"/>
  <c r="L861" i="3"/>
  <c r="L860" i="3"/>
  <c r="L859" i="3"/>
  <c r="L858" i="3"/>
  <c r="L857" i="3"/>
  <c r="L856" i="3"/>
  <c r="L855" i="3"/>
  <c r="L854" i="3"/>
  <c r="L853" i="3"/>
  <c r="L852" i="3"/>
  <c r="L851" i="3"/>
  <c r="L850" i="3"/>
  <c r="L849" i="3"/>
  <c r="L848" i="3"/>
  <c r="L847" i="3"/>
  <c r="L846" i="3"/>
  <c r="L845" i="3"/>
  <c r="L844" i="3"/>
  <c r="L843" i="3"/>
  <c r="L842" i="3"/>
  <c r="L841" i="3"/>
  <c r="L840" i="3"/>
  <c r="L839" i="3"/>
  <c r="L838" i="3"/>
  <c r="L837" i="3"/>
  <c r="L836" i="3"/>
  <c r="L835" i="3"/>
  <c r="L834" i="3"/>
  <c r="L833" i="3"/>
  <c r="L832" i="3"/>
  <c r="L831" i="3"/>
  <c r="L830" i="3"/>
  <c r="L829" i="3"/>
  <c r="L828" i="3"/>
  <c r="L827" i="3"/>
  <c r="L826" i="3"/>
  <c r="L825" i="3"/>
  <c r="L824" i="3"/>
  <c r="L823" i="3"/>
  <c r="L822" i="3"/>
  <c r="L821" i="3"/>
  <c r="L820" i="3"/>
  <c r="L819" i="3"/>
  <c r="L818" i="3"/>
  <c r="L817" i="3"/>
  <c r="L816" i="3"/>
  <c r="L815" i="3"/>
  <c r="L814" i="3"/>
  <c r="L813" i="3"/>
  <c r="L812" i="3"/>
  <c r="L811" i="3"/>
  <c r="L810" i="3"/>
  <c r="L809" i="3"/>
  <c r="L808" i="3"/>
  <c r="L807" i="3"/>
  <c r="L806" i="3"/>
  <c r="L805" i="3"/>
  <c r="L804" i="3"/>
  <c r="L803" i="3"/>
  <c r="L802" i="3"/>
  <c r="L801" i="3"/>
  <c r="L800" i="3"/>
  <c r="L799" i="3"/>
  <c r="L798" i="3"/>
  <c r="L797" i="3"/>
  <c r="L796" i="3"/>
  <c r="L795" i="3"/>
  <c r="L794" i="3"/>
  <c r="L793" i="3"/>
  <c r="L792" i="3"/>
  <c r="L791" i="3"/>
  <c r="L790" i="3"/>
  <c r="L789" i="3"/>
  <c r="L788" i="3"/>
  <c r="L787" i="3"/>
  <c r="L786" i="3"/>
  <c r="L785" i="3"/>
  <c r="L784" i="3"/>
  <c r="L783" i="3"/>
  <c r="L782" i="3"/>
  <c r="L781" i="3"/>
  <c r="L780" i="3"/>
  <c r="L779" i="3"/>
  <c r="L778" i="3"/>
  <c r="L777" i="3"/>
  <c r="L776" i="3"/>
  <c r="L775" i="3"/>
  <c r="L774" i="3"/>
  <c r="L773" i="3"/>
  <c r="L772" i="3"/>
  <c r="L771" i="3"/>
  <c r="L770" i="3"/>
  <c r="L769" i="3"/>
  <c r="L768" i="3"/>
  <c r="L767" i="3"/>
  <c r="L766" i="3"/>
  <c r="L765" i="3"/>
  <c r="L764" i="3"/>
  <c r="L763" i="3"/>
  <c r="L762" i="3"/>
  <c r="L761" i="3"/>
  <c r="L760" i="3"/>
  <c r="L759" i="3"/>
  <c r="L758" i="3"/>
  <c r="L757" i="3"/>
  <c r="L756" i="3"/>
  <c r="L755" i="3"/>
  <c r="L754" i="3"/>
  <c r="L753" i="3"/>
  <c r="L752" i="3"/>
  <c r="L751" i="3"/>
  <c r="L750" i="3"/>
  <c r="L749" i="3"/>
  <c r="L748" i="3"/>
  <c r="L747" i="3"/>
  <c r="L746" i="3"/>
  <c r="L745" i="3"/>
  <c r="L744" i="3"/>
  <c r="L743" i="3"/>
  <c r="L742" i="3"/>
  <c r="L741" i="3"/>
  <c r="L740" i="3"/>
  <c r="L739" i="3"/>
  <c r="L738" i="3"/>
  <c r="L737" i="3"/>
  <c r="L736" i="3"/>
  <c r="L735" i="3"/>
  <c r="L734" i="3"/>
  <c r="L733" i="3"/>
  <c r="L732" i="3"/>
  <c r="L731" i="3"/>
  <c r="L730" i="3"/>
  <c r="L729" i="3"/>
  <c r="L728" i="3"/>
  <c r="L727" i="3"/>
  <c r="L726" i="3"/>
  <c r="L725" i="3"/>
  <c r="L724" i="3"/>
  <c r="L723" i="3"/>
  <c r="L722" i="3"/>
  <c r="L721" i="3"/>
  <c r="L720" i="3"/>
  <c r="L719" i="3"/>
  <c r="L718" i="3"/>
  <c r="L717" i="3"/>
  <c r="L716" i="3"/>
  <c r="L715" i="3"/>
  <c r="L714" i="3"/>
  <c r="L713" i="3"/>
  <c r="L712" i="3"/>
  <c r="L711" i="3"/>
  <c r="L710" i="3"/>
  <c r="L709" i="3"/>
  <c r="L708" i="3"/>
  <c r="L707" i="3"/>
  <c r="L706" i="3"/>
  <c r="L705" i="3"/>
  <c r="L704" i="3"/>
  <c r="L703" i="3"/>
  <c r="L702" i="3"/>
  <c r="L701" i="3"/>
  <c r="L700" i="3"/>
  <c r="L699" i="3"/>
  <c r="L698" i="3"/>
  <c r="L697" i="3"/>
  <c r="L696" i="3"/>
  <c r="L695" i="3"/>
  <c r="L694" i="3"/>
  <c r="L693" i="3"/>
  <c r="L692" i="3"/>
  <c r="L691" i="3"/>
  <c r="L690" i="3"/>
  <c r="L689" i="3"/>
  <c r="L688" i="3"/>
  <c r="L687" i="3"/>
  <c r="L686" i="3"/>
  <c r="L685" i="3"/>
  <c r="L684" i="3"/>
  <c r="L683" i="3"/>
  <c r="L682" i="3"/>
  <c r="L681" i="3"/>
  <c r="L680" i="3"/>
  <c r="L679" i="3"/>
  <c r="L678" i="3"/>
  <c r="L677" i="3"/>
  <c r="L676" i="3"/>
  <c r="L675" i="3"/>
  <c r="L674" i="3"/>
  <c r="L673" i="3"/>
  <c r="L672" i="3"/>
  <c r="L671" i="3"/>
  <c r="L670" i="3"/>
  <c r="L669" i="3"/>
  <c r="L668" i="3"/>
  <c r="L667" i="3"/>
  <c r="L666" i="3"/>
  <c r="L665" i="3"/>
  <c r="L664" i="3"/>
  <c r="L663" i="3"/>
  <c r="L662" i="3"/>
  <c r="L661" i="3"/>
  <c r="L660" i="3"/>
  <c r="L659" i="3"/>
  <c r="L658" i="3"/>
  <c r="L657" i="3"/>
  <c r="L656" i="3"/>
  <c r="L655" i="3"/>
  <c r="L654" i="3"/>
  <c r="L653" i="3"/>
  <c r="L652" i="3"/>
  <c r="L651" i="3"/>
  <c r="L650" i="3"/>
  <c r="L649" i="3"/>
  <c r="L648" i="3"/>
  <c r="L647" i="3"/>
  <c r="L646" i="3"/>
  <c r="L645" i="3"/>
  <c r="L644" i="3"/>
  <c r="L643" i="3"/>
  <c r="L642" i="3"/>
  <c r="L641" i="3"/>
  <c r="L640" i="3"/>
  <c r="L639" i="3"/>
  <c r="L638" i="3"/>
  <c r="L637" i="3"/>
  <c r="L636" i="3"/>
  <c r="L635" i="3"/>
  <c r="L634" i="3"/>
  <c r="L633" i="3"/>
  <c r="L632" i="3"/>
  <c r="L631" i="3"/>
  <c r="L630" i="3"/>
  <c r="L629" i="3"/>
  <c r="L628" i="3"/>
  <c r="L627" i="3"/>
  <c r="L626" i="3"/>
  <c r="L625" i="3"/>
  <c r="L624" i="3"/>
  <c r="L623" i="3"/>
  <c r="L622" i="3"/>
  <c r="L621" i="3"/>
  <c r="L620" i="3"/>
  <c r="L619" i="3"/>
  <c r="L618" i="3"/>
  <c r="L617" i="3"/>
  <c r="L616" i="3"/>
  <c r="L615" i="3"/>
  <c r="L614" i="3"/>
  <c r="L613" i="3"/>
  <c r="L612" i="3"/>
  <c r="L611" i="3"/>
  <c r="L610" i="3"/>
  <c r="L609" i="3"/>
  <c r="L608" i="3"/>
  <c r="L607" i="3"/>
  <c r="L606" i="3"/>
  <c r="L605" i="3"/>
  <c r="L604" i="3"/>
  <c r="L603" i="3"/>
  <c r="L602" i="3"/>
  <c r="L601" i="3"/>
  <c r="L600" i="3"/>
  <c r="L599" i="3"/>
  <c r="L598" i="3"/>
  <c r="L597" i="3"/>
  <c r="L596" i="3"/>
  <c r="L595" i="3"/>
  <c r="L594" i="3"/>
  <c r="L593" i="3"/>
  <c r="L592" i="3"/>
  <c r="L591" i="3"/>
  <c r="L590" i="3"/>
  <c r="L589" i="3"/>
  <c r="L588" i="3"/>
  <c r="L587" i="3"/>
  <c r="L586" i="3"/>
  <c r="L585" i="3"/>
  <c r="L584" i="3"/>
  <c r="L583" i="3"/>
  <c r="L582" i="3"/>
  <c r="L581" i="3"/>
  <c r="L580" i="3"/>
  <c r="L579" i="3"/>
  <c r="L578" i="3"/>
  <c r="L577" i="3"/>
  <c r="L576" i="3"/>
  <c r="L575" i="3"/>
  <c r="L574" i="3"/>
  <c r="L573" i="3"/>
  <c r="L572" i="3"/>
  <c r="L571" i="3"/>
  <c r="L570" i="3"/>
  <c r="L569" i="3"/>
  <c r="L568" i="3"/>
  <c r="L567" i="3"/>
  <c r="L566" i="3"/>
  <c r="L565" i="3"/>
  <c r="L564" i="3"/>
  <c r="L563" i="3"/>
  <c r="L562" i="3"/>
  <c r="L561" i="3"/>
  <c r="L560" i="3"/>
  <c r="L559" i="3"/>
  <c r="L558" i="3"/>
  <c r="L557" i="3"/>
  <c r="L556" i="3"/>
  <c r="L555" i="3"/>
  <c r="L554" i="3"/>
  <c r="L553" i="3"/>
  <c r="L552" i="3"/>
  <c r="L551" i="3"/>
  <c r="L550" i="3"/>
  <c r="L549" i="3"/>
  <c r="L548" i="3"/>
  <c r="L547" i="3"/>
  <c r="L546" i="3"/>
  <c r="L545" i="3"/>
  <c r="L544" i="3"/>
  <c r="L543" i="3"/>
  <c r="L542" i="3"/>
  <c r="L541" i="3"/>
  <c r="L540" i="3"/>
  <c r="L539" i="3"/>
  <c r="L538" i="3"/>
  <c r="L537" i="3"/>
  <c r="L536" i="3"/>
  <c r="L535" i="3"/>
  <c r="L534" i="3"/>
  <c r="L533" i="3"/>
  <c r="L532" i="3"/>
  <c r="L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8" i="3"/>
  <c r="L497" i="3"/>
  <c r="L496" i="3"/>
  <c r="L495" i="3"/>
  <c r="L494" i="3"/>
  <c r="L493" i="3"/>
  <c r="L492" i="3"/>
  <c r="L491" i="3"/>
  <c r="L490" i="3"/>
  <c r="L489" i="3"/>
  <c r="L488" i="3"/>
  <c r="L487" i="3"/>
  <c r="L486" i="3"/>
  <c r="L485" i="3"/>
  <c r="L484" i="3"/>
  <c r="L483" i="3"/>
  <c r="L482" i="3"/>
  <c r="L481" i="3"/>
  <c r="L480" i="3"/>
  <c r="L479" i="3"/>
  <c r="L478" i="3"/>
  <c r="L477" i="3"/>
  <c r="L476" i="3"/>
  <c r="L475" i="3"/>
  <c r="L474" i="3"/>
  <c r="L473" i="3"/>
  <c r="L472" i="3"/>
  <c r="L471" i="3"/>
  <c r="L470" i="3"/>
  <c r="L469" i="3"/>
  <c r="L468" i="3"/>
  <c r="L467" i="3"/>
  <c r="L466" i="3"/>
  <c r="L465" i="3"/>
  <c r="L464" i="3"/>
  <c r="L463" i="3"/>
  <c r="L462" i="3"/>
  <c r="L461" i="3"/>
  <c r="L460" i="3"/>
  <c r="L459" i="3"/>
  <c r="L458" i="3"/>
  <c r="L457" i="3"/>
  <c r="L456" i="3"/>
  <c r="L455" i="3"/>
  <c r="L454" i="3"/>
  <c r="L453" i="3"/>
  <c r="L452" i="3"/>
  <c r="L451" i="3"/>
  <c r="L450" i="3"/>
  <c r="L449" i="3"/>
  <c r="L448" i="3"/>
  <c r="L447" i="3"/>
  <c r="L446" i="3"/>
  <c r="L445" i="3"/>
  <c r="L444" i="3"/>
  <c r="L443" i="3"/>
  <c r="L442" i="3"/>
  <c r="L441" i="3"/>
  <c r="L440" i="3"/>
  <c r="L439" i="3"/>
  <c r="L438" i="3"/>
  <c r="L437" i="3"/>
  <c r="L436" i="3"/>
  <c r="L435" i="3"/>
  <c r="L434" i="3"/>
  <c r="L433" i="3"/>
  <c r="L432" i="3"/>
  <c r="L431" i="3"/>
  <c r="L430" i="3"/>
  <c r="L429" i="3"/>
  <c r="L428" i="3"/>
  <c r="L427" i="3"/>
  <c r="L426" i="3"/>
  <c r="L425" i="3"/>
  <c r="L424" i="3"/>
  <c r="L423" i="3"/>
  <c r="L422" i="3"/>
  <c r="L421" i="3"/>
  <c r="L420" i="3"/>
  <c r="L419" i="3"/>
  <c r="L418" i="3"/>
  <c r="L417" i="3"/>
  <c r="L416" i="3"/>
  <c r="L415" i="3"/>
  <c r="L414" i="3"/>
  <c r="L413" i="3"/>
  <c r="L412" i="3"/>
  <c r="L411" i="3"/>
  <c r="L410" i="3"/>
  <c r="L409" i="3"/>
  <c r="L408" i="3"/>
  <c r="L407" i="3"/>
  <c r="L406" i="3"/>
  <c r="L405" i="3"/>
  <c r="L404" i="3"/>
  <c r="L403" i="3"/>
  <c r="L402" i="3"/>
  <c r="L401" i="3"/>
  <c r="L400" i="3"/>
  <c r="L399" i="3"/>
  <c r="L398" i="3"/>
  <c r="L397" i="3"/>
  <c r="L396" i="3"/>
  <c r="L395" i="3"/>
  <c r="L394" i="3"/>
  <c r="L393" i="3"/>
  <c r="L392" i="3"/>
  <c r="L391" i="3"/>
  <c r="L390" i="3"/>
  <c r="L389" i="3"/>
  <c r="L388" i="3"/>
  <c r="L387" i="3"/>
  <c r="L386" i="3"/>
  <c r="L385" i="3"/>
  <c r="L384" i="3"/>
  <c r="L383" i="3"/>
  <c r="L382" i="3"/>
  <c r="L381" i="3"/>
  <c r="L380" i="3"/>
  <c r="L379" i="3"/>
  <c r="L378" i="3"/>
  <c r="L377" i="3"/>
  <c r="L376" i="3"/>
  <c r="L375" i="3"/>
  <c r="L374" i="3"/>
  <c r="L373" i="3"/>
  <c r="L372" i="3"/>
  <c r="L371" i="3"/>
  <c r="L370" i="3"/>
  <c r="L369" i="3"/>
  <c r="L368" i="3"/>
  <c r="L367"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320" i="3"/>
  <c r="L319" i="3"/>
  <c r="L318" i="3"/>
  <c r="L317" i="3"/>
  <c r="L316" i="3"/>
  <c r="L315" i="3"/>
  <c r="L314" i="3"/>
  <c r="L313" i="3"/>
  <c r="L312" i="3"/>
  <c r="L311" i="3"/>
  <c r="L310" i="3"/>
  <c r="L309" i="3"/>
  <c r="L308" i="3"/>
  <c r="L307" i="3"/>
  <c r="L306" i="3"/>
  <c r="L305" i="3"/>
  <c r="L304" i="3"/>
  <c r="L303" i="3"/>
  <c r="L302" i="3"/>
  <c r="L301" i="3"/>
  <c r="L300" i="3"/>
  <c r="L299" i="3"/>
  <c r="L298" i="3"/>
  <c r="L297" i="3"/>
  <c r="L296" i="3"/>
  <c r="L295" i="3"/>
  <c r="L294" i="3"/>
  <c r="L293" i="3"/>
  <c r="L292" i="3"/>
  <c r="L291" i="3"/>
  <c r="L290" i="3"/>
  <c r="L289" i="3"/>
  <c r="L288" i="3"/>
  <c r="L287" i="3"/>
  <c r="L286" i="3"/>
  <c r="L285" i="3"/>
  <c r="L284"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L9" i="3"/>
  <c r="L8" i="3"/>
  <c r="L7" i="3"/>
  <c r="L6" i="3"/>
  <c r="L5" i="3"/>
  <c r="L4" i="3"/>
  <c r="L3" i="3"/>
  <c r="L2" i="3"/>
  <c r="P997" i="2"/>
  <c r="N997" i="24" s="1"/>
  <c r="P996" i="2"/>
  <c r="N996" i="24" s="1"/>
  <c r="P995" i="2"/>
  <c r="N995" i="24" s="1"/>
  <c r="P994" i="2"/>
  <c r="N994" i="24" s="1"/>
  <c r="P993" i="2"/>
  <c r="N993" i="24" s="1"/>
  <c r="P992" i="2"/>
  <c r="N992" i="24" s="1"/>
  <c r="P991" i="2"/>
  <c r="N991" i="24" s="1"/>
  <c r="P990" i="2"/>
  <c r="N990" i="24" s="1"/>
  <c r="P989" i="2"/>
  <c r="N989" i="24" s="1"/>
  <c r="P988" i="2"/>
  <c r="N988" i="24" s="1"/>
  <c r="P987" i="2"/>
  <c r="N987" i="24" s="1"/>
  <c r="P986" i="2"/>
  <c r="N986" i="24" s="1"/>
  <c r="P985" i="2"/>
  <c r="N985" i="24" s="1"/>
  <c r="P984" i="2"/>
  <c r="N984" i="24" s="1"/>
  <c r="P983" i="2"/>
  <c r="N983" i="24" s="1"/>
  <c r="P982" i="2"/>
  <c r="N982" i="24" s="1"/>
  <c r="P981" i="2"/>
  <c r="N981" i="24" s="1"/>
  <c r="P980" i="2"/>
  <c r="N980" i="24" s="1"/>
  <c r="P979" i="2"/>
  <c r="N979" i="24" s="1"/>
  <c r="P978" i="2"/>
  <c r="N978" i="24" s="1"/>
  <c r="P977" i="2"/>
  <c r="N977" i="24" s="1"/>
  <c r="P976" i="2"/>
  <c r="N976" i="24" s="1"/>
  <c r="P975" i="2"/>
  <c r="N975" i="24" s="1"/>
  <c r="P974" i="2"/>
  <c r="N974" i="24" s="1"/>
  <c r="P973" i="2"/>
  <c r="N973" i="24" s="1"/>
  <c r="P972" i="2"/>
  <c r="N972" i="24" s="1"/>
  <c r="P971" i="2"/>
  <c r="N971" i="24" s="1"/>
  <c r="P970" i="2"/>
  <c r="N970" i="24" s="1"/>
  <c r="P969" i="2"/>
  <c r="N969" i="24" s="1"/>
  <c r="P968" i="2"/>
  <c r="N968" i="24" s="1"/>
  <c r="P967" i="2"/>
  <c r="N967" i="24" s="1"/>
  <c r="P966" i="2"/>
  <c r="N966" i="24" s="1"/>
  <c r="P965" i="2"/>
  <c r="N965" i="24" s="1"/>
  <c r="P964" i="2"/>
  <c r="N964" i="24" s="1"/>
  <c r="P963" i="2"/>
  <c r="N963" i="24" s="1"/>
  <c r="P962" i="2"/>
  <c r="N962" i="24" s="1"/>
  <c r="P961" i="2"/>
  <c r="N961" i="24" s="1"/>
  <c r="P960" i="2"/>
  <c r="N960" i="24" s="1"/>
  <c r="P959" i="2"/>
  <c r="N959" i="24" s="1"/>
  <c r="P958" i="2"/>
  <c r="N958" i="24" s="1"/>
  <c r="P957" i="2"/>
  <c r="N957" i="24" s="1"/>
  <c r="P956" i="2"/>
  <c r="N956" i="24" s="1"/>
  <c r="P955" i="2"/>
  <c r="N955" i="24" s="1"/>
  <c r="P954" i="2"/>
  <c r="N954" i="24" s="1"/>
  <c r="P953" i="2"/>
  <c r="N953" i="24" s="1"/>
  <c r="P952" i="2"/>
  <c r="N952" i="24" s="1"/>
  <c r="P951" i="2"/>
  <c r="N951" i="24" s="1"/>
  <c r="P950" i="2"/>
  <c r="N950" i="24" s="1"/>
  <c r="P949" i="2"/>
  <c r="N949" i="24" s="1"/>
  <c r="P948" i="2"/>
  <c r="N948" i="24" s="1"/>
  <c r="P947" i="2"/>
  <c r="N947" i="24" s="1"/>
  <c r="P946" i="2"/>
  <c r="N946" i="24" s="1"/>
  <c r="P945" i="2"/>
  <c r="N945" i="24" s="1"/>
  <c r="P944" i="2"/>
  <c r="N944" i="24" s="1"/>
  <c r="P943" i="2"/>
  <c r="N943" i="24" s="1"/>
  <c r="P942" i="2"/>
  <c r="N942" i="24" s="1"/>
  <c r="P941" i="2"/>
  <c r="N941" i="24" s="1"/>
  <c r="P940" i="2"/>
  <c r="N940" i="24" s="1"/>
  <c r="P939" i="2"/>
  <c r="N939" i="24" s="1"/>
  <c r="P938" i="2"/>
  <c r="N938" i="24" s="1"/>
  <c r="P937" i="2"/>
  <c r="N937" i="24" s="1"/>
  <c r="P936" i="2"/>
  <c r="N936" i="24" s="1"/>
  <c r="P935" i="2"/>
  <c r="N935" i="24" s="1"/>
  <c r="P934" i="2"/>
  <c r="N934" i="24" s="1"/>
  <c r="P933" i="2"/>
  <c r="N933" i="24" s="1"/>
  <c r="P932" i="2"/>
  <c r="N932" i="24" s="1"/>
  <c r="P931" i="2"/>
  <c r="N931" i="24" s="1"/>
  <c r="P930" i="2"/>
  <c r="N930" i="24" s="1"/>
  <c r="P929" i="2"/>
  <c r="N929" i="24" s="1"/>
  <c r="P928" i="2"/>
  <c r="N928" i="24" s="1"/>
  <c r="P927" i="2"/>
  <c r="N927" i="24" s="1"/>
  <c r="P926" i="2"/>
  <c r="N926" i="24" s="1"/>
  <c r="P925" i="2"/>
  <c r="N925" i="24" s="1"/>
  <c r="P924" i="2"/>
  <c r="N924" i="24" s="1"/>
  <c r="P923" i="2"/>
  <c r="N923" i="24" s="1"/>
  <c r="P922" i="2"/>
  <c r="N922" i="24" s="1"/>
  <c r="P921" i="2"/>
  <c r="N921" i="24" s="1"/>
  <c r="P920" i="2"/>
  <c r="N920" i="24" s="1"/>
  <c r="P919" i="2"/>
  <c r="N919" i="24" s="1"/>
  <c r="P918" i="2"/>
  <c r="N918" i="24" s="1"/>
  <c r="P917" i="2"/>
  <c r="N917" i="24" s="1"/>
  <c r="P916" i="2"/>
  <c r="N916" i="24" s="1"/>
  <c r="P915" i="2"/>
  <c r="N915" i="24" s="1"/>
  <c r="P914" i="2"/>
  <c r="N914" i="24" s="1"/>
  <c r="P913" i="2"/>
  <c r="N913" i="24" s="1"/>
  <c r="P912" i="2"/>
  <c r="N912" i="24" s="1"/>
  <c r="P911" i="2"/>
  <c r="N911" i="24" s="1"/>
  <c r="P910" i="2"/>
  <c r="N910" i="24" s="1"/>
  <c r="P909" i="2"/>
  <c r="N909" i="24" s="1"/>
  <c r="P908" i="2"/>
  <c r="N908" i="24" s="1"/>
  <c r="P907" i="2"/>
  <c r="N907" i="24" s="1"/>
  <c r="P906" i="2"/>
  <c r="N906" i="24" s="1"/>
  <c r="P905" i="2"/>
  <c r="N905" i="24" s="1"/>
  <c r="P904" i="2"/>
  <c r="N904" i="24" s="1"/>
  <c r="P903" i="2"/>
  <c r="N903" i="24" s="1"/>
  <c r="P902" i="2"/>
  <c r="N902" i="24" s="1"/>
  <c r="P901" i="2"/>
  <c r="N901" i="24" s="1"/>
  <c r="P900" i="2"/>
  <c r="N900" i="24" s="1"/>
  <c r="P899" i="2"/>
  <c r="N899" i="24" s="1"/>
  <c r="P898" i="2"/>
  <c r="N898" i="24" s="1"/>
  <c r="P897" i="2"/>
  <c r="N897" i="24" s="1"/>
  <c r="P896" i="2"/>
  <c r="N896" i="24" s="1"/>
  <c r="P895" i="2"/>
  <c r="N895" i="24" s="1"/>
  <c r="P894" i="2"/>
  <c r="N894" i="24" s="1"/>
  <c r="P893" i="2"/>
  <c r="N893" i="24" s="1"/>
  <c r="P892" i="2"/>
  <c r="N892" i="24" s="1"/>
  <c r="P891" i="2"/>
  <c r="N891" i="24" s="1"/>
  <c r="P890" i="2"/>
  <c r="N890" i="24" s="1"/>
  <c r="P889" i="2"/>
  <c r="N889" i="24" s="1"/>
  <c r="P888" i="2"/>
  <c r="N888" i="24" s="1"/>
  <c r="P887" i="2"/>
  <c r="N887" i="24" s="1"/>
  <c r="P886" i="2"/>
  <c r="N886" i="24" s="1"/>
  <c r="P885" i="2"/>
  <c r="N885" i="24" s="1"/>
  <c r="P884" i="2"/>
  <c r="N884" i="24" s="1"/>
  <c r="P883" i="2"/>
  <c r="N883" i="24" s="1"/>
  <c r="P882" i="2"/>
  <c r="N882" i="24" s="1"/>
  <c r="P881" i="2"/>
  <c r="N881" i="24" s="1"/>
  <c r="P880" i="2"/>
  <c r="N880" i="24" s="1"/>
  <c r="P879" i="2"/>
  <c r="N879" i="24" s="1"/>
  <c r="P878" i="2"/>
  <c r="N878" i="24" s="1"/>
  <c r="P877" i="2"/>
  <c r="N877" i="24" s="1"/>
  <c r="P876" i="2"/>
  <c r="N876" i="24" s="1"/>
  <c r="P875" i="2"/>
  <c r="N875" i="24" s="1"/>
  <c r="P874" i="2"/>
  <c r="N874" i="24" s="1"/>
  <c r="P873" i="2"/>
  <c r="N873" i="24" s="1"/>
  <c r="P872" i="2"/>
  <c r="N872" i="24" s="1"/>
  <c r="P871" i="2"/>
  <c r="N871" i="24" s="1"/>
  <c r="P870" i="2"/>
  <c r="N870" i="24" s="1"/>
  <c r="P869" i="2"/>
  <c r="N869" i="24" s="1"/>
  <c r="P868" i="2"/>
  <c r="N868" i="24" s="1"/>
  <c r="P867" i="2"/>
  <c r="N867" i="24" s="1"/>
  <c r="P866" i="2"/>
  <c r="N866" i="24" s="1"/>
  <c r="P865" i="2"/>
  <c r="N865" i="24" s="1"/>
  <c r="P864" i="2"/>
  <c r="N864" i="24" s="1"/>
  <c r="P863" i="2"/>
  <c r="N863" i="24" s="1"/>
  <c r="P862" i="2"/>
  <c r="N862" i="24" s="1"/>
  <c r="P861" i="2"/>
  <c r="N861" i="24" s="1"/>
  <c r="P860" i="2"/>
  <c r="N860" i="24" s="1"/>
  <c r="P859" i="2"/>
  <c r="N859" i="24" s="1"/>
  <c r="P858" i="2"/>
  <c r="N858" i="24" s="1"/>
  <c r="P857" i="2"/>
  <c r="N857" i="24" s="1"/>
  <c r="P856" i="2"/>
  <c r="N856" i="24" s="1"/>
  <c r="P855" i="2"/>
  <c r="N855" i="24" s="1"/>
  <c r="P854" i="2"/>
  <c r="N854" i="24" s="1"/>
  <c r="P853" i="2"/>
  <c r="N853" i="24" s="1"/>
  <c r="P852" i="2"/>
  <c r="N852" i="24" s="1"/>
  <c r="P851" i="2"/>
  <c r="N851" i="24" s="1"/>
  <c r="P850" i="2"/>
  <c r="N850" i="24" s="1"/>
  <c r="P849" i="2"/>
  <c r="N849" i="24" s="1"/>
  <c r="P848" i="2"/>
  <c r="N848" i="24" s="1"/>
  <c r="P847" i="2"/>
  <c r="N847" i="24" s="1"/>
  <c r="P846" i="2"/>
  <c r="N846" i="24" s="1"/>
  <c r="P845" i="2"/>
  <c r="N845" i="24" s="1"/>
  <c r="P844" i="2"/>
  <c r="N844" i="24" s="1"/>
  <c r="P843" i="2"/>
  <c r="N843" i="24" s="1"/>
  <c r="P842" i="2"/>
  <c r="N842" i="24" s="1"/>
  <c r="P841" i="2"/>
  <c r="N841" i="24" s="1"/>
  <c r="P840" i="2"/>
  <c r="N840" i="24" s="1"/>
  <c r="P839" i="2"/>
  <c r="N839" i="24" s="1"/>
  <c r="P838" i="2"/>
  <c r="N838" i="24" s="1"/>
  <c r="P837" i="2"/>
  <c r="N837" i="24" s="1"/>
  <c r="P836" i="2"/>
  <c r="N836" i="24" s="1"/>
  <c r="P835" i="2"/>
  <c r="N835" i="24" s="1"/>
  <c r="P834" i="2"/>
  <c r="N834" i="24" s="1"/>
  <c r="P833" i="2"/>
  <c r="N833" i="24" s="1"/>
  <c r="P832" i="2"/>
  <c r="N832" i="24" s="1"/>
  <c r="P831" i="2"/>
  <c r="N831" i="24" s="1"/>
  <c r="P830" i="2"/>
  <c r="N830" i="24" s="1"/>
  <c r="P829" i="2"/>
  <c r="N829" i="24" s="1"/>
  <c r="P828" i="2"/>
  <c r="N828" i="24" s="1"/>
  <c r="P827" i="2"/>
  <c r="N827" i="24" s="1"/>
  <c r="P826" i="2"/>
  <c r="N826" i="24" s="1"/>
  <c r="P825" i="2"/>
  <c r="N825" i="24" s="1"/>
  <c r="P824" i="2"/>
  <c r="N824" i="24" s="1"/>
  <c r="P823" i="2"/>
  <c r="N823" i="24" s="1"/>
  <c r="P822" i="2"/>
  <c r="N822" i="24" s="1"/>
  <c r="P821" i="2"/>
  <c r="N821" i="24" s="1"/>
  <c r="P820" i="2"/>
  <c r="N820" i="24" s="1"/>
  <c r="P819" i="2"/>
  <c r="N819" i="24" s="1"/>
  <c r="P818" i="2"/>
  <c r="N818" i="24" s="1"/>
  <c r="P817" i="2"/>
  <c r="N817" i="24" s="1"/>
  <c r="P816" i="2"/>
  <c r="N816" i="24" s="1"/>
  <c r="P815" i="2"/>
  <c r="N815" i="24" s="1"/>
  <c r="P814" i="2"/>
  <c r="N814" i="24" s="1"/>
  <c r="P813" i="2"/>
  <c r="N813" i="24" s="1"/>
  <c r="P812" i="2"/>
  <c r="N812" i="24" s="1"/>
  <c r="P811" i="2"/>
  <c r="N811" i="24" s="1"/>
  <c r="P810" i="2"/>
  <c r="N810" i="24" s="1"/>
  <c r="P809" i="2"/>
  <c r="N809" i="24" s="1"/>
  <c r="P808" i="2"/>
  <c r="N808" i="24" s="1"/>
  <c r="P807" i="2"/>
  <c r="N807" i="24" s="1"/>
  <c r="P806" i="2"/>
  <c r="N806" i="24" s="1"/>
  <c r="P805" i="2"/>
  <c r="N805" i="24" s="1"/>
  <c r="P804" i="2"/>
  <c r="N804" i="24" s="1"/>
  <c r="P803" i="2"/>
  <c r="N803" i="24" s="1"/>
  <c r="P802" i="2"/>
  <c r="N802" i="24" s="1"/>
  <c r="P801" i="2"/>
  <c r="N801" i="24" s="1"/>
  <c r="P800" i="2"/>
  <c r="N800" i="24" s="1"/>
  <c r="P799" i="2"/>
  <c r="N799" i="24" s="1"/>
  <c r="P798" i="2"/>
  <c r="N798" i="24" s="1"/>
  <c r="P797" i="2"/>
  <c r="N797" i="24" s="1"/>
  <c r="P796" i="2"/>
  <c r="N796" i="24" s="1"/>
  <c r="P795" i="2"/>
  <c r="N795" i="24" s="1"/>
  <c r="P793" i="2"/>
  <c r="N793" i="24" s="1"/>
  <c r="P792" i="2"/>
  <c r="N792" i="24" s="1"/>
  <c r="P791" i="2"/>
  <c r="N791" i="24" s="1"/>
  <c r="P790" i="2"/>
  <c r="N790" i="24" s="1"/>
  <c r="P789" i="2"/>
  <c r="N789" i="24" s="1"/>
  <c r="P788" i="2"/>
  <c r="N788" i="24" s="1"/>
  <c r="P787" i="2"/>
  <c r="N787" i="24" s="1"/>
  <c r="P786" i="2"/>
  <c r="N786" i="24" s="1"/>
  <c r="P785" i="2"/>
  <c r="N785" i="24" s="1"/>
  <c r="P784" i="2"/>
  <c r="N784" i="24" s="1"/>
  <c r="P783" i="2"/>
  <c r="N783" i="24" s="1"/>
  <c r="P782" i="2"/>
  <c r="N782" i="24" s="1"/>
  <c r="P781" i="2"/>
  <c r="N781" i="24" s="1"/>
  <c r="P780" i="2"/>
  <c r="N780" i="24" s="1"/>
  <c r="P779" i="2"/>
  <c r="N779" i="24" s="1"/>
  <c r="P778" i="2"/>
  <c r="N778" i="24" s="1"/>
  <c r="P777" i="2"/>
  <c r="N777" i="24" s="1"/>
  <c r="P776" i="2"/>
  <c r="N776" i="24" s="1"/>
  <c r="P775" i="2"/>
  <c r="N775" i="24" s="1"/>
  <c r="P774" i="2"/>
  <c r="N774" i="24" s="1"/>
  <c r="P773" i="2"/>
  <c r="N773" i="24" s="1"/>
  <c r="P772" i="2"/>
  <c r="N772" i="24" s="1"/>
  <c r="P771" i="2"/>
  <c r="N771" i="24" s="1"/>
  <c r="P770" i="2"/>
  <c r="N770" i="24" s="1"/>
  <c r="P769" i="2"/>
  <c r="N769" i="24" s="1"/>
  <c r="P768" i="2"/>
  <c r="N768" i="24" s="1"/>
  <c r="P767" i="2"/>
  <c r="N767" i="24" s="1"/>
  <c r="P766" i="2"/>
  <c r="N766" i="24" s="1"/>
  <c r="P765" i="2"/>
  <c r="N765" i="24" s="1"/>
  <c r="P764" i="2"/>
  <c r="N764" i="24" s="1"/>
  <c r="P763" i="2"/>
  <c r="N763" i="24" s="1"/>
  <c r="P762" i="2"/>
  <c r="N762" i="24" s="1"/>
  <c r="P761" i="2"/>
  <c r="N761" i="24" s="1"/>
  <c r="P760" i="2"/>
  <c r="N760" i="24" s="1"/>
  <c r="P759" i="2"/>
  <c r="N759" i="24" s="1"/>
  <c r="P758" i="2"/>
  <c r="N758" i="24" s="1"/>
  <c r="P757" i="2"/>
  <c r="N757" i="24" s="1"/>
  <c r="P756" i="2"/>
  <c r="N756" i="24" s="1"/>
  <c r="P755" i="2"/>
  <c r="N755" i="24" s="1"/>
  <c r="P754" i="2"/>
  <c r="N754" i="24" s="1"/>
  <c r="P753" i="2"/>
  <c r="N753" i="24" s="1"/>
  <c r="P752" i="2"/>
  <c r="N752" i="24" s="1"/>
  <c r="P751" i="2"/>
  <c r="N751" i="24" s="1"/>
  <c r="P750" i="2"/>
  <c r="N750" i="24" s="1"/>
  <c r="P749" i="2"/>
  <c r="N749" i="24" s="1"/>
  <c r="P748" i="2"/>
  <c r="N748" i="24" s="1"/>
  <c r="P747" i="2"/>
  <c r="N747" i="24" s="1"/>
  <c r="P746" i="2"/>
  <c r="N746" i="24" s="1"/>
  <c r="P745" i="2"/>
  <c r="N745" i="24" s="1"/>
  <c r="P744" i="2"/>
  <c r="N744" i="24" s="1"/>
  <c r="P743" i="2"/>
  <c r="N743" i="24" s="1"/>
  <c r="P742" i="2"/>
  <c r="N742" i="24" s="1"/>
  <c r="P741" i="2"/>
  <c r="N741" i="24" s="1"/>
  <c r="P740" i="2"/>
  <c r="N740" i="24" s="1"/>
  <c r="P739" i="2"/>
  <c r="N739" i="24" s="1"/>
  <c r="P738" i="2"/>
  <c r="N738" i="24" s="1"/>
  <c r="P737" i="2"/>
  <c r="N737" i="24" s="1"/>
  <c r="P736" i="2"/>
  <c r="N736" i="24" s="1"/>
  <c r="P735" i="2"/>
  <c r="N735" i="24" s="1"/>
  <c r="P734" i="2"/>
  <c r="N734" i="24" s="1"/>
  <c r="P733" i="2"/>
  <c r="N733" i="24" s="1"/>
  <c r="P732" i="2"/>
  <c r="N732" i="24" s="1"/>
  <c r="P731" i="2"/>
  <c r="N731" i="24" s="1"/>
  <c r="P730" i="2"/>
  <c r="N730" i="24" s="1"/>
  <c r="P729" i="2"/>
  <c r="N729" i="24" s="1"/>
  <c r="P728" i="2"/>
  <c r="N728" i="24" s="1"/>
  <c r="P727" i="2"/>
  <c r="N727" i="24" s="1"/>
  <c r="P726" i="2"/>
  <c r="N726" i="24" s="1"/>
  <c r="P725" i="2"/>
  <c r="N725" i="24" s="1"/>
  <c r="P724" i="2"/>
  <c r="N724" i="24" s="1"/>
  <c r="P723" i="2"/>
  <c r="N723" i="24" s="1"/>
  <c r="P722" i="2"/>
  <c r="N722" i="24" s="1"/>
  <c r="P721" i="2"/>
  <c r="N721" i="24" s="1"/>
  <c r="P720" i="2"/>
  <c r="N720" i="24" s="1"/>
  <c r="P719" i="2"/>
  <c r="N719" i="24" s="1"/>
  <c r="P718" i="2"/>
  <c r="N718" i="24" s="1"/>
  <c r="P717" i="2"/>
  <c r="N717" i="24" s="1"/>
  <c r="P716" i="2"/>
  <c r="N716" i="24" s="1"/>
  <c r="P715" i="2"/>
  <c r="N715" i="24" s="1"/>
  <c r="P714" i="2"/>
  <c r="N714" i="24" s="1"/>
  <c r="P713" i="2"/>
  <c r="N713" i="24" s="1"/>
  <c r="P712" i="2"/>
  <c r="N712" i="24" s="1"/>
  <c r="P711" i="2"/>
  <c r="N711" i="24" s="1"/>
  <c r="P710" i="2"/>
  <c r="N710" i="24" s="1"/>
  <c r="P709" i="2"/>
  <c r="N709" i="24" s="1"/>
  <c r="P708" i="2"/>
  <c r="N708" i="24" s="1"/>
  <c r="P707" i="2"/>
  <c r="N707" i="24" s="1"/>
  <c r="P706" i="2"/>
  <c r="N706" i="24" s="1"/>
  <c r="P705" i="2"/>
  <c r="N705" i="24" s="1"/>
  <c r="P704" i="2"/>
  <c r="N704" i="24" s="1"/>
  <c r="P703" i="2"/>
  <c r="N703" i="24" s="1"/>
  <c r="P702" i="2"/>
  <c r="N702" i="24" s="1"/>
  <c r="P701" i="2"/>
  <c r="N701" i="24" s="1"/>
  <c r="P700" i="2"/>
  <c r="N700" i="24" s="1"/>
  <c r="P699" i="2"/>
  <c r="N699" i="24" s="1"/>
  <c r="P698" i="2"/>
  <c r="N698" i="24" s="1"/>
  <c r="P697" i="2"/>
  <c r="N697" i="24" s="1"/>
  <c r="P696" i="2"/>
  <c r="N696" i="24" s="1"/>
  <c r="P695" i="2"/>
  <c r="N695" i="24" s="1"/>
  <c r="P694" i="2"/>
  <c r="N694" i="24" s="1"/>
  <c r="P693" i="2"/>
  <c r="N693" i="24" s="1"/>
  <c r="P692" i="2"/>
  <c r="N692" i="24" s="1"/>
  <c r="P691" i="2"/>
  <c r="N691" i="24" s="1"/>
  <c r="P690" i="2"/>
  <c r="N690" i="24" s="1"/>
  <c r="P689" i="2"/>
  <c r="N689" i="24" s="1"/>
  <c r="P688" i="2"/>
  <c r="N688" i="24" s="1"/>
  <c r="P687" i="2"/>
  <c r="N687" i="24" s="1"/>
  <c r="P686" i="2"/>
  <c r="N686" i="24" s="1"/>
  <c r="P685" i="2"/>
  <c r="N685" i="24" s="1"/>
  <c r="P684" i="2"/>
  <c r="N684" i="24" s="1"/>
  <c r="P683" i="2"/>
  <c r="N683" i="24" s="1"/>
  <c r="P682" i="2"/>
  <c r="N682" i="24" s="1"/>
  <c r="P681" i="2"/>
  <c r="N681" i="24" s="1"/>
  <c r="P680" i="2"/>
  <c r="N680" i="24" s="1"/>
  <c r="P679" i="2"/>
  <c r="N679" i="24" s="1"/>
  <c r="P678" i="2"/>
  <c r="N678" i="24" s="1"/>
  <c r="P677" i="2"/>
  <c r="N677" i="24" s="1"/>
  <c r="P676" i="2"/>
  <c r="N676" i="24" s="1"/>
  <c r="P675" i="2"/>
  <c r="N675" i="24" s="1"/>
  <c r="P674" i="2"/>
  <c r="N674" i="24" s="1"/>
  <c r="P673" i="2"/>
  <c r="N673" i="24" s="1"/>
  <c r="P672" i="2"/>
  <c r="N672" i="24" s="1"/>
  <c r="P671" i="2"/>
  <c r="N671" i="24" s="1"/>
  <c r="P670" i="2"/>
  <c r="N670" i="24" s="1"/>
  <c r="P669" i="2"/>
  <c r="N669" i="24" s="1"/>
  <c r="P668" i="2"/>
  <c r="N668" i="24" s="1"/>
  <c r="P667" i="2"/>
  <c r="N667" i="24" s="1"/>
  <c r="P666" i="2"/>
  <c r="N666" i="24" s="1"/>
  <c r="P665" i="2"/>
  <c r="N665" i="24" s="1"/>
  <c r="P664" i="2"/>
  <c r="N664" i="24" s="1"/>
  <c r="P663" i="2"/>
  <c r="N663" i="24" s="1"/>
  <c r="P662" i="2"/>
  <c r="N662" i="24" s="1"/>
  <c r="P661" i="2"/>
  <c r="N661" i="24" s="1"/>
  <c r="P660" i="2"/>
  <c r="N660" i="24" s="1"/>
  <c r="P659" i="2"/>
  <c r="N659" i="24" s="1"/>
  <c r="P658" i="2"/>
  <c r="N658" i="24" s="1"/>
  <c r="P657" i="2"/>
  <c r="N657" i="24" s="1"/>
  <c r="P656" i="2"/>
  <c r="N656" i="24" s="1"/>
  <c r="P655" i="2"/>
  <c r="N655" i="24" s="1"/>
  <c r="P654" i="2"/>
  <c r="N654" i="24" s="1"/>
  <c r="P653" i="2"/>
  <c r="N653" i="24" s="1"/>
  <c r="P652" i="2"/>
  <c r="N652" i="24" s="1"/>
  <c r="P651" i="2"/>
  <c r="N651" i="24" s="1"/>
  <c r="P650" i="2"/>
  <c r="N650" i="24" s="1"/>
  <c r="P649" i="2"/>
  <c r="N649" i="24" s="1"/>
  <c r="P648" i="2"/>
  <c r="N648" i="24" s="1"/>
  <c r="P647" i="2"/>
  <c r="N647" i="24" s="1"/>
  <c r="P646" i="2"/>
  <c r="N646" i="24" s="1"/>
  <c r="P645" i="2"/>
  <c r="N645" i="24" s="1"/>
  <c r="P644" i="2"/>
  <c r="N644" i="24" s="1"/>
  <c r="P643" i="2"/>
  <c r="N643" i="24" s="1"/>
  <c r="P642" i="2"/>
  <c r="N642" i="24" s="1"/>
  <c r="P641" i="2"/>
  <c r="N641" i="24" s="1"/>
  <c r="P640" i="2"/>
  <c r="N640" i="24" s="1"/>
  <c r="P639" i="2"/>
  <c r="N639" i="24" s="1"/>
  <c r="P638" i="2"/>
  <c r="N638" i="24" s="1"/>
  <c r="P637" i="2"/>
  <c r="N637" i="24" s="1"/>
  <c r="P636" i="2"/>
  <c r="N636" i="24" s="1"/>
  <c r="P635" i="2"/>
  <c r="N635" i="24" s="1"/>
  <c r="P634" i="2"/>
  <c r="N634" i="24" s="1"/>
  <c r="P633" i="2"/>
  <c r="N633" i="24" s="1"/>
  <c r="P632" i="2"/>
  <c r="N632" i="24" s="1"/>
  <c r="P631" i="2"/>
  <c r="N631" i="24" s="1"/>
  <c r="P630" i="2"/>
  <c r="N630" i="24" s="1"/>
  <c r="P629" i="2"/>
  <c r="N629" i="24" s="1"/>
  <c r="P628" i="2"/>
  <c r="N628" i="24" s="1"/>
  <c r="P627" i="2"/>
  <c r="N627" i="24" s="1"/>
  <c r="P626" i="2"/>
  <c r="N626" i="24" s="1"/>
  <c r="P625" i="2"/>
  <c r="N625" i="24" s="1"/>
  <c r="P624" i="2"/>
  <c r="N624" i="24" s="1"/>
  <c r="P623" i="2"/>
  <c r="N623" i="24" s="1"/>
  <c r="P622" i="2"/>
  <c r="N622" i="24" s="1"/>
  <c r="P621" i="2"/>
  <c r="N621" i="24" s="1"/>
  <c r="P620" i="2"/>
  <c r="N620" i="24" s="1"/>
  <c r="P619" i="2"/>
  <c r="N619" i="24" s="1"/>
  <c r="P618" i="2"/>
  <c r="N618" i="24" s="1"/>
  <c r="P617" i="2"/>
  <c r="N617" i="24" s="1"/>
  <c r="P616" i="2"/>
  <c r="N616" i="24" s="1"/>
  <c r="P615" i="2"/>
  <c r="N615" i="24" s="1"/>
  <c r="P614" i="2"/>
  <c r="N614" i="24" s="1"/>
  <c r="P613" i="2"/>
  <c r="N613" i="24" s="1"/>
  <c r="P612" i="2"/>
  <c r="N612" i="24" s="1"/>
  <c r="P611" i="2"/>
  <c r="N611" i="24" s="1"/>
  <c r="P610" i="2"/>
  <c r="N610" i="24" s="1"/>
  <c r="P609" i="2"/>
  <c r="N609" i="24" s="1"/>
  <c r="P608" i="2"/>
  <c r="N608" i="24" s="1"/>
  <c r="P607" i="2"/>
  <c r="N607" i="24" s="1"/>
  <c r="P606" i="2"/>
  <c r="N606" i="24" s="1"/>
  <c r="P605" i="2"/>
  <c r="N605" i="24" s="1"/>
  <c r="P604" i="2"/>
  <c r="N604" i="24" s="1"/>
  <c r="P603" i="2"/>
  <c r="N603" i="24" s="1"/>
  <c r="P602" i="2"/>
  <c r="N602" i="24" s="1"/>
  <c r="P601" i="2"/>
  <c r="N601" i="24" s="1"/>
  <c r="P600" i="2"/>
  <c r="N600" i="24" s="1"/>
  <c r="P599" i="2"/>
  <c r="N599" i="24" s="1"/>
  <c r="P598" i="2"/>
  <c r="N598" i="24" s="1"/>
  <c r="P597" i="2"/>
  <c r="N597" i="24" s="1"/>
  <c r="P596" i="2"/>
  <c r="N596" i="24" s="1"/>
  <c r="P595" i="2"/>
  <c r="N595" i="24" s="1"/>
  <c r="P594" i="2"/>
  <c r="N594" i="24" s="1"/>
  <c r="P593" i="2"/>
  <c r="N593" i="24" s="1"/>
  <c r="P592" i="2"/>
  <c r="N592" i="24" s="1"/>
  <c r="P591" i="2"/>
  <c r="N591" i="24" s="1"/>
  <c r="P590" i="2"/>
  <c r="N590" i="24" s="1"/>
  <c r="P589" i="2"/>
  <c r="N589" i="24" s="1"/>
  <c r="P588" i="2"/>
  <c r="N588" i="24" s="1"/>
  <c r="P587" i="2"/>
  <c r="N587" i="24" s="1"/>
  <c r="P586" i="2"/>
  <c r="N586" i="24" s="1"/>
  <c r="P585" i="2"/>
  <c r="N585" i="24" s="1"/>
  <c r="P584" i="2"/>
  <c r="N584" i="24" s="1"/>
  <c r="P583" i="2"/>
  <c r="N583" i="24" s="1"/>
  <c r="P582" i="2"/>
  <c r="N582" i="24" s="1"/>
  <c r="P581" i="2"/>
  <c r="N581" i="24" s="1"/>
  <c r="P580" i="2"/>
  <c r="N580" i="24" s="1"/>
  <c r="P579" i="2"/>
  <c r="N579" i="24" s="1"/>
  <c r="P578" i="2"/>
  <c r="N578" i="24" s="1"/>
  <c r="P577" i="2"/>
  <c r="N577" i="24" s="1"/>
  <c r="P576" i="2"/>
  <c r="N576" i="24" s="1"/>
  <c r="P575" i="2"/>
  <c r="N575" i="24" s="1"/>
  <c r="P574" i="2"/>
  <c r="N574" i="24" s="1"/>
  <c r="P573" i="2"/>
  <c r="N573" i="24" s="1"/>
  <c r="P572" i="2"/>
  <c r="N572" i="24" s="1"/>
  <c r="P571" i="2"/>
  <c r="N571" i="24" s="1"/>
  <c r="P570" i="2"/>
  <c r="N570" i="24" s="1"/>
  <c r="P569" i="2"/>
  <c r="N569" i="24" s="1"/>
  <c r="P568" i="2"/>
  <c r="N568" i="24" s="1"/>
  <c r="P567" i="2"/>
  <c r="N567" i="24" s="1"/>
  <c r="P566" i="2"/>
  <c r="N566" i="24" s="1"/>
  <c r="P565" i="2"/>
  <c r="N565" i="24" s="1"/>
  <c r="P564" i="2"/>
  <c r="N564" i="24" s="1"/>
  <c r="P563" i="2"/>
  <c r="N563" i="24" s="1"/>
  <c r="P562" i="2"/>
  <c r="N562" i="24" s="1"/>
  <c r="P561" i="2"/>
  <c r="N561" i="24" s="1"/>
  <c r="P560" i="2"/>
  <c r="N560" i="24" s="1"/>
  <c r="P559" i="2"/>
  <c r="N559" i="24" s="1"/>
  <c r="P558" i="2"/>
  <c r="N558" i="24" s="1"/>
  <c r="P557" i="2"/>
  <c r="N557" i="24" s="1"/>
  <c r="P556" i="2"/>
  <c r="N556" i="24" s="1"/>
  <c r="P555" i="2"/>
  <c r="N555" i="24" s="1"/>
  <c r="P554" i="2"/>
  <c r="N554" i="24" s="1"/>
  <c r="P553" i="2"/>
  <c r="N553" i="24" s="1"/>
  <c r="P552" i="2"/>
  <c r="N552" i="24" s="1"/>
  <c r="P551" i="2"/>
  <c r="N551" i="24" s="1"/>
  <c r="P550" i="2"/>
  <c r="N550" i="24" s="1"/>
  <c r="P549" i="2"/>
  <c r="N549" i="24" s="1"/>
  <c r="P548" i="2"/>
  <c r="N548" i="24" s="1"/>
  <c r="P547" i="2"/>
  <c r="N547" i="24" s="1"/>
  <c r="P546" i="2"/>
  <c r="N546" i="24" s="1"/>
  <c r="P545" i="2"/>
  <c r="N545" i="24" s="1"/>
  <c r="P544" i="2"/>
  <c r="N544" i="24" s="1"/>
  <c r="P543" i="2"/>
  <c r="N543" i="24" s="1"/>
  <c r="P542" i="2"/>
  <c r="N542" i="24" s="1"/>
  <c r="P541" i="2"/>
  <c r="N541" i="24" s="1"/>
  <c r="P540" i="2"/>
  <c r="N540" i="24" s="1"/>
  <c r="P539" i="2"/>
  <c r="N539" i="24" s="1"/>
  <c r="P538" i="2"/>
  <c r="N538" i="24" s="1"/>
  <c r="P537" i="2"/>
  <c r="N537" i="24" s="1"/>
  <c r="P536" i="2"/>
  <c r="N536" i="24" s="1"/>
  <c r="P535" i="2"/>
  <c r="N535" i="24" s="1"/>
  <c r="P534" i="2"/>
  <c r="N534" i="24" s="1"/>
  <c r="P533" i="2"/>
  <c r="N533" i="24" s="1"/>
  <c r="P532" i="2"/>
  <c r="N532" i="24" s="1"/>
  <c r="P531" i="2"/>
  <c r="N531" i="24" s="1"/>
  <c r="P530" i="2"/>
  <c r="N530" i="24" s="1"/>
  <c r="P529" i="2"/>
  <c r="N529" i="24" s="1"/>
  <c r="P528" i="2"/>
  <c r="N528" i="24" s="1"/>
  <c r="P527" i="2"/>
  <c r="N527" i="24" s="1"/>
  <c r="P526" i="2"/>
  <c r="N526" i="24" s="1"/>
  <c r="P525" i="2"/>
  <c r="N525" i="24" s="1"/>
  <c r="P524" i="2"/>
  <c r="N524" i="24" s="1"/>
  <c r="P523" i="2"/>
  <c r="N523" i="24" s="1"/>
  <c r="P522" i="2"/>
  <c r="N522" i="24" s="1"/>
  <c r="P521" i="2"/>
  <c r="N521" i="24" s="1"/>
  <c r="P520" i="2"/>
  <c r="N520" i="24" s="1"/>
  <c r="P519" i="2"/>
  <c r="N519" i="24" s="1"/>
  <c r="P518" i="2"/>
  <c r="N518" i="24" s="1"/>
  <c r="P517" i="2"/>
  <c r="N517" i="24" s="1"/>
  <c r="P516" i="2"/>
  <c r="N516" i="24" s="1"/>
  <c r="P515" i="2"/>
  <c r="N515" i="24" s="1"/>
  <c r="P514" i="2"/>
  <c r="N514" i="24" s="1"/>
  <c r="P513" i="2"/>
  <c r="N513" i="24" s="1"/>
  <c r="P512" i="2"/>
  <c r="N512" i="24" s="1"/>
  <c r="P511" i="2"/>
  <c r="N511" i="24" s="1"/>
  <c r="P510" i="2"/>
  <c r="N510" i="24" s="1"/>
  <c r="P509" i="2"/>
  <c r="N509" i="24" s="1"/>
  <c r="P508" i="2"/>
  <c r="N508" i="24" s="1"/>
  <c r="P507" i="2"/>
  <c r="N507" i="24" s="1"/>
  <c r="P506" i="2"/>
  <c r="N506" i="24" s="1"/>
  <c r="P505" i="2"/>
  <c r="N505" i="24" s="1"/>
  <c r="P504" i="2"/>
  <c r="N504" i="24" s="1"/>
  <c r="P503" i="2"/>
  <c r="N503" i="24" s="1"/>
  <c r="P502" i="2"/>
  <c r="N502" i="24" s="1"/>
  <c r="P501" i="2"/>
  <c r="N501" i="24" s="1"/>
  <c r="P500" i="2"/>
  <c r="N500" i="24" s="1"/>
  <c r="P499" i="2"/>
  <c r="N499" i="24" s="1"/>
  <c r="P498" i="2"/>
  <c r="N498" i="24" s="1"/>
  <c r="P497" i="2"/>
  <c r="N497" i="24" s="1"/>
  <c r="P496" i="2"/>
  <c r="N496" i="24" s="1"/>
  <c r="P495" i="2"/>
  <c r="N495" i="24" s="1"/>
  <c r="P494" i="2"/>
  <c r="N494" i="24" s="1"/>
  <c r="P493" i="2"/>
  <c r="N493" i="24" s="1"/>
  <c r="P492" i="2"/>
  <c r="N492" i="24" s="1"/>
  <c r="P491" i="2"/>
  <c r="N491" i="24" s="1"/>
  <c r="P490" i="2"/>
  <c r="N490" i="24" s="1"/>
  <c r="P489" i="2"/>
  <c r="N489" i="24" s="1"/>
  <c r="P488" i="2"/>
  <c r="N488" i="24" s="1"/>
  <c r="P487" i="2"/>
  <c r="N487" i="24" s="1"/>
  <c r="P486" i="2"/>
  <c r="N486" i="24" s="1"/>
  <c r="P485" i="2"/>
  <c r="N485" i="24" s="1"/>
  <c r="P484" i="2"/>
  <c r="N484" i="24" s="1"/>
  <c r="P483" i="2"/>
  <c r="N483" i="24" s="1"/>
  <c r="P482" i="2"/>
  <c r="N482" i="24" s="1"/>
  <c r="P481" i="2"/>
  <c r="N481" i="24" s="1"/>
  <c r="P480" i="2"/>
  <c r="N480" i="24" s="1"/>
  <c r="P479" i="2"/>
  <c r="N479" i="24" s="1"/>
  <c r="P478" i="2"/>
  <c r="N478" i="24" s="1"/>
  <c r="P477" i="2"/>
  <c r="N477" i="24" s="1"/>
  <c r="P476" i="2"/>
  <c r="N476" i="24" s="1"/>
  <c r="P475" i="2"/>
  <c r="N475" i="24" s="1"/>
  <c r="P474" i="2"/>
  <c r="N474" i="24" s="1"/>
  <c r="P473" i="2"/>
  <c r="N473" i="24" s="1"/>
  <c r="P472" i="2"/>
  <c r="N472" i="24" s="1"/>
  <c r="P471" i="2"/>
  <c r="N471" i="24" s="1"/>
  <c r="P470" i="2"/>
  <c r="N470" i="24" s="1"/>
  <c r="P469" i="2"/>
  <c r="N469" i="24" s="1"/>
  <c r="P468" i="2"/>
  <c r="N468" i="24" s="1"/>
  <c r="P467" i="2"/>
  <c r="N467" i="24" s="1"/>
  <c r="P466" i="2"/>
  <c r="N466" i="24" s="1"/>
  <c r="P465" i="2"/>
  <c r="N465" i="24" s="1"/>
  <c r="P464" i="2"/>
  <c r="N464" i="24" s="1"/>
  <c r="P463" i="2"/>
  <c r="N463" i="24" s="1"/>
  <c r="P462" i="2"/>
  <c r="N462" i="24" s="1"/>
  <c r="P461" i="2"/>
  <c r="N461" i="24" s="1"/>
  <c r="P460" i="2"/>
  <c r="N460" i="24" s="1"/>
  <c r="P459" i="2"/>
  <c r="N459" i="24" s="1"/>
  <c r="P458" i="2"/>
  <c r="N458" i="24" s="1"/>
  <c r="P457" i="2"/>
  <c r="N457" i="24" s="1"/>
  <c r="P456" i="2"/>
  <c r="N456" i="24" s="1"/>
  <c r="P455" i="2"/>
  <c r="N455" i="24" s="1"/>
  <c r="P454" i="2"/>
  <c r="N454" i="24" s="1"/>
  <c r="P453" i="2"/>
  <c r="N453" i="24" s="1"/>
  <c r="P452" i="2"/>
  <c r="N452" i="24" s="1"/>
  <c r="P451" i="2"/>
  <c r="N451" i="24" s="1"/>
  <c r="P450" i="2"/>
  <c r="N450" i="24" s="1"/>
  <c r="P449" i="2"/>
  <c r="N449" i="24" s="1"/>
  <c r="P448" i="2"/>
  <c r="N448" i="24" s="1"/>
  <c r="P447" i="2"/>
  <c r="N447" i="24" s="1"/>
  <c r="P446" i="2"/>
  <c r="N446" i="24" s="1"/>
  <c r="P445" i="2"/>
  <c r="N445" i="24" s="1"/>
  <c r="P444" i="2"/>
  <c r="N444" i="24" s="1"/>
  <c r="P443" i="2"/>
  <c r="N443" i="24" s="1"/>
  <c r="P442" i="2"/>
  <c r="N442" i="24" s="1"/>
  <c r="P441" i="2"/>
  <c r="N441" i="24" s="1"/>
  <c r="P440" i="2"/>
  <c r="N440" i="24" s="1"/>
  <c r="P439" i="2"/>
  <c r="N439" i="24" s="1"/>
  <c r="P438" i="2"/>
  <c r="N438" i="24" s="1"/>
  <c r="P437" i="2"/>
  <c r="N437" i="24" s="1"/>
  <c r="P436" i="2"/>
  <c r="N436" i="24" s="1"/>
  <c r="P435" i="2"/>
  <c r="N435" i="24" s="1"/>
  <c r="P434" i="2"/>
  <c r="N434" i="24" s="1"/>
  <c r="P433" i="2"/>
  <c r="N433" i="24" s="1"/>
  <c r="P432" i="2"/>
  <c r="N432" i="24" s="1"/>
  <c r="P430" i="2"/>
  <c r="N430" i="24" s="1"/>
  <c r="P429" i="2"/>
  <c r="N429" i="24" s="1"/>
  <c r="P428" i="2"/>
  <c r="N428" i="24" s="1"/>
  <c r="P427" i="2"/>
  <c r="N427" i="24" s="1"/>
  <c r="P426" i="2"/>
  <c r="N426" i="24" s="1"/>
  <c r="P425" i="2"/>
  <c r="N425" i="24" s="1"/>
  <c r="P424" i="2"/>
  <c r="N424" i="24" s="1"/>
  <c r="P423" i="2"/>
  <c r="N423" i="24" s="1"/>
  <c r="P422" i="2"/>
  <c r="N422" i="24" s="1"/>
  <c r="P421" i="2"/>
  <c r="N421" i="24" s="1"/>
  <c r="P420" i="2"/>
  <c r="N420" i="24" s="1"/>
  <c r="P419" i="2"/>
  <c r="N419" i="24" s="1"/>
  <c r="P418" i="2"/>
  <c r="N418" i="24" s="1"/>
  <c r="P417" i="2"/>
  <c r="N417" i="24" s="1"/>
  <c r="P416" i="2"/>
  <c r="N416" i="24" s="1"/>
  <c r="P415" i="2"/>
  <c r="N415" i="24" s="1"/>
  <c r="P414" i="2"/>
  <c r="N414" i="24" s="1"/>
  <c r="P413" i="2"/>
  <c r="N413" i="24" s="1"/>
  <c r="P412" i="2"/>
  <c r="N412" i="24" s="1"/>
  <c r="P411" i="2"/>
  <c r="N411" i="24" s="1"/>
  <c r="P410" i="2"/>
  <c r="N410" i="24" s="1"/>
  <c r="P409" i="2"/>
  <c r="N409" i="24" s="1"/>
  <c r="P408" i="2"/>
  <c r="N408" i="24" s="1"/>
  <c r="P407" i="2"/>
  <c r="N407" i="24" s="1"/>
  <c r="P406" i="2"/>
  <c r="N406" i="24" s="1"/>
  <c r="P405" i="2"/>
  <c r="N405" i="24" s="1"/>
  <c r="P404" i="2"/>
  <c r="N404" i="24" s="1"/>
  <c r="P403" i="2"/>
  <c r="N403" i="24" s="1"/>
  <c r="P402" i="2"/>
  <c r="N402" i="24" s="1"/>
  <c r="P401" i="2"/>
  <c r="N401" i="24" s="1"/>
  <c r="P400" i="2"/>
  <c r="N400" i="24" s="1"/>
  <c r="P399" i="2"/>
  <c r="N399" i="24" s="1"/>
  <c r="P398" i="2"/>
  <c r="N398" i="24" s="1"/>
  <c r="P397" i="2"/>
  <c r="N397" i="24" s="1"/>
  <c r="P396" i="2"/>
  <c r="N396" i="24" s="1"/>
  <c r="P395" i="2"/>
  <c r="N395" i="24" s="1"/>
  <c r="P394" i="2"/>
  <c r="N394" i="24" s="1"/>
  <c r="P393" i="2"/>
  <c r="N393" i="24" s="1"/>
  <c r="P392" i="2"/>
  <c r="N392" i="24" s="1"/>
  <c r="P391" i="2"/>
  <c r="N391" i="24" s="1"/>
  <c r="P390" i="2"/>
  <c r="N390" i="24" s="1"/>
  <c r="P389" i="2"/>
  <c r="N389" i="24" s="1"/>
  <c r="P388" i="2"/>
  <c r="N388" i="24" s="1"/>
  <c r="P387" i="2"/>
  <c r="N387" i="24" s="1"/>
  <c r="P386" i="2"/>
  <c r="N386" i="24" s="1"/>
  <c r="P385" i="2"/>
  <c r="N385" i="24" s="1"/>
  <c r="P384" i="2"/>
  <c r="N384" i="24" s="1"/>
  <c r="P383" i="2"/>
  <c r="N383" i="24" s="1"/>
  <c r="P382" i="2"/>
  <c r="N382" i="24" s="1"/>
  <c r="P381" i="2"/>
  <c r="N381" i="24" s="1"/>
  <c r="P380" i="2"/>
  <c r="N380" i="24" s="1"/>
  <c r="P379" i="2"/>
  <c r="N379" i="24" s="1"/>
  <c r="P378" i="2"/>
  <c r="N378" i="24" s="1"/>
  <c r="P377" i="2"/>
  <c r="N377" i="24" s="1"/>
  <c r="P376" i="2"/>
  <c r="N376" i="24" s="1"/>
  <c r="P375" i="2"/>
  <c r="N375" i="24" s="1"/>
  <c r="P374" i="2"/>
  <c r="N374" i="24" s="1"/>
  <c r="P373" i="2"/>
  <c r="N373" i="24" s="1"/>
  <c r="P372" i="2"/>
  <c r="N372" i="24" s="1"/>
  <c r="P371" i="2"/>
  <c r="N371" i="24" s="1"/>
  <c r="P370" i="2"/>
  <c r="N370" i="24" s="1"/>
  <c r="P369" i="2"/>
  <c r="N369" i="24" s="1"/>
  <c r="P368" i="2"/>
  <c r="N368" i="24" s="1"/>
  <c r="P367" i="2"/>
  <c r="N367" i="24" s="1"/>
  <c r="P366" i="2"/>
  <c r="N366" i="24" s="1"/>
  <c r="P365" i="2"/>
  <c r="N365" i="24" s="1"/>
  <c r="P364" i="2"/>
  <c r="N364" i="24" s="1"/>
  <c r="P363" i="2"/>
  <c r="N363" i="24" s="1"/>
  <c r="P362" i="2"/>
  <c r="N362" i="24" s="1"/>
  <c r="P361" i="2"/>
  <c r="N361" i="24" s="1"/>
  <c r="P360" i="2"/>
  <c r="N360" i="24" s="1"/>
  <c r="P359" i="2"/>
  <c r="N359" i="24" s="1"/>
  <c r="P358" i="2"/>
  <c r="N358" i="24" s="1"/>
  <c r="P357" i="2"/>
  <c r="N357" i="24" s="1"/>
  <c r="P356" i="2"/>
  <c r="N356" i="24" s="1"/>
  <c r="P355" i="2"/>
  <c r="N355" i="24" s="1"/>
  <c r="P354" i="2"/>
  <c r="N354" i="24" s="1"/>
  <c r="P353" i="2"/>
  <c r="N353" i="24" s="1"/>
  <c r="P352" i="2"/>
  <c r="N352" i="24" s="1"/>
  <c r="P351" i="2"/>
  <c r="N351" i="24" s="1"/>
  <c r="P350" i="2"/>
  <c r="N350" i="24" s="1"/>
  <c r="P349" i="2"/>
  <c r="N349" i="24" s="1"/>
  <c r="P348" i="2"/>
  <c r="N348" i="24" s="1"/>
  <c r="P347" i="2"/>
  <c r="N347" i="24" s="1"/>
  <c r="P346" i="2"/>
  <c r="N346" i="24" s="1"/>
  <c r="P345" i="2"/>
  <c r="N345" i="24" s="1"/>
  <c r="P344" i="2"/>
  <c r="N344" i="24" s="1"/>
  <c r="P343" i="2"/>
  <c r="N343" i="24" s="1"/>
  <c r="P342" i="2"/>
  <c r="N342" i="24" s="1"/>
  <c r="P341" i="2"/>
  <c r="N341" i="24" s="1"/>
  <c r="P340" i="2"/>
  <c r="N340" i="24" s="1"/>
  <c r="P339" i="2"/>
  <c r="N339" i="24" s="1"/>
  <c r="P338" i="2"/>
  <c r="N338" i="24" s="1"/>
  <c r="P337" i="2"/>
  <c r="N337" i="24" s="1"/>
  <c r="P336" i="2"/>
  <c r="N336" i="24" s="1"/>
  <c r="P335" i="2"/>
  <c r="N335" i="24" s="1"/>
  <c r="P334" i="2"/>
  <c r="N334" i="24" s="1"/>
  <c r="P333" i="2"/>
  <c r="N333" i="24" s="1"/>
  <c r="P332" i="2"/>
  <c r="N332" i="24" s="1"/>
  <c r="P331" i="2"/>
  <c r="N331" i="24" s="1"/>
  <c r="P330" i="2"/>
  <c r="N330" i="24" s="1"/>
  <c r="P329" i="2"/>
  <c r="N329" i="24" s="1"/>
  <c r="P328" i="2"/>
  <c r="N328" i="24" s="1"/>
  <c r="P327" i="2"/>
  <c r="N327" i="24" s="1"/>
  <c r="P326" i="2"/>
  <c r="N326" i="24" s="1"/>
  <c r="P325" i="2"/>
  <c r="N325" i="24" s="1"/>
  <c r="P324" i="2"/>
  <c r="N324" i="24" s="1"/>
  <c r="P323" i="2"/>
  <c r="N323" i="24" s="1"/>
  <c r="P322" i="2"/>
  <c r="N322" i="24" s="1"/>
  <c r="P321" i="2"/>
  <c r="N321" i="24" s="1"/>
  <c r="P320" i="2"/>
  <c r="N320" i="24" s="1"/>
  <c r="P319" i="2"/>
  <c r="N319" i="24" s="1"/>
  <c r="P318" i="2"/>
  <c r="N318" i="24" s="1"/>
  <c r="P317" i="2"/>
  <c r="N317" i="24" s="1"/>
  <c r="P316" i="2"/>
  <c r="N316" i="24" s="1"/>
  <c r="P315" i="2"/>
  <c r="N315" i="24" s="1"/>
  <c r="P314" i="2"/>
  <c r="N314" i="24" s="1"/>
  <c r="P313" i="2"/>
  <c r="N313" i="24" s="1"/>
  <c r="P312" i="2"/>
  <c r="N312" i="24" s="1"/>
  <c r="P311" i="2"/>
  <c r="N311" i="24" s="1"/>
  <c r="P310" i="2"/>
  <c r="N310" i="24" s="1"/>
  <c r="P309" i="2"/>
  <c r="N309" i="24" s="1"/>
  <c r="P308" i="2"/>
  <c r="N308" i="24" s="1"/>
  <c r="P307" i="2"/>
  <c r="N307" i="24" s="1"/>
  <c r="P306" i="2"/>
  <c r="N306" i="24" s="1"/>
  <c r="P305" i="2"/>
  <c r="N305" i="24" s="1"/>
  <c r="P304" i="2"/>
  <c r="N304" i="24" s="1"/>
  <c r="P303" i="2"/>
  <c r="N303" i="24" s="1"/>
  <c r="P302" i="2"/>
  <c r="N302" i="24" s="1"/>
  <c r="P301" i="2"/>
  <c r="N301" i="24" s="1"/>
  <c r="P300" i="2"/>
  <c r="N300" i="24" s="1"/>
  <c r="P299" i="2"/>
  <c r="N299" i="24" s="1"/>
  <c r="P298" i="2"/>
  <c r="N298" i="24" s="1"/>
  <c r="P297" i="2"/>
  <c r="N297" i="24" s="1"/>
  <c r="P296" i="2"/>
  <c r="N296" i="24" s="1"/>
  <c r="P295" i="2"/>
  <c r="N295" i="24" s="1"/>
  <c r="P294" i="2"/>
  <c r="N294" i="24" s="1"/>
  <c r="P293" i="2"/>
  <c r="N293" i="24" s="1"/>
  <c r="P292" i="2"/>
  <c r="N292" i="24" s="1"/>
  <c r="P291" i="2"/>
  <c r="N291" i="24" s="1"/>
  <c r="P290" i="2"/>
  <c r="N290" i="24" s="1"/>
  <c r="P289" i="2"/>
  <c r="N289" i="24" s="1"/>
  <c r="P288" i="2"/>
  <c r="N288" i="24" s="1"/>
  <c r="P287" i="2"/>
  <c r="N287" i="24" s="1"/>
  <c r="P286" i="2"/>
  <c r="N286" i="24" s="1"/>
  <c r="P285" i="2"/>
  <c r="N285" i="24" s="1"/>
  <c r="P284" i="2"/>
  <c r="N284" i="24" s="1"/>
  <c r="P283" i="2"/>
  <c r="N283" i="24" s="1"/>
  <c r="P282" i="2"/>
  <c r="N282" i="24" s="1"/>
  <c r="P281" i="2"/>
  <c r="N281" i="24" s="1"/>
  <c r="P280" i="2"/>
  <c r="N280" i="24" s="1"/>
  <c r="P279" i="2"/>
  <c r="N279" i="24" s="1"/>
  <c r="P278" i="2"/>
  <c r="N278" i="24" s="1"/>
  <c r="P277" i="2"/>
  <c r="N277" i="24" s="1"/>
  <c r="P276" i="2"/>
  <c r="N276" i="24" s="1"/>
  <c r="P275" i="2"/>
  <c r="N275" i="24" s="1"/>
  <c r="P274" i="2"/>
  <c r="N274" i="24" s="1"/>
  <c r="P273" i="2"/>
  <c r="N273" i="24" s="1"/>
  <c r="P272" i="2"/>
  <c r="N272" i="24" s="1"/>
  <c r="P271" i="2"/>
  <c r="N271" i="24" s="1"/>
  <c r="P270" i="2"/>
  <c r="N270" i="24" s="1"/>
  <c r="P269" i="2"/>
  <c r="N269" i="24" s="1"/>
  <c r="P268" i="2"/>
  <c r="N268" i="24" s="1"/>
  <c r="P267" i="2"/>
  <c r="N267" i="24" s="1"/>
  <c r="P266" i="2"/>
  <c r="N266" i="24" s="1"/>
  <c r="P265" i="2"/>
  <c r="N265" i="24" s="1"/>
  <c r="P264" i="2"/>
  <c r="N264" i="24" s="1"/>
  <c r="P263" i="2"/>
  <c r="N263" i="24" s="1"/>
  <c r="P262" i="2"/>
  <c r="N262" i="24" s="1"/>
  <c r="P261" i="2"/>
  <c r="N261" i="24" s="1"/>
  <c r="P260" i="2"/>
  <c r="N260" i="24" s="1"/>
  <c r="P259" i="2"/>
  <c r="N259" i="24" s="1"/>
  <c r="P258" i="2"/>
  <c r="N258" i="24" s="1"/>
  <c r="P257" i="2"/>
  <c r="N257" i="24" s="1"/>
  <c r="P256" i="2"/>
  <c r="N256" i="24" s="1"/>
  <c r="P255" i="2"/>
  <c r="N255" i="24" s="1"/>
  <c r="P254" i="2"/>
  <c r="N254" i="24" s="1"/>
  <c r="P253" i="2"/>
  <c r="N253" i="24" s="1"/>
  <c r="P252" i="2"/>
  <c r="N252" i="24" s="1"/>
  <c r="P251" i="2"/>
  <c r="N251" i="24" s="1"/>
  <c r="P250" i="2"/>
  <c r="N250" i="24" s="1"/>
  <c r="P249" i="2"/>
  <c r="N249" i="24" s="1"/>
  <c r="P248" i="2"/>
  <c r="N248" i="24" s="1"/>
  <c r="P247" i="2"/>
  <c r="N247" i="24" s="1"/>
  <c r="P246" i="2"/>
  <c r="N246" i="24" s="1"/>
  <c r="P245" i="2"/>
  <c r="N245" i="24" s="1"/>
  <c r="P244" i="2"/>
  <c r="N244" i="24" s="1"/>
  <c r="P243" i="2"/>
  <c r="N243" i="24" s="1"/>
  <c r="P242" i="2"/>
  <c r="N242" i="24" s="1"/>
  <c r="P241" i="2"/>
  <c r="N241" i="24" s="1"/>
  <c r="P240" i="2"/>
  <c r="N240" i="24" s="1"/>
  <c r="P239" i="2"/>
  <c r="N239" i="24" s="1"/>
  <c r="P238" i="2"/>
  <c r="N238" i="24" s="1"/>
  <c r="P237" i="2"/>
  <c r="N237" i="24" s="1"/>
  <c r="P236" i="2"/>
  <c r="N236" i="24" s="1"/>
  <c r="P235" i="2"/>
  <c r="N235" i="24" s="1"/>
  <c r="P234" i="2"/>
  <c r="N234" i="24" s="1"/>
  <c r="P233" i="2"/>
  <c r="N233" i="24" s="1"/>
  <c r="P232" i="2"/>
  <c r="N232" i="24" s="1"/>
  <c r="P231" i="2"/>
  <c r="N231" i="24" s="1"/>
  <c r="P230" i="2"/>
  <c r="N230" i="24" s="1"/>
  <c r="P229" i="2"/>
  <c r="N229" i="24" s="1"/>
  <c r="P228" i="2"/>
  <c r="N228" i="24" s="1"/>
  <c r="P227" i="2"/>
  <c r="N227" i="24" s="1"/>
  <c r="P226" i="2"/>
  <c r="N226" i="24" s="1"/>
  <c r="P225" i="2"/>
  <c r="N225" i="24" s="1"/>
  <c r="P224" i="2"/>
  <c r="N224" i="24" s="1"/>
  <c r="P223" i="2"/>
  <c r="N223" i="24" s="1"/>
  <c r="P222" i="2"/>
  <c r="N222" i="24" s="1"/>
  <c r="P221" i="2"/>
  <c r="N221" i="24" s="1"/>
  <c r="P220" i="2"/>
  <c r="N220" i="24" s="1"/>
  <c r="P219" i="2"/>
  <c r="N219" i="24" s="1"/>
  <c r="P218" i="2"/>
  <c r="N218" i="24" s="1"/>
  <c r="P217" i="2"/>
  <c r="N217" i="24" s="1"/>
  <c r="P216" i="2"/>
  <c r="N216" i="24" s="1"/>
  <c r="P215" i="2"/>
  <c r="N215" i="24" s="1"/>
  <c r="P214" i="2"/>
  <c r="N214" i="24" s="1"/>
  <c r="P213" i="2"/>
  <c r="N213" i="24" s="1"/>
  <c r="P212" i="2"/>
  <c r="N212" i="24" s="1"/>
  <c r="P211" i="2"/>
  <c r="N211" i="24" s="1"/>
  <c r="P210" i="2"/>
  <c r="N210" i="24" s="1"/>
  <c r="P209" i="2"/>
  <c r="N209" i="24" s="1"/>
  <c r="P208" i="2"/>
  <c r="N208" i="24" s="1"/>
  <c r="P207" i="2"/>
  <c r="N207" i="24" s="1"/>
  <c r="P206" i="2"/>
  <c r="N206" i="24" s="1"/>
  <c r="P205" i="2"/>
  <c r="N205" i="24" s="1"/>
  <c r="P204" i="2"/>
  <c r="N204" i="24" s="1"/>
  <c r="P203" i="2"/>
  <c r="N203" i="24" s="1"/>
  <c r="P202" i="2"/>
  <c r="N202" i="24" s="1"/>
  <c r="P201" i="2"/>
  <c r="N201" i="24" s="1"/>
  <c r="P200" i="2"/>
  <c r="N200" i="24" s="1"/>
  <c r="P199" i="2"/>
  <c r="N199" i="24" s="1"/>
  <c r="P198" i="2"/>
  <c r="N198" i="24" s="1"/>
  <c r="P197" i="2"/>
  <c r="N197" i="24" s="1"/>
  <c r="P196" i="2"/>
  <c r="N196" i="24" s="1"/>
  <c r="P195" i="2"/>
  <c r="N195" i="24" s="1"/>
  <c r="P194" i="2"/>
  <c r="N194" i="24" s="1"/>
  <c r="P193" i="2"/>
  <c r="N193" i="24" s="1"/>
  <c r="P192" i="2"/>
  <c r="N192" i="24" s="1"/>
  <c r="P191" i="2"/>
  <c r="N191" i="24" s="1"/>
  <c r="P190" i="2"/>
  <c r="N190" i="24" s="1"/>
  <c r="P189" i="2"/>
  <c r="N189" i="24" s="1"/>
  <c r="P188" i="2"/>
  <c r="N188" i="24" s="1"/>
  <c r="P187" i="2"/>
  <c r="N187" i="24" s="1"/>
  <c r="P186" i="2"/>
  <c r="N186" i="24" s="1"/>
  <c r="P185" i="2"/>
  <c r="N185" i="24" s="1"/>
  <c r="P184" i="2"/>
  <c r="N184" i="24" s="1"/>
  <c r="P183" i="2"/>
  <c r="N183" i="24" s="1"/>
  <c r="P182" i="2"/>
  <c r="N182" i="24" s="1"/>
  <c r="P181" i="2"/>
  <c r="N181" i="24" s="1"/>
  <c r="P180" i="2"/>
  <c r="N180" i="24" s="1"/>
  <c r="P179" i="2"/>
  <c r="N179" i="24" s="1"/>
  <c r="P178" i="2"/>
  <c r="N178" i="24" s="1"/>
  <c r="P177" i="2"/>
  <c r="N177" i="24" s="1"/>
  <c r="P176" i="2"/>
  <c r="N175" i="24" s="1"/>
  <c r="P175" i="2"/>
  <c r="N174" i="24" s="1"/>
  <c r="P174" i="2"/>
  <c r="N176" i="24" s="1"/>
  <c r="P173" i="2"/>
  <c r="N173" i="24" s="1"/>
  <c r="P172" i="2"/>
  <c r="N172" i="24" s="1"/>
  <c r="P171" i="2"/>
  <c r="N171" i="24" s="1"/>
  <c r="P170" i="2"/>
  <c r="N170" i="24" s="1"/>
  <c r="P169" i="2"/>
  <c r="N169" i="24" s="1"/>
  <c r="P168" i="2"/>
  <c r="N168" i="24" s="1"/>
  <c r="P167" i="2"/>
  <c r="N167" i="24" s="1"/>
  <c r="P166" i="2"/>
  <c r="N166" i="24" s="1"/>
  <c r="P165" i="2"/>
  <c r="N165" i="24" s="1"/>
  <c r="P164" i="2"/>
  <c r="N164" i="24" s="1"/>
  <c r="P163" i="2"/>
  <c r="N163" i="24" s="1"/>
  <c r="P162" i="2"/>
  <c r="N162" i="24" s="1"/>
  <c r="P161" i="2"/>
  <c r="N161" i="24" s="1"/>
  <c r="P160" i="2"/>
  <c r="N160" i="24" s="1"/>
  <c r="P159" i="2"/>
  <c r="N159" i="24" s="1"/>
  <c r="P158" i="2"/>
  <c r="N158" i="24" s="1"/>
  <c r="P157" i="2"/>
  <c r="N157" i="24" s="1"/>
  <c r="P156" i="2"/>
  <c r="N156" i="24" s="1"/>
  <c r="P155" i="2"/>
  <c r="N155" i="24" s="1"/>
  <c r="P154" i="2"/>
  <c r="N154" i="24" s="1"/>
  <c r="P153" i="2"/>
  <c r="N153" i="24" s="1"/>
  <c r="P152" i="2"/>
  <c r="N152" i="24" s="1"/>
  <c r="P151" i="2"/>
  <c r="N151" i="24" s="1"/>
  <c r="P150" i="2"/>
  <c r="N150" i="24" s="1"/>
  <c r="P149" i="2"/>
  <c r="N149" i="24" s="1"/>
  <c r="P148" i="2"/>
  <c r="N148" i="24" s="1"/>
  <c r="P147" i="2"/>
  <c r="N147" i="24" s="1"/>
  <c r="P146" i="2"/>
  <c r="N146" i="24" s="1"/>
  <c r="P145" i="2"/>
  <c r="N145" i="24" s="1"/>
  <c r="P144" i="2"/>
  <c r="N144" i="24" s="1"/>
  <c r="P143" i="2"/>
  <c r="N143" i="24" s="1"/>
  <c r="P142" i="2"/>
  <c r="N142" i="24" s="1"/>
  <c r="P141" i="2"/>
  <c r="N141" i="24" s="1"/>
  <c r="P140" i="2"/>
  <c r="N140" i="24" s="1"/>
  <c r="P139" i="2"/>
  <c r="N139" i="24" s="1"/>
  <c r="P138" i="2"/>
  <c r="N138" i="24" s="1"/>
  <c r="P137" i="2"/>
  <c r="N137" i="24" s="1"/>
  <c r="P136" i="2"/>
  <c r="N136" i="24" s="1"/>
  <c r="P135" i="2"/>
  <c r="N135" i="24" s="1"/>
  <c r="P134" i="2"/>
  <c r="N134" i="24" s="1"/>
  <c r="P133" i="2"/>
  <c r="N133" i="24" s="1"/>
  <c r="P132" i="2"/>
  <c r="N132" i="24" s="1"/>
  <c r="P131" i="2"/>
  <c r="N131" i="24" s="1"/>
  <c r="P130" i="2"/>
  <c r="N130" i="24" s="1"/>
  <c r="P129" i="2"/>
  <c r="N129" i="24" s="1"/>
  <c r="P128" i="2"/>
  <c r="N128" i="24" s="1"/>
  <c r="P127" i="2"/>
  <c r="N127" i="24" s="1"/>
  <c r="P126" i="2"/>
  <c r="N126" i="24" s="1"/>
  <c r="P125" i="2"/>
  <c r="N125" i="24" s="1"/>
  <c r="P124" i="2"/>
  <c r="N124" i="24" s="1"/>
  <c r="P123" i="2"/>
  <c r="N123" i="24" s="1"/>
  <c r="P122" i="2"/>
  <c r="N122" i="24" s="1"/>
  <c r="P121" i="2"/>
  <c r="N121" i="24" s="1"/>
  <c r="P120" i="2"/>
  <c r="N120" i="24" s="1"/>
  <c r="P119" i="2"/>
  <c r="N119" i="24" s="1"/>
  <c r="P118" i="2"/>
  <c r="N118" i="24" s="1"/>
  <c r="P117" i="2"/>
  <c r="N117" i="24" s="1"/>
  <c r="P116" i="2"/>
  <c r="N116" i="24" s="1"/>
  <c r="P115" i="2"/>
  <c r="N115" i="24" s="1"/>
  <c r="P114" i="2"/>
  <c r="N114" i="24" s="1"/>
  <c r="P113" i="2"/>
  <c r="N113" i="24" s="1"/>
  <c r="P112" i="2"/>
  <c r="N112" i="24" s="1"/>
  <c r="P111" i="2"/>
  <c r="N111" i="24" s="1"/>
  <c r="P110" i="2"/>
  <c r="N110" i="24" s="1"/>
  <c r="P109" i="2"/>
  <c r="N109" i="24" s="1"/>
  <c r="P108" i="2"/>
  <c r="N108" i="24" s="1"/>
  <c r="P107" i="2"/>
  <c r="N107" i="24" s="1"/>
  <c r="P106" i="2"/>
  <c r="N106" i="24" s="1"/>
  <c r="P105" i="2"/>
  <c r="N105" i="24" s="1"/>
  <c r="P104" i="2"/>
  <c r="N104" i="24" s="1"/>
  <c r="P103" i="2"/>
  <c r="N103" i="24" s="1"/>
  <c r="P102" i="2"/>
  <c r="N102" i="24" s="1"/>
  <c r="P101" i="2"/>
  <c r="N101" i="24" s="1"/>
  <c r="P100" i="2"/>
  <c r="N100" i="24" s="1"/>
  <c r="P99" i="2"/>
  <c r="N99" i="24" s="1"/>
  <c r="P98" i="2"/>
  <c r="N98" i="24" s="1"/>
  <c r="P97" i="2"/>
  <c r="N97" i="24" s="1"/>
  <c r="P96" i="2"/>
  <c r="N96" i="24" s="1"/>
  <c r="P95" i="2"/>
  <c r="N95" i="24" s="1"/>
  <c r="P94" i="2"/>
  <c r="N94" i="24" s="1"/>
  <c r="P93" i="2"/>
  <c r="N93" i="24" s="1"/>
  <c r="P92" i="2"/>
  <c r="N92" i="24" s="1"/>
  <c r="P91" i="2"/>
  <c r="N91" i="24" s="1"/>
  <c r="P90" i="2"/>
  <c r="N90" i="24" s="1"/>
  <c r="P89" i="2"/>
  <c r="N89" i="24" s="1"/>
  <c r="P88" i="2"/>
  <c r="N88" i="24" s="1"/>
  <c r="P87" i="2"/>
  <c r="N87" i="24" s="1"/>
  <c r="P86" i="2"/>
  <c r="N86" i="24" s="1"/>
  <c r="P85" i="2"/>
  <c r="N85" i="24" s="1"/>
  <c r="P84" i="2"/>
  <c r="N84" i="24" s="1"/>
  <c r="P83" i="2"/>
  <c r="N83" i="24" s="1"/>
  <c r="P82" i="2"/>
  <c r="N82" i="24" s="1"/>
  <c r="P81" i="2"/>
  <c r="N81" i="24" s="1"/>
  <c r="P80" i="2"/>
  <c r="N80" i="24" s="1"/>
  <c r="P79" i="2"/>
  <c r="N79" i="24" s="1"/>
  <c r="P78" i="2"/>
  <c r="N78" i="24" s="1"/>
  <c r="P77" i="2"/>
  <c r="N77" i="24" s="1"/>
  <c r="P76" i="2"/>
  <c r="N76" i="24" s="1"/>
  <c r="P75" i="2"/>
  <c r="N75" i="24" s="1"/>
  <c r="P74" i="2"/>
  <c r="N74" i="24" s="1"/>
  <c r="P73" i="2"/>
  <c r="N73" i="24" s="1"/>
  <c r="P72" i="2"/>
  <c r="N72" i="24" s="1"/>
  <c r="P71" i="2"/>
  <c r="N71" i="24" s="1"/>
  <c r="P70" i="2"/>
  <c r="N70" i="24" s="1"/>
  <c r="P69" i="2"/>
  <c r="N69" i="24" s="1"/>
  <c r="P68" i="2"/>
  <c r="N68" i="24" s="1"/>
  <c r="P67" i="2"/>
  <c r="N67" i="24" s="1"/>
  <c r="P66" i="2"/>
  <c r="N66" i="24" s="1"/>
  <c r="P65" i="2"/>
  <c r="N65" i="24" s="1"/>
  <c r="P64" i="2"/>
  <c r="N64" i="24" s="1"/>
  <c r="P63" i="2"/>
  <c r="N63" i="24" s="1"/>
  <c r="P62" i="2"/>
  <c r="N62" i="24" s="1"/>
  <c r="P61" i="2"/>
  <c r="N61" i="24" s="1"/>
  <c r="P60" i="2"/>
  <c r="N60" i="24" s="1"/>
  <c r="P59" i="2"/>
  <c r="N59" i="24" s="1"/>
  <c r="P58" i="2"/>
  <c r="N58" i="24" s="1"/>
  <c r="P57" i="2"/>
  <c r="N57" i="24" s="1"/>
  <c r="P56" i="2"/>
  <c r="N56" i="24" s="1"/>
  <c r="P55" i="2"/>
  <c r="N55" i="24" s="1"/>
  <c r="P54" i="2"/>
  <c r="N54" i="24" s="1"/>
  <c r="P53" i="2"/>
  <c r="N53" i="24" s="1"/>
  <c r="P52" i="2"/>
  <c r="N52" i="24" s="1"/>
  <c r="P51" i="2"/>
  <c r="N51" i="24" s="1"/>
  <c r="P50" i="2"/>
  <c r="N50" i="24" s="1"/>
  <c r="P49" i="2"/>
  <c r="N49" i="24" s="1"/>
  <c r="P48" i="2"/>
  <c r="N48" i="24" s="1"/>
  <c r="P47" i="2"/>
  <c r="N47" i="24" s="1"/>
  <c r="P45" i="2"/>
  <c r="N45" i="24" s="1"/>
  <c r="P44" i="2"/>
  <c r="N44" i="24" s="1"/>
  <c r="P43" i="2"/>
  <c r="N43" i="24" s="1"/>
  <c r="P42" i="2"/>
  <c r="N42" i="24" s="1"/>
  <c r="P41" i="2"/>
  <c r="N41" i="24" s="1"/>
  <c r="P40" i="2"/>
  <c r="N40" i="24" s="1"/>
  <c r="P39" i="2"/>
  <c r="N39" i="24" s="1"/>
  <c r="P38" i="2"/>
  <c r="N38" i="24" s="1"/>
  <c r="P37" i="2"/>
  <c r="N37" i="24" s="1"/>
  <c r="P36" i="2"/>
  <c r="N36" i="24" s="1"/>
  <c r="P35" i="2"/>
  <c r="N35" i="24" s="1"/>
  <c r="P34" i="2"/>
  <c r="N34" i="24" s="1"/>
  <c r="P33" i="2"/>
  <c r="N33" i="24" s="1"/>
  <c r="P32" i="2"/>
  <c r="N32" i="24" s="1"/>
  <c r="P31" i="2"/>
  <c r="N31" i="24" s="1"/>
  <c r="P30" i="2"/>
  <c r="P29" i="2"/>
  <c r="P28" i="2"/>
  <c r="N28" i="24" s="1"/>
  <c r="P26" i="2"/>
  <c r="N26" i="24" s="1"/>
  <c r="P25" i="2"/>
  <c r="N25" i="24" s="1"/>
  <c r="P24" i="2"/>
  <c r="N24" i="24" s="1"/>
  <c r="P23" i="2"/>
  <c r="N23" i="24" s="1"/>
  <c r="P22" i="2"/>
  <c r="N22" i="24" s="1"/>
  <c r="P21" i="2"/>
  <c r="N21" i="24" s="1"/>
  <c r="P20" i="2"/>
  <c r="N20" i="24" s="1"/>
  <c r="P19" i="2"/>
  <c r="N19" i="24" s="1"/>
  <c r="P18" i="2"/>
  <c r="N18" i="24" s="1"/>
  <c r="P17" i="2"/>
  <c r="N17" i="24" s="1"/>
  <c r="P16" i="2"/>
  <c r="N16" i="24" s="1"/>
  <c r="P14" i="2"/>
  <c r="N14" i="24" s="1"/>
  <c r="P13" i="2"/>
  <c r="N13" i="24" s="1"/>
  <c r="P12" i="2"/>
  <c r="N12" i="24" s="1"/>
  <c r="P11" i="2"/>
  <c r="N11" i="24" s="1"/>
  <c r="P10" i="2"/>
  <c r="N10" i="24" s="1"/>
  <c r="P9" i="2"/>
  <c r="N9" i="24" s="1"/>
  <c r="P7" i="2"/>
  <c r="N7" i="24" s="1"/>
  <c r="P6" i="2"/>
  <c r="N6" i="24" s="1"/>
  <c r="P5" i="2"/>
  <c r="N5" i="24" s="1"/>
  <c r="P4" i="2"/>
  <c r="N4" i="24" s="1"/>
  <c r="P3" i="2"/>
  <c r="N3" i="24" s="1"/>
  <c r="P2" i="2"/>
  <c r="N2" i="24" s="1"/>
  <c r="D1128" i="19" l="1"/>
  <c r="D1127" i="19"/>
  <c r="D1126" i="19"/>
  <c r="D1125" i="19"/>
  <c r="D1124" i="19"/>
  <c r="D1123" i="19"/>
  <c r="D1122" i="19"/>
  <c r="D1121" i="19"/>
  <c r="D1120" i="19"/>
  <c r="D1119" i="19"/>
  <c r="D1118" i="19"/>
  <c r="D1117" i="19"/>
  <c r="D1116" i="19"/>
  <c r="D1115" i="19"/>
  <c r="D1114" i="19"/>
  <c r="D1113" i="19"/>
  <c r="D1112" i="19"/>
  <c r="D1111" i="19"/>
  <c r="D1110" i="19"/>
  <c r="D1109" i="19"/>
  <c r="D1108" i="19"/>
  <c r="D1107" i="19"/>
  <c r="D1106" i="19"/>
  <c r="D1105" i="19"/>
  <c r="D1104" i="19"/>
  <c r="D1103" i="19"/>
  <c r="D1102" i="19"/>
  <c r="D1101" i="19"/>
  <c r="D1100" i="19"/>
  <c r="D1099" i="19"/>
  <c r="D1098" i="19"/>
  <c r="D1097" i="19"/>
  <c r="D1096" i="19"/>
  <c r="D1095" i="19"/>
  <c r="D1094" i="19"/>
  <c r="D1093" i="19"/>
  <c r="D1092" i="19"/>
  <c r="D1091" i="19"/>
  <c r="D1090" i="19"/>
  <c r="D1089" i="19"/>
  <c r="D1088" i="19"/>
  <c r="D1087" i="19"/>
  <c r="D1086" i="19"/>
  <c r="D1085" i="19"/>
  <c r="D1084" i="19"/>
  <c r="D1083" i="19"/>
  <c r="D1082" i="19"/>
  <c r="D1081" i="19"/>
  <c r="D1080" i="19"/>
  <c r="D1079" i="19"/>
  <c r="D1078" i="19"/>
  <c r="D1077" i="19"/>
  <c r="D1076" i="19"/>
  <c r="D1075" i="19"/>
  <c r="D1074" i="19"/>
  <c r="D1073" i="19"/>
  <c r="D1072" i="19"/>
  <c r="D1071" i="19"/>
  <c r="D1070" i="19"/>
  <c r="D1069" i="19"/>
  <c r="D1068" i="19"/>
  <c r="D1067" i="19"/>
  <c r="D1066" i="19"/>
  <c r="D1065" i="19"/>
  <c r="D1064" i="19"/>
  <c r="D1063" i="19"/>
  <c r="D1062" i="19"/>
  <c r="D1061" i="19"/>
  <c r="D1060" i="19"/>
  <c r="D1059" i="19"/>
  <c r="D1058" i="19"/>
  <c r="D1057" i="19"/>
  <c r="D1056" i="19"/>
  <c r="D1055" i="19"/>
  <c r="D1054" i="19"/>
  <c r="D1053" i="19"/>
  <c r="D1052" i="19"/>
  <c r="D1051" i="19"/>
  <c r="D1050" i="19"/>
  <c r="D1049" i="19"/>
  <c r="D1048" i="19"/>
  <c r="D1047" i="19"/>
  <c r="D1046" i="19"/>
  <c r="D1045" i="19"/>
  <c r="D1044" i="19"/>
  <c r="D1043" i="19"/>
  <c r="D1042" i="19"/>
  <c r="D1041" i="19"/>
  <c r="D1040" i="19"/>
  <c r="D1039" i="19"/>
  <c r="D1038" i="19"/>
  <c r="D1037" i="19"/>
  <c r="D1036" i="19"/>
  <c r="D1035" i="19"/>
  <c r="D1034" i="19"/>
  <c r="D1033" i="19"/>
  <c r="D1032" i="19"/>
  <c r="D1031" i="19"/>
  <c r="D1030" i="19"/>
  <c r="D1029" i="19"/>
  <c r="D1028" i="19"/>
  <c r="D1027" i="19"/>
  <c r="D1026" i="19"/>
  <c r="D1025" i="19"/>
  <c r="D1024" i="19"/>
  <c r="D1023" i="19"/>
  <c r="D1022" i="19"/>
  <c r="D1021" i="19"/>
  <c r="D1020" i="19"/>
  <c r="D1019" i="19"/>
  <c r="D1018" i="19"/>
  <c r="D1017" i="19"/>
  <c r="D1016" i="19"/>
  <c r="D1015" i="19"/>
  <c r="D1014" i="19"/>
  <c r="D1013" i="19"/>
  <c r="D1012" i="19"/>
  <c r="D1011" i="19"/>
  <c r="D1010" i="19"/>
  <c r="D1009" i="19"/>
  <c r="D1008" i="19"/>
  <c r="D1007" i="19"/>
  <c r="D1006" i="19"/>
  <c r="D1005" i="19"/>
  <c r="D1004" i="19"/>
  <c r="D1003" i="19"/>
  <c r="D1002" i="19"/>
  <c r="D1001" i="19"/>
  <c r="D1000" i="19"/>
  <c r="D999" i="19"/>
  <c r="D998" i="19"/>
  <c r="D997" i="19"/>
  <c r="D996" i="19"/>
  <c r="D995" i="19"/>
  <c r="D994" i="19"/>
  <c r="D993" i="19"/>
  <c r="D992" i="19"/>
  <c r="D991" i="19"/>
  <c r="D990" i="19"/>
  <c r="D989" i="19"/>
  <c r="D988" i="19"/>
  <c r="D987" i="19"/>
  <c r="D986" i="19"/>
  <c r="D985" i="19"/>
  <c r="D984" i="19"/>
  <c r="D983" i="19"/>
  <c r="D982" i="19"/>
  <c r="D981" i="19"/>
  <c r="D980" i="19"/>
  <c r="D979" i="19"/>
  <c r="D978" i="19"/>
  <c r="D977" i="19"/>
  <c r="D976" i="19"/>
  <c r="D975" i="19"/>
  <c r="D974" i="19"/>
  <c r="D973" i="19"/>
  <c r="D972" i="19"/>
  <c r="D971" i="19"/>
  <c r="D970" i="19"/>
  <c r="D969" i="19"/>
  <c r="D968" i="19"/>
  <c r="D967" i="19"/>
  <c r="D966" i="19"/>
  <c r="D965" i="19"/>
  <c r="D964" i="19"/>
  <c r="D963" i="19"/>
  <c r="D962" i="19"/>
  <c r="D961" i="19"/>
  <c r="D960" i="19"/>
  <c r="D959" i="19"/>
  <c r="D958" i="19"/>
  <c r="D957" i="19"/>
  <c r="D956" i="19"/>
  <c r="D955" i="19"/>
  <c r="D954" i="19"/>
  <c r="D953" i="19"/>
  <c r="D952" i="19"/>
  <c r="D951" i="19"/>
  <c r="D950" i="19"/>
  <c r="D949" i="19"/>
  <c r="D948" i="19"/>
  <c r="D947" i="19"/>
  <c r="D946" i="19"/>
  <c r="D945" i="19"/>
  <c r="D944" i="19"/>
  <c r="D943" i="19"/>
  <c r="D942" i="19"/>
  <c r="D941" i="19"/>
  <c r="D940" i="19"/>
  <c r="D939" i="19"/>
  <c r="D938" i="19"/>
  <c r="D937" i="19"/>
  <c r="D936" i="19"/>
  <c r="D935" i="19"/>
  <c r="D934" i="19"/>
  <c r="D933" i="19"/>
  <c r="D932" i="19"/>
  <c r="D931" i="19"/>
  <c r="D930" i="19"/>
  <c r="D929" i="19"/>
  <c r="D928" i="19"/>
  <c r="D927" i="19"/>
  <c r="D926" i="19"/>
  <c r="D925" i="19"/>
  <c r="D924" i="19"/>
  <c r="D923" i="19"/>
  <c r="D922" i="19"/>
  <c r="D921" i="19"/>
  <c r="D920" i="19"/>
  <c r="D919" i="19"/>
  <c r="D918" i="19"/>
  <c r="D917" i="19"/>
  <c r="D916" i="19"/>
  <c r="D915" i="19"/>
  <c r="D914" i="19"/>
  <c r="D913" i="19"/>
  <c r="D912" i="19"/>
  <c r="D911" i="19"/>
  <c r="D910" i="19"/>
  <c r="D909" i="19"/>
  <c r="D908" i="19"/>
  <c r="D907" i="19"/>
  <c r="D906" i="19"/>
  <c r="D905" i="19"/>
  <c r="D904" i="19"/>
  <c r="D903" i="19"/>
  <c r="D902" i="19"/>
  <c r="D901" i="19"/>
  <c r="D900" i="19"/>
  <c r="D899" i="19"/>
  <c r="D898" i="19"/>
  <c r="D897" i="19"/>
  <c r="D896" i="19"/>
  <c r="D895" i="19"/>
  <c r="D894" i="19"/>
  <c r="D893" i="19"/>
  <c r="D892" i="19"/>
  <c r="D891" i="19"/>
  <c r="D890" i="19"/>
  <c r="D889" i="19"/>
  <c r="D888" i="19"/>
  <c r="D887" i="19"/>
  <c r="D886" i="19"/>
  <c r="D885" i="19"/>
  <c r="D884" i="19"/>
  <c r="D883" i="19"/>
  <c r="D882" i="19"/>
  <c r="D881" i="19"/>
  <c r="D880" i="19"/>
  <c r="D879" i="19"/>
  <c r="D878" i="19"/>
  <c r="D877" i="19"/>
  <c r="D876" i="19"/>
  <c r="D875" i="19"/>
  <c r="D874" i="19"/>
  <c r="D873" i="19"/>
  <c r="D872" i="19"/>
  <c r="D871" i="19"/>
  <c r="D870" i="19"/>
  <c r="D869" i="19"/>
  <c r="D868" i="19"/>
  <c r="D867" i="19"/>
  <c r="D866" i="19"/>
  <c r="D865" i="19"/>
  <c r="D864" i="19"/>
  <c r="D863" i="19"/>
  <c r="D862" i="19"/>
  <c r="D861" i="19"/>
  <c r="D860" i="19"/>
  <c r="D859" i="19"/>
  <c r="D858" i="19"/>
  <c r="D857" i="19"/>
  <c r="D856" i="19"/>
  <c r="D855" i="19"/>
  <c r="D854" i="19"/>
  <c r="D853" i="19"/>
  <c r="D852" i="19"/>
  <c r="D851" i="19"/>
  <c r="D850" i="19"/>
  <c r="D849" i="19"/>
  <c r="D848" i="19"/>
  <c r="D847" i="19"/>
  <c r="D846" i="19"/>
  <c r="D845" i="19"/>
  <c r="D844" i="19"/>
  <c r="D843" i="19"/>
  <c r="D842" i="19"/>
  <c r="D841" i="19"/>
  <c r="D840" i="19"/>
  <c r="D839" i="19"/>
  <c r="D838" i="19"/>
  <c r="D837" i="19"/>
  <c r="D836" i="19"/>
  <c r="D835" i="19"/>
  <c r="D834" i="19"/>
  <c r="D833" i="19"/>
  <c r="D832" i="19"/>
  <c r="D831" i="19"/>
  <c r="D830" i="19"/>
  <c r="D829" i="19"/>
  <c r="D828" i="19"/>
  <c r="D827" i="19"/>
  <c r="D826" i="19"/>
  <c r="D825" i="19"/>
  <c r="D824" i="19"/>
  <c r="D823" i="19"/>
  <c r="D822" i="19"/>
  <c r="D821" i="19"/>
  <c r="D820" i="19"/>
  <c r="D819" i="19"/>
  <c r="D818" i="19"/>
  <c r="D817" i="19"/>
  <c r="D816" i="19"/>
  <c r="D815" i="19"/>
  <c r="D814" i="19"/>
  <c r="D813" i="19"/>
  <c r="D812" i="19"/>
  <c r="D811" i="19"/>
  <c r="D810" i="19"/>
  <c r="D809" i="19"/>
  <c r="D808" i="19"/>
  <c r="D807" i="19"/>
  <c r="D806" i="19"/>
  <c r="D805" i="19"/>
  <c r="D804" i="19"/>
  <c r="D803" i="19"/>
  <c r="D802" i="19"/>
  <c r="D801" i="19"/>
  <c r="D800" i="19"/>
  <c r="D799" i="19"/>
  <c r="D798" i="19"/>
  <c r="D797" i="19"/>
  <c r="D796" i="19"/>
  <c r="D795" i="19"/>
  <c r="D794" i="19"/>
  <c r="D793" i="19"/>
  <c r="D792" i="19"/>
  <c r="D791" i="19"/>
  <c r="D790" i="19"/>
  <c r="D789" i="19"/>
  <c r="D788" i="19"/>
  <c r="D787" i="19"/>
  <c r="D786" i="19"/>
  <c r="D785" i="19"/>
  <c r="D784" i="19"/>
  <c r="D783" i="19"/>
  <c r="D782" i="19"/>
  <c r="D781" i="19"/>
  <c r="D780" i="19"/>
  <c r="D779" i="19"/>
  <c r="D778" i="19"/>
  <c r="D777" i="19"/>
  <c r="D776" i="19"/>
  <c r="D775" i="19"/>
  <c r="D774" i="19"/>
  <c r="D773" i="19"/>
  <c r="D772" i="19"/>
  <c r="D771" i="19"/>
  <c r="D770" i="19"/>
  <c r="D769" i="19"/>
  <c r="D768" i="19"/>
  <c r="D767" i="19"/>
  <c r="D766" i="19"/>
  <c r="D765" i="19"/>
  <c r="D764" i="19"/>
  <c r="D763" i="19"/>
  <c r="D762" i="19"/>
  <c r="D761" i="19"/>
  <c r="D760" i="19"/>
  <c r="D759" i="19"/>
  <c r="D758" i="19"/>
  <c r="D757" i="19"/>
  <c r="D756" i="19"/>
  <c r="D755" i="19"/>
  <c r="D754" i="19"/>
  <c r="D753" i="19"/>
  <c r="D752" i="19"/>
  <c r="D751" i="19"/>
  <c r="D750" i="19"/>
  <c r="D749" i="19"/>
  <c r="D748" i="19"/>
  <c r="D747" i="19"/>
  <c r="D746" i="19"/>
  <c r="D745" i="19"/>
  <c r="D744" i="19"/>
  <c r="D743" i="19"/>
  <c r="D742" i="19"/>
  <c r="D741" i="19"/>
  <c r="D740" i="19"/>
  <c r="D739" i="19"/>
  <c r="D738" i="19"/>
  <c r="D737" i="19"/>
  <c r="D736" i="19"/>
  <c r="D735" i="19"/>
  <c r="D734" i="19"/>
  <c r="D733" i="19"/>
  <c r="D732" i="19"/>
  <c r="D731" i="19"/>
  <c r="D730" i="19"/>
  <c r="D729" i="19"/>
  <c r="D728" i="19"/>
  <c r="D727" i="19"/>
  <c r="D726" i="19"/>
  <c r="D725" i="19"/>
  <c r="D724" i="19"/>
  <c r="D723" i="19"/>
  <c r="D722" i="19"/>
  <c r="D721" i="19"/>
  <c r="D720" i="19"/>
  <c r="D719" i="19"/>
  <c r="D718" i="19"/>
  <c r="D717" i="19"/>
  <c r="D716" i="19"/>
  <c r="D715" i="19"/>
  <c r="D714" i="19"/>
  <c r="D713" i="19"/>
  <c r="D712" i="19"/>
  <c r="D711" i="19"/>
  <c r="D710" i="19"/>
  <c r="D709" i="19"/>
  <c r="D708" i="19"/>
  <c r="D707" i="19"/>
  <c r="D706" i="19"/>
  <c r="D705" i="19"/>
  <c r="D704" i="19"/>
  <c r="D703" i="19"/>
  <c r="D702" i="19"/>
  <c r="D701" i="19"/>
  <c r="D700" i="19"/>
  <c r="D699" i="19"/>
  <c r="D698" i="19"/>
  <c r="D697" i="19"/>
  <c r="D696" i="19"/>
  <c r="D695" i="19"/>
  <c r="D694" i="19"/>
  <c r="D693" i="19"/>
  <c r="D692" i="19"/>
  <c r="D691" i="19"/>
  <c r="D690" i="19"/>
  <c r="D689" i="19"/>
  <c r="D688" i="19"/>
  <c r="D687" i="19"/>
  <c r="D686" i="19"/>
  <c r="D685" i="19"/>
  <c r="D684" i="19"/>
  <c r="D683" i="19"/>
  <c r="D682" i="19"/>
  <c r="D681" i="19"/>
  <c r="D680" i="19"/>
  <c r="D679" i="19"/>
  <c r="D678" i="19"/>
  <c r="D677" i="19"/>
  <c r="D676" i="19"/>
  <c r="D675" i="19"/>
  <c r="D674" i="19"/>
  <c r="D673" i="19"/>
  <c r="D672" i="19"/>
  <c r="D671" i="19"/>
  <c r="D670" i="19"/>
  <c r="D669" i="19"/>
  <c r="D668" i="19"/>
  <c r="D667" i="19"/>
  <c r="D666" i="19"/>
  <c r="D665" i="19"/>
  <c r="D664" i="19"/>
  <c r="D663" i="19"/>
  <c r="D662" i="19"/>
  <c r="D661" i="19"/>
  <c r="D660" i="19"/>
  <c r="D659" i="19"/>
  <c r="D658" i="19"/>
  <c r="D657" i="19"/>
  <c r="D656" i="19"/>
  <c r="D655" i="19"/>
  <c r="D654" i="19"/>
  <c r="D653" i="19"/>
  <c r="D652" i="19"/>
  <c r="D651" i="19"/>
  <c r="D650" i="19"/>
  <c r="D649" i="19"/>
  <c r="D648" i="19"/>
  <c r="D647" i="19"/>
  <c r="D646" i="19"/>
  <c r="D645" i="19"/>
  <c r="D644" i="19"/>
  <c r="D643" i="19"/>
  <c r="D642" i="19"/>
  <c r="D641" i="19"/>
  <c r="D640" i="19"/>
  <c r="D639" i="19"/>
  <c r="D638" i="19"/>
  <c r="D637" i="19"/>
  <c r="D636" i="19"/>
  <c r="D635" i="19"/>
  <c r="D634" i="19"/>
  <c r="D633" i="19"/>
  <c r="D632" i="19"/>
  <c r="D631" i="19"/>
  <c r="D630" i="19"/>
  <c r="D629" i="19"/>
  <c r="D628" i="19"/>
  <c r="D627" i="19"/>
  <c r="D626" i="19"/>
  <c r="D625" i="19"/>
  <c r="D624" i="19"/>
  <c r="D623" i="19"/>
  <c r="D622" i="19"/>
  <c r="D621" i="19"/>
  <c r="D620" i="19"/>
  <c r="D619" i="19"/>
  <c r="D618" i="19"/>
  <c r="D617" i="19"/>
  <c r="D616" i="19"/>
  <c r="D615" i="19"/>
  <c r="D614" i="19"/>
  <c r="D613" i="19"/>
  <c r="D612" i="19"/>
  <c r="D611" i="19"/>
  <c r="D610" i="19"/>
  <c r="D609" i="19"/>
  <c r="D608" i="19"/>
  <c r="D607" i="19"/>
  <c r="D606" i="19"/>
  <c r="D605" i="19"/>
  <c r="D604" i="19"/>
  <c r="D603" i="19"/>
  <c r="D602" i="19"/>
  <c r="D601" i="19"/>
  <c r="D600" i="19"/>
  <c r="D599" i="19"/>
  <c r="D598" i="19"/>
  <c r="D597" i="19"/>
  <c r="D596" i="19"/>
  <c r="D595" i="19"/>
  <c r="D594" i="19"/>
  <c r="D593" i="19"/>
  <c r="D592" i="19"/>
  <c r="D591" i="19"/>
  <c r="D590" i="19"/>
  <c r="D589" i="19"/>
  <c r="D588" i="19"/>
  <c r="D587" i="19"/>
  <c r="D586" i="19"/>
  <c r="D585" i="19"/>
  <c r="D584" i="19"/>
  <c r="D583" i="19"/>
  <c r="D582" i="19"/>
  <c r="D581" i="19"/>
  <c r="D580" i="19"/>
  <c r="D579" i="19"/>
  <c r="D578" i="19"/>
  <c r="D577" i="19"/>
  <c r="D576" i="19"/>
  <c r="D575" i="19"/>
  <c r="D574" i="19"/>
  <c r="D573" i="19"/>
  <c r="D572" i="19"/>
  <c r="D571" i="19"/>
  <c r="D570" i="19"/>
  <c r="D569" i="19"/>
  <c r="D568" i="19"/>
  <c r="D567" i="19"/>
  <c r="D566" i="19"/>
  <c r="D565" i="19"/>
  <c r="D564" i="19"/>
  <c r="D563" i="19"/>
  <c r="D562" i="19"/>
  <c r="D561" i="19"/>
  <c r="D560" i="19"/>
  <c r="D559" i="19"/>
  <c r="D558" i="19"/>
  <c r="D557" i="19"/>
  <c r="D556" i="19"/>
  <c r="D555" i="19"/>
  <c r="D554" i="19"/>
  <c r="D553" i="19"/>
  <c r="D552" i="19"/>
  <c r="D551" i="19"/>
  <c r="D550" i="19"/>
  <c r="D549" i="19"/>
  <c r="D548" i="19"/>
  <c r="D547" i="19"/>
  <c r="D546" i="19"/>
  <c r="D545" i="19"/>
  <c r="D544" i="19"/>
  <c r="D543" i="19"/>
  <c r="D542" i="19"/>
  <c r="D541" i="19"/>
  <c r="D540" i="19"/>
  <c r="D539" i="19"/>
  <c r="D538" i="19"/>
  <c r="D537" i="19"/>
  <c r="D536" i="19"/>
  <c r="D535" i="19"/>
  <c r="D534" i="19"/>
  <c r="D533" i="19"/>
  <c r="D532" i="19"/>
  <c r="D531" i="19"/>
  <c r="D530" i="19"/>
  <c r="D529" i="19"/>
  <c r="D528" i="19"/>
  <c r="D527" i="19"/>
  <c r="D526" i="19"/>
  <c r="D525" i="19"/>
  <c r="D524" i="19"/>
  <c r="D523" i="19"/>
  <c r="D522" i="19"/>
  <c r="D521" i="19"/>
  <c r="D520" i="19"/>
  <c r="D519" i="19"/>
  <c r="D518" i="19"/>
  <c r="D517" i="19"/>
  <c r="D516" i="19"/>
  <c r="D515" i="19"/>
  <c r="D514" i="19"/>
  <c r="D513" i="19"/>
  <c r="D512" i="19"/>
  <c r="D511" i="19"/>
  <c r="D510" i="19"/>
  <c r="D509" i="19"/>
  <c r="D508" i="19"/>
  <c r="D507" i="19"/>
  <c r="D506" i="19"/>
  <c r="D505" i="19"/>
  <c r="D504" i="19"/>
  <c r="D503" i="19"/>
  <c r="D502" i="19"/>
  <c r="D501" i="19"/>
  <c r="D500" i="19"/>
  <c r="D499" i="19"/>
  <c r="D498" i="19"/>
  <c r="D497" i="19"/>
  <c r="D496" i="19"/>
  <c r="D495" i="19"/>
  <c r="D494" i="19"/>
  <c r="D493" i="19"/>
  <c r="D492" i="19"/>
  <c r="D491" i="19"/>
  <c r="D490" i="19"/>
  <c r="D489" i="19"/>
  <c r="D488" i="19"/>
  <c r="D487" i="19"/>
  <c r="D486" i="19"/>
  <c r="D485" i="19"/>
  <c r="D484" i="19"/>
  <c r="D483" i="19"/>
  <c r="D482" i="19"/>
  <c r="D481" i="19"/>
  <c r="D480" i="19"/>
  <c r="D479" i="19"/>
  <c r="D478" i="19"/>
  <c r="D477" i="19"/>
  <c r="D476" i="19"/>
  <c r="D475" i="19"/>
  <c r="D474" i="19"/>
  <c r="D473" i="19"/>
  <c r="D472" i="19"/>
  <c r="D471" i="19"/>
  <c r="D470" i="19"/>
  <c r="D469" i="19"/>
  <c r="D468" i="19"/>
  <c r="D467" i="19"/>
  <c r="D466" i="19"/>
  <c r="D465" i="19"/>
  <c r="D464" i="19"/>
  <c r="D463" i="19"/>
  <c r="D462" i="19"/>
  <c r="D461" i="19"/>
  <c r="D460" i="19"/>
  <c r="D459" i="19"/>
  <c r="D458" i="19"/>
  <c r="D457" i="19"/>
  <c r="D456" i="19"/>
  <c r="D455" i="19"/>
  <c r="D454" i="19"/>
  <c r="D453" i="19"/>
  <c r="D452" i="19"/>
  <c r="D451" i="19"/>
  <c r="D450" i="19"/>
  <c r="D449" i="19"/>
  <c r="D448" i="19"/>
  <c r="D447" i="19"/>
  <c r="D446" i="19"/>
  <c r="D445" i="19"/>
  <c r="D444" i="19"/>
  <c r="D443" i="19"/>
  <c r="D442" i="19"/>
  <c r="D441" i="19"/>
  <c r="D440" i="19"/>
  <c r="D439" i="19"/>
  <c r="D438" i="19"/>
  <c r="D437" i="19"/>
  <c r="D436" i="19"/>
  <c r="D435" i="19"/>
  <c r="D434" i="19"/>
  <c r="D433" i="19"/>
  <c r="D432" i="19"/>
  <c r="D431" i="19"/>
  <c r="D430" i="19"/>
  <c r="D429" i="19"/>
  <c r="D428" i="19"/>
  <c r="D427" i="19"/>
  <c r="D426" i="19"/>
  <c r="D425" i="19"/>
  <c r="D424" i="19"/>
  <c r="D423" i="19"/>
  <c r="D422" i="19"/>
  <c r="D421" i="19"/>
  <c r="D420" i="19"/>
  <c r="D419" i="19"/>
  <c r="D418" i="19"/>
  <c r="D417" i="19"/>
  <c r="D416" i="19"/>
  <c r="D415" i="19"/>
  <c r="D414" i="19"/>
  <c r="D413" i="19"/>
  <c r="D412" i="19"/>
  <c r="D411" i="19"/>
  <c r="D410" i="19"/>
  <c r="D409" i="19"/>
  <c r="D408" i="19"/>
  <c r="D407" i="19"/>
  <c r="D406" i="19"/>
  <c r="D405" i="19"/>
  <c r="D404" i="19"/>
  <c r="D403" i="19"/>
  <c r="D402" i="19"/>
  <c r="D401" i="19"/>
  <c r="D400" i="19"/>
  <c r="D399" i="19"/>
  <c r="D398" i="19"/>
  <c r="D397" i="19"/>
  <c r="D396" i="19"/>
  <c r="D395" i="19"/>
  <c r="D394" i="19"/>
  <c r="D393" i="19"/>
  <c r="D392" i="19"/>
  <c r="D391" i="19"/>
  <c r="D390" i="19"/>
  <c r="D389" i="19"/>
  <c r="D388" i="19"/>
  <c r="D387" i="19"/>
  <c r="D386" i="19"/>
  <c r="D385" i="19"/>
  <c r="D384" i="19"/>
  <c r="D383" i="19"/>
  <c r="D382" i="19"/>
  <c r="D381" i="19"/>
  <c r="D380" i="19"/>
  <c r="D379" i="19"/>
  <c r="D378" i="19"/>
  <c r="D377" i="19"/>
  <c r="D376" i="19"/>
  <c r="D375" i="19"/>
  <c r="D374" i="19"/>
  <c r="D373" i="19"/>
  <c r="D372" i="19"/>
  <c r="D371" i="19"/>
  <c r="D370" i="19"/>
  <c r="D369" i="19"/>
  <c r="D368" i="19"/>
  <c r="D367" i="19"/>
  <c r="D366" i="19"/>
  <c r="D365" i="19"/>
  <c r="D364" i="19"/>
  <c r="D363" i="19"/>
  <c r="D362" i="19"/>
  <c r="D361" i="19"/>
  <c r="D360" i="19"/>
  <c r="D359" i="19"/>
  <c r="D358" i="19"/>
  <c r="D357" i="19"/>
  <c r="D356" i="19"/>
  <c r="D355" i="19"/>
  <c r="D354" i="19"/>
  <c r="D353" i="19"/>
  <c r="D352" i="19"/>
  <c r="D351" i="19"/>
  <c r="D350" i="19"/>
  <c r="D349" i="19"/>
  <c r="D348" i="19"/>
  <c r="D347" i="19"/>
  <c r="D346" i="19"/>
  <c r="D345" i="19"/>
  <c r="D344" i="19"/>
  <c r="D343" i="19"/>
  <c r="D342" i="19"/>
  <c r="D341" i="19"/>
  <c r="D340" i="19"/>
  <c r="D339" i="19"/>
  <c r="D338" i="19"/>
  <c r="D337" i="19"/>
  <c r="D336" i="19"/>
  <c r="D335" i="19"/>
  <c r="D334" i="19"/>
  <c r="D333" i="19"/>
  <c r="D332" i="19"/>
  <c r="D331" i="19"/>
  <c r="D330" i="19"/>
  <c r="D329" i="19"/>
  <c r="D328" i="19"/>
  <c r="D327" i="19"/>
  <c r="D326" i="19"/>
  <c r="D325" i="19"/>
  <c r="D324" i="19"/>
  <c r="D323" i="19"/>
  <c r="D322" i="19"/>
  <c r="D321" i="19"/>
  <c r="D320" i="19"/>
  <c r="D319" i="19"/>
  <c r="D318" i="19"/>
  <c r="D317" i="19"/>
  <c r="D316" i="19"/>
  <c r="D315" i="19"/>
  <c r="D314" i="19"/>
  <c r="D313" i="19"/>
  <c r="D312" i="19"/>
  <c r="D311" i="19"/>
  <c r="D310" i="19"/>
  <c r="D309" i="19"/>
  <c r="D308" i="19"/>
  <c r="D307" i="19"/>
  <c r="D306" i="19"/>
  <c r="D305" i="19"/>
  <c r="D304" i="19"/>
  <c r="D303" i="19"/>
  <c r="D302" i="19"/>
  <c r="D301" i="19"/>
  <c r="D300" i="19"/>
  <c r="D299" i="19"/>
  <c r="D298" i="19"/>
  <c r="D297" i="19"/>
  <c r="D296" i="19"/>
  <c r="D295" i="19"/>
  <c r="D294" i="19"/>
  <c r="D293" i="19"/>
  <c r="D292" i="19"/>
  <c r="D291" i="19"/>
  <c r="D290" i="19"/>
  <c r="D289" i="19"/>
  <c r="D288" i="19"/>
  <c r="D287" i="19"/>
  <c r="D286" i="19"/>
  <c r="D285" i="19"/>
  <c r="D284" i="19"/>
  <c r="D283" i="19"/>
  <c r="D282" i="19"/>
  <c r="D281" i="19"/>
  <c r="D280" i="19"/>
  <c r="D279" i="19"/>
  <c r="D278" i="19"/>
  <c r="D277" i="19"/>
  <c r="D276" i="19"/>
  <c r="D275" i="19"/>
  <c r="D274" i="19"/>
  <c r="D273" i="19"/>
  <c r="D272" i="19"/>
  <c r="D271" i="19"/>
  <c r="D270" i="19"/>
  <c r="D269" i="19"/>
  <c r="D268" i="19"/>
  <c r="D267" i="19"/>
  <c r="D266" i="19"/>
  <c r="D265" i="19"/>
  <c r="D264" i="19"/>
  <c r="D263" i="19"/>
  <c r="D262" i="19"/>
  <c r="D261" i="19"/>
  <c r="D260" i="19"/>
  <c r="D259" i="19"/>
  <c r="D258" i="19"/>
  <c r="D257" i="19"/>
  <c r="D256" i="19"/>
  <c r="D255" i="19"/>
  <c r="D254" i="19"/>
  <c r="D253" i="19"/>
  <c r="D252" i="19"/>
  <c r="D251" i="19"/>
  <c r="D250" i="19"/>
  <c r="D249" i="19"/>
  <c r="D248" i="19"/>
  <c r="D247" i="19"/>
  <c r="D246" i="19"/>
  <c r="D245" i="19"/>
  <c r="D244" i="19"/>
  <c r="D243" i="19"/>
  <c r="D242" i="19"/>
  <c r="D241" i="19"/>
  <c r="D240" i="19"/>
  <c r="D239" i="19"/>
  <c r="D238" i="19"/>
  <c r="D237" i="19"/>
  <c r="D236" i="19"/>
  <c r="D235" i="19"/>
  <c r="D234" i="19"/>
  <c r="D233" i="19"/>
  <c r="D232" i="19"/>
  <c r="D231" i="19"/>
  <c r="D230" i="19"/>
  <c r="D229" i="19"/>
  <c r="D228" i="19"/>
  <c r="D227" i="19"/>
  <c r="D226" i="19"/>
  <c r="D225" i="19"/>
  <c r="D224" i="19"/>
  <c r="D223" i="19"/>
  <c r="D222" i="19"/>
  <c r="D221" i="19"/>
  <c r="D220" i="19"/>
  <c r="D219" i="19"/>
  <c r="D218" i="19"/>
  <c r="D217" i="19"/>
  <c r="D216" i="19"/>
  <c r="D215" i="19"/>
  <c r="D214" i="19"/>
  <c r="D213" i="19"/>
  <c r="D212" i="19"/>
  <c r="D211" i="19"/>
  <c r="D210" i="19"/>
  <c r="D209" i="19"/>
  <c r="D208" i="19"/>
  <c r="D207" i="19"/>
  <c r="D206" i="19"/>
  <c r="D205" i="19"/>
  <c r="D204" i="19"/>
  <c r="D203" i="19"/>
  <c r="D202" i="19"/>
  <c r="D201" i="19"/>
  <c r="D200" i="19"/>
  <c r="D199" i="19"/>
  <c r="D198" i="19"/>
  <c r="D197" i="19"/>
  <c r="D196" i="19"/>
  <c r="D195" i="19"/>
  <c r="D194" i="19"/>
  <c r="D193" i="19"/>
  <c r="D192" i="19"/>
  <c r="D191" i="19"/>
  <c r="D190" i="19"/>
  <c r="D189" i="19"/>
  <c r="D188" i="19"/>
  <c r="D187" i="19"/>
  <c r="D186" i="19"/>
  <c r="D185" i="19"/>
  <c r="D184" i="19"/>
  <c r="D183" i="19"/>
  <c r="D182" i="19"/>
  <c r="D181" i="19"/>
  <c r="D180" i="19"/>
  <c r="D179" i="19"/>
  <c r="D178" i="19"/>
  <c r="D177" i="19"/>
  <c r="D176" i="19"/>
  <c r="D175" i="19"/>
  <c r="D174" i="19"/>
  <c r="D173" i="19"/>
  <c r="D172" i="19"/>
  <c r="D171" i="19"/>
  <c r="D170" i="19"/>
  <c r="D169" i="19"/>
  <c r="D168" i="19"/>
  <c r="D167" i="19"/>
  <c r="D166" i="19"/>
  <c r="D165" i="19"/>
  <c r="D164" i="19"/>
  <c r="D163" i="19"/>
  <c r="D162" i="19"/>
  <c r="D161" i="19"/>
  <c r="D160" i="19"/>
  <c r="D159" i="19"/>
  <c r="D158" i="19"/>
  <c r="D157" i="19"/>
  <c r="D156" i="19"/>
  <c r="D155" i="19"/>
  <c r="D154" i="19"/>
  <c r="D153" i="19"/>
  <c r="D152" i="19"/>
  <c r="D151" i="19"/>
  <c r="D150" i="19"/>
  <c r="D149" i="19"/>
  <c r="D148" i="19"/>
  <c r="D147" i="19"/>
  <c r="D146" i="19"/>
  <c r="D145" i="19"/>
  <c r="D144" i="19"/>
  <c r="D143" i="19"/>
  <c r="D142" i="19"/>
  <c r="D141" i="19"/>
  <c r="D140" i="19"/>
  <c r="D139" i="19"/>
  <c r="D138" i="19"/>
  <c r="D137" i="19"/>
  <c r="D136" i="19"/>
  <c r="D135" i="19"/>
  <c r="D134" i="19"/>
  <c r="D133" i="19"/>
  <c r="D132" i="19"/>
  <c r="D131" i="19"/>
  <c r="D130" i="19"/>
  <c r="D129" i="19"/>
  <c r="D128" i="19"/>
  <c r="D127" i="19"/>
  <c r="D126" i="19"/>
  <c r="D125" i="19"/>
  <c r="D124" i="19"/>
  <c r="D123" i="19"/>
  <c r="D122" i="19"/>
  <c r="D121" i="19"/>
  <c r="D120" i="19"/>
  <c r="D119" i="19"/>
  <c r="D118" i="19"/>
  <c r="D117" i="19"/>
  <c r="D116" i="19"/>
  <c r="D115" i="19"/>
  <c r="D114" i="19"/>
  <c r="D113" i="19"/>
  <c r="D112" i="19"/>
  <c r="D111" i="19"/>
  <c r="D110" i="19"/>
  <c r="D109" i="19"/>
  <c r="D108" i="19"/>
  <c r="D107" i="19"/>
  <c r="D106" i="19"/>
  <c r="D105" i="19"/>
  <c r="D104" i="19"/>
  <c r="D103" i="19"/>
  <c r="D102" i="19"/>
  <c r="D101" i="19"/>
  <c r="D100" i="19"/>
  <c r="D99" i="19"/>
  <c r="D98" i="19"/>
  <c r="D97" i="19"/>
  <c r="D96" i="19"/>
  <c r="D95" i="19"/>
  <c r="D94" i="19"/>
  <c r="D93" i="19"/>
  <c r="D92" i="19"/>
  <c r="D91" i="19"/>
  <c r="D90" i="19"/>
  <c r="D89" i="19"/>
  <c r="D88" i="19"/>
  <c r="D87" i="19"/>
  <c r="D86" i="19"/>
  <c r="D85" i="19"/>
  <c r="D84" i="19"/>
  <c r="D83" i="19"/>
  <c r="D82" i="19"/>
  <c r="D81" i="19"/>
  <c r="D80" i="19"/>
  <c r="D79" i="19"/>
  <c r="D78" i="19"/>
  <c r="D77" i="19"/>
  <c r="D76" i="19"/>
  <c r="D75" i="19"/>
  <c r="D74" i="19"/>
  <c r="D73" i="19"/>
  <c r="D72" i="19"/>
  <c r="D71" i="19"/>
  <c r="D70" i="19"/>
  <c r="D69" i="19"/>
  <c r="D68" i="19"/>
  <c r="D67" i="19"/>
  <c r="D66" i="19"/>
  <c r="D65" i="19"/>
  <c r="D64" i="19"/>
  <c r="D63" i="19"/>
  <c r="D62" i="19"/>
  <c r="D61" i="19"/>
  <c r="D60" i="19"/>
  <c r="D59" i="19"/>
  <c r="D58" i="19"/>
  <c r="D57" i="19"/>
  <c r="D56" i="19"/>
  <c r="D55" i="19"/>
  <c r="D54" i="19"/>
  <c r="D53" i="19"/>
  <c r="D52" i="19"/>
  <c r="D51" i="19"/>
  <c r="D50" i="19"/>
  <c r="D49" i="19"/>
  <c r="D48" i="19"/>
  <c r="D47" i="19"/>
  <c r="D46" i="19"/>
  <c r="D45" i="19"/>
  <c r="D44" i="19"/>
  <c r="D43" i="19"/>
  <c r="D42" i="19"/>
  <c r="D41" i="19"/>
  <c r="D40" i="19"/>
  <c r="D39" i="19"/>
  <c r="D38" i="19"/>
  <c r="D37" i="19"/>
  <c r="D36" i="19"/>
  <c r="D35" i="19"/>
  <c r="D34" i="19"/>
  <c r="D33" i="19"/>
  <c r="D32" i="19"/>
  <c r="D31" i="19"/>
  <c r="D30" i="19"/>
  <c r="D29" i="19"/>
  <c r="D28" i="19"/>
  <c r="D27" i="19"/>
  <c r="D26" i="19"/>
  <c r="D25" i="19"/>
  <c r="D24" i="19"/>
  <c r="D23" i="19"/>
  <c r="D22" i="19"/>
  <c r="D21" i="19"/>
  <c r="D20" i="19"/>
  <c r="D19" i="19"/>
  <c r="D18" i="19"/>
  <c r="D17" i="19"/>
  <c r="D16" i="19"/>
  <c r="D15" i="19"/>
  <c r="D14" i="19"/>
  <c r="D13" i="19"/>
  <c r="D12" i="19"/>
  <c r="D11" i="19"/>
  <c r="D10" i="19"/>
  <c r="D9" i="19"/>
  <c r="D8" i="19"/>
  <c r="D7" i="19"/>
  <c r="D6" i="19"/>
  <c r="D5" i="19"/>
  <c r="D4" i="19"/>
  <c r="D3" i="19"/>
  <c r="D2" i="19"/>
  <c r="D2" i="17"/>
  <c r="L189" i="17"/>
  <c r="J189" i="17"/>
  <c r="H189" i="17"/>
  <c r="F189" i="17"/>
  <c r="K189" i="17"/>
  <c r="L191" i="17"/>
  <c r="J191" i="17"/>
  <c r="H191" i="17"/>
  <c r="F191" i="17"/>
  <c r="K191" i="17"/>
  <c r="L193" i="17"/>
  <c r="J193" i="17"/>
  <c r="H193" i="17"/>
  <c r="F193" i="17"/>
  <c r="K193" i="17"/>
  <c r="L195" i="17"/>
  <c r="J195" i="17"/>
  <c r="H195" i="17"/>
  <c r="F195" i="17"/>
  <c r="K195" i="17"/>
  <c r="L197" i="17"/>
  <c r="J197" i="17"/>
  <c r="H197" i="17"/>
  <c r="F197" i="17"/>
  <c r="K197" i="17"/>
  <c r="L199" i="17"/>
  <c r="J199" i="17"/>
  <c r="H199" i="17"/>
  <c r="F199" i="17"/>
  <c r="K199" i="17"/>
  <c r="L201" i="17"/>
  <c r="J201" i="17"/>
  <c r="H201" i="17"/>
  <c r="F201" i="17"/>
  <c r="K201" i="17"/>
  <c r="L203" i="17"/>
  <c r="J203" i="17"/>
  <c r="H203" i="17"/>
  <c r="F203" i="17"/>
  <c r="K203" i="17"/>
  <c r="L205" i="17"/>
  <c r="J205" i="17"/>
  <c r="H205" i="17"/>
  <c r="F205" i="17"/>
  <c r="K205" i="17"/>
  <c r="L207" i="17"/>
  <c r="J207" i="17"/>
  <c r="H207" i="17"/>
  <c r="F207" i="17"/>
  <c r="K207" i="17"/>
  <c r="L209" i="17"/>
  <c r="J209" i="17"/>
  <c r="H209" i="17"/>
  <c r="F209" i="17"/>
  <c r="K209" i="17"/>
  <c r="L211" i="17"/>
  <c r="J211" i="17"/>
  <c r="H211" i="17"/>
  <c r="F211" i="17"/>
  <c r="K211" i="17"/>
  <c r="L213" i="17"/>
  <c r="J213" i="17"/>
  <c r="H213" i="17"/>
  <c r="F213" i="17"/>
  <c r="K213" i="17"/>
  <c r="L215" i="17"/>
  <c r="J215" i="17"/>
  <c r="H215" i="17"/>
  <c r="F215" i="17"/>
  <c r="K215" i="17"/>
  <c r="L217" i="17"/>
  <c r="J217" i="17"/>
  <c r="H217" i="17"/>
  <c r="F217" i="17"/>
  <c r="K217" i="17"/>
  <c r="L219" i="17"/>
  <c r="J219" i="17"/>
  <c r="H219" i="17"/>
  <c r="F219" i="17"/>
  <c r="K219" i="17"/>
  <c r="L221" i="17"/>
  <c r="J221" i="17"/>
  <c r="H221" i="17"/>
  <c r="F221" i="17"/>
  <c r="K221" i="17"/>
  <c r="L223" i="17"/>
  <c r="J223" i="17"/>
  <c r="H223" i="17"/>
  <c r="F223" i="17"/>
  <c r="K223" i="17"/>
  <c r="L225" i="17"/>
  <c r="J225" i="17"/>
  <c r="H225" i="17"/>
  <c r="F225" i="17"/>
  <c r="K225" i="17"/>
  <c r="L227" i="17"/>
  <c r="J227" i="17"/>
  <c r="H227" i="17"/>
  <c r="F227" i="17"/>
  <c r="K227" i="17"/>
  <c r="L229" i="17"/>
  <c r="J229" i="17"/>
  <c r="H229" i="17"/>
  <c r="F229" i="17"/>
  <c r="K229" i="17"/>
  <c r="L231" i="17"/>
  <c r="J231" i="17"/>
  <c r="H231" i="17"/>
  <c r="F231" i="17"/>
  <c r="K231" i="17"/>
  <c r="L233" i="17"/>
  <c r="J233" i="17"/>
  <c r="H233" i="17"/>
  <c r="F233" i="17"/>
  <c r="K233" i="17"/>
  <c r="L235" i="17"/>
  <c r="J235" i="17"/>
  <c r="H235" i="17"/>
  <c r="F235" i="17"/>
  <c r="K235" i="17"/>
  <c r="L237" i="17"/>
  <c r="J237" i="17"/>
  <c r="H237" i="17"/>
  <c r="F237" i="17"/>
  <c r="K237" i="17"/>
  <c r="L239" i="17"/>
  <c r="J239" i="17"/>
  <c r="H239" i="17"/>
  <c r="F239" i="17"/>
  <c r="K239" i="17"/>
  <c r="L241" i="17"/>
  <c r="J241" i="17"/>
  <c r="H241" i="17"/>
  <c r="F241" i="17"/>
  <c r="K241" i="17"/>
  <c r="L243" i="17"/>
  <c r="J243" i="17"/>
  <c r="H243" i="17"/>
  <c r="F243" i="17"/>
  <c r="K243" i="17"/>
  <c r="L245" i="17"/>
  <c r="J245" i="17"/>
  <c r="H245" i="17"/>
  <c r="F245" i="17"/>
  <c r="K245" i="17"/>
  <c r="L247" i="17"/>
  <c r="J247" i="17"/>
  <c r="H247" i="17"/>
  <c r="F247" i="17"/>
  <c r="K247" i="17"/>
  <c r="L249" i="17"/>
  <c r="J249" i="17"/>
  <c r="H249" i="17"/>
  <c r="F249" i="17"/>
  <c r="K249" i="17"/>
  <c r="L251" i="17"/>
  <c r="J251" i="17"/>
  <c r="H251" i="17"/>
  <c r="F251" i="17"/>
  <c r="K251" i="17"/>
  <c r="L253" i="17"/>
  <c r="J253" i="17"/>
  <c r="H253" i="17"/>
  <c r="F253" i="17"/>
  <c r="K253" i="17"/>
  <c r="L255" i="17"/>
  <c r="J255" i="17"/>
  <c r="H255" i="17"/>
  <c r="F255" i="17"/>
  <c r="K255" i="17"/>
  <c r="L257" i="17"/>
  <c r="J257" i="17"/>
  <c r="H257" i="17"/>
  <c r="F257" i="17"/>
  <c r="K257" i="17"/>
  <c r="L259" i="17"/>
  <c r="J259" i="17"/>
  <c r="H259" i="17"/>
  <c r="F259" i="17"/>
  <c r="K259" i="17"/>
  <c r="L261" i="17"/>
  <c r="J261" i="17"/>
  <c r="H261" i="17"/>
  <c r="F261" i="17"/>
  <c r="K261" i="17"/>
  <c r="L263" i="17"/>
  <c r="J263" i="17"/>
  <c r="H263" i="17"/>
  <c r="F263" i="17"/>
  <c r="K263" i="17"/>
  <c r="L265" i="17"/>
  <c r="J265" i="17"/>
  <c r="H265" i="17"/>
  <c r="F265" i="17"/>
  <c r="K265" i="17"/>
  <c r="L267" i="17"/>
  <c r="J267" i="17"/>
  <c r="H267" i="17"/>
  <c r="F267" i="17"/>
  <c r="K267" i="17"/>
  <c r="L269" i="17"/>
  <c r="J269" i="17"/>
  <c r="H269" i="17"/>
  <c r="F269" i="17"/>
  <c r="K269" i="17"/>
  <c r="L271" i="17"/>
  <c r="J271" i="17"/>
  <c r="H271" i="17"/>
  <c r="F271" i="17"/>
  <c r="K271" i="17"/>
  <c r="L273" i="17"/>
  <c r="J273" i="17"/>
  <c r="H273" i="17"/>
  <c r="F273" i="17"/>
  <c r="K273" i="17"/>
  <c r="L275" i="17"/>
  <c r="J275" i="17"/>
  <c r="H275" i="17"/>
  <c r="F275" i="17"/>
  <c r="K275" i="17"/>
  <c r="L277" i="17"/>
  <c r="J277" i="17"/>
  <c r="H277" i="17"/>
  <c r="F277" i="17"/>
  <c r="K277" i="17"/>
  <c r="L279" i="17"/>
  <c r="J279" i="17"/>
  <c r="H279" i="17"/>
  <c r="F279" i="17"/>
  <c r="K279" i="17"/>
  <c r="L281" i="17"/>
  <c r="J281" i="17"/>
  <c r="H281" i="17"/>
  <c r="F281" i="17"/>
  <c r="K281" i="17"/>
  <c r="L283" i="17"/>
  <c r="J283" i="17"/>
  <c r="H283" i="17"/>
  <c r="F283" i="17"/>
  <c r="K283" i="17"/>
  <c r="L285" i="17"/>
  <c r="J285" i="17"/>
  <c r="H285" i="17"/>
  <c r="F285" i="17"/>
  <c r="K285" i="17"/>
  <c r="L287" i="17"/>
  <c r="J287" i="17"/>
  <c r="H287" i="17"/>
  <c r="F287" i="17"/>
  <c r="K287" i="17"/>
  <c r="L289" i="17"/>
  <c r="J289" i="17"/>
  <c r="H289" i="17"/>
  <c r="F289" i="17"/>
  <c r="K289" i="17"/>
  <c r="L291" i="17"/>
  <c r="J291" i="17"/>
  <c r="H291" i="17"/>
  <c r="F291" i="17"/>
  <c r="K291" i="17"/>
  <c r="L293" i="17"/>
  <c r="J293" i="17"/>
  <c r="H293" i="17"/>
  <c r="F293" i="17"/>
  <c r="K293" i="17"/>
  <c r="L295" i="17"/>
  <c r="J295" i="17"/>
  <c r="H295" i="17"/>
  <c r="F295" i="17"/>
  <c r="K295" i="17"/>
  <c r="L297" i="17"/>
  <c r="J297" i="17"/>
  <c r="H297" i="17"/>
  <c r="F297" i="17"/>
  <c r="K297" i="17"/>
  <c r="L299" i="17"/>
  <c r="J299" i="17"/>
  <c r="H299" i="17"/>
  <c r="F299" i="17"/>
  <c r="K299" i="17"/>
  <c r="L301" i="17"/>
  <c r="J301" i="17"/>
  <c r="H301" i="17"/>
  <c r="F301" i="17"/>
  <c r="K301" i="17"/>
  <c r="L303" i="17"/>
  <c r="J303" i="17"/>
  <c r="H303" i="17"/>
  <c r="F303" i="17"/>
  <c r="K303" i="17"/>
  <c r="L305" i="17"/>
  <c r="J305" i="17"/>
  <c r="H305" i="17"/>
  <c r="F305" i="17"/>
  <c r="K305" i="17"/>
  <c r="L307" i="17"/>
  <c r="J307" i="17"/>
  <c r="H307" i="17"/>
  <c r="F307" i="17"/>
  <c r="K307" i="17"/>
  <c r="L309" i="17"/>
  <c r="J309" i="17"/>
  <c r="H309" i="17"/>
  <c r="F309" i="17"/>
  <c r="K309" i="17"/>
  <c r="L311" i="17"/>
  <c r="J311" i="17"/>
  <c r="H311" i="17"/>
  <c r="F311" i="17"/>
  <c r="K311" i="17"/>
  <c r="L313" i="17"/>
  <c r="J313" i="17"/>
  <c r="H313" i="17"/>
  <c r="F313" i="17"/>
  <c r="K313" i="17"/>
  <c r="L315" i="17"/>
  <c r="J315" i="17"/>
  <c r="H315" i="17"/>
  <c r="F315" i="17"/>
  <c r="K315" i="17"/>
  <c r="L317" i="17"/>
  <c r="J317" i="17"/>
  <c r="H317" i="17"/>
  <c r="F317" i="17"/>
  <c r="K317" i="17"/>
  <c r="L319" i="17"/>
  <c r="J319" i="17"/>
  <c r="H319" i="17"/>
  <c r="F319" i="17"/>
  <c r="K319" i="17"/>
  <c r="L321" i="17"/>
  <c r="J321" i="17"/>
  <c r="H321" i="17"/>
  <c r="F321" i="17"/>
  <c r="K321" i="17"/>
  <c r="L323" i="17"/>
  <c r="J323" i="17"/>
  <c r="H323" i="17"/>
  <c r="F323" i="17"/>
  <c r="K323" i="17"/>
  <c r="L325" i="17"/>
  <c r="J325" i="17"/>
  <c r="H325" i="17"/>
  <c r="F325" i="17"/>
  <c r="K325" i="17"/>
  <c r="L327" i="17"/>
  <c r="J327" i="17"/>
  <c r="H327" i="17"/>
  <c r="F327" i="17"/>
  <c r="K327" i="17"/>
  <c r="L329" i="17"/>
  <c r="J329" i="17"/>
  <c r="H329" i="17"/>
  <c r="F329" i="17"/>
  <c r="K329" i="17"/>
  <c r="L331" i="17"/>
  <c r="J331" i="17"/>
  <c r="H331" i="17"/>
  <c r="F331" i="17"/>
  <c r="K331" i="17"/>
  <c r="L333" i="17"/>
  <c r="J333" i="17"/>
  <c r="H333" i="17"/>
  <c r="F333" i="17"/>
  <c r="K333" i="17"/>
  <c r="L335" i="17"/>
  <c r="J335" i="17"/>
  <c r="H335" i="17"/>
  <c r="F335" i="17"/>
  <c r="K335" i="17"/>
  <c r="L337" i="17"/>
  <c r="J337" i="17"/>
  <c r="H337" i="17"/>
  <c r="F337" i="17"/>
  <c r="K337" i="17"/>
  <c r="L339" i="17"/>
  <c r="J339" i="17"/>
  <c r="H339" i="17"/>
  <c r="F339" i="17"/>
  <c r="K339" i="17"/>
  <c r="L341" i="17"/>
  <c r="J341" i="17"/>
  <c r="H341" i="17"/>
  <c r="F341" i="17"/>
  <c r="K341" i="17"/>
  <c r="L343" i="17"/>
  <c r="J343" i="17"/>
  <c r="H343" i="17"/>
  <c r="F343" i="17"/>
  <c r="K343" i="17"/>
  <c r="L345" i="17"/>
  <c r="J345" i="17"/>
  <c r="H345" i="17"/>
  <c r="F345" i="17"/>
  <c r="K345" i="17"/>
  <c r="L347" i="17"/>
  <c r="J347" i="17"/>
  <c r="H347" i="17"/>
  <c r="F347" i="17"/>
  <c r="K347" i="17"/>
  <c r="L349" i="17"/>
  <c r="J349" i="17"/>
  <c r="H349" i="17"/>
  <c r="F349" i="17"/>
  <c r="K349" i="17"/>
  <c r="L351" i="17"/>
  <c r="J351" i="17"/>
  <c r="H351" i="17"/>
  <c r="F351" i="17"/>
  <c r="K351" i="17"/>
  <c r="L353" i="17"/>
  <c r="J353" i="17"/>
  <c r="H353" i="17"/>
  <c r="F353" i="17"/>
  <c r="K353" i="17"/>
  <c r="L355" i="17"/>
  <c r="J355" i="17"/>
  <c r="H355" i="17"/>
  <c r="F355" i="17"/>
  <c r="K355" i="17"/>
  <c r="L357" i="17"/>
  <c r="J357" i="17"/>
  <c r="H357" i="17"/>
  <c r="F357" i="17"/>
  <c r="K357" i="17"/>
  <c r="L359" i="17"/>
  <c r="J359" i="17"/>
  <c r="H359" i="17"/>
  <c r="F359" i="17"/>
  <c r="K359" i="17"/>
  <c r="L361" i="17"/>
  <c r="J361" i="17"/>
  <c r="H361" i="17"/>
  <c r="F361" i="17"/>
  <c r="K361" i="17"/>
  <c r="L363" i="17"/>
  <c r="J363" i="17"/>
  <c r="H363" i="17"/>
  <c r="F363" i="17"/>
  <c r="K363" i="17"/>
  <c r="L365" i="17"/>
  <c r="J365" i="17"/>
  <c r="H365" i="17"/>
  <c r="F365" i="17"/>
  <c r="K365" i="17"/>
  <c r="L367" i="17"/>
  <c r="J367" i="17"/>
  <c r="H367" i="17"/>
  <c r="F367" i="17"/>
  <c r="K367" i="17"/>
  <c r="L369" i="17"/>
  <c r="J369" i="17"/>
  <c r="H369" i="17"/>
  <c r="F369" i="17"/>
  <c r="K369" i="17"/>
  <c r="L371" i="17"/>
  <c r="J371" i="17"/>
  <c r="H371" i="17"/>
  <c r="F371" i="17"/>
  <c r="K371" i="17"/>
  <c r="L373" i="17"/>
  <c r="J373" i="17"/>
  <c r="H373" i="17"/>
  <c r="F373" i="17"/>
  <c r="K373" i="17"/>
  <c r="L375" i="17"/>
  <c r="J375" i="17"/>
  <c r="H375" i="17"/>
  <c r="F375" i="17"/>
  <c r="K375" i="17"/>
  <c r="L377" i="17"/>
  <c r="J377" i="17"/>
  <c r="H377" i="17"/>
  <c r="F377" i="17"/>
  <c r="K377" i="17"/>
  <c r="L379" i="17"/>
  <c r="J379" i="17"/>
  <c r="H379" i="17"/>
  <c r="F379" i="17"/>
  <c r="K379" i="17"/>
  <c r="L381" i="17"/>
  <c r="J381" i="17"/>
  <c r="H381" i="17"/>
  <c r="F381" i="17"/>
  <c r="K381" i="17"/>
  <c r="L383" i="17"/>
  <c r="J383" i="17"/>
  <c r="H383" i="17"/>
  <c r="F383" i="17"/>
  <c r="K383" i="17"/>
  <c r="L385" i="17"/>
  <c r="J385" i="17"/>
  <c r="H385" i="17"/>
  <c r="F385" i="17"/>
  <c r="K385" i="17"/>
  <c r="L387" i="17"/>
  <c r="J387" i="17"/>
  <c r="H387" i="17"/>
  <c r="F387" i="17"/>
  <c r="K387" i="17"/>
  <c r="L389" i="17"/>
  <c r="J389" i="17"/>
  <c r="H389" i="17"/>
  <c r="F389" i="17"/>
  <c r="K389" i="17"/>
  <c r="L391" i="17"/>
  <c r="J391" i="17"/>
  <c r="H391" i="17"/>
  <c r="F391" i="17"/>
  <c r="K391" i="17"/>
  <c r="L393" i="17"/>
  <c r="J393" i="17"/>
  <c r="H393" i="17"/>
  <c r="F393" i="17"/>
  <c r="K393" i="17"/>
  <c r="L395" i="17"/>
  <c r="J395" i="17"/>
  <c r="H395" i="17"/>
  <c r="F395" i="17"/>
  <c r="K395" i="17"/>
  <c r="L397" i="17"/>
  <c r="J397" i="17"/>
  <c r="H397" i="17"/>
  <c r="F397" i="17"/>
  <c r="K397" i="17"/>
  <c r="L399" i="17"/>
  <c r="J399" i="17"/>
  <c r="H399" i="17"/>
  <c r="F399" i="17"/>
  <c r="K399" i="17"/>
  <c r="L401" i="17"/>
  <c r="J401" i="17"/>
  <c r="H401" i="17"/>
  <c r="F401" i="17"/>
  <c r="K401" i="17"/>
  <c r="L403" i="17"/>
  <c r="J403" i="17"/>
  <c r="H403" i="17"/>
  <c r="F403" i="17"/>
  <c r="K403" i="17"/>
  <c r="L405" i="17"/>
  <c r="J405" i="17"/>
  <c r="H405" i="17"/>
  <c r="F405" i="17"/>
  <c r="K405" i="17"/>
  <c r="L407" i="17"/>
  <c r="J407" i="17"/>
  <c r="H407" i="17"/>
  <c r="F407" i="17"/>
  <c r="K407" i="17"/>
  <c r="L409" i="17"/>
  <c r="J409" i="17"/>
  <c r="H409" i="17"/>
  <c r="F409" i="17"/>
  <c r="K409" i="17"/>
  <c r="L411" i="17"/>
  <c r="J411" i="17"/>
  <c r="H411" i="17"/>
  <c r="F411" i="17"/>
  <c r="K411" i="17"/>
  <c r="L413" i="17"/>
  <c r="J413" i="17"/>
  <c r="H413" i="17"/>
  <c r="F413" i="17"/>
  <c r="K413" i="17"/>
  <c r="L415" i="17"/>
  <c r="J415" i="17"/>
  <c r="H415" i="17"/>
  <c r="F415" i="17"/>
  <c r="K415" i="17"/>
  <c r="L417" i="17"/>
  <c r="J417" i="17"/>
  <c r="H417" i="17"/>
  <c r="F417" i="17"/>
  <c r="K417" i="17"/>
  <c r="L419" i="17"/>
  <c r="J419" i="17"/>
  <c r="H419" i="17"/>
  <c r="F419" i="17"/>
  <c r="K419" i="17"/>
  <c r="L421" i="17"/>
  <c r="J421" i="17"/>
  <c r="H421" i="17"/>
  <c r="F421" i="17"/>
  <c r="K421" i="17"/>
  <c r="L423" i="17"/>
  <c r="J423" i="17"/>
  <c r="H423" i="17"/>
  <c r="F423" i="17"/>
  <c r="K423" i="17"/>
  <c r="L425" i="17"/>
  <c r="J425" i="17"/>
  <c r="H425" i="17"/>
  <c r="F425" i="17"/>
  <c r="K425" i="17"/>
  <c r="L427" i="17"/>
  <c r="J427" i="17"/>
  <c r="H427" i="17"/>
  <c r="F427" i="17"/>
  <c r="K427" i="17"/>
  <c r="L429" i="17"/>
  <c r="J429" i="17"/>
  <c r="H429" i="17"/>
  <c r="F429" i="17"/>
  <c r="K429" i="17"/>
  <c r="L431" i="17"/>
  <c r="J431" i="17"/>
  <c r="H431" i="17"/>
  <c r="F431" i="17"/>
  <c r="K431" i="17"/>
  <c r="L433" i="17"/>
  <c r="J433" i="17"/>
  <c r="H433" i="17"/>
  <c r="F433" i="17"/>
  <c r="K433" i="17"/>
  <c r="L435" i="17"/>
  <c r="J435" i="17"/>
  <c r="H435" i="17"/>
  <c r="F435" i="17"/>
  <c r="K435" i="17"/>
  <c r="L437" i="17"/>
  <c r="J437" i="17"/>
  <c r="H437" i="17"/>
  <c r="F437" i="17"/>
  <c r="K437" i="17"/>
  <c r="L439" i="17"/>
  <c r="J439" i="17"/>
  <c r="H439" i="17"/>
  <c r="F439" i="17"/>
  <c r="K439" i="17"/>
  <c r="L441" i="17"/>
  <c r="J441" i="17"/>
  <c r="H441" i="17"/>
  <c r="F441" i="17"/>
  <c r="K441" i="17"/>
  <c r="L443" i="17"/>
  <c r="J443" i="17"/>
  <c r="H443" i="17"/>
  <c r="F443" i="17"/>
  <c r="K443" i="17"/>
  <c r="L445" i="17"/>
  <c r="J445" i="17"/>
  <c r="H445" i="17"/>
  <c r="F445" i="17"/>
  <c r="K445" i="17"/>
  <c r="L447" i="17"/>
  <c r="J447" i="17"/>
  <c r="H447" i="17"/>
  <c r="F447" i="17"/>
  <c r="K447" i="17"/>
  <c r="L449" i="17"/>
  <c r="J449" i="17"/>
  <c r="H449" i="17"/>
  <c r="F449" i="17"/>
  <c r="K449" i="17"/>
  <c r="L451" i="17"/>
  <c r="J451" i="17"/>
  <c r="H451" i="17"/>
  <c r="F451" i="17"/>
  <c r="K451" i="17"/>
  <c r="L453" i="17"/>
  <c r="J453" i="17"/>
  <c r="H453" i="17"/>
  <c r="F453" i="17"/>
  <c r="K453" i="17"/>
  <c r="L455" i="17"/>
  <c r="J455" i="17"/>
  <c r="H455" i="17"/>
  <c r="F455" i="17"/>
  <c r="K455" i="17"/>
  <c r="L457" i="17"/>
  <c r="J457" i="17"/>
  <c r="H457" i="17"/>
  <c r="F457" i="17"/>
  <c r="K457" i="17"/>
  <c r="L459" i="17"/>
  <c r="J459" i="17"/>
  <c r="H459" i="17"/>
  <c r="F459" i="17"/>
  <c r="K459" i="17"/>
  <c r="L461" i="17"/>
  <c r="J461" i="17"/>
  <c r="H461" i="17"/>
  <c r="F461" i="17"/>
  <c r="K461" i="17"/>
  <c r="L463" i="17"/>
  <c r="J463" i="17"/>
  <c r="H463" i="17"/>
  <c r="F463" i="17"/>
  <c r="K463" i="17"/>
  <c r="L465" i="17"/>
  <c r="J465" i="17"/>
  <c r="H465" i="17"/>
  <c r="F465" i="17"/>
  <c r="K465" i="17"/>
  <c r="L467" i="17"/>
  <c r="J467" i="17"/>
  <c r="H467" i="17"/>
  <c r="F467" i="17"/>
  <c r="K467" i="17"/>
  <c r="L469" i="17"/>
  <c r="J469" i="17"/>
  <c r="H469" i="17"/>
  <c r="F469" i="17"/>
  <c r="K469" i="17"/>
  <c r="L471" i="17"/>
  <c r="J471" i="17"/>
  <c r="H471" i="17"/>
  <c r="F471" i="17"/>
  <c r="K471" i="17"/>
  <c r="L473" i="17"/>
  <c r="J473" i="17"/>
  <c r="H473" i="17"/>
  <c r="F473" i="17"/>
  <c r="K473" i="17"/>
  <c r="L475" i="17"/>
  <c r="J475" i="17"/>
  <c r="H475" i="17"/>
  <c r="F475" i="17"/>
  <c r="K475" i="17"/>
  <c r="L477" i="17"/>
  <c r="J477" i="17"/>
  <c r="H477" i="17"/>
  <c r="F477" i="17"/>
  <c r="K477" i="17"/>
  <c r="L479" i="17"/>
  <c r="J479" i="17"/>
  <c r="H479" i="17"/>
  <c r="F479" i="17"/>
  <c r="K479" i="17"/>
  <c r="L481" i="17"/>
  <c r="J481" i="17"/>
  <c r="H481" i="17"/>
  <c r="F481" i="17"/>
  <c r="K481" i="17"/>
  <c r="L483" i="17"/>
  <c r="J483" i="17"/>
  <c r="H483" i="17"/>
  <c r="F483" i="17"/>
  <c r="K483" i="17"/>
  <c r="L485" i="17"/>
  <c r="J485" i="17"/>
  <c r="H485" i="17"/>
  <c r="F485" i="17"/>
  <c r="K485" i="17"/>
  <c r="L487" i="17"/>
  <c r="J487" i="17"/>
  <c r="H487" i="17"/>
  <c r="F487" i="17"/>
  <c r="K487" i="17"/>
  <c r="L489" i="17"/>
  <c r="J489" i="17"/>
  <c r="H489" i="17"/>
  <c r="F489" i="17"/>
  <c r="K489" i="17"/>
  <c r="L491" i="17"/>
  <c r="J491" i="17"/>
  <c r="H491" i="17"/>
  <c r="F491" i="17"/>
  <c r="K491" i="17"/>
  <c r="L493" i="17"/>
  <c r="J493" i="17"/>
  <c r="H493" i="17"/>
  <c r="F493" i="17"/>
  <c r="K493" i="17"/>
  <c r="L495" i="17"/>
  <c r="J495" i="17"/>
  <c r="H495" i="17"/>
  <c r="F495" i="17"/>
  <c r="K495" i="17"/>
  <c r="L497" i="17"/>
  <c r="J497" i="17"/>
  <c r="H497" i="17"/>
  <c r="F497" i="17"/>
  <c r="K497" i="17"/>
  <c r="L499" i="17"/>
  <c r="J499" i="17"/>
  <c r="H499" i="17"/>
  <c r="F499" i="17"/>
  <c r="K499" i="17"/>
  <c r="L501" i="17"/>
  <c r="J501" i="17"/>
  <c r="H501" i="17"/>
  <c r="F501" i="17"/>
  <c r="K501" i="17"/>
  <c r="L503" i="17"/>
  <c r="J503" i="17"/>
  <c r="H503" i="17"/>
  <c r="F503" i="17"/>
  <c r="K503" i="17"/>
  <c r="L505" i="17"/>
  <c r="J505" i="17"/>
  <c r="H505" i="17"/>
  <c r="F505" i="17"/>
  <c r="K505" i="17"/>
  <c r="L507" i="17"/>
  <c r="J507" i="17"/>
  <c r="H507" i="17"/>
  <c r="F507" i="17"/>
  <c r="K507" i="17"/>
  <c r="L509" i="17"/>
  <c r="J509" i="17"/>
  <c r="H509" i="17"/>
  <c r="F509" i="17"/>
  <c r="K509" i="17"/>
  <c r="L511" i="17"/>
  <c r="J511" i="17"/>
  <c r="H511" i="17"/>
  <c r="F511" i="17"/>
  <c r="K511" i="17"/>
  <c r="L513" i="17"/>
  <c r="J513" i="17"/>
  <c r="H513" i="17"/>
  <c r="F513" i="17"/>
  <c r="K513" i="17"/>
  <c r="L515" i="17"/>
  <c r="J515" i="17"/>
  <c r="H515" i="17"/>
  <c r="F515" i="17"/>
  <c r="K515" i="17"/>
  <c r="L517" i="17"/>
  <c r="J517" i="17"/>
  <c r="H517" i="17"/>
  <c r="F517" i="17"/>
  <c r="K517" i="17"/>
  <c r="L519" i="17"/>
  <c r="J519" i="17"/>
  <c r="H519" i="17"/>
  <c r="F519" i="17"/>
  <c r="K519" i="17"/>
  <c r="L521" i="17"/>
  <c r="J521" i="17"/>
  <c r="H521" i="17"/>
  <c r="F521" i="17"/>
  <c r="K521" i="17"/>
  <c r="L523" i="17"/>
  <c r="J523" i="17"/>
  <c r="H523" i="17"/>
  <c r="F523" i="17"/>
  <c r="K523" i="17"/>
  <c r="L525" i="17"/>
  <c r="J525" i="17"/>
  <c r="H525" i="17"/>
  <c r="F525" i="17"/>
  <c r="K525" i="17"/>
  <c r="L527" i="17"/>
  <c r="J527" i="17"/>
  <c r="H527" i="17"/>
  <c r="F527" i="17"/>
  <c r="K527" i="17"/>
  <c r="L529" i="17"/>
  <c r="J529" i="17"/>
  <c r="H529" i="17"/>
  <c r="F529" i="17"/>
  <c r="K529" i="17"/>
  <c r="L531" i="17"/>
  <c r="J531" i="17"/>
  <c r="H531" i="17"/>
  <c r="F531" i="17"/>
  <c r="K531" i="17"/>
  <c r="L533" i="17"/>
  <c r="J533" i="17"/>
  <c r="H533" i="17"/>
  <c r="F533" i="17"/>
  <c r="K533" i="17"/>
  <c r="L535" i="17"/>
  <c r="J535" i="17"/>
  <c r="H535" i="17"/>
  <c r="F535" i="17"/>
  <c r="K535" i="17"/>
  <c r="L537" i="17"/>
  <c r="J537" i="17"/>
  <c r="H537" i="17"/>
  <c r="F537" i="17"/>
  <c r="K537" i="17"/>
  <c r="L539" i="17"/>
  <c r="J539" i="17"/>
  <c r="H539" i="17"/>
  <c r="F539" i="17"/>
  <c r="K539" i="17"/>
  <c r="L541" i="17"/>
  <c r="J541" i="17"/>
  <c r="H541" i="17"/>
  <c r="F541" i="17"/>
  <c r="K541" i="17"/>
  <c r="L543" i="17"/>
  <c r="J543" i="17"/>
  <c r="H543" i="17"/>
  <c r="F543" i="17"/>
  <c r="K543" i="17"/>
  <c r="L545" i="17"/>
  <c r="J545" i="17"/>
  <c r="H545" i="17"/>
  <c r="F545" i="17"/>
  <c r="K545" i="17"/>
  <c r="L547" i="17"/>
  <c r="J547" i="17"/>
  <c r="H547" i="17"/>
  <c r="F547" i="17"/>
  <c r="K547" i="17"/>
  <c r="L549" i="17"/>
  <c r="J549" i="17"/>
  <c r="H549" i="17"/>
  <c r="F549" i="17"/>
  <c r="K549" i="17"/>
  <c r="L551" i="17"/>
  <c r="J551" i="17"/>
  <c r="H551" i="17"/>
  <c r="F551" i="17"/>
  <c r="K551" i="17"/>
  <c r="L553" i="17"/>
  <c r="J553" i="17"/>
  <c r="H553" i="17"/>
  <c r="F553" i="17"/>
  <c r="K553" i="17"/>
  <c r="L555" i="17"/>
  <c r="J555" i="17"/>
  <c r="H555" i="17"/>
  <c r="F555" i="17"/>
  <c r="K555" i="17"/>
  <c r="L557" i="17"/>
  <c r="J557" i="17"/>
  <c r="H557" i="17"/>
  <c r="F557" i="17"/>
  <c r="K557" i="17"/>
  <c r="L559" i="17"/>
  <c r="J559" i="17"/>
  <c r="H559" i="17"/>
  <c r="F559" i="17"/>
  <c r="K559" i="17"/>
  <c r="L561" i="17"/>
  <c r="J561" i="17"/>
  <c r="H561" i="17"/>
  <c r="F561" i="17"/>
  <c r="K561" i="17"/>
  <c r="L563" i="17"/>
  <c r="J563" i="17"/>
  <c r="H563" i="17"/>
  <c r="F563" i="17"/>
  <c r="K563" i="17"/>
  <c r="L565" i="17"/>
  <c r="J565" i="17"/>
  <c r="H565" i="17"/>
  <c r="F565" i="17"/>
  <c r="K565" i="17"/>
  <c r="L567" i="17"/>
  <c r="J567" i="17"/>
  <c r="H567" i="17"/>
  <c r="F567" i="17"/>
  <c r="K567" i="17"/>
  <c r="L569" i="17"/>
  <c r="J569" i="17"/>
  <c r="H569" i="17"/>
  <c r="F569" i="17"/>
  <c r="K569" i="17"/>
  <c r="L571" i="17"/>
  <c r="J571" i="17"/>
  <c r="H571" i="17"/>
  <c r="F571" i="17"/>
  <c r="K571" i="17"/>
  <c r="L573" i="17"/>
  <c r="J573" i="17"/>
  <c r="H573" i="17"/>
  <c r="F573" i="17"/>
  <c r="K573" i="17"/>
  <c r="L575" i="17"/>
  <c r="J575" i="17"/>
  <c r="H575" i="17"/>
  <c r="F575" i="17"/>
  <c r="K575" i="17"/>
  <c r="L577" i="17"/>
  <c r="J577" i="17"/>
  <c r="H577" i="17"/>
  <c r="F577" i="17"/>
  <c r="K577" i="17"/>
  <c r="L579" i="17"/>
  <c r="J579" i="17"/>
  <c r="H579" i="17"/>
  <c r="F579" i="17"/>
  <c r="K579" i="17"/>
  <c r="L581" i="17"/>
  <c r="J581" i="17"/>
  <c r="H581" i="17"/>
  <c r="F581" i="17"/>
  <c r="K581" i="17"/>
  <c r="L583" i="17"/>
  <c r="J583" i="17"/>
  <c r="H583" i="17"/>
  <c r="F583" i="17"/>
  <c r="K583" i="17"/>
  <c r="L585" i="17"/>
  <c r="J585" i="17"/>
  <c r="H585" i="17"/>
  <c r="F585" i="17"/>
  <c r="K585" i="17"/>
  <c r="L587" i="17"/>
  <c r="J587" i="17"/>
  <c r="H587" i="17"/>
  <c r="F587" i="17"/>
  <c r="K587" i="17"/>
  <c r="L589" i="17"/>
  <c r="J589" i="17"/>
  <c r="H589" i="17"/>
  <c r="F589" i="17"/>
  <c r="K589" i="17"/>
  <c r="L591" i="17"/>
  <c r="J591" i="17"/>
  <c r="H591" i="17"/>
  <c r="F591" i="17"/>
  <c r="K591" i="17"/>
  <c r="L593" i="17"/>
  <c r="J593" i="17"/>
  <c r="H593" i="17"/>
  <c r="F593" i="17"/>
  <c r="K593" i="17"/>
  <c r="L595" i="17"/>
  <c r="J595" i="17"/>
  <c r="H595" i="17"/>
  <c r="F595" i="17"/>
  <c r="K595" i="17"/>
  <c r="L597" i="17"/>
  <c r="J597" i="17"/>
  <c r="H597" i="17"/>
  <c r="F597" i="17"/>
  <c r="K597" i="17"/>
  <c r="L599" i="17"/>
  <c r="J599" i="17"/>
  <c r="H599" i="17"/>
  <c r="F599" i="17"/>
  <c r="K599" i="17"/>
  <c r="L601" i="17"/>
  <c r="J601" i="17"/>
  <c r="H601" i="17"/>
  <c r="F601" i="17"/>
  <c r="K601" i="17"/>
  <c r="L603" i="17"/>
  <c r="J603" i="17"/>
  <c r="H603" i="17"/>
  <c r="F603" i="17"/>
  <c r="K603" i="17"/>
  <c r="L605" i="17"/>
  <c r="J605" i="17"/>
  <c r="H605" i="17"/>
  <c r="F605" i="17"/>
  <c r="K605" i="17"/>
  <c r="L607" i="17"/>
  <c r="J607" i="17"/>
  <c r="H607" i="17"/>
  <c r="F607" i="17"/>
  <c r="K607" i="17"/>
  <c r="L609" i="17"/>
  <c r="J609" i="17"/>
  <c r="H609" i="17"/>
  <c r="F609" i="17"/>
  <c r="K609" i="17"/>
  <c r="L611" i="17"/>
  <c r="J611" i="17"/>
  <c r="H611" i="17"/>
  <c r="F611" i="17"/>
  <c r="K611" i="17"/>
  <c r="L613" i="17"/>
  <c r="J613" i="17"/>
  <c r="H613" i="17"/>
  <c r="F613" i="17"/>
  <c r="K613" i="17"/>
  <c r="L615" i="17"/>
  <c r="J615" i="17"/>
  <c r="H615" i="17"/>
  <c r="F615" i="17"/>
  <c r="K615" i="17"/>
  <c r="L617" i="17"/>
  <c r="J617" i="17"/>
  <c r="H617" i="17"/>
  <c r="F617" i="17"/>
  <c r="K617" i="17"/>
  <c r="L619" i="17"/>
  <c r="J619" i="17"/>
  <c r="H619" i="17"/>
  <c r="F619" i="17"/>
  <c r="K619" i="17"/>
  <c r="L621" i="17"/>
  <c r="J621" i="17"/>
  <c r="H621" i="17"/>
  <c r="F621" i="17"/>
  <c r="K621" i="17"/>
  <c r="L623" i="17"/>
  <c r="J623" i="17"/>
  <c r="H623" i="17"/>
  <c r="F623" i="17"/>
  <c r="K623" i="17"/>
  <c r="L625" i="17"/>
  <c r="J625" i="17"/>
  <c r="H625" i="17"/>
  <c r="F625" i="17"/>
  <c r="K625" i="17"/>
  <c r="L627" i="17"/>
  <c r="J627" i="17"/>
  <c r="H627" i="17"/>
  <c r="F627" i="17"/>
  <c r="K627" i="17"/>
  <c r="L629" i="17"/>
  <c r="J629" i="17"/>
  <c r="H629" i="17"/>
  <c r="F629" i="17"/>
  <c r="K629" i="17"/>
  <c r="L631" i="17"/>
  <c r="J631" i="17"/>
  <c r="H631" i="17"/>
  <c r="F631" i="17"/>
  <c r="K631" i="17"/>
  <c r="L633" i="17"/>
  <c r="J633" i="17"/>
  <c r="H633" i="17"/>
  <c r="F633" i="17"/>
  <c r="K633" i="17"/>
  <c r="L635" i="17"/>
  <c r="J635" i="17"/>
  <c r="H635" i="17"/>
  <c r="F635" i="17"/>
  <c r="K635" i="17"/>
  <c r="L637" i="17"/>
  <c r="J637" i="17"/>
  <c r="H637" i="17"/>
  <c r="F637" i="17"/>
  <c r="K637" i="17"/>
  <c r="L639" i="17"/>
  <c r="J639" i="17"/>
  <c r="H639" i="17"/>
  <c r="F639" i="17"/>
  <c r="K639" i="17"/>
  <c r="L641" i="17"/>
  <c r="J641" i="17"/>
  <c r="H641" i="17"/>
  <c r="F641" i="17"/>
  <c r="K641" i="17"/>
  <c r="L643" i="17"/>
  <c r="J643" i="17"/>
  <c r="H643" i="17"/>
  <c r="F643" i="17"/>
  <c r="K643" i="17"/>
  <c r="L645" i="17"/>
  <c r="J645" i="17"/>
  <c r="H645" i="17"/>
  <c r="F645" i="17"/>
  <c r="K645" i="17"/>
  <c r="L647" i="17"/>
  <c r="J647" i="17"/>
  <c r="H647" i="17"/>
  <c r="F647" i="17"/>
  <c r="K647" i="17"/>
  <c r="L649" i="17"/>
  <c r="J649" i="17"/>
  <c r="H649" i="17"/>
  <c r="F649" i="17"/>
  <c r="K649" i="17"/>
  <c r="E2" i="17"/>
  <c r="I2" i="17"/>
  <c r="E3" i="17"/>
  <c r="I3" i="17"/>
  <c r="E4" i="17"/>
  <c r="I4" i="17"/>
  <c r="E5" i="17"/>
  <c r="I5" i="17"/>
  <c r="E6" i="17"/>
  <c r="I6" i="17"/>
  <c r="E7" i="17"/>
  <c r="I7" i="17"/>
  <c r="E8" i="17"/>
  <c r="G8" i="17"/>
  <c r="I8" i="17"/>
  <c r="E9" i="17"/>
  <c r="I9" i="17"/>
  <c r="E10" i="17"/>
  <c r="I10" i="17"/>
  <c r="E11" i="17"/>
  <c r="I11" i="17"/>
  <c r="E12" i="17"/>
  <c r="I12" i="17"/>
  <c r="E13" i="17"/>
  <c r="I13" i="17"/>
  <c r="E14" i="17"/>
  <c r="I14" i="17"/>
  <c r="E15" i="17"/>
  <c r="I15" i="17"/>
  <c r="E16" i="17"/>
  <c r="I16" i="17"/>
  <c r="E17" i="17"/>
  <c r="I17" i="17"/>
  <c r="E18" i="17"/>
  <c r="I18" i="17"/>
  <c r="E19" i="17"/>
  <c r="I19" i="17"/>
  <c r="E20" i="17"/>
  <c r="I20" i="17"/>
  <c r="E21" i="17"/>
  <c r="I21" i="17"/>
  <c r="E22" i="17"/>
  <c r="I22" i="17"/>
  <c r="E23" i="17"/>
  <c r="I23" i="17"/>
  <c r="E24" i="17"/>
  <c r="I24" i="17"/>
  <c r="E25" i="17"/>
  <c r="I25" i="17"/>
  <c r="E26" i="17"/>
  <c r="I26" i="17"/>
  <c r="E27" i="17"/>
  <c r="I27" i="17"/>
  <c r="E28" i="17"/>
  <c r="I28" i="17"/>
  <c r="E29" i="17"/>
  <c r="G29" i="17"/>
  <c r="I29" i="17"/>
  <c r="E30" i="17"/>
  <c r="G30" i="17"/>
  <c r="I30" i="17"/>
  <c r="E31" i="17"/>
  <c r="I31" i="17"/>
  <c r="E32" i="17"/>
  <c r="I32" i="17"/>
  <c r="E33" i="17"/>
  <c r="I33" i="17"/>
  <c r="E34" i="17"/>
  <c r="I34" i="17"/>
  <c r="E35" i="17"/>
  <c r="I35" i="17"/>
  <c r="E36" i="17"/>
  <c r="I36" i="17"/>
  <c r="E37" i="17"/>
  <c r="I37" i="17"/>
  <c r="E38" i="17"/>
  <c r="I38" i="17"/>
  <c r="E39" i="17"/>
  <c r="I39" i="17"/>
  <c r="E40" i="17"/>
  <c r="I40" i="17"/>
  <c r="E41" i="17"/>
  <c r="I41" i="17"/>
  <c r="E42" i="17"/>
  <c r="I42" i="17"/>
  <c r="E43" i="17"/>
  <c r="I43" i="17"/>
  <c r="E44" i="17"/>
  <c r="I44" i="17"/>
  <c r="E45" i="17"/>
  <c r="I45" i="17"/>
  <c r="E46" i="17"/>
  <c r="I46" i="17"/>
  <c r="E47" i="17"/>
  <c r="I47" i="17"/>
  <c r="E48" i="17"/>
  <c r="I48" i="17"/>
  <c r="E49" i="17"/>
  <c r="I49" i="17"/>
  <c r="E50" i="17"/>
  <c r="I50" i="17"/>
  <c r="E51" i="17"/>
  <c r="I51" i="17"/>
  <c r="E52" i="17"/>
  <c r="I52" i="17"/>
  <c r="E53" i="17"/>
  <c r="I53" i="17"/>
  <c r="E54" i="17"/>
  <c r="I54" i="17"/>
  <c r="E55" i="17"/>
  <c r="I55" i="17"/>
  <c r="E56" i="17"/>
  <c r="I56" i="17"/>
  <c r="E57" i="17"/>
  <c r="I57" i="17"/>
  <c r="E58" i="17"/>
  <c r="I58" i="17"/>
  <c r="E59" i="17"/>
  <c r="I59" i="17"/>
  <c r="E60" i="17"/>
  <c r="I60" i="17"/>
  <c r="E61" i="17"/>
  <c r="I61" i="17"/>
  <c r="E62" i="17"/>
  <c r="I62" i="17"/>
  <c r="E63" i="17"/>
  <c r="I63" i="17"/>
  <c r="E64" i="17"/>
  <c r="I64" i="17"/>
  <c r="E65" i="17"/>
  <c r="I65" i="17"/>
  <c r="E66" i="17"/>
  <c r="I66" i="17"/>
  <c r="E67" i="17"/>
  <c r="I67" i="17"/>
  <c r="E68" i="17"/>
  <c r="I68" i="17"/>
  <c r="E69" i="17"/>
  <c r="I69" i="17"/>
  <c r="E70" i="17"/>
  <c r="I70" i="17"/>
  <c r="E71" i="17"/>
  <c r="I71" i="17"/>
  <c r="E72" i="17"/>
  <c r="I72" i="17"/>
  <c r="E73" i="17"/>
  <c r="I73" i="17"/>
  <c r="E74" i="17"/>
  <c r="I74" i="17"/>
  <c r="E75" i="17"/>
  <c r="I75" i="17"/>
  <c r="E76" i="17"/>
  <c r="I76" i="17"/>
  <c r="E77" i="17"/>
  <c r="I77" i="17"/>
  <c r="E78" i="17"/>
  <c r="I78" i="17"/>
  <c r="E79" i="17"/>
  <c r="I79" i="17"/>
  <c r="E80" i="17"/>
  <c r="I80" i="17"/>
  <c r="E81" i="17"/>
  <c r="I81" i="17"/>
  <c r="E82" i="17"/>
  <c r="I82" i="17"/>
  <c r="E83" i="17"/>
  <c r="I83" i="17"/>
  <c r="E84" i="17"/>
  <c r="I84" i="17"/>
  <c r="E85" i="17"/>
  <c r="I85" i="17"/>
  <c r="E86" i="17"/>
  <c r="I86" i="17"/>
  <c r="E87" i="17"/>
  <c r="I87" i="17"/>
  <c r="E88" i="17"/>
  <c r="I88" i="17"/>
  <c r="E89" i="17"/>
  <c r="I89" i="17"/>
  <c r="E90" i="17"/>
  <c r="I90" i="17"/>
  <c r="E91" i="17"/>
  <c r="I91" i="17"/>
  <c r="E92" i="17"/>
  <c r="I92" i="17"/>
  <c r="E93" i="17"/>
  <c r="I93" i="17"/>
  <c r="E94" i="17"/>
  <c r="I94" i="17"/>
  <c r="E95" i="17"/>
  <c r="I95" i="17"/>
  <c r="E96" i="17"/>
  <c r="I96" i="17"/>
  <c r="E97" i="17"/>
  <c r="I97" i="17"/>
  <c r="E98" i="17"/>
  <c r="I98" i="17"/>
  <c r="E99" i="17"/>
  <c r="I99" i="17"/>
  <c r="E100" i="17"/>
  <c r="I100" i="17"/>
  <c r="E101" i="17"/>
  <c r="I101" i="17"/>
  <c r="E102" i="17"/>
  <c r="I102" i="17"/>
  <c r="E103" i="17"/>
  <c r="I103" i="17"/>
  <c r="E104" i="17"/>
  <c r="I104" i="17"/>
  <c r="E105" i="17"/>
  <c r="I105" i="17"/>
  <c r="E106" i="17"/>
  <c r="I106" i="17"/>
  <c r="E107" i="17"/>
  <c r="I107" i="17"/>
  <c r="E108" i="17"/>
  <c r="I108" i="17"/>
  <c r="E109" i="17"/>
  <c r="I109" i="17"/>
  <c r="E110" i="17"/>
  <c r="I110" i="17"/>
  <c r="E111" i="17"/>
  <c r="I111" i="17"/>
  <c r="E112" i="17"/>
  <c r="I112" i="17"/>
  <c r="E113" i="17"/>
  <c r="I113" i="17"/>
  <c r="E114" i="17"/>
  <c r="I114" i="17"/>
  <c r="E115" i="17"/>
  <c r="I115" i="17"/>
  <c r="E116" i="17"/>
  <c r="I116" i="17"/>
  <c r="E117" i="17"/>
  <c r="I117" i="17"/>
  <c r="E118" i="17"/>
  <c r="I118" i="17"/>
  <c r="E119" i="17"/>
  <c r="I119" i="17"/>
  <c r="E120" i="17"/>
  <c r="I120" i="17"/>
  <c r="E121" i="17"/>
  <c r="I121" i="17"/>
  <c r="E122" i="17"/>
  <c r="I122" i="17"/>
  <c r="E123" i="17"/>
  <c r="I123" i="17"/>
  <c r="E124" i="17"/>
  <c r="I124" i="17"/>
  <c r="E125" i="17"/>
  <c r="I125" i="17"/>
  <c r="E126" i="17"/>
  <c r="I126" i="17"/>
  <c r="E127" i="17"/>
  <c r="I127" i="17"/>
  <c r="E128" i="17"/>
  <c r="I128" i="17"/>
  <c r="E129" i="17"/>
  <c r="I129" i="17"/>
  <c r="E130" i="17"/>
  <c r="I130" i="17"/>
  <c r="E131" i="17"/>
  <c r="I131" i="17"/>
  <c r="E132" i="17"/>
  <c r="I132" i="17"/>
  <c r="E133" i="17"/>
  <c r="I133" i="17"/>
  <c r="E134" i="17"/>
  <c r="I134" i="17"/>
  <c r="E135" i="17"/>
  <c r="I135" i="17"/>
  <c r="E136" i="17"/>
  <c r="I136" i="17"/>
  <c r="E137" i="17"/>
  <c r="I137" i="17"/>
  <c r="E138" i="17"/>
  <c r="I138" i="17"/>
  <c r="E139" i="17"/>
  <c r="I139" i="17"/>
  <c r="E140" i="17"/>
  <c r="I140" i="17"/>
  <c r="E141" i="17"/>
  <c r="I141" i="17"/>
  <c r="E142" i="17"/>
  <c r="I142" i="17"/>
  <c r="E143" i="17"/>
  <c r="I143" i="17"/>
  <c r="E144" i="17"/>
  <c r="I144" i="17"/>
  <c r="E145" i="17"/>
  <c r="I145" i="17"/>
  <c r="E146" i="17"/>
  <c r="I146" i="17"/>
  <c r="E147" i="17"/>
  <c r="I147" i="17"/>
  <c r="E148" i="17"/>
  <c r="I148" i="17"/>
  <c r="E149" i="17"/>
  <c r="I149" i="17"/>
  <c r="E150" i="17"/>
  <c r="I150" i="17"/>
  <c r="E151" i="17"/>
  <c r="I151" i="17"/>
  <c r="E152" i="17"/>
  <c r="I152" i="17"/>
  <c r="E153" i="17"/>
  <c r="I153" i="17"/>
  <c r="E154" i="17"/>
  <c r="I154" i="17"/>
  <c r="E155" i="17"/>
  <c r="I155" i="17"/>
  <c r="E156" i="17"/>
  <c r="I156" i="17"/>
  <c r="E157" i="17"/>
  <c r="I157" i="17"/>
  <c r="E158" i="17"/>
  <c r="I158" i="17"/>
  <c r="E159" i="17"/>
  <c r="I159" i="17"/>
  <c r="E160" i="17"/>
  <c r="I160" i="17"/>
  <c r="E161" i="17"/>
  <c r="I161" i="17"/>
  <c r="E162" i="17"/>
  <c r="I162" i="17"/>
  <c r="E163" i="17"/>
  <c r="I163" i="17"/>
  <c r="E164" i="17"/>
  <c r="I164" i="17"/>
  <c r="E165" i="17"/>
  <c r="I165" i="17"/>
  <c r="E166" i="17"/>
  <c r="I166" i="17"/>
  <c r="E167" i="17"/>
  <c r="I167" i="17"/>
  <c r="E168" i="17"/>
  <c r="I168" i="17"/>
  <c r="E169" i="17"/>
  <c r="I169" i="17"/>
  <c r="E170" i="17"/>
  <c r="I170" i="17"/>
  <c r="E171" i="17"/>
  <c r="I171" i="17"/>
  <c r="E172" i="17"/>
  <c r="I172" i="17"/>
  <c r="E173" i="17"/>
  <c r="I173" i="17"/>
  <c r="E174" i="17"/>
  <c r="I174" i="17"/>
  <c r="E175" i="17"/>
  <c r="I175" i="17"/>
  <c r="E176" i="17"/>
  <c r="I176" i="17"/>
  <c r="E177" i="17"/>
  <c r="I177" i="17"/>
  <c r="E178" i="17"/>
  <c r="I178" i="17"/>
  <c r="E179" i="17"/>
  <c r="I179" i="17"/>
  <c r="E180" i="17"/>
  <c r="I180" i="17"/>
  <c r="E181" i="17"/>
  <c r="I181" i="17"/>
  <c r="E182" i="17"/>
  <c r="I182" i="17"/>
  <c r="E183" i="17"/>
  <c r="I183" i="17"/>
  <c r="E184" i="17"/>
  <c r="I184" i="17"/>
  <c r="E185" i="17"/>
  <c r="I185" i="17"/>
  <c r="E186" i="17"/>
  <c r="I186" i="17"/>
  <c r="E187" i="17"/>
  <c r="I187" i="17"/>
  <c r="L188" i="17"/>
  <c r="J188" i="17"/>
  <c r="H188" i="17"/>
  <c r="E188" i="17"/>
  <c r="K188" i="17"/>
  <c r="E189" i="17"/>
  <c r="I189" i="17"/>
  <c r="L190" i="17"/>
  <c r="J190" i="17"/>
  <c r="H190" i="17"/>
  <c r="F190" i="17"/>
  <c r="K190" i="17"/>
  <c r="E191" i="17"/>
  <c r="I191" i="17"/>
  <c r="L192" i="17"/>
  <c r="J192" i="17"/>
  <c r="H192" i="17"/>
  <c r="F192" i="17"/>
  <c r="K192" i="17"/>
  <c r="E193" i="17"/>
  <c r="I193" i="17"/>
  <c r="L194" i="17"/>
  <c r="J194" i="17"/>
  <c r="H194" i="17"/>
  <c r="F194" i="17"/>
  <c r="K194" i="17"/>
  <c r="E195" i="17"/>
  <c r="I195" i="17"/>
  <c r="L196" i="17"/>
  <c r="J196" i="17"/>
  <c r="H196" i="17"/>
  <c r="F196" i="17"/>
  <c r="K196" i="17"/>
  <c r="E197" i="17"/>
  <c r="I197" i="17"/>
  <c r="L198" i="17"/>
  <c r="J198" i="17"/>
  <c r="H198" i="17"/>
  <c r="F198" i="17"/>
  <c r="K198" i="17"/>
  <c r="E199" i="17"/>
  <c r="I199" i="17"/>
  <c r="L200" i="17"/>
  <c r="J200" i="17"/>
  <c r="H200" i="17"/>
  <c r="F200" i="17"/>
  <c r="K200" i="17"/>
  <c r="E201" i="17"/>
  <c r="I201" i="17"/>
  <c r="L202" i="17"/>
  <c r="J202" i="17"/>
  <c r="H202" i="17"/>
  <c r="F202" i="17"/>
  <c r="K202" i="17"/>
  <c r="E203" i="17"/>
  <c r="I203" i="17"/>
  <c r="L204" i="17"/>
  <c r="J204" i="17"/>
  <c r="H204" i="17"/>
  <c r="F204" i="17"/>
  <c r="K204" i="17"/>
  <c r="E205" i="17"/>
  <c r="I205" i="17"/>
  <c r="L206" i="17"/>
  <c r="J206" i="17"/>
  <c r="H206" i="17"/>
  <c r="F206" i="17"/>
  <c r="K206" i="17"/>
  <c r="E207" i="17"/>
  <c r="I207" i="17"/>
  <c r="L208" i="17"/>
  <c r="J208" i="17"/>
  <c r="H208" i="17"/>
  <c r="F208" i="17"/>
  <c r="K208" i="17"/>
  <c r="E209" i="17"/>
  <c r="I209" i="17"/>
  <c r="L210" i="17"/>
  <c r="J210" i="17"/>
  <c r="H210" i="17"/>
  <c r="F210" i="17"/>
  <c r="K210" i="17"/>
  <c r="E211" i="17"/>
  <c r="I211" i="17"/>
  <c r="L212" i="17"/>
  <c r="J212" i="17"/>
  <c r="H212" i="17"/>
  <c r="F212" i="17"/>
  <c r="K212" i="17"/>
  <c r="E213" i="17"/>
  <c r="I213" i="17"/>
  <c r="L214" i="17"/>
  <c r="J214" i="17"/>
  <c r="H214" i="17"/>
  <c r="F214" i="17"/>
  <c r="K214" i="17"/>
  <c r="E215" i="17"/>
  <c r="I215" i="17"/>
  <c r="L216" i="17"/>
  <c r="J216" i="17"/>
  <c r="H216" i="17"/>
  <c r="F216" i="17"/>
  <c r="K216" i="17"/>
  <c r="E217" i="17"/>
  <c r="I217" i="17"/>
  <c r="L218" i="17"/>
  <c r="J218" i="17"/>
  <c r="H218" i="17"/>
  <c r="F218" i="17"/>
  <c r="K218" i="17"/>
  <c r="E219" i="17"/>
  <c r="I219" i="17"/>
  <c r="L220" i="17"/>
  <c r="J220" i="17"/>
  <c r="H220" i="17"/>
  <c r="F220" i="17"/>
  <c r="K220" i="17"/>
  <c r="E221" i="17"/>
  <c r="I221" i="17"/>
  <c r="L222" i="17"/>
  <c r="J222" i="17"/>
  <c r="H222" i="17"/>
  <c r="F222" i="17"/>
  <c r="K222" i="17"/>
  <c r="E223" i="17"/>
  <c r="I223" i="17"/>
  <c r="L224" i="17"/>
  <c r="J224" i="17"/>
  <c r="H224" i="17"/>
  <c r="F224" i="17"/>
  <c r="K224" i="17"/>
  <c r="E225" i="17"/>
  <c r="I225" i="17"/>
  <c r="L226" i="17"/>
  <c r="J226" i="17"/>
  <c r="H226" i="17"/>
  <c r="F226" i="17"/>
  <c r="K226" i="17"/>
  <c r="E227" i="17"/>
  <c r="I227" i="17"/>
  <c r="L228" i="17"/>
  <c r="J228" i="17"/>
  <c r="H228" i="17"/>
  <c r="F228" i="17"/>
  <c r="K228" i="17"/>
  <c r="E229" i="17"/>
  <c r="I229" i="17"/>
  <c r="L230" i="17"/>
  <c r="J230" i="17"/>
  <c r="H230" i="17"/>
  <c r="F230" i="17"/>
  <c r="K230" i="17"/>
  <c r="E231" i="17"/>
  <c r="I231" i="17"/>
  <c r="L232" i="17"/>
  <c r="J232" i="17"/>
  <c r="H232" i="17"/>
  <c r="F232" i="17"/>
  <c r="K232" i="17"/>
  <c r="E233" i="17"/>
  <c r="I233" i="17"/>
  <c r="L234" i="17"/>
  <c r="J234" i="17"/>
  <c r="H234" i="17"/>
  <c r="F234" i="17"/>
  <c r="K234" i="17"/>
  <c r="E235" i="17"/>
  <c r="I235" i="17"/>
  <c r="L236" i="17"/>
  <c r="J236" i="17"/>
  <c r="H236" i="17"/>
  <c r="F236" i="17"/>
  <c r="K236" i="17"/>
  <c r="E237" i="17"/>
  <c r="I237" i="17"/>
  <c r="L238" i="17"/>
  <c r="J238" i="17"/>
  <c r="H238" i="17"/>
  <c r="F238" i="17"/>
  <c r="K238" i="17"/>
  <c r="E239" i="17"/>
  <c r="I239" i="17"/>
  <c r="L240" i="17"/>
  <c r="J240" i="17"/>
  <c r="H240" i="17"/>
  <c r="F240" i="17"/>
  <c r="K240" i="17"/>
  <c r="E241" i="17"/>
  <c r="I241" i="17"/>
  <c r="L242" i="17"/>
  <c r="J242" i="17"/>
  <c r="H242" i="17"/>
  <c r="F242" i="17"/>
  <c r="K242" i="17"/>
  <c r="E243" i="17"/>
  <c r="I243" i="17"/>
  <c r="L244" i="17"/>
  <c r="J244" i="17"/>
  <c r="H244" i="17"/>
  <c r="F244" i="17"/>
  <c r="K244" i="17"/>
  <c r="E245" i="17"/>
  <c r="I245" i="17"/>
  <c r="L246" i="17"/>
  <c r="J246" i="17"/>
  <c r="H246" i="17"/>
  <c r="F246" i="17"/>
  <c r="K246" i="17"/>
  <c r="E247" i="17"/>
  <c r="I247" i="17"/>
  <c r="L248" i="17"/>
  <c r="J248" i="17"/>
  <c r="H248" i="17"/>
  <c r="F248" i="17"/>
  <c r="K248" i="17"/>
  <c r="E249" i="17"/>
  <c r="I249" i="17"/>
  <c r="L250" i="17"/>
  <c r="J250" i="17"/>
  <c r="H250" i="17"/>
  <c r="F250" i="17"/>
  <c r="K250" i="17"/>
  <c r="E251" i="17"/>
  <c r="I251" i="17"/>
  <c r="L252" i="17"/>
  <c r="J252" i="17"/>
  <c r="H252" i="17"/>
  <c r="F252" i="17"/>
  <c r="K252" i="17"/>
  <c r="E253" i="17"/>
  <c r="I253" i="17"/>
  <c r="L254" i="17"/>
  <c r="J254" i="17"/>
  <c r="H254" i="17"/>
  <c r="F254" i="17"/>
  <c r="K254" i="17"/>
  <c r="E255" i="17"/>
  <c r="I255" i="17"/>
  <c r="L256" i="17"/>
  <c r="J256" i="17"/>
  <c r="H256" i="17"/>
  <c r="F256" i="17"/>
  <c r="K256" i="17"/>
  <c r="E257" i="17"/>
  <c r="I257" i="17"/>
  <c r="L258" i="17"/>
  <c r="J258" i="17"/>
  <c r="H258" i="17"/>
  <c r="F258" i="17"/>
  <c r="K258" i="17"/>
  <c r="E259" i="17"/>
  <c r="I259" i="17"/>
  <c r="L260" i="17"/>
  <c r="J260" i="17"/>
  <c r="H260" i="17"/>
  <c r="F260" i="17"/>
  <c r="K260" i="17"/>
  <c r="E261" i="17"/>
  <c r="I261" i="17"/>
  <c r="L262" i="17"/>
  <c r="J262" i="17"/>
  <c r="H262" i="17"/>
  <c r="F262" i="17"/>
  <c r="K262" i="17"/>
  <c r="E263" i="17"/>
  <c r="I263" i="17"/>
  <c r="L264" i="17"/>
  <c r="J264" i="17"/>
  <c r="H264" i="17"/>
  <c r="F264" i="17"/>
  <c r="K264" i="17"/>
  <c r="E265" i="17"/>
  <c r="I265" i="17"/>
  <c r="L266" i="17"/>
  <c r="J266" i="17"/>
  <c r="H266" i="17"/>
  <c r="F266" i="17"/>
  <c r="K266" i="17"/>
  <c r="E267" i="17"/>
  <c r="I267" i="17"/>
  <c r="L268" i="17"/>
  <c r="J268" i="17"/>
  <c r="H268" i="17"/>
  <c r="F268" i="17"/>
  <c r="K268" i="17"/>
  <c r="E269" i="17"/>
  <c r="I269" i="17"/>
  <c r="L270" i="17"/>
  <c r="J270" i="17"/>
  <c r="H270" i="17"/>
  <c r="F270" i="17"/>
  <c r="K270" i="17"/>
  <c r="E271" i="17"/>
  <c r="I271" i="17"/>
  <c r="L272" i="17"/>
  <c r="J272" i="17"/>
  <c r="H272" i="17"/>
  <c r="F272" i="17"/>
  <c r="K272" i="17"/>
  <c r="E273" i="17"/>
  <c r="I273" i="17"/>
  <c r="L274" i="17"/>
  <c r="J274" i="17"/>
  <c r="H274" i="17"/>
  <c r="F274" i="17"/>
  <c r="K274" i="17"/>
  <c r="E275" i="17"/>
  <c r="I275" i="17"/>
  <c r="L276" i="17"/>
  <c r="J276" i="17"/>
  <c r="H276" i="17"/>
  <c r="F276" i="17"/>
  <c r="K276" i="17"/>
  <c r="E277" i="17"/>
  <c r="I277" i="17"/>
  <c r="L278" i="17"/>
  <c r="J278" i="17"/>
  <c r="H278" i="17"/>
  <c r="F278" i="17"/>
  <c r="K278" i="17"/>
  <c r="E279" i="17"/>
  <c r="I279" i="17"/>
  <c r="L280" i="17"/>
  <c r="J280" i="17"/>
  <c r="H280" i="17"/>
  <c r="F280" i="17"/>
  <c r="K280" i="17"/>
  <c r="E281" i="17"/>
  <c r="I281" i="17"/>
  <c r="L282" i="17"/>
  <c r="J282" i="17"/>
  <c r="H282" i="17"/>
  <c r="F282" i="17"/>
  <c r="K282" i="17"/>
  <c r="E283" i="17"/>
  <c r="I283" i="17"/>
  <c r="L284" i="17"/>
  <c r="J284" i="17"/>
  <c r="H284" i="17"/>
  <c r="F284" i="17"/>
  <c r="K284" i="17"/>
  <c r="E285" i="17"/>
  <c r="I285" i="17"/>
  <c r="L286" i="17"/>
  <c r="J286" i="17"/>
  <c r="H286" i="17"/>
  <c r="F286" i="17"/>
  <c r="K286" i="17"/>
  <c r="E287" i="17"/>
  <c r="I287" i="17"/>
  <c r="L288" i="17"/>
  <c r="J288" i="17"/>
  <c r="H288" i="17"/>
  <c r="F288" i="17"/>
  <c r="K288" i="17"/>
  <c r="E289" i="17"/>
  <c r="I289" i="17"/>
  <c r="L290" i="17"/>
  <c r="J290" i="17"/>
  <c r="H290" i="17"/>
  <c r="F290" i="17"/>
  <c r="K290" i="17"/>
  <c r="E291" i="17"/>
  <c r="I291" i="17"/>
  <c r="L292" i="17"/>
  <c r="J292" i="17"/>
  <c r="H292" i="17"/>
  <c r="F292" i="17"/>
  <c r="K292" i="17"/>
  <c r="E293" i="17"/>
  <c r="I293" i="17"/>
  <c r="L294" i="17"/>
  <c r="J294" i="17"/>
  <c r="H294" i="17"/>
  <c r="F294" i="17"/>
  <c r="K294" i="17"/>
  <c r="E295" i="17"/>
  <c r="I295" i="17"/>
  <c r="L296" i="17"/>
  <c r="J296" i="17"/>
  <c r="H296" i="17"/>
  <c r="F296" i="17"/>
  <c r="K296" i="17"/>
  <c r="E297" i="17"/>
  <c r="I297" i="17"/>
  <c r="L298" i="17"/>
  <c r="J298" i="17"/>
  <c r="H298" i="17"/>
  <c r="F298" i="17"/>
  <c r="K298" i="17"/>
  <c r="E299" i="17"/>
  <c r="I299" i="17"/>
  <c r="L300" i="17"/>
  <c r="J300" i="17"/>
  <c r="H300" i="17"/>
  <c r="F300" i="17"/>
  <c r="K300" i="17"/>
  <c r="E301" i="17"/>
  <c r="I301" i="17"/>
  <c r="L302" i="17"/>
  <c r="J302" i="17"/>
  <c r="H302" i="17"/>
  <c r="F302" i="17"/>
  <c r="K302" i="17"/>
  <c r="E303" i="17"/>
  <c r="I303" i="17"/>
  <c r="L304" i="17"/>
  <c r="J304" i="17"/>
  <c r="H304" i="17"/>
  <c r="F304" i="17"/>
  <c r="K304" i="17"/>
  <c r="E305" i="17"/>
  <c r="I305" i="17"/>
  <c r="L306" i="17"/>
  <c r="J306" i="17"/>
  <c r="H306" i="17"/>
  <c r="F306" i="17"/>
  <c r="K306" i="17"/>
  <c r="E307" i="17"/>
  <c r="I307" i="17"/>
  <c r="L308" i="17"/>
  <c r="J308" i="17"/>
  <c r="H308" i="17"/>
  <c r="F308" i="17"/>
  <c r="K308" i="17"/>
  <c r="E309" i="17"/>
  <c r="I309" i="17"/>
  <c r="L310" i="17"/>
  <c r="J310" i="17"/>
  <c r="H310" i="17"/>
  <c r="F310" i="17"/>
  <c r="K310" i="17"/>
  <c r="E311" i="17"/>
  <c r="I311" i="17"/>
  <c r="L312" i="17"/>
  <c r="J312" i="17"/>
  <c r="H312" i="17"/>
  <c r="F312" i="17"/>
  <c r="K312" i="17"/>
  <c r="E313" i="17"/>
  <c r="I313" i="17"/>
  <c r="L314" i="17"/>
  <c r="J314" i="17"/>
  <c r="H314" i="17"/>
  <c r="F314" i="17"/>
  <c r="K314" i="17"/>
  <c r="E315" i="17"/>
  <c r="I315" i="17"/>
  <c r="L316" i="17"/>
  <c r="J316" i="17"/>
  <c r="H316" i="17"/>
  <c r="F316" i="17"/>
  <c r="K316" i="17"/>
  <c r="E317" i="17"/>
  <c r="I317" i="17"/>
  <c r="L318" i="17"/>
  <c r="J318" i="17"/>
  <c r="H318" i="17"/>
  <c r="F318" i="17"/>
  <c r="K318" i="17"/>
  <c r="E319" i="17"/>
  <c r="I319" i="17"/>
  <c r="L320" i="17"/>
  <c r="J320" i="17"/>
  <c r="H320" i="17"/>
  <c r="F320" i="17"/>
  <c r="K320" i="17"/>
  <c r="E321" i="17"/>
  <c r="I321" i="17"/>
  <c r="L322" i="17"/>
  <c r="J322" i="17"/>
  <c r="H322" i="17"/>
  <c r="F322" i="17"/>
  <c r="K322" i="17"/>
  <c r="E323" i="17"/>
  <c r="I323" i="17"/>
  <c r="L324" i="17"/>
  <c r="J324" i="17"/>
  <c r="H324" i="17"/>
  <c r="F324" i="17"/>
  <c r="K324" i="17"/>
  <c r="E325" i="17"/>
  <c r="I325" i="17"/>
  <c r="L326" i="17"/>
  <c r="J326" i="17"/>
  <c r="H326" i="17"/>
  <c r="F326" i="17"/>
  <c r="K326" i="17"/>
  <c r="E327" i="17"/>
  <c r="I327" i="17"/>
  <c r="L328" i="17"/>
  <c r="J328" i="17"/>
  <c r="H328" i="17"/>
  <c r="F328" i="17"/>
  <c r="K328" i="17"/>
  <c r="E329" i="17"/>
  <c r="I329" i="17"/>
  <c r="L330" i="17"/>
  <c r="J330" i="17"/>
  <c r="H330" i="17"/>
  <c r="F330" i="17"/>
  <c r="K330" i="17"/>
  <c r="E331" i="17"/>
  <c r="I331" i="17"/>
  <c r="L332" i="17"/>
  <c r="J332" i="17"/>
  <c r="H332" i="17"/>
  <c r="F332" i="17"/>
  <c r="K332" i="17"/>
  <c r="E333" i="17"/>
  <c r="I333" i="17"/>
  <c r="L334" i="17"/>
  <c r="J334" i="17"/>
  <c r="H334" i="17"/>
  <c r="F334" i="17"/>
  <c r="K334" i="17"/>
  <c r="E335" i="17"/>
  <c r="I335" i="17"/>
  <c r="L336" i="17"/>
  <c r="J336" i="17"/>
  <c r="H336" i="17"/>
  <c r="F336" i="17"/>
  <c r="K336" i="17"/>
  <c r="E337" i="17"/>
  <c r="I337" i="17"/>
  <c r="L338" i="17"/>
  <c r="J338" i="17"/>
  <c r="H338" i="17"/>
  <c r="F338" i="17"/>
  <c r="K338" i="17"/>
  <c r="E339" i="17"/>
  <c r="I339" i="17"/>
  <c r="L340" i="17"/>
  <c r="J340" i="17"/>
  <c r="H340" i="17"/>
  <c r="F340" i="17"/>
  <c r="K340" i="17"/>
  <c r="E341" i="17"/>
  <c r="I341" i="17"/>
  <c r="L342" i="17"/>
  <c r="J342" i="17"/>
  <c r="H342" i="17"/>
  <c r="F342" i="17"/>
  <c r="K342" i="17"/>
  <c r="E343" i="17"/>
  <c r="I343" i="17"/>
  <c r="L344" i="17"/>
  <c r="J344" i="17"/>
  <c r="H344" i="17"/>
  <c r="F344" i="17"/>
  <c r="K344" i="17"/>
  <c r="E345" i="17"/>
  <c r="I345" i="17"/>
  <c r="L346" i="17"/>
  <c r="J346" i="17"/>
  <c r="H346" i="17"/>
  <c r="F346" i="17"/>
  <c r="K346" i="17"/>
  <c r="E347" i="17"/>
  <c r="I347" i="17"/>
  <c r="L348" i="17"/>
  <c r="J348" i="17"/>
  <c r="H348" i="17"/>
  <c r="F348" i="17"/>
  <c r="K348" i="17"/>
  <c r="E349" i="17"/>
  <c r="I349" i="17"/>
  <c r="L350" i="17"/>
  <c r="J350" i="17"/>
  <c r="H350" i="17"/>
  <c r="F350" i="17"/>
  <c r="K350" i="17"/>
  <c r="E351" i="17"/>
  <c r="I351" i="17"/>
  <c r="L352" i="17"/>
  <c r="J352" i="17"/>
  <c r="H352" i="17"/>
  <c r="F352" i="17"/>
  <c r="K352" i="17"/>
  <c r="E353" i="17"/>
  <c r="I353" i="17"/>
  <c r="L354" i="17"/>
  <c r="J354" i="17"/>
  <c r="H354" i="17"/>
  <c r="F354" i="17"/>
  <c r="K354" i="17"/>
  <c r="E355" i="17"/>
  <c r="I355" i="17"/>
  <c r="L356" i="17"/>
  <c r="J356" i="17"/>
  <c r="H356" i="17"/>
  <c r="F356" i="17"/>
  <c r="K356" i="17"/>
  <c r="E357" i="17"/>
  <c r="I357" i="17"/>
  <c r="L358" i="17"/>
  <c r="J358" i="17"/>
  <c r="H358" i="17"/>
  <c r="F358" i="17"/>
  <c r="K358" i="17"/>
  <c r="E359" i="17"/>
  <c r="I359" i="17"/>
  <c r="L360" i="17"/>
  <c r="J360" i="17"/>
  <c r="H360" i="17"/>
  <c r="F360" i="17"/>
  <c r="K360" i="17"/>
  <c r="E361" i="17"/>
  <c r="I361" i="17"/>
  <c r="L362" i="17"/>
  <c r="J362" i="17"/>
  <c r="H362" i="17"/>
  <c r="F362" i="17"/>
  <c r="K362" i="17"/>
  <c r="E363" i="17"/>
  <c r="I363" i="17"/>
  <c r="L364" i="17"/>
  <c r="J364" i="17"/>
  <c r="H364" i="17"/>
  <c r="F364" i="17"/>
  <c r="K364" i="17"/>
  <c r="E365" i="17"/>
  <c r="I365" i="17"/>
  <c r="L366" i="17"/>
  <c r="J366" i="17"/>
  <c r="H366" i="17"/>
  <c r="F366" i="17"/>
  <c r="K366" i="17"/>
  <c r="E367" i="17"/>
  <c r="I367" i="17"/>
  <c r="L368" i="17"/>
  <c r="J368" i="17"/>
  <c r="H368" i="17"/>
  <c r="F368" i="17"/>
  <c r="K368" i="17"/>
  <c r="E369" i="17"/>
  <c r="I369" i="17"/>
  <c r="L370" i="17"/>
  <c r="J370" i="17"/>
  <c r="H370" i="17"/>
  <c r="F370" i="17"/>
  <c r="K370" i="17"/>
  <c r="E371" i="17"/>
  <c r="I371" i="17"/>
  <c r="L372" i="17"/>
  <c r="J372" i="17"/>
  <c r="H372" i="17"/>
  <c r="F372" i="17"/>
  <c r="K372" i="17"/>
  <c r="E373" i="17"/>
  <c r="I373" i="17"/>
  <c r="L374" i="17"/>
  <c r="J374" i="17"/>
  <c r="H374" i="17"/>
  <c r="F374" i="17"/>
  <c r="K374" i="17"/>
  <c r="E375" i="17"/>
  <c r="I375" i="17"/>
  <c r="L376" i="17"/>
  <c r="J376" i="17"/>
  <c r="H376" i="17"/>
  <c r="F376" i="17"/>
  <c r="K376" i="17"/>
  <c r="E377" i="17"/>
  <c r="I377" i="17"/>
  <c r="L378" i="17"/>
  <c r="J378" i="17"/>
  <c r="H378" i="17"/>
  <c r="F378" i="17"/>
  <c r="K378" i="17"/>
  <c r="E379" i="17"/>
  <c r="I379" i="17"/>
  <c r="L380" i="17"/>
  <c r="J380" i="17"/>
  <c r="H380" i="17"/>
  <c r="F380" i="17"/>
  <c r="K380" i="17"/>
  <c r="E381" i="17"/>
  <c r="I381" i="17"/>
  <c r="L382" i="17"/>
  <c r="J382" i="17"/>
  <c r="H382" i="17"/>
  <c r="F382" i="17"/>
  <c r="K382" i="17"/>
  <c r="E383" i="17"/>
  <c r="I383" i="17"/>
  <c r="L384" i="17"/>
  <c r="J384" i="17"/>
  <c r="H384" i="17"/>
  <c r="F384" i="17"/>
  <c r="K384" i="17"/>
  <c r="E385" i="17"/>
  <c r="I385" i="17"/>
  <c r="L386" i="17"/>
  <c r="J386" i="17"/>
  <c r="H386" i="17"/>
  <c r="F386" i="17"/>
  <c r="K386" i="17"/>
  <c r="E387" i="17"/>
  <c r="I387" i="17"/>
  <c r="L388" i="17"/>
  <c r="J388" i="17"/>
  <c r="H388" i="17"/>
  <c r="F388" i="17"/>
  <c r="K388" i="17"/>
  <c r="E389" i="17"/>
  <c r="I389" i="17"/>
  <c r="L390" i="17"/>
  <c r="J390" i="17"/>
  <c r="H390" i="17"/>
  <c r="F390" i="17"/>
  <c r="K390" i="17"/>
  <c r="E391" i="17"/>
  <c r="I391" i="17"/>
  <c r="L392" i="17"/>
  <c r="J392" i="17"/>
  <c r="H392" i="17"/>
  <c r="F392" i="17"/>
  <c r="K392" i="17"/>
  <c r="E393" i="17"/>
  <c r="I393" i="17"/>
  <c r="L394" i="17"/>
  <c r="J394" i="17"/>
  <c r="H394" i="17"/>
  <c r="F394" i="17"/>
  <c r="K394" i="17"/>
  <c r="E395" i="17"/>
  <c r="I395" i="17"/>
  <c r="L396" i="17"/>
  <c r="J396" i="17"/>
  <c r="H396" i="17"/>
  <c r="F396" i="17"/>
  <c r="K396" i="17"/>
  <c r="E397" i="17"/>
  <c r="I397" i="17"/>
  <c r="L398" i="17"/>
  <c r="J398" i="17"/>
  <c r="H398" i="17"/>
  <c r="F398" i="17"/>
  <c r="K398" i="17"/>
  <c r="E399" i="17"/>
  <c r="I399" i="17"/>
  <c r="L400" i="17"/>
  <c r="J400" i="17"/>
  <c r="H400" i="17"/>
  <c r="F400" i="17"/>
  <c r="K400" i="17"/>
  <c r="E401" i="17"/>
  <c r="I401" i="17"/>
  <c r="L402" i="17"/>
  <c r="J402" i="17"/>
  <c r="H402" i="17"/>
  <c r="F402" i="17"/>
  <c r="K402" i="17"/>
  <c r="E403" i="17"/>
  <c r="I403" i="17"/>
  <c r="L404" i="17"/>
  <c r="J404" i="17"/>
  <c r="H404" i="17"/>
  <c r="F404" i="17"/>
  <c r="K404" i="17"/>
  <c r="E405" i="17"/>
  <c r="I405" i="17"/>
  <c r="L406" i="17"/>
  <c r="J406" i="17"/>
  <c r="H406" i="17"/>
  <c r="F406" i="17"/>
  <c r="K406" i="17"/>
  <c r="E407" i="17"/>
  <c r="I407" i="17"/>
  <c r="L408" i="17"/>
  <c r="J408" i="17"/>
  <c r="H408" i="17"/>
  <c r="F408" i="17"/>
  <c r="K408" i="17"/>
  <c r="E409" i="17"/>
  <c r="I409" i="17"/>
  <c r="L410" i="17"/>
  <c r="J410" i="17"/>
  <c r="H410" i="17"/>
  <c r="F410" i="17"/>
  <c r="K410" i="17"/>
  <c r="E411" i="17"/>
  <c r="I411" i="17"/>
  <c r="L412" i="17"/>
  <c r="J412" i="17"/>
  <c r="H412" i="17"/>
  <c r="F412" i="17"/>
  <c r="K412" i="17"/>
  <c r="E413" i="17"/>
  <c r="I413" i="17"/>
  <c r="L414" i="17"/>
  <c r="J414" i="17"/>
  <c r="H414" i="17"/>
  <c r="F414" i="17"/>
  <c r="K414" i="17"/>
  <c r="E415" i="17"/>
  <c r="I415" i="17"/>
  <c r="L416" i="17"/>
  <c r="J416" i="17"/>
  <c r="H416" i="17"/>
  <c r="F416" i="17"/>
  <c r="K416" i="17"/>
  <c r="E417" i="17"/>
  <c r="I417" i="17"/>
  <c r="L418" i="17"/>
  <c r="J418" i="17"/>
  <c r="H418" i="17"/>
  <c r="F418" i="17"/>
  <c r="K418" i="17"/>
  <c r="E419" i="17"/>
  <c r="I419" i="17"/>
  <c r="L420" i="17"/>
  <c r="J420" i="17"/>
  <c r="H420" i="17"/>
  <c r="F420" i="17"/>
  <c r="K420" i="17"/>
  <c r="E421" i="17"/>
  <c r="I421" i="17"/>
  <c r="L422" i="17"/>
  <c r="J422" i="17"/>
  <c r="H422" i="17"/>
  <c r="F422" i="17"/>
  <c r="K422" i="17"/>
  <c r="E423" i="17"/>
  <c r="I423" i="17"/>
  <c r="L424" i="17"/>
  <c r="J424" i="17"/>
  <c r="H424" i="17"/>
  <c r="F424" i="17"/>
  <c r="K424" i="17"/>
  <c r="E425" i="17"/>
  <c r="I425" i="17"/>
  <c r="L426" i="17"/>
  <c r="J426" i="17"/>
  <c r="H426" i="17"/>
  <c r="F426" i="17"/>
  <c r="K426" i="17"/>
  <c r="E427" i="17"/>
  <c r="I427" i="17"/>
  <c r="L428" i="17"/>
  <c r="J428" i="17"/>
  <c r="H428" i="17"/>
  <c r="F428" i="17"/>
  <c r="K428" i="17"/>
  <c r="E429" i="17"/>
  <c r="I429" i="17"/>
  <c r="L430" i="17"/>
  <c r="J430" i="17"/>
  <c r="H430" i="17"/>
  <c r="F430" i="17"/>
  <c r="K430" i="17"/>
  <c r="E431" i="17"/>
  <c r="I431" i="17"/>
  <c r="L432" i="17"/>
  <c r="J432" i="17"/>
  <c r="H432" i="17"/>
  <c r="F432" i="17"/>
  <c r="K432" i="17"/>
  <c r="E433" i="17"/>
  <c r="I433" i="17"/>
  <c r="L434" i="17"/>
  <c r="J434" i="17"/>
  <c r="H434" i="17"/>
  <c r="F434" i="17"/>
  <c r="K434" i="17"/>
  <c r="E435" i="17"/>
  <c r="I435" i="17"/>
  <c r="L436" i="17"/>
  <c r="J436" i="17"/>
  <c r="H436" i="17"/>
  <c r="F436" i="17"/>
  <c r="K436" i="17"/>
  <c r="E437" i="17"/>
  <c r="I437" i="17"/>
  <c r="L438" i="17"/>
  <c r="J438" i="17"/>
  <c r="H438" i="17"/>
  <c r="F438" i="17"/>
  <c r="K438" i="17"/>
  <c r="E439" i="17"/>
  <c r="I439" i="17"/>
  <c r="L440" i="17"/>
  <c r="J440" i="17"/>
  <c r="H440" i="17"/>
  <c r="F440" i="17"/>
  <c r="K440" i="17"/>
  <c r="E441" i="17"/>
  <c r="I441" i="17"/>
  <c r="L442" i="17"/>
  <c r="J442" i="17"/>
  <c r="H442" i="17"/>
  <c r="F442" i="17"/>
  <c r="K442" i="17"/>
  <c r="E443" i="17"/>
  <c r="I443" i="17"/>
  <c r="L444" i="17"/>
  <c r="J444" i="17"/>
  <c r="H444" i="17"/>
  <c r="F444" i="17"/>
  <c r="K444" i="17"/>
  <c r="E445" i="17"/>
  <c r="I445" i="17"/>
  <c r="L446" i="17"/>
  <c r="J446" i="17"/>
  <c r="H446" i="17"/>
  <c r="F446" i="17"/>
  <c r="K446" i="17"/>
  <c r="E447" i="17"/>
  <c r="I447" i="17"/>
  <c r="L448" i="17"/>
  <c r="J448" i="17"/>
  <c r="H448" i="17"/>
  <c r="F448" i="17"/>
  <c r="K448" i="17"/>
  <c r="E449" i="17"/>
  <c r="I449" i="17"/>
  <c r="L450" i="17"/>
  <c r="J450" i="17"/>
  <c r="H450" i="17"/>
  <c r="F450" i="17"/>
  <c r="K450" i="17"/>
  <c r="E451" i="17"/>
  <c r="I451" i="17"/>
  <c r="L452" i="17"/>
  <c r="J452" i="17"/>
  <c r="H452" i="17"/>
  <c r="F452" i="17"/>
  <c r="K452" i="17"/>
  <c r="E453" i="17"/>
  <c r="I453" i="17"/>
  <c r="L454" i="17"/>
  <c r="J454" i="17"/>
  <c r="H454" i="17"/>
  <c r="F454" i="17"/>
  <c r="K454" i="17"/>
  <c r="E455" i="17"/>
  <c r="I455" i="17"/>
  <c r="L456" i="17"/>
  <c r="J456" i="17"/>
  <c r="H456" i="17"/>
  <c r="F456" i="17"/>
  <c r="K456" i="17"/>
  <c r="E457" i="17"/>
  <c r="I457" i="17"/>
  <c r="L458" i="17"/>
  <c r="J458" i="17"/>
  <c r="H458" i="17"/>
  <c r="F458" i="17"/>
  <c r="K458" i="17"/>
  <c r="E459" i="17"/>
  <c r="I459" i="17"/>
  <c r="L460" i="17"/>
  <c r="J460" i="17"/>
  <c r="H460" i="17"/>
  <c r="F460" i="17"/>
  <c r="K460" i="17"/>
  <c r="E461" i="17"/>
  <c r="I461" i="17"/>
  <c r="L462" i="17"/>
  <c r="J462" i="17"/>
  <c r="H462" i="17"/>
  <c r="F462" i="17"/>
  <c r="K462" i="17"/>
  <c r="E463" i="17"/>
  <c r="I463" i="17"/>
  <c r="L464" i="17"/>
  <c r="J464" i="17"/>
  <c r="H464" i="17"/>
  <c r="F464" i="17"/>
  <c r="K464" i="17"/>
  <c r="E465" i="17"/>
  <c r="I465" i="17"/>
  <c r="L466" i="17"/>
  <c r="J466" i="17"/>
  <c r="H466" i="17"/>
  <c r="F466" i="17"/>
  <c r="K466" i="17"/>
  <c r="E467" i="17"/>
  <c r="I467" i="17"/>
  <c r="L468" i="17"/>
  <c r="J468" i="17"/>
  <c r="H468" i="17"/>
  <c r="F468" i="17"/>
  <c r="K468" i="17"/>
  <c r="E469" i="17"/>
  <c r="I469" i="17"/>
  <c r="L470" i="17"/>
  <c r="J470" i="17"/>
  <c r="H470" i="17"/>
  <c r="F470" i="17"/>
  <c r="K470" i="17"/>
  <c r="E471" i="17"/>
  <c r="I471" i="17"/>
  <c r="L472" i="17"/>
  <c r="J472" i="17"/>
  <c r="H472" i="17"/>
  <c r="F472" i="17"/>
  <c r="K472" i="17"/>
  <c r="E473" i="17"/>
  <c r="I473" i="17"/>
  <c r="L474" i="17"/>
  <c r="J474" i="17"/>
  <c r="H474" i="17"/>
  <c r="F474" i="17"/>
  <c r="K474" i="17"/>
  <c r="E475" i="17"/>
  <c r="I475" i="17"/>
  <c r="L476" i="17"/>
  <c r="J476" i="17"/>
  <c r="H476" i="17"/>
  <c r="F476" i="17"/>
  <c r="K476" i="17"/>
  <c r="E477" i="17"/>
  <c r="I477" i="17"/>
  <c r="L478" i="17"/>
  <c r="J478" i="17"/>
  <c r="H478" i="17"/>
  <c r="F478" i="17"/>
  <c r="K478" i="17"/>
  <c r="E479" i="17"/>
  <c r="I479" i="17"/>
  <c r="L480" i="17"/>
  <c r="J480" i="17"/>
  <c r="H480" i="17"/>
  <c r="F480" i="17"/>
  <c r="K480" i="17"/>
  <c r="E481" i="17"/>
  <c r="I481" i="17"/>
  <c r="L482" i="17"/>
  <c r="J482" i="17"/>
  <c r="H482" i="17"/>
  <c r="F482" i="17"/>
  <c r="K482" i="17"/>
  <c r="E483" i="17"/>
  <c r="I483" i="17"/>
  <c r="L484" i="17"/>
  <c r="J484" i="17"/>
  <c r="H484" i="17"/>
  <c r="F484" i="17"/>
  <c r="K484" i="17"/>
  <c r="E485" i="17"/>
  <c r="I485" i="17"/>
  <c r="L486" i="17"/>
  <c r="J486" i="17"/>
  <c r="H486" i="17"/>
  <c r="F486" i="17"/>
  <c r="K486" i="17"/>
  <c r="E487" i="17"/>
  <c r="I487" i="17"/>
  <c r="L488" i="17"/>
  <c r="J488" i="17"/>
  <c r="H488" i="17"/>
  <c r="F488" i="17"/>
  <c r="K488" i="17"/>
  <c r="E489" i="17"/>
  <c r="I489" i="17"/>
  <c r="L490" i="17"/>
  <c r="J490" i="17"/>
  <c r="H490" i="17"/>
  <c r="F490" i="17"/>
  <c r="K490" i="17"/>
  <c r="E491" i="17"/>
  <c r="I491" i="17"/>
  <c r="L492" i="17"/>
  <c r="J492" i="17"/>
  <c r="H492" i="17"/>
  <c r="F492" i="17"/>
  <c r="K492" i="17"/>
  <c r="E493" i="17"/>
  <c r="I493" i="17"/>
  <c r="L494" i="17"/>
  <c r="J494" i="17"/>
  <c r="H494" i="17"/>
  <c r="F494" i="17"/>
  <c r="K494" i="17"/>
  <c r="E495" i="17"/>
  <c r="I495" i="17"/>
  <c r="L496" i="17"/>
  <c r="J496" i="17"/>
  <c r="H496" i="17"/>
  <c r="F496" i="17"/>
  <c r="K496" i="17"/>
  <c r="E497" i="17"/>
  <c r="I497" i="17"/>
  <c r="L498" i="17"/>
  <c r="J498" i="17"/>
  <c r="H498" i="17"/>
  <c r="F498" i="17"/>
  <c r="K498" i="17"/>
  <c r="E499" i="17"/>
  <c r="I499" i="17"/>
  <c r="L500" i="17"/>
  <c r="J500" i="17"/>
  <c r="H500" i="17"/>
  <c r="F500" i="17"/>
  <c r="K500" i="17"/>
  <c r="E501" i="17"/>
  <c r="I501" i="17"/>
  <c r="L502" i="17"/>
  <c r="J502" i="17"/>
  <c r="H502" i="17"/>
  <c r="F502" i="17"/>
  <c r="K502" i="17"/>
  <c r="E503" i="17"/>
  <c r="I503" i="17"/>
  <c r="L504" i="17"/>
  <c r="J504" i="17"/>
  <c r="H504" i="17"/>
  <c r="F504" i="17"/>
  <c r="K504" i="17"/>
  <c r="E505" i="17"/>
  <c r="I505" i="17"/>
  <c r="L506" i="17"/>
  <c r="J506" i="17"/>
  <c r="H506" i="17"/>
  <c r="F506" i="17"/>
  <c r="K506" i="17"/>
  <c r="E507" i="17"/>
  <c r="I507" i="17"/>
  <c r="L508" i="17"/>
  <c r="J508" i="17"/>
  <c r="H508" i="17"/>
  <c r="F508" i="17"/>
  <c r="K508" i="17"/>
  <c r="E509" i="17"/>
  <c r="I509" i="17"/>
  <c r="L510" i="17"/>
  <c r="J510" i="17"/>
  <c r="H510" i="17"/>
  <c r="F510" i="17"/>
  <c r="K510" i="17"/>
  <c r="E511" i="17"/>
  <c r="I511" i="17"/>
  <c r="L512" i="17"/>
  <c r="J512" i="17"/>
  <c r="H512" i="17"/>
  <c r="F512" i="17"/>
  <c r="K512" i="17"/>
  <c r="E513" i="17"/>
  <c r="I513" i="17"/>
  <c r="L514" i="17"/>
  <c r="J514" i="17"/>
  <c r="H514" i="17"/>
  <c r="F514" i="17"/>
  <c r="K514" i="17"/>
  <c r="E515" i="17"/>
  <c r="I515" i="17"/>
  <c r="L516" i="17"/>
  <c r="J516" i="17"/>
  <c r="H516" i="17"/>
  <c r="F516" i="17"/>
  <c r="K516" i="17"/>
  <c r="E517" i="17"/>
  <c r="I517" i="17"/>
  <c r="L518" i="17"/>
  <c r="J518" i="17"/>
  <c r="H518" i="17"/>
  <c r="F518" i="17"/>
  <c r="K518" i="17"/>
  <c r="E519" i="17"/>
  <c r="I519" i="17"/>
  <c r="L520" i="17"/>
  <c r="J520" i="17"/>
  <c r="H520" i="17"/>
  <c r="F520" i="17"/>
  <c r="K520" i="17"/>
  <c r="E521" i="17"/>
  <c r="I521" i="17"/>
  <c r="L522" i="17"/>
  <c r="J522" i="17"/>
  <c r="H522" i="17"/>
  <c r="F522" i="17"/>
  <c r="K522" i="17"/>
  <c r="E523" i="17"/>
  <c r="I523" i="17"/>
  <c r="L524" i="17"/>
  <c r="J524" i="17"/>
  <c r="H524" i="17"/>
  <c r="F524" i="17"/>
  <c r="K524" i="17"/>
  <c r="E525" i="17"/>
  <c r="I525" i="17"/>
  <c r="L526" i="17"/>
  <c r="J526" i="17"/>
  <c r="H526" i="17"/>
  <c r="F526" i="17"/>
  <c r="K526" i="17"/>
  <c r="E527" i="17"/>
  <c r="I527" i="17"/>
  <c r="L528" i="17"/>
  <c r="J528" i="17"/>
  <c r="H528" i="17"/>
  <c r="F528" i="17"/>
  <c r="K528" i="17"/>
  <c r="E529" i="17"/>
  <c r="I529" i="17"/>
  <c r="L530" i="17"/>
  <c r="J530" i="17"/>
  <c r="H530" i="17"/>
  <c r="F530" i="17"/>
  <c r="K530" i="17"/>
  <c r="E531" i="17"/>
  <c r="I531" i="17"/>
  <c r="L532" i="17"/>
  <c r="J532" i="17"/>
  <c r="H532" i="17"/>
  <c r="F532" i="17"/>
  <c r="K532" i="17"/>
  <c r="E533" i="17"/>
  <c r="I533" i="17"/>
  <c r="L534" i="17"/>
  <c r="J534" i="17"/>
  <c r="H534" i="17"/>
  <c r="F534" i="17"/>
  <c r="K534" i="17"/>
  <c r="E535" i="17"/>
  <c r="I535" i="17"/>
  <c r="L536" i="17"/>
  <c r="J536" i="17"/>
  <c r="H536" i="17"/>
  <c r="F536" i="17"/>
  <c r="K536" i="17"/>
  <c r="E537" i="17"/>
  <c r="I537" i="17"/>
  <c r="L538" i="17"/>
  <c r="J538" i="17"/>
  <c r="H538" i="17"/>
  <c r="F538" i="17"/>
  <c r="K538" i="17"/>
  <c r="E539" i="17"/>
  <c r="I539" i="17"/>
  <c r="L540" i="17"/>
  <c r="J540" i="17"/>
  <c r="H540" i="17"/>
  <c r="F540" i="17"/>
  <c r="K540" i="17"/>
  <c r="E541" i="17"/>
  <c r="I541" i="17"/>
  <c r="L542" i="17"/>
  <c r="J542" i="17"/>
  <c r="H542" i="17"/>
  <c r="F542" i="17"/>
  <c r="K542" i="17"/>
  <c r="E543" i="17"/>
  <c r="I543" i="17"/>
  <c r="L544" i="17"/>
  <c r="J544" i="17"/>
  <c r="H544" i="17"/>
  <c r="F544" i="17"/>
  <c r="K544" i="17"/>
  <c r="E545" i="17"/>
  <c r="I545" i="17"/>
  <c r="L546" i="17"/>
  <c r="J546" i="17"/>
  <c r="H546" i="17"/>
  <c r="F546" i="17"/>
  <c r="K546" i="17"/>
  <c r="E547" i="17"/>
  <c r="I547" i="17"/>
  <c r="L548" i="17"/>
  <c r="J548" i="17"/>
  <c r="H548" i="17"/>
  <c r="F548" i="17"/>
  <c r="K548" i="17"/>
  <c r="E549" i="17"/>
  <c r="I549" i="17"/>
  <c r="L550" i="17"/>
  <c r="J550" i="17"/>
  <c r="H550" i="17"/>
  <c r="F550" i="17"/>
  <c r="K550" i="17"/>
  <c r="E551" i="17"/>
  <c r="I551" i="17"/>
  <c r="L552" i="17"/>
  <c r="J552" i="17"/>
  <c r="H552" i="17"/>
  <c r="F552" i="17"/>
  <c r="K552" i="17"/>
  <c r="E553" i="17"/>
  <c r="I553" i="17"/>
  <c r="L554" i="17"/>
  <c r="J554" i="17"/>
  <c r="H554" i="17"/>
  <c r="F554" i="17"/>
  <c r="K554" i="17"/>
  <c r="E555" i="17"/>
  <c r="I555" i="17"/>
  <c r="L556" i="17"/>
  <c r="J556" i="17"/>
  <c r="H556" i="17"/>
  <c r="F556" i="17"/>
  <c r="K556" i="17"/>
  <c r="E557" i="17"/>
  <c r="I557" i="17"/>
  <c r="L558" i="17"/>
  <c r="J558" i="17"/>
  <c r="H558" i="17"/>
  <c r="F558" i="17"/>
  <c r="K558" i="17"/>
  <c r="E559" i="17"/>
  <c r="I559" i="17"/>
  <c r="L560" i="17"/>
  <c r="J560" i="17"/>
  <c r="H560" i="17"/>
  <c r="F560" i="17"/>
  <c r="K560" i="17"/>
  <c r="E561" i="17"/>
  <c r="I561" i="17"/>
  <c r="L562" i="17"/>
  <c r="J562" i="17"/>
  <c r="H562" i="17"/>
  <c r="F562" i="17"/>
  <c r="K562" i="17"/>
  <c r="E563" i="17"/>
  <c r="I563" i="17"/>
  <c r="L564" i="17"/>
  <c r="J564" i="17"/>
  <c r="H564" i="17"/>
  <c r="F564" i="17"/>
  <c r="K564" i="17"/>
  <c r="E565" i="17"/>
  <c r="I565" i="17"/>
  <c r="L566" i="17"/>
  <c r="J566" i="17"/>
  <c r="H566" i="17"/>
  <c r="F566" i="17"/>
  <c r="K566" i="17"/>
  <c r="E567" i="17"/>
  <c r="I567" i="17"/>
  <c r="L568" i="17"/>
  <c r="J568" i="17"/>
  <c r="H568" i="17"/>
  <c r="F568" i="17"/>
  <c r="K568" i="17"/>
  <c r="E569" i="17"/>
  <c r="I569" i="17"/>
  <c r="L570" i="17"/>
  <c r="J570" i="17"/>
  <c r="H570" i="17"/>
  <c r="F570" i="17"/>
  <c r="K570" i="17"/>
  <c r="E571" i="17"/>
  <c r="I571" i="17"/>
  <c r="L572" i="17"/>
  <c r="J572" i="17"/>
  <c r="H572" i="17"/>
  <c r="F572" i="17"/>
  <c r="K572" i="17"/>
  <c r="E573" i="17"/>
  <c r="I573" i="17"/>
  <c r="L574" i="17"/>
  <c r="J574" i="17"/>
  <c r="H574" i="17"/>
  <c r="F574" i="17"/>
  <c r="K574" i="17"/>
  <c r="E575" i="17"/>
  <c r="I575" i="17"/>
  <c r="L576" i="17"/>
  <c r="J576" i="17"/>
  <c r="H576" i="17"/>
  <c r="F576" i="17"/>
  <c r="K576" i="17"/>
  <c r="E577" i="17"/>
  <c r="I577" i="17"/>
  <c r="L578" i="17"/>
  <c r="J578" i="17"/>
  <c r="H578" i="17"/>
  <c r="F578" i="17"/>
  <c r="K578" i="17"/>
  <c r="E579" i="17"/>
  <c r="I579" i="17"/>
  <c r="L580" i="17"/>
  <c r="J580" i="17"/>
  <c r="H580" i="17"/>
  <c r="F580" i="17"/>
  <c r="K580" i="17"/>
  <c r="E581" i="17"/>
  <c r="I581" i="17"/>
  <c r="L582" i="17"/>
  <c r="J582" i="17"/>
  <c r="H582" i="17"/>
  <c r="F582" i="17"/>
  <c r="K582" i="17"/>
  <c r="E583" i="17"/>
  <c r="I583" i="17"/>
  <c r="L584" i="17"/>
  <c r="J584" i="17"/>
  <c r="H584" i="17"/>
  <c r="F584" i="17"/>
  <c r="K584" i="17"/>
  <c r="E585" i="17"/>
  <c r="I585" i="17"/>
  <c r="L586" i="17"/>
  <c r="J586" i="17"/>
  <c r="H586" i="17"/>
  <c r="F586" i="17"/>
  <c r="K586" i="17"/>
  <c r="E587" i="17"/>
  <c r="I587" i="17"/>
  <c r="L588" i="17"/>
  <c r="J588" i="17"/>
  <c r="H588" i="17"/>
  <c r="F588" i="17"/>
  <c r="K588" i="17"/>
  <c r="E589" i="17"/>
  <c r="I589" i="17"/>
  <c r="L590" i="17"/>
  <c r="J590" i="17"/>
  <c r="H590" i="17"/>
  <c r="F590" i="17"/>
  <c r="K590" i="17"/>
  <c r="E591" i="17"/>
  <c r="I591" i="17"/>
  <c r="L592" i="17"/>
  <c r="J592" i="17"/>
  <c r="H592" i="17"/>
  <c r="F592" i="17"/>
  <c r="K592" i="17"/>
  <c r="E593" i="17"/>
  <c r="I593" i="17"/>
  <c r="L594" i="17"/>
  <c r="J594" i="17"/>
  <c r="H594" i="17"/>
  <c r="F594" i="17"/>
  <c r="K594" i="17"/>
  <c r="E595" i="17"/>
  <c r="I595" i="17"/>
  <c r="L596" i="17"/>
  <c r="J596" i="17"/>
  <c r="H596" i="17"/>
  <c r="F596" i="17"/>
  <c r="K596" i="17"/>
  <c r="E597" i="17"/>
  <c r="I597" i="17"/>
  <c r="L598" i="17"/>
  <c r="J598" i="17"/>
  <c r="H598" i="17"/>
  <c r="F598" i="17"/>
  <c r="K598" i="17"/>
  <c r="E599" i="17"/>
  <c r="I599" i="17"/>
  <c r="L600" i="17"/>
  <c r="J600" i="17"/>
  <c r="H600" i="17"/>
  <c r="F600" i="17"/>
  <c r="K600" i="17"/>
  <c r="E601" i="17"/>
  <c r="I601" i="17"/>
  <c r="L602" i="17"/>
  <c r="J602" i="17"/>
  <c r="H602" i="17"/>
  <c r="F602" i="17"/>
  <c r="K602" i="17"/>
  <c r="E603" i="17"/>
  <c r="I603" i="17"/>
  <c r="L604" i="17"/>
  <c r="J604" i="17"/>
  <c r="H604" i="17"/>
  <c r="F604" i="17"/>
  <c r="K604" i="17"/>
  <c r="E605" i="17"/>
  <c r="I605" i="17"/>
  <c r="L606" i="17"/>
  <c r="J606" i="17"/>
  <c r="H606" i="17"/>
  <c r="F606" i="17"/>
  <c r="K606" i="17"/>
  <c r="E607" i="17"/>
  <c r="I607" i="17"/>
  <c r="L608" i="17"/>
  <c r="J608" i="17"/>
  <c r="H608" i="17"/>
  <c r="F608" i="17"/>
  <c r="K608" i="17"/>
  <c r="E609" i="17"/>
  <c r="I609" i="17"/>
  <c r="L610" i="17"/>
  <c r="J610" i="17"/>
  <c r="H610" i="17"/>
  <c r="F610" i="17"/>
  <c r="K610" i="17"/>
  <c r="E611" i="17"/>
  <c r="I611" i="17"/>
  <c r="L612" i="17"/>
  <c r="J612" i="17"/>
  <c r="H612" i="17"/>
  <c r="F612" i="17"/>
  <c r="K612" i="17"/>
  <c r="E613" i="17"/>
  <c r="I613" i="17"/>
  <c r="L614" i="17"/>
  <c r="J614" i="17"/>
  <c r="H614" i="17"/>
  <c r="F614" i="17"/>
  <c r="K614" i="17"/>
  <c r="E615" i="17"/>
  <c r="I615" i="17"/>
  <c r="L616" i="17"/>
  <c r="J616" i="17"/>
  <c r="H616" i="17"/>
  <c r="F616" i="17"/>
  <c r="K616" i="17"/>
  <c r="E617" i="17"/>
  <c r="I617" i="17"/>
  <c r="L618" i="17"/>
  <c r="J618" i="17"/>
  <c r="H618" i="17"/>
  <c r="F618" i="17"/>
  <c r="K618" i="17"/>
  <c r="E619" i="17"/>
  <c r="I619" i="17"/>
  <c r="L620" i="17"/>
  <c r="J620" i="17"/>
  <c r="H620" i="17"/>
  <c r="F620" i="17"/>
  <c r="K620" i="17"/>
  <c r="E621" i="17"/>
  <c r="I621" i="17"/>
  <c r="L622" i="17"/>
  <c r="J622" i="17"/>
  <c r="H622" i="17"/>
  <c r="F622" i="17"/>
  <c r="K622" i="17"/>
  <c r="E623" i="17"/>
  <c r="I623" i="17"/>
  <c r="L624" i="17"/>
  <c r="J624" i="17"/>
  <c r="H624" i="17"/>
  <c r="F624" i="17"/>
  <c r="K624" i="17"/>
  <c r="E625" i="17"/>
  <c r="I625" i="17"/>
  <c r="L626" i="17"/>
  <c r="J626" i="17"/>
  <c r="H626" i="17"/>
  <c r="F626" i="17"/>
  <c r="K626" i="17"/>
  <c r="E627" i="17"/>
  <c r="I627" i="17"/>
  <c r="L628" i="17"/>
  <c r="J628" i="17"/>
  <c r="H628" i="17"/>
  <c r="F628" i="17"/>
  <c r="K628" i="17"/>
  <c r="E629" i="17"/>
  <c r="I629" i="17"/>
  <c r="L630" i="17"/>
  <c r="J630" i="17"/>
  <c r="H630" i="17"/>
  <c r="F630" i="17"/>
  <c r="K630" i="17"/>
  <c r="E631" i="17"/>
  <c r="I631" i="17"/>
  <c r="L632" i="17"/>
  <c r="J632" i="17"/>
  <c r="H632" i="17"/>
  <c r="F632" i="17"/>
  <c r="K632" i="17"/>
  <c r="E633" i="17"/>
  <c r="I633" i="17"/>
  <c r="L634" i="17"/>
  <c r="J634" i="17"/>
  <c r="H634" i="17"/>
  <c r="F634" i="17"/>
  <c r="K634" i="17"/>
  <c r="E635" i="17"/>
  <c r="I635" i="17"/>
  <c r="L636" i="17"/>
  <c r="J636" i="17"/>
  <c r="H636" i="17"/>
  <c r="F636" i="17"/>
  <c r="K636" i="17"/>
  <c r="E637" i="17"/>
  <c r="I637" i="17"/>
  <c r="L638" i="17"/>
  <c r="J638" i="17"/>
  <c r="H638" i="17"/>
  <c r="F638" i="17"/>
  <c r="K638" i="17"/>
  <c r="E639" i="17"/>
  <c r="I639" i="17"/>
  <c r="L640" i="17"/>
  <c r="J640" i="17"/>
  <c r="H640" i="17"/>
  <c r="F640" i="17"/>
  <c r="K640" i="17"/>
  <c r="E641" i="17"/>
  <c r="I641" i="17"/>
  <c r="L642" i="17"/>
  <c r="J642" i="17"/>
  <c r="H642" i="17"/>
  <c r="F642" i="17"/>
  <c r="K642" i="17"/>
  <c r="E643" i="17"/>
  <c r="I643" i="17"/>
  <c r="L644" i="17"/>
  <c r="J644" i="17"/>
  <c r="H644" i="17"/>
  <c r="F644" i="17"/>
  <c r="K644" i="17"/>
  <c r="E645" i="17"/>
  <c r="I645" i="17"/>
  <c r="L646" i="17"/>
  <c r="J646" i="17"/>
  <c r="H646" i="17"/>
  <c r="F646" i="17"/>
  <c r="K646" i="17"/>
  <c r="E647" i="17"/>
  <c r="I647" i="17"/>
  <c r="L648" i="17"/>
  <c r="J648" i="17"/>
  <c r="H648" i="17"/>
  <c r="F648" i="17"/>
  <c r="K648" i="17"/>
  <c r="E649" i="17"/>
  <c r="I649" i="17"/>
  <c r="K650" i="17"/>
  <c r="I650" i="17"/>
  <c r="L650" i="17"/>
  <c r="J650" i="17"/>
  <c r="H650" i="17"/>
  <c r="F650" i="17"/>
  <c r="F651" i="17"/>
  <c r="H651" i="17"/>
  <c r="J651" i="17"/>
  <c r="L651" i="17"/>
  <c r="F652" i="17"/>
  <c r="H652" i="17"/>
  <c r="J652" i="17"/>
  <c r="L652" i="17"/>
  <c r="F653" i="17"/>
  <c r="H653" i="17"/>
  <c r="J653" i="17"/>
  <c r="L653" i="17"/>
  <c r="F654" i="17"/>
  <c r="H654" i="17"/>
  <c r="J654" i="17"/>
  <c r="L654" i="17"/>
  <c r="F655" i="17"/>
  <c r="H655" i="17"/>
  <c r="J655" i="17"/>
  <c r="L655" i="17"/>
  <c r="F656" i="17"/>
  <c r="H656" i="17"/>
  <c r="J656" i="17"/>
  <c r="L656" i="17"/>
  <c r="F657" i="17"/>
  <c r="H657" i="17"/>
  <c r="J657" i="17"/>
  <c r="L657" i="17"/>
  <c r="F658" i="17"/>
  <c r="H658" i="17"/>
  <c r="J658" i="17"/>
  <c r="L658" i="17"/>
  <c r="F659" i="17"/>
  <c r="H659" i="17"/>
  <c r="J659" i="17"/>
  <c r="L659" i="17"/>
  <c r="F660" i="17"/>
  <c r="H660" i="17"/>
  <c r="J660" i="17"/>
  <c r="L660" i="17"/>
  <c r="F661" i="17"/>
  <c r="H661" i="17"/>
  <c r="J661" i="17"/>
  <c r="L661" i="17"/>
  <c r="F662" i="17"/>
  <c r="H662" i="17"/>
  <c r="J662" i="17"/>
  <c r="L662" i="17"/>
  <c r="F663" i="17"/>
  <c r="H663" i="17"/>
  <c r="J663" i="17"/>
  <c r="L663" i="17"/>
  <c r="F664" i="17"/>
  <c r="H664" i="17"/>
  <c r="J664" i="17"/>
  <c r="L664" i="17"/>
  <c r="F665" i="17"/>
  <c r="H665" i="17"/>
  <c r="J665" i="17"/>
  <c r="L665" i="17"/>
  <c r="F666" i="17"/>
  <c r="H666" i="17"/>
  <c r="J666" i="17"/>
  <c r="L666" i="17"/>
  <c r="F667" i="17"/>
  <c r="H667" i="17"/>
  <c r="J667" i="17"/>
  <c r="L667" i="17"/>
  <c r="F668" i="17"/>
  <c r="H668" i="17"/>
  <c r="J668" i="17"/>
  <c r="L668" i="17"/>
  <c r="F669" i="17"/>
  <c r="H669" i="17"/>
  <c r="J669" i="17"/>
  <c r="L669" i="17"/>
  <c r="F670" i="17"/>
  <c r="H670" i="17"/>
  <c r="J670" i="17"/>
  <c r="L670" i="17"/>
  <c r="F671" i="17"/>
  <c r="H671" i="17"/>
  <c r="J671" i="17"/>
  <c r="L671" i="17"/>
  <c r="F672" i="17"/>
  <c r="H672" i="17"/>
  <c r="J672" i="17"/>
  <c r="L672" i="17"/>
  <c r="F673" i="17"/>
  <c r="H673" i="17"/>
  <c r="J673" i="17"/>
  <c r="L673" i="17"/>
  <c r="F674" i="17"/>
  <c r="H674" i="17"/>
  <c r="J674" i="17"/>
  <c r="L674" i="17"/>
  <c r="F675" i="17"/>
  <c r="H675" i="17"/>
  <c r="J675" i="17"/>
  <c r="L675" i="17"/>
  <c r="F676" i="17"/>
  <c r="H676" i="17"/>
  <c r="J676" i="17"/>
  <c r="L676" i="17"/>
  <c r="F677" i="17"/>
  <c r="H677" i="17"/>
  <c r="J677" i="17"/>
  <c r="L677" i="17"/>
  <c r="F678" i="17"/>
  <c r="H678" i="17"/>
  <c r="J678" i="17"/>
  <c r="L678" i="17"/>
  <c r="F679" i="17"/>
  <c r="H679" i="17"/>
  <c r="J679" i="17"/>
  <c r="L679" i="17"/>
  <c r="F680" i="17"/>
  <c r="H680" i="17"/>
  <c r="J680" i="17"/>
  <c r="L680" i="17"/>
  <c r="F681" i="17"/>
  <c r="H681" i="17"/>
  <c r="J681" i="17"/>
  <c r="L681" i="17"/>
  <c r="F682" i="17"/>
  <c r="H682" i="17"/>
  <c r="J682" i="17"/>
  <c r="L682" i="17"/>
  <c r="F683" i="17"/>
  <c r="H683" i="17"/>
  <c r="J683" i="17"/>
  <c r="L683" i="17"/>
  <c r="F684" i="17"/>
  <c r="H684" i="17"/>
  <c r="J684" i="17"/>
  <c r="L684" i="17"/>
  <c r="F685" i="17"/>
  <c r="H685" i="17"/>
  <c r="J685" i="17"/>
  <c r="L685" i="17"/>
  <c r="F686" i="17"/>
  <c r="H686" i="17"/>
  <c r="J686" i="17"/>
  <c r="L686" i="17"/>
  <c r="F687" i="17"/>
  <c r="H687" i="17"/>
  <c r="J687" i="17"/>
  <c r="L687" i="17"/>
  <c r="F688" i="17"/>
  <c r="H688" i="17"/>
  <c r="J688" i="17"/>
  <c r="L688" i="17"/>
  <c r="F689" i="17"/>
  <c r="H689" i="17"/>
  <c r="J689" i="17"/>
  <c r="L689" i="17"/>
  <c r="F690" i="17"/>
  <c r="H690" i="17"/>
  <c r="J690" i="17"/>
  <c r="L690" i="17"/>
  <c r="F691" i="17"/>
  <c r="H691" i="17"/>
  <c r="J691" i="17"/>
  <c r="L691" i="17"/>
  <c r="F692" i="17"/>
  <c r="H692" i="17"/>
  <c r="J692" i="17"/>
  <c r="L692" i="17"/>
  <c r="F693" i="17"/>
  <c r="H693" i="17"/>
  <c r="J693" i="17"/>
  <c r="L693" i="17"/>
  <c r="F694" i="17"/>
  <c r="H694" i="17"/>
  <c r="J694" i="17"/>
  <c r="L694" i="17"/>
  <c r="F695" i="17"/>
  <c r="H695" i="17"/>
  <c r="J695" i="17"/>
  <c r="L695" i="17"/>
  <c r="F696" i="17"/>
  <c r="H696" i="17"/>
  <c r="J696" i="17"/>
  <c r="L696" i="17"/>
  <c r="F697" i="17"/>
  <c r="H697" i="17"/>
  <c r="J697" i="17"/>
  <c r="L697" i="17"/>
  <c r="F698" i="17"/>
  <c r="H698" i="17"/>
  <c r="J698" i="17"/>
  <c r="L698" i="17"/>
  <c r="F699" i="17"/>
  <c r="H699" i="17"/>
  <c r="J699" i="17"/>
  <c r="L699" i="17"/>
  <c r="F700" i="17"/>
  <c r="H700" i="17"/>
  <c r="J700" i="17"/>
  <c r="L700" i="17"/>
  <c r="F701" i="17"/>
  <c r="H701" i="17"/>
  <c r="J701" i="17"/>
  <c r="L701" i="17"/>
  <c r="F702" i="17"/>
  <c r="H702" i="17"/>
  <c r="J702" i="17"/>
  <c r="L702" i="17"/>
  <c r="F703" i="17"/>
  <c r="H703" i="17"/>
  <c r="J703" i="17"/>
  <c r="L703" i="17"/>
  <c r="F704" i="17"/>
  <c r="H704" i="17"/>
  <c r="J704" i="17"/>
  <c r="L704" i="17"/>
  <c r="F705" i="17"/>
  <c r="H705" i="17"/>
  <c r="J705" i="17"/>
  <c r="L705" i="17"/>
  <c r="F706" i="17"/>
  <c r="H706" i="17"/>
  <c r="J706" i="17"/>
  <c r="L706" i="17"/>
  <c r="F707" i="17"/>
  <c r="H707" i="17"/>
  <c r="J707" i="17"/>
  <c r="L707" i="17"/>
  <c r="F708" i="17"/>
  <c r="H708" i="17"/>
  <c r="J708" i="17"/>
  <c r="L708" i="17"/>
  <c r="F709" i="17"/>
  <c r="H709" i="17"/>
  <c r="J709" i="17"/>
  <c r="L709" i="17"/>
  <c r="F710" i="17"/>
  <c r="H710" i="17"/>
  <c r="J710" i="17"/>
  <c r="L710" i="17"/>
  <c r="F711" i="17"/>
  <c r="H711" i="17"/>
  <c r="J711" i="17"/>
  <c r="L711" i="17"/>
  <c r="F712" i="17"/>
  <c r="H712" i="17"/>
  <c r="J712" i="17"/>
  <c r="L712" i="17"/>
  <c r="F713" i="17"/>
  <c r="H713" i="17"/>
  <c r="J713" i="17"/>
  <c r="L713" i="17"/>
  <c r="F714" i="17"/>
  <c r="H714" i="17"/>
  <c r="J714" i="17"/>
  <c r="L714" i="17"/>
  <c r="F715" i="17"/>
  <c r="H715" i="17"/>
  <c r="J715" i="17"/>
  <c r="L715" i="17"/>
  <c r="F716" i="17"/>
  <c r="H716" i="17"/>
  <c r="J716" i="17"/>
  <c r="L716" i="17"/>
  <c r="F717" i="17"/>
  <c r="H717" i="17"/>
  <c r="J717" i="17"/>
  <c r="L717" i="17"/>
  <c r="F718" i="17"/>
  <c r="H718" i="17"/>
  <c r="J718" i="17"/>
  <c r="L718" i="17"/>
  <c r="F719" i="17"/>
  <c r="H719" i="17"/>
  <c r="J719" i="17"/>
  <c r="L719" i="17"/>
  <c r="F720" i="17"/>
  <c r="H720" i="17"/>
  <c r="J720" i="17"/>
  <c r="L720" i="17"/>
  <c r="F721" i="17"/>
  <c r="H721" i="17"/>
  <c r="J721" i="17"/>
  <c r="L721" i="17"/>
  <c r="F722" i="17"/>
  <c r="H722" i="17"/>
  <c r="J722" i="17"/>
  <c r="L722" i="17"/>
  <c r="F723" i="17"/>
  <c r="H723" i="17"/>
  <c r="J723" i="17"/>
  <c r="L723" i="17"/>
  <c r="F724" i="17"/>
  <c r="H724" i="17"/>
  <c r="J724" i="17"/>
  <c r="L724" i="17"/>
  <c r="F725" i="17"/>
  <c r="H725" i="17"/>
  <c r="J725" i="17"/>
  <c r="L725" i="17"/>
  <c r="F726" i="17"/>
  <c r="H726" i="17"/>
  <c r="J726" i="17"/>
  <c r="L726" i="17"/>
  <c r="F727" i="17"/>
  <c r="H727" i="17"/>
  <c r="J727" i="17"/>
  <c r="E651" i="17"/>
  <c r="I651" i="17"/>
  <c r="E652" i="17"/>
  <c r="I652" i="17"/>
  <c r="E653" i="17"/>
  <c r="I653" i="17"/>
  <c r="E654" i="17"/>
  <c r="I654" i="17"/>
  <c r="E655" i="17"/>
  <c r="I655" i="17"/>
  <c r="E656" i="17"/>
  <c r="I656" i="17"/>
  <c r="E657" i="17"/>
  <c r="I657" i="17"/>
  <c r="E658" i="17"/>
  <c r="I658" i="17"/>
  <c r="E659" i="17"/>
  <c r="I659" i="17"/>
  <c r="E660" i="17"/>
  <c r="I660" i="17"/>
  <c r="E661" i="17"/>
  <c r="I661" i="17"/>
  <c r="E662" i="17"/>
  <c r="I662" i="17"/>
  <c r="E663" i="17"/>
  <c r="I663" i="17"/>
  <c r="E664" i="17"/>
  <c r="I664" i="17"/>
  <c r="E665" i="17"/>
  <c r="I665" i="17"/>
  <c r="E666" i="17"/>
  <c r="I666" i="17"/>
  <c r="E667" i="17"/>
  <c r="I667" i="17"/>
  <c r="E668" i="17"/>
  <c r="I668" i="17"/>
  <c r="E669" i="17"/>
  <c r="I669" i="17"/>
  <c r="E670" i="17"/>
  <c r="I670" i="17"/>
  <c r="E671" i="17"/>
  <c r="I671" i="17"/>
  <c r="E672" i="17"/>
  <c r="I672" i="17"/>
  <c r="E673" i="17"/>
  <c r="I673" i="17"/>
  <c r="E674" i="17"/>
  <c r="I674" i="17"/>
  <c r="E675" i="17"/>
  <c r="I675" i="17"/>
  <c r="E676" i="17"/>
  <c r="I676" i="17"/>
  <c r="E677" i="17"/>
  <c r="I677" i="17"/>
  <c r="E678" i="17"/>
  <c r="I678" i="17"/>
  <c r="E679" i="17"/>
  <c r="I679" i="17"/>
  <c r="E680" i="17"/>
  <c r="I680" i="17"/>
  <c r="E681" i="17"/>
  <c r="I681" i="17"/>
  <c r="E682" i="17"/>
  <c r="I682" i="17"/>
  <c r="E683" i="17"/>
  <c r="I683" i="17"/>
  <c r="E684" i="17"/>
  <c r="I684" i="17"/>
  <c r="E685" i="17"/>
  <c r="I685" i="17"/>
  <c r="E686" i="17"/>
  <c r="I686" i="17"/>
  <c r="E687" i="17"/>
  <c r="I687" i="17"/>
  <c r="E688" i="17"/>
  <c r="I688" i="17"/>
  <c r="E689" i="17"/>
  <c r="I689" i="17"/>
  <c r="E690" i="17"/>
  <c r="I690" i="17"/>
  <c r="E691" i="17"/>
  <c r="I691" i="17"/>
  <c r="E692" i="17"/>
  <c r="I692" i="17"/>
  <c r="E693" i="17"/>
  <c r="I693" i="17"/>
  <c r="E694" i="17"/>
  <c r="I694" i="17"/>
  <c r="E695" i="17"/>
  <c r="I695" i="17"/>
  <c r="E696" i="17"/>
  <c r="I696" i="17"/>
  <c r="E697" i="17"/>
  <c r="I697" i="17"/>
  <c r="E698" i="17"/>
  <c r="I698" i="17"/>
  <c r="E699" i="17"/>
  <c r="I699" i="17"/>
  <c r="E700" i="17"/>
  <c r="I700" i="17"/>
  <c r="E701" i="17"/>
  <c r="I701" i="17"/>
  <c r="E702" i="17"/>
  <c r="I702" i="17"/>
  <c r="E703" i="17"/>
  <c r="I703" i="17"/>
  <c r="E704" i="17"/>
  <c r="I704" i="17"/>
  <c r="E705" i="17"/>
  <c r="I705" i="17"/>
  <c r="E706" i="17"/>
  <c r="I706" i="17"/>
  <c r="E707" i="17"/>
  <c r="I707" i="17"/>
  <c r="E708" i="17"/>
  <c r="I708" i="17"/>
  <c r="E709" i="17"/>
  <c r="I709" i="17"/>
  <c r="E710" i="17"/>
  <c r="I710" i="17"/>
  <c r="E711" i="17"/>
  <c r="I711" i="17"/>
  <c r="E712" i="17"/>
  <c r="I712" i="17"/>
  <c r="E713" i="17"/>
  <c r="I713" i="17"/>
  <c r="E714" i="17"/>
  <c r="I714" i="17"/>
  <c r="E715" i="17"/>
  <c r="I715" i="17"/>
  <c r="E716" i="17"/>
  <c r="I716" i="17"/>
  <c r="E717" i="17"/>
  <c r="I717" i="17"/>
  <c r="E718" i="17"/>
  <c r="I718" i="17"/>
  <c r="E719" i="17"/>
  <c r="I719" i="17"/>
  <c r="E720" i="17"/>
  <c r="I720" i="17"/>
  <c r="E721" i="17"/>
  <c r="I721" i="17"/>
  <c r="E722" i="17"/>
  <c r="I722" i="17"/>
  <c r="E723" i="17"/>
  <c r="I723" i="17"/>
  <c r="E724" i="17"/>
  <c r="I724" i="17"/>
  <c r="E725" i="17"/>
  <c r="I725" i="17"/>
  <c r="E726" i="17"/>
  <c r="I726" i="17"/>
  <c r="E727" i="17"/>
  <c r="I727" i="17"/>
  <c r="L727" i="17"/>
  <c r="E728" i="17"/>
  <c r="I728" i="17"/>
  <c r="E729" i="17"/>
  <c r="I729" i="17"/>
  <c r="E730" i="17"/>
  <c r="I730" i="17"/>
  <c r="E731" i="17"/>
  <c r="I731" i="17"/>
  <c r="E732" i="17"/>
  <c r="I732" i="17"/>
  <c r="E733" i="17"/>
  <c r="I733" i="17"/>
  <c r="E734" i="17"/>
  <c r="I734" i="17"/>
  <c r="E735" i="17"/>
  <c r="I735" i="17"/>
  <c r="E736" i="17"/>
  <c r="I736" i="17"/>
  <c r="E737" i="17"/>
  <c r="I737" i="17"/>
  <c r="E738" i="17"/>
  <c r="I738" i="17"/>
  <c r="E739" i="17"/>
  <c r="I739" i="17"/>
  <c r="E740" i="17"/>
  <c r="I740" i="17"/>
  <c r="E741" i="17"/>
  <c r="I741" i="17"/>
  <c r="E742" i="17"/>
  <c r="I742" i="17"/>
  <c r="E743" i="17"/>
  <c r="I743" i="17"/>
  <c r="E744" i="17"/>
  <c r="I744" i="17"/>
  <c r="E745" i="17"/>
  <c r="I745" i="17"/>
  <c r="E746" i="17"/>
  <c r="I746" i="17"/>
  <c r="E747" i="17"/>
  <c r="I747" i="17"/>
  <c r="E748" i="17"/>
  <c r="I748" i="17"/>
  <c r="E749" i="17"/>
  <c r="I749" i="17"/>
  <c r="E750" i="17"/>
  <c r="I750" i="17"/>
  <c r="E751" i="17"/>
  <c r="I751" i="17"/>
  <c r="E752" i="17"/>
  <c r="I752" i="17"/>
  <c r="E753" i="17"/>
  <c r="I753" i="17"/>
  <c r="E754" i="17"/>
  <c r="I754" i="17"/>
  <c r="E755" i="17"/>
  <c r="I755" i="17"/>
  <c r="E756" i="17"/>
  <c r="I756" i="17"/>
  <c r="E757" i="17"/>
  <c r="I757" i="17"/>
  <c r="E758" i="17"/>
  <c r="I758" i="17"/>
  <c r="E759" i="17"/>
  <c r="I759" i="17"/>
  <c r="E760" i="17"/>
  <c r="I760" i="17"/>
  <c r="E761" i="17"/>
  <c r="I761" i="17"/>
  <c r="E762" i="17"/>
  <c r="I762" i="17"/>
  <c r="E763" i="17"/>
  <c r="I763" i="17"/>
  <c r="E764" i="17"/>
  <c r="I764" i="17"/>
  <c r="E765" i="17"/>
  <c r="I765" i="17"/>
  <c r="E766" i="17"/>
  <c r="I766" i="17"/>
  <c r="E767" i="17"/>
  <c r="I767" i="17"/>
  <c r="E768" i="17"/>
  <c r="I768" i="17"/>
  <c r="E769" i="17"/>
  <c r="I769" i="17"/>
  <c r="E770" i="17"/>
  <c r="I770" i="17"/>
  <c r="E771" i="17"/>
  <c r="I771" i="17"/>
  <c r="E772" i="17"/>
  <c r="I772" i="17"/>
  <c r="E773" i="17"/>
  <c r="I773" i="17"/>
  <c r="E774" i="17"/>
  <c r="I774" i="17"/>
  <c r="E775" i="17"/>
  <c r="I775" i="17"/>
  <c r="E776" i="17"/>
  <c r="I776" i="17"/>
  <c r="E777" i="17"/>
  <c r="I777" i="17"/>
  <c r="E778" i="17"/>
  <c r="I778" i="17"/>
  <c r="E779" i="17"/>
  <c r="I779" i="17"/>
  <c r="E780" i="17"/>
  <c r="I780" i="17"/>
  <c r="E781" i="17"/>
  <c r="I781" i="17"/>
  <c r="E782" i="17"/>
  <c r="I782" i="17"/>
  <c r="E783" i="17"/>
  <c r="I783" i="17"/>
  <c r="E784" i="17"/>
  <c r="I784" i="17"/>
  <c r="E785" i="17"/>
  <c r="I785" i="17"/>
  <c r="E786" i="17"/>
  <c r="I786" i="17"/>
  <c r="E787" i="17"/>
  <c r="I787" i="17"/>
  <c r="E788" i="17"/>
  <c r="I788" i="17"/>
  <c r="E789" i="17"/>
  <c r="I789" i="17"/>
  <c r="E790" i="17"/>
  <c r="I790" i="17"/>
  <c r="E791" i="17"/>
  <c r="I791" i="17"/>
  <c r="E792" i="17"/>
  <c r="I792" i="17"/>
  <c r="E793" i="17"/>
  <c r="I793" i="17"/>
  <c r="E794" i="17"/>
  <c r="I794" i="17"/>
  <c r="E795" i="17"/>
  <c r="I795" i="17"/>
  <c r="E796" i="17"/>
  <c r="I796" i="17"/>
  <c r="E797" i="17"/>
  <c r="I797" i="17"/>
  <c r="E798" i="17"/>
  <c r="I798" i="17"/>
  <c r="E799" i="17"/>
  <c r="I799" i="17"/>
  <c r="E800" i="17"/>
  <c r="I800" i="17"/>
  <c r="E801" i="17"/>
  <c r="I801" i="17"/>
  <c r="E802" i="17"/>
  <c r="I802" i="17"/>
  <c r="E803" i="17"/>
  <c r="I803" i="17"/>
  <c r="E804" i="17"/>
  <c r="I804" i="17"/>
  <c r="E805" i="17"/>
  <c r="I805" i="17"/>
  <c r="E806" i="17"/>
  <c r="I806" i="17"/>
  <c r="E807" i="17"/>
  <c r="I807" i="17"/>
  <c r="E808" i="17"/>
  <c r="I808" i="17"/>
  <c r="E809" i="17"/>
  <c r="I809" i="17"/>
  <c r="E810" i="17"/>
  <c r="I810" i="17"/>
  <c r="E811" i="17"/>
  <c r="I811" i="17"/>
  <c r="E812" i="17"/>
  <c r="I812" i="17"/>
  <c r="E813" i="17"/>
  <c r="I813" i="17"/>
  <c r="E814" i="17"/>
  <c r="I814" i="17"/>
  <c r="E815" i="17"/>
  <c r="I815" i="17"/>
  <c r="E816" i="17"/>
  <c r="I816" i="17"/>
  <c r="E817" i="17"/>
  <c r="I817" i="17"/>
  <c r="E818" i="17"/>
  <c r="I818" i="17"/>
  <c r="E819" i="17"/>
  <c r="I819" i="17"/>
  <c r="E820" i="17"/>
  <c r="I820" i="17"/>
  <c r="E821" i="17"/>
  <c r="I821" i="17"/>
  <c r="E822" i="17"/>
  <c r="I822" i="17"/>
  <c r="E823" i="17"/>
  <c r="I823" i="17"/>
  <c r="E824" i="17"/>
  <c r="I824" i="17"/>
  <c r="E825" i="17"/>
  <c r="I825" i="17"/>
  <c r="E826" i="17"/>
  <c r="I826" i="17"/>
  <c r="E827" i="17"/>
  <c r="I827" i="17"/>
  <c r="E828" i="17"/>
  <c r="I828" i="17"/>
  <c r="E829" i="17"/>
  <c r="I829" i="17"/>
  <c r="E830" i="17"/>
  <c r="I830" i="17"/>
  <c r="E831" i="17"/>
  <c r="I831" i="17"/>
  <c r="E832" i="17"/>
  <c r="I832" i="17"/>
  <c r="E833" i="17"/>
  <c r="I833" i="17"/>
  <c r="E834" i="17"/>
  <c r="I834" i="17"/>
  <c r="E835" i="17"/>
  <c r="I835" i="17"/>
  <c r="E836" i="17"/>
  <c r="I836" i="17"/>
  <c r="E837" i="17"/>
  <c r="I837" i="17"/>
  <c r="E838" i="17"/>
  <c r="I838" i="17"/>
  <c r="E839" i="17"/>
  <c r="I839" i="17"/>
  <c r="E840" i="17"/>
  <c r="I840" i="17"/>
  <c r="E841" i="17"/>
  <c r="I841" i="17"/>
  <c r="E842" i="17"/>
  <c r="I842" i="17"/>
  <c r="E843" i="17"/>
  <c r="I843" i="17"/>
  <c r="E844" i="17"/>
  <c r="I844" i="17"/>
  <c r="E845" i="17"/>
  <c r="I845" i="17"/>
  <c r="E846" i="17"/>
  <c r="I846" i="17"/>
  <c r="E847" i="17"/>
  <c r="I847" i="17"/>
  <c r="E848" i="17"/>
  <c r="I848" i="17"/>
  <c r="E849" i="17"/>
  <c r="I849" i="17"/>
  <c r="E850" i="17"/>
  <c r="I850" i="17"/>
  <c r="E851" i="17"/>
  <c r="I851" i="17"/>
  <c r="E852" i="17"/>
  <c r="I852" i="17"/>
  <c r="E853" i="17"/>
  <c r="I853" i="17"/>
  <c r="E854" i="17"/>
  <c r="I854" i="17"/>
  <c r="E855" i="17"/>
  <c r="I855" i="17"/>
  <c r="E856" i="17"/>
  <c r="I856" i="17"/>
  <c r="E857" i="17"/>
  <c r="I857" i="17"/>
  <c r="E858" i="17"/>
  <c r="I858" i="17"/>
  <c r="K859" i="17"/>
  <c r="I859" i="17"/>
  <c r="E859" i="17"/>
  <c r="H859" i="17"/>
  <c r="L859" i="17"/>
  <c r="E860" i="17"/>
  <c r="I860" i="17"/>
  <c r="E861" i="17"/>
  <c r="I861" i="17"/>
  <c r="E862" i="17"/>
  <c r="I862" i="17"/>
  <c r="E863" i="17"/>
  <c r="I863" i="17"/>
  <c r="E864" i="17"/>
  <c r="I864" i="17"/>
  <c r="E865" i="17"/>
  <c r="I865" i="17"/>
  <c r="E866" i="17"/>
  <c r="I866" i="17"/>
  <c r="E867" i="17"/>
  <c r="I867" i="17"/>
  <c r="E868" i="17"/>
  <c r="I868" i="17"/>
  <c r="E869" i="17"/>
  <c r="I869" i="17"/>
  <c r="E870" i="17"/>
  <c r="I870" i="17"/>
  <c r="E871" i="17"/>
  <c r="I871" i="17"/>
  <c r="E872" i="17"/>
  <c r="I872" i="17"/>
  <c r="E873" i="17"/>
  <c r="I873" i="17"/>
  <c r="E874" i="17"/>
  <c r="I874" i="17"/>
  <c r="E875" i="17"/>
  <c r="I875" i="17"/>
  <c r="E876" i="17"/>
  <c r="I876" i="17"/>
  <c r="E877" i="17"/>
  <c r="I877" i="17"/>
  <c r="E878" i="17"/>
  <c r="I878" i="17"/>
  <c r="E879" i="17"/>
  <c r="I879" i="17"/>
  <c r="E880" i="17"/>
  <c r="I880" i="17"/>
  <c r="E881" i="17"/>
  <c r="I881" i="17"/>
  <c r="E882" i="17"/>
  <c r="I882" i="17"/>
  <c r="E883" i="17"/>
  <c r="I883" i="17"/>
  <c r="E884" i="17"/>
  <c r="I884" i="17"/>
  <c r="E885" i="17"/>
  <c r="I885" i="17"/>
  <c r="E886" i="17"/>
  <c r="I886" i="17"/>
  <c r="E887" i="17"/>
  <c r="I887" i="17"/>
  <c r="E888" i="17"/>
  <c r="I888" i="17"/>
  <c r="E889" i="17"/>
  <c r="I889" i="17"/>
  <c r="E890" i="17"/>
  <c r="I890" i="17"/>
  <c r="E891" i="17"/>
  <c r="I891" i="17"/>
  <c r="E892" i="17"/>
  <c r="I892" i="17"/>
  <c r="E893" i="17"/>
  <c r="I893" i="17"/>
  <c r="E894" i="17"/>
  <c r="I894" i="17"/>
  <c r="E895" i="17"/>
  <c r="I895" i="17"/>
  <c r="E896" i="17"/>
  <c r="I896" i="17"/>
  <c r="E897" i="17"/>
  <c r="I897" i="17"/>
  <c r="E898" i="17"/>
  <c r="I898" i="17"/>
  <c r="E899" i="17"/>
  <c r="I899" i="17"/>
  <c r="E900" i="17"/>
  <c r="I900" i="17"/>
  <c r="E901" i="17"/>
  <c r="I901" i="17"/>
  <c r="E902" i="17"/>
  <c r="I902" i="17"/>
  <c r="E903" i="17"/>
  <c r="I903" i="17"/>
  <c r="E904" i="17"/>
  <c r="I904" i="17"/>
  <c r="E905" i="17"/>
  <c r="I905" i="17"/>
  <c r="E906" i="17"/>
  <c r="I906" i="17"/>
  <c r="E907" i="17"/>
  <c r="I907" i="17"/>
  <c r="E908" i="17"/>
  <c r="I908" i="17"/>
  <c r="E909" i="17"/>
  <c r="I909" i="17"/>
  <c r="E910" i="17"/>
  <c r="I910" i="17"/>
  <c r="E911" i="17"/>
  <c r="I911" i="17"/>
  <c r="E912" i="17"/>
  <c r="I912" i="17"/>
  <c r="E913" i="17"/>
  <c r="I913" i="17"/>
  <c r="E914" i="17"/>
  <c r="I914" i="17"/>
  <c r="E915" i="17"/>
  <c r="I915" i="17"/>
  <c r="E916" i="17"/>
  <c r="I916" i="17"/>
  <c r="E917" i="17"/>
  <c r="I917" i="17"/>
  <c r="E918" i="17"/>
  <c r="I918" i="17"/>
  <c r="E919" i="17"/>
  <c r="I919" i="17"/>
  <c r="E920" i="17"/>
  <c r="I920" i="17"/>
  <c r="E921" i="17"/>
  <c r="I921" i="17"/>
  <c r="E922" i="17"/>
  <c r="I922" i="17"/>
  <c r="E923" i="17"/>
  <c r="I923" i="17"/>
  <c r="E924" i="17"/>
  <c r="I924" i="17"/>
  <c r="E925" i="17"/>
  <c r="I925" i="17"/>
  <c r="E926" i="17"/>
  <c r="I926" i="17"/>
  <c r="E927" i="17"/>
  <c r="I927" i="17"/>
  <c r="E928" i="17"/>
  <c r="I928" i="17"/>
  <c r="E929" i="17"/>
  <c r="I929" i="17"/>
  <c r="E930" i="17"/>
  <c r="I930" i="17"/>
  <c r="E931" i="17"/>
  <c r="I931" i="17"/>
  <c r="E932" i="17"/>
  <c r="I932" i="17"/>
  <c r="E933" i="17"/>
  <c r="I933" i="17"/>
  <c r="E934" i="17"/>
  <c r="I934" i="17"/>
  <c r="E935" i="17"/>
  <c r="I935" i="17"/>
  <c r="E936" i="17"/>
  <c r="I936" i="17"/>
  <c r="E937" i="17"/>
  <c r="I937" i="17"/>
  <c r="E938" i="17"/>
  <c r="I938" i="17"/>
  <c r="E939" i="17"/>
  <c r="I939" i="17"/>
  <c r="E940" i="17"/>
  <c r="I940" i="17"/>
  <c r="E941" i="17"/>
  <c r="I941" i="17"/>
  <c r="E942" i="17"/>
  <c r="I942" i="17"/>
  <c r="E943" i="17"/>
  <c r="I943" i="17"/>
  <c r="E944" i="17"/>
  <c r="I944" i="17"/>
  <c r="E945" i="17"/>
  <c r="I945" i="17"/>
  <c r="E946" i="17"/>
  <c r="I946" i="17"/>
  <c r="E947" i="17"/>
  <c r="I947" i="17"/>
  <c r="E948" i="17"/>
  <c r="I948" i="17"/>
  <c r="E949" i="17"/>
  <c r="I949" i="17"/>
  <c r="E950" i="17"/>
  <c r="I950" i="17"/>
  <c r="E951" i="17"/>
  <c r="I951" i="17"/>
  <c r="E952" i="17"/>
  <c r="I952" i="17"/>
  <c r="E953" i="17"/>
  <c r="I953" i="17"/>
  <c r="E954" i="17"/>
  <c r="I954" i="17"/>
  <c r="E955" i="17"/>
  <c r="I955" i="17"/>
  <c r="E956" i="17"/>
  <c r="I956" i="17"/>
  <c r="E957" i="17"/>
  <c r="I957" i="17"/>
  <c r="E958" i="17"/>
  <c r="I958" i="17"/>
  <c r="E959" i="17"/>
  <c r="I959" i="17"/>
  <c r="E960" i="17"/>
  <c r="I960" i="17"/>
  <c r="E961" i="17"/>
  <c r="I961" i="17"/>
  <c r="E962" i="17"/>
  <c r="I962" i="17"/>
  <c r="E963" i="17"/>
  <c r="I963" i="17"/>
  <c r="E964" i="17"/>
  <c r="I964" i="17"/>
  <c r="E965" i="17"/>
  <c r="I965" i="17"/>
  <c r="E966" i="17"/>
  <c r="I966" i="17"/>
  <c r="E967" i="17"/>
  <c r="I967" i="17"/>
  <c r="E968" i="17"/>
  <c r="I968" i="17"/>
  <c r="E969" i="17"/>
  <c r="I969" i="17"/>
  <c r="E970" i="17"/>
  <c r="I970" i="17"/>
  <c r="E971" i="17"/>
  <c r="I971" i="17"/>
  <c r="E972" i="17"/>
  <c r="I972" i="17"/>
  <c r="E973" i="17"/>
  <c r="I973" i="17"/>
  <c r="E974" i="17"/>
  <c r="I974" i="17"/>
  <c r="E975" i="17"/>
  <c r="I975" i="17"/>
  <c r="E976" i="17"/>
  <c r="I976" i="17"/>
  <c r="E977" i="17"/>
  <c r="I977" i="17"/>
  <c r="E978" i="17"/>
  <c r="I978" i="17"/>
  <c r="E979" i="17"/>
  <c r="I979" i="17"/>
  <c r="E980" i="17"/>
  <c r="I980" i="17"/>
  <c r="E981" i="17"/>
  <c r="I981" i="17"/>
  <c r="E982" i="17"/>
  <c r="I982" i="17"/>
  <c r="E983" i="17"/>
  <c r="I983" i="17"/>
  <c r="E984" i="17"/>
  <c r="I984" i="17"/>
  <c r="E985" i="17"/>
  <c r="I985" i="17"/>
  <c r="E986" i="17"/>
  <c r="I986" i="17"/>
  <c r="E987" i="17"/>
  <c r="I987" i="17"/>
  <c r="E988" i="17"/>
  <c r="I988" i="17"/>
  <c r="E989" i="17"/>
  <c r="I989" i="17"/>
  <c r="E990" i="17"/>
  <c r="I990" i="17"/>
  <c r="E991" i="17"/>
  <c r="I991" i="17"/>
  <c r="E992" i="17"/>
  <c r="I992" i="17"/>
  <c r="E993" i="17"/>
  <c r="I993" i="17"/>
  <c r="E994" i="17"/>
  <c r="I994" i="17"/>
  <c r="E995" i="17"/>
  <c r="I995" i="17"/>
  <c r="E996" i="17"/>
  <c r="I996" i="17"/>
  <c r="E997" i="17"/>
  <c r="I997" i="17"/>
  <c r="E998" i="17"/>
  <c r="I998" i="17"/>
  <c r="E999" i="17"/>
  <c r="I999" i="17"/>
  <c r="E1000" i="17"/>
  <c r="I1000" i="17"/>
  <c r="E1001" i="17"/>
  <c r="I1001" i="17"/>
  <c r="E1002" i="17"/>
  <c r="I1002" i="17"/>
  <c r="E1003" i="17"/>
  <c r="I1003" i="17"/>
  <c r="E1004" i="17"/>
  <c r="I1004" i="17"/>
  <c r="E1005" i="17"/>
  <c r="I1005" i="17"/>
  <c r="E1006" i="17"/>
  <c r="I1006" i="17"/>
  <c r="E1007" i="17"/>
  <c r="I1007" i="17"/>
  <c r="E1008" i="17"/>
  <c r="I1008" i="17"/>
  <c r="E1009" i="17"/>
  <c r="I1009" i="17"/>
  <c r="E1010" i="17"/>
  <c r="I1010" i="17"/>
  <c r="E1011" i="17"/>
  <c r="I1011" i="17"/>
  <c r="E1012" i="17"/>
  <c r="I1012" i="17"/>
  <c r="E1013" i="17"/>
  <c r="I1013" i="17"/>
  <c r="E1014" i="17"/>
  <c r="I1014" i="17"/>
  <c r="E1015" i="17"/>
  <c r="I1015" i="17"/>
  <c r="E1016" i="17"/>
  <c r="I1016" i="17"/>
  <c r="E1017" i="17"/>
  <c r="I1017" i="17"/>
  <c r="E1018" i="17"/>
  <c r="I1018" i="17"/>
  <c r="E1019" i="17"/>
  <c r="I1019" i="17"/>
  <c r="E1020" i="17"/>
  <c r="I1020" i="17"/>
  <c r="G611" i="30"/>
  <c r="U80" i="29"/>
  <c r="Z43" i="29"/>
  <c r="G400" i="23"/>
  <c r="A52" i="28"/>
  <c r="G329" i="23"/>
  <c r="B517" i="28"/>
  <c r="A132" i="28"/>
  <c r="G18" i="30"/>
  <c r="A108" i="28"/>
  <c r="B725" i="28"/>
  <c r="A54" i="28"/>
  <c r="A216" i="28"/>
  <c r="A259" i="28"/>
  <c r="G345" i="30"/>
  <c r="G698" i="23"/>
  <c r="B855" i="28"/>
  <c r="B847" i="28"/>
  <c r="Z244" i="29"/>
  <c r="O3" i="29"/>
  <c r="G1027" i="23"/>
  <c r="A303" i="28"/>
  <c r="A61" i="28"/>
  <c r="B867" i="28"/>
  <c r="U152" i="29"/>
  <c r="B923" i="28"/>
  <c r="Z112" i="29"/>
  <c r="Z35" i="29"/>
  <c r="G747" i="23"/>
  <c r="G862" i="23"/>
  <c r="G763" i="23"/>
  <c r="A38" i="28"/>
  <c r="A148" i="28"/>
  <c r="G329" i="30"/>
  <c r="G218" i="30"/>
  <c r="O194" i="29"/>
  <c r="A219" i="28"/>
  <c r="G754" i="23"/>
  <c r="Z49" i="29"/>
  <c r="B707" i="28"/>
  <c r="A151" i="28"/>
  <c r="B543" i="28"/>
  <c r="G318" i="23"/>
  <c r="A275" i="28"/>
  <c r="G991" i="23"/>
  <c r="G292" i="23"/>
  <c r="G26" i="30"/>
  <c r="B851" i="28"/>
  <c r="A350" i="28"/>
  <c r="B483" i="28"/>
  <c r="B1077" i="28"/>
  <c r="G978" i="23"/>
  <c r="A337" i="28"/>
  <c r="G1032" i="23"/>
  <c r="B443" i="28"/>
  <c r="A135" i="28"/>
  <c r="Z266" i="29"/>
  <c r="G76" i="23"/>
  <c r="O240" i="29"/>
  <c r="B461" i="28"/>
  <c r="B433" i="28"/>
  <c r="A363" i="28"/>
  <c r="G814" i="23"/>
  <c r="A232" i="28"/>
  <c r="G334" i="23"/>
  <c r="A288" i="28"/>
  <c r="O208" i="29"/>
  <c r="Z218" i="29"/>
  <c r="G68" i="23"/>
  <c r="G2" i="30"/>
  <c r="B791" i="28"/>
  <c r="O120" i="29"/>
  <c r="B919" i="28"/>
  <c r="G830" i="23"/>
  <c r="D52" i="29"/>
  <c r="A46" i="28"/>
  <c r="O250" i="29"/>
  <c r="B503" i="28"/>
  <c r="G376" i="23"/>
  <c r="G994" i="23"/>
  <c r="G995" i="23"/>
  <c r="O15" i="29"/>
  <c r="A352" i="28"/>
  <c r="G328" i="23"/>
  <c r="G867" i="30"/>
  <c r="O254" i="29"/>
  <c r="G473" i="30"/>
  <c r="G210" i="30"/>
  <c r="A252" i="28"/>
  <c r="G1020" i="23"/>
  <c r="O264" i="29"/>
  <c r="B415" i="28"/>
  <c r="O236" i="29"/>
  <c r="G869" i="22"/>
  <c r="A372" i="28"/>
  <c r="A178" i="28"/>
  <c r="Z228" i="29"/>
  <c r="G954" i="23"/>
  <c r="A316" i="28"/>
  <c r="G799" i="23"/>
  <c r="B835" i="28"/>
  <c r="B685" i="28"/>
  <c r="B459" i="28"/>
  <c r="A271" i="28"/>
  <c r="D56" i="29"/>
  <c r="G842" i="23"/>
  <c r="G42" i="30"/>
  <c r="H1071" i="22"/>
  <c r="G605" i="22"/>
  <c r="B875" i="28"/>
  <c r="Z128" i="29"/>
  <c r="Z232" i="29"/>
  <c r="G206" i="23"/>
  <c r="B907" i="28"/>
  <c r="B465" i="28"/>
  <c r="B671" i="28"/>
  <c r="O160" i="29"/>
  <c r="A401" i="28"/>
  <c r="B625" i="28"/>
  <c r="G959" i="23"/>
  <c r="G220" i="23"/>
  <c r="G971" i="23"/>
  <c r="B863" i="28"/>
  <c r="O258" i="29"/>
  <c r="A191" i="28"/>
  <c r="H1101" i="22"/>
  <c r="G360" i="23"/>
  <c r="G675" i="30"/>
  <c r="B631" i="28"/>
  <c r="G28" i="23"/>
  <c r="A283" i="28"/>
  <c r="G722" i="23"/>
  <c r="G364" i="23"/>
  <c r="G44" i="23"/>
  <c r="G941" i="22"/>
  <c r="B1035" i="28"/>
  <c r="A387" i="28"/>
  <c r="G204" i="23"/>
  <c r="G927" i="23"/>
  <c r="Z63" i="29"/>
  <c r="G914" i="23"/>
  <c r="A319" i="28"/>
  <c r="Z258" i="29"/>
  <c r="B425" i="28"/>
  <c r="B1091" i="28"/>
  <c r="B1051" i="28"/>
  <c r="A368" i="28"/>
  <c r="B675" i="28"/>
  <c r="Z136" i="29"/>
  <c r="B953" i="28"/>
  <c r="G140" i="23"/>
  <c r="B1053" i="28"/>
  <c r="B583" i="28"/>
  <c r="B871" i="28"/>
  <c r="G398" i="23"/>
  <c r="B943" i="28"/>
  <c r="A40" i="28"/>
  <c r="A85" i="28"/>
  <c r="B743" i="28"/>
  <c r="G361" i="30"/>
  <c r="D68" i="29"/>
  <c r="G739" i="30"/>
  <c r="G963" i="30"/>
  <c r="A123" i="28"/>
  <c r="G114" i="30"/>
  <c r="A207" i="28"/>
  <c r="A366" i="28"/>
  <c r="U11" i="29"/>
  <c r="G521" i="30"/>
  <c r="B1031" i="28"/>
  <c r="A156" i="28"/>
  <c r="B441" i="28"/>
  <c r="G297" i="30"/>
  <c r="B901" i="28"/>
  <c r="G394" i="23"/>
  <c r="G285" i="23"/>
  <c r="A101" i="28"/>
  <c r="G806" i="23"/>
  <c r="G116" i="23"/>
  <c r="B1055" i="28"/>
  <c r="O266" i="29"/>
  <c r="B521" i="28"/>
  <c r="B783" i="28"/>
  <c r="B643" i="28"/>
  <c r="G846" i="23"/>
  <c r="B809" i="28"/>
  <c r="A126" i="28"/>
  <c r="A86" i="28"/>
  <c r="B761" i="28"/>
  <c r="G425" i="30"/>
  <c r="G340" i="23"/>
  <c r="B757" i="28"/>
  <c r="G771" i="30"/>
  <c r="Z67" i="29"/>
  <c r="A359" i="28"/>
  <c r="B413" i="28"/>
  <c r="B729" i="28"/>
  <c r="G915" i="23"/>
  <c r="A395" i="28"/>
  <c r="G1033" i="23"/>
  <c r="O246" i="29"/>
  <c r="G827" i="23"/>
  <c r="O19" i="29"/>
  <c r="B799" i="28"/>
  <c r="O61" i="29"/>
  <c r="G982" i="23"/>
  <c r="G970" i="23"/>
  <c r="B647" i="28"/>
  <c r="A58" i="28"/>
  <c r="G699" i="23"/>
  <c r="B607" i="28"/>
  <c r="G837" i="22"/>
  <c r="G917" i="22"/>
  <c r="G835" i="30"/>
  <c r="B753" i="28"/>
  <c r="A164" i="28"/>
  <c r="B721" i="28"/>
  <c r="B455" i="28"/>
  <c r="G64" i="23"/>
  <c r="A121" i="28"/>
  <c r="B831" i="28"/>
  <c r="A139" i="28"/>
  <c r="O104" i="29"/>
  <c r="A68" i="28"/>
  <c r="B997" i="28"/>
  <c r="B849" i="28"/>
  <c r="G408" i="23"/>
  <c r="G1009" i="23"/>
  <c r="G425" i="23"/>
  <c r="G850" i="23"/>
  <c r="O234" i="29"/>
  <c r="A111" i="28"/>
  <c r="A361" i="28"/>
  <c r="H1091" i="22"/>
  <c r="G849" i="22"/>
  <c r="Z160" i="29"/>
  <c r="H1005" i="22"/>
  <c r="G356" i="23"/>
  <c r="G730" i="23"/>
  <c r="B723" i="28"/>
  <c r="A246" i="28"/>
  <c r="B551" i="28"/>
  <c r="A91" i="28"/>
  <c r="G505" i="30"/>
  <c r="Z15" i="29"/>
  <c r="A229" i="28"/>
  <c r="B865" i="28"/>
  <c r="G766" i="23"/>
  <c r="B801" i="28"/>
  <c r="B617" i="28"/>
  <c r="B653" i="28"/>
  <c r="B909" i="28"/>
  <c r="A248" i="28"/>
  <c r="A339" i="28"/>
  <c r="B487" i="28"/>
  <c r="G82" i="30"/>
  <c r="B883" i="28"/>
  <c r="B417" i="28"/>
  <c r="B1057" i="28"/>
  <c r="B857" i="28"/>
  <c r="Z45" i="29"/>
  <c r="G757" i="22"/>
  <c r="B563" i="28"/>
  <c r="A385" i="28"/>
  <c r="A223" i="28"/>
  <c r="B879" i="28"/>
  <c r="G428" i="23"/>
  <c r="A290" i="28"/>
  <c r="A349" i="28"/>
  <c r="O226" i="29"/>
  <c r="A210" i="28"/>
  <c r="G1001" i="23"/>
  <c r="G1041" i="23"/>
  <c r="B633" i="28"/>
  <c r="A100" i="28"/>
  <c r="B553" i="28"/>
  <c r="Z212" i="29"/>
  <c r="Z65" i="29"/>
  <c r="A47" i="28"/>
  <c r="B555" i="28"/>
  <c r="G296" i="23"/>
  <c r="A336" i="28"/>
  <c r="G344" i="23"/>
  <c r="A188" i="28"/>
  <c r="A284" i="28"/>
  <c r="B787" i="28"/>
  <c r="D58" i="29"/>
  <c r="G818" i="23"/>
  <c r="A324" i="28"/>
  <c r="A292" i="28"/>
  <c r="B703" i="28"/>
  <c r="O224" i="29"/>
  <c r="Z19" i="29"/>
  <c r="A405" i="28"/>
  <c r="A305" i="28"/>
  <c r="G377" i="30"/>
  <c r="A312" i="28"/>
  <c r="B449" i="28"/>
  <c r="A117" i="28"/>
  <c r="B937" i="28"/>
  <c r="G949" i="22"/>
  <c r="G489" i="30"/>
  <c r="G1003" i="23"/>
  <c r="A187" i="28"/>
  <c r="A258" i="28"/>
  <c r="U96" i="29"/>
  <c r="A203" i="28"/>
  <c r="G922" i="23"/>
  <c r="G186" i="30"/>
  <c r="A407" i="28"/>
  <c r="U176" i="29"/>
  <c r="G886" i="23"/>
  <c r="B667" i="28"/>
  <c r="A180" i="28"/>
  <c r="B887" i="28"/>
  <c r="G867" i="23"/>
  <c r="A122" i="28"/>
  <c r="G958" i="23"/>
  <c r="B1093" i="28"/>
  <c r="A30" i="28"/>
  <c r="O59" i="29"/>
  <c r="G281" i="30"/>
  <c r="G156" i="23"/>
  <c r="G774" i="23"/>
  <c r="B571" i="28"/>
  <c r="A311" i="28"/>
  <c r="B749" i="28"/>
  <c r="G265" i="30"/>
  <c r="A167" i="28"/>
  <c r="B575" i="28"/>
  <c r="G946" i="23"/>
  <c r="A326" i="28"/>
  <c r="O260" i="29"/>
  <c r="G256" i="23"/>
  <c r="G236" i="23"/>
  <c r="G1094" i="22"/>
  <c r="A140" i="28"/>
  <c r="G320" i="23"/>
  <c r="G314" i="23"/>
  <c r="O49" i="29"/>
  <c r="A231" i="28"/>
  <c r="G321" i="23"/>
  <c r="A82" i="28"/>
  <c r="Z238" i="29"/>
  <c r="B693" i="28"/>
  <c r="A394" i="28"/>
  <c r="B673" i="28"/>
  <c r="B491" i="28"/>
  <c r="O136" i="29"/>
  <c r="A332" i="28"/>
  <c r="B839" i="28"/>
  <c r="A106" i="28"/>
  <c r="O184" i="29"/>
  <c r="Z220" i="29"/>
  <c r="G36" i="23"/>
  <c r="B611" i="28"/>
  <c r="A242" i="28"/>
  <c r="G146" i="30"/>
  <c r="B581" i="28"/>
  <c r="G132" i="23"/>
  <c r="A388" i="28"/>
  <c r="O256" i="29"/>
  <c r="B475" i="28"/>
  <c r="A102" i="28"/>
  <c r="B815" i="28"/>
  <c r="O27" i="29"/>
  <c r="A175" i="28"/>
  <c r="A330" i="28"/>
  <c r="G281" i="23"/>
  <c r="G218" i="23"/>
  <c r="A308" i="28"/>
  <c r="Z27" i="29"/>
  <c r="B807" i="28"/>
  <c r="Z268" i="29"/>
  <c r="B635" i="28"/>
  <c r="G854" i="23"/>
  <c r="G715" i="23"/>
  <c r="G373" i="23"/>
  <c r="D54" i="29"/>
  <c r="B739" i="28"/>
  <c r="B599" i="28"/>
  <c r="B873" i="28"/>
  <c r="A218" i="28"/>
  <c r="G457" i="30"/>
  <c r="G839" i="22"/>
  <c r="B885" i="28"/>
  <c r="B485" i="28"/>
  <c r="B951" i="28"/>
  <c r="B825" i="28"/>
  <c r="B899" i="28"/>
  <c r="B525" i="28"/>
  <c r="G979" i="23"/>
  <c r="G74" i="30"/>
  <c r="Z80" i="29"/>
  <c r="A146" i="28"/>
  <c r="Z204" i="29"/>
  <c r="A346" i="28"/>
  <c r="B1039" i="28"/>
  <c r="B1047" i="28"/>
  <c r="B579" i="28"/>
  <c r="H920" i="22"/>
  <c r="A315" i="28"/>
  <c r="B921" i="28"/>
  <c r="B1013" i="28"/>
  <c r="H1031" i="22"/>
  <c r="A206" i="28"/>
  <c r="G740" i="22"/>
  <c r="G609" i="22"/>
  <c r="A120" i="28"/>
  <c r="A201" i="28"/>
  <c r="A377" i="28"/>
  <c r="B963" i="28"/>
  <c r="A124" i="28"/>
  <c r="O206" i="29"/>
  <c r="B697" i="28"/>
  <c r="A168" i="28"/>
  <c r="B451" i="28"/>
  <c r="A370" i="28"/>
  <c r="B903" i="28"/>
  <c r="A250" i="28"/>
  <c r="A198" i="28"/>
  <c r="G794" i="23"/>
  <c r="U160" i="29"/>
  <c r="B929" i="28"/>
  <c r="B593" i="28"/>
  <c r="G739" i="23"/>
  <c r="G164" i="23"/>
  <c r="B1027" i="28"/>
  <c r="A355" i="28"/>
  <c r="B691" i="28"/>
  <c r="A239" i="28"/>
  <c r="A133" i="28"/>
  <c r="B505" i="28"/>
  <c r="Z55" i="29"/>
  <c r="U31" i="29"/>
  <c r="Z246" i="29"/>
  <c r="B431" i="28"/>
  <c r="G703" i="23"/>
  <c r="A344" i="28"/>
  <c r="U128" i="29"/>
  <c r="B925" i="28"/>
  <c r="A41" i="28"/>
  <c r="G899" i="23"/>
  <c r="G905" i="22"/>
  <c r="G488" i="22"/>
  <c r="O55" i="29"/>
  <c r="G216" i="23"/>
  <c r="G388" i="23"/>
  <c r="G460" i="22"/>
  <c r="H1100" i="22"/>
  <c r="O96" i="29"/>
  <c r="H1088" i="22"/>
  <c r="G202" i="23"/>
  <c r="A318" i="28"/>
  <c r="G414" i="23"/>
  <c r="H1017" i="22"/>
  <c r="G947" i="23"/>
  <c r="G856" i="22"/>
  <c r="A129" i="28"/>
  <c r="A190" i="28"/>
  <c r="G705" i="23"/>
  <c r="B795" i="28"/>
  <c r="B595" i="28"/>
  <c r="G789" i="22"/>
  <c r="A56" i="28"/>
  <c r="B961" i="28"/>
  <c r="B507" i="28"/>
  <c r="H1121" i="22"/>
  <c r="B529" i="28"/>
  <c r="G931" i="23"/>
  <c r="A220" i="28"/>
  <c r="H344" i="22"/>
  <c r="B657" i="28"/>
  <c r="G234" i="23"/>
  <c r="A362" i="28"/>
  <c r="G866" i="23"/>
  <c r="B949" i="28"/>
  <c r="A364" i="28"/>
  <c r="A328" i="28"/>
  <c r="B569" i="28"/>
  <c r="G899" i="30"/>
  <c r="G707" i="30"/>
  <c r="O196" i="29"/>
  <c r="O204" i="29"/>
  <c r="Z96" i="29"/>
  <c r="O230" i="29"/>
  <c r="A321" i="28"/>
  <c r="Z256" i="29"/>
  <c r="G393" i="30"/>
  <c r="B683" i="28"/>
  <c r="B911" i="28"/>
  <c r="B747" i="28"/>
  <c r="B669" i="28"/>
  <c r="G910" i="23"/>
  <c r="B561" i="28"/>
  <c r="Z200" i="29"/>
  <c r="A53" i="28"/>
  <c r="A373" i="28"/>
  <c r="B785" i="28"/>
  <c r="G284" i="23"/>
  <c r="G312" i="23"/>
  <c r="Z230" i="29"/>
  <c r="D64" i="29"/>
  <c r="A234" i="28"/>
  <c r="A307" i="28"/>
  <c r="G867" i="22"/>
  <c r="Z260" i="29"/>
  <c r="G876" i="23"/>
  <c r="A251" i="28"/>
  <c r="G879" i="22"/>
  <c r="G1036" i="23"/>
  <c r="G980" i="23"/>
  <c r="G802" i="23"/>
  <c r="G305" i="23"/>
  <c r="B975" i="28"/>
  <c r="G234" i="30"/>
  <c r="A39" i="28"/>
  <c r="G272" i="23"/>
  <c r="A43" i="28"/>
  <c r="G821" i="22"/>
  <c r="A134" i="28"/>
  <c r="B971" i="28"/>
  <c r="A226" i="28"/>
  <c r="B601" i="28"/>
  <c r="O222" i="29"/>
  <c r="G192" i="23"/>
  <c r="G1000" i="22"/>
  <c r="G904" i="23"/>
  <c r="G788" i="23"/>
  <c r="U27" i="29"/>
  <c r="B471" i="28"/>
  <c r="G808" i="23"/>
  <c r="B1083" i="28"/>
  <c r="G84" i="23"/>
  <c r="G791" i="23"/>
  <c r="B727" i="28"/>
  <c r="B1067" i="28"/>
  <c r="B687" i="28"/>
  <c r="D50" i="29"/>
  <c r="B559" i="28"/>
  <c r="G196" i="23"/>
  <c r="G858" i="23"/>
  <c r="G96" i="23"/>
  <c r="B665" i="28"/>
  <c r="A184" i="28"/>
  <c r="A376" i="28"/>
  <c r="A125" i="28"/>
  <c r="G172" i="23"/>
  <c r="A411" i="28"/>
  <c r="G10" i="30"/>
  <c r="B549" i="28"/>
  <c r="B489" i="28"/>
  <c r="G208" i="23"/>
  <c r="G762" i="23"/>
  <c r="Z226" i="29"/>
  <c r="G313" i="30"/>
  <c r="A212" i="28"/>
  <c r="G264" i="23"/>
  <c r="U7" i="29"/>
  <c r="B515" i="28"/>
  <c r="B695" i="28"/>
  <c r="G758" i="23"/>
  <c r="Z252" i="29"/>
  <c r="G821" i="23"/>
  <c r="O41" i="29"/>
  <c r="B1087" i="28"/>
  <c r="G369" i="23"/>
  <c r="A62" i="28"/>
  <c r="A408" i="28"/>
  <c r="G591" i="23"/>
  <c r="B709" i="28"/>
  <c r="G677" i="22"/>
  <c r="Z224" i="29"/>
  <c r="G724" i="23"/>
  <c r="B627" i="28"/>
  <c r="G623" i="23"/>
  <c r="G477" i="23"/>
  <c r="U35" i="29"/>
  <c r="G471" i="23"/>
  <c r="G803" i="23"/>
  <c r="A202" i="28"/>
  <c r="A378" i="28"/>
  <c r="A353" i="28"/>
  <c r="A301" i="28"/>
  <c r="B509" i="28"/>
  <c r="G935" i="22"/>
  <c r="G987" i="22"/>
  <c r="A327" i="28"/>
  <c r="Z3" i="29"/>
  <c r="A323" i="28"/>
  <c r="G162" i="30"/>
  <c r="B773" i="28"/>
  <c r="U112" i="29"/>
  <c r="A92" i="28"/>
  <c r="B913" i="28"/>
  <c r="G778" i="23"/>
  <c r="Z202" i="29"/>
  <c r="U39" i="29"/>
  <c r="G397" i="23"/>
  <c r="A37" i="28"/>
  <c r="G771" i="23"/>
  <c r="B793" i="28"/>
  <c r="G838" i="23"/>
  <c r="G300" i="23"/>
  <c r="A369" i="28"/>
  <c r="G710" i="23"/>
  <c r="H1109" i="22"/>
  <c r="A295" i="28"/>
  <c r="U59" i="29"/>
  <c r="G779" i="23"/>
  <c r="G138" i="23"/>
  <c r="D42" i="29"/>
  <c r="O11" i="29"/>
  <c r="B983" i="28"/>
  <c r="G935" i="23"/>
  <c r="G332" i="23"/>
  <c r="G380" i="23"/>
  <c r="A64" i="28"/>
  <c r="G509" i="23"/>
  <c r="B947" i="28"/>
  <c r="A55" i="28"/>
  <c r="G725" i="23"/>
  <c r="A260" i="28"/>
  <c r="B817" i="28"/>
  <c r="G130" i="30"/>
  <c r="B479" i="28"/>
  <c r="Z192" i="29"/>
  <c r="B1071" i="28"/>
  <c r="A300" i="28"/>
  <c r="A130" i="28"/>
  <c r="G963" i="23"/>
  <c r="G995" i="30"/>
  <c r="B1003" i="28"/>
  <c r="G34" i="30"/>
  <c r="B651" i="28"/>
  <c r="B435" i="28"/>
  <c r="O232" i="29"/>
  <c r="A375" i="28"/>
  <c r="U184" i="29"/>
  <c r="G1038" i="22"/>
  <c r="G661" i="22"/>
  <c r="B823" i="28"/>
  <c r="A31" i="28"/>
  <c r="G527" i="22"/>
  <c r="G902" i="23"/>
  <c r="G258" i="23"/>
  <c r="A93" i="28"/>
  <c r="H1105" i="22"/>
  <c r="Z234" i="29"/>
  <c r="O248" i="29"/>
  <c r="G579" i="30"/>
  <c r="A384" i="28"/>
  <c r="B741" i="28"/>
  <c r="G796" i="23"/>
  <c r="Z208" i="29"/>
  <c r="B985" i="28"/>
  <c r="G58" i="30"/>
  <c r="B527" i="28"/>
  <c r="U43" i="29"/>
  <c r="B837" i="28"/>
  <c r="B437" i="28"/>
  <c r="G723" i="23"/>
  <c r="Z198" i="29"/>
  <c r="G379" i="23"/>
  <c r="G304" i="23"/>
  <c r="G786" i="23"/>
  <c r="G833" i="23"/>
  <c r="G410" i="23"/>
  <c r="G804" i="22"/>
  <c r="G925" i="22"/>
  <c r="G957" i="23"/>
  <c r="G409" i="23"/>
  <c r="A296" i="28"/>
  <c r="G767" i="23"/>
  <c r="G128" i="23"/>
  <c r="B541" i="28"/>
  <c r="O242" i="29"/>
  <c r="B777" i="28"/>
  <c r="B629" i="28"/>
  <c r="G82" i="23"/>
  <c r="G822" i="23"/>
  <c r="A338" i="28"/>
  <c r="D66" i="29"/>
  <c r="B771" i="28"/>
  <c r="G323" i="23"/>
  <c r="G494" i="22"/>
  <c r="G756" i="23"/>
  <c r="H1009" i="22"/>
  <c r="A393" i="28"/>
  <c r="G248" i="16"/>
  <c r="G862" i="22"/>
  <c r="G900" i="22"/>
  <c r="G695" i="23"/>
  <c r="G950" i="22"/>
  <c r="H1096" i="22"/>
  <c r="G375" i="23"/>
  <c r="G974" i="23"/>
  <c r="G854" i="22"/>
  <c r="H914" i="22"/>
  <c r="G486" i="22"/>
  <c r="G816" i="23"/>
  <c r="G120" i="23"/>
  <c r="G521" i="23"/>
  <c r="G1025" i="23"/>
  <c r="G635" i="23"/>
  <c r="H496" i="16"/>
  <c r="G992" i="22"/>
  <c r="H1003" i="22"/>
  <c r="G624" i="23"/>
  <c r="H643" i="22"/>
  <c r="G1100" i="16"/>
  <c r="G500" i="22"/>
  <c r="A97" i="28"/>
  <c r="G280" i="23"/>
  <c r="H1015" i="22"/>
  <c r="H1035" i="22"/>
  <c r="A403" i="28"/>
  <c r="G1100" i="22"/>
  <c r="G933" i="23"/>
  <c r="G945" i="23"/>
  <c r="H659" i="22"/>
  <c r="H504" i="22"/>
  <c r="G902" i="22"/>
  <c r="G916" i="22"/>
  <c r="A256" i="28"/>
  <c r="B545" i="28"/>
  <c r="B27" i="28"/>
  <c r="B615" i="28"/>
  <c r="G98" i="30"/>
  <c r="G1017" i="23"/>
  <c r="B567" i="28"/>
  <c r="O218" i="29"/>
  <c r="B711" i="28"/>
  <c r="B137" i="28"/>
  <c r="G71" i="23"/>
  <c r="A94" i="28"/>
  <c r="G248" i="23"/>
  <c r="G869" i="23"/>
  <c r="G1042" i="23"/>
  <c r="Z206" i="29"/>
  <c r="A150" i="28"/>
  <c r="G738" i="23"/>
  <c r="G330" i="23"/>
  <c r="G936" i="23"/>
  <c r="A264" i="28"/>
  <c r="B423" i="28"/>
  <c r="G835" i="23"/>
  <c r="G90" i="23"/>
  <c r="A351" i="28"/>
  <c r="Z194" i="29"/>
  <c r="G385" i="23"/>
  <c r="B1043" i="28"/>
  <c r="B713" i="28"/>
  <c r="Z240" i="29"/>
  <c r="U3" i="29"/>
  <c r="B811" i="28"/>
  <c r="G920" i="23"/>
  <c r="B935" i="28"/>
  <c r="O252" i="29"/>
  <c r="A161" i="28"/>
  <c r="B869" i="28"/>
  <c r="B715" i="28"/>
  <c r="G154" i="30"/>
  <c r="Z214" i="29"/>
  <c r="A107" i="28"/>
  <c r="G424" i="23"/>
  <c r="H1081" i="22"/>
  <c r="G916" i="23"/>
  <c r="A110" i="28"/>
  <c r="G597" i="23"/>
  <c r="G955" i="22"/>
  <c r="O220" i="29"/>
  <c r="H991" i="22"/>
  <c r="G377" i="23"/>
  <c r="G708" i="22"/>
  <c r="B619" i="28"/>
  <c r="G942" i="23"/>
  <c r="A213" i="28"/>
  <c r="A263" i="28"/>
  <c r="B805" i="28"/>
  <c r="A354" i="28"/>
  <c r="B447" i="28"/>
  <c r="G1013" i="23"/>
  <c r="G849" i="23"/>
  <c r="G114" i="23"/>
  <c r="B737" i="28"/>
  <c r="B609" i="28"/>
  <c r="A205" i="28"/>
  <c r="B589" i="28"/>
  <c r="H260" i="22"/>
  <c r="H1099" i="22"/>
  <c r="A33" i="28"/>
  <c r="H956" i="22"/>
  <c r="G877" i="22"/>
  <c r="G797" i="22"/>
  <c r="A237" i="28"/>
  <c r="G733" i="23"/>
  <c r="G855" i="22"/>
  <c r="B701" i="28"/>
  <c r="A74" i="28"/>
  <c r="O212" i="29"/>
  <c r="B1095" i="28"/>
  <c r="G702" i="23"/>
  <c r="A334" i="28"/>
  <c r="G669" i="23"/>
  <c r="B497" i="28"/>
  <c r="H652" i="22"/>
  <c r="G839" i="23"/>
  <c r="A192" i="28"/>
  <c r="G861" i="23"/>
  <c r="G928" i="23"/>
  <c r="G1002" i="22"/>
  <c r="G882" i="23"/>
  <c r="O244" i="29"/>
  <c r="G887" i="22"/>
  <c r="G978" i="22"/>
  <c r="A189" i="28"/>
  <c r="A217" i="28"/>
  <c r="G326" i="23"/>
  <c r="G198" i="23"/>
  <c r="G868" i="22"/>
  <c r="H840" i="22"/>
  <c r="H1056" i="22"/>
  <c r="B987" i="28"/>
  <c r="G565" i="23"/>
  <c r="B523" i="28"/>
  <c r="Z176" i="29"/>
  <c r="G707" i="22"/>
  <c r="G543" i="23"/>
  <c r="G30" i="23"/>
  <c r="G769" i="23"/>
  <c r="A313" i="28"/>
  <c r="H898" i="22"/>
  <c r="G1028" i="22"/>
  <c r="G411" i="23"/>
  <c r="H200" i="22"/>
  <c r="A83" i="28"/>
  <c r="B577" i="28"/>
  <c r="H276" i="22"/>
  <c r="A228" i="28"/>
  <c r="G949" i="23"/>
  <c r="G906" i="23"/>
  <c r="G931" i="30"/>
  <c r="H1095" i="22"/>
  <c r="G721" i="23"/>
  <c r="A73" i="28"/>
  <c r="G920" i="22"/>
  <c r="G403" i="22"/>
  <c r="H616" i="22"/>
  <c r="G492" i="22"/>
  <c r="G993" i="23"/>
  <c r="G629" i="23"/>
  <c r="O262" i="29"/>
  <c r="G790" i="23"/>
  <c r="G934" i="23"/>
  <c r="A340" i="28"/>
  <c r="A196" i="28"/>
  <c r="B991" i="28"/>
  <c r="G1016" i="23"/>
  <c r="G776" i="23"/>
  <c r="B939" i="28"/>
  <c r="G260" i="23"/>
  <c r="A320" i="28"/>
  <c r="G461" i="23"/>
  <c r="A380" i="28"/>
  <c r="O53" i="29"/>
  <c r="A279" i="28"/>
  <c r="Z264" i="29"/>
  <c r="G871" i="23"/>
  <c r="B1065" i="28"/>
  <c r="G930" i="23"/>
  <c r="Z88" i="29"/>
  <c r="B841" i="28"/>
  <c r="O35" i="29"/>
  <c r="G605" i="23"/>
  <c r="G967" i="22"/>
  <c r="G66" i="23"/>
  <c r="A160" i="28"/>
  <c r="G228" i="23"/>
  <c r="G88" i="23"/>
  <c r="A103" i="28"/>
  <c r="G800" i="23"/>
  <c r="G436" i="22"/>
  <c r="B1097" i="28"/>
  <c r="G1006" i="22"/>
  <c r="G122" i="30"/>
  <c r="G32" i="23"/>
  <c r="A410" i="28"/>
  <c r="G853" i="22"/>
  <c r="Z236" i="29"/>
  <c r="A204" i="28"/>
  <c r="G726" i="23"/>
  <c r="H636" i="16"/>
  <c r="B681" i="28"/>
  <c r="G440" i="22"/>
  <c r="G676" i="22"/>
  <c r="H592" i="22"/>
  <c r="B29" i="28"/>
  <c r="G182" i="23"/>
  <c r="H396" i="22"/>
  <c r="H988" i="22"/>
  <c r="B1011" i="28"/>
  <c r="G549" i="23"/>
  <c r="H348" i="22"/>
  <c r="H819" i="22"/>
  <c r="G699" i="22"/>
  <c r="H928" i="22"/>
  <c r="H688" i="22"/>
  <c r="G791" i="22"/>
  <c r="G154" i="23"/>
  <c r="D60" i="29"/>
  <c r="G243" i="23"/>
  <c r="G987" i="23"/>
  <c r="G929" i="22"/>
  <c r="G857" i="22"/>
  <c r="G517" i="23"/>
  <c r="G851" i="22"/>
  <c r="H736" i="22"/>
  <c r="G848" i="22"/>
  <c r="G126" i="23"/>
  <c r="G579" i="23"/>
  <c r="H834" i="22"/>
  <c r="G600" i="22"/>
  <c r="G798" i="23"/>
  <c r="G659" i="23"/>
  <c r="G813" i="23"/>
  <c r="G907" i="23"/>
  <c r="Z41" i="29"/>
  <c r="G412" i="23"/>
  <c r="G714" i="23"/>
  <c r="B469" i="28"/>
  <c r="G426" i="23"/>
  <c r="G180" i="23"/>
  <c r="H1073" i="22"/>
  <c r="O128" i="29"/>
  <c r="G743" i="23"/>
  <c r="U19" i="29"/>
  <c r="H1077" i="22"/>
  <c r="G823" i="22"/>
  <c r="A255" i="28"/>
  <c r="B457" i="28"/>
  <c r="G252" i="16"/>
  <c r="G525" i="22"/>
  <c r="G137" i="23"/>
  <c r="G1068" i="22"/>
  <c r="G757" i="23"/>
  <c r="H208" i="22"/>
  <c r="G358" i="23"/>
  <c r="G1022" i="22"/>
  <c r="A314" i="28"/>
  <c r="A261" i="28"/>
  <c r="G644" i="22"/>
  <c r="G11" i="23"/>
  <c r="G297" i="23"/>
  <c r="G759" i="22"/>
  <c r="G962" i="23"/>
  <c r="B1075" i="28"/>
  <c r="G775" i="22"/>
  <c r="G419" i="22"/>
  <c r="A302" i="28"/>
  <c r="G219" i="23"/>
  <c r="G914" i="22"/>
  <c r="G619" i="22"/>
  <c r="G738" i="22"/>
  <c r="G452" i="22"/>
  <c r="G946" i="22"/>
  <c r="O168" i="29"/>
  <c r="B905" i="28"/>
  <c r="G266" i="23"/>
  <c r="B1085" i="28"/>
  <c r="G772" i="22"/>
  <c r="G438" i="22"/>
  <c r="G528" i="23"/>
  <c r="H994" i="22"/>
  <c r="H811" i="22"/>
  <c r="G356" i="22"/>
  <c r="H364" i="22"/>
  <c r="G215" i="23"/>
  <c r="G362" i="23"/>
  <c r="G737" i="22"/>
  <c r="G162" i="23"/>
  <c r="H83" i="22"/>
  <c r="G831" i="22"/>
  <c r="H1023" i="22"/>
  <c r="G1096" i="22"/>
  <c r="G838" i="22"/>
  <c r="G991" i="22"/>
  <c r="G382" i="23"/>
  <c r="H972" i="22"/>
  <c r="G1031" i="23"/>
  <c r="U136" i="29"/>
  <c r="B28" i="28"/>
  <c r="A322" i="28"/>
  <c r="G804" i="23"/>
  <c r="A224" i="28"/>
  <c r="A78" i="28"/>
  <c r="H300" i="22"/>
  <c r="G948" i="22"/>
  <c r="A116" i="28"/>
  <c r="G847" i="23"/>
  <c r="H924" i="22"/>
  <c r="G874" i="23"/>
  <c r="G231" i="23"/>
  <c r="G441" i="30"/>
  <c r="G961" i="23"/>
  <c r="H292" i="22"/>
  <c r="A304" i="28"/>
  <c r="G673" i="22"/>
  <c r="G921" i="22"/>
  <c r="H832" i="22"/>
  <c r="G965" i="23"/>
  <c r="G659" i="22"/>
  <c r="U88" i="29"/>
  <c r="A75" i="28"/>
  <c r="G782" i="23"/>
  <c r="A163" i="28"/>
  <c r="G728" i="22"/>
  <c r="G655" i="22"/>
  <c r="G104" i="23"/>
  <c r="H1045" i="22"/>
  <c r="G969" i="22"/>
  <c r="G891" i="22"/>
  <c r="A254" i="28"/>
  <c r="G926" i="23"/>
  <c r="G729" i="23"/>
  <c r="G286" i="23"/>
  <c r="G970" i="22"/>
  <c r="H959" i="22"/>
  <c r="G489" i="23"/>
  <c r="B493" i="28"/>
  <c r="G973" i="22"/>
  <c r="G751" i="23"/>
  <c r="G372" i="23"/>
  <c r="B979" i="28"/>
  <c r="B557" i="28"/>
  <c r="A267" i="28"/>
  <c r="G735" i="23"/>
  <c r="B641" i="28"/>
  <c r="G258" i="16"/>
  <c r="G8" i="16"/>
  <c r="G1106" i="22"/>
  <c r="G933" i="22"/>
  <c r="G724" i="22"/>
  <c r="B463" i="28"/>
  <c r="G913" i="22"/>
  <c r="G484" i="23"/>
  <c r="G629" i="22"/>
  <c r="G421" i="23"/>
  <c r="G880" i="22"/>
  <c r="B779" i="28"/>
  <c r="B499" i="28"/>
  <c r="O67" i="29"/>
  <c r="B717" i="28"/>
  <c r="H1111" i="22"/>
  <c r="H536" i="16"/>
  <c r="A244" i="28"/>
  <c r="G265" i="23"/>
  <c r="G932" i="23"/>
  <c r="H1082" i="22"/>
  <c r="G921" i="16"/>
  <c r="A298" i="28"/>
  <c r="A294" i="28"/>
  <c r="G593" i="23"/>
  <c r="H36" i="22"/>
  <c r="A49" i="28"/>
  <c r="Z144" i="29"/>
  <c r="G495" i="23"/>
  <c r="A335" i="28"/>
  <c r="H941" i="22"/>
  <c r="G290" i="16"/>
  <c r="G675" i="16"/>
  <c r="G679" i="22"/>
  <c r="G146" i="23"/>
  <c r="G390" i="23"/>
  <c r="H1065" i="22"/>
  <c r="G640" i="23"/>
  <c r="H368" i="22"/>
  <c r="G99" i="23"/>
  <c r="H818" i="22"/>
  <c r="A104" i="28"/>
  <c r="O45" i="29"/>
  <c r="G1029" i="23"/>
  <c r="H1069" i="22"/>
  <c r="B731" i="28"/>
  <c r="Z210" i="29"/>
  <c r="B419" i="28"/>
  <c r="A162" i="28"/>
  <c r="O72" i="29"/>
  <c r="O200" i="29"/>
  <c r="G289" i="23"/>
  <c r="B945" i="28"/>
  <c r="B859" i="28"/>
  <c r="B767" i="28"/>
  <c r="B967" i="28"/>
  <c r="B1007" i="28"/>
  <c r="G851" i="23"/>
  <c r="G48" i="23"/>
  <c r="A67" i="28"/>
  <c r="Z196" i="29"/>
  <c r="Z59" i="29"/>
  <c r="B1063" i="28"/>
  <c r="G90" i="30"/>
  <c r="G684" i="22"/>
  <c r="G273" i="23"/>
  <c r="A262" i="28"/>
  <c r="B889" i="28"/>
  <c r="G242" i="30"/>
  <c r="G152" i="23"/>
  <c r="G852" i="22"/>
  <c r="G52" i="23"/>
  <c r="G649" i="23"/>
  <c r="A215" i="28"/>
  <c r="G720" i="23"/>
  <c r="U49" i="29"/>
  <c r="G178" i="30"/>
  <c r="G864" i="23"/>
  <c r="G984" i="23"/>
  <c r="A182" i="28"/>
  <c r="B821" i="28"/>
  <c r="A214" i="28"/>
  <c r="G212" i="23"/>
  <c r="G1060" i="22"/>
  <c r="G124" i="16"/>
  <c r="G983" i="23"/>
  <c r="G820" i="22"/>
  <c r="H709" i="22"/>
  <c r="G339" i="23"/>
  <c r="H873" i="22"/>
  <c r="H1072" i="22"/>
  <c r="B1001" i="28"/>
  <c r="B827" i="28"/>
  <c r="A257" i="28"/>
  <c r="G847" i="22"/>
  <c r="A317" i="28"/>
  <c r="G516" i="22"/>
  <c r="H446" i="22"/>
  <c r="H1079" i="22"/>
  <c r="A390" i="28"/>
  <c r="G589" i="23"/>
  <c r="G106" i="30"/>
  <c r="G749" i="23"/>
  <c r="H787" i="22"/>
  <c r="G771" i="22"/>
  <c r="G429" i="23"/>
  <c r="H219" i="22"/>
  <c r="B829" i="28"/>
  <c r="H336" i="22"/>
  <c r="H356" i="22"/>
  <c r="B539" i="28"/>
  <c r="H850" i="22"/>
  <c r="G731" i="22"/>
  <c r="G860" i="22"/>
  <c r="H104" i="22"/>
  <c r="G1024" i="22"/>
  <c r="B755" i="28"/>
  <c r="H1037" i="22"/>
  <c r="B775" i="28"/>
  <c r="G257" i="23"/>
  <c r="Z242" i="29"/>
  <c r="G718" i="23"/>
  <c r="G581" i="22"/>
  <c r="B745" i="28"/>
  <c r="A197" i="28"/>
  <c r="G898" i="23"/>
  <c r="A235" i="28"/>
  <c r="B531" i="28"/>
  <c r="G985" i="23"/>
  <c r="G536" i="22"/>
  <c r="A177" i="28"/>
  <c r="G819" i="22"/>
  <c r="G745" i="22"/>
  <c r="G12" i="23"/>
  <c r="H992" i="22"/>
  <c r="G63" i="23"/>
  <c r="H696" i="22"/>
  <c r="G732" i="22"/>
  <c r="G840" i="22"/>
  <c r="G41" i="23"/>
  <c r="G856" i="23"/>
  <c r="G548" i="22"/>
  <c r="G17" i="23"/>
  <c r="G863" i="23"/>
  <c r="G1108" i="22"/>
  <c r="G889" i="22"/>
  <c r="G609" i="23"/>
  <c r="H1041" i="22"/>
  <c r="A50" i="28"/>
  <c r="G665" i="22"/>
  <c r="H764" i="22"/>
  <c r="G277" i="23"/>
  <c r="G1015" i="22"/>
  <c r="H100" i="22"/>
  <c r="G517" i="22"/>
  <c r="G943" i="22"/>
  <c r="G909" i="22"/>
  <c r="Z71" i="29"/>
  <c r="G40" i="23"/>
  <c r="A79" i="28"/>
  <c r="H284" i="22"/>
  <c r="B759" i="28"/>
  <c r="G901" i="23"/>
  <c r="Z254" i="29"/>
  <c r="H376" i="22"/>
  <c r="H967" i="22"/>
  <c r="G964" i="22"/>
  <c r="B965" i="28"/>
  <c r="G546" i="22"/>
  <c r="G110" i="23"/>
  <c r="U71" i="29"/>
  <c r="H436" i="16"/>
  <c r="G1048" i="22"/>
  <c r="H84" i="22"/>
  <c r="H680" i="16"/>
  <c r="A236" i="28"/>
  <c r="A381" i="28"/>
  <c r="G853" i="23"/>
  <c r="G431" i="23"/>
  <c r="G226" i="30"/>
  <c r="A386" i="28"/>
  <c r="G202" i="30"/>
  <c r="B977" i="28"/>
  <c r="A76" i="28"/>
  <c r="A367" i="28"/>
  <c r="B519" i="28"/>
  <c r="G301" i="23"/>
  <c r="G713" i="22"/>
  <c r="G252" i="23"/>
  <c r="U168" i="29"/>
  <c r="G468" i="22"/>
  <c r="B535" i="28"/>
  <c r="A194" i="28"/>
  <c r="G943" i="23"/>
  <c r="A144" i="28"/>
  <c r="G136" i="23"/>
  <c r="G736" i="22"/>
  <c r="G116" i="16"/>
  <c r="G759" i="23"/>
  <c r="G347" i="23"/>
  <c r="G342" i="23"/>
  <c r="G261" i="23"/>
  <c r="G515" i="22"/>
  <c r="G783" i="22"/>
  <c r="Z120" i="29"/>
  <c r="H342" i="22"/>
  <c r="G784" i="23"/>
  <c r="H1024" i="22"/>
  <c r="G924" i="23"/>
  <c r="A158" i="28"/>
  <c r="H547" i="22"/>
  <c r="H952" i="22"/>
  <c r="H555" i="22"/>
  <c r="H638" i="22"/>
  <c r="H1000" i="22"/>
  <c r="O63" i="29"/>
  <c r="G130" i="16"/>
  <c r="G307" i="16"/>
  <c r="G1039" i="23"/>
  <c r="A269" i="28"/>
  <c r="G793" i="22"/>
  <c r="H579" i="22"/>
  <c r="B597" i="28"/>
  <c r="G595" i="22"/>
  <c r="G35" i="22"/>
  <c r="G1018" i="23"/>
  <c r="B1089" i="28"/>
  <c r="G696" i="22"/>
  <c r="G1064" i="16"/>
  <c r="H1092" i="22"/>
  <c r="G291" i="22"/>
  <c r="O210" i="29"/>
  <c r="A66" i="28"/>
  <c r="G639" i="23"/>
  <c r="G886" i="22"/>
  <c r="G1062" i="22"/>
  <c r="G808" i="22"/>
  <c r="H294" i="22"/>
  <c r="A90" i="28"/>
  <c r="G404" i="23"/>
  <c r="B1029" i="28"/>
  <c r="G393" i="23"/>
  <c r="G457" i="23"/>
  <c r="A211" i="28"/>
  <c r="G351" i="23"/>
  <c r="G139" i="23"/>
  <c r="G780" i="22"/>
  <c r="A297" i="28"/>
  <c r="G1119" i="16"/>
  <c r="G805" i="23"/>
  <c r="G309" i="23"/>
  <c r="B733" i="28"/>
  <c r="G670" i="23"/>
  <c r="G614" i="22"/>
  <c r="G105" i="22"/>
  <c r="G1022" i="23"/>
  <c r="G448" i="23"/>
  <c r="G1002" i="16"/>
  <c r="H157" i="16"/>
  <c r="G497" i="22"/>
  <c r="H700" i="16"/>
  <c r="G1012" i="23"/>
  <c r="G700" i="23"/>
  <c r="G881" i="22"/>
  <c r="H1053" i="22"/>
  <c r="H755" i="22"/>
  <c r="G7" i="23"/>
  <c r="O39" i="29"/>
  <c r="H720" i="22"/>
  <c r="H164" i="22"/>
  <c r="G119" i="23"/>
  <c r="G148" i="23"/>
  <c r="A44" i="28"/>
  <c r="G345" i="23"/>
  <c r="G990" i="23"/>
  <c r="B1017" i="28"/>
  <c r="A227" i="28"/>
  <c r="B421" i="28"/>
  <c r="B677" i="28"/>
  <c r="G92" i="23"/>
  <c r="A289" i="28"/>
  <c r="G797" i="23"/>
  <c r="H1051" i="22"/>
  <c r="Z11" i="29"/>
  <c r="G750" i="23"/>
  <c r="B763" i="28"/>
  <c r="G883" i="23"/>
  <c r="B881" i="28"/>
  <c r="O57" i="29"/>
  <c r="D48" i="29"/>
  <c r="G83" i="23"/>
  <c r="H1029" i="22"/>
  <c r="A397" i="28"/>
  <c r="G176" i="23"/>
  <c r="G599" i="23"/>
  <c r="G1006" i="23"/>
  <c r="G815" i="22"/>
  <c r="G1043" i="23"/>
  <c r="G112" i="23"/>
  <c r="A157" i="28"/>
  <c r="O31" i="29"/>
  <c r="G719" i="23"/>
  <c r="O80" i="29"/>
  <c r="A306" i="28"/>
  <c r="G199" i="23"/>
  <c r="G338" i="23"/>
  <c r="G311" i="23"/>
  <c r="G945" i="22"/>
  <c r="A118" i="28"/>
  <c r="G1004" i="23"/>
  <c r="U144" i="29"/>
  <c r="G1000" i="23"/>
  <c r="G224" i="23"/>
  <c r="G559" i="22"/>
  <c r="B587" i="28"/>
  <c r="A333" i="28"/>
  <c r="H1116" i="22"/>
  <c r="G815" i="23"/>
  <c r="G278" i="23"/>
  <c r="A409" i="28"/>
  <c r="G166" i="23"/>
  <c r="G994" i="22"/>
  <c r="B603" i="28"/>
  <c r="H932" i="22"/>
  <c r="G75" i="23"/>
  <c r="G1095" i="22"/>
  <c r="G47" i="23"/>
  <c r="G433" i="23"/>
  <c r="G780" i="23"/>
  <c r="O228" i="29"/>
  <c r="G106" i="23"/>
  <c r="G695" i="22"/>
  <c r="G803" i="30"/>
  <c r="H91" i="22"/>
  <c r="B649" i="28"/>
  <c r="G598" i="22"/>
  <c r="H1104" i="22"/>
  <c r="G764" i="22"/>
  <c r="G57" i="23"/>
  <c r="H861" i="22"/>
  <c r="G415" i="22"/>
  <c r="H1087" i="22"/>
  <c r="H88" i="22"/>
  <c r="G647" i="23"/>
  <c r="G648" i="22"/>
  <c r="B501" i="28"/>
  <c r="G396" i="23"/>
  <c r="G392" i="23"/>
  <c r="G870" i="23"/>
  <c r="B427" i="28"/>
  <c r="G533" i="23"/>
  <c r="G353" i="23"/>
  <c r="G80" i="23"/>
  <c r="B797" i="28"/>
  <c r="B1081" i="28"/>
  <c r="G968" i="23"/>
  <c r="A209" i="28"/>
  <c r="B959" i="28"/>
  <c r="G827" i="22"/>
  <c r="A141" i="28"/>
  <c r="G576" i="23"/>
  <c r="G712" i="23"/>
  <c r="G657" i="23"/>
  <c r="G276" i="16"/>
  <c r="G556" i="22"/>
  <c r="G873" i="22"/>
  <c r="H75" i="22"/>
  <c r="H700" i="22"/>
  <c r="G795" i="22"/>
  <c r="H1113" i="22"/>
  <c r="Z39" i="29"/>
  <c r="G900" i="23"/>
  <c r="H896" i="22"/>
  <c r="B1005" i="28"/>
  <c r="G1038" i="23"/>
  <c r="G744" i="23"/>
  <c r="G547" i="30"/>
  <c r="G359" i="23"/>
  <c r="G781" i="22"/>
  <c r="G541" i="22"/>
  <c r="G521" i="22"/>
  <c r="A240" i="28"/>
  <c r="G675" i="23"/>
  <c r="G475" i="22"/>
  <c r="B655" i="28"/>
  <c r="B931" i="28"/>
  <c r="G564" i="22"/>
  <c r="H1008" i="22"/>
  <c r="G108" i="23"/>
  <c r="H944" i="22"/>
  <c r="G844" i="23"/>
  <c r="H640" i="22"/>
  <c r="H531" i="22"/>
  <c r="H290" i="22"/>
  <c r="G1061" i="22"/>
  <c r="G153" i="22"/>
  <c r="B917" i="28"/>
  <c r="G250" i="30"/>
  <c r="G599" i="22"/>
  <c r="G1122" i="22"/>
  <c r="H190" i="22"/>
  <c r="G852" i="23"/>
  <c r="H940" i="22"/>
  <c r="G908" i="16"/>
  <c r="H708" i="22"/>
  <c r="H326" i="22"/>
  <c r="G350" i="23"/>
  <c r="H682" i="16"/>
  <c r="G1096" i="16"/>
  <c r="B1015" i="28"/>
  <c r="B699" i="28"/>
  <c r="G124" i="23"/>
  <c r="G834" i="23"/>
  <c r="A70" i="28"/>
  <c r="G270" i="23"/>
  <c r="A360" i="28"/>
  <c r="O198" i="29"/>
  <c r="A36" i="28"/>
  <c r="G845" i="23"/>
  <c r="G313" i="23"/>
  <c r="A391" i="28"/>
  <c r="B547" i="28"/>
  <c r="G817" i="22"/>
  <c r="G950" i="23"/>
  <c r="U120" i="29"/>
  <c r="B679" i="28"/>
  <c r="Z184" i="29"/>
  <c r="O268" i="29"/>
  <c r="G997" i="22"/>
  <c r="U15" i="29"/>
  <c r="H340" i="22"/>
  <c r="B973" i="28"/>
  <c r="G515" i="23"/>
  <c r="G796" i="22"/>
  <c r="B1079" i="28"/>
  <c r="G963" i="22"/>
  <c r="G384" i="23"/>
  <c r="G1074" i="22"/>
  <c r="G409" i="30"/>
  <c r="G588" i="22"/>
  <c r="A343" i="28"/>
  <c r="B573" i="28"/>
  <c r="A179" i="28"/>
  <c r="B659" i="28"/>
  <c r="G268" i="23"/>
  <c r="G1021" i="23"/>
  <c r="H1085" i="22"/>
  <c r="G533" i="22"/>
  <c r="G645" i="22"/>
  <c r="A348" i="28"/>
  <c r="G168" i="23"/>
  <c r="O214" i="29"/>
  <c r="G352" i="23"/>
  <c r="H1036" i="22"/>
  <c r="G766" i="22"/>
  <c r="B585" i="28"/>
  <c r="H380" i="22"/>
  <c r="G931" i="22"/>
  <c r="G816" i="16"/>
  <c r="B1059" i="28"/>
  <c r="H859" i="22"/>
  <c r="G857" i="23"/>
  <c r="G836" i="23"/>
  <c r="G370" i="23"/>
  <c r="G91" i="23"/>
  <c r="O216" i="29"/>
  <c r="H684" i="16"/>
  <c r="G843" i="23"/>
  <c r="G1070" i="22"/>
  <c r="D62" i="29"/>
  <c r="G716" i="23"/>
  <c r="G824" i="23"/>
  <c r="A98" i="28"/>
  <c r="H406" i="22"/>
  <c r="G51" i="22"/>
  <c r="A155" i="28"/>
  <c r="H360" i="22"/>
  <c r="G672" i="23"/>
  <c r="H128" i="22"/>
  <c r="G655" i="23"/>
  <c r="G1068" i="16"/>
  <c r="H1090" i="22"/>
  <c r="G371" i="22"/>
  <c r="G575" i="23"/>
  <c r="G693" i="22"/>
  <c r="G863" i="22"/>
  <c r="A404" i="28"/>
  <c r="A138" i="28"/>
  <c r="A347" i="28"/>
  <c r="A186" i="28"/>
  <c r="A200" i="28"/>
  <c r="A371" i="28"/>
  <c r="G368" i="23"/>
  <c r="O7" i="29"/>
  <c r="Z57" i="29"/>
  <c r="B473" i="28"/>
  <c r="G250" i="23"/>
  <c r="G317" i="23"/>
  <c r="A32" i="28"/>
  <c r="B645" i="28"/>
  <c r="G807" i="23"/>
  <c r="G122" i="23"/>
  <c r="G21" i="23"/>
  <c r="G88" i="16"/>
  <c r="G875" i="22"/>
  <c r="H1011" i="22"/>
  <c r="G632" i="23"/>
  <c r="G43" i="23"/>
  <c r="H692" i="16"/>
  <c r="H328" i="22"/>
  <c r="G813" i="22"/>
  <c r="H216" i="22"/>
  <c r="G58" i="23"/>
  <c r="G995" i="22"/>
  <c r="B663" i="28"/>
  <c r="B705" i="28"/>
  <c r="G263" i="23"/>
  <c r="G275" i="23"/>
  <c r="H675" i="22"/>
  <c r="G939" i="22"/>
  <c r="B621" i="28"/>
  <c r="G668" i="22"/>
  <c r="G415" i="23"/>
  <c r="G866" i="22"/>
  <c r="G102" i="23"/>
  <c r="G170" i="23"/>
  <c r="A325" i="28"/>
  <c r="G671" i="23"/>
  <c r="G559" i="23"/>
  <c r="G420" i="23"/>
  <c r="G973" i="23"/>
  <c r="A71" i="28"/>
  <c r="G534" i="22"/>
  <c r="G643" i="22"/>
  <c r="G1003" i="22"/>
  <c r="G37" i="22"/>
  <c r="G504" i="23"/>
  <c r="A253" i="28"/>
  <c r="G527" i="23"/>
  <c r="G734" i="23"/>
  <c r="G552" i="23"/>
  <c r="H900" i="22"/>
  <c r="G736" i="23"/>
  <c r="O51" i="29"/>
  <c r="A374" i="28"/>
  <c r="G1024" i="23"/>
  <c r="G965" i="22"/>
  <c r="G810" i="23"/>
  <c r="G567" i="22"/>
  <c r="G812" i="23"/>
  <c r="G530" i="22"/>
  <c r="G708" i="23"/>
  <c r="H296" i="22"/>
  <c r="A195" i="28"/>
  <c r="H1020" i="22"/>
  <c r="G753" i="23"/>
  <c r="B819" i="28"/>
  <c r="G1124" i="22"/>
  <c r="H86" i="22"/>
  <c r="A84" i="28"/>
  <c r="G384" i="16"/>
  <c r="O69" i="29"/>
  <c r="H1097" i="22"/>
  <c r="G761" i="22"/>
  <c r="A356" i="28"/>
  <c r="H1084" i="22"/>
  <c r="G163" i="23"/>
  <c r="G336" i="23"/>
  <c r="A233" i="28"/>
  <c r="H788" i="16"/>
  <c r="G680" i="22"/>
  <c r="G201" i="23"/>
  <c r="Z152" i="29"/>
  <c r="G451" i="23"/>
  <c r="G725" i="22"/>
  <c r="O192" i="29"/>
  <c r="B1025" i="28"/>
  <c r="H912" i="22"/>
  <c r="G337" i="23"/>
  <c r="H383" i="22"/>
  <c r="G628" i="22"/>
  <c r="H1033" i="16"/>
  <c r="G982" i="22"/>
  <c r="G748" i="23"/>
  <c r="G681" i="22"/>
  <c r="G885" i="23"/>
  <c r="G845" i="22"/>
  <c r="G376" i="16"/>
  <c r="G643" i="23"/>
  <c r="H496" i="22"/>
  <c r="H1108" i="22"/>
  <c r="G55" i="23"/>
  <c r="A208" i="28"/>
  <c r="G323" i="22"/>
  <c r="A247" i="28"/>
  <c r="G15" i="23"/>
  <c r="G641" i="23"/>
  <c r="H516" i="22"/>
  <c r="G280" i="16"/>
  <c r="G656" i="23"/>
  <c r="H684" i="22"/>
  <c r="G120" i="16"/>
  <c r="H350" i="22"/>
  <c r="H1049" i="22"/>
  <c r="A145" i="28"/>
  <c r="G661" i="23"/>
  <c r="U65" i="29"/>
  <c r="G441" i="23"/>
  <c r="H906" i="22"/>
  <c r="H188" i="22"/>
  <c r="G868" i="16"/>
  <c r="G134" i="16"/>
  <c r="G640" i="22"/>
  <c r="G235" i="22"/>
  <c r="G506" i="16"/>
  <c r="H77" i="22"/>
  <c r="H123" i="22"/>
  <c r="O71" i="29"/>
  <c r="H1069" i="16"/>
  <c r="B941" i="28"/>
  <c r="H1021" i="22"/>
  <c r="H1089" i="22"/>
  <c r="G1019" i="23"/>
  <c r="O176" i="29"/>
  <c r="A169" i="28"/>
  <c r="G709" i="23"/>
  <c r="H155" i="22"/>
  <c r="G639" i="22"/>
  <c r="G380" i="16"/>
  <c r="H1019" i="22"/>
  <c r="G940" i="22"/>
  <c r="H1060" i="22"/>
  <c r="G616" i="22"/>
  <c r="A69" i="28"/>
  <c r="G938" i="23"/>
  <c r="Z47" i="29"/>
  <c r="H62" i="22"/>
  <c r="G513" i="23"/>
  <c r="A383" i="28"/>
  <c r="H33" i="22"/>
  <c r="G197" i="23"/>
  <c r="G630" i="23"/>
  <c r="G1079" i="16"/>
  <c r="H22" i="22"/>
  <c r="H1117" i="22"/>
  <c r="G728" i="23"/>
  <c r="G923" i="23"/>
  <c r="G1084" i="16"/>
  <c r="G752" i="23"/>
  <c r="G937" i="22"/>
  <c r="G713" i="23"/>
  <c r="G788" i="22"/>
  <c r="G717" i="23"/>
  <c r="G216" i="16"/>
  <c r="G959" i="22"/>
  <c r="H404" i="22"/>
  <c r="A114" i="28"/>
  <c r="H107" i="22"/>
  <c r="G130" i="23"/>
  <c r="G24" i="23"/>
  <c r="G325" i="22"/>
  <c r="G1030" i="22"/>
  <c r="G371" i="23"/>
  <c r="H624" i="16"/>
  <c r="G34" i="23"/>
  <c r="H158" i="22"/>
  <c r="G436" i="23"/>
  <c r="G427" i="16"/>
  <c r="H594" i="22"/>
  <c r="H771" i="22"/>
  <c r="G772" i="23"/>
  <c r="A249" i="28"/>
  <c r="G734" i="22"/>
  <c r="G292" i="22"/>
  <c r="H789" i="22"/>
  <c r="G560" i="22"/>
  <c r="H458" i="16"/>
  <c r="H598" i="22"/>
  <c r="G4" i="23"/>
  <c r="G550" i="22"/>
  <c r="G966" i="16"/>
  <c r="G660" i="23"/>
  <c r="G39" i="23"/>
  <c r="G608" i="23"/>
  <c r="H1040" i="16"/>
  <c r="G279" i="22"/>
  <c r="B891" i="28"/>
  <c r="G1011" i="23"/>
  <c r="A199" i="28"/>
  <c r="G988" i="23"/>
  <c r="H183" i="22"/>
  <c r="G245" i="22"/>
  <c r="G998" i="23"/>
  <c r="G653" i="23"/>
  <c r="B1061" i="28"/>
  <c r="G667" i="23"/>
  <c r="O43" i="29"/>
  <c r="G308" i="23"/>
  <c r="H1107" i="22"/>
  <c r="G447" i="23"/>
  <c r="G666" i="23"/>
  <c r="G94" i="23"/>
  <c r="G860" i="16"/>
  <c r="G1036" i="22"/>
  <c r="G911" i="22"/>
  <c r="G884" i="23"/>
  <c r="G573" i="22"/>
  <c r="G944" i="22"/>
  <c r="G996" i="22"/>
  <c r="H748" i="22"/>
  <c r="A272" i="28"/>
  <c r="G1072" i="16"/>
  <c r="G568" i="23"/>
  <c r="G273" i="22"/>
  <c r="H617" i="22"/>
  <c r="G460" i="23"/>
  <c r="G1035" i="23"/>
  <c r="G98" i="16"/>
  <c r="G115" i="23"/>
  <c r="H1103" i="22"/>
  <c r="G294" i="23"/>
  <c r="H419" i="22"/>
  <c r="G361" i="22"/>
  <c r="A299" i="28"/>
  <c r="G604" i="22"/>
  <c r="G110" i="22"/>
  <c r="G1064" i="22"/>
  <c r="H618" i="16"/>
  <c r="B769" i="28"/>
  <c r="G704" i="22"/>
  <c r="H119" i="22"/>
  <c r="G274" i="23"/>
  <c r="G189" i="23"/>
  <c r="H486" i="16"/>
  <c r="G117" i="22"/>
  <c r="H760" i="16"/>
  <c r="H1073" i="16"/>
  <c r="A57" i="28"/>
  <c r="G688" i="22"/>
  <c r="G678" i="22"/>
  <c r="G646" i="22"/>
  <c r="G81" i="23"/>
  <c r="G156" i="16"/>
  <c r="G256" i="16"/>
  <c r="G707" i="2"/>
  <c r="G961" i="16"/>
  <c r="H1098" i="22"/>
  <c r="H691" i="22"/>
  <c r="G583" i="22"/>
  <c r="G940" i="16"/>
  <c r="G712" i="22"/>
  <c r="G687" i="22"/>
  <c r="G350" i="22"/>
  <c r="G245" i="23"/>
  <c r="G169" i="22"/>
  <c r="H489" i="16"/>
  <c r="D70" i="29"/>
  <c r="G493" i="22"/>
  <c r="A166" i="28"/>
  <c r="H824" i="22"/>
  <c r="G887" i="23"/>
  <c r="H347" i="22"/>
  <c r="G620" i="22"/>
  <c r="G335" i="23"/>
  <c r="H278" i="22"/>
  <c r="G170" i="30"/>
  <c r="G919" i="23"/>
  <c r="G803" i="22"/>
  <c r="G580" i="22"/>
  <c r="G652" i="22"/>
  <c r="G361" i="23"/>
  <c r="G647" i="22"/>
  <c r="G763" i="22"/>
  <c r="H955" i="22"/>
  <c r="G612" i="22"/>
  <c r="G785" i="22"/>
  <c r="H975" i="22"/>
  <c r="G300" i="16"/>
  <c r="G555" i="23"/>
  <c r="U72" i="29"/>
  <c r="G1058" i="16"/>
  <c r="G67" i="23"/>
  <c r="G615" i="23"/>
  <c r="G1037" i="22"/>
  <c r="H907" i="22"/>
  <c r="H163" i="22"/>
  <c r="H270" i="22"/>
  <c r="G701" i="23"/>
  <c r="H1033" i="22"/>
  <c r="G349" i="22"/>
  <c r="G693" i="23"/>
  <c r="H299" i="22"/>
  <c r="G345" i="22"/>
  <c r="H557" i="22"/>
  <c r="G395" i="23"/>
  <c r="G1026" i="23"/>
  <c r="G968" i="16"/>
  <c r="G986" i="23"/>
  <c r="A280" i="28"/>
  <c r="U63" i="29"/>
  <c r="A398" i="28"/>
  <c r="G859" i="23"/>
  <c r="A331" i="28"/>
  <c r="G445" i="23"/>
  <c r="A399" i="28"/>
  <c r="G484" i="22"/>
  <c r="G1028" i="23"/>
  <c r="G402" i="23"/>
  <c r="A274" i="28"/>
  <c r="H268" i="22"/>
  <c r="G805" i="22"/>
  <c r="G811" i="22"/>
  <c r="H462" i="22"/>
  <c r="G802" i="22"/>
  <c r="H661" i="22"/>
  <c r="G955" i="23"/>
  <c r="G567" i="23"/>
  <c r="G367" i="23"/>
  <c r="G894" i="23"/>
  <c r="H1048" i="22"/>
  <c r="U47" i="29"/>
  <c r="G723" i="22"/>
  <c r="G1112" i="22"/>
  <c r="A65" i="28"/>
  <c r="G761" i="23"/>
  <c r="H1123" i="22"/>
  <c r="B1019" i="28"/>
  <c r="A159" i="28"/>
  <c r="G540" i="22"/>
  <c r="G405" i="23"/>
  <c r="G779" i="22"/>
  <c r="H908" i="22"/>
  <c r="A265" i="28"/>
  <c r="G188" i="23"/>
  <c r="G254" i="23"/>
  <c r="H927" i="22"/>
  <c r="G829" i="22"/>
  <c r="G391" i="23"/>
  <c r="H1038" i="22"/>
  <c r="H974" i="22"/>
  <c r="A131" i="28"/>
  <c r="A382" i="28"/>
  <c r="B893" i="28"/>
  <c r="G833" i="22"/>
  <c r="G981" i="23"/>
  <c r="G288" i="23"/>
  <c r="H909" i="22"/>
  <c r="G876" i="22"/>
  <c r="G871" i="22"/>
  <c r="G781" i="23"/>
  <c r="G755" i="22"/>
  <c r="H904" i="22"/>
  <c r="G152" i="16"/>
  <c r="G178" i="23"/>
  <c r="G1039" i="16"/>
  <c r="H605" i="22"/>
  <c r="G480" i="22"/>
  <c r="O88" i="29"/>
  <c r="B1023" i="28"/>
  <c r="G790" i="22"/>
  <c r="G8" i="22"/>
  <c r="G1122" i="16"/>
  <c r="G770" i="22"/>
  <c r="G1012" i="16"/>
  <c r="A51" i="28"/>
  <c r="G478" i="23"/>
  <c r="G811" i="23"/>
  <c r="H306" i="22"/>
  <c r="H99" i="16"/>
  <c r="H551" i="22"/>
  <c r="H151" i="22"/>
  <c r="G62" i="22"/>
  <c r="G393" i="22"/>
  <c r="G925" i="23"/>
  <c r="H1055" i="22"/>
  <c r="G697" i="22"/>
  <c r="A287" i="28"/>
  <c r="A154" i="28"/>
  <c r="A172" i="28"/>
  <c r="G1008" i="22"/>
  <c r="H968" i="22"/>
  <c r="H946" i="22"/>
  <c r="B439" i="28"/>
  <c r="G603" i="22"/>
  <c r="G453" i="23"/>
  <c r="G583" i="23"/>
  <c r="O202" i="29"/>
  <c r="H332" i="22"/>
  <c r="G627" i="23"/>
  <c r="G939" i="23"/>
  <c r="G537" i="23"/>
  <c r="G998" i="22"/>
  <c r="A165" i="28"/>
  <c r="G718" i="22"/>
  <c r="H338" i="22"/>
  <c r="G936" i="16"/>
  <c r="G682" i="22"/>
  <c r="A392" i="28"/>
  <c r="G663" i="23"/>
  <c r="H1115" i="22"/>
  <c r="G1030" i="23"/>
  <c r="H756" i="22"/>
  <c r="G1007" i="23"/>
  <c r="H702" i="22"/>
  <c r="H492" i="22"/>
  <c r="H1027" i="22"/>
  <c r="H56" i="22"/>
  <c r="A402" i="28"/>
  <c r="G726" i="22"/>
  <c r="G621" i="22"/>
  <c r="A285" i="28"/>
  <c r="H1124" i="22"/>
  <c r="A95" i="28"/>
  <c r="H444" i="22"/>
  <c r="G874" i="16"/>
  <c r="H800" i="22"/>
  <c r="G814" i="22"/>
  <c r="G401" i="23"/>
  <c r="B1049" i="28"/>
  <c r="U53" i="29"/>
  <c r="G684" i="23"/>
  <c r="H837" i="22"/>
  <c r="H930" i="22"/>
  <c r="G840" i="23"/>
  <c r="H120" i="22"/>
  <c r="G469" i="23"/>
  <c r="A128" i="28"/>
  <c r="H389" i="16"/>
  <c r="B623" i="28"/>
  <c r="H28" i="22"/>
  <c r="G1071" i="2"/>
  <c r="G1093" i="2"/>
  <c r="H984" i="22"/>
  <c r="G387" i="23"/>
  <c r="G577" i="22"/>
  <c r="G233" i="23"/>
  <c r="G276" i="22"/>
  <c r="G1012" i="22"/>
  <c r="G435" i="23"/>
  <c r="G662" i="22"/>
  <c r="A276" i="28"/>
  <c r="G79" i="23"/>
  <c r="G194" i="30"/>
  <c r="G942" i="22"/>
  <c r="H316" i="22"/>
  <c r="G259" i="22"/>
  <c r="H792" i="22"/>
  <c r="G892" i="16"/>
  <c r="G980" i="22"/>
  <c r="G144" i="23"/>
  <c r="G423" i="23"/>
  <c r="G308" i="22"/>
  <c r="B927" i="28"/>
  <c r="G635" i="22"/>
  <c r="H224" i="22"/>
  <c r="G997" i="23"/>
  <c r="H1040" i="22"/>
  <c r="A173" i="28"/>
  <c r="B605" i="28"/>
  <c r="H980" i="22"/>
  <c r="B495" i="28"/>
  <c r="G427" i="23"/>
  <c r="G134" i="23"/>
  <c r="H572" i="16"/>
  <c r="H964" i="22"/>
  <c r="G840" i="16"/>
  <c r="G459" i="23"/>
  <c r="G431" i="22"/>
  <c r="H354" i="22"/>
  <c r="G389" i="22"/>
  <c r="G432" i="22"/>
  <c r="H365" i="16"/>
  <c r="G23" i="23"/>
  <c r="G364" i="16"/>
  <c r="G1103" i="22"/>
  <c r="H493" i="22"/>
  <c r="H379" i="22"/>
  <c r="G633" i="23"/>
  <c r="B511" i="28"/>
  <c r="G299" i="22"/>
  <c r="G576" i="22"/>
  <c r="G111" i="23"/>
  <c r="H374" i="22"/>
  <c r="G704" i="23"/>
  <c r="G574" i="23"/>
  <c r="G491" i="22"/>
  <c r="G910" i="22"/>
  <c r="G60" i="16"/>
  <c r="G984" i="22"/>
  <c r="G516" i="23"/>
  <c r="G1079" i="22"/>
  <c r="G537" i="22"/>
  <c r="H176" i="22"/>
  <c r="H792" i="16"/>
  <c r="G625" i="22"/>
  <c r="H181" i="16"/>
  <c r="G673" i="23"/>
  <c r="G855" i="23"/>
  <c r="H772" i="22"/>
  <c r="H668" i="16"/>
  <c r="G143" i="23"/>
  <c r="H1118" i="22"/>
  <c r="H175" i="22"/>
  <c r="G235" i="16"/>
  <c r="G229" i="22"/>
  <c r="H693" i="16"/>
  <c r="G457" i="22"/>
  <c r="H63" i="22"/>
  <c r="G1080" i="16"/>
  <c r="H470" i="22"/>
  <c r="B1041" i="28"/>
  <c r="A400" i="28"/>
  <c r="Z104" i="29"/>
  <c r="A273" i="28"/>
  <c r="A185" i="28"/>
  <c r="G744" i="22"/>
  <c r="G577" i="23"/>
  <c r="H180" i="22"/>
  <c r="H44" i="22"/>
  <c r="G972" i="23"/>
  <c r="U41" i="29"/>
  <c r="H444" i="16"/>
  <c r="G160" i="23"/>
  <c r="H845" i="22"/>
  <c r="B1021" i="28"/>
  <c r="G519" i="22"/>
  <c r="H262" i="22"/>
  <c r="H1067" i="22"/>
  <c r="G602" i="22"/>
  <c r="G888" i="22"/>
  <c r="H724" i="16"/>
  <c r="H522" i="16"/>
  <c r="G222" i="23"/>
  <c r="H960" i="22"/>
  <c r="H880" i="22"/>
  <c r="G832" i="22"/>
  <c r="G502" i="22"/>
  <c r="G16" i="23"/>
  <c r="H126" i="22"/>
  <c r="G998" i="16"/>
  <c r="H768" i="22"/>
  <c r="H71" i="22"/>
  <c r="H860" i="22"/>
  <c r="H489" i="22"/>
  <c r="H483" i="22"/>
  <c r="H327" i="22"/>
  <c r="G584" i="23"/>
  <c r="G10" i="23"/>
  <c r="G747" i="22"/>
  <c r="G719" i="22"/>
  <c r="G138" i="30"/>
  <c r="B999" i="28"/>
  <c r="G244" i="23"/>
  <c r="G918" i="23"/>
  <c r="O144" i="29"/>
  <c r="G953" i="22"/>
  <c r="G777" i="22"/>
  <c r="G54" i="23"/>
  <c r="G993" i="22"/>
  <c r="G98" i="23"/>
  <c r="H784" i="22"/>
  <c r="A181" i="28"/>
  <c r="U23" i="29"/>
  <c r="G73" i="23"/>
  <c r="G740" i="23"/>
  <c r="G881" i="23"/>
  <c r="G251" i="22"/>
  <c r="G544" i="23"/>
  <c r="G72" i="16"/>
  <c r="G525" i="23"/>
  <c r="Z31" i="29"/>
  <c r="G27" i="22"/>
  <c r="A119" i="28"/>
  <c r="H420" i="22"/>
  <c r="G363" i="23"/>
  <c r="H836" i="22"/>
  <c r="G496" i="22"/>
  <c r="H59" i="22"/>
  <c r="G835" i="22"/>
  <c r="H168" i="22"/>
  <c r="G1037" i="23"/>
  <c r="G765" i="22"/>
  <c r="A60" i="28"/>
  <c r="G24" i="22"/>
  <c r="G826" i="23"/>
  <c r="G100" i="23"/>
  <c r="G807" i="22"/>
  <c r="H962" i="22"/>
  <c r="G454" i="22"/>
  <c r="H54" i="22"/>
  <c r="H85" i="22"/>
  <c r="H1083" i="22"/>
  <c r="G524" i="22"/>
  <c r="G947" i="22"/>
  <c r="G656" i="22"/>
  <c r="G613" i="23"/>
  <c r="G952" i="23"/>
  <c r="G1015" i="23"/>
  <c r="G685" i="23"/>
  <c r="H304" i="22"/>
  <c r="A63" i="28"/>
  <c r="H810" i="22"/>
  <c r="G194" i="23"/>
  <c r="G921" i="23"/>
  <c r="G50" i="23"/>
  <c r="G705" i="22"/>
  <c r="G1098" i="22"/>
  <c r="G445" i="22"/>
  <c r="G339" i="22"/>
  <c r="G381" i="22"/>
  <c r="G1051" i="16"/>
  <c r="H472" i="22"/>
  <c r="G496" i="23"/>
  <c r="A310" i="28"/>
  <c r="G966" i="23"/>
  <c r="H456" i="16"/>
  <c r="G404" i="16"/>
  <c r="H563" i="22"/>
  <c r="G1040" i="16"/>
  <c r="G299" i="23"/>
  <c r="G428" i="16"/>
  <c r="G575" i="22"/>
  <c r="G324" i="22"/>
  <c r="H734" i="22"/>
  <c r="G504" i="22"/>
  <c r="G403" i="23"/>
  <c r="G896" i="22"/>
  <c r="H843" i="22"/>
  <c r="A358" i="28"/>
  <c r="G1104" i="22"/>
  <c r="A268" i="28"/>
  <c r="B467" i="28"/>
  <c r="G1046" i="22"/>
  <c r="B537" i="28"/>
  <c r="H1059" i="22"/>
  <c r="G782" i="22"/>
  <c r="H287" i="22"/>
  <c r="Z69" i="29"/>
  <c r="G115" i="22"/>
  <c r="H656" i="16"/>
  <c r="G587" i="23"/>
  <c r="G957" i="22"/>
  <c r="B877" i="28"/>
  <c r="G904" i="16"/>
  <c r="A109" i="28"/>
  <c r="G574" i="22"/>
  <c r="A113" i="28"/>
  <c r="G969" i="23"/>
  <c r="H80" i="22"/>
  <c r="H827" i="16"/>
  <c r="H1115" i="16"/>
  <c r="H1058" i="22"/>
  <c r="G631" i="23"/>
  <c r="G262" i="23"/>
  <c r="H892" i="22"/>
  <c r="G877" i="23"/>
  <c r="G792" i="23"/>
  <c r="G374" i="23"/>
  <c r="A193" i="28"/>
  <c r="G581" i="23"/>
  <c r="Z23" i="29"/>
  <c r="H1112" i="22"/>
  <c r="B429" i="28"/>
  <c r="G832" i="23"/>
  <c r="G569" i="23"/>
  <c r="H507" i="22"/>
  <c r="G406" i="23"/>
  <c r="A365" i="28"/>
  <c r="G822" i="22"/>
  <c r="G631" i="22"/>
  <c r="G1005" i="23"/>
  <c r="G686" i="22"/>
  <c r="G989" i="22"/>
  <c r="G325" i="23"/>
  <c r="G746" i="23"/>
  <c r="H1075" i="16"/>
  <c r="G187" i="23"/>
  <c r="G259" i="23"/>
  <c r="G958" i="22"/>
  <c r="G1082" i="22"/>
  <c r="G470" i="23"/>
  <c r="H144" i="22"/>
  <c r="G326" i="16"/>
  <c r="H136" i="22"/>
  <c r="H556" i="16"/>
  <c r="H40" i="16"/>
  <c r="G617" i="22"/>
  <c r="G595" i="23"/>
  <c r="G69" i="22"/>
  <c r="H410" i="22"/>
  <c r="G31" i="23"/>
  <c r="H412" i="22"/>
  <c r="G1101" i="22"/>
  <c r="G228" i="16"/>
  <c r="G912" i="23"/>
  <c r="G890" i="23"/>
  <c r="G885" i="22"/>
  <c r="B661" i="28"/>
  <c r="H480" i="22"/>
  <c r="H254" i="22"/>
  <c r="G557" i="23"/>
  <c r="G1044" i="22"/>
  <c r="G437" i="23"/>
  <c r="G908" i="22"/>
  <c r="A48" i="28"/>
  <c r="H882" i="22"/>
  <c r="H64" i="22"/>
  <c r="H856" i="22"/>
  <c r="H569" i="16"/>
  <c r="G13" i="23"/>
  <c r="A96" i="28"/>
  <c r="H744" i="22"/>
  <c r="G316" i="16"/>
  <c r="G952" i="22"/>
  <c r="G642" i="22"/>
  <c r="G1014" i="23"/>
  <c r="H628" i="16"/>
  <c r="H1010" i="22"/>
  <c r="G539" i="23"/>
  <c r="G474" i="22"/>
  <c r="G739" i="22"/>
  <c r="G1121" i="22"/>
  <c r="G307" i="22"/>
  <c r="H660" i="16"/>
  <c r="H584" i="16"/>
  <c r="G986" i="22"/>
  <c r="G485" i="23"/>
  <c r="H588" i="16"/>
  <c r="H456" i="22"/>
  <c r="G362" i="16"/>
  <c r="G510" i="22"/>
  <c r="H1004" i="22"/>
  <c r="O112" i="29"/>
  <c r="H922" i="22"/>
  <c r="H880" i="16"/>
  <c r="G809" i="23"/>
  <c r="G820" i="16"/>
  <c r="G565" i="16"/>
  <c r="G817" i="23"/>
  <c r="G446" i="23"/>
  <c r="G561" i="22"/>
  <c r="H606" i="22"/>
  <c r="H587" i="22"/>
  <c r="G470" i="22"/>
  <c r="G428" i="22"/>
  <c r="G1059" i="22"/>
  <c r="G683" i="23"/>
  <c r="G591" i="22"/>
  <c r="G24" i="16"/>
  <c r="G38" i="23"/>
  <c r="G1010" i="23"/>
  <c r="G905" i="23"/>
  <c r="G19" i="23"/>
  <c r="H558" i="22"/>
  <c r="A243" i="28"/>
  <c r="H528" i="16"/>
  <c r="G304" i="16"/>
  <c r="G430" i="22"/>
  <c r="G636" i="23"/>
  <c r="G405" i="22"/>
  <c r="H16" i="16"/>
  <c r="G518" i="23"/>
  <c r="H98" i="22"/>
  <c r="H1046" i="22"/>
  <c r="H631" i="22"/>
  <c r="G664" i="22"/>
  <c r="G565" i="22"/>
  <c r="H852" i="22"/>
  <c r="G923" i="22"/>
  <c r="G901" i="22"/>
  <c r="H370" i="22"/>
  <c r="G150" i="22"/>
  <c r="G238" i="2"/>
  <c r="G755" i="23"/>
  <c r="G56" i="23"/>
  <c r="H848" i="22"/>
  <c r="G610" i="22"/>
  <c r="A329" i="28"/>
  <c r="H556" i="22"/>
  <c r="U69" i="29"/>
  <c r="A127" i="28"/>
  <c r="G171" i="23"/>
  <c r="G731" i="23"/>
  <c r="G996" i="23"/>
  <c r="G648" i="23"/>
  <c r="G89" i="23"/>
  <c r="G698" i="22"/>
  <c r="G1075" i="22"/>
  <c r="G976" i="22"/>
  <c r="G478" i="22"/>
  <c r="G103" i="23"/>
  <c r="H460" i="16"/>
  <c r="G51" i="16"/>
  <c r="G234" i="16"/>
  <c r="G1116" i="16"/>
  <c r="H858" i="22"/>
  <c r="G694" i="22"/>
  <c r="H1120" i="22"/>
  <c r="H125" i="22"/>
  <c r="G828" i="23"/>
  <c r="H953" i="16"/>
  <c r="G298" i="23"/>
  <c r="G706" i="23"/>
  <c r="G964" i="23"/>
  <c r="B565" i="28"/>
  <c r="Z168" i="29"/>
  <c r="G240" i="23"/>
  <c r="G184" i="23"/>
  <c r="G769" i="22"/>
  <c r="A153" i="28"/>
  <c r="H499" i="22"/>
  <c r="G841" i="22"/>
  <c r="G511" i="22"/>
  <c r="G207" i="23"/>
  <c r="G60" i="23"/>
  <c r="A171" i="28"/>
  <c r="G812" i="22"/>
  <c r="G536" i="23"/>
  <c r="G499" i="22"/>
  <c r="H1012" i="22"/>
  <c r="H805" i="22"/>
  <c r="H324" i="22"/>
  <c r="A152" i="28"/>
  <c r="G888" i="23"/>
  <c r="H804" i="22"/>
  <c r="B1033" i="28"/>
  <c r="G543" i="22"/>
  <c r="H728" i="22"/>
  <c r="G316" i="23"/>
  <c r="G1023" i="23"/>
  <c r="D46" i="29"/>
  <c r="H656" i="22"/>
  <c r="B513" i="28"/>
  <c r="G1076" i="22"/>
  <c r="G131" i="23"/>
  <c r="G967" i="23"/>
  <c r="A357" i="28"/>
  <c r="B591" i="28"/>
  <c r="G378" i="23"/>
  <c r="H432" i="16"/>
  <c r="G865" i="22"/>
  <c r="G996" i="16"/>
  <c r="G414" i="22"/>
  <c r="G751" i="22"/>
  <c r="H999" i="22"/>
  <c r="G622" i="22"/>
  <c r="H1074" i="22"/>
  <c r="B981" i="28"/>
  <c r="G341" i="23"/>
  <c r="O47" i="29"/>
  <c r="U61" i="29"/>
  <c r="G667" i="22"/>
  <c r="H1001" i="22"/>
  <c r="G588" i="23"/>
  <c r="H645" i="22"/>
  <c r="B1009" i="28"/>
  <c r="G663" i="22"/>
  <c r="H784" i="16"/>
  <c r="G960" i="22"/>
  <c r="G220" i="16"/>
  <c r="G767" i="22"/>
  <c r="H333" i="16"/>
  <c r="G176" i="22"/>
  <c r="G730" i="22"/>
  <c r="G633" i="22"/>
  <c r="G1008" i="23"/>
  <c r="G587" i="22"/>
  <c r="H642" i="16"/>
  <c r="H419" i="16"/>
  <c r="G892" i="23"/>
  <c r="G818" i="16"/>
  <c r="G650" i="23"/>
  <c r="H782" i="22"/>
  <c r="A281" i="28"/>
  <c r="H1114" i="16"/>
  <c r="G83" i="22"/>
  <c r="G472" i="22"/>
  <c r="A59" i="28"/>
  <c r="H988" i="16"/>
  <c r="H563" i="16"/>
  <c r="Z7" i="29"/>
  <c r="G846" i="22"/>
  <c r="G409" i="22"/>
  <c r="B895" i="28"/>
  <c r="A379" i="28"/>
  <c r="G960" i="23"/>
  <c r="A412" i="28"/>
  <c r="H584" i="22"/>
  <c r="H991" i="16"/>
  <c r="G809" i="22"/>
  <c r="O23" i="29"/>
  <c r="G448" i="22"/>
  <c r="H1080" i="22"/>
  <c r="G27" i="23"/>
  <c r="G174" i="23"/>
  <c r="G487" i="23"/>
  <c r="G641" i="22"/>
  <c r="G498" i="22"/>
  <c r="G367" i="22"/>
  <c r="G582" i="22"/>
  <c r="H951" i="22"/>
  <c r="G282" i="22"/>
  <c r="H1060" i="16"/>
  <c r="B637" i="28"/>
  <c r="G999" i="22"/>
  <c r="H723" i="22"/>
  <c r="G1080" i="22"/>
  <c r="G210" i="23"/>
  <c r="B993" i="28"/>
  <c r="G956" i="22"/>
  <c r="G985" i="22"/>
  <c r="G748" i="22"/>
  <c r="G924" i="22"/>
  <c r="G566" i="22"/>
  <c r="B751" i="28"/>
  <c r="G186" i="23"/>
  <c r="H780" i="22"/>
  <c r="B897" i="28"/>
  <c r="G503" i="23"/>
  <c r="G479" i="23"/>
  <c r="H704" i="22"/>
  <c r="G749" i="22"/>
  <c r="G549" i="22"/>
  <c r="H48" i="22"/>
  <c r="G895" i="22"/>
  <c r="G308" i="16"/>
  <c r="G801" i="22"/>
  <c r="G846" i="16"/>
  <c r="H864" i="16"/>
  <c r="H501" i="22"/>
  <c r="B1037" i="28"/>
  <c r="H103" i="22"/>
  <c r="G42" i="23"/>
  <c r="H72" i="22"/>
  <c r="H269" i="22"/>
  <c r="G481" i="23"/>
  <c r="G880" i="16"/>
  <c r="G625" i="23"/>
  <c r="G268" i="16"/>
  <c r="G467" i="23"/>
  <c r="G743" i="22"/>
  <c r="H574" i="22"/>
  <c r="H42" i="16"/>
  <c r="G773" i="23"/>
  <c r="H382" i="22"/>
  <c r="H740" i="22"/>
  <c r="B915" i="28"/>
  <c r="Z61" i="29"/>
  <c r="H786" i="22"/>
  <c r="G601" i="22"/>
  <c r="H627" i="22"/>
  <c r="G1118" i="22"/>
  <c r="G756" i="22"/>
  <c r="B719" i="28"/>
  <c r="A245" i="28"/>
  <c r="G463" i="23"/>
  <c r="H1007" i="22"/>
  <c r="U51" i="29"/>
  <c r="H1066" i="22"/>
  <c r="G717" i="22"/>
  <c r="G514" i="22"/>
  <c r="G601" i="23"/>
  <c r="H1052" i="22"/>
  <c r="G331" i="22"/>
  <c r="G462" i="22"/>
  <c r="G271" i="23"/>
  <c r="G512" i="22"/>
  <c r="G283" i="23"/>
  <c r="G1043" i="22"/>
  <c r="G865" i="23"/>
  <c r="G750" i="22"/>
  <c r="H680" i="22"/>
  <c r="H272" i="22"/>
  <c r="G828" i="22"/>
  <c r="G831" i="23"/>
  <c r="G753" i="22"/>
  <c r="G303" i="23"/>
  <c r="H339" i="22"/>
  <c r="G184" i="22"/>
  <c r="G123" i="23"/>
  <c r="H41" i="22"/>
  <c r="H576" i="22"/>
  <c r="B843" i="28"/>
  <c r="H916" i="22"/>
  <c r="H508" i="16"/>
  <c r="G1088" i="22"/>
  <c r="H510" i="22"/>
  <c r="G975" i="23"/>
  <c r="H829" i="22"/>
  <c r="G572" i="23"/>
  <c r="G568" i="22"/>
  <c r="G823" i="23"/>
  <c r="G1047" i="16"/>
  <c r="H210" i="22"/>
  <c r="G1063" i="22"/>
  <c r="H715" i="22"/>
  <c r="H121" i="22"/>
  <c r="G785" i="23"/>
  <c r="H308" i="22"/>
  <c r="G737" i="23"/>
  <c r="H358" i="22"/>
  <c r="G1066" i="16"/>
  <c r="G86" i="23"/>
  <c r="G135" i="23"/>
  <c r="G795" i="16"/>
  <c r="G1027" i="2"/>
  <c r="H92" i="22"/>
  <c r="A183" i="28"/>
  <c r="G121" i="23"/>
  <c r="G1065" i="22"/>
  <c r="G617" i="23"/>
  <c r="H90" i="22"/>
  <c r="H417" i="22"/>
  <c r="H46" i="22"/>
  <c r="G598" i="23"/>
  <c r="H429" i="16"/>
  <c r="O238" i="29"/>
  <c r="H55" i="22"/>
  <c r="G365" i="23"/>
  <c r="B613" i="28"/>
  <c r="B933" i="28"/>
  <c r="A286" i="28"/>
  <c r="G992" i="23"/>
  <c r="G1116" i="22"/>
  <c r="H776" i="16"/>
  <c r="G742" i="23"/>
  <c r="G837" i="23"/>
  <c r="G637" i="22"/>
  <c r="A176" i="28"/>
  <c r="B481" i="28"/>
  <c r="G1054" i="22"/>
  <c r="G535" i="23"/>
  <c r="G597" i="22"/>
  <c r="G161" i="23"/>
  <c r="A105" i="28"/>
  <c r="H79" i="22"/>
  <c r="H1032" i="22"/>
  <c r="G670" i="22"/>
  <c r="G158" i="22"/>
  <c r="G660" i="22"/>
  <c r="H877" i="16"/>
  <c r="H476" i="22"/>
  <c r="H73" i="22"/>
  <c r="G399" i="22"/>
  <c r="G142" i="22"/>
  <c r="G187" i="22"/>
  <c r="H451" i="22"/>
  <c r="G1075" i="16"/>
  <c r="G483" i="23"/>
  <c r="H644" i="22"/>
  <c r="H883" i="22"/>
  <c r="G789" i="23"/>
  <c r="G818" i="22"/>
  <c r="G956" i="16"/>
  <c r="G396" i="16"/>
  <c r="H677" i="22"/>
  <c r="G170" i="16"/>
  <c r="H688" i="16"/>
  <c r="H481" i="22"/>
  <c r="B445" i="28"/>
  <c r="G781" i="16"/>
  <c r="G825" i="23"/>
  <c r="G219" i="16"/>
  <c r="G118" i="22"/>
  <c r="G360" i="22"/>
  <c r="G486" i="23"/>
  <c r="G60" i="22"/>
  <c r="U45" i="29"/>
  <c r="H112" i="22"/>
  <c r="G624" i="22"/>
  <c r="G868" i="23"/>
  <c r="G645" i="23"/>
  <c r="G579" i="22"/>
  <c r="A277" i="28"/>
  <c r="H1075" i="22"/>
  <c r="G607" i="22"/>
  <c r="G977" i="23"/>
  <c r="H648" i="22"/>
  <c r="H124" i="22"/>
  <c r="H732" i="22"/>
  <c r="H514" i="16"/>
  <c r="G291" i="23"/>
  <c r="H334" i="22"/>
  <c r="G353" i="16"/>
  <c r="G131" i="22"/>
  <c r="H669" i="16"/>
  <c r="G733" i="22"/>
  <c r="H13" i="22"/>
  <c r="H600" i="16"/>
  <c r="G1004" i="22"/>
  <c r="H40" i="22"/>
  <c r="H475" i="16"/>
  <c r="G149" i="22"/>
  <c r="H153" i="22"/>
  <c r="G523" i="23"/>
  <c r="B957" i="28"/>
  <c r="H315" i="22"/>
  <c r="H122" i="16"/>
  <c r="H867" i="2"/>
  <c r="H935" i="16"/>
  <c r="H807" i="16"/>
  <c r="H142" i="22"/>
  <c r="G1074" i="16"/>
  <c r="G41" i="16"/>
  <c r="G274" i="16"/>
  <c r="G579" i="16"/>
  <c r="G13" i="22"/>
  <c r="H455" i="22"/>
  <c r="H982" i="22"/>
  <c r="H387" i="2"/>
  <c r="H416" i="22"/>
  <c r="G85" i="23"/>
  <c r="H603" i="22"/>
  <c r="G1056" i="22"/>
  <c r="G229" i="23"/>
  <c r="H958" i="22"/>
  <c r="H1053" i="16"/>
  <c r="H822" i="22"/>
  <c r="H766" i="16"/>
  <c r="H37" i="22"/>
  <c r="G944" i="23"/>
  <c r="H799" i="22"/>
  <c r="G668" i="16"/>
  <c r="H115" i="22"/>
  <c r="H221" i="16"/>
  <c r="G542" i="23"/>
  <c r="G69" i="23"/>
  <c r="G899" i="22"/>
  <c r="H238" i="22"/>
  <c r="G99" i="22"/>
  <c r="A170" i="28"/>
  <c r="H244" i="22"/>
  <c r="G898" i="16"/>
  <c r="G621" i="23"/>
  <c r="H147" i="22"/>
  <c r="H1086" i="22"/>
  <c r="G443" i="23"/>
  <c r="H150" i="22"/>
  <c r="H320" i="22"/>
  <c r="G611" i="22"/>
  <c r="G244" i="22"/>
  <c r="G1111" i="22"/>
  <c r="G315" i="22"/>
  <c r="H904" i="2"/>
  <c r="G703" i="22"/>
  <c r="H685" i="22"/>
  <c r="H679" i="22"/>
  <c r="H373" i="22"/>
  <c r="H504" i="16"/>
  <c r="H217" i="22"/>
  <c r="G206" i="22"/>
  <c r="H568" i="22"/>
  <c r="G913" i="23"/>
  <c r="G606" i="22"/>
  <c r="H574" i="16"/>
  <c r="G900" i="16"/>
  <c r="G992" i="16"/>
  <c r="H101" i="16"/>
  <c r="H596" i="22"/>
  <c r="H865" i="22"/>
  <c r="G101" i="23"/>
  <c r="H757" i="16"/>
  <c r="G271" i="16"/>
  <c r="H576" i="16"/>
  <c r="G922" i="16"/>
  <c r="H505" i="22"/>
  <c r="H777" i="16"/>
  <c r="H313" i="22"/>
  <c r="H911" i="16"/>
  <c r="H775" i="22"/>
  <c r="G950" i="16"/>
  <c r="G541" i="16"/>
  <c r="G306" i="16"/>
  <c r="G191" i="22"/>
  <c r="G185" i="22"/>
  <c r="G679" i="23"/>
  <c r="H413" i="16"/>
  <c r="G569" i="16"/>
  <c r="G413" i="16"/>
  <c r="H283" i="22"/>
  <c r="G1107" i="22"/>
  <c r="G889" i="16"/>
  <c r="H114" i="22"/>
  <c r="H101" i="22"/>
  <c r="H797" i="22"/>
  <c r="H243" i="16"/>
  <c r="G648" i="2"/>
  <c r="G132" i="22"/>
  <c r="H290" i="16"/>
  <c r="G370" i="22"/>
  <c r="G763" i="16"/>
  <c r="G352" i="16"/>
  <c r="H778" i="22"/>
  <c r="H987" i="22"/>
  <c r="G676" i="23"/>
  <c r="H1063" i="22"/>
  <c r="G1039" i="22"/>
  <c r="G443" i="22"/>
  <c r="G426" i="16"/>
  <c r="G764" i="23"/>
  <c r="G962" i="22"/>
  <c r="G784" i="22"/>
  <c r="G389" i="23"/>
  <c r="G354" i="23"/>
  <c r="H515" i="22"/>
  <c r="G538" i="22"/>
  <c r="H768" i="16"/>
  <c r="H398" i="22"/>
  <c r="G18" i="22"/>
  <c r="H149" i="16"/>
  <c r="G444" i="22"/>
  <c r="G260" i="16"/>
  <c r="G125" i="23"/>
  <c r="G741" i="22"/>
  <c r="H1041" i="16"/>
  <c r="G592" i="22"/>
  <c r="G178" i="16"/>
  <c r="H228" i="22"/>
  <c r="G883" i="22"/>
  <c r="H760" i="22"/>
  <c r="G287" i="22"/>
  <c r="H983" i="22"/>
  <c r="G511" i="23"/>
  <c r="G613" i="22"/>
  <c r="H418" i="22"/>
  <c r="G926" i="16"/>
  <c r="H257" i="22"/>
  <c r="G1112" i="16"/>
  <c r="G450" i="22"/>
  <c r="G250" i="22"/>
  <c r="G485" i="16"/>
  <c r="H411" i="22"/>
  <c r="H378" i="22"/>
  <c r="H888" i="16"/>
  <c r="G485" i="22"/>
  <c r="G233" i="22"/>
  <c r="H805" i="16"/>
  <c r="G374" i="22"/>
  <c r="H975" i="16"/>
  <c r="H190" i="2"/>
  <c r="G330" i="16"/>
  <c r="H464" i="16"/>
  <c r="G872" i="16"/>
  <c r="H699" i="2"/>
  <c r="G296" i="22"/>
  <c r="H546" i="16"/>
  <c r="H505" i="16"/>
  <c r="H748" i="16"/>
  <c r="G147" i="22"/>
  <c r="G172" i="16"/>
  <c r="G1066" i="22"/>
  <c r="H533" i="22"/>
  <c r="G1055" i="22"/>
  <c r="H542" i="16"/>
  <c r="G230" i="23"/>
  <c r="Z51" i="29"/>
  <c r="G7" i="22"/>
  <c r="H1088" i="16"/>
  <c r="H154" i="22"/>
  <c r="G611" i="23"/>
  <c r="G925" i="16"/>
  <c r="G238" i="16"/>
  <c r="G274" i="22"/>
  <c r="H430" i="22"/>
  <c r="H186" i="16"/>
  <c r="H20" i="16"/>
  <c r="G619" i="16"/>
  <c r="H214" i="22"/>
  <c r="G473" i="22"/>
  <c r="H590" i="22"/>
  <c r="H570" i="16"/>
  <c r="G795" i="2"/>
  <c r="G8" i="2"/>
  <c r="G3" i="16"/>
  <c r="G691" i="2"/>
  <c r="H639" i="22"/>
  <c r="H141" i="16"/>
  <c r="G7" i="16"/>
  <c r="H817" i="16"/>
  <c r="H993" i="16"/>
  <c r="A45" i="28"/>
  <c r="A115" i="28"/>
  <c r="H853" i="22"/>
  <c r="H222" i="2"/>
  <c r="G654" i="22"/>
  <c r="G249" i="23"/>
  <c r="G133" i="22"/>
  <c r="G23" i="22"/>
  <c r="H524" i="16"/>
  <c r="H102" i="16"/>
  <c r="H933" i="16"/>
  <c r="G20" i="22"/>
  <c r="G644" i="23"/>
  <c r="G732" i="23"/>
  <c r="G798" i="22"/>
  <c r="G602" i="16"/>
  <c r="G834" i="22"/>
  <c r="G476" i="22"/>
  <c r="H251" i="22"/>
  <c r="H375" i="22"/>
  <c r="G512" i="23"/>
  <c r="G884" i="16"/>
  <c r="G580" i="23"/>
  <c r="A278" i="28"/>
  <c r="G112" i="16"/>
  <c r="H664" i="16"/>
  <c r="G1018" i="22"/>
  <c r="H649" i="22"/>
  <c r="G828" i="16"/>
  <c r="G1055" i="16"/>
  <c r="G893" i="22"/>
  <c r="G573" i="23"/>
  <c r="H436" i="22"/>
  <c r="H750" i="22"/>
  <c r="G209" i="23"/>
  <c r="H808" i="22"/>
  <c r="H295" i="22"/>
  <c r="G882" i="16"/>
  <c r="H241" i="2"/>
  <c r="G441" i="22"/>
  <c r="G440" i="23"/>
  <c r="G432" i="23"/>
  <c r="G908" i="23"/>
  <c r="A345" i="28"/>
  <c r="H184" i="22"/>
  <c r="H540" i="16"/>
  <c r="G975" i="22"/>
  <c r="H667" i="22"/>
  <c r="G926" i="22"/>
  <c r="G864" i="22"/>
  <c r="G820" i="23"/>
  <c r="G636" i="22"/>
  <c r="G1072" i="22"/>
  <c r="G710" i="22"/>
  <c r="G896" i="16"/>
  <c r="H665" i="16"/>
  <c r="G1051" i="22"/>
  <c r="A230" i="28"/>
  <c r="G559" i="2"/>
  <c r="G95" i="22"/>
  <c r="G20" i="23"/>
  <c r="H102" i="22"/>
  <c r="H580" i="22"/>
  <c r="G350" i="16"/>
  <c r="G225" i="23"/>
  <c r="G651" i="23"/>
  <c r="H195" i="2"/>
  <c r="G578" i="23"/>
  <c r="H1026" i="22"/>
  <c r="G96" i="16"/>
  <c r="G482" i="22"/>
  <c r="G351" i="22"/>
  <c r="G418" i="16"/>
  <c r="G137" i="22"/>
  <c r="G1090" i="16"/>
  <c r="G403" i="16"/>
  <c r="H785" i="16"/>
  <c r="G299" i="16"/>
  <c r="H1081" i="16"/>
  <c r="H966" i="22"/>
  <c r="G352" i="22"/>
  <c r="G109" i="23"/>
  <c r="H762" i="16"/>
  <c r="G913" i="16"/>
  <c r="G135" i="22"/>
  <c r="H630" i="16"/>
  <c r="H929" i="22"/>
  <c r="G55" i="16"/>
  <c r="H231" i="22"/>
  <c r="H671" i="22"/>
  <c r="G107" i="16"/>
  <c r="H949" i="22"/>
  <c r="G912" i="16"/>
  <c r="H199" i="22"/>
  <c r="H1097" i="16"/>
  <c r="G752" i="22"/>
  <c r="G878" i="22"/>
  <c r="G179" i="23"/>
  <c r="G184" i="16"/>
  <c r="A99" i="28"/>
  <c r="H578" i="16"/>
  <c r="G604" i="23"/>
  <c r="H1122" i="22"/>
  <c r="H687" i="22"/>
  <c r="H38" i="16"/>
  <c r="G657" i="22"/>
  <c r="H683" i="22"/>
  <c r="H3" i="22"/>
  <c r="G832" i="16"/>
  <c r="H478" i="22"/>
  <c r="G155" i="22"/>
  <c r="G471" i="22"/>
  <c r="H377" i="22"/>
  <c r="G986" i="16"/>
  <c r="H736" i="16"/>
  <c r="H223" i="22"/>
  <c r="G669" i="16"/>
  <c r="G949" i="16"/>
  <c r="G1123" i="22"/>
  <c r="H541" i="16"/>
  <c r="H76" i="22"/>
  <c r="G1078" i="16"/>
  <c r="G157" i="22"/>
  <c r="H148" i="16"/>
  <c r="G12" i="16"/>
  <c r="G10" i="16"/>
  <c r="H761" i="22"/>
  <c r="G948" i="16"/>
  <c r="G111" i="22"/>
  <c r="G1058" i="22"/>
  <c r="H562" i="22"/>
  <c r="G1016" i="22"/>
  <c r="G1099" i="16"/>
  <c r="H595" i="22"/>
  <c r="H372" i="22"/>
  <c r="H899" i="2"/>
  <c r="G791" i="16"/>
  <c r="H867" i="22"/>
  <c r="H132" i="22"/>
  <c r="G914" i="16"/>
  <c r="G357" i="22"/>
  <c r="H553" i="22"/>
  <c r="H220" i="22"/>
  <c r="G400" i="22"/>
  <c r="G147" i="16"/>
  <c r="H50" i="22"/>
  <c r="A112" i="28"/>
  <c r="G540" i="23"/>
  <c r="H1025" i="16"/>
  <c r="H1024" i="16"/>
  <c r="G831" i="16"/>
  <c r="H1087" i="16"/>
  <c r="H694" i="22"/>
  <c r="H857" i="22"/>
  <c r="H931" i="22"/>
  <c r="G357" i="23"/>
  <c r="H300" i="16"/>
  <c r="H733" i="16"/>
  <c r="H972" i="16"/>
  <c r="H515" i="16"/>
  <c r="G743" i="2"/>
  <c r="H271" i="2"/>
  <c r="G171" i="16"/>
  <c r="H325" i="22"/>
  <c r="H113" i="2"/>
  <c r="H264" i="2"/>
  <c r="G67" i="22"/>
  <c r="G789" i="16"/>
  <c r="G157" i="23"/>
  <c r="A282" i="28"/>
  <c r="G269" i="23"/>
  <c r="H739" i="22"/>
  <c r="G541" i="23"/>
  <c r="H392" i="22"/>
  <c r="G793" i="23"/>
  <c r="G501" i="23"/>
  <c r="G895" i="23"/>
  <c r="G509" i="22"/>
  <c r="G327" i="23"/>
  <c r="A72" i="28"/>
  <c r="G561" i="23"/>
  <c r="H914" i="16"/>
  <c r="G108" i="16"/>
  <c r="G1083" i="22"/>
  <c r="G589" i="22"/>
  <c r="G181" i="22"/>
  <c r="G446" i="22"/>
  <c r="H502" i="22"/>
  <c r="G97" i="23"/>
  <c r="G239" i="22"/>
  <c r="H459" i="22"/>
  <c r="G1029" i="22"/>
  <c r="H302" i="22"/>
  <c r="H512" i="22"/>
  <c r="G388" i="16"/>
  <c r="G918" i="22"/>
  <c r="Z216" i="29"/>
  <c r="H346" i="22"/>
  <c r="G62" i="23"/>
  <c r="G507" i="22"/>
  <c r="G251" i="23"/>
  <c r="H415" i="22"/>
  <c r="G421" i="22"/>
  <c r="H637" i="22"/>
  <c r="G86" i="22"/>
  <c r="H885" i="16"/>
  <c r="H31" i="22"/>
  <c r="H625" i="22"/>
  <c r="G532" i="23"/>
  <c r="G2" i="23"/>
  <c r="G1120" i="22"/>
  <c r="G59" i="22"/>
  <c r="H25" i="16"/>
  <c r="H236" i="22"/>
  <c r="G652" i="23"/>
  <c r="H446" i="2"/>
  <c r="G878" i="2"/>
  <c r="G809" i="16"/>
  <c r="H935" i="22"/>
  <c r="G726" i="30"/>
  <c r="H155" i="16"/>
  <c r="H162" i="16"/>
  <c r="G146" i="22"/>
  <c r="G882" i="22"/>
  <c r="G279" i="23"/>
  <c r="G711" i="23"/>
  <c r="H207" i="22"/>
  <c r="B1069" i="28"/>
  <c r="G177" i="23"/>
  <c r="G612" i="23"/>
  <c r="H901" i="22"/>
  <c r="H791" i="22"/>
  <c r="H347" i="2"/>
  <c r="H180" i="16"/>
  <c r="G400" i="16"/>
  <c r="H785" i="22"/>
  <c r="H767" i="16"/>
  <c r="G53" i="23"/>
  <c r="G808" i="16"/>
  <c r="H597" i="16"/>
  <c r="G3" i="23"/>
  <c r="G435" i="16"/>
  <c r="H933" i="22"/>
  <c r="H699" i="16"/>
  <c r="G525" i="16"/>
  <c r="G683" i="22"/>
  <c r="G680" i="16"/>
  <c r="G80" i="2"/>
  <c r="G408" i="22"/>
  <c r="H594" i="16"/>
  <c r="G433" i="16"/>
  <c r="H411" i="2"/>
  <c r="G523" i="2"/>
  <c r="G124" i="22"/>
  <c r="H89" i="22"/>
  <c r="H888" i="22"/>
  <c r="H472" i="16"/>
  <c r="G475" i="23"/>
  <c r="H780" i="16"/>
  <c r="G464" i="23"/>
  <c r="H554" i="16"/>
  <c r="G26" i="16"/>
  <c r="G203" i="16"/>
  <c r="H841" i="22"/>
  <c r="H15" i="2"/>
  <c r="H689" i="16"/>
  <c r="G893" i="23"/>
  <c r="G171" i="22"/>
  <c r="G1002" i="23"/>
  <c r="H28" i="16"/>
  <c r="G739" i="2"/>
  <c r="G282" i="23"/>
  <c r="G685" i="16"/>
  <c r="G568" i="16"/>
  <c r="B1073" i="28"/>
  <c r="G243" i="22"/>
  <c r="H592" i="16"/>
  <c r="H286" i="22"/>
  <c r="H651" i="22"/>
  <c r="G990" i="22"/>
  <c r="G774" i="22"/>
  <c r="H885" i="22"/>
  <c r="G554" i="22"/>
  <c r="G188" i="16"/>
  <c r="G378" i="16"/>
  <c r="H529" i="16"/>
  <c r="G545" i="23"/>
  <c r="G287" i="23"/>
  <c r="G972" i="16"/>
  <c r="G344" i="22"/>
  <c r="H746" i="16"/>
  <c r="H323" i="2"/>
  <c r="G75" i="22"/>
  <c r="H624" i="22"/>
  <c r="G158" i="23"/>
  <c r="H965" i="22"/>
  <c r="G413" i="23"/>
  <c r="G302" i="23"/>
  <c r="Z53" i="29"/>
  <c r="H623" i="22"/>
  <c r="H827" i="22"/>
  <c r="H1064" i="22"/>
  <c r="H137" i="22"/>
  <c r="G972" i="22"/>
  <c r="B1045" i="28"/>
  <c r="G934" i="22"/>
  <c r="H536" i="22"/>
  <c r="G74" i="23"/>
  <c r="G1040" i="22"/>
  <c r="H821" i="16"/>
  <c r="H996" i="22"/>
  <c r="B453" i="28"/>
  <c r="H879" i="22"/>
  <c r="H309" i="16"/>
  <c r="G1113" i="22"/>
  <c r="G930" i="22"/>
  <c r="G146" i="16"/>
  <c r="G754" i="22"/>
  <c r="G175" i="23"/>
  <c r="G777" i="23"/>
  <c r="H312" i="22"/>
  <c r="G938" i="22"/>
  <c r="H795" i="22"/>
  <c r="G1090" i="22"/>
  <c r="G52" i="16"/>
  <c r="G668" i="23"/>
  <c r="G837" i="16"/>
  <c r="H749" i="16"/>
  <c r="H203" i="22"/>
  <c r="H741" i="22"/>
  <c r="H615" i="22"/>
  <c r="H756" i="16"/>
  <c r="G830" i="22"/>
  <c r="G411" i="22"/>
  <c r="H609" i="22"/>
  <c r="H745" i="22"/>
  <c r="H400" i="22"/>
  <c r="H258" i="22"/>
  <c r="H626" i="22"/>
  <c r="H250" i="16"/>
  <c r="G245" i="16"/>
  <c r="H774" i="22"/>
  <c r="G222" i="22"/>
  <c r="H410" i="16"/>
  <c r="G405" i="16"/>
  <c r="G691" i="16"/>
  <c r="H897" i="22"/>
  <c r="H355" i="2"/>
  <c r="H862" i="22"/>
  <c r="G388" i="22"/>
  <c r="G896" i="23"/>
  <c r="H68" i="22"/>
  <c r="G570" i="22"/>
  <c r="G1086" i="16"/>
  <c r="G600" i="23"/>
  <c r="H632" i="22"/>
  <c r="G456" i="23"/>
  <c r="G481" i="22"/>
  <c r="H409" i="16"/>
  <c r="G50" i="16"/>
  <c r="H803" i="16"/>
  <c r="G650" i="22"/>
  <c r="H248" i="22"/>
  <c r="G617" i="16"/>
  <c r="H698" i="22"/>
  <c r="G70" i="23"/>
  <c r="H87" i="22"/>
  <c r="G98" i="22"/>
  <c r="H678" i="16"/>
  <c r="H630" i="22"/>
  <c r="G930" i="16"/>
  <c r="G1003" i="16"/>
  <c r="G320" i="22"/>
  <c r="G6" i="16"/>
  <c r="H731" i="22"/>
  <c r="H575" i="16"/>
  <c r="G89" i="16"/>
  <c r="G205" i="22"/>
  <c r="G482" i="23"/>
  <c r="H571" i="22"/>
  <c r="G994" i="16"/>
  <c r="H718" i="16"/>
  <c r="G105" i="23"/>
  <c r="G903" i="23"/>
  <c r="A270" i="28"/>
  <c r="G390" i="22"/>
  <c r="H976" i="22"/>
  <c r="G829" i="23"/>
  <c r="G452" i="23"/>
  <c r="H581" i="22"/>
  <c r="H650" i="22"/>
  <c r="H856" i="16"/>
  <c r="H868" i="22"/>
  <c r="G240" i="16"/>
  <c r="H971" i="16"/>
  <c r="H345" i="22"/>
  <c r="G563" i="22"/>
  <c r="H12" i="16"/>
  <c r="G792" i="16"/>
  <c r="H157" i="22"/>
  <c r="B477" i="28"/>
  <c r="G104" i="16"/>
  <c r="G260" i="22"/>
  <c r="G599" i="16"/>
  <c r="H314" i="22"/>
  <c r="G996" i="2"/>
  <c r="H774" i="16"/>
  <c r="H1010" i="16"/>
  <c r="G454" i="23"/>
  <c r="G988" i="16"/>
  <c r="Z250" i="29"/>
  <c r="H317" i="22"/>
  <c r="G314" i="22"/>
  <c r="G79" i="16"/>
  <c r="H667" i="16"/>
  <c r="H231" i="2"/>
  <c r="G531" i="2"/>
  <c r="H877" i="22"/>
  <c r="G157" i="16"/>
  <c r="H815" i="16"/>
  <c r="H1022" i="16"/>
  <c r="G435" i="2"/>
  <c r="H91" i="2"/>
  <c r="G721" i="22"/>
  <c r="G553" i="22"/>
  <c r="G897" i="22"/>
  <c r="G937" i="23"/>
  <c r="H826" i="22"/>
  <c r="H1061" i="22"/>
  <c r="G966" i="22"/>
  <c r="B955" i="28"/>
  <c r="G214" i="23"/>
  <c r="G1078" i="22"/>
  <c r="G8" i="23"/>
  <c r="H580" i="16"/>
  <c r="H1106" i="22"/>
  <c r="G247" i="23"/>
  <c r="G792" i="22"/>
  <c r="G889" i="23"/>
  <c r="H500" i="16"/>
  <c r="H512" i="16"/>
  <c r="G552" i="22"/>
  <c r="H454" i="16"/>
  <c r="A142" i="28"/>
  <c r="G285" i="22"/>
  <c r="G1048" i="16"/>
  <c r="G787" i="23"/>
  <c r="G322" i="23"/>
  <c r="G909" i="23"/>
  <c r="G968" i="22"/>
  <c r="H1017" i="16"/>
  <c r="G72" i="23"/>
  <c r="G448" i="16"/>
  <c r="G1069" i="22"/>
  <c r="G242" i="23"/>
  <c r="H58" i="16"/>
  <c r="H813" i="22"/>
  <c r="H357" i="22"/>
  <c r="G174" i="16"/>
  <c r="H431" i="16"/>
  <c r="H807" i="22"/>
  <c r="G745" i="23"/>
  <c r="G979" i="16"/>
  <c r="G429" i="22"/>
  <c r="H24" i="16"/>
  <c r="H722" i="22"/>
  <c r="H219" i="16"/>
  <c r="G270" i="22"/>
  <c r="H259" i="22"/>
  <c r="H158" i="16"/>
  <c r="H643" i="16"/>
  <c r="G1117" i="2"/>
  <c r="G31" i="22"/>
  <c r="G153" i="16"/>
  <c r="G345" i="16"/>
  <c r="H830" i="16"/>
  <c r="H919" i="16"/>
  <c r="H440" i="16"/>
  <c r="G954" i="22"/>
  <c r="G440" i="16"/>
  <c r="G859" i="22"/>
  <c r="H730" i="16"/>
  <c r="H1076" i="22"/>
  <c r="G1027" i="22"/>
  <c r="G138" i="16"/>
  <c r="G566" i="23"/>
  <c r="G266" i="16"/>
  <c r="G195" i="22"/>
  <c r="H110" i="22"/>
  <c r="G281" i="22"/>
  <c r="H133" i="22"/>
  <c r="H524" i="22"/>
  <c r="G354" i="16"/>
  <c r="G35" i="16"/>
  <c r="H405" i="16"/>
  <c r="G556" i="23"/>
  <c r="G26" i="23"/>
  <c r="G329" i="22"/>
  <c r="H653" i="22"/>
  <c r="H1062" i="22"/>
  <c r="G976" i="16"/>
  <c r="H911" i="2"/>
  <c r="H905" i="22"/>
  <c r="H657" i="16"/>
  <c r="H263" i="22"/>
  <c r="H62" i="2"/>
  <c r="H529" i="22"/>
  <c r="H469" i="16"/>
  <c r="H650" i="16"/>
  <c r="H571" i="2"/>
  <c r="G630" i="22"/>
  <c r="H936" i="22"/>
  <c r="H15" i="22"/>
  <c r="G1090" i="2"/>
  <c r="G872" i="22"/>
  <c r="H790" i="22"/>
  <c r="G302" i="22"/>
  <c r="H750" i="16"/>
  <c r="G231" i="22"/>
  <c r="H69" i="22"/>
  <c r="G375" i="22"/>
  <c r="H1042" i="22"/>
  <c r="H395" i="22"/>
  <c r="G492" i="23"/>
  <c r="G594" i="22"/>
  <c r="G848" i="23"/>
  <c r="A143" i="28"/>
  <c r="H617" i="16"/>
  <c r="H191" i="22"/>
  <c r="G200" i="16"/>
  <c r="G615" i="22"/>
  <c r="H358" i="16"/>
  <c r="A34" i="28"/>
  <c r="G669" i="22"/>
  <c r="H408" i="22"/>
  <c r="G1119" i="22"/>
  <c r="G590" i="23"/>
  <c r="H764" i="16"/>
  <c r="G464" i="22"/>
  <c r="H9" i="22"/>
  <c r="H867" i="16"/>
  <c r="G649" i="22"/>
  <c r="H528" i="22"/>
  <c r="H53" i="16"/>
  <c r="H925" i="22"/>
  <c r="G758" i="22"/>
  <c r="G538" i="23"/>
  <c r="G264" i="16"/>
  <c r="G427" i="22"/>
  <c r="G467" i="22"/>
  <c r="G876" i="16"/>
  <c r="G417" i="23"/>
  <c r="A238" i="28"/>
  <c r="G1087" i="22"/>
  <c r="G499" i="23"/>
  <c r="G416" i="23"/>
  <c r="A147" i="28"/>
  <c r="D44" i="29"/>
  <c r="G211" i="23"/>
  <c r="G78" i="23"/>
  <c r="A88" i="28"/>
  <c r="H487" i="22"/>
  <c r="A174" i="28"/>
  <c r="A342" i="28"/>
  <c r="G653" i="22"/>
  <c r="G665" i="23"/>
  <c r="G760" i="23"/>
  <c r="H19" i="22"/>
  <c r="U104" i="29"/>
  <c r="G115" i="16"/>
  <c r="A341" i="28"/>
  <c r="H538" i="16"/>
  <c r="G607" i="23"/>
  <c r="H501" i="16"/>
  <c r="H844" i="22"/>
  <c r="G477" i="22"/>
  <c r="H1057" i="22"/>
  <c r="H781" i="16"/>
  <c r="H385" i="22"/>
  <c r="G948" i="23"/>
  <c r="G286" i="22"/>
  <c r="G564" i="23"/>
  <c r="G122" i="16"/>
  <c r="G608" i="16"/>
  <c r="G117" i="16"/>
  <c r="G544" i="16"/>
  <c r="G336" i="22"/>
  <c r="H603" i="16"/>
  <c r="H835" i="2"/>
  <c r="H539" i="16"/>
  <c r="H811" i="16"/>
  <c r="G127" i="16"/>
  <c r="H913" i="16"/>
  <c r="H701" i="16"/>
  <c r="G499" i="16"/>
  <c r="G1091" i="22"/>
  <c r="H836" i="16"/>
  <c r="G429" i="16"/>
  <c r="H882" i="16"/>
  <c r="H781" i="22"/>
  <c r="H887" i="22"/>
  <c r="G193" i="22"/>
  <c r="G288" i="16"/>
  <c r="H769" i="22"/>
  <c r="G883" i="16"/>
  <c r="G507" i="23"/>
  <c r="G369" i="22"/>
  <c r="G675" i="22"/>
  <c r="A406" i="28"/>
  <c r="G163" i="22"/>
  <c r="H355" i="16"/>
  <c r="H448" i="16"/>
  <c r="G890" i="16"/>
  <c r="G1083" i="16"/>
  <c r="G217" i="23"/>
  <c r="H281" i="22"/>
  <c r="H853" i="16"/>
  <c r="H573" i="22"/>
  <c r="H186" i="22"/>
  <c r="G278" i="22"/>
  <c r="H851" i="16"/>
  <c r="G716" i="16"/>
  <c r="H975" i="2"/>
  <c r="G586" i="22"/>
  <c r="H34" i="22"/>
  <c r="H96" i="16"/>
  <c r="G104" i="22"/>
  <c r="G295" i="22"/>
  <c r="H421" i="22"/>
  <c r="G1070" i="2"/>
  <c r="G1035" i="16"/>
  <c r="G289" i="22"/>
  <c r="H943" i="16"/>
  <c r="H113" i="16"/>
  <c r="H111" i="16"/>
  <c r="G348" i="22"/>
  <c r="H676" i="16"/>
  <c r="H549" i="22"/>
  <c r="H482" i="22"/>
  <c r="H116" i="22"/>
  <c r="H30" i="16"/>
  <c r="H770" i="16"/>
  <c r="H197" i="22"/>
  <c r="H902" i="22"/>
  <c r="G294" i="16"/>
  <c r="G351" i="16"/>
  <c r="G672" i="22"/>
  <c r="G806" i="16"/>
  <c r="H539" i="22"/>
  <c r="G451" i="2"/>
  <c r="G490" i="22"/>
  <c r="G746" i="22"/>
  <c r="G335" i="22"/>
  <c r="G219" i="22"/>
  <c r="G255" i="22"/>
  <c r="G463" i="22"/>
  <c r="G1043" i="16"/>
  <c r="H544" i="22"/>
  <c r="G696" i="23"/>
  <c r="H706" i="16"/>
  <c r="G37" i="16"/>
  <c r="G12" i="22"/>
  <c r="H97" i="22"/>
  <c r="H697" i="16"/>
  <c r="G629" i="16"/>
  <c r="H1093" i="22"/>
  <c r="O65" i="29"/>
  <c r="A42" i="28"/>
  <c r="G449" i="23"/>
  <c r="G303" i="16"/>
  <c r="H326" i="16"/>
  <c r="G406" i="22"/>
  <c r="G321" i="16"/>
  <c r="G1047" i="2"/>
  <c r="H538" i="22"/>
  <c r="H777" i="22"/>
  <c r="H309" i="22"/>
  <c r="H787" i="2"/>
  <c r="G698" i="16"/>
  <c r="H363" i="22"/>
  <c r="G729" i="22"/>
  <c r="A293" i="28"/>
  <c r="H291" i="22"/>
  <c r="G707" i="23"/>
  <c r="G692" i="22"/>
  <c r="G346" i="23"/>
  <c r="G439" i="23"/>
  <c r="G776" i="22"/>
  <c r="G6" i="22"/>
  <c r="H719" i="22"/>
  <c r="G927" i="22"/>
  <c r="G810" i="16"/>
  <c r="H761" i="16"/>
  <c r="G1050" i="16"/>
  <c r="G623" i="22"/>
  <c r="H44" i="16"/>
  <c r="H604" i="16"/>
  <c r="H891" i="22"/>
  <c r="G392" i="16"/>
  <c r="H427" i="22"/>
  <c r="G425" i="22"/>
  <c r="G941" i="23"/>
  <c r="G1019" i="22"/>
  <c r="H788" i="22"/>
  <c r="G366" i="23"/>
  <c r="H424" i="22"/>
  <c r="G622" i="23"/>
  <c r="G553" i="23"/>
  <c r="G11" i="22"/>
  <c r="H96" i="22"/>
  <c r="Z108" i="29"/>
  <c r="G376" i="22"/>
  <c r="G118" i="23"/>
  <c r="G213" i="23"/>
  <c r="H307" i="22"/>
  <c r="G87" i="23"/>
  <c r="H310" i="22"/>
  <c r="G300" i="22"/>
  <c r="H552" i="22"/>
  <c r="G760" i="22"/>
  <c r="G404" i="22"/>
  <c r="G434" i="22"/>
  <c r="H540" i="22"/>
  <c r="H1095" i="16"/>
  <c r="B926" i="28"/>
  <c r="H399" i="2"/>
  <c r="H1062" i="2"/>
  <c r="G582" i="16"/>
  <c r="H308" i="2"/>
  <c r="G932" i="2"/>
  <c r="G420" i="2"/>
  <c r="H990" i="2"/>
  <c r="H600" i="22"/>
  <c r="G520" i="23"/>
  <c r="G663" i="16"/>
  <c r="G920" i="16"/>
  <c r="H716" i="16"/>
  <c r="H490" i="16"/>
  <c r="H793" i="22"/>
  <c r="H628" i="22"/>
  <c r="H293" i="16"/>
  <c r="G661" i="16"/>
  <c r="G945" i="16"/>
  <c r="G182" i="22"/>
  <c r="G392" i="22"/>
  <c r="H944" i="16"/>
  <c r="G93" i="22"/>
  <c r="H824" i="16"/>
  <c r="H389" i="22"/>
  <c r="G1025" i="22"/>
  <c r="G87" i="22"/>
  <c r="G310" i="22"/>
  <c r="H1072" i="16"/>
  <c r="H109" i="16"/>
  <c r="H493" i="16"/>
  <c r="H506" i="16"/>
  <c r="G56" i="16"/>
  <c r="G495" i="2"/>
  <c r="G670" i="2"/>
  <c r="G318" i="16"/>
  <c r="G341" i="22"/>
  <c r="H516" i="2"/>
  <c r="H4" i="2"/>
  <c r="G374" i="16"/>
  <c r="G246" i="23"/>
  <c r="G709" i="16"/>
  <c r="G794" i="22"/>
  <c r="H876" i="22"/>
  <c r="G476" i="23"/>
  <c r="H134" i="22"/>
  <c r="H613" i="16"/>
  <c r="G110" i="16"/>
  <c r="H860" i="16"/>
  <c r="H809" i="22"/>
  <c r="H959" i="16"/>
  <c r="G491" i="16"/>
  <c r="G947" i="16"/>
  <c r="G117" i="23"/>
  <c r="G438" i="23"/>
  <c r="G665" i="16"/>
  <c r="G191" i="23"/>
  <c r="G226" i="16"/>
  <c r="H25" i="22"/>
  <c r="H105" i="22"/>
  <c r="H174" i="22"/>
  <c r="G1053" i="22"/>
  <c r="G143" i="22"/>
  <c r="H1095" i="2"/>
  <c r="H1026" i="16"/>
  <c r="H927" i="2"/>
  <c r="H1078" i="2"/>
  <c r="G590" i="22"/>
  <c r="U57" i="29"/>
  <c r="G478" i="2"/>
  <c r="G987" i="2"/>
  <c r="H750" i="2"/>
  <c r="H660" i="22"/>
  <c r="H39" i="22"/>
  <c r="G77" i="23"/>
  <c r="H796" i="16"/>
  <c r="H299" i="16"/>
  <c r="H906" i="16"/>
  <c r="G460" i="16"/>
  <c r="H964" i="16"/>
  <c r="G770" i="23"/>
  <c r="G295" i="23"/>
  <c r="G860" i="23"/>
  <c r="G176" i="16"/>
  <c r="A396" i="28"/>
  <c r="G924" i="16"/>
  <c r="O152" i="29"/>
  <c r="G1010" i="22"/>
  <c r="G153" i="23"/>
  <c r="H676" i="22"/>
  <c r="H611" i="22"/>
  <c r="A389" i="28"/>
  <c r="G700" i="22"/>
  <c r="H830" i="22"/>
  <c r="G768" i="22"/>
  <c r="H265" i="22"/>
  <c r="A89" i="28"/>
  <c r="H1093" i="16"/>
  <c r="G961" i="22"/>
  <c r="G503" i="22"/>
  <c r="H308" i="16"/>
  <c r="H281" i="16"/>
  <c r="H1044" i="22"/>
  <c r="G727" i="16"/>
  <c r="G1099" i="22"/>
  <c r="G424" i="16"/>
  <c r="H873" i="16"/>
  <c r="H915" i="16"/>
  <c r="H871" i="16"/>
  <c r="G801" i="23"/>
  <c r="G771" i="2"/>
  <c r="G181" i="16"/>
  <c r="G793" i="16"/>
  <c r="H647" i="16"/>
  <c r="H193" i="16"/>
  <c r="H160" i="16"/>
  <c r="H431" i="2"/>
  <c r="H468" i="22"/>
  <c r="G204" i="16"/>
  <c r="H161" i="22"/>
  <c r="H776" i="22"/>
  <c r="H491" i="22"/>
  <c r="H561" i="22"/>
  <c r="G179" i="22"/>
  <c r="H945" i="22"/>
  <c r="G856" i="16"/>
  <c r="H73" i="16"/>
  <c r="G465" i="23"/>
  <c r="G836" i="2"/>
  <c r="G119" i="22"/>
  <c r="H106" i="16"/>
  <c r="G1018" i="16"/>
  <c r="H100" i="16"/>
  <c r="A266" i="28"/>
  <c r="G907" i="22"/>
  <c r="G638" i="22"/>
  <c r="G372" i="22"/>
  <c r="H606" i="16"/>
  <c r="G249" i="22"/>
  <c r="H285" i="16"/>
  <c r="H647" i="22"/>
  <c r="H511" i="22"/>
  <c r="H13" i="16"/>
  <c r="H372" i="16"/>
  <c r="H866" i="22"/>
  <c r="H726" i="16"/>
  <c r="H546" i="22"/>
  <c r="G666" i="22"/>
  <c r="G962" i="16"/>
  <c r="G282" i="16"/>
  <c r="G653" i="16"/>
  <c r="H545" i="16"/>
  <c r="H381" i="22"/>
  <c r="G375" i="16"/>
  <c r="H977" i="16"/>
  <c r="G78" i="16"/>
  <c r="H893" i="16"/>
  <c r="G710" i="2"/>
  <c r="H431" i="22"/>
  <c r="A1074" i="28"/>
  <c r="G625" i="2"/>
  <c r="H145" i="2"/>
  <c r="H50" i="16"/>
  <c r="G958" i="30"/>
  <c r="H1058" i="2"/>
  <c r="H273" i="22"/>
  <c r="H394" i="22"/>
  <c r="G720" i="22"/>
  <c r="G355" i="23"/>
  <c r="Z72" i="29"/>
  <c r="G133" i="23"/>
  <c r="G547" i="16"/>
  <c r="G228" i="2"/>
  <c r="H578" i="22"/>
  <c r="G778" i="2"/>
  <c r="H1084" i="16"/>
  <c r="G238" i="22"/>
  <c r="H74" i="22"/>
  <c r="G1062" i="16"/>
  <c r="H189" i="16"/>
  <c r="G905" i="16"/>
  <c r="H985" i="22"/>
  <c r="G833" i="16"/>
  <c r="H198" i="2"/>
  <c r="H92" i="16"/>
  <c r="G285" i="34"/>
  <c r="H934" i="16"/>
  <c r="B862" i="28"/>
  <c r="G982" i="16"/>
  <c r="H629" i="2"/>
  <c r="H513" i="16"/>
  <c r="H807" i="2"/>
  <c r="H264" i="16"/>
  <c r="H75" i="2"/>
  <c r="G277" i="16"/>
  <c r="G791" i="2"/>
  <c r="G1096" i="2"/>
  <c r="G667" i="2"/>
  <c r="H438" i="22"/>
  <c r="H970" i="22"/>
  <c r="G1103" i="16"/>
  <c r="H275" i="16"/>
  <c r="G626" i="23"/>
  <c r="H566" i="16"/>
  <c r="H989" i="16"/>
  <c r="H412" i="16"/>
  <c r="G638" i="16"/>
  <c r="H222" i="16"/>
  <c r="G848" i="16"/>
  <c r="H135" i="22"/>
  <c r="H1011" i="16"/>
  <c r="G217" i="16"/>
  <c r="H674" i="16"/>
  <c r="H633" i="16"/>
  <c r="G954" i="16"/>
  <c r="G725" i="34"/>
  <c r="H675" i="16"/>
  <c r="G308" i="2"/>
  <c r="G770" i="2"/>
  <c r="G885" i="2"/>
  <c r="H936" i="16"/>
  <c r="G951" i="23"/>
  <c r="H480" i="16"/>
  <c r="G709" i="22"/>
  <c r="G531" i="22"/>
  <c r="H488" i="22"/>
  <c r="G976" i="23"/>
  <c r="H279" i="22"/>
  <c r="H437" i="22"/>
  <c r="G816" i="22"/>
  <c r="G563" i="23"/>
  <c r="G76" i="16"/>
  <c r="H604" i="22"/>
  <c r="H654" i="22"/>
  <c r="G1026" i="16"/>
  <c r="H87" i="16"/>
  <c r="G1015" i="16"/>
  <c r="G398" i="22"/>
  <c r="G578" i="22"/>
  <c r="H164" i="16"/>
  <c r="H190" i="16"/>
  <c r="G134" i="22"/>
  <c r="H280" i="16"/>
  <c r="H995" i="16"/>
  <c r="H150" i="2"/>
  <c r="G674" i="22"/>
  <c r="G410" i="16"/>
  <c r="G399" i="16"/>
  <c r="G1071" i="22"/>
  <c r="G211" i="22"/>
  <c r="G1031" i="22"/>
  <c r="H403" i="16"/>
  <c r="G1023" i="22"/>
  <c r="G160" i="16"/>
  <c r="H282" i="22"/>
  <c r="G66" i="16"/>
  <c r="H195" i="16"/>
  <c r="H215" i="16"/>
  <c r="H670" i="22"/>
  <c r="H889" i="22"/>
  <c r="H591" i="22"/>
  <c r="H1002" i="22"/>
  <c r="G825" i="22"/>
  <c r="G396" i="22"/>
  <c r="G551" i="22"/>
  <c r="G842" i="16"/>
  <c r="H288" i="22"/>
  <c r="G1082" i="16"/>
  <c r="G422" i="22"/>
  <c r="G664" i="16"/>
  <c r="G971" i="22"/>
  <c r="H275" i="2"/>
  <c r="G807" i="16"/>
  <c r="G711" i="16"/>
  <c r="G519" i="23"/>
  <c r="H562" i="16"/>
  <c r="G330" i="22"/>
  <c r="G237" i="16"/>
  <c r="G3" i="22"/>
  <c r="G1006" i="16"/>
  <c r="G553" i="16"/>
  <c r="H527" i="22"/>
  <c r="G891" i="16"/>
  <c r="H441" i="22"/>
  <c r="G852" i="16"/>
  <c r="H78" i="16"/>
  <c r="H214" i="16"/>
  <c r="G484" i="2"/>
  <c r="G908" i="2"/>
  <c r="G72" i="2"/>
  <c r="G410" i="22"/>
  <c r="G1095" i="16"/>
  <c r="G715" i="22"/>
  <c r="B221" i="28"/>
  <c r="G888" i="16"/>
  <c r="G218" i="16"/>
  <c r="G881" i="16"/>
  <c r="G469" i="22"/>
  <c r="G822" i="16"/>
  <c r="G836" i="16"/>
  <c r="G686" i="23"/>
  <c r="H494" i="2"/>
  <c r="H259" i="2"/>
  <c r="H245" i="16"/>
  <c r="G292" i="2"/>
  <c r="G955" i="2"/>
  <c r="H30" i="22"/>
  <c r="H520" i="16"/>
  <c r="G97" i="16"/>
  <c r="H1094" i="16"/>
  <c r="G19" i="22"/>
  <c r="G510" i="23"/>
  <c r="H815" i="2"/>
  <c r="H303" i="2"/>
  <c r="G850" i="22"/>
  <c r="G1111" i="16"/>
  <c r="G944" i="16"/>
  <c r="G126" i="22"/>
  <c r="G525" i="30"/>
  <c r="H989" i="22"/>
  <c r="G550" i="16"/>
  <c r="H64" i="16"/>
  <c r="G555" i="22"/>
  <c r="G21" i="22"/>
  <c r="H950" i="16"/>
  <c r="G52" i="2"/>
  <c r="H542" i="2"/>
  <c r="G1089" i="16"/>
  <c r="H927" i="16"/>
  <c r="H126" i="2"/>
  <c r="H896" i="16"/>
  <c r="H452" i="2"/>
  <c r="H795" i="16"/>
  <c r="G521" i="16"/>
  <c r="G1061" i="16"/>
  <c r="A225" i="28"/>
  <c r="G557" i="22"/>
  <c r="G1076" i="16"/>
  <c r="G307" i="23"/>
  <c r="B789" i="28"/>
  <c r="A80" i="28"/>
  <c r="G956" i="23"/>
  <c r="G775" i="23"/>
  <c r="G395" i="22"/>
  <c r="G144" i="16"/>
  <c r="H211" i="22"/>
  <c r="G643" i="30"/>
  <c r="G531" i="16"/>
  <c r="H934" i="22"/>
  <c r="G227" i="23"/>
  <c r="G773" i="22"/>
  <c r="Z222" i="29"/>
  <c r="G355" i="22"/>
  <c r="H1050" i="22"/>
  <c r="H519" i="22"/>
  <c r="H305" i="22"/>
  <c r="G701" i="22"/>
  <c r="G103" i="22"/>
  <c r="H461" i="22"/>
  <c r="H668" i="22"/>
  <c r="H747" i="22"/>
  <c r="G5" i="22"/>
  <c r="G689" i="23"/>
  <c r="H821" i="22"/>
  <c r="G890" i="22"/>
  <c r="G371" i="16"/>
  <c r="G29" i="16"/>
  <c r="H3" i="16"/>
  <c r="H49" i="22"/>
  <c r="H169" i="16"/>
  <c r="G333" i="23"/>
  <c r="G419" i="23"/>
  <c r="G197" i="22"/>
  <c r="H728" i="16"/>
  <c r="G22" i="22"/>
  <c r="G28" i="16"/>
  <c r="G1120" i="16"/>
  <c r="H24" i="22"/>
  <c r="G866" i="16"/>
  <c r="H359" i="16"/>
  <c r="G857" i="16"/>
  <c r="H274" i="16"/>
  <c r="G1114" i="16"/>
  <c r="H197" i="16"/>
  <c r="H195" i="22"/>
  <c r="G522" i="23"/>
  <c r="H890" i="22"/>
  <c r="G621" i="16"/>
  <c r="G787" i="22"/>
  <c r="H60" i="22"/>
  <c r="G483" i="22"/>
  <c r="G57" i="22"/>
  <c r="H901" i="16"/>
  <c r="G36" i="16"/>
  <c r="H514" i="22"/>
  <c r="H14" i="16"/>
  <c r="H845" i="16"/>
  <c r="H580" i="2"/>
  <c r="G386" i="16"/>
  <c r="G208" i="22"/>
  <c r="H66" i="22"/>
  <c r="H152" i="22"/>
  <c r="G373" i="22"/>
  <c r="G165" i="22"/>
  <c r="H59" i="16"/>
  <c r="H879" i="2"/>
  <c r="H542" i="22"/>
  <c r="H705" i="16"/>
  <c r="G167" i="16"/>
  <c r="H261" i="16"/>
  <c r="G634" i="16"/>
  <c r="G507" i="2"/>
  <c r="H563" i="2"/>
  <c r="G498" i="16"/>
  <c r="H817" i="2"/>
  <c r="G407" i="16"/>
  <c r="G823" i="16"/>
  <c r="G600" i="2"/>
  <c r="G903" i="16"/>
  <c r="O17" i="29"/>
  <c r="H663" i="2"/>
  <c r="G824" i="16"/>
  <c r="G65" i="23"/>
  <c r="G442" i="16"/>
  <c r="H466" i="22"/>
  <c r="H427" i="16"/>
  <c r="H75" i="16"/>
  <c r="H1094" i="22"/>
  <c r="G49" i="23"/>
  <c r="H1078" i="22"/>
  <c r="H564" i="22"/>
  <c r="G1053" i="16"/>
  <c r="H177" i="16"/>
  <c r="G209" i="22"/>
  <c r="G648" i="16"/>
  <c r="H175" i="16"/>
  <c r="G702" i="16"/>
  <c r="G1011" i="16"/>
  <c r="G622" i="16"/>
  <c r="H317" i="16"/>
  <c r="G607" i="2"/>
  <c r="H277" i="2"/>
  <c r="G1033" i="2"/>
  <c r="A647" i="28"/>
  <c r="G58" i="2"/>
  <c r="H635" i="2"/>
  <c r="H84" i="16"/>
  <c r="H653" i="2"/>
  <c r="H1002" i="2"/>
  <c r="A755" i="28"/>
  <c r="H999" i="2"/>
  <c r="G518" i="16"/>
  <c r="H188" i="2"/>
  <c r="H425" i="22"/>
  <c r="H252" i="22"/>
  <c r="H277" i="16"/>
  <c r="H733" i="22"/>
  <c r="H727" i="22"/>
  <c r="G65" i="22"/>
  <c r="H49" i="16"/>
  <c r="G59" i="16"/>
  <c r="G1050" i="22"/>
  <c r="H1105" i="16"/>
  <c r="H647" i="2"/>
  <c r="G554" i="23"/>
  <c r="H225" i="22"/>
  <c r="G917" i="16"/>
  <c r="H247" i="16"/>
  <c r="H256" i="22"/>
  <c r="G1020" i="22"/>
  <c r="U18" i="29"/>
  <c r="G312" i="22"/>
  <c r="G763" i="2"/>
  <c r="H663" i="16"/>
  <c r="H80" i="16"/>
  <c r="G253" i="30"/>
  <c r="G989" i="23"/>
  <c r="G875" i="23"/>
  <c r="H388" i="22"/>
  <c r="G974" i="22"/>
  <c r="B533" i="28"/>
  <c r="A87" i="28"/>
  <c r="G456" i="22"/>
  <c r="G399" i="23"/>
  <c r="G806" i="22"/>
  <c r="H357" i="16"/>
  <c r="G879" i="23"/>
  <c r="H448" i="22"/>
  <c r="G710" i="16"/>
  <c r="H525" i="22"/>
  <c r="G364" i="22"/>
  <c r="H513" i="22"/>
  <c r="H613" i="22"/>
  <c r="H577" i="16"/>
  <c r="H82" i="22"/>
  <c r="G1010" i="16"/>
  <c r="G946" i="16"/>
  <c r="G33" i="22"/>
  <c r="H995" i="2"/>
  <c r="G627" i="16"/>
  <c r="H599" i="22"/>
  <c r="H561" i="16"/>
  <c r="G472" i="16"/>
  <c r="H467" i="16"/>
  <c r="H1092" i="16"/>
  <c r="H401" i="22"/>
  <c r="H105" i="16"/>
  <c r="H449" i="22"/>
  <c r="G666" i="16"/>
  <c r="G839" i="16"/>
  <c r="G571" i="22"/>
  <c r="G1003" i="2"/>
  <c r="G1031" i="16"/>
  <c r="G463" i="2"/>
  <c r="H923" i="16"/>
  <c r="G532" i="22"/>
  <c r="H651" i="16"/>
  <c r="G627" i="22"/>
  <c r="G826" i="22"/>
  <c r="H693" i="22"/>
  <c r="G132" i="16"/>
  <c r="G296" i="16"/>
  <c r="G298" i="16"/>
  <c r="G526" i="22"/>
  <c r="G547" i="23"/>
  <c r="H329" i="22"/>
  <c r="H1030" i="22"/>
  <c r="G252" i="22"/>
  <c r="H963" i="22"/>
  <c r="G584" i="22"/>
  <c r="G73" i="22"/>
  <c r="G419" i="16"/>
  <c r="B285" i="28"/>
  <c r="H775" i="2"/>
  <c r="G595" i="2"/>
  <c r="H1042" i="16"/>
  <c r="H804" i="16"/>
  <c r="H627" i="16"/>
  <c r="G167" i="22"/>
  <c r="G576" i="16"/>
  <c r="G505" i="34"/>
  <c r="H959" i="2"/>
  <c r="O261" i="29"/>
  <c r="H257" i="2"/>
  <c r="G591" i="2"/>
  <c r="G567" i="2"/>
  <c r="H614" i="22"/>
  <c r="H139" i="22"/>
  <c r="H454" i="2"/>
  <c r="H755" i="16"/>
  <c r="G395" i="16"/>
  <c r="H450" i="22"/>
  <c r="G1054" i="16"/>
  <c r="H187" i="16"/>
  <c r="H404" i="16"/>
  <c r="H266" i="2"/>
  <c r="H958" i="2"/>
  <c r="H131" i="16"/>
  <c r="H825" i="16"/>
  <c r="H823" i="16"/>
  <c r="H457" i="22"/>
  <c r="H1014" i="22"/>
  <c r="H625" i="16"/>
  <c r="H548" i="2"/>
  <c r="G256" i="22"/>
  <c r="G862" i="16"/>
  <c r="H202" i="22"/>
  <c r="H187" i="22"/>
  <c r="H341" i="22"/>
  <c r="G183" i="16"/>
  <c r="H213" i="22"/>
  <c r="G106" i="22"/>
  <c r="G358" i="16"/>
  <c r="H911" i="22"/>
  <c r="G583" i="16"/>
  <c r="H1108" i="2"/>
  <c r="H995" i="22"/>
  <c r="H386" i="22"/>
  <c r="H968" i="16"/>
  <c r="G118" i="16"/>
  <c r="G507" i="16"/>
  <c r="G360" i="16"/>
  <c r="H1109" i="16"/>
  <c r="H81" i="22"/>
  <c r="H173" i="16"/>
  <c r="H474" i="16"/>
  <c r="G294" i="22"/>
  <c r="G556" i="16"/>
  <c r="H70" i="16"/>
  <c r="G136" i="30"/>
  <c r="G383" i="23"/>
  <c r="G637" i="23"/>
  <c r="H1047" i="22"/>
  <c r="G46" i="23"/>
  <c r="H1039" i="22"/>
  <c r="H793" i="16"/>
  <c r="Z262" i="29"/>
  <c r="G148" i="16"/>
  <c r="G983" i="22"/>
  <c r="B845" i="28"/>
  <c r="A222" i="28"/>
  <c r="G727" i="22"/>
  <c r="H961" i="22"/>
  <c r="A35" i="28"/>
  <c r="H757" i="22"/>
  <c r="B735" i="28"/>
  <c r="G555" i="16"/>
  <c r="G716" i="22"/>
  <c r="G619" i="23"/>
  <c r="H476" i="16"/>
  <c r="A81" i="28"/>
  <c r="B853" i="28"/>
  <c r="H1028" i="22"/>
  <c r="A149" i="28"/>
  <c r="G16" i="22"/>
  <c r="H621" i="22"/>
  <c r="G142" i="23"/>
  <c r="G53" i="16"/>
  <c r="G331" i="23"/>
  <c r="H52" i="16"/>
  <c r="H422" i="22"/>
  <c r="G240" i="22"/>
  <c r="G778" i="16"/>
  <c r="H230" i="16"/>
  <c r="G577" i="16"/>
  <c r="H224" i="16"/>
  <c r="H902" i="16"/>
  <c r="G1020" i="16"/>
  <c r="G1001" i="16"/>
  <c r="H731" i="2"/>
  <c r="H978" i="22"/>
  <c r="H567" i="22"/>
  <c r="H770" i="22"/>
  <c r="G865" i="16"/>
  <c r="H754" i="22"/>
  <c r="H170" i="16"/>
  <c r="G442" i="22"/>
  <c r="G977" i="34"/>
  <c r="H334" i="2"/>
  <c r="H27" i="16"/>
  <c r="G545" i="2"/>
  <c r="H1098" i="16"/>
  <c r="G942" i="34"/>
  <c r="G381" i="23"/>
  <c r="G337" i="22"/>
  <c r="G480" i="16"/>
  <c r="G984" i="16"/>
  <c r="G461" i="22"/>
  <c r="G149" i="23"/>
  <c r="H210" i="16"/>
  <c r="H275" i="22"/>
  <c r="H494" i="22"/>
  <c r="G690" i="22"/>
  <c r="H90" i="16"/>
  <c r="G215" i="16"/>
  <c r="H967" i="16"/>
  <c r="G981" i="22"/>
  <c r="G1034" i="16"/>
  <c r="H441" i="16"/>
  <c r="G453" i="22"/>
  <c r="H367" i="2"/>
  <c r="G384" i="22"/>
  <c r="H396" i="16"/>
  <c r="H181" i="22"/>
  <c r="H268" i="16"/>
  <c r="G218" i="22"/>
  <c r="H898" i="2"/>
  <c r="H1064" i="2"/>
  <c r="G535" i="16"/>
  <c r="G684" i="2"/>
  <c r="G338" i="22"/>
  <c r="A1080" i="28"/>
  <c r="G633" i="30"/>
  <c r="G752" i="16"/>
  <c r="G395" i="2"/>
  <c r="G943" i="34"/>
  <c r="G919" i="22"/>
  <c r="G693" i="16"/>
  <c r="H484" i="16"/>
  <c r="G147" i="23"/>
  <c r="H322" i="22"/>
  <c r="G4" i="22"/>
  <c r="H156" i="22"/>
  <c r="H413" i="2"/>
  <c r="G658" i="23"/>
  <c r="G676" i="16"/>
  <c r="H1104" i="16"/>
  <c r="G466" i="23"/>
  <c r="H171" i="16"/>
  <c r="H332" i="16"/>
  <c r="G646" i="23"/>
  <c r="H1096" i="16"/>
  <c r="H163" i="2"/>
  <c r="H360" i="2"/>
  <c r="G319" i="16"/>
  <c r="H202" i="2"/>
  <c r="G297" i="16"/>
  <c r="H751" i="16"/>
  <c r="H250" i="22"/>
  <c r="G517" i="16"/>
  <c r="H241" i="22"/>
  <c r="G340" i="2"/>
  <c r="A815" i="28"/>
  <c r="B990" i="28"/>
  <c r="A1003" i="28"/>
  <c r="G363" i="30"/>
  <c r="H397" i="16"/>
  <c r="G731" i="2"/>
  <c r="H915" i="22"/>
  <c r="G269" i="16"/>
  <c r="G658" i="22"/>
  <c r="G741" i="16"/>
  <c r="H36" i="16"/>
  <c r="G450" i="23"/>
  <c r="G509" i="16"/>
  <c r="H47" i="16"/>
  <c r="H924" i="16"/>
  <c r="H43" i="16"/>
  <c r="G725" i="16"/>
  <c r="G723" i="16"/>
  <c r="G1052" i="16"/>
  <c r="H830" i="2"/>
  <c r="H349" i="16"/>
  <c r="H692" i="22"/>
  <c r="G39" i="16"/>
  <c r="G949" i="2"/>
  <c r="G594" i="2"/>
  <c r="G1014" i="2"/>
  <c r="H196" i="2"/>
  <c r="O251" i="29"/>
  <c r="G368" i="2"/>
  <c r="G691" i="22"/>
  <c r="G505" i="23"/>
  <c r="G520" i="22"/>
  <c r="G216" i="22"/>
  <c r="A309" i="28"/>
  <c r="H1025" i="22"/>
  <c r="H869" i="16"/>
  <c r="G518" i="22"/>
  <c r="G571" i="23"/>
  <c r="H601" i="16"/>
  <c r="G180" i="16"/>
  <c r="G332" i="16"/>
  <c r="H892" i="16"/>
  <c r="G480" i="23"/>
  <c r="G658" i="16"/>
  <c r="G1016" i="16"/>
  <c r="H870" i="22"/>
  <c r="H143" i="22"/>
  <c r="G787" i="2"/>
  <c r="G670" i="16"/>
  <c r="G771" i="16"/>
  <c r="H406" i="2"/>
  <c r="G327" i="16"/>
  <c r="G531" i="23"/>
  <c r="G123" i="22"/>
  <c r="H803" i="22"/>
  <c r="G1034" i="22"/>
  <c r="H185" i="22"/>
  <c r="H686" i="22"/>
  <c r="G174" i="22"/>
  <c r="G690" i="23"/>
  <c r="G659" i="16"/>
  <c r="H835" i="16"/>
  <c r="G93" i="23"/>
  <c r="H346" i="16"/>
  <c r="H519" i="16"/>
  <c r="G722" i="16"/>
  <c r="H772" i="2"/>
  <c r="H442" i="22"/>
  <c r="G1042" i="22"/>
  <c r="G603" i="23"/>
  <c r="G592" i="23"/>
  <c r="H7" i="22"/>
  <c r="H875" i="22"/>
  <c r="G1021" i="22"/>
  <c r="G970" i="16"/>
  <c r="G90" i="16"/>
  <c r="H255" i="22"/>
  <c r="H753" i="16"/>
  <c r="H355" i="22"/>
  <c r="G1063" i="16"/>
  <c r="H1065" i="16"/>
  <c r="H315" i="2"/>
  <c r="G276" i="23"/>
  <c r="H226" i="22"/>
  <c r="G402" i="16"/>
  <c r="G295" i="16"/>
  <c r="H307" i="16"/>
  <c r="G869" i="16"/>
  <c r="H751" i="22"/>
  <c r="H551" i="16"/>
  <c r="G813" i="16"/>
  <c r="G1093" i="16"/>
  <c r="O95" i="29"/>
  <c r="H234" i="2"/>
  <c r="H913" i="22"/>
  <c r="G815" i="16"/>
  <c r="G891" i="2"/>
  <c r="H464" i="2"/>
  <c r="H142" i="16"/>
  <c r="H665" i="22"/>
  <c r="G609" i="2"/>
  <c r="H453" i="22"/>
  <c r="H182" i="22"/>
  <c r="H641" i="22"/>
  <c r="H251" i="16"/>
  <c r="H425" i="16"/>
  <c r="G906" i="16"/>
  <c r="G923" i="16"/>
  <c r="G1028" i="2"/>
  <c r="H387" i="16"/>
  <c r="G1025" i="2"/>
  <c r="H313" i="16"/>
  <c r="G285" i="16"/>
  <c r="H1089" i="16"/>
  <c r="G383" i="16"/>
  <c r="G225" i="22"/>
  <c r="H227" i="22"/>
  <c r="H1037" i="16"/>
  <c r="G1105" i="16"/>
  <c r="H230" i="22"/>
  <c r="H622" i="22"/>
  <c r="H95" i="22"/>
  <c r="H285" i="22"/>
  <c r="G414" i="16"/>
  <c r="H721" i="22"/>
  <c r="H1051" i="16"/>
  <c r="G1007" i="2"/>
  <c r="H708" i="2"/>
  <c r="G859" i="2"/>
  <c r="H1050" i="16"/>
  <c r="G969" i="16"/>
  <c r="G194" i="22"/>
  <c r="H868" i="16"/>
  <c r="G955" i="16"/>
  <c r="G30" i="22"/>
  <c r="G242" i="16"/>
  <c r="H743" i="16"/>
  <c r="G897" i="16"/>
  <c r="H993" i="2"/>
  <c r="H706" i="22"/>
  <c r="G43" i="16"/>
  <c r="G570" i="23"/>
  <c r="G765" i="23"/>
  <c r="G894" i="22"/>
  <c r="G59" i="23"/>
  <c r="G262" i="22"/>
  <c r="G768" i="23"/>
  <c r="G940" i="23"/>
  <c r="G671" i="22"/>
  <c r="G422" i="23"/>
  <c r="G844" i="22"/>
  <c r="H812" i="22"/>
  <c r="G861" i="22"/>
  <c r="G51" i="23"/>
  <c r="G1026" i="22"/>
  <c r="H716" i="22"/>
  <c r="G386" i="23"/>
  <c r="G437" i="16"/>
  <c r="G238" i="23"/>
  <c r="G114" i="22"/>
  <c r="G272" i="16"/>
  <c r="H160" i="22"/>
  <c r="H435" i="22"/>
  <c r="G35" i="23"/>
  <c r="H752" i="22"/>
  <c r="G977" i="22"/>
  <c r="G596" i="22"/>
  <c r="H169" i="22"/>
  <c r="G916" i="16"/>
  <c r="H872" i="22"/>
  <c r="G564" i="2"/>
  <c r="H426" i="22"/>
  <c r="G112" i="2"/>
  <c r="G506" i="23"/>
  <c r="G165" i="23"/>
  <c r="H362" i="16"/>
  <c r="G125" i="22"/>
  <c r="H356" i="16"/>
  <c r="G1108" i="16"/>
  <c r="H198" i="16"/>
  <c r="H352" i="22"/>
  <c r="G68" i="22"/>
  <c r="H314" i="16"/>
  <c r="H361" i="16"/>
  <c r="H1022" i="22"/>
  <c r="G794" i="16"/>
  <c r="G194" i="16"/>
  <c r="H3" i="2"/>
  <c r="G211" i="16"/>
  <c r="G884" i="22"/>
  <c r="H602" i="16"/>
  <c r="G505" i="22"/>
  <c r="G187" i="16"/>
  <c r="H839" i="16"/>
  <c r="G1038" i="16"/>
  <c r="H294" i="16"/>
  <c r="G608" i="22"/>
  <c r="G164" i="16"/>
  <c r="G1115" i="16"/>
  <c r="H203" i="16"/>
  <c r="G347" i="16"/>
  <c r="G696" i="16"/>
  <c r="H397" i="22"/>
  <c r="G443" i="2"/>
  <c r="H796" i="22"/>
  <c r="H392" i="2"/>
  <c r="H1049" i="16"/>
  <c r="G927" i="16"/>
  <c r="H53" i="22"/>
  <c r="H353" i="22"/>
  <c r="G562" i="22"/>
  <c r="G662" i="23"/>
  <c r="H943" i="2"/>
  <c r="H829" i="16"/>
  <c r="H543" i="22"/>
  <c r="G611" i="16"/>
  <c r="G754" i="16"/>
  <c r="H714" i="22"/>
  <c r="G38" i="22"/>
  <c r="H641" i="16"/>
  <c r="H838" i="22"/>
  <c r="H773" i="16"/>
  <c r="O156" i="29"/>
  <c r="H1006" i="16"/>
  <c r="G470" i="2"/>
  <c r="G940" i="2"/>
  <c r="H234" i="22"/>
  <c r="H543" i="16"/>
  <c r="G304" i="2"/>
  <c r="H532" i="16"/>
  <c r="H495" i="22"/>
  <c r="H740" i="16"/>
  <c r="H222" i="22"/>
  <c r="G1033" i="22"/>
  <c r="H501" i="2"/>
  <c r="G402" i="22"/>
  <c r="G1071" i="16"/>
  <c r="H945" i="16"/>
  <c r="G749" i="16"/>
  <c r="G38" i="16"/>
  <c r="H37" i="16"/>
  <c r="H159" i="2"/>
  <c r="G659" i="2"/>
  <c r="H676" i="2"/>
  <c r="G827" i="2"/>
  <c r="G126" i="16"/>
  <c r="G284" i="22"/>
  <c r="G1110" i="2"/>
  <c r="G896" i="2"/>
  <c r="H1061" i="2"/>
  <c r="G86" i="16"/>
  <c r="H479" i="22"/>
  <c r="G422" i="16"/>
  <c r="H622" i="2"/>
  <c r="H834" i="16"/>
  <c r="H991" i="2"/>
  <c r="H388" i="2"/>
  <c r="H372" i="2"/>
  <c r="G135" i="2"/>
  <c r="H663" i="22"/>
  <c r="H433" i="22"/>
  <c r="G92" i="16"/>
  <c r="H559" i="22"/>
  <c r="H984" i="16"/>
  <c r="G15" i="22"/>
  <c r="H653" i="16"/>
  <c r="H418" i="16"/>
  <c r="H212" i="22"/>
  <c r="H293" i="22"/>
  <c r="H43" i="22"/>
  <c r="G458" i="23"/>
  <c r="H932" i="16"/>
  <c r="G1107" i="16"/>
  <c r="G50" i="22"/>
  <c r="G18" i="16"/>
  <c r="G1070" i="16"/>
  <c r="H145" i="22"/>
  <c r="H125" i="16"/>
  <c r="H983" i="2"/>
  <c r="G873" i="23"/>
  <c r="H874" i="16"/>
  <c r="H131" i="2"/>
  <c r="G172" i="2"/>
  <c r="G389" i="16"/>
  <c r="G545" i="22"/>
  <c r="G741" i="23"/>
  <c r="H428" i="22"/>
  <c r="G799" i="22"/>
  <c r="G1000" i="16"/>
  <c r="G569" i="22"/>
  <c r="G412" i="16"/>
  <c r="G348" i="23"/>
  <c r="G708" i="16"/>
  <c r="H506" i="22"/>
  <c r="G195" i="23"/>
  <c r="G159" i="23"/>
  <c r="G207" i="16"/>
  <c r="H367" i="22"/>
  <c r="H649" i="16"/>
  <c r="H619" i="22"/>
  <c r="G515" i="2"/>
  <c r="G237" i="22"/>
  <c r="H477" i="22"/>
  <c r="H657" i="22"/>
  <c r="H471" i="22"/>
  <c r="G762" i="16"/>
  <c r="H465" i="22"/>
  <c r="H311" i="22"/>
  <c r="G33" i="23"/>
  <c r="H47" i="22"/>
  <c r="G226" i="22"/>
  <c r="G263" i="16"/>
  <c r="G729" i="16"/>
  <c r="G1017" i="16"/>
  <c r="H428" i="16"/>
  <c r="H103" i="16"/>
  <c r="G650" i="16"/>
  <c r="G681" i="23"/>
  <c r="H1045" i="16"/>
  <c r="H78" i="22"/>
  <c r="G223" i="16"/>
  <c r="H558" i="16"/>
  <c r="H227" i="2"/>
  <c r="H1013" i="16"/>
  <c r="H552" i="16"/>
  <c r="H893" i="22"/>
  <c r="H407" i="22"/>
  <c r="G420" i="22"/>
  <c r="H699" i="22"/>
  <c r="H201" i="22"/>
  <c r="G508" i="23"/>
  <c r="H762" i="22"/>
  <c r="H648" i="16"/>
  <c r="G264" i="22"/>
  <c r="H198" i="22"/>
  <c r="G611" i="2"/>
  <c r="B833" i="28"/>
  <c r="G79" i="22"/>
  <c r="G267" i="16"/>
  <c r="H844" i="16"/>
  <c r="G205" i="16"/>
  <c r="H461" i="16"/>
  <c r="G25" i="22"/>
  <c r="G54" i="16"/>
  <c r="H465" i="16"/>
  <c r="A831" i="28"/>
  <c r="G302" i="2"/>
  <c r="G255" i="2"/>
  <c r="H646" i="22"/>
  <c r="H922" i="2"/>
  <c r="H973" i="16"/>
  <c r="G407" i="2"/>
  <c r="A543" i="28"/>
  <c r="G154" i="16"/>
  <c r="G313" i="22"/>
  <c r="H1102" i="22"/>
  <c r="G101" i="22"/>
  <c r="G533" i="16"/>
  <c r="H26" i="22"/>
  <c r="G740" i="16"/>
  <c r="G827" i="16"/>
  <c r="H681" i="22"/>
  <c r="H922" i="16"/>
  <c r="H470" i="16"/>
  <c r="G446" i="2"/>
  <c r="H511" i="16"/>
  <c r="G315" i="2"/>
  <c r="G829" i="34"/>
  <c r="G514" i="16"/>
  <c r="G151" i="23"/>
  <c r="G290" i="22"/>
  <c r="H773" i="22"/>
  <c r="G336" i="16"/>
  <c r="H473" i="16"/>
  <c r="G398" i="16"/>
  <c r="G1005" i="34"/>
  <c r="H115" i="2"/>
  <c r="G633" i="34"/>
  <c r="H823" i="2"/>
  <c r="G444" i="16"/>
  <c r="G714" i="22"/>
  <c r="G645" i="16"/>
  <c r="G516" i="30"/>
  <c r="H201" i="2"/>
  <c r="G937" i="30"/>
  <c r="G861" i="2"/>
  <c r="B105" i="28"/>
  <c r="G738" i="16"/>
  <c r="H768" i="2"/>
  <c r="G37" i="23"/>
  <c r="G267" i="22"/>
  <c r="G1011" i="22"/>
  <c r="H508" i="22"/>
  <c r="H242" i="22"/>
  <c r="G1117" i="16"/>
  <c r="H478" i="16"/>
  <c r="G901" i="16"/>
  <c r="H694" i="16"/>
  <c r="G879" i="16"/>
  <c r="G30" i="2"/>
  <c r="G900" i="2"/>
  <c r="H286" i="16"/>
  <c r="H262" i="2"/>
  <c r="H539" i="2"/>
  <c r="H881" i="2"/>
  <c r="H839" i="22"/>
  <c r="G551" i="2"/>
  <c r="G514" i="23"/>
  <c r="A1087" i="28"/>
  <c r="G624" i="16"/>
  <c r="G852" i="2"/>
  <c r="G475" i="16"/>
  <c r="G892" i="22"/>
  <c r="G585" i="22"/>
  <c r="G951" i="22"/>
  <c r="G466" i="22"/>
  <c r="Z248" i="29"/>
  <c r="H534" i="22"/>
  <c r="G727" i="23"/>
  <c r="G1044" i="16"/>
  <c r="G155" i="23"/>
  <c r="G508" i="22"/>
  <c r="H318" i="22"/>
  <c r="G47" i="16"/>
  <c r="H565" i="16"/>
  <c r="G1114" i="22"/>
  <c r="G68" i="16"/>
  <c r="H516" i="16"/>
  <c r="G494" i="23"/>
  <c r="G544" i="22"/>
  <c r="G81" i="22"/>
  <c r="H920" i="16"/>
  <c r="H841" i="16"/>
  <c r="H409" i="22"/>
  <c r="G1043" i="2"/>
  <c r="G953" i="23"/>
  <c r="G20" i="16"/>
  <c r="H635" i="22"/>
  <c r="G743" i="16"/>
  <c r="G474" i="16"/>
  <c r="G169" i="23"/>
  <c r="G1077" i="22"/>
  <c r="G275" i="22"/>
  <c r="G26" i="22"/>
  <c r="H192" i="22"/>
  <c r="G261" i="22"/>
  <c r="H1048" i="16"/>
  <c r="H955" i="2"/>
  <c r="H152" i="16"/>
  <c r="H191" i="16"/>
  <c r="G534" i="2"/>
  <c r="B803" i="28"/>
  <c r="G1032" i="16"/>
  <c r="G387" i="22"/>
  <c r="G595" i="16"/>
  <c r="G29" i="22"/>
  <c r="G311" i="16"/>
  <c r="H23" i="22"/>
  <c r="G1049" i="16"/>
  <c r="G17" i="22"/>
  <c r="G9" i="23"/>
  <c r="G56" i="22"/>
  <c r="G100" i="16"/>
  <c r="H1061" i="16"/>
  <c r="H231" i="16"/>
  <c r="G226" i="23"/>
  <c r="G502" i="23"/>
  <c r="H794" i="16"/>
  <c r="H564" i="2"/>
  <c r="G561" i="2"/>
  <c r="H89" i="16"/>
  <c r="G512" i="16"/>
  <c r="G784" i="16"/>
  <c r="G493" i="23"/>
  <c r="G253" i="23"/>
  <c r="H257" i="16"/>
  <c r="G680" i="2"/>
  <c r="H173" i="22"/>
  <c r="H20" i="2"/>
  <c r="H62" i="16"/>
  <c r="G733" i="16"/>
  <c r="G97" i="22"/>
  <c r="H977" i="22"/>
  <c r="A447" i="28"/>
  <c r="G324" i="23"/>
  <c r="H947" i="22"/>
  <c r="G434" i="23"/>
  <c r="G222" i="16"/>
  <c r="G885" i="16"/>
  <c r="G987" i="16"/>
  <c r="G363" i="22"/>
  <c r="G702" i="2"/>
  <c r="H49" i="2"/>
  <c r="G340" i="16"/>
  <c r="H595" i="16"/>
  <c r="G466" i="16"/>
  <c r="B781" i="28"/>
  <c r="H455" i="16"/>
  <c r="H237" i="16"/>
  <c r="G82" i="16"/>
  <c r="G724" i="16"/>
  <c r="G742" i="30"/>
  <c r="G666" i="2"/>
  <c r="H447" i="22"/>
  <c r="H711" i="2"/>
  <c r="G50" i="30"/>
  <c r="G596" i="23"/>
  <c r="A136" i="28"/>
  <c r="G445" i="16"/>
  <c r="H460" i="22"/>
  <c r="H167" i="22"/>
  <c r="G347" i="22"/>
  <c r="H117" i="16"/>
  <c r="G632" i="22"/>
  <c r="G95" i="23"/>
  <c r="H713" i="22"/>
  <c r="G326" i="22"/>
  <c r="G870" i="16"/>
  <c r="G234" i="22"/>
  <c r="H4" i="16"/>
  <c r="H900" i="16"/>
  <c r="H338" i="16"/>
  <c r="G186" i="22"/>
  <c r="H923" i="22"/>
  <c r="G343" i="16"/>
  <c r="G257" i="16"/>
  <c r="H498" i="16"/>
  <c r="H484" i="2"/>
  <c r="G929" i="23"/>
  <c r="A241" i="28"/>
  <c r="H910" i="22"/>
  <c r="H545" i="22"/>
  <c r="G874" i="22"/>
  <c r="H947" i="16"/>
  <c r="G462" i="23"/>
  <c r="G213" i="22"/>
  <c r="G250" i="16"/>
  <c r="G707" i="16"/>
  <c r="G239" i="16"/>
  <c r="H588" i="22"/>
  <c r="H725" i="22"/>
  <c r="H1080" i="16"/>
  <c r="G601" i="16"/>
  <c r="H387" i="22"/>
  <c r="H778" i="16"/>
  <c r="H786" i="16"/>
  <c r="G310" i="16"/>
  <c r="H537" i="16"/>
  <c r="A639" i="28"/>
  <c r="H11" i="16"/>
  <c r="H495" i="16"/>
  <c r="G382" i="16"/>
  <c r="H954" i="16"/>
  <c r="G877" i="16"/>
  <c r="H32" i="16"/>
  <c r="G952" i="2"/>
  <c r="H554" i="22"/>
  <c r="A1035" i="28"/>
  <c r="G641" i="16"/>
  <c r="G967" i="30"/>
  <c r="H707" i="16"/>
  <c r="G129" i="34"/>
  <c r="G242" i="22"/>
  <c r="G291" i="16"/>
  <c r="H433" i="16"/>
  <c r="H742" i="16"/>
  <c r="H746" i="22"/>
  <c r="H828" i="16"/>
  <c r="H219" i="2"/>
  <c r="G626" i="16"/>
  <c r="H392" i="16"/>
  <c r="H384" i="16"/>
  <c r="H170" i="2"/>
  <c r="G124" i="2"/>
  <c r="G201" i="22"/>
  <c r="G953" i="34"/>
  <c r="H851" i="2"/>
  <c r="A895" i="28"/>
  <c r="H125" i="2"/>
  <c r="G692" i="2"/>
  <c r="H305" i="2"/>
  <c r="H970" i="2"/>
  <c r="H713" i="16"/>
  <c r="H1062" i="16"/>
  <c r="G391" i="22"/>
  <c r="H813" i="16"/>
  <c r="A651" i="28"/>
  <c r="G75" i="2"/>
  <c r="O243" i="29"/>
  <c r="H510" i="2"/>
  <c r="G331" i="30"/>
  <c r="H586" i="16"/>
  <c r="H902" i="2"/>
  <c r="H26" i="2"/>
  <c r="H342" i="16"/>
  <c r="G474" i="23"/>
  <c r="G543" i="2"/>
  <c r="O110" i="29"/>
  <c r="H130" i="2"/>
  <c r="H212" i="16"/>
  <c r="H759" i="16"/>
  <c r="B197" i="28"/>
  <c r="G529" i="23"/>
  <c r="A711" i="28"/>
  <c r="H1116" i="2"/>
  <c r="G831" i="2"/>
  <c r="H36" i="2"/>
  <c r="H655" i="22"/>
  <c r="G185" i="16"/>
  <c r="G806" i="30"/>
  <c r="G932" i="22"/>
  <c r="G433" i="22"/>
  <c r="H78" i="2"/>
  <c r="G1115" i="2"/>
  <c r="G1008" i="2"/>
  <c r="G626" i="22"/>
  <c r="G773" i="16"/>
  <c r="G121" i="16"/>
  <c r="G455" i="2"/>
  <c r="H390" i="2"/>
  <c r="H1000" i="16"/>
  <c r="H266" i="16"/>
  <c r="G1092" i="22"/>
  <c r="H305" i="16"/>
  <c r="G281" i="16"/>
  <c r="H421" i="16"/>
  <c r="G405" i="34"/>
  <c r="H423" i="2"/>
  <c r="G988" i="22"/>
  <c r="G19" i="30"/>
  <c r="G46" i="22"/>
  <c r="H691" i="16"/>
  <c r="H833" i="16"/>
  <c r="H883" i="16"/>
  <c r="H615" i="16"/>
  <c r="G339" i="2"/>
  <c r="G821" i="16"/>
  <c r="H15" i="16"/>
  <c r="H721" i="16"/>
  <c r="G87" i="16"/>
  <c r="H208" i="16"/>
  <c r="H432" i="22"/>
  <c r="H610" i="16"/>
  <c r="G80" i="16"/>
  <c r="H488" i="16"/>
  <c r="G202" i="16"/>
  <c r="G838" i="16"/>
  <c r="G41" i="22"/>
  <c r="H414" i="22"/>
  <c r="H475" i="22"/>
  <c r="G600" i="16"/>
  <c r="H416" i="16"/>
  <c r="H111" i="2"/>
  <c r="H815" i="22"/>
  <c r="H284" i="16"/>
  <c r="H369" i="2"/>
  <c r="G366" i="2"/>
  <c r="H350" i="16"/>
  <c r="H961" i="16"/>
  <c r="G985" i="34"/>
  <c r="G411" i="2"/>
  <c r="H289" i="2"/>
  <c r="G687" i="16"/>
  <c r="H526" i="2"/>
  <c r="G612" i="16"/>
  <c r="G547" i="22"/>
  <c r="G872" i="23"/>
  <c r="G244" i="16"/>
  <c r="G451" i="22"/>
  <c r="G25" i="23"/>
  <c r="H921" i="22"/>
  <c r="H835" i="22"/>
  <c r="H548" i="22"/>
  <c r="G190" i="23"/>
  <c r="G1032" i="22"/>
  <c r="G689" i="22"/>
  <c r="G288" i="22"/>
  <c r="H586" i="22"/>
  <c r="H634" i="16"/>
  <c r="H931" i="16"/>
  <c r="H341" i="16"/>
  <c r="G728" i="16"/>
  <c r="G70" i="22"/>
  <c r="H494" i="16"/>
  <c r="H437" i="2"/>
  <c r="H714" i="16"/>
  <c r="G267" i="30"/>
  <c r="H277" i="22"/>
  <c r="G43" i="22"/>
  <c r="G824" i="22"/>
  <c r="G472" i="23"/>
  <c r="H634" i="22"/>
  <c r="H570" i="22"/>
  <c r="H614" i="16"/>
  <c r="H550" i="16"/>
  <c r="H484" i="22"/>
  <c r="H954" i="22"/>
  <c r="H253" i="22"/>
  <c r="H189" i="22"/>
  <c r="G1023" i="16"/>
  <c r="H146" i="16"/>
  <c r="H473" i="22"/>
  <c r="G572" i="22"/>
  <c r="H163" i="16"/>
  <c r="H772" i="16"/>
  <c r="G167" i="23"/>
  <c r="G911" i="23"/>
  <c r="H82" i="16"/>
  <c r="G504" i="16"/>
  <c r="G77" i="16"/>
  <c r="H499" i="16"/>
  <c r="G680" i="23"/>
  <c r="H246" i="22"/>
  <c r="H735" i="22"/>
  <c r="H154" i="16"/>
  <c r="G878" i="16"/>
  <c r="G221" i="23"/>
  <c r="H445" i="16"/>
  <c r="H247" i="22"/>
  <c r="H652" i="16"/>
  <c r="H666" i="16"/>
  <c r="H915" i="2"/>
  <c r="H517" i="16"/>
  <c r="G1013" i="22"/>
  <c r="G523" i="16"/>
  <c r="G1009" i="22"/>
  <c r="G150" i="23"/>
  <c r="G150" i="16"/>
  <c r="G1000" i="2"/>
  <c r="G944" i="2"/>
  <c r="H1045" i="2"/>
  <c r="H245" i="22"/>
  <c r="U191" i="29"/>
  <c r="G718" i="2"/>
  <c r="G551" i="23"/>
  <c r="G764" i="16"/>
  <c r="H571" i="16"/>
  <c r="H1013" i="22"/>
  <c r="H331" i="22"/>
  <c r="H378" i="16"/>
  <c r="G373" i="16"/>
  <c r="G1092" i="2"/>
  <c r="G819" i="16"/>
  <c r="G423" i="22"/>
  <c r="G230" i="16"/>
  <c r="G58" i="22"/>
  <c r="H1110" i="22"/>
  <c r="G206" i="16"/>
  <c r="G461" i="16"/>
  <c r="H673" i="16"/>
  <c r="H251" i="2"/>
  <c r="H854" i="22"/>
  <c r="G1067" i="16"/>
  <c r="G455" i="16"/>
  <c r="G622" i="2"/>
  <c r="B550" i="28"/>
  <c r="H809" i="16"/>
  <c r="G679" i="30"/>
  <c r="H232" i="22"/>
  <c r="U67" i="29"/>
  <c r="G1036" i="16"/>
  <c r="G878" i="23"/>
  <c r="G455" i="23"/>
  <c r="H35" i="22"/>
  <c r="G524" i="23"/>
  <c r="H193" i="22"/>
  <c r="G613" i="16"/>
  <c r="G812" i="16"/>
  <c r="H464" i="22"/>
  <c r="G638" i="23"/>
  <c r="G722" i="22"/>
  <c r="H726" i="22"/>
  <c r="G795" i="23"/>
  <c r="H34" i="16"/>
  <c r="H957" i="22"/>
  <c r="H847" i="22"/>
  <c r="G128" i="16"/>
  <c r="G135" i="16"/>
  <c r="G190" i="22"/>
  <c r="H607" i="22"/>
  <c r="H390" i="22"/>
  <c r="G1007" i="22"/>
  <c r="H828" i="22"/>
  <c r="A77" i="28"/>
  <c r="H678" i="22"/>
  <c r="H548" i="16"/>
  <c r="H179" i="16"/>
  <c r="G91" i="16"/>
  <c r="G366" i="16"/>
  <c r="H141" i="22"/>
  <c r="H596" i="16"/>
  <c r="G162" i="16"/>
  <c r="G489" i="16"/>
  <c r="H383" i="16"/>
  <c r="H858" i="16"/>
  <c r="A221" i="28"/>
  <c r="G139" i="16"/>
  <c r="G798" i="16"/>
  <c r="G864" i="16"/>
  <c r="H242" i="16"/>
  <c r="H1019" i="2"/>
  <c r="G104" i="2"/>
  <c r="G1013" i="34"/>
  <c r="H1110" i="2"/>
  <c r="H502" i="16"/>
  <c r="H94" i="2"/>
  <c r="H635" i="16"/>
  <c r="H819" i="16"/>
  <c r="H70" i="22"/>
  <c r="Z118" i="29"/>
  <c r="H403" i="22"/>
  <c r="H255" i="16"/>
  <c r="O103" i="29"/>
  <c r="G837" i="34"/>
  <c r="H359" i="22"/>
  <c r="G178" i="22"/>
  <c r="G163" i="16"/>
  <c r="H148" i="22"/>
  <c r="G1085" i="22"/>
  <c r="H851" i="22"/>
  <c r="H21" i="16"/>
  <c r="H666" i="22"/>
  <c r="G489" i="22"/>
  <c r="H483" i="16"/>
  <c r="G518" i="2"/>
  <c r="H26" i="16"/>
  <c r="G701" i="2"/>
  <c r="G1046" i="16"/>
  <c r="G127" i="22"/>
  <c r="G417" i="2"/>
  <c r="H957" i="2"/>
  <c r="G147" i="34"/>
  <c r="G257" i="34"/>
  <c r="G277" i="34"/>
  <c r="G486" i="2"/>
  <c r="G886" i="16"/>
  <c r="H907" i="2"/>
  <c r="H918" i="22"/>
  <c r="G713" i="16"/>
  <c r="G438" i="16"/>
  <c r="G543" i="16"/>
  <c r="G333" i="22"/>
  <c r="H798" i="16"/>
  <c r="G618" i="22"/>
  <c r="H411" i="16"/>
  <c r="G797" i="34"/>
  <c r="G72" i="22"/>
  <c r="G39" i="2"/>
  <c r="H1121" i="2"/>
  <c r="H138" i="16"/>
  <c r="H270" i="2"/>
  <c r="G526" i="2"/>
  <c r="H616" i="16"/>
  <c r="H1122" i="16"/>
  <c r="G339" i="16"/>
  <c r="H184" i="2"/>
  <c r="G301" i="34"/>
  <c r="G934" i="30"/>
  <c r="G849" i="16"/>
  <c r="G247" i="22"/>
  <c r="H702" i="16"/>
  <c r="G1109" i="22"/>
  <c r="H419" i="2"/>
  <c r="G315" i="23"/>
  <c r="H937" i="16"/>
  <c r="H120" i="16"/>
  <c r="G850" i="16"/>
  <c r="H129" i="2"/>
  <c r="G293" i="22"/>
  <c r="H961" i="2"/>
  <c r="G667" i="16"/>
  <c r="G736" i="16"/>
  <c r="G228" i="22"/>
  <c r="G258" i="22"/>
  <c r="G640" i="2"/>
  <c r="H633" i="22"/>
  <c r="H859" i="2"/>
  <c r="H179" i="2"/>
  <c r="H639" i="16"/>
  <c r="G995" i="16"/>
  <c r="A591" i="28"/>
  <c r="H854" i="2"/>
  <c r="H273" i="16"/>
  <c r="H619" i="16"/>
  <c r="G805" i="2"/>
  <c r="D65" i="29"/>
  <c r="G605" i="16"/>
  <c r="H802" i="22"/>
  <c r="G361" i="16"/>
  <c r="G1054" i="2"/>
  <c r="G779" i="30"/>
  <c r="G452" i="30"/>
  <c r="G863" i="2"/>
  <c r="H110" i="2"/>
  <c r="H621" i="16"/>
  <c r="B765" i="28"/>
  <c r="H730" i="22"/>
  <c r="H710" i="16"/>
  <c r="H362" i="22"/>
  <c r="H349" i="22"/>
  <c r="B157" i="28"/>
  <c r="H642" i="22"/>
  <c r="H206" i="22"/>
  <c r="G206" i="2"/>
  <c r="G1029" i="16"/>
  <c r="H129" i="16"/>
  <c r="H107" i="2"/>
  <c r="G550" i="30"/>
  <c r="H127" i="16"/>
  <c r="G678" i="16"/>
  <c r="G574" i="2"/>
  <c r="H1005" i="16"/>
  <c r="H646" i="16"/>
  <c r="H976" i="16"/>
  <c r="G434" i="16"/>
  <c r="G851" i="16"/>
  <c r="G697" i="16"/>
  <c r="G186" i="16"/>
  <c r="G48" i="16"/>
  <c r="B969" i="28"/>
  <c r="G585" i="23"/>
  <c r="H544" i="16"/>
  <c r="G368" i="16"/>
  <c r="G179" i="16"/>
  <c r="G139" i="22"/>
  <c r="B689" i="28"/>
  <c r="G1092" i="16"/>
  <c r="G348" i="16"/>
  <c r="H640" i="16"/>
  <c r="H522" i="22"/>
  <c r="G1084" i="22"/>
  <c r="G542" i="22"/>
  <c r="H523" i="22"/>
  <c r="H878" i="22"/>
  <c r="H871" i="22"/>
  <c r="G94" i="16"/>
  <c r="H622" i="16"/>
  <c r="G528" i="16"/>
  <c r="G1034" i="23"/>
  <c r="G522" i="16"/>
  <c r="G297" i="22"/>
  <c r="U55" i="29"/>
  <c r="H948" i="22"/>
  <c r="H171" i="22"/>
  <c r="G745" i="16"/>
  <c r="G185" i="23"/>
  <c r="H986" i="16"/>
  <c r="H94" i="22"/>
  <c r="G458" i="22"/>
  <c r="G53" i="22"/>
  <c r="G843" i="22"/>
  <c r="G243" i="16"/>
  <c r="G131" i="16"/>
  <c r="H926" i="16"/>
  <c r="G546" i="23"/>
  <c r="H1046" i="2"/>
  <c r="G585" i="16"/>
  <c r="H492" i="16"/>
  <c r="G891" i="23"/>
  <c r="G109" i="22"/>
  <c r="G597" i="16"/>
  <c r="G965" i="16"/>
  <c r="H912" i="16"/>
  <c r="H218" i="16"/>
  <c r="H993" i="22"/>
  <c r="G213" i="16"/>
  <c r="H672" i="22"/>
  <c r="H373" i="16"/>
  <c r="G199" i="22"/>
  <c r="H233" i="16"/>
  <c r="G1049" i="22"/>
  <c r="H532" i="22"/>
  <c r="H1113" i="16"/>
  <c r="G387" i="16"/>
  <c r="H235" i="2"/>
  <c r="H178" i="16"/>
  <c r="G1105" i="22"/>
  <c r="H585" i="16"/>
  <c r="G883" i="2"/>
  <c r="H165" i="16"/>
  <c r="H692" i="2"/>
  <c r="H801" i="2"/>
  <c r="H263" i="16"/>
  <c r="Z28" i="29"/>
  <c r="G630" i="16"/>
  <c r="G227" i="16"/>
  <c r="G133" i="16"/>
  <c r="G112" i="22"/>
  <c r="H661" i="16"/>
  <c r="H206" i="2"/>
  <c r="H612" i="16"/>
  <c r="H138" i="22"/>
  <c r="G88" i="22"/>
  <c r="G487" i="16"/>
  <c r="G579" i="2"/>
  <c r="G333" i="16"/>
  <c r="G78" i="22"/>
  <c r="H220" i="16"/>
  <c r="H200" i="2"/>
  <c r="H59" i="2"/>
  <c r="H874" i="22"/>
  <c r="H500" i="22"/>
  <c r="H445" i="22"/>
  <c r="H1063" i="16"/>
  <c r="G356" i="16"/>
  <c r="H321" i="22"/>
  <c r="G960" i="16"/>
  <c r="H1090" i="16"/>
  <c r="A511" i="28"/>
  <c r="G469" i="34"/>
  <c r="G52" i="30"/>
  <c r="G255" i="23"/>
  <c r="G66" i="30"/>
  <c r="G539" i="22"/>
  <c r="G1041" i="22"/>
  <c r="G358" i="22"/>
  <c r="H973" i="22"/>
  <c r="H720" i="16"/>
  <c r="G1040" i="23"/>
  <c r="G309" i="16"/>
  <c r="G1052" i="22"/>
  <c r="G127" i="23"/>
  <c r="H140" i="22"/>
  <c r="H1032" i="16"/>
  <c r="H10" i="22"/>
  <c r="G182" i="16"/>
  <c r="G732" i="16"/>
  <c r="H960" i="16"/>
  <c r="H869" i="22"/>
  <c r="G173" i="22"/>
  <c r="H262" i="16"/>
  <c r="G928" i="22"/>
  <c r="G638" i="2"/>
  <c r="G166" i="22"/>
  <c r="H707" i="22"/>
  <c r="G979" i="22"/>
  <c r="G634" i="22"/>
  <c r="H229" i="22"/>
  <c r="G346" i="22"/>
  <c r="H32" i="22"/>
  <c r="G111" i="16"/>
  <c r="H814" i="22"/>
  <c r="H457" i="16"/>
  <c r="G62" i="16"/>
  <c r="H1119" i="22"/>
  <c r="H452" i="22"/>
  <c r="H951" i="16"/>
  <c r="G138" i="22"/>
  <c r="H597" i="22"/>
  <c r="H118" i="22"/>
  <c r="H280" i="22"/>
  <c r="G227" i="22"/>
  <c r="G1056" i="16"/>
  <c r="G454" i="16"/>
  <c r="H970" i="16"/>
  <c r="G566" i="2"/>
  <c r="G858" i="22"/>
  <c r="H1018" i="16"/>
  <c r="H463" i="22"/>
  <c r="H895" i="22"/>
  <c r="G786" i="16"/>
  <c r="H45" i="16"/>
  <c r="G179" i="2"/>
  <c r="G606" i="2"/>
  <c r="G531" i="34"/>
  <c r="H654" i="16"/>
  <c r="H225" i="16"/>
  <c r="H732" i="16"/>
  <c r="G922" i="22"/>
  <c r="H116" i="16"/>
  <c r="G10" i="22"/>
  <c r="G141" i="22"/>
  <c r="H253" i="16"/>
  <c r="H354" i="16"/>
  <c r="H23" i="16"/>
  <c r="H682" i="22"/>
  <c r="G429" i="34"/>
  <c r="G617" i="34"/>
  <c r="G49" i="22"/>
  <c r="G1057" i="2"/>
  <c r="H1119" i="16"/>
  <c r="G89" i="30"/>
  <c r="G770" i="16"/>
  <c r="B381" i="28"/>
  <c r="H518" i="16"/>
  <c r="G454" i="2"/>
  <c r="H252" i="16"/>
  <c r="G936" i="22"/>
  <c r="H453" i="16"/>
  <c r="H677" i="16"/>
  <c r="G301" i="22"/>
  <c r="G349" i="16"/>
  <c r="H938" i="16"/>
  <c r="H624" i="2"/>
  <c r="G529" i="16"/>
  <c r="G774" i="2"/>
  <c r="H471" i="16"/>
  <c r="H658" i="22"/>
  <c r="H400" i="16"/>
  <c r="U182" i="29"/>
  <c r="H321" i="2"/>
  <c r="G789" i="2"/>
  <c r="H607" i="2"/>
  <c r="G696" i="2"/>
  <c r="G589" i="34"/>
  <c r="H1107" i="16"/>
  <c r="G1000" i="34"/>
  <c r="Z134" i="29"/>
  <c r="H204" i="2"/>
  <c r="B518" i="28"/>
  <c r="B942" i="28"/>
  <c r="G6" i="2"/>
  <c r="H831" i="22"/>
  <c r="H348" i="16"/>
  <c r="G487" i="2"/>
  <c r="G395" i="30"/>
  <c r="H697" i="22"/>
  <c r="G703" i="16"/>
  <c r="G353" i="30"/>
  <c r="H698" i="16"/>
  <c r="H408" i="16"/>
  <c r="H393" i="22"/>
  <c r="G343" i="23"/>
  <c r="G67" i="30"/>
  <c r="D69" i="29"/>
  <c r="H157" i="2"/>
  <c r="H1038" i="2"/>
  <c r="H832" i="16"/>
  <c r="G1075" i="2"/>
  <c r="Z8" i="29"/>
  <c r="H344" i="16"/>
  <c r="H1118" i="16"/>
  <c r="G582" i="23"/>
  <c r="G1110" i="22"/>
  <c r="G618" i="2"/>
  <c r="A942" i="28"/>
  <c r="H1078" i="16"/>
  <c r="G46" i="2"/>
  <c r="G140" i="2"/>
  <c r="H743" i="2"/>
  <c r="G406" i="16"/>
  <c r="G312" i="16"/>
  <c r="G84" i="16"/>
  <c r="G6" i="23"/>
  <c r="G198" i="16"/>
  <c r="H351" i="22"/>
  <c r="G958" i="16"/>
  <c r="O56" i="29"/>
  <c r="G116" i="22"/>
  <c r="H608" i="22"/>
  <c r="G804" i="2"/>
  <c r="G210" i="22"/>
  <c r="G453" i="16"/>
  <c r="G1039" i="2"/>
  <c r="G912" i="22"/>
  <c r="H996" i="16"/>
  <c r="H1083" i="16"/>
  <c r="G394" i="16"/>
  <c r="G1109" i="2"/>
  <c r="G372" i="30"/>
  <c r="G758" i="16"/>
  <c r="H21" i="2"/>
  <c r="G682" i="2"/>
  <c r="G586" i="2"/>
  <c r="G1014" i="22"/>
  <c r="B639" i="28"/>
  <c r="H816" i="22"/>
  <c r="H51" i="22"/>
  <c r="H366" i="22"/>
  <c r="B813" i="28"/>
  <c r="G664" i="23"/>
  <c r="G836" i="22"/>
  <c r="H664" i="22"/>
  <c r="H467" i="22"/>
  <c r="H179" i="22"/>
  <c r="H662" i="22"/>
  <c r="H1077" i="16"/>
  <c r="G328" i="16"/>
  <c r="G964" i="2"/>
  <c r="H289" i="22"/>
  <c r="H837" i="16"/>
  <c r="G528" i="22"/>
  <c r="G47" i="22"/>
  <c r="H589" i="16"/>
  <c r="B861" i="28"/>
  <c r="H779" i="16"/>
  <c r="G830" i="16"/>
  <c r="G575" i="16"/>
  <c r="H632" i="16"/>
  <c r="G372" i="16"/>
  <c r="H842" i="22"/>
  <c r="G102" i="16"/>
  <c r="G592" i="16"/>
  <c r="G1088" i="16"/>
  <c r="G1084" i="2"/>
  <c r="G455" i="22"/>
  <c r="H385" i="16"/>
  <c r="H797" i="16"/>
  <c r="H820" i="22"/>
  <c r="G1081" i="16"/>
  <c r="G141" i="16"/>
  <c r="G1041" i="16"/>
  <c r="G894" i="16"/>
  <c r="H917" i="22"/>
  <c r="G203" i="23"/>
  <c r="G309" i="22"/>
  <c r="H5" i="22"/>
  <c r="B989" i="28"/>
  <c r="H8" i="22"/>
  <c r="G1115" i="22"/>
  <c r="H422" i="16"/>
  <c r="H612" i="22"/>
  <c r="G417" i="16"/>
  <c r="H229" i="16"/>
  <c r="G642" i="16"/>
  <c r="G278" i="16"/>
  <c r="H379" i="16"/>
  <c r="G107" i="22"/>
  <c r="G379" i="22"/>
  <c r="H636" i="22"/>
  <c r="H205" i="16"/>
  <c r="G165" i="16"/>
  <c r="H557" i="16"/>
  <c r="H474" i="22"/>
  <c r="H732" i="2"/>
  <c r="G90" i="22"/>
  <c r="G567" i="16"/>
  <c r="G187" i="2"/>
  <c r="G77" i="34"/>
  <c r="H607" i="16"/>
  <c r="B225" i="28"/>
  <c r="H374" i="2"/>
  <c r="G214" i="2"/>
  <c r="H965" i="2"/>
  <c r="G814" i="16"/>
  <c r="H508" i="2"/>
  <c r="H795" i="2"/>
  <c r="H1043" i="22"/>
  <c r="G75" i="16"/>
  <c r="H758" i="22"/>
  <c r="H734" i="16"/>
  <c r="G571" i="16"/>
  <c r="G154" i="22"/>
  <c r="G1067" i="22"/>
  <c r="G942" i="16"/>
  <c r="G208" i="16"/>
  <c r="H1059" i="2"/>
  <c r="H292" i="16"/>
  <c r="H875" i="2"/>
  <c r="G932" i="16"/>
  <c r="G324" i="30"/>
  <c r="H166" i="16"/>
  <c r="H997" i="16"/>
  <c r="G646" i="16"/>
  <c r="G123" i="16"/>
  <c r="A959" i="28"/>
  <c r="H904" i="16"/>
  <c r="G819" i="23"/>
  <c r="G783" i="23"/>
  <c r="G880" i="23"/>
  <c r="G343" i="22"/>
  <c r="G903" i="22"/>
  <c r="G473" i="23"/>
  <c r="H938" i="22"/>
  <c r="G203" i="22"/>
  <c r="H1068" i="22"/>
  <c r="G810" i="22"/>
  <c r="H196" i="22"/>
  <c r="G319" i="23"/>
  <c r="H261" i="22"/>
  <c r="G677" i="16"/>
  <c r="G989" i="16"/>
  <c r="H952" i="16"/>
  <c r="H738" i="22"/>
  <c r="G449" i="22"/>
  <c r="H806" i="16"/>
  <c r="H794" i="22"/>
  <c r="G85" i="16"/>
  <c r="G89" i="22"/>
  <c r="H291" i="16"/>
  <c r="G817" i="16"/>
  <c r="H147" i="16"/>
  <c r="H939" i="22"/>
  <c r="H937" i="22"/>
  <c r="G272" i="22"/>
  <c r="H872" i="16"/>
  <c r="G362" i="22"/>
  <c r="H204" i="22"/>
  <c r="G747" i="16"/>
  <c r="G162" i="22"/>
  <c r="G193" i="23"/>
  <c r="G623" i="2"/>
  <c r="H669" i="22"/>
  <c r="H320" i="16"/>
  <c r="H27" i="22"/>
  <c r="H452" i="16"/>
  <c r="H886" i="22"/>
  <c r="G95" i="16"/>
  <c r="H582" i="22"/>
  <c r="H18" i="22"/>
  <c r="G497" i="2"/>
  <c r="H935" i="2"/>
  <c r="G407" i="23"/>
  <c r="H712" i="16"/>
  <c r="G63" i="22"/>
  <c r="G130" i="22"/>
  <c r="H928" i="16"/>
  <c r="H966" i="16"/>
  <c r="G340" i="22"/>
  <c r="H611" i="16"/>
  <c r="G903" i="34"/>
  <c r="G229" i="16"/>
  <c r="H335" i="2"/>
  <c r="G35" i="2"/>
  <c r="H979" i="22"/>
  <c r="H67" i="22"/>
  <c r="G538" i="16"/>
  <c r="H645" i="16"/>
  <c r="G14" i="23"/>
  <c r="G488" i="23"/>
  <c r="G471" i="16"/>
  <c r="H108" i="22"/>
  <c r="G28" i="22"/>
  <c r="H583" i="22"/>
  <c r="G564" i="16"/>
  <c r="G839" i="2"/>
  <c r="G255" i="16"/>
  <c r="G1037" i="16"/>
  <c r="G137" i="34"/>
  <c r="H738" i="16"/>
  <c r="H470" i="2"/>
  <c r="H601" i="22"/>
  <c r="G743" i="30"/>
  <c r="G338" i="16"/>
  <c r="G129" i="23"/>
  <c r="G786" i="22"/>
  <c r="G662" i="2"/>
  <c r="G224" i="16"/>
  <c r="G439" i="22"/>
  <c r="G1073" i="2"/>
  <c r="G314" i="16"/>
  <c r="G816" i="2"/>
  <c r="H270" i="16"/>
  <c r="G1094" i="16"/>
  <c r="H758" i="16"/>
  <c r="G20" i="30"/>
  <c r="H963" i="2"/>
  <c r="G530" i="16"/>
  <c r="G1007" i="16"/>
  <c r="G935" i="16"/>
  <c r="H466" i="16"/>
  <c r="G36" i="22"/>
  <c r="G942" i="2"/>
  <c r="G775" i="16"/>
  <c r="G1073" i="16"/>
  <c r="G214" i="16"/>
  <c r="H175" i="2"/>
  <c r="H1011" i="2"/>
  <c r="H985" i="16"/>
  <c r="H729" i="22"/>
  <c r="G477" i="16"/>
  <c r="G691" i="23"/>
  <c r="G853" i="16"/>
  <c r="H1052" i="16"/>
  <c r="G1045" i="16"/>
  <c r="H919" i="22"/>
  <c r="G671" i="16"/>
  <c r="H107" i="16"/>
  <c r="G290" i="23"/>
  <c r="G520" i="16"/>
  <c r="G390" i="16"/>
  <c r="H918" i="2"/>
  <c r="H843" i="2"/>
  <c r="G584" i="2"/>
  <c r="H57" i="16"/>
  <c r="H201" i="16"/>
  <c r="H1097" i="2"/>
  <c r="H715" i="2"/>
  <c r="O87" i="29"/>
  <c r="G409" i="16"/>
  <c r="G55" i="22"/>
  <c r="H740" i="2"/>
  <c r="H644" i="16"/>
  <c r="G223" i="23"/>
  <c r="H450" i="16"/>
  <c r="G1030" i="16"/>
  <c r="A291" i="28"/>
  <c r="H590" i="16"/>
  <c r="G303" i="22"/>
  <c r="G978" i="16"/>
  <c r="G893" i="16"/>
  <c r="G933" i="2"/>
  <c r="Z153" i="29"/>
  <c r="H727" i="16"/>
  <c r="H42" i="22"/>
  <c r="H177" i="22"/>
  <c r="H228" i="16"/>
  <c r="G277" i="22"/>
  <c r="G663" i="2"/>
  <c r="H35" i="16"/>
  <c r="G662" i="30"/>
  <c r="G48" i="2"/>
  <c r="G418" i="22"/>
  <c r="H969" i="22"/>
  <c r="H496" i="2"/>
  <c r="H249" i="16"/>
  <c r="G397" i="16"/>
  <c r="G547" i="2"/>
  <c r="G431" i="16"/>
  <c r="G173" i="23"/>
  <c r="G196" i="22"/>
  <c r="H286" i="2"/>
  <c r="G500" i="2"/>
  <c r="H119" i="16"/>
  <c r="H18" i="16"/>
  <c r="G598" i="30"/>
  <c r="H239" i="2"/>
  <c r="H54" i="2"/>
  <c r="H965" i="16"/>
  <c r="G742" i="16"/>
  <c r="G534" i="23"/>
  <c r="G265" i="34"/>
  <c r="G910" i="16"/>
  <c r="G2" i="2"/>
  <c r="G671" i="2"/>
  <c r="G737" i="16"/>
  <c r="H662" i="16"/>
  <c r="G5" i="23"/>
  <c r="G1097" i="22"/>
  <c r="G45" i="23"/>
  <c r="H443" i="16"/>
  <c r="G344" i="16"/>
  <c r="G65" i="16"/>
  <c r="Z86" i="29"/>
  <c r="G1109" i="16"/>
  <c r="G430" i="23"/>
  <c r="H303" i="22"/>
  <c r="G280" i="22"/>
  <c r="H279" i="16"/>
  <c r="G188" i="22"/>
  <c r="H929" i="16"/>
  <c r="G17" i="2"/>
  <c r="G697" i="23"/>
  <c r="H83" i="2"/>
  <c r="H799" i="2"/>
  <c r="G767" i="16"/>
  <c r="G522" i="22"/>
  <c r="H323" i="16"/>
  <c r="H658" i="16"/>
  <c r="H498" i="22"/>
  <c r="G459" i="16"/>
  <c r="G83" i="16"/>
  <c r="H235" i="22"/>
  <c r="G530" i="23"/>
  <c r="H926" i="2"/>
  <c r="H685" i="16"/>
  <c r="H755" i="2"/>
  <c r="H703" i="22"/>
  <c r="H690" i="16"/>
  <c r="H226" i="16"/>
  <c r="G29" i="23"/>
  <c r="G92" i="22"/>
  <c r="G807" i="30"/>
  <c r="H327" i="2"/>
  <c r="U97" i="29"/>
  <c r="H369" i="16"/>
  <c r="H564" i="16"/>
  <c r="G175" i="22"/>
  <c r="H782" i="16"/>
  <c r="G54" i="22"/>
  <c r="H581" i="16"/>
  <c r="G241" i="34"/>
  <c r="H861" i="16"/>
  <c r="H765" i="22"/>
  <c r="G446" i="16"/>
  <c r="H821" i="2"/>
  <c r="G365" i="22"/>
  <c r="G966" i="34"/>
  <c r="G799" i="16"/>
  <c r="G1011" i="2"/>
  <c r="H982" i="2"/>
  <c r="G646" i="2"/>
  <c r="G1059" i="2"/>
  <c r="G963" i="2"/>
  <c r="G1024" i="16"/>
  <c r="A735" i="28"/>
  <c r="H476" i="2"/>
  <c r="G861" i="34"/>
  <c r="G251" i="2"/>
  <c r="H1016" i="2"/>
  <c r="H881" i="16"/>
  <c r="G558" i="22"/>
  <c r="H93" i="22"/>
  <c r="G681" i="16"/>
  <c r="H339" i="16"/>
  <c r="H340" i="16"/>
  <c r="G259" i="16"/>
  <c r="H979" i="2"/>
  <c r="H537" i="22"/>
  <c r="H264" i="22"/>
  <c r="G149" i="16"/>
  <c r="H209" i="2"/>
  <c r="H146" i="22"/>
  <c r="G447" i="22"/>
  <c r="H28" i="2"/>
  <c r="G33" i="2"/>
  <c r="G328" i="22"/>
  <c r="H840" i="2"/>
  <c r="H65" i="2"/>
  <c r="H1096" i="2"/>
  <c r="H443" i="22"/>
  <c r="G753" i="2"/>
  <c r="G183" i="23"/>
  <c r="H482" i="16"/>
  <c r="G1118" i="16"/>
  <c r="G334" i="16"/>
  <c r="G231" i="16"/>
  <c r="H426" i="16"/>
  <c r="G225" i="16"/>
  <c r="G668" i="2"/>
  <c r="G981" i="34"/>
  <c r="G42" i="16"/>
  <c r="H405" i="22"/>
  <c r="G220" i="2"/>
  <c r="H376" i="16"/>
  <c r="Z131" i="29"/>
  <c r="G959" i="34"/>
  <c r="H744" i="2"/>
  <c r="G83" i="30"/>
  <c r="G411" i="16"/>
  <c r="H227" i="16"/>
  <c r="G468" i="23"/>
  <c r="H947" i="2"/>
  <c r="H156" i="16"/>
  <c r="H94" i="16"/>
  <c r="G497" i="16"/>
  <c r="G1081" i="22"/>
  <c r="G632" i="16"/>
  <c r="H417" i="16"/>
  <c r="O48" i="29"/>
  <c r="G144" i="22"/>
  <c r="G391" i="2"/>
  <c r="H716" i="2"/>
  <c r="H747" i="2"/>
  <c r="O215" i="29"/>
  <c r="G115" i="30"/>
  <c r="G559" i="16"/>
  <c r="G125" i="16"/>
  <c r="H439" i="22"/>
  <c r="G149" i="34"/>
  <c r="G1122" i="2"/>
  <c r="G36" i="2"/>
  <c r="H555" i="2"/>
  <c r="G476" i="16"/>
  <c r="G164" i="2"/>
  <c r="G458" i="2"/>
  <c r="G631" i="16"/>
  <c r="U89" i="29"/>
  <c r="H951" i="2"/>
  <c r="H680" i="2"/>
  <c r="A487" i="28"/>
  <c r="G197" i="16"/>
  <c r="H121" i="2"/>
  <c r="G113" i="16"/>
  <c r="G329" i="34"/>
  <c r="G844" i="2"/>
  <c r="B950" i="28"/>
  <c r="H766" i="2"/>
  <c r="G380" i="22"/>
  <c r="H235" i="16"/>
  <c r="G907" i="16"/>
  <c r="G193" i="16"/>
  <c r="H1022" i="2"/>
  <c r="G863" i="16"/>
  <c r="G413" i="34"/>
  <c r="G697" i="30"/>
  <c r="B45" i="28"/>
  <c r="G1035" i="2"/>
  <c r="G868" i="2"/>
  <c r="H705" i="22"/>
  <c r="G1093" i="22"/>
  <c r="G232" i="16"/>
  <c r="H69" i="16"/>
  <c r="G377" i="16"/>
  <c r="H897" i="2"/>
  <c r="G151" i="22"/>
  <c r="H118" i="2"/>
  <c r="G470" i="16"/>
  <c r="G635" i="16"/>
  <c r="G385" i="22"/>
  <c r="H1001" i="16"/>
  <c r="H1029" i="16"/>
  <c r="G1020" i="2"/>
  <c r="H226" i="2"/>
  <c r="G235" i="34"/>
  <c r="H774" i="2"/>
  <c r="B762" i="28"/>
  <c r="B582" i="28"/>
  <c r="G164" i="34"/>
  <c r="G691" i="34"/>
  <c r="A444" i="28"/>
  <c r="G927" i="34"/>
  <c r="B128" i="28"/>
  <c r="G565" i="30"/>
  <c r="G882" i="34"/>
  <c r="G888" i="34"/>
  <c r="H361" i="22"/>
  <c r="H862" i="2"/>
  <c r="H497" i="16"/>
  <c r="G443" i="16"/>
  <c r="H8" i="16"/>
  <c r="G826" i="2"/>
  <c r="H279" i="2"/>
  <c r="B337" i="28"/>
  <c r="H673" i="2"/>
  <c r="G705" i="16"/>
  <c r="H872" i="2"/>
  <c r="H998" i="22"/>
  <c r="H1085" i="16"/>
  <c r="H826" i="16"/>
  <c r="H365" i="22"/>
  <c r="H968" i="2"/>
  <c r="G383" i="22"/>
  <c r="G672" i="16"/>
  <c r="H583" i="2"/>
  <c r="G205" i="34"/>
  <c r="H879" i="16"/>
  <c r="H455" i="2"/>
  <c r="H342" i="2"/>
  <c r="H271" i="16"/>
  <c r="H556" i="2"/>
  <c r="G626" i="2"/>
  <c r="G578" i="2"/>
  <c r="G469" i="30"/>
  <c r="G1073" i="22"/>
  <c r="H430" i="2"/>
  <c r="G604" i="16"/>
  <c r="G160" i="2"/>
  <c r="H1057" i="16"/>
  <c r="H1056" i="16"/>
  <c r="H187" i="2"/>
  <c r="H159" i="16"/>
  <c r="H1032" i="2"/>
  <c r="H956" i="16"/>
  <c r="H458" i="2"/>
  <c r="G513" i="16"/>
  <c r="G640" i="34"/>
  <c r="G137" i="30"/>
  <c r="G954" i="30"/>
  <c r="G155" i="16"/>
  <c r="G387" i="30"/>
  <c r="H962" i="16"/>
  <c r="H631" i="2"/>
  <c r="H278" i="16"/>
  <c r="G173" i="30"/>
  <c r="A479" i="28"/>
  <c r="G590" i="34"/>
  <c r="H143" i="16"/>
  <c r="G552" i="34"/>
  <c r="G308" i="30"/>
  <c r="H994" i="2"/>
  <c r="H76" i="2"/>
  <c r="U10" i="29"/>
  <c r="B430" i="28"/>
  <c r="G578" i="34"/>
  <c r="G1024" i="34"/>
  <c r="G623" i="34"/>
  <c r="G193" i="34"/>
  <c r="A981" i="28"/>
  <c r="B906" i="28"/>
  <c r="B490" i="28"/>
  <c r="G1030" i="2"/>
  <c r="A476" i="28"/>
  <c r="A778" i="28"/>
  <c r="A709" i="28"/>
  <c r="B812" i="28"/>
  <c r="G738" i="30"/>
  <c r="B247" i="28"/>
  <c r="G173" i="2"/>
  <c r="G352" i="34"/>
  <c r="G498" i="34"/>
  <c r="G621" i="30"/>
  <c r="G915" i="2"/>
  <c r="B141" i="28"/>
  <c r="G628" i="16"/>
  <c r="A829" i="28"/>
  <c r="H135" i="2"/>
  <c r="G884" i="34"/>
  <c r="G654" i="2"/>
  <c r="U118" i="29"/>
  <c r="G272" i="2"/>
  <c r="G690" i="2"/>
  <c r="G862" i="2"/>
  <c r="B332" i="28"/>
  <c r="A631" i="28"/>
  <c r="H553" i="2"/>
  <c r="G964" i="16"/>
  <c r="G161" i="16"/>
  <c r="H4" i="22"/>
  <c r="H319" i="16"/>
  <c r="A1079" i="28"/>
  <c r="H55" i="2"/>
  <c r="A463" i="28"/>
  <c r="H846" i="16"/>
  <c r="H10" i="16"/>
  <c r="G548" i="23"/>
  <c r="G797" i="16"/>
  <c r="G452" i="16"/>
  <c r="G247" i="16"/>
  <c r="H950" i="2"/>
  <c r="G19" i="2"/>
  <c r="Z14" i="29"/>
  <c r="H216" i="16"/>
  <c r="G551" i="16"/>
  <c r="G692" i="16"/>
  <c r="G260" i="30"/>
  <c r="G790" i="2"/>
  <c r="U5" i="29"/>
  <c r="G209" i="16"/>
  <c r="G738" i="2"/>
  <c r="G270" i="2"/>
  <c r="G506" i="2"/>
  <c r="G550" i="2"/>
  <c r="G862" i="34"/>
  <c r="A939" i="28"/>
  <c r="B256" i="28"/>
  <c r="H550" i="2"/>
  <c r="G528" i="30"/>
  <c r="G1016" i="34"/>
  <c r="H808" i="2"/>
  <c r="G153" i="34"/>
  <c r="B754" i="28"/>
  <c r="G211" i="30"/>
  <c r="G771" i="34"/>
  <c r="H211" i="16"/>
  <c r="G192" i="16"/>
  <c r="G636" i="16"/>
  <c r="H518" i="22"/>
  <c r="G491" i="23"/>
  <c r="H549" i="2"/>
  <c r="G760" i="2"/>
  <c r="G729" i="30"/>
  <c r="G776" i="16"/>
  <c r="G378" i="22"/>
  <c r="H856" i="2"/>
  <c r="H280" i="2"/>
  <c r="G541" i="2"/>
  <c r="G992" i="2"/>
  <c r="G176" i="2"/>
  <c r="H395" i="2"/>
  <c r="G354" i="22"/>
  <c r="G549" i="16"/>
  <c r="G955" i="34"/>
  <c r="G31" i="2"/>
  <c r="H88" i="2"/>
  <c r="G658" i="2"/>
  <c r="G854" i="30"/>
  <c r="H974" i="2"/>
  <c r="H1054" i="2"/>
  <c r="H845" i="2"/>
  <c r="B478" i="28"/>
  <c r="G756" i="16"/>
  <c r="G582" i="2"/>
  <c r="G1052" i="2"/>
  <c r="G51" i="30"/>
  <c r="Z169" i="29"/>
  <c r="H371" i="16"/>
  <c r="O141" i="29"/>
  <c r="G99" i="30"/>
  <c r="G436" i="2"/>
  <c r="H591" i="16"/>
  <c r="G614" i="30"/>
  <c r="U30" i="29"/>
  <c r="O257" i="29"/>
  <c r="G596" i="2"/>
  <c r="G752" i="30"/>
  <c r="G287" i="34"/>
  <c r="G32" i="2"/>
  <c r="H172" i="2"/>
  <c r="G209" i="34"/>
  <c r="H96" i="2"/>
  <c r="B710" i="28"/>
  <c r="B774" i="28"/>
  <c r="G970" i="2"/>
  <c r="G977" i="30"/>
  <c r="O229" i="29"/>
  <c r="H801" i="16"/>
  <c r="G714" i="16"/>
  <c r="G659" i="34"/>
  <c r="G99" i="2"/>
  <c r="G141" i="23"/>
  <c r="H630" i="2"/>
  <c r="H301" i="22"/>
  <c r="G348" i="30"/>
  <c r="G792" i="2"/>
  <c r="U145" i="29"/>
  <c r="G568" i="34"/>
  <c r="B684" i="28"/>
  <c r="G451" i="34"/>
  <c r="B219" i="28"/>
  <c r="G170" i="34"/>
  <c r="G192" i="30"/>
  <c r="G953" i="2"/>
  <c r="O75" i="29"/>
  <c r="G366" i="30"/>
  <c r="A841" i="28"/>
  <c r="A485" i="28"/>
  <c r="A932" i="28"/>
  <c r="G976" i="30"/>
  <c r="U95" i="29"/>
  <c r="G854" i="16"/>
  <c r="A860" i="28"/>
  <c r="G793" i="2"/>
  <c r="G141" i="2"/>
  <c r="G508" i="30"/>
  <c r="A977" i="28"/>
  <c r="G858" i="2"/>
  <c r="G747" i="34"/>
  <c r="G755" i="16"/>
  <c r="A621" i="28"/>
  <c r="A1043" i="28"/>
  <c r="G676" i="34"/>
  <c r="G993" i="2"/>
  <c r="H629" i="22"/>
  <c r="G465" i="22"/>
  <c r="G542" i="2"/>
  <c r="H1051" i="2"/>
  <c r="G515" i="16"/>
  <c r="H874" i="2"/>
  <c r="G615" i="2"/>
  <c r="H391" i="22"/>
  <c r="G573" i="16"/>
  <c r="G318" i="22"/>
  <c r="H510" i="16"/>
  <c r="G396" i="2"/>
  <c r="H128" i="16"/>
  <c r="H572" i="2"/>
  <c r="G433" i="2"/>
  <c r="G489" i="2"/>
  <c r="G426" i="22"/>
  <c r="H1034" i="22"/>
  <c r="G441" i="16"/>
  <c r="H1084" i="2"/>
  <c r="H77" i="16"/>
  <c r="H530" i="22"/>
  <c r="H127" i="22"/>
  <c r="G435" i="22"/>
  <c r="H440" i="22"/>
  <c r="G692" i="23"/>
  <c r="G650" i="2"/>
  <c r="H95" i="2"/>
  <c r="G212" i="16"/>
  <c r="G843" i="2"/>
  <c r="G263" i="22"/>
  <c r="G270" i="16"/>
  <c r="H937" i="2"/>
  <c r="G570" i="16"/>
  <c r="G593" i="2"/>
  <c r="G643" i="2"/>
  <c r="G107" i="23"/>
  <c r="B1078" i="28"/>
  <c r="H292" i="2"/>
  <c r="A627" i="28"/>
  <c r="H58" i="22"/>
  <c r="H579" i="2"/>
  <c r="H1047" i="2"/>
  <c r="G980" i="16"/>
  <c r="G1001" i="22"/>
  <c r="G1086" i="22"/>
  <c r="H233" i="22"/>
  <c r="G533" i="34"/>
  <c r="G1068" i="2"/>
  <c r="G1087" i="16"/>
  <c r="G610" i="2"/>
  <c r="G159" i="16"/>
  <c r="H679" i="16"/>
  <c r="G267" i="23"/>
  <c r="G291" i="2"/>
  <c r="G800" i="16"/>
  <c r="H522" i="2"/>
  <c r="G497" i="23"/>
  <c r="G951" i="30"/>
  <c r="H720" i="2"/>
  <c r="H65" i="22"/>
  <c r="H1009" i="16"/>
  <c r="G10" i="2"/>
  <c r="H1034" i="16"/>
  <c r="G733" i="34"/>
  <c r="G128" i="22"/>
  <c r="H1063" i="2"/>
  <c r="G207" i="22"/>
  <c r="H111" i="22"/>
  <c r="G498" i="23"/>
  <c r="G699" i="16"/>
  <c r="H67" i="16"/>
  <c r="G841" i="16"/>
  <c r="G783" i="2"/>
  <c r="G314" i="2"/>
  <c r="H942" i="22"/>
  <c r="G870" i="22"/>
  <c r="H1036" i="16"/>
  <c r="G151" i="16"/>
  <c r="G897" i="23"/>
  <c r="B878" i="28"/>
  <c r="G393" i="16"/>
  <c r="G360" i="2"/>
  <c r="G13" i="16"/>
  <c r="G500" i="30"/>
  <c r="G467" i="16"/>
  <c r="B958" i="28"/>
  <c r="G239" i="23"/>
  <c r="H521" i="22"/>
  <c r="H978" i="16"/>
  <c r="G539" i="16"/>
  <c r="G355" i="16"/>
  <c r="H754" i="16"/>
  <c r="G483" i="2"/>
  <c r="G298" i="22"/>
  <c r="H165" i="22"/>
  <c r="Z267" i="29"/>
  <c r="G490" i="2"/>
  <c r="G582" i="30"/>
  <c r="H667" i="2"/>
  <c r="G623" i="16"/>
  <c r="H1026" i="2"/>
  <c r="H199" i="16"/>
  <c r="G459" i="2"/>
  <c r="G22" i="23"/>
  <c r="G219" i="30"/>
  <c r="H941" i="16"/>
  <c r="H572" i="22"/>
  <c r="G479" i="22"/>
  <c r="G826" i="16"/>
  <c r="H638" i="16"/>
  <c r="G637" i="34"/>
  <c r="G642" i="2"/>
  <c r="H1008" i="16"/>
  <c r="G869" i="34"/>
  <c r="G656" i="2"/>
  <c r="H849" i="22"/>
  <c r="H757" i="2"/>
  <c r="G459" i="22"/>
  <c r="G469" i="16"/>
  <c r="G505" i="2"/>
  <c r="G302" i="16"/>
  <c r="G521" i="34"/>
  <c r="G535" i="2"/>
  <c r="G113" i="23"/>
  <c r="G801" i="16"/>
  <c r="G137" i="16"/>
  <c r="H507" i="2"/>
  <c r="G1016" i="2"/>
  <c r="G71" i="16"/>
  <c r="G1022" i="34"/>
  <c r="G1060" i="2"/>
  <c r="G200" i="23"/>
  <c r="G588" i="16"/>
  <c r="G861" i="16"/>
  <c r="G802" i="16"/>
  <c r="G614" i="16"/>
  <c r="H711" i="16"/>
  <c r="G127" i="2"/>
  <c r="H170" i="22"/>
  <c r="G9" i="22"/>
  <c r="G415" i="16"/>
  <c r="G331" i="16"/>
  <c r="G143" i="16"/>
  <c r="G164" i="22"/>
  <c r="H907" i="16"/>
  <c r="H1043" i="16"/>
  <c r="H814" i="16"/>
  <c r="G689" i="16"/>
  <c r="H462" i="16"/>
  <c r="G711" i="2"/>
  <c r="G168" i="16"/>
  <c r="G1035" i="22"/>
  <c r="G64" i="16"/>
  <c r="H749" i="22"/>
  <c r="H249" i="22"/>
  <c r="H855" i="22"/>
  <c r="G366" i="22"/>
  <c r="G269" i="22"/>
  <c r="G1113" i="2"/>
  <c r="G377" i="22"/>
  <c r="H827" i="2"/>
  <c r="G241" i="23"/>
  <c r="H884" i="16"/>
  <c r="G961" i="34"/>
  <c r="H339" i="2"/>
  <c r="H337" i="22"/>
  <c r="H124" i="16"/>
  <c r="H787" i="16"/>
  <c r="H1074" i="16"/>
  <c r="G491" i="30"/>
  <c r="G562" i="23"/>
  <c r="H399" i="22"/>
  <c r="H585" i="22"/>
  <c r="G675" i="2"/>
  <c r="H1086" i="16"/>
  <c r="H886" i="16"/>
  <c r="H46" i="2"/>
  <c r="G590" i="16"/>
  <c r="G630" i="30"/>
  <c r="G735" i="16"/>
  <c r="G32" i="16"/>
  <c r="H350" i="2"/>
  <c r="G213" i="34"/>
  <c r="G674" i="16"/>
  <c r="G536" i="16"/>
  <c r="H360" i="16"/>
  <c r="H899" i="22"/>
  <c r="G205" i="23"/>
  <c r="G458" i="16"/>
  <c r="H677" i="2"/>
  <c r="H70" i="2"/>
  <c r="G476" i="30"/>
  <c r="A951" i="28"/>
  <c r="Z229" i="29"/>
  <c r="H998" i="16"/>
  <c r="H530" i="16"/>
  <c r="G139" i="30"/>
  <c r="A462" i="28"/>
  <c r="O122" i="29"/>
  <c r="B756" i="28"/>
  <c r="G165" i="34"/>
  <c r="G944" i="34"/>
  <c r="G1045" i="2"/>
  <c r="H820" i="16"/>
  <c r="G857" i="34"/>
  <c r="G522" i="30"/>
  <c r="A731" i="28"/>
  <c r="G449" i="30"/>
  <c r="G66" i="22"/>
  <c r="H820" i="2"/>
  <c r="G501" i="16"/>
  <c r="H602" i="22"/>
  <c r="H19" i="2"/>
  <c r="G603" i="30"/>
  <c r="G208" i="2"/>
  <c r="H368" i="2"/>
  <c r="G670" i="30"/>
  <c r="H709" i="16"/>
  <c r="G689" i="2"/>
  <c r="G742" i="2"/>
  <c r="G125" i="34"/>
  <c r="A743" i="28"/>
  <c r="G938" i="16"/>
  <c r="G847" i="2"/>
  <c r="H1081" i="2"/>
  <c r="G842" i="22"/>
  <c r="B405" i="28"/>
  <c r="H972" i="2"/>
  <c r="H981" i="22"/>
  <c r="G238" i="30"/>
  <c r="G739" i="16"/>
  <c r="H538" i="2"/>
  <c r="G464" i="16"/>
  <c r="G175" i="16"/>
  <c r="H463" i="16"/>
  <c r="G303" i="2"/>
  <c r="H1109" i="2"/>
  <c r="H133" i="2"/>
  <c r="G933" i="34"/>
  <c r="G111" i="30"/>
  <c r="G886" i="2"/>
  <c r="G179" i="30"/>
  <c r="G681" i="30"/>
  <c r="A878" i="28"/>
  <c r="B41" i="28"/>
  <c r="G230" i="34"/>
  <c r="H266" i="22"/>
  <c r="G999" i="23"/>
  <c r="G215" i="22"/>
  <c r="G615" i="16"/>
  <c r="U175" i="29"/>
  <c r="G413" i="22"/>
  <c r="G253" i="16"/>
  <c r="G835" i="2"/>
  <c r="G1057" i="16"/>
  <c r="G519" i="16"/>
  <c r="G430" i="2"/>
  <c r="H486" i="2"/>
  <c r="G980" i="2"/>
  <c r="G1085" i="16"/>
  <c r="G1038" i="2"/>
  <c r="H878" i="16"/>
  <c r="G1028" i="16"/>
  <c r="A703" i="28"/>
  <c r="H981" i="16"/>
  <c r="H521" i="16"/>
  <c r="G321" i="22"/>
  <c r="D49" i="29"/>
  <c r="H318" i="16"/>
  <c r="G493" i="16"/>
  <c r="H51" i="16"/>
  <c r="H393" i="16"/>
  <c r="G537" i="30"/>
  <c r="H540" i="2"/>
  <c r="H917" i="2"/>
  <c r="D61" i="29"/>
  <c r="G215" i="2"/>
  <c r="H480" i="2"/>
  <c r="H213" i="16"/>
  <c r="G618" i="23"/>
  <c r="G1117" i="22"/>
  <c r="H449" i="16"/>
  <c r="G313" i="16"/>
  <c r="H1034" i="2"/>
  <c r="H892" i="2"/>
  <c r="H816" i="2"/>
  <c r="B81" i="28"/>
  <c r="G59" i="30"/>
  <c r="G154" i="2"/>
  <c r="H783" i="16"/>
  <c r="G271" i="22"/>
  <c r="G799" i="2"/>
  <c r="B1030" i="28"/>
  <c r="B1014" i="28"/>
  <c r="G100" i="2"/>
  <c r="H527" i="2"/>
  <c r="H910" i="2"/>
  <c r="H1086" i="2"/>
  <c r="G869" i="2"/>
  <c r="O211" i="29"/>
  <c r="G664" i="2"/>
  <c r="A503" i="28"/>
  <c r="G57" i="30"/>
  <c r="H962" i="2"/>
  <c r="H503" i="2"/>
  <c r="G18" i="23"/>
  <c r="H335" i="16"/>
  <c r="H374" i="16"/>
  <c r="B318" i="28"/>
  <c r="G865" i="30"/>
  <c r="G258" i="34"/>
  <c r="G788" i="30"/>
  <c r="A623" i="28"/>
  <c r="B934" i="28"/>
  <c r="A692" i="28"/>
  <c r="B139" i="28"/>
  <c r="G898" i="34"/>
  <c r="A481" i="28"/>
  <c r="G448" i="30"/>
  <c r="A846" i="28"/>
  <c r="G668" i="34"/>
  <c r="H546" i="2"/>
  <c r="H949" i="2"/>
  <c r="G145" i="2"/>
  <c r="G1015" i="2"/>
  <c r="H254" i="16"/>
  <c r="G873" i="34"/>
  <c r="G403" i="34"/>
  <c r="A583" i="28"/>
  <c r="H56" i="16"/>
  <c r="H1089" i="2"/>
  <c r="G554" i="2"/>
  <c r="G737" i="34"/>
  <c r="A663" i="28"/>
  <c r="A611" i="28"/>
  <c r="H456" i="2"/>
  <c r="H83" i="16"/>
  <c r="G101" i="16"/>
  <c r="H321" i="16"/>
  <c r="G774" i="16"/>
  <c r="H477" i="16"/>
  <c r="H121" i="16"/>
  <c r="G587" i="16"/>
  <c r="H318" i="2"/>
  <c r="G661" i="34"/>
  <c r="G858" i="16"/>
  <c r="G988" i="2"/>
  <c r="A823" i="28"/>
  <c r="G779" i="16"/>
  <c r="H559" i="2"/>
  <c r="G601" i="30"/>
  <c r="H1004" i="16"/>
  <c r="U4" i="29"/>
  <c r="G952" i="16"/>
  <c r="G1104" i="16"/>
  <c r="G624" i="2"/>
  <c r="H299" i="2"/>
  <c r="G273" i="2"/>
  <c r="H1112" i="2"/>
  <c r="O199" i="29"/>
  <c r="G465" i="16"/>
  <c r="H249" i="2"/>
  <c r="B574" i="28"/>
  <c r="G385" i="34"/>
  <c r="H986" i="2"/>
  <c r="G119" i="2"/>
  <c r="G983" i="2"/>
  <c r="H940" i="2"/>
  <c r="G34" i="16"/>
  <c r="H710" i="2"/>
  <c r="G233" i="16"/>
  <c r="O187" i="29"/>
  <c r="G956" i="2"/>
  <c r="G159" i="22"/>
  <c r="G181" i="23"/>
  <c r="H737" i="22"/>
  <c r="H437" i="16"/>
  <c r="H237" i="22"/>
  <c r="G27" i="2"/>
  <c r="G199" i="16"/>
  <c r="H499" i="2"/>
  <c r="G669" i="34"/>
  <c r="H146" i="2"/>
  <c r="G929" i="16"/>
  <c r="G610" i="16"/>
  <c r="G239" i="30"/>
  <c r="G769" i="34"/>
  <c r="H759" i="22"/>
  <c r="A643" i="28"/>
  <c r="H486" i="22"/>
  <c r="O130" i="29"/>
  <c r="H65" i="16"/>
  <c r="H509" i="22"/>
  <c r="H161" i="16"/>
  <c r="H21" i="22"/>
  <c r="B414" i="28"/>
  <c r="H243" i="22"/>
  <c r="G510" i="2"/>
  <c r="O78" i="29"/>
  <c r="H1007" i="2"/>
  <c r="B686" i="28"/>
  <c r="G962" i="34"/>
  <c r="G829" i="2"/>
  <c r="A851" i="28"/>
  <c r="U119" i="29"/>
  <c r="G1008" i="16"/>
  <c r="G131" i="30"/>
  <c r="H805" i="2"/>
  <c r="H143" i="2"/>
  <c r="H565" i="22"/>
  <c r="G11" i="16"/>
  <c r="H347" i="16"/>
  <c r="Z148" i="29"/>
  <c r="G633" i="16"/>
  <c r="G718" i="16"/>
  <c r="G101" i="34"/>
  <c r="Z75" i="29"/>
  <c r="A808" i="28"/>
  <c r="G677" i="34"/>
  <c r="G370" i="34"/>
  <c r="H1023" i="2"/>
  <c r="G519" i="34"/>
  <c r="G970" i="34"/>
  <c r="H527" i="16"/>
  <c r="A859" i="28"/>
  <c r="B750" i="28"/>
  <c r="G620" i="2"/>
  <c r="G950" i="2"/>
  <c r="G405" i="2"/>
  <c r="G386" i="22"/>
  <c r="O174" i="29"/>
  <c r="G419" i="2"/>
  <c r="H317" i="2"/>
  <c r="G121" i="22"/>
  <c r="H576" i="2"/>
  <c r="G53" i="34"/>
  <c r="G708" i="34"/>
  <c r="G851" i="34"/>
  <c r="A533" i="28"/>
  <c r="O52" i="29"/>
  <c r="G615" i="34"/>
  <c r="H473" i="2"/>
  <c r="B95" i="28"/>
  <c r="H868" i="2"/>
  <c r="G189" i="2"/>
  <c r="G945" i="2"/>
  <c r="G17" i="30"/>
  <c r="G864" i="34"/>
  <c r="B854" i="28"/>
  <c r="H729" i="16"/>
  <c r="O227" i="29"/>
  <c r="H61" i="2"/>
  <c r="H240" i="2"/>
  <c r="G960" i="2"/>
  <c r="A699" i="28"/>
  <c r="G1110" i="16"/>
  <c r="G737" i="2"/>
  <c r="G721" i="16"/>
  <c r="H735" i="16"/>
  <c r="H870" i="2"/>
  <c r="B145" i="28"/>
  <c r="H900" i="2"/>
  <c r="G339" i="34"/>
  <c r="G341" i="16"/>
  <c r="H63" i="16"/>
  <c r="H603" i="2"/>
  <c r="G15" i="16"/>
  <c r="G775" i="2"/>
  <c r="G926" i="2"/>
  <c r="A791" i="28"/>
  <c r="G864" i="2"/>
  <c r="G934" i="16"/>
  <c r="H775" i="16"/>
  <c r="G260" i="2"/>
  <c r="H142" i="2"/>
  <c r="G1047" i="22"/>
  <c r="B277" i="28"/>
  <c r="G589" i="16"/>
  <c r="G461" i="34"/>
  <c r="H340" i="2"/>
  <c r="H859" i="16"/>
  <c r="G1076" i="2"/>
  <c r="G412" i="2"/>
  <c r="H183" i="16"/>
  <c r="H173" i="2"/>
  <c r="G606" i="16"/>
  <c r="G444" i="2"/>
  <c r="B1006" i="28"/>
  <c r="H504" i="2"/>
  <c r="G970" i="30"/>
  <c r="A460" i="28"/>
  <c r="B552" i="28"/>
  <c r="G992" i="30"/>
  <c r="G416" i="30"/>
  <c r="G544" i="34"/>
  <c r="Z179" i="29"/>
  <c r="B534" i="28"/>
  <c r="G274" i="30"/>
  <c r="B251" i="28"/>
  <c r="G766" i="34"/>
  <c r="G596" i="30"/>
  <c r="G520" i="2"/>
  <c r="G574" i="16"/>
  <c r="H558" i="2"/>
  <c r="G563" i="2"/>
  <c r="G1100" i="2"/>
  <c r="H38" i="22"/>
  <c r="G999" i="16"/>
  <c r="G699" i="2"/>
  <c r="G780" i="16"/>
  <c r="H875" i="16"/>
  <c r="G353" i="22"/>
  <c r="B1062" i="28"/>
  <c r="H488" i="2"/>
  <c r="H5" i="2"/>
  <c r="G1077" i="16"/>
  <c r="G211" i="2"/>
  <c r="G744" i="16"/>
  <c r="H686" i="16"/>
  <c r="G253" i="22"/>
  <c r="G773" i="34"/>
  <c r="G1089" i="22"/>
  <c r="B734" i="28"/>
  <c r="H162" i="22"/>
  <c r="G503" i="16"/>
  <c r="G649" i="34"/>
  <c r="H643" i="2"/>
  <c r="H33" i="16"/>
  <c r="G1021" i="16"/>
  <c r="H608" i="16"/>
  <c r="H343" i="2"/>
  <c r="H1012" i="16"/>
  <c r="H1016" i="22"/>
  <c r="H475" i="2"/>
  <c r="H1044" i="16"/>
  <c r="G85" i="22"/>
  <c r="H138" i="2"/>
  <c r="H610" i="22"/>
  <c r="H244" i="16"/>
  <c r="H1100" i="16"/>
  <c r="H523" i="16"/>
  <c r="G853" i="34"/>
  <c r="G532" i="2"/>
  <c r="G96" i="2"/>
  <c r="G805" i="34"/>
  <c r="G417" i="22"/>
  <c r="G721" i="2"/>
  <c r="G887" i="16"/>
  <c r="H150" i="16"/>
  <c r="G939" i="34"/>
  <c r="A415" i="28"/>
  <c r="G3" i="30"/>
  <c r="H99" i="2"/>
  <c r="H267" i="22"/>
  <c r="H31" i="16"/>
  <c r="H779" i="22"/>
  <c r="H1018" i="22"/>
  <c r="G776" i="2"/>
  <c r="B1054" i="28"/>
  <c r="G359" i="22"/>
  <c r="G957" i="16"/>
  <c r="G959" i="16"/>
  <c r="G586" i="23"/>
  <c r="H167" i="2"/>
  <c r="G482" i="16"/>
  <c r="G385" i="16"/>
  <c r="G249" i="34"/>
  <c r="H391" i="2"/>
  <c r="U36" i="29"/>
  <c r="H258" i="2"/>
  <c r="H670" i="16"/>
  <c r="G536" i="2"/>
  <c r="G200" i="30"/>
  <c r="G693" i="34"/>
  <c r="G966" i="2"/>
  <c r="B149" i="28"/>
  <c r="G785" i="16"/>
  <c r="H240" i="22"/>
  <c r="H1016" i="16"/>
  <c r="G166" i="16"/>
  <c r="G109" i="16"/>
  <c r="G614" i="23"/>
  <c r="G289" i="16"/>
  <c r="G1020" i="34"/>
  <c r="H189" i="2"/>
  <c r="H406" i="16"/>
  <c r="G418" i="23"/>
  <c r="H535" i="22"/>
  <c r="G499" i="2"/>
  <c r="H1114" i="22"/>
  <c r="G275" i="2"/>
  <c r="G967" i="2"/>
  <c r="G860" i="2"/>
  <c r="G220" i="22"/>
  <c r="U111" i="29"/>
  <c r="H990" i="16"/>
  <c r="G335" i="16"/>
  <c r="H926" i="22"/>
  <c r="H438" i="16"/>
  <c r="H297" i="22"/>
  <c r="H194" i="22"/>
  <c r="H766" i="22"/>
  <c r="H423" i="22"/>
  <c r="H85" i="16"/>
  <c r="H468" i="16"/>
  <c r="H1030" i="16"/>
  <c r="H771" i="2"/>
  <c r="G761" i="2"/>
  <c r="H742" i="2"/>
  <c r="H1023" i="16"/>
  <c r="H1068" i="16"/>
  <c r="H436" i="2"/>
  <c r="G605" i="2"/>
  <c r="G981" i="2"/>
  <c r="G755" i="2"/>
  <c r="G800" i="22"/>
  <c r="H260" i="2"/>
  <c r="G145" i="23"/>
  <c r="G70" i="16"/>
  <c r="G651" i="22"/>
  <c r="G787" i="16"/>
  <c r="G1080" i="2"/>
  <c r="G727" i="2"/>
  <c r="A891" i="28"/>
  <c r="G371" i="2"/>
  <c r="A439" i="28"/>
  <c r="H939" i="16"/>
  <c r="H789" i="16"/>
  <c r="H560" i="2"/>
  <c r="G599" i="2"/>
  <c r="G774" i="30"/>
  <c r="G1017" i="2"/>
  <c r="B269" i="28"/>
  <c r="G1101" i="2"/>
  <c r="H288" i="16"/>
  <c r="H898" i="16"/>
  <c r="G505" i="16"/>
  <c r="H133" i="16"/>
  <c r="H590" i="2"/>
  <c r="H823" i="22"/>
  <c r="H640" i="2"/>
  <c r="H67" i="2"/>
  <c r="H106" i="22"/>
  <c r="G82" i="22"/>
  <c r="H14" i="22"/>
  <c r="G687" i="23"/>
  <c r="G1091" i="16"/>
  <c r="G903" i="2"/>
  <c r="H240" i="16"/>
  <c r="G74" i="16"/>
  <c r="G594" i="23"/>
  <c r="G254" i="22"/>
  <c r="H370" i="16"/>
  <c r="H850" i="16"/>
  <c r="G803" i="2"/>
  <c r="G1060" i="16"/>
  <c r="G1040" i="2"/>
  <c r="H415" i="16"/>
  <c r="H221" i="2"/>
  <c r="H243" i="2"/>
  <c r="G717" i="34"/>
  <c r="G16" i="16"/>
  <c r="G323" i="16"/>
  <c r="G275" i="16"/>
  <c r="H704" i="16"/>
  <c r="H327" i="16"/>
  <c r="G103" i="16"/>
  <c r="G688" i="16"/>
  <c r="G421" i="16"/>
  <c r="H109" i="22"/>
  <c r="H739" i="16"/>
  <c r="H718" i="22"/>
  <c r="B806" i="28"/>
  <c r="H22" i="2"/>
  <c r="G356" i="2"/>
  <c r="Z62" i="29"/>
  <c r="H399" i="16"/>
  <c r="G119" i="16"/>
  <c r="G300" i="2"/>
  <c r="H906" i="2"/>
  <c r="G241" i="22"/>
  <c r="H725" i="16"/>
  <c r="H587" i="16"/>
  <c r="H178" i="22"/>
  <c r="H1082" i="16"/>
  <c r="G462" i="2"/>
  <c r="H144" i="16"/>
  <c r="H330" i="2"/>
  <c r="G958" i="2"/>
  <c r="H946" i="16"/>
  <c r="G757" i="16"/>
  <c r="H843" i="16"/>
  <c r="B542" i="28"/>
  <c r="H93" i="2"/>
  <c r="G416" i="16"/>
  <c r="G976" i="2"/>
  <c r="G342" i="16"/>
  <c r="B349" i="28"/>
  <c r="H7" i="16"/>
  <c r="H9" i="16"/>
  <c r="G85" i="34"/>
  <c r="H468" i="2"/>
  <c r="G145" i="16"/>
  <c r="G217" i="22"/>
  <c r="Z73" i="29"/>
  <c r="H512" i="2"/>
  <c r="G548" i="2"/>
  <c r="B468" i="28"/>
  <c r="G176" i="34"/>
  <c r="A822" i="28"/>
  <c r="B412" i="28"/>
  <c r="G386" i="34"/>
  <c r="G9" i="34"/>
  <c r="G527" i="34"/>
  <c r="A771" i="28"/>
  <c r="G37" i="30"/>
  <c r="B260" i="28"/>
  <c r="G107" i="34"/>
  <c r="G70" i="30"/>
  <c r="G772" i="16"/>
  <c r="H765" i="16"/>
  <c r="H997" i="22"/>
  <c r="H582" i="16"/>
  <c r="H1064" i="16"/>
  <c r="H579" i="16"/>
  <c r="H323" i="22"/>
  <c r="G500" i="16"/>
  <c r="H985" i="2"/>
  <c r="G136" i="16"/>
  <c r="H615" i="2"/>
  <c r="H136" i="16"/>
  <c r="G820" i="2"/>
  <c r="H1000" i="2"/>
  <c r="H718" i="2"/>
  <c r="H23" i="2"/>
  <c r="H553" i="16"/>
  <c r="G1019" i="16"/>
  <c r="H848" i="16"/>
  <c r="H681" i="16"/>
  <c r="H688" i="2"/>
  <c r="H397" i="2"/>
  <c r="G224" i="22"/>
  <c r="H88" i="16"/>
  <c r="G265" i="16"/>
  <c r="H10" i="2"/>
  <c r="G243" i="34"/>
  <c r="H130" i="22"/>
  <c r="H741" i="16"/>
  <c r="G436" i="16"/>
  <c r="H722" i="16"/>
  <c r="B590" i="28"/>
  <c r="G388" i="30"/>
  <c r="H469" i="22"/>
  <c r="H200" i="16"/>
  <c r="G639" i="2"/>
  <c r="G309" i="34"/>
  <c r="G173" i="34"/>
  <c r="H129" i="22"/>
  <c r="H708" i="16"/>
  <c r="G702" i="22"/>
  <c r="H239" i="22"/>
  <c r="B566" i="28"/>
  <c r="G1006" i="2"/>
  <c r="H659" i="16"/>
  <c r="H812" i="16"/>
  <c r="G541" i="34"/>
  <c r="H897" i="16"/>
  <c r="H204" i="16"/>
  <c r="G445" i="2"/>
  <c r="G1098" i="2"/>
  <c r="H230" i="2"/>
  <c r="G333" i="34"/>
  <c r="G61" i="22"/>
  <c r="H273" i="2"/>
  <c r="H744" i="16"/>
  <c r="H199" i="2"/>
  <c r="H217" i="2"/>
  <c r="G1017" i="22"/>
  <c r="H880" i="2"/>
  <c r="G596" i="16"/>
  <c r="G788" i="16"/>
  <c r="H1060" i="2"/>
  <c r="G408" i="2"/>
  <c r="G399" i="34"/>
  <c r="G361" i="34"/>
  <c r="G762" i="34"/>
  <c r="H396" i="2"/>
  <c r="G898" i="30"/>
  <c r="H894" i="22"/>
  <c r="G563" i="16"/>
  <c r="H999" i="16"/>
  <c r="G423" i="16"/>
  <c r="H134" i="16"/>
  <c r="G243" i="30"/>
  <c r="H1014" i="2"/>
  <c r="G695" i="30"/>
  <c r="G485" i="2"/>
  <c r="A1063" i="28"/>
  <c r="H409" i="2"/>
  <c r="G21" i="16"/>
  <c r="G718" i="30"/>
  <c r="U20" i="29"/>
  <c r="G786" i="30"/>
  <c r="G441" i="2"/>
  <c r="Z162" i="29"/>
  <c r="G489" i="34"/>
  <c r="Z243" i="29"/>
  <c r="G110" i="30"/>
  <c r="G518" i="34"/>
  <c r="H506" i="2"/>
  <c r="G400" i="34"/>
  <c r="B305" i="28"/>
  <c r="A483" i="28"/>
  <c r="H609" i="2"/>
  <c r="H746" i="2"/>
  <c r="G453" i="30"/>
  <c r="O165" i="29"/>
  <c r="G963" i="16"/>
  <c r="H662" i="2"/>
  <c r="U174" i="29"/>
  <c r="G846" i="34"/>
  <c r="A917" i="28"/>
  <c r="B666" i="28"/>
  <c r="G875" i="30"/>
  <c r="B650" i="28"/>
  <c r="G193" i="2"/>
  <c r="G795" i="30"/>
  <c r="G712" i="34"/>
  <c r="H585" i="2"/>
  <c r="G338" i="34"/>
  <c r="G94" i="34"/>
  <c r="U52" i="29"/>
  <c r="G15" i="2"/>
  <c r="A767" i="28"/>
  <c r="H422" i="2"/>
  <c r="B1094" i="28"/>
  <c r="G1002" i="2"/>
  <c r="A757" i="28"/>
  <c r="H438" i="2"/>
  <c r="G812" i="34"/>
  <c r="G615" i="30"/>
  <c r="A984" i="28"/>
  <c r="U81" i="29"/>
  <c r="G847" i="30"/>
  <c r="G709" i="34"/>
  <c r="G60" i="30"/>
  <c r="G560" i="23"/>
  <c r="H710" i="22"/>
  <c r="H1116" i="16"/>
  <c r="H490" i="22"/>
  <c r="H158" i="2"/>
  <c r="G794" i="2"/>
  <c r="H1099" i="2"/>
  <c r="H1007" i="16"/>
  <c r="G84" i="2"/>
  <c r="G83" i="2"/>
  <c r="G779" i="2"/>
  <c r="H132" i="16"/>
  <c r="H929" i="2"/>
  <c r="G923" i="30"/>
  <c r="H126" i="16"/>
  <c r="H5" i="16"/>
  <c r="H863" i="2"/>
  <c r="G558" i="23"/>
  <c r="G674" i="23"/>
  <c r="G539" i="30"/>
  <c r="G8" i="30"/>
  <c r="H130" i="16"/>
  <c r="G1105" i="2"/>
  <c r="H503" i="22"/>
  <c r="G1116" i="2"/>
  <c r="G701" i="34"/>
  <c r="G821" i="34"/>
  <c r="G649" i="2"/>
  <c r="B213" i="28"/>
  <c r="G593" i="34"/>
  <c r="H194" i="2"/>
  <c r="A467" i="28"/>
  <c r="G63" i="16"/>
  <c r="H714" i="2"/>
  <c r="H854" i="16"/>
  <c r="G432" i="30"/>
  <c r="G819" i="2"/>
  <c r="G974" i="16"/>
  <c r="G841" i="23"/>
  <c r="G928" i="16"/>
  <c r="H29" i="22"/>
  <c r="G279" i="16"/>
  <c r="H567" i="16"/>
  <c r="G1113" i="16"/>
  <c r="G29" i="2"/>
  <c r="G1045" i="22"/>
  <c r="H366" i="16"/>
  <c r="G679" i="16"/>
  <c r="H967" i="2"/>
  <c r="H45" i="22"/>
  <c r="H863" i="22"/>
  <c r="H72" i="16"/>
  <c r="G1042" i="16"/>
  <c r="G700" i="16"/>
  <c r="G527" i="16"/>
  <c r="G1102" i="16"/>
  <c r="H462" i="2"/>
  <c r="B173" i="28"/>
  <c r="G694" i="23"/>
  <c r="H285" i="2"/>
  <c r="H753" i="22"/>
  <c r="G759" i="16"/>
  <c r="H672" i="16"/>
  <c r="G513" i="2"/>
  <c r="G1015" i="34"/>
  <c r="A1048" i="28"/>
  <c r="B366" i="28"/>
  <c r="Z70" i="29"/>
  <c r="G656" i="30"/>
  <c r="G390" i="34"/>
  <c r="H485" i="22"/>
  <c r="G917" i="23"/>
  <c r="G873" i="16"/>
  <c r="G379" i="2"/>
  <c r="H808" i="16"/>
  <c r="H763" i="2"/>
  <c r="H250" i="2"/>
  <c r="H2" i="2"/>
  <c r="A956" i="28"/>
  <c r="A858" i="28"/>
  <c r="G723" i="30"/>
  <c r="G732" i="30"/>
  <c r="H453" i="2"/>
  <c r="H770" i="2"/>
  <c r="Z182" i="29"/>
  <c r="G488" i="30"/>
  <c r="H853" i="2"/>
  <c r="H1107" i="2"/>
  <c r="B229" i="28"/>
  <c r="O221" i="29"/>
  <c r="G657" i="34"/>
  <c r="A1034" i="28"/>
  <c r="G367" i="2"/>
  <c r="G793" i="30"/>
  <c r="G419" i="34"/>
  <c r="A619" i="28"/>
  <c r="O25" i="29"/>
  <c r="G376" i="2"/>
  <c r="G348" i="34"/>
  <c r="G166" i="2"/>
  <c r="G114" i="34"/>
  <c r="H601" i="2"/>
  <c r="G898" i="2"/>
  <c r="G102" i="34"/>
  <c r="G838" i="34"/>
  <c r="B111" i="28"/>
  <c r="H857" i="2"/>
  <c r="A418" i="28"/>
  <c r="G943" i="16"/>
  <c r="B78" i="28"/>
  <c r="A422" i="28"/>
  <c r="A654" i="28"/>
  <c r="G342" i="30"/>
  <c r="A736" i="28"/>
  <c r="G52" i="22"/>
  <c r="O34" i="29"/>
  <c r="H1053" i="2"/>
  <c r="G921" i="30"/>
  <c r="O195" i="29"/>
  <c r="G753" i="34"/>
  <c r="A982" i="28"/>
  <c r="H156" i="2"/>
  <c r="G755" i="34"/>
  <c r="G322" i="22"/>
  <c r="G334" i="22"/>
  <c r="G42" i="2"/>
  <c r="H479" i="16"/>
  <c r="A1047" i="28"/>
  <c r="G688" i="23"/>
  <c r="G283" i="16"/>
  <c r="H136" i="2"/>
  <c r="H1027" i="16"/>
  <c r="G180" i="2"/>
  <c r="H984" i="2"/>
  <c r="H631" i="16"/>
  <c r="H524" i="2"/>
  <c r="H1079" i="16"/>
  <c r="G682" i="23"/>
  <c r="G196" i="16"/>
  <c r="G262" i="16"/>
  <c r="H6" i="16"/>
  <c r="G14" i="16"/>
  <c r="G758" i="2"/>
  <c r="G447" i="2"/>
  <c r="A515" i="28"/>
  <c r="G915" i="22"/>
  <c r="H958" i="16"/>
  <c r="G46" i="16"/>
  <c r="G812" i="2"/>
  <c r="B638" i="28"/>
  <c r="H487" i="16"/>
  <c r="H696" i="16"/>
  <c r="H1054" i="22"/>
  <c r="G102" i="22"/>
  <c r="B317" i="28"/>
  <c r="H891" i="2"/>
  <c r="G264" i="2"/>
  <c r="H176" i="16"/>
  <c r="G972" i="2"/>
  <c r="H1035" i="2"/>
  <c r="O183" i="29"/>
  <c r="H43" i="2"/>
  <c r="G341" i="30"/>
  <c r="A943" i="28"/>
  <c r="G33" i="34"/>
  <c r="G190" i="16"/>
  <c r="H797" i="2"/>
  <c r="H737" i="16"/>
  <c r="H328" i="2"/>
  <c r="G656" i="16"/>
  <c r="H172" i="22"/>
  <c r="H429" i="22"/>
  <c r="G677" i="23"/>
  <c r="H303" i="16"/>
  <c r="H986" i="22"/>
  <c r="H52" i="22"/>
  <c r="H953" i="22"/>
  <c r="G990" i="16"/>
  <c r="G45" i="22"/>
  <c r="H695" i="22"/>
  <c r="G572" i="16"/>
  <c r="G804" i="16"/>
  <c r="G999" i="2"/>
  <c r="G581" i="16"/>
  <c r="H53" i="2"/>
  <c r="H547" i="2"/>
  <c r="H789" i="2"/>
  <c r="O181" i="29"/>
  <c r="Z105" i="29"/>
  <c r="G1036" i="2"/>
  <c r="G535" i="22"/>
  <c r="G412" i="22"/>
  <c r="H267" i="2"/>
  <c r="G324" i="2"/>
  <c r="H673" i="22"/>
  <c r="G912" i="2"/>
  <c r="H485" i="16"/>
  <c r="H367" i="16"/>
  <c r="G726" i="2"/>
  <c r="H246" i="2"/>
  <c r="G388" i="2"/>
  <c r="G578" i="16"/>
  <c r="H684" i="2"/>
  <c r="G1106" i="16"/>
  <c r="G906" i="22"/>
  <c r="H852" i="16"/>
  <c r="H862" i="16"/>
  <c r="A899" i="28"/>
  <c r="H925" i="16"/>
  <c r="G81" i="16"/>
  <c r="H819" i="2"/>
  <c r="H234" i="16"/>
  <c r="G630" i="2"/>
  <c r="H71" i="2"/>
  <c r="H675" i="2"/>
  <c r="G735" i="22"/>
  <c r="G19" i="16"/>
  <c r="G286" i="16"/>
  <c r="G825" i="16"/>
  <c r="H166" i="22"/>
  <c r="G198" i="22"/>
  <c r="H400" i="2"/>
  <c r="H414" i="2"/>
  <c r="H335" i="22"/>
  <c r="G711" i="22"/>
  <c r="H1117" i="2"/>
  <c r="H446" i="16"/>
  <c r="H620" i="16"/>
  <c r="H104" i="16"/>
  <c r="H469" i="2"/>
  <c r="H363" i="2"/>
  <c r="H715" i="16"/>
  <c r="H608" i="2"/>
  <c r="G168" i="22"/>
  <c r="H11" i="22"/>
  <c r="G602" i="23"/>
  <c r="G145" i="22"/>
  <c r="G778" i="22"/>
  <c r="G306" i="22"/>
  <c r="H818" i="16"/>
  <c r="H943" i="22"/>
  <c r="G191" i="16"/>
  <c r="H256" i="16"/>
  <c r="G1048" i="2"/>
  <c r="G369" i="34"/>
  <c r="G14" i="22"/>
  <c r="H98" i="16"/>
  <c r="H384" i="22"/>
  <c r="G997" i="2"/>
  <c r="G889" i="30"/>
  <c r="O92" i="29"/>
  <c r="B93" i="28"/>
  <c r="G635" i="2"/>
  <c r="G319" i="22"/>
  <c r="H343" i="16"/>
  <c r="H274" i="22"/>
  <c r="H497" i="22"/>
  <c r="H1006" i="22"/>
  <c r="H690" i="22"/>
  <c r="B910" i="28"/>
  <c r="G538" i="2"/>
  <c r="O263" i="29"/>
  <c r="H93" i="16"/>
  <c r="H401" i="16"/>
  <c r="H825" i="22"/>
  <c r="H434" i="16"/>
  <c r="G910" i="30"/>
  <c r="G899" i="16"/>
  <c r="A535" i="28"/>
  <c r="G673" i="16"/>
  <c r="H804" i="2"/>
  <c r="H723" i="2"/>
  <c r="G5" i="16"/>
  <c r="H769" i="16"/>
  <c r="H254" i="2"/>
  <c r="G583" i="2"/>
  <c r="G2" i="16"/>
  <c r="G798" i="2"/>
  <c r="H1075" i="2"/>
  <c r="H560" i="16"/>
  <c r="H71" i="16"/>
  <c r="H583" i="16"/>
  <c r="G445" i="34"/>
  <c r="G22" i="16"/>
  <c r="H1021" i="16"/>
  <c r="G871" i="2"/>
  <c r="A1027" i="28"/>
  <c r="G382" i="2"/>
  <c r="G451" i="16"/>
  <c r="G516" i="16"/>
  <c r="G473" i="16"/>
  <c r="H364" i="16"/>
  <c r="H325" i="16"/>
  <c r="H596" i="2"/>
  <c r="G1098" i="16"/>
  <c r="H178" i="2"/>
  <c r="G686" i="16"/>
  <c r="H909" i="2"/>
  <c r="G844" i="16"/>
  <c r="H215" i="22"/>
  <c r="G91" i="22"/>
  <c r="G712" i="16"/>
  <c r="G342" i="22"/>
  <c r="H816" i="16"/>
  <c r="G161" i="22"/>
  <c r="H209" i="22"/>
  <c r="G129" i="22"/>
  <c r="H840" i="16"/>
  <c r="G731" i="30"/>
  <c r="G565" i="2"/>
  <c r="G315" i="16"/>
  <c r="G747" i="2"/>
  <c r="H282" i="16"/>
  <c r="G76" i="2"/>
  <c r="G703" i="2"/>
  <c r="G459" i="30"/>
  <c r="G744" i="2"/>
  <c r="G80" i="22"/>
  <c r="H331" i="2"/>
  <c r="H971" i="22"/>
  <c r="G634" i="23"/>
  <c r="H55" i="16"/>
  <c r="G580" i="16"/>
  <c r="H1120" i="2"/>
  <c r="G283" i="2"/>
  <c r="U146" i="29"/>
  <c r="A1019" i="28"/>
  <c r="H846" i="2"/>
  <c r="G394" i="22"/>
  <c r="G94" i="2"/>
  <c r="H1102" i="16"/>
  <c r="G155" i="2"/>
  <c r="H440" i="2"/>
  <c r="A1055" i="28"/>
  <c r="G198" i="2"/>
  <c r="G998" i="2"/>
  <c r="G156" i="22"/>
  <c r="G557" i="16"/>
  <c r="B361" i="28"/>
  <c r="H577" i="22"/>
  <c r="G901" i="34"/>
  <c r="H334" i="16"/>
  <c r="G30" i="16"/>
  <c r="H956" i="2"/>
  <c r="H319" i="22"/>
  <c r="G387" i="2"/>
  <c r="O133" i="29"/>
  <c r="G617" i="2"/>
  <c r="G589" i="2"/>
  <c r="G577" i="34"/>
  <c r="G200" i="2"/>
  <c r="G931" i="2"/>
  <c r="H324" i="16"/>
  <c r="H418" i="2"/>
  <c r="H95" i="16"/>
  <c r="G511" i="2"/>
  <c r="G742" i="22"/>
  <c r="G859" i="16"/>
  <c r="H333" i="22"/>
  <c r="H568" i="16"/>
  <c r="H541" i="22"/>
  <c r="H637" i="2"/>
  <c r="G320" i="16"/>
  <c r="H886" i="2"/>
  <c r="H747" i="16"/>
  <c r="G777" i="34"/>
  <c r="G765" i="16"/>
  <c r="B606" i="28"/>
  <c r="G881" i="34"/>
  <c r="B822" i="28"/>
  <c r="G428" i="30"/>
  <c r="G1074" i="2"/>
  <c r="H623" i="16"/>
  <c r="G937" i="16"/>
  <c r="H301" i="16"/>
  <c r="G329" i="16"/>
  <c r="H890" i="16"/>
  <c r="Z38" i="29"/>
  <c r="H1035" i="16"/>
  <c r="G37" i="2"/>
  <c r="G391" i="16"/>
  <c r="H502" i="2"/>
  <c r="G507" i="30"/>
  <c r="H934" i="2"/>
  <c r="G971" i="30"/>
  <c r="H933" i="2"/>
  <c r="G1087" i="2"/>
  <c r="G809" i="30"/>
  <c r="G824" i="2"/>
  <c r="H1029" i="2"/>
  <c r="H541" i="2"/>
  <c r="H678" i="2"/>
  <c r="G216" i="30"/>
  <c r="G396" i="30"/>
  <c r="H593" i="22"/>
  <c r="H1070" i="22"/>
  <c r="G1022" i="16"/>
  <c r="H629" i="16"/>
  <c r="H394" i="16"/>
  <c r="G653" i="2"/>
  <c r="G108" i="22"/>
  <c r="G483" i="16"/>
  <c r="H17" i="16"/>
  <c r="G513" i="34"/>
  <c r="G573" i="34"/>
  <c r="G31" i="16"/>
  <c r="H386" i="2"/>
  <c r="G323" i="2"/>
  <c r="G432" i="16"/>
  <c r="H896" i="2"/>
  <c r="G292" i="16"/>
  <c r="G766" i="16"/>
  <c r="G449" i="2"/>
  <c r="G814" i="2"/>
  <c r="H921" i="2"/>
  <c r="G810" i="2"/>
  <c r="G1102" i="22"/>
  <c r="B133" i="28"/>
  <c r="G529" i="22"/>
  <c r="A883" i="28"/>
  <c r="G413" i="2"/>
  <c r="G560" i="16"/>
  <c r="H325" i="2"/>
  <c r="A1007" i="28"/>
  <c r="G355" i="30"/>
  <c r="H955" i="16"/>
  <c r="H298" i="22"/>
  <c r="A679" i="28"/>
  <c r="H1031" i="2"/>
  <c r="H114" i="2"/>
  <c r="G716" i="2"/>
  <c r="G625" i="16"/>
  <c r="G549" i="2"/>
  <c r="G163" i="2"/>
  <c r="A1094" i="28"/>
  <c r="H90" i="2"/>
  <c r="H330" i="22"/>
  <c r="H322" i="16"/>
  <c r="H525" i="2"/>
  <c r="Z123" i="29"/>
  <c r="G501" i="30"/>
  <c r="B257" i="28"/>
  <c r="G437" i="2"/>
  <c r="H365" i="2"/>
  <c r="G581" i="34"/>
  <c r="G429" i="2"/>
  <c r="G975" i="2"/>
  <c r="H341" i="2"/>
  <c r="G397" i="30"/>
  <c r="G261" i="2"/>
  <c r="G209" i="30"/>
  <c r="U42" i="29"/>
  <c r="B1068" i="28"/>
  <c r="G96" i="34"/>
  <c r="G269" i="2"/>
  <c r="G13" i="34"/>
  <c r="G593" i="30"/>
  <c r="B333" i="28"/>
  <c r="G577" i="2"/>
  <c r="G277" i="30"/>
  <c r="G698" i="2"/>
  <c r="G381" i="30"/>
  <c r="B474" i="28"/>
  <c r="G433" i="34"/>
  <c r="A933" i="28"/>
  <c r="B392" i="28"/>
  <c r="G619" i="30"/>
  <c r="Z141" i="29"/>
  <c r="A727" i="28"/>
  <c r="B293" i="28"/>
  <c r="H894" i="16"/>
  <c r="G473" i="2"/>
  <c r="H120" i="2"/>
  <c r="G457" i="34"/>
  <c r="H31" i="2"/>
  <c r="Z140" i="29"/>
  <c r="G508" i="2"/>
  <c r="H442" i="2"/>
  <c r="H281" i="2"/>
  <c r="G1066" i="2"/>
  <c r="G251" i="30"/>
  <c r="G512" i="2"/>
  <c r="G346" i="2"/>
  <c r="G814" i="30"/>
  <c r="G94" i="22"/>
  <c r="G221" i="22"/>
  <c r="H221" i="22"/>
  <c r="G701" i="16"/>
  <c r="H763" i="16"/>
  <c r="H147" i="2"/>
  <c r="E29" i="28"/>
  <c r="H701" i="22"/>
  <c r="G195" i="30"/>
  <c r="H407" i="16"/>
  <c r="H636" i="2"/>
  <c r="H144" i="2"/>
  <c r="G301" i="16"/>
  <c r="B654" i="28"/>
  <c r="G875" i="16"/>
  <c r="G872" i="2"/>
  <c r="H742" i="22"/>
  <c r="H24" i="2"/>
  <c r="H382" i="2"/>
  <c r="H591" i="2"/>
  <c r="H52" i="2"/>
  <c r="B446" i="28"/>
  <c r="G660" i="16"/>
  <c r="H410" i="2"/>
  <c r="G157" i="34"/>
  <c r="H109" i="2"/>
  <c r="G240" i="34"/>
  <c r="A682" i="28"/>
  <c r="B920" i="28"/>
  <c r="B1020" i="28"/>
  <c r="G554" i="30"/>
  <c r="B368" i="28"/>
  <c r="B159" i="28"/>
  <c r="G45" i="2"/>
  <c r="B382" i="28"/>
  <c r="A777" i="28"/>
  <c r="H849" i="16"/>
  <c r="G768" i="30"/>
  <c r="H99" i="22"/>
  <c r="H454" i="22"/>
  <c r="G997" i="16"/>
  <c r="G25" i="16"/>
  <c r="G766" i="2"/>
  <c r="H1071" i="16"/>
  <c r="H191" i="2"/>
  <c r="G261" i="34"/>
  <c r="G815" i="2"/>
  <c r="G173" i="16"/>
  <c r="G181" i="34"/>
  <c r="A523" i="28"/>
  <c r="H884" i="22"/>
  <c r="G926" i="30"/>
  <c r="G152" i="22"/>
  <c r="B345" i="28"/>
  <c r="G23" i="16"/>
  <c r="G731" i="16"/>
  <c r="G241" i="16"/>
  <c r="G460" i="30"/>
  <c r="G214" i="22"/>
  <c r="H605" i="2"/>
  <c r="H931" i="2"/>
  <c r="G437" i="30"/>
  <c r="H382" i="16"/>
  <c r="G1065" i="2"/>
  <c r="H1037" i="2"/>
  <c r="B204" i="28"/>
  <c r="O189" i="29"/>
  <c r="B290" i="28"/>
  <c r="A966" i="28"/>
  <c r="G797" i="30"/>
  <c r="H306" i="16"/>
  <c r="G210" i="16"/>
  <c r="H12" i="2"/>
  <c r="G902" i="16"/>
  <c r="H592" i="2"/>
  <c r="G628" i="23"/>
  <c r="O249" i="29"/>
  <c r="G291" i="34"/>
  <c r="B341" i="28"/>
  <c r="H322" i="2"/>
  <c r="H202" i="16"/>
  <c r="B109" i="28"/>
  <c r="G216" i="2"/>
  <c r="G602" i="2"/>
  <c r="G1026" i="2"/>
  <c r="H599" i="2"/>
  <c r="H300" i="2"/>
  <c r="H930" i="16"/>
  <c r="H73" i="2"/>
  <c r="G462" i="16"/>
  <c r="G43" i="30"/>
  <c r="G404" i="30"/>
  <c r="G845" i="2"/>
  <c r="G145" i="34"/>
  <c r="O245" i="29"/>
  <c r="G177" i="2"/>
  <c r="A1076" i="28"/>
  <c r="B339" i="28"/>
  <c r="O114" i="29"/>
  <c r="G772" i="30"/>
  <c r="G946" i="2"/>
  <c r="G9" i="2"/>
  <c r="G541" i="30"/>
  <c r="G930" i="34"/>
  <c r="A518" i="28"/>
  <c r="G434" i="34"/>
  <c r="H865" i="16"/>
  <c r="G946" i="30"/>
  <c r="G122" i="2"/>
  <c r="A781" i="28"/>
  <c r="H404" i="2"/>
  <c r="G721" i="30"/>
  <c r="B399" i="28"/>
  <c r="G185" i="2"/>
  <c r="H188" i="16"/>
  <c r="G636" i="2"/>
  <c r="G442" i="30"/>
  <c r="H877" i="2"/>
  <c r="H498" i="2"/>
  <c r="G560" i="2"/>
  <c r="G71" i="22"/>
  <c r="G862" i="30"/>
  <c r="G759" i="2"/>
  <c r="B313" i="28"/>
  <c r="H543" i="2"/>
  <c r="G316" i="2"/>
  <c r="G745" i="34"/>
  <c r="G332" i="22"/>
  <c r="H371" i="22"/>
  <c r="G48" i="22"/>
  <c r="H798" i="2"/>
  <c r="H11" i="2"/>
  <c r="G372" i="2"/>
  <c r="H442" i="16"/>
  <c r="G93" i="16"/>
  <c r="H969" i="16"/>
  <c r="B670" i="28"/>
  <c r="G158" i="16"/>
  <c r="G777" i="16"/>
  <c r="G566" i="16"/>
  <c r="G192" i="22"/>
  <c r="H627" i="2"/>
  <c r="U110" i="29"/>
  <c r="H1091" i="16"/>
  <c r="Z137" i="29"/>
  <c r="G495" i="22"/>
  <c r="H141" i="2"/>
  <c r="H180" i="2"/>
  <c r="H366" i="2"/>
  <c r="H432" i="2"/>
  <c r="G203" i="2"/>
  <c r="G337" i="16"/>
  <c r="H390" i="16"/>
  <c r="H272" i="2"/>
  <c r="H1110" i="16"/>
  <c r="G574" i="30"/>
  <c r="G156" i="2"/>
  <c r="B169" i="28"/>
  <c r="H661" i="2"/>
  <c r="H913" i="2"/>
  <c r="H427" i="2"/>
  <c r="H719" i="2"/>
  <c r="G573" i="2"/>
  <c r="G319" i="2"/>
  <c r="G192" i="2"/>
  <c r="H1028" i="16"/>
  <c r="H423" i="16"/>
  <c r="H115" i="16"/>
  <c r="G1097" i="16"/>
  <c r="H171" i="2"/>
  <c r="H153" i="2"/>
  <c r="B982" i="28"/>
  <c r="G312" i="2"/>
  <c r="H644" i="2"/>
  <c r="G712" i="2"/>
  <c r="H871" i="2"/>
  <c r="H328" i="16"/>
  <c r="G700" i="2"/>
  <c r="H612" i="2"/>
  <c r="G951" i="16"/>
  <c r="H549" i="16"/>
  <c r="G465" i="2"/>
  <c r="G356" i="30"/>
  <c r="G34" i="22"/>
  <c r="B125" i="28"/>
  <c r="G232" i="23"/>
  <c r="H122" i="22"/>
  <c r="H16" i="22"/>
  <c r="H110" i="16"/>
  <c r="H258" i="16"/>
  <c r="H966" i="2"/>
  <c r="G282" i="2"/>
  <c r="G299" i="30"/>
  <c r="G111" i="2"/>
  <c r="H207" i="16"/>
  <c r="H924" i="2"/>
  <c r="G427" i="2"/>
  <c r="H123" i="16"/>
  <c r="H507" i="16"/>
  <c r="G400" i="2"/>
  <c r="G893" i="2"/>
  <c r="G994" i="34"/>
  <c r="H864" i="22"/>
  <c r="H331" i="16"/>
  <c r="A752" i="28"/>
  <c r="A945" i="28"/>
  <c r="G26" i="2"/>
  <c r="H1119" i="2"/>
  <c r="A1044" i="28"/>
  <c r="G479" i="16"/>
  <c r="G105" i="34"/>
  <c r="G332" i="2"/>
  <c r="G1085" i="2"/>
  <c r="G917" i="2"/>
  <c r="B301" i="28"/>
  <c r="O149" i="29"/>
  <c r="H309" i="2"/>
  <c r="H829" i="2"/>
  <c r="G293" i="34"/>
  <c r="G973" i="34"/>
  <c r="O127" i="29"/>
  <c r="G301" i="30"/>
  <c r="H736" i="2"/>
  <c r="G895" i="2"/>
  <c r="H66" i="16"/>
  <c r="Z9" i="29"/>
  <c r="H1039" i="16"/>
  <c r="G879" i="2"/>
  <c r="G759" i="34"/>
  <c r="G943" i="30"/>
  <c r="B351" i="28"/>
  <c r="A453" i="28"/>
  <c r="G980" i="34"/>
  <c r="B848" i="28"/>
  <c r="H379" i="2"/>
  <c r="G749" i="34"/>
  <c r="H1090" i="2"/>
  <c r="G100" i="30"/>
  <c r="G720" i="34"/>
  <c r="G628" i="34"/>
  <c r="G708" i="30"/>
  <c r="G620" i="34"/>
  <c r="A974" i="28"/>
  <c r="G697" i="2"/>
  <c r="G575" i="2"/>
  <c r="A491" i="28"/>
  <c r="G1009" i="2"/>
  <c r="Z185" i="29"/>
  <c r="G653" i="34"/>
  <c r="G357" i="34"/>
  <c r="A527" i="28"/>
  <c r="H233" i="2"/>
  <c r="G967" i="34"/>
  <c r="H726" i="2"/>
  <c r="G320" i="2"/>
  <c r="Z199" i="29"/>
  <c r="G616" i="23"/>
  <c r="H963" i="16"/>
  <c r="G346" i="16"/>
  <c r="G537" i="16"/>
  <c r="H687" i="16"/>
  <c r="G488" i="16"/>
  <c r="G490" i="23"/>
  <c r="G895" i="16"/>
  <c r="H1003" i="2"/>
  <c r="G305" i="22"/>
  <c r="G1120" i="2"/>
  <c r="H381" i="2"/>
  <c r="H485" i="2"/>
  <c r="G757" i="2"/>
  <c r="G514" i="2"/>
  <c r="G571" i="2"/>
  <c r="G1055" i="2"/>
  <c r="H895" i="16"/>
  <c r="H395" i="16"/>
  <c r="G9" i="16"/>
  <c r="G845" i="34"/>
  <c r="G246" i="2"/>
  <c r="A719" i="28"/>
  <c r="H19" i="16"/>
  <c r="H205" i="22"/>
  <c r="G373" i="30"/>
  <c r="A696" i="28"/>
  <c r="G501" i="2"/>
  <c r="B1084" i="28"/>
  <c r="A1095" i="28"/>
  <c r="B398" i="28"/>
  <c r="G229" i="34"/>
  <c r="G897" i="34"/>
  <c r="G359" i="2"/>
  <c r="A529" i="28"/>
  <c r="H245" i="2"/>
  <c r="G491" i="34"/>
  <c r="G293" i="23"/>
  <c r="H801" i="22"/>
  <c r="H458" i="22"/>
  <c r="G180" i="22"/>
  <c r="H1099" i="16"/>
  <c r="B37" i="28"/>
  <c r="G945" i="34"/>
  <c r="G761" i="16"/>
  <c r="H1114" i="2"/>
  <c r="H693" i="2"/>
  <c r="G401" i="22"/>
  <c r="A695" i="28"/>
  <c r="B798" i="28"/>
  <c r="H637" i="16"/>
  <c r="G1050" i="2"/>
  <c r="H756" i="2"/>
  <c r="G618" i="16"/>
  <c r="G597" i="34"/>
  <c r="G904" i="22"/>
  <c r="H588" i="2"/>
  <c r="G783" i="16"/>
  <c r="H84" i="2"/>
  <c r="G428" i="2"/>
  <c r="G384" i="2"/>
  <c r="G593" i="22"/>
  <c r="Z115" i="29"/>
  <c r="G69" i="34"/>
  <c r="A911" i="28"/>
  <c r="G1021" i="2"/>
  <c r="G724" i="2"/>
  <c r="G833" i="34"/>
  <c r="G855" i="2"/>
  <c r="G408" i="16"/>
  <c r="G644" i="16"/>
  <c r="G120" i="22"/>
  <c r="H764" i="2"/>
  <c r="H509" i="16"/>
  <c r="H184" i="16"/>
  <c r="G212" i="22"/>
  <c r="G296" i="2"/>
  <c r="G622" i="30"/>
  <c r="B193" i="28"/>
  <c r="G1041" i="2"/>
  <c r="G2" i="22"/>
  <c r="G206" i="30"/>
  <c r="H719" i="16"/>
  <c r="H834" i="2"/>
  <c r="H953" i="2"/>
  <c r="H381" i="16"/>
  <c r="H735" i="2"/>
  <c r="H118" i="16"/>
  <c r="G327" i="2"/>
  <c r="H319" i="2"/>
  <c r="U82" i="29"/>
  <c r="G891" i="30"/>
  <c r="A501" i="28"/>
  <c r="G169" i="16"/>
  <c r="G556" i="34"/>
  <c r="G284" i="30"/>
  <c r="B544" i="28"/>
  <c r="H701" i="2"/>
  <c r="U173" i="29"/>
  <c r="H1015" i="16"/>
  <c r="O154" i="29"/>
  <c r="A652" i="28"/>
  <c r="G161" i="2"/>
  <c r="A929" i="28"/>
  <c r="G1046" i="2"/>
  <c r="G959" i="2"/>
  <c r="G175" i="2"/>
  <c r="G889" i="34"/>
  <c r="G663" i="30"/>
  <c r="G207" i="34"/>
  <c r="G600" i="34"/>
  <c r="G36" i="30"/>
  <c r="G347" i="34"/>
  <c r="A552" i="28"/>
  <c r="G868" i="30"/>
  <c r="G602" i="34"/>
  <c r="O161" i="29"/>
  <c r="G447" i="30"/>
  <c r="G796" i="30"/>
  <c r="A683" i="28"/>
  <c r="G362" i="34"/>
  <c r="B784" i="28"/>
  <c r="G928" i="30"/>
  <c r="A612" i="28"/>
  <c r="Z269" i="29"/>
  <c r="A477" i="28"/>
  <c r="G494" i="30"/>
  <c r="G120" i="2"/>
  <c r="G228" i="34"/>
  <c r="B210" i="28"/>
  <c r="G699" i="34"/>
  <c r="B488" i="28"/>
  <c r="G834" i="34"/>
  <c r="H159" i="22"/>
  <c r="G289" i="30"/>
  <c r="H560" i="22"/>
  <c r="H194" i="16"/>
  <c r="G257" i="22"/>
  <c r="G7" i="2"/>
  <c r="G171" i="30"/>
  <c r="G860" i="34"/>
  <c r="G700" i="30"/>
  <c r="H754" i="2"/>
  <c r="G472" i="30"/>
  <c r="G233" i="2"/>
  <c r="G777" i="2"/>
  <c r="U24" i="29"/>
  <c r="G148" i="22"/>
  <c r="B576" i="28"/>
  <c r="G842" i="2"/>
  <c r="B804" i="28"/>
  <c r="A629" i="28"/>
  <c r="G680" i="30"/>
  <c r="G684" i="34"/>
  <c r="O8" i="29"/>
  <c r="G722" i="30"/>
  <c r="G351" i="2"/>
  <c r="B284" i="28"/>
  <c r="U114" i="29"/>
  <c r="A548" i="28"/>
  <c r="H229" i="2"/>
  <c r="G226" i="34"/>
  <c r="A551" i="28"/>
  <c r="G917" i="34"/>
  <c r="A461" i="28"/>
  <c r="U60" i="29"/>
  <c r="G421" i="30"/>
  <c r="G705" i="30"/>
  <c r="A1086" i="28"/>
  <c r="G893" i="34"/>
  <c r="G448" i="34"/>
  <c r="G923" i="34"/>
  <c r="H628" i="2"/>
  <c r="G928" i="2"/>
  <c r="G823" i="34"/>
  <c r="A753" i="28"/>
  <c r="G21" i="2"/>
  <c r="H298" i="2"/>
  <c r="G911" i="2"/>
  <c r="G313" i="34"/>
  <c r="H639" i="2"/>
  <c r="G815" i="34"/>
  <c r="H671" i="2"/>
  <c r="G188" i="2"/>
  <c r="B712" i="28"/>
  <c r="G175" i="34"/>
  <c r="G817" i="34"/>
  <c r="H149" i="2"/>
  <c r="G3" i="34"/>
  <c r="B126" i="28"/>
  <c r="H655" i="2"/>
  <c r="G943" i="2"/>
  <c r="G755" i="30"/>
  <c r="B107" i="28"/>
  <c r="O44" i="29"/>
  <c r="B1066" i="28"/>
  <c r="G440" i="34"/>
  <c r="H172" i="16"/>
  <c r="H936" i="2"/>
  <c r="H703" i="16"/>
  <c r="G377" i="34"/>
  <c r="H459" i="16"/>
  <c r="H352" i="2"/>
  <c r="H864" i="2"/>
  <c r="G543" i="30"/>
  <c r="H368" i="16"/>
  <c r="H483" i="2"/>
  <c r="G139" i="2"/>
  <c r="B930" i="28"/>
  <c r="G393" i="2"/>
  <c r="B64" i="28"/>
  <c r="G1069" i="2"/>
  <c r="H27" i="2"/>
  <c r="G480" i="34"/>
  <c r="H80" i="2"/>
  <c r="G754" i="30"/>
  <c r="B73" i="28"/>
  <c r="B259" i="28"/>
  <c r="H783" i="2"/>
  <c r="G907" i="2"/>
  <c r="G93" i="34"/>
  <c r="B330" i="28"/>
  <c r="H386" i="16"/>
  <c r="A640" i="28"/>
  <c r="G565" i="34"/>
  <c r="G274" i="34"/>
  <c r="B85" i="28"/>
  <c r="G940" i="34"/>
  <c r="G924" i="2"/>
  <c r="B356" i="28"/>
  <c r="A960" i="28"/>
  <c r="G878" i="30"/>
  <c r="G364" i="2"/>
  <c r="H552" i="2"/>
  <c r="H63" i="2"/>
  <c r="G727" i="34"/>
  <c r="H51" i="2"/>
  <c r="G78" i="2"/>
  <c r="G453" i="2"/>
  <c r="H803" i="2"/>
  <c r="G268" i="2"/>
  <c r="H181" i="2"/>
  <c r="H105" i="2"/>
  <c r="G181" i="30"/>
  <c r="G130" i="2"/>
  <c r="G763" i="34"/>
  <c r="G896" i="34"/>
  <c r="A780" i="28"/>
  <c r="U85" i="29"/>
  <c r="G538" i="30"/>
  <c r="G140" i="22"/>
  <c r="G287" i="2"/>
  <c r="G433" i="30"/>
  <c r="A505" i="28"/>
  <c r="U140" i="29"/>
  <c r="A1010" i="28"/>
  <c r="O237" i="29"/>
  <c r="H33" i="2"/>
  <c r="H313" i="2"/>
  <c r="G613" i="2"/>
  <c r="G316" i="22"/>
  <c r="G940" i="30"/>
  <c r="Z231" i="29"/>
  <c r="H37" i="2"/>
  <c r="H131" i="22"/>
  <c r="H61" i="16"/>
  <c r="G719" i="2"/>
  <c r="H127" i="2"/>
  <c r="G1101" i="16"/>
  <c r="G762" i="2"/>
  <c r="B99" i="28"/>
  <c r="G904" i="34"/>
  <c r="G1012" i="34"/>
  <c r="G1051" i="2"/>
  <c r="G227" i="2"/>
  <c r="A1039" i="28"/>
  <c r="G325" i="34"/>
  <c r="H980" i="2"/>
  <c r="G729" i="2"/>
  <c r="G832" i="2"/>
  <c r="A507" i="28"/>
  <c r="G170" i="22"/>
  <c r="B101" i="28"/>
  <c r="H238" i="16"/>
  <c r="Z129" i="29"/>
  <c r="G439" i="2"/>
  <c r="H22" i="16"/>
  <c r="G1102" i="2"/>
  <c r="H444" i="2"/>
  <c r="G172" i="30"/>
  <c r="G920" i="2"/>
  <c r="B1034" i="28"/>
  <c r="H589" i="2"/>
  <c r="G300" i="34"/>
  <c r="G957" i="2"/>
  <c r="B516" i="28"/>
  <c r="A498" i="28"/>
  <c r="U165" i="29"/>
  <c r="B358" i="28"/>
  <c r="G588" i="30"/>
  <c r="D55" i="29"/>
  <c r="G693" i="30"/>
  <c r="G379" i="34"/>
  <c r="G136" i="2"/>
  <c r="B94" i="28"/>
  <c r="G786" i="34"/>
  <c r="Z253" i="29"/>
  <c r="G770" i="34"/>
  <c r="G216" i="34"/>
  <c r="G474" i="30"/>
  <c r="B53" i="28"/>
  <c r="G750" i="30"/>
  <c r="A697" i="28"/>
  <c r="Z83" i="29"/>
  <c r="O147" i="29"/>
  <c r="B890" i="28"/>
  <c r="G82" i="34"/>
  <c r="G347" i="30"/>
  <c r="G963" i="34"/>
  <c r="A423" i="28"/>
  <c r="B354" i="28"/>
  <c r="A871" i="28"/>
  <c r="G948" i="30"/>
  <c r="G546" i="2"/>
  <c r="G730" i="30"/>
  <c r="G192" i="34"/>
  <c r="G293" i="30"/>
  <c r="A1026" i="28"/>
  <c r="H114" i="16"/>
  <c r="G548" i="16"/>
  <c r="H333" i="2"/>
  <c r="H525" i="16"/>
  <c r="G987" i="34"/>
  <c r="H593" i="16"/>
  <c r="G941" i="16"/>
  <c r="H247" i="2"/>
  <c r="A1022" i="28"/>
  <c r="G592" i="2"/>
  <c r="G204" i="2"/>
  <c r="U127" i="29"/>
  <c r="H725" i="2"/>
  <c r="H788" i="2"/>
  <c r="O85" i="29"/>
  <c r="G168" i="30"/>
  <c r="G637" i="2"/>
  <c r="G20" i="2"/>
  <c r="G224" i="2"/>
  <c r="G1111" i="2"/>
  <c r="G61" i="16"/>
  <c r="G236" i="30"/>
  <c r="H557" i="2"/>
  <c r="G532" i="16"/>
  <c r="G248" i="30"/>
  <c r="H1094" i="2"/>
  <c r="G469" i="2"/>
  <c r="H1105" i="2"/>
  <c r="G645" i="34"/>
  <c r="Z22" i="29"/>
  <c r="G561" i="16"/>
  <c r="H783" i="22"/>
  <c r="A885" i="28"/>
  <c r="G290" i="30"/>
  <c r="G890" i="34"/>
  <c r="G143" i="34"/>
  <c r="G408" i="34"/>
  <c r="G929" i="34"/>
  <c r="G756" i="2"/>
  <c r="H903" i="2"/>
  <c r="H108" i="2"/>
  <c r="B818" i="28"/>
  <c r="U56" i="29"/>
  <c r="G831" i="30"/>
  <c r="H535" i="16"/>
  <c r="A789" i="28"/>
  <c r="A746" i="28"/>
  <c r="G14" i="30"/>
  <c r="B143" i="28"/>
  <c r="B928" i="28"/>
  <c r="Z94" i="29"/>
  <c r="G103" i="34"/>
  <c r="G339" i="30"/>
  <c r="G465" i="30"/>
  <c r="A588" i="28"/>
  <c r="O124" i="29"/>
  <c r="A1058" i="28"/>
  <c r="B564" i="28"/>
  <c r="Z82" i="29"/>
  <c r="A489" i="28"/>
  <c r="A570" i="28"/>
  <c r="B452" i="28"/>
  <c r="H1036" i="2"/>
  <c r="G140" i="16"/>
  <c r="G640" i="16"/>
  <c r="H363" i="16"/>
  <c r="H402" i="16"/>
  <c r="G909" i="16"/>
  <c r="G17" i="16"/>
  <c r="G784" i="2"/>
  <c r="B438" i="28"/>
  <c r="H691" i="2"/>
  <c r="A560" i="28"/>
  <c r="G42" i="34"/>
  <c r="G13" i="2"/>
  <c r="B866" i="28"/>
  <c r="A849" i="28"/>
  <c r="H472" i="2"/>
  <c r="G619" i="34"/>
  <c r="G48" i="34"/>
  <c r="A493" i="28"/>
  <c r="G909" i="34"/>
  <c r="G548" i="34"/>
  <c r="A797" i="28"/>
  <c r="B472" i="28"/>
  <c r="G1077" i="2"/>
  <c r="H905" i="2"/>
  <c r="B790" i="28"/>
  <c r="G207" i="2"/>
  <c r="H82" i="2"/>
  <c r="Z6" i="29"/>
  <c r="G841" i="30"/>
  <c r="H1118" i="2"/>
  <c r="G23" i="2"/>
  <c r="G325" i="2"/>
  <c r="G261" i="16"/>
  <c r="G984" i="2"/>
  <c r="U116" i="29"/>
  <c r="U101" i="29"/>
  <c r="B190" i="28"/>
  <c r="H833" i="22"/>
  <c r="H217" i="16"/>
  <c r="G129" i="16"/>
  <c r="G894" i="2"/>
  <c r="G265" i="22"/>
  <c r="G284" i="16"/>
  <c r="H903" i="22"/>
  <c r="G1014" i="34"/>
  <c r="G189" i="34"/>
  <c r="G885" i="34"/>
  <c r="H1070" i="16"/>
  <c r="G616" i="2"/>
  <c r="G235" i="23"/>
  <c r="G236" i="22"/>
  <c r="H659" i="2"/>
  <c r="H918" i="16"/>
  <c r="H948" i="2"/>
  <c r="H487" i="2"/>
  <c r="H296" i="16"/>
  <c r="G865" i="2"/>
  <c r="G1088" i="2"/>
  <c r="U131" i="29"/>
  <c r="H417" i="2"/>
  <c r="H948" i="16"/>
  <c r="G306" i="23"/>
  <c r="H758" i="2"/>
  <c r="G918" i="16"/>
  <c r="G1121" i="16"/>
  <c r="H291" i="2"/>
  <c r="G639" i="16"/>
  <c r="G73" i="16"/>
  <c r="H1024" i="2"/>
  <c r="A572" i="28"/>
  <c r="G921" i="2"/>
  <c r="Z149" i="29"/>
  <c r="G647" i="2"/>
  <c r="G601" i="34"/>
  <c r="G974" i="2"/>
  <c r="A475" i="28"/>
  <c r="H784" i="2"/>
  <c r="H730" i="2"/>
  <c r="H407" i="2"/>
  <c r="U143" i="29"/>
  <c r="O142" i="29"/>
  <c r="H646" i="2"/>
  <c r="H269" i="2"/>
  <c r="H919" i="2"/>
  <c r="G558" i="30"/>
  <c r="G160" i="22"/>
  <c r="G529" i="2"/>
  <c r="H183" i="2"/>
  <c r="H304" i="16"/>
  <c r="A999" i="28"/>
  <c r="G442" i="2"/>
  <c r="G769" i="2"/>
  <c r="A857" i="28"/>
  <c r="B1040" i="28"/>
  <c r="G110" i="34"/>
  <c r="U190" i="29"/>
  <c r="G795" i="34"/>
  <c r="G947" i="30"/>
  <c r="A713" i="28"/>
  <c r="B83" i="28"/>
  <c r="G485" i="34"/>
  <c r="A931" i="28"/>
  <c r="H648" i="2"/>
  <c r="H203" i="2"/>
  <c r="B77" i="28"/>
  <c r="B308" i="28"/>
  <c r="H771" i="16"/>
  <c r="G496" i="16"/>
  <c r="G380" i="30"/>
  <c r="A991" i="28"/>
  <c r="O159" i="29"/>
  <c r="H2" i="22"/>
  <c r="H467" i="2"/>
  <c r="H344" i="2"/>
  <c r="G951" i="34"/>
  <c r="B1038" i="28"/>
  <c r="G79" i="2"/>
  <c r="G706" i="2"/>
  <c r="A979" i="28"/>
  <c r="H435" i="16"/>
  <c r="G487" i="22"/>
  <c r="G1027" i="16"/>
  <c r="G132" i="2"/>
  <c r="G967" i="16"/>
  <c r="O239" i="29"/>
  <c r="G843" i="16"/>
  <c r="H42" i="2"/>
  <c r="H575" i="2"/>
  <c r="G481" i="30"/>
  <c r="G444" i="23"/>
  <c r="H1076" i="2"/>
  <c r="B189" i="28"/>
  <c r="G909" i="2"/>
  <c r="H193" i="2"/>
  <c r="Z145" i="29"/>
  <c r="G136" i="22"/>
  <c r="G637" i="16"/>
  <c r="G669" i="2"/>
  <c r="A927" i="28"/>
  <c r="G202" i="22"/>
  <c r="G745" i="2"/>
  <c r="H246" i="16"/>
  <c r="G641" i="34"/>
  <c r="H842" i="16"/>
  <c r="H492" i="2"/>
  <c r="G432" i="2"/>
  <c r="H914" i="2"/>
  <c r="A795" i="28"/>
  <c r="G358" i="2"/>
  <c r="G389" i="34"/>
  <c r="G683" i="16"/>
  <c r="G262" i="2"/>
  <c r="G517" i="2"/>
  <c r="B241" i="28"/>
  <c r="G621" i="34"/>
  <c r="G435" i="34"/>
  <c r="G951" i="2"/>
  <c r="G1004" i="16"/>
  <c r="G706" i="22"/>
  <c r="G685" i="22"/>
  <c r="H57" i="22"/>
  <c r="G322" i="16"/>
  <c r="H878" i="2"/>
  <c r="H185" i="16"/>
  <c r="H1031" i="16"/>
  <c r="H103" i="2"/>
  <c r="H921" i="16"/>
  <c r="H248" i="16"/>
  <c r="G706" i="16"/>
  <c r="H839" i="2"/>
  <c r="B353" i="28"/>
  <c r="G610" i="23"/>
  <c r="H532" i="2"/>
  <c r="G1063" i="2"/>
  <c r="H269" i="16"/>
  <c r="H589" i="22"/>
  <c r="G971" i="16"/>
  <c r="H952" i="2"/>
  <c r="G407" i="22"/>
  <c r="G7" i="34"/>
  <c r="G526" i="23"/>
  <c r="G971" i="2"/>
  <c r="H228" i="2"/>
  <c r="G1001" i="2"/>
  <c r="B387" i="28"/>
  <c r="H751" i="2"/>
  <c r="B648" i="28"/>
  <c r="G335" i="2"/>
  <c r="G482" i="34"/>
  <c r="H359" i="2"/>
  <c r="G715" i="16"/>
  <c r="H402" i="22"/>
  <c r="G891" i="34"/>
  <c r="G513" i="22"/>
  <c r="A635" i="28"/>
  <c r="A559" i="28"/>
  <c r="H337" i="16"/>
  <c r="G916" i="2"/>
  <c r="O143" i="29"/>
  <c r="G63" i="2"/>
  <c r="G353" i="34"/>
  <c r="G54" i="34"/>
  <c r="B998" i="28"/>
  <c r="H263" i="2"/>
  <c r="G234" i="2"/>
  <c r="G354" i="2"/>
  <c r="G344" i="2"/>
  <c r="G403" i="30"/>
  <c r="G150" i="2"/>
  <c r="G555" i="30"/>
  <c r="G123" i="30"/>
  <c r="B89" i="28"/>
  <c r="H599" i="16"/>
  <c r="H910" i="16"/>
  <c r="H500" i="2"/>
  <c r="G365" i="30"/>
  <c r="G267" i="2"/>
  <c r="G75" i="30"/>
  <c r="D45" i="29"/>
  <c r="G74" i="22"/>
  <c r="B656" i="28"/>
  <c r="G150" i="30"/>
  <c r="G212" i="34"/>
  <c r="A818" i="28"/>
  <c r="G991" i="30"/>
  <c r="G877" i="30"/>
  <c r="H290" i="2"/>
  <c r="G231" i="34"/>
  <c r="G338" i="30"/>
  <c r="G612" i="34"/>
  <c r="G844" i="34"/>
  <c r="G158" i="30"/>
  <c r="G280" i="30"/>
  <c r="U68" i="29"/>
  <c r="G814" i="34"/>
  <c r="A534" i="28"/>
  <c r="B538" i="28"/>
  <c r="G160" i="34"/>
  <c r="B336" i="28"/>
  <c r="G668" i="30"/>
  <c r="H1033" i="2"/>
  <c r="Z187" i="29"/>
  <c r="G587" i="2"/>
  <c r="B696" i="28"/>
  <c r="G764" i="30"/>
  <c r="B938" i="28"/>
  <c r="G106" i="34"/>
  <c r="G127" i="34"/>
  <c r="G739" i="34"/>
  <c r="G214" i="30"/>
  <c r="H905" i="16"/>
  <c r="G79" i="34"/>
  <c r="H413" i="22"/>
  <c r="H46" i="16"/>
  <c r="H259" i="16"/>
  <c r="H534" i="16"/>
  <c r="H97" i="2"/>
  <c r="H752" i="2"/>
  <c r="G42" i="22"/>
  <c r="O219" i="29"/>
  <c r="H320" i="2"/>
  <c r="G847" i="16"/>
  <c r="G990" i="2"/>
  <c r="H792" i="2"/>
  <c r="G468" i="16"/>
  <c r="H224" i="2"/>
  <c r="G695" i="2"/>
  <c r="H1077" i="2"/>
  <c r="B494" i="28"/>
  <c r="G337" i="2"/>
  <c r="H1040" i="2"/>
  <c r="B458" i="28"/>
  <c r="G713" i="34"/>
  <c r="G964" i="30"/>
  <c r="A587" i="28"/>
  <c r="G195" i="2"/>
  <c r="G327" i="30"/>
  <c r="G728" i="30"/>
  <c r="G646" i="34"/>
  <c r="O58" i="29"/>
  <c r="G656" i="34"/>
  <c r="H34" i="2"/>
  <c r="G169" i="30"/>
  <c r="G913" i="30"/>
  <c r="A1065" i="28"/>
  <c r="B350" i="28"/>
  <c r="B408" i="28"/>
  <c r="A509" i="28"/>
  <c r="B304" i="28"/>
  <c r="G318" i="34"/>
  <c r="G662" i="34"/>
  <c r="U113" i="29"/>
  <c r="B167" i="28"/>
  <c r="G289" i="34"/>
  <c r="B54" i="28"/>
  <c r="G141" i="30"/>
  <c r="Z5" i="29"/>
  <c r="A853" i="28"/>
  <c r="G304" i="30"/>
  <c r="A546" i="28"/>
  <c r="B1058" i="28"/>
  <c r="G51" i="34"/>
  <c r="G182" i="30"/>
  <c r="G305" i="30"/>
  <c r="Z172" i="29"/>
  <c r="B448" i="28"/>
  <c r="G972" i="30"/>
  <c r="G582" i="34"/>
  <c r="U86" i="29"/>
  <c r="B275" i="28"/>
  <c r="G38" i="30"/>
  <c r="Z29" i="29"/>
  <c r="G723" i="2"/>
  <c r="H450" i="2"/>
  <c r="G845" i="30"/>
  <c r="B186" i="28"/>
  <c r="A694" i="28"/>
  <c r="G642" i="23"/>
  <c r="G460" i="2"/>
  <c r="H519" i="2"/>
  <c r="G401" i="16"/>
  <c r="G985" i="30"/>
  <c r="H861" i="2"/>
  <c r="A536" i="28"/>
  <c r="O145" i="29"/>
  <c r="H237" i="2"/>
  <c r="Z126" i="29"/>
  <c r="B1080" i="28"/>
  <c r="G9" i="30"/>
  <c r="G743" i="34"/>
  <c r="G151" i="2"/>
  <c r="H132" i="2"/>
  <c r="G991" i="34"/>
  <c r="G257" i="2"/>
  <c r="U151" i="29"/>
  <c r="U40" i="29"/>
  <c r="G179" i="34"/>
  <c r="B672" i="28"/>
  <c r="Z87" i="29"/>
  <c r="H745" i="16"/>
  <c r="H18" i="2"/>
  <c r="G508" i="16"/>
  <c r="G934" i="2"/>
  <c r="G655" i="16"/>
  <c r="G777" i="30"/>
  <c r="H77" i="2"/>
  <c r="B65" i="28"/>
  <c r="G796" i="16"/>
  <c r="H108" i="16"/>
  <c r="G710" i="30"/>
  <c r="G126" i="30"/>
  <c r="A928" i="28"/>
  <c r="G198" i="30"/>
  <c r="O151" i="29"/>
  <c r="H983" i="16"/>
  <c r="H352" i="16"/>
  <c r="H528" i="2"/>
  <c r="A770" i="28"/>
  <c r="Z167" i="29"/>
  <c r="G4" i="2"/>
  <c r="A987" i="28"/>
  <c r="G525" i="34"/>
  <c r="H858" i="2"/>
  <c r="A909" i="28"/>
  <c r="B82" i="28"/>
  <c r="G780" i="2"/>
  <c r="A701" i="28"/>
  <c r="G302" i="34"/>
  <c r="B79" i="28"/>
  <c r="Z263" i="29"/>
  <c r="O46" i="29"/>
  <c r="G375" i="30"/>
  <c r="G410" i="30"/>
  <c r="G524" i="30"/>
  <c r="B892" i="28"/>
  <c r="B74" i="28"/>
  <c r="G185" i="30"/>
  <c r="G84" i="34"/>
  <c r="G821" i="30"/>
  <c r="G762" i="30"/>
  <c r="G791" i="30"/>
  <c r="O84" i="29"/>
  <c r="B47" i="28"/>
  <c r="B995" i="28"/>
  <c r="G620" i="16"/>
  <c r="G304" i="22"/>
  <c r="G59" i="2"/>
  <c r="G768" i="16"/>
  <c r="H491" i="2"/>
  <c r="G254" i="2"/>
  <c r="G190" i="30"/>
  <c r="G929" i="30"/>
  <c r="B103" i="28"/>
  <c r="G803" i="34"/>
  <c r="G892" i="2"/>
  <c r="Z221" i="29"/>
  <c r="A759" i="28"/>
  <c r="G797" i="2"/>
  <c r="H420" i="2"/>
  <c r="O109" i="29"/>
  <c r="H40" i="2"/>
  <c r="G709" i="2"/>
  <c r="G84" i="22"/>
  <c r="G627" i="34"/>
  <c r="H238" i="2"/>
  <c r="G686" i="30"/>
  <c r="G288" i="2"/>
  <c r="G528" i="2"/>
  <c r="H39" i="2"/>
  <c r="G830" i="30"/>
  <c r="G283" i="30"/>
  <c r="B297" i="28"/>
  <c r="G362" i="2"/>
  <c r="H605" i="16"/>
  <c r="H182" i="2"/>
  <c r="H641" i="2"/>
  <c r="G709" i="30"/>
  <c r="G984" i="34"/>
  <c r="A532" i="28"/>
  <c r="G851" i="30"/>
  <c r="B338" i="28"/>
  <c r="G152" i="34"/>
  <c r="G876" i="2"/>
  <c r="G597" i="2"/>
  <c r="A811" i="28"/>
  <c r="G919" i="34"/>
  <c r="G778" i="30"/>
  <c r="Z111" i="29"/>
  <c r="A976" i="28"/>
  <c r="G159" i="30"/>
  <c r="O172" i="29"/>
  <c r="A1077" i="28"/>
  <c r="H216" i="2"/>
  <c r="H669" i="2"/>
  <c r="B476" i="28"/>
  <c r="G532" i="30"/>
  <c r="G726" i="34"/>
  <c r="B203" i="28"/>
  <c r="G894" i="34"/>
  <c r="A896" i="28"/>
  <c r="U87" i="29"/>
  <c r="B369" i="28"/>
  <c r="A581" i="28"/>
  <c r="G658" i="34"/>
  <c r="A688" i="28"/>
  <c r="B674" i="28"/>
  <c r="A445" i="28"/>
  <c r="H47" i="2"/>
  <c r="G566" i="30"/>
  <c r="G349" i="34"/>
  <c r="G598" i="2"/>
  <c r="H782" i="2"/>
  <c r="G341" i="34"/>
  <c r="G705" i="2"/>
  <c r="O190" i="29"/>
  <c r="H717" i="22"/>
  <c r="G753" i="16"/>
  <c r="H272" i="16"/>
  <c r="G186" i="2"/>
  <c r="G903" i="30"/>
  <c r="G248" i="2"/>
  <c r="G252" i="2"/>
  <c r="G102" i="2"/>
  <c r="H704" i="2"/>
  <c r="H569" i="22"/>
  <c r="G627" i="2"/>
  <c r="O231" i="29"/>
  <c r="H358" i="2"/>
  <c r="G686" i="2"/>
  <c r="G204" i="30"/>
  <c r="G837" i="30"/>
  <c r="G389" i="2"/>
  <c r="G817" i="30"/>
  <c r="G925" i="2"/>
  <c r="B75" i="28"/>
  <c r="H837" i="2"/>
  <c r="G533" i="30"/>
  <c r="H1020" i="2"/>
  <c r="G982" i="30"/>
  <c r="G100" i="22"/>
  <c r="G926" i="34"/>
  <c r="H799" i="16"/>
  <c r="G851" i="2"/>
  <c r="B217" i="28"/>
  <c r="G698" i="30"/>
  <c r="G292" i="34"/>
  <c r="H311" i="16"/>
  <c r="G1042" i="2"/>
  <c r="H964" i="2"/>
  <c r="H982" i="16"/>
  <c r="G221" i="30"/>
  <c r="B35" i="28"/>
  <c r="O116" i="29"/>
  <c r="B992" i="28"/>
  <c r="H255" i="2"/>
  <c r="G1018" i="34"/>
  <c r="G213" i="2"/>
  <c r="G495" i="34"/>
  <c r="G205" i="2"/>
  <c r="G634" i="34"/>
  <c r="B248" i="28"/>
  <c r="G794" i="30"/>
  <c r="G405" i="30"/>
  <c r="G474" i="34"/>
  <c r="G998" i="34"/>
  <c r="A817" i="28"/>
  <c r="O193" i="29"/>
  <c r="G127" i="30"/>
  <c r="G570" i="2"/>
  <c r="B220" i="28"/>
  <c r="G501" i="34"/>
  <c r="H517" i="22"/>
  <c r="H1030" i="2"/>
  <c r="G1004" i="34"/>
  <c r="H214" i="2"/>
  <c r="G345" i="34"/>
  <c r="G218" i="2"/>
  <c r="G134" i="2"/>
  <c r="H526" i="16"/>
  <c r="G122" i="22"/>
  <c r="H570" i="2"/>
  <c r="H1048" i="2"/>
  <c r="H134" i="2"/>
  <c r="G765" i="34"/>
  <c r="H345" i="16"/>
  <c r="H225" i="2"/>
  <c r="G835" i="16"/>
  <c r="A799" i="28"/>
  <c r="Z147" i="29"/>
  <c r="G750" i="16"/>
  <c r="H671" i="16"/>
  <c r="G1058" i="2"/>
  <c r="U137" i="29"/>
  <c r="H207" i="2"/>
  <c r="H311" i="2"/>
  <c r="A567" i="28"/>
  <c r="G1033" i="16"/>
  <c r="G391" i="34"/>
  <c r="G90" i="34"/>
  <c r="B1074" i="28"/>
  <c r="H847" i="16"/>
  <c r="H449" i="2"/>
  <c r="G457" i="16"/>
  <c r="H621" i="2"/>
  <c r="H908" i="16"/>
  <c r="H1104" i="2"/>
  <c r="H192" i="16"/>
  <c r="G978" i="30"/>
  <c r="G328" i="2"/>
  <c r="G109" i="2"/>
  <c r="G902" i="2"/>
  <c r="G713" i="30"/>
  <c r="B49" i="28"/>
  <c r="A677" i="28"/>
  <c r="G896" i="30"/>
  <c r="G732" i="34"/>
  <c r="B233" i="28"/>
  <c r="A684" i="28"/>
  <c r="U142" i="29"/>
  <c r="G367" i="30"/>
  <c r="Z227" i="29"/>
  <c r="A642" i="28"/>
  <c r="G510" i="34"/>
  <c r="G317" i="2"/>
  <c r="G720" i="16"/>
  <c r="G337" i="34"/>
  <c r="H761" i="2"/>
  <c r="B966" i="28"/>
  <c r="G922" i="34"/>
  <c r="G202" i="2"/>
  <c r="G184" i="34"/>
  <c r="G175" i="30"/>
  <c r="U124" i="29"/>
  <c r="G572" i="34"/>
  <c r="G948" i="34"/>
  <c r="G129" i="2"/>
  <c r="G86" i="30"/>
  <c r="H863" i="16"/>
  <c r="B91" i="28"/>
  <c r="Z77" i="29"/>
  <c r="A708" i="28"/>
  <c r="G748" i="34"/>
  <c r="B322" i="28"/>
  <c r="B838" i="28"/>
  <c r="G921" i="34"/>
  <c r="G767" i="34"/>
  <c r="G746" i="16"/>
  <c r="H791" i="2"/>
  <c r="B131" i="28"/>
  <c r="G875" i="34"/>
  <c r="G757" i="30"/>
  <c r="A749" i="28"/>
  <c r="B42" i="28"/>
  <c r="G804" i="34"/>
  <c r="B716" i="28"/>
  <c r="G375" i="2"/>
  <c r="G880" i="30"/>
  <c r="G783" i="30"/>
  <c r="G319" i="34"/>
  <c r="O64" i="29"/>
  <c r="H271" i="22"/>
  <c r="H434" i="22"/>
  <c r="B253" i="28"/>
  <c r="G746" i="2"/>
  <c r="H679" i="2"/>
  <c r="G461" i="30"/>
  <c r="G647" i="16"/>
  <c r="D41" i="29"/>
  <c r="G457" i="2"/>
  <c r="H723" i="16"/>
  <c r="G969" i="34"/>
  <c r="G403" i="2"/>
  <c r="G558" i="16"/>
  <c r="G495" i="16"/>
  <c r="H619" i="2"/>
  <c r="H351" i="2"/>
  <c r="H215" i="2"/>
  <c r="G687" i="2"/>
  <c r="G253" i="34"/>
  <c r="G104" i="30"/>
  <c r="G523" i="22"/>
  <c r="H894" i="2"/>
  <c r="G769" i="16"/>
  <c r="H1087" i="2"/>
  <c r="H686" i="2"/>
  <c r="G128" i="2"/>
  <c r="G423" i="2"/>
  <c r="A584" i="28"/>
  <c r="H741" i="2"/>
  <c r="B948" i="28"/>
  <c r="B782" i="28"/>
  <c r="G968" i="34"/>
  <c r="G1034" i="2"/>
  <c r="G247" i="2"/>
  <c r="H1088" i="2"/>
  <c r="H48" i="16"/>
  <c r="H123" i="2"/>
  <c r="H314" i="2"/>
  <c r="H846" i="22"/>
  <c r="G506" i="22"/>
  <c r="G317" i="22"/>
  <c r="G652" i="16"/>
  <c r="H707" i="2"/>
  <c r="G977" i="16"/>
  <c r="G919" i="16"/>
  <c r="G678" i="2"/>
  <c r="G196" i="2"/>
  <c r="G110" i="2"/>
  <c r="H439" i="16"/>
  <c r="H940" i="16"/>
  <c r="H72" i="2"/>
  <c r="G397" i="2"/>
  <c r="H139" i="2"/>
  <c r="H384" i="2"/>
  <c r="H998" i="2"/>
  <c r="H343" i="22"/>
  <c r="H155" i="2"/>
  <c r="G256" i="2"/>
  <c r="G545" i="16"/>
  <c r="A763" i="28"/>
  <c r="G782" i="2"/>
  <c r="H428" i="2"/>
  <c r="A1088" i="28"/>
  <c r="G444" i="30"/>
  <c r="A756" i="28"/>
  <c r="G259" i="30"/>
  <c r="A930" i="28"/>
  <c r="G244" i="30"/>
  <c r="G254" i="34"/>
  <c r="G109" i="30"/>
  <c r="H149" i="22"/>
  <c r="H223" i="16"/>
  <c r="H980" i="16"/>
  <c r="H606" i="2"/>
  <c r="H689" i="22"/>
  <c r="G286" i="2"/>
  <c r="H932" i="2"/>
  <c r="G682" i="16"/>
  <c r="G174" i="2"/>
  <c r="B234" i="28"/>
  <c r="H505" i="2"/>
  <c r="B90" i="28"/>
  <c r="B246" i="28"/>
  <c r="G470" i="30"/>
  <c r="H536" i="2"/>
  <c r="B720" i="28"/>
  <c r="G799" i="34"/>
  <c r="H665" i="2"/>
  <c r="A673" i="28"/>
  <c r="G827" i="30"/>
  <c r="G133" i="30"/>
  <c r="G105" i="2"/>
  <c r="O40" i="29"/>
  <c r="G217" i="34"/>
  <c r="H616" i="2"/>
  <c r="B726" i="28"/>
  <c r="G1094" i="2"/>
  <c r="G901" i="2"/>
  <c r="G142" i="2"/>
  <c r="H495" i="2"/>
  <c r="G54" i="2"/>
  <c r="G301" i="2"/>
  <c r="H779" i="2"/>
  <c r="B357" i="28"/>
  <c r="B282" i="28"/>
  <c r="A622" i="28"/>
  <c r="Z139" i="29"/>
  <c r="B377" i="28"/>
  <c r="H569" i="2"/>
  <c r="G186" i="34"/>
  <c r="A440" i="28"/>
  <c r="G424" i="34"/>
  <c r="A861" i="28"/>
  <c r="G747" i="30"/>
  <c r="Z146" i="29"/>
  <c r="B630" i="28"/>
  <c r="G689" i="34"/>
  <c r="B760" i="28"/>
  <c r="G939" i="2"/>
  <c r="O205" i="29"/>
  <c r="B194" i="28"/>
  <c r="G544" i="30"/>
  <c r="G793" i="34"/>
  <c r="B1082" i="28"/>
  <c r="G716" i="34"/>
  <c r="G602" i="30"/>
  <c r="A952" i="28"/>
  <c r="G148" i="34"/>
  <c r="Z181" i="29"/>
  <c r="G667" i="34"/>
  <c r="Z12" i="29"/>
  <c r="B202" i="28"/>
  <c r="A1016" i="28"/>
  <c r="B872" i="28"/>
  <c r="G915" i="16"/>
  <c r="G919" i="2"/>
  <c r="B97" i="28"/>
  <c r="H1103" i="16"/>
  <c r="H414" i="16"/>
  <c r="A907" i="28"/>
  <c r="A805" i="28"/>
  <c r="Z42" i="29"/>
  <c r="G625" i="34"/>
  <c r="G488" i="34"/>
  <c r="Z130" i="29"/>
  <c r="G241" i="2"/>
  <c r="G762" i="22"/>
  <c r="G236" i="16"/>
  <c r="G761" i="30"/>
  <c r="H117" i="22"/>
  <c r="G373" i="34"/>
  <c r="H1100" i="2"/>
  <c r="G482" i="2"/>
  <c r="G381" i="16"/>
  <c r="G609" i="16"/>
  <c r="G190" i="2"/>
  <c r="G219" i="2"/>
  <c r="G693" i="2"/>
  <c r="H866" i="16"/>
  <c r="H376" i="2"/>
  <c r="A919" i="28"/>
  <c r="G768" i="2"/>
  <c r="G740" i="2"/>
  <c r="G65" i="34"/>
  <c r="G603" i="34"/>
  <c r="H405" i="2"/>
  <c r="G479" i="34"/>
  <c r="B292" i="28"/>
  <c r="H466" i="2"/>
  <c r="G390" i="30"/>
  <c r="A785" i="28"/>
  <c r="G829" i="30"/>
  <c r="B644" i="28"/>
  <c r="A421" i="28"/>
  <c r="Z211" i="29"/>
  <c r="A1018" i="28"/>
  <c r="H597" i="2"/>
  <c r="A137" i="28"/>
  <c r="A813" i="28"/>
  <c r="G151" i="34"/>
  <c r="G512" i="34"/>
  <c r="A561" i="28"/>
  <c r="G720" i="30"/>
  <c r="G805" i="30"/>
  <c r="A451" i="28"/>
  <c r="A923" i="28"/>
  <c r="G550" i="34"/>
  <c r="G177" i="34"/>
  <c r="G202" i="34"/>
  <c r="B98" i="28"/>
  <c r="G666" i="30"/>
  <c r="G63" i="34"/>
  <c r="U79" i="29"/>
  <c r="H602" i="2"/>
  <c r="B480" i="28"/>
  <c r="B158" i="28"/>
  <c r="G287" i="30"/>
  <c r="G161" i="30"/>
  <c r="H1020" i="16"/>
  <c r="G230" i="2"/>
  <c r="H852" i="2"/>
  <c r="B1046" i="28"/>
  <c r="H620" i="2"/>
  <c r="G654" i="30"/>
  <c r="G46" i="34"/>
  <c r="G338" i="2"/>
  <c r="O125" i="29"/>
  <c r="G728" i="2"/>
  <c r="G76" i="22"/>
  <c r="H39" i="16"/>
  <c r="G713" i="2"/>
  <c r="H209" i="16"/>
  <c r="A499" i="28"/>
  <c r="G614" i="2"/>
  <c r="G496" i="30"/>
  <c r="Z121" i="29"/>
  <c r="G491" i="2"/>
  <c r="H781" i="2"/>
  <c r="H503" i="16"/>
  <c r="U103" i="29"/>
  <c r="G986" i="34"/>
  <c r="G22" i="34"/>
  <c r="A875" i="28"/>
  <c r="B192" i="28"/>
  <c r="G652" i="2"/>
  <c r="G595" i="30"/>
  <c r="H887" i="16"/>
  <c r="G130" i="34"/>
  <c r="G221" i="16"/>
  <c r="G39" i="22"/>
  <c r="B237" i="28"/>
  <c r="G576" i="2"/>
  <c r="B321" i="28"/>
  <c r="G856" i="2"/>
  <c r="G467" i="2"/>
  <c r="G414" i="2"/>
  <c r="H1070" i="2"/>
  <c r="H336" i="16"/>
  <c r="A946" i="28"/>
  <c r="G499" i="34"/>
  <c r="G478" i="16"/>
  <c r="H938" i="2"/>
  <c r="A455" i="28"/>
  <c r="G321" i="34"/>
  <c r="G306" i="30"/>
  <c r="G49" i="16"/>
  <c r="G786" i="2"/>
  <c r="G1056" i="2"/>
  <c r="G399" i="2"/>
  <c r="G44" i="16"/>
  <c r="H41" i="2"/>
  <c r="U32" i="29"/>
  <c r="H567" i="2"/>
  <c r="Z58" i="29"/>
  <c r="A707" i="28"/>
  <c r="G78" i="30"/>
  <c r="A1083" i="28"/>
  <c r="H162" i="2"/>
  <c r="U83" i="29"/>
  <c r="O21" i="29"/>
  <c r="B289" i="28"/>
  <c r="G1013" i="2"/>
  <c r="G634" i="30"/>
  <c r="B227" i="28"/>
  <c r="G357" i="16"/>
  <c r="G368" i="22"/>
  <c r="G365" i="16"/>
  <c r="G40" i="22"/>
  <c r="G437" i="22"/>
  <c r="U37" i="29"/>
  <c r="G412" i="30"/>
  <c r="G629" i="30"/>
  <c r="G781" i="2"/>
  <c r="G808" i="2"/>
  <c r="H683" i="16"/>
  <c r="B396" i="28"/>
  <c r="G401" i="30"/>
  <c r="B108" i="28"/>
  <c r="G187" i="30"/>
  <c r="G831" i="34"/>
  <c r="G197" i="30"/>
  <c r="A705" i="28"/>
  <c r="G242" i="2"/>
  <c r="G279" i="30"/>
  <c r="G215" i="30"/>
  <c r="H1058" i="16"/>
  <c r="G35" i="30"/>
  <c r="U138" i="29"/>
  <c r="G443" i="34"/>
  <c r="G511" i="16"/>
  <c r="O108" i="29"/>
  <c r="H310" i="2"/>
  <c r="G372" i="34"/>
  <c r="H945" i="2"/>
  <c r="H610" i="2"/>
  <c r="G674" i="34"/>
  <c r="G874" i="30"/>
  <c r="B676" i="28"/>
  <c r="H375" i="16"/>
  <c r="B115" i="28"/>
  <c r="Z142" i="29"/>
  <c r="A449" i="28"/>
  <c r="A446" i="28"/>
  <c r="B168" i="28"/>
  <c r="A689" i="28"/>
  <c r="A744" i="28"/>
  <c r="G86" i="34"/>
  <c r="G97" i="30"/>
  <c r="G154" i="34"/>
  <c r="G459" i="34"/>
  <c r="Z2" i="29"/>
  <c r="Z33" i="29"/>
  <c r="G440" i="30"/>
  <c r="U46" i="29"/>
  <c r="A989" i="28"/>
  <c r="H329" i="2"/>
  <c r="H617" i="2"/>
  <c r="A676" i="28"/>
  <c r="A948" i="28"/>
  <c r="H241" i="16"/>
  <c r="B530" i="28"/>
  <c r="H465" i="2"/>
  <c r="G959" i="30"/>
  <c r="B586" i="28"/>
  <c r="G240" i="30"/>
  <c r="B400" i="28"/>
  <c r="G686" i="34"/>
  <c r="H451" i="16"/>
  <c r="G550" i="23"/>
  <c r="G105" i="16"/>
  <c r="G254" i="16"/>
  <c r="H17" i="22"/>
  <c r="H140" i="16"/>
  <c r="H848" i="2"/>
  <c r="H378" i="2"/>
  <c r="G27" i="16"/>
  <c r="U178" i="29"/>
  <c r="G96" i="30"/>
  <c r="U9" i="29"/>
  <c r="H364" i="2"/>
  <c r="G272" i="30"/>
  <c r="G466" i="2"/>
  <c r="G651" i="16"/>
  <c r="H288" i="2"/>
  <c r="G752" i="34"/>
  <c r="G590" i="30"/>
  <c r="G575" i="34"/>
  <c r="B177" i="28"/>
  <c r="A672" i="28"/>
  <c r="G369" i="2"/>
  <c r="G275" i="34"/>
  <c r="G931" i="16"/>
  <c r="G184" i="2"/>
  <c r="G719" i="16"/>
  <c r="G305" i="34"/>
  <c r="G837" i="2"/>
  <c r="H284" i="2"/>
  <c r="H479" i="2"/>
  <c r="G170" i="2"/>
  <c r="Z215" i="29"/>
  <c r="G704" i="2"/>
  <c r="U189" i="29"/>
  <c r="G774" i="34"/>
  <c r="G430" i="30"/>
  <c r="U70" i="29"/>
  <c r="H1076" i="16"/>
  <c r="G503" i="34"/>
  <c r="Z207" i="29"/>
  <c r="G915" i="34"/>
  <c r="G263" i="34"/>
  <c r="G289" i="2"/>
  <c r="Z76" i="29"/>
  <c r="G588" i="34"/>
  <c r="G688" i="30"/>
  <c r="G57" i="34"/>
  <c r="G84" i="30"/>
  <c r="H632" i="2"/>
  <c r="G688" i="2"/>
  <c r="Z103" i="29"/>
  <c r="A768" i="28"/>
  <c r="H562" i="2"/>
  <c r="G783" i="34"/>
  <c r="G828" i="2"/>
  <c r="H518" i="2"/>
  <c r="Z97" i="29"/>
  <c r="G252" i="30"/>
  <c r="B1056" i="28"/>
  <c r="A520" i="28"/>
  <c r="A937" i="28"/>
  <c r="B618" i="28"/>
  <c r="B688" i="28"/>
  <c r="H763" i="22"/>
  <c r="G509" i="34"/>
  <c r="H1012" i="2"/>
  <c r="G953" i="16"/>
  <c r="H912" i="2"/>
  <c r="H278" i="2"/>
  <c r="B165" i="28"/>
  <c r="G73" i="34"/>
  <c r="O94" i="29"/>
  <c r="H197" i="2"/>
  <c r="G371" i="34"/>
  <c r="G1029" i="2"/>
  <c r="H1111" i="16"/>
  <c r="G841" i="34"/>
  <c r="G494" i="2"/>
  <c r="A715" i="28"/>
  <c r="H232" i="2"/>
  <c r="H332" i="2"/>
  <c r="H554" i="2"/>
  <c r="A607" i="28"/>
  <c r="B752" i="28"/>
  <c r="G968" i="2"/>
  <c r="B1076" i="28"/>
  <c r="G654" i="23"/>
  <c r="G64" i="22"/>
  <c r="O182" i="29"/>
  <c r="G502" i="2"/>
  <c r="H112" i="2"/>
  <c r="G934" i="34"/>
  <c r="H717" i="16"/>
  <c r="H260" i="16"/>
  <c r="G29" i="34"/>
  <c r="G522" i="2"/>
  <c r="B245" i="28"/>
  <c r="H447" i="16"/>
  <c r="G751" i="2"/>
  <c r="G57" i="16"/>
  <c r="H385" i="2"/>
  <c r="G789" i="34"/>
  <c r="G867" i="2"/>
  <c r="G717" i="16"/>
  <c r="A594" i="28"/>
  <c r="G801" i="30"/>
  <c r="O157" i="29"/>
  <c r="B71" i="28"/>
  <c r="G452" i="2"/>
  <c r="G259" i="34"/>
  <c r="G99" i="16"/>
  <c r="H324" i="2"/>
  <c r="H41" i="16"/>
  <c r="H724" i="22"/>
  <c r="G606" i="23"/>
  <c r="H767" i="22"/>
  <c r="G340" i="30"/>
  <c r="G705" i="34"/>
  <c r="H531" i="2"/>
  <c r="G665" i="34"/>
  <c r="H1004" i="2"/>
  <c r="G251" i="16"/>
  <c r="G201" i="2"/>
  <c r="H930" i="2"/>
  <c r="A1071" i="28"/>
  <c r="G853" i="2"/>
  <c r="B460" i="28"/>
  <c r="G317" i="16"/>
  <c r="B668" i="28"/>
  <c r="G569" i="2"/>
  <c r="G616" i="30"/>
  <c r="H634" i="2"/>
  <c r="O247" i="29"/>
  <c r="Z159" i="29"/>
  <c r="O28" i="29"/>
  <c r="A844" i="28"/>
  <c r="G294" i="30"/>
  <c r="G133" i="2"/>
  <c r="B198" i="28"/>
  <c r="A1033" i="28"/>
  <c r="G20" i="34"/>
  <c r="G247" i="30"/>
  <c r="B796" i="28"/>
  <c r="A900" i="28"/>
  <c r="G190" i="34"/>
  <c r="G832" i="34"/>
  <c r="G827" i="34"/>
  <c r="A1028" i="28"/>
  <c r="G43" i="34"/>
  <c r="B786" i="28"/>
  <c r="G960" i="34"/>
  <c r="G486" i="30"/>
  <c r="G947" i="34"/>
  <c r="H703" i="2"/>
  <c r="H822" i="16"/>
  <c r="G1049" i="2"/>
  <c r="H14" i="2"/>
  <c r="G203" i="34"/>
  <c r="H113" i="22"/>
  <c r="B698" i="28"/>
  <c r="B510" i="28"/>
  <c r="G132" i="34"/>
  <c r="H168" i="16"/>
  <c r="H1015" i="2"/>
  <c r="G553" i="34"/>
  <c r="G220" i="30"/>
  <c r="G553" i="2"/>
  <c r="G818" i="34"/>
  <c r="G268" i="22"/>
  <c r="G230" i="22"/>
  <c r="G61" i="23"/>
  <c r="H881" i="22"/>
  <c r="H30" i="2"/>
  <c r="G679" i="2"/>
  <c r="G923" i="2"/>
  <c r="H990" i="22"/>
  <c r="H800" i="16"/>
  <c r="H899" i="16"/>
  <c r="G690" i="16"/>
  <c r="G871" i="30"/>
  <c r="G336" i="2"/>
  <c r="H261" i="2"/>
  <c r="G616" i="16"/>
  <c r="G603" i="2"/>
  <c r="G15" i="34"/>
  <c r="H695" i="16"/>
  <c r="G475" i="2"/>
  <c r="G942" i="30"/>
  <c r="G504" i="2"/>
  <c r="H1003" i="16"/>
  <c r="G397" i="22"/>
  <c r="G421" i="2"/>
  <c r="G237" i="23"/>
  <c r="G438" i="2"/>
  <c r="H64" i="2"/>
  <c r="H551" i="2"/>
  <c r="G225" i="34"/>
  <c r="B117" i="28"/>
  <c r="B742" i="28"/>
  <c r="H674" i="22"/>
  <c r="G965" i="2"/>
  <c r="H1091" i="2"/>
  <c r="H511" i="2"/>
  <c r="G23" i="34"/>
  <c r="H1069" i="2"/>
  <c r="H122" i="2"/>
  <c r="H1121" i="16"/>
  <c r="H743" i="22"/>
  <c r="G311" i="22"/>
  <c r="H609" i="16"/>
  <c r="G939" i="16"/>
  <c r="G714" i="2"/>
  <c r="A671" i="28"/>
  <c r="H244" i="2"/>
  <c r="G775" i="30"/>
  <c r="G510" i="16"/>
  <c r="H831" i="16"/>
  <c r="H1083" i="2"/>
  <c r="H1117" i="16"/>
  <c r="G569" i="30"/>
  <c r="H168" i="2"/>
  <c r="H979" i="16"/>
  <c r="H950" i="22"/>
  <c r="G246" i="16"/>
  <c r="H415" i="2"/>
  <c r="G1097" i="2"/>
  <c r="G381" i="34"/>
  <c r="G546" i="16"/>
  <c r="G1072" i="2"/>
  <c r="H891" i="16"/>
  <c r="H575" i="22"/>
  <c r="H849" i="2"/>
  <c r="H6" i="22"/>
  <c r="G557" i="34"/>
  <c r="G41" i="34"/>
  <c r="A431" i="28"/>
  <c r="G24" i="30"/>
  <c r="H890" i="2"/>
  <c r="H167" i="16"/>
  <c r="G244" i="2"/>
  <c r="H1054" i="16"/>
  <c r="H917" i="16"/>
  <c r="H1092" i="2"/>
  <c r="A1066" i="28"/>
  <c r="G352" i="2"/>
  <c r="B69" i="28"/>
  <c r="G117" i="34"/>
  <c r="O111" i="29"/>
  <c r="B61" i="28"/>
  <c r="H698" i="2"/>
  <c r="G115" i="2"/>
  <c r="O101" i="29"/>
  <c r="B373" i="28"/>
  <c r="H765" i="2"/>
  <c r="H354" i="2"/>
  <c r="G1104" i="2"/>
  <c r="H330" i="16"/>
  <c r="G243" i="2"/>
  <c r="H97" i="16"/>
  <c r="G1067" i="2"/>
  <c r="G1082" i="2"/>
  <c r="G389" i="30"/>
  <c r="H1039" i="2"/>
  <c r="A512" i="28"/>
  <c r="G978" i="34"/>
  <c r="A664" i="28"/>
  <c r="A867" i="28"/>
  <c r="G126" i="34"/>
  <c r="G861" i="30"/>
  <c r="G799" i="30"/>
  <c r="B58" i="28"/>
  <c r="H885" i="2"/>
  <c r="G296" i="34"/>
  <c r="H810" i="2"/>
  <c r="A758" i="28"/>
  <c r="G730" i="34"/>
  <c r="G414" i="34"/>
  <c r="B970" i="28"/>
  <c r="Z114" i="29"/>
  <c r="G1005" i="2"/>
  <c r="A1001" i="28"/>
  <c r="H356" i="2"/>
  <c r="G626" i="30"/>
  <c r="G276" i="2"/>
  <c r="H60" i="2"/>
  <c r="B355" i="28"/>
  <c r="B62" i="28"/>
  <c r="Z79" i="29"/>
  <c r="Z170" i="29"/>
  <c r="B314" i="28"/>
  <c r="B852" i="28"/>
  <c r="G749" i="2"/>
  <c r="G44" i="2"/>
  <c r="G444" i="34"/>
  <c r="H942" i="16"/>
  <c r="G1026" i="34"/>
  <c r="B780" i="28"/>
  <c r="A542" i="28"/>
  <c r="G1010" i="34"/>
  <c r="G374" i="34"/>
  <c r="U167" i="29"/>
  <c r="G447" i="16"/>
  <c r="H559" i="16"/>
  <c r="G189" i="16"/>
  <c r="H855" i="2"/>
  <c r="G989" i="34"/>
  <c r="H550" i="22"/>
  <c r="H451" i="2"/>
  <c r="G530" i="2"/>
  <c r="H565" i="2"/>
  <c r="H555" i="16"/>
  <c r="G109" i="34"/>
  <c r="G473" i="34"/>
  <c r="G526" i="16"/>
  <c r="O188" i="29"/>
  <c r="H50" i="2"/>
  <c r="H474" i="2"/>
  <c r="H1102" i="2"/>
  <c r="H813" i="2"/>
  <c r="A1030" i="28"/>
  <c r="G544" i="2"/>
  <c r="G681" i="2"/>
  <c r="G846" i="30"/>
  <c r="G609" i="34"/>
  <c r="G64" i="2"/>
  <c r="Z89" i="29"/>
  <c r="H283" i="2"/>
  <c r="G525" i="2"/>
  <c r="H1103" i="2"/>
  <c r="G168" i="2"/>
  <c r="G434" i="2"/>
  <c r="H196" i="16"/>
  <c r="G321" i="2"/>
  <c r="G486" i="34"/>
  <c r="G271" i="30"/>
  <c r="B179" i="28"/>
  <c r="A1029" i="28"/>
  <c r="H457" i="2"/>
  <c r="G369" i="30"/>
  <c r="G720" i="2"/>
  <c r="G315" i="34"/>
  <c r="B464" i="28"/>
  <c r="G144" i="34"/>
  <c r="Z157" i="29"/>
  <c r="U64" i="29"/>
  <c r="A742" i="28"/>
  <c r="A648" i="28"/>
  <c r="G941" i="2"/>
  <c r="B596" i="28"/>
  <c r="H1014" i="16"/>
  <c r="G756" i="34"/>
  <c r="G892" i="30"/>
  <c r="O163" i="29"/>
  <c r="G189" i="30"/>
  <c r="G149" i="2"/>
  <c r="B598" i="28"/>
  <c r="A820" i="28"/>
  <c r="G857" i="30"/>
  <c r="Z21" i="29"/>
  <c r="G653" i="30"/>
  <c r="Z116" i="29"/>
  <c r="A636" i="28"/>
  <c r="G128" i="34"/>
  <c r="B112" i="28"/>
  <c r="G183" i="2"/>
  <c r="H838" i="16"/>
  <c r="U158" i="29"/>
  <c r="H876" i="16"/>
  <c r="G684" i="16"/>
  <c r="D43" i="29"/>
  <c r="U159" i="29"/>
  <c r="G905" i="30"/>
  <c r="G905" i="2"/>
  <c r="B874" i="28"/>
  <c r="G220" i="34"/>
  <c r="A544" i="28"/>
  <c r="H992" i="16"/>
  <c r="H860" i="2"/>
  <c r="G855" i="16"/>
  <c r="G115" i="34"/>
  <c r="H668" i="2"/>
  <c r="H531" i="16"/>
  <c r="G895" i="34"/>
  <c r="G1019" i="2"/>
  <c r="A783" i="28"/>
  <c r="G440" i="2"/>
  <c r="G468" i="2"/>
  <c r="Z91" i="29"/>
  <c r="G421" i="34"/>
  <c r="G910" i="2"/>
  <c r="G278" i="2"/>
  <c r="H760" i="2"/>
  <c r="B249" i="28"/>
  <c r="H509" i="2"/>
  <c r="H301" i="2"/>
  <c r="H377" i="2"/>
  <c r="H86" i="2"/>
  <c r="H29" i="16"/>
  <c r="H218" i="2"/>
  <c r="G420" i="34"/>
  <c r="A828" i="28"/>
  <c r="G5" i="2"/>
  <c r="G113" i="2"/>
  <c r="G751" i="16"/>
  <c r="G555" i="2"/>
  <c r="G649" i="16"/>
  <c r="G262" i="34"/>
  <c r="H515" i="2"/>
  <c r="G87" i="2"/>
  <c r="H876" i="2"/>
  <c r="G563" i="30"/>
  <c r="G364" i="30"/>
  <c r="G55" i="2"/>
  <c r="G887" i="34"/>
  <c r="G974" i="30"/>
  <c r="O118" i="29"/>
  <c r="H700" i="2"/>
  <c r="A702" i="28"/>
  <c r="G197" i="2"/>
  <c r="G584" i="30"/>
  <c r="A468" i="28"/>
  <c r="G81" i="30"/>
  <c r="G49" i="2"/>
  <c r="G6" i="34"/>
  <c r="G990" i="30"/>
  <c r="G327" i="34"/>
  <c r="G263" i="30"/>
  <c r="G40" i="34"/>
  <c r="G225" i="30"/>
  <c r="G108" i="34"/>
  <c r="B632" i="28"/>
  <c r="G901" i="30"/>
  <c r="H752" i="16"/>
  <c r="G492" i="16"/>
  <c r="G1009" i="16"/>
  <c r="H394" i="2"/>
  <c r="G594" i="16"/>
  <c r="G147" i="2"/>
  <c r="G975" i="34"/>
  <c r="G428" i="34"/>
  <c r="H759" i="2"/>
  <c r="B230" i="28"/>
  <c r="G961" i="30"/>
  <c r="H174" i="16"/>
  <c r="G22" i="30"/>
  <c r="H566" i="2"/>
  <c r="G552" i="16"/>
  <c r="G950" i="34"/>
  <c r="B512" i="28"/>
  <c r="A547" i="28"/>
  <c r="G229" i="2"/>
  <c r="G931" i="34"/>
  <c r="O22" i="29"/>
  <c r="Z261" i="29"/>
  <c r="G773" i="2"/>
  <c r="G77" i="22"/>
  <c r="G936" i="34"/>
  <c r="A615" i="28"/>
  <c r="G232" i="22"/>
  <c r="G638" i="30"/>
  <c r="G363" i="16"/>
  <c r="H1093" i="2"/>
  <c r="A494" i="28"/>
  <c r="U102" i="29"/>
  <c r="A470" i="28"/>
  <c r="A1042" i="28"/>
  <c r="O171" i="29"/>
  <c r="H729" i="2"/>
  <c r="A590" i="28"/>
  <c r="H1001" i="2"/>
  <c r="U100" i="29"/>
  <c r="G73" i="30"/>
  <c r="B395" i="28"/>
  <c r="A968" i="28"/>
  <c r="O253" i="29"/>
  <c r="B902" i="28"/>
  <c r="H690" i="2"/>
  <c r="G38" i="34"/>
  <c r="G542" i="34"/>
  <c r="G999" i="34"/>
  <c r="B150" i="28"/>
  <c r="G651" i="34"/>
  <c r="G79" i="30"/>
  <c r="G591" i="30"/>
  <c r="A517" i="28"/>
  <c r="G423" i="34"/>
  <c r="B568" i="28"/>
  <c r="G866" i="34"/>
  <c r="H657" i="2"/>
  <c r="B134" i="28"/>
  <c r="G252" i="34"/>
  <c r="G69" i="30"/>
  <c r="B294" i="28"/>
  <c r="G616" i="34"/>
  <c r="H976" i="2"/>
  <c r="B312" i="28"/>
  <c r="G430" i="16"/>
  <c r="G327" i="22"/>
  <c r="H939" i="2"/>
  <c r="Z150" i="29"/>
  <c r="H398" i="16"/>
  <c r="G67" i="16"/>
  <c r="G754" i="2"/>
  <c r="G722" i="2"/>
  <c r="G634" i="2"/>
  <c r="A424" i="28"/>
  <c r="A564" i="28"/>
  <c r="B506" i="28"/>
  <c r="G411" i="34"/>
  <c r="G36" i="34"/>
  <c r="H794" i="2"/>
  <c r="B932" i="28"/>
  <c r="G340" i="34"/>
  <c r="O42" i="29"/>
  <c r="A774" i="28"/>
  <c r="G626" i="34"/>
  <c r="A434" i="28"/>
  <c r="G647" i="34"/>
  <c r="U28" i="29"/>
  <c r="H92" i="2"/>
  <c r="G787" i="34"/>
  <c r="G849" i="30"/>
  <c r="H520" i="22"/>
  <c r="G500" i="23"/>
  <c r="H838" i="2"/>
  <c r="G490" i="16"/>
  <c r="G620" i="23"/>
  <c r="H573" i="16"/>
  <c r="Z247" i="29"/>
  <c r="O79" i="29"/>
  <c r="A1059" i="28"/>
  <c r="H790" i="2"/>
  <c r="A842" i="28"/>
  <c r="B231" i="28"/>
  <c r="G694" i="16"/>
  <c r="G424" i="22"/>
  <c r="U12" i="29"/>
  <c r="B394" i="28"/>
  <c r="G271" i="34"/>
  <c r="U157" i="29"/>
  <c r="A992" i="28"/>
  <c r="H706" i="2"/>
  <c r="G333" i="2"/>
  <c r="G881" i="30"/>
  <c r="G824" i="30"/>
  <c r="G290" i="34"/>
  <c r="A488" i="28"/>
  <c r="H561" i="2"/>
  <c r="A845" i="28"/>
  <c r="G111" i="34"/>
  <c r="G103" i="30"/>
  <c r="G692" i="34"/>
  <c r="G280" i="34"/>
  <c r="G535" i="30"/>
  <c r="H7" i="2"/>
  <c r="B315" i="28"/>
  <c r="A454" i="28"/>
  <c r="G994" i="30"/>
  <c r="G174" i="34"/>
  <c r="H388" i="16"/>
  <c r="A1023" i="28"/>
  <c r="H276" i="16"/>
  <c r="H1002" i="16"/>
  <c r="H420" i="16"/>
  <c r="H996" i="2"/>
  <c r="H857" i="16"/>
  <c r="H587" i="2"/>
  <c r="A807" i="28"/>
  <c r="G734" i="30"/>
  <c r="A775" i="28"/>
  <c r="H767" i="2"/>
  <c r="G144" i="30"/>
  <c r="G343" i="2"/>
  <c r="G629" i="34"/>
  <c r="Z102" i="29"/>
  <c r="G855" i="30"/>
  <c r="H213" i="2"/>
  <c r="G547" i="34"/>
  <c r="A519" i="28"/>
  <c r="G476" i="34"/>
  <c r="H137" i="2"/>
  <c r="G239" i="2"/>
  <c r="A655" i="28"/>
  <c r="H833" i="2"/>
  <c r="H212" i="2"/>
  <c r="G86" i="2"/>
  <c r="H448" i="2"/>
  <c r="B153" i="28"/>
  <c r="H916" i="16"/>
  <c r="G32" i="22"/>
  <c r="G533" i="2"/>
  <c r="H307" i="2"/>
  <c r="H712" i="2"/>
  <c r="G177" i="16"/>
  <c r="G966" i="30"/>
  <c r="B365" i="28"/>
  <c r="A1006" i="28"/>
  <c r="G874" i="2"/>
  <c r="H944" i="2"/>
  <c r="A1051" i="28"/>
  <c r="H883" i="2"/>
  <c r="G816" i="34"/>
  <c r="G125" i="2"/>
  <c r="B39" i="28"/>
  <c r="H481" i="16"/>
  <c r="G657" i="2"/>
  <c r="G427" i="34"/>
  <c r="Z40" i="29"/>
  <c r="B163" i="28"/>
  <c r="B1064" i="28"/>
  <c r="B560" i="28"/>
  <c r="G268" i="34"/>
  <c r="A800" i="28"/>
  <c r="B263" i="28"/>
  <c r="G246" i="22"/>
  <c r="A442" i="28"/>
  <c r="B450" i="28"/>
  <c r="G834" i="30"/>
  <c r="A882" i="28"/>
  <c r="G879" i="34"/>
  <c r="G802" i="2"/>
  <c r="G1005" i="16"/>
  <c r="G204" i="34"/>
  <c r="B218" i="28"/>
  <c r="G475" i="34"/>
  <c r="U148" i="29"/>
  <c r="G351" i="34"/>
  <c r="U62" i="29"/>
  <c r="G159" i="34"/>
  <c r="H57" i="2"/>
  <c r="G816" i="30"/>
  <c r="A798" i="28"/>
  <c r="B272" i="28"/>
  <c r="H620" i="22"/>
  <c r="H236" i="16"/>
  <c r="G1024" i="2"/>
  <c r="H994" i="16"/>
  <c r="G123" i="2"/>
  <c r="G1059" i="16"/>
  <c r="G324" i="16"/>
  <c r="H310" i="16"/>
  <c r="H822" i="2"/>
  <c r="G605" i="34"/>
  <c r="G935" i="2"/>
  <c r="H166" i="2"/>
  <c r="G409" i="2"/>
  <c r="G182" i="2"/>
  <c r="U90" i="29"/>
  <c r="B201" i="28"/>
  <c r="G988" i="34"/>
  <c r="G197" i="34"/>
  <c r="A877" i="28"/>
  <c r="H425" i="2"/>
  <c r="G918" i="34"/>
  <c r="G481" i="34"/>
  <c r="B72" i="28"/>
  <c r="G201" i="16"/>
  <c r="G131" i="2"/>
  <c r="G534" i="30"/>
  <c r="H800" i="2"/>
  <c r="O170" i="29"/>
  <c r="G81" i="34"/>
  <c r="G1064" i="2"/>
  <c r="B454" i="28"/>
  <c r="G1121" i="2"/>
  <c r="H566" i="22"/>
  <c r="O117" i="29"/>
  <c r="H81" i="2"/>
  <c r="B830" i="28"/>
  <c r="H1113" i="2"/>
  <c r="G516" i="2"/>
  <c r="G143" i="2"/>
  <c r="G331" i="2"/>
  <c r="H459" i="2"/>
  <c r="G651" i="30"/>
  <c r="H463" i="2"/>
  <c r="H987" i="2"/>
  <c r="H353" i="16"/>
  <c r="B250" i="28"/>
  <c r="G893" i="30"/>
  <c r="H841" i="2"/>
  <c r="G104" i="34"/>
  <c r="G317" i="30"/>
  <c r="A862" i="28"/>
  <c r="H824" i="2"/>
  <c r="G352" i="30"/>
  <c r="G299" i="34"/>
  <c r="A793" i="28"/>
  <c r="U22" i="29"/>
  <c r="B880" i="28"/>
  <c r="G612" i="30"/>
  <c r="G734" i="34"/>
  <c r="G169" i="34"/>
  <c r="B442" i="28"/>
  <c r="A685" i="28"/>
  <c r="G576" i="34"/>
  <c r="H626" i="2"/>
  <c r="H398" i="2"/>
  <c r="B309" i="28"/>
  <c r="H461" i="2"/>
  <c r="G106" i="16"/>
  <c r="A687" i="28"/>
  <c r="G147" i="30"/>
  <c r="H1055" i="16"/>
  <c r="H817" i="22"/>
  <c r="G471" i="2"/>
  <c r="G845" i="16"/>
  <c r="Z163" i="29"/>
  <c r="H773" i="2"/>
  <c r="H873" i="2"/>
  <c r="G191" i="2"/>
  <c r="H600" i="2"/>
  <c r="A967" i="28"/>
  <c r="G409" i="34"/>
  <c r="G608" i="2"/>
  <c r="G492" i="2"/>
  <c r="G449" i="34"/>
  <c r="H265" i="2"/>
  <c r="G245" i="34"/>
  <c r="G235" i="30"/>
  <c r="G284" i="2"/>
  <c r="G330" i="2"/>
  <c r="A847" i="28"/>
  <c r="G15" i="30"/>
  <c r="B578" i="28"/>
  <c r="U26" i="29"/>
  <c r="G363" i="34"/>
  <c r="G12" i="30"/>
  <c r="B1018" i="28"/>
  <c r="G438" i="34"/>
  <c r="G696" i="30"/>
  <c r="G417" i="34"/>
  <c r="G537" i="34"/>
  <c r="H664" i="2"/>
  <c r="B385" i="28"/>
  <c r="A474" i="28"/>
  <c r="G955" i="30"/>
  <c r="G423" i="30"/>
  <c r="A961" i="28"/>
  <c r="G157" i="2"/>
  <c r="G773" i="30"/>
  <c r="G989" i="30"/>
  <c r="G152" i="2"/>
  <c r="G208" i="34"/>
  <c r="A840" i="28"/>
  <c r="G414" i="30"/>
  <c r="G509" i="30"/>
  <c r="Z180" i="29"/>
  <c r="G117" i="2"/>
  <c r="B410" i="28"/>
  <c r="G987" i="30"/>
  <c r="G87" i="30"/>
  <c r="A881" i="28"/>
  <c r="G434" i="30"/>
  <c r="G660" i="30"/>
  <c r="G5" i="34"/>
  <c r="U50" i="29"/>
  <c r="G794" i="34"/>
  <c r="U162" i="29"/>
  <c r="G867" i="34"/>
  <c r="G574" i="34"/>
  <c r="G6" i="30"/>
  <c r="B640" i="28"/>
  <c r="G578" i="30"/>
  <c r="H1101" i="16"/>
  <c r="H128" i="2"/>
  <c r="H61" i="22"/>
  <c r="H533" i="16"/>
  <c r="G58" i="16"/>
  <c r="G880" i="2"/>
  <c r="H895" i="2"/>
  <c r="B367" i="28"/>
  <c r="G782" i="16"/>
  <c r="G1061" i="2"/>
  <c r="Z138" i="29"/>
  <c r="A478" i="28"/>
  <c r="B778" i="28"/>
  <c r="G193" i="30"/>
  <c r="G72" i="30"/>
  <c r="B1004" i="28"/>
  <c r="A458" i="28"/>
  <c r="G775" i="34"/>
  <c r="B170" i="28"/>
  <c r="A649" i="28"/>
  <c r="G1023" i="34"/>
  <c r="B262" i="28"/>
  <c r="G502" i="16"/>
  <c r="G498" i="2"/>
  <c r="G810" i="30"/>
  <c r="H304" i="2"/>
  <c r="B287" i="28"/>
  <c r="G606" i="30"/>
  <c r="A420" i="28"/>
  <c r="B185" i="28"/>
  <c r="A790" i="28"/>
  <c r="H798" i="22"/>
  <c r="H717" i="2"/>
  <c r="A486" i="28"/>
  <c r="G222" i="2"/>
  <c r="A1060" i="28"/>
  <c r="U135" i="29"/>
  <c r="G113" i="34"/>
  <c r="U84" i="29"/>
  <c r="H56" i="2"/>
  <c r="G56" i="30"/>
  <c r="G761" i="34"/>
  <c r="H547" i="16"/>
  <c r="G103" i="2"/>
  <c r="B846" i="28"/>
  <c r="G447" i="34"/>
  <c r="G317" i="34"/>
  <c r="H604" i="2"/>
  <c r="A459" i="28"/>
  <c r="G266" i="2"/>
  <c r="G566" i="34"/>
  <c r="G1021" i="34"/>
  <c r="G907" i="30"/>
  <c r="A834" i="28"/>
  <c r="H315" i="16"/>
  <c r="G348" i="2"/>
  <c r="B814" i="28"/>
  <c r="B268" i="28"/>
  <c r="G210" i="34"/>
  <c r="G92" i="2"/>
  <c r="G983" i="34"/>
  <c r="H523" i="2"/>
  <c r="G61" i="2"/>
  <c r="G973" i="16"/>
  <c r="G92" i="30"/>
  <c r="G954" i="34"/>
  <c r="G150" i="34"/>
  <c r="O99" i="29"/>
  <c r="G386" i="2"/>
  <c r="H361" i="2"/>
  <c r="U117" i="29"/>
  <c r="G237" i="30"/>
  <c r="A630" i="28"/>
  <c r="G946" i="34"/>
  <c r="A796" i="28"/>
  <c r="G543" i="34"/>
  <c r="G183" i="22"/>
  <c r="B278" i="28"/>
  <c r="G50" i="2"/>
  <c r="U161" i="29"/>
  <c r="G83" i="34"/>
  <c r="U14" i="29"/>
  <c r="Z117" i="29"/>
  <c r="G724" i="34"/>
  <c r="G281" i="2"/>
  <c r="A666" i="28"/>
  <c r="A904" i="28"/>
  <c r="G309" i="2"/>
  <c r="G776" i="30"/>
  <c r="G257" i="30"/>
  <c r="G990" i="34"/>
  <c r="G477" i="2"/>
  <c r="G224" i="34"/>
  <c r="A698" i="28"/>
  <c r="G911" i="16"/>
  <c r="G151" i="30"/>
  <c r="O185" i="29"/>
  <c r="G122" i="34"/>
  <c r="G264" i="30"/>
  <c r="A766" i="28"/>
  <c r="B1002" i="28"/>
  <c r="H239" i="16"/>
  <c r="G568" i="30"/>
  <c r="G654" i="34"/>
  <c r="G432" i="34"/>
  <c r="G927" i="2"/>
  <c r="G297" i="2"/>
  <c r="A436" i="28"/>
  <c r="G517" i="30"/>
  <c r="A839" i="28"/>
  <c r="G31" i="30"/>
  <c r="U149" i="29"/>
  <c r="G834" i="2"/>
  <c r="G883" i="30"/>
  <c r="G995" i="34"/>
  <c r="A592" i="28"/>
  <c r="A563" i="28"/>
  <c r="G863" i="30"/>
  <c r="G667" i="30"/>
  <c r="G286" i="34"/>
  <c r="G664" i="30"/>
  <c r="Z233" i="29"/>
  <c r="A884" i="28"/>
  <c r="O100" i="29"/>
  <c r="G105" i="30"/>
  <c r="B816" i="28"/>
  <c r="G406" i="30"/>
  <c r="G56" i="34"/>
  <c r="A990" i="28"/>
  <c r="A613" i="28"/>
  <c r="A497" i="28"/>
  <c r="A425" i="28"/>
  <c r="B690" i="28"/>
  <c r="G450" i="16"/>
  <c r="A765" i="28"/>
  <c r="B347" i="28"/>
  <c r="A889" i="28"/>
  <c r="G1009" i="34"/>
  <c r="O162" i="29"/>
  <c r="B738" i="28"/>
  <c r="G655" i="30"/>
  <c r="H1080" i="2"/>
  <c r="G392" i="2"/>
  <c r="A874" i="28"/>
  <c r="G169" i="2"/>
  <c r="B508" i="28"/>
  <c r="U25" i="29"/>
  <c r="U98" i="29"/>
  <c r="G917" i="30"/>
  <c r="G661" i="2"/>
  <c r="G595" i="34"/>
  <c r="G260" i="34"/>
  <c r="G701" i="30"/>
  <c r="H806" i="2"/>
  <c r="G673" i="30"/>
  <c r="G320" i="30"/>
  <c r="G23" i="30"/>
  <c r="G714" i="34"/>
  <c r="G237" i="2"/>
  <c r="G387" i="34"/>
  <c r="H1055" i="2"/>
  <c r="A1004" i="28"/>
  <c r="G539" i="2"/>
  <c r="A925" i="28"/>
  <c r="G870" i="30"/>
  <c r="B988" i="28"/>
  <c r="A1091" i="28"/>
  <c r="B766" i="28"/>
  <c r="O14" i="29"/>
  <c r="G979" i="30"/>
  <c r="H696" i="2"/>
  <c r="A732" i="28"/>
  <c r="B736" i="28"/>
  <c r="B120" i="28"/>
  <c r="A558" i="28"/>
  <c r="B195" i="28"/>
  <c r="G965" i="30"/>
  <c r="A734" i="28"/>
  <c r="G513" i="30"/>
  <c r="G316" i="34"/>
  <c r="G866" i="2"/>
  <c r="O225" i="29"/>
  <c r="G383" i="30"/>
  <c r="O197" i="29"/>
  <c r="G836" i="30"/>
  <c r="H989" i="2"/>
  <c r="G425" i="2"/>
  <c r="B662" i="28"/>
  <c r="B492" i="28"/>
  <c r="G526" i="34"/>
  <c r="G792" i="34"/>
  <c r="G355" i="34"/>
  <c r="Z99" i="29"/>
  <c r="U109" i="29"/>
  <c r="G839" i="34"/>
  <c r="G145" i="30"/>
  <c r="G178" i="2"/>
  <c r="G920" i="30"/>
  <c r="G45" i="34"/>
  <c r="H369" i="22"/>
  <c r="D53" i="29"/>
  <c r="B209" i="28"/>
  <c r="A645" i="28"/>
  <c r="A576" i="28"/>
  <c r="G659" i="30"/>
  <c r="H211" i="2"/>
  <c r="B894" i="28"/>
  <c r="A825" i="28"/>
  <c r="G203" i="30"/>
  <c r="H573" i="2"/>
  <c r="G788" i="2"/>
  <c r="H60" i="16"/>
  <c r="G741" i="34"/>
  <c r="A1031" i="28"/>
  <c r="G465" i="34"/>
  <c r="G48" i="30"/>
  <c r="H430" i="16"/>
  <c r="G311" i="34"/>
  <c r="U93" i="29"/>
  <c r="G81" i="2"/>
  <c r="O93" i="29"/>
  <c r="G679" i="34"/>
  <c r="B172" i="28"/>
  <c r="A716" i="28"/>
  <c r="G396" i="34"/>
  <c r="G221" i="2"/>
  <c r="G217" i="2"/>
  <c r="O5" i="29"/>
  <c r="G196" i="30"/>
  <c r="B63" i="28"/>
  <c r="B59" i="28"/>
  <c r="A1070" i="28"/>
  <c r="G1001" i="34"/>
  <c r="A432" i="28"/>
  <c r="G691" i="30"/>
  <c r="G176" i="30"/>
  <c r="G246" i="30"/>
  <c r="A593" i="28"/>
  <c r="H722" i="2"/>
  <c r="A508" i="28"/>
  <c r="A617" i="28"/>
  <c r="G156" i="30"/>
  <c r="G876" i="30"/>
  <c r="Z177" i="29"/>
  <c r="G32" i="34"/>
  <c r="G910" i="34"/>
  <c r="G10" i="34"/>
  <c r="G330" i="30"/>
  <c r="H32" i="2"/>
  <c r="H660" i="2"/>
  <c r="G120" i="34"/>
  <c r="B376" i="28"/>
  <c r="A921" i="28"/>
  <c r="G238" i="34"/>
  <c r="G343" i="30"/>
  <c r="Z178" i="29"/>
  <c r="G881" i="2"/>
  <c r="G254" i="30"/>
  <c r="B536" i="28"/>
  <c r="H312" i="16"/>
  <c r="A712" i="28"/>
  <c r="B324" i="28"/>
  <c r="G455" i="34"/>
  <c r="G757" i="34"/>
  <c r="G672" i="34"/>
  <c r="O73" i="29"/>
  <c r="H702" i="2"/>
  <c r="G716" i="30"/>
  <c r="G521" i="2"/>
  <c r="H297" i="16"/>
  <c r="A596" i="28"/>
  <c r="G451" i="30"/>
  <c r="G41" i="2"/>
  <c r="U105" i="29"/>
  <c r="G599" i="30"/>
  <c r="G584" i="34"/>
  <c r="Z107" i="29"/>
  <c r="H346" i="2"/>
  <c r="B327" i="28"/>
  <c r="G306" i="34"/>
  <c r="A821" i="28"/>
  <c r="B240" i="28"/>
  <c r="Z66" i="29"/>
  <c r="G282" i="30"/>
  <c r="A994" i="28"/>
  <c r="G1008" i="34"/>
  <c r="H9" i="2"/>
  <c r="B222" i="28"/>
  <c r="G833" i="30"/>
  <c r="G772" i="34"/>
  <c r="A728" i="28"/>
  <c r="U121" i="29"/>
  <c r="H1017" i="2"/>
  <c r="G59" i="34"/>
  <c r="H119" i="2"/>
  <c r="A426" i="28"/>
  <c r="G727" i="30"/>
  <c r="D72" i="29"/>
  <c r="Z223" i="29"/>
  <c r="O178" i="29"/>
  <c r="B794" i="28"/>
  <c r="G435" i="30"/>
  <c r="B482" i="28"/>
  <c r="B303" i="28"/>
  <c r="G326" i="2"/>
  <c r="A993" i="28"/>
  <c r="G118" i="30"/>
  <c r="H1057" i="2"/>
  <c r="G446" i="34"/>
  <c r="G142" i="34"/>
  <c r="G215" i="34"/>
  <c r="G830" i="34"/>
  <c r="O115" i="29"/>
  <c r="G509" i="2"/>
  <c r="B1028" i="28"/>
  <c r="G849" i="34"/>
  <c r="H712" i="22"/>
  <c r="G911" i="34"/>
  <c r="G1118" i="2"/>
  <c r="G71" i="2"/>
  <c r="H844" i="2"/>
  <c r="G347" i="2"/>
  <c r="H116" i="2"/>
  <c r="G249" i="16"/>
  <c r="G305" i="16"/>
  <c r="G846" i="2"/>
  <c r="G292" i="30"/>
  <c r="G46" i="30"/>
  <c r="H490" i="2"/>
  <c r="H1010" i="2"/>
  <c r="G406" i="2"/>
  <c r="G251" i="34"/>
  <c r="G596" i="34"/>
  <c r="G191" i="34"/>
  <c r="G153" i="2"/>
  <c r="O4" i="29"/>
  <c r="B363" i="28"/>
  <c r="G711" i="34"/>
  <c r="G32" i="30"/>
  <c r="B188" i="28"/>
  <c r="Z36" i="29"/>
  <c r="H785" i="2"/>
  <c r="G232" i="34"/>
  <c r="G535" i="34"/>
  <c r="G575" i="30"/>
  <c r="G138" i="34"/>
  <c r="G671" i="30"/>
  <c r="G841" i="2"/>
  <c r="G472" i="34"/>
  <c r="G222" i="34"/>
  <c r="G427" i="30"/>
  <c r="O241" i="29"/>
  <c r="B232" i="28"/>
  <c r="G139" i="34"/>
  <c r="O186" i="29"/>
  <c r="G408" i="30"/>
  <c r="A566" i="28"/>
  <c r="G824" i="34"/>
  <c r="A903" i="28"/>
  <c r="G121" i="2"/>
  <c r="G758" i="34"/>
  <c r="G552" i="30"/>
  <c r="G464" i="2"/>
  <c r="G752" i="2"/>
  <c r="G349" i="23"/>
  <c r="H778" i="2"/>
  <c r="G16" i="2"/>
  <c r="B702" i="28"/>
  <c r="G981" i="16"/>
  <c r="G463" i="16"/>
  <c r="G958" i="34"/>
  <c r="G613" i="34"/>
  <c r="G523" i="30"/>
  <c r="H776" i="2"/>
  <c r="G420" i="30"/>
  <c r="H416" i="2"/>
  <c r="B462" i="28"/>
  <c r="A787" i="28"/>
  <c r="H17" i="2"/>
  <c r="H481" i="2"/>
  <c r="G800" i="2"/>
  <c r="B522" i="28"/>
  <c r="H375" i="2"/>
  <c r="G44" i="34"/>
  <c r="B393" i="28"/>
  <c r="B964" i="28"/>
  <c r="G383" i="2"/>
  <c r="G792" i="30"/>
  <c r="G14" i="34"/>
  <c r="G44" i="30"/>
  <c r="B176" i="28"/>
  <c r="G98" i="2"/>
  <c r="G166" i="30"/>
  <c r="G71" i="30"/>
  <c r="O6" i="29"/>
  <c r="H87" i="2"/>
  <c r="B264" i="28"/>
  <c r="H1043" i="2"/>
  <c r="H1122" i="2"/>
  <c r="G37" i="34"/>
  <c r="H302" i="16"/>
  <c r="O217" i="29"/>
  <c r="G466" i="30"/>
  <c r="H74" i="2"/>
  <c r="G993" i="34"/>
  <c r="B614" i="28"/>
  <c r="G4" i="16"/>
  <c r="H1041" i="2"/>
  <c r="G877" i="2"/>
  <c r="Z190" i="29"/>
  <c r="G7" i="30"/>
  <c r="U183" i="29"/>
  <c r="G385" i="30"/>
  <c r="G700" i="34"/>
  <c r="B428" i="28"/>
  <c r="A674" i="28"/>
  <c r="G969" i="2"/>
  <c r="A953" i="28"/>
  <c r="G95" i="34"/>
  <c r="G567" i="30"/>
  <c r="A464" i="28"/>
  <c r="B896" i="28"/>
  <c r="G854" i="34"/>
  <c r="G191" i="30"/>
  <c r="B626" i="28"/>
  <c r="A433" i="28"/>
  <c r="G844" i="30"/>
  <c r="Z52" i="29"/>
  <c r="H697" i="2"/>
  <c r="A675" i="28"/>
  <c r="H236" i="2"/>
  <c r="H329" i="16"/>
  <c r="H153" i="16"/>
  <c r="G439" i="16"/>
  <c r="G562" i="16"/>
  <c r="G730" i="16"/>
  <c r="H139" i="16"/>
  <c r="G227" i="30"/>
  <c r="G1089" i="2"/>
  <c r="G741" i="2"/>
  <c r="G632" i="2"/>
  <c r="G665" i="2"/>
  <c r="H426" i="2"/>
  <c r="G78" i="34"/>
  <c r="G212" i="2"/>
  <c r="G116" i="30"/>
  <c r="Z30" i="29"/>
  <c r="G402" i="2"/>
  <c r="H13" i="2"/>
  <c r="H223" i="2"/>
  <c r="G936" i="2"/>
  <c r="G69" i="16"/>
  <c r="H137" i="16"/>
  <c r="H814" i="2"/>
  <c r="G1005" i="22"/>
  <c r="G607" i="30"/>
  <c r="A983" i="28"/>
  <c r="G689" i="30"/>
  <c r="G554" i="16"/>
  <c r="B43" i="28"/>
  <c r="H916" i="2"/>
  <c r="G28" i="30"/>
  <c r="B844" i="28"/>
  <c r="B546" i="28"/>
  <c r="G236" i="34"/>
  <c r="G380" i="34"/>
  <c r="A1000" i="28"/>
  <c r="A737" i="28"/>
  <c r="G314" i="34"/>
  <c r="G558" i="34"/>
  <c r="G531" i="30"/>
  <c r="G295" i="34"/>
  <c r="B1072" i="28"/>
  <c r="B424" i="28"/>
  <c r="Z54" i="29"/>
  <c r="G463" i="30"/>
  <c r="G519" i="2"/>
  <c r="A863" i="28"/>
  <c r="H44" i="2"/>
  <c r="G863" i="34"/>
  <c r="G462" i="30"/>
  <c r="A637" i="28"/>
  <c r="G35" i="34"/>
  <c r="H68" i="16"/>
  <c r="H208" i="2"/>
  <c r="G807" i="2"/>
  <c r="B325" i="28"/>
  <c r="A730" i="28"/>
  <c r="B151" i="28"/>
  <c r="U94" i="29"/>
  <c r="B110" i="28"/>
  <c r="G647" i="30"/>
  <c r="H268" i="2"/>
  <c r="A880" i="28"/>
  <c r="G278" i="30"/>
  <c r="H1106" i="16"/>
  <c r="H977" i="2"/>
  <c r="H349" i="2"/>
  <c r="G126" i="2"/>
  <c r="G456" i="2"/>
  <c r="H91" i="16"/>
  <c r="A723" i="28"/>
  <c r="G658" i="30"/>
  <c r="G1006" i="34"/>
  <c r="A843" i="28"/>
  <c r="G588" i="2"/>
  <c r="H16" i="2"/>
  <c r="Z151" i="29"/>
  <c r="G201" i="34"/>
  <c r="Z255" i="29"/>
  <c r="B694" i="28"/>
  <c r="G742" i="34"/>
  <c r="G954" i="2"/>
  <c r="G840" i="34"/>
  <c r="H836" i="2"/>
  <c r="G302" i="30"/>
  <c r="G870" i="2"/>
  <c r="A779" i="28"/>
  <c r="H514" i="2"/>
  <c r="U54" i="29"/>
  <c r="G919" i="30"/>
  <c r="G344" i="34"/>
  <c r="G849" i="2"/>
  <c r="U17" i="29"/>
  <c r="Z125" i="29"/>
  <c r="G406" i="34"/>
  <c r="H683" i="2"/>
  <c r="H869" i="2"/>
  <c r="O203" i="29"/>
  <c r="B558" i="28"/>
  <c r="G721" i="34"/>
  <c r="G114" i="16"/>
  <c r="H232" i="16"/>
  <c r="G212" i="30"/>
  <c r="H626" i="16"/>
  <c r="H316" i="2"/>
  <c r="Z191" i="29"/>
  <c r="G760" i="16"/>
  <c r="G1012" i="2"/>
  <c r="H705" i="2"/>
  <c r="B498" i="28"/>
  <c r="G380" i="2"/>
  <c r="O158" i="29"/>
  <c r="G231" i="2"/>
  <c r="G1053" i="2"/>
  <c r="A739" i="28"/>
  <c r="A1052" i="28"/>
  <c r="H283" i="16"/>
  <c r="A638" i="28"/>
  <c r="G590" i="2"/>
  <c r="G263" i="2"/>
  <c r="G1119" i="2"/>
  <c r="G398" i="30"/>
  <c r="H889" i="16"/>
  <c r="O126" i="29"/>
  <c r="H884" i="2"/>
  <c r="A1015" i="28"/>
  <c r="G398" i="34"/>
  <c r="B1044" i="28"/>
  <c r="B36" i="28"/>
  <c r="G871" i="16"/>
  <c r="B968" i="28"/>
  <c r="G250" i="34"/>
  <c r="G461" i="2"/>
  <c r="B205" i="28"/>
  <c r="H151" i="2"/>
  <c r="G183" i="30"/>
  <c r="G378" i="2"/>
  <c r="G38" i="2"/>
  <c r="H520" i="2"/>
  <c r="B215" i="28"/>
  <c r="G294" i="2"/>
  <c r="A760" i="28"/>
  <c r="G95" i="30"/>
  <c r="B404" i="28"/>
  <c r="G225" i="2"/>
  <c r="A610" i="28"/>
  <c r="Z124" i="29"/>
  <c r="H825" i="2"/>
  <c r="B335" i="28"/>
  <c r="A754" i="28"/>
  <c r="G228" i="30"/>
  <c r="B746" i="28"/>
  <c r="G402" i="30"/>
  <c r="G365" i="34"/>
  <c r="A1062" i="28"/>
  <c r="G820" i="34"/>
  <c r="G781" i="30"/>
  <c r="H544" i="2"/>
  <c r="A472" i="28"/>
  <c r="G1112" i="2"/>
  <c r="G336" i="34"/>
  <c r="H791" i="16"/>
  <c r="B261" i="28"/>
  <c r="G181" i="2"/>
  <c r="G24" i="34"/>
  <c r="A837" i="28"/>
  <c r="G492" i="30"/>
  <c r="G603" i="16"/>
  <c r="B181" i="28"/>
  <c r="G410" i="34"/>
  <c r="H988" i="2"/>
  <c r="G295" i="2"/>
  <c r="G334" i="2"/>
  <c r="G817" i="2"/>
  <c r="B33" i="28"/>
  <c r="G1002" i="34"/>
  <c r="G922" i="2"/>
  <c r="G562" i="34"/>
  <c r="B206" i="28"/>
  <c r="G199" i="34"/>
  <c r="H973" i="2"/>
  <c r="H981" i="2"/>
  <c r="B372" i="28"/>
  <c r="B984" i="28"/>
  <c r="B1092" i="28"/>
  <c r="G530" i="30"/>
  <c r="G623" i="30"/>
  <c r="G194" i="2"/>
  <c r="G454" i="34"/>
  <c r="B147" i="28"/>
  <c r="B280" i="28"/>
  <c r="G650" i="30"/>
  <c r="G256" i="30"/>
  <c r="H650" i="2"/>
  <c r="G941" i="30"/>
  <c r="U147" i="29"/>
  <c r="G696" i="34"/>
  <c r="U171" i="29"/>
  <c r="G400" i="30"/>
  <c r="G229" i="30"/>
  <c r="G860" i="30"/>
  <c r="B976" i="28"/>
  <c r="G276" i="30"/>
  <c r="G518" i="30"/>
  <c r="A806" i="28"/>
  <c r="G650" i="34"/>
  <c r="G253" i="2"/>
  <c r="G165" i="2"/>
  <c r="A506" i="28"/>
  <c r="G504" i="30"/>
  <c r="A704" i="28"/>
  <c r="G401" i="2"/>
  <c r="B724" i="28"/>
  <c r="A646" i="28"/>
  <c r="A626" i="28"/>
  <c r="A996" i="28"/>
  <c r="H186" i="2"/>
  <c r="G534" i="34"/>
  <c r="G16" i="30"/>
  <c r="G567" i="34"/>
  <c r="O86" i="29"/>
  <c r="G916" i="30"/>
  <c r="A897" i="28"/>
  <c r="G670" i="34"/>
  <c r="G981" i="30"/>
  <c r="G599" i="34"/>
  <c r="G683" i="30"/>
  <c r="G119" i="34"/>
  <c r="G21" i="30"/>
  <c r="U188" i="29"/>
  <c r="H670" i="2"/>
  <c r="H796" i="2"/>
  <c r="G285" i="30"/>
  <c r="G902" i="34"/>
  <c r="B55" i="28"/>
  <c r="Z225" i="29"/>
  <c r="B56" i="28"/>
  <c r="A782" i="28"/>
  <c r="U66" i="29"/>
  <c r="A1017" i="28"/>
  <c r="G546" i="34"/>
  <c r="G731" i="34"/>
  <c r="G415" i="2"/>
  <c r="O123" i="29"/>
  <c r="H1108" i="16"/>
  <c r="A540" i="28"/>
  <c r="B121" i="28"/>
  <c r="B174" i="28"/>
  <c r="A870" i="28"/>
  <c r="Z26" i="29"/>
  <c r="G39" i="34"/>
  <c r="G144" i="2"/>
  <c r="A1092" i="28"/>
  <c r="H855" i="16"/>
  <c r="A788" i="28"/>
  <c r="G359" i="34"/>
  <c r="O91" i="29"/>
  <c r="Z110" i="29"/>
  <c r="G780" i="30"/>
  <c r="G618" i="34"/>
  <c r="O267" i="29"/>
  <c r="G642" i="30"/>
  <c r="B397" i="28"/>
  <c r="G44" i="22"/>
  <c r="H86" i="16"/>
  <c r="G230" i="30"/>
  <c r="Z173" i="29"/>
  <c r="A680" i="28"/>
  <c r="G490" i="30"/>
  <c r="B622" i="28"/>
  <c r="G729" i="34"/>
  <c r="B124" i="28"/>
  <c r="G985" i="16"/>
  <c r="H1042" i="2"/>
  <c r="H478" i="2"/>
  <c r="G398" i="2"/>
  <c r="G932" i="34"/>
  <c r="B758" i="28"/>
  <c r="G95" i="2"/>
  <c r="A614" i="28"/>
  <c r="G478" i="30"/>
  <c r="G412" i="34"/>
  <c r="A751" i="28"/>
  <c r="O140" i="29"/>
  <c r="G166" i="34"/>
  <c r="A634" i="28"/>
  <c r="B116" i="28"/>
  <c r="G782" i="34"/>
  <c r="B76" i="28"/>
  <c r="Z156" i="29"/>
  <c r="A670" i="28"/>
  <c r="G312" i="30"/>
  <c r="A1024" i="28"/>
  <c r="G956" i="34"/>
  <c r="G976" i="34"/>
  <c r="B136" i="28"/>
  <c r="Z106" i="29"/>
  <c r="G132" i="30"/>
  <c r="B155" i="28"/>
  <c r="B860" i="28"/>
  <c r="H545" i="2"/>
  <c r="H1067" i="16"/>
  <c r="G765" i="30"/>
  <c r="G362" i="30"/>
  <c r="B34" i="28"/>
  <c r="G265" i="2"/>
  <c r="B180" i="28"/>
  <c r="U185" i="29"/>
  <c r="U58" i="29"/>
  <c r="G661" i="30"/>
  <c r="G643" i="34"/>
  <c r="U91" i="29"/>
  <c r="G641" i="2"/>
  <c r="G546" i="30"/>
  <c r="A574" i="28"/>
  <c r="B616" i="28"/>
  <c r="A720" i="28"/>
  <c r="B274" i="28"/>
  <c r="A740" i="28"/>
  <c r="A579" i="28"/>
  <c r="G464" i="30"/>
  <c r="U123" i="29"/>
  <c r="G392" i="34"/>
  <c r="B768" i="28"/>
  <c r="B554" i="28"/>
  <c r="O175" i="29"/>
  <c r="G298" i="34"/>
  <c r="B359" i="28"/>
  <c r="G561" i="34"/>
  <c r="G609" i="30"/>
  <c r="G702" i="34"/>
  <c r="G85" i="30"/>
  <c r="A500" i="28"/>
  <c r="B127" i="28"/>
  <c r="G572" i="2"/>
  <c r="G422" i="34"/>
  <c r="A577" i="28"/>
  <c r="U13" i="29"/>
  <c r="B700" i="28"/>
  <c r="G344" i="30"/>
  <c r="O54" i="29"/>
  <c r="G852" i="34"/>
  <c r="G912" i="34"/>
  <c r="G97" i="2"/>
  <c r="G853" i="30"/>
  <c r="B708" i="28"/>
  <c r="H960" i="2"/>
  <c r="G410" i="2"/>
  <c r="H1027" i="2"/>
  <c r="B962" i="28"/>
  <c r="G759" i="30"/>
  <c r="A650" i="28"/>
  <c r="G152" i="30"/>
  <c r="G68" i="34"/>
  <c r="G54" i="30"/>
  <c r="H220" i="2"/>
  <c r="A762" i="28"/>
  <c r="G53" i="2"/>
  <c r="A667" i="28"/>
  <c r="U92" i="29"/>
  <c r="G557" i="2"/>
  <c r="G416" i="34"/>
  <c r="A660" i="28"/>
  <c r="A656" i="28"/>
  <c r="A955" i="28"/>
  <c r="G882" i="2"/>
  <c r="G764" i="34"/>
  <c r="G724" i="30"/>
  <c r="A824" i="28"/>
  <c r="Z193" i="29"/>
  <c r="G495" i="30"/>
  <c r="G375" i="34"/>
  <c r="G610" i="34"/>
  <c r="G185" i="34"/>
  <c r="G808" i="34"/>
  <c r="G652" i="30"/>
  <c r="B914" i="28"/>
  <c r="A809" i="28"/>
  <c r="Z98" i="29"/>
  <c r="A466" i="28"/>
  <c r="D57" i="29"/>
  <c r="G318" i="2"/>
  <c r="G223" i="22"/>
  <c r="G735" i="2"/>
  <c r="G657" i="16"/>
  <c r="H371" i="2"/>
  <c r="G174" i="30"/>
  <c r="G40" i="16"/>
  <c r="G325" i="16"/>
  <c r="G884" i="2"/>
  <c r="H402" i="2"/>
  <c r="H256" i="2"/>
  <c r="O50" i="29"/>
  <c r="G642" i="34"/>
  <c r="G655" i="34"/>
  <c r="B88" i="28"/>
  <c r="G165" i="30"/>
  <c r="H218" i="22"/>
  <c r="G848" i="30"/>
  <c r="G463" i="34"/>
  <c r="A856" i="28"/>
  <c r="G811" i="30"/>
  <c r="G766" i="30"/>
  <c r="B810" i="28"/>
  <c r="G195" i="34"/>
  <c r="H633" i="2"/>
  <c r="B30" i="28"/>
  <c r="G906" i="34"/>
  <c r="G540" i="30"/>
  <c r="A1097" i="28"/>
  <c r="A888" i="28"/>
  <c r="G916" i="34"/>
  <c r="A794" i="28"/>
  <c r="A29" i="28"/>
  <c r="G600" i="30"/>
  <c r="H709" i="2"/>
  <c r="Z44" i="29"/>
  <c r="G92" i="34"/>
  <c r="A556" i="28"/>
  <c r="G285" i="2"/>
  <c r="G446" i="30"/>
  <c r="G360" i="34"/>
  <c r="G973" i="30"/>
  <c r="H645" i="2"/>
  <c r="B60" i="28"/>
  <c r="G536" i="30"/>
  <c r="A465" i="28"/>
  <c r="H85" i="2"/>
  <c r="G305" i="2"/>
  <c r="H790" i="16"/>
  <c r="G293" i="16"/>
  <c r="G655" i="2"/>
  <c r="G494" i="16"/>
  <c r="G524" i="16"/>
  <c r="G651" i="2"/>
  <c r="G172" i="22"/>
  <c r="A495" i="28"/>
  <c r="G89" i="34"/>
  <c r="B470" i="28"/>
  <c r="G1004" i="2"/>
  <c r="H164" i="2"/>
  <c r="G974" i="34"/>
  <c r="G424" i="2"/>
  <c r="O235" i="29"/>
  <c r="H135" i="16"/>
  <c r="G142" i="30"/>
  <c r="G598" i="16"/>
  <c r="H654" i="2"/>
  <c r="H651" i="2"/>
  <c r="H574" i="2"/>
  <c r="G781" i="34"/>
  <c r="H893" i="2"/>
  <c r="G941" i="34"/>
  <c r="Z24" i="29"/>
  <c r="G982" i="34"/>
  <c r="G350" i="34"/>
  <c r="G629" i="2"/>
  <c r="G72" i="34"/>
  <c r="G545" i="34"/>
  <c r="G376" i="34"/>
  <c r="H408" i="2"/>
  <c r="G925" i="30"/>
  <c r="H831" i="2"/>
  <c r="G269" i="34"/>
  <c r="G1083" i="2"/>
  <c r="Z161" i="29"/>
  <c r="A539" i="28"/>
  <c r="G349" i="2"/>
  <c r="G542" i="16"/>
  <c r="O255" i="29"/>
  <c r="H1067" i="2"/>
  <c r="H1021" i="2"/>
  <c r="G717" i="2"/>
  <c r="A1005" i="28"/>
  <c r="B340" i="28"/>
  <c r="A482" i="28"/>
  <c r="G520" i="30"/>
  <c r="G1019" i="34"/>
  <c r="B868" i="28"/>
  <c r="B432" i="28"/>
  <c r="B132" i="28"/>
  <c r="G549" i="34"/>
  <c r="B311" i="28"/>
  <c r="Z237" i="29"/>
  <c r="G283" i="34"/>
  <c r="O265" i="29"/>
  <c r="A484" i="28"/>
  <c r="G985" i="2"/>
  <c r="G384" i="30"/>
  <c r="G517" i="34"/>
  <c r="B980" i="28"/>
  <c r="G487" i="34"/>
  <c r="A669" i="28"/>
  <c r="B119" i="28"/>
  <c r="Z209" i="29"/>
  <c r="B642" i="28"/>
  <c r="H1019" i="16"/>
  <c r="H739" i="2"/>
  <c r="G195" i="16"/>
  <c r="G678" i="30"/>
  <c r="G232" i="30"/>
  <c r="H424" i="2"/>
  <c r="G948" i="2"/>
  <c r="G51" i="2"/>
  <c r="G811" i="16"/>
  <c r="G857" i="2"/>
  <c r="O129" i="29"/>
  <c r="H925" i="2"/>
  <c r="G221" i="34"/>
  <c r="G223" i="2"/>
  <c r="G436" i="30"/>
  <c r="O18" i="29"/>
  <c r="H98" i="2"/>
  <c r="H124" i="2"/>
  <c r="G1013" i="16"/>
  <c r="H1028" i="2"/>
  <c r="G158" i="2"/>
  <c r="H48" i="2"/>
  <c r="G503" i="2"/>
  <c r="G481" i="16"/>
  <c r="H694" i="2"/>
  <c r="G750" i="2"/>
  <c r="U177" i="29"/>
  <c r="G568" i="2"/>
  <c r="G790" i="30"/>
  <c r="G141" i="34"/>
  <c r="O223" i="29"/>
  <c r="G800" i="30"/>
  <c r="G288" i="30"/>
  <c r="B87" i="28"/>
  <c r="B68" i="28"/>
  <c r="G1095" i="2"/>
  <c r="A414" i="28"/>
  <c r="G850" i="30"/>
  <c r="G697" i="34"/>
  <c r="G878" i="34"/>
  <c r="G96" i="22"/>
  <c r="A962" i="28"/>
  <c r="G822" i="34"/>
  <c r="G286" i="30"/>
  <c r="H242" i="2"/>
  <c r="B624" i="28"/>
  <c r="B208" i="28"/>
  <c r="A802" i="28"/>
  <c r="B960" i="28"/>
  <c r="G119" i="30"/>
  <c r="G313" i="2"/>
  <c r="G370" i="30"/>
  <c r="G1091" i="2"/>
  <c r="A618" i="28"/>
  <c r="G768" i="34"/>
  <c r="G378" i="34"/>
  <c r="G25" i="34"/>
  <c r="B183" i="28"/>
  <c r="G63" i="30"/>
  <c r="Z13" i="29"/>
  <c r="A693" i="28"/>
  <c r="A997" i="28"/>
  <c r="G624" i="34"/>
  <c r="G247" i="34"/>
  <c r="G933" i="16"/>
  <c r="H652" i="2"/>
  <c r="G898" i="22"/>
  <c r="G501" i="22"/>
  <c r="G957" i="34"/>
  <c r="G785" i="2"/>
  <c r="B418" i="28"/>
  <c r="H497" i="2"/>
  <c r="O153" i="29"/>
  <c r="H412" i="2"/>
  <c r="G695" i="16"/>
  <c r="G821" i="2"/>
  <c r="G840" i="2"/>
  <c r="H206" i="16"/>
  <c r="G607" i="16"/>
  <c r="G307" i="2"/>
  <c r="G171" i="2"/>
  <c r="B526" i="28"/>
  <c r="H1044" i="2"/>
  <c r="G450" i="2"/>
  <c r="G113" i="22"/>
  <c r="G142" i="16"/>
  <c r="H866" i="2"/>
  <c r="H806" i="22"/>
  <c r="H987" i="16"/>
  <c r="H326" i="2"/>
  <c r="H182" i="16"/>
  <c r="G177" i="22"/>
  <c r="H383" i="2"/>
  <c r="H435" i="2"/>
  <c r="G382" i="22"/>
  <c r="G248" i="22"/>
  <c r="B502" i="28"/>
  <c r="H282" i="2"/>
  <c r="G982" i="2"/>
  <c r="H941" i="2"/>
  <c r="G259" i="2"/>
  <c r="G929" i="2"/>
  <c r="G586" i="16"/>
  <c r="H535" i="2"/>
  <c r="G1025" i="16"/>
  <c r="H1018" i="2"/>
  <c r="H595" i="2"/>
  <c r="H908" i="2"/>
  <c r="A616" i="28"/>
  <c r="G834" i="16"/>
  <c r="G310" i="23"/>
  <c r="G633" i="2"/>
  <c r="G291" i="30"/>
  <c r="G125" i="30"/>
  <c r="G504" i="34"/>
  <c r="G456" i="16"/>
  <c r="G673" i="2"/>
  <c r="G746" i="34"/>
  <c r="H957" i="16"/>
  <c r="O83" i="29"/>
  <c r="H165" i="2"/>
  <c r="A1011" i="28"/>
  <c r="G439" i="34"/>
  <c r="G350" i="2"/>
  <c r="H810" i="16"/>
  <c r="G674" i="2"/>
  <c r="B1050" i="28"/>
  <c r="G73" i="2"/>
  <c r="G276" i="34"/>
  <c r="G520" i="34"/>
  <c r="G772" i="2"/>
  <c r="H724" i="2"/>
  <c r="A986" i="28"/>
  <c r="A549" i="28"/>
  <c r="U77" i="29"/>
  <c r="G11" i="34"/>
  <c r="G832" i="30"/>
  <c r="A1046" i="28"/>
  <c r="Z249" i="29"/>
  <c r="Z25" i="29"/>
  <c r="A908" i="28"/>
  <c r="B600" i="28"/>
  <c r="G439" i="30"/>
  <c r="G418" i="30"/>
  <c r="H737" i="2"/>
  <c r="B658" i="28"/>
  <c r="G358" i="30"/>
  <c r="B228" i="28"/>
  <c r="O89" i="29"/>
  <c r="B406" i="28"/>
  <c r="H54" i="16"/>
  <c r="G87" i="34"/>
  <c r="G927" i="30"/>
  <c r="G937" i="2"/>
  <c r="G902" i="30"/>
  <c r="G684" i="30"/>
  <c r="O167" i="29"/>
  <c r="G648" i="34"/>
  <c r="B114" i="28"/>
  <c r="G968" i="30"/>
  <c r="G43" i="2"/>
  <c r="B562" i="28"/>
  <c r="G876" i="34"/>
  <c r="G859" i="30"/>
  <c r="G897" i="30"/>
  <c r="A718" i="28"/>
  <c r="H537" i="2"/>
  <c r="G70" i="34"/>
  <c r="G576" i="30"/>
  <c r="G587" i="34"/>
  <c r="G467" i="30"/>
  <c r="G536" i="34"/>
  <c r="G370" i="16"/>
  <c r="A973" i="28"/>
  <c r="B306" i="28"/>
  <c r="U122" i="29"/>
  <c r="G719" i="30"/>
  <c r="B556" i="28"/>
  <c r="A554" i="28"/>
  <c r="G4" i="30"/>
  <c r="A573" i="28"/>
  <c r="A792" i="28"/>
  <c r="G529" i="34"/>
  <c r="G956" i="30"/>
  <c r="B344" i="28"/>
  <c r="B604" i="28"/>
  <c r="B572" i="28"/>
  <c r="G377" i="2"/>
  <c r="H1065" i="2"/>
  <c r="G334" i="34"/>
  <c r="G326" i="34"/>
  <c r="G480" i="30"/>
  <c r="G580" i="2"/>
  <c r="G933" i="30"/>
  <c r="G828" i="34"/>
  <c r="G162" i="34"/>
  <c r="G741" i="30"/>
  <c r="B239" i="28"/>
  <c r="G332" i="30"/>
  <c r="H812" i="2"/>
  <c r="A1073" i="28"/>
  <c r="Z93" i="29"/>
  <c r="Z186" i="29"/>
  <c r="G822" i="2"/>
  <c r="G641" i="30"/>
  <c r="G621" i="2"/>
  <c r="B323" i="28"/>
  <c r="G571" i="30"/>
  <c r="G392" i="30"/>
  <c r="G273" i="30"/>
  <c r="G91" i="34"/>
  <c r="A526" i="28"/>
  <c r="H711" i="22"/>
  <c r="G485" i="30"/>
  <c r="G979" i="34"/>
  <c r="O13" i="29"/>
  <c r="B776" i="28"/>
  <c r="G494" i="34"/>
  <c r="B936" i="28"/>
  <c r="B732" i="28"/>
  <c r="O60" i="29"/>
  <c r="G223" i="30"/>
  <c r="A764" i="28"/>
  <c r="B722" i="28"/>
  <c r="G1025" i="34"/>
  <c r="G554" i="34"/>
  <c r="G77" i="2"/>
  <c r="G315" i="30"/>
  <c r="O106" i="29"/>
  <c r="H1074" i="2"/>
  <c r="G481" i="2"/>
  <c r="G784" i="34"/>
  <c r="A1032" i="28"/>
  <c r="A936" i="28"/>
  <c r="G385" i="2"/>
  <c r="A668" i="28"/>
  <c r="A978" i="28"/>
  <c r="B740" i="28"/>
  <c r="H104" i="2"/>
  <c r="G736" i="2"/>
  <c r="A496" i="28"/>
  <c r="G198" i="34"/>
  <c r="B1010" i="28"/>
  <c r="G977" i="2"/>
  <c r="G870" i="34"/>
  <c r="G738" i="34"/>
  <c r="A784" i="28"/>
  <c r="B223" i="28"/>
  <c r="B620" i="28"/>
  <c r="G207" i="30"/>
  <c r="Z16" i="29"/>
  <c r="B401" i="28"/>
  <c r="G320" i="34"/>
  <c r="B374" i="28"/>
  <c r="G826" i="34"/>
  <c r="B1088" i="28"/>
  <c r="B714" i="28"/>
  <c r="G237" i="34"/>
  <c r="A428" i="28"/>
  <c r="A1089" i="28"/>
  <c r="A914" i="28"/>
  <c r="G558" i="2"/>
  <c r="A608" i="28"/>
  <c r="H265" i="16"/>
  <c r="A603" i="28"/>
  <c r="A510" i="28"/>
  <c r="H762" i="2"/>
  <c r="G245" i="30"/>
  <c r="G1099" i="2"/>
  <c r="H161" i="2"/>
  <c r="H489" i="2"/>
  <c r="G527" i="2"/>
  <c r="G62" i="2"/>
  <c r="G422" i="2"/>
  <c r="G887" i="2"/>
  <c r="H1038" i="16"/>
  <c r="H1071" i="2"/>
  <c r="H393" i="2"/>
  <c r="U164" i="29"/>
  <c r="G886" i="34"/>
  <c r="G635" i="30"/>
  <c r="B300" i="28"/>
  <c r="G361" i="2"/>
  <c r="H586" i="2"/>
  <c r="G1081" i="2"/>
  <c r="G908" i="30"/>
  <c r="G936" i="30"/>
  <c r="G61" i="30"/>
  <c r="B388" i="28"/>
  <c r="A1038" i="28"/>
  <c r="G384" i="34"/>
  <c r="A854" i="28"/>
  <c r="A1082" i="28"/>
  <c r="G899" i="2"/>
  <c r="A957" i="28"/>
  <c r="G217" i="30"/>
  <c r="G597" i="30"/>
  <c r="G407" i="30"/>
  <c r="U126" i="29"/>
  <c r="G93" i="30"/>
  <c r="H734" i="2"/>
  <c r="B267" i="28"/>
  <c r="G18" i="34"/>
  <c r="G890" i="30"/>
  <c r="Z213" i="29"/>
  <c r="B636" i="28"/>
  <c r="G65" i="2"/>
  <c r="B52" i="28"/>
  <c r="G818" i="2"/>
  <c r="G763" i="30"/>
  <c r="U141" i="29"/>
  <c r="A714" i="28"/>
  <c r="B858" i="28"/>
  <c r="G288" i="34"/>
  <c r="G909" i="30"/>
  <c r="B1036" i="28"/>
  <c r="B142" i="28"/>
  <c r="G294" i="34"/>
  <c r="G744" i="34"/>
  <c r="B207" i="28"/>
  <c r="G932" i="30"/>
  <c r="G551" i="34"/>
  <c r="B524" i="28"/>
  <c r="U133" i="29"/>
  <c r="G733" i="30"/>
  <c r="G880" i="34"/>
  <c r="A944" i="28"/>
  <c r="G735" i="30"/>
  <c r="G458" i="34"/>
  <c r="G791" i="34"/>
  <c r="B1042" i="28"/>
  <c r="A443" i="28"/>
  <c r="G580" i="34"/>
  <c r="B390" i="28"/>
  <c r="A876" i="28"/>
  <c r="G80" i="34"/>
  <c r="G76" i="30"/>
  <c r="G394" i="34"/>
  <c r="G858" i="30"/>
  <c r="O16" i="29"/>
  <c r="G796" i="34"/>
  <c r="O20" i="29"/>
  <c r="U180" i="29"/>
  <c r="G725" i="30"/>
  <c r="G502" i="34"/>
  <c r="A1072" i="28"/>
  <c r="G483" i="30"/>
  <c r="G293" i="2"/>
  <c r="G89" i="2"/>
  <c r="Z143" i="29"/>
  <c r="G376" i="30"/>
  <c r="B426" i="28"/>
  <c r="B175" i="28"/>
  <c r="B380" i="28"/>
  <c r="A965" i="28"/>
  <c r="A890" i="28"/>
  <c r="H460" i="2"/>
  <c r="A661" i="28"/>
  <c r="G528" i="34"/>
  <c r="G859" i="34"/>
  <c r="G800" i="34"/>
  <c r="G930" i="2"/>
  <c r="H656" i="2"/>
  <c r="H306" i="2"/>
  <c r="B403" i="28"/>
  <c r="G746" i="30"/>
  <c r="B956" i="28"/>
  <c r="B244" i="28"/>
  <c r="G415" i="34"/>
  <c r="H582" i="2"/>
  <c r="G571" i="34"/>
  <c r="G718" i="34"/>
  <c r="H35" i="2"/>
  <c r="G677" i="30"/>
  <c r="G300" i="30"/>
  <c r="G736" i="34"/>
  <c r="G487" i="30"/>
  <c r="A963" i="28"/>
  <c r="G133" i="34"/>
  <c r="G930" i="30"/>
  <c r="H847" i="2"/>
  <c r="G873" i="30"/>
  <c r="Z171" i="29"/>
  <c r="A971" i="28"/>
  <c r="G67" i="2"/>
  <c r="A918" i="28"/>
  <c r="B916" i="28"/>
  <c r="G49" i="34"/>
  <c r="G991" i="16"/>
  <c r="A975" i="28"/>
  <c r="G953" i="30"/>
  <c r="G702" i="30"/>
  <c r="G374" i="2"/>
  <c r="H302" i="2"/>
  <c r="B608" i="28"/>
  <c r="G811" i="2"/>
  <c r="G148" i="2"/>
  <c r="G807" i="34"/>
  <c r="B216" i="28"/>
  <c r="U170" i="29"/>
  <c r="H901" i="2"/>
  <c r="G232" i="2"/>
  <c r="G715" i="2"/>
  <c r="A471" i="28"/>
  <c r="G107" i="2"/>
  <c r="H81" i="16"/>
  <c r="H748" i="2"/>
  <c r="G454" i="30"/>
  <c r="B652" i="28"/>
  <c r="H649" i="2"/>
  <c r="H1059" i="16"/>
  <c r="B974" i="28"/>
  <c r="G822" i="30"/>
  <c r="Z132" i="29"/>
  <c r="G351" i="30"/>
  <c r="G116" i="34"/>
  <c r="U129" i="29"/>
  <c r="G732" i="2"/>
  <c r="A724" i="28"/>
  <c r="H389" i="2"/>
  <c r="G728" i="34"/>
  <c r="G748" i="16"/>
  <c r="G499" i="30"/>
  <c r="G314" i="30"/>
  <c r="A838" i="28"/>
  <c r="G334" i="30"/>
  <c r="G848" i="34"/>
  <c r="G704" i="34"/>
  <c r="G594" i="34"/>
  <c r="G577" i="30"/>
  <c r="H1066" i="2"/>
  <c r="G515" i="34"/>
  <c r="A27" i="28"/>
  <c r="B348" i="28"/>
  <c r="G522" i="34"/>
  <c r="H713" i="2"/>
  <c r="G986" i="30"/>
  <c r="A1090" i="28"/>
  <c r="A1067" i="28"/>
  <c r="A901" i="28"/>
  <c r="B352" i="28"/>
  <c r="G864" i="30"/>
  <c r="G218" i="34"/>
  <c r="B788" i="28"/>
  <c r="H526" i="22"/>
  <c r="O70" i="29"/>
  <c r="G726" i="16"/>
  <c r="H1050" i="2"/>
  <c r="G1057" i="22"/>
  <c r="G355" i="2"/>
  <c r="H974" i="16"/>
  <c r="G991" i="2"/>
  <c r="G685" i="34"/>
  <c r="A589" i="28"/>
  <c r="G644" i="34"/>
  <c r="G994" i="2"/>
  <c r="G662" i="16"/>
  <c r="G997" i="34"/>
  <c r="G813" i="34"/>
  <c r="G918" i="2"/>
  <c r="H276" i="2"/>
  <c r="G745" i="30"/>
  <c r="G838" i="30"/>
  <c r="B57" i="28"/>
  <c r="Z166" i="29"/>
  <c r="G468" i="30"/>
  <c r="H533" i="2"/>
  <c r="G484" i="30"/>
  <c r="G393" i="34"/>
  <c r="Z239" i="29"/>
  <c r="H293" i="2"/>
  <c r="G474" i="2"/>
  <c r="G121" i="34"/>
  <c r="H471" i="2"/>
  <c r="H295" i="16"/>
  <c r="H151" i="16"/>
  <c r="G479" i="2"/>
  <c r="H818" i="2"/>
  <c r="B161" i="28"/>
  <c r="G311" i="2"/>
  <c r="H1098" i="2"/>
  <c r="B1032" i="28"/>
  <c r="G359" i="16"/>
  <c r="G1107" i="2"/>
  <c r="G734" i="16"/>
  <c r="G604" i="30"/>
  <c r="G424" i="30"/>
  <c r="Z189" i="29"/>
  <c r="H433" i="2"/>
  <c r="G102" i="30"/>
  <c r="A733" i="28"/>
  <c r="O137" i="29"/>
  <c r="B135" i="28"/>
  <c r="A810" i="28"/>
  <c r="B276" i="28"/>
  <c r="B882" i="28"/>
  <c r="A866" i="28"/>
  <c r="G322" i="30"/>
  <c r="G160" i="30"/>
  <c r="G1018" i="2"/>
  <c r="G306" i="2"/>
  <c r="G312" i="34"/>
  <c r="G365" i="2"/>
  <c r="G323" i="34"/>
  <c r="G888" i="30"/>
  <c r="B1024" i="28"/>
  <c r="H205" i="2"/>
  <c r="G649" i="30"/>
  <c r="Z241" i="29"/>
  <c r="G637" i="30"/>
  <c r="G367" i="16"/>
  <c r="G442" i="23"/>
  <c r="H731" i="16"/>
  <c r="H353" i="2"/>
  <c r="H909" i="16"/>
  <c r="H295" i="2"/>
  <c r="H76" i="16"/>
  <c r="G148" i="30"/>
  <c r="G604" i="2"/>
  <c r="G914" i="30"/>
  <c r="G678" i="23"/>
  <c r="G894" i="30"/>
  <c r="G787" i="30"/>
  <c r="B329" i="28"/>
  <c r="G952" i="30"/>
  <c r="G404" i="2"/>
  <c r="G213" i="30"/>
  <c r="H12" i="22"/>
  <c r="G258" i="2"/>
  <c r="H336" i="2"/>
  <c r="G231" i="30"/>
  <c r="A747" i="28"/>
  <c r="H593" i="2"/>
  <c r="G484" i="16"/>
  <c r="G813" i="2"/>
  <c r="H287" i="16"/>
  <c r="Z113" i="29"/>
  <c r="G733" i="2"/>
  <c r="G725" i="2"/>
  <c r="H923" i="2"/>
  <c r="G552" i="2"/>
  <c r="Z235" i="29"/>
  <c r="U73" i="29"/>
  <c r="O213" i="29"/>
  <c r="B196" i="28"/>
  <c r="G346" i="30"/>
  <c r="B164" i="28"/>
  <c r="G223" i="34"/>
  <c r="G975" i="16"/>
  <c r="H58" i="2"/>
  <c r="G823" i="30"/>
  <c r="G255" i="30"/>
  <c r="G357" i="30"/>
  <c r="G335" i="30"/>
  <c r="G157" i="30"/>
  <c r="U154" i="29"/>
  <c r="G184" i="30"/>
  <c r="B295" i="28"/>
  <c r="G688" i="34"/>
  <c r="G708" i="2"/>
  <c r="G804" i="30"/>
  <c r="H8" i="2"/>
  <c r="G842" i="30"/>
  <c r="G506" i="30"/>
  <c r="G715" i="30"/>
  <c r="G62" i="30"/>
  <c r="G418" i="34"/>
  <c r="G100" i="34"/>
  <c r="B50" i="28"/>
  <c r="U130" i="29"/>
  <c r="B102" i="28"/>
  <c r="G343" i="34"/>
  <c r="G534" i="16"/>
  <c r="G784" i="30"/>
  <c r="G449" i="16"/>
  <c r="G848" i="2"/>
  <c r="G935" i="34"/>
  <c r="G14" i="2"/>
  <c r="H287" i="2"/>
  <c r="H106" i="2"/>
  <c r="H842" i="2"/>
  <c r="H348" i="2"/>
  <c r="H79" i="16"/>
  <c r="G40" i="2"/>
  <c r="H357" i="2"/>
  <c r="H978" i="2"/>
  <c r="G1010" i="2"/>
  <c r="G390" i="2"/>
  <c r="H832" i="2"/>
  <c r="G475" i="30"/>
  <c r="G97" i="34"/>
  <c r="G843" i="30"/>
  <c r="B486" i="28"/>
  <c r="G996" i="34"/>
  <c r="G1044" i="2"/>
  <c r="G283" i="22"/>
  <c r="G25" i="30"/>
  <c r="G280" i="2"/>
  <c r="H811" i="2"/>
  <c r="G118" i="2"/>
  <c r="H112" i="16"/>
  <c r="G91" i="30"/>
  <c r="G995" i="2"/>
  <c r="O66" i="29"/>
  <c r="G11" i="2"/>
  <c r="G486" i="16"/>
  <c r="H1013" i="2"/>
  <c r="G188" i="34"/>
  <c r="A998" i="28"/>
  <c r="H1056" i="2"/>
  <c r="A595" i="28"/>
  <c r="H971" i="2"/>
  <c r="G472" i="2"/>
  <c r="H584" i="2"/>
  <c r="G983" i="16"/>
  <c r="G1086" i="2"/>
  <c r="G949" i="34"/>
  <c r="G369" i="16"/>
  <c r="B792" i="28"/>
  <c r="G182" i="34"/>
  <c r="G240" i="2"/>
  <c r="H391" i="16"/>
  <c r="G585" i="34"/>
  <c r="H140" i="2"/>
  <c r="G865" i="34"/>
  <c r="H380" i="2"/>
  <c r="H66" i="2"/>
  <c r="H949" i="16"/>
  <c r="G108" i="2"/>
  <c r="H267" i="16"/>
  <c r="G638" i="34"/>
  <c r="G1003" i="34"/>
  <c r="G135" i="34"/>
  <c r="G562" i="2"/>
  <c r="H289" i="16"/>
  <c r="H865" i="2"/>
  <c r="G630" i="34"/>
  <c r="G944" i="30"/>
  <c r="G167" i="2"/>
  <c r="G205" i="30"/>
  <c r="B706" i="28"/>
  <c r="Z259" i="29"/>
  <c r="A905" i="28"/>
  <c r="H695" i="2"/>
  <c r="H1052" i="2"/>
  <c r="G553" i="30"/>
  <c r="O97" i="29"/>
  <c r="G1114" i="2"/>
  <c r="A628" i="28"/>
  <c r="B389" i="28"/>
  <c r="A938" i="28"/>
  <c r="H685" i="2"/>
  <c r="G526" i="30"/>
  <c r="G112" i="30"/>
  <c r="G564" i="30"/>
  <c r="G856" i="30"/>
  <c r="A980" i="28"/>
  <c r="B434" i="28"/>
  <c r="B680" i="28"/>
  <c r="G244" i="34"/>
  <c r="G140" i="30"/>
  <c r="A513" i="28"/>
  <c r="A912" i="28"/>
  <c r="H1112" i="16"/>
  <c r="G586" i="30"/>
  <c r="G813" i="30"/>
  <c r="O32" i="29"/>
  <c r="A855" i="28"/>
  <c r="G672" i="30"/>
  <c r="G591" i="16"/>
  <c r="B924" i="28"/>
  <c r="Z197" i="29"/>
  <c r="G617" i="30"/>
  <c r="B84" i="28"/>
  <c r="B922" i="28"/>
  <c r="G431" i="30"/>
  <c r="A964" i="28"/>
  <c r="H802" i="2"/>
  <c r="B200" i="28"/>
  <c r="G925" i="34"/>
  <c r="G159" i="2"/>
  <c r="H1047" i="16"/>
  <c r="G341" i="2"/>
  <c r="G64" i="30"/>
  <c r="G441" i="34"/>
  <c r="A869" i="28"/>
  <c r="G342" i="34"/>
  <c r="G324" i="34"/>
  <c r="G332" i="34"/>
  <c r="A812" i="28"/>
  <c r="G70" i="2"/>
  <c r="A598" i="28"/>
  <c r="G322" i="2"/>
  <c r="O82" i="29"/>
  <c r="G895" i="30"/>
  <c r="G872" i="34"/>
  <c r="G349" i="30"/>
  <c r="B660" i="28"/>
  <c r="B832" i="28"/>
  <c r="G889" i="2"/>
  <c r="G419" i="30"/>
  <c r="G162" i="2"/>
  <c r="B255" i="28"/>
  <c r="H613" i="2"/>
  <c r="G581" i="30"/>
  <c r="G610" i="30"/>
  <c r="U155" i="29"/>
  <c r="H1005" i="2"/>
  <c r="H850" i="2"/>
  <c r="H6" i="2"/>
  <c r="B140" i="28"/>
  <c r="G120" i="30"/>
  <c r="G55" i="34"/>
  <c r="G690" i="30"/>
  <c r="G984" i="30"/>
  <c r="B146" i="28"/>
  <c r="G962" i="2"/>
  <c r="A1009" i="28"/>
  <c r="G497" i="30"/>
  <c r="G559" i="34"/>
  <c r="A450" i="28"/>
  <c r="G500" i="34"/>
  <c r="Z217" i="29"/>
  <c r="B864" i="28"/>
  <c r="A524" i="28"/>
  <c r="G470" i="34"/>
  <c r="A665" i="28"/>
  <c r="G382" i="30"/>
  <c r="A678" i="28"/>
  <c r="G374" i="30"/>
  <c r="G673" i="34"/>
  <c r="B407" i="28"/>
  <c r="A413" i="28"/>
  <c r="B664" i="28"/>
  <c r="B266" i="28"/>
  <c r="B86" i="28"/>
  <c r="A1045" i="28"/>
  <c r="Z155" i="29"/>
  <c r="B828" i="28"/>
  <c r="H769" i="2"/>
  <c r="G570" i="30"/>
  <c r="G368" i="34"/>
  <c r="B184" i="28"/>
  <c r="A1021" i="28"/>
  <c r="H1025" i="2"/>
  <c r="G735" i="34"/>
  <c r="G123" i="34"/>
  <c r="G591" i="34"/>
  <c r="H337" i="2"/>
  <c r="G1062" i="2"/>
  <c r="B224" i="28"/>
  <c r="G394" i="30"/>
  <c r="A1064" i="28"/>
  <c r="A525" i="28"/>
  <c r="B826" i="28"/>
  <c r="H1082" i="2"/>
  <c r="B718" i="28"/>
  <c r="G1031" i="2"/>
  <c r="G529" i="30"/>
  <c r="U76" i="29"/>
  <c r="G636" i="34"/>
  <c r="B1012" i="28"/>
  <c r="B1096" i="28"/>
  <c r="A827" i="28"/>
  <c r="B770" i="28"/>
  <c r="O150" i="29"/>
  <c r="G855" i="34"/>
  <c r="H793" i="2"/>
  <c r="G654" i="16"/>
  <c r="G1007" i="34"/>
  <c r="G908" i="34"/>
  <c r="G871" i="34"/>
  <c r="H312" i="2"/>
  <c r="G1108" i="2"/>
  <c r="G584" i="16"/>
  <c r="G965" i="34"/>
  <c r="A531" i="28"/>
  <c r="A528" i="28"/>
  <c r="G134" i="34"/>
  <c r="A1014" i="28"/>
  <c r="H1072" i="2"/>
  <c r="B570" i="28"/>
  <c r="G61" i="34"/>
  <c r="A575" i="28"/>
  <c r="G551" i="30"/>
  <c r="G907" i="34"/>
  <c r="G899" i="34"/>
  <c r="B211" i="28"/>
  <c r="H68" i="2"/>
  <c r="A995" i="28"/>
  <c r="Z84" i="29"/>
  <c r="G988" i="30"/>
  <c r="G805" i="16"/>
  <c r="G836" i="34"/>
  <c r="O180" i="29"/>
  <c r="A490" i="28"/>
  <c r="G131" i="34"/>
  <c r="B291" i="28"/>
  <c r="U38" i="29"/>
  <c r="G135" i="30"/>
  <c r="O74" i="29"/>
  <c r="Z154" i="29"/>
  <c r="U29" i="29"/>
  <c r="B182" i="28"/>
  <c r="A920" i="28"/>
  <c r="G920" i="34"/>
  <c r="G311" i="30"/>
  <c r="U44" i="29"/>
  <c r="B166" i="28"/>
  <c r="Z245" i="29"/>
  <c r="G258" i="30"/>
  <c r="B918" i="28"/>
  <c r="D71" i="29"/>
  <c r="G161" i="34"/>
  <c r="A653" i="28"/>
  <c r="G780" i="34"/>
  <c r="D63" i="29"/>
  <c r="A1068" i="28"/>
  <c r="U74" i="29"/>
  <c r="U172" i="29"/>
  <c r="G594" i="30"/>
  <c r="G456" i="34"/>
  <c r="B850" i="28"/>
  <c r="G722" i="34"/>
  <c r="B856" i="28"/>
  <c r="G234" i="34"/>
  <c r="G310" i="30"/>
  <c r="B243" i="28"/>
  <c r="H148" i="2"/>
  <c r="G99" i="34"/>
  <c r="G664" i="34"/>
  <c r="G178" i="34"/>
  <c r="G523" i="34"/>
  <c r="B580" i="28"/>
  <c r="G346" i="34"/>
  <c r="G307" i="30"/>
  <c r="G53" i="30"/>
  <c r="G249" i="2"/>
  <c r="G601" i="2"/>
  <c r="G604" i="34"/>
  <c r="Z203" i="29"/>
  <c r="O24" i="29"/>
  <c r="B944" i="28"/>
  <c r="A725" i="28"/>
  <c r="Z195" i="29"/>
  <c r="G736" i="30"/>
  <c r="O102" i="29"/>
  <c r="G155" i="34"/>
  <c r="B420" i="28"/>
  <c r="G373" i="2"/>
  <c r="H1111" i="2"/>
  <c r="U134" i="29"/>
  <c r="B514" i="28"/>
  <c r="U186" i="29"/>
  <c r="H809" i="2"/>
  <c r="B138" i="28"/>
  <c r="G360" i="30"/>
  <c r="G5" i="30"/>
  <c r="G153" i="30"/>
  <c r="B156" i="28"/>
  <c r="G448" i="2"/>
  <c r="G825" i="30"/>
  <c r="Z251" i="29"/>
  <c r="A606" i="28"/>
  <c r="G937" i="34"/>
  <c r="G639" i="34"/>
  <c r="G589" i="30"/>
  <c r="G598" i="34"/>
  <c r="G706" i="30"/>
  <c r="G366" i="34"/>
  <c r="O81" i="29"/>
  <c r="B1052" i="28"/>
  <c r="B66" i="28"/>
  <c r="G303" i="34"/>
  <c r="Z78" i="29"/>
  <c r="G707" i="34"/>
  <c r="G646" i="30"/>
  <c r="G938" i="2"/>
  <c r="H403" i="2"/>
  <c r="O207" i="29"/>
  <c r="G714" i="30"/>
  <c r="A657" i="28"/>
  <c r="H154" i="2"/>
  <c r="H1006" i="2"/>
  <c r="O155" i="29"/>
  <c r="Z81" i="29"/>
  <c r="O30" i="29"/>
  <c r="B154" i="28"/>
  <c r="H296" i="2"/>
  <c r="G949" i="30"/>
  <c r="G128" i="30"/>
  <c r="A1057" i="28"/>
  <c r="G912" i="30"/>
  <c r="A910" i="28"/>
  <c r="B996" i="28"/>
  <c r="O269" i="29"/>
  <c r="G149" i="30"/>
  <c r="G914" i="2"/>
  <c r="G430" i="34"/>
  <c r="B123" i="28"/>
  <c r="G682" i="30"/>
  <c r="G683" i="2"/>
  <c r="G478" i="34"/>
  <c r="A530" i="28"/>
  <c r="A886" i="28"/>
  <c r="G124" i="30"/>
  <c r="G939" i="30"/>
  <c r="G1023" i="2"/>
  <c r="G261" i="30"/>
  <c r="G18" i="2"/>
  <c r="G310" i="2"/>
  <c r="H38" i="2"/>
  <c r="G886" i="30"/>
  <c r="A954" i="28"/>
  <c r="O135" i="29"/>
  <c r="O119" i="29"/>
  <c r="G297" i="34"/>
  <c r="A586" i="28"/>
  <c r="G47" i="2"/>
  <c r="A970" i="28"/>
  <c r="G532" i="34"/>
  <c r="B834" i="28"/>
  <c r="B764" i="28"/>
  <c r="A761" i="28"/>
  <c r="G712" i="30"/>
  <c r="H297" i="2"/>
  <c r="G964" i="34"/>
  <c r="B584" i="28"/>
  <c r="O12" i="29"/>
  <c r="A435" i="28"/>
  <c r="G690" i="34"/>
  <c r="G137" i="2"/>
  <c r="G570" i="34"/>
  <c r="Z109" i="29"/>
  <c r="G545" i="30"/>
  <c r="B772" i="28"/>
  <c r="H101" i="2"/>
  <c r="G167" i="30"/>
  <c r="H529" i="2"/>
  <c r="H117" i="2"/>
  <c r="H928" i="2"/>
  <c r="H253" i="2"/>
  <c r="H638" i="2"/>
  <c r="A865" i="28"/>
  <c r="G172" i="34"/>
  <c r="H618" i="2"/>
  <c r="G27" i="30"/>
  <c r="G856" i="34"/>
  <c r="A514" i="28"/>
  <c r="G537" i="2"/>
  <c r="H192" i="2"/>
  <c r="G873" i="2"/>
  <c r="G227" i="34"/>
  <c r="G560" i="30"/>
  <c r="B802" i="28"/>
  <c r="G694" i="30"/>
  <c r="A437" i="28"/>
  <c r="G593" i="16"/>
  <c r="H594" i="2"/>
  <c r="A438" i="28"/>
  <c r="G913" i="34"/>
  <c r="G415" i="30"/>
  <c r="G843" i="34"/>
  <c r="G287" i="16"/>
  <c r="H682" i="2"/>
  <c r="G88" i="34"/>
  <c r="G858" i="34"/>
  <c r="G737" i="30"/>
  <c r="Z265" i="29"/>
  <c r="A430" i="28"/>
  <c r="A452" i="28"/>
  <c r="G562" i="30"/>
  <c r="G636" i="30"/>
  <c r="G839" i="30"/>
  <c r="G660" i="34"/>
  <c r="G750" i="34"/>
  <c r="G370" i="2"/>
  <c r="G416" i="2"/>
  <c r="B106" i="28"/>
  <c r="G776" i="34"/>
  <c r="B612" i="28"/>
  <c r="G66" i="2"/>
  <c r="G411" i="30"/>
  <c r="G758" i="30"/>
  <c r="G751" i="30"/>
  <c r="G769" i="30"/>
  <c r="B682" i="28"/>
  <c r="B1048" i="28"/>
  <c r="G90" i="2"/>
  <c r="A893" i="28"/>
  <c r="Z165" i="29"/>
  <c r="A940" i="28"/>
  <c r="B588" i="28"/>
  <c r="G687" i="30"/>
  <c r="G809" i="34"/>
  <c r="H176" i="2"/>
  <c r="G514" i="34"/>
  <c r="G539" i="34"/>
  <c r="U169" i="29"/>
  <c r="G357" i="2"/>
  <c r="A801" i="28"/>
  <c r="A947" i="28"/>
  <c r="H1073" i="2"/>
  <c r="B226" i="28"/>
  <c r="Z32" i="29"/>
  <c r="H25" i="2"/>
  <c r="G22" i="2"/>
  <c r="G622" i="34"/>
  <c r="A569" i="28"/>
  <c r="G687" i="34"/>
  <c r="G468" i="34"/>
  <c r="A836" i="28"/>
  <c r="O38" i="29"/>
  <c r="G226" i="2"/>
  <c r="B320" i="28"/>
  <c r="A427" i="28"/>
  <c r="G619" i="2"/>
  <c r="G45" i="16"/>
  <c r="G665" i="30"/>
  <c r="B1086" i="28"/>
  <c r="H727" i="2"/>
  <c r="H102" i="2"/>
  <c r="G401" i="34"/>
  <c r="A1013" i="28"/>
  <c r="B978" i="28"/>
  <c r="G298" i="2"/>
  <c r="G309" i="30"/>
  <c r="G107" i="30"/>
  <c r="G883" i="34"/>
  <c r="G420" i="16"/>
  <c r="H889" i="2"/>
  <c r="O2" i="29"/>
  <c r="H493" i="2"/>
  <c r="G671" i="34"/>
  <c r="G808" i="30"/>
  <c r="A1085" i="28"/>
  <c r="G770" i="30"/>
  <c r="G847" i="34"/>
  <c r="H345" i="2"/>
  <c r="B362" i="28"/>
  <c r="B1098" i="28"/>
  <c r="H611" i="2"/>
  <c r="G452" i="34"/>
  <c r="G94" i="30"/>
  <c r="A504" i="28"/>
  <c r="G830" i="2"/>
  <c r="G158" i="34"/>
  <c r="G924" i="34"/>
  <c r="H377" i="16"/>
  <c r="G402" i="34"/>
  <c r="G304" i="34"/>
  <c r="B212" i="28"/>
  <c r="H294" i="2"/>
  <c r="H513" i="2"/>
  <c r="G262" i="30"/>
  <c r="G34" i="34"/>
  <c r="G790" i="34"/>
  <c r="B319" i="28"/>
  <c r="B346" i="28"/>
  <c r="G241" i="30"/>
  <c r="B610" i="28"/>
  <c r="B1026" i="28"/>
  <c r="B364" i="28"/>
  <c r="A750" i="28"/>
  <c r="A1054" i="28"/>
  <c r="G180" i="30"/>
  <c r="G180" i="34"/>
  <c r="H373" i="2"/>
  <c r="G493" i="30"/>
  <c r="B191" i="28"/>
  <c r="B100" i="28"/>
  <c r="A658" i="28"/>
  <c r="G585" i="30"/>
  <c r="B520" i="28"/>
  <c r="G515" i="30"/>
  <c r="G12" i="34"/>
  <c r="B440" i="28"/>
  <c r="G631" i="34"/>
  <c r="G404" i="34"/>
  <c r="G442" i="34"/>
  <c r="G114" i="2"/>
  <c r="B456" i="28"/>
  <c r="U107" i="29"/>
  <c r="G790" i="16"/>
  <c r="G695" i="34"/>
  <c r="G418" i="2"/>
  <c r="A833" i="28"/>
  <c r="G30" i="34"/>
  <c r="G194" i="34"/>
  <c r="U139" i="29"/>
  <c r="G519" i="30"/>
  <c r="A852" i="28"/>
  <c r="G189" i="22"/>
  <c r="G168" i="34"/>
  <c r="A1096" i="28"/>
  <c r="G298" i="30"/>
  <c r="G363" i="2"/>
  <c r="G277" i="2"/>
  <c r="H733" i="2"/>
  <c r="G573" i="30"/>
  <c r="A624" i="28"/>
  <c r="G767" i="2"/>
  <c r="Z174" i="29"/>
  <c r="B986" i="28"/>
  <c r="O259" i="29"/>
  <c r="A550" i="28"/>
  <c r="H903" i="16"/>
  <c r="G273" i="34"/>
  <c r="Z164" i="29"/>
  <c r="G269" i="30"/>
  <c r="G318" i="30"/>
  <c r="Z158" i="29"/>
  <c r="B265" i="28"/>
  <c r="Z92" i="29"/>
  <c r="A879" i="28"/>
  <c r="A681" i="28"/>
  <c r="G866" i="30"/>
  <c r="G868" i="34"/>
  <c r="B334" i="28"/>
  <c r="G319" i="30"/>
  <c r="G635" i="34"/>
  <c r="B444" i="28"/>
  <c r="G508" i="34"/>
  <c r="A625" i="28"/>
  <c r="A786" i="28"/>
  <c r="H942" i="2"/>
  <c r="G767" i="30"/>
  <c r="H530" i="2"/>
  <c r="O36" i="29"/>
  <c r="G233" i="30"/>
  <c r="B532" i="28"/>
  <c r="G383" i="34"/>
  <c r="A741" i="28"/>
  <c r="G354" i="30"/>
  <c r="B122" i="28"/>
  <c r="G879" i="30"/>
  <c r="B946" i="28"/>
  <c r="A1093" i="28"/>
  <c r="U156" i="29"/>
  <c r="G171" i="34"/>
  <c r="G657" i="30"/>
  <c r="G275" i="30"/>
  <c r="B820" i="28"/>
  <c r="B952" i="28"/>
  <c r="B298" i="28"/>
  <c r="G561" i="30"/>
  <c r="G875" i="2"/>
  <c r="H274" i="2"/>
  <c r="G2" i="34"/>
  <c r="G498" i="30"/>
  <c r="G922" i="30"/>
  <c r="B378" i="28"/>
  <c r="H69" i="2"/>
  <c r="G76" i="34"/>
  <c r="G379" i="16"/>
  <c r="G819" i="30"/>
  <c r="G155" i="30"/>
  <c r="G62" i="34"/>
  <c r="G437" i="34"/>
  <c r="H920" i="2"/>
  <c r="H969" i="2"/>
  <c r="G443" i="30"/>
  <c r="G382" i="34"/>
  <c r="H777" i="2"/>
  <c r="G209" i="2"/>
  <c r="G874" i="34"/>
  <c r="G65" i="30"/>
  <c r="G592" i="30"/>
  <c r="A848" i="28"/>
  <c r="G71" i="34"/>
  <c r="A571" i="28"/>
  <c r="A722" i="28"/>
  <c r="G850" i="2"/>
  <c r="H738" i="2"/>
  <c r="A816" i="28"/>
  <c r="G904" i="2"/>
  <c r="G183" i="34"/>
  <c r="A1025" i="28"/>
  <c r="G41" i="30"/>
  <c r="H578" i="2"/>
  <c r="B32" i="28"/>
  <c r="B328" i="28"/>
  <c r="O9" i="29"/>
  <c r="B302" i="28"/>
  <c r="G620" i="30"/>
  <c r="G19" i="34"/>
  <c r="G256" i="34"/>
  <c r="B31" i="28"/>
  <c r="B904" i="28"/>
  <c r="H210" i="2"/>
  <c r="H45" i="2"/>
  <c r="O134" i="29"/>
  <c r="G924" i="30"/>
  <c r="G785" i="34"/>
  <c r="B972" i="28"/>
  <c r="G77" i="30"/>
  <c r="G516" i="34"/>
  <c r="G266" i="34"/>
  <c r="H424" i="16"/>
  <c r="B870" i="28"/>
  <c r="H618" i="22"/>
  <c r="G496" i="34"/>
  <c r="H338" i="2"/>
  <c r="D47" i="29"/>
  <c r="D51" i="29"/>
  <c r="G242" i="34"/>
  <c r="U181" i="29"/>
  <c r="G819" i="34"/>
  <c r="B1070" i="28"/>
  <c r="G325" i="30"/>
  <c r="B130" i="28"/>
  <c r="Z64" i="29"/>
  <c r="B160" i="28"/>
  <c r="G644" i="2"/>
  <c r="G723" i="34"/>
  <c r="G717" i="30"/>
  <c r="B884" i="28"/>
  <c r="Z74" i="29"/>
  <c r="B279" i="28"/>
  <c r="B384" i="28"/>
  <c r="A429" i="28"/>
  <c r="G208" i="30"/>
  <c r="H477" i="2"/>
  <c r="B800" i="28"/>
  <c r="H870" i="16"/>
  <c r="H721" i="2"/>
  <c r="B326" i="28"/>
  <c r="U166" i="29"/>
  <c r="A721" i="28"/>
  <c r="G624" i="30"/>
  <c r="A1002" i="28"/>
  <c r="H625" i="2"/>
  <c r="G663" i="34"/>
  <c r="G272" i="34"/>
  <c r="B646" i="28"/>
  <c r="G788" i="34"/>
  <c r="Z257" i="29"/>
  <c r="G989" i="2"/>
  <c r="G580" i="30"/>
  <c r="G281" i="34"/>
  <c r="B113" i="28"/>
  <c r="B634" i="28"/>
  <c r="A1050" i="28"/>
  <c r="G134" i="30"/>
  <c r="A602" i="28"/>
  <c r="G569" i="34"/>
  <c r="G645" i="2"/>
  <c r="B171" i="28"/>
  <c r="B270" i="28"/>
  <c r="Z100" i="29"/>
  <c r="A521" i="28"/>
  <c r="B242" i="28"/>
  <c r="B994" i="28"/>
  <c r="G246" i="34"/>
  <c r="Z133" i="29"/>
  <c r="O138" i="29"/>
  <c r="A538" i="28"/>
  <c r="G296" i="30"/>
  <c r="A457" i="28"/>
  <c r="G200" i="34"/>
  <c r="A738" i="28"/>
  <c r="G884" i="30"/>
  <c r="G586" i="34"/>
  <c r="G386" i="30"/>
  <c r="G850" i="34"/>
  <c r="H1066" i="16"/>
  <c r="H728" i="2"/>
  <c r="G945" i="30"/>
  <c r="B730" i="28"/>
  <c r="G28" i="2"/>
  <c r="A958" i="28"/>
  <c r="G381" i="2"/>
  <c r="O173" i="29"/>
  <c r="Z56" i="29"/>
  <c r="G798" i="34"/>
  <c r="A924" i="28"/>
  <c r="G778" i="34"/>
  <c r="G669" i="30"/>
  <c r="O68" i="29"/>
  <c r="B692" i="28"/>
  <c r="B148" i="28"/>
  <c r="G820" i="30"/>
  <c r="B118" i="28"/>
  <c r="H642" i="2"/>
  <c r="G801" i="34"/>
  <c r="G511" i="34"/>
  <c r="G85" i="2"/>
  <c r="G960" i="30"/>
  <c r="G56" i="2"/>
  <c r="G466" i="34"/>
  <c r="G1103" i="2"/>
  <c r="U21" i="29"/>
  <c r="H2" i="16"/>
  <c r="H362" i="2"/>
  <c r="H169" i="2"/>
  <c r="G91" i="2"/>
  <c r="A887" i="28"/>
  <c r="G497" i="34"/>
  <c r="H351" i="16"/>
  <c r="G236" i="2"/>
  <c r="H298" i="16"/>
  <c r="G1014" i="16"/>
  <c r="B331" i="28"/>
  <c r="G328" i="30"/>
  <c r="B40" i="28"/>
  <c r="B283" i="28"/>
  <c r="A469" i="28"/>
  <c r="B360" i="28"/>
  <c r="G321" i="30"/>
  <c r="G648" i="30"/>
  <c r="A1053" i="28"/>
  <c r="G869" i="30"/>
  <c r="O33" i="29"/>
  <c r="G796" i="2"/>
  <c r="G21" i="34"/>
  <c r="G379" i="30"/>
  <c r="H687" i="2"/>
  <c r="H370" i="2"/>
  <c r="G782" i="30"/>
  <c r="A600" i="28"/>
  <c r="G27" i="34"/>
  <c r="G825" i="34"/>
  <c r="Z4" i="29"/>
  <c r="G676" i="30"/>
  <c r="A922" i="28"/>
  <c r="A578" i="28"/>
  <c r="G754" i="34"/>
  <c r="H655" i="16"/>
  <c r="A633" i="28"/>
  <c r="G614" i="34"/>
  <c r="B307" i="28"/>
  <c r="G164" i="30"/>
  <c r="B252" i="28"/>
  <c r="O146" i="29"/>
  <c r="G322" i="34"/>
  <c r="B1016" i="28"/>
  <c r="G471" i="34"/>
  <c r="G75" i="34"/>
  <c r="G992" i="34"/>
  <c r="B144" i="28"/>
  <c r="A729" i="28"/>
  <c r="G612" i="2"/>
  <c r="G877" i="34"/>
  <c r="B92" i="28"/>
  <c r="D67" i="29"/>
  <c r="O209" i="29"/>
  <c r="G124" i="34"/>
  <c r="A605" i="28"/>
  <c r="B383" i="28"/>
  <c r="B888" i="28"/>
  <c r="G345" i="2"/>
  <c r="A700" i="28"/>
  <c r="A541" i="28"/>
  <c r="G210" i="2"/>
  <c r="B187" i="28"/>
  <c r="B540" i="28"/>
  <c r="B342" i="28"/>
  <c r="G710" i="34"/>
  <c r="Z85" i="29"/>
  <c r="G364" i="34"/>
  <c r="G146" i="34"/>
  <c r="G906" i="30"/>
  <c r="G938" i="30"/>
  <c r="G556" i="30"/>
  <c r="G678" i="34"/>
  <c r="G82" i="2"/>
  <c r="G350" i="30"/>
  <c r="G957" i="30"/>
  <c r="G699" i="30"/>
  <c r="H887" i="2"/>
  <c r="H598" i="16"/>
  <c r="G371" i="30"/>
  <c r="G163" i="34"/>
  <c r="B886" i="28"/>
  <c r="A644" i="28"/>
  <c r="G645" i="30"/>
  <c r="A772" i="28"/>
  <c r="G255" i="34"/>
  <c r="Z48" i="29"/>
  <c r="A826" i="28"/>
  <c r="G359" i="30"/>
  <c r="G979" i="2"/>
  <c r="G740" i="34"/>
  <c r="G436" i="34"/>
  <c r="G117" i="30"/>
  <c r="A1069" i="28"/>
  <c r="G224" i="30"/>
  <c r="G108" i="30"/>
  <c r="H401" i="2"/>
  <c r="A706" i="28"/>
  <c r="G88" i="2"/>
  <c r="A717" i="28"/>
  <c r="B1000" i="28"/>
  <c r="A1078" i="28"/>
  <c r="G3" i="2"/>
  <c r="G703" i="30"/>
  <c r="G809" i="2"/>
  <c r="H666" i="2"/>
  <c r="B748" i="28"/>
  <c r="G267" i="34"/>
  <c r="G618" i="30"/>
  <c r="G890" i="2"/>
  <c r="U150" i="29"/>
  <c r="O113" i="29"/>
  <c r="B898" i="28"/>
  <c r="G823" i="2"/>
  <c r="G16" i="34"/>
  <c r="G704" i="30"/>
  <c r="A726" i="28"/>
  <c r="A745" i="28"/>
  <c r="G611" i="34"/>
  <c r="H482" i="2"/>
  <c r="A1037" i="28"/>
  <c r="G58" i="34"/>
  <c r="G274" i="2"/>
  <c r="G394" i="2"/>
  <c r="G682" i="34"/>
  <c r="U187" i="29"/>
  <c r="A819" i="28"/>
  <c r="G284" i="34"/>
  <c r="A1020" i="28"/>
  <c r="A1008" i="28"/>
  <c r="G399" i="30"/>
  <c r="G167" i="34"/>
  <c r="G290" i="2"/>
  <c r="H429" i="2"/>
  <c r="G303" i="30"/>
  <c r="G810" i="34"/>
  <c r="H517" i="2"/>
  <c r="G308" i="34"/>
  <c r="G270" i="34"/>
  <c r="G279" i="34"/>
  <c r="H252" i="2"/>
  <c r="B704" i="28"/>
  <c r="G905" i="34"/>
  <c r="G450" i="30"/>
  <c r="G753" i="30"/>
  <c r="G632" i="30"/>
  <c r="G426" i="34"/>
  <c r="G900" i="30"/>
  <c r="B296" i="28"/>
  <c r="O132" i="29"/>
  <c r="H749" i="2"/>
  <c r="B371" i="28"/>
  <c r="H447" i="2"/>
  <c r="G199" i="30"/>
  <c r="A916" i="28"/>
  <c r="G913" i="2"/>
  <c r="G156" i="34"/>
  <c r="O37" i="29"/>
  <c r="A898" i="28"/>
  <c r="G460" i="34"/>
  <c r="A632" i="28"/>
  <c r="G74" i="34"/>
  <c r="G915" i="30"/>
  <c r="G993" i="30"/>
  <c r="G507" i="34"/>
  <c r="G431" i="2"/>
  <c r="A773" i="28"/>
  <c r="G425" i="16"/>
  <c r="G68" i="30"/>
  <c r="G826" i="30"/>
  <c r="G64" i="34"/>
  <c r="B236" i="28"/>
  <c r="B80" i="28"/>
  <c r="G336" i="30"/>
  <c r="H177" i="2"/>
  <c r="H614" i="2"/>
  <c r="G250" i="2"/>
  <c r="G68" i="2"/>
  <c r="G24" i="2"/>
  <c r="G266" i="22"/>
  <c r="H946" i="2"/>
  <c r="A803" i="28"/>
  <c r="G136" i="34"/>
  <c r="G587" i="30"/>
  <c r="G748" i="2"/>
  <c r="G67" i="34"/>
  <c r="G471" i="30"/>
  <c r="G971" i="34"/>
  <c r="G455" i="30"/>
  <c r="G266" i="30"/>
  <c r="G632" i="34"/>
  <c r="G445" i="30"/>
  <c r="O164" i="29"/>
  <c r="O191" i="29"/>
  <c r="G13" i="30"/>
  <c r="G644" i="30"/>
  <c r="A641" i="28"/>
  <c r="G331" i="34"/>
  <c r="B411" i="28"/>
  <c r="Z60" i="29"/>
  <c r="G323" i="30"/>
  <c r="B44" i="28"/>
  <c r="H434" i="2"/>
  <c r="H1068" i="2"/>
  <c r="G34" i="2"/>
  <c r="A582" i="28"/>
  <c r="G764" i="2"/>
  <c r="A710" i="28"/>
  <c r="G760" i="30"/>
  <c r="U179" i="29"/>
  <c r="G672" i="2"/>
  <c r="G264" i="34"/>
  <c r="G39" i="30"/>
  <c r="A28" i="28"/>
  <c r="G935" i="30"/>
  <c r="H1085" i="2"/>
  <c r="G467" i="34"/>
  <c r="A873" i="28"/>
  <c r="Z50" i="29"/>
  <c r="O139" i="29"/>
  <c r="B178" i="28"/>
  <c r="H534" i="2"/>
  <c r="A480" i="28"/>
  <c r="B402" i="28"/>
  <c r="H1009" i="2"/>
  <c r="G581" i="2"/>
  <c r="G483" i="34"/>
  <c r="U2" i="29"/>
  <c r="G625" i="30"/>
  <c r="G563" i="34"/>
  <c r="G177" i="30"/>
  <c r="G30" i="30"/>
  <c r="G607" i="34"/>
  <c r="G464" i="34"/>
  <c r="A545" i="28"/>
  <c r="G395" i="34"/>
  <c r="H780" i="2"/>
  <c r="B908" i="28"/>
  <c r="O76" i="29"/>
  <c r="H100" i="2"/>
  <c r="G425" i="34"/>
  <c r="G947" i="2"/>
  <c r="G938" i="34"/>
  <c r="G706" i="34"/>
  <c r="G453" i="34"/>
  <c r="G660" i="2"/>
  <c r="G429" i="30"/>
  <c r="G779" i="34"/>
  <c r="A864" i="28"/>
  <c r="O177" i="29"/>
  <c r="G69" i="2"/>
  <c r="Z34" i="29"/>
  <c r="G480" i="2"/>
  <c r="G1011" i="34"/>
  <c r="H577" i="2"/>
  <c r="G579" i="34"/>
  <c r="G818" i="30"/>
  <c r="G803" i="16"/>
  <c r="G911" i="30"/>
  <c r="A769" i="28"/>
  <c r="B496" i="28"/>
  <c r="G118" i="34"/>
  <c r="B678" i="28"/>
  <c r="G872" i="30"/>
  <c r="G121" i="30"/>
  <c r="A949" i="28"/>
  <c r="A1056" i="28"/>
  <c r="G962" i="30"/>
  <c r="H174" i="2"/>
  <c r="H441" i="2"/>
  <c r="G560" i="34"/>
  <c r="H20" i="22"/>
  <c r="A620" i="28"/>
  <c r="H828" i="2"/>
  <c r="G585" i="2"/>
  <c r="G329" i="2"/>
  <c r="Z135" i="29"/>
  <c r="G511" i="30"/>
  <c r="G235" i="2"/>
  <c r="U16" i="29"/>
  <c r="A1040" i="28"/>
  <c r="G49" i="30"/>
  <c r="O26" i="29"/>
  <c r="G113" i="30"/>
  <c r="H445" i="2"/>
  <c r="G972" i="34"/>
  <c r="O201" i="29"/>
  <c r="A604" i="28"/>
  <c r="A804" i="28"/>
  <c r="Z95" i="29"/>
  <c r="U48" i="29"/>
  <c r="G47" i="34"/>
  <c r="G978" i="2"/>
  <c r="A1036" i="28"/>
  <c r="G711" i="30"/>
  <c r="A830" i="28"/>
  <c r="G666" i="34"/>
  <c r="B1090" i="28"/>
  <c r="G825" i="2"/>
  <c r="U106" i="29"/>
  <c r="G279" i="2"/>
  <c r="H882" i="2"/>
  <c r="G493" i="2"/>
  <c r="G703" i="34"/>
  <c r="B548" i="28"/>
  <c r="G628" i="30"/>
  <c r="G378" i="30"/>
  <c r="B409" i="28"/>
  <c r="A985" i="28"/>
  <c r="G748" i="30"/>
  <c r="G488" i="2"/>
  <c r="G146" i="2"/>
  <c r="G200" i="22"/>
  <c r="G986" i="2"/>
  <c r="G397" i="34"/>
  <c r="G730" i="2"/>
  <c r="G1069" i="16"/>
  <c r="H568" i="2"/>
  <c r="G476" i="2"/>
  <c r="B48" i="28"/>
  <c r="G829" i="16"/>
  <c r="H888" i="2"/>
  <c r="G756" i="30"/>
  <c r="U78" i="29"/>
  <c r="G416" i="22"/>
  <c r="H491" i="16"/>
  <c r="G199" i="2"/>
  <c r="H1101" i="2"/>
  <c r="A894" i="28"/>
  <c r="O77" i="29"/>
  <c r="G640" i="30"/>
  <c r="G715" i="34"/>
  <c r="G900" i="34"/>
  <c r="B416" i="28"/>
  <c r="G608" i="34"/>
  <c r="G129" i="30"/>
  <c r="G45" i="30"/>
  <c r="G983" i="30"/>
  <c r="B808" i="28"/>
  <c r="A972" i="28"/>
  <c r="G211" i="34"/>
  <c r="B375" i="28"/>
  <c r="G490" i="34"/>
  <c r="H1120" i="16"/>
  <c r="H598" i="2"/>
  <c r="A1098" i="28"/>
  <c r="G112" i="34"/>
  <c r="G694" i="34"/>
  <c r="G268" i="30"/>
  <c r="G674" i="30"/>
  <c r="G438" i="30"/>
  <c r="G367" i="34"/>
  <c r="A580" i="28"/>
  <c r="G540" i="16"/>
  <c r="A441" i="28"/>
  <c r="G692" i="30"/>
  <c r="U115" i="29"/>
  <c r="H421" i="2"/>
  <c r="G842" i="34"/>
  <c r="A868" i="28"/>
  <c r="G980" i="30"/>
  <c r="B391" i="28"/>
  <c r="Z119" i="29"/>
  <c r="G333" i="30"/>
  <c r="G749" i="30"/>
  <c r="B152" i="28"/>
  <c r="G66" i="34"/>
  <c r="G163" i="30"/>
  <c r="H380" i="16"/>
  <c r="G606" i="34"/>
  <c r="B299" i="28"/>
  <c r="A419" i="28"/>
  <c r="G993" i="16"/>
  <c r="A686" i="28"/>
  <c r="G388" i="34"/>
  <c r="G40" i="30"/>
  <c r="G456" i="30"/>
  <c r="G354" i="34"/>
  <c r="B162" i="28"/>
  <c r="G462" i="34"/>
  <c r="G335" i="34"/>
  <c r="A988" i="28"/>
  <c r="G897" i="2"/>
  <c r="G101" i="2"/>
  <c r="G407" i="34"/>
  <c r="Z18" i="29"/>
  <c r="G278" i="34"/>
  <c r="Z219" i="29"/>
  <c r="H1008" i="2"/>
  <c r="G605" i="30"/>
  <c r="G914" i="34"/>
  <c r="G60" i="34"/>
  <c r="H992" i="2"/>
  <c r="G479" i="30"/>
  <c r="G652" i="34"/>
  <c r="G815" i="30"/>
  <c r="G496" i="2"/>
  <c r="G835" i="34"/>
  <c r="G1065" i="16"/>
  <c r="B900" i="28"/>
  <c r="G885" i="30"/>
  <c r="B386" i="28"/>
  <c r="G540" i="34"/>
  <c r="G681" i="34"/>
  <c r="B258" i="28"/>
  <c r="G740" i="30"/>
  <c r="G52" i="34"/>
  <c r="G613" i="30"/>
  <c r="G704" i="16"/>
  <c r="G98" i="34"/>
  <c r="G928" i="34"/>
  <c r="A553" i="28"/>
  <c r="A1049" i="28"/>
  <c r="G1032" i="2"/>
  <c r="D59" i="29"/>
  <c r="G492" i="34"/>
  <c r="Z17" i="29"/>
  <c r="G975" i="30"/>
  <c r="G271" i="2"/>
  <c r="A492" i="28"/>
  <c r="G239" i="34"/>
  <c r="G530" i="34"/>
  <c r="G249" i="30"/>
  <c r="B466" i="28"/>
  <c r="G680" i="34"/>
  <c r="G426" i="2"/>
  <c r="H581" i="2"/>
  <c r="O169" i="29"/>
  <c r="B288" i="28"/>
  <c r="A1081" i="28"/>
  <c r="Z188" i="29"/>
  <c r="G514" i="30"/>
  <c r="G106" i="2"/>
  <c r="B310" i="28"/>
  <c r="H745" i="2"/>
  <c r="O90" i="29"/>
  <c r="G1037" i="2"/>
  <c r="H79" i="2"/>
  <c r="H185" i="2"/>
  <c r="G631" i="30"/>
  <c r="G33" i="16"/>
  <c r="G295" i="30"/>
  <c r="G204" i="22"/>
  <c r="H439" i="2"/>
  <c r="O62" i="29"/>
  <c r="B836" i="28"/>
  <c r="A915" i="28"/>
  <c r="A690" i="28"/>
  <c r="B238" i="28"/>
  <c r="Z20" i="29"/>
  <c r="G458" i="30"/>
  <c r="G969" i="30"/>
  <c r="O121" i="29"/>
  <c r="U108" i="29"/>
  <c r="A776" i="28"/>
  <c r="B70" i="28"/>
  <c r="G28" i="34"/>
  <c r="G583" i="34"/>
  <c r="G840" i="30"/>
  <c r="B528" i="28"/>
  <c r="A892" i="28"/>
  <c r="G694" i="2"/>
  <c r="G187" i="34"/>
  <c r="G60" i="2"/>
  <c r="H802" i="16"/>
  <c r="G685" i="2"/>
  <c r="U75" i="29"/>
  <c r="G549" i="30"/>
  <c r="A941" i="28"/>
  <c r="G1022" i="2"/>
  <c r="G512" i="30"/>
  <c r="G538" i="34"/>
  <c r="B254" i="28"/>
  <c r="H954" i="2"/>
  <c r="B602" i="28"/>
  <c r="U33" i="29"/>
  <c r="G431" i="34"/>
  <c r="G503" i="30"/>
  <c r="G798" i="30"/>
  <c r="B824" i="28"/>
  <c r="A969" i="28"/>
  <c r="H89" i="2"/>
  <c r="A516" i="28"/>
  <c r="A599" i="28"/>
  <c r="A1012" i="28"/>
  <c r="A691" i="28"/>
  <c r="Z101" i="29"/>
  <c r="G887" i="30"/>
  <c r="G17" i="34"/>
  <c r="G138" i="2"/>
  <c r="G833" i="2"/>
  <c r="A456" i="28"/>
  <c r="A662" i="28"/>
  <c r="A448" i="28"/>
  <c r="H74" i="16"/>
  <c r="A601" i="28"/>
  <c r="A609" i="28"/>
  <c r="G245" i="2"/>
  <c r="A850" i="28"/>
  <c r="B38" i="28"/>
  <c r="A872" i="28"/>
  <c r="G643" i="16"/>
  <c r="A1041" i="28"/>
  <c r="Z201" i="29"/>
  <c r="G201" i="30"/>
  <c r="G542" i="30"/>
  <c r="G583" i="30"/>
  <c r="B370" i="28"/>
  <c r="O233" i="29"/>
  <c r="G417" i="30"/>
  <c r="A935" i="28"/>
  <c r="B129" i="28"/>
  <c r="Z205" i="29"/>
  <c r="G524" i="2"/>
  <c r="G316" i="30"/>
  <c r="G751" i="34"/>
  <c r="G57" i="2"/>
  <c r="O10" i="29"/>
  <c r="G29" i="30"/>
  <c r="H753" i="2"/>
  <c r="G744" i="30"/>
  <c r="Z122" i="29"/>
  <c r="A502" i="28"/>
  <c r="G80" i="30"/>
  <c r="G356" i="34"/>
  <c r="B1008" i="28"/>
  <c r="A835" i="28"/>
  <c r="A473" i="28"/>
  <c r="H681" i="2"/>
  <c r="Z175" i="29"/>
  <c r="A906" i="28"/>
  <c r="B1060" i="28"/>
  <c r="B594" i="28"/>
  <c r="G627" i="30"/>
  <c r="G789" i="30"/>
  <c r="G812" i="30"/>
  <c r="A659" i="28"/>
  <c r="A814" i="28"/>
  <c r="G188" i="30"/>
  <c r="G477" i="34"/>
  <c r="O131" i="29"/>
  <c r="Z10" i="29"/>
  <c r="G838" i="2"/>
  <c r="B876" i="28"/>
  <c r="G326" i="30"/>
  <c r="B51" i="28"/>
  <c r="G101" i="30"/>
  <c r="H160" i="2"/>
  <c r="B744" i="28"/>
  <c r="B199" i="28"/>
  <c r="G282" i="34"/>
  <c r="U8" i="29"/>
  <c r="H658" i="2"/>
  <c r="H826" i="2"/>
  <c r="G368" i="30"/>
  <c r="A1061" i="28"/>
  <c r="B214" i="28"/>
  <c r="G422" i="30"/>
  <c r="A585" i="28"/>
  <c r="Z127" i="29"/>
  <c r="A926" i="28"/>
  <c r="B504" i="28"/>
  <c r="G310" i="34"/>
  <c r="G828" i="30"/>
  <c r="U6" i="29"/>
  <c r="G631" i="2"/>
  <c r="A557" i="28"/>
  <c r="G482" i="30"/>
  <c r="G143" i="30"/>
  <c r="G639" i="30"/>
  <c r="G330" i="34"/>
  <c r="B96" i="28"/>
  <c r="G510" i="30"/>
  <c r="H316" i="16"/>
  <c r="G734" i="2"/>
  <c r="H248" i="2"/>
  <c r="G233" i="34"/>
  <c r="G273" i="16"/>
  <c r="H145" i="16"/>
  <c r="G676" i="2"/>
  <c r="G628" i="2"/>
  <c r="G765" i="2"/>
  <c r="O29" i="29"/>
  <c r="H443" i="2"/>
  <c r="G888" i="2"/>
  <c r="B436" i="28"/>
  <c r="G299" i="2"/>
  <c r="G802" i="30"/>
  <c r="G867" i="16"/>
  <c r="G524" i="34"/>
  <c r="G950" i="30"/>
  <c r="A934" i="28"/>
  <c r="A568" i="28"/>
  <c r="H623" i="2"/>
  <c r="B728" i="28"/>
  <c r="A416" i="28"/>
  <c r="O105" i="29"/>
  <c r="G904" i="30"/>
  <c r="G806" i="34"/>
  <c r="G12" i="2"/>
  <c r="G572" i="30"/>
  <c r="O179" i="29"/>
  <c r="G413" i="30"/>
  <c r="B281" i="28"/>
  <c r="G270" i="30"/>
  <c r="G698" i="34"/>
  <c r="G328" i="34"/>
  <c r="G307" i="34"/>
  <c r="H29" i="2"/>
  <c r="G502" i="30"/>
  <c r="G555" i="34"/>
  <c r="A950" i="28"/>
  <c r="O148" i="29"/>
  <c r="A565" i="28"/>
  <c r="G760" i="34"/>
  <c r="O166" i="29"/>
  <c r="Z183" i="29"/>
  <c r="B286" i="28"/>
  <c r="B842" i="28"/>
  <c r="A902" i="28"/>
  <c r="G811" i="34"/>
  <c r="H1049" i="2"/>
  <c r="B628" i="28"/>
  <c r="Z68" i="29"/>
  <c r="G906" i="2"/>
  <c r="U125" i="29"/>
  <c r="B273" i="28"/>
  <c r="B500" i="28"/>
  <c r="G55" i="30"/>
  <c r="G973" i="2"/>
  <c r="U163" i="29"/>
  <c r="O98" i="29"/>
  <c r="G556" i="2"/>
  <c r="G685" i="30"/>
  <c r="G608" i="30"/>
  <c r="B271" i="28"/>
  <c r="G540" i="2"/>
  <c r="G484" i="34"/>
  <c r="G506" i="34"/>
  <c r="G74" i="2"/>
  <c r="G140" i="34"/>
  <c r="U132" i="29"/>
  <c r="G1017" i="34"/>
  <c r="H152" i="2"/>
  <c r="G719" i="34"/>
  <c r="U99" i="29"/>
  <c r="B912" i="28"/>
  <c r="G391" i="30"/>
  <c r="B46" i="28"/>
  <c r="G557" i="30"/>
  <c r="A1084" i="28"/>
  <c r="G31" i="34"/>
  <c r="G854" i="2"/>
  <c r="G219" i="34"/>
  <c r="G93" i="2"/>
  <c r="A417" i="28"/>
  <c r="A1075" i="28"/>
  <c r="G450" i="34"/>
  <c r="G1078" i="2"/>
  <c r="H1115" i="2"/>
  <c r="B954" i="28"/>
  <c r="G548" i="30"/>
  <c r="G677" i="2"/>
  <c r="U153" i="29"/>
  <c r="A832" i="28"/>
  <c r="B422" i="28"/>
  <c r="G806" i="2"/>
  <c r="A562" i="28"/>
  <c r="G196" i="34"/>
  <c r="G892" i="34"/>
  <c r="G559" i="30"/>
  <c r="O107" i="29"/>
  <c r="B67" i="28"/>
  <c r="G214" i="34"/>
  <c r="B592" i="28"/>
  <c r="G342" i="2"/>
  <c r="H674" i="2"/>
  <c r="B343" i="28"/>
  <c r="B235" i="28"/>
  <c r="G353" i="2"/>
  <c r="G222" i="30"/>
  <c r="G4" i="34"/>
  <c r="G88" i="30"/>
  <c r="G8" i="34"/>
  <c r="Z37" i="29"/>
  <c r="G47" i="30"/>
  <c r="A537" i="28"/>
  <c r="G493" i="34"/>
  <c r="G564" i="34"/>
  <c r="H672" i="2"/>
  <c r="A597" i="28"/>
  <c r="G25" i="2"/>
  <c r="G248" i="34"/>
  <c r="A555" i="28"/>
  <c r="B484" i="28"/>
  <c r="B379" i="28"/>
  <c r="H997" i="2"/>
  <c r="A522" i="28"/>
  <c r="G801" i="2"/>
  <c r="G358" i="34"/>
  <c r="G50" i="34"/>
  <c r="G918" i="30"/>
  <c r="H521" i="2"/>
  <c r="G675" i="34"/>
  <c r="G206" i="34"/>
  <c r="B840" i="28"/>
  <c r="G592" i="34"/>
  <c r="G116" i="2"/>
  <c r="G337" i="30"/>
  <c r="B104" i="28"/>
  <c r="H786" i="2"/>
  <c r="B316" i="28"/>
  <c r="B940" i="28"/>
  <c r="A913" i="28"/>
  <c r="G852" i="30"/>
  <c r="G26" i="34"/>
  <c r="G33" i="30"/>
  <c r="U34" i="29"/>
  <c r="Z90" i="29"/>
  <c r="G802" i="34"/>
  <c r="H1046" i="16"/>
  <c r="G426" i="30"/>
  <c r="G477" i="30"/>
  <c r="G11" i="30"/>
  <c r="H689" i="2"/>
  <c r="B1022" i="28"/>
  <c r="G527" i="30"/>
  <c r="G683" i="34"/>
  <c r="G961" i="2"/>
  <c r="A748" i="28"/>
  <c r="G785" i="30"/>
  <c r="Z46" i="29"/>
  <c r="G952" i="34"/>
  <c r="G882" i="30"/>
  <c r="G961" i="24" l="1"/>
  <c r="G689" i="17"/>
  <c r="G786" i="17"/>
  <c r="G116" i="24"/>
  <c r="G521" i="17"/>
  <c r="G801" i="24"/>
  <c r="G997" i="17"/>
  <c r="G25" i="24"/>
  <c r="G672" i="17"/>
  <c r="G353" i="24"/>
  <c r="G674" i="17"/>
  <c r="G342" i="24"/>
  <c r="G806" i="24"/>
  <c r="G677" i="24"/>
  <c r="G93" i="24"/>
  <c r="G854" i="24"/>
  <c r="G152" i="17"/>
  <c r="G74" i="24"/>
  <c r="G540" i="24"/>
  <c r="G556" i="24"/>
  <c r="G973" i="24"/>
  <c r="G906" i="24"/>
  <c r="G12" i="24"/>
  <c r="G623" i="17"/>
  <c r="G299" i="24"/>
  <c r="G888" i="24"/>
  <c r="G443" i="17"/>
  <c r="G765" i="24"/>
  <c r="G628" i="24"/>
  <c r="G676" i="24"/>
  <c r="G248" i="17"/>
  <c r="G734" i="24"/>
  <c r="G631" i="24"/>
  <c r="G826" i="17"/>
  <c r="G658" i="17"/>
  <c r="G160" i="17"/>
  <c r="G838" i="24"/>
  <c r="G681" i="17"/>
  <c r="G753" i="17"/>
  <c r="G57" i="24"/>
  <c r="G524" i="24"/>
  <c r="G245" i="24"/>
  <c r="G833" i="24"/>
  <c r="G138" i="24"/>
  <c r="G89" i="17"/>
  <c r="G954" i="17"/>
  <c r="G1022" i="24"/>
  <c r="G685" i="24"/>
  <c r="G60" i="24"/>
  <c r="G694" i="24"/>
  <c r="G439" i="17"/>
  <c r="G185" i="17"/>
  <c r="G79" i="17"/>
  <c r="G745" i="17"/>
  <c r="G106" i="24"/>
  <c r="G581" i="17"/>
  <c r="G426" i="24"/>
  <c r="G271" i="24"/>
  <c r="G496" i="24"/>
  <c r="G992" i="17"/>
  <c r="G1008" i="17"/>
  <c r="G101" i="24"/>
  <c r="G897" i="24"/>
  <c r="G421" i="17"/>
  <c r="G598" i="17"/>
  <c r="G199" i="24"/>
  <c r="G888" i="17"/>
  <c r="G476" i="24"/>
  <c r="G568" i="17"/>
  <c r="G730" i="24"/>
  <c r="G986" i="24"/>
  <c r="G146" i="24"/>
  <c r="G488" i="24"/>
  <c r="G493" i="24"/>
  <c r="G882" i="17"/>
  <c r="G279" i="24"/>
  <c r="G825" i="24"/>
  <c r="G978" i="24"/>
  <c r="G445" i="17"/>
  <c r="G235" i="24"/>
  <c r="G329" i="24"/>
  <c r="G585" i="24"/>
  <c r="G828" i="17"/>
  <c r="G441" i="17"/>
  <c r="G174" i="17"/>
  <c r="G577" i="17"/>
  <c r="G480" i="24"/>
  <c r="G69" i="24"/>
  <c r="G660" i="24"/>
  <c r="G947" i="24"/>
  <c r="G100" i="17"/>
  <c r="G780" i="17"/>
  <c r="G581" i="24"/>
  <c r="G1009" i="17"/>
  <c r="G534" i="17"/>
  <c r="G672" i="24"/>
  <c r="G764" i="24"/>
  <c r="G34" i="24"/>
  <c r="G434" i="17"/>
  <c r="G748" i="24"/>
  <c r="G946" i="17"/>
  <c r="G24" i="24"/>
  <c r="G68" i="24"/>
  <c r="G250" i="24"/>
  <c r="G614" i="17"/>
  <c r="G177" i="17"/>
  <c r="G431" i="24"/>
  <c r="G913" i="24"/>
  <c r="G447" i="17"/>
  <c r="G749" i="17"/>
  <c r="G252" i="17"/>
  <c r="G517" i="17"/>
  <c r="G429" i="17"/>
  <c r="G290" i="24"/>
  <c r="G394" i="24"/>
  <c r="G274" i="24"/>
  <c r="G482" i="17"/>
  <c r="G823" i="24"/>
  <c r="G890" i="24"/>
  <c r="G666" i="17"/>
  <c r="G809" i="24"/>
  <c r="G3" i="24"/>
  <c r="G88" i="24"/>
  <c r="G401" i="17"/>
  <c r="G979" i="24"/>
  <c r="G887" i="17"/>
  <c r="G82" i="24"/>
  <c r="G210" i="24"/>
  <c r="G345" i="24"/>
  <c r="G612" i="24"/>
  <c r="G370" i="17"/>
  <c r="G687" i="17"/>
  <c r="G796" i="24"/>
  <c r="G236" i="24"/>
  <c r="G91" i="24"/>
  <c r="G169" i="17"/>
  <c r="G362" i="17"/>
  <c r="I2" i="16"/>
  <c r="G56" i="24"/>
  <c r="G85" i="24"/>
  <c r="G642" i="17"/>
  <c r="G381" i="24"/>
  <c r="G28" i="24"/>
  <c r="G728" i="17"/>
  <c r="G645" i="24"/>
  <c r="G989" i="24"/>
  <c r="G625" i="17"/>
  <c r="G721" i="17"/>
  <c r="G477" i="17"/>
  <c r="G644" i="24"/>
  <c r="G338" i="17"/>
  <c r="G45" i="17"/>
  <c r="G210" i="17"/>
  <c r="G578" i="17"/>
  <c r="G904" i="24"/>
  <c r="G738" i="17"/>
  <c r="G850" i="24"/>
  <c r="G209" i="24"/>
  <c r="G777" i="17"/>
  <c r="G969" i="17"/>
  <c r="G920" i="17"/>
  <c r="G69" i="17"/>
  <c r="G274" i="17"/>
  <c r="G875" i="24"/>
  <c r="G530" i="17"/>
  <c r="G942" i="17"/>
  <c r="G767" i="24"/>
  <c r="G733" i="17"/>
  <c r="G277" i="24"/>
  <c r="G363" i="24"/>
  <c r="G418" i="24"/>
  <c r="G114" i="24"/>
  <c r="G373" i="17"/>
  <c r="G513" i="17"/>
  <c r="G294" i="17"/>
  <c r="G830" i="24"/>
  <c r="G611" i="17"/>
  <c r="G345" i="17"/>
  <c r="G889" i="17"/>
  <c r="G298" i="24"/>
  <c r="G102" i="17"/>
  <c r="G727" i="17"/>
  <c r="G619" i="24"/>
  <c r="G226" i="24"/>
  <c r="G22" i="24"/>
  <c r="G25" i="17"/>
  <c r="G357" i="24"/>
  <c r="G176" i="17"/>
  <c r="G90" i="24"/>
  <c r="G66" i="24"/>
  <c r="G416" i="24"/>
  <c r="G370" i="24"/>
  <c r="G682" i="17"/>
  <c r="G594" i="17"/>
  <c r="G873" i="24"/>
  <c r="G192" i="17"/>
  <c r="G537" i="24"/>
  <c r="G618" i="17"/>
  <c r="G638" i="17"/>
  <c r="G253" i="17"/>
  <c r="G928" i="17"/>
  <c r="G117" i="17"/>
  <c r="G529" i="17"/>
  <c r="G101" i="17"/>
  <c r="G137" i="24"/>
  <c r="G297" i="17"/>
  <c r="G47" i="24"/>
  <c r="G38" i="17"/>
  <c r="G310" i="24"/>
  <c r="G18" i="24"/>
  <c r="G1023" i="24"/>
  <c r="G683" i="24"/>
  <c r="G914" i="24"/>
  <c r="G296" i="17"/>
  <c r="G1006" i="17"/>
  <c r="G154" i="17"/>
  <c r="G403" i="17"/>
  <c r="G938" i="24"/>
  <c r="G448" i="24"/>
  <c r="G809" i="17"/>
  <c r="G373" i="24"/>
  <c r="G601" i="24"/>
  <c r="G249" i="24"/>
  <c r="G148" i="17"/>
  <c r="G68" i="17"/>
  <c r="G312" i="17"/>
  <c r="G793" i="17"/>
  <c r="G1046" i="24"/>
  <c r="G337" i="17"/>
  <c r="G769" i="17"/>
  <c r="G962" i="24"/>
  <c r="G6" i="17"/>
  <c r="I6" i="2"/>
  <c r="G850" i="17"/>
  <c r="G1005" i="17"/>
  <c r="G613" i="17"/>
  <c r="G162" i="24"/>
  <c r="G889" i="24"/>
  <c r="G322" i="24"/>
  <c r="G70" i="24"/>
  <c r="G341" i="24"/>
  <c r="G159" i="24"/>
  <c r="G802" i="17"/>
  <c r="G685" i="17"/>
  <c r="G695" i="17"/>
  <c r="G167" i="24"/>
  <c r="G865" i="17"/>
  <c r="G562" i="24"/>
  <c r="G108" i="24"/>
  <c r="G66" i="17"/>
  <c r="G380" i="17"/>
  <c r="G140" i="17"/>
  <c r="G240" i="24"/>
  <c r="G584" i="17"/>
  <c r="G472" i="24"/>
  <c r="G971" i="17"/>
  <c r="G1013" i="17"/>
  <c r="G11" i="24"/>
  <c r="G995" i="24"/>
  <c r="G118" i="24"/>
  <c r="G811" i="17"/>
  <c r="G280" i="24"/>
  <c r="G1028" i="24"/>
  <c r="G832" i="17"/>
  <c r="G390" i="24"/>
  <c r="G1010" i="24"/>
  <c r="G978" i="17"/>
  <c r="G357" i="17"/>
  <c r="G40" i="24"/>
  <c r="G348" i="17"/>
  <c r="G842" i="17"/>
  <c r="G106" i="17"/>
  <c r="G287" i="17"/>
  <c r="G14" i="24"/>
  <c r="G848" i="24"/>
  <c r="G708" i="24"/>
  <c r="G58" i="17"/>
  <c r="G552" i="24"/>
  <c r="G923" i="17"/>
  <c r="G725" i="24"/>
  <c r="G733" i="24"/>
  <c r="G813" i="24"/>
  <c r="G593" i="17"/>
  <c r="G336" i="17"/>
  <c r="G258" i="24"/>
  <c r="I12" i="22"/>
  <c r="G404" i="24"/>
  <c r="G604" i="24"/>
  <c r="G295" i="17"/>
  <c r="G353" i="17"/>
  <c r="G205" i="17"/>
  <c r="G365" i="24"/>
  <c r="G306" i="24"/>
  <c r="G1018" i="24"/>
  <c r="G433" i="17"/>
  <c r="G311" i="24"/>
  <c r="G818" i="17"/>
  <c r="G479" i="24"/>
  <c r="G471" i="17"/>
  <c r="G474" i="24"/>
  <c r="G293" i="17"/>
  <c r="G533" i="17"/>
  <c r="G276" i="17"/>
  <c r="G918" i="24"/>
  <c r="G994" i="24"/>
  <c r="G991" i="24"/>
  <c r="G355" i="24"/>
  <c r="G713" i="17"/>
  <c r="G389" i="17"/>
  <c r="G732" i="24"/>
  <c r="G649" i="17"/>
  <c r="G748" i="17"/>
  <c r="G107" i="24"/>
  <c r="G715" i="24"/>
  <c r="G232" i="24"/>
  <c r="G901" i="17"/>
  <c r="G148" i="24"/>
  <c r="G811" i="24"/>
  <c r="G302" i="17"/>
  <c r="G374" i="24"/>
  <c r="G67" i="24"/>
  <c r="G847" i="17"/>
  <c r="G35" i="17"/>
  <c r="G582" i="17"/>
  <c r="G306" i="17"/>
  <c r="G656" i="17"/>
  <c r="G930" i="24"/>
  <c r="G460" i="17"/>
  <c r="G89" i="24"/>
  <c r="G293" i="24"/>
  <c r="G818" i="24"/>
  <c r="G65" i="24"/>
  <c r="G734" i="17"/>
  <c r="G899" i="24"/>
  <c r="G586" i="17"/>
  <c r="G361" i="24"/>
  <c r="G393" i="17"/>
  <c r="G887" i="24"/>
  <c r="G422" i="24"/>
  <c r="G62" i="24"/>
  <c r="G527" i="24"/>
  <c r="G489" i="17"/>
  <c r="G161" i="17"/>
  <c r="G762" i="17"/>
  <c r="G558" i="24"/>
  <c r="G977" i="24"/>
  <c r="G736" i="24"/>
  <c r="G104" i="17"/>
  <c r="G385" i="24"/>
  <c r="G481" i="24"/>
  <c r="G77" i="24"/>
  <c r="G621" i="24"/>
  <c r="G822" i="24"/>
  <c r="G812" i="17"/>
  <c r="G580" i="24"/>
  <c r="G377" i="24"/>
  <c r="G537" i="17"/>
  <c r="G43" i="24"/>
  <c r="G937" i="24"/>
  <c r="G737" i="17"/>
  <c r="G724" i="17"/>
  <c r="G772" i="24"/>
  <c r="G73" i="24"/>
  <c r="G674" i="24"/>
  <c r="G350" i="24"/>
  <c r="G165" i="17"/>
  <c r="G673" i="24"/>
  <c r="G633" i="24"/>
  <c r="G908" i="17"/>
  <c r="G595" i="17"/>
  <c r="G1018" i="17"/>
  <c r="G535" i="17"/>
  <c r="G929" i="24"/>
  <c r="G259" i="24"/>
  <c r="G941" i="17"/>
  <c r="G982" i="24"/>
  <c r="G282" i="17"/>
  <c r="G435" i="17"/>
  <c r="G383" i="17"/>
  <c r="G326" i="17"/>
  <c r="G866" i="17"/>
  <c r="G450" i="24"/>
  <c r="G171" i="24"/>
  <c r="G307" i="24"/>
  <c r="G840" i="24"/>
  <c r="G821" i="24"/>
  <c r="G412" i="17"/>
  <c r="G497" i="17"/>
  <c r="G785" i="24"/>
  <c r="G652" i="17"/>
  <c r="G313" i="24"/>
  <c r="G242" i="17"/>
  <c r="G568" i="24"/>
  <c r="G750" i="24"/>
  <c r="G694" i="17"/>
  <c r="G503" i="24"/>
  <c r="G48" i="17"/>
  <c r="G158" i="24"/>
  <c r="G124" i="17"/>
  <c r="G98" i="17"/>
  <c r="G223" i="24"/>
  <c r="G925" i="17"/>
  <c r="G857" i="24"/>
  <c r="G51" i="24"/>
  <c r="G948" i="24"/>
  <c r="G424" i="17"/>
  <c r="G739" i="17"/>
  <c r="G985" i="24"/>
  <c r="G717" i="24"/>
  <c r="G349" i="24"/>
  <c r="G831" i="17"/>
  <c r="G408" i="17"/>
  <c r="G629" i="24"/>
  <c r="G893" i="17"/>
  <c r="G574" i="17"/>
  <c r="G651" i="17"/>
  <c r="G654" i="17"/>
  <c r="G424" i="24"/>
  <c r="G164" i="17"/>
  <c r="G1004" i="24"/>
  <c r="G651" i="24"/>
  <c r="G655" i="24"/>
  <c r="G305" i="24"/>
  <c r="G85" i="17"/>
  <c r="G645" i="17"/>
  <c r="G285" i="24"/>
  <c r="G709" i="17"/>
  <c r="G633" i="17"/>
  <c r="G256" i="17"/>
  <c r="G402" i="17"/>
  <c r="G884" i="24"/>
  <c r="G371" i="17"/>
  <c r="G735" i="24"/>
  <c r="G318" i="24"/>
  <c r="G882" i="24"/>
  <c r="G557" i="24"/>
  <c r="G53" i="24"/>
  <c r="G220" i="17"/>
  <c r="G410" i="24"/>
  <c r="G960" i="17"/>
  <c r="G97" i="24"/>
  <c r="G572" i="24"/>
  <c r="G641" i="24"/>
  <c r="G265" i="24"/>
  <c r="G545" i="17"/>
  <c r="G95" i="24"/>
  <c r="G398" i="24"/>
  <c r="G478" i="17"/>
  <c r="G144" i="24"/>
  <c r="G415" i="24"/>
  <c r="G796" i="17"/>
  <c r="G670" i="17"/>
  <c r="G186" i="17"/>
  <c r="G401" i="24"/>
  <c r="G165" i="24"/>
  <c r="G253" i="24"/>
  <c r="G650" i="17"/>
  <c r="G194" i="24"/>
  <c r="G981" i="17"/>
  <c r="G973" i="17"/>
  <c r="G922" i="24"/>
  <c r="G817" i="24"/>
  <c r="G334" i="24"/>
  <c r="G295" i="24"/>
  <c r="G988" i="17"/>
  <c r="G181" i="24"/>
  <c r="G544" i="17"/>
  <c r="G825" i="17"/>
  <c r="G225" i="24"/>
  <c r="G294" i="24"/>
  <c r="G520" i="17"/>
  <c r="G38" i="24"/>
  <c r="G378" i="24"/>
  <c r="G151" i="17"/>
  <c r="G461" i="24"/>
  <c r="G884" i="17"/>
  <c r="G263" i="24"/>
  <c r="G590" i="24"/>
  <c r="G1037" i="24"/>
  <c r="G231" i="24"/>
  <c r="G380" i="24"/>
  <c r="G705" i="17"/>
  <c r="G1012" i="24"/>
  <c r="G316" i="17"/>
  <c r="G869" i="17"/>
  <c r="G683" i="17"/>
  <c r="G849" i="24"/>
  <c r="G514" i="17"/>
  <c r="G870" i="24"/>
  <c r="G836" i="17"/>
  <c r="G954" i="24"/>
  <c r="I16" i="2"/>
  <c r="G16" i="17"/>
  <c r="G588" i="24"/>
  <c r="G456" i="24"/>
  <c r="G126" i="24"/>
  <c r="G349" i="17"/>
  <c r="G977" i="17"/>
  <c r="G268" i="17"/>
  <c r="G807" i="24"/>
  <c r="G208" i="17"/>
  <c r="G44" i="17"/>
  <c r="G519" i="24"/>
  <c r="G916" i="17"/>
  <c r="G814" i="17"/>
  <c r="G936" i="24"/>
  <c r="G223" i="17"/>
  <c r="I13" i="2"/>
  <c r="G13" i="17"/>
  <c r="G402" i="24"/>
  <c r="G212" i="24"/>
  <c r="G426" i="17"/>
  <c r="G665" i="24"/>
  <c r="G632" i="24"/>
  <c r="G741" i="24"/>
  <c r="G236" i="17"/>
  <c r="G697" i="17"/>
  <c r="G969" i="24"/>
  <c r="G877" i="24"/>
  <c r="G74" i="17"/>
  <c r="G87" i="17"/>
  <c r="G98" i="24"/>
  <c r="G383" i="24"/>
  <c r="G375" i="17"/>
  <c r="G800" i="24"/>
  <c r="G481" i="17"/>
  <c r="I17" i="2"/>
  <c r="G17" i="17"/>
  <c r="G416" i="17"/>
  <c r="G776" i="17"/>
  <c r="G16" i="24"/>
  <c r="G778" i="17"/>
  <c r="G752" i="24"/>
  <c r="G464" i="24"/>
  <c r="G121" i="24"/>
  <c r="G841" i="24"/>
  <c r="G785" i="17"/>
  <c r="G153" i="24"/>
  <c r="G406" i="24"/>
  <c r="G1010" i="17"/>
  <c r="G490" i="17"/>
  <c r="G846" i="24"/>
  <c r="G116" i="17"/>
  <c r="G347" i="24"/>
  <c r="G844" i="17"/>
  <c r="G71" i="24"/>
  <c r="G509" i="24"/>
  <c r="G326" i="24"/>
  <c r="G119" i="17"/>
  <c r="G1017" i="17"/>
  <c r="G9" i="17"/>
  <c r="I9" i="2"/>
  <c r="G346" i="17"/>
  <c r="G41" i="24"/>
  <c r="G521" i="24"/>
  <c r="G702" i="17"/>
  <c r="G881" i="24"/>
  <c r="G660" i="17"/>
  <c r="G32" i="17"/>
  <c r="G722" i="17"/>
  <c r="G217" i="24"/>
  <c r="G221" i="24"/>
  <c r="G81" i="24"/>
  <c r="G788" i="24"/>
  <c r="G573" i="17"/>
  <c r="G211" i="17"/>
  <c r="G178" i="24"/>
  <c r="G425" i="24"/>
  <c r="G989" i="17"/>
  <c r="G866" i="24"/>
  <c r="G696" i="17"/>
  <c r="G539" i="24"/>
  <c r="G237" i="24"/>
  <c r="G806" i="17"/>
  <c r="G661" i="24"/>
  <c r="G169" i="24"/>
  <c r="G392" i="24"/>
  <c r="G834" i="24"/>
  <c r="G297" i="24"/>
  <c r="G927" i="24"/>
  <c r="G477" i="24"/>
  <c r="G309" i="24"/>
  <c r="G281" i="24"/>
  <c r="G50" i="24"/>
  <c r="G361" i="17"/>
  <c r="G386" i="24"/>
  <c r="G61" i="24"/>
  <c r="G523" i="17"/>
  <c r="G92" i="24"/>
  <c r="G348" i="24"/>
  <c r="G266" i="24"/>
  <c r="G604" i="17"/>
  <c r="G103" i="24"/>
  <c r="G56" i="17"/>
  <c r="G222" i="24"/>
  <c r="G717" i="17"/>
  <c r="G304" i="17"/>
  <c r="G498" i="24"/>
  <c r="G1045" i="24"/>
  <c r="G895" i="17"/>
  <c r="G880" i="24"/>
  <c r="G128" i="17"/>
  <c r="G117" i="24"/>
  <c r="G152" i="24"/>
  <c r="G157" i="24"/>
  <c r="G664" i="17"/>
  <c r="G330" i="24"/>
  <c r="G284" i="24"/>
  <c r="G265" i="17"/>
  <c r="G492" i="24"/>
  <c r="G608" i="24"/>
  <c r="G600" i="17"/>
  <c r="G191" i="24"/>
  <c r="G873" i="17"/>
  <c r="G773" i="17"/>
  <c r="G471" i="24"/>
  <c r="G461" i="17"/>
  <c r="G398" i="17"/>
  <c r="G626" i="17"/>
  <c r="G824" i="17"/>
  <c r="G841" i="17"/>
  <c r="G987" i="17"/>
  <c r="G463" i="17"/>
  <c r="G459" i="17"/>
  <c r="G331" i="24"/>
  <c r="G143" i="24"/>
  <c r="G516" i="24"/>
  <c r="G81" i="17"/>
  <c r="G1050" i="24"/>
  <c r="G800" i="17"/>
  <c r="G131" i="24"/>
  <c r="G425" i="17"/>
  <c r="G182" i="24"/>
  <c r="G409" i="24"/>
  <c r="G166" i="17"/>
  <c r="G935" i="24"/>
  <c r="G822" i="17"/>
  <c r="G123" i="24"/>
  <c r="G1024" i="24"/>
  <c r="G57" i="17"/>
  <c r="G802" i="24"/>
  <c r="G657" i="24"/>
  <c r="G125" i="24"/>
  <c r="G883" i="17"/>
  <c r="G944" i="17"/>
  <c r="G874" i="24"/>
  <c r="G712" i="17"/>
  <c r="G307" i="17"/>
  <c r="G533" i="24"/>
  <c r="G448" i="17"/>
  <c r="G86" i="24"/>
  <c r="G212" i="17"/>
  <c r="G833" i="17"/>
  <c r="G239" i="24"/>
  <c r="G137" i="17"/>
  <c r="G213" i="17"/>
  <c r="G343" i="24"/>
  <c r="G767" i="17"/>
  <c r="G587" i="17"/>
  <c r="G996" i="17"/>
  <c r="G7" i="17"/>
  <c r="I7" i="2"/>
  <c r="G561" i="17"/>
  <c r="G333" i="24"/>
  <c r="G706" i="17"/>
  <c r="G790" i="17"/>
  <c r="G838" i="17"/>
  <c r="G92" i="17"/>
  <c r="G794" i="17"/>
  <c r="G634" i="24"/>
  <c r="G722" i="24"/>
  <c r="G754" i="24"/>
  <c r="G939" i="17"/>
  <c r="G976" i="17"/>
  <c r="G657" i="17"/>
  <c r="G690" i="17"/>
  <c r="G1001" i="17"/>
  <c r="G729" i="17"/>
  <c r="G773" i="24"/>
  <c r="G229" i="24"/>
  <c r="G566" i="17"/>
  <c r="G759" i="17"/>
  <c r="G147" i="24"/>
  <c r="G394" i="17"/>
  <c r="G49" i="24"/>
  <c r="G197" i="24"/>
  <c r="G700" i="17"/>
  <c r="G55" i="24"/>
  <c r="G876" i="17"/>
  <c r="G87" i="24"/>
  <c r="G515" i="17"/>
  <c r="G555" i="24"/>
  <c r="G113" i="24"/>
  <c r="G5" i="24"/>
  <c r="G218" i="17"/>
  <c r="G86" i="17"/>
  <c r="G377" i="17"/>
  <c r="G301" i="17"/>
  <c r="G509" i="17"/>
  <c r="G760" i="17"/>
  <c r="G278" i="24"/>
  <c r="G910" i="24"/>
  <c r="G468" i="24"/>
  <c r="G440" i="24"/>
  <c r="G1019" i="24"/>
  <c r="G668" i="17"/>
  <c r="G860" i="17"/>
  <c r="G905" i="24"/>
  <c r="G183" i="24"/>
  <c r="G149" i="24"/>
  <c r="G941" i="24"/>
  <c r="G720" i="24"/>
  <c r="G457" i="17"/>
  <c r="G321" i="24"/>
  <c r="G434" i="24"/>
  <c r="G168" i="24"/>
  <c r="G525" i="24"/>
  <c r="G283" i="17"/>
  <c r="G64" i="24"/>
  <c r="G681" i="24"/>
  <c r="G544" i="24"/>
  <c r="G813" i="17"/>
  <c r="G474" i="17"/>
  <c r="G50" i="17"/>
  <c r="G565" i="17"/>
  <c r="G530" i="24"/>
  <c r="G451" i="17"/>
  <c r="G855" i="17"/>
  <c r="G44" i="24"/>
  <c r="G749" i="24"/>
  <c r="G60" i="17"/>
  <c r="G276" i="24"/>
  <c r="G356" i="17"/>
  <c r="G1005" i="24"/>
  <c r="G810" i="17"/>
  <c r="G885" i="17"/>
  <c r="G1053" i="24"/>
  <c r="G243" i="24"/>
  <c r="G354" i="17"/>
  <c r="G765" i="17"/>
  <c r="G115" i="24"/>
  <c r="G698" i="17"/>
  <c r="G352" i="24"/>
  <c r="G244" i="24"/>
  <c r="G890" i="17"/>
  <c r="I6" i="22"/>
  <c r="G849" i="17"/>
  <c r="G415" i="17"/>
  <c r="G168" i="17"/>
  <c r="G244" i="17"/>
  <c r="G714" i="24"/>
  <c r="G122" i="17"/>
  <c r="G511" i="17"/>
  <c r="G965" i="24"/>
  <c r="G551" i="17"/>
  <c r="G64" i="17"/>
  <c r="G438" i="24"/>
  <c r="G421" i="24"/>
  <c r="G504" i="24"/>
  <c r="G475" i="24"/>
  <c r="G603" i="24"/>
  <c r="G261" i="17"/>
  <c r="G336" i="24"/>
  <c r="G923" i="24"/>
  <c r="G679" i="24"/>
  <c r="G553" i="24"/>
  <c r="G1015" i="17"/>
  <c r="G14" i="17"/>
  <c r="I14" i="2"/>
  <c r="G1033" i="24"/>
  <c r="G703" i="17"/>
  <c r="G133" i="24"/>
  <c r="G634" i="17"/>
  <c r="G569" i="24"/>
  <c r="G853" i="24"/>
  <c r="G930" i="17"/>
  <c r="G201" i="24"/>
  <c r="G1004" i="17"/>
  <c r="G531" i="17"/>
  <c r="G324" i="17"/>
  <c r="G452" i="24"/>
  <c r="G867" i="24"/>
  <c r="G385" i="17"/>
  <c r="G751" i="24"/>
  <c r="G522" i="24"/>
  <c r="G112" i="17"/>
  <c r="G502" i="24"/>
  <c r="G968" i="24"/>
  <c r="G554" i="17"/>
  <c r="G332" i="17"/>
  <c r="G232" i="17"/>
  <c r="G494" i="24"/>
  <c r="G197" i="17"/>
  <c r="G278" i="17"/>
  <c r="G912" i="17"/>
  <c r="G1012" i="17"/>
  <c r="G518" i="17"/>
  <c r="G828" i="24"/>
  <c r="G562" i="17"/>
  <c r="G688" i="24"/>
  <c r="G632" i="17"/>
  <c r="G289" i="24"/>
  <c r="G704" i="24"/>
  <c r="G170" i="24"/>
  <c r="G479" i="17"/>
  <c r="G284" i="17"/>
  <c r="G837" i="24"/>
  <c r="G184" i="24"/>
  <c r="G369" i="24"/>
  <c r="G288" i="17"/>
  <c r="G466" i="24"/>
  <c r="G364" i="17"/>
  <c r="G378" i="17"/>
  <c r="G848" i="17"/>
  <c r="I17" i="22"/>
  <c r="G465" i="17"/>
  <c r="G617" i="17"/>
  <c r="G329" i="17"/>
  <c r="G610" i="17"/>
  <c r="G945" i="17"/>
  <c r="G310" i="17"/>
  <c r="G242" i="24"/>
  <c r="G808" i="24"/>
  <c r="G781" i="24"/>
  <c r="G1013" i="24"/>
  <c r="G162" i="17"/>
  <c r="G567" i="17"/>
  <c r="G41" i="17"/>
  <c r="G399" i="24"/>
  <c r="G1040" i="24"/>
  <c r="G786" i="24"/>
  <c r="G938" i="17"/>
  <c r="G414" i="24"/>
  <c r="G467" i="24"/>
  <c r="G856" i="24"/>
  <c r="G576" i="24"/>
  <c r="G652" i="24"/>
  <c r="G781" i="17"/>
  <c r="G491" i="24"/>
  <c r="G614" i="24"/>
  <c r="G713" i="24"/>
  <c r="G728" i="24"/>
  <c r="G338" i="24"/>
  <c r="G620" i="17"/>
  <c r="G852" i="17"/>
  <c r="G230" i="24"/>
  <c r="G602" i="17"/>
  <c r="G597" i="17"/>
  <c r="G466" i="17"/>
  <c r="G405" i="17"/>
  <c r="G740" i="24"/>
  <c r="G768" i="24"/>
  <c r="G376" i="17"/>
  <c r="G693" i="24"/>
  <c r="G219" i="24"/>
  <c r="G190" i="24"/>
  <c r="G482" i="24"/>
  <c r="G241" i="24"/>
  <c r="G919" i="24"/>
  <c r="G939" i="24"/>
  <c r="G569" i="17"/>
  <c r="G779" i="17"/>
  <c r="G301" i="24"/>
  <c r="G54" i="24"/>
  <c r="G495" i="17"/>
  <c r="G142" i="24"/>
  <c r="G901" i="24"/>
  <c r="G616" i="17"/>
  <c r="G105" i="24"/>
  <c r="G665" i="17"/>
  <c r="G536" i="17"/>
  <c r="G505" i="17"/>
  <c r="G176" i="24"/>
  <c r="G932" i="17"/>
  <c r="G286" i="24"/>
  <c r="G606" i="17"/>
  <c r="G428" i="17"/>
  <c r="G782" i="24"/>
  <c r="G256" i="24"/>
  <c r="G155" i="17"/>
  <c r="G998" i="17"/>
  <c r="G384" i="17"/>
  <c r="G139" i="17"/>
  <c r="G397" i="24"/>
  <c r="G72" i="17"/>
  <c r="G110" i="24"/>
  <c r="G196" i="24"/>
  <c r="G678" i="24"/>
  <c r="G707" i="17"/>
  <c r="G314" i="17"/>
  <c r="G123" i="17"/>
  <c r="G247" i="24"/>
  <c r="G741" i="17"/>
  <c r="G423" i="24"/>
  <c r="G128" i="24"/>
  <c r="G686" i="17"/>
  <c r="G894" i="17"/>
  <c r="G687" i="24"/>
  <c r="G215" i="17"/>
  <c r="G351" i="17"/>
  <c r="G619" i="17"/>
  <c r="G403" i="24"/>
  <c r="G457" i="24"/>
  <c r="G679" i="17"/>
  <c r="G746" i="24"/>
  <c r="G375" i="24"/>
  <c r="G791" i="17"/>
  <c r="G129" i="24"/>
  <c r="G202" i="24"/>
  <c r="G761" i="17"/>
  <c r="G317" i="24"/>
  <c r="G902" i="24"/>
  <c r="G109" i="24"/>
  <c r="G328" i="24"/>
  <c r="G621" i="17"/>
  <c r="G449" i="17"/>
  <c r="G311" i="17"/>
  <c r="G207" i="17"/>
  <c r="G1042" i="24"/>
  <c r="G225" i="17"/>
  <c r="G134" i="17"/>
  <c r="G570" i="17"/>
  <c r="G134" i="24"/>
  <c r="G218" i="24"/>
  <c r="G214" i="17"/>
  <c r="G570" i="24"/>
  <c r="G205" i="24"/>
  <c r="G213" i="24"/>
  <c r="G255" i="17"/>
  <c r="G964" i="17"/>
  <c r="G1026" i="24"/>
  <c r="G851" i="24"/>
  <c r="G1020" i="17"/>
  <c r="G837" i="17"/>
  <c r="G925" i="24"/>
  <c r="G389" i="24"/>
  <c r="G686" i="24"/>
  <c r="G358" i="17"/>
  <c r="G627" i="24"/>
  <c r="G704" i="17"/>
  <c r="G102" i="24"/>
  <c r="G252" i="24"/>
  <c r="G248" i="24"/>
  <c r="G186" i="24"/>
  <c r="G705" i="24"/>
  <c r="G782" i="17"/>
  <c r="G598" i="24"/>
  <c r="G47" i="17"/>
  <c r="G669" i="17"/>
  <c r="G216" i="17"/>
  <c r="G597" i="24"/>
  <c r="G876" i="24"/>
  <c r="G641" i="17"/>
  <c r="G182" i="17"/>
  <c r="G362" i="24"/>
  <c r="G39" i="17"/>
  <c r="G528" i="24"/>
  <c r="G288" i="24"/>
  <c r="G238" i="17"/>
  <c r="G709" i="24"/>
  <c r="G40" i="17"/>
  <c r="G420" i="17"/>
  <c r="G797" i="24"/>
  <c r="G892" i="24"/>
  <c r="G254" i="24"/>
  <c r="G493" i="17"/>
  <c r="G491" i="17"/>
  <c r="G59" i="24"/>
  <c r="G780" i="24"/>
  <c r="G858" i="17"/>
  <c r="G4" i="24"/>
  <c r="G528" i="17"/>
  <c r="G77" i="17"/>
  <c r="G934" i="24"/>
  <c r="G18" i="17"/>
  <c r="I18" i="2"/>
  <c r="G257" i="24"/>
  <c r="G132" i="17"/>
  <c r="G151" i="24"/>
  <c r="G237" i="17"/>
  <c r="G861" i="17"/>
  <c r="G519" i="17"/>
  <c r="G460" i="24"/>
  <c r="G450" i="17"/>
  <c r="G723" i="24"/>
  <c r="G34" i="17"/>
  <c r="G195" i="24"/>
  <c r="G337" i="24"/>
  <c r="G695" i="24"/>
  <c r="G224" i="17"/>
  <c r="G792" i="17"/>
  <c r="G990" i="24"/>
  <c r="G320" i="17"/>
  <c r="G752" i="17"/>
  <c r="G97" i="17"/>
  <c r="G587" i="24"/>
  <c r="G290" i="17"/>
  <c r="G267" i="24"/>
  <c r="G500" i="17"/>
  <c r="G150" i="24"/>
  <c r="G344" i="24"/>
  <c r="G354" i="24"/>
  <c r="G234" i="24"/>
  <c r="G263" i="17"/>
  <c r="G63" i="24"/>
  <c r="G916" i="24"/>
  <c r="G359" i="17"/>
  <c r="G335" i="24"/>
  <c r="G751" i="17"/>
  <c r="G1001" i="24"/>
  <c r="G228" i="17"/>
  <c r="G971" i="24"/>
  <c r="G952" i="17"/>
  <c r="G1049" i="24"/>
  <c r="G532" i="17"/>
  <c r="G839" i="17"/>
  <c r="G103" i="17"/>
  <c r="G878" i="17"/>
  <c r="G951" i="24"/>
  <c r="G517" i="24"/>
  <c r="G262" i="24"/>
  <c r="G358" i="24"/>
  <c r="G914" i="17"/>
  <c r="G432" i="24"/>
  <c r="G492" i="17"/>
  <c r="G745" i="24"/>
  <c r="G669" i="24"/>
  <c r="G193" i="17"/>
  <c r="G909" i="24"/>
  <c r="G575" i="17"/>
  <c r="G42" i="17"/>
  <c r="G132" i="24"/>
  <c r="G706" i="24"/>
  <c r="G79" i="24"/>
  <c r="G344" i="17"/>
  <c r="G467" i="17"/>
  <c r="I2" i="22"/>
  <c r="G203" i="17"/>
  <c r="G648" i="17"/>
  <c r="G769" i="24"/>
  <c r="G442" i="24"/>
  <c r="G183" i="17"/>
  <c r="G529" i="24"/>
  <c r="G919" i="17"/>
  <c r="G269" i="17"/>
  <c r="G646" i="17"/>
  <c r="G407" i="17"/>
  <c r="G730" i="17"/>
  <c r="G784" i="17"/>
  <c r="G974" i="24"/>
  <c r="G647" i="24"/>
  <c r="G921" i="24"/>
  <c r="G291" i="17"/>
  <c r="G758" i="17"/>
  <c r="G417" i="17"/>
  <c r="G865" i="24"/>
  <c r="G487" i="17"/>
  <c r="G948" i="17"/>
  <c r="G659" i="17"/>
  <c r="G616" i="24"/>
  <c r="G894" i="24"/>
  <c r="G984" i="24"/>
  <c r="G325" i="24"/>
  <c r="G23" i="24"/>
  <c r="G82" i="17"/>
  <c r="G207" i="24"/>
  <c r="G905" i="17"/>
  <c r="G472" i="17"/>
  <c r="G13" i="24"/>
  <c r="G691" i="17"/>
  <c r="G784" i="24"/>
  <c r="G108" i="17"/>
  <c r="G903" i="17"/>
  <c r="G756" i="24"/>
  <c r="G469" i="24"/>
  <c r="G557" i="17"/>
  <c r="G224" i="24"/>
  <c r="G20" i="24"/>
  <c r="G637" i="24"/>
  <c r="G788" i="17"/>
  <c r="G725" i="17"/>
  <c r="G204" i="24"/>
  <c r="G592" i="24"/>
  <c r="G247" i="17"/>
  <c r="G333" i="17"/>
  <c r="G546" i="24"/>
  <c r="G136" i="24"/>
  <c r="G957" i="24"/>
  <c r="G589" i="17"/>
  <c r="G920" i="24"/>
  <c r="G444" i="17"/>
  <c r="G439" i="24"/>
  <c r="G832" i="24"/>
  <c r="G729" i="24"/>
  <c r="G980" i="17"/>
  <c r="G227" i="24"/>
  <c r="G1035" i="24"/>
  <c r="G762" i="24"/>
  <c r="G127" i="17"/>
  <c r="G719" i="24"/>
  <c r="G37" i="17"/>
  <c r="G613" i="24"/>
  <c r="G313" i="17"/>
  <c r="G33" i="17"/>
  <c r="G287" i="24"/>
  <c r="G130" i="24"/>
  <c r="G105" i="17"/>
  <c r="G181" i="17"/>
  <c r="G268" i="24"/>
  <c r="G803" i="17"/>
  <c r="G453" i="24"/>
  <c r="G78" i="24"/>
  <c r="G51" i="17"/>
  <c r="G63" i="17"/>
  <c r="G552" i="17"/>
  <c r="G364" i="24"/>
  <c r="G924" i="24"/>
  <c r="G907" i="24"/>
  <c r="G783" i="17"/>
  <c r="G80" i="17"/>
  <c r="G27" i="17"/>
  <c r="G1055" i="24"/>
  <c r="G393" i="24"/>
  <c r="G139" i="24"/>
  <c r="G483" i="17"/>
  <c r="G864" i="17"/>
  <c r="G352" i="17"/>
  <c r="G936" i="17"/>
  <c r="G943" i="24"/>
  <c r="G655" i="17"/>
  <c r="G149" i="17"/>
  <c r="G188" i="24"/>
  <c r="G671" i="17"/>
  <c r="G639" i="17"/>
  <c r="G911" i="24"/>
  <c r="G298" i="17"/>
  <c r="G21" i="24"/>
  <c r="G928" i="24"/>
  <c r="G628" i="17"/>
  <c r="G229" i="17"/>
  <c r="G351" i="24"/>
  <c r="G842" i="24"/>
  <c r="G777" i="24"/>
  <c r="G233" i="24"/>
  <c r="G754" i="17"/>
  <c r="G7" i="24"/>
  <c r="G120" i="24"/>
  <c r="G174" i="24"/>
  <c r="G959" i="24"/>
  <c r="G1030" i="24"/>
  <c r="G161" i="24"/>
  <c r="G701" i="17"/>
  <c r="G319" i="17"/>
  <c r="G327" i="24"/>
  <c r="G735" i="17"/>
  <c r="G953" i="17"/>
  <c r="G834" i="17"/>
  <c r="G296" i="24"/>
  <c r="G764" i="17"/>
  <c r="G855" i="24"/>
  <c r="G724" i="24"/>
  <c r="G1021" i="24"/>
  <c r="G384" i="24"/>
  <c r="G428" i="24"/>
  <c r="G84" i="17"/>
  <c r="G588" i="17"/>
  <c r="G756" i="17"/>
  <c r="G1034" i="24"/>
  <c r="G693" i="17"/>
  <c r="G245" i="17"/>
  <c r="G359" i="24"/>
  <c r="G501" i="24"/>
  <c r="I19" i="16"/>
  <c r="G246" i="24"/>
  <c r="G1039" i="24"/>
  <c r="G571" i="24"/>
  <c r="G514" i="24"/>
  <c r="G757" i="24"/>
  <c r="G485" i="17"/>
  <c r="G381" i="17"/>
  <c r="G1003" i="17"/>
  <c r="G320" i="24"/>
  <c r="G726" i="17"/>
  <c r="G233" i="17"/>
  <c r="G1009" i="24"/>
  <c r="G575" i="24"/>
  <c r="G697" i="24"/>
  <c r="G379" i="17"/>
  <c r="G879" i="24"/>
  <c r="G895" i="24"/>
  <c r="G736" i="17"/>
  <c r="G829" i="17"/>
  <c r="G309" i="17"/>
  <c r="G917" i="24"/>
  <c r="G332" i="24"/>
  <c r="G26" i="24"/>
  <c r="G893" i="24"/>
  <c r="G400" i="24"/>
  <c r="G427" i="24"/>
  <c r="G924" i="17"/>
  <c r="G111" i="24"/>
  <c r="G282" i="24"/>
  <c r="G966" i="17"/>
  <c r="I16" i="22"/>
  <c r="G465" i="24"/>
  <c r="G612" i="17"/>
  <c r="G700" i="24"/>
  <c r="G871" i="17"/>
  <c r="G712" i="24"/>
  <c r="G644" i="17"/>
  <c r="G312" i="24"/>
  <c r="G153" i="17"/>
  <c r="G171" i="17"/>
  <c r="G192" i="24"/>
  <c r="G319" i="24"/>
  <c r="G573" i="24"/>
  <c r="G719" i="17"/>
  <c r="G427" i="17"/>
  <c r="G913" i="17"/>
  <c r="G661" i="17"/>
  <c r="G156" i="24"/>
  <c r="G272" i="17"/>
  <c r="G203" i="24"/>
  <c r="G432" i="17"/>
  <c r="G366" i="17"/>
  <c r="G180" i="17"/>
  <c r="G141" i="17"/>
  <c r="G627" i="17"/>
  <c r="G372" i="24"/>
  <c r="G11" i="17"/>
  <c r="I11" i="2"/>
  <c r="G798" i="17"/>
  <c r="G316" i="24"/>
  <c r="G543" i="17"/>
  <c r="G759" i="24"/>
  <c r="G560" i="24"/>
  <c r="G498" i="17"/>
  <c r="G877" i="17"/>
  <c r="G636" i="24"/>
  <c r="G185" i="24"/>
  <c r="G404" i="17"/>
  <c r="G122" i="24"/>
  <c r="G9" i="24"/>
  <c r="G946" i="24"/>
  <c r="G177" i="24"/>
  <c r="G845" i="24"/>
  <c r="G73" i="17"/>
  <c r="G300" i="17"/>
  <c r="G599" i="17"/>
  <c r="G602" i="24"/>
  <c r="G216" i="24"/>
  <c r="G322" i="17"/>
  <c r="G592" i="17"/>
  <c r="I12" i="2"/>
  <c r="G12" i="17"/>
  <c r="G1051" i="24"/>
  <c r="G931" i="17"/>
  <c r="G605" i="17"/>
  <c r="G815" i="24"/>
  <c r="G191" i="17"/>
  <c r="G766" i="24"/>
  <c r="G45" i="24"/>
  <c r="G109" i="17"/>
  <c r="G410" i="17"/>
  <c r="G52" i="17"/>
  <c r="G591" i="17"/>
  <c r="G382" i="17"/>
  <c r="G24" i="17"/>
  <c r="G872" i="24"/>
  <c r="G144" i="17"/>
  <c r="G636" i="17"/>
  <c r="G147" i="17"/>
  <c r="G346" i="24"/>
  <c r="G512" i="24"/>
  <c r="G1052" i="24"/>
  <c r="G281" i="17"/>
  <c r="G442" i="17"/>
  <c r="G508" i="24"/>
  <c r="G31" i="17"/>
  <c r="G120" i="17"/>
  <c r="G473" i="24"/>
  <c r="G698" i="24"/>
  <c r="G577" i="24"/>
  <c r="G269" i="24"/>
  <c r="G261" i="24"/>
  <c r="G341" i="17"/>
  <c r="G975" i="24"/>
  <c r="G429" i="24"/>
  <c r="G365" i="17"/>
  <c r="G437" i="24"/>
  <c r="G525" i="17"/>
  <c r="G90" i="17"/>
  <c r="G163" i="24"/>
  <c r="G549" i="24"/>
  <c r="G716" i="24"/>
  <c r="G114" i="17"/>
  <c r="G325" i="17"/>
  <c r="G413" i="24"/>
  <c r="G810" i="24"/>
  <c r="G921" i="17"/>
  <c r="G814" i="24"/>
  <c r="G449" i="24"/>
  <c r="G896" i="17"/>
  <c r="G323" i="24"/>
  <c r="G386" i="17"/>
  <c r="I17" i="16"/>
  <c r="G653" i="24"/>
  <c r="G678" i="17"/>
  <c r="G541" i="17"/>
  <c r="G824" i="24"/>
  <c r="G933" i="17"/>
  <c r="G934" i="17"/>
  <c r="G502" i="17"/>
  <c r="G37" i="24"/>
  <c r="G886" i="17"/>
  <c r="G637" i="17"/>
  <c r="G511" i="24"/>
  <c r="G418" i="17"/>
  <c r="G931" i="24"/>
  <c r="G200" i="24"/>
  <c r="G589" i="24"/>
  <c r="G617" i="24"/>
  <c r="G387" i="24"/>
  <c r="G956" i="17"/>
  <c r="G998" i="24"/>
  <c r="G198" i="24"/>
  <c r="G440" i="17"/>
  <c r="G155" i="24"/>
  <c r="G94" i="24"/>
  <c r="G846" i="17"/>
  <c r="G283" i="24"/>
  <c r="G331" i="17"/>
  <c r="G744" i="24"/>
  <c r="G703" i="24"/>
  <c r="G76" i="24"/>
  <c r="G747" i="24"/>
  <c r="G565" i="24"/>
  <c r="G909" i="17"/>
  <c r="G178" i="17"/>
  <c r="G596" i="17"/>
  <c r="G382" i="24"/>
  <c r="G871" i="24"/>
  <c r="G798" i="24"/>
  <c r="G583" i="24"/>
  <c r="G254" i="17"/>
  <c r="G723" i="17"/>
  <c r="G804" i="17"/>
  <c r="G538" i="24"/>
  <c r="G635" i="24"/>
  <c r="G997" i="24"/>
  <c r="G1032" i="24"/>
  <c r="I11" i="22"/>
  <c r="G608" i="17"/>
  <c r="G363" i="17"/>
  <c r="G469" i="17"/>
  <c r="G414" i="17"/>
  <c r="G400" i="17"/>
  <c r="G675" i="17"/>
  <c r="G71" i="17"/>
  <c r="G630" i="24"/>
  <c r="G819" i="17"/>
  <c r="G684" i="17"/>
  <c r="G388" i="24"/>
  <c r="G246" i="17"/>
  <c r="G726" i="24"/>
  <c r="G912" i="24"/>
  <c r="G324" i="24"/>
  <c r="G267" i="17"/>
  <c r="G789" i="17"/>
  <c r="G547" i="17"/>
  <c r="G53" i="17"/>
  <c r="G999" i="24"/>
  <c r="G328" i="17"/>
  <c r="G797" i="17"/>
  <c r="G43" i="17"/>
  <c r="G972" i="24"/>
  <c r="G264" i="24"/>
  <c r="G891" i="17"/>
  <c r="G812" i="24"/>
  <c r="G447" i="24"/>
  <c r="G758" i="24"/>
  <c r="I6" i="16"/>
  <c r="G524" i="17"/>
  <c r="G984" i="17"/>
  <c r="G180" i="24"/>
  <c r="G136" i="17"/>
  <c r="G42" i="24"/>
  <c r="G156" i="17"/>
  <c r="G857" i="17"/>
  <c r="G898" i="24"/>
  <c r="G601" i="17"/>
  <c r="G166" i="24"/>
  <c r="G376" i="24"/>
  <c r="G367" i="24"/>
  <c r="G853" i="17"/>
  <c r="G770" i="17"/>
  <c r="G453" i="17"/>
  <c r="G2" i="17"/>
  <c r="I2" i="2"/>
  <c r="G250" i="17"/>
  <c r="G763" i="17"/>
  <c r="G379" i="24"/>
  <c r="G513" i="24"/>
  <c r="G285" i="17"/>
  <c r="G462" i="17"/>
  <c r="G967" i="17"/>
  <c r="G819" i="24"/>
  <c r="G714" i="17"/>
  <c r="G194" i="17"/>
  <c r="G649" i="24"/>
  <c r="G863" i="17"/>
  <c r="I5" i="16"/>
  <c r="G929" i="17"/>
  <c r="G779" i="24"/>
  <c r="G83" i="24"/>
  <c r="G84" i="24"/>
  <c r="G794" i="24"/>
  <c r="G158" i="17"/>
  <c r="G438" i="17"/>
  <c r="G1002" i="24"/>
  <c r="G422" i="17"/>
  <c r="G15" i="24"/>
  <c r="G585" i="17"/>
  <c r="G193" i="24"/>
  <c r="G662" i="17"/>
  <c r="G746" i="17"/>
  <c r="G609" i="17"/>
  <c r="G506" i="17"/>
  <c r="G441" i="24"/>
  <c r="G409" i="17"/>
  <c r="G485" i="24"/>
  <c r="G1014" i="17"/>
  <c r="G396" i="17"/>
  <c r="G408" i="24"/>
  <c r="G880" i="17"/>
  <c r="G217" i="17"/>
  <c r="G199" i="17"/>
  <c r="G273" i="17"/>
  <c r="G230" i="17"/>
  <c r="G445" i="24"/>
  <c r="G1006" i="24"/>
  <c r="G639" i="24"/>
  <c r="I10" i="2"/>
  <c r="G10" i="17"/>
  <c r="G397" i="17"/>
  <c r="G688" i="17"/>
  <c r="G23" i="17"/>
  <c r="G718" i="17"/>
  <c r="G1000" i="17"/>
  <c r="G820" i="24"/>
  <c r="G615" i="17"/>
  <c r="G985" i="17"/>
  <c r="G548" i="24"/>
  <c r="G512" i="17"/>
  <c r="G468" i="17"/>
  <c r="I9" i="16"/>
  <c r="I7" i="16"/>
  <c r="G976" i="24"/>
  <c r="G93" i="17"/>
  <c r="G958" i="24"/>
  <c r="G330" i="17"/>
  <c r="G462" i="24"/>
  <c r="G906" i="17"/>
  <c r="G300" i="24"/>
  <c r="G356" i="24"/>
  <c r="G22" i="17"/>
  <c r="G243" i="17"/>
  <c r="G221" i="17"/>
  <c r="G803" i="24"/>
  <c r="G903" i="24"/>
  <c r="I14" i="22"/>
  <c r="G67" i="17"/>
  <c r="G640" i="17"/>
  <c r="G590" i="17"/>
  <c r="G1017" i="24"/>
  <c r="G599" i="24"/>
  <c r="G560" i="17"/>
  <c r="G371" i="24"/>
  <c r="G727" i="24"/>
  <c r="G260" i="17"/>
  <c r="G755" i="24"/>
  <c r="G981" i="24"/>
  <c r="G605" i="24"/>
  <c r="G436" i="17"/>
  <c r="G742" i="17"/>
  <c r="G761" i="24"/>
  <c r="G771" i="17"/>
  <c r="G860" i="24"/>
  <c r="G967" i="24"/>
  <c r="G275" i="24"/>
  <c r="G499" i="24"/>
  <c r="G189" i="17"/>
  <c r="G966" i="24"/>
  <c r="G536" i="24"/>
  <c r="G258" i="17"/>
  <c r="G391" i="17"/>
  <c r="G167" i="17"/>
  <c r="G776" i="24"/>
  <c r="G99" i="17"/>
  <c r="G721" i="24"/>
  <c r="G96" i="24"/>
  <c r="G532" i="24"/>
  <c r="G138" i="17"/>
  <c r="G475" i="17"/>
  <c r="G343" i="17"/>
  <c r="G643" i="17"/>
  <c r="G211" i="24"/>
  <c r="I5" i="2"/>
  <c r="G5" i="17"/>
  <c r="G488" i="17"/>
  <c r="G699" i="24"/>
  <c r="G563" i="24"/>
  <c r="G558" i="17"/>
  <c r="G520" i="24"/>
  <c r="G504" i="17"/>
  <c r="G444" i="24"/>
  <c r="G173" i="17"/>
  <c r="G412" i="24"/>
  <c r="G340" i="17"/>
  <c r="G142" i="17"/>
  <c r="G260" i="24"/>
  <c r="G864" i="24"/>
  <c r="G926" i="24"/>
  <c r="G775" i="24"/>
  <c r="G603" i="17"/>
  <c r="G900" i="17"/>
  <c r="G870" i="17"/>
  <c r="G737" i="24"/>
  <c r="G960" i="24"/>
  <c r="G240" i="17"/>
  <c r="G61" i="17"/>
  <c r="G945" i="24"/>
  <c r="G189" i="24"/>
  <c r="G868" i="17"/>
  <c r="G473" i="17"/>
  <c r="G576" i="17"/>
  <c r="G317" i="17"/>
  <c r="G419" i="24"/>
  <c r="G405" i="24"/>
  <c r="G950" i="24"/>
  <c r="G620" i="24"/>
  <c r="G143" i="17"/>
  <c r="G805" i="17"/>
  <c r="G829" i="24"/>
  <c r="G1007" i="17"/>
  <c r="G510" i="24"/>
  <c r="G146" i="17"/>
  <c r="G499" i="17"/>
  <c r="G27" i="24"/>
  <c r="G956" i="24"/>
  <c r="G710" i="17"/>
  <c r="G940" i="17"/>
  <c r="G983" i="24"/>
  <c r="G119" i="24"/>
  <c r="G986" i="17"/>
  <c r="G249" i="17"/>
  <c r="G273" i="24"/>
  <c r="G299" i="17"/>
  <c r="G624" i="24"/>
  <c r="G559" i="17"/>
  <c r="G988" i="24"/>
  <c r="G318" i="17"/>
  <c r="G456" i="17"/>
  <c r="G554" i="24"/>
  <c r="G1015" i="24"/>
  <c r="G145" i="24"/>
  <c r="G949" i="17"/>
  <c r="G546" i="17"/>
  <c r="G503" i="17"/>
  <c r="G962" i="17"/>
  <c r="G664" i="24"/>
  <c r="G869" i="24"/>
  <c r="G910" i="17"/>
  <c r="G527" i="17"/>
  <c r="G100" i="24"/>
  <c r="G799" i="24"/>
  <c r="G154" i="24"/>
  <c r="G816" i="17"/>
  <c r="G892" i="17"/>
  <c r="G480" i="17"/>
  <c r="G215" i="24"/>
  <c r="G917" i="17"/>
  <c r="G540" i="17"/>
  <c r="G980" i="24"/>
  <c r="G486" i="17"/>
  <c r="G430" i="24"/>
  <c r="G835" i="24"/>
  <c r="G886" i="24"/>
  <c r="G133" i="17"/>
  <c r="G303" i="24"/>
  <c r="G538" i="17"/>
  <c r="G972" i="17"/>
  <c r="G847" i="24"/>
  <c r="G742" i="24"/>
  <c r="G689" i="24"/>
  <c r="G368" i="17"/>
  <c r="G208" i="24"/>
  <c r="G19" i="17"/>
  <c r="I19" i="2"/>
  <c r="G820" i="17"/>
  <c r="G1029" i="24"/>
  <c r="G70" i="17"/>
  <c r="G677" i="17"/>
  <c r="G350" i="17"/>
  <c r="G46" i="17"/>
  <c r="G675" i="24"/>
  <c r="G339" i="17"/>
  <c r="G827" i="17"/>
  <c r="G711" i="24"/>
  <c r="G127" i="24"/>
  <c r="G1044" i="24"/>
  <c r="G1016" i="24"/>
  <c r="G507" i="17"/>
  <c r="G535" i="24"/>
  <c r="G505" i="24"/>
  <c r="G757" i="17"/>
  <c r="G656" i="24"/>
  <c r="G642" i="24"/>
  <c r="G459" i="24"/>
  <c r="G667" i="17"/>
  <c r="G490" i="24"/>
  <c r="G483" i="24"/>
  <c r="G360" i="24"/>
  <c r="G314" i="24"/>
  <c r="G783" i="24"/>
  <c r="G10" i="24"/>
  <c r="G720" i="17"/>
  <c r="G522" i="17"/>
  <c r="G291" i="24"/>
  <c r="G610" i="24"/>
  <c r="G1054" i="24"/>
  <c r="G579" i="17"/>
  <c r="G292" i="17"/>
  <c r="G643" i="24"/>
  <c r="G593" i="24"/>
  <c r="G937" i="17"/>
  <c r="G843" i="24"/>
  <c r="G95" i="17"/>
  <c r="G650" i="24"/>
  <c r="G489" i="24"/>
  <c r="G433" i="24"/>
  <c r="G572" i="17"/>
  <c r="G396" i="24"/>
  <c r="G615" i="24"/>
  <c r="G874" i="17"/>
  <c r="G542" i="24"/>
  <c r="G993" i="24"/>
  <c r="G858" i="24"/>
  <c r="G141" i="24"/>
  <c r="G793" i="24"/>
  <c r="G953" i="24"/>
  <c r="G792" i="24"/>
  <c r="G630" i="17"/>
  <c r="G99" i="24"/>
  <c r="G970" i="24"/>
  <c r="G96" i="17"/>
  <c r="G172" i="17"/>
  <c r="G32" i="24"/>
  <c r="G596" i="24"/>
  <c r="G436" i="24"/>
  <c r="G1036" i="24"/>
  <c r="G582" i="24"/>
  <c r="G845" i="17"/>
  <c r="G974" i="17"/>
  <c r="G658" i="24"/>
  <c r="G88" i="17"/>
  <c r="G31" i="24"/>
  <c r="G395" i="17"/>
  <c r="G175" i="24"/>
  <c r="G992" i="24"/>
  <c r="G541" i="24"/>
  <c r="G280" i="17"/>
  <c r="G856" i="17"/>
  <c r="G760" i="24"/>
  <c r="G549" i="17"/>
  <c r="G808" i="17"/>
  <c r="G550" i="17"/>
  <c r="G550" i="24"/>
  <c r="G506" i="24"/>
  <c r="G270" i="24"/>
  <c r="G738" i="24"/>
  <c r="G790" i="24"/>
  <c r="G19" i="24"/>
  <c r="G950" i="17"/>
  <c r="I10" i="16"/>
  <c r="G55" i="17"/>
  <c r="I4" i="22"/>
  <c r="G553" i="17"/>
  <c r="G862" i="24"/>
  <c r="G690" i="24"/>
  <c r="G272" i="24"/>
  <c r="G654" i="24"/>
  <c r="G135" i="17"/>
  <c r="G915" i="24"/>
  <c r="G173" i="24"/>
  <c r="G76" i="17"/>
  <c r="G994" i="17"/>
  <c r="G631" i="17"/>
  <c r="G458" i="17"/>
  <c r="G187" i="17"/>
  <c r="G160" i="24"/>
  <c r="G430" i="17"/>
  <c r="G578" i="24"/>
  <c r="G626" i="24"/>
  <c r="G556" i="17"/>
  <c r="G342" i="17"/>
  <c r="G455" i="17"/>
  <c r="G583" i="17"/>
  <c r="G968" i="17"/>
  <c r="G872" i="17"/>
  <c r="G673" i="17"/>
  <c r="G279" i="17"/>
  <c r="G826" i="24"/>
  <c r="I8" i="16"/>
  <c r="G862" i="17"/>
  <c r="G774" i="17"/>
  <c r="G226" i="17"/>
  <c r="G1020" i="24"/>
  <c r="G118" i="17"/>
  <c r="G897" i="17"/>
  <c r="G868" i="24"/>
  <c r="G766" i="17"/>
  <c r="G844" i="24"/>
  <c r="G121" i="17"/>
  <c r="G680" i="17"/>
  <c r="G951" i="17"/>
  <c r="G458" i="24"/>
  <c r="G164" i="24"/>
  <c r="G555" i="17"/>
  <c r="G36" i="24"/>
  <c r="G747" i="17"/>
  <c r="G716" i="17"/>
  <c r="G391" i="24"/>
  <c r="G947" i="17"/>
  <c r="G744" i="17"/>
  <c r="G220" i="24"/>
  <c r="G668" i="24"/>
  <c r="G753" i="24"/>
  <c r="G65" i="17"/>
  <c r="G840" i="17"/>
  <c r="G33" i="24"/>
  <c r="G28" i="17"/>
  <c r="G209" i="17"/>
  <c r="G979" i="17"/>
  <c r="G1016" i="17"/>
  <c r="G251" i="24"/>
  <c r="G476" i="17"/>
  <c r="G963" i="24"/>
  <c r="G1043" i="24"/>
  <c r="G646" i="24"/>
  <c r="G982" i="17"/>
  <c r="G1011" i="24"/>
  <c r="G821" i="17"/>
  <c r="G327" i="17"/>
  <c r="G755" i="17"/>
  <c r="G926" i="17"/>
  <c r="G799" i="17"/>
  <c r="G83" i="17"/>
  <c r="G17" i="24"/>
  <c r="G671" i="24"/>
  <c r="G2" i="24"/>
  <c r="G54" i="17"/>
  <c r="G239" i="17"/>
  <c r="I18" i="16"/>
  <c r="G500" i="24"/>
  <c r="G286" i="17"/>
  <c r="G547" i="24"/>
  <c r="G496" i="17"/>
  <c r="G48" i="24"/>
  <c r="G663" i="24"/>
  <c r="G933" i="24"/>
  <c r="G740" i="17"/>
  <c r="G715" i="17"/>
  <c r="G584" i="24"/>
  <c r="G843" i="17"/>
  <c r="G918" i="17"/>
  <c r="G1011" i="17"/>
  <c r="G175" i="17"/>
  <c r="G942" i="24"/>
  <c r="G963" i="17"/>
  <c r="G816" i="24"/>
  <c r="G662" i="24"/>
  <c r="G470" i="17"/>
  <c r="G839" i="24"/>
  <c r="G35" i="24"/>
  <c r="G335" i="17"/>
  <c r="G935" i="17"/>
  <c r="G497" i="24"/>
  <c r="I18" i="22"/>
  <c r="G623" i="24"/>
  <c r="G875" i="17"/>
  <c r="G795" i="17"/>
  <c r="G508" i="17"/>
  <c r="G965" i="17"/>
  <c r="G214" i="24"/>
  <c r="G374" i="17"/>
  <c r="G187" i="24"/>
  <c r="G732" i="17"/>
  <c r="I8" i="22"/>
  <c r="I5" i="22"/>
  <c r="G964" i="24"/>
  <c r="G586" i="24"/>
  <c r="G682" i="24"/>
  <c r="G21" i="17"/>
  <c r="G804" i="24"/>
  <c r="G743" i="17"/>
  <c r="G140" i="24"/>
  <c r="G46" i="24"/>
  <c r="G618" i="24"/>
  <c r="G157" i="17"/>
  <c r="G487" i="24"/>
  <c r="G6" i="24"/>
  <c r="G204" i="17"/>
  <c r="G696" i="24"/>
  <c r="G607" i="17"/>
  <c r="G789" i="24"/>
  <c r="G321" i="17"/>
  <c r="G774" i="24"/>
  <c r="G624" i="17"/>
  <c r="G454" i="24"/>
  <c r="G1041" i="24"/>
  <c r="G606" i="24"/>
  <c r="G179" i="24"/>
  <c r="G566" i="24"/>
  <c r="G638" i="24"/>
  <c r="I10" i="22"/>
  <c r="G59" i="17"/>
  <c r="G200" i="17"/>
  <c r="G579" i="24"/>
  <c r="G206" i="17"/>
  <c r="G801" i="17"/>
  <c r="G692" i="17"/>
  <c r="G883" i="24"/>
  <c r="G235" i="17"/>
  <c r="G574" i="24"/>
  <c r="G107" i="17"/>
  <c r="G206" i="24"/>
  <c r="G110" i="17"/>
  <c r="G863" i="24"/>
  <c r="G1038" i="24"/>
  <c r="G805" i="24"/>
  <c r="G854" i="17"/>
  <c r="G179" i="17"/>
  <c r="G859" i="17"/>
  <c r="G640" i="24"/>
  <c r="G961" i="17"/>
  <c r="G129" i="17"/>
  <c r="G419" i="17"/>
  <c r="G184" i="17"/>
  <c r="G526" i="24"/>
  <c r="G270" i="17"/>
  <c r="G39" i="24"/>
  <c r="G907" i="17"/>
  <c r="G486" i="24"/>
  <c r="G957" i="17"/>
  <c r="G417" i="24"/>
  <c r="G701" i="24"/>
  <c r="G518" i="24"/>
  <c r="G94" i="17"/>
  <c r="G104" i="24"/>
  <c r="G1019" i="17"/>
  <c r="G622" i="24"/>
  <c r="G251" i="17"/>
  <c r="G718" i="24"/>
  <c r="G944" i="24"/>
  <c r="G1000" i="24"/>
  <c r="G915" i="17"/>
  <c r="G437" i="17"/>
  <c r="G526" i="17"/>
  <c r="G289" i="17"/>
  <c r="G411" i="24"/>
  <c r="G366" i="24"/>
  <c r="G369" i="17"/>
  <c r="G111" i="17"/>
  <c r="I15" i="16"/>
  <c r="G339" i="24"/>
  <c r="G423" i="17"/>
  <c r="G390" i="17"/>
  <c r="G455" i="24"/>
  <c r="G1008" i="24"/>
  <c r="G78" i="17"/>
  <c r="G36" i="17"/>
  <c r="G831" i="24"/>
  <c r="G130" i="17"/>
  <c r="G543" i="24"/>
  <c r="G26" i="17"/>
  <c r="G902" i="17"/>
  <c r="G510" i="17"/>
  <c r="G75" i="24"/>
  <c r="G970" i="17"/>
  <c r="G305" i="17"/>
  <c r="G692" i="24"/>
  <c r="G125" i="17"/>
  <c r="G851" i="17"/>
  <c r="G124" i="24"/>
  <c r="G170" i="17"/>
  <c r="G219" i="17"/>
  <c r="G952" i="24"/>
  <c r="I11" i="16"/>
  <c r="G484" i="17"/>
  <c r="I4" i="16"/>
  <c r="G711" i="17"/>
  <c r="G666" i="24"/>
  <c r="G49" i="17"/>
  <c r="G702" i="24"/>
  <c r="G20" i="17"/>
  <c r="G680" i="24"/>
  <c r="G561" i="24"/>
  <c r="G564" i="17"/>
  <c r="G534" i="24"/>
  <c r="G955" i="17"/>
  <c r="G1027" i="24"/>
  <c r="G852" i="24"/>
  <c r="G551" i="24"/>
  <c r="G881" i="17"/>
  <c r="G539" i="17"/>
  <c r="G262" i="17"/>
  <c r="G900" i="24"/>
  <c r="G768" i="17"/>
  <c r="G861" i="24"/>
  <c r="G201" i="17"/>
  <c r="G823" i="17"/>
  <c r="G115" i="17"/>
  <c r="G315" i="24"/>
  <c r="G446" i="24"/>
  <c r="G407" i="24"/>
  <c r="G922" i="17"/>
  <c r="G255" i="24"/>
  <c r="G302" i="24"/>
  <c r="G611" i="24"/>
  <c r="G227" i="17"/>
  <c r="G515" i="24"/>
  <c r="G172" i="24"/>
  <c r="G131" i="17"/>
  <c r="G983" i="17"/>
  <c r="G135" i="24"/>
  <c r="G372" i="17"/>
  <c r="G388" i="17"/>
  <c r="G991" i="17"/>
  <c r="G622" i="17"/>
  <c r="G896" i="24"/>
  <c r="G827" i="24"/>
  <c r="G676" i="17"/>
  <c r="G659" i="24"/>
  <c r="G159" i="17"/>
  <c r="G501" i="17"/>
  <c r="G304" i="24"/>
  <c r="G940" i="24"/>
  <c r="G470" i="24"/>
  <c r="G943" i="17"/>
  <c r="G392" i="17"/>
  <c r="G443" i="24"/>
  <c r="I3" i="2"/>
  <c r="G3" i="17"/>
  <c r="G112" i="24"/>
  <c r="G564" i="24"/>
  <c r="G993" i="17"/>
  <c r="G859" i="24"/>
  <c r="G708" i="17"/>
  <c r="G1007" i="24"/>
  <c r="G1025" i="24"/>
  <c r="G609" i="24"/>
  <c r="G464" i="17"/>
  <c r="G891" i="24"/>
  <c r="G234" i="17"/>
  <c r="G315" i="17"/>
  <c r="I7" i="22"/>
  <c r="G772" i="17"/>
  <c r="G406" i="17"/>
  <c r="G787" i="24"/>
  <c r="G368" i="24"/>
  <c r="G196" i="17"/>
  <c r="G1014" i="24"/>
  <c r="G594" i="24"/>
  <c r="G949" i="24"/>
  <c r="G830" i="17"/>
  <c r="G731" i="24"/>
  <c r="G340" i="24"/>
  <c r="G202" i="17"/>
  <c r="G360" i="17"/>
  <c r="G163" i="17"/>
  <c r="G413" i="17"/>
  <c r="G395" i="24"/>
  <c r="G684" i="24"/>
  <c r="G898" i="17"/>
  <c r="G367" i="17"/>
  <c r="G545" i="24"/>
  <c r="G334" i="17"/>
  <c r="G731" i="17"/>
  <c r="G548" i="17"/>
  <c r="G958" i="17"/>
  <c r="G266" i="17"/>
  <c r="G454" i="17"/>
  <c r="G567" i="24"/>
  <c r="G591" i="24"/>
  <c r="G257" i="17"/>
  <c r="G959" i="17"/>
  <c r="G595" i="24"/>
  <c r="G775" i="17"/>
  <c r="G463" i="24"/>
  <c r="G1003" i="24"/>
  <c r="G995" i="17"/>
  <c r="G763" i="24"/>
  <c r="G647" i="17"/>
  <c r="G188" i="17"/>
  <c r="G999" i="17"/>
  <c r="G1002" i="17"/>
  <c r="G653" i="17"/>
  <c r="G635" i="17"/>
  <c r="G58" i="24"/>
  <c r="G277" i="17"/>
  <c r="G607" i="24"/>
  <c r="G663" i="17"/>
  <c r="G600" i="24"/>
  <c r="G817" i="17"/>
  <c r="G563" i="17"/>
  <c r="G507" i="24"/>
  <c r="G879" i="17"/>
  <c r="G580" i="17"/>
  <c r="I14" i="16"/>
  <c r="I3" i="16"/>
  <c r="G452" i="17"/>
  <c r="G126" i="17"/>
  <c r="G542" i="17"/>
  <c r="G52" i="24"/>
  <c r="G303" i="17"/>
  <c r="G815" i="17"/>
  <c r="G955" i="24"/>
  <c r="G292" i="24"/>
  <c r="G259" i="17"/>
  <c r="G494" i="17"/>
  <c r="G72" i="24"/>
  <c r="G908" i="24"/>
  <c r="G484" i="24"/>
  <c r="G275" i="17"/>
  <c r="G150" i="17"/>
  <c r="G885" i="24"/>
  <c r="G770" i="24"/>
  <c r="G308" i="24"/>
  <c r="G667" i="24"/>
  <c r="G791" i="24"/>
  <c r="G75" i="17"/>
  <c r="G807" i="17"/>
  <c r="G629" i="17"/>
  <c r="G198" i="17"/>
  <c r="G778" i="24"/>
  <c r="G228" i="24"/>
  <c r="G145" i="17"/>
  <c r="G625" i="24"/>
  <c r="G710" i="24"/>
  <c r="I13" i="16"/>
  <c r="G836" i="24"/>
  <c r="G431" i="17"/>
  <c r="G771" i="24"/>
  <c r="G750" i="17"/>
  <c r="G987" i="24"/>
  <c r="G478" i="24"/>
  <c r="G927" i="17"/>
  <c r="G4" i="17"/>
  <c r="I4" i="2"/>
  <c r="G516" i="17"/>
  <c r="G670" i="24"/>
  <c r="G495" i="24"/>
  <c r="G990" i="17"/>
  <c r="G420" i="24"/>
  <c r="G932" i="24"/>
  <c r="G308" i="17"/>
  <c r="G399" i="17"/>
  <c r="G787" i="17"/>
  <c r="G1031" i="24"/>
  <c r="G451" i="24"/>
  <c r="G975" i="17"/>
  <c r="G835" i="17"/>
  <c r="I19" i="22"/>
  <c r="I9" i="22"/>
  <c r="I15" i="22"/>
  <c r="G571" i="17"/>
  <c r="G62" i="17"/>
  <c r="G911" i="17"/>
  <c r="G91" i="17"/>
  <c r="G435" i="24"/>
  <c r="G531" i="24"/>
  <c r="G231" i="17"/>
  <c r="G996" i="24"/>
  <c r="I12" i="16"/>
  <c r="G355" i="17"/>
  <c r="G323" i="17"/>
  <c r="G739" i="24"/>
  <c r="G15" i="17"/>
  <c r="I15" i="2"/>
  <c r="G523" i="24"/>
  <c r="G411" i="17"/>
  <c r="G80" i="24"/>
  <c r="G347" i="17"/>
  <c r="G878" i="24"/>
  <c r="G446" i="17"/>
  <c r="G264" i="17"/>
  <c r="G113" i="17"/>
  <c r="G271" i="17"/>
  <c r="G743" i="24"/>
  <c r="G899" i="17"/>
  <c r="I3" i="22"/>
  <c r="G195" i="17"/>
  <c r="G559" i="24"/>
  <c r="G241" i="17"/>
  <c r="G222" i="17"/>
  <c r="G691" i="24"/>
  <c r="G795" i="24"/>
  <c r="G699" i="17"/>
  <c r="G190" i="17"/>
  <c r="G648" i="24"/>
  <c r="G904" i="17"/>
  <c r="G387" i="17"/>
  <c r="G867" i="17"/>
  <c r="I13" i="22"/>
  <c r="G238" i="24"/>
  <c r="I16" i="16"/>
  <c r="G707" i="24"/>
  <c r="E136" i="28"/>
  <c r="E18" i="28"/>
</calcChain>
</file>

<file path=xl/comments1.xml><?xml version="1.0" encoding="utf-8"?>
<comments xmlns="http://schemas.openxmlformats.org/spreadsheetml/2006/main">
  <authors>
    <author/>
  </authors>
  <commentList>
    <comment ref="T21" authorId="0" shapeId="0">
      <text>
        <r>
          <rPr>
            <sz val="10"/>
            <color rgb="FF000000"/>
            <rFont val="Arial"/>
            <family val="2"/>
            <scheme val="minor"/>
          </rPr>
          <t xml:space="preserve">modificar serie
</t>
        </r>
      </text>
    </comment>
    <comment ref="T34" authorId="0" shapeId="0">
      <text>
        <r>
          <rPr>
            <sz val="10"/>
            <color rgb="FF000000"/>
            <rFont val="Arial"/>
            <family val="2"/>
            <scheme val="minor"/>
          </rPr>
          <t xml:space="preserve">Cambiar de resguardante
</t>
        </r>
      </text>
    </comment>
    <comment ref="L226" authorId="0" shapeId="0">
      <text>
        <r>
          <rPr>
            <sz val="10"/>
            <color rgb="FF000000"/>
            <rFont val="Arial"/>
            <family val="2"/>
            <scheme val="minor"/>
          </rPr>
          <t>TENIA P1P-50</t>
        </r>
      </text>
    </comment>
    <comment ref="L228" authorId="0" shapeId="0">
      <text>
        <r>
          <rPr>
            <sz val="10"/>
            <color rgb="FF000000"/>
            <rFont val="Arial"/>
            <family val="2"/>
            <scheme val="minor"/>
          </rPr>
          <t>TENIA P1P-51</t>
        </r>
      </text>
    </comment>
    <comment ref="F257" authorId="0" shapeId="0">
      <text>
        <r>
          <rPr>
            <sz val="10"/>
            <color rgb="FF000000"/>
            <rFont val="Arial"/>
            <family val="2"/>
            <scheme val="minor"/>
          </rPr>
          <t>EN OFICINA KENIA</t>
        </r>
      </text>
    </comment>
  </commentList>
</comments>
</file>

<file path=xl/comments2.xml><?xml version="1.0" encoding="utf-8"?>
<comments xmlns="http://schemas.openxmlformats.org/spreadsheetml/2006/main">
  <authors>
    <author/>
  </authors>
  <commentList>
    <comment ref="F21" authorId="0" shapeId="0">
      <text>
        <r>
          <rPr>
            <sz val="10"/>
            <color rgb="FF000000"/>
            <rFont val="Arial"/>
            <family val="2"/>
            <scheme val="minor"/>
          </rPr>
          <t xml:space="preserve">modificar serie
</t>
        </r>
      </text>
    </comment>
    <comment ref="K21" authorId="0" shapeId="0">
      <text>
        <r>
          <rPr>
            <sz val="10"/>
            <color rgb="FF000000"/>
            <rFont val="Arial"/>
            <family val="2"/>
            <scheme val="minor"/>
          </rPr>
          <t xml:space="preserve">modificar serie
</t>
        </r>
      </text>
    </comment>
    <comment ref="E72" authorId="0" shapeId="0">
      <text>
        <r>
          <rPr>
            <sz val="10"/>
            <color rgb="FF000000"/>
            <rFont val="Arial"/>
            <family val="2"/>
            <scheme val="minor"/>
          </rPr>
          <t>CAMBIAR MEDIDAS EN PATRIMONIO</t>
        </r>
      </text>
    </comment>
    <comment ref="E257" authorId="0" shapeId="0">
      <text>
        <r>
          <rPr>
            <sz val="10"/>
            <color rgb="FF000000"/>
            <rFont val="Arial"/>
            <family val="2"/>
            <scheme val="minor"/>
          </rPr>
          <t>EN OFICINA KENIA</t>
        </r>
      </text>
    </comment>
  </commentList>
</comments>
</file>

<file path=xl/comments3.xml><?xml version="1.0" encoding="utf-8"?>
<comments xmlns="http://schemas.openxmlformats.org/spreadsheetml/2006/main">
  <authors>
    <author/>
  </authors>
  <commentList>
    <comment ref="T21" authorId="0" shapeId="0">
      <text>
        <r>
          <rPr>
            <sz val="10"/>
            <color rgb="FF000000"/>
            <rFont val="Arial"/>
            <family val="2"/>
            <scheme val="minor"/>
          </rPr>
          <t xml:space="preserve">modificar serie
</t>
        </r>
      </text>
    </comment>
    <comment ref="T34" authorId="0" shapeId="0">
      <text>
        <r>
          <rPr>
            <sz val="10"/>
            <color rgb="FF000000"/>
            <rFont val="Arial"/>
            <family val="2"/>
            <scheme val="minor"/>
          </rPr>
          <t xml:space="preserve">Cambiar de resguardante
</t>
        </r>
      </text>
    </comment>
    <comment ref="L226" authorId="0" shapeId="0">
      <text>
        <r>
          <rPr>
            <sz val="10"/>
            <color rgb="FF000000"/>
            <rFont val="Arial"/>
            <family val="2"/>
            <scheme val="minor"/>
          </rPr>
          <t>TENIA P1P-50</t>
        </r>
      </text>
    </comment>
    <comment ref="L228" authorId="0" shapeId="0">
      <text>
        <r>
          <rPr>
            <sz val="10"/>
            <color rgb="FF000000"/>
            <rFont val="Arial"/>
            <family val="2"/>
            <scheme val="minor"/>
          </rPr>
          <t>TENIA P1P-51</t>
        </r>
      </text>
    </comment>
    <comment ref="F257" authorId="0" shapeId="0">
      <text>
        <r>
          <rPr>
            <sz val="10"/>
            <color rgb="FF000000"/>
            <rFont val="Arial"/>
            <family val="2"/>
            <scheme val="minor"/>
          </rPr>
          <t>EN OFICINA KENIA</t>
        </r>
      </text>
    </comment>
  </commentList>
</comments>
</file>

<file path=xl/comments4.xml><?xml version="1.0" encoding="utf-8"?>
<comments xmlns="http://schemas.openxmlformats.org/spreadsheetml/2006/main">
  <authors>
    <author/>
  </authors>
  <commentList>
    <comment ref="T21" authorId="0" shapeId="0">
      <text>
        <r>
          <rPr>
            <sz val="10"/>
            <color rgb="FF000000"/>
            <rFont val="Arial"/>
            <family val="2"/>
            <scheme val="minor"/>
          </rPr>
          <t xml:space="preserve">modificar serie
</t>
        </r>
      </text>
    </comment>
    <comment ref="T34" authorId="0" shapeId="0">
      <text>
        <r>
          <rPr>
            <sz val="10"/>
            <color rgb="FF000000"/>
            <rFont val="Arial"/>
            <family val="2"/>
            <scheme val="minor"/>
          </rPr>
          <t xml:space="preserve">Cambiar de resguardante
</t>
        </r>
      </text>
    </comment>
    <comment ref="L226" authorId="0" shapeId="0">
      <text>
        <r>
          <rPr>
            <sz val="10"/>
            <color rgb="FF000000"/>
            <rFont val="Arial"/>
            <family val="2"/>
            <scheme val="minor"/>
          </rPr>
          <t>TENIA P1P-50</t>
        </r>
      </text>
    </comment>
    <comment ref="L228" authorId="0" shapeId="0">
      <text>
        <r>
          <rPr>
            <sz val="10"/>
            <color rgb="FF000000"/>
            <rFont val="Arial"/>
            <family val="2"/>
            <scheme val="minor"/>
          </rPr>
          <t>TENIA P1P-51</t>
        </r>
      </text>
    </comment>
    <comment ref="F257" authorId="0" shapeId="0">
      <text>
        <r>
          <rPr>
            <sz val="10"/>
            <color rgb="FF000000"/>
            <rFont val="Arial"/>
            <family val="2"/>
            <scheme val="minor"/>
          </rPr>
          <t>EN OFICINA KENIA</t>
        </r>
      </text>
    </comment>
  </commentList>
</comments>
</file>

<file path=xl/comments5.xml><?xml version="1.0" encoding="utf-8"?>
<comments xmlns="http://schemas.openxmlformats.org/spreadsheetml/2006/main">
  <authors>
    <author/>
  </authors>
  <commentList>
    <comment ref="R21" authorId="0" shapeId="0">
      <text>
        <r>
          <rPr>
            <sz val="10"/>
            <color rgb="FF000000"/>
            <rFont val="Arial"/>
            <family val="2"/>
            <scheme val="minor"/>
          </rPr>
          <t xml:space="preserve">modificar serie
</t>
        </r>
      </text>
    </comment>
    <comment ref="R34" authorId="0" shapeId="0">
      <text>
        <r>
          <rPr>
            <sz val="10"/>
            <color rgb="FF000000"/>
            <rFont val="Arial"/>
            <family val="2"/>
            <scheme val="minor"/>
          </rPr>
          <t xml:space="preserve">Cambiar de resguardante
</t>
        </r>
      </text>
    </comment>
    <comment ref="J226" authorId="0" shapeId="0">
      <text>
        <r>
          <rPr>
            <sz val="10"/>
            <color rgb="FF000000"/>
            <rFont val="Arial"/>
            <family val="2"/>
            <scheme val="minor"/>
          </rPr>
          <t>TENIA P1P-50</t>
        </r>
      </text>
    </comment>
    <comment ref="J228" authorId="0" shapeId="0">
      <text>
        <r>
          <rPr>
            <sz val="10"/>
            <color rgb="FF000000"/>
            <rFont val="Arial"/>
            <family val="2"/>
            <scheme val="minor"/>
          </rPr>
          <t>TENIA P1P-51</t>
        </r>
      </text>
    </comment>
    <comment ref="F257" authorId="0" shapeId="0">
      <text>
        <r>
          <rPr>
            <sz val="10"/>
            <color rgb="FF000000"/>
            <rFont val="Arial"/>
            <family val="2"/>
            <scheme val="minor"/>
          </rPr>
          <t>EN OFICINA KENIA</t>
        </r>
      </text>
    </comment>
  </commentList>
</comments>
</file>

<file path=xl/comments6.xml><?xml version="1.0" encoding="utf-8"?>
<comments xmlns="http://schemas.openxmlformats.org/spreadsheetml/2006/main">
  <authors>
    <author/>
  </authors>
  <commentList>
    <comment ref="R21" authorId="0" shapeId="0">
      <text>
        <r>
          <rPr>
            <sz val="10"/>
            <color rgb="FF000000"/>
            <rFont val="Arial"/>
            <family val="2"/>
            <scheme val="minor"/>
          </rPr>
          <t xml:space="preserve">modificar serie
</t>
        </r>
      </text>
    </comment>
    <comment ref="R34" authorId="0" shapeId="0">
      <text>
        <r>
          <rPr>
            <sz val="10"/>
            <color rgb="FF000000"/>
            <rFont val="Arial"/>
            <family val="2"/>
            <scheme val="minor"/>
          </rPr>
          <t xml:space="preserve">Cambiar de resguardante
</t>
        </r>
      </text>
    </comment>
    <comment ref="J226" authorId="0" shapeId="0">
      <text>
        <r>
          <rPr>
            <sz val="10"/>
            <color rgb="FF000000"/>
            <rFont val="Arial"/>
            <family val="2"/>
            <scheme val="minor"/>
          </rPr>
          <t>TENIA P1P-50</t>
        </r>
      </text>
    </comment>
    <comment ref="J228" authorId="0" shapeId="0">
      <text>
        <r>
          <rPr>
            <sz val="10"/>
            <color rgb="FF000000"/>
            <rFont val="Arial"/>
            <family val="2"/>
            <scheme val="minor"/>
          </rPr>
          <t>TENIA P1P-51</t>
        </r>
      </text>
    </comment>
    <comment ref="F257" authorId="0" shapeId="0">
      <text>
        <r>
          <rPr>
            <sz val="10"/>
            <color rgb="FF000000"/>
            <rFont val="Arial"/>
            <family val="2"/>
            <scheme val="minor"/>
          </rPr>
          <t>EN OFICINA KENIA</t>
        </r>
      </text>
    </comment>
  </commentList>
</comments>
</file>

<file path=xl/sharedStrings.xml><?xml version="1.0" encoding="utf-8"?>
<sst xmlns="http://schemas.openxmlformats.org/spreadsheetml/2006/main" count="125819" uniqueCount="10376">
  <si>
    <t>ID</t>
  </si>
  <si>
    <t>PLANTA</t>
  </si>
  <si>
    <t>SUB</t>
  </si>
  <si>
    <t>NO. U. ADMIN</t>
  </si>
  <si>
    <t>DESCRIPCION GENERICA</t>
  </si>
  <si>
    <t>DESCRIPCION ESPECIIFICA</t>
  </si>
  <si>
    <t>NNII</t>
  </si>
  <si>
    <t>NNII  FEB24</t>
  </si>
  <si>
    <t>NIPRUEBA</t>
  </si>
  <si>
    <t>N.I.I. MAR22</t>
  </si>
  <si>
    <t>N.I.I NOV21</t>
  </si>
  <si>
    <t>SAACG</t>
  </si>
  <si>
    <t>F. COMPRA</t>
  </si>
  <si>
    <t>MONTO</t>
  </si>
  <si>
    <t>MARCA</t>
  </si>
  <si>
    <t>MODELO</t>
  </si>
  <si>
    <t>NO. SERIE</t>
  </si>
  <si>
    <t>N.I.P</t>
  </si>
  <si>
    <t>ESTADO FÍSICO</t>
  </si>
  <si>
    <t>AREA DE ASIGNACIÓN</t>
  </si>
  <si>
    <t>NOMBRE DEL USUARIO RESGUARDANTE</t>
  </si>
  <si>
    <t>RESGUARDANTE ANTERIOR</t>
  </si>
  <si>
    <t>OBSERVACIONES 03/2024</t>
  </si>
  <si>
    <t>OBSERVACIONES PATRIMONIO</t>
  </si>
  <si>
    <t>FACTURA</t>
  </si>
  <si>
    <t>FECHA FACTURA</t>
  </si>
  <si>
    <t>0001</t>
  </si>
  <si>
    <t>P0</t>
  </si>
  <si>
    <t>DELEGACIÓN ADMINISTRATIVA</t>
  </si>
  <si>
    <t>CREDENZA</t>
  </si>
  <si>
    <t>CREDENZA DE MADERA 120X40</t>
  </si>
  <si>
    <t>P05DA-0001</t>
  </si>
  <si>
    <t>PB5DA-001</t>
  </si>
  <si>
    <t>P0A-9</t>
  </si>
  <si>
    <t>5110100014-16</t>
  </si>
  <si>
    <t>S/M</t>
  </si>
  <si>
    <t>SIN SERIE</t>
  </si>
  <si>
    <t>82DK0511010005000583333</t>
  </si>
  <si>
    <t>BUENO</t>
  </si>
  <si>
    <t>SARA ARCELIA LOPEZ NAVARRO</t>
  </si>
  <si>
    <t>ROSAURA MENDEZ SALGADO</t>
  </si>
  <si>
    <t>REVISADO</t>
  </si>
  <si>
    <t>0002</t>
  </si>
  <si>
    <t>VENTILADOR</t>
  </si>
  <si>
    <t>VENTILADOR DE TORRE NEGRO</t>
  </si>
  <si>
    <t>P05DA-0002</t>
  </si>
  <si>
    <t>PB5DA-002</t>
  </si>
  <si>
    <t>P0A-86</t>
  </si>
  <si>
    <t>5190200002-40</t>
  </si>
  <si>
    <t>MYTEK</t>
  </si>
  <si>
    <t>82DH0519010043000649374</t>
  </si>
  <si>
    <t>PENDIENTE</t>
  </si>
  <si>
    <t>0003</t>
  </si>
  <si>
    <t>PIZARRON</t>
  </si>
  <si>
    <t>PIZARRON BLANCO 90X60 CM</t>
  </si>
  <si>
    <t>P05DA-0003</t>
  </si>
  <si>
    <t>PB5DA-003</t>
  </si>
  <si>
    <t>P0A-95</t>
  </si>
  <si>
    <t>5290100025-8</t>
  </si>
  <si>
    <t>82DH0529030003000564534</t>
  </si>
  <si>
    <t>MODIFICADO</t>
  </si>
  <si>
    <t>0004</t>
  </si>
  <si>
    <t>ARCHIVERO</t>
  </si>
  <si>
    <t>ARCHIVERO DE MADERA 4 CAJONES</t>
  </si>
  <si>
    <t>P05DA-0004</t>
  </si>
  <si>
    <t>PB5DA-004</t>
  </si>
  <si>
    <t>P0A-10</t>
  </si>
  <si>
    <t>5130100013-25</t>
  </si>
  <si>
    <t>82DK0511010001000581343</t>
  </si>
  <si>
    <t>OK PATRIMONIO</t>
  </si>
  <si>
    <t>0005</t>
  </si>
  <si>
    <t>LIBRERO</t>
  </si>
  <si>
    <t>LIBRERO DE MADERA</t>
  </si>
  <si>
    <t>P05DA-0005</t>
  </si>
  <si>
    <t>PB5DA-005</t>
  </si>
  <si>
    <t>P0A-92</t>
  </si>
  <si>
    <t>5130100126-10</t>
  </si>
  <si>
    <t>82DH0511010008000535423</t>
  </si>
  <si>
    <t>ALTA PATRIMONIO</t>
  </si>
  <si>
    <t>0006</t>
  </si>
  <si>
    <t>LOCKER</t>
  </si>
  <si>
    <t>LOCKER DE MADERA DOS PUERTAS 194X79X43</t>
  </si>
  <si>
    <t>P05DA-0006</t>
  </si>
  <si>
    <t>PB5DA-006</t>
  </si>
  <si>
    <t>5130100013-6</t>
  </si>
  <si>
    <t>SIN RESGUARDO</t>
  </si>
  <si>
    <t xml:space="preserve">PARA BAJA </t>
  </si>
  <si>
    <t>0007</t>
  </si>
  <si>
    <t>PB5DA-007</t>
  </si>
  <si>
    <t>P0A-87</t>
  </si>
  <si>
    <t>S/N</t>
  </si>
  <si>
    <t>82DH0511010009000584147</t>
  </si>
  <si>
    <t>0008</t>
  </si>
  <si>
    <t>MESA</t>
  </si>
  <si>
    <t>MESA DE MADERA CON BASE DE METAL 80X60X50</t>
  </si>
  <si>
    <t>P05DA-0008</t>
  </si>
  <si>
    <t>PB5DA-008</t>
  </si>
  <si>
    <t>P0A-103</t>
  </si>
  <si>
    <t>5120100007-127</t>
  </si>
  <si>
    <t>82DK0531010065000564835</t>
  </si>
  <si>
    <t>MALO</t>
  </si>
  <si>
    <t>SE ENCUENTRA EN SOLICITUD DE BAJA 2021/4946</t>
  </si>
  <si>
    <t>0009</t>
  </si>
  <si>
    <t>ARCHIVERO DE MADERA 2 CAJONES 76X100X56</t>
  </si>
  <si>
    <t>P05DA-0009</t>
  </si>
  <si>
    <t>PB5DA-009</t>
  </si>
  <si>
    <t>P0A-94</t>
  </si>
  <si>
    <t>5130100013-26</t>
  </si>
  <si>
    <t>82DH0511010001000649513</t>
  </si>
  <si>
    <t>0010</t>
  </si>
  <si>
    <t>CREDENZA DE MADERA 4 PUERTAS</t>
  </si>
  <si>
    <t>P05DA-0010</t>
  </si>
  <si>
    <t>P0A-110</t>
  </si>
  <si>
    <t>5120100004-38</t>
  </si>
  <si>
    <t>82DH0511010005000651084</t>
  </si>
  <si>
    <t>0011</t>
  </si>
  <si>
    <t>ESCRITORIO</t>
  </si>
  <si>
    <t>ESCRITORIO DE MADERA</t>
  </si>
  <si>
    <t>P05DA-0011</t>
  </si>
  <si>
    <t>P0A-88</t>
  </si>
  <si>
    <t>5110100015-60</t>
  </si>
  <si>
    <t>82DH0511010006000518529</t>
  </si>
  <si>
    <t>0012</t>
  </si>
  <si>
    <t>ESCRITORIO COMPLEMENTO</t>
  </si>
  <si>
    <t>P05DA-0012</t>
  </si>
  <si>
    <t>P0A-101</t>
  </si>
  <si>
    <t>5120100007-107</t>
  </si>
  <si>
    <t>82DH0531010065000564882</t>
  </si>
  <si>
    <t>0013</t>
  </si>
  <si>
    <t>ESCRITORIO DE MADERA TIPO ISLA 4 PIEZAS</t>
  </si>
  <si>
    <t>P05DA-0013</t>
  </si>
  <si>
    <t>PB5DA-010</t>
  </si>
  <si>
    <t>P0A-89</t>
  </si>
  <si>
    <t>5110100015-61</t>
  </si>
  <si>
    <t>82DH0511010006000583468</t>
  </si>
  <si>
    <t>0014</t>
  </si>
  <si>
    <t>MULTIFUNCIONAL</t>
  </si>
  <si>
    <t>IMPRESORA MULTIFUNCIONAL</t>
  </si>
  <si>
    <t>P05DA-0014</t>
  </si>
  <si>
    <t>PB5DA-011</t>
  </si>
  <si>
    <t>P1CSA-19</t>
  </si>
  <si>
    <t>ALTA</t>
  </si>
  <si>
    <t>PARA BAJA</t>
  </si>
  <si>
    <t>CANON</t>
  </si>
  <si>
    <t>PIXMA-MP280</t>
  </si>
  <si>
    <t>LHWC04690</t>
  </si>
  <si>
    <t>82DJ0515010014000539048</t>
  </si>
  <si>
    <t>RECURSOS MATERIALES Y SERVICIOS GENERALES</t>
  </si>
  <si>
    <t xml:space="preserve">BLANCA ELIZABETH ALCANTAR </t>
  </si>
  <si>
    <t>EN ARCHIVO</t>
  </si>
  <si>
    <t>0015</t>
  </si>
  <si>
    <t>MONITOR</t>
  </si>
  <si>
    <t>MONITOR 19.5"</t>
  </si>
  <si>
    <t>P05DA-0015</t>
  </si>
  <si>
    <t>PB5DA-012</t>
  </si>
  <si>
    <t>P0A-100</t>
  </si>
  <si>
    <t>5210100012-42</t>
  </si>
  <si>
    <t>GHIA</t>
  </si>
  <si>
    <t>MG2017</t>
  </si>
  <si>
    <t>CMG2017180130136801823</t>
  </si>
  <si>
    <t>82DK0515010013000650653</t>
  </si>
  <si>
    <t>0016</t>
  </si>
  <si>
    <t>TELEFONO</t>
  </si>
  <si>
    <t>TELEFONO GRIS IP</t>
  </si>
  <si>
    <t>P05DA-0016</t>
  </si>
  <si>
    <t>PB5DA-013</t>
  </si>
  <si>
    <t>P0A-104</t>
  </si>
  <si>
    <t>5650100010-26</t>
  </si>
  <si>
    <t>LINKSYS</t>
  </si>
  <si>
    <t>SPA942</t>
  </si>
  <si>
    <t>4LO00H118469</t>
  </si>
  <si>
    <t>82DH0565010001000577963</t>
  </si>
  <si>
    <t>0017</t>
  </si>
  <si>
    <t>FRIGOBAR</t>
  </si>
  <si>
    <t>FRIGOBAR GRIS 2 PIES</t>
  </si>
  <si>
    <t>P05DA-0017</t>
  </si>
  <si>
    <t>PB5DA-014</t>
  </si>
  <si>
    <t>P0A-93</t>
  </si>
  <si>
    <t>5120100001-7</t>
  </si>
  <si>
    <t>HISENSE</t>
  </si>
  <si>
    <t>RR16D6ALX</t>
  </si>
  <si>
    <t>32KHS61295</t>
  </si>
  <si>
    <t>82DH0519010038000649356</t>
  </si>
  <si>
    <t>0018</t>
  </si>
  <si>
    <t>SILLON</t>
  </si>
  <si>
    <t>SILLON NEGRO VINIPIEL CON RUEDAS</t>
  </si>
  <si>
    <t>P05DA-0018</t>
  </si>
  <si>
    <t>PB5DA-015</t>
  </si>
  <si>
    <t>P0A-98</t>
  </si>
  <si>
    <t>5120100009-50</t>
  </si>
  <si>
    <t>82DH0511010016000649519</t>
  </si>
  <si>
    <t>0019</t>
  </si>
  <si>
    <t>PIZARRON DE CORCHO 90X60</t>
  </si>
  <si>
    <t>P05DA-0019</t>
  </si>
  <si>
    <t>PB5DA-016</t>
  </si>
  <si>
    <t>P0A-107</t>
  </si>
  <si>
    <t>5290100025-9</t>
  </si>
  <si>
    <t>82DH0529030005000649516</t>
  </si>
  <si>
    <t>0020</t>
  </si>
  <si>
    <t>COMPUTADORA DE ESCRITORIO</t>
  </si>
  <si>
    <t>COMPUTADORA ALL IN ONE BLANCA CON BASE METALICA</t>
  </si>
  <si>
    <t>P05DA-0020</t>
  </si>
  <si>
    <t>PB5DA-017</t>
  </si>
  <si>
    <t>P0A-99</t>
  </si>
  <si>
    <t>5150100005-58</t>
  </si>
  <si>
    <t>HP</t>
  </si>
  <si>
    <t>24R007LA</t>
  </si>
  <si>
    <t>8CC8100Z2W</t>
  </si>
  <si>
    <t>82DH0515010003000649385</t>
  </si>
  <si>
    <t>0021</t>
  </si>
  <si>
    <t>DISCO DURO</t>
  </si>
  <si>
    <t>DISCO DURO EXTERNO 1TB</t>
  </si>
  <si>
    <t>P05DA-0021</t>
  </si>
  <si>
    <t>PB5DA-018</t>
  </si>
  <si>
    <t>P0A-91</t>
  </si>
  <si>
    <t>5150100006-4</t>
  </si>
  <si>
    <t>ADATA</t>
  </si>
  <si>
    <t>HV100</t>
  </si>
  <si>
    <t>1G0820150836</t>
  </si>
  <si>
    <t>82DH0515010006000649398</t>
  </si>
  <si>
    <t>0022</t>
  </si>
  <si>
    <t>SILLON NEGO VINIPIEL CON BASE METALICA</t>
  </si>
  <si>
    <t>P05DA-0022</t>
  </si>
  <si>
    <t>PB5DA-019</t>
  </si>
  <si>
    <t>P0A-105</t>
  </si>
  <si>
    <t>5120100009-51</t>
  </si>
  <si>
    <t>82DH0511010016000515614</t>
  </si>
  <si>
    <t>0023</t>
  </si>
  <si>
    <t>P05DA-0023</t>
  </si>
  <si>
    <t>PB5DA-020</t>
  </si>
  <si>
    <t>P0A-106</t>
  </si>
  <si>
    <t>5120100009-52</t>
  </si>
  <si>
    <t>82DH0511010016000515612</t>
  </si>
  <si>
    <t>0024</t>
  </si>
  <si>
    <t>PERCHERO</t>
  </si>
  <si>
    <t>PERCHERO NEGRO</t>
  </si>
  <si>
    <t>P05DA-0024</t>
  </si>
  <si>
    <t>PB5DA-021</t>
  </si>
  <si>
    <t>P0A-97</t>
  </si>
  <si>
    <t>5120100008-3</t>
  </si>
  <si>
    <t>82DH0512010018000566902</t>
  </si>
  <si>
    <t>0025</t>
  </si>
  <si>
    <t>TRITURADORA DE PAPEL</t>
  </si>
  <si>
    <t>P05DA-0025</t>
  </si>
  <si>
    <t>PB5DA-022</t>
  </si>
  <si>
    <t>ROYAL</t>
  </si>
  <si>
    <t>1216X</t>
  </si>
  <si>
    <t>0026</t>
  </si>
  <si>
    <t>NO BREAK</t>
  </si>
  <si>
    <t>NO BREAK NEGRO</t>
  </si>
  <si>
    <t>CDP</t>
  </si>
  <si>
    <t>B-UPR706120VAC</t>
  </si>
  <si>
    <t>82DH0515010016000522299</t>
  </si>
  <si>
    <t>0027</t>
  </si>
  <si>
    <t>SILLON DE VINIPIEL CON RUEDAS</t>
  </si>
  <si>
    <t>P05DA-0026</t>
  </si>
  <si>
    <t>PB5DA-023</t>
  </si>
  <si>
    <t>P0A-11</t>
  </si>
  <si>
    <t>5120100009-48</t>
  </si>
  <si>
    <t>82DK0511010016000649505</t>
  </si>
  <si>
    <t>ANTONIO CESAR REYES LOPEZ</t>
  </si>
  <si>
    <t>BAJA REV. HUMBERTO</t>
  </si>
  <si>
    <t>0028</t>
  </si>
  <si>
    <t>ESCRITORIO  DE MADERA DE 2 PIEZAS</t>
  </si>
  <si>
    <t>P05DA-0027</t>
  </si>
  <si>
    <t>PB5DA-024</t>
  </si>
  <si>
    <t>P0A-12</t>
  </si>
  <si>
    <t>5110100015-59</t>
  </si>
  <si>
    <t>82DK0511010006000649506</t>
  </si>
  <si>
    <t>0029</t>
  </si>
  <si>
    <t>P05DA-0028</t>
  </si>
  <si>
    <t>PB5DA-025</t>
  </si>
  <si>
    <t>5150100005-154</t>
  </si>
  <si>
    <t>ACTECK</t>
  </si>
  <si>
    <t>LINX</t>
  </si>
  <si>
    <t>0070</t>
  </si>
  <si>
    <t>11249.99</t>
  </si>
  <si>
    <t>0030</t>
  </si>
  <si>
    <t>COMPLEMENTO DE EQUIPO DE MADERA</t>
  </si>
  <si>
    <t>P05DA-0029</t>
  </si>
  <si>
    <t>PB5DA-026</t>
  </si>
  <si>
    <t>--</t>
  </si>
  <si>
    <t>5120100004-24</t>
  </si>
  <si>
    <t>82DK0515010033000566418</t>
  </si>
  <si>
    <t>0031</t>
  </si>
  <si>
    <t>TELEFONO GRIS</t>
  </si>
  <si>
    <t>P05DA-0030</t>
  </si>
  <si>
    <t>PB5DA-027</t>
  </si>
  <si>
    <t>P0A-16</t>
  </si>
  <si>
    <t>5650100010-25</t>
  </si>
  <si>
    <t>4LO00H118467</t>
  </si>
  <si>
    <t>82DK0565010001000533366</t>
  </si>
  <si>
    <t>0032</t>
  </si>
  <si>
    <t>MONITOR 21.5"</t>
  </si>
  <si>
    <t>P05DA-0031</t>
  </si>
  <si>
    <t>PB5DA-028</t>
  </si>
  <si>
    <t>5150100005-155</t>
  </si>
  <si>
    <t>ACER</t>
  </si>
  <si>
    <t>V226HQL</t>
  </si>
  <si>
    <t>MMTASAA007109004253P00</t>
  </si>
  <si>
    <t>0033</t>
  </si>
  <si>
    <t>P05DA-0032</t>
  </si>
  <si>
    <t>PB5DA-029</t>
  </si>
  <si>
    <t>TRIPP LITE</t>
  </si>
  <si>
    <t>INTERNET550U</t>
  </si>
  <si>
    <t>2218GY0BC785701322</t>
  </si>
  <si>
    <t>82DI0515010016000564608</t>
  </si>
  <si>
    <t>0034</t>
  </si>
  <si>
    <t>MESA DE MADERA CON BASE DE METAL BAJA 60X40X37</t>
  </si>
  <si>
    <t>P05DA-0033</t>
  </si>
  <si>
    <t>PB5DA-030</t>
  </si>
  <si>
    <t>P0A-15</t>
  </si>
  <si>
    <t>5120100007-128</t>
  </si>
  <si>
    <t>82DK0531010065000580345</t>
  </si>
  <si>
    <t>0035</t>
  </si>
  <si>
    <t>VENTILADOR CHICO GRIS</t>
  </si>
  <si>
    <t>P05DA-0034</t>
  </si>
  <si>
    <t>PB5DA-031</t>
  </si>
  <si>
    <t>SEVILLE CLASSICS</t>
  </si>
  <si>
    <t>82DH0531010094000516615</t>
  </si>
  <si>
    <t>0036</t>
  </si>
  <si>
    <t>TAJALAPIZ</t>
  </si>
  <si>
    <t>TAJALAPIZ ELECTRICO</t>
  </si>
  <si>
    <t>P05DA-0035</t>
  </si>
  <si>
    <t>PB5DA-032</t>
  </si>
  <si>
    <t>RIHAN</t>
  </si>
  <si>
    <t>TY835</t>
  </si>
  <si>
    <t>0037</t>
  </si>
  <si>
    <t>P05DA-0036</t>
  </si>
  <si>
    <t>PB5DA-033</t>
  </si>
  <si>
    <t>5150100005-149</t>
  </si>
  <si>
    <t>MMLXLAA0250480B49C4273</t>
  </si>
  <si>
    <t>MARIA MARTHA CASTAÑEDA REYES</t>
  </si>
  <si>
    <t>0038</t>
  </si>
  <si>
    <t>P05DA-0037</t>
  </si>
  <si>
    <t>PB5DA-034</t>
  </si>
  <si>
    <t>P0A-3</t>
  </si>
  <si>
    <t>5650100010-22</t>
  </si>
  <si>
    <t>4LO00H118285</t>
  </si>
  <si>
    <t>82DK0565010001000538211</t>
  </si>
  <si>
    <t>BLANCA ELIZABETH ALCANTAR (OFICINA)</t>
  </si>
  <si>
    <t>0039</t>
  </si>
  <si>
    <t>P05DA-0038</t>
  </si>
  <si>
    <t>PB5DA-035</t>
  </si>
  <si>
    <t>5150100005-148</t>
  </si>
  <si>
    <t>0040</t>
  </si>
  <si>
    <t>ARCHIVERO GRIS CON 3 GAVETAS</t>
  </si>
  <si>
    <t>P05DA-0039</t>
  </si>
  <si>
    <t>PB5DA-036</t>
  </si>
  <si>
    <t>P0A-7</t>
  </si>
  <si>
    <t>5130100013-20</t>
  </si>
  <si>
    <t>82DK0511010001000518524</t>
  </si>
  <si>
    <t>0041</t>
  </si>
  <si>
    <t>REGULADOR DE VOLTAJE</t>
  </si>
  <si>
    <t>REGULADOR NEGRO</t>
  </si>
  <si>
    <t>P05DA-0040</t>
  </si>
  <si>
    <t>PB5DA-037</t>
  </si>
  <si>
    <t>P0A-1</t>
  </si>
  <si>
    <t>5660100057-15</t>
  </si>
  <si>
    <t>KOBLENZ</t>
  </si>
  <si>
    <t>RS/1400I</t>
  </si>
  <si>
    <t>16-10-39231</t>
  </si>
  <si>
    <t>82DK0515010020000650900</t>
  </si>
  <si>
    <t>0042</t>
  </si>
  <si>
    <t>ESCRITORIO DE MADERA 140X60</t>
  </si>
  <si>
    <t>P05DA-0041</t>
  </si>
  <si>
    <t>PB5DA-038</t>
  </si>
  <si>
    <t>P0A-2</t>
  </si>
  <si>
    <t>5110100015-50</t>
  </si>
  <si>
    <t>82DK0511010006000518530</t>
  </si>
  <si>
    <t>0043</t>
  </si>
  <si>
    <t>MESA COMPLEMENTO DE ESCRITORIO 160X60</t>
  </si>
  <si>
    <t>P05DA-0042</t>
  </si>
  <si>
    <t>PB5DA-039</t>
  </si>
  <si>
    <t>P0A-8</t>
  </si>
  <si>
    <t>5120100007-92</t>
  </si>
  <si>
    <t>82DK0531010065000564832</t>
  </si>
  <si>
    <t>0044</t>
  </si>
  <si>
    <t>SILLA</t>
  </si>
  <si>
    <t>SILLA NEGRA CON RUEDAS</t>
  </si>
  <si>
    <t>P05DA-0043</t>
  </si>
  <si>
    <t>PB5DA-040</t>
  </si>
  <si>
    <t>P0A-6</t>
  </si>
  <si>
    <t>5110100011-68</t>
  </si>
  <si>
    <t>82DK0511010017000522763</t>
  </si>
  <si>
    <t>BLANCA ELIZABETH ALCANTAR GUERRERO</t>
  </si>
  <si>
    <t>0045</t>
  </si>
  <si>
    <t>CAFETERA</t>
  </si>
  <si>
    <t>P05DA-0044</t>
  </si>
  <si>
    <t>PB5DA-041</t>
  </si>
  <si>
    <t>HAMILTON BEACH</t>
  </si>
  <si>
    <t>A2151BW</t>
  </si>
  <si>
    <t>ROSAURA MENDEZ SALGADO (AREAS COMUNES)</t>
  </si>
  <si>
    <t>0046</t>
  </si>
  <si>
    <t>MESA DE MADERA CHICA CON RUEDAS 60X40</t>
  </si>
  <si>
    <t>P05DA-0045</t>
  </si>
  <si>
    <t>PB5DA-042</t>
  </si>
  <si>
    <t>P0A-102</t>
  </si>
  <si>
    <t>5120100007-108</t>
  </si>
  <si>
    <t>82DH0531010065000564868</t>
  </si>
  <si>
    <t>0047</t>
  </si>
  <si>
    <t>VENTILADOR GRIS  DE PARED</t>
  </si>
  <si>
    <t>P05DA-0046</t>
  </si>
  <si>
    <t>PB5DA-043</t>
  </si>
  <si>
    <t>P0A-83</t>
  </si>
  <si>
    <t>5190200002-37</t>
  </si>
  <si>
    <t>NAVIA</t>
  </si>
  <si>
    <t>VPN/018</t>
  </si>
  <si>
    <t>1704186496</t>
  </si>
  <si>
    <t>82DH0519010043000650639</t>
  </si>
  <si>
    <t>0048</t>
  </si>
  <si>
    <t>P05DA-0047</t>
  </si>
  <si>
    <t>PB5DA-044</t>
  </si>
  <si>
    <t>P0A-84</t>
  </si>
  <si>
    <t>5190200002-38</t>
  </si>
  <si>
    <t>12332</t>
  </si>
  <si>
    <t>82DH0519010043000650640</t>
  </si>
  <si>
    <t>0049</t>
  </si>
  <si>
    <t>P05DA-0048</t>
  </si>
  <si>
    <t>PB5DA-045</t>
  </si>
  <si>
    <t>P0A-85</t>
  </si>
  <si>
    <t>5190200002-39</t>
  </si>
  <si>
    <t>12626</t>
  </si>
  <si>
    <t>82DH0519010043000649367</t>
  </si>
  <si>
    <t>0050</t>
  </si>
  <si>
    <t>BANCO</t>
  </si>
  <si>
    <t>BANCO DE MADERA</t>
  </si>
  <si>
    <t>P05DA-0049</t>
  </si>
  <si>
    <t>PB5DA-046</t>
  </si>
  <si>
    <t>P0A-75</t>
  </si>
  <si>
    <t>5110100012-1</t>
  </si>
  <si>
    <t>82DH0511010003000518526</t>
  </si>
  <si>
    <t>POLIS</t>
  </si>
  <si>
    <t>0051</t>
  </si>
  <si>
    <t>SILLA CON RUEDAS CAFES</t>
  </si>
  <si>
    <t>P05DA-0050</t>
  </si>
  <si>
    <t>PB5DA-047</t>
  </si>
  <si>
    <t>P0A-81</t>
  </si>
  <si>
    <t>5110100011-99</t>
  </si>
  <si>
    <t>82DH0511010017000649517</t>
  </si>
  <si>
    <t>EN COBACHA</t>
  </si>
  <si>
    <t>0052</t>
  </si>
  <si>
    <t>MESA DE METAL NEGRO CON RUEDAS</t>
  </si>
  <si>
    <t>P05DA-0051</t>
  </si>
  <si>
    <t>PB5DA-048</t>
  </si>
  <si>
    <t>P0A-77</t>
  </si>
  <si>
    <t>5120100007-105</t>
  </si>
  <si>
    <t>82DH0531010065000564845</t>
  </si>
  <si>
    <t>0053</t>
  </si>
  <si>
    <t>SILLÓN DE TELA ALTO</t>
  </si>
  <si>
    <t>P05DA-0052</t>
  </si>
  <si>
    <t>PB5DA-049</t>
  </si>
  <si>
    <t>P0A-64</t>
  </si>
  <si>
    <t>5120100009-49</t>
  </si>
  <si>
    <t>82DH0512010014000649515</t>
  </si>
  <si>
    <t>SE TAPIZO EN VINIL GUINDA</t>
  </si>
  <si>
    <t>0054</t>
  </si>
  <si>
    <t>VENTILADOR GRIS</t>
  </si>
  <si>
    <t>P05DA-0053</t>
  </si>
  <si>
    <t>PB5DA-050</t>
  </si>
  <si>
    <t>P0A-76</t>
  </si>
  <si>
    <t>5190200002-36</t>
  </si>
  <si>
    <t>SEVALLE CLASIC</t>
  </si>
  <si>
    <t>CADPE-DA-0032</t>
  </si>
  <si>
    <t>82DH0531010094000649529</t>
  </si>
  <si>
    <t>0055</t>
  </si>
  <si>
    <t>RECIBIDOR</t>
  </si>
  <si>
    <t>RECIBIDOR DE MADERA</t>
  </si>
  <si>
    <t>P05DA-0054</t>
  </si>
  <si>
    <t>PB5DA-051</t>
  </si>
  <si>
    <t>P0A-65</t>
  </si>
  <si>
    <t>5120100005-4</t>
  </si>
  <si>
    <t>82DH0511010015000649511</t>
  </si>
  <si>
    <t>0056</t>
  </si>
  <si>
    <t>P3</t>
  </si>
  <si>
    <t>REGULADOR (IMPRESORA)</t>
  </si>
  <si>
    <t>P05DA-0055</t>
  </si>
  <si>
    <t>PB5DA-052</t>
  </si>
  <si>
    <t>P0A-108</t>
  </si>
  <si>
    <t>5660100057-17</t>
  </si>
  <si>
    <t>COMPLET</t>
  </si>
  <si>
    <t>501693402278</t>
  </si>
  <si>
    <t>82DH0515010020000650634</t>
  </si>
  <si>
    <t>BLANCA ELIZABETH ALCANTAR (ALMACEN)</t>
  </si>
  <si>
    <t>RAMON GARCIA ARREOLA (ALMACEN)</t>
  </si>
  <si>
    <t>0057</t>
  </si>
  <si>
    <t>MESA DE MADERA CON BASE DE METAL CAOBA</t>
  </si>
  <si>
    <t>P05DA-0056</t>
  </si>
  <si>
    <t>PB5DA-053</t>
  </si>
  <si>
    <t>P0A-111</t>
  </si>
  <si>
    <t>5120100007-135</t>
  </si>
  <si>
    <t>82DH0531010065000580346</t>
  </si>
  <si>
    <t>BLANCA ELIZABETH ALCANTAR</t>
  </si>
  <si>
    <t>RAMON GARCIA ARREOLA</t>
  </si>
  <si>
    <t>0058</t>
  </si>
  <si>
    <t>P05DA-0057</t>
  </si>
  <si>
    <t>PB5DA-054</t>
  </si>
  <si>
    <t>P0A-79</t>
  </si>
  <si>
    <t>5110100012-2</t>
  </si>
  <si>
    <t>82DH0511010003000582612</t>
  </si>
  <si>
    <t>0059</t>
  </si>
  <si>
    <t>ESTANTE O ANAQUEL</t>
  </si>
  <si>
    <t>ANAQUEL GRIS DE 2 PUERTAS</t>
  </si>
  <si>
    <t>P05DA-0058</t>
  </si>
  <si>
    <t>PB5DA-055</t>
  </si>
  <si>
    <t>P0A-67</t>
  </si>
  <si>
    <t>5290300001-16</t>
  </si>
  <si>
    <t>82DH0511010009000584145</t>
  </si>
  <si>
    <t xml:space="preserve">RAMON GARCIA ARREOLA </t>
  </si>
  <si>
    <t>AREA LIMPIEZA</t>
  </si>
  <si>
    <t>0060</t>
  </si>
  <si>
    <t>SILLA DE TELA CAFÉ</t>
  </si>
  <si>
    <t>P05DA-0059</t>
  </si>
  <si>
    <t>PB5DA-056</t>
  </si>
  <si>
    <t>P0A-72</t>
  </si>
  <si>
    <t>5110100011-96</t>
  </si>
  <si>
    <t>82DH0511010017000518537</t>
  </si>
  <si>
    <t>REGULAR</t>
  </si>
  <si>
    <t>EN COCINA</t>
  </si>
  <si>
    <t>0061</t>
  </si>
  <si>
    <t>SILLA DE PIEL NEGRA</t>
  </si>
  <si>
    <t>P05DA-0060</t>
  </si>
  <si>
    <t>PB5DA-057</t>
  </si>
  <si>
    <t>P0A-74</t>
  </si>
  <si>
    <t>5110100011-98</t>
  </si>
  <si>
    <t>82DH0511010017000518536</t>
  </si>
  <si>
    <t>ARCHIVO</t>
  </si>
  <si>
    <t>0062</t>
  </si>
  <si>
    <t>MESA DE MADERA CON BASE DE METAL</t>
  </si>
  <si>
    <t>P05DA-0061</t>
  </si>
  <si>
    <t>PB5DA-058</t>
  </si>
  <si>
    <t>P0A-70</t>
  </si>
  <si>
    <t>5120100007-104</t>
  </si>
  <si>
    <t>82DH0531010065000580349</t>
  </si>
  <si>
    <t>0063</t>
  </si>
  <si>
    <t>SILLA DE TELA CAFE</t>
  </si>
  <si>
    <t>P05DA-0062</t>
  </si>
  <si>
    <t>PB5DA-059</t>
  </si>
  <si>
    <t>P0A-37</t>
  </si>
  <si>
    <t>5110100011-88</t>
  </si>
  <si>
    <t>82DH0511010017000518534</t>
  </si>
  <si>
    <t>BODEGA BAJO ESCALERA</t>
  </si>
  <si>
    <t>0064</t>
  </si>
  <si>
    <t>MESA DE MADERA CHICA 60X50</t>
  </si>
  <si>
    <t>P05DA-0063</t>
  </si>
  <si>
    <t>PB5DA-060</t>
  </si>
  <si>
    <t>P0A-61</t>
  </si>
  <si>
    <t>5120100007-130</t>
  </si>
  <si>
    <t>82DH0511010010000651071</t>
  </si>
  <si>
    <t>MAL ESTADO</t>
  </si>
  <si>
    <t>0065</t>
  </si>
  <si>
    <t>RECIBIDOR DE TRES PLAZAS COLOR AZUL</t>
  </si>
  <si>
    <t>P05DA-0064</t>
  </si>
  <si>
    <t>PB5DA-061</t>
  </si>
  <si>
    <t>P0A-66</t>
  </si>
  <si>
    <t>5120100005-5</t>
  </si>
  <si>
    <t>82DH0511010015000518532</t>
  </si>
  <si>
    <t>0066</t>
  </si>
  <si>
    <t>PIZARRON DE TELA</t>
  </si>
  <si>
    <t>P05DA-0065</t>
  </si>
  <si>
    <t>PB5DA-062</t>
  </si>
  <si>
    <t>P0A-78</t>
  </si>
  <si>
    <t>5290100025-7</t>
  </si>
  <si>
    <t>82DH0529030005000649521</t>
  </si>
  <si>
    <t>0067</t>
  </si>
  <si>
    <t>COMPLEMENTARIO DE EQUIPO DE COMEDOR Y COCINA</t>
  </si>
  <si>
    <t>TARJA</t>
  </si>
  <si>
    <t>P05DA-0066</t>
  </si>
  <si>
    <t>PB5DA-063</t>
  </si>
  <si>
    <t>P0A-69</t>
  </si>
  <si>
    <t>5120100001-6</t>
  </si>
  <si>
    <t>0068</t>
  </si>
  <si>
    <t>ANAQUEL GRIS DE 2 PUERTAS 180X84X50</t>
  </si>
  <si>
    <t>P05RM-0067</t>
  </si>
  <si>
    <t>PB5RM-001</t>
  </si>
  <si>
    <t>POAR-34</t>
  </si>
  <si>
    <t>5290300001-22</t>
  </si>
  <si>
    <t>82DK0511010009000584144</t>
  </si>
  <si>
    <t>0069</t>
  </si>
  <si>
    <t>ANAQUEL GRIS DE 2 PUERTAS 160X88X40</t>
  </si>
  <si>
    <t>P05RM-0068</t>
  </si>
  <si>
    <t>PB5RM-002</t>
  </si>
  <si>
    <t>POAR-33</t>
  </si>
  <si>
    <t>5290300001-23</t>
  </si>
  <si>
    <t>82DK0511010001000649470</t>
  </si>
  <si>
    <t>ARCHIVERO DE MADERA DE 3 CAJONES 92X49X60</t>
  </si>
  <si>
    <t>P05RM-0069</t>
  </si>
  <si>
    <t>PB5RM-003</t>
  </si>
  <si>
    <t>POAR-32</t>
  </si>
  <si>
    <t>5130100013-37</t>
  </si>
  <si>
    <t>82DK0511010001000581678</t>
  </si>
  <si>
    <t>0071</t>
  </si>
  <si>
    <t>MESA DE MADERA COLOR CAOBA CHICA 75X60</t>
  </si>
  <si>
    <t>P05RM-0070</t>
  </si>
  <si>
    <t>PB5RM-004</t>
  </si>
  <si>
    <t>POAR-35</t>
  </si>
  <si>
    <t>5120100007-115</t>
  </si>
  <si>
    <t>82DK0511010010000649464</t>
  </si>
  <si>
    <t>0072</t>
  </si>
  <si>
    <t>ESCRITORIO DE MADERA DE 2 PIEZAS TIPO "L"</t>
  </si>
  <si>
    <t>P05RM-0071</t>
  </si>
  <si>
    <t>PB5RM-005</t>
  </si>
  <si>
    <t>POAR-27</t>
  </si>
  <si>
    <t>5110100015-67</t>
  </si>
  <si>
    <t>82DK0511010006000649463</t>
  </si>
  <si>
    <t>0073</t>
  </si>
  <si>
    <t>SILLA NEGRA DE TELA</t>
  </si>
  <si>
    <t>P05RM-0072</t>
  </si>
  <si>
    <t>PB5RM-006</t>
  </si>
  <si>
    <t>POAR-38</t>
  </si>
  <si>
    <t>5110100011-105</t>
  </si>
  <si>
    <t>82DK0511010017000516337</t>
  </si>
  <si>
    <t>0074</t>
  </si>
  <si>
    <t>P05RM-0073</t>
  </si>
  <si>
    <t>PB5RM-007</t>
  </si>
  <si>
    <t>POAR-39</t>
  </si>
  <si>
    <t>5110100011-106</t>
  </si>
  <si>
    <t>82DK0511010017000649473</t>
  </si>
  <si>
    <t>0075</t>
  </si>
  <si>
    <t>P05RM-0074</t>
  </si>
  <si>
    <t>PB5RM-008</t>
  </si>
  <si>
    <t>POAR-30</t>
  </si>
  <si>
    <t>82DK0515010013000650654</t>
  </si>
  <si>
    <t>0076</t>
  </si>
  <si>
    <t>P05RM-0075</t>
  </si>
  <si>
    <t>PB5RM-009</t>
  </si>
  <si>
    <t>POAR-28</t>
  </si>
  <si>
    <t>5150100005-66</t>
  </si>
  <si>
    <t>337841</t>
  </si>
  <si>
    <t>82DK0515010001000650658</t>
  </si>
  <si>
    <t>0077</t>
  </si>
  <si>
    <t>P05RM-0076</t>
  </si>
  <si>
    <t>PB5RM-010</t>
  </si>
  <si>
    <t>POAR-29</t>
  </si>
  <si>
    <t>5210100012-49</t>
  </si>
  <si>
    <t>CMG201718013680011</t>
  </si>
  <si>
    <t>82DK0515010013000650648</t>
  </si>
  <si>
    <t>0078</t>
  </si>
  <si>
    <t>REGULADOR</t>
  </si>
  <si>
    <t>P05RM-0077</t>
  </si>
  <si>
    <t>PB5RM-011</t>
  </si>
  <si>
    <t>POAR-37</t>
  </si>
  <si>
    <t>5660100057-20</t>
  </si>
  <si>
    <t>16-10-39223</t>
  </si>
  <si>
    <t>82DK0515010020000650894</t>
  </si>
  <si>
    <t>0079</t>
  </si>
  <si>
    <t>MESA DE MADERA CHICA 66X40</t>
  </si>
  <si>
    <t>P05RM-0078</t>
  </si>
  <si>
    <t>PB5RM-012</t>
  </si>
  <si>
    <t>POAR-36</t>
  </si>
  <si>
    <t>5120100007-39</t>
  </si>
  <si>
    <t>82DH0511010010000649757</t>
  </si>
  <si>
    <t>0080</t>
  </si>
  <si>
    <t>SILLON NEGRO  CON RUEDAS</t>
  </si>
  <si>
    <t>P05RM-0079</t>
  </si>
  <si>
    <t>PB5RM-013</t>
  </si>
  <si>
    <t>POAR-41</t>
  </si>
  <si>
    <t>5120100009-59</t>
  </si>
  <si>
    <t>82DK0511010016000649465</t>
  </si>
  <si>
    <t>0081</t>
  </si>
  <si>
    <t>P05RM-0080</t>
  </si>
  <si>
    <t>PB5RM-014</t>
  </si>
  <si>
    <t>POAR-51</t>
  </si>
  <si>
    <t>CISCO</t>
  </si>
  <si>
    <t>SPA504G</t>
  </si>
  <si>
    <t>CCQ17280CNA</t>
  </si>
  <si>
    <t>0082</t>
  </si>
  <si>
    <t>VENTILADOR BEIGE DE PEDESTAL</t>
  </si>
  <si>
    <t>P05RM-0081</t>
  </si>
  <si>
    <t>PB5RM-015</t>
  </si>
  <si>
    <t>POAR-31</t>
  </si>
  <si>
    <t>5190200002-45</t>
  </si>
  <si>
    <t>BLACK &amp; DECKER</t>
  </si>
  <si>
    <t>LP4016</t>
  </si>
  <si>
    <t>BDV16PM</t>
  </si>
  <si>
    <t>82DK0531010094000581182</t>
  </si>
  <si>
    <t>0083</t>
  </si>
  <si>
    <t>COMPUTADORA TODO EN UNO BLANCO</t>
  </si>
  <si>
    <t>P05RM-0082</t>
  </si>
  <si>
    <t>PB5RM-016</t>
  </si>
  <si>
    <t>P1P-32 A</t>
  </si>
  <si>
    <t>5150100005-46</t>
  </si>
  <si>
    <t>LENOVO</t>
  </si>
  <si>
    <t>C240</t>
  </si>
  <si>
    <t>CS01273371</t>
  </si>
  <si>
    <t>82DI0515010003000649493</t>
  </si>
  <si>
    <t>ESIQUIO NAVA ORTEGA</t>
  </si>
  <si>
    <t>SANDRA GUADALUPE LARA VELAZQUEZ</t>
  </si>
  <si>
    <t>0084</t>
  </si>
  <si>
    <t>MULTIFUNCIONAL NEGRO</t>
  </si>
  <si>
    <t>P05RM-0083</t>
  </si>
  <si>
    <t>PB5RM-017</t>
  </si>
  <si>
    <t>P0A-96</t>
  </si>
  <si>
    <t>5190100027-5</t>
  </si>
  <si>
    <t>OFFICEJET 8710</t>
  </si>
  <si>
    <t>CN634BM0F0</t>
  </si>
  <si>
    <t>82DH0515010014000649522</t>
  </si>
  <si>
    <t>0085</t>
  </si>
  <si>
    <t>MONITOR 15.6"</t>
  </si>
  <si>
    <t>P05RM-0084</t>
  </si>
  <si>
    <t>PB5RM-018</t>
  </si>
  <si>
    <t>POAR-47</t>
  </si>
  <si>
    <t>5210100012-19</t>
  </si>
  <si>
    <t>SAMSUNG</t>
  </si>
  <si>
    <t>632NW</t>
  </si>
  <si>
    <t>PE16H9NQ212081E</t>
  </si>
  <si>
    <t>0086</t>
  </si>
  <si>
    <t>P05RM-0085</t>
  </si>
  <si>
    <t>PB5RM-019</t>
  </si>
  <si>
    <t>POAR-48</t>
  </si>
  <si>
    <t>5210100012-61</t>
  </si>
  <si>
    <t>PE16H9NQ210115T</t>
  </si>
  <si>
    <t>82DK0515010013000651086</t>
  </si>
  <si>
    <t>0087</t>
  </si>
  <si>
    <t>MONITOR 19"</t>
  </si>
  <si>
    <t>P05RM-0086</t>
  </si>
  <si>
    <t>PB5RM-020</t>
  </si>
  <si>
    <t>P1SI-21</t>
  </si>
  <si>
    <t>5210100012-55</t>
  </si>
  <si>
    <t>HP COMPAQ</t>
  </si>
  <si>
    <t>WF1907</t>
  </si>
  <si>
    <t>CNC816Y3C5</t>
  </si>
  <si>
    <t>82DH0565010041000530469</t>
  </si>
  <si>
    <t>RECURSOS HUMANOS Y FINANCIEROS</t>
  </si>
  <si>
    <t>TANIA XIOMARA PEÑA ESTRADA</t>
  </si>
  <si>
    <t>0088</t>
  </si>
  <si>
    <t>ESTANTE DE METAL CON 4 CHAROLAS 221X92</t>
  </si>
  <si>
    <t>P05RM-0087</t>
  </si>
  <si>
    <t>PB5RM-021</t>
  </si>
  <si>
    <t>POAR-14</t>
  </si>
  <si>
    <t>5120100001-22</t>
  </si>
  <si>
    <t>82DK0511010028000584045</t>
  </si>
  <si>
    <t>0089</t>
  </si>
  <si>
    <t>DISCO DURO EXTERNO 2TB COLOR AZUL</t>
  </si>
  <si>
    <t>P05RM-0088</t>
  </si>
  <si>
    <t>PB5RM-022</t>
  </si>
  <si>
    <t>5150100006-17</t>
  </si>
  <si>
    <t>HV300</t>
  </si>
  <si>
    <t>0090</t>
  </si>
  <si>
    <t>PIZARRON CHICO 90X60</t>
  </si>
  <si>
    <t>P05RM-0089</t>
  </si>
  <si>
    <t>PB5RM-023</t>
  </si>
  <si>
    <t>0091</t>
  </si>
  <si>
    <t>MESA DE COPIADORA CON BASE DE METAL 120X60</t>
  </si>
  <si>
    <t>P05RM-0090</t>
  </si>
  <si>
    <t>PB5RM-024</t>
  </si>
  <si>
    <t>P0A-82</t>
  </si>
  <si>
    <t>5120100007-61</t>
  </si>
  <si>
    <t>82DK0531010065000564801</t>
  </si>
  <si>
    <t>EN ALMACEN</t>
  </si>
  <si>
    <t>0092</t>
  </si>
  <si>
    <t>MESA DE MADERA CON BASE DE METAL CHICA 120X60</t>
  </si>
  <si>
    <t>P05RM-0091</t>
  </si>
  <si>
    <t>PB5RM-025</t>
  </si>
  <si>
    <t>P0A-32</t>
  </si>
  <si>
    <t>5120100007-119</t>
  </si>
  <si>
    <t>82DH0511010010000649532</t>
  </si>
  <si>
    <t>0093</t>
  </si>
  <si>
    <t>MESA DE MADERA CON BASE DE METAL CAOBA 120X60</t>
  </si>
  <si>
    <t>P05RM-0092</t>
  </si>
  <si>
    <t>PB5RM-026</t>
  </si>
  <si>
    <t>POAR-15</t>
  </si>
  <si>
    <t>5120100007-74</t>
  </si>
  <si>
    <t>82DK0511010010000651098</t>
  </si>
  <si>
    <t>0094</t>
  </si>
  <si>
    <t>MESA DE MADERA CON BASE DE METAL CHICA 80X60</t>
  </si>
  <si>
    <t>P05RM-0093</t>
  </si>
  <si>
    <t>PB5RM-027</t>
  </si>
  <si>
    <t>P0A-115</t>
  </si>
  <si>
    <t>5120100007-166</t>
  </si>
  <si>
    <t>82DK0531010065000564855</t>
  </si>
  <si>
    <t>0095</t>
  </si>
  <si>
    <t>MESA/TABLON DE PLASTICO BLANCO 243X76</t>
  </si>
  <si>
    <t>P05RM-0094</t>
  </si>
  <si>
    <t>PB5RM-028</t>
  </si>
  <si>
    <t>P0A-41</t>
  </si>
  <si>
    <t>5120100007-160</t>
  </si>
  <si>
    <t>82DH0531010065000564880</t>
  </si>
  <si>
    <t>0096</t>
  </si>
  <si>
    <t>MESA/TABLON DE PLASTICO BLANCO CHICA 120X60</t>
  </si>
  <si>
    <t>P05RM-0095</t>
  </si>
  <si>
    <t>PB5RM-029</t>
  </si>
  <si>
    <t>0097</t>
  </si>
  <si>
    <t>ANAQUEL CREMA DE 2 PUERTAS 160X60X40</t>
  </si>
  <si>
    <t>P05RM-0096</t>
  </si>
  <si>
    <t>PB5RM-030</t>
  </si>
  <si>
    <t>P0A-68</t>
  </si>
  <si>
    <t>5290300001-17</t>
  </si>
  <si>
    <t>82DH0511010009000584143</t>
  </si>
  <si>
    <t>0098</t>
  </si>
  <si>
    <t>P05RM-0097</t>
  </si>
  <si>
    <t>PB5RM-031</t>
  </si>
  <si>
    <t>P0A-5</t>
  </si>
  <si>
    <t>5150100005-48</t>
  </si>
  <si>
    <t>DC7800</t>
  </si>
  <si>
    <t>MXJ819034C</t>
  </si>
  <si>
    <t>82DH0515010001000535436</t>
  </si>
  <si>
    <t>0099</t>
  </si>
  <si>
    <t>COMPUTADORA TODO EN UNO BLANCA</t>
  </si>
  <si>
    <t>P05RM-0098</t>
  </si>
  <si>
    <t>PB5RM-032</t>
  </si>
  <si>
    <t>P2N-2</t>
  </si>
  <si>
    <t>20-E002LA RTL8188EENF</t>
  </si>
  <si>
    <t>8CC5390N8C</t>
  </si>
  <si>
    <t>82DH0515010003000649764</t>
  </si>
  <si>
    <t>0100</t>
  </si>
  <si>
    <t>P05RM-0099</t>
  </si>
  <si>
    <t>PB5RM-033</t>
  </si>
  <si>
    <t>P1SI-95</t>
  </si>
  <si>
    <t>MXJ84200G1</t>
  </si>
  <si>
    <t>82DI0515010001000539017</t>
  </si>
  <si>
    <t>0101</t>
  </si>
  <si>
    <t>P05RM-0100</t>
  </si>
  <si>
    <t>PB5RM-034</t>
  </si>
  <si>
    <t>5150100005-37</t>
  </si>
  <si>
    <t>MXJ8190365</t>
  </si>
  <si>
    <t>82DH0515010001000535454</t>
  </si>
  <si>
    <t>ESTADO MALO</t>
  </si>
  <si>
    <t>0102</t>
  </si>
  <si>
    <t>P05RM-0101</t>
  </si>
  <si>
    <t>PB5RM-035</t>
  </si>
  <si>
    <t>P2A-36</t>
  </si>
  <si>
    <t>MXJ8190350</t>
  </si>
  <si>
    <t>82DH0515010001000539039</t>
  </si>
  <si>
    <t>0103</t>
  </si>
  <si>
    <t>P05RM-0102</t>
  </si>
  <si>
    <t>PB5RM-036</t>
  </si>
  <si>
    <t>APC</t>
  </si>
  <si>
    <t>BE350G-LM</t>
  </si>
  <si>
    <t>4B1439P1139</t>
  </si>
  <si>
    <t>0104</t>
  </si>
  <si>
    <t>SILLA DE MADERA PEQUEÑA</t>
  </si>
  <si>
    <t>P05RM-0103</t>
  </si>
  <si>
    <t>PB5RM-037</t>
  </si>
  <si>
    <t>0105</t>
  </si>
  <si>
    <t>ESCALERA</t>
  </si>
  <si>
    <t>ESCALERA DE DOS ESCALONES</t>
  </si>
  <si>
    <t>P05RM-0104</t>
  </si>
  <si>
    <t>PB5RM-038</t>
  </si>
  <si>
    <t>POAR-46</t>
  </si>
  <si>
    <t>CUPRUM</t>
  </si>
  <si>
    <t>82DK0567010020000566042</t>
  </si>
  <si>
    <t>0106</t>
  </si>
  <si>
    <t>GUILLOTINA</t>
  </si>
  <si>
    <t>P05RM-0105</t>
  </si>
  <si>
    <t>PB5RM-039</t>
  </si>
  <si>
    <t>DA-01</t>
  </si>
  <si>
    <t>82DH0519010025000566156</t>
  </si>
  <si>
    <t>HUMBERTO HERNANDEZ OLIVO</t>
  </si>
  <si>
    <t>0107</t>
  </si>
  <si>
    <t>ENGARGOLADORA</t>
  </si>
  <si>
    <t>ENGARGOLADORA METAL GRIS</t>
  </si>
  <si>
    <t>P05RM-0106</t>
  </si>
  <si>
    <t>PB5RM-040</t>
  </si>
  <si>
    <t>P0A-112</t>
  </si>
  <si>
    <t>5290300001-28</t>
  </si>
  <si>
    <t>GBC</t>
  </si>
  <si>
    <t>KOMBO</t>
  </si>
  <si>
    <t>QDP0234</t>
  </si>
  <si>
    <t>82DH0519010017000565655</t>
  </si>
  <si>
    <t>0108</t>
  </si>
  <si>
    <t>MESA/TABLON PEGABLE CHICA 120X60</t>
  </si>
  <si>
    <t>P05RM-0107</t>
  </si>
  <si>
    <t>PB5RM-041</t>
  </si>
  <si>
    <t>POAR-17</t>
  </si>
  <si>
    <t>5120100007-153</t>
  </si>
  <si>
    <t>82DK0531010065000564787</t>
  </si>
  <si>
    <t>0109</t>
  </si>
  <si>
    <t>SUBDIRECCIÓN OPERATIVA</t>
  </si>
  <si>
    <t>MESA DE MADERA CON BASE DE METAL 120X60</t>
  </si>
  <si>
    <t>P05RM-0108</t>
  </si>
  <si>
    <t>PB5RM-042</t>
  </si>
  <si>
    <t>P0A-113</t>
  </si>
  <si>
    <t>5110100015-68</t>
  </si>
  <si>
    <t>82DH0531010065000564848</t>
  </si>
  <si>
    <t>CONTROL VEHICULAR</t>
  </si>
  <si>
    <t>VICTOR HUGO HERNANDEZ PALACIOS</t>
  </si>
  <si>
    <t>0110</t>
  </si>
  <si>
    <t>SILLA DE TELA NEGRA FIJA</t>
  </si>
  <si>
    <t>P05RM-0109</t>
  </si>
  <si>
    <t>PB5RM-043</t>
  </si>
  <si>
    <t>P0CV-17</t>
  </si>
  <si>
    <t>5110100011-73</t>
  </si>
  <si>
    <t>82DK0511010017000522806</t>
  </si>
  <si>
    <t>0111</t>
  </si>
  <si>
    <t>VENTILADOR GRIS DE TORRE</t>
  </si>
  <si>
    <t>P05RM-0110</t>
  </si>
  <si>
    <t>PB5RM-044</t>
  </si>
  <si>
    <t>P0AR-19</t>
  </si>
  <si>
    <t>5190200002-42</t>
  </si>
  <si>
    <t>SERVILLE</t>
  </si>
  <si>
    <t>82DK0531010094000564892</t>
  </si>
  <si>
    <t>0112</t>
  </si>
  <si>
    <t>VENTILADOR DE PEDESTAL CON ASPAS DE METAL</t>
  </si>
  <si>
    <t>P05RM-0111</t>
  </si>
  <si>
    <t>PB5RM-045</t>
  </si>
  <si>
    <t>P0AR-1</t>
  </si>
  <si>
    <t>5190200002-46</t>
  </si>
  <si>
    <t>ATVIO</t>
  </si>
  <si>
    <t>FD-40MGUN</t>
  </si>
  <si>
    <t>0113</t>
  </si>
  <si>
    <t>PIZARRON BLANCO 90X90</t>
  </si>
  <si>
    <t>P05RM-0112</t>
  </si>
  <si>
    <t>PB5RM-046</t>
  </si>
  <si>
    <t>0114</t>
  </si>
  <si>
    <t>P05RM-0113</t>
  </si>
  <si>
    <t>PB5RM-047</t>
  </si>
  <si>
    <t>POAR-4</t>
  </si>
  <si>
    <t>5210100012-43</t>
  </si>
  <si>
    <t>CMG2017180136800446</t>
  </si>
  <si>
    <t>82DK0515010013000650651</t>
  </si>
  <si>
    <t>0115</t>
  </si>
  <si>
    <t>P05RM-0114</t>
  </si>
  <si>
    <t>PB5RM-048</t>
  </si>
  <si>
    <t>POAR-6</t>
  </si>
  <si>
    <t>5210100012-59</t>
  </si>
  <si>
    <t>W1907</t>
  </si>
  <si>
    <t>SNN71304NS</t>
  </si>
  <si>
    <t>82DK0515010013000649466</t>
  </si>
  <si>
    <t>0116</t>
  </si>
  <si>
    <t>ESCRITORIO DE MADERA CON 2 CAJONES 120X60</t>
  </si>
  <si>
    <t>P05RM-0115</t>
  </si>
  <si>
    <t>PB5RM-049</t>
  </si>
  <si>
    <t>P0AR-2</t>
  </si>
  <si>
    <t>5110100015-62</t>
  </si>
  <si>
    <t>82DK0511010006000518510</t>
  </si>
  <si>
    <t>0117</t>
  </si>
  <si>
    <t>SILLÓN NEGRO CON RUEDAS</t>
  </si>
  <si>
    <t>P05RM-0116</t>
  </si>
  <si>
    <t>PB5RM-050</t>
  </si>
  <si>
    <t>P0AR-3</t>
  </si>
  <si>
    <t>5120100009-53</t>
  </si>
  <si>
    <t>82DK0511010016000649469</t>
  </si>
  <si>
    <t>0118</t>
  </si>
  <si>
    <t>P05RM-0117</t>
  </si>
  <si>
    <t>PB5RM-051</t>
  </si>
  <si>
    <t>POAR-18</t>
  </si>
  <si>
    <t>5660100057-18</t>
  </si>
  <si>
    <t>RS1400I</t>
  </si>
  <si>
    <t>161039228</t>
  </si>
  <si>
    <t>82DK0515010020000650898</t>
  </si>
  <si>
    <t>0119</t>
  </si>
  <si>
    <t>P05RM-0118</t>
  </si>
  <si>
    <t>PB5RM-052</t>
  </si>
  <si>
    <t>POAR-5</t>
  </si>
  <si>
    <t>5150100005-59</t>
  </si>
  <si>
    <t>337734</t>
  </si>
  <si>
    <t>82DK0515010001000650661</t>
  </si>
  <si>
    <t>0120</t>
  </si>
  <si>
    <t>DISCO DURO EXTERNO 2TB COLOR NEGRO</t>
  </si>
  <si>
    <t>P05RM-0119</t>
  </si>
  <si>
    <t>PB5RM-053</t>
  </si>
  <si>
    <t>POAR-16</t>
  </si>
  <si>
    <t>5150100006-18</t>
  </si>
  <si>
    <t>1K4120170690</t>
  </si>
  <si>
    <t>0121</t>
  </si>
  <si>
    <t>SILLA GRIS PLEGABLE</t>
  </si>
  <si>
    <t>P05RM-0120</t>
  </si>
  <si>
    <t>PB5RM-054</t>
  </si>
  <si>
    <t>POAR-7</t>
  </si>
  <si>
    <t>5110100011-137</t>
  </si>
  <si>
    <t>82DK0511010017000651090</t>
  </si>
  <si>
    <t>0122</t>
  </si>
  <si>
    <t>MONITOR 18.5"</t>
  </si>
  <si>
    <t>P05RM-0121</t>
  </si>
  <si>
    <t>PB5RM-055</t>
  </si>
  <si>
    <t>POAR-23</t>
  </si>
  <si>
    <t>5210100012-46</t>
  </si>
  <si>
    <t>S19B150N</t>
  </si>
  <si>
    <t>ZUMLHTHC806810V</t>
  </si>
  <si>
    <t>82DK0515010013000649467</t>
  </si>
  <si>
    <t>ALMACEN</t>
  </si>
  <si>
    <t>0123</t>
  </si>
  <si>
    <t>NO BREAK  NEGRO</t>
  </si>
  <si>
    <t>P05RM-0122</t>
  </si>
  <si>
    <t>PB5RM-056</t>
  </si>
  <si>
    <t>POAR-25</t>
  </si>
  <si>
    <t>5150100008-38</t>
  </si>
  <si>
    <t>FORZA</t>
  </si>
  <si>
    <t>NT751</t>
  </si>
  <si>
    <t>190522502261</t>
  </si>
  <si>
    <t>82DK0515010016000649426</t>
  </si>
  <si>
    <t>0124</t>
  </si>
  <si>
    <t>P05RM-0123</t>
  </si>
  <si>
    <t>PB5RM-057</t>
  </si>
  <si>
    <t>POAR-21</t>
  </si>
  <si>
    <t>5120100007-110</t>
  </si>
  <si>
    <t>82DK0531010065000564826</t>
  </si>
  <si>
    <t>0125</t>
  </si>
  <si>
    <t>P05RM-0124</t>
  </si>
  <si>
    <t>PB5RM-058</t>
  </si>
  <si>
    <t>POAR-22</t>
  </si>
  <si>
    <t>5150100005-63</t>
  </si>
  <si>
    <t>DX2300</t>
  </si>
  <si>
    <t>MXL81103W6</t>
  </si>
  <si>
    <t>82DK0515010001000539080</t>
  </si>
  <si>
    <t>0126</t>
  </si>
  <si>
    <t>P05RM-0125</t>
  </si>
  <si>
    <t>PB5RM-059</t>
  </si>
  <si>
    <t>POAR-24</t>
  </si>
  <si>
    <t>5150100005-124</t>
  </si>
  <si>
    <t>P186HX</t>
  </si>
  <si>
    <t>20601267443</t>
  </si>
  <si>
    <t>82DK0565010041000539119</t>
  </si>
  <si>
    <t>MARIA AUXILIO VILLAFUERTE RODRIGUEZ</t>
  </si>
  <si>
    <t>0127</t>
  </si>
  <si>
    <t>SILLA  CON RUEDAS NEGRA</t>
  </si>
  <si>
    <t>P05RM-0126</t>
  </si>
  <si>
    <t>PB5RM-060</t>
  </si>
  <si>
    <t>POAR-20</t>
  </si>
  <si>
    <t>5110100011-103</t>
  </si>
  <si>
    <t>82DK0511010016000515615</t>
  </si>
  <si>
    <t>0128</t>
  </si>
  <si>
    <t>ESCRITORIO DE MADERA CON 2 CAJONES 120X75</t>
  </si>
  <si>
    <t>P05RM-0127</t>
  </si>
  <si>
    <t>PB5RM-061</t>
  </si>
  <si>
    <t>5110100015-63</t>
  </si>
  <si>
    <t>0129</t>
  </si>
  <si>
    <t>SILLON DE TELA NEGRO CON RUEDAS</t>
  </si>
  <si>
    <t>P05RM-0128</t>
  </si>
  <si>
    <t>PB5RM-062</t>
  </si>
  <si>
    <t>POAR-53</t>
  </si>
  <si>
    <t>5120100009-54</t>
  </si>
  <si>
    <t>82DL0511010016000649775</t>
  </si>
  <si>
    <t>0130</t>
  </si>
  <si>
    <t>P05RM-0129</t>
  </si>
  <si>
    <t>PB5RM-063</t>
  </si>
  <si>
    <t>POAR-52</t>
  </si>
  <si>
    <t>5150100005-60</t>
  </si>
  <si>
    <t>AX3390</t>
  </si>
  <si>
    <t>DTSLRAL00124302890300</t>
  </si>
  <si>
    <t>82DL0515010003000649774</t>
  </si>
  <si>
    <t>0131</t>
  </si>
  <si>
    <t>P05RM-0130</t>
  </si>
  <si>
    <t>PB5RM-064</t>
  </si>
  <si>
    <t>POAR-54</t>
  </si>
  <si>
    <t>5210100012-44</t>
  </si>
  <si>
    <t>G185HV</t>
  </si>
  <si>
    <t>MMLNTAN001243049184208</t>
  </si>
  <si>
    <t>82DL0515010013000649776</t>
  </si>
  <si>
    <t>0132</t>
  </si>
  <si>
    <t>P05RM-0131</t>
  </si>
  <si>
    <t>PB5RM-065</t>
  </si>
  <si>
    <t>POAR-43</t>
  </si>
  <si>
    <t>5660100057-21</t>
  </si>
  <si>
    <t>161139011</t>
  </si>
  <si>
    <t>82DH0515010020000649441</t>
  </si>
  <si>
    <t>0133</t>
  </si>
  <si>
    <t>ESTANTE DE METAL CON 5 CHAROLAS</t>
  </si>
  <si>
    <t>P05RM-0132</t>
  </si>
  <si>
    <t>PB5RM-066</t>
  </si>
  <si>
    <t>POAR-12</t>
  </si>
  <si>
    <t>2110200030-96</t>
  </si>
  <si>
    <t>82DK0511010020000651093</t>
  </si>
  <si>
    <t>0134</t>
  </si>
  <si>
    <t>P05RM-0133</t>
  </si>
  <si>
    <t>PB5RM-067</t>
  </si>
  <si>
    <t>POAR-10</t>
  </si>
  <si>
    <t>5290300001-37</t>
  </si>
  <si>
    <t>82DK0511010020000651095</t>
  </si>
  <si>
    <t>0135</t>
  </si>
  <si>
    <t>ESTANTE DE METAL  CON 7 CHAROLAS</t>
  </si>
  <si>
    <t>P05RM-0134</t>
  </si>
  <si>
    <t>PB5RM-068</t>
  </si>
  <si>
    <t>POAR-26</t>
  </si>
  <si>
    <t>82DK0511010020000048005</t>
  </si>
  <si>
    <t>0136</t>
  </si>
  <si>
    <t>P05RM-0135</t>
  </si>
  <si>
    <t>PB5RM-069</t>
  </si>
  <si>
    <t>POAR-8</t>
  </si>
  <si>
    <t>5290300001-29</t>
  </si>
  <si>
    <t>82DK0511010020000651097</t>
  </si>
  <si>
    <t>0137</t>
  </si>
  <si>
    <t>P05RM-0136</t>
  </si>
  <si>
    <t>PB5RM-070</t>
  </si>
  <si>
    <t>POAR-11</t>
  </si>
  <si>
    <t>5290300001-20</t>
  </si>
  <si>
    <t>82DK0511010020000651094</t>
  </si>
  <si>
    <t>0138</t>
  </si>
  <si>
    <t>P05RM-0137</t>
  </si>
  <si>
    <t>PB5RM-071</t>
  </si>
  <si>
    <t>POAR-13</t>
  </si>
  <si>
    <t>5290300001-19</t>
  </si>
  <si>
    <t>82DK0511010020000651092</t>
  </si>
  <si>
    <t>0139</t>
  </si>
  <si>
    <t>P05RM-0138</t>
  </si>
  <si>
    <t>PB5RM-072</t>
  </si>
  <si>
    <t>POAR-9</t>
  </si>
  <si>
    <t>5120100001-21</t>
  </si>
  <si>
    <t>82DK0511010020000651096</t>
  </si>
  <si>
    <t>0140</t>
  </si>
  <si>
    <t>ESTANTE DE METAL CON 7 CHAROLAS</t>
  </si>
  <si>
    <t>P05RM-0139</t>
  </si>
  <si>
    <t>PB5RM-073</t>
  </si>
  <si>
    <t>82DH0511010020000048004</t>
  </si>
  <si>
    <t>0141</t>
  </si>
  <si>
    <t>P05RM-0140</t>
  </si>
  <si>
    <t>PB5RM-074</t>
  </si>
  <si>
    <t>82DH0511010020000048003</t>
  </si>
  <si>
    <t>0142</t>
  </si>
  <si>
    <t>P05RM-0141</t>
  </si>
  <si>
    <t>PB5RM-075</t>
  </si>
  <si>
    <t>82DK0511010020000651091</t>
  </si>
  <si>
    <t>0143</t>
  </si>
  <si>
    <t>P05RM-0142</t>
  </si>
  <si>
    <t>PB5RM-076</t>
  </si>
  <si>
    <t>82DK0511010020000649468</t>
  </si>
  <si>
    <t>0144</t>
  </si>
  <si>
    <t>P05RM-0143</t>
  </si>
  <si>
    <t>PB5RM-077</t>
  </si>
  <si>
    <t>82DK0511010020000649471</t>
  </si>
  <si>
    <t>0145</t>
  </si>
  <si>
    <t>P05RM-0144</t>
  </si>
  <si>
    <t>PB5RM-078</t>
  </si>
  <si>
    <t>82DK0511010020000649472</t>
  </si>
  <si>
    <t>0146</t>
  </si>
  <si>
    <t>P05RM-0145</t>
  </si>
  <si>
    <t>PB5RM-079</t>
  </si>
  <si>
    <t>82DK0511010020000649478</t>
  </si>
  <si>
    <t>0147</t>
  </si>
  <si>
    <t>P05RM-0146</t>
  </si>
  <si>
    <t>PB5RM-080</t>
  </si>
  <si>
    <t>82DK0511010020000649462</t>
  </si>
  <si>
    <t>0148</t>
  </si>
  <si>
    <t>P05RM-0147</t>
  </si>
  <si>
    <t>PB5RM-081</t>
  </si>
  <si>
    <t>0149</t>
  </si>
  <si>
    <t>P05RM-0148</t>
  </si>
  <si>
    <t>PB5RM-082</t>
  </si>
  <si>
    <t>POAR-49</t>
  </si>
  <si>
    <t>5210100012-34</t>
  </si>
  <si>
    <t>P166HQL</t>
  </si>
  <si>
    <t>MMLTYAA00362205C284206</t>
  </si>
  <si>
    <t>82DK0515010013000651088</t>
  </si>
  <si>
    <t>0150</t>
  </si>
  <si>
    <t>P05RM-0149</t>
  </si>
  <si>
    <t>PB5RM-083</t>
  </si>
  <si>
    <t>POAR-50</t>
  </si>
  <si>
    <t>5210100012-35</t>
  </si>
  <si>
    <t>MMLTYAA00362205C094206</t>
  </si>
  <si>
    <t>82DK0515010013000651089</t>
  </si>
  <si>
    <t>0151</t>
  </si>
  <si>
    <t>ASPIRADORA</t>
  </si>
  <si>
    <t>ASPIRADAORA</t>
  </si>
  <si>
    <t>P05RM-0150</t>
  </si>
  <si>
    <t>PB5RM-084</t>
  </si>
  <si>
    <t>POAR-40</t>
  </si>
  <si>
    <t>5690100100-2</t>
  </si>
  <si>
    <t>WD/350K2M</t>
  </si>
  <si>
    <t>82DK0519010003000649403</t>
  </si>
  <si>
    <t>0152</t>
  </si>
  <si>
    <t>P05RM-0151</t>
  </si>
  <si>
    <t>P2SJ-21</t>
  </si>
  <si>
    <t>5210100012-4</t>
  </si>
  <si>
    <t>V193B</t>
  </si>
  <si>
    <t>3CQ542053B</t>
  </si>
  <si>
    <t>82DH0515010013000649765</t>
  </si>
  <si>
    <t>0153</t>
  </si>
  <si>
    <t>ARCHIVERO DE MADERA CON 4 CAJONES 124X50X60</t>
  </si>
  <si>
    <t>P05RH-0152</t>
  </si>
  <si>
    <t>PB5RH-001</t>
  </si>
  <si>
    <t>P0RH-26</t>
  </si>
  <si>
    <t>5130100013-24</t>
  </si>
  <si>
    <t>82DK0511010001000518525</t>
  </si>
  <si>
    <t>MARIA DEL CARMEN QUINTERO VALOIS</t>
  </si>
  <si>
    <t>0154</t>
  </si>
  <si>
    <t>CREDENZA DE MADERA</t>
  </si>
  <si>
    <t>P05RH-0153</t>
  </si>
  <si>
    <t>PB5RH-002</t>
  </si>
  <si>
    <t>P0RH-35</t>
  </si>
  <si>
    <t>5110100014-15</t>
  </si>
  <si>
    <t>82DK0511010005000649483</t>
  </si>
  <si>
    <t>0155</t>
  </si>
  <si>
    <t>MESA COMPLEMENTO</t>
  </si>
  <si>
    <t>P05RH-0154</t>
  </si>
  <si>
    <t>P0RH-29</t>
  </si>
  <si>
    <t>5120100007-98</t>
  </si>
  <si>
    <t>82DK0512010011000584051</t>
  </si>
  <si>
    <t>0156</t>
  </si>
  <si>
    <t>ESCRITORIO DE MADERA DE 3 PIEZAS TIPO ISLA</t>
  </si>
  <si>
    <t>P05RH-0155</t>
  </si>
  <si>
    <t>PB5RH-003</t>
  </si>
  <si>
    <t>P0RH-38</t>
  </si>
  <si>
    <t>5110100015-64</t>
  </si>
  <si>
    <t>82DK0511010006000649489</t>
  </si>
  <si>
    <t>AMERICA LISETH MARTINEZ CRUZ</t>
  </si>
  <si>
    <t>0157</t>
  </si>
  <si>
    <t>P05RH-0156</t>
  </si>
  <si>
    <t>PB5RH-004</t>
  </si>
  <si>
    <t>P0RH-28</t>
  </si>
  <si>
    <t>5110100011-77</t>
  </si>
  <si>
    <t>82DH0511010017000649528</t>
  </si>
  <si>
    <t>0158</t>
  </si>
  <si>
    <t>P05RH-0157</t>
  </si>
  <si>
    <t>PB5RH-005</t>
  </si>
  <si>
    <t>P0RH-27</t>
  </si>
  <si>
    <t>5110100011-78</t>
  </si>
  <si>
    <t>82DK0511010017000516288</t>
  </si>
  <si>
    <t>0159</t>
  </si>
  <si>
    <t>IMPRESORA</t>
  </si>
  <si>
    <t>IMPRESORA NEGRA</t>
  </si>
  <si>
    <t>P05RH-0158</t>
  </si>
  <si>
    <t>PB5RH-006</t>
  </si>
  <si>
    <t>P0RH-30</t>
  </si>
  <si>
    <t>5150100007-7</t>
  </si>
  <si>
    <t>DESKJET</t>
  </si>
  <si>
    <t>L1280-80021</t>
  </si>
  <si>
    <t>82DK0515010010000649480</t>
  </si>
  <si>
    <t>0160</t>
  </si>
  <si>
    <t>P05RH-0159</t>
  </si>
  <si>
    <t>PB5RH-007</t>
  </si>
  <si>
    <t>P0RH-31</t>
  </si>
  <si>
    <t>5650100010-24</t>
  </si>
  <si>
    <t>CCQ172806OH</t>
  </si>
  <si>
    <t>82DK0565010001000649481</t>
  </si>
  <si>
    <t>0161</t>
  </si>
  <si>
    <t>P05RH-0160</t>
  </si>
  <si>
    <t>PB5RH-008</t>
  </si>
  <si>
    <t>P1SI-14</t>
  </si>
  <si>
    <t>5210100012-41</t>
  </si>
  <si>
    <t>COMPAQ</t>
  </si>
  <si>
    <t>CNC812Y9H6</t>
  </si>
  <si>
    <t>82DH0565010041000539111</t>
  </si>
  <si>
    <t>0162</t>
  </si>
  <si>
    <t>P05RH-0161</t>
  </si>
  <si>
    <t>PB5RH-009</t>
  </si>
  <si>
    <t>5150100005-153</t>
  </si>
  <si>
    <t>MMLXLAA0250480B4A24273</t>
  </si>
  <si>
    <t>0163</t>
  </si>
  <si>
    <t>P05RH-0162</t>
  </si>
  <si>
    <t>PB5RH-010</t>
  </si>
  <si>
    <t>P0RH-23</t>
  </si>
  <si>
    <t>5150100008-35</t>
  </si>
  <si>
    <t>190522502263</t>
  </si>
  <si>
    <t>82DK0515010016000649425</t>
  </si>
  <si>
    <t>0164</t>
  </si>
  <si>
    <t>P05RH-0163</t>
  </si>
  <si>
    <t>PB5RH-011</t>
  </si>
  <si>
    <t>5150100005-152</t>
  </si>
  <si>
    <t>0165</t>
  </si>
  <si>
    <t>COMPLEMENTARIO DE EQUIPO DE COMPUTO</t>
  </si>
  <si>
    <t>P05RH-0164</t>
  </si>
  <si>
    <t>PB5RH-012</t>
  </si>
  <si>
    <t>P0RH-22</t>
  </si>
  <si>
    <t>5120100004-23</t>
  </si>
  <si>
    <t>82DH0515010033000564669</t>
  </si>
  <si>
    <t>0166</t>
  </si>
  <si>
    <t>P05RH-0165</t>
  </si>
  <si>
    <t>PB5RH-013</t>
  </si>
  <si>
    <t>P0RH-33</t>
  </si>
  <si>
    <t>5110100011-79</t>
  </si>
  <si>
    <t>82DK0511010017000649482</t>
  </si>
  <si>
    <t>0167</t>
  </si>
  <si>
    <t>ARCHIVERO DE METAL CON 3 CAJONES 105X47X72</t>
  </si>
  <si>
    <t>P05RH-0166</t>
  </si>
  <si>
    <t>PB5RH-014</t>
  </si>
  <si>
    <t>P0RH-18</t>
  </si>
  <si>
    <t>5290300001-14</t>
  </si>
  <si>
    <t>82DK0511010001000518519</t>
  </si>
  <si>
    <t>0168</t>
  </si>
  <si>
    <t>ARCHIVERO  DE MADERA  CON 2 CAJONES 66X50X61</t>
  </si>
  <si>
    <t>P05RH-0167</t>
  </si>
  <si>
    <t>PB5RH-015</t>
  </si>
  <si>
    <t>P0RH-25</t>
  </si>
  <si>
    <t>5130100013-23</t>
  </si>
  <si>
    <t>82DK0511010001000533168</t>
  </si>
  <si>
    <t>0169</t>
  </si>
  <si>
    <t>P05RH-0168</t>
  </si>
  <si>
    <t>PB5RH-016</t>
  </si>
  <si>
    <t>P0RH-24</t>
  </si>
  <si>
    <t>5190200002-35</t>
  </si>
  <si>
    <t>VTM-012</t>
  </si>
  <si>
    <t>T004112</t>
  </si>
  <si>
    <t>82DK0519010043000649479</t>
  </si>
  <si>
    <t>0170</t>
  </si>
  <si>
    <t>COMPUTADORA PORTATIL</t>
  </si>
  <si>
    <t>COMPUTADORA PORTATIL TOUCH</t>
  </si>
  <si>
    <t>P05RH-0169</t>
  </si>
  <si>
    <t>PB5RH-017</t>
  </si>
  <si>
    <t>P0RH-34</t>
  </si>
  <si>
    <t>5150100005-56</t>
  </si>
  <si>
    <t>YOGA 8057</t>
  </si>
  <si>
    <t>MP17FXMT</t>
  </si>
  <si>
    <t>82DK0515010002000649383</t>
  </si>
  <si>
    <t>0171</t>
  </si>
  <si>
    <t>MESA COMPLEMENTO 160X60</t>
  </si>
  <si>
    <t>P05RH-0170</t>
  </si>
  <si>
    <t>PB5RH-018</t>
  </si>
  <si>
    <t>P0RH-8</t>
  </si>
  <si>
    <t>5120100007-94</t>
  </si>
  <si>
    <t>82DK0531010065000580343</t>
  </si>
  <si>
    <t>0172</t>
  </si>
  <si>
    <t>SILLA CON RUEDAS NEGRA</t>
  </si>
  <si>
    <t>P05RH-0171</t>
  </si>
  <si>
    <t>PB5RH-019</t>
  </si>
  <si>
    <t>5110100011-30</t>
  </si>
  <si>
    <t>82DK0511010017000649486</t>
  </si>
  <si>
    <t>0175</t>
  </si>
  <si>
    <t>P05RH-0174</t>
  </si>
  <si>
    <t>PB5RH-022</t>
  </si>
  <si>
    <t>P0RH-4</t>
  </si>
  <si>
    <t>5210100012-36</t>
  </si>
  <si>
    <t>MG2016</t>
  </si>
  <si>
    <t>82DH0515010013000649651</t>
  </si>
  <si>
    <t>MALO PARA BAJA (ALMACEN)</t>
  </si>
  <si>
    <t>0173</t>
  </si>
  <si>
    <t>SILLA NEGRA DE TELA FIJA</t>
  </si>
  <si>
    <t>P05RH-0172</t>
  </si>
  <si>
    <t>PB5RH-020</t>
  </si>
  <si>
    <t>P0RH-16</t>
  </si>
  <si>
    <t>5110100011-76</t>
  </si>
  <si>
    <t>82DK0511010017000649485</t>
  </si>
  <si>
    <t>0174</t>
  </si>
  <si>
    <t>P05RH-0173</t>
  </si>
  <si>
    <t>PB5RH-021</t>
  </si>
  <si>
    <t>P0RH-1</t>
  </si>
  <si>
    <t>5110100015-52</t>
  </si>
  <si>
    <t>82DK0511010006000583483</t>
  </si>
  <si>
    <t>0176</t>
  </si>
  <si>
    <t>P05RH-0175</t>
  </si>
  <si>
    <t>PB5RH-023</t>
  </si>
  <si>
    <t>P0RH-5</t>
  </si>
  <si>
    <t>5150100005-50</t>
  </si>
  <si>
    <t>337738</t>
  </si>
  <si>
    <t>82DK0515010001000650663</t>
  </si>
  <si>
    <t>0177</t>
  </si>
  <si>
    <t>P05RH-0176</t>
  </si>
  <si>
    <t>PB5RH-024</t>
  </si>
  <si>
    <t>P0RH-7</t>
  </si>
  <si>
    <t>5150100007-6</t>
  </si>
  <si>
    <t>MP280</t>
  </si>
  <si>
    <t>LHWC02634</t>
  </si>
  <si>
    <t>82DK0515010014000539050</t>
  </si>
  <si>
    <t>0178</t>
  </si>
  <si>
    <t>P05RH-0177</t>
  </si>
  <si>
    <t>PB5RH-025</t>
  </si>
  <si>
    <t>P0RH-6</t>
  </si>
  <si>
    <t>5660100057-16</t>
  </si>
  <si>
    <t>16-10-39226</t>
  </si>
  <si>
    <t>82DK0515010020000650899</t>
  </si>
  <si>
    <t>0179</t>
  </si>
  <si>
    <t>P05RH-0178</t>
  </si>
  <si>
    <t>PB5RH-026</t>
  </si>
  <si>
    <t>P0RH-9</t>
  </si>
  <si>
    <t>5120100004-36</t>
  </si>
  <si>
    <t>82DH0515010033000566420</t>
  </si>
  <si>
    <t>0180</t>
  </si>
  <si>
    <t>ESCRITORIO 120X75</t>
  </si>
  <si>
    <t>P05RH-0179</t>
  </si>
  <si>
    <t>PB5RH-027</t>
  </si>
  <si>
    <t>ALMA ROSA MARTINEZ RUIZ</t>
  </si>
  <si>
    <t>0181</t>
  </si>
  <si>
    <t>P05RH-0180</t>
  </si>
  <si>
    <t>PB5RH-028</t>
  </si>
  <si>
    <t>5150100005-157</t>
  </si>
  <si>
    <t>MMTASAA007109006923P00</t>
  </si>
  <si>
    <t>0182</t>
  </si>
  <si>
    <t>P05RH-0181</t>
  </si>
  <si>
    <t>PB5RH-029</t>
  </si>
  <si>
    <t>5150100005-156</t>
  </si>
  <si>
    <t>0183</t>
  </si>
  <si>
    <t>P05RH-0182</t>
  </si>
  <si>
    <t>PB5RH-030</t>
  </si>
  <si>
    <t>P0RH-37</t>
  </si>
  <si>
    <t>5110100011-100</t>
  </si>
  <si>
    <t>82DK0511010017000522767</t>
  </si>
  <si>
    <t>0184</t>
  </si>
  <si>
    <t>P05RH-0183</t>
  </si>
  <si>
    <t>PB5RH-031</t>
  </si>
  <si>
    <t>5150100008-46</t>
  </si>
  <si>
    <t>TRIPPLITE</t>
  </si>
  <si>
    <t>9730CY0BC575600755</t>
  </si>
  <si>
    <t>82DJ0515010016000539062</t>
  </si>
  <si>
    <t>0185</t>
  </si>
  <si>
    <t>P05RH-0184</t>
  </si>
  <si>
    <t>PB5RH-032</t>
  </si>
  <si>
    <t>P0RH-17</t>
  </si>
  <si>
    <t>5120100004-22</t>
  </si>
  <si>
    <t>82DK0515010033000564663</t>
  </si>
  <si>
    <t>0186</t>
  </si>
  <si>
    <t>MESA DE MADERA COMPLEMENTO 160X60</t>
  </si>
  <si>
    <t>P05RH-0185</t>
  </si>
  <si>
    <t>PB5RH-033</t>
  </si>
  <si>
    <t>P0RH-14</t>
  </si>
  <si>
    <t>5110100015-57</t>
  </si>
  <si>
    <t>82DK0531010065000564833</t>
  </si>
  <si>
    <t>JULIO CESAR AVALOS BECERRA</t>
  </si>
  <si>
    <t>0187</t>
  </si>
  <si>
    <t>P05RH-0186</t>
  </si>
  <si>
    <t>PB5RH-034</t>
  </si>
  <si>
    <t>P0RH-11</t>
  </si>
  <si>
    <t>5110100015-56</t>
  </si>
  <si>
    <t>82DK0511010006000518527</t>
  </si>
  <si>
    <t>0188</t>
  </si>
  <si>
    <t>COMPUTADORA NEGRO</t>
  </si>
  <si>
    <t>P05RH-0187</t>
  </si>
  <si>
    <t>PB5RH-035</t>
  </si>
  <si>
    <t>P0RH-12</t>
  </si>
  <si>
    <t>5150100005-53</t>
  </si>
  <si>
    <t>ASPIRE X3990</t>
  </si>
  <si>
    <t>DTSGKAL003207089629200</t>
  </si>
  <si>
    <t>82DK0515010001000535501</t>
  </si>
  <si>
    <t>0189</t>
  </si>
  <si>
    <t>P05RH-0188</t>
  </si>
  <si>
    <t>PB5RH-036</t>
  </si>
  <si>
    <t>P0RH-13</t>
  </si>
  <si>
    <t>5210100012-40</t>
  </si>
  <si>
    <t>P186HV</t>
  </si>
  <si>
    <t>20200725443</t>
  </si>
  <si>
    <t>82DK0565010041000539116</t>
  </si>
  <si>
    <t>0190</t>
  </si>
  <si>
    <t>P05RH-0189</t>
  </si>
  <si>
    <t>PB5RH-037</t>
  </si>
  <si>
    <t>5660100057-5</t>
  </si>
  <si>
    <t>BP-1350-I</t>
  </si>
  <si>
    <t>82DH0515010020000649442</t>
  </si>
  <si>
    <t>0191</t>
  </si>
  <si>
    <t>P05RH-0190</t>
  </si>
  <si>
    <t>PB5RH-038</t>
  </si>
  <si>
    <t>P0RH-10</t>
  </si>
  <si>
    <t>5110100011-75</t>
  </si>
  <si>
    <t>82DK0511010017000516302</t>
  </si>
  <si>
    <t>0192</t>
  </si>
  <si>
    <t>P05RH-0191</t>
  </si>
  <si>
    <t>PB5RH-039</t>
  </si>
  <si>
    <t>P0A-114</t>
  </si>
  <si>
    <t>82DH0511010006000651085</t>
  </si>
  <si>
    <t>ALBERTO MANZO SILVA</t>
  </si>
  <si>
    <t>0193</t>
  </si>
  <si>
    <t>P05RH-0192</t>
  </si>
  <si>
    <t>PB5RH-040</t>
  </si>
  <si>
    <t>P1CSA-27</t>
  </si>
  <si>
    <t>CS0503210F 310-20IAP</t>
  </si>
  <si>
    <t>CS02527760</t>
  </si>
  <si>
    <t>82DK0515010003000649539</t>
  </si>
  <si>
    <t>0194</t>
  </si>
  <si>
    <t>P05RH-0193</t>
  </si>
  <si>
    <t>PB5RH-041</t>
  </si>
  <si>
    <t>P0RH-39</t>
  </si>
  <si>
    <t>5150100008-37</t>
  </si>
  <si>
    <t>9730CY0BC575600710</t>
  </si>
  <si>
    <t>82DK0515010016000649490</t>
  </si>
  <si>
    <t>0195</t>
  </si>
  <si>
    <t>ESCRITORIO DE MADERA DE 2 PIEZAS</t>
  </si>
  <si>
    <t>P05RH-0194</t>
  </si>
  <si>
    <t>PB5RH-042</t>
  </si>
  <si>
    <t>P0RH-19</t>
  </si>
  <si>
    <t>5110100015-58</t>
  </si>
  <si>
    <t>82DK0511010006000534680</t>
  </si>
  <si>
    <t>0196</t>
  </si>
  <si>
    <t>SILLA NEGRA DE TELA CON RUEDAS</t>
  </si>
  <si>
    <t>P05RH-0195</t>
  </si>
  <si>
    <t>PB5RH-043</t>
  </si>
  <si>
    <t>P1P-53</t>
  </si>
  <si>
    <t>5110100011-58</t>
  </si>
  <si>
    <t>82DJ0511010017000516341</t>
  </si>
  <si>
    <t>0197</t>
  </si>
  <si>
    <t>P05RH-0196</t>
  </si>
  <si>
    <t>PB5RH-044</t>
  </si>
  <si>
    <t>P0RH-3</t>
  </si>
  <si>
    <t>5110100011-43</t>
  </si>
  <si>
    <t>82DK0511010017000522771</t>
  </si>
  <si>
    <t>MARIA DEL CARMEN QUINTERO VALOIS (SECRETARIA)</t>
  </si>
  <si>
    <t>0198</t>
  </si>
  <si>
    <t>SILLA DE TELA NEGRA SEMIEJECUTIVA</t>
  </si>
  <si>
    <t>P05RH-0197</t>
  </si>
  <si>
    <t>PB5RH-045</t>
  </si>
  <si>
    <t>82DH0511010017000649527</t>
  </si>
  <si>
    <t>0199</t>
  </si>
  <si>
    <t>P1</t>
  </si>
  <si>
    <t>SUBDIRECCIÓN TÉCNICA</t>
  </si>
  <si>
    <t>CREDENZA DE MADERA 74X173X46</t>
  </si>
  <si>
    <t>P12ST-0198</t>
  </si>
  <si>
    <t>P12ST-001</t>
  </si>
  <si>
    <t>P1ST-1</t>
  </si>
  <si>
    <t>5110100014-12</t>
  </si>
  <si>
    <t>82DH0511010005000583322</t>
  </si>
  <si>
    <t>SANDRA OLIVIA REYNA MARIN</t>
  </si>
  <si>
    <t>0200</t>
  </si>
  <si>
    <t>P12ST-0199</t>
  </si>
  <si>
    <t>P12ST-002</t>
  </si>
  <si>
    <t>P1ST-13</t>
  </si>
  <si>
    <t>5110100011-128</t>
  </si>
  <si>
    <t>SISTEMAS INFORMÁTICOS</t>
  </si>
  <si>
    <t>CHRISTIAN ZARCO MERCADO</t>
  </si>
  <si>
    <t>0201</t>
  </si>
  <si>
    <t>PIZARRON CON CORCHO 60X40</t>
  </si>
  <si>
    <t>P12ST-0200</t>
  </si>
  <si>
    <t>P12ST-003</t>
  </si>
  <si>
    <t>P1ST-14</t>
  </si>
  <si>
    <t>5290100025-10</t>
  </si>
  <si>
    <t>0202</t>
  </si>
  <si>
    <t>VENTILADOR GRIS DE PARED</t>
  </si>
  <si>
    <t>P12ST-0201</t>
  </si>
  <si>
    <t>P12ST-004</t>
  </si>
  <si>
    <t>P1ST-7</t>
  </si>
  <si>
    <t>5190200002-24</t>
  </si>
  <si>
    <t>82DJ0519010043000649363</t>
  </si>
  <si>
    <t>0203</t>
  </si>
  <si>
    <t>P12ST-0202</t>
  </si>
  <si>
    <t>P12ST-005</t>
  </si>
  <si>
    <t>P1ST-2</t>
  </si>
  <si>
    <t>5110100015-35</t>
  </si>
  <si>
    <t>82DH0511010006000564906</t>
  </si>
  <si>
    <t>0204</t>
  </si>
  <si>
    <t>P12ST-0203</t>
  </si>
  <si>
    <t>P1ST-5</t>
  </si>
  <si>
    <t>5130100126-9</t>
  </si>
  <si>
    <t>82DH0511010008000649461</t>
  </si>
  <si>
    <t>0205</t>
  </si>
  <si>
    <t>MODULO DE MADERA</t>
  </si>
  <si>
    <t>P12ST-0204</t>
  </si>
  <si>
    <t>P1ST-3</t>
  </si>
  <si>
    <t>5120100007-68</t>
  </si>
  <si>
    <t>82DJ0511010029000649459</t>
  </si>
  <si>
    <t>0206</t>
  </si>
  <si>
    <t>P12ST-0205</t>
  </si>
  <si>
    <t>P1ST-4</t>
  </si>
  <si>
    <t>5110100015-36</t>
  </si>
  <si>
    <t>82DH0511010006000649460</t>
  </si>
  <si>
    <t>0207</t>
  </si>
  <si>
    <t>SILLON CAFÉ CON RUEDAS (RETAPIZADO)</t>
  </si>
  <si>
    <t>P12ST-0206</t>
  </si>
  <si>
    <t>P12ST-006</t>
  </si>
  <si>
    <t>P1ST-8</t>
  </si>
  <si>
    <t>5120100009-31</t>
  </si>
  <si>
    <t>82DH0511010016000515600</t>
  </si>
  <si>
    <t>0208</t>
  </si>
  <si>
    <t>P12ST-0207</t>
  </si>
  <si>
    <t>P12ST-007</t>
  </si>
  <si>
    <t>P1SO-33</t>
  </si>
  <si>
    <t>5150100005-18</t>
  </si>
  <si>
    <t>PRO 6300</t>
  </si>
  <si>
    <t>MXL25001F6</t>
  </si>
  <si>
    <t>82DI0515010001000535446</t>
  </si>
  <si>
    <t>0209</t>
  </si>
  <si>
    <t>P12ST-0208</t>
  </si>
  <si>
    <t>P12ST-008</t>
  </si>
  <si>
    <t>P1SO-31</t>
  </si>
  <si>
    <t>5210100012-11</t>
  </si>
  <si>
    <t>CNN81301OS</t>
  </si>
  <si>
    <t>82DI0565010041000522226</t>
  </si>
  <si>
    <t>0210</t>
  </si>
  <si>
    <t>P12ST-0209</t>
  </si>
  <si>
    <t>P12ST-009</t>
  </si>
  <si>
    <t>P1ST-6</t>
  </si>
  <si>
    <t>CCQ18330BDM</t>
  </si>
  <si>
    <t>82DH0565010001000533072</t>
  </si>
  <si>
    <t>PADRÓN DE PROVEEDORES</t>
  </si>
  <si>
    <t>LIZBETH ZAMORA CERVANTES</t>
  </si>
  <si>
    <t>LILIA CERVANTES ARZATE</t>
  </si>
  <si>
    <t>0211</t>
  </si>
  <si>
    <t>COMPUTADORA PORTATIL GRIS</t>
  </si>
  <si>
    <t>P12ST-0210</t>
  </si>
  <si>
    <t>P12ST-010</t>
  </si>
  <si>
    <t>P1ST-10</t>
  </si>
  <si>
    <t>5150100005-28</t>
  </si>
  <si>
    <t>15/BS011LA</t>
  </si>
  <si>
    <t>CND730471F</t>
  </si>
  <si>
    <t>82DH0515010002000649384</t>
  </si>
  <si>
    <t>0212</t>
  </si>
  <si>
    <t>SILLON DE RECIBIDOR AZUL</t>
  </si>
  <si>
    <t>P12ST-0211</t>
  </si>
  <si>
    <t>P12ST-011</t>
  </si>
  <si>
    <t>P1ST-11</t>
  </si>
  <si>
    <t>5120100009-32</t>
  </si>
  <si>
    <t>82DH0511010016000518522</t>
  </si>
  <si>
    <t>0213</t>
  </si>
  <si>
    <t>P12ST-0212</t>
  </si>
  <si>
    <t>P12ST-012</t>
  </si>
  <si>
    <t>P1ST-12</t>
  </si>
  <si>
    <t>5120100009-33</t>
  </si>
  <si>
    <t>82DH0511010016000518521</t>
  </si>
  <si>
    <t>0214</t>
  </si>
  <si>
    <t>P12ST-0213</t>
  </si>
  <si>
    <t>P12ST-013</t>
  </si>
  <si>
    <t>P1ST-16</t>
  </si>
  <si>
    <t>A3851BW</t>
  </si>
  <si>
    <t>0215</t>
  </si>
  <si>
    <t>MESA NARANJA CON BASE DE METAL</t>
  </si>
  <si>
    <t>P12ST-0214</t>
  </si>
  <si>
    <t>P12ST-014</t>
  </si>
  <si>
    <t>P1ST-15</t>
  </si>
  <si>
    <t>5120100007-165</t>
  </si>
  <si>
    <t>0216</t>
  </si>
  <si>
    <t>P12ST-0215</t>
  </si>
  <si>
    <t>P12ST-015</t>
  </si>
  <si>
    <t>P1ST-9</t>
  </si>
  <si>
    <t>5190200002-23</t>
  </si>
  <si>
    <t>82DH0519010043000649364</t>
  </si>
  <si>
    <t>0217</t>
  </si>
  <si>
    <t>ANAQUEL DE MADERA DOS PUERTAS 164X81X42</t>
  </si>
  <si>
    <t>P12PP-0216</t>
  </si>
  <si>
    <t>P1PP-001</t>
  </si>
  <si>
    <t>P1P-33</t>
  </si>
  <si>
    <t>5290300001-9</t>
  </si>
  <si>
    <t>82DK0511010020000649630</t>
  </si>
  <si>
    <t>KENIA ITZEL GARCIA BEDOLLA</t>
  </si>
  <si>
    <t>kenia itzel garcia bedolla</t>
  </si>
  <si>
    <t>0218</t>
  </si>
  <si>
    <t>P12PP-0217</t>
  </si>
  <si>
    <t>P1PP-002</t>
  </si>
  <si>
    <t>P1P-58</t>
  </si>
  <si>
    <t>5150100007-10</t>
  </si>
  <si>
    <t>RICOH</t>
  </si>
  <si>
    <t>SP377SFNWX</t>
  </si>
  <si>
    <t>Y937Q310268</t>
  </si>
  <si>
    <t>82DK0515010014000651112</t>
  </si>
  <si>
    <t>0219</t>
  </si>
  <si>
    <t>P12PP-0218</t>
  </si>
  <si>
    <t>P1PP-003</t>
  </si>
  <si>
    <t>P1P-24</t>
  </si>
  <si>
    <t>5650100010-17</t>
  </si>
  <si>
    <t>4LO00H118474</t>
  </si>
  <si>
    <t>82DJ0565010001000538210</t>
  </si>
  <si>
    <t>0220</t>
  </si>
  <si>
    <t>P12PP-0219</t>
  </si>
  <si>
    <t>P1PP-004</t>
  </si>
  <si>
    <t>P1P-43</t>
  </si>
  <si>
    <t>5210100012-27</t>
  </si>
  <si>
    <t>V206HQL</t>
  </si>
  <si>
    <t>55301208542</t>
  </si>
  <si>
    <t>82DK0515010013000649570</t>
  </si>
  <si>
    <t>0221</t>
  </si>
  <si>
    <t>P12PP-0220</t>
  </si>
  <si>
    <t>P1PP-005</t>
  </si>
  <si>
    <t>P1P-60</t>
  </si>
  <si>
    <t>5150100005-145</t>
  </si>
  <si>
    <t>MMTASAA0070520596D3P00</t>
  </si>
  <si>
    <t>0222</t>
  </si>
  <si>
    <t>P12PP-0221</t>
  </si>
  <si>
    <t>P1PP-006</t>
  </si>
  <si>
    <t>P1P-59</t>
  </si>
  <si>
    <t>5150100005-144</t>
  </si>
  <si>
    <t>011392903011614</t>
  </si>
  <si>
    <t>0223</t>
  </si>
  <si>
    <t>COMPLEMENTARIO DE EQUIPO DE COMUPUTO</t>
  </si>
  <si>
    <t>P12PP-0222</t>
  </si>
  <si>
    <t>P1PP-007</t>
  </si>
  <si>
    <t>P1P-49</t>
  </si>
  <si>
    <t>5120100004-17</t>
  </si>
  <si>
    <t>82DK0515010033000564661</t>
  </si>
  <si>
    <t>0224</t>
  </si>
  <si>
    <t>P12PP-0223</t>
  </si>
  <si>
    <t>P1PP-008</t>
  </si>
  <si>
    <t>P1P-41</t>
  </si>
  <si>
    <t>5110100015-41</t>
  </si>
  <si>
    <t>82DK0511010006000649632</t>
  </si>
  <si>
    <t>0225</t>
  </si>
  <si>
    <t>P12PP-0224</t>
  </si>
  <si>
    <t>P1PP-008A</t>
  </si>
  <si>
    <t>5120100004-27</t>
  </si>
  <si>
    <t>0226</t>
  </si>
  <si>
    <t>P12PP-0225</t>
  </si>
  <si>
    <t>P1P-44</t>
  </si>
  <si>
    <t>5110100014-13</t>
  </si>
  <si>
    <t>82DK0511010005000649633</t>
  </si>
  <si>
    <t>0227</t>
  </si>
  <si>
    <t>P12PP-0226</t>
  </si>
  <si>
    <t>0228</t>
  </si>
  <si>
    <t>P12PP-0227</t>
  </si>
  <si>
    <t>P1PP-009</t>
  </si>
  <si>
    <t>P1P-36</t>
  </si>
  <si>
    <t>5120100009-38</t>
  </si>
  <si>
    <t>82DK0511010017000522707</t>
  </si>
  <si>
    <t>ANA BERTHA ORTIZ VILLEGAS</t>
  </si>
  <si>
    <t>0229</t>
  </si>
  <si>
    <t>P12PP-0228</t>
  </si>
  <si>
    <t>P1PP-010</t>
  </si>
  <si>
    <t>P1P-46</t>
  </si>
  <si>
    <t>5110100011-54</t>
  </si>
  <si>
    <t>82DK0511010017000649571</t>
  </si>
  <si>
    <t>PAULINA CARRANZA OROZCO</t>
  </si>
  <si>
    <t>0230</t>
  </si>
  <si>
    <t>SILLA NEGRA CON BASE DE METAL</t>
  </si>
  <si>
    <t>P12PP-0229</t>
  </si>
  <si>
    <t>P1PP-011</t>
  </si>
  <si>
    <t>P1P-39</t>
  </si>
  <si>
    <t>5110100011-53</t>
  </si>
  <si>
    <t>82DK0511010017000516342</t>
  </si>
  <si>
    <t>0231</t>
  </si>
  <si>
    <t>PIZARRON DE CORCHO 160X40</t>
  </si>
  <si>
    <t>P12PP-0230</t>
  </si>
  <si>
    <t>P1PP-012</t>
  </si>
  <si>
    <t>P1P-45</t>
  </si>
  <si>
    <t>5290100025-6</t>
  </si>
  <si>
    <t>82DK0529030003000517070</t>
  </si>
  <si>
    <t>0232</t>
  </si>
  <si>
    <t>VENTILADOR BLANCO DE PEDESTAL</t>
  </si>
  <si>
    <t>P12PP-0231</t>
  </si>
  <si>
    <t>P1PP-013</t>
  </si>
  <si>
    <t>P1P-35</t>
  </si>
  <si>
    <t>5190200002-28</t>
  </si>
  <si>
    <t>HURRICANE</t>
  </si>
  <si>
    <t>82DK0519010043000649631</t>
  </si>
  <si>
    <t>0233</t>
  </si>
  <si>
    <t>MESA DE MADERA CON BASE DE METAL 60X40</t>
  </si>
  <si>
    <t>P12PP-0232</t>
  </si>
  <si>
    <t>P1PP-014</t>
  </si>
  <si>
    <t>P1P-40</t>
  </si>
  <si>
    <t>5120100007-76</t>
  </si>
  <si>
    <t>82DK0531010065000564824</t>
  </si>
  <si>
    <t>0234</t>
  </si>
  <si>
    <t>SILLA DE TELA AZUL</t>
  </si>
  <si>
    <t>P12PP-0233</t>
  </si>
  <si>
    <t>P1PP-015</t>
  </si>
  <si>
    <t>P1P-37</t>
  </si>
  <si>
    <t>5110100011-51</t>
  </si>
  <si>
    <t>82DK0511010017000539075</t>
  </si>
  <si>
    <t>0235</t>
  </si>
  <si>
    <t>P12PP-0234</t>
  </si>
  <si>
    <t>P1PP-016</t>
  </si>
  <si>
    <t>P1P-38</t>
  </si>
  <si>
    <t>5110100011-52</t>
  </si>
  <si>
    <t>82DK0511010017000539078</t>
  </si>
  <si>
    <t>0236</t>
  </si>
  <si>
    <t>ARCHIVERO DE METAL GRIS CON 3 CAJONES</t>
  </si>
  <si>
    <t>P12PP-0235</t>
  </si>
  <si>
    <t>P1PP-017</t>
  </si>
  <si>
    <t>P1P-34</t>
  </si>
  <si>
    <t>5130100013-18</t>
  </si>
  <si>
    <t>0237</t>
  </si>
  <si>
    <t>P12PP-0236</t>
  </si>
  <si>
    <t>P1PP-018</t>
  </si>
  <si>
    <t>P1P-42</t>
  </si>
  <si>
    <t>5150100008-26</t>
  </si>
  <si>
    <t>INTERNT550U</t>
  </si>
  <si>
    <t>9730CY0BC575600778</t>
  </si>
  <si>
    <t>82DK0515010016000649569</t>
  </si>
  <si>
    <t>0238</t>
  </si>
  <si>
    <t>ESCRITORIO DE MADERA 160X40</t>
  </si>
  <si>
    <t>P12PP-0237</t>
  </si>
  <si>
    <t>P1PP-019</t>
  </si>
  <si>
    <t>P1P-51</t>
  </si>
  <si>
    <t>5110100015-43</t>
  </si>
  <si>
    <t>82DK0511010006000583463</t>
  </si>
  <si>
    <t>SUREYMA YADIRA LUNA CONTRERAS</t>
  </si>
  <si>
    <t>SUREYMA YADHIRA LUNA CONTRERAS</t>
  </si>
  <si>
    <t>0239</t>
  </si>
  <si>
    <t>MESA COMPLEMENTO TIPO BALA 160X60</t>
  </si>
  <si>
    <t>P12PP-0238</t>
  </si>
  <si>
    <t>P1PP-020</t>
  </si>
  <si>
    <t>P1P-50</t>
  </si>
  <si>
    <t>5120100007-78</t>
  </si>
  <si>
    <t>82DK0531010065000564817</t>
  </si>
  <si>
    <t>0240</t>
  </si>
  <si>
    <t>COMPUTADORA TODO EN UNO NEGRA</t>
  </si>
  <si>
    <t>P12PP-0239</t>
  </si>
  <si>
    <t>P1PP-021</t>
  </si>
  <si>
    <t>P1P-32</t>
  </si>
  <si>
    <t>S200Z</t>
  </si>
  <si>
    <t>MPI5495C</t>
  </si>
  <si>
    <t>82DK0515010003000649382</t>
  </si>
  <si>
    <t>0241</t>
  </si>
  <si>
    <t>P12PP-0240</t>
  </si>
  <si>
    <t>P1PP-022</t>
  </si>
  <si>
    <t>P0RH-15</t>
  </si>
  <si>
    <t>5150100008-34</t>
  </si>
  <si>
    <t>9730CY0BC575600809</t>
  </si>
  <si>
    <t>82DK0515010016000539067</t>
  </si>
  <si>
    <t>0242</t>
  </si>
  <si>
    <t>P12PP-0241</t>
  </si>
  <si>
    <t>P1PP-023</t>
  </si>
  <si>
    <t>P1P-27</t>
  </si>
  <si>
    <t>5110100015-42</t>
  </si>
  <si>
    <t>82DJ0511010006000583458</t>
  </si>
  <si>
    <t>0243</t>
  </si>
  <si>
    <t>P12PP-0242</t>
  </si>
  <si>
    <t>P1PP-024</t>
  </si>
  <si>
    <t>P1P-26</t>
  </si>
  <si>
    <t>5120100007-77</t>
  </si>
  <si>
    <t>82DJ0531010065000564820</t>
  </si>
  <si>
    <t>0244</t>
  </si>
  <si>
    <t>P12PP-0243</t>
  </si>
  <si>
    <t>P1PP-025</t>
  </si>
  <si>
    <t>P1P-23</t>
  </si>
  <si>
    <t>5120100004-18</t>
  </si>
  <si>
    <t>82DJ0515010033000564675</t>
  </si>
  <si>
    <t>0245</t>
  </si>
  <si>
    <t>P12PP-0244</t>
  </si>
  <si>
    <t>P1PP-026</t>
  </si>
  <si>
    <t>NVO1</t>
  </si>
  <si>
    <t>5150100005-146</t>
  </si>
  <si>
    <t>011392903014913</t>
  </si>
  <si>
    <t>0246</t>
  </si>
  <si>
    <t>P12PP-0245</t>
  </si>
  <si>
    <t>P1PP-027</t>
  </si>
  <si>
    <t>NVO2</t>
  </si>
  <si>
    <t>5150100005-147</t>
  </si>
  <si>
    <t>MMTASAA007109004CC3P00</t>
  </si>
  <si>
    <t>0247</t>
  </si>
  <si>
    <t>P12PP-0246</t>
  </si>
  <si>
    <t>P1PP-028</t>
  </si>
  <si>
    <t>P1P-57</t>
  </si>
  <si>
    <t>5150100008-27</t>
  </si>
  <si>
    <t>190222505755</t>
  </si>
  <si>
    <t>82DJ0515010016000649434</t>
  </si>
  <si>
    <t>0248</t>
  </si>
  <si>
    <t>P12PP-0247</t>
  </si>
  <si>
    <t>P1PP-029</t>
  </si>
  <si>
    <t>5110100011-49</t>
  </si>
  <si>
    <t>0249</t>
  </si>
  <si>
    <t>P12PP-0248</t>
  </si>
  <si>
    <t>P1PP-030</t>
  </si>
  <si>
    <t>P1P-47</t>
  </si>
  <si>
    <t>5110100011-55</t>
  </si>
  <si>
    <t>82DK0511010017000539074</t>
  </si>
  <si>
    <t>0250</t>
  </si>
  <si>
    <t>P12PP-0249</t>
  </si>
  <si>
    <t>P1PP-031</t>
  </si>
  <si>
    <t>P1P-29</t>
  </si>
  <si>
    <t>5110100011-57</t>
  </si>
  <si>
    <t>82DJ0511010017000522723</t>
  </si>
  <si>
    <t>0251</t>
  </si>
  <si>
    <t>P12PP-0250</t>
  </si>
  <si>
    <t>P1PP-032</t>
  </si>
  <si>
    <t>P1P-28</t>
  </si>
  <si>
    <t>5110100011-56</t>
  </si>
  <si>
    <t>82DJ0511010017000516280</t>
  </si>
  <si>
    <t>0252</t>
  </si>
  <si>
    <t>P12PP-0251</t>
  </si>
  <si>
    <t>P1PP-033</t>
  </si>
  <si>
    <t>P1P-17</t>
  </si>
  <si>
    <t>5110100011-59</t>
  </si>
  <si>
    <t>82DK0511010017000516227</t>
  </si>
  <si>
    <t>0253</t>
  </si>
  <si>
    <t>P12PP-0252</t>
  </si>
  <si>
    <t>P1PP-034</t>
  </si>
  <si>
    <t>P1P-18</t>
  </si>
  <si>
    <t>5110100011-60</t>
  </si>
  <si>
    <t>82DK0511010017000649574</t>
  </si>
  <si>
    <t>0254</t>
  </si>
  <si>
    <t>P12PP-0253</t>
  </si>
  <si>
    <t>P1PP-035</t>
  </si>
  <si>
    <t>P1P-21</t>
  </si>
  <si>
    <t>5120100007-79</t>
  </si>
  <si>
    <t>82DK0531010065000564819</t>
  </si>
  <si>
    <t>0255</t>
  </si>
  <si>
    <t>P12PP-0254</t>
  </si>
  <si>
    <t>P1PP-036</t>
  </si>
  <si>
    <t>P1P-20</t>
  </si>
  <si>
    <t>5110100015-44</t>
  </si>
  <si>
    <t>82DK0511010006000583456</t>
  </si>
  <si>
    <t>0256</t>
  </si>
  <si>
    <t>P12PP-0255</t>
  </si>
  <si>
    <t>P1PP-037</t>
  </si>
  <si>
    <t>P1P-10</t>
  </si>
  <si>
    <t>5120100007-80</t>
  </si>
  <si>
    <t>82DJ0511010010000649636</t>
  </si>
  <si>
    <t>0257</t>
  </si>
  <si>
    <t>VENTILADOR DE TORRE</t>
  </si>
  <si>
    <t>P12PP-0256</t>
  </si>
  <si>
    <t>P1PP-038</t>
  </si>
  <si>
    <t>P1P-16</t>
  </si>
  <si>
    <t>5190200002-29</t>
  </si>
  <si>
    <t>3352</t>
  </si>
  <si>
    <t>82DK0519010043000649573</t>
  </si>
  <si>
    <t>0258</t>
  </si>
  <si>
    <t>P12PP-0257</t>
  </si>
  <si>
    <t>P1PP-039</t>
  </si>
  <si>
    <t>P1P-15</t>
  </si>
  <si>
    <t>5660100057-12</t>
  </si>
  <si>
    <t>82DK0515010020000650902</t>
  </si>
  <si>
    <t>0259</t>
  </si>
  <si>
    <t>P12PP-0258</t>
  </si>
  <si>
    <t>P1PP-040</t>
  </si>
  <si>
    <t>P1P-14</t>
  </si>
  <si>
    <t>5150100005-42</t>
  </si>
  <si>
    <t>337857</t>
  </si>
  <si>
    <t>82DK0515010001000650664</t>
  </si>
  <si>
    <t>0260</t>
  </si>
  <si>
    <t>P12PP-0259</t>
  </si>
  <si>
    <t>P1PP-041</t>
  </si>
  <si>
    <t>P1P-13</t>
  </si>
  <si>
    <t>5210100012-29</t>
  </si>
  <si>
    <t>GATEWAY</t>
  </si>
  <si>
    <t>KX1953</t>
  </si>
  <si>
    <t>32701492242</t>
  </si>
  <si>
    <t>82DK0515010013000649572</t>
  </si>
  <si>
    <t>0261</t>
  </si>
  <si>
    <t>P12PP-0260</t>
  </si>
  <si>
    <t>P1PP-042</t>
  </si>
  <si>
    <t>P1P-19</t>
  </si>
  <si>
    <t>5110100011-61</t>
  </si>
  <si>
    <t>82DK0511010017000564597</t>
  </si>
  <si>
    <t>0262</t>
  </si>
  <si>
    <t>P12PP-0261</t>
  </si>
  <si>
    <t>P1PP-043</t>
  </si>
  <si>
    <t>P1P-7</t>
  </si>
  <si>
    <t>5110100011-63</t>
  </si>
  <si>
    <t>ENRIQUE PONCE JUAREZ</t>
  </si>
  <si>
    <t>0263</t>
  </si>
  <si>
    <t>P12PP-0262</t>
  </si>
  <si>
    <t>P1PP-044</t>
  </si>
  <si>
    <t>P1P-6</t>
  </si>
  <si>
    <t>5110100011-62</t>
  </si>
  <si>
    <t>0264</t>
  </si>
  <si>
    <t>P12PP-0263</t>
  </si>
  <si>
    <t>P1PP-045</t>
  </si>
  <si>
    <t>P1P-12</t>
  </si>
  <si>
    <t>5120100007-81</t>
  </si>
  <si>
    <t>82DJ0531010065000564818</t>
  </si>
  <si>
    <t>0265</t>
  </si>
  <si>
    <t>P12PP-0264</t>
  </si>
  <si>
    <t>P1PP-046</t>
  </si>
  <si>
    <t>P1P-9</t>
  </si>
  <si>
    <t>5110100015-45</t>
  </si>
  <si>
    <t>82DJ0511010006000583459</t>
  </si>
  <si>
    <t>0266</t>
  </si>
  <si>
    <t>P12PP-0265</t>
  </si>
  <si>
    <t>P1PP-047</t>
  </si>
  <si>
    <t>P1P-5</t>
  </si>
  <si>
    <t>5190200002-30</t>
  </si>
  <si>
    <t>BIRTMAN</t>
  </si>
  <si>
    <t>BT-40</t>
  </si>
  <si>
    <t>82DJ0531010094000564895</t>
  </si>
  <si>
    <t>0267</t>
  </si>
  <si>
    <t>P12PP-0266</t>
  </si>
  <si>
    <t>P1PP-048</t>
  </si>
  <si>
    <t>P1P-3</t>
  </si>
  <si>
    <t>5650100010-19</t>
  </si>
  <si>
    <t>4LO00H1118471</t>
  </si>
  <si>
    <t>82DJ0565010001000533243</t>
  </si>
  <si>
    <t>0268</t>
  </si>
  <si>
    <t>P12PP-0267</t>
  </si>
  <si>
    <t>P1PP-049</t>
  </si>
  <si>
    <t>P1P-1</t>
  </si>
  <si>
    <t>5210100012-30</t>
  </si>
  <si>
    <t>62202356742</t>
  </si>
  <si>
    <t>82DJ0515010013000649575</t>
  </si>
  <si>
    <t>0269</t>
  </si>
  <si>
    <t>P12PP-0268</t>
  </si>
  <si>
    <t>P1PP-050</t>
  </si>
  <si>
    <t>P0RH-32</t>
  </si>
  <si>
    <t>CNC812494W</t>
  </si>
  <si>
    <t>82DJ0565010041000539124</t>
  </si>
  <si>
    <t>0270</t>
  </si>
  <si>
    <t>P12PP-0269</t>
  </si>
  <si>
    <t>P1PP-051</t>
  </si>
  <si>
    <t>P1P-2</t>
  </si>
  <si>
    <t>5150100005-43</t>
  </si>
  <si>
    <t>SMXL81114FL</t>
  </si>
  <si>
    <t>82DJ0515010001000535487</t>
  </si>
  <si>
    <t>0271</t>
  </si>
  <si>
    <t>P12PP-0270</t>
  </si>
  <si>
    <t>P1PP-052</t>
  </si>
  <si>
    <t>P1P-11</t>
  </si>
  <si>
    <t>5120100004-19</t>
  </si>
  <si>
    <t>82DJ0515010033000564662</t>
  </si>
  <si>
    <t>0272</t>
  </si>
  <si>
    <t>P12PP-0271</t>
  </si>
  <si>
    <t>P1PP-053</t>
  </si>
  <si>
    <t>P1P-4</t>
  </si>
  <si>
    <t>5150100008-28</t>
  </si>
  <si>
    <t>B-UPR505</t>
  </si>
  <si>
    <t>0711101290219</t>
  </si>
  <si>
    <t>82DJ0515010016000522298</t>
  </si>
  <si>
    <t>0273</t>
  </si>
  <si>
    <t>SILLA NEGRO CON RUEDAS</t>
  </si>
  <si>
    <t>P12PP-0272</t>
  </si>
  <si>
    <t>P1PP-054</t>
  </si>
  <si>
    <t>P1P-8</t>
  </si>
  <si>
    <t>5120100009-40</t>
  </si>
  <si>
    <t>82DJ0511010017000516281</t>
  </si>
  <si>
    <t>0274</t>
  </si>
  <si>
    <t>P12PP-0273</t>
  </si>
  <si>
    <t>P1PP-055</t>
  </si>
  <si>
    <t>P1P-31</t>
  </si>
  <si>
    <t>5120100009-39</t>
  </si>
  <si>
    <t>82DJ0511010016000515611</t>
  </si>
  <si>
    <t>0275</t>
  </si>
  <si>
    <t>P12PP-0274</t>
  </si>
  <si>
    <t>P1PP-056</t>
  </si>
  <si>
    <t>5150100006-3</t>
  </si>
  <si>
    <t>HV6205</t>
  </si>
  <si>
    <t>82DJ0515010006000649401</t>
  </si>
  <si>
    <t>0276</t>
  </si>
  <si>
    <t>ESTANTE DE METAL CON 3 CHAROLAS 90X60</t>
  </si>
  <si>
    <t>P02PP-0275</t>
  </si>
  <si>
    <t>PB2PP-001</t>
  </si>
  <si>
    <t>P0AL-1</t>
  </si>
  <si>
    <t>5290300001-21</t>
  </si>
  <si>
    <t>82DJ0511010028000649628</t>
  </si>
  <si>
    <t>JORGE LUIS MARTINEZ LOPEZ</t>
  </si>
  <si>
    <t>0277</t>
  </si>
  <si>
    <t>P02PP-0276</t>
  </si>
  <si>
    <t>PB2PP-002</t>
  </si>
  <si>
    <t>P0AL-3</t>
  </si>
  <si>
    <t>5190200002-44</t>
  </si>
  <si>
    <t>MY0128</t>
  </si>
  <si>
    <t>82DJ0531010094000581252</t>
  </si>
  <si>
    <t>0278</t>
  </si>
  <si>
    <t>SILLON DE PIEL  CON RUEDAS NEGRO</t>
  </si>
  <si>
    <t>P02PP-0277</t>
  </si>
  <si>
    <t>PB2PP-003</t>
  </si>
  <si>
    <t>P0AL-7</t>
  </si>
  <si>
    <t>5120100009-58</t>
  </si>
  <si>
    <t>82DJ0511010016000515602</t>
  </si>
  <si>
    <t>0279</t>
  </si>
  <si>
    <t>P02PP-0278</t>
  </si>
  <si>
    <t>PB2PP-004</t>
  </si>
  <si>
    <t>P0AL-2</t>
  </si>
  <si>
    <t>5110100015-66</t>
  </si>
  <si>
    <t>82DJ0511010006000649629</t>
  </si>
  <si>
    <t>0280</t>
  </si>
  <si>
    <t>P02PP-0279</t>
  </si>
  <si>
    <t>PB2PP-005</t>
  </si>
  <si>
    <t>P0AL-6</t>
  </si>
  <si>
    <t>5150100005-65</t>
  </si>
  <si>
    <t>AX3990</t>
  </si>
  <si>
    <t>DTSGKAL00320708A9C9200</t>
  </si>
  <si>
    <t>82DJ0515010001000539081</t>
  </si>
  <si>
    <t>0281</t>
  </si>
  <si>
    <t>P02PP-0280</t>
  </si>
  <si>
    <t>PB2PP-006</t>
  </si>
  <si>
    <t>P0AL-4</t>
  </si>
  <si>
    <t>5210100012-48</t>
  </si>
  <si>
    <t>CNC816Y357</t>
  </si>
  <si>
    <t>82DJ0565010041000539114</t>
  </si>
  <si>
    <t>0282</t>
  </si>
  <si>
    <t>P02PP-0281</t>
  </si>
  <si>
    <t>PB2PP-007</t>
  </si>
  <si>
    <t>BELKIN</t>
  </si>
  <si>
    <t>0S035100615WO</t>
  </si>
  <si>
    <t>82DH0515010016000539059</t>
  </si>
  <si>
    <t>0283</t>
  </si>
  <si>
    <t>PIZARRON PARA GIS 300X90</t>
  </si>
  <si>
    <t>P02PP-0282</t>
  </si>
  <si>
    <t>PB2PP-008</t>
  </si>
  <si>
    <t>0284</t>
  </si>
  <si>
    <t>CALEFACTOR</t>
  </si>
  <si>
    <t>P02PP-0283</t>
  </si>
  <si>
    <t>PB2PP-009</t>
  </si>
  <si>
    <t>NAOKI</t>
  </si>
  <si>
    <t>DCH04</t>
  </si>
  <si>
    <t>0285</t>
  </si>
  <si>
    <t>P02PP-0284</t>
  </si>
  <si>
    <t>PB2PP-010</t>
  </si>
  <si>
    <t>SIVINGLINE</t>
  </si>
  <si>
    <t>0286</t>
  </si>
  <si>
    <t>SILLA DE TELA NEGRA</t>
  </si>
  <si>
    <t>P02PP-0285</t>
  </si>
  <si>
    <t>PB2PP-011</t>
  </si>
  <si>
    <t>P1LP-1</t>
  </si>
  <si>
    <t>5110100011-127</t>
  </si>
  <si>
    <t>0287</t>
  </si>
  <si>
    <t>ESTANTE  METALICO CON 5 CHAROLAS</t>
  </si>
  <si>
    <t>P02PP-0286</t>
  </si>
  <si>
    <t>PB2PP-012</t>
  </si>
  <si>
    <t>P0P-9</t>
  </si>
  <si>
    <t>2110200030-15</t>
  </si>
  <si>
    <t>82DJ0511010028000535460</t>
  </si>
  <si>
    <t>MARTHA MARIA VARGAS RODRIGUEZ</t>
  </si>
  <si>
    <t>0288</t>
  </si>
  <si>
    <t>P02PP-0287</t>
  </si>
  <si>
    <t>PB2PP-013</t>
  </si>
  <si>
    <t>P0P-8</t>
  </si>
  <si>
    <t>2110200030-14</t>
  </si>
  <si>
    <t>82DJ0511010028000539027</t>
  </si>
  <si>
    <t>0289</t>
  </si>
  <si>
    <t>CHAROLA</t>
  </si>
  <si>
    <t>CHAROLA DE METAL PARA ESTANTE 91X30</t>
  </si>
  <si>
    <t>P02PP-0288</t>
  </si>
  <si>
    <t>PB2PP-014</t>
  </si>
  <si>
    <t>P0P-10</t>
  </si>
  <si>
    <t>2110200030-16</t>
  </si>
  <si>
    <t>82DJ0519010048000539134</t>
  </si>
  <si>
    <t>0290</t>
  </si>
  <si>
    <t>P02PP-0289</t>
  </si>
  <si>
    <t>PB2PP-015</t>
  </si>
  <si>
    <t>P0P-11</t>
  </si>
  <si>
    <t>2110200030-17</t>
  </si>
  <si>
    <t>82DJ0519010048000533127</t>
  </si>
  <si>
    <t>0291</t>
  </si>
  <si>
    <t>P02PP-0290</t>
  </si>
  <si>
    <t>PB2PP-016</t>
  </si>
  <si>
    <t>P0P-13</t>
  </si>
  <si>
    <t>2110200030-19</t>
  </si>
  <si>
    <t>82DJ0511010028000539043</t>
  </si>
  <si>
    <t>0292</t>
  </si>
  <si>
    <t>P02PP-0291</t>
  </si>
  <si>
    <t>PB2PP-017</t>
  </si>
  <si>
    <t>P0P-12</t>
  </si>
  <si>
    <t>2110200030-18</t>
  </si>
  <si>
    <t>82DJ0519010048000533124</t>
  </si>
  <si>
    <t>0293</t>
  </si>
  <si>
    <t>P02PP-0292</t>
  </si>
  <si>
    <t>PB2PP-018</t>
  </si>
  <si>
    <t>P0P-19</t>
  </si>
  <si>
    <t>2110200030-25</t>
  </si>
  <si>
    <t>82DJ0519010048000579127</t>
  </si>
  <si>
    <t>0294</t>
  </si>
  <si>
    <t>ESTANTE  METALICO CON 6 CHAROLAS</t>
  </si>
  <si>
    <t>P02PP-0293</t>
  </si>
  <si>
    <t>PB2PP-019</t>
  </si>
  <si>
    <t>P0P-14</t>
  </si>
  <si>
    <t>2110200030-20</t>
  </si>
  <si>
    <t>82DJ0511010028000539018</t>
  </si>
  <si>
    <t>0295</t>
  </si>
  <si>
    <t>P02PP-0294</t>
  </si>
  <si>
    <t>PB2PP-020</t>
  </si>
  <si>
    <t>P0P-16</t>
  </si>
  <si>
    <t>2110200030-21</t>
  </si>
  <si>
    <t>82DJ0511010028000539032</t>
  </si>
  <si>
    <t>0296</t>
  </si>
  <si>
    <t>P02PP-0295</t>
  </si>
  <si>
    <t>PB2PP-021</t>
  </si>
  <si>
    <t>P0P-20</t>
  </si>
  <si>
    <t>2110200030-26</t>
  </si>
  <si>
    <t>82DJ0519010048000539133</t>
  </si>
  <si>
    <t>0297</t>
  </si>
  <si>
    <t>P02PP-0296</t>
  </si>
  <si>
    <t>PB2PP-022</t>
  </si>
  <si>
    <t>P0P-22</t>
  </si>
  <si>
    <t>2110200030-28</t>
  </si>
  <si>
    <t>82DJ0519010048000539137</t>
  </si>
  <si>
    <t>0298</t>
  </si>
  <si>
    <t>P02PP-0297</t>
  </si>
  <si>
    <t>PB2PP-023</t>
  </si>
  <si>
    <t>P0P-17</t>
  </si>
  <si>
    <t>2110200030-23</t>
  </si>
  <si>
    <t>82DJ0511010028000532101</t>
  </si>
  <si>
    <t>0299</t>
  </si>
  <si>
    <t>P02PP-0298</t>
  </si>
  <si>
    <t>PB2PP-024</t>
  </si>
  <si>
    <t>P0P-23</t>
  </si>
  <si>
    <t>2110200030-29</t>
  </si>
  <si>
    <t>82DJ0519010048000539135</t>
  </si>
  <si>
    <t>0300</t>
  </si>
  <si>
    <t>P02PP-0299</t>
  </si>
  <si>
    <t>PB2PP-025</t>
  </si>
  <si>
    <t>P0P-15</t>
  </si>
  <si>
    <t>2110200030-22</t>
  </si>
  <si>
    <t>82DJ0511010028000524624</t>
  </si>
  <si>
    <t>0301</t>
  </si>
  <si>
    <t>P02PP-0300</t>
  </si>
  <si>
    <t>PB2PP-026</t>
  </si>
  <si>
    <t>P0P-18</t>
  </si>
  <si>
    <t>2110200030-24</t>
  </si>
  <si>
    <t>82DJ0511010028000539029</t>
  </si>
  <si>
    <t>0302</t>
  </si>
  <si>
    <t>P02PP-0301</t>
  </si>
  <si>
    <t>PB2PP-027</t>
  </si>
  <si>
    <t>P0P-29</t>
  </si>
  <si>
    <t>2110200030-35</t>
  </si>
  <si>
    <t>82DJ0519010048000533123</t>
  </si>
  <si>
    <t>0303</t>
  </si>
  <si>
    <t>P02PP-0302</t>
  </si>
  <si>
    <t>PB2PP-028</t>
  </si>
  <si>
    <t>P0P-32</t>
  </si>
  <si>
    <t>2110200030-91</t>
  </si>
  <si>
    <t>82DJ0519010048000533126</t>
  </si>
  <si>
    <t>0304</t>
  </si>
  <si>
    <t>P02PP-0303</t>
  </si>
  <si>
    <t>PB2PP-029</t>
  </si>
  <si>
    <t>P0P-21</t>
  </si>
  <si>
    <t>2110200030-27</t>
  </si>
  <si>
    <t>82DJ0511010028000532103</t>
  </si>
  <si>
    <t>0305</t>
  </si>
  <si>
    <t>P02PP-0304</t>
  </si>
  <si>
    <t>PB2PP-030</t>
  </si>
  <si>
    <t>P0P-27</t>
  </si>
  <si>
    <t>2110200030-33</t>
  </si>
  <si>
    <t>82DJ0519010048000539139</t>
  </si>
  <si>
    <t>0306</t>
  </si>
  <si>
    <t>P02PP-0305</t>
  </si>
  <si>
    <t>PB2PP-031</t>
  </si>
  <si>
    <t>P0P-28</t>
  </si>
  <si>
    <t>2110200030-34</t>
  </si>
  <si>
    <t>82DJ0519010048000579123</t>
  </si>
  <si>
    <t>0307</t>
  </si>
  <si>
    <t>P02PP-0306</t>
  </si>
  <si>
    <t>PB2PP-032</t>
  </si>
  <si>
    <t>P0P-24</t>
  </si>
  <si>
    <t>2110200030-30</t>
  </si>
  <si>
    <t>82DJ0511010028000539031</t>
  </si>
  <si>
    <t>0308</t>
  </si>
  <si>
    <t>P02PP-0307</t>
  </si>
  <si>
    <t>PB2PP-033</t>
  </si>
  <si>
    <t>P0P-25</t>
  </si>
  <si>
    <t>2110200030-31</t>
  </si>
  <si>
    <t>82DJ0519010048000579126</t>
  </si>
  <si>
    <t>0309</t>
  </si>
  <si>
    <t>P02PP-0308</t>
  </si>
  <si>
    <t>PB2PP-034</t>
  </si>
  <si>
    <t>P0P-26</t>
  </si>
  <si>
    <t>2110200030-32</t>
  </si>
  <si>
    <t>82DJ0519010048000539144</t>
  </si>
  <si>
    <t>0310</t>
  </si>
  <si>
    <t>P02PP-0309</t>
  </si>
  <si>
    <t>PB2PP-035</t>
  </si>
  <si>
    <t>P0P-30</t>
  </si>
  <si>
    <t>2110200030-36</t>
  </si>
  <si>
    <t>82DJ0511010028000524607</t>
  </si>
  <si>
    <t>0311</t>
  </si>
  <si>
    <t>P02PP-0310</t>
  </si>
  <si>
    <t>PB2PP-036</t>
  </si>
  <si>
    <t>P0P-33</t>
  </si>
  <si>
    <t>2110200030-92</t>
  </si>
  <si>
    <t>82DJ0519010048000533125</t>
  </si>
  <si>
    <t>0312</t>
  </si>
  <si>
    <t>SILLA CAFE DE PIEL FIJA</t>
  </si>
  <si>
    <t>P02PP-0311</t>
  </si>
  <si>
    <t>PB2PP-037</t>
  </si>
  <si>
    <t>P0P-2</t>
  </si>
  <si>
    <t>5110100011-104</t>
  </si>
  <si>
    <t>82DJ0511010017000649637</t>
  </si>
  <si>
    <t>0313</t>
  </si>
  <si>
    <t>ARCHIVERO METALICO DE 3 CAJONES</t>
  </si>
  <si>
    <t>P02PP-0312</t>
  </si>
  <si>
    <t>PB2PP-038</t>
  </si>
  <si>
    <t>P0P-7</t>
  </si>
  <si>
    <t>5130100013-36</t>
  </si>
  <si>
    <t>82DJ0511010001000649583</t>
  </si>
  <si>
    <t>0314</t>
  </si>
  <si>
    <t>MESA DE MADERA BLANCA CON BASE DE METAL</t>
  </si>
  <si>
    <t>P02PP-0313</t>
  </si>
  <si>
    <t>PB2PP-039</t>
  </si>
  <si>
    <t>P0P-3</t>
  </si>
  <si>
    <t>5120100007-113</t>
  </si>
  <si>
    <t>82DJ0511010010000649581</t>
  </si>
  <si>
    <t>0315</t>
  </si>
  <si>
    <t>MESA DE MADERA CON PORTA TECLADO</t>
  </si>
  <si>
    <t>P02PP-0314</t>
  </si>
  <si>
    <t>PB2PP-040</t>
  </si>
  <si>
    <t>P0P-6</t>
  </si>
  <si>
    <t>5120100007-114</t>
  </si>
  <si>
    <t>82DJ0531010065000564830</t>
  </si>
  <si>
    <t>0316</t>
  </si>
  <si>
    <t>SILLON DE PIEL NEGRO CON RUEDAS</t>
  </si>
  <si>
    <t>P02PP-0315</t>
  </si>
  <si>
    <t>PB2PP-041</t>
  </si>
  <si>
    <t>P0P-5</t>
  </si>
  <si>
    <t>5120100009-56</t>
  </si>
  <si>
    <t>82DJ0511010016000539054</t>
  </si>
  <si>
    <t>0317</t>
  </si>
  <si>
    <t>MONITOR 18"</t>
  </si>
  <si>
    <t>P02PP-0316</t>
  </si>
  <si>
    <t>PB2PP-042</t>
  </si>
  <si>
    <t>P0P-4</t>
  </si>
  <si>
    <t>5210100012-47</t>
  </si>
  <si>
    <t>933SNPLUS</t>
  </si>
  <si>
    <t>SM19H9F5631409M</t>
  </si>
  <si>
    <t>82DJ0515010013000649582</t>
  </si>
  <si>
    <t>0318</t>
  </si>
  <si>
    <t>P02PP-0317</t>
  </si>
  <si>
    <t>PB2PP-043</t>
  </si>
  <si>
    <t>P0P-1</t>
  </si>
  <si>
    <t>5150100005-64</t>
  </si>
  <si>
    <t>MXJ8190361</t>
  </si>
  <si>
    <t>82DJ0515010001000539036</t>
  </si>
  <si>
    <t>0319</t>
  </si>
  <si>
    <t>P02PP-0318</t>
  </si>
  <si>
    <t>PB2PP-044</t>
  </si>
  <si>
    <t>P0P-34</t>
  </si>
  <si>
    <t>5190200002-43</t>
  </si>
  <si>
    <t>82DJ0519010043000649640</t>
  </si>
  <si>
    <t>0320</t>
  </si>
  <si>
    <t>SILLA DE MADERA CON BASE DE METAL ESCOLAR</t>
  </si>
  <si>
    <t>P02PP-0319</t>
  </si>
  <si>
    <t>PB2PP-045</t>
  </si>
  <si>
    <t>0321</t>
  </si>
  <si>
    <t>SILLA DE TELA CAFE CON BASE DE METAL</t>
  </si>
  <si>
    <t>P02PP-0320</t>
  </si>
  <si>
    <t>PB2PP-046</t>
  </si>
  <si>
    <t>0322</t>
  </si>
  <si>
    <t>P02PP-0321</t>
  </si>
  <si>
    <t>PB2PP-047</t>
  </si>
  <si>
    <t>P0P-31</t>
  </si>
  <si>
    <t>5660100057-19</t>
  </si>
  <si>
    <t>161039225</t>
  </si>
  <si>
    <t>82DJ0515010020000650897</t>
  </si>
  <si>
    <t>0323</t>
  </si>
  <si>
    <t>ESTANTE METALICO NEGRO CON 3 CHAROLAS 92X45</t>
  </si>
  <si>
    <t>P02PP-0322</t>
  </si>
  <si>
    <t>PB2PP-048</t>
  </si>
  <si>
    <t>0324</t>
  </si>
  <si>
    <t>ESTANTE METALICO CON 6 CHAROLAS 88X30</t>
  </si>
  <si>
    <t>P02PP-0323</t>
  </si>
  <si>
    <t>PB2PP-049</t>
  </si>
  <si>
    <t>0325</t>
  </si>
  <si>
    <t>ESTANTE METALICO CON 7 CHAROLAS 88X30</t>
  </si>
  <si>
    <t>P02PP-0324</t>
  </si>
  <si>
    <t>PB2PP-050</t>
  </si>
  <si>
    <t>0326</t>
  </si>
  <si>
    <t>ANAQUEL DE METAL DOS PUERTAS GRIS 183X92X46</t>
  </si>
  <si>
    <t>P12SI-0325</t>
  </si>
  <si>
    <t>P12SI-001</t>
  </si>
  <si>
    <t>P1SI-10</t>
  </si>
  <si>
    <t>5290300001-26</t>
  </si>
  <si>
    <t>82DH0511010009000564545</t>
  </si>
  <si>
    <t>0327</t>
  </si>
  <si>
    <t>ESCRITORIO CON 6 CAJONES</t>
  </si>
  <si>
    <t>P12SI-0326</t>
  </si>
  <si>
    <t>P12SI-002</t>
  </si>
  <si>
    <t>P1SI-31</t>
  </si>
  <si>
    <t>5120100007-120</t>
  </si>
  <si>
    <t>82DH0511010006000651123</t>
  </si>
  <si>
    <t>0328</t>
  </si>
  <si>
    <t>RUTEADORES DE RED</t>
  </si>
  <si>
    <t>ROUTER</t>
  </si>
  <si>
    <t>P12SI-0327</t>
  </si>
  <si>
    <t>P12SI-003</t>
  </si>
  <si>
    <t>P1SI-41</t>
  </si>
  <si>
    <t>5150100005-106</t>
  </si>
  <si>
    <t>DLINK</t>
  </si>
  <si>
    <t>DAP-1360</t>
  </si>
  <si>
    <t>QX8U1G9001143</t>
  </si>
  <si>
    <t>82DH0515010022000651128</t>
  </si>
  <si>
    <t>UBICAR</t>
  </si>
  <si>
    <t>0329</t>
  </si>
  <si>
    <t>ADAPTADOR</t>
  </si>
  <si>
    <t>ADAPTADOR LECTOR DE CD EXTERNO</t>
  </si>
  <si>
    <t>P12SI-0328</t>
  </si>
  <si>
    <t>P12SI-004</t>
  </si>
  <si>
    <t>P1SI-42</t>
  </si>
  <si>
    <t>5150100005-103</t>
  </si>
  <si>
    <t>LG</t>
  </si>
  <si>
    <t>GSA-E6L</t>
  </si>
  <si>
    <t>709HKGG107431</t>
  </si>
  <si>
    <t>82DH0515010056000651127</t>
  </si>
  <si>
    <t>0330</t>
  </si>
  <si>
    <t>MESA DE MADERA CAOBA CON BASE DE METAL 120X60</t>
  </si>
  <si>
    <t>P12SI-0329</t>
  </si>
  <si>
    <t>P12SI-005</t>
  </si>
  <si>
    <t>P1SI-102</t>
  </si>
  <si>
    <t>5120100007-121</t>
  </si>
  <si>
    <t>82DH0511010010000649660</t>
  </si>
  <si>
    <t>LICITACIONES PÚBLICAS</t>
  </si>
  <si>
    <t>HECTOR JOSUE MARTINEZ DE LA CRUZ</t>
  </si>
  <si>
    <t>0331</t>
  </si>
  <si>
    <t>MESA DE MADERA CAOBA CON BASE DE METAL 80X60</t>
  </si>
  <si>
    <t>P12SI-0330</t>
  </si>
  <si>
    <t>P12SI-006</t>
  </si>
  <si>
    <t>P1SI-96</t>
  </si>
  <si>
    <t>5120100007-72</t>
  </si>
  <si>
    <t>82DH0531010065000564775</t>
  </si>
  <si>
    <t>MAXIMILIANO ECHEVARRIA CLEMENTE</t>
  </si>
  <si>
    <t>0332</t>
  </si>
  <si>
    <t>P12SI-0331</t>
  </si>
  <si>
    <t>P12SI-007</t>
  </si>
  <si>
    <t>4B1439P11223</t>
  </si>
  <si>
    <t>0333</t>
  </si>
  <si>
    <t>P12SI-0332</t>
  </si>
  <si>
    <t>P12SI-008</t>
  </si>
  <si>
    <t>P1SI-15</t>
  </si>
  <si>
    <t>5150100008-52</t>
  </si>
  <si>
    <t>B-UPR754</t>
  </si>
  <si>
    <t>1401130660749</t>
  </si>
  <si>
    <t>82DH0515010016000651121</t>
  </si>
  <si>
    <t>0334</t>
  </si>
  <si>
    <t>SWITCH (CONCENTRADOR DE PUERTOS)</t>
  </si>
  <si>
    <t>SWITCH</t>
  </si>
  <si>
    <t>P12SI-0333</t>
  </si>
  <si>
    <t>P12SI-009</t>
  </si>
  <si>
    <t>P1SI-82</t>
  </si>
  <si>
    <t>5150100005-112</t>
  </si>
  <si>
    <t>3COM</t>
  </si>
  <si>
    <t>3C16791A</t>
  </si>
  <si>
    <t>LJ9G5I0042444</t>
  </si>
  <si>
    <t>82DH0515010026000566178</t>
  </si>
  <si>
    <t>0335</t>
  </si>
  <si>
    <t>PIZARRON BLANCO 120X90</t>
  </si>
  <si>
    <t>P12SI-0334</t>
  </si>
  <si>
    <t>P12SI-010</t>
  </si>
  <si>
    <t>P1SI-46</t>
  </si>
  <si>
    <t>5290100025-5</t>
  </si>
  <si>
    <t>82DH0529030003000651130</t>
  </si>
  <si>
    <t>0336</t>
  </si>
  <si>
    <t>P12SI-0335</t>
  </si>
  <si>
    <t>P12SI-011</t>
  </si>
  <si>
    <t>P1LP-25</t>
  </si>
  <si>
    <t>SMXL81103XZ</t>
  </si>
  <si>
    <t>82DJ0515010001000535535</t>
  </si>
  <si>
    <t>0337</t>
  </si>
  <si>
    <t>P12SI-0337</t>
  </si>
  <si>
    <t>P12SI-013</t>
  </si>
  <si>
    <t>P1SI-50</t>
  </si>
  <si>
    <t>5210100012-58</t>
  </si>
  <si>
    <t>MMLNTAN001243048C34208</t>
  </si>
  <si>
    <t>82DH0515010013000649650</t>
  </si>
  <si>
    <t>INVITACIONES RESTRINGIDAS</t>
  </si>
  <si>
    <t>0338</t>
  </si>
  <si>
    <t>MESA DE MADERA BASE DE METAL 100X40</t>
  </si>
  <si>
    <t>P12SI-0338</t>
  </si>
  <si>
    <t>P12SI-014</t>
  </si>
  <si>
    <t>P1SI-101</t>
  </si>
  <si>
    <t>5120100007-73</t>
  </si>
  <si>
    <t>82DH0511010010000649682</t>
  </si>
  <si>
    <t>0339</t>
  </si>
  <si>
    <t>P12SI-0339</t>
  </si>
  <si>
    <t>P12SI-015</t>
  </si>
  <si>
    <t>P1SI-88</t>
  </si>
  <si>
    <t>5210100012-68</t>
  </si>
  <si>
    <t>20609351585</t>
  </si>
  <si>
    <t>82DH0565010041000539122</t>
  </si>
  <si>
    <t>0340</t>
  </si>
  <si>
    <t>GRABADORA DE VIDEO</t>
  </si>
  <si>
    <t>DVR</t>
  </si>
  <si>
    <t>P12SI-0340</t>
  </si>
  <si>
    <t>P12SI-016</t>
  </si>
  <si>
    <t>P1SI-105</t>
  </si>
  <si>
    <t>5150100005-119</t>
  </si>
  <si>
    <t>DAHUA</t>
  </si>
  <si>
    <t>DHI-XVR5108HS</t>
  </si>
  <si>
    <t>2L010EFPAPDP140</t>
  </si>
  <si>
    <t>82DH0515010055000651140</t>
  </si>
  <si>
    <t>0341</t>
  </si>
  <si>
    <t>P12SI-0341</t>
  </si>
  <si>
    <t>P12SI-017</t>
  </si>
  <si>
    <t>P1SI-24</t>
  </si>
  <si>
    <t>5150100008-24</t>
  </si>
  <si>
    <t>9730CY0BC575600682</t>
  </si>
  <si>
    <t>82DH0515010016000524719</t>
  </si>
  <si>
    <t>0342</t>
  </si>
  <si>
    <t>P12SI-0342</t>
  </si>
  <si>
    <t>P12SI-018</t>
  </si>
  <si>
    <t>P1SI-61</t>
  </si>
  <si>
    <t>5150100005-115</t>
  </si>
  <si>
    <t>COOLER MASTER</t>
  </si>
  <si>
    <t>MCB-Q500L-KANNS00</t>
  </si>
  <si>
    <t>MCBQ500LKANNS001202901256</t>
  </si>
  <si>
    <t>82DH0515010003000651031</t>
  </si>
  <si>
    <t>0343</t>
  </si>
  <si>
    <t>P12SI-0343</t>
  </si>
  <si>
    <t>P12SI-019</t>
  </si>
  <si>
    <t>P1SI-99</t>
  </si>
  <si>
    <t>CYT15400SVT</t>
  </si>
  <si>
    <t>82DH0565010001000539087</t>
  </si>
  <si>
    <t>0344</t>
  </si>
  <si>
    <t>ADAPTADOR LECTOR DE CD EXTERNO BLUE RAY</t>
  </si>
  <si>
    <t>P12SI-0344</t>
  </si>
  <si>
    <t>P12SI-020</t>
  </si>
  <si>
    <t>P1SI-106</t>
  </si>
  <si>
    <t>5150100005-120</t>
  </si>
  <si>
    <t>BP40MB30</t>
  </si>
  <si>
    <t>409HVHJ974185</t>
  </si>
  <si>
    <t>82DH0515010056000651141</t>
  </si>
  <si>
    <t>0345</t>
  </si>
  <si>
    <t>MONITOR 27"</t>
  </si>
  <si>
    <t>P12SI-0345</t>
  </si>
  <si>
    <t>P12SI-021</t>
  </si>
  <si>
    <t>P1SI-60</t>
  </si>
  <si>
    <t>5150100005-114</t>
  </si>
  <si>
    <t>C27F390FHL</t>
  </si>
  <si>
    <t>BZZMH4ZNB00503M</t>
  </si>
  <si>
    <t>82DH0515010013000651032</t>
  </si>
  <si>
    <t>0346</t>
  </si>
  <si>
    <t>P12SI-0346</t>
  </si>
  <si>
    <t>P1SI-65</t>
  </si>
  <si>
    <t>5110100015-37</t>
  </si>
  <si>
    <t>82DH0511010010000649683</t>
  </si>
  <si>
    <t>0347</t>
  </si>
  <si>
    <t>ESCRITORIO CON 3 CAJONES</t>
  </si>
  <si>
    <t>P12SI-0347</t>
  </si>
  <si>
    <t>P12SI-022</t>
  </si>
  <si>
    <t>P1SI-90</t>
  </si>
  <si>
    <t>5110100015-38</t>
  </si>
  <si>
    <t>82DH0511010029000649676</t>
  </si>
  <si>
    <t>0348</t>
  </si>
  <si>
    <t>MESA DE MADERA CAOBA 60X40</t>
  </si>
  <si>
    <t>P12SI-0348</t>
  </si>
  <si>
    <t>P12SI-023</t>
  </si>
  <si>
    <t>P1SI-91</t>
  </si>
  <si>
    <t>5120100007-69</t>
  </si>
  <si>
    <t>82DH0531010065000564867</t>
  </si>
  <si>
    <t>YURITZI ITZEL RESENDIZ ZARCO</t>
  </si>
  <si>
    <t>0349</t>
  </si>
  <si>
    <t>P12SI-0349</t>
  </si>
  <si>
    <t>P12SI-024</t>
  </si>
  <si>
    <t>P1LP-37</t>
  </si>
  <si>
    <t>5110100011-48</t>
  </si>
  <si>
    <t>82DH0511010017000649712</t>
  </si>
  <si>
    <t>0350</t>
  </si>
  <si>
    <t>P12SI-0350</t>
  </si>
  <si>
    <t>P12SI-025</t>
  </si>
  <si>
    <t>P1SI-66</t>
  </si>
  <si>
    <t>5120100009-65</t>
  </si>
  <si>
    <t>82DH0511010017000522524</t>
  </si>
  <si>
    <t>0351</t>
  </si>
  <si>
    <t>SILLA DE TELA CON RUEDAS</t>
  </si>
  <si>
    <t>P12SI-0351</t>
  </si>
  <si>
    <t>P12SI-026</t>
  </si>
  <si>
    <t>P1SI-43</t>
  </si>
  <si>
    <t>5110100011-120</t>
  </si>
  <si>
    <t>82DH0511010017000651129</t>
  </si>
  <si>
    <t>0352</t>
  </si>
  <si>
    <t>SILLON NEGRA CON RUEDAS</t>
  </si>
  <si>
    <t>P12SI-0352</t>
  </si>
  <si>
    <t>P12SI-027</t>
  </si>
  <si>
    <t>P1LP-40</t>
  </si>
  <si>
    <t>5120100009-34</t>
  </si>
  <si>
    <t>82DH0511010016000516013</t>
  </si>
  <si>
    <t>0353</t>
  </si>
  <si>
    <t>P12SI-0353</t>
  </si>
  <si>
    <t>P12SI-028</t>
  </si>
  <si>
    <t>P1R-23</t>
  </si>
  <si>
    <t>AIO 310 201AP</t>
  </si>
  <si>
    <t>YJ004FPM</t>
  </si>
  <si>
    <t>82DH0515010003000649443</t>
  </si>
  <si>
    <t>OSCAR EFRAIN ORTIZ QUIÑONES</t>
  </si>
  <si>
    <t>0354</t>
  </si>
  <si>
    <t>PANTALLA</t>
  </si>
  <si>
    <t>PANTALLA NEGRA 32"</t>
  </si>
  <si>
    <t>P12SI-0354</t>
  </si>
  <si>
    <t>P12SI-029</t>
  </si>
  <si>
    <t>P1SI-64</t>
  </si>
  <si>
    <t>5210100012-57</t>
  </si>
  <si>
    <t>POLAROID</t>
  </si>
  <si>
    <t>PTB3215LED</t>
  </si>
  <si>
    <t>PLEPPTV3215LM0</t>
  </si>
  <si>
    <t>BAJA EN ALMACEN</t>
  </si>
  <si>
    <t>0355</t>
  </si>
  <si>
    <t>P12SI-0355</t>
  </si>
  <si>
    <t>P12SI-030</t>
  </si>
  <si>
    <t>P0A-4</t>
  </si>
  <si>
    <t>5210100012-21</t>
  </si>
  <si>
    <t>MNLXKAM00155302F64425</t>
  </si>
  <si>
    <t>KARINA CHAVEZ HERNANDEZ</t>
  </si>
  <si>
    <t>0356</t>
  </si>
  <si>
    <t>P12SI-0356</t>
  </si>
  <si>
    <t>P12SI-031</t>
  </si>
  <si>
    <t>P1P-56</t>
  </si>
  <si>
    <t>5650100010-29</t>
  </si>
  <si>
    <t>4LO00H118289</t>
  </si>
  <si>
    <t>82DH0565010001000651111</t>
  </si>
  <si>
    <t>0357</t>
  </si>
  <si>
    <t>MESA DE MADERA COMPLEMENTO TIPO BALA</t>
  </si>
  <si>
    <t>P12SI-0357</t>
  </si>
  <si>
    <t>P12SI-032</t>
  </si>
  <si>
    <t>P1SI-104</t>
  </si>
  <si>
    <t>5120100007-75</t>
  </si>
  <si>
    <t>82DH0511010010000649658</t>
  </si>
  <si>
    <t>LUIS ANTONIO SOLACHE HERNANDEZ</t>
  </si>
  <si>
    <t>0358</t>
  </si>
  <si>
    <t>NO BREAK BLANCO</t>
  </si>
  <si>
    <t>P12SI-0358</t>
  </si>
  <si>
    <t>P12SI-033</t>
  </si>
  <si>
    <t>P1SI-71</t>
  </si>
  <si>
    <t>5150100005-118</t>
  </si>
  <si>
    <t>VICA</t>
  </si>
  <si>
    <t>S900</t>
  </si>
  <si>
    <t>321608302456</t>
  </si>
  <si>
    <t>82DH0515010016000649438</t>
  </si>
  <si>
    <t>MALO PARA BAJA</t>
  </si>
  <si>
    <t>0359</t>
  </si>
  <si>
    <t>ESCRITORIO CON 2 CAJONES Y SEPARADOR DE MADERA</t>
  </si>
  <si>
    <t>P12SI-0359</t>
  </si>
  <si>
    <t>P12SI-034</t>
  </si>
  <si>
    <t>P1SI-126</t>
  </si>
  <si>
    <t>5110100015-40</t>
  </si>
  <si>
    <t>82DJ0511010006000651117</t>
  </si>
  <si>
    <t>FERNANDO TERAN BEDOLLA</t>
  </si>
  <si>
    <t>0360</t>
  </si>
  <si>
    <t>P12SI-0360</t>
  </si>
  <si>
    <t>P12SI-035</t>
  </si>
  <si>
    <t>P1SI-120</t>
  </si>
  <si>
    <t>5210100012-25</t>
  </si>
  <si>
    <t>CNN713041F</t>
  </si>
  <si>
    <t>82DJ0565010041000566531</t>
  </si>
  <si>
    <t>0361</t>
  </si>
  <si>
    <t>P12SI-0361</t>
  </si>
  <si>
    <t>P12SI-036</t>
  </si>
  <si>
    <t>P1SI-125</t>
  </si>
  <si>
    <t>5120100004-34</t>
  </si>
  <si>
    <t>82DJ0515010033000651116</t>
  </si>
  <si>
    <t>0362</t>
  </si>
  <si>
    <t>P12SI-0362</t>
  </si>
  <si>
    <t>P12SI-037</t>
  </si>
  <si>
    <t>P1SI-124</t>
  </si>
  <si>
    <t>5150100008-54</t>
  </si>
  <si>
    <t>1001110220613</t>
  </si>
  <si>
    <t>82DJ0515010016000651115</t>
  </si>
  <si>
    <t>0363</t>
  </si>
  <si>
    <t>P12SI-0363</t>
  </si>
  <si>
    <t>P12SI-038</t>
  </si>
  <si>
    <t>P1SI-121</t>
  </si>
  <si>
    <t>5150100005-39</t>
  </si>
  <si>
    <t>DTSGKAL00321003EC9200</t>
  </si>
  <si>
    <t>82DJ0515010003000649690</t>
  </si>
  <si>
    <t>0364</t>
  </si>
  <si>
    <t>VENTILADOR BLANCO</t>
  </si>
  <si>
    <t>P12SI-0364</t>
  </si>
  <si>
    <t>P12SI-039</t>
  </si>
  <si>
    <t>P1SI-122</t>
  </si>
  <si>
    <t>5190200002-27</t>
  </si>
  <si>
    <t>LASKO</t>
  </si>
  <si>
    <t>2510M</t>
  </si>
  <si>
    <t>82DJ0531010094000564888</t>
  </si>
  <si>
    <t>0365</t>
  </si>
  <si>
    <t>P12SI-0365</t>
  </si>
  <si>
    <t>P12SI-040</t>
  </si>
  <si>
    <t>P1SI-123</t>
  </si>
  <si>
    <t>5120100009-37</t>
  </si>
  <si>
    <t>82DJ0511010016000515599</t>
  </si>
  <si>
    <t>0366</t>
  </si>
  <si>
    <t>ANTENA WIFI</t>
  </si>
  <si>
    <t>P12SI-0366</t>
  </si>
  <si>
    <t>P12SI-041</t>
  </si>
  <si>
    <t>TP-LINK</t>
  </si>
  <si>
    <t>TL-WN722N</t>
  </si>
  <si>
    <t>119B3205593</t>
  </si>
  <si>
    <t>0367</t>
  </si>
  <si>
    <t>P12SI-0367</t>
  </si>
  <si>
    <t>P12SI-042</t>
  </si>
  <si>
    <t>P1SI-113</t>
  </si>
  <si>
    <t>5210100012-23</t>
  </si>
  <si>
    <t>ETLPZ0W0042020195F4321</t>
  </si>
  <si>
    <t>82DJ0565010041000543572</t>
  </si>
  <si>
    <t>0368</t>
  </si>
  <si>
    <t>P12SI-0368</t>
  </si>
  <si>
    <t>P12SI-043</t>
  </si>
  <si>
    <t>P1SI-114</t>
  </si>
  <si>
    <t>5210100012-24</t>
  </si>
  <si>
    <t>ETLPZ0W0042060333D4321</t>
  </si>
  <si>
    <t>82DK0565010041000539105</t>
  </si>
  <si>
    <t>0369</t>
  </si>
  <si>
    <t>P12SI-0369</t>
  </si>
  <si>
    <t>P12SI-044</t>
  </si>
  <si>
    <t>P1SI-111</t>
  </si>
  <si>
    <t>X3990</t>
  </si>
  <si>
    <t>DTSGKAL003203064D39200</t>
  </si>
  <si>
    <t>82DK0515010001000535424</t>
  </si>
  <si>
    <t>0370</t>
  </si>
  <si>
    <t>TARJETA DE RED WIFI (ANTENA) USB</t>
  </si>
  <si>
    <t>P12SI-0370</t>
  </si>
  <si>
    <t>P12SI-045</t>
  </si>
  <si>
    <t>P1SI-117</t>
  </si>
  <si>
    <t>5150100005-122</t>
  </si>
  <si>
    <t>TPLINK</t>
  </si>
  <si>
    <t>TLWN728200ND</t>
  </si>
  <si>
    <t>135A3702854</t>
  </si>
  <si>
    <t>82DJ0515010056000651119</t>
  </si>
  <si>
    <t>0371</t>
  </si>
  <si>
    <t>P12SI-0371</t>
  </si>
  <si>
    <t>P12SI-046</t>
  </si>
  <si>
    <t>P1SI-115</t>
  </si>
  <si>
    <t>5190100027-3</t>
  </si>
  <si>
    <t>QC34907DB0101-34907</t>
  </si>
  <si>
    <t>82DJ0515010014000539051</t>
  </si>
  <si>
    <t>0372</t>
  </si>
  <si>
    <t>VENTILADOR GRIS TORRE</t>
  </si>
  <si>
    <t>P12SI-0372</t>
  </si>
  <si>
    <t>P12SI-047</t>
  </si>
  <si>
    <t>P1SI-108</t>
  </si>
  <si>
    <t>5190200002-26</t>
  </si>
  <si>
    <t>T002834</t>
  </si>
  <si>
    <t>82DJ0519010043000649670</t>
  </si>
  <si>
    <t>0373</t>
  </si>
  <si>
    <t>P12SI-0373</t>
  </si>
  <si>
    <t>P12SI-048</t>
  </si>
  <si>
    <t>P1SI-116</t>
  </si>
  <si>
    <t>5150100005-121</t>
  </si>
  <si>
    <t>2208EEY0BC785702414</t>
  </si>
  <si>
    <t>82DJ0515010016000651118</t>
  </si>
  <si>
    <t>0374</t>
  </si>
  <si>
    <t>P12SI-0374</t>
  </si>
  <si>
    <t>P12SI-049</t>
  </si>
  <si>
    <t>P1SI-112</t>
  </si>
  <si>
    <t>5120100009-36</t>
  </si>
  <si>
    <t>82DJ0511010016000649671</t>
  </si>
  <si>
    <t>0375</t>
  </si>
  <si>
    <t>MODULO DE MADERA 3 PIEZAS</t>
  </si>
  <si>
    <t>P12SI-0375</t>
  </si>
  <si>
    <t>P12SI-050</t>
  </si>
  <si>
    <t>P1SI-109</t>
  </si>
  <si>
    <t>5110100015-39</t>
  </si>
  <si>
    <t>82DK0512010011000535536</t>
  </si>
  <si>
    <t>0376</t>
  </si>
  <si>
    <t>VENTILADOR DE PEDESTAL</t>
  </si>
  <si>
    <t>P12SI-0376</t>
  </si>
  <si>
    <t>P12SI-051</t>
  </si>
  <si>
    <t>P1SI-38</t>
  </si>
  <si>
    <t>5190200002-57</t>
  </si>
  <si>
    <t>VPN-118X</t>
  </si>
  <si>
    <t>82DH0519010043000649359</t>
  </si>
  <si>
    <t>0377</t>
  </si>
  <si>
    <t>SILLON NEGRO CON RUEDAS</t>
  </si>
  <si>
    <t>P12SI-0377</t>
  </si>
  <si>
    <t>P12SI-052</t>
  </si>
  <si>
    <t>P1SI-92</t>
  </si>
  <si>
    <t>5120100009-61</t>
  </si>
  <si>
    <t>82DH0511010016000649653</t>
  </si>
  <si>
    <t>0378</t>
  </si>
  <si>
    <t>P12SI-0378</t>
  </si>
  <si>
    <t>P12SI-053</t>
  </si>
  <si>
    <t>AC1750 C7</t>
  </si>
  <si>
    <t>0379</t>
  </si>
  <si>
    <t>SWITCH BLANCO</t>
  </si>
  <si>
    <t>P12SI-0379</t>
  </si>
  <si>
    <t>P12SI-054</t>
  </si>
  <si>
    <t>P1SI-74</t>
  </si>
  <si>
    <t>5150100005-29</t>
  </si>
  <si>
    <t>3C16471</t>
  </si>
  <si>
    <t>LV5G3L0180219</t>
  </si>
  <si>
    <t>82DH0515010026000566194</t>
  </si>
  <si>
    <t>0380</t>
  </si>
  <si>
    <t>ADAPTADOR LECTOR DE DISCOS DUROS</t>
  </si>
  <si>
    <t>P12SI-0380</t>
  </si>
  <si>
    <t>P12SI-055</t>
  </si>
  <si>
    <t>5150100005-102</t>
  </si>
  <si>
    <t>SABRENT</t>
  </si>
  <si>
    <t>DS-UBLK</t>
  </si>
  <si>
    <t>82DH0515010056000651126</t>
  </si>
  <si>
    <t>0381</t>
  </si>
  <si>
    <t>ADAPTADOR DE RED PARA INTERNO</t>
  </si>
  <si>
    <t>P12SI-0381</t>
  </si>
  <si>
    <t>P12SI-056</t>
  </si>
  <si>
    <t>5150100006-14</t>
  </si>
  <si>
    <t>NETOWORK MANAGEMENT</t>
  </si>
  <si>
    <t>82DH0515010056000649353</t>
  </si>
  <si>
    <t>0382</t>
  </si>
  <si>
    <t>COMPUTADORA PORTATIL NEGRA</t>
  </si>
  <si>
    <t>P12SI-0382</t>
  </si>
  <si>
    <t>P12SI-057</t>
  </si>
  <si>
    <t>5150100005-113</t>
  </si>
  <si>
    <t>AN515-43-R6GB</t>
  </si>
  <si>
    <t>NHQ6ZAL00403605A5A3</t>
  </si>
  <si>
    <t>82DH0515010002000651030</t>
  </si>
  <si>
    <t>0383</t>
  </si>
  <si>
    <t>DISCO DURO 1TB AMARILLO CON NEGRO</t>
  </si>
  <si>
    <t>P12SI-0383</t>
  </si>
  <si>
    <t>P12SI-058</t>
  </si>
  <si>
    <t>5150100006-6</t>
  </si>
  <si>
    <t>HD710P</t>
  </si>
  <si>
    <t>1K0620359143</t>
  </si>
  <si>
    <t>82DH0515010006000650904</t>
  </si>
  <si>
    <t>0384</t>
  </si>
  <si>
    <t>P12SI-0384</t>
  </si>
  <si>
    <t>P12SI-059</t>
  </si>
  <si>
    <t>5150100006-7</t>
  </si>
  <si>
    <t>1K0620359129</t>
  </si>
  <si>
    <t xml:space="preserve">82DH0515010006000650903
</t>
  </si>
  <si>
    <t>0385</t>
  </si>
  <si>
    <t>RACK</t>
  </si>
  <si>
    <t>P12SI-0385</t>
  </si>
  <si>
    <t>P12SS-001</t>
  </si>
  <si>
    <t>P1SI-107</t>
  </si>
  <si>
    <t>5150100006-10</t>
  </si>
  <si>
    <t>358284-821</t>
  </si>
  <si>
    <t>2C11361316</t>
  </si>
  <si>
    <t>82DH0565010046000530787</t>
  </si>
  <si>
    <t>0386</t>
  </si>
  <si>
    <t>SERVIDOR</t>
  </si>
  <si>
    <t>P12SI-0386</t>
  </si>
  <si>
    <t>P12SS-002</t>
  </si>
  <si>
    <t>P1SI-87</t>
  </si>
  <si>
    <t>5150100005-35</t>
  </si>
  <si>
    <t>DELL</t>
  </si>
  <si>
    <t>POWER EDGE R630</t>
  </si>
  <si>
    <t>36575598748</t>
  </si>
  <si>
    <t>82DH0515010042000650641</t>
  </si>
  <si>
    <t>0387</t>
  </si>
  <si>
    <t>P12SI-0387</t>
  </si>
  <si>
    <t>P12SS-003</t>
  </si>
  <si>
    <t>P1SI-27</t>
  </si>
  <si>
    <t>5150100005-79</t>
  </si>
  <si>
    <t>PROLIANT ML115</t>
  </si>
  <si>
    <t>2UX83405L9</t>
  </si>
  <si>
    <t>82DH0515010025000542283</t>
  </si>
  <si>
    <t>0388</t>
  </si>
  <si>
    <t>P12SI-0388</t>
  </si>
  <si>
    <t>P12SS-004</t>
  </si>
  <si>
    <t>P1SI-22</t>
  </si>
  <si>
    <t>5210100012-56</t>
  </si>
  <si>
    <t>G615HDPL</t>
  </si>
  <si>
    <t>ETS4C00944019</t>
  </si>
  <si>
    <t>82DH0565010041000530462</t>
  </si>
  <si>
    <t>0389</t>
  </si>
  <si>
    <t>P12SI-0389</t>
  </si>
  <si>
    <t>P12SS-005</t>
  </si>
  <si>
    <t>P1SI-85</t>
  </si>
  <si>
    <t>AXC100-MP308</t>
  </si>
  <si>
    <t>DTSLRAL00124302AA43000</t>
  </si>
  <si>
    <t>82DH0515010003000649648</t>
  </si>
  <si>
    <t>0390</t>
  </si>
  <si>
    <t>SERVIDOR NAS</t>
  </si>
  <si>
    <t>P12SI-0390</t>
  </si>
  <si>
    <t>P12SS-006</t>
  </si>
  <si>
    <t>P1SI-34</t>
  </si>
  <si>
    <t>5150100005-96</t>
  </si>
  <si>
    <t>SYNOLOGY</t>
  </si>
  <si>
    <t>DS418</t>
  </si>
  <si>
    <t>19B0PHN690503</t>
  </si>
  <si>
    <t>82DH0515010042000649354</t>
  </si>
  <si>
    <t>0391</t>
  </si>
  <si>
    <t>P12SI-0391</t>
  </si>
  <si>
    <t>P12SS-007</t>
  </si>
  <si>
    <t>P1SI-35</t>
  </si>
  <si>
    <t>5150100005-101</t>
  </si>
  <si>
    <t>19B0PHN328102</t>
  </si>
  <si>
    <t>82DH0515010042000649355</t>
  </si>
  <si>
    <t>0392</t>
  </si>
  <si>
    <t>P12SI-0392</t>
  </si>
  <si>
    <t>P12SS-008</t>
  </si>
  <si>
    <t>P1SI-36</t>
  </si>
  <si>
    <t>5150100008-53</t>
  </si>
  <si>
    <t>3R300XR</t>
  </si>
  <si>
    <t>MXL845190T</t>
  </si>
  <si>
    <t>82DH0515010016000522283</t>
  </si>
  <si>
    <t>0393</t>
  </si>
  <si>
    <t>RACK PARA CHAROLAS</t>
  </si>
  <si>
    <t>P12SI-0393</t>
  </si>
  <si>
    <t>P12SS-009</t>
  </si>
  <si>
    <t>P1SI-51</t>
  </si>
  <si>
    <t>5150100005-108</t>
  </si>
  <si>
    <t>30394</t>
  </si>
  <si>
    <t>82DH0515010047000651137</t>
  </si>
  <si>
    <t>0394</t>
  </si>
  <si>
    <t>P12SI-0394</t>
  </si>
  <si>
    <t>P12SS-010</t>
  </si>
  <si>
    <t>P1SI-83</t>
  </si>
  <si>
    <t>5150100005-32</t>
  </si>
  <si>
    <t>SG250-50P</t>
  </si>
  <si>
    <t>SNPSZ23031HV4</t>
  </si>
  <si>
    <t>82DH0515010026000649641</t>
  </si>
  <si>
    <t>0395</t>
  </si>
  <si>
    <t>PANEL DE PARCHEO</t>
  </si>
  <si>
    <t>P12SI-0395</t>
  </si>
  <si>
    <t>P12SS-011</t>
  </si>
  <si>
    <t>P1SI-33</t>
  </si>
  <si>
    <t>5150100005-104</t>
  </si>
  <si>
    <t>SBETECH</t>
  </si>
  <si>
    <t>82DH0515010017000651124</t>
  </si>
  <si>
    <t>0396</t>
  </si>
  <si>
    <t>P12SI-0396</t>
  </si>
  <si>
    <t>P12SS-012</t>
  </si>
  <si>
    <t>P1SI-32</t>
  </si>
  <si>
    <t>5150100005-105</t>
  </si>
  <si>
    <t>0397</t>
  </si>
  <si>
    <t>P12SI-0397</t>
  </si>
  <si>
    <t>P12SS-013</t>
  </si>
  <si>
    <t>P1SI-75</t>
  </si>
  <si>
    <t>5150100005-31</t>
  </si>
  <si>
    <t>LV5G3K0177781</t>
  </si>
  <si>
    <t>82DH0515010026000566177</t>
  </si>
  <si>
    <t>0398</t>
  </si>
  <si>
    <t>P12SI-0398</t>
  </si>
  <si>
    <t>P12SS-014</t>
  </si>
  <si>
    <t>P1SI-94</t>
  </si>
  <si>
    <t>5150100005-69</t>
  </si>
  <si>
    <t>NIALG1004</t>
  </si>
  <si>
    <t>015007303117</t>
  </si>
  <si>
    <t>82DH0515010003000650638</t>
  </si>
  <si>
    <t>0399</t>
  </si>
  <si>
    <t>P12SI-0399</t>
  </si>
  <si>
    <t>P12SS-015</t>
  </si>
  <si>
    <t>P1SI-62</t>
  </si>
  <si>
    <t>5150100008-43</t>
  </si>
  <si>
    <t>SUA3000</t>
  </si>
  <si>
    <t>AS1918154494</t>
  </si>
  <si>
    <t>82DH0515010016000649411</t>
  </si>
  <si>
    <t>0400</t>
  </si>
  <si>
    <t>P12SI-0400</t>
  </si>
  <si>
    <t>P12SS-016</t>
  </si>
  <si>
    <t>P1SI-93</t>
  </si>
  <si>
    <t>SMART 2200</t>
  </si>
  <si>
    <t>9705BD0SM6383P0086</t>
  </si>
  <si>
    <t>82DH0515010016000539082</t>
  </si>
  <si>
    <t>0401</t>
  </si>
  <si>
    <t>AIRE ACONDICIONADO</t>
  </si>
  <si>
    <t>AIRE ACONDICIONADO BLANCO</t>
  </si>
  <si>
    <t>P12SI-0401</t>
  </si>
  <si>
    <t>P12SS-017</t>
  </si>
  <si>
    <t>P1SI-98</t>
  </si>
  <si>
    <t>5640100001-3</t>
  </si>
  <si>
    <t>CARRIER</t>
  </si>
  <si>
    <t>40PRC183A-E</t>
  </si>
  <si>
    <t>D202932040216C21170406</t>
  </si>
  <si>
    <t>0402</t>
  </si>
  <si>
    <t>P12SI-0402</t>
  </si>
  <si>
    <t>P12SS-018</t>
  </si>
  <si>
    <t>P1SI-28</t>
  </si>
  <si>
    <t>5210100012-73</t>
  </si>
  <si>
    <t>SYNCMASTER632NW</t>
  </si>
  <si>
    <t>PE16H9NQ210224R</t>
  </si>
  <si>
    <t>82DH0565010041000566530</t>
  </si>
  <si>
    <t>0403</t>
  </si>
  <si>
    <t>P12SI-0403</t>
  </si>
  <si>
    <t>P12SS-019</t>
  </si>
  <si>
    <t>P0A-14</t>
  </si>
  <si>
    <t>10113 C240</t>
  </si>
  <si>
    <t>CS01173448</t>
  </si>
  <si>
    <t>82DK0515010003000649507</t>
  </si>
  <si>
    <t>CONTROL Y SEGUIMIENTO DE ACUERDOS</t>
  </si>
  <si>
    <t>LIZBETH JIMENEZ JERONIMO</t>
  </si>
  <si>
    <t>0404</t>
  </si>
  <si>
    <t>P12SI-0405</t>
  </si>
  <si>
    <t>P12SS-021</t>
  </si>
  <si>
    <t>P2SYA-19</t>
  </si>
  <si>
    <t>HP PAVILION AIO 20-E002LA</t>
  </si>
  <si>
    <t>RTN8188EENF</t>
  </si>
  <si>
    <t>82DH0515010003000649378</t>
  </si>
  <si>
    <t>0405</t>
  </si>
  <si>
    <t>P12SI-0406</t>
  </si>
  <si>
    <t>P12SS-022</t>
  </si>
  <si>
    <t>P0RH-36</t>
  </si>
  <si>
    <t>AIO10113 C240</t>
  </si>
  <si>
    <t>CS01173496</t>
  </si>
  <si>
    <t>82DK0515010003000649484</t>
  </si>
  <si>
    <t>0406</t>
  </si>
  <si>
    <t>ASPIRADORA BLANCA</t>
  </si>
  <si>
    <t>P12SI-0407</t>
  </si>
  <si>
    <t>P12SS-023</t>
  </si>
  <si>
    <t>P1SI-84</t>
  </si>
  <si>
    <t>5690100100-1</t>
  </si>
  <si>
    <t>DV100KG3</t>
  </si>
  <si>
    <t>175916055</t>
  </si>
  <si>
    <t>0407</t>
  </si>
  <si>
    <t>P12SI-0408</t>
  </si>
  <si>
    <t>P12SS-024</t>
  </si>
  <si>
    <t>P1P-25</t>
  </si>
  <si>
    <t>5150100005-116</t>
  </si>
  <si>
    <t>CNC816Y3C2</t>
  </si>
  <si>
    <t>82DJ0565010041000530454</t>
  </si>
  <si>
    <t>MALO EN ALMACEN</t>
  </si>
  <si>
    <t>0408</t>
  </si>
  <si>
    <t>P12SI-0409</t>
  </si>
  <si>
    <t>P12SS-025</t>
  </si>
  <si>
    <t>P1SI-81</t>
  </si>
  <si>
    <t>5660100057-11</t>
  </si>
  <si>
    <t>08091K</t>
  </si>
  <si>
    <t>82DH0515010020000541697</t>
  </si>
  <si>
    <t>0409</t>
  </si>
  <si>
    <t>P12SI-0410</t>
  </si>
  <si>
    <t>P12SS-026</t>
  </si>
  <si>
    <t>P1SI-20</t>
  </si>
  <si>
    <t>5210100012-54</t>
  </si>
  <si>
    <t>PE16H9NQ212118W</t>
  </si>
  <si>
    <t>82DH0565010041000539113</t>
  </si>
  <si>
    <t>0410</t>
  </si>
  <si>
    <t>RACK LICITACIONES</t>
  </si>
  <si>
    <t>P12SI-0411</t>
  </si>
  <si>
    <t>P12SS-027</t>
  </si>
  <si>
    <t>P1SI-56</t>
  </si>
  <si>
    <t>5150100006-15</t>
  </si>
  <si>
    <t>82DH0515010047000651134</t>
  </si>
  <si>
    <t>CHRISTIAN ZARCO MERCADO (SO)</t>
  </si>
  <si>
    <t>0411</t>
  </si>
  <si>
    <t>P12SI-0412</t>
  </si>
  <si>
    <t>P12SS-028</t>
  </si>
  <si>
    <t>P1SI-57</t>
  </si>
  <si>
    <t>5150100005-111</t>
  </si>
  <si>
    <t>INTELINET</t>
  </si>
  <si>
    <t>82DH0515010017000651138</t>
  </si>
  <si>
    <t>0412</t>
  </si>
  <si>
    <t>P12SI-0413</t>
  </si>
  <si>
    <t>P12SS-029</t>
  </si>
  <si>
    <t>P1SI-58</t>
  </si>
  <si>
    <t>5150100005-117</t>
  </si>
  <si>
    <t>82DH0515010026000566183</t>
  </si>
  <si>
    <t>0413</t>
  </si>
  <si>
    <t>ANAQUEL DE METAL  GRIS DE 2 PUERTAS 182X91X46</t>
  </si>
  <si>
    <t>P12SI-0414</t>
  </si>
  <si>
    <t>P12SS-030</t>
  </si>
  <si>
    <t>P1SI-11</t>
  </si>
  <si>
    <t>5290300001-8</t>
  </si>
  <si>
    <t>82DH0511010009000584141</t>
  </si>
  <si>
    <t>0414</t>
  </si>
  <si>
    <t>P12SI-0415</t>
  </si>
  <si>
    <t>P12SS-031</t>
  </si>
  <si>
    <t>P1SI-53</t>
  </si>
  <si>
    <t>5150100005-109</t>
  </si>
  <si>
    <t>82DH0515010047000651133</t>
  </si>
  <si>
    <t>CHRISTIAN ZARCO MERCADO (SJ)</t>
  </si>
  <si>
    <t>0415</t>
  </si>
  <si>
    <t>P12SI-0416</t>
  </si>
  <si>
    <t>P12SS-032</t>
  </si>
  <si>
    <t>P1SI-54</t>
  </si>
  <si>
    <t>5150100005-107</t>
  </si>
  <si>
    <t>82DH0515010017000651135</t>
  </si>
  <si>
    <t>0416</t>
  </si>
  <si>
    <t>P12SI-0417</t>
  </si>
  <si>
    <t>P12SS-033</t>
  </si>
  <si>
    <t>P1SI-55</t>
  </si>
  <si>
    <t>5150100005-110</t>
  </si>
  <si>
    <t>NETGEAR</t>
  </si>
  <si>
    <t>SS726TP</t>
  </si>
  <si>
    <t>1DA68B5K00318</t>
  </si>
  <si>
    <t>82DH0515010026000651136</t>
  </si>
  <si>
    <t>0417</t>
  </si>
  <si>
    <t>MESA HEXAGONAL</t>
  </si>
  <si>
    <t>P12SI-0418</t>
  </si>
  <si>
    <t>P12SS-034</t>
  </si>
  <si>
    <t>P1SI-23</t>
  </si>
  <si>
    <t>5110100015-75</t>
  </si>
  <si>
    <t>82DH0512010011000517107</t>
  </si>
  <si>
    <t>0418</t>
  </si>
  <si>
    <t>CAMARA DE VIGILANCIA</t>
  </si>
  <si>
    <t>P12SI-0419</t>
  </si>
  <si>
    <t>P12SS-035</t>
  </si>
  <si>
    <t>P1SI-2</t>
  </si>
  <si>
    <t>5190100023-1</t>
  </si>
  <si>
    <t>SIESE</t>
  </si>
  <si>
    <t>SS-XDP08W3.60</t>
  </si>
  <si>
    <t>597U47002510097</t>
  </si>
  <si>
    <t>82DH0523010002000649669</t>
  </si>
  <si>
    <t>(SJ)</t>
  </si>
  <si>
    <t>0419</t>
  </si>
  <si>
    <t>P12SI-0420</t>
  </si>
  <si>
    <t>P12SS-036</t>
  </si>
  <si>
    <t>P1SI-3</t>
  </si>
  <si>
    <t>5190100023-2</t>
  </si>
  <si>
    <t>SS-XBF20W3.60</t>
  </si>
  <si>
    <t>597U48011510172</t>
  </si>
  <si>
    <t>82DH0523010002000649668</t>
  </si>
  <si>
    <t>(DG)</t>
  </si>
  <si>
    <t>0420</t>
  </si>
  <si>
    <t>P12SI-0421</t>
  </si>
  <si>
    <t>P12SS-037</t>
  </si>
  <si>
    <t>P1SI-4</t>
  </si>
  <si>
    <t>5190100023-3</t>
  </si>
  <si>
    <t>SS-XBF20J.60</t>
  </si>
  <si>
    <t>597U48011510177</t>
  </si>
  <si>
    <t>82DH0523010002000649667</t>
  </si>
  <si>
    <t>(PP)</t>
  </si>
  <si>
    <t>0421</t>
  </si>
  <si>
    <t>P12SI-0422</t>
  </si>
  <si>
    <t>P12SS-038</t>
  </si>
  <si>
    <t>P1SI-5</t>
  </si>
  <si>
    <t>5190100023-4</t>
  </si>
  <si>
    <t>597U48011510158</t>
  </si>
  <si>
    <t>82DH0523010002000649666</t>
  </si>
  <si>
    <t>(E.ENTRADA)</t>
  </si>
  <si>
    <t>0422</t>
  </si>
  <si>
    <t>P12SI-0423</t>
  </si>
  <si>
    <t>P12SS-039</t>
  </si>
  <si>
    <t>P1SI-6</t>
  </si>
  <si>
    <t>5190100023-5</t>
  </si>
  <si>
    <t>597U48011510436</t>
  </si>
  <si>
    <t>82DH0523010002000649665</t>
  </si>
  <si>
    <t>(ENTRADA)</t>
  </si>
  <si>
    <t>0423</t>
  </si>
  <si>
    <t>P12SI-0424</t>
  </si>
  <si>
    <t>P12SS-040</t>
  </si>
  <si>
    <t>P1SI-7</t>
  </si>
  <si>
    <t>5190100023-6</t>
  </si>
  <si>
    <t>XBF20W3.60</t>
  </si>
  <si>
    <t>597U48011510154</t>
  </si>
  <si>
    <t>82DH0523010002000649664</t>
  </si>
  <si>
    <t>(ALMACEN)</t>
  </si>
  <si>
    <t>0424</t>
  </si>
  <si>
    <t>P12SI-0425</t>
  </si>
  <si>
    <t>P12SS-041</t>
  </si>
  <si>
    <t>P1SI-8</t>
  </si>
  <si>
    <t>5190100023-7</t>
  </si>
  <si>
    <t>SS-XDF08W360</t>
  </si>
  <si>
    <t>597U47002510118</t>
  </si>
  <si>
    <t>82DH0523010002000649663</t>
  </si>
  <si>
    <t>(DA)</t>
  </si>
  <si>
    <t>0425</t>
  </si>
  <si>
    <t>P12SI-0426</t>
  </si>
  <si>
    <t>P12SS-042</t>
  </si>
  <si>
    <t>P1SI-9</t>
  </si>
  <si>
    <t>5190100023-8</t>
  </si>
  <si>
    <t>AYTECH</t>
  </si>
  <si>
    <t>AVC153N/F38</t>
  </si>
  <si>
    <t>EHME00328</t>
  </si>
  <si>
    <t>82DH0523010002000649662</t>
  </si>
  <si>
    <t>(E.ESQUINA)</t>
  </si>
  <si>
    <t>0426</t>
  </si>
  <si>
    <t>P12SI-0427</t>
  </si>
  <si>
    <t>P12SS-043</t>
  </si>
  <si>
    <t>NANO STATION 2</t>
  </si>
  <si>
    <t>SWX-NS2</t>
  </si>
  <si>
    <t>6545A-NS2</t>
  </si>
  <si>
    <t>0427</t>
  </si>
  <si>
    <t>P12SI-0428</t>
  </si>
  <si>
    <t>P12SS-044</t>
  </si>
  <si>
    <t>UBIQUITI</t>
  </si>
  <si>
    <t>UAP-AC-LR</t>
  </si>
  <si>
    <t>SWX-UAPACLR</t>
  </si>
  <si>
    <t>0428</t>
  </si>
  <si>
    <t>P12SI-0429</t>
  </si>
  <si>
    <t>P12SS-045</t>
  </si>
  <si>
    <t>6544A-NS2</t>
  </si>
  <si>
    <t>0429</t>
  </si>
  <si>
    <t>P12SI-0430</t>
  </si>
  <si>
    <t>P12SS-046</t>
  </si>
  <si>
    <t>STARCAM</t>
  </si>
  <si>
    <t>H6837W1</t>
  </si>
  <si>
    <t>0430</t>
  </si>
  <si>
    <t>DRAYTEK</t>
  </si>
  <si>
    <t>VIGOR2910V</t>
  </si>
  <si>
    <t>82DH0515010022000651131</t>
  </si>
  <si>
    <t>0431</t>
  </si>
  <si>
    <t>P12PL-0431</t>
  </si>
  <si>
    <t>P12PL-001</t>
  </si>
  <si>
    <t>P1DP-13</t>
  </si>
  <si>
    <t>CCQ17280CMP</t>
  </si>
  <si>
    <t>82DJ0565010001000649698</t>
  </si>
  <si>
    <t>PLANEACIÓN</t>
  </si>
  <si>
    <t>EDNA PATRICIA CARMONA CHAVEZ</t>
  </si>
  <si>
    <t>0432</t>
  </si>
  <si>
    <t>P12PL-0432</t>
  </si>
  <si>
    <t>P12PL-002</t>
  </si>
  <si>
    <t>P1DP-17</t>
  </si>
  <si>
    <t>5660100057-10</t>
  </si>
  <si>
    <t>161143648</t>
  </si>
  <si>
    <t>82DJ0515010020000650647</t>
  </si>
  <si>
    <t>0433</t>
  </si>
  <si>
    <t>ESCRITORIO  DE MADERA DE 2 PIEZAS TIPO L</t>
  </si>
  <si>
    <t>P12PL-0433</t>
  </si>
  <si>
    <t>P12PL-003</t>
  </si>
  <si>
    <t>P1DP-11</t>
  </si>
  <si>
    <t>5110100015-34</t>
  </si>
  <si>
    <t>82DJ0511010006000518509</t>
  </si>
  <si>
    <t>0434</t>
  </si>
  <si>
    <t>P12PL-0434</t>
  </si>
  <si>
    <t>P12PL-004</t>
  </si>
  <si>
    <t>P1DP-12</t>
  </si>
  <si>
    <t>5120100009-30</t>
  </si>
  <si>
    <t>82DJ0511010016000649697</t>
  </si>
  <si>
    <t>0435</t>
  </si>
  <si>
    <t>P12PL-0435</t>
  </si>
  <si>
    <t>P12PL-005</t>
  </si>
  <si>
    <t>5110100011-41</t>
  </si>
  <si>
    <t>82DJ0511010017000649555</t>
  </si>
  <si>
    <t>0436</t>
  </si>
  <si>
    <t>P12PL-0436</t>
  </si>
  <si>
    <t>P12PL-006</t>
  </si>
  <si>
    <t>P1DP-9</t>
  </si>
  <si>
    <t>5110100011-44</t>
  </si>
  <si>
    <t>82DJ0511010017000649696</t>
  </si>
  <si>
    <t>0437</t>
  </si>
  <si>
    <t>ANAQUEL DE MADERA CON METAL DE 2 PUERTAS 184.5X80X41</t>
  </si>
  <si>
    <t>P12PL-0437</t>
  </si>
  <si>
    <t>P12PL-007</t>
  </si>
  <si>
    <t>P1DP-8</t>
  </si>
  <si>
    <t>5290300001-7</t>
  </si>
  <si>
    <t>82DJ0511010020000649694</t>
  </si>
  <si>
    <t>0438</t>
  </si>
  <si>
    <t>ARCHIVERO DE MADERA CON 4 CAJONES 127X49X57</t>
  </si>
  <si>
    <t>P12PL-0438</t>
  </si>
  <si>
    <t>P12PL-008</t>
  </si>
  <si>
    <t>P1DP-7</t>
  </si>
  <si>
    <t>5130100013-17</t>
  </si>
  <si>
    <t>82DJ0511010001000649693</t>
  </si>
  <si>
    <t>0439</t>
  </si>
  <si>
    <t>P12PL-0439</t>
  </si>
  <si>
    <t>P12PL-009</t>
  </si>
  <si>
    <t>P1DP-16</t>
  </si>
  <si>
    <t>5190200002-22</t>
  </si>
  <si>
    <t>.</t>
  </si>
  <si>
    <t>0440</t>
  </si>
  <si>
    <t>SILLA CAFÉ CON METAL TAPIZADA EN VINIPIEL</t>
  </si>
  <si>
    <t>P12PL-0440</t>
  </si>
  <si>
    <t>P12PL-010</t>
  </si>
  <si>
    <t>P1DP-18</t>
  </si>
  <si>
    <t>5110100011-110</t>
  </si>
  <si>
    <t>82DJ0511010017000516236</t>
  </si>
  <si>
    <t>ALFREDO GONZALEZ HERNANDEZ</t>
  </si>
  <si>
    <t>0441</t>
  </si>
  <si>
    <t>P12PL-0441</t>
  </si>
  <si>
    <t>P12PL-011</t>
  </si>
  <si>
    <t>P1DP-15</t>
  </si>
  <si>
    <t>5150100005-27</t>
  </si>
  <si>
    <t>337864</t>
  </si>
  <si>
    <t>82DJ0515010001000650659</t>
  </si>
  <si>
    <t>0442</t>
  </si>
  <si>
    <t>P12PL-0442</t>
  </si>
  <si>
    <t>P12PL-012</t>
  </si>
  <si>
    <t>P1DP-14</t>
  </si>
  <si>
    <t>5210100012-18</t>
  </si>
  <si>
    <t>CMG2017180136800493</t>
  </si>
  <si>
    <t>82DJ0515010013000650649</t>
  </si>
  <si>
    <t>0443</t>
  </si>
  <si>
    <t>ESCRITORIO DE MADERA CAOBA BASE DE METAL GRIS 121X76</t>
  </si>
  <si>
    <t>P12PL-0443</t>
  </si>
  <si>
    <t>P12PL-013</t>
  </si>
  <si>
    <t>P0CV-21</t>
  </si>
  <si>
    <t>5110100015-54</t>
  </si>
  <si>
    <t>82DJ0511010006000649494</t>
  </si>
  <si>
    <t>JOSE CHRISTIAN ARREOLA ALVAREZ</t>
  </si>
  <si>
    <t>0444</t>
  </si>
  <si>
    <t>SILLA AZUL DE TELA FIJA TUBULAR REDONDO NEGRO</t>
  </si>
  <si>
    <t>P12PL-0444</t>
  </si>
  <si>
    <t>P12PL-014</t>
  </si>
  <si>
    <t>0445</t>
  </si>
  <si>
    <t>P12PL-0445</t>
  </si>
  <si>
    <t>P12PL-015</t>
  </si>
  <si>
    <t>POAR-44</t>
  </si>
  <si>
    <t>5660100057-24</t>
  </si>
  <si>
    <t>82DJ0515010020000650896</t>
  </si>
  <si>
    <t>0446</t>
  </si>
  <si>
    <t>P12PL-0446</t>
  </si>
  <si>
    <t>P12PL-016</t>
  </si>
  <si>
    <t>P1DP-6</t>
  </si>
  <si>
    <t>5120100007-45</t>
  </si>
  <si>
    <t>82DJ0531010065000564790</t>
  </si>
  <si>
    <t>0447</t>
  </si>
  <si>
    <t>P12PL-0447</t>
  </si>
  <si>
    <t>P12PL-017</t>
  </si>
  <si>
    <t>P1DP-1</t>
  </si>
  <si>
    <t>5110100015-22</t>
  </si>
  <si>
    <t>82DJ0511010006000649700</t>
  </si>
  <si>
    <t>0448</t>
  </si>
  <si>
    <t>P12PL-0448</t>
  </si>
  <si>
    <t>P12PL-018</t>
  </si>
  <si>
    <t>P1DP-3</t>
  </si>
  <si>
    <t>5150100005-17</t>
  </si>
  <si>
    <t>MXJ819035X</t>
  </si>
  <si>
    <t>82DJ0515010003000649699</t>
  </si>
  <si>
    <t>0449</t>
  </si>
  <si>
    <t>P12PL-0449</t>
  </si>
  <si>
    <t>P12PL-019</t>
  </si>
  <si>
    <t>P1DP-4</t>
  </si>
  <si>
    <t>5150100008-12</t>
  </si>
  <si>
    <t>82DJ0515010016000649433</t>
  </si>
  <si>
    <t>0450</t>
  </si>
  <si>
    <t>P12PL-0450</t>
  </si>
  <si>
    <t>P12PL-020</t>
  </si>
  <si>
    <t>P1DP-2</t>
  </si>
  <si>
    <t>5120100004-5</t>
  </si>
  <si>
    <t>82DJ0515010033000566421</t>
  </si>
  <si>
    <t>0451</t>
  </si>
  <si>
    <t>P12PL-0451</t>
  </si>
  <si>
    <t>P12PL-021</t>
  </si>
  <si>
    <t>P1DP-5</t>
  </si>
  <si>
    <t>5210100012-10</t>
  </si>
  <si>
    <t>CNNB1303FP</t>
  </si>
  <si>
    <t>82DJ0565010041000539110</t>
  </si>
  <si>
    <t>0452</t>
  </si>
  <si>
    <t>P12PL-0452</t>
  </si>
  <si>
    <t>P12PL-022</t>
  </si>
  <si>
    <t>P1DP-10</t>
  </si>
  <si>
    <t>5110100011-45</t>
  </si>
  <si>
    <t>82DJ0511010017000649695</t>
  </si>
  <si>
    <t>0453</t>
  </si>
  <si>
    <t>SILLON EJECUTIVO DE TELA AZUL</t>
  </si>
  <si>
    <t>P12PL-0453</t>
  </si>
  <si>
    <t>P12PL-023</t>
  </si>
  <si>
    <t>P1DP-A1</t>
  </si>
  <si>
    <t>5120100009-35</t>
  </si>
  <si>
    <t>82DJ0511010016000515601</t>
  </si>
  <si>
    <t>0454</t>
  </si>
  <si>
    <t>P12PL-0454</t>
  </si>
  <si>
    <t>P12PL-024</t>
  </si>
  <si>
    <t>5140100006-16</t>
  </si>
  <si>
    <t>AHV-300</t>
  </si>
  <si>
    <t>1L0820262645</t>
  </si>
  <si>
    <t>0455</t>
  </si>
  <si>
    <t>P12CT-0455</t>
  </si>
  <si>
    <t>P12CS-001</t>
  </si>
  <si>
    <t>P1CSA-2</t>
  </si>
  <si>
    <t>5290300001-10</t>
  </si>
  <si>
    <t>82DJ0511010009000584161</t>
  </si>
  <si>
    <t>ELEAZAR LOPEZ LOPEZ</t>
  </si>
  <si>
    <t>0456</t>
  </si>
  <si>
    <t>P12CT-0456</t>
  </si>
  <si>
    <t>P12CS-002</t>
  </si>
  <si>
    <t>P1CSA-31</t>
  </si>
  <si>
    <t>5190200002-33</t>
  </si>
  <si>
    <t>SEVILLE CLASIC</t>
  </si>
  <si>
    <t>82DJ0519010043000649551</t>
  </si>
  <si>
    <t>0457</t>
  </si>
  <si>
    <t>P12CT-0457</t>
  </si>
  <si>
    <t>P12CS-003</t>
  </si>
  <si>
    <t>P1CSA-5</t>
  </si>
  <si>
    <t>5120100007-86</t>
  </si>
  <si>
    <t>82DJ0531010065000564798</t>
  </si>
  <si>
    <t>0458</t>
  </si>
  <si>
    <t>ARCHIVERO BEIGE DE METAL 4 CAJONES</t>
  </si>
  <si>
    <t>P12CT-0458</t>
  </si>
  <si>
    <t>P12CS-004</t>
  </si>
  <si>
    <t>P1CSA-1</t>
  </si>
  <si>
    <t>5130100013-15</t>
  </si>
  <si>
    <t>82DJ0511010001000649533</t>
  </si>
  <si>
    <t>0459</t>
  </si>
  <si>
    <t>ESTANTE GRIS DE METAL CON 5 CHAROLAS</t>
  </si>
  <si>
    <t>P12CT-0459</t>
  </si>
  <si>
    <t>P12CS-005</t>
  </si>
  <si>
    <t>P1CSA-32</t>
  </si>
  <si>
    <t>2110200030-13</t>
  </si>
  <si>
    <t>82DJ0511010028000584044</t>
  </si>
  <si>
    <t>0460</t>
  </si>
  <si>
    <t>P12CT-0460</t>
  </si>
  <si>
    <t>P12CS-006</t>
  </si>
  <si>
    <t>P1CSA-4</t>
  </si>
  <si>
    <t>5150100005-45</t>
  </si>
  <si>
    <t>8CC5390ND5</t>
  </si>
  <si>
    <t>82DJ0515010003000649379</t>
  </si>
  <si>
    <t>BAJA</t>
  </si>
  <si>
    <t>ALEJANDRO ESTRADA SALINAS (AFUERA DIRECCION)</t>
  </si>
  <si>
    <t>0461</t>
  </si>
  <si>
    <t>ESTANTE GRIS DE METAL CON 6 CHAROLAS</t>
  </si>
  <si>
    <t>P12CT-0461</t>
  </si>
  <si>
    <t>P12CS-007</t>
  </si>
  <si>
    <t>P1CSA-15</t>
  </si>
  <si>
    <t>5290300001-12</t>
  </si>
  <si>
    <t>82DJ0511010020000649536</t>
  </si>
  <si>
    <t>0462</t>
  </si>
  <si>
    <t>P12CT-0462</t>
  </si>
  <si>
    <t>P12CS-008</t>
  </si>
  <si>
    <t>P1CSA-22</t>
  </si>
  <si>
    <t>5110100011-67</t>
  </si>
  <si>
    <t>82DJ0511010017000649538</t>
  </si>
  <si>
    <t>0463</t>
  </si>
  <si>
    <t>P12CT-0463</t>
  </si>
  <si>
    <t>P12CS-009</t>
  </si>
  <si>
    <t>P1CSA-6</t>
  </si>
  <si>
    <t>5120100007-87</t>
  </si>
  <si>
    <t>82DJ0531010065000564777</t>
  </si>
  <si>
    <t>0464</t>
  </si>
  <si>
    <t>MESA DE MADERA CON RUEDAS 60X40</t>
  </si>
  <si>
    <t>P12CT-0464</t>
  </si>
  <si>
    <t>P12CS-010</t>
  </si>
  <si>
    <t>P1CSA-7</t>
  </si>
  <si>
    <t>5120100007-88</t>
  </si>
  <si>
    <t>82DJ0511010010000649543</t>
  </si>
  <si>
    <t>0465</t>
  </si>
  <si>
    <t>SILLON NEGRO DE PIEL</t>
  </si>
  <si>
    <t>P12CT-0465</t>
  </si>
  <si>
    <t>P12CS-011</t>
  </si>
  <si>
    <t>P1CSA-8</t>
  </si>
  <si>
    <t>5120100009-43</t>
  </si>
  <si>
    <t>82DJ0511010016000515608</t>
  </si>
  <si>
    <t>0466</t>
  </si>
  <si>
    <t>P12CT-0466</t>
  </si>
  <si>
    <t>P12CS-012</t>
  </si>
  <si>
    <t>P1CSA-9</t>
  </si>
  <si>
    <t>5120100009-42</t>
  </si>
  <si>
    <t>82DJ0511010016000515609</t>
  </si>
  <si>
    <t>0467</t>
  </si>
  <si>
    <t>PERCHERO DE MADERA CAFÉ</t>
  </si>
  <si>
    <t>P12CT-0467</t>
  </si>
  <si>
    <t>P12CS-013</t>
  </si>
  <si>
    <t>P1CSA-14</t>
  </si>
  <si>
    <t>5120100008-2</t>
  </si>
  <si>
    <t>82DJ0512010018000565672</t>
  </si>
  <si>
    <t>0468</t>
  </si>
  <si>
    <t>ANAQUEL DE MADERA CON 2 PUERTAS 164X80X43</t>
  </si>
  <si>
    <t>P12CT-0468</t>
  </si>
  <si>
    <t>P12CS-014</t>
  </si>
  <si>
    <t>P1CSA-10</t>
  </si>
  <si>
    <t>5290300001-11</t>
  </si>
  <si>
    <t>82DK0511010009000518520</t>
  </si>
  <si>
    <t>0469</t>
  </si>
  <si>
    <t>MESA COMPLEMENTO DE MADERA</t>
  </si>
  <si>
    <t>P12CT-0469</t>
  </si>
  <si>
    <t>P1CSA-28</t>
  </si>
  <si>
    <t>5120100007-91</t>
  </si>
  <si>
    <t>82DJ0531010065000564860</t>
  </si>
  <si>
    <t>0470</t>
  </si>
  <si>
    <t>ESCRITORIO DE MADERA DE 3 PIEZAS</t>
  </si>
  <si>
    <t>P12CT-0470</t>
  </si>
  <si>
    <t>P12CS-015</t>
  </si>
  <si>
    <t>P1CSA-11</t>
  </si>
  <si>
    <t>5110100015-49</t>
  </si>
  <si>
    <t>82DJ0511010006000583457</t>
  </si>
  <si>
    <t>0471</t>
  </si>
  <si>
    <t>P12CT-0471</t>
  </si>
  <si>
    <t>P12CS-016</t>
  </si>
  <si>
    <t>P1CSA-23</t>
  </si>
  <si>
    <t>5210100012-33</t>
  </si>
  <si>
    <t>20802286443</t>
  </si>
  <si>
    <t>82DJ0515010013000649547</t>
  </si>
  <si>
    <t>0472</t>
  </si>
  <si>
    <t>P12CT-0472</t>
  </si>
  <si>
    <t>P12CS-017</t>
  </si>
  <si>
    <t>P1CSA-3</t>
  </si>
  <si>
    <t>5210100012-32</t>
  </si>
  <si>
    <t>CMG2017180136801849</t>
  </si>
  <si>
    <t>82DK0515010013000650657</t>
  </si>
  <si>
    <t>0473</t>
  </si>
  <si>
    <t>P12CT-0473</t>
  </si>
  <si>
    <t>P12CS-018</t>
  </si>
  <si>
    <t>P1CSA-13</t>
  </si>
  <si>
    <t>5650100010-21</t>
  </si>
  <si>
    <t>4LO00H118466</t>
  </si>
  <si>
    <t>82DJ0565010001000539086</t>
  </si>
  <si>
    <t>0474</t>
  </si>
  <si>
    <t>P12CT-0474</t>
  </si>
  <si>
    <t>P12CS-019</t>
  </si>
  <si>
    <t>P1CSA-29</t>
  </si>
  <si>
    <t>5150100005-47</t>
  </si>
  <si>
    <t>337847</t>
  </si>
  <si>
    <t>82DK0515010001000650667</t>
  </si>
  <si>
    <t>0475</t>
  </si>
  <si>
    <t>P12CT-0475</t>
  </si>
  <si>
    <t>P12CS-020</t>
  </si>
  <si>
    <t>P1CSA-16</t>
  </si>
  <si>
    <t>5660100057-13</t>
  </si>
  <si>
    <t>82DJ0515010020000650901</t>
  </si>
  <si>
    <t>0476</t>
  </si>
  <si>
    <t>P12CT-0476</t>
  </si>
  <si>
    <t>P12CS-021</t>
  </si>
  <si>
    <t>P1CSA-17</t>
  </si>
  <si>
    <t>5150100008-30</t>
  </si>
  <si>
    <t>190222505753</t>
  </si>
  <si>
    <t>82DJ0515010016000649432</t>
  </si>
  <si>
    <t>0477</t>
  </si>
  <si>
    <t>P12CT-0477</t>
  </si>
  <si>
    <t>P12CS-022</t>
  </si>
  <si>
    <t>P1CSA-25</t>
  </si>
  <si>
    <t>5120100004-15</t>
  </si>
  <si>
    <t>82DJ0511010029000649548</t>
  </si>
  <si>
    <t>0478</t>
  </si>
  <si>
    <t>P12CT-0478</t>
  </si>
  <si>
    <t>P12CS-023</t>
  </si>
  <si>
    <t>P1LP-44</t>
  </si>
  <si>
    <t>5150100008-22</t>
  </si>
  <si>
    <t>4B1439P11194</t>
  </si>
  <si>
    <t>82DI0515010016000649714</t>
  </si>
  <si>
    <t>0479</t>
  </si>
  <si>
    <t>VENTILADOR NEGRO DE TORRE</t>
  </si>
  <si>
    <t>P12CT-0479</t>
  </si>
  <si>
    <t>P12CS-024</t>
  </si>
  <si>
    <t>P1CSA-18</t>
  </si>
  <si>
    <t>5190200002-32</t>
  </si>
  <si>
    <t>82DJ0519010043000649372</t>
  </si>
  <si>
    <t>0480</t>
  </si>
  <si>
    <t>P12CT-0480</t>
  </si>
  <si>
    <t>P12CS-025</t>
  </si>
  <si>
    <t>P1CSA-30</t>
  </si>
  <si>
    <t>5660100057-14</t>
  </si>
  <si>
    <t>BUPR706</t>
  </si>
  <si>
    <t>5827700022</t>
  </si>
  <si>
    <t>82DJ0515010020000649540</t>
  </si>
  <si>
    <t>0481</t>
  </si>
  <si>
    <t>P12CT-0481</t>
  </si>
  <si>
    <t>P12CS-026</t>
  </si>
  <si>
    <t>P1CSA-26</t>
  </si>
  <si>
    <t>5120100004-21</t>
  </si>
  <si>
    <t>82DJ0511010027000649550</t>
  </si>
  <si>
    <t>0482</t>
  </si>
  <si>
    <t>P12CT-0482</t>
  </si>
  <si>
    <t>P12CS-027</t>
  </si>
  <si>
    <t>P1CSA-20</t>
  </si>
  <si>
    <t>5110100015-48</t>
  </si>
  <si>
    <t>82DJ0511010006000649546</t>
  </si>
  <si>
    <t>0483</t>
  </si>
  <si>
    <t>MESA COMPLEMENTO TIPO BALA 160X60 (SILLÓN NEGRO CON RUEDAS )</t>
  </si>
  <si>
    <t>P12CT-0483</t>
  </si>
  <si>
    <t>P12CS-028</t>
  </si>
  <si>
    <t>P1CSA-24</t>
  </si>
  <si>
    <t>82DJ0511010029000649549</t>
  </si>
  <si>
    <t>0484</t>
  </si>
  <si>
    <t>P12CT-0484</t>
  </si>
  <si>
    <t>P12CS-029</t>
  </si>
  <si>
    <t>P1CSA-12</t>
  </si>
  <si>
    <t>5120100009-44</t>
  </si>
  <si>
    <t>82DJ0512010014000649535</t>
  </si>
  <si>
    <t>0485</t>
  </si>
  <si>
    <t>ANAQUEL (locker) DE MADERA DE 2 PUERTAS 165X80X42</t>
  </si>
  <si>
    <t>P13SO-0485</t>
  </si>
  <si>
    <t>P13SO-001</t>
  </si>
  <si>
    <t>P1SO-29</t>
  </si>
  <si>
    <t>5290300001-6</t>
  </si>
  <si>
    <t>82DH0511010009000518514</t>
  </si>
  <si>
    <t>FLORENCIA PEREZ NEGRON HUERTA</t>
  </si>
  <si>
    <t>GABRIELA ZEPEDA VILLASEÑOR</t>
  </si>
  <si>
    <t>0486</t>
  </si>
  <si>
    <t>P13SO-0486</t>
  </si>
  <si>
    <t>P13SO-002</t>
  </si>
  <si>
    <t>P1SO-30</t>
  </si>
  <si>
    <t>5150100008-13</t>
  </si>
  <si>
    <t>9730CY0BC575600798</t>
  </si>
  <si>
    <t>82DH0515010016000539084</t>
  </si>
  <si>
    <t>0487</t>
  </si>
  <si>
    <t>P13SO-0487</t>
  </si>
  <si>
    <t>P13SO-003</t>
  </si>
  <si>
    <t>P1SO-21</t>
  </si>
  <si>
    <t>5190200002-18</t>
  </si>
  <si>
    <t>82DH0519010043000649368</t>
  </si>
  <si>
    <t>0488</t>
  </si>
  <si>
    <t>MESA DE JUNTAS DE MADERA 300X120</t>
  </si>
  <si>
    <t>P13SO-0488</t>
  </si>
  <si>
    <t>P13SO-004</t>
  </si>
  <si>
    <t>P1SO-28</t>
  </si>
  <si>
    <t>5120100007-47</t>
  </si>
  <si>
    <t>82DH0531010065000564679</t>
  </si>
  <si>
    <t>0489</t>
  </si>
  <si>
    <t>SILLÓN NEGRO (silla)  DE PIEL FIJO</t>
  </si>
  <si>
    <t>P13SO-0489</t>
  </si>
  <si>
    <t>P13SO-005</t>
  </si>
  <si>
    <t>P1SO-27</t>
  </si>
  <si>
    <t>5120100009-27</t>
  </si>
  <si>
    <t>82DH0511010017000649726</t>
  </si>
  <si>
    <t>0492</t>
  </si>
  <si>
    <t>SILLA NEGRA FIJA</t>
  </si>
  <si>
    <t>P13SO-0490</t>
  </si>
  <si>
    <t>P13SO-006</t>
  </si>
  <si>
    <t>P1SO-26</t>
  </si>
  <si>
    <t>5110100011-28</t>
  </si>
  <si>
    <t>82DH0511010017000649727</t>
  </si>
  <si>
    <t>0491</t>
  </si>
  <si>
    <t>P13SO-0491</t>
  </si>
  <si>
    <t>P13SO-007</t>
  </si>
  <si>
    <t>P1SO-24</t>
  </si>
  <si>
    <t>5110100011-26</t>
  </si>
  <si>
    <t>82DH0511010017000649729</t>
  </si>
  <si>
    <t>P13SO-0492</t>
  </si>
  <si>
    <t>P13SO-008</t>
  </si>
  <si>
    <t>P1SO-23</t>
  </si>
  <si>
    <t>5110100011-25</t>
  </si>
  <si>
    <t>82DH0511010017000649730</t>
  </si>
  <si>
    <t>0493</t>
  </si>
  <si>
    <t>P13SO-0493</t>
  </si>
  <si>
    <t>P13SO-009</t>
  </si>
  <si>
    <t>P1SO-17</t>
  </si>
  <si>
    <t>5110100011-23</t>
  </si>
  <si>
    <t>82DH0511010017000651106</t>
  </si>
  <si>
    <t>0494</t>
  </si>
  <si>
    <t>P13SO-0494</t>
  </si>
  <si>
    <t>P13SO-010</t>
  </si>
  <si>
    <t>P1SO-25</t>
  </si>
  <si>
    <t>5110100011-27</t>
  </si>
  <si>
    <t>82DH0511010017000649728</t>
  </si>
  <si>
    <t>MALO EN ARCHIVO</t>
  </si>
  <si>
    <t>0495</t>
  </si>
  <si>
    <t>P13SO-0495</t>
  </si>
  <si>
    <t>P1SO-35</t>
  </si>
  <si>
    <t>5120100007-53</t>
  </si>
  <si>
    <t>82DJ0531010065000564825</t>
  </si>
  <si>
    <t>0496</t>
  </si>
  <si>
    <t>P13SO-0496</t>
  </si>
  <si>
    <t>P1SO-37</t>
  </si>
  <si>
    <t>5110100014-5</t>
  </si>
  <si>
    <t>82DH0511010005000649738</t>
  </si>
  <si>
    <t>0497</t>
  </si>
  <si>
    <t>MODULO</t>
  </si>
  <si>
    <t>MODULO DE MADERA 2 PIEZAS</t>
  </si>
  <si>
    <t>P13SO-0497</t>
  </si>
  <si>
    <t>P1SO-15</t>
  </si>
  <si>
    <t>5120100007-46</t>
  </si>
  <si>
    <t>82DH0511010029000649737</t>
  </si>
  <si>
    <t>0498</t>
  </si>
  <si>
    <t>ESCRITORIO DE MADERA  TIPO UDE 4 PIEZAS</t>
  </si>
  <si>
    <t>P13SO-0498</t>
  </si>
  <si>
    <t>P13SO-011</t>
  </si>
  <si>
    <t>P1SO-14</t>
  </si>
  <si>
    <t>5110100015-23</t>
  </si>
  <si>
    <t>82DH0511010006000583442</t>
  </si>
  <si>
    <t>0499</t>
  </si>
  <si>
    <t>SILLON DE PIEL NEGRO  DE VINIPIEL CON RUEDAS</t>
  </si>
  <si>
    <t>P13SO-0499</t>
  </si>
  <si>
    <t>P13SO-012</t>
  </si>
  <si>
    <t>P1SO-36</t>
  </si>
  <si>
    <t>5120100009-28</t>
  </si>
  <si>
    <t>82DH0511010016000649731</t>
  </si>
  <si>
    <t>0500</t>
  </si>
  <si>
    <t>P13SO-0500</t>
  </si>
  <si>
    <t>P13SO-013</t>
  </si>
  <si>
    <t>P1SO-18</t>
  </si>
  <si>
    <t>5120100004-7</t>
  </si>
  <si>
    <t>82DH0515010033000564633</t>
  </si>
  <si>
    <t>0501</t>
  </si>
  <si>
    <t>NO BREAK NEGRO FORZA</t>
  </si>
  <si>
    <t>P13SO-0501</t>
  </si>
  <si>
    <t>P13SO-014</t>
  </si>
  <si>
    <t>P1SO-63</t>
  </si>
  <si>
    <t>5150100008-14</t>
  </si>
  <si>
    <t>181222508479</t>
  </si>
  <si>
    <t>82DH0515010016000649417</t>
  </si>
  <si>
    <t>0502</t>
  </si>
  <si>
    <t>P13SO-0502</t>
  </si>
  <si>
    <t>P13SO-015</t>
  </si>
  <si>
    <t>P1SO-39</t>
  </si>
  <si>
    <t>5650100010-10</t>
  </si>
  <si>
    <t>CCQ17280CCQ</t>
  </si>
  <si>
    <t>82DH0565010001000649717</t>
  </si>
  <si>
    <t>0503</t>
  </si>
  <si>
    <t>IMPRESORA BLANCA CON NEGRO HP</t>
  </si>
  <si>
    <t>P13SO-0503</t>
  </si>
  <si>
    <t>P13SO-016</t>
  </si>
  <si>
    <t>P1SO-32</t>
  </si>
  <si>
    <t>5150100007-4</t>
  </si>
  <si>
    <t>LASERJET CP1025NW</t>
  </si>
  <si>
    <t>CND2D02787</t>
  </si>
  <si>
    <t>82DH0515010010000519351</t>
  </si>
  <si>
    <t>0504</t>
  </si>
  <si>
    <t>P13SO-0504</t>
  </si>
  <si>
    <t>P13SO-017</t>
  </si>
  <si>
    <t>P1SO-34</t>
  </si>
  <si>
    <t>5120100004-6</t>
  </si>
  <si>
    <t>82DH0515010033000564635</t>
  </si>
  <si>
    <t>0505</t>
  </si>
  <si>
    <t>COMPUTADORA DE ESCRITORIO ACTEK</t>
  </si>
  <si>
    <t>P13SO-0505</t>
  </si>
  <si>
    <t>P13SO-018</t>
  </si>
  <si>
    <t>5150100005-133</t>
  </si>
  <si>
    <t>0506</t>
  </si>
  <si>
    <t>MONITOR 21" ACER</t>
  </si>
  <si>
    <t>P13SO-0506</t>
  </si>
  <si>
    <t>P13SO-019</t>
  </si>
  <si>
    <t>5150100005-134</t>
  </si>
  <si>
    <t>MMTAASAA007052057853P00</t>
  </si>
  <si>
    <t>0507</t>
  </si>
  <si>
    <t>PIZARRON BLANCO 240X120</t>
  </si>
  <si>
    <t>P13SO-0507</t>
  </si>
  <si>
    <t>P13SO-020</t>
  </si>
  <si>
    <t>P1SO-40</t>
  </si>
  <si>
    <t>5290100025-4</t>
  </si>
  <si>
    <t>82DH0529030003000649718</t>
  </si>
  <si>
    <t>0508</t>
  </si>
  <si>
    <t>MESA BLANCA CON BASE DE METAL 60X40</t>
  </si>
  <si>
    <t>P13SO-0508</t>
  </si>
  <si>
    <t>P13SO-021</t>
  </si>
  <si>
    <t>P1SO-41</t>
  </si>
  <si>
    <t>5120100007-50</t>
  </si>
  <si>
    <t>82DH0531010065000564807</t>
  </si>
  <si>
    <t>0509</t>
  </si>
  <si>
    <t>CREDENZA DE MADERA 160X40</t>
  </si>
  <si>
    <t>P13SO-0509</t>
  </si>
  <si>
    <t>P13SO-022</t>
  </si>
  <si>
    <t>P1SO-42</t>
  </si>
  <si>
    <t>5110100014-6</t>
  </si>
  <si>
    <t>82DH0511010005000649732</t>
  </si>
  <si>
    <t>0510</t>
  </si>
  <si>
    <t>SILLA FIJA  CAFÉ</t>
  </si>
  <si>
    <t>P13SO-0510</t>
  </si>
  <si>
    <t>P13SO-023</t>
  </si>
  <si>
    <t>P1SO-43</t>
  </si>
  <si>
    <t>5110100011-29</t>
  </si>
  <si>
    <t>82DH0511010017000516176</t>
  </si>
  <si>
    <t>0511</t>
  </si>
  <si>
    <t>ESTANTE GRIS DE METAL CON 5 CHAROLAS 45X92</t>
  </si>
  <si>
    <t>P13SO-0511</t>
  </si>
  <si>
    <t>P13SO-024</t>
  </si>
  <si>
    <t>P1SO-46</t>
  </si>
  <si>
    <t>2110200030-2</t>
  </si>
  <si>
    <t>82DH0511010028000539037</t>
  </si>
  <si>
    <t>0512</t>
  </si>
  <si>
    <t>ESTANTE GRIS DE METAL CON 5 CHAROLAS 85X45</t>
  </si>
  <si>
    <t>P13SO-0512</t>
  </si>
  <si>
    <t>P13SO-025</t>
  </si>
  <si>
    <t>P1SO-47</t>
  </si>
  <si>
    <t>2110200030-4</t>
  </si>
  <si>
    <t>82DH0511010028000535444</t>
  </si>
  <si>
    <t>0513</t>
  </si>
  <si>
    <t>CHAROLA METALICA PARA ESTANTE</t>
  </si>
  <si>
    <t>P13SO-0513</t>
  </si>
  <si>
    <t>P13SO-026</t>
  </si>
  <si>
    <t>P1SO-53</t>
  </si>
  <si>
    <t>5120100001-17</t>
  </si>
  <si>
    <t>82DH0519010048000539141</t>
  </si>
  <si>
    <t>0514</t>
  </si>
  <si>
    <t>P13SO-0514</t>
  </si>
  <si>
    <t>P13SO-027</t>
  </si>
  <si>
    <t>P1SO-49</t>
  </si>
  <si>
    <t>2110200030-6</t>
  </si>
  <si>
    <t>82DH0511010028000535441</t>
  </si>
  <si>
    <t>0515</t>
  </si>
  <si>
    <t>P13SO-0515</t>
  </si>
  <si>
    <t>P13SO-028</t>
  </si>
  <si>
    <t>P1SO-56</t>
  </si>
  <si>
    <t>5120100001-20</t>
  </si>
  <si>
    <t>82DJ0511010019000651104</t>
  </si>
  <si>
    <t>0516</t>
  </si>
  <si>
    <t>P13SO-0516</t>
  </si>
  <si>
    <t>P13SO-029</t>
  </si>
  <si>
    <t>P1SO-48</t>
  </si>
  <si>
    <t>2110200030-5</t>
  </si>
  <si>
    <t>82DH0511010028000535443</t>
  </si>
  <si>
    <t>0517</t>
  </si>
  <si>
    <t>P13SO-0517</t>
  </si>
  <si>
    <t>P13SO-030</t>
  </si>
  <si>
    <t>P1SO-54</t>
  </si>
  <si>
    <t>5120100001-18</t>
  </si>
  <si>
    <t>82DH0519010048000539140</t>
  </si>
  <si>
    <t>0518</t>
  </si>
  <si>
    <t>P13SO-0518</t>
  </si>
  <si>
    <t>P13SO-031</t>
  </si>
  <si>
    <t>P1SO-50</t>
  </si>
  <si>
    <t>5120100001-19</t>
  </si>
  <si>
    <t>82DH0511010020000649739</t>
  </si>
  <si>
    <t>0519</t>
  </si>
  <si>
    <t>P13SO-0519</t>
  </si>
  <si>
    <t>P13SO-032</t>
  </si>
  <si>
    <t>P1SO-45</t>
  </si>
  <si>
    <t>2110200030-8</t>
  </si>
  <si>
    <t>82DH0511010028000539038</t>
  </si>
  <si>
    <t>0520</t>
  </si>
  <si>
    <t>P13SO-0520</t>
  </si>
  <si>
    <t>P13SO-033</t>
  </si>
  <si>
    <t>0521</t>
  </si>
  <si>
    <t>P13SO-0521</t>
  </si>
  <si>
    <t>P13SO-034</t>
  </si>
  <si>
    <t>P1SO-44</t>
  </si>
  <si>
    <t>5120100001-16</t>
  </si>
  <si>
    <t>82DH0511010028000584061</t>
  </si>
  <si>
    <t>0522</t>
  </si>
  <si>
    <t>P13SO-0522</t>
  </si>
  <si>
    <t>P13SO-035</t>
  </si>
  <si>
    <t>0523</t>
  </si>
  <si>
    <t>P13SO-0523</t>
  </si>
  <si>
    <t>P13SO-036</t>
  </si>
  <si>
    <t>P1SO-55</t>
  </si>
  <si>
    <t>2110200030-7</t>
  </si>
  <si>
    <t>82DH0511010028000532102</t>
  </si>
  <si>
    <t>0524</t>
  </si>
  <si>
    <t>P13SO-0524</t>
  </si>
  <si>
    <t>P13SO-037</t>
  </si>
  <si>
    <t>P1SO-52</t>
  </si>
  <si>
    <t>2110200030-1</t>
  </si>
  <si>
    <t>82DH0511010028000539044</t>
  </si>
  <si>
    <t>0525</t>
  </si>
  <si>
    <t>P13SO-0525</t>
  </si>
  <si>
    <t>P13SO-038</t>
  </si>
  <si>
    <t>P1SO-51</t>
  </si>
  <si>
    <t>2110200030-3</t>
  </si>
  <si>
    <t>82DH0511010028000539026</t>
  </si>
  <si>
    <t>0526</t>
  </si>
  <si>
    <t>P13SO-0526</t>
  </si>
  <si>
    <t>P13SO-039</t>
  </si>
  <si>
    <t>P1SO-65</t>
  </si>
  <si>
    <t>5130100013-12</t>
  </si>
  <si>
    <t>82DH0511010001000533241</t>
  </si>
  <si>
    <t>0527</t>
  </si>
  <si>
    <t>MESA DE MADERA CON BASE DE METAL 100X40</t>
  </si>
  <si>
    <t>P13SO-0527</t>
  </si>
  <si>
    <t>P13SO-040</t>
  </si>
  <si>
    <t>P1SO-58</t>
  </si>
  <si>
    <t>5120100007-51</t>
  </si>
  <si>
    <t>82DH0511010010000649722</t>
  </si>
  <si>
    <t>BELEN LIZETH CORTES GAONA</t>
  </si>
  <si>
    <t>0528</t>
  </si>
  <si>
    <t>TRITURADOR DE PAPEL</t>
  </si>
  <si>
    <t>P13SO-0528</t>
  </si>
  <si>
    <t>P13SO-041</t>
  </si>
  <si>
    <t>SHREDMASTER SC170</t>
  </si>
  <si>
    <t>0529</t>
  </si>
  <si>
    <t>ESCRITORIO DE MADERA 150X60</t>
  </si>
  <si>
    <t>P13SO-0529</t>
  </si>
  <si>
    <t>P13SO-042</t>
  </si>
  <si>
    <t>P1SO-6</t>
  </si>
  <si>
    <t>5110100015-20</t>
  </si>
  <si>
    <t>82DJ0511010006000518494</t>
  </si>
  <si>
    <t>0530</t>
  </si>
  <si>
    <t>ARCHIVERO DE MADERA CON 4 CAJONES 126X49X56</t>
  </si>
  <si>
    <t>P13SO-0530</t>
  </si>
  <si>
    <t>P13SO-043</t>
  </si>
  <si>
    <t>P1SO-2</t>
  </si>
  <si>
    <t>5130100013-14</t>
  </si>
  <si>
    <t>82DJ0511010001000649733</t>
  </si>
  <si>
    <t>0531</t>
  </si>
  <si>
    <t>ARCHIVERO DE MADERA CON 2 CAJONES CON RUEDAS  65X49X40</t>
  </si>
  <si>
    <t>P13SO-0531</t>
  </si>
  <si>
    <t>P13SO-044</t>
  </si>
  <si>
    <t>P1SO-3</t>
  </si>
  <si>
    <t>5130100013-13</t>
  </si>
  <si>
    <t>82DJ0511010001000518508</t>
  </si>
  <si>
    <t>0532</t>
  </si>
  <si>
    <t>MODULO PARA COMPUTADORA</t>
  </si>
  <si>
    <t>P13SO-0532</t>
  </si>
  <si>
    <t>P13SO-045</t>
  </si>
  <si>
    <t>P1SO-4</t>
  </si>
  <si>
    <t>5120100007-44</t>
  </si>
  <si>
    <t>82DJ0512010011000515290</t>
  </si>
  <si>
    <t>0533</t>
  </si>
  <si>
    <t>VENTILADOR NEGRO DE PEDESTAL</t>
  </si>
  <si>
    <t>P13SO-0533</t>
  </si>
  <si>
    <t>P13SO-046</t>
  </si>
  <si>
    <t>P1SO-13</t>
  </si>
  <si>
    <t>5190200002-15</t>
  </si>
  <si>
    <t>VPN118X</t>
  </si>
  <si>
    <t>34973</t>
  </si>
  <si>
    <t>82DJ0519010043000649358</t>
  </si>
  <si>
    <t>0534</t>
  </si>
  <si>
    <t>ESCRITORIO DE MADERA 2 PIEZAS TIPO "L"</t>
  </si>
  <si>
    <t>P13SO-0534</t>
  </si>
  <si>
    <t>P13SO-047</t>
  </si>
  <si>
    <t>P1SO-1</t>
  </si>
  <si>
    <t>5110100015-21</t>
  </si>
  <si>
    <t>82DJ0511010006000583443</t>
  </si>
  <si>
    <t>0535</t>
  </si>
  <si>
    <t>P13SO-0535</t>
  </si>
  <si>
    <t>P13SO-048</t>
  </si>
  <si>
    <t>P1SO-9</t>
  </si>
  <si>
    <t>5120100004-4</t>
  </si>
  <si>
    <t>82DJ0515010033000566422</t>
  </si>
  <si>
    <t>0536</t>
  </si>
  <si>
    <t>P13SO-0536</t>
  </si>
  <si>
    <t>P13SO-049</t>
  </si>
  <si>
    <t>P1SO-11</t>
  </si>
  <si>
    <t>5150100008-11</t>
  </si>
  <si>
    <t>NT/751</t>
  </si>
  <si>
    <t>190522502598</t>
  </si>
  <si>
    <t>82DJ0515010016000649436</t>
  </si>
  <si>
    <t>0537</t>
  </si>
  <si>
    <t>P13SO-0537</t>
  </si>
  <si>
    <t>P13SO-050</t>
  </si>
  <si>
    <t>P1SO-22</t>
  </si>
  <si>
    <t>5110100011-24</t>
  </si>
  <si>
    <t>82DH0511010017000651105</t>
  </si>
  <si>
    <t>0538</t>
  </si>
  <si>
    <t>P13SO-0538</t>
  </si>
  <si>
    <t>P13SO-051</t>
  </si>
  <si>
    <t>P1SO-10</t>
  </si>
  <si>
    <t>5110100011-22</t>
  </si>
  <si>
    <t>82DJ0511010017000649734</t>
  </si>
  <si>
    <t>0539</t>
  </si>
  <si>
    <t>P13SO-0539</t>
  </si>
  <si>
    <t>P13SO-052</t>
  </si>
  <si>
    <t>P1SO-7</t>
  </si>
  <si>
    <t>5150100005-16</t>
  </si>
  <si>
    <t>S3020LA</t>
  </si>
  <si>
    <t>439108001</t>
  </si>
  <si>
    <t>82DJ0515010003000649736</t>
  </si>
  <si>
    <t>0540</t>
  </si>
  <si>
    <t>P13SO-0540</t>
  </si>
  <si>
    <t>P13SO-053</t>
  </si>
  <si>
    <t>P1SO-8</t>
  </si>
  <si>
    <t>5210100012-9</t>
  </si>
  <si>
    <t>CNC816Y4LK</t>
  </si>
  <si>
    <t>82DJ0565010041000530719</t>
  </si>
  <si>
    <t>0541</t>
  </si>
  <si>
    <t>P13SO-0541</t>
  </si>
  <si>
    <t>P13SO-054</t>
  </si>
  <si>
    <t>P1SO-12</t>
  </si>
  <si>
    <t>5650100010-30</t>
  </si>
  <si>
    <t>4LO00G809937</t>
  </si>
  <si>
    <t>82DJ0565010001000527027</t>
  </si>
  <si>
    <t>0542</t>
  </si>
  <si>
    <t>P13SO-0542</t>
  </si>
  <si>
    <t>P13SO-055</t>
  </si>
  <si>
    <t>P1SO-19</t>
  </si>
  <si>
    <t>5190200002-17</t>
  </si>
  <si>
    <t>82DH0519010043000649369</t>
  </si>
  <si>
    <t>0543</t>
  </si>
  <si>
    <t>P13SO-0543</t>
  </si>
  <si>
    <t>P13SO-056</t>
  </si>
  <si>
    <t>P1SO-20</t>
  </si>
  <si>
    <t>5190200002-16</t>
  </si>
  <si>
    <t>82DH0519010043000649370</t>
  </si>
  <si>
    <t>0544</t>
  </si>
  <si>
    <t>MESA DE MADERA CON RUEDAS  75X48</t>
  </si>
  <si>
    <t>P13SO-0544</t>
  </si>
  <si>
    <t>P13SO-057</t>
  </si>
  <si>
    <t>P1SO-66</t>
  </si>
  <si>
    <t>5120100007-54</t>
  </si>
  <si>
    <t>82DH0512010011000564518</t>
  </si>
  <si>
    <t>0545</t>
  </si>
  <si>
    <t>MESA BLANCA DE MADERA CON BASE DE METAL</t>
  </si>
  <si>
    <t>P13SO-0545</t>
  </si>
  <si>
    <t>P13SO-058</t>
  </si>
  <si>
    <t>P1SO-69</t>
  </si>
  <si>
    <t>5120100007-49</t>
  </si>
  <si>
    <t>82DH0511010010000651107</t>
  </si>
  <si>
    <t>MARIBEL RAUDA BAÑUELOS</t>
  </si>
  <si>
    <t>0546</t>
  </si>
  <si>
    <t>SILLON NEGRO EJECUTIVO</t>
  </si>
  <si>
    <t>P13SO-0546</t>
  </si>
  <si>
    <t>P13SO-059</t>
  </si>
  <si>
    <t>P1SO-5</t>
  </si>
  <si>
    <t>5120100009-26</t>
  </si>
  <si>
    <t>82DJ0511010016000517124</t>
  </si>
  <si>
    <t>CINTHYA KARINA CELAYA CRUZ</t>
  </si>
  <si>
    <t>0547</t>
  </si>
  <si>
    <t>P13SO-0547</t>
  </si>
  <si>
    <t>P13SO-060</t>
  </si>
  <si>
    <t>5150100006-2</t>
  </si>
  <si>
    <t>82DH0515010006000649400</t>
  </si>
  <si>
    <t>0548</t>
  </si>
  <si>
    <t>MESA MADERA BASE DE METAL  120X40</t>
  </si>
  <si>
    <t>P13LP-0548</t>
  </si>
  <si>
    <t>P13LI-001</t>
  </si>
  <si>
    <t>P1R-16</t>
  </si>
  <si>
    <t>5120100007-85</t>
  </si>
  <si>
    <t>82DI0511010010000649556</t>
  </si>
  <si>
    <t>0549</t>
  </si>
  <si>
    <t>SILLA SECRETARIAL NEGRA CON RUEDAS</t>
  </si>
  <si>
    <t>P13LP-0549</t>
  </si>
  <si>
    <t>P13LI-002</t>
  </si>
  <si>
    <t>82DI0511010017000516247</t>
  </si>
  <si>
    <t>0550</t>
  </si>
  <si>
    <t>SILLA DE TELA NEGRA  FIJA</t>
  </si>
  <si>
    <t>P13LP-0550</t>
  </si>
  <si>
    <t>P13LI-003</t>
  </si>
  <si>
    <t>P1R-5</t>
  </si>
  <si>
    <t>82DI0511010017000649567</t>
  </si>
  <si>
    <t>0551</t>
  </si>
  <si>
    <t>P13LP-0551</t>
  </si>
  <si>
    <t>P13LI-004</t>
  </si>
  <si>
    <t>P1R-4</t>
  </si>
  <si>
    <t>5110100011-65</t>
  </si>
  <si>
    <t>82DI0511010017000539073</t>
  </si>
  <si>
    <t>0552</t>
  </si>
  <si>
    <t>SILLON NEGRO CON METAL FIJO</t>
  </si>
  <si>
    <t>P13LP-0552</t>
  </si>
  <si>
    <t>P13LI-005</t>
  </si>
  <si>
    <t>P1R-6</t>
  </si>
  <si>
    <t>5120100009-24</t>
  </si>
  <si>
    <t>82DI0511010016000515607</t>
  </si>
  <si>
    <t>0553</t>
  </si>
  <si>
    <t>MESA MADERA BASE DE METAL 100X40</t>
  </si>
  <si>
    <t>P13LP-0553</t>
  </si>
  <si>
    <t>P13LI-006</t>
  </si>
  <si>
    <t>P1R-15</t>
  </si>
  <si>
    <t>5120100007-84</t>
  </si>
  <si>
    <t>82DI0511010010000649557</t>
  </si>
  <si>
    <t>0554</t>
  </si>
  <si>
    <t>MESA DE MADERA CON BASE DE METAL 120X40</t>
  </si>
  <si>
    <t>P13LP-0554</t>
  </si>
  <si>
    <t>P13LI-007</t>
  </si>
  <si>
    <t>P1R-9</t>
  </si>
  <si>
    <t>5120100007-82</t>
  </si>
  <si>
    <t>82DI0511010010000649558</t>
  </si>
  <si>
    <t>0555</t>
  </si>
  <si>
    <t>P13LP-0555</t>
  </si>
  <si>
    <t>P13LI-008</t>
  </si>
  <si>
    <t>P1R-10</t>
  </si>
  <si>
    <t>5190200002-21</t>
  </si>
  <si>
    <t>82DI0519010043000649373</t>
  </si>
  <si>
    <t>0556</t>
  </si>
  <si>
    <t>ARCHIVERO NEGRO CON 3 CAJONES</t>
  </si>
  <si>
    <t>P13LP-0556</t>
  </si>
  <si>
    <t>P13LI-009</t>
  </si>
  <si>
    <t>P1R-3</t>
  </si>
  <si>
    <t>5130100013-19</t>
  </si>
  <si>
    <t>82DI0511010001000649566</t>
  </si>
  <si>
    <t>0557</t>
  </si>
  <si>
    <t>P13LP-0557</t>
  </si>
  <si>
    <t>P1R-17</t>
  </si>
  <si>
    <t>5110100014-14</t>
  </si>
  <si>
    <t>82DI0511010005000649559</t>
  </si>
  <si>
    <t>0558</t>
  </si>
  <si>
    <t>P13LP-0558</t>
  </si>
  <si>
    <t>P1R-13</t>
  </si>
  <si>
    <t>5110100015-76</t>
  </si>
  <si>
    <t>82DI0511010006000583449</t>
  </si>
  <si>
    <t>0559</t>
  </si>
  <si>
    <t>ESCRITORIO DE MADERA CON BANDEJA DESLIZABLE</t>
  </si>
  <si>
    <t>P13LP-0559</t>
  </si>
  <si>
    <t>P13LI-010</t>
  </si>
  <si>
    <t>P1R-12</t>
  </si>
  <si>
    <t>5110100015-46</t>
  </si>
  <si>
    <t>82DI0511010006000583455</t>
  </si>
  <si>
    <t>0560</t>
  </si>
  <si>
    <t>ESCRITORIO DE MADERA CON DOS CAJONES</t>
  </si>
  <si>
    <t>P13LP-0560</t>
  </si>
  <si>
    <t>P13LI-011</t>
  </si>
  <si>
    <t>P1R-1</t>
  </si>
  <si>
    <t>5120100004-20</t>
  </si>
  <si>
    <t>82DI0515010033000564639</t>
  </si>
  <si>
    <t>0561</t>
  </si>
  <si>
    <t>P13LP-0561</t>
  </si>
  <si>
    <t>P13LI-012</t>
  </si>
  <si>
    <t>P1R-19</t>
  </si>
  <si>
    <t>5120100004-35</t>
  </si>
  <si>
    <t>82DI0515010033000564640</t>
  </si>
  <si>
    <t>0562</t>
  </si>
  <si>
    <t>P13LP-0562</t>
  </si>
  <si>
    <t>P13LI-013</t>
  </si>
  <si>
    <t>P1R-2</t>
  </si>
  <si>
    <t>5120100009-41</t>
  </si>
  <si>
    <t>82DI0511010016000539052</t>
  </si>
  <si>
    <t>0563</t>
  </si>
  <si>
    <t>P13LP-0563</t>
  </si>
  <si>
    <t>P13LI-014</t>
  </si>
  <si>
    <t>P1R-18</t>
  </si>
  <si>
    <t>9730CY0BC575600811</t>
  </si>
  <si>
    <t>82DI0515010016000522294</t>
  </si>
  <si>
    <t>0564</t>
  </si>
  <si>
    <t>P13LP-0564</t>
  </si>
  <si>
    <t>P13LI-015</t>
  </si>
  <si>
    <t>P1R-14</t>
  </si>
  <si>
    <t>5150100005-44</t>
  </si>
  <si>
    <t>PRO6300</t>
  </si>
  <si>
    <t>MXL25005HG</t>
  </si>
  <si>
    <t>82DI0515010001000539045</t>
  </si>
  <si>
    <t>0565</t>
  </si>
  <si>
    <t>P13LP-0565</t>
  </si>
  <si>
    <t>P13LI-016</t>
  </si>
  <si>
    <t>P1R-8</t>
  </si>
  <si>
    <t>5210100012-26</t>
  </si>
  <si>
    <t>LV1911</t>
  </si>
  <si>
    <t>6CM23105RT</t>
  </si>
  <si>
    <t>82DI0565010041000539112</t>
  </si>
  <si>
    <t>0566</t>
  </si>
  <si>
    <t>P13LP-0566</t>
  </si>
  <si>
    <t>P13LI-017</t>
  </si>
  <si>
    <t>P1R-11</t>
  </si>
  <si>
    <t>5650100010-20</t>
  </si>
  <si>
    <t>4LO00H118473</t>
  </si>
  <si>
    <t>82DI0565010001000527092</t>
  </si>
  <si>
    <t>0567</t>
  </si>
  <si>
    <t>MESA DE MADERA 100X40</t>
  </si>
  <si>
    <t>P13LP-0567</t>
  </si>
  <si>
    <t>P13LI-018</t>
  </si>
  <si>
    <t>P1LP-13</t>
  </si>
  <si>
    <t>5120100007-59</t>
  </si>
  <si>
    <t>82DJ0531010065000564804</t>
  </si>
  <si>
    <t>MARIA DE LOURDES RUVALCABA GUZMAN</t>
  </si>
  <si>
    <t>0568</t>
  </si>
  <si>
    <t>P13LP-0568</t>
  </si>
  <si>
    <t>P13LI-019</t>
  </si>
  <si>
    <t>P1LP-14</t>
  </si>
  <si>
    <t>5110100015-28</t>
  </si>
  <si>
    <t>82DJ0511010006000564905</t>
  </si>
  <si>
    <t>0569</t>
  </si>
  <si>
    <t>MESA DE MADERA COMPLEMENTO</t>
  </si>
  <si>
    <t>P13LP-0569</t>
  </si>
  <si>
    <t>P13LI-020</t>
  </si>
  <si>
    <t>P1LP-15</t>
  </si>
  <si>
    <t>5120100007-60</t>
  </si>
  <si>
    <t>82DJ0531010065000564789</t>
  </si>
  <si>
    <t>0570</t>
  </si>
  <si>
    <t>LIBRERO DE MADERA (credenza)</t>
  </si>
  <si>
    <t>P13LP-0570</t>
  </si>
  <si>
    <t>P13LI-021</t>
  </si>
  <si>
    <t>P1LP-12</t>
  </si>
  <si>
    <t>5130100126-7</t>
  </si>
  <si>
    <t>82DJ0511010005000649715</t>
  </si>
  <si>
    <t>0571</t>
  </si>
  <si>
    <t>P13LP-0571</t>
  </si>
  <si>
    <t>P13LI-022</t>
  </si>
  <si>
    <t>P1LP-19</t>
  </si>
  <si>
    <t>5190200002-49</t>
  </si>
  <si>
    <t>82DJ0531010094000564891</t>
  </si>
  <si>
    <t>0572</t>
  </si>
  <si>
    <t>P13LP-0572</t>
  </si>
  <si>
    <t>P13LI-023</t>
  </si>
  <si>
    <t>P1LP-38</t>
  </si>
  <si>
    <t>5650100010-18</t>
  </si>
  <si>
    <t>4LO00H118470</t>
  </si>
  <si>
    <t>82DJ0565010001000527088</t>
  </si>
  <si>
    <t>0573</t>
  </si>
  <si>
    <t>P13LP-0573</t>
  </si>
  <si>
    <t>P13LI-024</t>
  </si>
  <si>
    <t>P1LP-16</t>
  </si>
  <si>
    <t>5150100008-18</t>
  </si>
  <si>
    <t>190222505756</t>
  </si>
  <si>
    <t>82DJ0515010016000649435</t>
  </si>
  <si>
    <t>0574</t>
  </si>
  <si>
    <t>P13LP-0574</t>
  </si>
  <si>
    <t>P13LI-025</t>
  </si>
  <si>
    <t>P1LP-11</t>
  </si>
  <si>
    <t>5120100004-11</t>
  </si>
  <si>
    <t>82DJ0515010033000564636</t>
  </si>
  <si>
    <t>0575</t>
  </si>
  <si>
    <t>P13LP-0575</t>
  </si>
  <si>
    <t>P13LI-026</t>
  </si>
  <si>
    <t>P1LP-20</t>
  </si>
  <si>
    <t>PANASONIC</t>
  </si>
  <si>
    <t>KP-77</t>
  </si>
  <si>
    <t>82DJ0519010059000580129</t>
  </si>
  <si>
    <t>0576</t>
  </si>
  <si>
    <t>P13LP-0576</t>
  </si>
  <si>
    <t>P13LI-027</t>
  </si>
  <si>
    <t>P1LP-18</t>
  </si>
  <si>
    <t>5110100011-37</t>
  </si>
  <si>
    <t>82DJ0511010017000649707</t>
  </si>
  <si>
    <t>0577</t>
  </si>
  <si>
    <t>P13LP-0577</t>
  </si>
  <si>
    <t>P13LI-028</t>
  </si>
  <si>
    <t>P1LP-17</t>
  </si>
  <si>
    <t>5150100005-22</t>
  </si>
  <si>
    <t>YJ004E57</t>
  </si>
  <si>
    <t>82DJ0515010003000649381</t>
  </si>
  <si>
    <t>0578</t>
  </si>
  <si>
    <t>LIBRERO DE MADERA (CREDENZA)</t>
  </si>
  <si>
    <t>P13LP-0578</t>
  </si>
  <si>
    <t>P1LP-6</t>
  </si>
  <si>
    <t>5110100014-9</t>
  </si>
  <si>
    <t>82DJ0511010005000649706</t>
  </si>
  <si>
    <t>ROSA MARIA CORTES VILLASEÑOR</t>
  </si>
  <si>
    <t>0579</t>
  </si>
  <si>
    <t>P13LP-0579</t>
  </si>
  <si>
    <t>P13LI-029</t>
  </si>
  <si>
    <t>P1LP-4</t>
  </si>
  <si>
    <t>5110100015-27</t>
  </si>
  <si>
    <t>82DJ0511010006000564904</t>
  </si>
  <si>
    <t>0580</t>
  </si>
  <si>
    <t>MESA DE MADERA CON BASE DE METAL COMPLEMENTO</t>
  </si>
  <si>
    <t>P13LP-0580</t>
  </si>
  <si>
    <t>P13LI-030</t>
  </si>
  <si>
    <t>P1LP-10</t>
  </si>
  <si>
    <t>5120100007-58</t>
  </si>
  <si>
    <t>82DJ0531010065000564805</t>
  </si>
  <si>
    <t>0581</t>
  </si>
  <si>
    <t>P13LP-0581</t>
  </si>
  <si>
    <t>P13LI-031</t>
  </si>
  <si>
    <t>P1SO-80</t>
  </si>
  <si>
    <t>5110100011-33</t>
  </si>
  <si>
    <t>82DJ0511010017000649705</t>
  </si>
  <si>
    <t>0582</t>
  </si>
  <si>
    <t>P13LP-0582</t>
  </si>
  <si>
    <t>P13LI-032</t>
  </si>
  <si>
    <t>P1LP-5</t>
  </si>
  <si>
    <t>5120100007-57</t>
  </si>
  <si>
    <t>82DJ0531010065000564806</t>
  </si>
  <si>
    <t>0583</t>
  </si>
  <si>
    <t>P13LP-0583</t>
  </si>
  <si>
    <t>P13LI-033</t>
  </si>
  <si>
    <t>P1LP-7</t>
  </si>
  <si>
    <t>5110100011-36</t>
  </si>
  <si>
    <t>82DJ0511010017000516248</t>
  </si>
  <si>
    <t>0584</t>
  </si>
  <si>
    <t>P13LP-0584</t>
  </si>
  <si>
    <t>P13LI-034</t>
  </si>
  <si>
    <t>P1SI-69</t>
  </si>
  <si>
    <t>5210100012-13</t>
  </si>
  <si>
    <t>82DH0515010013000649661</t>
  </si>
  <si>
    <t>0585</t>
  </si>
  <si>
    <t>P13LP-0585</t>
  </si>
  <si>
    <t>P13LI-035</t>
  </si>
  <si>
    <t>P1LP-8</t>
  </si>
  <si>
    <t>5150100008-17</t>
  </si>
  <si>
    <t>181222508478</t>
  </si>
  <si>
    <t>82DJ0515010016000649418</t>
  </si>
  <si>
    <t>0586</t>
  </si>
  <si>
    <t>P13LP-0586</t>
  </si>
  <si>
    <t>P13LI-036</t>
  </si>
  <si>
    <t>5150100005-137</t>
  </si>
  <si>
    <t>0587</t>
  </si>
  <si>
    <t>P13LP-0587</t>
  </si>
  <si>
    <t>P13LI-037</t>
  </si>
  <si>
    <t>P1LP-2</t>
  </si>
  <si>
    <t>5120100004-10</t>
  </si>
  <si>
    <t>82DJ0515010033000564634</t>
  </si>
  <si>
    <t>0588</t>
  </si>
  <si>
    <t>MONITOR 21"</t>
  </si>
  <si>
    <t>P13LP-0588</t>
  </si>
  <si>
    <t>P13LI-038</t>
  </si>
  <si>
    <t>5150100005-138</t>
  </si>
  <si>
    <t>MMLXLAA0250480B4974273</t>
  </si>
  <si>
    <t>0589</t>
  </si>
  <si>
    <t>MESA DE MADERA  120X60</t>
  </si>
  <si>
    <t>P13LP-0589</t>
  </si>
  <si>
    <t>P13LI-039</t>
  </si>
  <si>
    <t>P1LP-21</t>
  </si>
  <si>
    <t>5120100007-65</t>
  </si>
  <si>
    <t>82DJ0531010065000564803</t>
  </si>
  <si>
    <t>DULCE DEL ROCIO MENDOZA CORTES</t>
  </si>
  <si>
    <t>0590</t>
  </si>
  <si>
    <t>P13LP-0590</t>
  </si>
  <si>
    <t>P13LI-040</t>
  </si>
  <si>
    <t>P1LP-22</t>
  </si>
  <si>
    <t>5110100014-11</t>
  </si>
  <si>
    <t>82DJ0511010005000649709</t>
  </si>
  <si>
    <t>0591</t>
  </si>
  <si>
    <t>MESA DE MADERA  150X60</t>
  </si>
  <si>
    <t>P13LP-0591</t>
  </si>
  <si>
    <t>P13LI-041</t>
  </si>
  <si>
    <t>P1LP-26</t>
  </si>
  <si>
    <t>5120100007-66</t>
  </si>
  <si>
    <t>82DJ0531010065000564802</t>
  </si>
  <si>
    <t>0592</t>
  </si>
  <si>
    <t>P13LP-0592</t>
  </si>
  <si>
    <t>P13LI-042</t>
  </si>
  <si>
    <t>P1LP-27</t>
  </si>
  <si>
    <t>5110100011-40</t>
  </si>
  <si>
    <t>82DJ0511010017000516245</t>
  </si>
  <si>
    <t>0593</t>
  </si>
  <si>
    <t>P13LP-0593</t>
  </si>
  <si>
    <t>P13LI-043</t>
  </si>
  <si>
    <t>P1LP-28</t>
  </si>
  <si>
    <t>5150100008-21</t>
  </si>
  <si>
    <t>190522502046</t>
  </si>
  <si>
    <t>82DJ0515010016000649419</t>
  </si>
  <si>
    <t>0594</t>
  </si>
  <si>
    <t>ESCRITORIO DE MADERA CON 2 CAJONES</t>
  </si>
  <si>
    <t>P13LP-0594</t>
  </si>
  <si>
    <t>P13LI-044</t>
  </si>
  <si>
    <t>P1LP-24</t>
  </si>
  <si>
    <t>5110100015-32</t>
  </si>
  <si>
    <t>82DJ0511010006000518518</t>
  </si>
  <si>
    <t>0595</t>
  </si>
  <si>
    <t>P13LP-0595</t>
  </si>
  <si>
    <t>P13LI-045</t>
  </si>
  <si>
    <t>5150100005-142</t>
  </si>
  <si>
    <t>0596</t>
  </si>
  <si>
    <t>P13LP-0596</t>
  </si>
  <si>
    <t>P13LI-046</t>
  </si>
  <si>
    <t>5150100005-143</t>
  </si>
  <si>
    <t>MMTASAA007109004CD3P00</t>
  </si>
  <si>
    <t>0597</t>
  </si>
  <si>
    <t>P13LP-0597</t>
  </si>
  <si>
    <t>P13LI-047</t>
  </si>
  <si>
    <t>P1LP-29</t>
  </si>
  <si>
    <t>5120100004-14</t>
  </si>
  <si>
    <t>82DJ0515010033000564637</t>
  </si>
  <si>
    <t>0598</t>
  </si>
  <si>
    <t>SILLA NEGRA DE RUEDAS</t>
  </si>
  <si>
    <t>P13LP-0598</t>
  </si>
  <si>
    <t>P13LI-048</t>
  </si>
  <si>
    <t>P1SI-73</t>
  </si>
  <si>
    <t>5110100011-129</t>
  </si>
  <si>
    <t>82DH0511010017000649644</t>
  </si>
  <si>
    <t>OBED BORJA GARCIA</t>
  </si>
  <si>
    <t>0599</t>
  </si>
  <si>
    <t>SILLA DE TELA CAFÉ FIJA</t>
  </si>
  <si>
    <t>P13LP-0599</t>
  </si>
  <si>
    <t>P13LI-049</t>
  </si>
  <si>
    <t>P1SO-67</t>
  </si>
  <si>
    <t>5110100011-125</t>
  </si>
  <si>
    <t>82DH0511010017000649721</t>
  </si>
  <si>
    <t>0600</t>
  </si>
  <si>
    <t>MESA DE MADERA CON BASE DE METAL CAFE 120X60</t>
  </si>
  <si>
    <t>P13LP-0600</t>
  </si>
  <si>
    <t>P13LI-050</t>
  </si>
  <si>
    <t>P1R-33</t>
  </si>
  <si>
    <t>5120100007-63</t>
  </si>
  <si>
    <t>82DI0511010010000649565</t>
  </si>
  <si>
    <t>0601</t>
  </si>
  <si>
    <t>P13LP-0601</t>
  </si>
  <si>
    <t>P13LI-051</t>
  </si>
  <si>
    <t>P1SO-88</t>
  </si>
  <si>
    <t>5120100007-164</t>
  </si>
  <si>
    <t>82DJ0511010010000649703</t>
  </si>
  <si>
    <t>CARLOS REYNALDO MACIEL SILVA</t>
  </si>
  <si>
    <t>LAURA SANCHEZ GONZALEZ</t>
  </si>
  <si>
    <t>0602</t>
  </si>
  <si>
    <t>P13LP-0602</t>
  </si>
  <si>
    <t>P13LI-052</t>
  </si>
  <si>
    <t>P0RH-20</t>
  </si>
  <si>
    <t>189251</t>
  </si>
  <si>
    <t>82DI0515010001000535504</t>
  </si>
  <si>
    <t>0603</t>
  </si>
  <si>
    <t>P13LP-0603</t>
  </si>
  <si>
    <t>P13LI-053</t>
  </si>
  <si>
    <t>P1LP-45</t>
  </si>
  <si>
    <t>5660100057-30</t>
  </si>
  <si>
    <t>82DH0515010020000650646</t>
  </si>
  <si>
    <t>0604</t>
  </si>
  <si>
    <t>P13LP-0604</t>
  </si>
  <si>
    <t>P13LI-054</t>
  </si>
  <si>
    <t>P1SO-78</t>
  </si>
  <si>
    <t>5210100012-7</t>
  </si>
  <si>
    <t>CNC81643BQ</t>
  </si>
  <si>
    <t>82DH0565010041000530448</t>
  </si>
  <si>
    <t>0605</t>
  </si>
  <si>
    <t>P13IR-0605</t>
  </si>
  <si>
    <t>P13IN-001</t>
  </si>
  <si>
    <t>P1LP-30</t>
  </si>
  <si>
    <t>5290100025-11</t>
  </si>
  <si>
    <t>82DH0529030003000649710</t>
  </si>
  <si>
    <t>0606</t>
  </si>
  <si>
    <t>MESA GRIS DE MADERA CON BASE DE METAL 80X60</t>
  </si>
  <si>
    <t>P13IR-0606</t>
  </si>
  <si>
    <t>P13IN-002</t>
  </si>
  <si>
    <t>P1LP-41</t>
  </si>
  <si>
    <t>5120100007-67</t>
  </si>
  <si>
    <t>82DH0531010065000580342</t>
  </si>
  <si>
    <t>0607</t>
  </si>
  <si>
    <t>P13IR-0607</t>
  </si>
  <si>
    <t>P13IN-003</t>
  </si>
  <si>
    <t>P1LP-36</t>
  </si>
  <si>
    <t>5110100011-34</t>
  </si>
  <si>
    <t>82DH0511010017000516246</t>
  </si>
  <si>
    <t>0608</t>
  </si>
  <si>
    <t>CREDENZA 6 CAJONES 2 PUERTAS 180X42</t>
  </si>
  <si>
    <t>P13IR-0608</t>
  </si>
  <si>
    <t>P13IN-004</t>
  </si>
  <si>
    <t>P1LP-46</t>
  </si>
  <si>
    <t>5110100016-1</t>
  </si>
  <si>
    <t>82DH0511010005000518517</t>
  </si>
  <si>
    <t>0609</t>
  </si>
  <si>
    <t>ARCHIVERO (LOCKER) DE MADERA CON 4 CAJONES</t>
  </si>
  <si>
    <t>P13IR-0609</t>
  </si>
  <si>
    <t>P13IN-005</t>
  </si>
  <si>
    <t>P1LP-31</t>
  </si>
  <si>
    <t>5130100013-16</t>
  </si>
  <si>
    <t>82DH0511010009000518513</t>
  </si>
  <si>
    <t>0610</t>
  </si>
  <si>
    <t>LIBRERO DE MADERA (COMODA)</t>
  </si>
  <si>
    <t>P13IR-0610</t>
  </si>
  <si>
    <t>P13IN-006</t>
  </si>
  <si>
    <t>P1LP-32</t>
  </si>
  <si>
    <t>5130100126-8</t>
  </si>
  <si>
    <t>82DH0512010006000584026</t>
  </si>
  <si>
    <t>0611</t>
  </si>
  <si>
    <t>ESCRITORIO DE MADERA 3 PIEZAS</t>
  </si>
  <si>
    <t>P13IR-0611</t>
  </si>
  <si>
    <t>P13IN-007</t>
  </si>
  <si>
    <t>P1LP-35</t>
  </si>
  <si>
    <t>5110100015-33</t>
  </si>
  <si>
    <t>82DH0511010006000518511</t>
  </si>
  <si>
    <t>0612</t>
  </si>
  <si>
    <t>P13IR-0612</t>
  </si>
  <si>
    <t>P13IN-008</t>
  </si>
  <si>
    <t>P1LP-43</t>
  </si>
  <si>
    <t>5190100027-2</t>
  </si>
  <si>
    <t>XPRESS-M2885FW</t>
  </si>
  <si>
    <t>076UV8KJ5F0020Z</t>
  </si>
  <si>
    <t>82DH0515010014000649713</t>
  </si>
  <si>
    <t>0613</t>
  </si>
  <si>
    <t>P13IR-0613</t>
  </si>
  <si>
    <t>P13IN-009</t>
  </si>
  <si>
    <t>P1LP-23</t>
  </si>
  <si>
    <t>5210100012-16</t>
  </si>
  <si>
    <t>CNC812Y89K</t>
  </si>
  <si>
    <t>82DJ0565010041000530446</t>
  </si>
  <si>
    <t>0614</t>
  </si>
  <si>
    <t>P13IR-0614</t>
  </si>
  <si>
    <t>P13IN-010</t>
  </si>
  <si>
    <t>P1LP-34</t>
  </si>
  <si>
    <t>5150100005-34</t>
  </si>
  <si>
    <t>338696</t>
  </si>
  <si>
    <t>82DK0515010001000650660</t>
  </si>
  <si>
    <t>0615</t>
  </si>
  <si>
    <t>P13IR-0615</t>
  </si>
  <si>
    <t>P13IN-011</t>
  </si>
  <si>
    <t>P1LP-42</t>
  </si>
  <si>
    <t>5190200002-31</t>
  </si>
  <si>
    <t>MY/3352</t>
  </si>
  <si>
    <t>82DH0519010043000649371</t>
  </si>
  <si>
    <t>0616</t>
  </si>
  <si>
    <t>P13IR-0616</t>
  </si>
  <si>
    <t>P13IN-012</t>
  </si>
  <si>
    <t>P1SI-16</t>
  </si>
  <si>
    <t>5660100057-29</t>
  </si>
  <si>
    <t>12-10K</t>
  </si>
  <si>
    <t>82DH0515010020000651122</t>
  </si>
  <si>
    <t>0617</t>
  </si>
  <si>
    <t>P13IR-0617</t>
  </si>
  <si>
    <t>P13IN-013</t>
  </si>
  <si>
    <t>P1SO-73</t>
  </si>
  <si>
    <t>5110100011-66</t>
  </si>
  <si>
    <t>82DJ0511010017000649716</t>
  </si>
  <si>
    <t>VIRGINIA RAMOS CEJA</t>
  </si>
  <si>
    <t>LOURDES HERNANDEZ GARIBAY</t>
  </si>
  <si>
    <t>0618</t>
  </si>
  <si>
    <t>P13IR-0618</t>
  </si>
  <si>
    <t>P13IN-014</t>
  </si>
  <si>
    <t>P1LP-33</t>
  </si>
  <si>
    <t>5120100004-8</t>
  </si>
  <si>
    <t>82DH0515010033000564671</t>
  </si>
  <si>
    <t>0619</t>
  </si>
  <si>
    <t>P13IR-0619</t>
  </si>
  <si>
    <t>P1R-25</t>
  </si>
  <si>
    <t>5110100014-10</t>
  </si>
  <si>
    <t>0620</t>
  </si>
  <si>
    <t>P13IR-0620</t>
  </si>
  <si>
    <t>P13IN-015</t>
  </si>
  <si>
    <t>P1R-20</t>
  </si>
  <si>
    <t>5110100015-29</t>
  </si>
  <si>
    <t>82DI0511010006000583448</t>
  </si>
  <si>
    <t>0621</t>
  </si>
  <si>
    <t>P13IR-0621</t>
  </si>
  <si>
    <t>P13IN-016</t>
  </si>
  <si>
    <t>P1R-21</t>
  </si>
  <si>
    <t>5110100015-30</t>
  </si>
  <si>
    <t>82DI0511010006000649708</t>
  </si>
  <si>
    <t>0622</t>
  </si>
  <si>
    <t>P13IR-0622</t>
  </si>
  <si>
    <t>P13IN-017</t>
  </si>
  <si>
    <t>P1R-24</t>
  </si>
  <si>
    <t>5120100004-12</t>
  </si>
  <si>
    <t>82DI0515010033000564654</t>
  </si>
  <si>
    <t>0623</t>
  </si>
  <si>
    <t>P13IR-0623</t>
  </si>
  <si>
    <t>P13IN-018</t>
  </si>
  <si>
    <t>P1R-26</t>
  </si>
  <si>
    <t>5150100008-19</t>
  </si>
  <si>
    <t>190522502048</t>
  </si>
  <si>
    <t>82DI0515010016000649421</t>
  </si>
  <si>
    <t>0624</t>
  </si>
  <si>
    <t>P13IR-0624</t>
  </si>
  <si>
    <t>P13IN-019</t>
  </si>
  <si>
    <t>5150100005-140</t>
  </si>
  <si>
    <t>0625</t>
  </si>
  <si>
    <t>P13IR-0625</t>
  </si>
  <si>
    <t>P13IN-020</t>
  </si>
  <si>
    <t>5150100005-141</t>
  </si>
  <si>
    <t>MMTASAA007052054753P00</t>
  </si>
  <si>
    <t>0626</t>
  </si>
  <si>
    <t>P13IR-0626</t>
  </si>
  <si>
    <t>P13IN-021</t>
  </si>
  <si>
    <t>P1R-28</t>
  </si>
  <si>
    <t>5120100007-62</t>
  </si>
  <si>
    <t>82DI0531010065000564881</t>
  </si>
  <si>
    <t>0627</t>
  </si>
  <si>
    <t>P13IR-0627</t>
  </si>
  <si>
    <t>P13IN-022</t>
  </si>
  <si>
    <t>0628</t>
  </si>
  <si>
    <t>MESA DE MADERA CON BASE DE METAL 40X40</t>
  </si>
  <si>
    <t>P13IR-0628</t>
  </si>
  <si>
    <t>P13IN-023</t>
  </si>
  <si>
    <t>P1R-29</t>
  </si>
  <si>
    <t>5120100007-64</t>
  </si>
  <si>
    <t>82DI0531010065000564844</t>
  </si>
  <si>
    <t>0629</t>
  </si>
  <si>
    <t>ESCRITORIO DE MADERA  DE 2 CAJONES</t>
  </si>
  <si>
    <t>P13IR-0629</t>
  </si>
  <si>
    <t>P13IN-024</t>
  </si>
  <si>
    <t>P1R-27</t>
  </si>
  <si>
    <t>5110100015-31</t>
  </si>
  <si>
    <t>82DI0511010006000649563</t>
  </si>
  <si>
    <t>0630</t>
  </si>
  <si>
    <t>P13IR-0630</t>
  </si>
  <si>
    <t>P13IN-025</t>
  </si>
  <si>
    <t>P1R-34</t>
  </si>
  <si>
    <t>5120100004-13</t>
  </si>
  <si>
    <t>82DI0511010027000649560</t>
  </si>
  <si>
    <t>0631</t>
  </si>
  <si>
    <t>P13IR-0631</t>
  </si>
  <si>
    <t>P13IN-026</t>
  </si>
  <si>
    <t>P1R-35</t>
  </si>
  <si>
    <t>5110100011-39</t>
  </si>
  <si>
    <t>82DI0511010017000649561</t>
  </si>
  <si>
    <t>0632</t>
  </si>
  <si>
    <t>P13IR-0632</t>
  </si>
  <si>
    <t>P13IN-027</t>
  </si>
  <si>
    <t>P1R-31</t>
  </si>
  <si>
    <t>5150100008-20</t>
  </si>
  <si>
    <t>190522502045</t>
  </si>
  <si>
    <t>82DI0515010016000649422</t>
  </si>
  <si>
    <t>0633</t>
  </si>
  <si>
    <t>P13IR-0633</t>
  </si>
  <si>
    <t>P13IN-028</t>
  </si>
  <si>
    <t>5150100005-160</t>
  </si>
  <si>
    <t>0634</t>
  </si>
  <si>
    <t>P13IR-0634</t>
  </si>
  <si>
    <t>P13IN-029</t>
  </si>
  <si>
    <t>5150100005-161</t>
  </si>
  <si>
    <t>MMTASAA007109004B63P00</t>
  </si>
  <si>
    <t>0635</t>
  </si>
  <si>
    <t>P2</t>
  </si>
  <si>
    <t>SUBDIRECCIÓN JURÍDICA</t>
  </si>
  <si>
    <t>P13IR-0635</t>
  </si>
  <si>
    <t>P2A-25</t>
  </si>
  <si>
    <t>5120100007-163</t>
  </si>
  <si>
    <t>82DJ0531010065000564788</t>
  </si>
  <si>
    <t>CONTRATOS DE ADQUISICIONES</t>
  </si>
  <si>
    <t>HECTOR MANZO SILVA</t>
  </si>
  <si>
    <t>0636</t>
  </si>
  <si>
    <t>P13IR-0636</t>
  </si>
  <si>
    <t>P13IN-031</t>
  </si>
  <si>
    <t>P1SO-82</t>
  </si>
  <si>
    <t>5150100008-29</t>
  </si>
  <si>
    <t>9730CY0BC575600686</t>
  </si>
  <si>
    <t>82DJ05150100160005390646</t>
  </si>
  <si>
    <t>0637</t>
  </si>
  <si>
    <t>COMPUTADORA NEGRA</t>
  </si>
  <si>
    <t>P13IR-0637</t>
  </si>
  <si>
    <t>P13IN-032</t>
  </si>
  <si>
    <t>P1R-30</t>
  </si>
  <si>
    <t>5210100012-31</t>
  </si>
  <si>
    <t>MXJ819034O</t>
  </si>
  <si>
    <t>82DI0515010001000539009</t>
  </si>
  <si>
    <t>0638</t>
  </si>
  <si>
    <t>P13IR-0638</t>
  </si>
  <si>
    <t>P13IN-033</t>
  </si>
  <si>
    <t>P1R-32</t>
  </si>
  <si>
    <t>5210100012-28</t>
  </si>
  <si>
    <t>CNC821Y8G5</t>
  </si>
  <si>
    <t>82DI0565010041000543587</t>
  </si>
  <si>
    <t>0639</t>
  </si>
  <si>
    <t>P13IR-0639</t>
  </si>
  <si>
    <t>P13IN-034</t>
  </si>
  <si>
    <t>P1SO-72</t>
  </si>
  <si>
    <t>5110100015-74</t>
  </si>
  <si>
    <t>82DJ0511010010000651110</t>
  </si>
  <si>
    <t>0640</t>
  </si>
  <si>
    <t>ESCRITORIO CON DOS CAJONES DE MADERA</t>
  </si>
  <si>
    <t>P13IR-0640</t>
  </si>
  <si>
    <t>P13IN-035</t>
  </si>
  <si>
    <t>P1SO-71</t>
  </si>
  <si>
    <t>5110100015-73</t>
  </si>
  <si>
    <t>82DJ0511010006000651108</t>
  </si>
  <si>
    <t>0641</t>
  </si>
  <si>
    <t>P13IR-0641</t>
  </si>
  <si>
    <t>P13IN-036</t>
  </si>
  <si>
    <t>P1SO-74</t>
  </si>
  <si>
    <t>5110100014-7</t>
  </si>
  <si>
    <t>82DJ0511010005000649562</t>
  </si>
  <si>
    <t>0642</t>
  </si>
  <si>
    <t>P13IR-0642</t>
  </si>
  <si>
    <t>P13IN-037</t>
  </si>
  <si>
    <t>P1SO-62</t>
  </si>
  <si>
    <t>5110100011-31</t>
  </si>
  <si>
    <t>82DH0511010017000649725</t>
  </si>
  <si>
    <t>0643</t>
  </si>
  <si>
    <t>P13IN-038</t>
  </si>
  <si>
    <t>P1SO-75</t>
  </si>
  <si>
    <t>5150100008-51</t>
  </si>
  <si>
    <t>82DJ0515010016000651109</t>
  </si>
  <si>
    <t>0644</t>
  </si>
  <si>
    <t>P13IR-0644</t>
  </si>
  <si>
    <t>P13IN-039</t>
  </si>
  <si>
    <t>P1SI-67</t>
  </si>
  <si>
    <t>5110100011-32</t>
  </si>
  <si>
    <t>82DH0511010016000515592</t>
  </si>
  <si>
    <t>0645</t>
  </si>
  <si>
    <t>P13IR-0645</t>
  </si>
  <si>
    <t>P13IN-040</t>
  </si>
  <si>
    <t>5150100005-158</t>
  </si>
  <si>
    <t>0646</t>
  </si>
  <si>
    <t>P13IR-0646</t>
  </si>
  <si>
    <t>P13IN-041</t>
  </si>
  <si>
    <t>5150100005-159</t>
  </si>
  <si>
    <t>MMTASAA0071090048C3P00</t>
  </si>
  <si>
    <t>0647</t>
  </si>
  <si>
    <t>MESA DE MADERA 120X60</t>
  </si>
  <si>
    <t>P13IR-0647</t>
  </si>
  <si>
    <t>P13IN-042</t>
  </si>
  <si>
    <t>P1SO-83</t>
  </si>
  <si>
    <t>5120100007-56</t>
  </si>
  <si>
    <t>82DJ0531010065000564808</t>
  </si>
  <si>
    <t>LETICIA FARFAN TOLEDO</t>
  </si>
  <si>
    <t>0648</t>
  </si>
  <si>
    <t>MESA DE MADERA Y METAL 120X60</t>
  </si>
  <si>
    <t>P13IR-0648</t>
  </si>
  <si>
    <t>P13IN-043</t>
  </si>
  <si>
    <t>P1SO-81</t>
  </si>
  <si>
    <t>5120100007-52</t>
  </si>
  <si>
    <t>82DH0511010010000649720</t>
  </si>
  <si>
    <t>0649</t>
  </si>
  <si>
    <t>P13IR-0649</t>
  </si>
  <si>
    <t>P1SO-84</t>
  </si>
  <si>
    <t>5110100014-8</t>
  </si>
  <si>
    <t>82DJ0511010005000649704</t>
  </si>
  <si>
    <t>0650</t>
  </si>
  <si>
    <t>ESCRITORIO DE 2 CAJONES MADERA</t>
  </si>
  <si>
    <t>P13IR-0650</t>
  </si>
  <si>
    <t>P13IN-044</t>
  </si>
  <si>
    <t>P1SO-77</t>
  </si>
  <si>
    <t>5110100015-26</t>
  </si>
  <si>
    <t>82DJ0511010006000583450</t>
  </si>
  <si>
    <t>0651</t>
  </si>
  <si>
    <t>P13IR-0651</t>
  </si>
  <si>
    <t>P13IN-045</t>
  </si>
  <si>
    <t>P1SO-68</t>
  </si>
  <si>
    <t>5110100011-126</t>
  </si>
  <si>
    <t>82DH0511010017000649719</t>
  </si>
  <si>
    <t>0652</t>
  </si>
  <si>
    <t>P13IR-0652</t>
  </si>
  <si>
    <t>P13IN-046</t>
  </si>
  <si>
    <t>P1SO-87</t>
  </si>
  <si>
    <t>5120100004-9</t>
  </si>
  <si>
    <t>82DJ0515010033000564638</t>
  </si>
  <si>
    <t>0653</t>
  </si>
  <si>
    <t>P13IR-0653</t>
  </si>
  <si>
    <t>P13IN-047</t>
  </si>
  <si>
    <t>P1SO-86</t>
  </si>
  <si>
    <t>5150100008-16</t>
  </si>
  <si>
    <t>190522502047</t>
  </si>
  <si>
    <t>82DJ0515010016000649420</t>
  </si>
  <si>
    <t>0654</t>
  </si>
  <si>
    <t>P13IR-0654</t>
  </si>
  <si>
    <t>P13IN-048</t>
  </si>
  <si>
    <t>5150100005-135</t>
  </si>
  <si>
    <t>0655</t>
  </si>
  <si>
    <t>P13IR-0655</t>
  </si>
  <si>
    <t>P13IN-049</t>
  </si>
  <si>
    <t>5150100005-136</t>
  </si>
  <si>
    <t>MMTASAA0070520544C3P00</t>
  </si>
  <si>
    <t>0656</t>
  </si>
  <si>
    <t>P13IR-0656</t>
  </si>
  <si>
    <t>P13IN-050</t>
  </si>
  <si>
    <t>P1SO-70</t>
  </si>
  <si>
    <t>5210100012-72</t>
  </si>
  <si>
    <t>82DI0565010041000539123</t>
  </si>
  <si>
    <t>0657</t>
  </si>
  <si>
    <t>P13IR-0657</t>
  </si>
  <si>
    <t>P13IN-051</t>
  </si>
  <si>
    <t>P1R-22</t>
  </si>
  <si>
    <t>5110100011-38</t>
  </si>
  <si>
    <t>82DI0511010017000516229</t>
  </si>
  <si>
    <t>0658</t>
  </si>
  <si>
    <t>SILLA NEGRA  CON RUEDAS</t>
  </si>
  <si>
    <t>P13IR-0658</t>
  </si>
  <si>
    <t>P13IN-052</t>
  </si>
  <si>
    <t>P1SO-85</t>
  </si>
  <si>
    <t>5110100011-35</t>
  </si>
  <si>
    <t>82DJ0511010017000649702</t>
  </si>
  <si>
    <t>0659</t>
  </si>
  <si>
    <t>SILLON DE PIEL DE RUEDAS</t>
  </si>
  <si>
    <t>P13IR-0659</t>
  </si>
  <si>
    <t>P13IN-053</t>
  </si>
  <si>
    <t>P0AL-5</t>
  </si>
  <si>
    <t>5120100009-57</t>
  </si>
  <si>
    <t>82DJ0511010017000563784</t>
  </si>
  <si>
    <t>0660</t>
  </si>
  <si>
    <t>ARCHIVERO  CAFÉ CON 4 CAJONES 143X48X68</t>
  </si>
  <si>
    <t>P03CV-0660</t>
  </si>
  <si>
    <t>PB3CV-001</t>
  </si>
  <si>
    <t>P0CV-44</t>
  </si>
  <si>
    <t>5130100013-29</t>
  </si>
  <si>
    <t>82DJ0511010001000539203</t>
  </si>
  <si>
    <t>ENRIQUE URBINA ORTEGA</t>
  </si>
  <si>
    <t>JORGE ARTURO COLINA QUIROZ</t>
  </si>
  <si>
    <t>0661</t>
  </si>
  <si>
    <t>ARCHIVERO BEIGE CON 4 CAJONES 133X46X71</t>
  </si>
  <si>
    <t>P03CV-0661</t>
  </si>
  <si>
    <t>PB3CV-002</t>
  </si>
  <si>
    <t>P0CV-45</t>
  </si>
  <si>
    <t>5130100013-30</t>
  </si>
  <si>
    <t>82DJ0511010001000649503</t>
  </si>
  <si>
    <t>0662</t>
  </si>
  <si>
    <t>ARCHIVERO GRIS CON 4 CAJONES 132X47X64</t>
  </si>
  <si>
    <t>P03CV-0662</t>
  </si>
  <si>
    <t>PB3CV-003</t>
  </si>
  <si>
    <t>P0CV-46</t>
  </si>
  <si>
    <t>5130100013-31</t>
  </si>
  <si>
    <t>82DI0511010001000649476</t>
  </si>
  <si>
    <t>0663</t>
  </si>
  <si>
    <t>ARCHIVERO DE MADERA  CON 4 CAJONES 132X48X62</t>
  </si>
  <si>
    <t>P03CV-0663</t>
  </si>
  <si>
    <t>PB3CV-004</t>
  </si>
  <si>
    <t>P0CV-47</t>
  </si>
  <si>
    <t>5130100013-32</t>
  </si>
  <si>
    <t>82DI0511010001000564901</t>
  </si>
  <si>
    <t>0664</t>
  </si>
  <si>
    <t>VENTILADOR GRIS  DE TORRE</t>
  </si>
  <si>
    <t>P03CV-0664</t>
  </si>
  <si>
    <t>PB3CV-005</t>
  </si>
  <si>
    <t>P0CV-48</t>
  </si>
  <si>
    <t>5190200002-41</t>
  </si>
  <si>
    <t>SEVILLE CLASSIC</t>
  </si>
  <si>
    <t>82DI0531010094000564893</t>
  </si>
  <si>
    <t>0665</t>
  </si>
  <si>
    <t>SILLA  DE TELA NEGRA FIJA</t>
  </si>
  <si>
    <t>P03CV-0665</t>
  </si>
  <si>
    <t>PB3CV-006</t>
  </si>
  <si>
    <t>P0CV-27</t>
  </si>
  <si>
    <t>5110100011-74</t>
  </si>
  <si>
    <t>82DI0511010017000516298</t>
  </si>
  <si>
    <t>0666</t>
  </si>
  <si>
    <t>P03CV-0666</t>
  </si>
  <si>
    <t>PB3CV-007</t>
  </si>
  <si>
    <t>P0CV-4</t>
  </si>
  <si>
    <t>5110100011-70</t>
  </si>
  <si>
    <t>82DK0511010017000522769</t>
  </si>
  <si>
    <t>0667</t>
  </si>
  <si>
    <t>P03CV-0667</t>
  </si>
  <si>
    <t>PB3CV-008</t>
  </si>
  <si>
    <t>P0CV-39</t>
  </si>
  <si>
    <t>5110100011-101</t>
  </si>
  <si>
    <t>82DJ0511010017000522803</t>
  </si>
  <si>
    <t>0668</t>
  </si>
  <si>
    <t>P03CV-0668</t>
  </si>
  <si>
    <t>PB3CV-009</t>
  </si>
  <si>
    <t>P0CV-40</t>
  </si>
  <si>
    <t>5110100011-102</t>
  </si>
  <si>
    <t>82DJ0511010017000522804</t>
  </si>
  <si>
    <t>FERNANDO HERNANDEZ ALCALA</t>
  </si>
  <si>
    <t>0669</t>
  </si>
  <si>
    <t>LOCKER DE MADERA CON 2 PUERTAS 165X80X43</t>
  </si>
  <si>
    <t>P03CV-0669</t>
  </si>
  <si>
    <t>PB3CV-010</t>
  </si>
  <si>
    <t>P0CV-34</t>
  </si>
  <si>
    <t>5110100013-1</t>
  </si>
  <si>
    <t>82DJ0511010009000584146</t>
  </si>
  <si>
    <t>0670</t>
  </si>
  <si>
    <t>ESCRITORIO DE MADERA TIPO ISLA DE 4 PIEZAS</t>
  </si>
  <si>
    <t>P03CV-0670</t>
  </si>
  <si>
    <t>PB3CV-011</t>
  </si>
  <si>
    <t>P0CV-35</t>
  </si>
  <si>
    <t>5110100015-65</t>
  </si>
  <si>
    <t>82DJ0511010006000583486</t>
  </si>
  <si>
    <t>0671</t>
  </si>
  <si>
    <t>MESA  DE MADERA CON BASE DE METAL 120X60</t>
  </si>
  <si>
    <t>P03CV-0671</t>
  </si>
  <si>
    <t>PB3CV-012</t>
  </si>
  <si>
    <t>P0CV-41</t>
  </si>
  <si>
    <t>5120100007-111</t>
  </si>
  <si>
    <t>82DI0511010010000649474</t>
  </si>
  <si>
    <t>0672</t>
  </si>
  <si>
    <t>P03CV-0672</t>
  </si>
  <si>
    <t>PB3CV-013</t>
  </si>
  <si>
    <t>P0CV-37</t>
  </si>
  <si>
    <t>5210100012-45</t>
  </si>
  <si>
    <t>CMG2017180136801847</t>
  </si>
  <si>
    <t>82DI0515010013000650655</t>
  </si>
  <si>
    <t>0673</t>
  </si>
  <si>
    <t>P03CV-0673</t>
  </si>
  <si>
    <t>PB3CV-014</t>
  </si>
  <si>
    <t>P0CV-32</t>
  </si>
  <si>
    <t>5150100005-62</t>
  </si>
  <si>
    <t>337850</t>
  </si>
  <si>
    <t>82DI0515010001000650665</t>
  </si>
  <si>
    <t>0674</t>
  </si>
  <si>
    <t>P03CV-0674</t>
  </si>
  <si>
    <t>PB3CV-015</t>
  </si>
  <si>
    <t>2149EY0BC785700776</t>
  </si>
  <si>
    <t>82DJ0515010016000524721</t>
  </si>
  <si>
    <t>0675</t>
  </si>
  <si>
    <t>P03CV-0675</t>
  </si>
  <si>
    <t>PB3CV-016</t>
  </si>
  <si>
    <t>P0CV-33</t>
  </si>
  <si>
    <t>5210100012-60</t>
  </si>
  <si>
    <t>CNC811ZB3F</t>
  </si>
  <si>
    <t>82DI0565010041000539108</t>
  </si>
  <si>
    <t>PARA BAJA EN ALMACEN</t>
  </si>
  <si>
    <t>0676</t>
  </si>
  <si>
    <t>SILLON  DE PIEL  NEGRO CON RUEDAS</t>
  </si>
  <si>
    <t>P03CV-0676</t>
  </si>
  <si>
    <t>PB3CV-017</t>
  </si>
  <si>
    <t>P0CV-38</t>
  </si>
  <si>
    <t>5120100009-55</t>
  </si>
  <si>
    <t>SIN MARCA</t>
  </si>
  <si>
    <t>82DJ0511010016000515616</t>
  </si>
  <si>
    <t>0677</t>
  </si>
  <si>
    <t>P03CV-0677</t>
  </si>
  <si>
    <t>PB3CV-018</t>
  </si>
  <si>
    <t>P0CV-36</t>
  </si>
  <si>
    <t>5650100010-28</t>
  </si>
  <si>
    <t>4LO00H118465</t>
  </si>
  <si>
    <t>82DJ0565010001000533242</t>
  </si>
  <si>
    <t>0678</t>
  </si>
  <si>
    <t>P03CV-0678</t>
  </si>
  <si>
    <t>PB3CV-019</t>
  </si>
  <si>
    <t>5150100005-151</t>
  </si>
  <si>
    <t>MMLXLAA0250480B4A04273</t>
  </si>
  <si>
    <t>0679</t>
  </si>
  <si>
    <t>P03CV-0679</t>
  </si>
  <si>
    <t>PB3CV-020</t>
  </si>
  <si>
    <t>5150100005-150</t>
  </si>
  <si>
    <t>0680</t>
  </si>
  <si>
    <t>P03CV-0680</t>
  </si>
  <si>
    <t>PB3CV-021</t>
  </si>
  <si>
    <t>POAR-42</t>
  </si>
  <si>
    <t>5660100057-9</t>
  </si>
  <si>
    <t>15-0714855</t>
  </si>
  <si>
    <t>82DI0515010020000650895</t>
  </si>
  <si>
    <t>0681</t>
  </si>
  <si>
    <t>ARCHIVERO  BEIGE CON 4 CAJONES 133X46X71</t>
  </si>
  <si>
    <t>P03CV-0681</t>
  </si>
  <si>
    <t>PB3CV-022</t>
  </si>
  <si>
    <t>P0CV-49</t>
  </si>
  <si>
    <t>5130100013-33</t>
  </si>
  <si>
    <t>82DI0511010001000564896</t>
  </si>
  <si>
    <t>0682</t>
  </si>
  <si>
    <t>ARCHIVERO CAFÉ CON 4 CAJONES 133X47X70</t>
  </si>
  <si>
    <t>P03CV-0682</t>
  </si>
  <si>
    <t>PB3CV-023</t>
  </si>
  <si>
    <t>P0CV-50</t>
  </si>
  <si>
    <t>5130100013-34</t>
  </si>
  <si>
    <t>82DJ0511010001000581385</t>
  </si>
  <si>
    <t>0683</t>
  </si>
  <si>
    <t>ARCHIVERO GRIS CON 4 CAJONES 132X46X73</t>
  </si>
  <si>
    <t>P03CV-0683</t>
  </si>
  <si>
    <t>PB3CV-024</t>
  </si>
  <si>
    <t>P0CV-51</t>
  </si>
  <si>
    <t>5130100013-35</t>
  </si>
  <si>
    <t>82DI0511010001000581386</t>
  </si>
  <si>
    <t>0684</t>
  </si>
  <si>
    <t>ARCHIVERO CAFÉ CON 4 CAJONES 135X47X66</t>
  </si>
  <si>
    <t>P03CV-0684</t>
  </si>
  <si>
    <t>PB3CV-025</t>
  </si>
  <si>
    <t>P0CV-42</t>
  </si>
  <si>
    <t>5130100013-27</t>
  </si>
  <si>
    <t>82DI0511010001000649475</t>
  </si>
  <si>
    <t>MARIA DEL SOCORRO OLMOS CHAVEZ</t>
  </si>
  <si>
    <t>0685</t>
  </si>
  <si>
    <t>ARCHIVERO GRIS  CON 4 CAJONES 134X45X71</t>
  </si>
  <si>
    <t>P03CV-0685</t>
  </si>
  <si>
    <t>PB3CV-026</t>
  </si>
  <si>
    <t>P0CV-43</t>
  </si>
  <si>
    <t>5130100013-28</t>
  </si>
  <si>
    <t>82DI0511010001000581387</t>
  </si>
  <si>
    <t>0686</t>
  </si>
  <si>
    <t>P03CV-0686</t>
  </si>
  <si>
    <t>PB3CV-027</t>
  </si>
  <si>
    <t>P0RH-2</t>
  </si>
  <si>
    <t>5110100011-71</t>
  </si>
  <si>
    <t>82DK0511010017000522770</t>
  </si>
  <si>
    <t>0687</t>
  </si>
  <si>
    <t>ARCHIVERO NEGRO CON 2 CAJONES 54X40X56</t>
  </si>
  <si>
    <t>P03CV-0687</t>
  </si>
  <si>
    <t>PB3CV-028</t>
  </si>
  <si>
    <t>P0CV-9</t>
  </si>
  <si>
    <t>5130100013-21</t>
  </si>
  <si>
    <t>82DK0511010001000649500</t>
  </si>
  <si>
    <t>0688</t>
  </si>
  <si>
    <t>MESA DE MADERA CON ENTREPAÑO 66X80X453</t>
  </si>
  <si>
    <t>P03CV-0688</t>
  </si>
  <si>
    <t>PB3CV-029</t>
  </si>
  <si>
    <t>P0CV-15</t>
  </si>
  <si>
    <t>5120100007-96</t>
  </si>
  <si>
    <t>82DI0531010065000564866</t>
  </si>
  <si>
    <t>0689</t>
  </si>
  <si>
    <t>VENTILADOR GRIS  DE TORRE PEQUEÑO</t>
  </si>
  <si>
    <t>P03CV-0689</t>
  </si>
  <si>
    <t>PB3CV-030</t>
  </si>
  <si>
    <t>P0CV-14</t>
  </si>
  <si>
    <t>5190200002-34</t>
  </si>
  <si>
    <t>82DK0531010094000581183</t>
  </si>
  <si>
    <t>0690</t>
  </si>
  <si>
    <t>ESCRITORIO DE MADERA 2 CAJONES 140X60</t>
  </si>
  <si>
    <t>P03CV-0690</t>
  </si>
  <si>
    <t>PB3CV-031</t>
  </si>
  <si>
    <t>P0CV-12</t>
  </si>
  <si>
    <t>5110100015-53</t>
  </si>
  <si>
    <t>82DK0511010006000583482</t>
  </si>
  <si>
    <t>0691</t>
  </si>
  <si>
    <t>P03CV-0691</t>
  </si>
  <si>
    <t>PB3CV-032</t>
  </si>
  <si>
    <t>P0CV-10</t>
  </si>
  <si>
    <t>5120100007-95</t>
  </si>
  <si>
    <t>82DK0531010065000564865</t>
  </si>
  <si>
    <t>0692</t>
  </si>
  <si>
    <t>P03CV-0692</t>
  </si>
  <si>
    <t>PB3CV-033</t>
  </si>
  <si>
    <t>P0CV-16</t>
  </si>
  <si>
    <t>5210100012-37</t>
  </si>
  <si>
    <t>CNC812Y97Q</t>
  </si>
  <si>
    <t>82DK0565010041000539107</t>
  </si>
  <si>
    <t>0693</t>
  </si>
  <si>
    <t>P03CV-0693</t>
  </si>
  <si>
    <t>PB3CV-034</t>
  </si>
  <si>
    <t>P0CV-11</t>
  </si>
  <si>
    <t>5150100005-51</t>
  </si>
  <si>
    <t>MXJ819034R</t>
  </si>
  <si>
    <t>82DK0515010001000539047</t>
  </si>
  <si>
    <t>0694</t>
  </si>
  <si>
    <t>P03CV-0694</t>
  </si>
  <si>
    <t>PB3CV-035</t>
  </si>
  <si>
    <t>P0CV-18</t>
  </si>
  <si>
    <t>5120100004-37</t>
  </si>
  <si>
    <t>82DK0515010033000651113</t>
  </si>
  <si>
    <t>0695</t>
  </si>
  <si>
    <t>P03CV-0695</t>
  </si>
  <si>
    <t>PB3CV-036</t>
  </si>
  <si>
    <t>P0CV-13</t>
  </si>
  <si>
    <t>5150100008-32</t>
  </si>
  <si>
    <t>VORAGO</t>
  </si>
  <si>
    <t>UPS300</t>
  </si>
  <si>
    <t>16459464430</t>
  </si>
  <si>
    <t>82DK0515010016000649439</t>
  </si>
  <si>
    <t>0696</t>
  </si>
  <si>
    <t>SILLON DE TELA CON RUEDAS NEGRO</t>
  </si>
  <si>
    <t>P03CV-0696</t>
  </si>
  <si>
    <t>PB3CV-037</t>
  </si>
  <si>
    <t>P0CV-22</t>
  </si>
  <si>
    <t>5120100009-46</t>
  </si>
  <si>
    <t>82DI0511010017000516230</t>
  </si>
  <si>
    <t>0697</t>
  </si>
  <si>
    <t>ANAQUEL CON 2 PUERTAS 180X80X37</t>
  </si>
  <si>
    <t>P03CV-0697</t>
  </si>
  <si>
    <t>PB3CV-038</t>
  </si>
  <si>
    <t>P0CV-28</t>
  </si>
  <si>
    <t>5290300001-13</t>
  </si>
  <si>
    <t>82DI0511010020000649496</t>
  </si>
  <si>
    <t>0698</t>
  </si>
  <si>
    <t>P03CV-0698</t>
  </si>
  <si>
    <t>PB3CV-039</t>
  </si>
  <si>
    <t>P0CV-23</t>
  </si>
  <si>
    <t>5110100015-55</t>
  </si>
  <si>
    <t>82DI0511010006000583481</t>
  </si>
  <si>
    <t>0699</t>
  </si>
  <si>
    <t>P03CV-0699</t>
  </si>
  <si>
    <t>PB3CV-040</t>
  </si>
  <si>
    <t>P0CV-31</t>
  </si>
  <si>
    <t>5120100007-97</t>
  </si>
  <si>
    <t>82DI0531010065000564864</t>
  </si>
  <si>
    <t>0700</t>
  </si>
  <si>
    <t>P03CV-0700</t>
  </si>
  <si>
    <t>PB3CV-041</t>
  </si>
  <si>
    <t>P0CV-7</t>
  </si>
  <si>
    <t>5150100008-33</t>
  </si>
  <si>
    <t>190522502264</t>
  </si>
  <si>
    <t>82DK0515010016000649423</t>
  </si>
  <si>
    <t>0701</t>
  </si>
  <si>
    <t>P03CV-0701</t>
  </si>
  <si>
    <t>PB3CV-042</t>
  </si>
  <si>
    <t>P0CV-30</t>
  </si>
  <si>
    <t>5650100010-44</t>
  </si>
  <si>
    <t>4LO00H118361</t>
  </si>
  <si>
    <t>82DI0565010001000533228</t>
  </si>
  <si>
    <t>0702</t>
  </si>
  <si>
    <t>MESA COMPLEMENTO  CHICA 66X60X40</t>
  </si>
  <si>
    <t>P03CV-0702</t>
  </si>
  <si>
    <t>PB3CV-043</t>
  </si>
  <si>
    <t>P0CV-1</t>
  </si>
  <si>
    <t>5120100007-93</t>
  </si>
  <si>
    <t>82DK0511010010000649497</t>
  </si>
  <si>
    <t>0703</t>
  </si>
  <si>
    <t>P03CV-0703</t>
  </si>
  <si>
    <t>PB3CV-044</t>
  </si>
  <si>
    <t>P0CV-5</t>
  </si>
  <si>
    <t>5110100015-51</t>
  </si>
  <si>
    <t>82DJ0511010006000649492</t>
  </si>
  <si>
    <t>0704</t>
  </si>
  <si>
    <t>P03CV-0704</t>
  </si>
  <si>
    <t>PB3CV-045</t>
  </si>
  <si>
    <t>P0CV-8</t>
  </si>
  <si>
    <t>5210100012-50</t>
  </si>
  <si>
    <t>CNC812Y8QK</t>
  </si>
  <si>
    <t>82DK0565010041000535801</t>
  </si>
  <si>
    <t>0705</t>
  </si>
  <si>
    <t>P03CV-0705</t>
  </si>
  <si>
    <t>PB3CV-046</t>
  </si>
  <si>
    <t>P0CV-6</t>
  </si>
  <si>
    <t>5150100005-49</t>
  </si>
  <si>
    <t>20302171092</t>
  </si>
  <si>
    <t>82DK0515010001000535527</t>
  </si>
  <si>
    <t>0706</t>
  </si>
  <si>
    <t>P03CV-0706</t>
  </si>
  <si>
    <t>PB3CV-047</t>
  </si>
  <si>
    <t>P0CV-2</t>
  </si>
  <si>
    <t>5650100010-23</t>
  </si>
  <si>
    <t>CCQ17280CKI</t>
  </si>
  <si>
    <t>82DK0565010001000649491</t>
  </si>
  <si>
    <t>0707</t>
  </si>
  <si>
    <t>P03CV-0707</t>
  </si>
  <si>
    <t>PB3CV-048</t>
  </si>
  <si>
    <t>P0CV-29</t>
  </si>
  <si>
    <t>5150100008-31</t>
  </si>
  <si>
    <t>190522502262</t>
  </si>
  <si>
    <t>82DI0515010016000649424</t>
  </si>
  <si>
    <t>0708</t>
  </si>
  <si>
    <t>P03CV-0708</t>
  </si>
  <si>
    <t>PB3CV-049</t>
  </si>
  <si>
    <t>P0CV-3</t>
  </si>
  <si>
    <t>5110100011-69</t>
  </si>
  <si>
    <t>82DK0511010017000522846</t>
  </si>
  <si>
    <t>0709</t>
  </si>
  <si>
    <t>SILLA  NEGRA DE TELA</t>
  </si>
  <si>
    <t>P03CV-0709</t>
  </si>
  <si>
    <t>PB3CV-050</t>
  </si>
  <si>
    <t>82DH0511010017000651379</t>
  </si>
  <si>
    <t>0710</t>
  </si>
  <si>
    <t>P03CV-0710</t>
  </si>
  <si>
    <t>PB3CV-051</t>
  </si>
  <si>
    <t>P0CV-26</t>
  </si>
  <si>
    <t>5120100009-47</t>
  </si>
  <si>
    <t>82DI0511010017000522768</t>
  </si>
  <si>
    <t>0711</t>
  </si>
  <si>
    <t>P03CV-0711</t>
  </si>
  <si>
    <t>PB3CV-052</t>
  </si>
  <si>
    <t>P0CV-25</t>
  </si>
  <si>
    <t>5210100012-39</t>
  </si>
  <si>
    <t>CNC816Y4T2</t>
  </si>
  <si>
    <t>82DI0565010041000543591</t>
  </si>
  <si>
    <t>0712</t>
  </si>
  <si>
    <t>P03CV-0712</t>
  </si>
  <si>
    <t>PB3CV-053</t>
  </si>
  <si>
    <t>P0CV-24</t>
  </si>
  <si>
    <t>5150100005-52</t>
  </si>
  <si>
    <t>PAVILLION S3020LA</t>
  </si>
  <si>
    <t>SNH71619W9</t>
  </si>
  <si>
    <t>82DI0515010001000564542</t>
  </si>
  <si>
    <t>SE ENCUENTRA EN ALMACEN PARA BAJA</t>
  </si>
  <si>
    <t>0713</t>
  </si>
  <si>
    <t>VENTILADOR DE PARED GRIS</t>
  </si>
  <si>
    <t>P24SJ-0713</t>
  </si>
  <si>
    <t>P24SJ-001</t>
  </si>
  <si>
    <t>P2SJ-16</t>
  </si>
  <si>
    <t>5190200002-5</t>
  </si>
  <si>
    <t>82DH0519010043000649723</t>
  </si>
  <si>
    <t>RODOLFO GARCIA GARCIA</t>
  </si>
  <si>
    <t>0714</t>
  </si>
  <si>
    <t>LIBRERO DE MADERA 244X121X40</t>
  </si>
  <si>
    <t>P24SJ-0714</t>
  </si>
  <si>
    <t>P24SJ-002</t>
  </si>
  <si>
    <t>P2SJ-28</t>
  </si>
  <si>
    <t>5130100126-5</t>
  </si>
  <si>
    <t>82DH0511010008000649769</t>
  </si>
  <si>
    <t>0715</t>
  </si>
  <si>
    <t>P24SJ-0715</t>
  </si>
  <si>
    <t>P24SJ-003</t>
  </si>
  <si>
    <t>P2SJ-29</t>
  </si>
  <si>
    <t>5130100126-6</t>
  </si>
  <si>
    <t>82DH0511010008000649768</t>
  </si>
  <si>
    <t>0716</t>
  </si>
  <si>
    <t>VENTILADOR DE PEDESTAL BLANCO</t>
  </si>
  <si>
    <t>P24SJ-0716</t>
  </si>
  <si>
    <t>P24SJ-004</t>
  </si>
  <si>
    <t>P2SJ-7</t>
  </si>
  <si>
    <t>5190200002-4</t>
  </si>
  <si>
    <t>82DH0519010043000649724</t>
  </si>
  <si>
    <t>SE ENCUENTRA EN ARCHIVO</t>
  </si>
  <si>
    <t>0717</t>
  </si>
  <si>
    <t>P24SJ-0717</t>
  </si>
  <si>
    <t>P24SJ-005</t>
  </si>
  <si>
    <t>P2SJ-27</t>
  </si>
  <si>
    <t>5190100027-1</t>
  </si>
  <si>
    <t>OFICEJET PRO 8710</t>
  </si>
  <si>
    <t>CN634BM0CT</t>
  </si>
  <si>
    <t>82DH0515010014000649767</t>
  </si>
  <si>
    <t>0718</t>
  </si>
  <si>
    <t>MESA DE MADERA CON RUEDAS 40X60</t>
  </si>
  <si>
    <t>P24SJ-0718</t>
  </si>
  <si>
    <t>P24SJ-006</t>
  </si>
  <si>
    <t>P2SJ-11</t>
  </si>
  <si>
    <t>5120100007-29</t>
  </si>
  <si>
    <t>82DH0511010010000649777</t>
  </si>
  <si>
    <t>0719</t>
  </si>
  <si>
    <t>SILLA NEGRA CON METAL FIJA</t>
  </si>
  <si>
    <t>P24SJ-0719</t>
  </si>
  <si>
    <t>P24SJ-007</t>
  </si>
  <si>
    <t>P2SJ-15</t>
  </si>
  <si>
    <t>5110100011-9</t>
  </si>
  <si>
    <t>82HJ0511010017000564588</t>
  </si>
  <si>
    <t>CONTRATOS DE SERVICIOS Y ARRENDAMIENTOS</t>
  </si>
  <si>
    <t>MA. LOURDES ORTIZ MONDRAGON</t>
  </si>
  <si>
    <t>0720</t>
  </si>
  <si>
    <t>ARCHIVERO DE MADERA CON 4 CAJONES 125X50X60</t>
  </si>
  <si>
    <t>P24SJ-0720</t>
  </si>
  <si>
    <t>P24SJ-008</t>
  </si>
  <si>
    <t>P2SJ-9</t>
  </si>
  <si>
    <t>5130100013-3</t>
  </si>
  <si>
    <t>82DH0511010001000579099</t>
  </si>
  <si>
    <t>0721</t>
  </si>
  <si>
    <t>SILLÓN DE TELA NEGRO CON MADERA FIJO</t>
  </si>
  <si>
    <t>P24SJ-0721</t>
  </si>
  <si>
    <t>P24SJ-009</t>
  </si>
  <si>
    <t>P2SJ-18</t>
  </si>
  <si>
    <t>5120100009-17</t>
  </si>
  <si>
    <t>82DH0511010016000515589</t>
  </si>
  <si>
    <t>0722</t>
  </si>
  <si>
    <t>P24SJ-0722</t>
  </si>
  <si>
    <t>P24SJ-010</t>
  </si>
  <si>
    <t>P2SJ-35</t>
  </si>
  <si>
    <t>5120100009-16</t>
  </si>
  <si>
    <t>82DH0511010016000515613</t>
  </si>
  <si>
    <t>0723</t>
  </si>
  <si>
    <t>P24SJ-0723</t>
  </si>
  <si>
    <t>P2SJ-30</t>
  </si>
  <si>
    <t>5120100007-31</t>
  </si>
  <si>
    <t>82DH0531010065000564772</t>
  </si>
  <si>
    <t>0724</t>
  </si>
  <si>
    <t>P24SJ-0724</t>
  </si>
  <si>
    <t>P2SJ-40</t>
  </si>
  <si>
    <t>5110100014-17</t>
  </si>
  <si>
    <t>0725</t>
  </si>
  <si>
    <t>ESCRITORIO DE MADERA TIPO ISLA DE 3 PIEZAS</t>
  </si>
  <si>
    <t>P24SJ-0725</t>
  </si>
  <si>
    <t>P24SJ-011</t>
  </si>
  <si>
    <t>P2SJ-10</t>
  </si>
  <si>
    <t>5110100015-10</t>
  </si>
  <si>
    <t>82DH0511010006000583484</t>
  </si>
  <si>
    <t>0726</t>
  </si>
  <si>
    <t>P24SJ-0726</t>
  </si>
  <si>
    <t>P24SJ-012</t>
  </si>
  <si>
    <t>P2SJ-41</t>
  </si>
  <si>
    <t>5110100015-72</t>
  </si>
  <si>
    <t>82DH0511010006000583683</t>
  </si>
  <si>
    <t>0727</t>
  </si>
  <si>
    <t>P24SJ-0727</t>
  </si>
  <si>
    <t>P24SJ-013</t>
  </si>
  <si>
    <t>P2SJ-23</t>
  </si>
  <si>
    <t>5650100010-5</t>
  </si>
  <si>
    <t>CCQ18330BBG</t>
  </si>
  <si>
    <t>82DH0565010001000649766</t>
  </si>
  <si>
    <t>0728</t>
  </si>
  <si>
    <t>PANTALLA NEGRA DE 32"</t>
  </si>
  <si>
    <t>P24SJ-0728</t>
  </si>
  <si>
    <t>P24SJ-014</t>
  </si>
  <si>
    <t>P2SJ-37</t>
  </si>
  <si>
    <t>5190100022-2</t>
  </si>
  <si>
    <t>SANSUI</t>
  </si>
  <si>
    <t>SMX32F1NF</t>
  </si>
  <si>
    <t>CTM200410202754</t>
  </si>
  <si>
    <t>82DH0512010025000649410</t>
  </si>
  <si>
    <t xml:space="preserve">BLANCA ELIZABETH ALCANTAR GUERRERO </t>
  </si>
  <si>
    <t>NO</t>
  </si>
  <si>
    <t>0729</t>
  </si>
  <si>
    <t>P24SJ-0729</t>
  </si>
  <si>
    <t>P24SJ-015</t>
  </si>
  <si>
    <t>P2SJ-22</t>
  </si>
  <si>
    <t>5150100005-6</t>
  </si>
  <si>
    <t>SLIM TOWER 280</t>
  </si>
  <si>
    <t>3CR5440DT0</t>
  </si>
  <si>
    <t>82DH0515010003000649376</t>
  </si>
  <si>
    <t>0730</t>
  </si>
  <si>
    <t xml:space="preserve">DISCO DURO EXTERNO </t>
  </si>
  <si>
    <t>P24SJ-0730</t>
  </si>
  <si>
    <t>P24SJ-016</t>
  </si>
  <si>
    <t>P2SJ-20</t>
  </si>
  <si>
    <t>5150100006-1</t>
  </si>
  <si>
    <t>HD710-1T</t>
  </si>
  <si>
    <t>1G4020046263</t>
  </si>
  <si>
    <t>82DH0515010006000649399</t>
  </si>
  <si>
    <t>0731</t>
  </si>
  <si>
    <t>P24SJ-0731</t>
  </si>
  <si>
    <t>P24SJ-017</t>
  </si>
  <si>
    <t>P2SJ-38</t>
  </si>
  <si>
    <t>5150100008-50</t>
  </si>
  <si>
    <t>181222508481</t>
  </si>
  <si>
    <t>82DH0515010016000649415</t>
  </si>
  <si>
    <t>0732</t>
  </si>
  <si>
    <t>P24SJ-0732</t>
  </si>
  <si>
    <t>P24SJ-018</t>
  </si>
  <si>
    <t>P2SJ-19</t>
  </si>
  <si>
    <t>5120100009-18</t>
  </si>
  <si>
    <t>82DH0511010016000515590</t>
  </si>
  <si>
    <t>POSIBLE REPARACION</t>
  </si>
  <si>
    <t>0733</t>
  </si>
  <si>
    <t>P24SJ-0733</t>
  </si>
  <si>
    <t>P24SJ-019</t>
  </si>
  <si>
    <t>P2SJ-26</t>
  </si>
  <si>
    <t>5120100007-30</t>
  </si>
  <si>
    <t>82DH0531010065000564754</t>
  </si>
  <si>
    <t>RODOLFO GARCIA GARCIA (AREAS COMUNES)</t>
  </si>
  <si>
    <t>COPIADORA</t>
  </si>
  <si>
    <t>0734</t>
  </si>
  <si>
    <t>RECIBIDOR DE TELA DE 3 PLAZAS CON BASE DE METAL</t>
  </si>
  <si>
    <t>P24SJ-0734</t>
  </si>
  <si>
    <t>P24SJ-020</t>
  </si>
  <si>
    <t>P2SJ-1</t>
  </si>
  <si>
    <t>5120100005-1</t>
  </si>
  <si>
    <t>82DH0511010015000515554</t>
  </si>
  <si>
    <t>0735</t>
  </si>
  <si>
    <t>P24SJ-0735</t>
  </si>
  <si>
    <t>P24SJ-021</t>
  </si>
  <si>
    <t>P2SJ-34</t>
  </si>
  <si>
    <t>5120100005-3</t>
  </si>
  <si>
    <t>82DH0511010015000518531</t>
  </si>
  <si>
    <t>0736</t>
  </si>
  <si>
    <t>P24SJ-0736</t>
  </si>
  <si>
    <t>P24SJ-022</t>
  </si>
  <si>
    <t>P2SJ-36</t>
  </si>
  <si>
    <t>5120100009-19</t>
  </si>
  <si>
    <t>82DH0511010016000564683</t>
  </si>
  <si>
    <t>0737</t>
  </si>
  <si>
    <t>P24SJ-0737</t>
  </si>
  <si>
    <t>P24SJ-023</t>
  </si>
  <si>
    <t>P2SJ-17</t>
  </si>
  <si>
    <t>5120100009-20</t>
  </si>
  <si>
    <t>82DH0511010016000649778</t>
  </si>
  <si>
    <t>0738</t>
  </si>
  <si>
    <t>P24SJ-0738</t>
  </si>
  <si>
    <t>P24SJ-024</t>
  </si>
  <si>
    <t>P2SJ-25</t>
  </si>
  <si>
    <t>5120100005-2</t>
  </si>
  <si>
    <t>82DH0511010015000518498</t>
  </si>
  <si>
    <t>0739</t>
  </si>
  <si>
    <t>P24SJ-0739</t>
  </si>
  <si>
    <t>P24SJ-025</t>
  </si>
  <si>
    <t>P2SJ-24</t>
  </si>
  <si>
    <t>5190200002-6</t>
  </si>
  <si>
    <t>82DH0519010043000649746</t>
  </si>
  <si>
    <t>0740</t>
  </si>
  <si>
    <t>MESA TRAPECIO PLASTCA VERDE CON BASE DE METAL</t>
  </si>
  <si>
    <t>P24SJ-0740</t>
  </si>
  <si>
    <t>P24SJ-026</t>
  </si>
  <si>
    <t>P0A-20</t>
  </si>
  <si>
    <t>5120100007-117</t>
  </si>
  <si>
    <t>82DH0531010065000564862</t>
  </si>
  <si>
    <t>0741</t>
  </si>
  <si>
    <t>ARCHIVERO DE METAL GRIS CON 4 CAJONES 133X46X68</t>
  </si>
  <si>
    <t>P24SJ-0741</t>
  </si>
  <si>
    <t>P24SJ-027</t>
  </si>
  <si>
    <t>P2SJ-32</t>
  </si>
  <si>
    <t>5130100013-5</t>
  </si>
  <si>
    <t>82DH0511010001000570571</t>
  </si>
  <si>
    <t>REVISAR</t>
  </si>
  <si>
    <t>0742</t>
  </si>
  <si>
    <t>P24SJ-0742</t>
  </si>
  <si>
    <t>P24SJ-028</t>
  </si>
  <si>
    <t>P2SJ-4</t>
  </si>
  <si>
    <t>5110100015-9</t>
  </si>
  <si>
    <t>ALEJANDRA LOPEZ MORENO</t>
  </si>
  <si>
    <t>0743</t>
  </si>
  <si>
    <t>P24SJ-0743</t>
  </si>
  <si>
    <t>P24SJ-029</t>
  </si>
  <si>
    <t>P2SJ-5</t>
  </si>
  <si>
    <t>5150100005-5</t>
  </si>
  <si>
    <t>AIO310 (C240)</t>
  </si>
  <si>
    <t>CS01295655</t>
  </si>
  <si>
    <t>RODOLFO GARCIA GARCIA (AUXILIAR)</t>
  </si>
  <si>
    <t>0744</t>
  </si>
  <si>
    <t>P24SJ-0744</t>
  </si>
  <si>
    <t>P24SJ-030</t>
  </si>
  <si>
    <t>P2SJ-2</t>
  </si>
  <si>
    <t>5110100011-7</t>
  </si>
  <si>
    <t>82DH0511010017000516331</t>
  </si>
  <si>
    <t>0745</t>
  </si>
  <si>
    <t>P24SJ-0745</t>
  </si>
  <si>
    <t>P24SJ-031</t>
  </si>
  <si>
    <t>P2SJ-3</t>
  </si>
  <si>
    <t>5120100007-28</t>
  </si>
  <si>
    <t>82DH0531010065000564766</t>
  </si>
  <si>
    <t>0746</t>
  </si>
  <si>
    <t>MESA DE MADERA CHICA</t>
  </si>
  <si>
    <t>P24SJ-0746</t>
  </si>
  <si>
    <t>P24SJ-032</t>
  </si>
  <si>
    <t>P2SJ-45</t>
  </si>
  <si>
    <t>5120100007-32</t>
  </si>
  <si>
    <t>82DL0531010065000564762</t>
  </si>
  <si>
    <t>0747</t>
  </si>
  <si>
    <t>CREDENZA 74X124X48 CON 4 PUERTAS</t>
  </si>
  <si>
    <t>P24SJ-0747</t>
  </si>
  <si>
    <t>P24SJ-033</t>
  </si>
  <si>
    <t>P2SJ-46</t>
  </si>
  <si>
    <t>5110100014-2</t>
  </si>
  <si>
    <t>82DL0511010005000649773</t>
  </si>
  <si>
    <t>0748</t>
  </si>
  <si>
    <t>P24SJ-0748</t>
  </si>
  <si>
    <t>P24SJ-034</t>
  </si>
  <si>
    <t>P2SJ-48</t>
  </si>
  <si>
    <t>5650100010-6</t>
  </si>
  <si>
    <t>CBT15400SMO</t>
  </si>
  <si>
    <t>82DL0565010001000538212</t>
  </si>
  <si>
    <t>0749</t>
  </si>
  <si>
    <t>P24SJ-0749</t>
  </si>
  <si>
    <t>P24SJ-035</t>
  </si>
  <si>
    <t>P2SJ-49</t>
  </si>
  <si>
    <t>5150100008-3</t>
  </si>
  <si>
    <t>190522503053</t>
  </si>
  <si>
    <t>82DL0515010016000649413</t>
  </si>
  <si>
    <t>0750</t>
  </si>
  <si>
    <t>P24SJ-0750</t>
  </si>
  <si>
    <t>P24SJ-036</t>
  </si>
  <si>
    <t>P2SJ-44</t>
  </si>
  <si>
    <t>5660100057-6</t>
  </si>
  <si>
    <t>4B1439P11201</t>
  </si>
  <si>
    <t>82DL0515010020000649772</t>
  </si>
  <si>
    <t>NO SIRVE</t>
  </si>
  <si>
    <t>0751</t>
  </si>
  <si>
    <t>ESCRITORIO BASE DE METAL DE 4 CAJONES 160 X 70</t>
  </si>
  <si>
    <t>P24SJ-0751</t>
  </si>
  <si>
    <t>P24SJ-037</t>
  </si>
  <si>
    <t>P2SJ-42</t>
  </si>
  <si>
    <t>5110100015-11</t>
  </si>
  <si>
    <t>82DL0511010006000518506</t>
  </si>
  <si>
    <t>0752</t>
  </si>
  <si>
    <t>SILLA DE TELA CAFÉ CON RUEDAS</t>
  </si>
  <si>
    <t>P24SJ-0752</t>
  </si>
  <si>
    <t>P24SJ-038</t>
  </si>
  <si>
    <t>P2SJ-47</t>
  </si>
  <si>
    <t>5110100011-10</t>
  </si>
  <si>
    <t>82DL0511010017000516185</t>
  </si>
  <si>
    <t>0753</t>
  </si>
  <si>
    <t>P24SJ-0753</t>
  </si>
  <si>
    <t>P24SJ-039</t>
  </si>
  <si>
    <t>P2SJ-43</t>
  </si>
  <si>
    <t>5150100005-7</t>
  </si>
  <si>
    <t>CS03101903 (C240)</t>
  </si>
  <si>
    <t>CS01150292</t>
  </si>
  <si>
    <t>0754</t>
  </si>
  <si>
    <t>ARCHIVERO DE METAL GRIS CON 4 CAJONES</t>
  </si>
  <si>
    <t>P24SJ-0754</t>
  </si>
  <si>
    <t>P24SJ-040</t>
  </si>
  <si>
    <t>P2SJ-33</t>
  </si>
  <si>
    <t>5130100013-4</t>
  </si>
  <si>
    <t>82DJH05101000000570571</t>
  </si>
  <si>
    <t>SANTIAGO ARMANDO CASTILLO GARCIA</t>
  </si>
  <si>
    <t>0755</t>
  </si>
  <si>
    <t>MESA MADERA CON BASE DE METAL 120X60</t>
  </si>
  <si>
    <t>P24SJ-0755</t>
  </si>
  <si>
    <t>P24SJ-041</t>
  </si>
  <si>
    <t>P2SJ-50</t>
  </si>
  <si>
    <t>5120100007-36</t>
  </si>
  <si>
    <t>82DH0531010065000564756</t>
  </si>
  <si>
    <t>0756</t>
  </si>
  <si>
    <t>VENTILADOR BLANCO DE TORRE</t>
  </si>
  <si>
    <t>P24SJ-0756</t>
  </si>
  <si>
    <t>P24SJ-042</t>
  </si>
  <si>
    <t>P2A-23</t>
  </si>
  <si>
    <t>5190200002-11</t>
  </si>
  <si>
    <t>HOLMES</t>
  </si>
  <si>
    <t>HT26PED</t>
  </si>
  <si>
    <t>82DH0519010043000649781</t>
  </si>
  <si>
    <t>0757</t>
  </si>
  <si>
    <t>P24SJ-0757</t>
  </si>
  <si>
    <t>P24SJ-043</t>
  </si>
  <si>
    <t>P2SJ-53</t>
  </si>
  <si>
    <t>5110100011-15</t>
  </si>
  <si>
    <t>82DH0511010017000649771</t>
  </si>
  <si>
    <t>BLANCA ELIZABETH ALCABTAR GUERRERO</t>
  </si>
  <si>
    <t>0758</t>
  </si>
  <si>
    <t>SILLA CAFÉ DE TELA</t>
  </si>
  <si>
    <t>P24SJ-0758</t>
  </si>
  <si>
    <t>P24SJ-044</t>
  </si>
  <si>
    <t>P2SJ-55</t>
  </si>
  <si>
    <t>5110100011-16</t>
  </si>
  <si>
    <t>82DH0511010017000516177</t>
  </si>
  <si>
    <t>0759</t>
  </si>
  <si>
    <t>MESA DE MADERA CON BASE DE METAL CON RUEDAS 60X40</t>
  </si>
  <si>
    <t>P24SJ-0759</t>
  </si>
  <si>
    <t>P24SJ-045</t>
  </si>
  <si>
    <t>P2SJ-57</t>
  </si>
  <si>
    <t>5120100007-37</t>
  </si>
  <si>
    <t>82DH0531010065000564828</t>
  </si>
  <si>
    <t>0760</t>
  </si>
  <si>
    <t>ESCRITORIO CON 2 CAJONES 120X75</t>
  </si>
  <si>
    <t>P24SJ-0760</t>
  </si>
  <si>
    <t>P24SJ-046</t>
  </si>
  <si>
    <t>P2SJ-56</t>
  </si>
  <si>
    <t>5110100015-15</t>
  </si>
  <si>
    <t>82DH0511010006000649780</t>
  </si>
  <si>
    <t>0761</t>
  </si>
  <si>
    <t>P24SJ-0761</t>
  </si>
  <si>
    <t>P24SJ-047</t>
  </si>
  <si>
    <t>P2SJ-52</t>
  </si>
  <si>
    <t>5150100008-6</t>
  </si>
  <si>
    <t>190522503177</t>
  </si>
  <si>
    <t>82DH0515010016000649414</t>
  </si>
  <si>
    <t>0762</t>
  </si>
  <si>
    <t>P24SJ-0762</t>
  </si>
  <si>
    <t>P24SJ-048</t>
  </si>
  <si>
    <t>P2SJ-54</t>
  </si>
  <si>
    <t>5210100012-6</t>
  </si>
  <si>
    <t>CNC816Y4F6</t>
  </si>
  <si>
    <t>82DH0565010041000543575</t>
  </si>
  <si>
    <t>0763</t>
  </si>
  <si>
    <t>COMPUTADORA GRIS CON NEGRO</t>
  </si>
  <si>
    <t>P24SJ-0763</t>
  </si>
  <si>
    <t>P24SJ-049</t>
  </si>
  <si>
    <t>P2SJ-51</t>
  </si>
  <si>
    <t>5150100005-11</t>
  </si>
  <si>
    <t>MXJ819035L</t>
  </si>
  <si>
    <t>82DH0515010003000649779</t>
  </si>
  <si>
    <t>0764</t>
  </si>
  <si>
    <t>ARCHIVERO DE MADERA 4 CAJONES 120X50X60</t>
  </si>
  <si>
    <t>P24CS-0764</t>
  </si>
  <si>
    <t>P24AS-001</t>
  </si>
  <si>
    <t>P2SYA-11</t>
  </si>
  <si>
    <t>5130100013-11</t>
  </si>
  <si>
    <t>82DH0511010001000649745</t>
  </si>
  <si>
    <t>0765</t>
  </si>
  <si>
    <t>VENTILADOR GRIS DE PEDESTAL</t>
  </si>
  <si>
    <t>P24CS-0765</t>
  </si>
  <si>
    <t>P24AS-002</t>
  </si>
  <si>
    <t>P2SYA-12</t>
  </si>
  <si>
    <t>5190200002-14</t>
  </si>
  <si>
    <t>82DH0519010043000649357</t>
  </si>
  <si>
    <t>0766</t>
  </si>
  <si>
    <t>P24CS-0766</t>
  </si>
  <si>
    <t>P24AS-003</t>
  </si>
  <si>
    <t>P2SYA-14</t>
  </si>
  <si>
    <t>5110100011-21</t>
  </si>
  <si>
    <t>82DH0511010017000649747</t>
  </si>
  <si>
    <t>EDUARDO PINEDA ALMANZA</t>
  </si>
  <si>
    <t>0767</t>
  </si>
  <si>
    <t>P24CS-0767</t>
  </si>
  <si>
    <t>P24AS-004</t>
  </si>
  <si>
    <t>P2SYA-13</t>
  </si>
  <si>
    <t>5110100011-20</t>
  </si>
  <si>
    <t>82DH0511010017000516231</t>
  </si>
  <si>
    <t>0768</t>
  </si>
  <si>
    <t>SILLÓN DE PIEL NEGRO CON RUEDAS</t>
  </si>
  <si>
    <t>P24CS-0768</t>
  </si>
  <si>
    <t>P24AS-005</t>
  </si>
  <si>
    <t>P2SYA-16</t>
  </si>
  <si>
    <t>5120100009-25</t>
  </si>
  <si>
    <t>82DH0512010014000649751</t>
  </si>
  <si>
    <t>0769</t>
  </si>
  <si>
    <t>P24CS-0769</t>
  </si>
  <si>
    <t>P24AS-006</t>
  </si>
  <si>
    <t>P2SYA-17</t>
  </si>
  <si>
    <t>5150100008-10</t>
  </si>
  <si>
    <t>181222507612</t>
  </si>
  <si>
    <t>82DH0515010016000649430</t>
  </si>
  <si>
    <t>0770</t>
  </si>
  <si>
    <t>MESA DE MADERA</t>
  </si>
  <si>
    <t>P24CS-0770</t>
  </si>
  <si>
    <t>P2SYA-20</t>
  </si>
  <si>
    <t>82DH0511010010000649749</t>
  </si>
  <si>
    <t>0771</t>
  </si>
  <si>
    <t>CREDENZA DE MADERA DE 4 PUERTAS</t>
  </si>
  <si>
    <t>P24CS-0771</t>
  </si>
  <si>
    <t>0772</t>
  </si>
  <si>
    <t>MODULO DE MADERA U (ESCRITORIO)</t>
  </si>
  <si>
    <t>P24CS-0772</t>
  </si>
  <si>
    <t>P24AS-007A</t>
  </si>
  <si>
    <t>P2SYA-21</t>
  </si>
  <si>
    <t>5120100007-43</t>
  </si>
  <si>
    <t>0773</t>
  </si>
  <si>
    <t>P24CS-0773</t>
  </si>
  <si>
    <t>P24AS-007</t>
  </si>
  <si>
    <t>P2SYA-15</t>
  </si>
  <si>
    <t>5110100015-19</t>
  </si>
  <si>
    <t>82DH0511010006000564903</t>
  </si>
  <si>
    <t>0774</t>
  </si>
  <si>
    <t>P24CS-0774</t>
  </si>
  <si>
    <t>P24AS-008</t>
  </si>
  <si>
    <t>P2SYA-18</t>
  </si>
  <si>
    <t>5650100010-9</t>
  </si>
  <si>
    <t>4LO00H118288</t>
  </si>
  <si>
    <t>82DH0565010001000527082</t>
  </si>
  <si>
    <t>0775</t>
  </si>
  <si>
    <t>P24CS-0775</t>
  </si>
  <si>
    <t>P24AS-009</t>
  </si>
  <si>
    <t>5150100005-131</t>
  </si>
  <si>
    <t>0776</t>
  </si>
  <si>
    <t>P24CS-0776</t>
  </si>
  <si>
    <t>P24AS-010</t>
  </si>
  <si>
    <t>5150100005-132</t>
  </si>
  <si>
    <t>MMTASAA007109004373P00</t>
  </si>
  <si>
    <t>0777</t>
  </si>
  <si>
    <t>ARCHIVERO GRIS METAL DE 4 CAJONES 132X46X63</t>
  </si>
  <si>
    <t>P24CS-0777</t>
  </si>
  <si>
    <t>P24AS-011</t>
  </si>
  <si>
    <t>P2SYA-3</t>
  </si>
  <si>
    <t>5130100013-9</t>
  </si>
  <si>
    <t>82DH0511010001000518504</t>
  </si>
  <si>
    <t>MARIA MAGDALENA GUTIERREZ ALTAMIRANO</t>
  </si>
  <si>
    <t>0778</t>
  </si>
  <si>
    <t>P24CS-0778</t>
  </si>
  <si>
    <t>P24AS-012</t>
  </si>
  <si>
    <t>P2SYA-4</t>
  </si>
  <si>
    <t>5190200002-13</t>
  </si>
  <si>
    <t>4820M</t>
  </si>
  <si>
    <t>82DH0531010094000539189</t>
  </si>
  <si>
    <t>0779</t>
  </si>
  <si>
    <t>MESA DE MADERA BASE DE METAL CON RUEDAS 60X40</t>
  </si>
  <si>
    <t>P24CS-0779</t>
  </si>
  <si>
    <t>P24AS-013</t>
  </si>
  <si>
    <t>P2SYA-5</t>
  </si>
  <si>
    <t>5120100007-41</t>
  </si>
  <si>
    <t>82DH0511010010000649750</t>
  </si>
  <si>
    <t>0780</t>
  </si>
  <si>
    <t>P24CS-0780</t>
  </si>
  <si>
    <t>P24AS-014</t>
  </si>
  <si>
    <t>P2SYA-6</t>
  </si>
  <si>
    <t>5130100013-10</t>
  </si>
  <si>
    <t>82DH0511010001000533227</t>
  </si>
  <si>
    <t>0781</t>
  </si>
  <si>
    <t>ESCRITORIO DE MADERA 2 PIEZAS</t>
  </si>
  <si>
    <t>P24CS-0781</t>
  </si>
  <si>
    <t>P24AS-015</t>
  </si>
  <si>
    <t>P2SYA-7</t>
  </si>
  <si>
    <t>5110100015-18</t>
  </si>
  <si>
    <t>82DH0511010006000649741</t>
  </si>
  <si>
    <t>0782</t>
  </si>
  <si>
    <t>P24CS-0782</t>
  </si>
  <si>
    <t>P24AS-016</t>
  </si>
  <si>
    <t>P2SYA-9</t>
  </si>
  <si>
    <t>5120100004-3</t>
  </si>
  <si>
    <t>82DH0515010033000566432</t>
  </si>
  <si>
    <t>0783</t>
  </si>
  <si>
    <t>P24CS-0783</t>
  </si>
  <si>
    <t>P24AS-017</t>
  </si>
  <si>
    <t>P2SYA-1</t>
  </si>
  <si>
    <t>5150100005-14</t>
  </si>
  <si>
    <t>AXC100MP308</t>
  </si>
  <si>
    <t>DTSLRAL001243028903000</t>
  </si>
  <si>
    <t>82DH0515010003000649742</t>
  </si>
  <si>
    <t>0784</t>
  </si>
  <si>
    <t>P24CS-0784</t>
  </si>
  <si>
    <t>P24AS-018</t>
  </si>
  <si>
    <t>P2SYA-8</t>
  </si>
  <si>
    <t>5150100008-9</t>
  </si>
  <si>
    <t>181222507611</t>
  </si>
  <si>
    <t>82DH0515010016000649429</t>
  </si>
  <si>
    <t>0785</t>
  </si>
  <si>
    <t>P24CS-0785</t>
  </si>
  <si>
    <t>P24AS-019</t>
  </si>
  <si>
    <t>P2SYA-2</t>
  </si>
  <si>
    <t>5210100012-8</t>
  </si>
  <si>
    <t>MMLNTA001243048A14208</t>
  </si>
  <si>
    <t>82DH0515010013000649743</t>
  </si>
  <si>
    <t>0786</t>
  </si>
  <si>
    <t>P24CS-0786</t>
  </si>
  <si>
    <t>P24AS-020</t>
  </si>
  <si>
    <t>82DH0511010017000651388</t>
  </si>
  <si>
    <t>0787</t>
  </si>
  <si>
    <t>P24CS-0787</t>
  </si>
  <si>
    <t>P24AS-021</t>
  </si>
  <si>
    <t>P2SYA-10</t>
  </si>
  <si>
    <t>5110100011-19</t>
  </si>
  <si>
    <t>82DH0511010017000649744</t>
  </si>
  <si>
    <t>0788</t>
  </si>
  <si>
    <t>P24CA-0788</t>
  </si>
  <si>
    <t>P24AD-001</t>
  </si>
  <si>
    <t>P2A-19</t>
  </si>
  <si>
    <t>5290100025-3</t>
  </si>
  <si>
    <t>82DJ0529030005000649756</t>
  </si>
  <si>
    <t>0789</t>
  </si>
  <si>
    <t>ARCHIVERO GRIS DE METAL CON 4 CAJONES 143X46X62</t>
  </si>
  <si>
    <t>P24CA-0789</t>
  </si>
  <si>
    <t>P24AD-002</t>
  </si>
  <si>
    <t>P2A-20</t>
  </si>
  <si>
    <t>5130100013-7</t>
  </si>
  <si>
    <t>82DJ0511010001000518545</t>
  </si>
  <si>
    <t>0790</t>
  </si>
  <si>
    <t>P24CA-0790</t>
  </si>
  <si>
    <t>P24AD-003</t>
  </si>
  <si>
    <t>P2A-9</t>
  </si>
  <si>
    <t>5130100126-11</t>
  </si>
  <si>
    <t>82DJ0511010008000649753</t>
  </si>
  <si>
    <t>0791</t>
  </si>
  <si>
    <t>MESA/TABLON BLANCO PLEGABLE 244X76</t>
  </si>
  <si>
    <t>P24CA-0791</t>
  </si>
  <si>
    <t>P24AD-004</t>
  </si>
  <si>
    <t>P2A-2</t>
  </si>
  <si>
    <t>5120100007-34</t>
  </si>
  <si>
    <t>82DJ0531010065000564782</t>
  </si>
  <si>
    <t>0792</t>
  </si>
  <si>
    <t>P24CA-0792</t>
  </si>
  <si>
    <t>P24AD-005</t>
  </si>
  <si>
    <t>P2A-1</t>
  </si>
  <si>
    <t>5120100007-33</t>
  </si>
  <si>
    <t>82DJ0531010065000580347</t>
  </si>
  <si>
    <t>0793</t>
  </si>
  <si>
    <t>VENTILADOR DE PARED NEGRO</t>
  </si>
  <si>
    <t>P24CA-0793</t>
  </si>
  <si>
    <t>P24AD-006</t>
  </si>
  <si>
    <t>OK</t>
  </si>
  <si>
    <t>HUDSON</t>
  </si>
  <si>
    <t>FW-45-826R</t>
  </si>
  <si>
    <t>0794</t>
  </si>
  <si>
    <t>ANAQUEL BLANCO DE 2 PUERTAS</t>
  </si>
  <si>
    <t>P24CA-0794</t>
  </si>
  <si>
    <t>P24AD-007</t>
  </si>
  <si>
    <t>P2A-4</t>
  </si>
  <si>
    <t>5290300001-25</t>
  </si>
  <si>
    <t>82DJ0511010009000518512</t>
  </si>
  <si>
    <t>0795</t>
  </si>
  <si>
    <t>P24CA-0795</t>
  </si>
  <si>
    <t>P24AD-008</t>
  </si>
  <si>
    <t>P2A-15</t>
  </si>
  <si>
    <t>5110100011-14</t>
  </si>
  <si>
    <t>82DJ0511010017000564035</t>
  </si>
  <si>
    <t>0796</t>
  </si>
  <si>
    <t>P24CA-0796</t>
  </si>
  <si>
    <t>P24AD-009</t>
  </si>
  <si>
    <t>P2A-3</t>
  </si>
  <si>
    <t>5110100011-12</t>
  </si>
  <si>
    <t>82DH0511010017000518516</t>
  </si>
  <si>
    <t>0797</t>
  </si>
  <si>
    <t>SILLLA CAFÉ DE TELA FIJA</t>
  </si>
  <si>
    <t>P24CA-0797</t>
  </si>
  <si>
    <t>P24AD-010</t>
  </si>
  <si>
    <t>P2A-14</t>
  </si>
  <si>
    <t>5110100011-13</t>
  </si>
  <si>
    <t>82DJ0511010017000564036</t>
  </si>
  <si>
    <t>0798</t>
  </si>
  <si>
    <t>ESCRITORIO MADERA CAFÉ</t>
  </si>
  <si>
    <t>P24CA-0798</t>
  </si>
  <si>
    <t>P24AD-011</t>
  </si>
  <si>
    <t>P2A-6</t>
  </si>
  <si>
    <t>5110100015-13</t>
  </si>
  <si>
    <t>82DJ0511010006000583439</t>
  </si>
  <si>
    <t>0799</t>
  </si>
  <si>
    <t>P24CA-0799</t>
  </si>
  <si>
    <t>P24AD-012</t>
  </si>
  <si>
    <t>P2A-18</t>
  </si>
  <si>
    <t>5110100014-3</t>
  </si>
  <si>
    <t>CADPEUI0040</t>
  </si>
  <si>
    <t>82DJ0511010005000649755</t>
  </si>
  <si>
    <t>0800</t>
  </si>
  <si>
    <t>MODULO DE MADERA CAFÉ</t>
  </si>
  <si>
    <t>P24CA-0800</t>
  </si>
  <si>
    <t>P24AD-013</t>
  </si>
  <si>
    <t>P2A-5</t>
  </si>
  <si>
    <t>5120100007-35</t>
  </si>
  <si>
    <t>82DJ0511010029000649760</t>
  </si>
  <si>
    <t>0801</t>
  </si>
  <si>
    <t>ESCRITORIO DE MADERA COMPLEMENTO</t>
  </si>
  <si>
    <t>P24CA-0801</t>
  </si>
  <si>
    <t>P24AD-014</t>
  </si>
  <si>
    <t>P2A-17</t>
  </si>
  <si>
    <t>5110100015-14</t>
  </si>
  <si>
    <t>82DJ0512010011000515291</t>
  </si>
  <si>
    <t>0802</t>
  </si>
  <si>
    <t>P24CA-0802</t>
  </si>
  <si>
    <t>P24AD-015</t>
  </si>
  <si>
    <t>P2A-16</t>
  </si>
  <si>
    <t>5190200002-9</t>
  </si>
  <si>
    <t>WINDANCE</t>
  </si>
  <si>
    <t>FZ10-9HB</t>
  </si>
  <si>
    <t>82DJ0531010094000535804</t>
  </si>
  <si>
    <t>0803</t>
  </si>
  <si>
    <t>P24CA-0803</t>
  </si>
  <si>
    <t>P24AD-016</t>
  </si>
  <si>
    <t>P2A-11</t>
  </si>
  <si>
    <t>5650100010-7</t>
  </si>
  <si>
    <t>4LO00H118292</t>
  </si>
  <si>
    <t>82DJ0565010001000533070</t>
  </si>
  <si>
    <t>0804</t>
  </si>
  <si>
    <t>P24CA-0804</t>
  </si>
  <si>
    <t>P24AD-017</t>
  </si>
  <si>
    <t>P2A-8</t>
  </si>
  <si>
    <t>5150100008-5</t>
  </si>
  <si>
    <t>181222505877</t>
  </si>
  <si>
    <t>82DJ0515010016000649427</t>
  </si>
  <si>
    <t>0805</t>
  </si>
  <si>
    <t>P24CA-0805</t>
  </si>
  <si>
    <t>P24AD-018</t>
  </si>
  <si>
    <t>5150100005-127</t>
  </si>
  <si>
    <t>82DJ</t>
  </si>
  <si>
    <t>0806</t>
  </si>
  <si>
    <t>P24CA-0806</t>
  </si>
  <si>
    <t>P24AD-019</t>
  </si>
  <si>
    <t>5150100005-128</t>
  </si>
  <si>
    <t>MMTASAA007052059C53P00</t>
  </si>
  <si>
    <t>82DJ0511010016000518499</t>
  </si>
  <si>
    <t>0807</t>
  </si>
  <si>
    <t>P24CA-0807</t>
  </si>
  <si>
    <t>P24AD-020</t>
  </si>
  <si>
    <t>P2A-12</t>
  </si>
  <si>
    <t>5120100009-21</t>
  </si>
  <si>
    <t>0808</t>
  </si>
  <si>
    <t>P24CA-0808</t>
  </si>
  <si>
    <t>P24AD-021</t>
  </si>
  <si>
    <t>P2A-21</t>
  </si>
  <si>
    <t>PAVILLION G4-1420LA</t>
  </si>
  <si>
    <t>5CD2303CC6</t>
  </si>
  <si>
    <t>82DJ0515010002000539849</t>
  </si>
  <si>
    <t>0809</t>
  </si>
  <si>
    <t>P24CA-0809</t>
  </si>
  <si>
    <t>P24AD-022</t>
  </si>
  <si>
    <t>P2A-35</t>
  </si>
  <si>
    <t>5130100013-8</t>
  </si>
  <si>
    <t>82DH0511010001000581686</t>
  </si>
  <si>
    <t>CECILIA SUAREZ ALVAREZ</t>
  </si>
  <si>
    <t>0810</t>
  </si>
  <si>
    <t>CREDENZA MADERA CAOBA CON 2 PUERTAS 180X40</t>
  </si>
  <si>
    <t>P24CA-0810</t>
  </si>
  <si>
    <t>P24AD-023</t>
  </si>
  <si>
    <t>P2A-37</t>
  </si>
  <si>
    <t>5110100014-4</t>
  </si>
  <si>
    <t>82DH0511010005000518505</t>
  </si>
  <si>
    <t>0811</t>
  </si>
  <si>
    <t>P24CA-0811</t>
  </si>
  <si>
    <t>P24AD-024</t>
  </si>
  <si>
    <t>P2SJ-6</t>
  </si>
  <si>
    <t>5120100001-14</t>
  </si>
  <si>
    <t>OSTER</t>
  </si>
  <si>
    <t>BVSTDC-3390</t>
  </si>
  <si>
    <t>82DH0519010006000649405</t>
  </si>
  <si>
    <t>0812</t>
  </si>
  <si>
    <t>P24CA-0812</t>
  </si>
  <si>
    <t>P24AD-025</t>
  </si>
  <si>
    <t>P2A-42</t>
  </si>
  <si>
    <t>5290300001-5</t>
  </si>
  <si>
    <t>222KM</t>
  </si>
  <si>
    <t>82DH0519010017000565624</t>
  </si>
  <si>
    <t>0813</t>
  </si>
  <si>
    <t>MODULO DE MADERA CON RUEDAS 116X39</t>
  </si>
  <si>
    <t>P24CA-0813</t>
  </si>
  <si>
    <t>P24AD-026</t>
  </si>
  <si>
    <t>P2A-43</t>
  </si>
  <si>
    <t>5120100007-40</t>
  </si>
  <si>
    <t>82DH0511010029000649763</t>
  </si>
  <si>
    <t>0814</t>
  </si>
  <si>
    <t>ESCRITORIO DE MADERA CAOBA 180X85</t>
  </si>
  <si>
    <t>P24CA-0814</t>
  </si>
  <si>
    <t>P24AD-027</t>
  </si>
  <si>
    <t>P2A-32</t>
  </si>
  <si>
    <t>5110100015-17</t>
  </si>
  <si>
    <t>82DH0511010006000518507</t>
  </si>
  <si>
    <t>0815</t>
  </si>
  <si>
    <t>P24CA-0815</t>
  </si>
  <si>
    <t>P24AD-028</t>
  </si>
  <si>
    <t>P2A-30</t>
  </si>
  <si>
    <t>5110100011-17</t>
  </si>
  <si>
    <t>82DH0511010017000564623</t>
  </si>
  <si>
    <t>0816</t>
  </si>
  <si>
    <t>P24CA-0816</t>
  </si>
  <si>
    <t>P24AD-029</t>
  </si>
  <si>
    <t>P2A-31</t>
  </si>
  <si>
    <t>5110100011-18</t>
  </si>
  <si>
    <t>82DH0511010017000563785</t>
  </si>
  <si>
    <t>0817</t>
  </si>
  <si>
    <t>P24CA-0817</t>
  </si>
  <si>
    <t>P24AD-030</t>
  </si>
  <si>
    <t>P2SJ-14</t>
  </si>
  <si>
    <t>5110100011-8</t>
  </si>
  <si>
    <t>82DH0511010017000564612</t>
  </si>
  <si>
    <t>0818</t>
  </si>
  <si>
    <t>P24CA-0818</t>
  </si>
  <si>
    <t>P24AD-031</t>
  </si>
  <si>
    <t>P2A-41</t>
  </si>
  <si>
    <t>5120100009-23</t>
  </si>
  <si>
    <t>82DH0511010016000649762</t>
  </si>
  <si>
    <t>0819</t>
  </si>
  <si>
    <t>P24CA-0819</t>
  </si>
  <si>
    <t>P24AD-032</t>
  </si>
  <si>
    <t>P2A-34</t>
  </si>
  <si>
    <t>5190200002-12</t>
  </si>
  <si>
    <t>82DH0531010094000531871</t>
  </si>
  <si>
    <t>0820</t>
  </si>
  <si>
    <t>MESA DE MADERA 68X50</t>
  </si>
  <si>
    <t>P24CA-0820</t>
  </si>
  <si>
    <t>P24AD-033</t>
  </si>
  <si>
    <t>P2A-33</t>
  </si>
  <si>
    <t>5120100007-38</t>
  </si>
  <si>
    <t>82DH0511010010000649761</t>
  </si>
  <si>
    <t>0821</t>
  </si>
  <si>
    <t>P24CA-0821</t>
  </si>
  <si>
    <t>P24AD-034</t>
  </si>
  <si>
    <t>P2A-44</t>
  </si>
  <si>
    <t>5650100010-8</t>
  </si>
  <si>
    <t>4LO00H118291</t>
  </si>
  <si>
    <t>82DH0565010001000527018</t>
  </si>
  <si>
    <t>0822</t>
  </si>
  <si>
    <t>P24CA-0822</t>
  </si>
  <si>
    <t>P24AD-035</t>
  </si>
  <si>
    <t>P2A-39</t>
  </si>
  <si>
    <t>5150100008-8</t>
  </si>
  <si>
    <t>181222507610</t>
  </si>
  <si>
    <t>82DH0515010016000649428</t>
  </si>
  <si>
    <t>0823</t>
  </si>
  <si>
    <t>P24CA-0823</t>
  </si>
  <si>
    <t>P24AD-036</t>
  </si>
  <si>
    <t>5150100005-129</t>
  </si>
  <si>
    <t>0824</t>
  </si>
  <si>
    <t>P24CA-0824</t>
  </si>
  <si>
    <t>P24AD-037</t>
  </si>
  <si>
    <t>P2A-38</t>
  </si>
  <si>
    <t>5210100012-12</t>
  </si>
  <si>
    <t>CNC816Y3C6</t>
  </si>
  <si>
    <t>82DH0565010041000543574</t>
  </si>
  <si>
    <t>0825</t>
  </si>
  <si>
    <t>P24CA-0825</t>
  </si>
  <si>
    <t>P24AD-038</t>
  </si>
  <si>
    <t>5150100005-130</t>
  </si>
  <si>
    <t>MMTASAA007052051873P00</t>
  </si>
  <si>
    <t>0826</t>
  </si>
  <si>
    <t>ANAQUEL DE MADERA (LOKER) DE 2 PUERTAS 164X80X42</t>
  </si>
  <si>
    <t>P24NV-0826</t>
  </si>
  <si>
    <t>P24NV-001</t>
  </si>
  <si>
    <t>P2SJ-13</t>
  </si>
  <si>
    <t>5290300001-3</t>
  </si>
  <si>
    <t>82DH0511010009000564544</t>
  </si>
  <si>
    <t>NORMATIVIDAD</t>
  </si>
  <si>
    <t>VICTOR IGNACIO ANAYA RAMOS</t>
  </si>
  <si>
    <t>0827</t>
  </si>
  <si>
    <t>P24NV-0827</t>
  </si>
  <si>
    <t>P24NV-002</t>
  </si>
  <si>
    <t>P2N-3</t>
  </si>
  <si>
    <t>5110100011-11</t>
  </si>
  <si>
    <t>82DH0511010017000516287</t>
  </si>
  <si>
    <t>0828</t>
  </si>
  <si>
    <t>P24NV-0828</t>
  </si>
  <si>
    <t>P24NV-003</t>
  </si>
  <si>
    <t>P2N-1</t>
  </si>
  <si>
    <t>5110100015-12</t>
  </si>
  <si>
    <t>82DH0511010006000516988</t>
  </si>
  <si>
    <t>0829</t>
  </si>
  <si>
    <t>P24NV-0829</t>
  </si>
  <si>
    <t>P24NV-004</t>
  </si>
  <si>
    <t>P2N-5</t>
  </si>
  <si>
    <t>5150100008-4</t>
  </si>
  <si>
    <t>190522503056</t>
  </si>
  <si>
    <t>82DH0515010016000649412</t>
  </si>
  <si>
    <t>0830</t>
  </si>
  <si>
    <t>P24NV-0830</t>
  </si>
  <si>
    <t>P24NV-005</t>
  </si>
  <si>
    <t>5150100005-125</t>
  </si>
  <si>
    <t>0831</t>
  </si>
  <si>
    <t>P24NV-0831</t>
  </si>
  <si>
    <t>P24NV-006</t>
  </si>
  <si>
    <t>5150100005-126</t>
  </si>
  <si>
    <t>MMLXLAA0250480B4954273</t>
  </si>
  <si>
    <t>0832</t>
  </si>
  <si>
    <t>P24NV-0832</t>
  </si>
  <si>
    <t>P24NV-007</t>
  </si>
  <si>
    <t>P2SJ-39</t>
  </si>
  <si>
    <t>5190200002-61</t>
  </si>
  <si>
    <t>4910M</t>
  </si>
  <si>
    <t>82DH0519010043000649770</t>
  </si>
  <si>
    <t>0833</t>
  </si>
  <si>
    <t>MESA/TABLON DE PLASTICO BLANCO 60X120</t>
  </si>
  <si>
    <t>P35DA-0833</t>
  </si>
  <si>
    <t>P35DA-001</t>
  </si>
  <si>
    <t>P0A-40</t>
  </si>
  <si>
    <t>5120100007-131</t>
  </si>
  <si>
    <t>82DH0531010065000564779</t>
  </si>
  <si>
    <t>0834</t>
  </si>
  <si>
    <t>MESA NARANJA CON BASE DE METAL 60X120</t>
  </si>
  <si>
    <t>P35DA-0834</t>
  </si>
  <si>
    <t>P35DA-002</t>
  </si>
  <si>
    <t>0835</t>
  </si>
  <si>
    <t>P35DA-0835</t>
  </si>
  <si>
    <t>P35DA-003</t>
  </si>
  <si>
    <t>0836</t>
  </si>
  <si>
    <t>P35DA-0836</t>
  </si>
  <si>
    <t>P35DA-004</t>
  </si>
  <si>
    <t>P0A-19</t>
  </si>
  <si>
    <t>5120100007-116</t>
  </si>
  <si>
    <t>82DH0531010065000564863</t>
  </si>
  <si>
    <t>0837</t>
  </si>
  <si>
    <t>P35DA-0837</t>
  </si>
  <si>
    <t>P35DA-005</t>
  </si>
  <si>
    <t>P0A-25</t>
  </si>
  <si>
    <t>5110100011-83</t>
  </si>
  <si>
    <t>82DH0511010017000516232</t>
  </si>
  <si>
    <t>0838</t>
  </si>
  <si>
    <t>P35DA-0838</t>
  </si>
  <si>
    <t>P35DA-006</t>
  </si>
  <si>
    <t>P0A-17</t>
  </si>
  <si>
    <t>5110100011-113</t>
  </si>
  <si>
    <t>82DH0511010017000516228</t>
  </si>
  <si>
    <t>0839</t>
  </si>
  <si>
    <t>LOCKER DE METAL 2 PUERTAS 91X183X50</t>
  </si>
  <si>
    <t>P35DA-0839</t>
  </si>
  <si>
    <t>P35DA-007</t>
  </si>
  <si>
    <t>P0A-33</t>
  </si>
  <si>
    <t>5290300001-15</t>
  </si>
  <si>
    <t>0840</t>
  </si>
  <si>
    <t>MESA DE MADERA CON BASE DE METAL 60X120</t>
  </si>
  <si>
    <t>P35DA-0840</t>
  </si>
  <si>
    <t>P35DA-008</t>
  </si>
  <si>
    <t>P0A-30</t>
  </si>
  <si>
    <t>5120100007-100</t>
  </si>
  <si>
    <t>82DH0511010010000649525</t>
  </si>
  <si>
    <t>0841</t>
  </si>
  <si>
    <t>HORNO</t>
  </si>
  <si>
    <t>HORNO ELECTRICO</t>
  </si>
  <si>
    <t>P35DA-0841</t>
  </si>
  <si>
    <t>P35DA-009</t>
  </si>
  <si>
    <t>P0A-80</t>
  </si>
  <si>
    <t>5690100331-4</t>
  </si>
  <si>
    <t>TURMIX</t>
  </si>
  <si>
    <t>HT-6L</t>
  </si>
  <si>
    <t>0842</t>
  </si>
  <si>
    <t>P35DA-0842</t>
  </si>
  <si>
    <t>P35DA-010</t>
  </si>
  <si>
    <t>P0A-27</t>
  </si>
  <si>
    <t>5110100011-85</t>
  </si>
  <si>
    <t>82DH0511010017000518515</t>
  </si>
  <si>
    <t>0843</t>
  </si>
  <si>
    <t>SOLO SUCIAS</t>
  </si>
  <si>
    <t>P35DA-0843</t>
  </si>
  <si>
    <t>P35DA-011</t>
  </si>
  <si>
    <t>P0A-24</t>
  </si>
  <si>
    <t>5110100011-82</t>
  </si>
  <si>
    <t>82DH0511010017000649526</t>
  </si>
  <si>
    <t>0844</t>
  </si>
  <si>
    <t>MESA /TABLON DE PLASTICO BLANCO 243X76</t>
  </si>
  <si>
    <t>P35DA-0844</t>
  </si>
  <si>
    <t>P35DA-012</t>
  </si>
  <si>
    <t>P0A-38</t>
  </si>
  <si>
    <t>5120100007-102</t>
  </si>
  <si>
    <t>82DH0531010065000580348</t>
  </si>
  <si>
    <t>0845</t>
  </si>
  <si>
    <t>P35DA-0845</t>
  </si>
  <si>
    <t>P35DA-013</t>
  </si>
  <si>
    <t>P0A-39</t>
  </si>
  <si>
    <t>5120100007-103</t>
  </si>
  <si>
    <t>82DH0531010065000564869</t>
  </si>
  <si>
    <t>0846</t>
  </si>
  <si>
    <t>MESA DE MADERA OVALADA 240X120</t>
  </si>
  <si>
    <t>P35DA-0846</t>
  </si>
  <si>
    <t>P35DA-014</t>
  </si>
  <si>
    <t>P0A-34</t>
  </si>
  <si>
    <t>5120100007-99</t>
  </si>
  <si>
    <t>82DH0531010065000564861</t>
  </si>
  <si>
    <t>0847</t>
  </si>
  <si>
    <t>P35DA-0847</t>
  </si>
  <si>
    <t>P35DA-015</t>
  </si>
  <si>
    <t>P0A-21</t>
  </si>
  <si>
    <t>5110100011-80</t>
  </si>
  <si>
    <t>82DH0511010017000516299</t>
  </si>
  <si>
    <t>0848</t>
  </si>
  <si>
    <t>P35DA-0848</t>
  </si>
  <si>
    <t>P35DA-016</t>
  </si>
  <si>
    <t>P0A-28</t>
  </si>
  <si>
    <t>5110100011-86</t>
  </si>
  <si>
    <t>82DH0511010017000518533</t>
  </si>
  <si>
    <t>0849</t>
  </si>
  <si>
    <t>P35DA-0849</t>
  </si>
  <si>
    <t>P35DA-017</t>
  </si>
  <si>
    <t>P0A-26</t>
  </si>
  <si>
    <t>5110100011-84</t>
  </si>
  <si>
    <t>82DH0511010017000516234</t>
  </si>
  <si>
    <t>0850</t>
  </si>
  <si>
    <t>P35DA-0850</t>
  </si>
  <si>
    <t>P35DA-018</t>
  </si>
  <si>
    <t>P0A-71</t>
  </si>
  <si>
    <t>5110100011-95</t>
  </si>
  <si>
    <t>82DH0511010017000649523</t>
  </si>
  <si>
    <t>0851</t>
  </si>
  <si>
    <t>P35DA-0851</t>
  </si>
  <si>
    <t>P35DA-019</t>
  </si>
  <si>
    <t>P0A-22</t>
  </si>
  <si>
    <t>5110100011-81</t>
  </si>
  <si>
    <t>82DH0511010017000516282</t>
  </si>
  <si>
    <t>0852</t>
  </si>
  <si>
    <t>SIN ASIENTO</t>
  </si>
  <si>
    <t>P35DA-0852</t>
  </si>
  <si>
    <t>P35DA-020</t>
  </si>
  <si>
    <t>P0A-18</t>
  </si>
  <si>
    <t>5110100011-114</t>
  </si>
  <si>
    <t>82DH0511010017000564587</t>
  </si>
  <si>
    <t>0853</t>
  </si>
  <si>
    <t>SILLA DE MADERA PEQUEÑA ESCOLAR</t>
  </si>
  <si>
    <t>P35DA-0853</t>
  </si>
  <si>
    <t>P35DA-021</t>
  </si>
  <si>
    <t>P0A-73</t>
  </si>
  <si>
    <t>5110100011-97</t>
  </si>
  <si>
    <t>82DH0511010017000649508</t>
  </si>
  <si>
    <t>0854</t>
  </si>
  <si>
    <t>P35DA-0854</t>
  </si>
  <si>
    <t>P35DA-022</t>
  </si>
  <si>
    <t>P0A-23</t>
  </si>
  <si>
    <t>5120100007-101</t>
  </si>
  <si>
    <t>82DH0531010065000564831</t>
  </si>
  <si>
    <t>0855</t>
  </si>
  <si>
    <t>HORNO DE MICROONDAS GRIS</t>
  </si>
  <si>
    <t>P35DA-0855</t>
  </si>
  <si>
    <t>P35DA-023</t>
  </si>
  <si>
    <t>P0A-43</t>
  </si>
  <si>
    <t>5690100331-2</t>
  </si>
  <si>
    <t>DAEWOO</t>
  </si>
  <si>
    <t>KOR-UN1AM</t>
  </si>
  <si>
    <t>7M173E37030365</t>
  </si>
  <si>
    <t>82DH0519010026000649402</t>
  </si>
  <si>
    <t>0856</t>
  </si>
  <si>
    <t>HORNO ELECTRICO GRIS</t>
  </si>
  <si>
    <t>P35DA-0856</t>
  </si>
  <si>
    <t>P35DA-024</t>
  </si>
  <si>
    <t>P0A-44</t>
  </si>
  <si>
    <t>5690100331-3</t>
  </si>
  <si>
    <t>TSSTTV/10LTB</t>
  </si>
  <si>
    <t>172513</t>
  </si>
  <si>
    <t>82DH0519010026000649375</t>
  </si>
  <si>
    <t>0857</t>
  </si>
  <si>
    <t>EXTRACTOR DE JUGO</t>
  </si>
  <si>
    <t>P35DA-0857</t>
  </si>
  <si>
    <t>P35DA-025</t>
  </si>
  <si>
    <t>P0A-63</t>
  </si>
  <si>
    <t>PHILIS</t>
  </si>
  <si>
    <t>CUSINA</t>
  </si>
  <si>
    <t>HR1820</t>
  </si>
  <si>
    <t>0858</t>
  </si>
  <si>
    <t>TOSTADOR</t>
  </si>
  <si>
    <t>P35DA-0858</t>
  </si>
  <si>
    <t>P35DA-026</t>
  </si>
  <si>
    <t>P0A-62</t>
  </si>
  <si>
    <t>GENERAL ELECTRIC</t>
  </si>
  <si>
    <t>F3840S</t>
  </si>
  <si>
    <t>0859</t>
  </si>
  <si>
    <t>REFRIGERADOR</t>
  </si>
  <si>
    <t>REFRIGERADOR BLANCO</t>
  </si>
  <si>
    <t>P35DA-0859</t>
  </si>
  <si>
    <t>P35DA-027</t>
  </si>
  <si>
    <t>P0A-31</t>
  </si>
  <si>
    <t>5120100001-2</t>
  </si>
  <si>
    <t>IEM</t>
  </si>
  <si>
    <t>82DH0519010036000566458</t>
  </si>
  <si>
    <t>0860</t>
  </si>
  <si>
    <t>CAMPANA</t>
  </si>
  <si>
    <t>P35DA-0860</t>
  </si>
  <si>
    <t>P35DA-028</t>
  </si>
  <si>
    <t>P0A-A1</t>
  </si>
  <si>
    <t>5120100004-32</t>
  </si>
  <si>
    <t>MABE</t>
  </si>
  <si>
    <t>MABE 60CM</t>
  </si>
  <si>
    <t>82DH0519010009000535515</t>
  </si>
  <si>
    <t>0861</t>
  </si>
  <si>
    <t>COMPLEMENTO DE EQUIPO ALACENA</t>
  </si>
  <si>
    <t>P35DA-0861</t>
  </si>
  <si>
    <t>P35DA-029</t>
  </si>
  <si>
    <t>P0A-36</t>
  </si>
  <si>
    <t>5120100004-26</t>
  </si>
  <si>
    <t>82DH0512010001000532220</t>
  </si>
  <si>
    <t>0862</t>
  </si>
  <si>
    <t>ESTUFA</t>
  </si>
  <si>
    <t>ESTUFA BLANCA</t>
  </si>
  <si>
    <t>P35DA-0862</t>
  </si>
  <si>
    <t>P35DA-030</t>
  </si>
  <si>
    <t>P0A-42</t>
  </si>
  <si>
    <t>5190100030-1</t>
  </si>
  <si>
    <t>DA0050</t>
  </si>
  <si>
    <t>82DH0519010016000538166</t>
  </si>
  <si>
    <t>0863</t>
  </si>
  <si>
    <t>COMPLEMENTO DE EQUIPO TARJA</t>
  </si>
  <si>
    <t>P35DA-0863</t>
  </si>
  <si>
    <t>P35DA-031</t>
  </si>
  <si>
    <t>P0A-35</t>
  </si>
  <si>
    <t>5120100004-25</t>
  </si>
  <si>
    <t>82DH0519010009000535514</t>
  </si>
  <si>
    <t>0864</t>
  </si>
  <si>
    <t>SILLA DE METAL GRIS PLEGABLE</t>
  </si>
  <si>
    <t>P35DA-0864</t>
  </si>
  <si>
    <t>P35DA-032</t>
  </si>
  <si>
    <t>P0A-58</t>
  </si>
  <si>
    <t>5110100011-93</t>
  </si>
  <si>
    <t>82DH0511010017000649510</t>
  </si>
  <si>
    <t>0865</t>
  </si>
  <si>
    <t>P35DA-0865</t>
  </si>
  <si>
    <t>P35DA-033</t>
  </si>
  <si>
    <t>P0A-59</t>
  </si>
  <si>
    <t>5110100011-94</t>
  </si>
  <si>
    <t>82DH0511010017000649512</t>
  </si>
  <si>
    <t>0866</t>
  </si>
  <si>
    <t>P35DA-0866</t>
  </si>
  <si>
    <t>P35DA-034</t>
  </si>
  <si>
    <t>P0A-45</t>
  </si>
  <si>
    <t>5110100011-130</t>
  </si>
  <si>
    <t>82DH0511010017000651083</t>
  </si>
  <si>
    <t>0867</t>
  </si>
  <si>
    <t>P35DA-0867</t>
  </si>
  <si>
    <t>P35DA-035</t>
  </si>
  <si>
    <t>P0A-46</t>
  </si>
  <si>
    <t>5110100011-131</t>
  </si>
  <si>
    <t>82DH0511010017000651082</t>
  </si>
  <si>
    <t>0868</t>
  </si>
  <si>
    <t>P35DA-0868</t>
  </si>
  <si>
    <t>P35DA-036</t>
  </si>
  <si>
    <t>P0A-47</t>
  </si>
  <si>
    <t>5110100011-132</t>
  </si>
  <si>
    <t>82DH0511010017000651081</t>
  </si>
  <si>
    <t>0869</t>
  </si>
  <si>
    <t>P35DA-0869</t>
  </si>
  <si>
    <t>P35DA-037</t>
  </si>
  <si>
    <t>P0A-48</t>
  </si>
  <si>
    <t>5110100011-133</t>
  </si>
  <si>
    <t>82DH0511010017000651080</t>
  </si>
  <si>
    <t>0870</t>
  </si>
  <si>
    <t>P35DA-0870</t>
  </si>
  <si>
    <t>P35DA-038</t>
  </si>
  <si>
    <t>P0A-49</t>
  </si>
  <si>
    <t>5110100011-134</t>
  </si>
  <si>
    <t>82DH0511010017000651079</t>
  </si>
  <si>
    <t>0871</t>
  </si>
  <si>
    <t>P35DA-0871</t>
  </si>
  <si>
    <t>P35DA-039</t>
  </si>
  <si>
    <t>P0A-50</t>
  </si>
  <si>
    <t>5110100011-135</t>
  </si>
  <si>
    <t>82DH0511010017000651078</t>
  </si>
  <si>
    <t>0872</t>
  </si>
  <si>
    <t>P35DA-0872</t>
  </si>
  <si>
    <t>P35DA-040</t>
  </si>
  <si>
    <t>P0A-51</t>
  </si>
  <si>
    <t>5110100011-136</t>
  </si>
  <si>
    <t>82DH0511010017000651077</t>
  </si>
  <si>
    <t>0873</t>
  </si>
  <si>
    <t>P35DA-0873</t>
  </si>
  <si>
    <t>P35DA-041</t>
  </si>
  <si>
    <t>P0A-52</t>
  </si>
  <si>
    <t>5110100011-124</t>
  </si>
  <si>
    <t>82DH0511010017000651076</t>
  </si>
  <si>
    <t>0874</t>
  </si>
  <si>
    <t>P35DA-0874</t>
  </si>
  <si>
    <t>P35DA-042</t>
  </si>
  <si>
    <t>P0A-53</t>
  </si>
  <si>
    <t>5110100011-123</t>
  </si>
  <si>
    <t>82DH0511010017000651075</t>
  </si>
  <si>
    <t>0875</t>
  </si>
  <si>
    <t>P35DA-0875</t>
  </si>
  <si>
    <t>P35DA-043</t>
  </si>
  <si>
    <t>P0A-54</t>
  </si>
  <si>
    <t>5110100011-89</t>
  </si>
  <si>
    <t>82DH0511010017000651074</t>
  </si>
  <si>
    <t>0876</t>
  </si>
  <si>
    <t>P35DA-0876</t>
  </si>
  <si>
    <t>P35DA-044</t>
  </si>
  <si>
    <t>P0A-56</t>
  </si>
  <si>
    <t>5110100011-91</t>
  </si>
  <si>
    <t>82DH0511010017000651072</t>
  </si>
  <si>
    <t>0877</t>
  </si>
  <si>
    <t>P35DA-0877</t>
  </si>
  <si>
    <t>P35DA-045</t>
  </si>
  <si>
    <t>P0A-57</t>
  </si>
  <si>
    <t>5110100011-92</t>
  </si>
  <si>
    <t>82DH0511010017000649509</t>
  </si>
  <si>
    <t>0878</t>
  </si>
  <si>
    <t>P35DA-0878</t>
  </si>
  <si>
    <t>P35DA-046</t>
  </si>
  <si>
    <t>P0A-55</t>
  </si>
  <si>
    <t>5110100011-90</t>
  </si>
  <si>
    <t>82DH0511010017000651073</t>
  </si>
  <si>
    <t>0879</t>
  </si>
  <si>
    <t>P35DA-0879</t>
  </si>
  <si>
    <t>P35DA-047</t>
  </si>
  <si>
    <t>P0A-29</t>
  </si>
  <si>
    <t>5110100011-87</t>
  </si>
  <si>
    <t>82DH0511010017000516345</t>
  </si>
  <si>
    <t>0880</t>
  </si>
  <si>
    <t>P35DA-0880</t>
  </si>
  <si>
    <t>P35DA-048</t>
  </si>
  <si>
    <t>P0A-60</t>
  </si>
  <si>
    <t>5110100011-122</t>
  </si>
  <si>
    <t>82DK0511010017000518523</t>
  </si>
  <si>
    <t>0881</t>
  </si>
  <si>
    <t>COMPLEMENTO DE EQUIPO ALACENA PARTE DE ESTUFA Y FREGADOR</t>
  </si>
  <si>
    <t>P35DA-0881</t>
  </si>
  <si>
    <t>P35DA-049</t>
  </si>
  <si>
    <t>5120100004-31</t>
  </si>
  <si>
    <t>82DH0519010009000535596</t>
  </si>
  <si>
    <t>0882</t>
  </si>
  <si>
    <t>DIRECCIÓN GENERAL</t>
  </si>
  <si>
    <t>CAJA FUERTE</t>
  </si>
  <si>
    <t>CAJA FUERTE COLOR GRIS 45X41X45</t>
  </si>
  <si>
    <t>P21DG-0882</t>
  </si>
  <si>
    <t>P21DG-001</t>
  </si>
  <si>
    <t>P2DG-27</t>
  </si>
  <si>
    <t>5130100035-1</t>
  </si>
  <si>
    <t>82DH0511010004000518490</t>
  </si>
  <si>
    <t>ALEJANDRO ESTRADA SALINAS</t>
  </si>
  <si>
    <t>0883</t>
  </si>
  <si>
    <t>SILLA PLEGABLE GRIS</t>
  </si>
  <si>
    <t>P21DG-0883</t>
  </si>
  <si>
    <t>P21DG-002</t>
  </si>
  <si>
    <t>P2DG-33</t>
  </si>
  <si>
    <t>2730100067-1</t>
  </si>
  <si>
    <t>82DH0511010017000651393</t>
  </si>
  <si>
    <t>0884</t>
  </si>
  <si>
    <t>ESCRITORIO DE MADERA BASE DE METAL CON 2 CAJONES 120X60</t>
  </si>
  <si>
    <t>P21DG-0884</t>
  </si>
  <si>
    <t>P21DG-003</t>
  </si>
  <si>
    <t>P2DG-32</t>
  </si>
  <si>
    <t>5110100015-4</t>
  </si>
  <si>
    <t>82DH0511010006000583444</t>
  </si>
  <si>
    <t>0885</t>
  </si>
  <si>
    <t>PIZARRON DE CRISTAL</t>
  </si>
  <si>
    <t>P21DG-0885</t>
  </si>
  <si>
    <t>P21DG-004</t>
  </si>
  <si>
    <t>P2DG-29</t>
  </si>
  <si>
    <t>5290100025-1</t>
  </si>
  <si>
    <t>82DH0529030003000651381</t>
  </si>
  <si>
    <t>0886</t>
  </si>
  <si>
    <t>P21DG-0886</t>
  </si>
  <si>
    <t>P21DG-005</t>
  </si>
  <si>
    <t>P2DG-22</t>
  </si>
  <si>
    <t>5640100001-1</t>
  </si>
  <si>
    <t>TRANE</t>
  </si>
  <si>
    <t>82DH0564010006000583948</t>
  </si>
  <si>
    <t>0887</t>
  </si>
  <si>
    <t>JUEGO DE SALA</t>
  </si>
  <si>
    <t>JUEGO DE SALA NEGRA DE PIEL CON 3 PIEZAS</t>
  </si>
  <si>
    <t>P21DG-0887</t>
  </si>
  <si>
    <t>P21DG-006</t>
  </si>
  <si>
    <t>P2DG-8</t>
  </si>
  <si>
    <t>5120100006-2</t>
  </si>
  <si>
    <t>82DH0512010023000517047</t>
  </si>
  <si>
    <t>0888</t>
  </si>
  <si>
    <t>ALFOMBRA</t>
  </si>
  <si>
    <t>TAPETE DE ALFOMBRA, COLOR VERDE, 2.35X1.60</t>
  </si>
  <si>
    <t>P21DG-0888</t>
  </si>
  <si>
    <t>P21DG-007</t>
  </si>
  <si>
    <t>P2DG-A1</t>
  </si>
  <si>
    <t>5130100208-1</t>
  </si>
  <si>
    <t>82DH0511010027000566240</t>
  </si>
  <si>
    <t>0889</t>
  </si>
  <si>
    <t>MESA DE CENTRO DE CRISTAL CON BASE DE METAL 100X65</t>
  </si>
  <si>
    <t>P21DG-0889</t>
  </si>
  <si>
    <t>P21DG-008</t>
  </si>
  <si>
    <t>P2DG-14</t>
  </si>
  <si>
    <t>5120100007-4</t>
  </si>
  <si>
    <t>82DH0531010065000564745</t>
  </si>
  <si>
    <t>0890</t>
  </si>
  <si>
    <t>LIBRERO DE CRISTAL CON BASE DE METAL 190X66X46</t>
  </si>
  <si>
    <t>P21DG-0890</t>
  </si>
  <si>
    <t>P21DG-009</t>
  </si>
  <si>
    <t>P2DG-9</t>
  </si>
  <si>
    <t>5130100126-1</t>
  </si>
  <si>
    <t>82DH0511010008000518495</t>
  </si>
  <si>
    <t>0891</t>
  </si>
  <si>
    <t>MESA CRISTAL Y METAL CON 2 ENTREPAÑOS DE CRISTAL  80X86X46</t>
  </si>
  <si>
    <t>P21DG-0891</t>
  </si>
  <si>
    <t>P21DG-010</t>
  </si>
  <si>
    <t>P2DG-11</t>
  </si>
  <si>
    <t>5120100007-3</t>
  </si>
  <si>
    <t>82DH0531010065000564743</t>
  </si>
  <si>
    <t>0892</t>
  </si>
  <si>
    <t>TELEVISOR</t>
  </si>
  <si>
    <t>TELEVISOR GRIS CON NEGRO 29"</t>
  </si>
  <si>
    <t>P21DG-0892</t>
  </si>
  <si>
    <t>P21DG-011</t>
  </si>
  <si>
    <t>P2DG-10</t>
  </si>
  <si>
    <t>5190100022-1</t>
  </si>
  <si>
    <t>RCA</t>
  </si>
  <si>
    <t>27B520T</t>
  </si>
  <si>
    <t>E434C81TL</t>
  </si>
  <si>
    <t>82DH0521010005000516948</t>
  </si>
  <si>
    <t>0893</t>
  </si>
  <si>
    <t>P21DG-0893</t>
  </si>
  <si>
    <t>P21DG-012</t>
  </si>
  <si>
    <t>P2DG-12</t>
  </si>
  <si>
    <t>5130100126-2</t>
  </si>
  <si>
    <t>82DH0511010008000518497</t>
  </si>
  <si>
    <t>0894</t>
  </si>
  <si>
    <t>MESA DE CRISTAL CON BASE DE METAL 71X55</t>
  </si>
  <si>
    <t>P21DG-0894</t>
  </si>
  <si>
    <t>P21DG-013</t>
  </si>
  <si>
    <t>P2DG-7</t>
  </si>
  <si>
    <t>5120100007-2</t>
  </si>
  <si>
    <t>82DH0531010065000564747</t>
  </si>
  <si>
    <t>0895</t>
  </si>
  <si>
    <t>CREDENZA CRISTAL CON 3 CAJONES DE MADERA Y BASE DE METAL  88X140X50</t>
  </si>
  <si>
    <t>P21DG-0895</t>
  </si>
  <si>
    <t>P21DG-014</t>
  </si>
  <si>
    <t>P2DG-5</t>
  </si>
  <si>
    <t>5110100014-1</t>
  </si>
  <si>
    <t>82DH0511010005000518491</t>
  </si>
  <si>
    <t>0896</t>
  </si>
  <si>
    <t>MESA CON RUEDAS 117X39</t>
  </si>
  <si>
    <t>P21DG-0896</t>
  </si>
  <si>
    <t>P21DG-015</t>
  </si>
  <si>
    <t>P2DG-2</t>
  </si>
  <si>
    <t>5110100015-1</t>
  </si>
  <si>
    <t>82DH0511010006000583460</t>
  </si>
  <si>
    <t>0897</t>
  </si>
  <si>
    <t>P21DG-0897</t>
  </si>
  <si>
    <t>P21DG-016</t>
  </si>
  <si>
    <t>P2DG-1</t>
  </si>
  <si>
    <t>5120100007-1</t>
  </si>
  <si>
    <t>82DH0531010065000564749</t>
  </si>
  <si>
    <t>0898</t>
  </si>
  <si>
    <t>PERCHERO DE MADERA CON BASE DE METAL</t>
  </si>
  <si>
    <t>P21DG-0898</t>
  </si>
  <si>
    <t>P21DG-017</t>
  </si>
  <si>
    <t>P2DG-3</t>
  </si>
  <si>
    <t>5120100008-1</t>
  </si>
  <si>
    <t>82DH0512010018000651391</t>
  </si>
  <si>
    <t>0899</t>
  </si>
  <si>
    <t>NICHO</t>
  </si>
  <si>
    <t>NICHO PARA BANDERA MADERA CON CRISTAL</t>
  </si>
  <si>
    <t>P21DG-0899</t>
  </si>
  <si>
    <t>P21DG-018</t>
  </si>
  <si>
    <t>P2DG-4</t>
  </si>
  <si>
    <t>5130100156-1</t>
  </si>
  <si>
    <t>0900</t>
  </si>
  <si>
    <t>CAJONERA</t>
  </si>
  <si>
    <t>CAJONERA 2 CAJONES 54X52X52</t>
  </si>
  <si>
    <t>P21DG-0900</t>
  </si>
  <si>
    <t>0901</t>
  </si>
  <si>
    <t>MESA DE CRISTAL CON BASE DE MADERA Y METAL 160X50</t>
  </si>
  <si>
    <t>P21DG-0901</t>
  </si>
  <si>
    <t>0902</t>
  </si>
  <si>
    <t>ESCRITORIO CRISTAL CON BASE DE METAL Y MADERA  TIPO ISLA DE 3 PIEZAS</t>
  </si>
  <si>
    <t>P21DG-0902</t>
  </si>
  <si>
    <t>P21DG-019</t>
  </si>
  <si>
    <t>P2DG-6</t>
  </si>
  <si>
    <t>5110100015-3</t>
  </si>
  <si>
    <t>82DH0511010006000518492</t>
  </si>
  <si>
    <t>0903</t>
  </si>
  <si>
    <t>SILLÓN NEGRO DE PIEL FIJO</t>
  </si>
  <si>
    <t>P21DG-0903</t>
  </si>
  <si>
    <t>P21DG-020</t>
  </si>
  <si>
    <t>P2DG-15</t>
  </si>
  <si>
    <t>5120100009-1</t>
  </si>
  <si>
    <t>82DH0511010016000564565</t>
  </si>
  <si>
    <t>0904</t>
  </si>
  <si>
    <t>P21DG-0904</t>
  </si>
  <si>
    <t>P21DG-021</t>
  </si>
  <si>
    <t>P2DG-16</t>
  </si>
  <si>
    <t>5120100009-2</t>
  </si>
  <si>
    <t>82DH0511010016000516018</t>
  </si>
  <si>
    <t>0905</t>
  </si>
  <si>
    <t>P21DG-0905</t>
  </si>
  <si>
    <t>P21DG-022</t>
  </si>
  <si>
    <t>P2DG-17</t>
  </si>
  <si>
    <t>5120100009-3</t>
  </si>
  <si>
    <t>82DH0511010016000516009</t>
  </si>
  <si>
    <t>0906</t>
  </si>
  <si>
    <t>P21DG-0906</t>
  </si>
  <si>
    <t>P21DG-023</t>
  </si>
  <si>
    <t>P2DG-88</t>
  </si>
  <si>
    <t>5110100011-5</t>
  </si>
  <si>
    <t>82DH0511010017000651103</t>
  </si>
  <si>
    <t>0907</t>
  </si>
  <si>
    <t>COMPLEMENTARIO DE EQUIPO DE MADERA</t>
  </si>
  <si>
    <t>P21DG-0907</t>
  </si>
  <si>
    <t>P21DG-024</t>
  </si>
  <si>
    <t>P2DG-18</t>
  </si>
  <si>
    <t>5120100004-1</t>
  </si>
  <si>
    <t>82DH0511010027000566232</t>
  </si>
  <si>
    <t>0908</t>
  </si>
  <si>
    <t>MESA CON RUEDAS 40X60</t>
  </si>
  <si>
    <t>P21DG-0908</t>
  </si>
  <si>
    <t>P21DG-025</t>
  </si>
  <si>
    <t>5120100007-6</t>
  </si>
  <si>
    <t>82DH0531010065000564847</t>
  </si>
  <si>
    <t>0909</t>
  </si>
  <si>
    <t>IMPRESORA BLANCA CON NEGRO</t>
  </si>
  <si>
    <t>P21DG-0909</t>
  </si>
  <si>
    <t>P21DG-026</t>
  </si>
  <si>
    <t>P2DG-13</t>
  </si>
  <si>
    <t>5150100007-1</t>
  </si>
  <si>
    <t>LASERJET PRO 400 COLOR M451DW</t>
  </si>
  <si>
    <t>CNDF501806</t>
  </si>
  <si>
    <t>82DH0515010010000519362</t>
  </si>
  <si>
    <t>0910</t>
  </si>
  <si>
    <t>P21DG-0910</t>
  </si>
  <si>
    <t>P21DG-027</t>
  </si>
  <si>
    <t>P2DG-25</t>
  </si>
  <si>
    <t>5150100008-1</t>
  </si>
  <si>
    <t>181222508480</t>
  </si>
  <si>
    <t>82DH0515010016000649416</t>
  </si>
  <si>
    <t>0911</t>
  </si>
  <si>
    <t>TELEFONO GRIS CON NEGRO</t>
  </si>
  <si>
    <t>P21DG-0911</t>
  </si>
  <si>
    <t>P21DG-028</t>
  </si>
  <si>
    <t>P2DG-20</t>
  </si>
  <si>
    <t>5650100010-3</t>
  </si>
  <si>
    <t>4LO00H118287</t>
  </si>
  <si>
    <t>82DH0565010001000527285</t>
  </si>
  <si>
    <t>0912</t>
  </si>
  <si>
    <t>P21DG-0912</t>
  </si>
  <si>
    <t>P21DG-029</t>
  </si>
  <si>
    <t>P2DG-21</t>
  </si>
  <si>
    <t>5150100005-1</t>
  </si>
  <si>
    <t>CS03112206 (C240)</t>
  </si>
  <si>
    <t>CS01267915</t>
  </si>
  <si>
    <t>82DH0515010003000649646</t>
  </si>
  <si>
    <t>0913</t>
  </si>
  <si>
    <t>MESA BASE DE METAL CON MADERA (BEIGE) 60X40</t>
  </si>
  <si>
    <t>P21DG-0913</t>
  </si>
  <si>
    <t>P21DG-030</t>
  </si>
  <si>
    <t>P2DG-37</t>
  </si>
  <si>
    <t>5120100007-8</t>
  </si>
  <si>
    <t>82DH0531010065000564773</t>
  </si>
  <si>
    <t>ALEJANDRO ESTRADA SALINAS (SALA DE JUNTAS)</t>
  </si>
  <si>
    <t>0914</t>
  </si>
  <si>
    <t>SILLA NEGRA CON RUEDAS SECRETARIAL</t>
  </si>
  <si>
    <t>P21DG-0914</t>
  </si>
  <si>
    <t>P21DG-031</t>
  </si>
  <si>
    <t>P2DG-86</t>
  </si>
  <si>
    <t>5110100011-107</t>
  </si>
  <si>
    <t>82DH0511010017000651101</t>
  </si>
  <si>
    <t>0915</t>
  </si>
  <si>
    <t>P21DG-0915</t>
  </si>
  <si>
    <t>P21DG-032</t>
  </si>
  <si>
    <t>P2DG-70</t>
  </si>
  <si>
    <t>5110100011-3</t>
  </si>
  <si>
    <t>82DH0511010017000516235</t>
  </si>
  <si>
    <t>AREA POLIS</t>
  </si>
  <si>
    <t>0916</t>
  </si>
  <si>
    <t>MESA DE MADERA Y BASE DE METAL 120X60</t>
  </si>
  <si>
    <t>P21DG-0916</t>
  </si>
  <si>
    <t>P21DG-033</t>
  </si>
  <si>
    <t>P2DG-59</t>
  </si>
  <si>
    <t>5120100007-12</t>
  </si>
  <si>
    <t>82DH0531010065000564797</t>
  </si>
  <si>
    <t>0917</t>
  </si>
  <si>
    <t>REGULADOR GRIS</t>
  </si>
  <si>
    <t>P21DG-0917</t>
  </si>
  <si>
    <t>P21DG-034</t>
  </si>
  <si>
    <t>P2DG-36</t>
  </si>
  <si>
    <t>5660100057-1</t>
  </si>
  <si>
    <t>SOLA SB</t>
  </si>
  <si>
    <t>PC500</t>
  </si>
  <si>
    <t>93-C</t>
  </si>
  <si>
    <t>82DH0515010020000565749</t>
  </si>
  <si>
    <t>0918</t>
  </si>
  <si>
    <t>MODULO DE MADERA CON RUEDAS PARA COMPUTADORA 68X46</t>
  </si>
  <si>
    <t>P21DG-0918</t>
  </si>
  <si>
    <t>P21DG-035</t>
  </si>
  <si>
    <t>P2DG-35</t>
  </si>
  <si>
    <t>5120100007-7</t>
  </si>
  <si>
    <t>82DH0512010011000564517</t>
  </si>
  <si>
    <t>0919</t>
  </si>
  <si>
    <t>LIBRERO DE CRISTAL CON SOPORTE DE METAL 225X165X40</t>
  </si>
  <si>
    <t>P21DG-0919</t>
  </si>
  <si>
    <t>P21DG-036</t>
  </si>
  <si>
    <t>P2DG-34</t>
  </si>
  <si>
    <t>5130100126-3</t>
  </si>
  <si>
    <t>82DH0511010008000518496</t>
  </si>
  <si>
    <t>0920</t>
  </si>
  <si>
    <t>MESA REDONDA DE MADERA  D-120CM</t>
  </si>
  <si>
    <t>P21DG-0920</t>
  </si>
  <si>
    <t>P21DG-037</t>
  </si>
  <si>
    <t>P2DG-57</t>
  </si>
  <si>
    <t>5120100007-11</t>
  </si>
  <si>
    <t>82DH0531010065000564799</t>
  </si>
  <si>
    <t>0921</t>
  </si>
  <si>
    <t>MESA DE MADERA BASE DE METAL 120X60</t>
  </si>
  <si>
    <t>P21DG-0921</t>
  </si>
  <si>
    <t>P21DG-038</t>
  </si>
  <si>
    <t>P2DG-45</t>
  </si>
  <si>
    <t>5120100007-9</t>
  </si>
  <si>
    <t>82DH0531010065000564784</t>
  </si>
  <si>
    <t>0922</t>
  </si>
  <si>
    <t>PANTALLA DE PROYECCION</t>
  </si>
  <si>
    <t>PANTALLA DE PROYECCIÓN 178X163</t>
  </si>
  <si>
    <t>P21DG-0922</t>
  </si>
  <si>
    <t>P21DG-039</t>
  </si>
  <si>
    <t>P2DG-52</t>
  </si>
  <si>
    <t>5210100014-1</t>
  </si>
  <si>
    <t>0923</t>
  </si>
  <si>
    <t>ROTAFOLIO</t>
  </si>
  <si>
    <t>ROTAFOLIO 60X90</t>
  </si>
  <si>
    <t>P21DG-0923</t>
  </si>
  <si>
    <t>P21DG-040</t>
  </si>
  <si>
    <t>P2DG-53</t>
  </si>
  <si>
    <t>5290100025-2</t>
  </si>
  <si>
    <t>82DH0529030004000583305</t>
  </si>
  <si>
    <t>0924</t>
  </si>
  <si>
    <t>PROYECTOR</t>
  </si>
  <si>
    <t>PROYECTOR BLANCO CON GRIS</t>
  </si>
  <si>
    <t>P21DG-0924</t>
  </si>
  <si>
    <t>P21DG-041</t>
  </si>
  <si>
    <t>P2DG-71</t>
  </si>
  <si>
    <t>5210100020-1</t>
  </si>
  <si>
    <t>EPSON</t>
  </si>
  <si>
    <t>H568A</t>
  </si>
  <si>
    <t>U3CK4503516</t>
  </si>
  <si>
    <t>82DH0531010076000651384</t>
  </si>
  <si>
    <t>0925</t>
  </si>
  <si>
    <t>P21DG-0925</t>
  </si>
  <si>
    <t>P21DG-042</t>
  </si>
  <si>
    <t>P2DG-60</t>
  </si>
  <si>
    <t>5640100001-2</t>
  </si>
  <si>
    <t>82DH0564010006000535311</t>
  </si>
  <si>
    <t>0926</t>
  </si>
  <si>
    <t>SILLÓN NEGRO DE PIEL EJECUTIVO CON RUEDAS</t>
  </si>
  <si>
    <t>P21DG-0926</t>
  </si>
  <si>
    <t>P21DG-043</t>
  </si>
  <si>
    <t>P2DG-42</t>
  </si>
  <si>
    <t>5120100009-8</t>
  </si>
  <si>
    <t>82DH0511010016000516015</t>
  </si>
  <si>
    <t>0927</t>
  </si>
  <si>
    <t>P21DG-0927</t>
  </si>
  <si>
    <t>P21DG-044</t>
  </si>
  <si>
    <t>P2DG-40</t>
  </si>
  <si>
    <t>5120100009-6</t>
  </si>
  <si>
    <t>82DH0511010016000518500</t>
  </si>
  <si>
    <t>0928</t>
  </si>
  <si>
    <t>P21DG-0928</t>
  </si>
  <si>
    <t>P21DG-045</t>
  </si>
  <si>
    <t>P2DG-43</t>
  </si>
  <si>
    <t>5120100009-9</t>
  </si>
  <si>
    <t>82DH0511010016000564555</t>
  </si>
  <si>
    <t>0929</t>
  </si>
  <si>
    <t>P21DG-0929</t>
  </si>
  <si>
    <t>P21DG-046</t>
  </si>
  <si>
    <t>P2DG-38</t>
  </si>
  <si>
    <t>5120100009-4</t>
  </si>
  <si>
    <t>82DH0511010016000517128</t>
  </si>
  <si>
    <t>0930</t>
  </si>
  <si>
    <t>P21DG-0930</t>
  </si>
  <si>
    <t>P21DG-047</t>
  </si>
  <si>
    <t>P2DG-44</t>
  </si>
  <si>
    <t>5120100009-10</t>
  </si>
  <si>
    <t>82DH0511010016000516014</t>
  </si>
  <si>
    <t>0931</t>
  </si>
  <si>
    <t>P21DG-0931</t>
  </si>
  <si>
    <t>P21DG-048</t>
  </si>
  <si>
    <t>P2DG-56</t>
  </si>
  <si>
    <t>5120100009-11</t>
  </si>
  <si>
    <t>82DH0511010016000516017</t>
  </si>
  <si>
    <t>0932</t>
  </si>
  <si>
    <t>P21DG-0932</t>
  </si>
  <si>
    <t>P21DG-049</t>
  </si>
  <si>
    <t>P2DG-39</t>
  </si>
  <si>
    <t>5120100009-5</t>
  </si>
  <si>
    <t>82DH0511010016000518502</t>
  </si>
  <si>
    <t>0933</t>
  </si>
  <si>
    <t>P21DG-0933</t>
  </si>
  <si>
    <t>P21DG-050</t>
  </si>
  <si>
    <t>P2DG-41</t>
  </si>
  <si>
    <t>5120100009-7</t>
  </si>
  <si>
    <t>82DH0511010016000564554</t>
  </si>
  <si>
    <t>0934</t>
  </si>
  <si>
    <t>P21DG-0934</t>
  </si>
  <si>
    <t>P21DG-051</t>
  </si>
  <si>
    <t>P2DG-58</t>
  </si>
  <si>
    <t>5120100009-12</t>
  </si>
  <si>
    <t>82DH0511010016000516008</t>
  </si>
  <si>
    <t>0935</t>
  </si>
  <si>
    <t>P21DG-0935</t>
  </si>
  <si>
    <t>P21DG-052</t>
  </si>
  <si>
    <t>P2DG-69</t>
  </si>
  <si>
    <t>5120100009-15</t>
  </si>
  <si>
    <t>82DH0511010016000516016</t>
  </si>
  <si>
    <t>0936</t>
  </si>
  <si>
    <t>P21DG-0936</t>
  </si>
  <si>
    <t>P21DG-053</t>
  </si>
  <si>
    <t>P2DG-68</t>
  </si>
  <si>
    <t>5120100009-14</t>
  </si>
  <si>
    <t>82DH0511010016000515617</t>
  </si>
  <si>
    <t>0937</t>
  </si>
  <si>
    <t>P21DG-0937</t>
  </si>
  <si>
    <t>P21DG-054</t>
  </si>
  <si>
    <t>P2DG-67</t>
  </si>
  <si>
    <t>5120100009-13</t>
  </si>
  <si>
    <t>82DH0511010016000518501</t>
  </si>
  <si>
    <t>0938</t>
  </si>
  <si>
    <t>MESA DE MADERA CABECERA 140X60</t>
  </si>
  <si>
    <t>P21DG-0938</t>
  </si>
  <si>
    <t>P21DG-055</t>
  </si>
  <si>
    <t>P2DG-63</t>
  </si>
  <si>
    <t>5120100007-16</t>
  </si>
  <si>
    <t>82DH0531010065000564727</t>
  </si>
  <si>
    <t>0939</t>
  </si>
  <si>
    <t>MESA DE CENTRO CAFÉ CON NEGRO 240X60</t>
  </si>
  <si>
    <t>P21DG-0939</t>
  </si>
  <si>
    <t>P21DG-056</t>
  </si>
  <si>
    <t>P2DG-65</t>
  </si>
  <si>
    <t>5120100007-18</t>
  </si>
  <si>
    <t>82DH0531010065000564723</t>
  </si>
  <si>
    <t>0940</t>
  </si>
  <si>
    <t>P21DG-0940</t>
  </si>
  <si>
    <t>P21DG-057</t>
  </si>
  <si>
    <t>P2DG-61</t>
  </si>
  <si>
    <t>5120100007-14</t>
  </si>
  <si>
    <t>82DH0531010065000580341</t>
  </si>
  <si>
    <t>0941</t>
  </si>
  <si>
    <t>P21DG-0941</t>
  </si>
  <si>
    <t>P21DG-058</t>
  </si>
  <si>
    <t>P2DG-64</t>
  </si>
  <si>
    <t>5120100007-17</t>
  </si>
  <si>
    <t>82DH0531010065000564725</t>
  </si>
  <si>
    <t>0942</t>
  </si>
  <si>
    <t>P21DG-0942</t>
  </si>
  <si>
    <t>P21DG-059</t>
  </si>
  <si>
    <t>P2DG-66</t>
  </si>
  <si>
    <t>5120100007-19</t>
  </si>
  <si>
    <t>82DH0531010065000564721</t>
  </si>
  <si>
    <t>0943</t>
  </si>
  <si>
    <t>P21DG-0943</t>
  </si>
  <si>
    <t>P21DG-060</t>
  </si>
  <si>
    <t>P2DG-51</t>
  </si>
  <si>
    <t>5120100007-10</t>
  </si>
  <si>
    <t>82DH0531010065000564716</t>
  </si>
  <si>
    <t>0944</t>
  </si>
  <si>
    <t>P21DG-0944</t>
  </si>
  <si>
    <t>P21DG-061</t>
  </si>
  <si>
    <t>P2DG-50</t>
  </si>
  <si>
    <t>5110100015-5</t>
  </si>
  <si>
    <t>82DH0511010006000534673</t>
  </si>
  <si>
    <t>0945</t>
  </si>
  <si>
    <t>MESA DE MADERA 44X100X40</t>
  </si>
  <si>
    <t>P21DG-0945</t>
  </si>
  <si>
    <t>P21DG-062</t>
  </si>
  <si>
    <t>P2DG-62</t>
  </si>
  <si>
    <t>5120100007-15</t>
  </si>
  <si>
    <t>82DH0531010065000564786</t>
  </si>
  <si>
    <t>0946</t>
  </si>
  <si>
    <t>P21DG-0946</t>
  </si>
  <si>
    <t>P21DG-063</t>
  </si>
  <si>
    <t>P2DG-49</t>
  </si>
  <si>
    <t>5150100007-2</t>
  </si>
  <si>
    <t>LASERJET 1320</t>
  </si>
  <si>
    <t>CNL1G00442</t>
  </si>
  <si>
    <t>82DH0515010010000515121</t>
  </si>
  <si>
    <t>0947</t>
  </si>
  <si>
    <t>P21DG-0947</t>
  </si>
  <si>
    <t>P21DG-064</t>
  </si>
  <si>
    <t>P2DG-94</t>
  </si>
  <si>
    <t>5150100008-2</t>
  </si>
  <si>
    <t>CYBER ENERGY</t>
  </si>
  <si>
    <t>OM750ATLCD</t>
  </si>
  <si>
    <t>1HZ5Y3000474</t>
  </si>
  <si>
    <t>82DH0515010016000650642</t>
  </si>
  <si>
    <t>0948</t>
  </si>
  <si>
    <t>P21DG-0948</t>
  </si>
  <si>
    <t>P21DG-065</t>
  </si>
  <si>
    <t>P2DG-46</t>
  </si>
  <si>
    <t>5650100010-1</t>
  </si>
  <si>
    <t>4LO00H118468</t>
  </si>
  <si>
    <t>82DH0565010001000527290</t>
  </si>
  <si>
    <t>0949</t>
  </si>
  <si>
    <t>P21DG-0949</t>
  </si>
  <si>
    <t>P21DG-066</t>
  </si>
  <si>
    <t>P2DG-23</t>
  </si>
  <si>
    <t>5110100011-1</t>
  </si>
  <si>
    <t>82DH0511010017000516334</t>
  </si>
  <si>
    <t>0950</t>
  </si>
  <si>
    <t>P21DG-0950</t>
  </si>
  <si>
    <t>P21DG-067</t>
  </si>
  <si>
    <t>P2DG-47</t>
  </si>
  <si>
    <t>5150100005-2</t>
  </si>
  <si>
    <t>PCGHIA2378</t>
  </si>
  <si>
    <t>337860</t>
  </si>
  <si>
    <t>82DH0515010001000650662</t>
  </si>
  <si>
    <t>0951</t>
  </si>
  <si>
    <t>P21DG-0951</t>
  </si>
  <si>
    <t>P21DG-068</t>
  </si>
  <si>
    <t>P2DG-48</t>
  </si>
  <si>
    <t>5210100012-1</t>
  </si>
  <si>
    <t>933SN</t>
  </si>
  <si>
    <t>CM19H9LS423384F</t>
  </si>
  <si>
    <t>82DH0515010013000651394</t>
  </si>
  <si>
    <t>0952</t>
  </si>
  <si>
    <t>ESCRITORIO DE MADERA CON UN CAJON 120X60</t>
  </si>
  <si>
    <t>P21DG-0952</t>
  </si>
  <si>
    <t>P21DG-069</t>
  </si>
  <si>
    <t>P2DG-90</t>
  </si>
  <si>
    <t>5110100015-6</t>
  </si>
  <si>
    <t>JOSE MIGUEL HERNANDEZ CARRANZA</t>
  </si>
  <si>
    <t>ADELA ESMERALDA FABIAN ALVAREZ</t>
  </si>
  <si>
    <t>0953</t>
  </si>
  <si>
    <t>P21DG-0953</t>
  </si>
  <si>
    <t>P21DG-070</t>
  </si>
  <si>
    <t>P2DG-91</t>
  </si>
  <si>
    <t>5190200002-1</t>
  </si>
  <si>
    <t>82DK0531010094000564894</t>
  </si>
  <si>
    <t>0954</t>
  </si>
  <si>
    <t>SILLA DE TELA NEGRA CON RUEDAS</t>
  </si>
  <si>
    <t>P21DG-0954</t>
  </si>
  <si>
    <t>P21DG-071</t>
  </si>
  <si>
    <t>P2DG-93</t>
  </si>
  <si>
    <t>5110100011-4</t>
  </si>
  <si>
    <t>82DH0511010017000517894</t>
  </si>
  <si>
    <t>0955</t>
  </si>
  <si>
    <t>P21DG-0955</t>
  </si>
  <si>
    <t>P21DG-072</t>
  </si>
  <si>
    <t>P2DG-84</t>
  </si>
  <si>
    <t>5660100057-3</t>
  </si>
  <si>
    <t>ISB</t>
  </si>
  <si>
    <t>SOLA BASIC</t>
  </si>
  <si>
    <t>E01E38988</t>
  </si>
  <si>
    <t>82DH0515010020000565742</t>
  </si>
  <si>
    <t>0956</t>
  </si>
  <si>
    <t>MONITOR 17"</t>
  </si>
  <si>
    <t>P21DG-0956</t>
  </si>
  <si>
    <t>P21DG-073</t>
  </si>
  <si>
    <t>P2DG-89</t>
  </si>
  <si>
    <t>5210100012-2</t>
  </si>
  <si>
    <t>SONY</t>
  </si>
  <si>
    <t>SDM-HS73</t>
  </si>
  <si>
    <t>1439146</t>
  </si>
  <si>
    <t>82DH0565010041000543577</t>
  </si>
  <si>
    <t>0957</t>
  </si>
  <si>
    <t>P21DG-0957</t>
  </si>
  <si>
    <t>P21DG-074</t>
  </si>
  <si>
    <t>P2DG-92</t>
  </si>
  <si>
    <t>5150100005-3</t>
  </si>
  <si>
    <t>MXJ819036D</t>
  </si>
  <si>
    <t>82DJ0515010001000535534</t>
  </si>
  <si>
    <t>0958</t>
  </si>
  <si>
    <t>REFRIGERADOR BLANCO DE 5FT</t>
  </si>
  <si>
    <t>P21DG-0958</t>
  </si>
  <si>
    <t>P21DG-075</t>
  </si>
  <si>
    <t>P2DG-76</t>
  </si>
  <si>
    <t>5120100001-1</t>
  </si>
  <si>
    <t>RM62W07</t>
  </si>
  <si>
    <t>82DH0519010036000543274</t>
  </si>
  <si>
    <t>ALEJANDRO ESTRADA SALINAS (COCINA)</t>
  </si>
  <si>
    <t>0959</t>
  </si>
  <si>
    <t>ANAQUEL MADERA CON 4 PUERTAS 180X77X40</t>
  </si>
  <si>
    <t>P21DG-0959</t>
  </si>
  <si>
    <t>P21DG-076</t>
  </si>
  <si>
    <t>P2DG-77</t>
  </si>
  <si>
    <t>5290300001-1</t>
  </si>
  <si>
    <t>82DH0511010009000564611</t>
  </si>
  <si>
    <t>0960</t>
  </si>
  <si>
    <t>P21DG-0960</t>
  </si>
  <si>
    <t>P21DG-077</t>
  </si>
  <si>
    <t>P2DG-100</t>
  </si>
  <si>
    <t>82DH0511010017000564620</t>
  </si>
  <si>
    <t>0961</t>
  </si>
  <si>
    <t>HORNO DE MICROONDAS</t>
  </si>
  <si>
    <t>P21DG-0961</t>
  </si>
  <si>
    <t>P21DG-078</t>
  </si>
  <si>
    <t>P2DG-80</t>
  </si>
  <si>
    <t>5690100331-1</t>
  </si>
  <si>
    <t>NN-SB636W</t>
  </si>
  <si>
    <t>6G29150241</t>
  </si>
  <si>
    <t>82DH0519010026000649404</t>
  </si>
  <si>
    <t>0962</t>
  </si>
  <si>
    <t>MESA DE MADERA CON BASE METAL 120X60</t>
  </si>
  <si>
    <t>P21DG-0962</t>
  </si>
  <si>
    <t>P21DG-079</t>
  </si>
  <si>
    <t>P2DG-78</t>
  </si>
  <si>
    <t>5120100007-23</t>
  </si>
  <si>
    <t>82DH0511010010000651392</t>
  </si>
  <si>
    <t>0963</t>
  </si>
  <si>
    <t>P21DG-0963</t>
  </si>
  <si>
    <t>P21DG-080</t>
  </si>
  <si>
    <t>P2DG-79</t>
  </si>
  <si>
    <t>5120100007-24</t>
  </si>
  <si>
    <t>82DH0511010010000651386</t>
  </si>
  <si>
    <t>0964</t>
  </si>
  <si>
    <t>MESA TRAPECIO AZUL CON BASE DE METAL</t>
  </si>
  <si>
    <t>P21DG-0964</t>
  </si>
  <si>
    <t>P21DG-081</t>
  </si>
  <si>
    <t>P2DG-75</t>
  </si>
  <si>
    <t>5120100007-22</t>
  </si>
  <si>
    <t>0965</t>
  </si>
  <si>
    <t>P21DG-0965</t>
  </si>
  <si>
    <t>P21DG-082</t>
  </si>
  <si>
    <t>P2DG-19</t>
  </si>
  <si>
    <t>5120100001-13</t>
  </si>
  <si>
    <t>M199JM</t>
  </si>
  <si>
    <t>82DH0519010006000649406</t>
  </si>
  <si>
    <t>0966</t>
  </si>
  <si>
    <t>P21DG-0966</t>
  </si>
  <si>
    <t>P21DG-083</t>
  </si>
  <si>
    <t>P2DG-55</t>
  </si>
  <si>
    <t>5120100007-161</t>
  </si>
  <si>
    <t>82DH0531010065000564731</t>
  </si>
  <si>
    <t>ALEJANDRO ESTRADA SALINAS (SALA DE ESPERA)</t>
  </si>
  <si>
    <t>0967</t>
  </si>
  <si>
    <t>P21DG-0967</t>
  </si>
  <si>
    <t>P21DG-084</t>
  </si>
  <si>
    <t>P2DG-73</t>
  </si>
  <si>
    <t>5120100007-20</t>
  </si>
  <si>
    <t>82DH0531010065000564732</t>
  </si>
  <si>
    <t>0968</t>
  </si>
  <si>
    <t>MESA DE METAL CON MADERA BEIGE 120X60</t>
  </si>
  <si>
    <t>P21DG-0968</t>
  </si>
  <si>
    <t>P21DG-085</t>
  </si>
  <si>
    <t>P2DG-83</t>
  </si>
  <si>
    <t>5120100007-26</t>
  </si>
  <si>
    <t>82DH0511010010000651380</t>
  </si>
  <si>
    <t>0969</t>
  </si>
  <si>
    <t>MESA DE CRISTAL CON BASE DE METAL 100X65</t>
  </si>
  <si>
    <t>P21DG-0969</t>
  </si>
  <si>
    <t>P21DG-086</t>
  </si>
  <si>
    <t>P2DG-54</t>
  </si>
  <si>
    <t>5110100015-2</t>
  </si>
  <si>
    <t>82DH0531010065000564729</t>
  </si>
  <si>
    <t>0970</t>
  </si>
  <si>
    <t>JUEGO DE SALA DE PIEL NEGRA DE 3 PIEZAS</t>
  </si>
  <si>
    <t>P21DG-0970</t>
  </si>
  <si>
    <t>P21DG-087</t>
  </si>
  <si>
    <t>P2DG-81</t>
  </si>
  <si>
    <t>5120100006-1</t>
  </si>
  <si>
    <t>82DH0512010023000517045</t>
  </si>
  <si>
    <t>0971</t>
  </si>
  <si>
    <t>P21DG-0971</t>
  </si>
  <si>
    <t>P21DG-088</t>
  </si>
  <si>
    <t>P2DG-85</t>
  </si>
  <si>
    <t>5190200002-2</t>
  </si>
  <si>
    <t>VPN/018CROS</t>
  </si>
  <si>
    <t>12275</t>
  </si>
  <si>
    <t>82DH0531010094000581260</t>
  </si>
  <si>
    <t>ARACELI CATALINA MARTINEZ MEZA</t>
  </si>
  <si>
    <t>0972</t>
  </si>
  <si>
    <t>MESA DE MADERA COMPLEMENTO TIPO BALA 160X60</t>
  </si>
  <si>
    <t>P21DG-0972</t>
  </si>
  <si>
    <t>P21DG-089</t>
  </si>
  <si>
    <t>P2DG-103</t>
  </si>
  <si>
    <t>5120100007-27</t>
  </si>
  <si>
    <t>82DH0531010065000564735</t>
  </si>
  <si>
    <t>0973</t>
  </si>
  <si>
    <t>P21DG-0973</t>
  </si>
  <si>
    <t>P21DG-090</t>
  </si>
  <si>
    <t>P2DG-104</t>
  </si>
  <si>
    <t>5110100015-8</t>
  </si>
  <si>
    <t>82DH0531010065000564751</t>
  </si>
  <si>
    <t>0974</t>
  </si>
  <si>
    <t>ESCRITORIO DE MADERA 2 CAJONES 160X60</t>
  </si>
  <si>
    <t>P21DG-0974</t>
  </si>
  <si>
    <t>P21DG-091</t>
  </si>
  <si>
    <t>P2DG-101</t>
  </si>
  <si>
    <t>5110100015-7</t>
  </si>
  <si>
    <t>82DH0511010006000518493</t>
  </si>
  <si>
    <t>0975</t>
  </si>
  <si>
    <t>ARCHIVERO DE MADERA CON RUEDAS Y 2 CAJONES 65X49X40</t>
  </si>
  <si>
    <t>P21DG-0975</t>
  </si>
  <si>
    <t>P21DG-092</t>
  </si>
  <si>
    <t>P2DG-102</t>
  </si>
  <si>
    <t>5130100013-2</t>
  </si>
  <si>
    <t>82DH0511010001000651395</t>
  </si>
  <si>
    <t>0976</t>
  </si>
  <si>
    <t>P21DG-0976</t>
  </si>
  <si>
    <t>P21DG-093</t>
  </si>
  <si>
    <t>P2DG-107</t>
  </si>
  <si>
    <t>5190200002-3</t>
  </si>
  <si>
    <t>VPN018CROSS</t>
  </si>
  <si>
    <t>82DH0519010043000649360</t>
  </si>
  <si>
    <t>0977</t>
  </si>
  <si>
    <t>P21DG-0977</t>
  </si>
  <si>
    <t>P21DG-094</t>
  </si>
  <si>
    <t>P2DG-108</t>
  </si>
  <si>
    <t>5660100057-4</t>
  </si>
  <si>
    <t>RS1400-I</t>
  </si>
  <si>
    <t>150714852</t>
  </si>
  <si>
    <t>82DH0515010020000650643</t>
  </si>
  <si>
    <t>0978</t>
  </si>
  <si>
    <t>P21DG-0978</t>
  </si>
  <si>
    <t>P21DG-095</t>
  </si>
  <si>
    <t>P2DG-95</t>
  </si>
  <si>
    <t>MXJ8190363</t>
  </si>
  <si>
    <t>82DH0515010001000535503</t>
  </si>
  <si>
    <t>0979</t>
  </si>
  <si>
    <t>P21DG-0979</t>
  </si>
  <si>
    <t>P21DG-096</t>
  </si>
  <si>
    <t>P2DG-106</t>
  </si>
  <si>
    <t>5210100012-3</t>
  </si>
  <si>
    <t>CNC820YHWL</t>
  </si>
  <si>
    <t>82DH0565010041000530461</t>
  </si>
  <si>
    <t>0980</t>
  </si>
  <si>
    <t>P21DG-0980</t>
  </si>
  <si>
    <t>P21DG-097</t>
  </si>
  <si>
    <t>P2DG-105</t>
  </si>
  <si>
    <t>5650100010-4</t>
  </si>
  <si>
    <t>CCQ18330BDC</t>
  </si>
  <si>
    <t>82DH0565010001000651390</t>
  </si>
  <si>
    <t>0981</t>
  </si>
  <si>
    <t>ARCHIVERO DE MADERA CON 4 CAJONES 140X49X60</t>
  </si>
  <si>
    <t>P21DG-0981</t>
  </si>
  <si>
    <t>P21DG-098</t>
  </si>
  <si>
    <t>P2DG-98</t>
  </si>
  <si>
    <t>5130100013-1</t>
  </si>
  <si>
    <t>1</t>
  </si>
  <si>
    <t>82DH0511010001000581379</t>
  </si>
  <si>
    <t>0982</t>
  </si>
  <si>
    <t>ANAQUEL DE MADERA CON 2 PUERTAS (LOCKER) 165X80X40</t>
  </si>
  <si>
    <t>P21DG-0982</t>
  </si>
  <si>
    <t>P21DG-099</t>
  </si>
  <si>
    <t>P2DG-97</t>
  </si>
  <si>
    <t>5290300001-2</t>
  </si>
  <si>
    <t>82DH0511010009000564625</t>
  </si>
  <si>
    <t>0983</t>
  </si>
  <si>
    <t>SILLA NEGRA CON RUEDAS SEMIEJECUTIVA</t>
  </si>
  <si>
    <t>P21DG-0983</t>
  </si>
  <si>
    <t>P21DG-100</t>
  </si>
  <si>
    <t>P2DG-87</t>
  </si>
  <si>
    <t>5110100011-6</t>
  </si>
  <si>
    <t>82DH0511010017000651102</t>
  </si>
  <si>
    <t>0984</t>
  </si>
  <si>
    <t>P21DG-0984</t>
  </si>
  <si>
    <t>P21DG-101</t>
  </si>
  <si>
    <t>P2DG-99</t>
  </si>
  <si>
    <t>5110100011-42</t>
  </si>
  <si>
    <t>82DH0511010017000564624</t>
  </si>
  <si>
    <t>0985</t>
  </si>
  <si>
    <t>P12SI-0985</t>
  </si>
  <si>
    <t>P21DG-102</t>
  </si>
  <si>
    <t>5650100010-45</t>
  </si>
  <si>
    <t>CP-7841-K9</t>
  </si>
  <si>
    <t>WZP234004LB</t>
  </si>
  <si>
    <t>0986</t>
  </si>
  <si>
    <t>P12SI-0986</t>
  </si>
  <si>
    <t>P21DG-103</t>
  </si>
  <si>
    <t>5650100010-46</t>
  </si>
  <si>
    <t>CP-7800</t>
  </si>
  <si>
    <t>WZP23240Y3X</t>
  </si>
  <si>
    <t>0987</t>
  </si>
  <si>
    <t>P12SI-0987</t>
  </si>
  <si>
    <t>P21DG-104</t>
  </si>
  <si>
    <t>5650100010-47</t>
  </si>
  <si>
    <t>WZP234411A91</t>
  </si>
  <si>
    <t>0988</t>
  </si>
  <si>
    <t>P12SI-0988</t>
  </si>
  <si>
    <t>P21DG-105</t>
  </si>
  <si>
    <t>5650100010-48</t>
  </si>
  <si>
    <t>WZP232660M7X</t>
  </si>
  <si>
    <t>0989</t>
  </si>
  <si>
    <t>P12SI-0989</t>
  </si>
  <si>
    <t>P21DG-106</t>
  </si>
  <si>
    <t>5650100010-49</t>
  </si>
  <si>
    <t>0990</t>
  </si>
  <si>
    <t>P24SJ-0990</t>
  </si>
  <si>
    <t>0991</t>
  </si>
  <si>
    <t>SILLON NEGRO</t>
  </si>
  <si>
    <t>P24SJ-0991</t>
  </si>
  <si>
    <t>P24SJ-050</t>
  </si>
  <si>
    <t>P2A-24</t>
  </si>
  <si>
    <t>5120100009-22</t>
  </si>
  <si>
    <t>82DH0511010016000649782</t>
  </si>
  <si>
    <t>0992</t>
  </si>
  <si>
    <t>ESCRITORIO MADERA CON METAL</t>
  </si>
  <si>
    <t>P24SJ-0992</t>
  </si>
  <si>
    <t>P24SJ-051</t>
  </si>
  <si>
    <t>5110100015-16</t>
  </si>
  <si>
    <t>82DH0511010006000516962</t>
  </si>
  <si>
    <t>0993</t>
  </si>
  <si>
    <t>P24SJ-0993</t>
  </si>
  <si>
    <t>P24SJ-052</t>
  </si>
  <si>
    <t>P2A-26</t>
  </si>
  <si>
    <t>5150100008-7</t>
  </si>
  <si>
    <t>82DH0515010016000649431</t>
  </si>
  <si>
    <t>0994</t>
  </si>
  <si>
    <t>P24SJ-0994</t>
  </si>
  <si>
    <t>P24SJ-053</t>
  </si>
  <si>
    <t>P2A-27</t>
  </si>
  <si>
    <t>5120100004-2</t>
  </si>
  <si>
    <t>82DH0515010033000564673</t>
  </si>
  <si>
    <t>0995</t>
  </si>
  <si>
    <t>P24SJ-0995</t>
  </si>
  <si>
    <t>P24SJ-054</t>
  </si>
  <si>
    <t>P2A-28</t>
  </si>
  <si>
    <t>5190200002-10</t>
  </si>
  <si>
    <t>82DH0531010094000531946</t>
  </si>
  <si>
    <t>LUGAR DE VICTOR ANAYA</t>
  </si>
  <si>
    <t>0996</t>
  </si>
  <si>
    <t>COMPUTADORA BLANCO (DOS EN UNO)</t>
  </si>
  <si>
    <t>P24SJ-0996</t>
  </si>
  <si>
    <t>P24SJ-055</t>
  </si>
  <si>
    <t>P2A-29</t>
  </si>
  <si>
    <t>5150100005-12</t>
  </si>
  <si>
    <t>CS02498771</t>
  </si>
  <si>
    <t>0997</t>
  </si>
  <si>
    <t>P12PP-0997</t>
  </si>
  <si>
    <t>TRUE INNOVATIONS</t>
  </si>
  <si>
    <t>ITM./ART. 1517994</t>
  </si>
  <si>
    <t>82DJ0511010017000697931</t>
  </si>
  <si>
    <t>0998</t>
  </si>
  <si>
    <t xml:space="preserve">VENTILADOR GRIS DE TORRE </t>
  </si>
  <si>
    <t>P24SJ-0997</t>
  </si>
  <si>
    <t>BT-42I</t>
  </si>
  <si>
    <t>0999</t>
  </si>
  <si>
    <t>P24SJ-0998</t>
  </si>
  <si>
    <t>82DH0511010017000693401</t>
  </si>
  <si>
    <t>1000</t>
  </si>
  <si>
    <t>P24SJ-0999</t>
  </si>
  <si>
    <t>82DH0511010017000693400</t>
  </si>
  <si>
    <t>1001</t>
  </si>
  <si>
    <t>MONITOR 29"</t>
  </si>
  <si>
    <t>P12PP-0998</t>
  </si>
  <si>
    <t>29WP500</t>
  </si>
  <si>
    <t>207NTWG1K905</t>
  </si>
  <si>
    <t>82DJ0515010013000711758</t>
  </si>
  <si>
    <t>1002</t>
  </si>
  <si>
    <t>P24SJ-1000</t>
  </si>
  <si>
    <t>207NTZN1K917</t>
  </si>
  <si>
    <t>82DJ0515010013000711759</t>
  </si>
  <si>
    <t>1003</t>
  </si>
  <si>
    <t>P24SJ-1001</t>
  </si>
  <si>
    <t>82DH0511010017000693402</t>
  </si>
  <si>
    <t>1004</t>
  </si>
  <si>
    <t>SILLÓN NEGRO DE VINIPIEL FIJO CON BASE METAL NEGRA</t>
  </si>
  <si>
    <t>P24SJ-1002</t>
  </si>
  <si>
    <t>82DH0511010016000702172</t>
  </si>
  <si>
    <t>1005</t>
  </si>
  <si>
    <t>P12PP-0999</t>
  </si>
  <si>
    <t>82DH0511010016000702173</t>
  </si>
  <si>
    <t>1006</t>
  </si>
  <si>
    <t>VENTILADOR NEGRO DE PARED CON ASPAS DE METAL</t>
  </si>
  <si>
    <t>P24SJ-1003</t>
  </si>
  <si>
    <t>82DH0519010043000705581</t>
  </si>
  <si>
    <t>1007</t>
  </si>
  <si>
    <t xml:space="preserve">TAJALAPIZ </t>
  </si>
  <si>
    <t>P24SJ-1004</t>
  </si>
  <si>
    <t>RIAN</t>
  </si>
  <si>
    <t>PY835</t>
  </si>
  <si>
    <t>1008</t>
  </si>
  <si>
    <t>P24SJ-1005</t>
  </si>
  <si>
    <t>82DH0511010016000702175</t>
  </si>
  <si>
    <t>1009</t>
  </si>
  <si>
    <t>P12PP-1000</t>
  </si>
  <si>
    <t>HV300-2T</t>
  </si>
  <si>
    <t>1M2720844265</t>
  </si>
  <si>
    <t>82DH0515010006000702171</t>
  </si>
  <si>
    <t>1010</t>
  </si>
  <si>
    <t>GRABADOR DE CD/DVD</t>
  </si>
  <si>
    <t>P24SJ-1006</t>
  </si>
  <si>
    <t>LN-8AENH</t>
  </si>
  <si>
    <t>7XA7A05926J1024LTE</t>
  </si>
  <si>
    <t>82DH0515010048000702170</t>
  </si>
  <si>
    <t>1011</t>
  </si>
  <si>
    <t>SILLÓN NEGRO DE VINIPIEL CON RUEDAS</t>
  </si>
  <si>
    <t>P24SJ-1007</t>
  </si>
  <si>
    <t>82DH0511010016000702174</t>
  </si>
  <si>
    <t>1012</t>
  </si>
  <si>
    <t>PANTALLA 50" UHD 4K LED COLOR NEGRO</t>
  </si>
  <si>
    <t>P24SJ-1008</t>
  </si>
  <si>
    <t>50A6H</t>
  </si>
  <si>
    <t>50G2214JQH00739</t>
  </si>
  <si>
    <t>82DJ0512010025000711757</t>
  </si>
  <si>
    <t>1013</t>
  </si>
  <si>
    <t>P12PP-1001</t>
  </si>
  <si>
    <t>1014</t>
  </si>
  <si>
    <t>ARCHIVERO DE METAL 4 CAJONES COLOR GRIS</t>
  </si>
  <si>
    <t>P24SJ-1009</t>
  </si>
  <si>
    <t>1015</t>
  </si>
  <si>
    <t>BASCULA</t>
  </si>
  <si>
    <t>BASCULA GRAMERA BLANCA DE HASTA 5 KG</t>
  </si>
  <si>
    <t>STEREN</t>
  </si>
  <si>
    <t>MED-080</t>
  </si>
  <si>
    <t>82DJ0512010027000756306</t>
  </si>
  <si>
    <t>1016</t>
  </si>
  <si>
    <t>BASCULA DE HASTA 200KG NEGRA</t>
  </si>
  <si>
    <t>RHINO</t>
  </si>
  <si>
    <t>BAPCA-200</t>
  </si>
  <si>
    <t>BPCA200-10843-0022</t>
  </si>
  <si>
    <t>82DJ0 512010027 000756307</t>
  </si>
  <si>
    <t>1017</t>
  </si>
  <si>
    <t>MICROMETRO</t>
  </si>
  <si>
    <t>CALIBRADOR MICROMETRO RESISTENTE 0 A 25 MM Ob</t>
  </si>
  <si>
    <t>OBI</t>
  </si>
  <si>
    <t>OB</t>
  </si>
  <si>
    <t>82DJ0567010006000756305</t>
  </si>
  <si>
    <t>1018</t>
  </si>
  <si>
    <t>VOSTRO 3710 D17S</t>
  </si>
  <si>
    <t>J2558V3</t>
  </si>
  <si>
    <t>82DK0515010003000734697</t>
  </si>
  <si>
    <t>1019</t>
  </si>
  <si>
    <t>MONITOR NEGRO DE 21.5" LED</t>
  </si>
  <si>
    <t>E2222H</t>
  </si>
  <si>
    <t>CN-OMVCKH-FCC00-2AM-ACVX-A03</t>
  </si>
  <si>
    <t>82DK0515010013000734696</t>
  </si>
  <si>
    <t>1020</t>
  </si>
  <si>
    <t>54558V3</t>
  </si>
  <si>
    <t>82DI0515010003000734695</t>
  </si>
  <si>
    <t>1021</t>
  </si>
  <si>
    <t>CN-OMVCKH-FCC00-2AM-ADCX-A03</t>
  </si>
  <si>
    <t>82DI0515010013000734694</t>
  </si>
  <si>
    <t>1022</t>
  </si>
  <si>
    <t>35PH8V3</t>
  </si>
  <si>
    <t>82DJ0515010003000756023</t>
  </si>
  <si>
    <t>1023</t>
  </si>
  <si>
    <t>CN-0MVCKH-FCC00-2AM-C1AX</t>
  </si>
  <si>
    <t>82DJ0515010013000756022</t>
  </si>
  <si>
    <t>1024</t>
  </si>
  <si>
    <t>6558V3</t>
  </si>
  <si>
    <t>82DH0515010003000734701</t>
  </si>
  <si>
    <t>1025</t>
  </si>
  <si>
    <t>CN-0MVCKH-FCC00-2AM-AD3X-A03</t>
  </si>
  <si>
    <t>82DH0515010013000734700</t>
  </si>
  <si>
    <t>1026</t>
  </si>
  <si>
    <t>PROLIANT ML30</t>
  </si>
  <si>
    <t>2M211100MG</t>
  </si>
  <si>
    <t>1027</t>
  </si>
  <si>
    <t>AUTOMOVIL</t>
  </si>
  <si>
    <t>CAMIONETA TIPO GUAYIN COLOR GRIS</t>
  </si>
  <si>
    <t>5410100039-1</t>
  </si>
  <si>
    <t>95672,41</t>
  </si>
  <si>
    <t>JEEP</t>
  </si>
  <si>
    <t>GRAND CHEROKEE 2002</t>
  </si>
  <si>
    <t>1J8GW58N12C210207</t>
  </si>
  <si>
    <t>FOLIO 14326</t>
  </si>
  <si>
    <t>1028</t>
  </si>
  <si>
    <t>SEDAN COLOR AZUL</t>
  </si>
  <si>
    <t>5410100004-2</t>
  </si>
  <si>
    <t>21610</t>
  </si>
  <si>
    <t>VOLKSWAGEN</t>
  </si>
  <si>
    <t>SEDAN 1992</t>
  </si>
  <si>
    <t>11N0063675</t>
  </si>
  <si>
    <t>FOLIO 3489</t>
  </si>
  <si>
    <t>CAUSÓ BAJA EN 2023</t>
  </si>
  <si>
    <t>1029</t>
  </si>
  <si>
    <t>SEDAN COLOR BLANCO</t>
  </si>
  <si>
    <t>5410100004-1</t>
  </si>
  <si>
    <t>205400</t>
  </si>
  <si>
    <t>NISSAN</t>
  </si>
  <si>
    <t>SENTRA 2009</t>
  </si>
  <si>
    <t>3N1AB61D99L608850</t>
  </si>
  <si>
    <t>FOLIO 10792</t>
  </si>
  <si>
    <t>1030</t>
  </si>
  <si>
    <t>MOTOCICLETA NEGRA</t>
  </si>
  <si>
    <t>5490100005-1</t>
  </si>
  <si>
    <t>16120</t>
  </si>
  <si>
    <t>HONDA</t>
  </si>
  <si>
    <t>CGL125 TOOL 2008</t>
  </si>
  <si>
    <t>LWBPCJ1F781026041</t>
  </si>
  <si>
    <t>FOLIO 10302</t>
  </si>
  <si>
    <t>1031</t>
  </si>
  <si>
    <t>CAMIONETA TIPO PICKUP 4X2 BLANCA</t>
  </si>
  <si>
    <t>5410100027-1</t>
  </si>
  <si>
    <t>102051</t>
  </si>
  <si>
    <t>FORD</t>
  </si>
  <si>
    <t>COURIER 2005</t>
  </si>
  <si>
    <t>9BFBT32N157969496</t>
  </si>
  <si>
    <t>FOLIO 9094</t>
  </si>
  <si>
    <t>QUEMADOR EXTERNO</t>
  </si>
  <si>
    <t>UNIDAD QUEMADOR EXTERNO MARCA DELL SLIM DVD+/-RW ODD-RW USB2.0 DW316 MODELO 429-AAUQ COLOR NEGRO</t>
  </si>
  <si>
    <t>MODELO 429-AAUQ</t>
  </si>
  <si>
    <t>MONITOR LED 21.5" FULL HD</t>
  </si>
  <si>
    <t>P2222H</t>
  </si>
  <si>
    <t>CN-OMVCKH-FCC00-2AM-ACLX-REV-A03</t>
  </si>
  <si>
    <t>82DH0515010013000734698</t>
  </si>
  <si>
    <t>HORNO MODELO MARCA WHIRPOOL WM-1211D 1.1 COLOR PLATA</t>
  </si>
  <si>
    <t>WHIRPOOL</t>
  </si>
  <si>
    <t>WM-1211D 1.1</t>
  </si>
  <si>
    <t>XGB0116163</t>
  </si>
  <si>
    <t>82DH0 519010026 000756017</t>
  </si>
  <si>
    <t>23B44F53-ABCF4281-AAFD-FFAC8A278616</t>
  </si>
  <si>
    <t>XGB0115975</t>
  </si>
  <si>
    <t>82DH0 519010026 000756018</t>
  </si>
  <si>
    <t>/</t>
  </si>
  <si>
    <t>CONTROL DE ASISTENCIA</t>
  </si>
  <si>
    <t xml:space="preserve">RELOJ CHECADOR </t>
  </si>
  <si>
    <t>ASA3213gl</t>
  </si>
  <si>
    <t>M07073PAJ10E55</t>
  </si>
  <si>
    <t>82DK0 519010064 000756016</t>
  </si>
  <si>
    <t>MARIA DEL CARMEN QUINTERO QUINTERO</t>
  </si>
  <si>
    <t>84E36473-B894-4151-8236-57BB95DD4917</t>
  </si>
  <si>
    <t>UNIDAD DE QUEMADOR EXTERNO MARCA DELL MODELO SLIM1DVD</t>
  </si>
  <si>
    <t>SLIM1DVD</t>
  </si>
  <si>
    <t>09M-5286</t>
  </si>
  <si>
    <t>82DK0 515010033 000756015</t>
  </si>
  <si>
    <t>EE5187EE-1285-4F35-924C-D6B41C1D4AD3</t>
  </si>
  <si>
    <t>ADADPTADOR DE CARCASA</t>
  </si>
  <si>
    <t>CARCASA MARCA ADATA EC700G P/UNIDAD ESTDO SOL</t>
  </si>
  <si>
    <t>EC700G</t>
  </si>
  <si>
    <t>1N3031520430</t>
  </si>
  <si>
    <t>82DJ0 515010033 000756014</t>
  </si>
  <si>
    <t>E5DF70B3-020A-4C08-92B5-A02605A0045C</t>
  </si>
  <si>
    <t>NOBREAK TRIPP-LITE VS650T 120V 50/60 HZ</t>
  </si>
  <si>
    <t>TRIPP-LITE</t>
  </si>
  <si>
    <t>VS650T 120V 50/60 HZ</t>
  </si>
  <si>
    <t>3145AVLOM87CC00935</t>
  </si>
  <si>
    <t>82DJ0 515010020 000756013</t>
  </si>
  <si>
    <t>CAMARA WEB</t>
  </si>
  <si>
    <t>CÁMARA WEB LOGITECH C920 FULL HD 1080P F</t>
  </si>
  <si>
    <t>LOGITECH</t>
  </si>
  <si>
    <t xml:space="preserve">C920 </t>
  </si>
  <si>
    <t>233412D2BT19</t>
  </si>
  <si>
    <t>82DH0 565010011 000756012</t>
  </si>
  <si>
    <t>43F8D016-D85D-4B7E-90CD-F391632FC419</t>
  </si>
  <si>
    <t>ANTENA TIPO UBIQUITI</t>
  </si>
  <si>
    <t>ACCESS POINT UBIQUITI U6-LITE 2X2 MI</t>
  </si>
  <si>
    <t>U6-LITE 2X2 MI</t>
  </si>
  <si>
    <t>5WX-U6LITE</t>
  </si>
  <si>
    <t>82DH0 565010070 000757474</t>
  </si>
  <si>
    <t>5DE595A5-FB97-D24A-9773-99AAA44CEB43</t>
  </si>
  <si>
    <t>SWITCH TP-LINK TL-G108 8 PUERTOS RJ45 GIGA BIT NO ADMINISTRABLE</t>
  </si>
  <si>
    <t>TL-G108</t>
  </si>
  <si>
    <t>22321M6001479</t>
  </si>
  <si>
    <t>82DK0 515010026 000756010</t>
  </si>
  <si>
    <t>A3BEDD74-EA65-417E-AC0B-117FABA6054F</t>
  </si>
  <si>
    <t>UNIDAD OPTICA</t>
  </si>
  <si>
    <t>UNIDAD OPTICA EXTERNA DVD MARCA DELL</t>
  </si>
  <si>
    <t>DW316</t>
  </si>
  <si>
    <t>33E-0402</t>
  </si>
  <si>
    <t>82DI0 515010033 000756009</t>
  </si>
  <si>
    <t>47FE2CF0-F2C2-44AA-AF3-299786204A06</t>
  </si>
  <si>
    <t>SILLA FIJA DE TELA NEGRA TIPO ISSO</t>
  </si>
  <si>
    <t>MODELO ISSO</t>
  </si>
  <si>
    <t>82DI0511010017000712068</t>
  </si>
  <si>
    <t>C6DC3CD1-E5C5-4D47-B2F0-2FD7C8094AD5</t>
  </si>
  <si>
    <t>82DI0511010017000712067</t>
  </si>
  <si>
    <t>MONITOR LED MARCA LG 34WP500-B ULTRAWIDE 256X1080, ASPECTO 21:9, 75 HZ, TR 5MS, PALEN IPS, HDMI(2) AUC (1), DIVISIÓN DE PANTALLA, DUAL CONTROLLER, PIP, AMD FREESYNC, CROSSHAIR, HDR10, COLOR NEGRO.</t>
  </si>
  <si>
    <t>34W9500-B</t>
  </si>
  <si>
    <t>303NTJJC6372</t>
  </si>
  <si>
    <t>82DH0 515010013 000756021</t>
  </si>
  <si>
    <t>7FEC0A02-E9D5-46B2-8F37-5CD01703A2F6</t>
  </si>
  <si>
    <t>UNIDAD QUEMADOR EXTERNO MARCA DELL SLIM DVD/-RW USB 2.0 DW316 429-AAUQ</t>
  </si>
  <si>
    <t>DVD/-RW USB 2.0 DW316 429-AAUQ</t>
  </si>
  <si>
    <t>0,00E+00</t>
  </si>
  <si>
    <t>82DI0 515010033 000756019</t>
  </si>
  <si>
    <t>D66CD787-6D41-4D81-A5A1-448FB9D4C270</t>
  </si>
  <si>
    <t>LAPTOP, 15.6 FHD TOUCHSCREEN, INTEL CORE 15-1035G1, 32GB DDR4 RAM</t>
  </si>
  <si>
    <t xml:space="preserve">INSPIRON 15 3000 SERIES 3511 </t>
  </si>
  <si>
    <t>DWH86R3</t>
  </si>
  <si>
    <t>82DI0 515010002 000756020</t>
  </si>
  <si>
    <t>SILLON EJECUTIVO AJUSTABLE VINIL COLOR NEGRO</t>
  </si>
  <si>
    <t>STILE</t>
  </si>
  <si>
    <t>PABLO ALTO</t>
  </si>
  <si>
    <t>82DJ0 511010016 000756024</t>
  </si>
  <si>
    <t>E73C7352-B5B6-4F0F-92BC-9CF4DC3118FD</t>
  </si>
  <si>
    <t>21/058/2023</t>
  </si>
  <si>
    <t>Sin serie</t>
  </si>
  <si>
    <t>82DH0 511010016 000756034</t>
  </si>
  <si>
    <t>SILLA DE VISITA MODELO ISO</t>
  </si>
  <si>
    <t>MODELO ISO</t>
  </si>
  <si>
    <t>82DI0 511010017 000756033</t>
  </si>
  <si>
    <t>306d1ccd-34b7-4a3f-8ecd-82f0346e9510</t>
  </si>
  <si>
    <t>82DJ0 511010017 000756032</t>
  </si>
  <si>
    <t>82DJ0 511010017 000756030</t>
  </si>
  <si>
    <t>90A9B967-76C0-4FE1-9C06-64F80ACC3BF5</t>
  </si>
  <si>
    <t>82DJ0 511010017 000756031</t>
  </si>
  <si>
    <t>82DK0511010016000756028</t>
  </si>
  <si>
    <t>DD6523F6-B774-4CE5-9833-71DBD43428B0</t>
  </si>
  <si>
    <t>MONITOR LED DELL 21.5" NEGRO</t>
  </si>
  <si>
    <t>CN-OMVCKH-FCC00-2AM-ACTX-REV-A03</t>
  </si>
  <si>
    <t>82DJ0515010013000734688</t>
  </si>
  <si>
    <t>COMPUTADORA DE ESCRITORIO DELL VOSTRO</t>
  </si>
  <si>
    <t>58858V3</t>
  </si>
  <si>
    <t>82DJ0515010003000734687</t>
  </si>
  <si>
    <t>82DI0511010017000712069</t>
  </si>
  <si>
    <t>SILLON EJECUTIVO</t>
  </si>
  <si>
    <t>PABLO BAJO</t>
  </si>
  <si>
    <t>82DJ0 511010016 000734682</t>
  </si>
  <si>
    <t>MONITOR DELL NEGRO 21.5"</t>
  </si>
  <si>
    <t>CN-OMVCKH-FCC00-2AM-ADAX-A03</t>
  </si>
  <si>
    <t>82D10-515010013-000734693</t>
  </si>
  <si>
    <t xml:space="preserve">COMPUTADORA D ESCRITORIO DELL </t>
  </si>
  <si>
    <t>VOSTRO 3710</t>
  </si>
  <si>
    <t>93558V3</t>
  </si>
  <si>
    <t>82DJ0515010003000734690</t>
  </si>
  <si>
    <t>SILLON EJECUTIVO OFICINA AJUSTABLE TELA NEGRO</t>
  </si>
  <si>
    <t>VALENTINA ALTO</t>
  </si>
  <si>
    <t>82DK0511010016000756027</t>
  </si>
  <si>
    <t>SILLON EJECUTUVO OFICINA AJUSTABLE VINIL PU NEGRO</t>
  </si>
  <si>
    <t>82DI0 511010016 000757472</t>
  </si>
  <si>
    <t>25/10/0203</t>
  </si>
  <si>
    <t>82DI0511010017000712066</t>
  </si>
  <si>
    <t>82DI0511010017000712070</t>
  </si>
  <si>
    <t>82DJ0 511010016 000735470</t>
  </si>
  <si>
    <t>82DI0511010017000712071</t>
  </si>
  <si>
    <t>REPETIDO</t>
  </si>
  <si>
    <t>SILLON DE OFICINA ERGONOMICO NEGRO</t>
  </si>
  <si>
    <t>SAMOS</t>
  </si>
  <si>
    <t>82DI0511010016000734683</t>
  </si>
  <si>
    <t>AAA1B96A-4C73-4E58-BB7F-9D8F138DE8A4</t>
  </si>
  <si>
    <t>ESTANTE DE 5 CHAROLAS 30X85</t>
  </si>
  <si>
    <t>ESTANTE DE 6 CHAROLAS 30X85</t>
  </si>
  <si>
    <t>º</t>
  </si>
  <si>
    <t>7B393145-B30B-4F6F-B2A2-380BCB0777D4</t>
  </si>
  <si>
    <t>VENTILADOR DE PARED 18 PULGADAS COLOR NEGRO</t>
  </si>
  <si>
    <t>82DJ0 519010043 000756029</t>
  </si>
  <si>
    <t>FDDA49CC-9704-4DF0-AD35-D1FAB4774F52</t>
  </si>
  <si>
    <t>MINI SPLIT</t>
  </si>
  <si>
    <t>MINI SPLIT CIACVS18 INVERTER TIPO HI-WALL, R410A, CAP 2 TON/24000BTUS/ 18 SEER AHORRO/SISTEMA FRIO CALOR/220V-1F-60HZ</t>
  </si>
  <si>
    <t xml:space="preserve">CIACVS518 </t>
  </si>
  <si>
    <t>340D092401314070170057</t>
  </si>
  <si>
    <t>82SDJ0 564010006 000757763</t>
  </si>
  <si>
    <t>MONITOR LED DELL P2222H | 21.5 PULGADAS FULL HD | 1920 X 1080 | 60HZ | HDMI VGA DP | 210-BBBW.</t>
  </si>
  <si>
    <t>CN-OMVCKH-FCC00-2AM-CEYX-A03</t>
  </si>
  <si>
    <t>82DJ0 515010013 000734684</t>
  </si>
  <si>
    <t>E6611A8B-5B5C-4BE0-95FD-45E3E7E638AB</t>
  </si>
  <si>
    <t>PC DELL VOSTRO 3710 SFF INTEL CORE 15-12400 | 16GB | 512GB SSD | WIFI | HDMI I WIN 10 PRO | 1 AÑO DE GARANTÍA | NEGRO | NHCXM.</t>
  </si>
  <si>
    <t>VOSTRO 3710 SFF INTEL CORE 15-12400</t>
  </si>
  <si>
    <t>H7858V3</t>
  </si>
  <si>
    <t>82DJ0 515010003 000734685</t>
  </si>
  <si>
    <t>CN-OMVCKH-FCC00-2AM-AD1X-A03</t>
  </si>
  <si>
    <t>82DJ0 515010013 000734686</t>
  </si>
  <si>
    <t>CORE 15-12400</t>
  </si>
  <si>
    <t>92558V3</t>
  </si>
  <si>
    <t>82DH0515010003000734699</t>
  </si>
  <si>
    <t xml:space="preserve">ANAQUEL QUE CONSTA DE 4 POSTES </t>
  </si>
  <si>
    <t>P13SO-1078</t>
  </si>
  <si>
    <t>MONITOR DELL</t>
  </si>
  <si>
    <t>CN-DMVCKH-FCC00-2AM-CC4X-AO03</t>
  </si>
  <si>
    <t>82DJ0 515010013 000734689</t>
  </si>
  <si>
    <t>MONITOR LED 21.5" NEGRO</t>
  </si>
  <si>
    <t>82DJ0515010013000734691</t>
  </si>
  <si>
    <t>B4558V3</t>
  </si>
  <si>
    <t>82DJ0515010003000734692</t>
  </si>
  <si>
    <t>CHAROLA PARA ESTANTE 30X85</t>
  </si>
  <si>
    <t>ANTENA</t>
  </si>
  <si>
    <t>ANTENA REPETIDOR WIFI</t>
  </si>
  <si>
    <t>RE220</t>
  </si>
  <si>
    <t>ADAPTADOR ANTENA USB</t>
  </si>
  <si>
    <t>UGREEN</t>
  </si>
  <si>
    <t>AC1300</t>
  </si>
  <si>
    <t>SILLA EJECUTIVA</t>
  </si>
  <si>
    <t>VELENTINA ALTO</t>
  </si>
  <si>
    <t>CAMIONETA SUV</t>
  </si>
  <si>
    <t>MURANO 2009</t>
  </si>
  <si>
    <t>JN8AZ18U39W700830</t>
  </si>
  <si>
    <t>PATRIMONIO</t>
  </si>
  <si>
    <t>DODGE</t>
  </si>
  <si>
    <t>ATTITUDE 2023</t>
  </si>
  <si>
    <t>ML3ABT6JXPH005883</t>
  </si>
  <si>
    <t>SENTRA 2023</t>
  </si>
  <si>
    <t>3N1AB8AE2PY202428</t>
  </si>
  <si>
    <t xml:space="preserve">CAMIONETA </t>
  </si>
  <si>
    <t>XTERRA 2004</t>
  </si>
  <si>
    <t xml:space="preserve">5N1ED28T54C642850
</t>
  </si>
  <si>
    <t>ROBADA</t>
  </si>
  <si>
    <t>SENTRA 2024</t>
  </si>
  <si>
    <t>3N1AB8AE1RY267192</t>
  </si>
  <si>
    <t>CHEVROLET</t>
  </si>
  <si>
    <t>AVEO 2024</t>
  </si>
  <si>
    <t>LZWPRMGN6RF969337</t>
  </si>
  <si>
    <t>SEDAN COLOR PLATA</t>
  </si>
  <si>
    <t>LZWPRMGN3RF963205</t>
  </si>
  <si>
    <t>MMI24CDBWCA6MI8</t>
  </si>
  <si>
    <t>ST23083021GMM0021</t>
  </si>
  <si>
    <t xml:space="preserve"> </t>
  </si>
  <si>
    <t>JUAN PABLO AVILA LOPEZ</t>
  </si>
  <si>
    <t>RELOJ CHECADOR</t>
  </si>
  <si>
    <t>FW45826R</t>
  </si>
  <si>
    <t>82DH0519010043000770095</t>
  </si>
  <si>
    <t xml:space="preserve">PIZARRON </t>
  </si>
  <si>
    <t>ARGOS</t>
  </si>
  <si>
    <t>82DJ0529030005000770084</t>
  </si>
  <si>
    <t>MM124CDBWCA6M18</t>
  </si>
  <si>
    <t>82DJ0564010006000770531</t>
  </si>
  <si>
    <t>82DJ0519010043000770096</t>
  </si>
  <si>
    <t>82DI0511010016000770099</t>
  </si>
  <si>
    <t>82DJ0515010033000770083</t>
  </si>
  <si>
    <t>CALCULADORA</t>
  </si>
  <si>
    <t>CALCULADORA SUMADORA PARA ROLLO</t>
  </si>
  <si>
    <t>OLYMPIA</t>
  </si>
  <si>
    <t>CPD 3214</t>
  </si>
  <si>
    <t>82DJ0519010005000518542</t>
  </si>
  <si>
    <t>CPD 3534</t>
  </si>
  <si>
    <t>82DJ0519010005000518541</t>
  </si>
  <si>
    <t>82DK0519010028000542568</t>
  </si>
  <si>
    <t>BATERIA PARA LAPTOP</t>
  </si>
  <si>
    <t>BATERIA HP PARA LAPTOP</t>
  </si>
  <si>
    <t>HP JC04</t>
  </si>
  <si>
    <t>SN A2405GN CT:CRYL018BT2MFMG</t>
  </si>
  <si>
    <t>82DH0515010033000776366</t>
  </si>
  <si>
    <t>82DH0519010043000778773</t>
  </si>
  <si>
    <t>MEMBER'S MARK</t>
  </si>
  <si>
    <t>NH004</t>
  </si>
  <si>
    <t>82DH0519010043000778774</t>
  </si>
  <si>
    <t>82DI0519010043000778772</t>
  </si>
  <si>
    <t>IMPRESORA MULTIFUNCIONAL COLOR NEGRO</t>
  </si>
  <si>
    <t>PAVILLION AIO24RS007</t>
  </si>
  <si>
    <t>SILLON NEGRO VINIPIEL CON BASE METALICA</t>
  </si>
  <si>
    <t>B-UPR706</t>
  </si>
  <si>
    <t>82DJ0515010016000522300</t>
  </si>
  <si>
    <t>82DJ0511010017000516283</t>
  </si>
  <si>
    <t>82DJ0531010065000564827</t>
  </si>
  <si>
    <t>82DH0511010001000518503</t>
  </si>
  <si>
    <t>82DI0512010011000515364</t>
  </si>
  <si>
    <t>82DH0512010011000564543</t>
  </si>
  <si>
    <t>82DJ0515010013000649643</t>
  </si>
  <si>
    <t>82DJ0565010041000566530</t>
  </si>
  <si>
    <t>82DJ0531010065000564741</t>
  </si>
  <si>
    <t>82DJ0515010003000649377</t>
  </si>
  <si>
    <t xml:space="preserve">82DJ0515010003000649673        </t>
  </si>
  <si>
    <t>82DH0515010001000535528</t>
  </si>
  <si>
    <t>82DJ0515010016000535800</t>
  </si>
  <si>
    <t>82DJ0511010016000515598</t>
  </si>
  <si>
    <t>MXL81103W6  P/N. KH11OLA/ABM</t>
  </si>
  <si>
    <t>82DH0511010006000649531</t>
  </si>
  <si>
    <t>82DJ0515010001000539016</t>
  </si>
  <si>
    <t>82DJ0511010020000649552</t>
  </si>
  <si>
    <t>82DK0511010017000518538</t>
  </si>
  <si>
    <t>82DK0515010013000650650</t>
  </si>
  <si>
    <t>82DH0511010017000518535</t>
  </si>
  <si>
    <t>LHWCO2625</t>
  </si>
  <si>
    <t>82DI0512010011000515365</t>
  </si>
  <si>
    <t>82DL0515010003000649758</t>
  </si>
  <si>
    <t>ETLPZOW00420201C564321</t>
  </si>
  <si>
    <t>82DH0511010006000518528</t>
  </si>
  <si>
    <t>82DI0515010016000539071</t>
  </si>
  <si>
    <t>82DH0511010017000522825</t>
  </si>
  <si>
    <t>82DJ0511010017000649644</t>
  </si>
  <si>
    <t>CNN81301QS</t>
  </si>
  <si>
    <t>82DJ0511010010000649655</t>
  </si>
  <si>
    <t>82DJ0511010005000583323</t>
  </si>
  <si>
    <t>82DJ0511010006000649642</t>
  </si>
  <si>
    <t>82DJ0515010016000537739</t>
  </si>
  <si>
    <t>82DH0531010094000564884</t>
  </si>
  <si>
    <t>4LO00H118471</t>
  </si>
  <si>
    <t>ETLPZOW004206033D4321</t>
  </si>
  <si>
    <t>82DJ0529030005000649634</t>
  </si>
  <si>
    <t>82DJ0511010017000649701</t>
  </si>
  <si>
    <t>82DJ0531010094000564889</t>
  </si>
  <si>
    <t>82DJ0511010017000649712</t>
  </si>
  <si>
    <t>82DJ0511010020000649542</t>
  </si>
  <si>
    <t>82DJ0511010020000649541</t>
  </si>
  <si>
    <t>82DJ0511010020000649576</t>
  </si>
  <si>
    <t>82DK0515010016000539065</t>
  </si>
  <si>
    <t>ETLTJOD00420616D4887502</t>
  </si>
  <si>
    <t>82DJ0511010017000522523</t>
  </si>
  <si>
    <t>82DJ0565010001000533071</t>
  </si>
  <si>
    <t>82DK0515010033000564659</t>
  </si>
  <si>
    <t>82DJ0511010016000515591</t>
  </si>
  <si>
    <t>82DH0515010006000650903</t>
  </si>
  <si>
    <t>82DJ0515010025000542282</t>
  </si>
  <si>
    <t>82DJ0515010017000650905</t>
  </si>
  <si>
    <t>82DJ0515010016000564571</t>
  </si>
  <si>
    <t>82DJ0564010006000535310</t>
  </si>
  <si>
    <t>BASELINE</t>
  </si>
  <si>
    <t>82DI0519010043000649723</t>
  </si>
  <si>
    <t>82DJ0512010014000649691</t>
  </si>
  <si>
    <t>82DJ0515010006000535083</t>
  </si>
  <si>
    <t>82DH0531010094000564883</t>
  </si>
  <si>
    <t>82DJ0515010033000566419</t>
  </si>
  <si>
    <t>EPC</t>
  </si>
  <si>
    <t>PINTARRON BLANCO 240X120</t>
  </si>
  <si>
    <t>82DJ0565010001000527286</t>
  </si>
  <si>
    <t>82DH0531010065000564800</t>
  </si>
  <si>
    <t>DULCE  ROCIO MENDOZA CORTES</t>
  </si>
  <si>
    <t>82DH0511010017000564039</t>
  </si>
  <si>
    <t>82DJ0515010001000650666</t>
  </si>
  <si>
    <t>82DH0515010020000650644</t>
  </si>
  <si>
    <t>RS1400</t>
  </si>
  <si>
    <t>82DJ0511010005000649633</t>
  </si>
  <si>
    <t>82DI0511010010000651107</t>
  </si>
  <si>
    <t>82DH0511010017000564038</t>
  </si>
  <si>
    <t>82DJ0515010016000539064</t>
  </si>
  <si>
    <t>82DI0515010020000650645</t>
  </si>
  <si>
    <t>82DJ0531010065000564879</t>
  </si>
  <si>
    <t>PAVILLION SLIMLINE</t>
  </si>
  <si>
    <t>82DH0519010043000649366</t>
  </si>
  <si>
    <t>82DH0511010008000535415</t>
  </si>
  <si>
    <t>82DH0531010065000566539</t>
  </si>
  <si>
    <t>SMART TV</t>
  </si>
  <si>
    <t>SMX3219SM</t>
  </si>
  <si>
    <t>82DJ0519010043000649365</t>
  </si>
  <si>
    <t>82DH0531010065000564765</t>
  </si>
  <si>
    <t>82DH0511010006000583723</t>
  </si>
  <si>
    <t>82DJ0512010011000515317</t>
  </si>
  <si>
    <t>82DK0511010016000515606</t>
  </si>
  <si>
    <t>82DJ0531010065000564829</t>
  </si>
  <si>
    <t>82DH0531010065000564846</t>
  </si>
  <si>
    <t>82DH0511010017000518539</t>
  </si>
  <si>
    <t>82DH0531010065000564737</t>
  </si>
  <si>
    <t>82DH0531010065000564739</t>
  </si>
  <si>
    <t>82DH0511010001000518544</t>
  </si>
  <si>
    <t>82DJ0531010094000539195</t>
  </si>
  <si>
    <t>82DJ0519010043000705582</t>
  </si>
  <si>
    <t>82DJ0512010027000756307</t>
  </si>
  <si>
    <t>82DH0519010026000756017</t>
  </si>
  <si>
    <t>82DH0519010026000756018</t>
  </si>
  <si>
    <t>82DK0519010064000756016</t>
  </si>
  <si>
    <t>ASA3213GL</t>
  </si>
  <si>
    <t>CNBRG77360</t>
  </si>
  <si>
    <t>82DK0515010033000756015</t>
  </si>
  <si>
    <t>82DJ0515010033000756014</t>
  </si>
  <si>
    <t>82DJ0515010020000756013</t>
  </si>
  <si>
    <t>82DH0565010011000756012</t>
  </si>
  <si>
    <t>ACCESSPOINT</t>
  </si>
  <si>
    <t>82DH0565010070000757474</t>
  </si>
  <si>
    <t>82DK0515010026000756010</t>
  </si>
  <si>
    <t>82DI0515010033000756009</t>
  </si>
  <si>
    <t>82DH0515010013000756021</t>
  </si>
  <si>
    <t>82DI0515010033000756019</t>
  </si>
  <si>
    <t>DW316 429-AAUQ</t>
  </si>
  <si>
    <t xml:space="preserve">LAPTOP, 15.6 </t>
  </si>
  <si>
    <t>82DI0515010002000756020</t>
  </si>
  <si>
    <t>82DJ0511010016000756024</t>
  </si>
  <si>
    <t>82DH0511010016000756034</t>
  </si>
  <si>
    <t>82DI0511010017000756033</t>
  </si>
  <si>
    <t>82DJ0511010017000756032</t>
  </si>
  <si>
    <t>82DJ0511010017000756030</t>
  </si>
  <si>
    <t>82DJ0511010017000756031</t>
  </si>
  <si>
    <t>82DJ0511010016000734682</t>
  </si>
  <si>
    <t>82D10515010013000734693</t>
  </si>
  <si>
    <t>82DI0511010016000757472</t>
  </si>
  <si>
    <t>82DJ0511010016000735470</t>
  </si>
  <si>
    <t>82DJ0511010020000770094</t>
  </si>
  <si>
    <t>1,862.00</t>
  </si>
  <si>
    <t>82DI0511010020000770527</t>
  </si>
  <si>
    <t>82DI0511010020000770528</t>
  </si>
  <si>
    <t>82DJ0519010043000756029</t>
  </si>
  <si>
    <t>82DJ0564010006000757763</t>
  </si>
  <si>
    <t>82DJ0515010013000734684</t>
  </si>
  <si>
    <t>82DJ0515010003000734685</t>
  </si>
  <si>
    <t>VOSTRO 3710 SFF</t>
  </si>
  <si>
    <t>82DJ0515010013000734686</t>
  </si>
  <si>
    <t>PC DELL VOSTRO 3710 NEGRO</t>
  </si>
  <si>
    <t>82DJ0515010013000734689</t>
  </si>
  <si>
    <t>82DI0511010020000770529</t>
  </si>
  <si>
    <t>82DI0511010020000770530</t>
  </si>
  <si>
    <t>82D10511010020000770093</t>
  </si>
  <si>
    <t>82D10511010020000770092</t>
  </si>
  <si>
    <t>82D10511010020000770085</t>
  </si>
  <si>
    <t>82DI0511010019000770526</t>
  </si>
  <si>
    <t>82DI0511010019000770525</t>
  </si>
  <si>
    <t>82DJ0511010017000770523</t>
  </si>
  <si>
    <t>82DJ0529030005000770524</t>
  </si>
  <si>
    <t>VENTILADOR DE PISO</t>
  </si>
  <si>
    <t>COMPLEMENTO DE EQUIPO DE COMPUTO</t>
  </si>
  <si>
    <t>UNIDAD QUEMADOR EXTERNO</t>
  </si>
  <si>
    <t>354-05A3</t>
  </si>
  <si>
    <t>agregado</t>
  </si>
  <si>
    <t>RECTIFICADO-OK</t>
  </si>
  <si>
    <t>Se borró estaba duplicado</t>
  </si>
  <si>
    <t>P05DA-0007</t>
  </si>
  <si>
    <t>P13IR-0643</t>
  </si>
  <si>
    <t>No.</t>
  </si>
  <si>
    <t>RESGUARDO</t>
  </si>
  <si>
    <t>RESGUARDO ANTERIOR</t>
  </si>
  <si>
    <t>ARTÍCULO</t>
  </si>
  <si>
    <t>ESTADO</t>
  </si>
  <si>
    <t>RESGUARDANTE</t>
  </si>
  <si>
    <t>061300001010550219</t>
  </si>
  <si>
    <t>ROSAURA  MENDEZ SALGADO</t>
  </si>
  <si>
    <t>061300001010550220</t>
  </si>
  <si>
    <t>061300001010550223</t>
  </si>
  <si>
    <t>820100011050300001</t>
  </si>
  <si>
    <t>82DH0515010010000515122</t>
  </si>
  <si>
    <t>820100021050300004</t>
  </si>
  <si>
    <t>MONSERRAT DELGADO SANCHEZ</t>
  </si>
  <si>
    <t>82DH0515010010000515125</t>
  </si>
  <si>
    <t>820101001050300001</t>
  </si>
  <si>
    <t>820100021011650005</t>
  </si>
  <si>
    <t>MÓDULO</t>
  </si>
  <si>
    <t>820100021011650002</t>
  </si>
  <si>
    <t>820100021011650001</t>
  </si>
  <si>
    <t>CHRISTIAN  ZARCO MERCADO</t>
  </si>
  <si>
    <t>820101011011650001</t>
  </si>
  <si>
    <t>820102011011650001</t>
  </si>
  <si>
    <t>ENRIQUE  URBINA ORTEGA</t>
  </si>
  <si>
    <t>82DH0511010013000515490</t>
  </si>
  <si>
    <t>820100001010300001</t>
  </si>
  <si>
    <t>PAPELERA</t>
  </si>
  <si>
    <t>820100011011350001</t>
  </si>
  <si>
    <t>820100011011500010</t>
  </si>
  <si>
    <t>820100011011500009</t>
  </si>
  <si>
    <t>82DJ0511010016000515592</t>
  </si>
  <si>
    <t>820100021011500003</t>
  </si>
  <si>
    <t>820100021011500005</t>
  </si>
  <si>
    <t>82DJ0511010016000515600</t>
  </si>
  <si>
    <t>820101001011500004</t>
  </si>
  <si>
    <t>SANTIAGO GONZALEZ FLORES</t>
  </si>
  <si>
    <t>820101011011500003</t>
  </si>
  <si>
    <t>JORGE LUIS MARTINEZ  LOPEZ</t>
  </si>
  <si>
    <t>820101021011500004</t>
  </si>
  <si>
    <t>TEMP KARINA XXXXX XXXXX</t>
  </si>
  <si>
    <t>82DK0511010016000515607</t>
  </si>
  <si>
    <t>820101021011500001</t>
  </si>
  <si>
    <t>820101031011500004</t>
  </si>
  <si>
    <t>ELEAZAR  LOPEZ LOPEZ</t>
  </si>
  <si>
    <t>820101031011500005</t>
  </si>
  <si>
    <t>820101031011500011</t>
  </si>
  <si>
    <t>820102001011500002</t>
  </si>
  <si>
    <t>820102001011500012</t>
  </si>
  <si>
    <t>820102001011500003</t>
  </si>
  <si>
    <t>820102001011500004</t>
  </si>
  <si>
    <t>ESIQUIO  NAVA ORTEGA</t>
  </si>
  <si>
    <t>82DI0511010016000515616</t>
  </si>
  <si>
    <t>820102011011500004</t>
  </si>
  <si>
    <t>820100001011500003</t>
  </si>
  <si>
    <t>820100001011500006</t>
  </si>
  <si>
    <t>820100001011500020</t>
  </si>
  <si>
    <t>82DJ0511010016000516013</t>
  </si>
  <si>
    <t>820100001011500007</t>
  </si>
  <si>
    <t>820100001011500010</t>
  </si>
  <si>
    <t>820100001011500008</t>
  </si>
  <si>
    <t>820100001011500009</t>
  </si>
  <si>
    <t>820100001011500017</t>
  </si>
  <si>
    <t>820100001011500019</t>
  </si>
  <si>
    <t>82DK0515010016000516043</t>
  </si>
  <si>
    <t>820101021050550004</t>
  </si>
  <si>
    <t>82DI0511010017000516176</t>
  </si>
  <si>
    <t>820100011011450010</t>
  </si>
  <si>
    <t>820100011011450012</t>
  </si>
  <si>
    <t>820100011011450013</t>
  </si>
  <si>
    <t>820101001011450006</t>
  </si>
  <si>
    <t>820101001011450007</t>
  </si>
  <si>
    <t>820101001011450008</t>
  </si>
  <si>
    <t>820101001011450011</t>
  </si>
  <si>
    <t>JOSE MIGUEL LOPEZ PEREZ</t>
  </si>
  <si>
    <t>820101001011450012</t>
  </si>
  <si>
    <t>820101001011450014</t>
  </si>
  <si>
    <t>820101001011450017</t>
  </si>
  <si>
    <t>820101001011450019</t>
  </si>
  <si>
    <t>820101001011450020</t>
  </si>
  <si>
    <t>82DI0511010017000516245</t>
  </si>
  <si>
    <t>820101011011450003</t>
  </si>
  <si>
    <t>DULCE ROCIO MENDOZA CORTES</t>
  </si>
  <si>
    <t>82DJ0511010017000516246</t>
  </si>
  <si>
    <t>820101011011450005</t>
  </si>
  <si>
    <t>820101011011450006</t>
  </si>
  <si>
    <t>82DI0511010017000516248</t>
  </si>
  <si>
    <t>820101011011450011</t>
  </si>
  <si>
    <t>820101031011450007</t>
  </si>
  <si>
    <t>820101031011450011</t>
  </si>
  <si>
    <t>820101031011450014</t>
  </si>
  <si>
    <t>820101031011450020</t>
  </si>
  <si>
    <t>820101031011450021</t>
  </si>
  <si>
    <t>820102001011450043</t>
  </si>
  <si>
    <t>820102001011450044</t>
  </si>
  <si>
    <t>820102001011450051</t>
  </si>
  <si>
    <t>820102011011450014</t>
  </si>
  <si>
    <t>820100001011450015</t>
  </si>
  <si>
    <t>820101001011450005</t>
  </si>
  <si>
    <t>820101031011450006</t>
  </si>
  <si>
    <t>82DJ0511010017000516342</t>
  </si>
  <si>
    <t>820101031011450008</t>
  </si>
  <si>
    <t>820102001011450041</t>
  </si>
  <si>
    <t>820102001021400011</t>
  </si>
  <si>
    <t>82DH0519010005000516926</t>
  </si>
  <si>
    <t>820102001020100008</t>
  </si>
  <si>
    <t>820100003021900001</t>
  </si>
  <si>
    <t>820101001010500001</t>
  </si>
  <si>
    <t>820100011010500008</t>
  </si>
  <si>
    <t>820100001010750001</t>
  </si>
  <si>
    <t>820100001010750002</t>
  </si>
  <si>
    <t>82DH0515010001000517051</t>
  </si>
  <si>
    <t>C.P.U.</t>
  </si>
  <si>
    <t>GUILLERMO LOAIZA GOMEZ</t>
  </si>
  <si>
    <t>82DH0515010001000517052</t>
  </si>
  <si>
    <t>82DH0515010001000517063</t>
  </si>
  <si>
    <t>820100011050050010</t>
  </si>
  <si>
    <t>JULIO CESAR LARIOS BOCANEGRA</t>
  </si>
  <si>
    <t>82DJ0529030003000517070</t>
  </si>
  <si>
    <t>820101001021100001</t>
  </si>
  <si>
    <t>PINTARRON</t>
  </si>
  <si>
    <t>82DJ0512010011000517107</t>
  </si>
  <si>
    <t>820100021011650006</t>
  </si>
  <si>
    <t>820100001011500014</t>
  </si>
  <si>
    <t>820100001011500013</t>
  </si>
  <si>
    <t>820100001011450016</t>
  </si>
  <si>
    <t>820100001010250001</t>
  </si>
  <si>
    <t>820100001010450001</t>
  </si>
  <si>
    <t>820100001010500006</t>
  </si>
  <si>
    <t>820100001010500001</t>
  </si>
  <si>
    <t>820100001010500007</t>
  </si>
  <si>
    <t>820100001010850002</t>
  </si>
  <si>
    <t>820100001010850001</t>
  </si>
  <si>
    <t>820100001010850003</t>
  </si>
  <si>
    <t>820100001011350001</t>
  </si>
  <si>
    <t>820100001011500004</t>
  </si>
  <si>
    <t>820100001011500005</t>
  </si>
  <si>
    <t>820100001011500002</t>
  </si>
  <si>
    <t>820100001011500001</t>
  </si>
  <si>
    <t>820100011010050010</t>
  </si>
  <si>
    <t>820100011010050013</t>
  </si>
  <si>
    <t>MA MAGDALENA GUTIERREZ ALTAMIRANO</t>
  </si>
  <si>
    <t>820100011010450002</t>
  </si>
  <si>
    <t>820100011010500007</t>
  </si>
  <si>
    <t>820100011010500006</t>
  </si>
  <si>
    <t>820101001010050002</t>
  </si>
  <si>
    <t>820101001010500008</t>
  </si>
  <si>
    <t>820101001010500007</t>
  </si>
  <si>
    <t>82DJ0511010006000518511</t>
  </si>
  <si>
    <t>820101001010500006</t>
  </si>
  <si>
    <t>820101001010900001</t>
  </si>
  <si>
    <t>82DJ0511010009000518513</t>
  </si>
  <si>
    <t>820101001010900003</t>
  </si>
  <si>
    <t>82DI0511010009000518514</t>
  </si>
  <si>
    <t>820101001010900002</t>
  </si>
  <si>
    <t>820101001011450001</t>
  </si>
  <si>
    <t>820101001011450003</t>
  </si>
  <si>
    <t>82DJ0511010005000518517</t>
  </si>
  <si>
    <t>820101011010450001</t>
  </si>
  <si>
    <t>82DI0511010006000518518</t>
  </si>
  <si>
    <t>820101011010500001</t>
  </si>
  <si>
    <t>820102001010050002</t>
  </si>
  <si>
    <t>820101031010900001</t>
  </si>
  <si>
    <t>82DJ0511010016000518521</t>
  </si>
  <si>
    <t>820101031011500002</t>
  </si>
  <si>
    <t>82DJ0511010016000518522</t>
  </si>
  <si>
    <t>820101031011500001</t>
  </si>
  <si>
    <t>82DH0511010017000518523</t>
  </si>
  <si>
    <t>820101031011450003</t>
  </si>
  <si>
    <t>820102001010050009</t>
  </si>
  <si>
    <t>820102001010050010</t>
  </si>
  <si>
    <t>820102001010150001</t>
  </si>
  <si>
    <t>820102001010500001</t>
  </si>
  <si>
    <t>820102001010500006</t>
  </si>
  <si>
    <t>820102001010500002</t>
  </si>
  <si>
    <t>820102001010500005</t>
  </si>
  <si>
    <t>820102001011350003</t>
  </si>
  <si>
    <t>820102001011350001</t>
  </si>
  <si>
    <t>820102001011450008</t>
  </si>
  <si>
    <t>820102001011450010</t>
  </si>
  <si>
    <t>820102001011450023</t>
  </si>
  <si>
    <t>820102001011450027</t>
  </si>
  <si>
    <t>820102001011450032</t>
  </si>
  <si>
    <t>820102001011450040</t>
  </si>
  <si>
    <t>82DJ0515010010000518543</t>
  </si>
  <si>
    <t>820100001010050004</t>
  </si>
  <si>
    <t>820100001010050003</t>
  </si>
  <si>
    <t>82DI0515010010000519351</t>
  </si>
  <si>
    <t>820100021050300010</t>
  </si>
  <si>
    <t>820101001050300003</t>
  </si>
  <si>
    <t>82DK0515010010000519363</t>
  </si>
  <si>
    <t>82DJ0515010014000520302</t>
  </si>
  <si>
    <t>820101011050450001</t>
  </si>
  <si>
    <t>82DJ0515010016000522283</t>
  </si>
  <si>
    <t>820100021050550021</t>
  </si>
  <si>
    <t>82DJ0515010016000522284</t>
  </si>
  <si>
    <t>820100021050550018</t>
  </si>
  <si>
    <t>82DJ0515010016000522285</t>
  </si>
  <si>
    <t>820101001050550003</t>
  </si>
  <si>
    <t>82DK0515010016000522294</t>
  </si>
  <si>
    <t>820101021050550002</t>
  </si>
  <si>
    <t>820101031050550002</t>
  </si>
  <si>
    <t>820101031050550001</t>
  </si>
  <si>
    <t>820100021011450010</t>
  </si>
  <si>
    <t>82DJ0511010017000522524</t>
  </si>
  <si>
    <t>820100021011450011</t>
  </si>
  <si>
    <t>82DJ0511010017000522707</t>
  </si>
  <si>
    <t>820101031011450019</t>
  </si>
  <si>
    <t>820101031011450022</t>
  </si>
  <si>
    <t>820102001011450045</t>
  </si>
  <si>
    <t>820102001011450046</t>
  </si>
  <si>
    <t>MONSERRAT GRANADOS HERNANDEZ</t>
  </si>
  <si>
    <t>820102001011450047</t>
  </si>
  <si>
    <t>820102001011450048</t>
  </si>
  <si>
    <t>820102001011450049</t>
  </si>
  <si>
    <t>82DH0511010017000522771</t>
  </si>
  <si>
    <t>820102001011450050</t>
  </si>
  <si>
    <t>82DI0511010017000522803</t>
  </si>
  <si>
    <t>820102011011450010</t>
  </si>
  <si>
    <t>82DI0511010017000522804</t>
  </si>
  <si>
    <t>820102011011450011</t>
  </si>
  <si>
    <t>820102011011450012</t>
  </si>
  <si>
    <t>820100011011450014</t>
  </si>
  <si>
    <t>820102011011450013</t>
  </si>
  <si>
    <t>820100001010550002</t>
  </si>
  <si>
    <t>ESTANTE</t>
  </si>
  <si>
    <t>82DH0515010001000524621</t>
  </si>
  <si>
    <t>820101031010550003</t>
  </si>
  <si>
    <t>82DJ0515010016000524719</t>
  </si>
  <si>
    <t>820100021050550020</t>
  </si>
  <si>
    <t>820100013021850006</t>
  </si>
  <si>
    <t>820100013021850008</t>
  </si>
  <si>
    <t>820100023021850006</t>
  </si>
  <si>
    <t>82DJ0565010001000527083</t>
  </si>
  <si>
    <t>820101013021850002</t>
  </si>
  <si>
    <t>82DK0565010001000527092</t>
  </si>
  <si>
    <t>820101023021850002</t>
  </si>
  <si>
    <t>820100003021850008</t>
  </si>
  <si>
    <t>820100003021850010</t>
  </si>
  <si>
    <t>820100003021850009</t>
  </si>
  <si>
    <t>82DI0565010041000530446</t>
  </si>
  <si>
    <t>820101011050450002</t>
  </si>
  <si>
    <t>82DJ0565010041000530448</t>
  </si>
  <si>
    <t>820101021050450003</t>
  </si>
  <si>
    <t>820101031050450003</t>
  </si>
  <si>
    <t>82DJ0565010041000530455</t>
  </si>
  <si>
    <t>820101031050450008</t>
  </si>
  <si>
    <t>82DJ0565010041000530456</t>
  </si>
  <si>
    <t>820101031050450002</t>
  </si>
  <si>
    <t>82DJ0565010041000530461</t>
  </si>
  <si>
    <t>820102001050450002</t>
  </si>
  <si>
    <t>82DJ0565010041000530462</t>
  </si>
  <si>
    <t>820102001050450008</t>
  </si>
  <si>
    <t>82DJ0565010041000530469</t>
  </si>
  <si>
    <t>820102011050450001</t>
  </si>
  <si>
    <t>820100001050450001</t>
  </si>
  <si>
    <t>82DJ0565010046000530787</t>
  </si>
  <si>
    <t>820100021051250001</t>
  </si>
  <si>
    <t>820100011021400007</t>
  </si>
  <si>
    <t>820100001021400006</t>
  </si>
  <si>
    <t>820101031010550012</t>
  </si>
  <si>
    <t>82DI0511010028000532102</t>
  </si>
  <si>
    <t>820101031010550011</t>
  </si>
  <si>
    <t>820101031010550005</t>
  </si>
  <si>
    <t>820102002090700001</t>
  </si>
  <si>
    <t>ALACENA</t>
  </si>
  <si>
    <t>820101003021850005</t>
  </si>
  <si>
    <t>820101003021850008</t>
  </si>
  <si>
    <t>82DJ0565010001000533072</t>
  </si>
  <si>
    <t>820101003021850009</t>
  </si>
  <si>
    <t>82DJ0565010001000533082</t>
  </si>
  <si>
    <t>820101013021850003</t>
  </si>
  <si>
    <t>820101031010560002</t>
  </si>
  <si>
    <t>820101031010560013</t>
  </si>
  <si>
    <t>820101031010560004</t>
  </si>
  <si>
    <t>820101031010560003</t>
  </si>
  <si>
    <t>820101031010560012</t>
  </si>
  <si>
    <t>820102001010050011</t>
  </si>
  <si>
    <t>82DI0515010002000533213</t>
  </si>
  <si>
    <t>820102011050060001</t>
  </si>
  <si>
    <t>820100011010050012</t>
  </si>
  <si>
    <t>820102013021850004</t>
  </si>
  <si>
    <t>82DI0511010001000533241</t>
  </si>
  <si>
    <t>820101031010050012</t>
  </si>
  <si>
    <t>82DI0565010001000533242</t>
  </si>
  <si>
    <t>820102013021850003</t>
  </si>
  <si>
    <t>820101033021850006</t>
  </si>
  <si>
    <t>820102003021850015</t>
  </si>
  <si>
    <t>82DH0565010001000534138</t>
  </si>
  <si>
    <t>820101031010500008</t>
  </si>
  <si>
    <t>820102001010500015</t>
  </si>
  <si>
    <t>820100021050110001</t>
  </si>
  <si>
    <t>820101001020030001</t>
  </si>
  <si>
    <t>820100011010850001</t>
  </si>
  <si>
    <t>820102001010850001</t>
  </si>
  <si>
    <t>820100021050050024</t>
  </si>
  <si>
    <t>OSCAR EFRAIN ORTIZ QUIÑONEZ</t>
  </si>
  <si>
    <t>82DJ0515010001000535436</t>
  </si>
  <si>
    <t>820101001050050003</t>
  </si>
  <si>
    <t>82DI0511010028000535441</t>
  </si>
  <si>
    <t>820101011010550002</t>
  </si>
  <si>
    <t>82DI0511010028000535443</t>
  </si>
  <si>
    <t>820101011010550004</t>
  </si>
  <si>
    <t>82DI0511010028000535444</t>
  </si>
  <si>
    <t>820101011010550003</t>
  </si>
  <si>
    <t>820101011050050004</t>
  </si>
  <si>
    <t>NELLY ACUÑA RODRIGUEZ</t>
  </si>
  <si>
    <t>820101031010550007</t>
  </si>
  <si>
    <t>82DJ0515010001000535486</t>
  </si>
  <si>
    <t>820101031050050001</t>
  </si>
  <si>
    <t>820102001050050009</t>
  </si>
  <si>
    <t>820102001050050003</t>
  </si>
  <si>
    <t>SANDRA LARA VELAZQUEZ</t>
  </si>
  <si>
    <t>820102001050050002</t>
  </si>
  <si>
    <t>820102001050050010</t>
  </si>
  <si>
    <t>820102002090850002</t>
  </si>
  <si>
    <t>COCINETA</t>
  </si>
  <si>
    <t>820102002090850001</t>
  </si>
  <si>
    <t>82DK0519010026000535516</t>
  </si>
  <si>
    <t>82DH0515010027000535517</t>
  </si>
  <si>
    <t>820102001051100002</t>
  </si>
  <si>
    <t>TABLET</t>
  </si>
  <si>
    <t>820102011050050004</t>
  </si>
  <si>
    <t>820102011050050001</t>
  </si>
  <si>
    <t>820101001050050002</t>
  </si>
  <si>
    <t>820100021011650007</t>
  </si>
  <si>
    <t>820102002090200001</t>
  </si>
  <si>
    <t>820102011050450002</t>
  </si>
  <si>
    <t>820100011021400008</t>
  </si>
  <si>
    <t>82DJ0515010002000535815</t>
  </si>
  <si>
    <t>820100021050060002</t>
  </si>
  <si>
    <t>82DJ0515010002000535852</t>
  </si>
  <si>
    <t>820102001050060002</t>
  </si>
  <si>
    <t>82DH0515010014000537672</t>
  </si>
  <si>
    <t>820102001050320001</t>
  </si>
  <si>
    <t>82DH0515010016000537738</t>
  </si>
  <si>
    <t>820100011050550005</t>
  </si>
  <si>
    <t>82DH0515010016000538163</t>
  </si>
  <si>
    <t>820100001050550001</t>
  </si>
  <si>
    <t>820102002090300001</t>
  </si>
  <si>
    <t>820101033021850005</t>
  </si>
  <si>
    <t>820102003021850007</t>
  </si>
  <si>
    <t>820100013021850009</t>
  </si>
  <si>
    <t>82DJ0515010001000539015</t>
  </si>
  <si>
    <t>820101001050050004</t>
  </si>
  <si>
    <t>820101001050050007</t>
  </si>
  <si>
    <t>820101011050050003</t>
  </si>
  <si>
    <t>820101031010550013</t>
  </si>
  <si>
    <t>82DI0511010028000539026</t>
  </si>
  <si>
    <t>820101031010550009</t>
  </si>
  <si>
    <t>820101031010550010</t>
  </si>
  <si>
    <t>820101031010550004</t>
  </si>
  <si>
    <t>820101031010550006</t>
  </si>
  <si>
    <t>820101031010550001</t>
  </si>
  <si>
    <t>82DJ0515010001000539034</t>
  </si>
  <si>
    <t>820101031050050005</t>
  </si>
  <si>
    <t>820101031050050009</t>
  </si>
  <si>
    <t>82DI0511010028000539037</t>
  </si>
  <si>
    <t>820101011010550001</t>
  </si>
  <si>
    <t>82DI0511010028000539038</t>
  </si>
  <si>
    <t>820101011010550005</t>
  </si>
  <si>
    <t>820101031010550002</t>
  </si>
  <si>
    <t>82DI0511010028000539044</t>
  </si>
  <si>
    <t>820101031010550008</t>
  </si>
  <si>
    <t>82DK0515010001000539045</t>
  </si>
  <si>
    <t>820101021050050005</t>
  </si>
  <si>
    <t>820102011050050002</t>
  </si>
  <si>
    <t>820101031050320001</t>
  </si>
  <si>
    <t>82DH0515010014000539049</t>
  </si>
  <si>
    <t>820102001050320003</t>
  </si>
  <si>
    <t>820100001050320001</t>
  </si>
  <si>
    <t>820102001050320004</t>
  </si>
  <si>
    <t>82DK0511010016000539052</t>
  </si>
  <si>
    <t>820101021011500005</t>
  </si>
  <si>
    <t>820102001011500014</t>
  </si>
  <si>
    <t>82DH0515010016000539060</t>
  </si>
  <si>
    <t>820101021050550003</t>
  </si>
  <si>
    <t>820101021050550001</t>
  </si>
  <si>
    <t>820102001050550003</t>
  </si>
  <si>
    <t>82DH0515010016000539068</t>
  </si>
  <si>
    <t>820102001050550008</t>
  </si>
  <si>
    <t>820102011050550002</t>
  </si>
  <si>
    <t>82DK0511010017000539073</t>
  </si>
  <si>
    <t>820101031011450023</t>
  </si>
  <si>
    <t>82DJ0511010017000539074</t>
  </si>
  <si>
    <t>820101031011450024</t>
  </si>
  <si>
    <t>82DJ0511010017000539075</t>
  </si>
  <si>
    <t>820101031011450025</t>
  </si>
  <si>
    <t>82DJ0511010017000539078</t>
  </si>
  <si>
    <t>820101031011450026</t>
  </si>
  <si>
    <t>820100011050050007</t>
  </si>
  <si>
    <t>820100011050050011</t>
  </si>
  <si>
    <t>82DJ0515010016000539082</t>
  </si>
  <si>
    <t>820100021050550019</t>
  </si>
  <si>
    <t>82DI0515010016000539084</t>
  </si>
  <si>
    <t>820102001050550004</t>
  </si>
  <si>
    <t>82DJ0565010001000539085</t>
  </si>
  <si>
    <t>820100023021850005</t>
  </si>
  <si>
    <t>820101033021850003</t>
  </si>
  <si>
    <t>82DJ0565010001000539087</t>
  </si>
  <si>
    <t>820102003021850014</t>
  </si>
  <si>
    <t>82DJ0515010002000539098</t>
  </si>
  <si>
    <t>820100021050060001</t>
  </si>
  <si>
    <t>82DJ0515010002000539099</t>
  </si>
  <si>
    <t>820100021050060004</t>
  </si>
  <si>
    <t>82DH0515010002000539100</t>
  </si>
  <si>
    <t>820102001050060003</t>
  </si>
  <si>
    <t>82DJ0515010025000539102</t>
  </si>
  <si>
    <t>820100021051450004</t>
  </si>
  <si>
    <t>SERVIDOR DE RED</t>
  </si>
  <si>
    <t>820100021050450022</t>
  </si>
  <si>
    <t>820101001050450003</t>
  </si>
  <si>
    <t>820101001050450002</t>
  </si>
  <si>
    <t>820101001050450004</t>
  </si>
  <si>
    <t>82DJ0565010041000539111</t>
  </si>
  <si>
    <t>820101021050450002</t>
  </si>
  <si>
    <t>82DK0565010041000539112</t>
  </si>
  <si>
    <t>820101021050450005</t>
  </si>
  <si>
    <t>82DJ0565010041000539113</t>
  </si>
  <si>
    <t>820101031050450001</t>
  </si>
  <si>
    <t>820101031050450009</t>
  </si>
  <si>
    <t>820102001050450007</t>
  </si>
  <si>
    <t>820102011050450004</t>
  </si>
  <si>
    <t>82DJ0565010041000539120</t>
  </si>
  <si>
    <t>820101001050450006</t>
  </si>
  <si>
    <t>82DJ0565010041000539122</t>
  </si>
  <si>
    <t>820100021050450021</t>
  </si>
  <si>
    <t>820101021050450004</t>
  </si>
  <si>
    <t>820102001050450003</t>
  </si>
  <si>
    <t>820101031010560006</t>
  </si>
  <si>
    <t>820101031010560011</t>
  </si>
  <si>
    <t>820101031010560009</t>
  </si>
  <si>
    <t>820101031010560010</t>
  </si>
  <si>
    <t>820101031010560014</t>
  </si>
  <si>
    <t>82DI0519010048000539140</t>
  </si>
  <si>
    <t>820102001010560004</t>
  </si>
  <si>
    <t>82DI0519010048000539141</t>
  </si>
  <si>
    <t>820102001010560003</t>
  </si>
  <si>
    <t>820101031010560007</t>
  </si>
  <si>
    <t>820100011021400004</t>
  </si>
  <si>
    <t>820101001021400005</t>
  </si>
  <si>
    <t>82DI0511010001000539203</t>
  </si>
  <si>
    <t>820102011010050007</t>
  </si>
  <si>
    <t>820100011050060003</t>
  </si>
  <si>
    <t>82DJ0515010002000539861</t>
  </si>
  <si>
    <t>82DJ0515010002000539981</t>
  </si>
  <si>
    <t>820100021050060005</t>
  </si>
  <si>
    <t>82DJ0515010020000541697</t>
  </si>
  <si>
    <t>820100001051300001</t>
  </si>
  <si>
    <t>82DJ0515010022000542042</t>
  </si>
  <si>
    <t>820100021051400001</t>
  </si>
  <si>
    <t>82DJ0515010022000542043</t>
  </si>
  <si>
    <t>820100021051400002</t>
  </si>
  <si>
    <t>820100021051450003</t>
  </si>
  <si>
    <t>82DJ0515010025000542283</t>
  </si>
  <si>
    <t>820100021051450002</t>
  </si>
  <si>
    <t>82DK0515010027000542541</t>
  </si>
  <si>
    <t>820100002090550001</t>
  </si>
  <si>
    <t>820100011050450008</t>
  </si>
  <si>
    <t>82DJ0565010041000543574</t>
  </si>
  <si>
    <t>820100011050450006</t>
  </si>
  <si>
    <t>820100011050450005</t>
  </si>
  <si>
    <t>820100021050450019</t>
  </si>
  <si>
    <t>820101001050450001</t>
  </si>
  <si>
    <t>820101011050450003</t>
  </si>
  <si>
    <t>820100001011450007</t>
  </si>
  <si>
    <t>820100001011450014</t>
  </si>
  <si>
    <t>820100001011450013</t>
  </si>
  <si>
    <t>820100001011450012</t>
  </si>
  <si>
    <t>82DJ0515010001000564511</t>
  </si>
  <si>
    <t>82DJ0515010001000564515</t>
  </si>
  <si>
    <t>820101001050050005</t>
  </si>
  <si>
    <t>82DJ0515010001000564516</t>
  </si>
  <si>
    <t>820101001050050006</t>
  </si>
  <si>
    <t>820101001011650001</t>
  </si>
  <si>
    <t>82DI0512010011000564518</t>
  </si>
  <si>
    <t>820101001011650003</t>
  </si>
  <si>
    <t>820102001021100001</t>
  </si>
  <si>
    <t>820100021050050001</t>
  </si>
  <si>
    <t>820102001011650001</t>
  </si>
  <si>
    <t>820100011010900001</t>
  </si>
  <si>
    <t>82DJ0511010009000564545</t>
  </si>
  <si>
    <t>820100021010900002</t>
  </si>
  <si>
    <t>820100001011500011</t>
  </si>
  <si>
    <t>820100001011500012</t>
  </si>
  <si>
    <t>820100001011500018</t>
  </si>
  <si>
    <t>820100021050550006</t>
  </si>
  <si>
    <t>820101001011450015</t>
  </si>
  <si>
    <t>82DH0511010017000564588</t>
  </si>
  <si>
    <t>820101001011450016</t>
  </si>
  <si>
    <t>820101031011450027</t>
  </si>
  <si>
    <t>820101011050550003</t>
  </si>
  <si>
    <t>820100001010900001</t>
  </si>
  <si>
    <t>820100001011450001</t>
  </si>
  <si>
    <t>820100001011450003</t>
  </si>
  <si>
    <t>820100001011450005</t>
  </si>
  <si>
    <t>820100001010900004</t>
  </si>
  <si>
    <t>82DJ0519010020000564631</t>
  </si>
  <si>
    <t>820101001020600001</t>
  </si>
  <si>
    <t>EXTINTOR</t>
  </si>
  <si>
    <t>82DH0519010020000564632</t>
  </si>
  <si>
    <t>820102001020600001</t>
  </si>
  <si>
    <t>82DJ0515010033000564633</t>
  </si>
  <si>
    <t>820101001051550005</t>
  </si>
  <si>
    <t>82DI0515010033000564634</t>
  </si>
  <si>
    <t>820101011051550004</t>
  </si>
  <si>
    <t>82DI0515010033000564635</t>
  </si>
  <si>
    <t>820101011051550003</t>
  </si>
  <si>
    <t>820101011051550001</t>
  </si>
  <si>
    <t>82DI0515010033000564637</t>
  </si>
  <si>
    <t>820101011051550002</t>
  </si>
  <si>
    <t>820101021051550001</t>
  </si>
  <si>
    <t>82DK0515010033000564639</t>
  </si>
  <si>
    <t>820101021051550002</t>
  </si>
  <si>
    <t>82DK0515010033000564640</t>
  </si>
  <si>
    <t>820101021051550004</t>
  </si>
  <si>
    <t>820101021051550003</t>
  </si>
  <si>
    <t>820101031051550002</t>
  </si>
  <si>
    <t>82DJ0515010033000564661</t>
  </si>
  <si>
    <t>820101031051550003</t>
  </si>
  <si>
    <t>820101031051550004</t>
  </si>
  <si>
    <t>820102001051550001</t>
  </si>
  <si>
    <t>82DK0515010033000564669</t>
  </si>
  <si>
    <t>820102001051550002</t>
  </si>
  <si>
    <t>82DJ0515010033000564671</t>
  </si>
  <si>
    <t>820102001051550005</t>
  </si>
  <si>
    <t>820102011051550002</t>
  </si>
  <si>
    <t>820101031051550001</t>
  </si>
  <si>
    <t>82DI0531010065000564679</t>
  </si>
  <si>
    <t>820101001010950006</t>
  </si>
  <si>
    <t>820100011011500011</t>
  </si>
  <si>
    <t>820100001010950002</t>
  </si>
  <si>
    <t>820100001010950003</t>
  </si>
  <si>
    <t>820100001010950004</t>
  </si>
  <si>
    <t>820100001010950005</t>
  </si>
  <si>
    <t>820100001010950006</t>
  </si>
  <si>
    <t>820100001010950011</t>
  </si>
  <si>
    <t>820100001010950012</t>
  </si>
  <si>
    <t>820100001010950013</t>
  </si>
  <si>
    <t>820100001010950014</t>
  </si>
  <si>
    <t>820100001010950019</t>
  </si>
  <si>
    <t>820100001010950020</t>
  </si>
  <si>
    <t>820100021010950001</t>
  </si>
  <si>
    <t>820100001010950022</t>
  </si>
  <si>
    <t>820100001010950024</t>
  </si>
  <si>
    <t>820100001010950025</t>
  </si>
  <si>
    <t>820100001010950026</t>
  </si>
  <si>
    <t>820100001010950027</t>
  </si>
  <si>
    <t>820100011010950008</t>
  </si>
  <si>
    <t>820100011010950010</t>
  </si>
  <si>
    <t>820100011010950011</t>
  </si>
  <si>
    <t>820100011010950012</t>
  </si>
  <si>
    <t>820100011010950013</t>
  </si>
  <si>
    <t>820100011010950014</t>
  </si>
  <si>
    <t>820100011010950015</t>
  </si>
  <si>
    <t>82DJ0531010065000564775</t>
  </si>
  <si>
    <t>820100021010950004</t>
  </si>
  <si>
    <t>820101001010950001</t>
  </si>
  <si>
    <t>820101001010950003</t>
  </si>
  <si>
    <t>820101001010950004</t>
  </si>
  <si>
    <t>820101001010950007</t>
  </si>
  <si>
    <t>820101001010950008</t>
  </si>
  <si>
    <t>820101001010950009</t>
  </si>
  <si>
    <t>820101001010950010</t>
  </si>
  <si>
    <t>820101001010950011</t>
  </si>
  <si>
    <t>820101001010950012</t>
  </si>
  <si>
    <t>820101001010950015</t>
  </si>
  <si>
    <t>820101001010950016</t>
  </si>
  <si>
    <t>820101001010950019</t>
  </si>
  <si>
    <t>820101001010950020</t>
  </si>
  <si>
    <t>82DH0531010065000564801</t>
  </si>
  <si>
    <t>820101001010950021</t>
  </si>
  <si>
    <t>82DI0531010065000564802</t>
  </si>
  <si>
    <t>820101001010950022</t>
  </si>
  <si>
    <t>82DI0531010065000564803</t>
  </si>
  <si>
    <t>820101011010950001</t>
  </si>
  <si>
    <t>820101011010950002</t>
  </si>
  <si>
    <t>82DI0531010065000564805</t>
  </si>
  <si>
    <t>820101011010950003</t>
  </si>
  <si>
    <t>82DI0531010065000564806</t>
  </si>
  <si>
    <t>820101011010950004</t>
  </si>
  <si>
    <t>82DI0531010065000564807</t>
  </si>
  <si>
    <t>820101011010950006</t>
  </si>
  <si>
    <t>820101021010950002</t>
  </si>
  <si>
    <t>82DJ0531010065000564817</t>
  </si>
  <si>
    <t>820101031010950002</t>
  </si>
  <si>
    <t>820101031010950004</t>
  </si>
  <si>
    <t>820101031010950005</t>
  </si>
  <si>
    <t>820101031010950006</t>
  </si>
  <si>
    <t>82DJ0531010065000564824</t>
  </si>
  <si>
    <t>820101031010950007</t>
  </si>
  <si>
    <t>82DI0531010065000564825</t>
  </si>
  <si>
    <t>820101031010950008</t>
  </si>
  <si>
    <t>820101031010950009</t>
  </si>
  <si>
    <t>820101031010950012</t>
  </si>
  <si>
    <t>820101031010950013</t>
  </si>
  <si>
    <t>820101031010950014</t>
  </si>
  <si>
    <t>820102001010950019</t>
  </si>
  <si>
    <t>820102001010950001</t>
  </si>
  <si>
    <t>820102001010950005</t>
  </si>
  <si>
    <t>82DH0531010065000564835</t>
  </si>
  <si>
    <t>820102001010950006</t>
  </si>
  <si>
    <t>820102001010950007</t>
  </si>
  <si>
    <t>820102001010950011</t>
  </si>
  <si>
    <t>820102001010950022</t>
  </si>
  <si>
    <t>820102001010950023</t>
  </si>
  <si>
    <t>820102001010950029</t>
  </si>
  <si>
    <t>820102001010950030</t>
  </si>
  <si>
    <t>820102001010950032</t>
  </si>
  <si>
    <t>820102001010950033</t>
  </si>
  <si>
    <t>820102001010950035</t>
  </si>
  <si>
    <t>820102001010950036</t>
  </si>
  <si>
    <t>820102011010950003</t>
  </si>
  <si>
    <t>820102011010950004</t>
  </si>
  <si>
    <t>82DK0531010065000564866</t>
  </si>
  <si>
    <t>820102011010950005</t>
  </si>
  <si>
    <t>82DJ0531010065000564867</t>
  </si>
  <si>
    <t>820102011010950009</t>
  </si>
  <si>
    <t>820102011010950010</t>
  </si>
  <si>
    <t>820100001010950007</t>
  </si>
  <si>
    <t>82DH0531010065000564878</t>
  </si>
  <si>
    <t>820100001010950008</t>
  </si>
  <si>
    <t>820100021010950008</t>
  </si>
  <si>
    <t>820101001010950002</t>
  </si>
  <si>
    <t>820101001010950014</t>
  </si>
  <si>
    <t>820102001010950031</t>
  </si>
  <si>
    <t>820100011021400005</t>
  </si>
  <si>
    <t>820100011021400006</t>
  </si>
  <si>
    <t>820100021021400005</t>
  </si>
  <si>
    <t>820101001021400003</t>
  </si>
  <si>
    <t>82DJ0531010094000564890</t>
  </si>
  <si>
    <t>820101001021400004</t>
  </si>
  <si>
    <t>820101011021400001</t>
  </si>
  <si>
    <t>820101011021400004</t>
  </si>
  <si>
    <t>820102011021400003</t>
  </si>
  <si>
    <t>820101031021400004</t>
  </si>
  <si>
    <t>820102011010050003</t>
  </si>
  <si>
    <t>820102011010050008</t>
  </si>
  <si>
    <t>820101001010500005</t>
  </si>
  <si>
    <t>82DI0511010006000564904</t>
  </si>
  <si>
    <t>820101011010500003</t>
  </si>
  <si>
    <t>820101011010500002</t>
  </si>
  <si>
    <t>82DJ0511010006000564906</t>
  </si>
  <si>
    <t>820101011010500004</t>
  </si>
  <si>
    <t>820102001020500001</t>
  </si>
  <si>
    <t>820100001020500001</t>
  </si>
  <si>
    <t>820101031011200001</t>
  </si>
  <si>
    <t>82DH0515010020000565750</t>
  </si>
  <si>
    <t>820100011051300003</t>
  </si>
  <si>
    <t>82DJ0515010020000565751</t>
  </si>
  <si>
    <t>82DJ0515010020000565919</t>
  </si>
  <si>
    <t>820100001051300002</t>
  </si>
  <si>
    <t>82DH0519010020000565927</t>
  </si>
  <si>
    <t>820102002011200001</t>
  </si>
  <si>
    <t>82DJ0515010026000566177</t>
  </si>
  <si>
    <t>820100021050260001</t>
  </si>
  <si>
    <t>82DJ0515010026000566178</t>
  </si>
  <si>
    <t>820100021050260003</t>
  </si>
  <si>
    <t>82DJ0515010026000566183</t>
  </si>
  <si>
    <t>820100021050260004</t>
  </si>
  <si>
    <t>82DJ0515010026000566194</t>
  </si>
  <si>
    <t>820101031050260001</t>
  </si>
  <si>
    <t>82DH0511010027000566204</t>
  </si>
  <si>
    <t>820100001010400004</t>
  </si>
  <si>
    <t>COMPLEMENTARIOS DE OFICINA</t>
  </si>
  <si>
    <t>820100001010400002</t>
  </si>
  <si>
    <t>820100001010400001</t>
  </si>
  <si>
    <t>MAQUINA DE ESCRIBIR</t>
  </si>
  <si>
    <t>82DJ0519010030000566299</t>
  </si>
  <si>
    <t>820101031020900002</t>
  </si>
  <si>
    <t>82DK0519010030000566311</t>
  </si>
  <si>
    <t>820100011051550001</t>
  </si>
  <si>
    <t>820100021051550002</t>
  </si>
  <si>
    <t>82DJ0515010033000566420</t>
  </si>
  <si>
    <t>820101001051550004</t>
  </si>
  <si>
    <t>820101001051550003</t>
  </si>
  <si>
    <t>820101001051550002</t>
  </si>
  <si>
    <t>820101001051550001</t>
  </si>
  <si>
    <t>820102002090550001</t>
  </si>
  <si>
    <t>820100011050450004</t>
  </si>
  <si>
    <t>820100021050450001</t>
  </si>
  <si>
    <t>82DJ0565010041000566535</t>
  </si>
  <si>
    <t>820101001050450005</t>
  </si>
  <si>
    <t>820100001010950017</t>
  </si>
  <si>
    <t>820100021011200001</t>
  </si>
  <si>
    <t>82DH0511010027000569723</t>
  </si>
  <si>
    <t>820100001010400003</t>
  </si>
  <si>
    <t>820100011010050008</t>
  </si>
  <si>
    <t>820102003021850005</t>
  </si>
  <si>
    <t>820100011010050011</t>
  </si>
  <si>
    <t>820101031010560001</t>
  </si>
  <si>
    <t>820101031010560008</t>
  </si>
  <si>
    <t>820101031010560005</t>
  </si>
  <si>
    <t>82DI0565010041000579561</t>
  </si>
  <si>
    <t>820102011050450005</t>
  </si>
  <si>
    <t>82DH0565010041000579732</t>
  </si>
  <si>
    <t>820101011021350001</t>
  </si>
  <si>
    <t>820100001010950001</t>
  </si>
  <si>
    <t>82DJ0531010065000580342</t>
  </si>
  <si>
    <t>820101011010950005</t>
  </si>
  <si>
    <t>820102001010950003</t>
  </si>
  <si>
    <t>820102001010950016</t>
  </si>
  <si>
    <t>820102001010950017</t>
  </si>
  <si>
    <t>820102001010950018</t>
  </si>
  <si>
    <t>820102001010950020</t>
  </si>
  <si>
    <t>820102001010950021</t>
  </si>
  <si>
    <t>82DK0567010068000580664</t>
  </si>
  <si>
    <t>820102002013350001</t>
  </si>
  <si>
    <t>TANQUE</t>
  </si>
  <si>
    <t>82DJ0531010065000580847</t>
  </si>
  <si>
    <t>820101001010950005</t>
  </si>
  <si>
    <t>820102001021400002</t>
  </si>
  <si>
    <t>820102011021400002</t>
  </si>
  <si>
    <t>820100001021400004</t>
  </si>
  <si>
    <t>820100001021400003</t>
  </si>
  <si>
    <t>820102001010050001</t>
  </si>
  <si>
    <t>820101001010050001</t>
  </si>
  <si>
    <t>82DI0511010001000581385</t>
  </si>
  <si>
    <t>820102011010050002</t>
  </si>
  <si>
    <t>820102011010050001</t>
  </si>
  <si>
    <t>820102011010050004</t>
  </si>
  <si>
    <t>820100011010050009</t>
  </si>
  <si>
    <t>820100011010050007</t>
  </si>
  <si>
    <t>820100021010150001</t>
  </si>
  <si>
    <t>820101001021110001</t>
  </si>
  <si>
    <t>82DJ0511010005000583322</t>
  </si>
  <si>
    <t>820101001010450001</t>
  </si>
  <si>
    <t>820101031010450001</t>
  </si>
  <si>
    <t>820102011010450001</t>
  </si>
  <si>
    <t>82DH0519010005000583368</t>
  </si>
  <si>
    <t>820102001020100002</t>
  </si>
  <si>
    <t>82DK0519010005000583369</t>
  </si>
  <si>
    <t>820100021010500001</t>
  </si>
  <si>
    <t>82DI0511010006000583442</t>
  </si>
  <si>
    <t>820101001010500004</t>
  </si>
  <si>
    <t>820101001010500002</t>
  </si>
  <si>
    <t>820101001010500003</t>
  </si>
  <si>
    <t>820101021010500001</t>
  </si>
  <si>
    <t>820101021010500003</t>
  </si>
  <si>
    <t>820101021010500002</t>
  </si>
  <si>
    <t>82DK0511010006000583455</t>
  </si>
  <si>
    <t>820101021010500005</t>
  </si>
  <si>
    <t>820101031010500003</t>
  </si>
  <si>
    <t>820101031010500001</t>
  </si>
  <si>
    <t>820101031010500002</t>
  </si>
  <si>
    <t>820101031010500004</t>
  </si>
  <si>
    <t>820101031010500009</t>
  </si>
  <si>
    <t>82DJ0511010006000583463</t>
  </si>
  <si>
    <t>820101031010500006</t>
  </si>
  <si>
    <t>820102001010500007</t>
  </si>
  <si>
    <t>820102011010500002</t>
  </si>
  <si>
    <t>820102011010500003</t>
  </si>
  <si>
    <t>820102011010500004</t>
  </si>
  <si>
    <t>820100011010500010</t>
  </si>
  <si>
    <t>82DI0511010006000583486</t>
  </si>
  <si>
    <t>820102011010500001</t>
  </si>
  <si>
    <t>820100011010500011</t>
  </si>
  <si>
    <t>820100011010500009</t>
  </si>
  <si>
    <t>820100001020030001</t>
  </si>
  <si>
    <t>82DJ0512010006000584026</t>
  </si>
  <si>
    <t>820100021010350001</t>
  </si>
  <si>
    <t>COMODA</t>
  </si>
  <si>
    <t>82DJ0515010001000584035</t>
  </si>
  <si>
    <t>820101001010550001</t>
  </si>
  <si>
    <t>820101001010550003</t>
  </si>
  <si>
    <t>820101001011650002</t>
  </si>
  <si>
    <t>82DI0511010028000584061</t>
  </si>
  <si>
    <t>820101011010550006</t>
  </si>
  <si>
    <t>82DH0515010001000584085</t>
  </si>
  <si>
    <t>820102001050050012</t>
  </si>
  <si>
    <t>82DJ0515010001000584096</t>
  </si>
  <si>
    <t>82DJ0511010009000584141</t>
  </si>
  <si>
    <t>820100021010900001</t>
  </si>
  <si>
    <t>820102001010900003</t>
  </si>
  <si>
    <t>820102001010900002</t>
  </si>
  <si>
    <t>820102001010900004</t>
  </si>
  <si>
    <t>82DI0511010009000584146</t>
  </si>
  <si>
    <t>820102011010900001</t>
  </si>
  <si>
    <t>820102001010900001</t>
  </si>
  <si>
    <t>820100001010900006</t>
  </si>
  <si>
    <t>82DI0515010006000600317</t>
  </si>
  <si>
    <t>S/R</t>
  </si>
  <si>
    <t>82DJ0515010056000649353</t>
  </si>
  <si>
    <t>82DJ0515010042000649354</t>
  </si>
  <si>
    <t>82DJ0515010042000649355</t>
  </si>
  <si>
    <t>82DJ0519010043000649359</t>
  </si>
  <si>
    <t>82DJ0519010043000649364</t>
  </si>
  <si>
    <t>82DI0519010043000649368</t>
  </si>
  <si>
    <t>82DI0519010043000649369</t>
  </si>
  <si>
    <t>82DI0519010043000649370</t>
  </si>
  <si>
    <t>82DJ0519010043000649371</t>
  </si>
  <si>
    <t>82DK0519010043000649373</t>
  </si>
  <si>
    <t>82DJ0515010002000649384</t>
  </si>
  <si>
    <t>82DI0515010006000649400</t>
  </si>
  <si>
    <t>PANTALLA DE TV</t>
  </si>
  <si>
    <t>82DJ0515010016000649411</t>
  </si>
  <si>
    <t>82DI0515010016000649417</t>
  </si>
  <si>
    <t>82DI0515010016000649418</t>
  </si>
  <si>
    <t>82DI0515010016000649419</t>
  </si>
  <si>
    <t>82DJ0515010016000649438</t>
  </si>
  <si>
    <t>82DI0515010020000649441</t>
  </si>
  <si>
    <t>82DJ0511010006000649460</t>
  </si>
  <si>
    <t>82DJ0511010008000649461</t>
  </si>
  <si>
    <t>82DI0515010010000649477</t>
  </si>
  <si>
    <t>82DK0515010013000649487</t>
  </si>
  <si>
    <t>82DK0515010003000649488</t>
  </si>
  <si>
    <t>82DI0511010006000649492</t>
  </si>
  <si>
    <t>82DI0515010023000649495</t>
  </si>
  <si>
    <t>SCANNER</t>
  </si>
  <si>
    <t>82DK0515010003000649498</t>
  </si>
  <si>
    <t>82DK0515010013000649499</t>
  </si>
  <si>
    <t>82DI0515010013000649501</t>
  </si>
  <si>
    <t>82DI0511010006000649502</t>
  </si>
  <si>
    <t>82DI0511010001000649503</t>
  </si>
  <si>
    <t>82DK0515010023000649504</t>
  </si>
  <si>
    <t>82DH0519010043000649514</t>
  </si>
  <si>
    <t>SILLÓN</t>
  </si>
  <si>
    <t>PIZARRÓN</t>
  </si>
  <si>
    <t>82DH0515010014000649518</t>
  </si>
  <si>
    <t>82DH0515010013000649520</t>
  </si>
  <si>
    <t>82DK0511010001000649524</t>
  </si>
  <si>
    <t>82DH0515010010000649530</t>
  </si>
  <si>
    <t>82DJ0515010013000649534</t>
  </si>
  <si>
    <t>82DJ0512010014000649537</t>
  </si>
  <si>
    <t>82DJ0565010001000649544</t>
  </si>
  <si>
    <t>82DJ0515010014000649545</t>
  </si>
  <si>
    <t>82DJ0511010020000649553</t>
  </si>
  <si>
    <t>82DJ0511010020000649554</t>
  </si>
  <si>
    <t>CELIA LOPEZ RAMIREZ</t>
  </si>
  <si>
    <t>82DK0511010010000649556</t>
  </si>
  <si>
    <t>82DK0511010010000649557</t>
  </si>
  <si>
    <t>82DK0511010010000649558</t>
  </si>
  <si>
    <t>82DK0511010005000649559</t>
  </si>
  <si>
    <t>82DI0511010005000649562</t>
  </si>
  <si>
    <t>JOSE LUIS BORJA MONTES DE OCA</t>
  </si>
  <si>
    <t>82DI0515010013000649564</t>
  </si>
  <si>
    <t>82DK0511010001000649566</t>
  </si>
  <si>
    <t>82DK0511010017000649567</t>
  </si>
  <si>
    <t>82DK0565010001000649568</t>
  </si>
  <si>
    <t>82DJ0515010016000649569</t>
  </si>
  <si>
    <t>82DJ0515010013000649570</t>
  </si>
  <si>
    <t>82DJ0511010017000649571</t>
  </si>
  <si>
    <t>82DJ0511010020000649577</t>
  </si>
  <si>
    <t>82DJ0511010020000649578</t>
  </si>
  <si>
    <t>82DJ0511010020000649579</t>
  </si>
  <si>
    <t>82DJ0511010020000649580</t>
  </si>
  <si>
    <t>82DJ0511010020000649584</t>
  </si>
  <si>
    <t>82DJ0511010020000649585</t>
  </si>
  <si>
    <t>82DJ0511010020000649586</t>
  </si>
  <si>
    <t>82DJ0511010020000649587</t>
  </si>
  <si>
    <t>82DJ0511010020000649588</t>
  </si>
  <si>
    <t>82DJ0511010020000649589</t>
  </si>
  <si>
    <t>82DJ0511010020000649590</t>
  </si>
  <si>
    <t>82DJ0511010020000649591</t>
  </si>
  <si>
    <t>82DJ0511010020000649592</t>
  </si>
  <si>
    <t>82DJ0511010020000649593</t>
  </si>
  <si>
    <t>82DJ0511010020000649594</t>
  </si>
  <si>
    <t>82DJ0511010020000649595</t>
  </si>
  <si>
    <t>82DJ0511010020000649596</t>
  </si>
  <si>
    <t>82DJ0511010020000649597</t>
  </si>
  <si>
    <t>82DJ0511010020000649598</t>
  </si>
  <si>
    <t>82DJ0511010020000649599</t>
  </si>
  <si>
    <t>82DJ0511010020000649600</t>
  </si>
  <si>
    <t>82DJ0511010020000649601</t>
  </si>
  <si>
    <t>82DJ0511010020000649602</t>
  </si>
  <si>
    <t>82DJ0511010020000649603</t>
  </si>
  <si>
    <t>82DJ0511010020000649604</t>
  </si>
  <si>
    <t>82DJ0511010020000649605</t>
  </si>
  <si>
    <t>82DJ0511010020000649606</t>
  </si>
  <si>
    <t>82DJ0511010020000649607</t>
  </si>
  <si>
    <t>82DJ0511010020000649608</t>
  </si>
  <si>
    <t>82DJ0511010020000649609</t>
  </si>
  <si>
    <t>82DJ0511010020000649610</t>
  </si>
  <si>
    <t>82DJ0511010020000649611</t>
  </si>
  <si>
    <t>82DJ0511010020000649612</t>
  </si>
  <si>
    <t>82DJ0511010020000649613</t>
  </si>
  <si>
    <t>82DJ0511010020000649614</t>
  </si>
  <si>
    <t>82DJ0511010020000649615</t>
  </si>
  <si>
    <t>82DJ0511010020000649616</t>
  </si>
  <si>
    <t>82DJ0511010020000649617</t>
  </si>
  <si>
    <t>82DJ0511010020000649618</t>
  </si>
  <si>
    <t>82DJ0511010020000649619</t>
  </si>
  <si>
    <t>82DJ0511010020000649620</t>
  </si>
  <si>
    <t>82DJ0511010020000649621</t>
  </si>
  <si>
    <t>82DJ0511010020000649622</t>
  </si>
  <si>
    <t>82DJ0511010020000649623</t>
  </si>
  <si>
    <t>82DJ0511010020000649624</t>
  </si>
  <si>
    <t>82DJ0511010020000649625</t>
  </si>
  <si>
    <t>82DJ0511010020000649626</t>
  </si>
  <si>
    <t>82DJ0511010020000649627</t>
  </si>
  <si>
    <t>82DJ0511010020000649630</t>
  </si>
  <si>
    <t>82DJ0519010043000649631</t>
  </si>
  <si>
    <t>82DJ0511010006000649632</t>
  </si>
  <si>
    <t>82DJ0511010027000649635</t>
  </si>
  <si>
    <t>82DJ0511010020000649638</t>
  </si>
  <si>
    <t>82DJ0511010020000649639</t>
  </si>
  <si>
    <t>82DJ0515010026000649641</t>
  </si>
  <si>
    <t>82DJ0511010010000649645</t>
  </si>
  <si>
    <t>82DJ0515010003000649646</t>
  </si>
  <si>
    <t>82DJ0515010026000649647</t>
  </si>
  <si>
    <t>82DJ0515010003000649648</t>
  </si>
  <si>
    <t>82DJ0515010003000649649</t>
  </si>
  <si>
    <t>82DJ0515010013000649650</t>
  </si>
  <si>
    <t>82DJ0515010013000649651</t>
  </si>
  <si>
    <t>82DJ0511010006000649652</t>
  </si>
  <si>
    <t>82DJ0511010016000649653</t>
  </si>
  <si>
    <t>82DJ0519010043000649654</t>
  </si>
  <si>
    <t>82DJ0511010010000649656</t>
  </si>
  <si>
    <t>82DJ0511010010000649657</t>
  </si>
  <si>
    <t>82DJ0511010010000649658</t>
  </si>
  <si>
    <t>82DH0515010002000649659</t>
  </si>
  <si>
    <t>82DJ0511010010000649660</t>
  </si>
  <si>
    <t>82DJ0515010013000649661</t>
  </si>
  <si>
    <t>82DJ0523010002000649662</t>
  </si>
  <si>
    <t>CAMARA DE VIDEO DIGITAL</t>
  </si>
  <si>
    <t>82DJ0523010002000649663</t>
  </si>
  <si>
    <t>82DJ0523010002000649664</t>
  </si>
  <si>
    <t>82DJ0523010002000649665</t>
  </si>
  <si>
    <t>82DJ0523010002000649666</t>
  </si>
  <si>
    <t>82DJ0523010002000649667</t>
  </si>
  <si>
    <t>82DJ0523010002000649668</t>
  </si>
  <si>
    <t>82DJ0523010002000649669</t>
  </si>
  <si>
    <t>82DJ0515010010000649672</t>
  </si>
  <si>
    <t>82DJ0515010003000649673</t>
  </si>
  <si>
    <t>82DJ0515010002000649674</t>
  </si>
  <si>
    <t>82DJ0515010013000649675</t>
  </si>
  <si>
    <t>82DJ0511010029000649676</t>
  </si>
  <si>
    <t>82DJ0515010020000649677</t>
  </si>
  <si>
    <t>82DJ0515010042000649678</t>
  </si>
  <si>
    <t>82DJ0515010042000649679</t>
  </si>
  <si>
    <t>82DJ0565010001000649680</t>
  </si>
  <si>
    <t>82DJ0511010020000649681</t>
  </si>
  <si>
    <t>82DJ0511010010000649682</t>
  </si>
  <si>
    <t>82DJ0511010010000649683</t>
  </si>
  <si>
    <t>82DJ0515010013000649684</t>
  </si>
  <si>
    <t>82DJ0515010042000649685</t>
  </si>
  <si>
    <t>82DJ0515010016000649686</t>
  </si>
  <si>
    <t>82DJ0515010016000649687</t>
  </si>
  <si>
    <t>82DJ0515010003000649688</t>
  </si>
  <si>
    <t>82DJ0515010014000649689</t>
  </si>
  <si>
    <t>82DJ0515010003000649692</t>
  </si>
  <si>
    <t>82DI0511010005000649706</t>
  </si>
  <si>
    <t>82DI0511010005000649709</t>
  </si>
  <si>
    <t>82DJ0529030003000649710</t>
  </si>
  <si>
    <t>82DI0511010016000649711</t>
  </si>
  <si>
    <t>82DJ0515010014000649713</t>
  </si>
  <si>
    <t>82DI0511010017000649716</t>
  </si>
  <si>
    <t>82DI0565010001000649717</t>
  </si>
  <si>
    <t>82DI0529030003000649718</t>
  </si>
  <si>
    <t>82DI0511010017000649719</t>
  </si>
  <si>
    <t>82DI0511010010000649720</t>
  </si>
  <si>
    <t>82DI0511010017000649721</t>
  </si>
  <si>
    <t>82DI0511010010000649722</t>
  </si>
  <si>
    <t>82DI0519010043000649724</t>
  </si>
  <si>
    <t>82DI0511010017000649725</t>
  </si>
  <si>
    <t>82DI0511010017000649726</t>
  </si>
  <si>
    <t>82DI0511010017000649727</t>
  </si>
  <si>
    <t>82DI0511010017000649728</t>
  </si>
  <si>
    <t>82DI0511010017000649729</t>
  </si>
  <si>
    <t>82DI0511010017000649730</t>
  </si>
  <si>
    <t>82DI0511010016000649731</t>
  </si>
  <si>
    <t>82DI0511010005000649732</t>
  </si>
  <si>
    <t>82DJ0519010043000649735</t>
  </si>
  <si>
    <t>82DI0511010029000649737</t>
  </si>
  <si>
    <t>82DI0511010005000649738</t>
  </si>
  <si>
    <t>82DI0511010020000649739</t>
  </si>
  <si>
    <t>82DI0511010006000649740</t>
  </si>
  <si>
    <t>82DH0565010001000649748</t>
  </si>
  <si>
    <t>82DJ0511010020000649752</t>
  </si>
  <si>
    <t>82DJ0511010008000649754</t>
  </si>
  <si>
    <t>82DH0515010003000649758</t>
  </si>
  <si>
    <t>82DH0515010013000649759</t>
  </si>
  <si>
    <t>82DJ0515010003000650638</t>
  </si>
  <si>
    <t>82DJ0515010042000650641</t>
  </si>
  <si>
    <t>82DJ0515010020000650646</t>
  </si>
  <si>
    <t>82DK0515010013000650652</t>
  </si>
  <si>
    <t>82DJ0515010013000650656</t>
  </si>
  <si>
    <t>82DH0515010020000650893</t>
  </si>
  <si>
    <t>82DJ0515010006000650903</t>
  </si>
  <si>
    <t>82DJ0515010006000650904</t>
  </si>
  <si>
    <t>82DJ0515010002000651030</t>
  </si>
  <si>
    <t>82DJ0515010003000651031</t>
  </si>
  <si>
    <t>82DJ0515010013000651032</t>
  </si>
  <si>
    <t>82DK0515010013000651087</t>
  </si>
  <si>
    <t>82DK0515010013000651099</t>
  </si>
  <si>
    <t>82DH0515010033000651100</t>
  </si>
  <si>
    <t>82DI0511010019000651104</t>
  </si>
  <si>
    <t>82DI0511010017000651105</t>
  </si>
  <si>
    <t>82DI0511010017000651106</t>
  </si>
  <si>
    <t>82DI0511010006000651108</t>
  </si>
  <si>
    <t>82DI0515010016000651109</t>
  </si>
  <si>
    <t>82DI0511010010000651110</t>
  </si>
  <si>
    <t>82DJ0565010001000651111</t>
  </si>
  <si>
    <t>82DJ0515010014000651112</t>
  </si>
  <si>
    <t>82DK0511010029000651114</t>
  </si>
  <si>
    <t>82DJ0515010002000651120</t>
  </si>
  <si>
    <t>82DJ0515010016000651121</t>
  </si>
  <si>
    <t>82DJ0515010020000651122</t>
  </si>
  <si>
    <t>82DJ0511010006000651123</t>
  </si>
  <si>
    <t>82DJ0515010017000651124</t>
  </si>
  <si>
    <t>82DJ0515010016000651125</t>
  </si>
  <si>
    <t>82DJ0515010056000651126</t>
  </si>
  <si>
    <t>82DJ0515010056000651127</t>
  </si>
  <si>
    <t>82DJ0515010022000651128</t>
  </si>
  <si>
    <t>82DJ0511010017000651129</t>
  </si>
  <si>
    <t>82DJ0529030003000651130</t>
  </si>
  <si>
    <t>82DJ0515010022000651131</t>
  </si>
  <si>
    <t>82DJ0515010013000651132</t>
  </si>
  <si>
    <t>82DJ0515010047000651133</t>
  </si>
  <si>
    <t>82DJ0515010047000651134</t>
  </si>
  <si>
    <t>82DJ0515010017000651135</t>
  </si>
  <si>
    <t>82DJ0515010026000651136</t>
  </si>
  <si>
    <t>82DJ0515010047000651137</t>
  </si>
  <si>
    <t>82DJ0515010017000651138</t>
  </si>
  <si>
    <t>82DJ0515010026000651139</t>
  </si>
  <si>
    <t>82DJ0515010055000651140</t>
  </si>
  <si>
    <t>COMPLEMENTARIO DE EQUIPO DE TELECOMUNICACION T.V. Y SONIDO</t>
  </si>
  <si>
    <t>82DJ0515010056000651141</t>
  </si>
  <si>
    <t>82DH0565010001000651382</t>
  </si>
  <si>
    <t>82DH0511010006000651383</t>
  </si>
  <si>
    <t>82DH0515010020000651385</t>
  </si>
  <si>
    <t>82DH0515010003000651387</t>
  </si>
  <si>
    <t>82DH0515010003000651389</t>
  </si>
  <si>
    <t>82DJ0511010017000693400</t>
  </si>
  <si>
    <t>82DJ0511010017000693401</t>
  </si>
  <si>
    <t>82DJ0511010017000693402</t>
  </si>
  <si>
    <t>GRABADOR DE CD,DVD,BLU RAY</t>
  </si>
  <si>
    <t>82DI0515010013000734693</t>
  </si>
  <si>
    <t>CALIBRADOR</t>
  </si>
  <si>
    <t>FERNANDO HERNÁNDEZ ALCALÁ</t>
  </si>
  <si>
    <t>82DJ0515010016000516041</t>
  </si>
  <si>
    <t>82DK0519010030000566297</t>
  </si>
  <si>
    <t>82DK0511010017000516283</t>
  </si>
  <si>
    <t>82DK0515010016000522300</t>
  </si>
  <si>
    <t>82DK0515010016000538130</t>
  </si>
  <si>
    <t>82DK0531010065000564827</t>
  </si>
  <si>
    <t>82DK0532010020000541888</t>
  </si>
  <si>
    <t>82DK0515010001000539035</t>
  </si>
  <si>
    <t>OBSERVACIONES 05/2023</t>
  </si>
  <si>
    <t>LOCKER DE MADERA DOS PUERTAS 165X80X43</t>
  </si>
  <si>
    <t>5290300001-18</t>
  </si>
  <si>
    <t>MODIFICAR EN PATRIMONIO</t>
  </si>
  <si>
    <t>P0A-13</t>
  </si>
  <si>
    <t>EN REPARACION</t>
  </si>
  <si>
    <t>ENRIQUE URBINA</t>
  </si>
  <si>
    <t>P1Si-82</t>
  </si>
  <si>
    <t>BZZMH4ZNB00503</t>
  </si>
  <si>
    <t>ESCRITORIO CON 4 CAJONES</t>
  </si>
  <si>
    <t>0490</t>
  </si>
  <si>
    <t>MAL ESTADO-NO FUNCIONA</t>
  </si>
  <si>
    <t>ESCRITORIO DE MADERA DE 4 PIEZAS</t>
  </si>
  <si>
    <t>CN634BM0CE</t>
  </si>
  <si>
    <t>EN LIGAR DE HECTOR MANZO</t>
  </si>
  <si>
    <t>EN ALMACEN PARA BAJA</t>
  </si>
  <si>
    <t>EN LUGAR DE HECTOR MANZO</t>
  </si>
  <si>
    <t>CS01173442</t>
  </si>
  <si>
    <t>CN-0MVCKH-FCC00-2AM-ACVX-A03</t>
  </si>
  <si>
    <t>CN-0MVCKH-FCC00-2AM-ADCX-A03</t>
  </si>
  <si>
    <t>65558V3</t>
  </si>
  <si>
    <t>429-AAUQ</t>
  </si>
  <si>
    <t>HORNO DE ,ICROONDAS</t>
  </si>
  <si>
    <t>HORNO MODELO HOMWH.1211D.SIL MARCA WHIRPOOL WM-1211D 1.1 COLOR PLATA</t>
  </si>
  <si>
    <t>C920 FULL HD 1080P F</t>
  </si>
  <si>
    <t>SWITCH 8 PUERTOS</t>
  </si>
  <si>
    <t>N/A</t>
  </si>
  <si>
    <t>FLORENCIA PEREZ NEGRON</t>
  </si>
  <si>
    <t>MONITOR LED DELL P2222H | 21.5 PULGADAS FULL HD | 1920 X 1080 | 60HZ | HDMI VGA DP | 210-BBBO.</t>
  </si>
  <si>
    <t>VGA DP 210-BBBO</t>
  </si>
  <si>
    <t>CN-OMVCKH-FCC00-2AM-C1AX-A03</t>
  </si>
  <si>
    <t>82DJ0 515010013 000756022</t>
  </si>
  <si>
    <t>WIN 10PRO NEGRO NHCXM</t>
  </si>
  <si>
    <t>3SPH8V3</t>
  </si>
  <si>
    <t>82DJ0 515010003 000756023</t>
  </si>
  <si>
    <t>HDR10, COLOR NEGRO.</t>
  </si>
  <si>
    <t>MARCA DELL INSPIRON 15 3000 SERIES 3511 LAPTOP, 15.6 FHD TOUCHSCREEN, INTEL CORE 15-1035G1, 32GB DDR4 RAM</t>
  </si>
  <si>
    <t>INTEL CORE 15-1035G1, 32GB DDR4 RAM</t>
  </si>
  <si>
    <t>ENRIQUE ORTEGA URBINA</t>
  </si>
  <si>
    <t>82DK0 511010016 000756027</t>
  </si>
  <si>
    <t>BÁSCULA CON PANTALLA DIGITAL, RECARGABLE, PLATAFORMA PLEGABLE, HASTA 200KG.</t>
  </si>
  <si>
    <t>BÁSCULA GRAMERA BLANCA DIGITAL, HASTA 5KG.</t>
  </si>
  <si>
    <t>82DJ0 512010027 000756306</t>
  </si>
  <si>
    <t>CALIBRADOR MICRÓMETRO RESISTENTE 0 A 25MM</t>
  </si>
  <si>
    <t>82DJ0 567010006 000756305</t>
  </si>
  <si>
    <t>MINI SPLIT  CIACVS18 INVERTER TIPO HI-WALL, R410A, CAP 2 TON/24000BTUS/ 18 SEER AHORRO/SISTEMA FRIO CALOR/220V-1F-60HZ</t>
  </si>
  <si>
    <t>CIACVS18 INVERTER TIPO HI-WALL</t>
  </si>
  <si>
    <t>340d092401314070170057</t>
  </si>
  <si>
    <t>210-BBBW</t>
  </si>
  <si>
    <t xml:space="preserve"> 210-BBBW</t>
  </si>
  <si>
    <t>N. I. P. toma fisica</t>
  </si>
  <si>
    <t xml:space="preserve">Extraccion ultimos 6 digitos </t>
  </si>
  <si>
    <t>Diferencia Patrimonio en toma fisica</t>
  </si>
  <si>
    <t>DESCRIPCION</t>
  </si>
  <si>
    <t>En este archivo se compara lo que hay fisicamente con lo que hay en patrimonio</t>
  </si>
  <si>
    <t>sin resguardo</t>
  </si>
  <si>
    <t>casos con etiqueta y sin registro en patrimonio</t>
  </si>
  <si>
    <t>registros en patrimonio</t>
  </si>
  <si>
    <t>No se encuentran en la toma física</t>
  </si>
  <si>
    <t>bienes que coinciden en la toma física</t>
  </si>
  <si>
    <t>COMITÉ DE ADQUISICIONES DEL PODER EJECUTIVO
DELEGACIÓN ADMINISTRATIVA
RECURSOS MATERIALES Y SERVICIOS GENERALES
FORMATO INTERNO DE RESGUARDO</t>
  </si>
  <si>
    <t>comparacion toma física en patrimonio</t>
  </si>
  <si>
    <t>82DK0515010001000535502</t>
  </si>
  <si>
    <t>Encontrado en toma física pero no en patrimonio</t>
  </si>
  <si>
    <t>649493</t>
  </si>
  <si>
    <t>649522</t>
  </si>
  <si>
    <t>651087</t>
  </si>
  <si>
    <t>651086</t>
  </si>
  <si>
    <t>530469</t>
  </si>
  <si>
    <t>584045</t>
  </si>
  <si>
    <t/>
  </si>
  <si>
    <t>564801</t>
  </si>
  <si>
    <t>649532</t>
  </si>
  <si>
    <t>651098</t>
  </si>
  <si>
    <t>564855</t>
  </si>
  <si>
    <t>564880</t>
  </si>
  <si>
    <t>584143</t>
  </si>
  <si>
    <t>535436</t>
  </si>
  <si>
    <t>649764</t>
  </si>
  <si>
    <t>539017</t>
  </si>
  <si>
    <t>535454</t>
  </si>
  <si>
    <t>539039</t>
  </si>
  <si>
    <t>566042</t>
  </si>
  <si>
    <t>566156</t>
  </si>
  <si>
    <t>565655</t>
  </si>
  <si>
    <t>564787</t>
  </si>
  <si>
    <t>564848</t>
  </si>
  <si>
    <t>522806</t>
  </si>
  <si>
    <t>564892</t>
  </si>
  <si>
    <t>650651</t>
  </si>
  <si>
    <t>649466</t>
  </si>
  <si>
    <t>518510</t>
  </si>
  <si>
    <t>649469</t>
  </si>
  <si>
    <t>650898</t>
  </si>
  <si>
    <t>650661</t>
  </si>
  <si>
    <t>651090</t>
  </si>
  <si>
    <t>649467</t>
  </si>
  <si>
    <t>649426</t>
  </si>
  <si>
    <t>564826</t>
  </si>
  <si>
    <t>539080</t>
  </si>
  <si>
    <t>539119</t>
  </si>
  <si>
    <t>515615</t>
  </si>
  <si>
    <t>649775</t>
  </si>
  <si>
    <t>649774</t>
  </si>
  <si>
    <t>649776</t>
  </si>
  <si>
    <t>649441</t>
  </si>
  <si>
    <t>651093</t>
  </si>
  <si>
    <t>651095</t>
  </si>
  <si>
    <t>048005</t>
  </si>
  <si>
    <t>651097</t>
  </si>
  <si>
    <t>651094</t>
  </si>
  <si>
    <t>651092</t>
  </si>
  <si>
    <t>651096</t>
  </si>
  <si>
    <t>048004</t>
  </si>
  <si>
    <t>048003</t>
  </si>
  <si>
    <t>651091</t>
  </si>
  <si>
    <t>649468</t>
  </si>
  <si>
    <t>649471</t>
  </si>
  <si>
    <t>649472</t>
  </si>
  <si>
    <t>649478</t>
  </si>
  <si>
    <t>649462</t>
  </si>
  <si>
    <t>651088</t>
  </si>
  <si>
    <t>651089</t>
  </si>
  <si>
    <t>649403</t>
  </si>
  <si>
    <t>649765</t>
  </si>
  <si>
    <t>518525</t>
  </si>
  <si>
    <t>649483</t>
  </si>
  <si>
    <t>584051</t>
  </si>
  <si>
    <t>649489</t>
  </si>
  <si>
    <t>649528</t>
  </si>
  <si>
    <t>516288</t>
  </si>
  <si>
    <t>649480</t>
  </si>
  <si>
    <t>649481</t>
  </si>
  <si>
    <t>539111</t>
  </si>
  <si>
    <t>649425</t>
  </si>
  <si>
    <t>564669</t>
  </si>
  <si>
    <t>649482</t>
  </si>
  <si>
    <t>518519</t>
  </si>
  <si>
    <t>533168</t>
  </si>
  <si>
    <t>649479</t>
  </si>
  <si>
    <t>649383</t>
  </si>
  <si>
    <t>580343</t>
  </si>
  <si>
    <t>649486</t>
  </si>
  <si>
    <t>649651</t>
  </si>
  <si>
    <t>649485</t>
  </si>
  <si>
    <t>583483</t>
  </si>
  <si>
    <t>650663</t>
  </si>
  <si>
    <t>539050</t>
  </si>
  <si>
    <t>650899</t>
  </si>
  <si>
    <t>566420</t>
  </si>
  <si>
    <t>522767</t>
  </si>
  <si>
    <t>539062</t>
  </si>
  <si>
    <t>564663</t>
  </si>
  <si>
    <t>564833</t>
  </si>
  <si>
    <t>518527</t>
  </si>
  <si>
    <t>535501</t>
  </si>
  <si>
    <t>539116</t>
  </si>
  <si>
    <t>649442</t>
  </si>
  <si>
    <t>516302</t>
  </si>
  <si>
    <t>651085</t>
  </si>
  <si>
    <t>649539</t>
  </si>
  <si>
    <t>649490</t>
  </si>
  <si>
    <t>534680</t>
  </si>
  <si>
    <t>516341</t>
  </si>
  <si>
    <t>522771</t>
  </si>
  <si>
    <t>649527</t>
  </si>
  <si>
    <t>583322</t>
  </si>
  <si>
    <t>649363</t>
  </si>
  <si>
    <t>564906</t>
  </si>
  <si>
    <t>649461</t>
  </si>
  <si>
    <t>649459</t>
  </si>
  <si>
    <t>649460</t>
  </si>
  <si>
    <t>515600</t>
  </si>
  <si>
    <t>535446</t>
  </si>
  <si>
    <t>522226</t>
  </si>
  <si>
    <t>533072</t>
  </si>
  <si>
    <t>649384</t>
  </si>
  <si>
    <t>518522</t>
  </si>
  <si>
    <t>518521</t>
  </si>
  <si>
    <t>649364</t>
  </si>
  <si>
    <t>649630</t>
  </si>
  <si>
    <t>651112</t>
  </si>
  <si>
    <t>538210</t>
  </si>
  <si>
    <t>649570</t>
  </si>
  <si>
    <t>564661</t>
  </si>
  <si>
    <t>649632</t>
  </si>
  <si>
    <t>649633</t>
  </si>
  <si>
    <t>522707</t>
  </si>
  <si>
    <t>649571</t>
  </si>
  <si>
    <t>516342</t>
  </si>
  <si>
    <t>517070</t>
  </si>
  <si>
    <t>649631</t>
  </si>
  <si>
    <t>564824</t>
  </si>
  <si>
    <t>539075</t>
  </si>
  <si>
    <t>539078</t>
  </si>
  <si>
    <t>649569</t>
  </si>
  <si>
    <t>583463</t>
  </si>
  <si>
    <t>564817</t>
  </si>
  <si>
    <t>649382</t>
  </si>
  <si>
    <t>539067</t>
  </si>
  <si>
    <t>583458</t>
  </si>
  <si>
    <t>564820</t>
  </si>
  <si>
    <t>564675</t>
  </si>
  <si>
    <t>649434</t>
  </si>
  <si>
    <t>539074</t>
  </si>
  <si>
    <t>522723</t>
  </si>
  <si>
    <t>516280</t>
  </si>
  <si>
    <t>516227</t>
  </si>
  <si>
    <t>649574</t>
  </si>
  <si>
    <t>564819</t>
  </si>
  <si>
    <t>583456</t>
  </si>
  <si>
    <t>649636</t>
  </si>
  <si>
    <t>649573</t>
  </si>
  <si>
    <t>650902</t>
  </si>
  <si>
    <t>650664</t>
  </si>
  <si>
    <t>649572</t>
  </si>
  <si>
    <t>564597</t>
  </si>
  <si>
    <t>564818</t>
  </si>
  <si>
    <t>583459</t>
  </si>
  <si>
    <t>564895</t>
  </si>
  <si>
    <t>533243</t>
  </si>
  <si>
    <t>649575</t>
  </si>
  <si>
    <t>539124</t>
  </si>
  <si>
    <t>535487</t>
  </si>
  <si>
    <t>564662</t>
  </si>
  <si>
    <t>522298</t>
  </si>
  <si>
    <t>516281</t>
  </si>
  <si>
    <t>515611</t>
  </si>
  <si>
    <t>649401</t>
  </si>
  <si>
    <t>649628</t>
  </si>
  <si>
    <t>581252</t>
  </si>
  <si>
    <t>515602</t>
  </si>
  <si>
    <t>649629</t>
  </si>
  <si>
    <t>539081</t>
  </si>
  <si>
    <t>539114</t>
  </si>
  <si>
    <t>539059</t>
  </si>
  <si>
    <t>535460</t>
  </si>
  <si>
    <t>539027</t>
  </si>
  <si>
    <t>539134</t>
  </si>
  <si>
    <t>533127</t>
  </si>
  <si>
    <t>539043</t>
  </si>
  <si>
    <t>533124</t>
  </si>
  <si>
    <t>579127</t>
  </si>
  <si>
    <t>539018</t>
  </si>
  <si>
    <t>539032</t>
  </si>
  <si>
    <t>539133</t>
  </si>
  <si>
    <t>539137</t>
  </si>
  <si>
    <t>532101</t>
  </si>
  <si>
    <t>539135</t>
  </si>
  <si>
    <t>524624</t>
  </si>
  <si>
    <t>539029</t>
  </si>
  <si>
    <t>533123</t>
  </si>
  <si>
    <t>533126</t>
  </si>
  <si>
    <t>532103</t>
  </si>
  <si>
    <t>539139</t>
  </si>
  <si>
    <t>579123</t>
  </si>
  <si>
    <t>539031</t>
  </si>
  <si>
    <t>579126</t>
  </si>
  <si>
    <t>539144</t>
  </si>
  <si>
    <t>524607</t>
  </si>
  <si>
    <t>533125</t>
  </si>
  <si>
    <t>649637</t>
  </si>
  <si>
    <t>649583</t>
  </si>
  <si>
    <t>649581</t>
  </si>
  <si>
    <t>564830</t>
  </si>
  <si>
    <t>539054</t>
  </si>
  <si>
    <t>649582</t>
  </si>
  <si>
    <t>539036</t>
  </si>
  <si>
    <t>649640</t>
  </si>
  <si>
    <t>650897</t>
  </si>
  <si>
    <t>564545</t>
  </si>
  <si>
    <t>651123</t>
  </si>
  <si>
    <t>651128</t>
  </si>
  <si>
    <t>651127</t>
  </si>
  <si>
    <t>649660</t>
  </si>
  <si>
    <t>564775</t>
  </si>
  <si>
    <t>651121</t>
  </si>
  <si>
    <t>566178</t>
  </si>
  <si>
    <t>651130</t>
  </si>
  <si>
    <t>535535</t>
  </si>
  <si>
    <t>649650</t>
  </si>
  <si>
    <t>649682</t>
  </si>
  <si>
    <t>539122</t>
  </si>
  <si>
    <t>651140</t>
  </si>
  <si>
    <t>524719</t>
  </si>
  <si>
    <t>651031</t>
  </si>
  <si>
    <t>539087</t>
  </si>
  <si>
    <t>651141</t>
  </si>
  <si>
    <t>651032</t>
  </si>
  <si>
    <t>649683</t>
  </si>
  <si>
    <t>649676</t>
  </si>
  <si>
    <t>564867</t>
  </si>
  <si>
    <t>649712</t>
  </si>
  <si>
    <t>522524</t>
  </si>
  <si>
    <t>651129</t>
  </si>
  <si>
    <t>516013</t>
  </si>
  <si>
    <t>649443</t>
  </si>
  <si>
    <t>651111</t>
  </si>
  <si>
    <t>649658</t>
  </si>
  <si>
    <t>649438</t>
  </si>
  <si>
    <t>651117</t>
  </si>
  <si>
    <t>566531</t>
  </si>
  <si>
    <t>651116</t>
  </si>
  <si>
    <t>651115</t>
  </si>
  <si>
    <t>649690</t>
  </si>
  <si>
    <t>564888</t>
  </si>
  <si>
    <t>515599</t>
  </si>
  <si>
    <t>543572</t>
  </si>
  <si>
    <t>539105</t>
  </si>
  <si>
    <t>535424</t>
  </si>
  <si>
    <t>651119</t>
  </si>
  <si>
    <t>539051</t>
  </si>
  <si>
    <t>649670</t>
  </si>
  <si>
    <t>651118</t>
  </si>
  <si>
    <t>649671</t>
  </si>
  <si>
    <t>535536</t>
  </si>
  <si>
    <t>649359</t>
  </si>
  <si>
    <t>649653</t>
  </si>
  <si>
    <t>566194</t>
  </si>
  <si>
    <t>651126</t>
  </si>
  <si>
    <t>649353</t>
  </si>
  <si>
    <t>651030</t>
  </si>
  <si>
    <t>650904</t>
  </si>
  <si>
    <t>650903</t>
  </si>
  <si>
    <t>530787</t>
  </si>
  <si>
    <t>650641</t>
  </si>
  <si>
    <t>542283</t>
  </si>
  <si>
    <t>530462</t>
  </si>
  <si>
    <t>649648</t>
  </si>
  <si>
    <t>649354</t>
  </si>
  <si>
    <t>649355</t>
  </si>
  <si>
    <t>522283</t>
  </si>
  <si>
    <t>651137</t>
  </si>
  <si>
    <t>649641</t>
  </si>
  <si>
    <t>651124</t>
  </si>
  <si>
    <t>566177</t>
  </si>
  <si>
    <t>650638</t>
  </si>
  <si>
    <t>649411</t>
  </si>
  <si>
    <t>539082</t>
  </si>
  <si>
    <t>566530</t>
  </si>
  <si>
    <t>649507</t>
  </si>
  <si>
    <t>649378</t>
  </si>
  <si>
    <t>649484</t>
  </si>
  <si>
    <t>530454</t>
  </si>
  <si>
    <t>541697</t>
  </si>
  <si>
    <t>539113</t>
  </si>
  <si>
    <t>651134</t>
  </si>
  <si>
    <t>651138</t>
  </si>
  <si>
    <t>566183</t>
  </si>
  <si>
    <t>584141</t>
  </si>
  <si>
    <t>651133</t>
  </si>
  <si>
    <t>651135</t>
  </si>
  <si>
    <t>651136</t>
  </si>
  <si>
    <t>517107</t>
  </si>
  <si>
    <t>649669</t>
  </si>
  <si>
    <t>649668</t>
  </si>
  <si>
    <t>649667</t>
  </si>
  <si>
    <t>649666</t>
  </si>
  <si>
    <t>649665</t>
  </si>
  <si>
    <t>649664</t>
  </si>
  <si>
    <t>649663</t>
  </si>
  <si>
    <t>649662</t>
  </si>
  <si>
    <t>651131</t>
  </si>
  <si>
    <t>649698</t>
  </si>
  <si>
    <t>650647</t>
  </si>
  <si>
    <t>518509</t>
  </si>
  <si>
    <t>649697</t>
  </si>
  <si>
    <t>649555</t>
  </si>
  <si>
    <t>649696</t>
  </si>
  <si>
    <t>649694</t>
  </si>
  <si>
    <t>649693</t>
  </si>
  <si>
    <t>649366</t>
  </si>
  <si>
    <t>516236</t>
  </si>
  <si>
    <t>650659</t>
  </si>
  <si>
    <t>650649</t>
  </si>
  <si>
    <t>649494</t>
  </si>
  <si>
    <t>650896</t>
  </si>
  <si>
    <t>564790</t>
  </si>
  <si>
    <t>649700</t>
  </si>
  <si>
    <t>649699</t>
  </si>
  <si>
    <t>649433</t>
  </si>
  <si>
    <t>566421</t>
  </si>
  <si>
    <t>539110</t>
  </si>
  <si>
    <t>649695</t>
  </si>
  <si>
    <t>515601</t>
  </si>
  <si>
    <t>584161</t>
  </si>
  <si>
    <t>649551</t>
  </si>
  <si>
    <t>564798</t>
  </si>
  <si>
    <t>649533</t>
  </si>
  <si>
    <t>584044</t>
  </si>
  <si>
    <t>649379</t>
  </si>
  <si>
    <t>649536</t>
  </si>
  <si>
    <t>649538</t>
  </si>
  <si>
    <t>564777</t>
  </si>
  <si>
    <t>649543</t>
  </si>
  <si>
    <t>515608</t>
  </si>
  <si>
    <t>515609</t>
  </si>
  <si>
    <t>565672</t>
  </si>
  <si>
    <t>518520</t>
  </si>
  <si>
    <t>564860</t>
  </si>
  <si>
    <t>583457</t>
  </si>
  <si>
    <t>649547</t>
  </si>
  <si>
    <t>650657</t>
  </si>
  <si>
    <t>539086</t>
  </si>
  <si>
    <t>650667</t>
  </si>
  <si>
    <t>650901</t>
  </si>
  <si>
    <t>649432</t>
  </si>
  <si>
    <t>649548</t>
  </si>
  <si>
    <t>649714</t>
  </si>
  <si>
    <t>649372</t>
  </si>
  <si>
    <t>649540</t>
  </si>
  <si>
    <t>649550</t>
  </si>
  <si>
    <t>649546</t>
  </si>
  <si>
    <t>649549</t>
  </si>
  <si>
    <t>649535</t>
  </si>
  <si>
    <t>518514</t>
  </si>
  <si>
    <t>539084</t>
  </si>
  <si>
    <t>649368</t>
  </si>
  <si>
    <t>564679</t>
  </si>
  <si>
    <t>649726</t>
  </si>
  <si>
    <t>649727</t>
  </si>
  <si>
    <t>649729</t>
  </si>
  <si>
    <t>649730</t>
  </si>
  <si>
    <t>651106</t>
  </si>
  <si>
    <t>649728</t>
  </si>
  <si>
    <t>564825</t>
  </si>
  <si>
    <t>649738</t>
  </si>
  <si>
    <t>649737</t>
  </si>
  <si>
    <t>583442</t>
  </si>
  <si>
    <t>649731</t>
  </si>
  <si>
    <t>564633</t>
  </si>
  <si>
    <t>649417</t>
  </si>
  <si>
    <t>649717</t>
  </si>
  <si>
    <t>519351</t>
  </si>
  <si>
    <t>564635</t>
  </si>
  <si>
    <t>649718</t>
  </si>
  <si>
    <t>564807</t>
  </si>
  <si>
    <t>649732</t>
  </si>
  <si>
    <t>516176</t>
  </si>
  <si>
    <t>539037</t>
  </si>
  <si>
    <t>535444</t>
  </si>
  <si>
    <t>539141</t>
  </si>
  <si>
    <t>535441</t>
  </si>
  <si>
    <t>651104</t>
  </si>
  <si>
    <t>535443</t>
  </si>
  <si>
    <t>539140</t>
  </si>
  <si>
    <t>649739</t>
  </si>
  <si>
    <t>539038</t>
  </si>
  <si>
    <t>584061</t>
  </si>
  <si>
    <t>532102</t>
  </si>
  <si>
    <t>539044</t>
  </si>
  <si>
    <t>539026</t>
  </si>
  <si>
    <t>533241</t>
  </si>
  <si>
    <t>649722</t>
  </si>
  <si>
    <t>518494</t>
  </si>
  <si>
    <t>649733</t>
  </si>
  <si>
    <t>518508</t>
  </si>
  <si>
    <t>515290</t>
  </si>
  <si>
    <t>649358</t>
  </si>
  <si>
    <t>583443</t>
  </si>
  <si>
    <t>566422</t>
  </si>
  <si>
    <t>649436</t>
  </si>
  <si>
    <t>651105</t>
  </si>
  <si>
    <t>649734</t>
  </si>
  <si>
    <t>649736</t>
  </si>
  <si>
    <t>530719</t>
  </si>
  <si>
    <t>527027</t>
  </si>
  <si>
    <t>649369</t>
  </si>
  <si>
    <t>649370</t>
  </si>
  <si>
    <t>564518</t>
  </si>
  <si>
    <t>651107</t>
  </si>
  <si>
    <t>517124</t>
  </si>
  <si>
    <t>649400</t>
  </si>
  <si>
    <t>649556</t>
  </si>
  <si>
    <t>516247</t>
  </si>
  <si>
    <t>649567</t>
  </si>
  <si>
    <t>539073</t>
  </si>
  <si>
    <t>515607</t>
  </si>
  <si>
    <t>649557</t>
  </si>
  <si>
    <t>649558</t>
  </si>
  <si>
    <t>649373</t>
  </si>
  <si>
    <t>649566</t>
  </si>
  <si>
    <t>649559</t>
  </si>
  <si>
    <t>583449</t>
  </si>
  <si>
    <t>583455</t>
  </si>
  <si>
    <t>564639</t>
  </si>
  <si>
    <t>564640</t>
  </si>
  <si>
    <t>539052</t>
  </si>
  <si>
    <t>522294</t>
  </si>
  <si>
    <t>539045</t>
  </si>
  <si>
    <t>539112</t>
  </si>
  <si>
    <t>527092</t>
  </si>
  <si>
    <t>564804</t>
  </si>
  <si>
    <t>564905</t>
  </si>
  <si>
    <t>564789</t>
  </si>
  <si>
    <t>649715</t>
  </si>
  <si>
    <t>564891</t>
  </si>
  <si>
    <t>527088</t>
  </si>
  <si>
    <t>649435</t>
  </si>
  <si>
    <t>564636</t>
  </si>
  <si>
    <t>580129</t>
  </si>
  <si>
    <t>649707</t>
  </si>
  <si>
    <t>649381</t>
  </si>
  <si>
    <t>649706</t>
  </si>
  <si>
    <t>564904</t>
  </si>
  <si>
    <t>564805</t>
  </si>
  <si>
    <t>649705</t>
  </si>
  <si>
    <t>564806</t>
  </si>
  <si>
    <t>516248</t>
  </si>
  <si>
    <t>649661</t>
  </si>
  <si>
    <t>649418</t>
  </si>
  <si>
    <t>564634</t>
  </si>
  <si>
    <t>564803</t>
  </si>
  <si>
    <t>649709</t>
  </si>
  <si>
    <t>564802</t>
  </si>
  <si>
    <t>516245</t>
  </si>
  <si>
    <t>649419</t>
  </si>
  <si>
    <t>518518</t>
  </si>
  <si>
    <t>564637</t>
  </si>
  <si>
    <t>649644</t>
  </si>
  <si>
    <t>649721</t>
  </si>
  <si>
    <t>649565</t>
  </si>
  <si>
    <t>649703</t>
  </si>
  <si>
    <t>535504</t>
  </si>
  <si>
    <t>650646</t>
  </si>
  <si>
    <t>530448</t>
  </si>
  <si>
    <t>649710</t>
  </si>
  <si>
    <t>580342</t>
  </si>
  <si>
    <t>516246</t>
  </si>
  <si>
    <t>518517</t>
  </si>
  <si>
    <t>518513</t>
  </si>
  <si>
    <t>584026</t>
  </si>
  <si>
    <t>518511</t>
  </si>
  <si>
    <t>649713</t>
  </si>
  <si>
    <t>530446</t>
  </si>
  <si>
    <t>650660</t>
  </si>
  <si>
    <t>649371</t>
  </si>
  <si>
    <t>651122</t>
  </si>
  <si>
    <t>649716</t>
  </si>
  <si>
    <t>564671</t>
  </si>
  <si>
    <t>583448</t>
  </si>
  <si>
    <t>649708</t>
  </si>
  <si>
    <t>564654</t>
  </si>
  <si>
    <t>649421</t>
  </si>
  <si>
    <t>564881</t>
  </si>
  <si>
    <t>564844</t>
  </si>
  <si>
    <t>649563</t>
  </si>
  <si>
    <t>649560</t>
  </si>
  <si>
    <t>649561</t>
  </si>
  <si>
    <t>649422</t>
  </si>
  <si>
    <t>564788</t>
  </si>
  <si>
    <t>539064</t>
  </si>
  <si>
    <t>539009</t>
  </si>
  <si>
    <t>543587</t>
  </si>
  <si>
    <t>651110</t>
  </si>
  <si>
    <t>651108</t>
  </si>
  <si>
    <t>649562</t>
  </si>
  <si>
    <t>649725</t>
  </si>
  <si>
    <t>651109</t>
  </si>
  <si>
    <t>515592</t>
  </si>
  <si>
    <t>564808</t>
  </si>
  <si>
    <t>649720</t>
  </si>
  <si>
    <t>649704</t>
  </si>
  <si>
    <t>583450</t>
  </si>
  <si>
    <t>649719</t>
  </si>
  <si>
    <t>564638</t>
  </si>
  <si>
    <t>649420</t>
  </si>
  <si>
    <t>539123</t>
  </si>
  <si>
    <t>516229</t>
  </si>
  <si>
    <t>649702</t>
  </si>
  <si>
    <t>563784</t>
  </si>
  <si>
    <t>539203</t>
  </si>
  <si>
    <t>649503</t>
  </si>
  <si>
    <t>649476</t>
  </si>
  <si>
    <t>564901</t>
  </si>
  <si>
    <t>564893</t>
  </si>
  <si>
    <t>516298</t>
  </si>
  <si>
    <t>522769</t>
  </si>
  <si>
    <t>522803</t>
  </si>
  <si>
    <t>522804</t>
  </si>
  <si>
    <t>584146</t>
  </si>
  <si>
    <t>583486</t>
  </si>
  <si>
    <t>649474</t>
  </si>
  <si>
    <t>650655</t>
  </si>
  <si>
    <t>650665</t>
  </si>
  <si>
    <t>524721</t>
  </si>
  <si>
    <t>539108</t>
  </si>
  <si>
    <t>515616</t>
  </si>
  <si>
    <t>533242</t>
  </si>
  <si>
    <t>650895</t>
  </si>
  <si>
    <t>564896</t>
  </si>
  <si>
    <t>581385</t>
  </si>
  <si>
    <t>581386</t>
  </si>
  <si>
    <t>649475</t>
  </si>
  <si>
    <t>581387</t>
  </si>
  <si>
    <t>522770</t>
  </si>
  <si>
    <t>649500</t>
  </si>
  <si>
    <t>564866</t>
  </si>
  <si>
    <t>581183</t>
  </si>
  <si>
    <t>583482</t>
  </si>
  <si>
    <t>564865</t>
  </si>
  <si>
    <t>539107</t>
  </si>
  <si>
    <t>539047</t>
  </si>
  <si>
    <t>651113</t>
  </si>
  <si>
    <t>649439</t>
  </si>
  <si>
    <t>516230</t>
  </si>
  <si>
    <t>649496</t>
  </si>
  <si>
    <t>583481</t>
  </si>
  <si>
    <t>564864</t>
  </si>
  <si>
    <t>649423</t>
  </si>
  <si>
    <t>533228</t>
  </si>
  <si>
    <t>649497</t>
  </si>
  <si>
    <t>649492</t>
  </si>
  <si>
    <t>535801</t>
  </si>
  <si>
    <t>535527</t>
  </si>
  <si>
    <t>649491</t>
  </si>
  <si>
    <t>649424</t>
  </si>
  <si>
    <t>522846</t>
  </si>
  <si>
    <t>651379</t>
  </si>
  <si>
    <t>522768</t>
  </si>
  <si>
    <t>543591</t>
  </si>
  <si>
    <t>564542</t>
  </si>
  <si>
    <t>649723</t>
  </si>
  <si>
    <t>649769</t>
  </si>
  <si>
    <t>649768</t>
  </si>
  <si>
    <t>649724</t>
  </si>
  <si>
    <t>649767</t>
  </si>
  <si>
    <t>649777</t>
  </si>
  <si>
    <t>564588</t>
  </si>
  <si>
    <t>579099</t>
  </si>
  <si>
    <t>515589</t>
  </si>
  <si>
    <t>515613</t>
  </si>
  <si>
    <t>564772</t>
  </si>
  <si>
    <t>583484</t>
  </si>
  <si>
    <t>583683</t>
  </si>
  <si>
    <t>649766</t>
  </si>
  <si>
    <t>649410</t>
  </si>
  <si>
    <t>649376</t>
  </si>
  <si>
    <t>649399</t>
  </si>
  <si>
    <t>649415</t>
  </si>
  <si>
    <t>515590</t>
  </si>
  <si>
    <t>564754</t>
  </si>
  <si>
    <t>515554</t>
  </si>
  <si>
    <t>518531</t>
  </si>
  <si>
    <t>564683</t>
  </si>
  <si>
    <t>649778</t>
  </si>
  <si>
    <t>518498</t>
  </si>
  <si>
    <t>649746</t>
  </si>
  <si>
    <t>564862</t>
  </si>
  <si>
    <t>570571</t>
  </si>
  <si>
    <t>516331</t>
  </si>
  <si>
    <t>564766</t>
  </si>
  <si>
    <t>564762</t>
  </si>
  <si>
    <t>649773</t>
  </si>
  <si>
    <t>538212</t>
  </si>
  <si>
    <t>649413</t>
  </si>
  <si>
    <t>649772</t>
  </si>
  <si>
    <t>518506</t>
  </si>
  <si>
    <t>516185</t>
  </si>
  <si>
    <t>564756</t>
  </si>
  <si>
    <t>649781</t>
  </si>
  <si>
    <t>649771</t>
  </si>
  <si>
    <t>516177</t>
  </si>
  <si>
    <t>564828</t>
  </si>
  <si>
    <t>649780</t>
  </si>
  <si>
    <t>649414</t>
  </si>
  <si>
    <t>543575</t>
  </si>
  <si>
    <t>649779</t>
  </si>
  <si>
    <t>649745</t>
  </si>
  <si>
    <t>649357</t>
  </si>
  <si>
    <t>649747</t>
  </si>
  <si>
    <t>516231</t>
  </si>
  <si>
    <t>649751</t>
  </si>
  <si>
    <t>649430</t>
  </si>
  <si>
    <t>649749</t>
  </si>
  <si>
    <t>564903</t>
  </si>
  <si>
    <t>527082</t>
  </si>
  <si>
    <t>518504</t>
  </si>
  <si>
    <t>539189</t>
  </si>
  <si>
    <t>649750</t>
  </si>
  <si>
    <t>533227</t>
  </si>
  <si>
    <t>649741</t>
  </si>
  <si>
    <t>566432</t>
  </si>
  <si>
    <t>649742</t>
  </si>
  <si>
    <t>649429</t>
  </si>
  <si>
    <t>649743</t>
  </si>
  <si>
    <t>651388</t>
  </si>
  <si>
    <t>649744</t>
  </si>
  <si>
    <t>649756</t>
  </si>
  <si>
    <t>518545</t>
  </si>
  <si>
    <t>649754</t>
  </si>
  <si>
    <t>564782</t>
  </si>
  <si>
    <t>580347</t>
  </si>
  <si>
    <t>518512</t>
  </si>
  <si>
    <t>564035</t>
  </si>
  <si>
    <t>518516</t>
  </si>
  <si>
    <t>564036</t>
  </si>
  <si>
    <t>583439</t>
  </si>
  <si>
    <t>649755</t>
  </si>
  <si>
    <t>649760</t>
  </si>
  <si>
    <t>515291</t>
  </si>
  <si>
    <t>535804</t>
  </si>
  <si>
    <t>533070</t>
  </si>
  <si>
    <t>649427</t>
  </si>
  <si>
    <t>518499</t>
  </si>
  <si>
    <t>539849</t>
  </si>
  <si>
    <t>581686</t>
  </si>
  <si>
    <t>518505</t>
  </si>
  <si>
    <t>649405</t>
  </si>
  <si>
    <t>565624</t>
  </si>
  <si>
    <t>649763</t>
  </si>
  <si>
    <t>518507</t>
  </si>
  <si>
    <t>564623</t>
  </si>
  <si>
    <t>563785</t>
  </si>
  <si>
    <t>564612</t>
  </si>
  <si>
    <t>649762</t>
  </si>
  <si>
    <t>531871</t>
  </si>
  <si>
    <t>649761</t>
  </si>
  <si>
    <t>527018</t>
  </si>
  <si>
    <t>649428</t>
  </si>
  <si>
    <t>543574</t>
  </si>
  <si>
    <t>564544</t>
  </si>
  <si>
    <t>516287</t>
  </si>
  <si>
    <t>516988</t>
  </si>
  <si>
    <t>649412</t>
  </si>
  <si>
    <t>649770</t>
  </si>
  <si>
    <t>564779</t>
  </si>
  <si>
    <t>564863</t>
  </si>
  <si>
    <t>516232</t>
  </si>
  <si>
    <t>516228</t>
  </si>
  <si>
    <t>649525</t>
  </si>
  <si>
    <t>518515</t>
  </si>
  <si>
    <t>649526</t>
  </si>
  <si>
    <t>580348</t>
  </si>
  <si>
    <t>564869</t>
  </si>
  <si>
    <t>564861</t>
  </si>
  <si>
    <t>516299</t>
  </si>
  <si>
    <t>518533</t>
  </si>
  <si>
    <t>516234</t>
  </si>
  <si>
    <t>649523</t>
  </si>
  <si>
    <t>516282</t>
  </si>
  <si>
    <t>564587</t>
  </si>
  <si>
    <t>649508</t>
  </si>
  <si>
    <t>564831</t>
  </si>
  <si>
    <t>649402</t>
  </si>
  <si>
    <t>649375</t>
  </si>
  <si>
    <t>566458</t>
  </si>
  <si>
    <t>535515</t>
  </si>
  <si>
    <t>532220</t>
  </si>
  <si>
    <t>538166</t>
  </si>
  <si>
    <t>535514</t>
  </si>
  <si>
    <t>649510</t>
  </si>
  <si>
    <t>649512</t>
  </si>
  <si>
    <t>651083</t>
  </si>
  <si>
    <t>651082</t>
  </si>
  <si>
    <t>651081</t>
  </si>
  <si>
    <t>651080</t>
  </si>
  <si>
    <t>651079</t>
  </si>
  <si>
    <t>651078</t>
  </si>
  <si>
    <t>651077</t>
  </si>
  <si>
    <t>651076</t>
  </si>
  <si>
    <t>651075</t>
  </si>
  <si>
    <t>651074</t>
  </si>
  <si>
    <t>651072</t>
  </si>
  <si>
    <t>649509</t>
  </si>
  <si>
    <t>651073</t>
  </si>
  <si>
    <t>516345</t>
  </si>
  <si>
    <t>518523</t>
  </si>
  <si>
    <t>535596</t>
  </si>
  <si>
    <t>518490</t>
  </si>
  <si>
    <t>651393</t>
  </si>
  <si>
    <t>583444</t>
  </si>
  <si>
    <t>651381</t>
  </si>
  <si>
    <t>583948</t>
  </si>
  <si>
    <t>517047</t>
  </si>
  <si>
    <t>566240</t>
  </si>
  <si>
    <t>564745</t>
  </si>
  <si>
    <t>518495</t>
  </si>
  <si>
    <t>564743</t>
  </si>
  <si>
    <t>516948</t>
  </si>
  <si>
    <t>518497</t>
  </si>
  <si>
    <t>564747</t>
  </si>
  <si>
    <t>518491</t>
  </si>
  <si>
    <t>583460</t>
  </si>
  <si>
    <t>564749</t>
  </si>
  <si>
    <t>651391</t>
  </si>
  <si>
    <t>518492</t>
  </si>
  <si>
    <t>564565</t>
  </si>
  <si>
    <t>516018</t>
  </si>
  <si>
    <t>516009</t>
  </si>
  <si>
    <t>651103</t>
  </si>
  <si>
    <t>566232</t>
  </si>
  <si>
    <t>564847</t>
  </si>
  <si>
    <t>519362</t>
  </si>
  <si>
    <t>649416</t>
  </si>
  <si>
    <t>527285</t>
  </si>
  <si>
    <t>649646</t>
  </si>
  <si>
    <t>564773</t>
  </si>
  <si>
    <t>651101</t>
  </si>
  <si>
    <t>516235</t>
  </si>
  <si>
    <t>564797</t>
  </si>
  <si>
    <t>565749</t>
  </si>
  <si>
    <t>564517</t>
  </si>
  <si>
    <t>518496</t>
  </si>
  <si>
    <t>564799</t>
  </si>
  <si>
    <t>564784</t>
  </si>
  <si>
    <t>583305</t>
  </si>
  <si>
    <t>651384</t>
  </si>
  <si>
    <t>535311</t>
  </si>
  <si>
    <t>516015</t>
  </si>
  <si>
    <t>518500</t>
  </si>
  <si>
    <t>564555</t>
  </si>
  <si>
    <t>517128</t>
  </si>
  <si>
    <t>516014</t>
  </si>
  <si>
    <t>516017</t>
  </si>
  <si>
    <t>518502</t>
  </si>
  <si>
    <t>564554</t>
  </si>
  <si>
    <t>516008</t>
  </si>
  <si>
    <t>516016</t>
  </si>
  <si>
    <t>515617</t>
  </si>
  <si>
    <t>518501</t>
  </si>
  <si>
    <t>564727</t>
  </si>
  <si>
    <t>564723</t>
  </si>
  <si>
    <t>580341</t>
  </si>
  <si>
    <t>564725</t>
  </si>
  <si>
    <t>564721</t>
  </si>
  <si>
    <t>564716</t>
  </si>
  <si>
    <t>534673</t>
  </si>
  <si>
    <t>564786</t>
  </si>
  <si>
    <t>515121</t>
  </si>
  <si>
    <t>650642</t>
  </si>
  <si>
    <t>527290</t>
  </si>
  <si>
    <t>516334</t>
  </si>
  <si>
    <t>650662</t>
  </si>
  <si>
    <t>651394</t>
  </si>
  <si>
    <t>564894</t>
  </si>
  <si>
    <t>517894</t>
  </si>
  <si>
    <t>565742</t>
  </si>
  <si>
    <t>CPU</t>
  </si>
  <si>
    <t>PIZAARRON BLANCO 90X60 CM</t>
  </si>
  <si>
    <t>AKBERTO MANZO SILVA</t>
  </si>
  <si>
    <t>82DK0 511010016 000756028</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</si>
  <si>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</si>
  <si>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</si>
  <si>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</si>
  <si>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</si>
  <si>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</si>
  <si>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</si>
  <si>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</si>
  <si>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</si>
  <si>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</si>
  <si>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</si>
  <si>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</si>
  <si>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</si>
  <si>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</si>
  <si>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</si>
  <si>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</si>
  <si>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</si>
  <si>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</si>
  <si>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</si>
  <si>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</si>
  <si>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</si>
  <si>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</si>
  <si>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</si>
  <si>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</si>
  <si>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</si>
  <si>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</si>
  <si>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</si>
  <si>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</si>
  <si>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</si>
  <si>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</si>
  <si>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</si>
  <si>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</si>
  <si>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</si>
  <si>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</si>
  <si>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</si>
  <si>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</si>
  <si>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</si>
  <si>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</si>
  <si>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</si>
  <si>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</si>
  <si>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</si>
  <si>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</si>
  <si>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</si>
  <si>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</si>
  <si>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</si>
  <si>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</si>
  <si>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</si>
  <si>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</si>
  <si>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</si>
  <si>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</si>
  <si>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</si>
  <si>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</si>
  <si>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</si>
  <si>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82DJ0511010001000649475</t>
  </si>
  <si>
    <t>ARCHIVERO (PARA EXPOSICION)</t>
  </si>
  <si>
    <t>CHAROLA (ESTANTE)</t>
  </si>
  <si>
    <t>COMPLEMENTO DE OFICINA</t>
  </si>
  <si>
    <t>5120100004-16</t>
  </si>
  <si>
    <t>NT-751</t>
  </si>
  <si>
    <t>LIBRERO (PARA EXPOSICION)</t>
  </si>
  <si>
    <t>5130100126-4</t>
  </si>
  <si>
    <t>5120100007-112</t>
  </si>
  <si>
    <t>5120100007-129</t>
  </si>
  <si>
    <t>5120100007-118</t>
  </si>
  <si>
    <t>5120100007-5</t>
  </si>
  <si>
    <t>NICHO PARA BANDERA (PARA EXPOSICION)</t>
  </si>
  <si>
    <t>Otro mobiliario</t>
  </si>
  <si>
    <t>5290300001-31</t>
  </si>
  <si>
    <t>CADPE-UJ00661</t>
  </si>
  <si>
    <t>5290300001-30</t>
  </si>
  <si>
    <t>5110100011-2</t>
  </si>
  <si>
    <t>5110100011-64</t>
  </si>
  <si>
    <t>SILLA TIJERA</t>
  </si>
  <si>
    <t>5110100022-1</t>
  </si>
  <si>
    <t>SILLAS DE VISITA MODELO ISO</t>
  </si>
  <si>
    <t>5110100022-2</t>
  </si>
  <si>
    <t>5110100022-5</t>
  </si>
  <si>
    <t>5110100022-6</t>
  </si>
  <si>
    <t>5120100009-63</t>
  </si>
  <si>
    <t>5120100009-29</t>
  </si>
  <si>
    <t>5120100009-45</t>
  </si>
  <si>
    <t>5110100020-1</t>
  </si>
  <si>
    <t>SILLON DE OFICINA ERGONOMICO</t>
  </si>
  <si>
    <t>5110100021-1</t>
  </si>
  <si>
    <t>SILLON EJECUTIVO AJUSTABLE</t>
  </si>
  <si>
    <t>5110100021-2</t>
  </si>
  <si>
    <t>5110100021-3</t>
  </si>
  <si>
    <t>5110100021-4</t>
  </si>
  <si>
    <t>5110100021-5</t>
  </si>
  <si>
    <t>5110100021-6</t>
  </si>
  <si>
    <t>5110100021-7</t>
  </si>
  <si>
    <t>5110100018-1</t>
  </si>
  <si>
    <t>SILLON EJECUTIVO DE VISITA BASE TRINEO</t>
  </si>
  <si>
    <t>5110100018-2</t>
  </si>
  <si>
    <t>5110100019-1</t>
  </si>
  <si>
    <t>SILLON EJECUTIVO RESPALDO ALTO</t>
  </si>
  <si>
    <t>5110100019-2</t>
  </si>
  <si>
    <t>5120100010-1</t>
  </si>
  <si>
    <t>BASCULA DE PLATAFORMA PLEGABLE 200KG</t>
  </si>
  <si>
    <t>5120100011-1</t>
  </si>
  <si>
    <t>BASCULA GRAMERA DIGITAL 5KG</t>
  </si>
  <si>
    <t>CAJA FUERTE (PARA EXPOSICION)</t>
  </si>
  <si>
    <t>4745-60</t>
  </si>
  <si>
    <t>5120100004-33</t>
  </si>
  <si>
    <t>5120100007-162</t>
  </si>
  <si>
    <t>5120100007-167</t>
  </si>
  <si>
    <t>MUEBLES, EXCEPTO DE OFICINA Y ESTANTERÍA</t>
  </si>
  <si>
    <t>32KH561295</t>
  </si>
  <si>
    <t>5150100005-4</t>
  </si>
  <si>
    <t>COMPUTADORA</t>
  </si>
  <si>
    <t>GC454AV</t>
  </si>
  <si>
    <t>AIO310</t>
  </si>
  <si>
    <t>VRA20110254</t>
  </si>
  <si>
    <t>PCGHIA/2378</t>
  </si>
  <si>
    <t>CS03111913</t>
  </si>
  <si>
    <t>A.CER</t>
  </si>
  <si>
    <t>S302019</t>
  </si>
  <si>
    <t>HP PAVILION</t>
  </si>
  <si>
    <t>5150100005-38</t>
  </si>
  <si>
    <t>3CCOM</t>
  </si>
  <si>
    <t>LV5G3K017781</t>
  </si>
  <si>
    <t>P57523031HU4</t>
  </si>
  <si>
    <t>5150100005-26</t>
  </si>
  <si>
    <t>CADPE-STO-0004</t>
  </si>
  <si>
    <t>AIO24/R007</t>
  </si>
  <si>
    <t>DTSLRA001243028903000</t>
  </si>
  <si>
    <t>2UX81724G</t>
  </si>
  <si>
    <t>5150100005-80</t>
  </si>
  <si>
    <t>DL16DG5</t>
  </si>
  <si>
    <t>NIALL GI004</t>
  </si>
  <si>
    <t>5150100005-97</t>
  </si>
  <si>
    <t>5150100005-100</t>
  </si>
  <si>
    <t>PROLIANTML30</t>
  </si>
  <si>
    <t>DCVBLK</t>
  </si>
  <si>
    <t>INTERLINET</t>
  </si>
  <si>
    <t>NHQ6ZAL00403605A5A3400</t>
  </si>
  <si>
    <t>MC8-Q500L-KANNS00</t>
  </si>
  <si>
    <t>SYNGOLOGY</t>
  </si>
  <si>
    <t>2208FY0BC7857022414</t>
  </si>
  <si>
    <t>TLWN7229</t>
  </si>
  <si>
    <t>5150100005-123</t>
  </si>
  <si>
    <t>8710B</t>
  </si>
  <si>
    <t>CNU744D4HB</t>
  </si>
  <si>
    <t>LINKS</t>
  </si>
  <si>
    <t>MMTASAA007052057853P00</t>
  </si>
  <si>
    <t>MMTASAA00700520544C3P00</t>
  </si>
  <si>
    <t>MMLXAA0250480B4A24273</t>
  </si>
  <si>
    <t>MMTAASAA007109004B63P00</t>
  </si>
  <si>
    <t>AHV300</t>
  </si>
  <si>
    <t>5150100006-16</t>
  </si>
  <si>
    <t>5150100006-8</t>
  </si>
  <si>
    <t>BROBOTIX</t>
  </si>
  <si>
    <t>5150100011-1</t>
  </si>
  <si>
    <t>DISCO DURO EXTERNO 2TB</t>
  </si>
  <si>
    <t>5150100016-2</t>
  </si>
  <si>
    <t>HUB USB MANHATTAN 4 PUERTOS 3.0</t>
  </si>
  <si>
    <t>5150100016-3</t>
  </si>
  <si>
    <t>5150100016-1</t>
  </si>
  <si>
    <t>5150100007-9</t>
  </si>
  <si>
    <t>C462D</t>
  </si>
  <si>
    <t>C10129</t>
  </si>
  <si>
    <t>R31219</t>
  </si>
  <si>
    <t>5150100018-1</t>
  </si>
  <si>
    <t>LAPTOP INTEL CORE, 32 GB</t>
  </si>
  <si>
    <t>CMGZ017180136801847</t>
  </si>
  <si>
    <t>CMG201780136831823</t>
  </si>
  <si>
    <t>WINDSCREEN</t>
  </si>
  <si>
    <t>PE16H9NQ2121118W</t>
  </si>
  <si>
    <t>PEI6HPN8210115T</t>
  </si>
  <si>
    <t>CNC821Y8JB</t>
  </si>
  <si>
    <t>5210100012-17</t>
  </si>
  <si>
    <t>CMG2017180136801745</t>
  </si>
  <si>
    <t>GATWEY</t>
  </si>
  <si>
    <t>805824-001</t>
  </si>
  <si>
    <t>5150100014-3</t>
  </si>
  <si>
    <t>MONITOR LED DELL</t>
  </si>
  <si>
    <t>5150100014-5</t>
  </si>
  <si>
    <t>5150100014-7</t>
  </si>
  <si>
    <t>5150100014-10</t>
  </si>
  <si>
    <t>5150100014-9</t>
  </si>
  <si>
    <t>5150100014-8</t>
  </si>
  <si>
    <t>5150100014-6</t>
  </si>
  <si>
    <t>5150100014-2</t>
  </si>
  <si>
    <t>5150100014-4</t>
  </si>
  <si>
    <t>5150100014-1</t>
  </si>
  <si>
    <t>5150100014-11</t>
  </si>
  <si>
    <t>5150100010-3</t>
  </si>
  <si>
    <t>MONITOR LED LG</t>
  </si>
  <si>
    <t>5150100010-1</t>
  </si>
  <si>
    <t>5150100010-2</t>
  </si>
  <si>
    <t>D9L18-64001</t>
  </si>
  <si>
    <t>PRO8710</t>
  </si>
  <si>
    <t>SN634BMOCT</t>
  </si>
  <si>
    <t>S50</t>
  </si>
  <si>
    <t>5150100013-1</t>
  </si>
  <si>
    <t>PC DELL INTEL CORE</t>
  </si>
  <si>
    <t>5150100013-2</t>
  </si>
  <si>
    <t>5150100013-3</t>
  </si>
  <si>
    <t>5150100013-4</t>
  </si>
  <si>
    <t>5150100013-5</t>
  </si>
  <si>
    <t>5150100013-6</t>
  </si>
  <si>
    <t>5150100013-7</t>
  </si>
  <si>
    <t>5150100013-8</t>
  </si>
  <si>
    <t>5150100013-9</t>
  </si>
  <si>
    <t>5150100012-1</t>
  </si>
  <si>
    <t>QUEMADOR LENOVO</t>
  </si>
  <si>
    <t>5150100015-1</t>
  </si>
  <si>
    <t>SWITCH TP-LINK 8 PUERTOS</t>
  </si>
  <si>
    <t>4L000H118469</t>
  </si>
  <si>
    <t>CDA504G</t>
  </si>
  <si>
    <t>5650100010-2</t>
  </si>
  <si>
    <t>AVAXA</t>
  </si>
  <si>
    <t>E169</t>
  </si>
  <si>
    <t>5650100010-15</t>
  </si>
  <si>
    <t>SPA5X501</t>
  </si>
  <si>
    <t>5650100010-12</t>
  </si>
  <si>
    <t>5650100010-13</t>
  </si>
  <si>
    <t>5650100010-14</t>
  </si>
  <si>
    <t>5150100017-1</t>
  </si>
  <si>
    <t>UNIDAD OPTICA EXTERNA DVD DELL</t>
  </si>
  <si>
    <t>5150100017-2</t>
  </si>
  <si>
    <t>RS/1400/I</t>
  </si>
  <si>
    <t>NN/SB636WRUH</t>
  </si>
  <si>
    <t>DAEVOO</t>
  </si>
  <si>
    <t>TELEVISION</t>
  </si>
  <si>
    <t>SMK3219</t>
  </si>
  <si>
    <t>5190100032-1</t>
  </si>
  <si>
    <t>TELEVISION LED HISENSE</t>
  </si>
  <si>
    <t>5190100035-1</t>
  </si>
  <si>
    <t>5190100035-2</t>
  </si>
  <si>
    <t>5190100035-3</t>
  </si>
  <si>
    <t>5190100035-4</t>
  </si>
  <si>
    <t>5190100034-4</t>
  </si>
  <si>
    <t>VENTILADOR DE PARED 18 PULGADAS</t>
  </si>
  <si>
    <t>5190100034-1</t>
  </si>
  <si>
    <t>5190100033-1</t>
  </si>
  <si>
    <t>VENTILADOR DE TORRE CON CONTROL</t>
  </si>
  <si>
    <t>VENTILADOR PORTATIL</t>
  </si>
  <si>
    <t>VIDEO CAMARA</t>
  </si>
  <si>
    <t>597U4700251009727</t>
  </si>
  <si>
    <t>WF19107</t>
  </si>
  <si>
    <t>PANTALLA PROYECTOR</t>
  </si>
  <si>
    <t>PROYECTOR MULTIPLE</t>
  </si>
  <si>
    <t>ELPLP78</t>
  </si>
  <si>
    <t>AUTOMOVIL SEDAN</t>
  </si>
  <si>
    <t>CAMIONETA (GUAYIN, PANEL, ESTACAS-REDILAS)</t>
  </si>
  <si>
    <t>9BFBT32N1579699496</t>
  </si>
  <si>
    <t>MOTOCICLETA</t>
  </si>
  <si>
    <t>5410400001-1</t>
  </si>
  <si>
    <t>Vehículos y equipo terrestres, destinados a servicios administrativos.</t>
  </si>
  <si>
    <t>5N1ED28T54C642850</t>
  </si>
  <si>
    <t>5410400001-2</t>
  </si>
  <si>
    <t>SISTEMAS DE AIRE ACONDICIONADO, CALEFACCIÓN Y DE REFRIGERACIÓN INDUSTRIAL Y COMERCIAL</t>
  </si>
  <si>
    <t>BLANCO TRANE</t>
  </si>
  <si>
    <t>BRITMAN</t>
  </si>
  <si>
    <t>WIND DANCE</t>
  </si>
  <si>
    <t>5190200002-8</t>
  </si>
  <si>
    <t>FD-40M GUN</t>
  </si>
  <si>
    <t>MY3358</t>
  </si>
  <si>
    <t>5650100010-40</t>
  </si>
  <si>
    <t>5650100010-41</t>
  </si>
  <si>
    <t>5650100010-42</t>
  </si>
  <si>
    <t>5650100010-43</t>
  </si>
  <si>
    <t>cisco</t>
  </si>
  <si>
    <t>SMARTH-UPS SUA3000</t>
  </si>
  <si>
    <t>AS191B154494</t>
  </si>
  <si>
    <t>5150100008-47</t>
  </si>
  <si>
    <t>5150100008-39</t>
  </si>
  <si>
    <t>B771</t>
  </si>
  <si>
    <t>5150100008-36</t>
  </si>
  <si>
    <t>NP/751</t>
  </si>
  <si>
    <t>CYBERPOWER</t>
  </si>
  <si>
    <t>5150100008-23</t>
  </si>
  <si>
    <t>BE350G</t>
  </si>
  <si>
    <t>RS1400/I</t>
  </si>
  <si>
    <t>1350I</t>
  </si>
  <si>
    <t>5660100057-2</t>
  </si>
  <si>
    <t>0M7504PLUB</t>
  </si>
  <si>
    <t>5670100003-1</t>
  </si>
  <si>
    <t>CALIBRADOR MICROMETRO RESISTENTE 25MM</t>
  </si>
  <si>
    <t>TAPETE ALFOMBRA (PARA EXPOSICION)</t>
  </si>
  <si>
    <t>SIN MODELO</t>
  </si>
  <si>
    <t>5970100002-1</t>
  </si>
  <si>
    <t>LICENCIA ENCRYPTA</t>
  </si>
  <si>
    <t>5970100001-1</t>
  </si>
  <si>
    <t>LICENCIAS INFORMÁTICAS E INTELECTUALES</t>
  </si>
  <si>
    <t>5970100003-1</t>
  </si>
  <si>
    <t>PAQUETE MI FIEL</t>
  </si>
  <si>
    <t>csubc</t>
  </si>
  <si>
    <t>Código Producto</t>
  </si>
  <si>
    <t>Marca</t>
  </si>
  <si>
    <t>Código Empleado Jefe Area</t>
  </si>
  <si>
    <t>Columna1</t>
  </si>
  <si>
    <t>Código Empleado Responsable Seguimiento</t>
  </si>
  <si>
    <t>Comentarios</t>
  </si>
  <si>
    <t>OBSERVACIONES</t>
  </si>
  <si>
    <t>Fax y teléfono y arneses</t>
  </si>
  <si>
    <t>GUILLERMO LOAIZA GÓMEZ</t>
  </si>
  <si>
    <t>TELEFONO NEGRO CON GRIS</t>
  </si>
  <si>
    <t>Reguladores</t>
  </si>
  <si>
    <t>Computadoras</t>
  </si>
  <si>
    <t>COMPUTADORA  GRIS CON NEGRO</t>
  </si>
  <si>
    <t>Libreros</t>
  </si>
  <si>
    <t>JULIO CESAR  LARIOS BOCANEGRA</t>
  </si>
  <si>
    <t>LIBRERO DE MADERA CAFÉ</t>
  </si>
  <si>
    <t>Ventiladores domésticos</t>
  </si>
  <si>
    <t>82DH0515010001000564515</t>
  </si>
  <si>
    <t>Sillones</t>
  </si>
  <si>
    <t>REPETIDO BAJA</t>
  </si>
  <si>
    <t>BAJA NO ENCONTRADO</t>
  </si>
  <si>
    <t>82DH0515010001000539016</t>
  </si>
  <si>
    <t>Monitores</t>
  </si>
  <si>
    <t>MONITOR NEGRO</t>
  </si>
  <si>
    <t>okPATRIMONIO</t>
  </si>
  <si>
    <t>HERIBERTO CAMACHO MAYA</t>
  </si>
  <si>
    <t>MARÍA SELENE LICEA GARIBAY</t>
  </si>
  <si>
    <t>Impresoras</t>
  </si>
  <si>
    <t>Mesas</t>
  </si>
  <si>
    <t>IRMA KARINA MAGAÑA HERREJÓN</t>
  </si>
  <si>
    <t>Automóviles</t>
  </si>
  <si>
    <t>XTERRA SE 4X2</t>
  </si>
  <si>
    <t>GRAND CHEROKEE LIMITED</t>
  </si>
  <si>
    <t>SEDAN</t>
  </si>
  <si>
    <t>82DH0515010003000649692</t>
  </si>
  <si>
    <t>COURIER 4X2 PICK UP</t>
  </si>
  <si>
    <t>Archiveros</t>
  </si>
  <si>
    <t>MODULO HEXAGONAL</t>
  </si>
  <si>
    <t>82DH0515010003000649673</t>
  </si>
  <si>
    <t>Servidores</t>
  </si>
  <si>
    <t>82DK0519010020000564632</t>
  </si>
  <si>
    <t>82DH0515010003000649649</t>
  </si>
  <si>
    <t>SILLON NEGRO CON MADERA</t>
  </si>
  <si>
    <t>82DK0511010017000518535</t>
  </si>
  <si>
    <t>MESA VERDE CON BASE DE METAL</t>
  </si>
  <si>
    <t>Anaqueles</t>
  </si>
  <si>
    <t>ANAQUEL DE METAL</t>
  </si>
  <si>
    <t>82DJ0515010002000533213</t>
  </si>
  <si>
    <t>82DH0515010002000649674</t>
  </si>
  <si>
    <t>Equipos telefónicos</t>
  </si>
  <si>
    <t>82DH0515010002000535852</t>
  </si>
  <si>
    <t>JOSETTE ADRIANA SALINAS  GIL</t>
  </si>
  <si>
    <t>82DH0515010002000539098</t>
  </si>
  <si>
    <t>82DH0515010002000539099</t>
  </si>
  <si>
    <t>Muebles ensamblados</t>
  </si>
  <si>
    <t>82DH0515010002000539981</t>
  </si>
  <si>
    <t>BAJA REPETIDO</t>
  </si>
  <si>
    <t>no</t>
  </si>
  <si>
    <t>82DJ0515010006000600317</t>
  </si>
  <si>
    <t>82DH0531010094000539195</t>
  </si>
  <si>
    <t>82DH0565010001000533071</t>
  </si>
  <si>
    <t>82DH0511010006000649642</t>
  </si>
  <si>
    <t>82DH0511010006000649652</t>
  </si>
  <si>
    <t>82DI0511010016000515606</t>
  </si>
  <si>
    <t>82DH0511010006000649740</t>
  </si>
  <si>
    <t>82DH0515010025000539102</t>
  </si>
  <si>
    <t>82DH0515010022000542043</t>
  </si>
  <si>
    <t>82DH0515010022000542042</t>
  </si>
  <si>
    <t>82DH0515010016000522284</t>
  </si>
  <si>
    <t>82DI0515010016000516043</t>
  </si>
  <si>
    <t>82DI0515010016000539065</t>
  </si>
  <si>
    <t>82DH0515010016000564571</t>
  </si>
  <si>
    <t>82DH0512010011000515317</t>
  </si>
  <si>
    <t>82DH0565010041000566535</t>
  </si>
  <si>
    <t>82DJ0565010041000579561</t>
  </si>
  <si>
    <t>82Dk0519010030000566299</t>
  </si>
  <si>
    <t>82DH0515010006000535083</t>
  </si>
  <si>
    <t>82DH0511010020000649681</t>
  </si>
  <si>
    <t>82DI0565010001000649568</t>
  </si>
  <si>
    <t>82DH0515010020000650645</t>
  </si>
  <si>
    <t>82DJ0515010016000539071</t>
  </si>
  <si>
    <t>82DJ0515010013000649501</t>
  </si>
  <si>
    <t>82DJ0515010010000649477</t>
  </si>
  <si>
    <t>82DJ0512010011000515365</t>
  </si>
  <si>
    <t>82DJ0511010006000649502</t>
  </si>
  <si>
    <t>82DH0511010010000649645</t>
  </si>
  <si>
    <t>82DH0511010010000649655</t>
  </si>
  <si>
    <t>82DH0511010010000649656</t>
  </si>
  <si>
    <t>82DH0511010010000649657</t>
  </si>
  <si>
    <t>82DK0531010065000564829</t>
  </si>
  <si>
    <t>82DK0519010030000566299</t>
  </si>
  <si>
    <t>82DH0531010065000564741</t>
  </si>
  <si>
    <t>82DK0515010006000649401</t>
  </si>
  <si>
    <t>82DH0531010065000564879</t>
  </si>
  <si>
    <t>82DK0515010001000539034</t>
  </si>
  <si>
    <t>82DK0511010027000649635</t>
  </si>
  <si>
    <t>82DK0511010005000583323</t>
  </si>
  <si>
    <t>82DH0515010013000649684</t>
  </si>
  <si>
    <t>82DH0515010013000649643</t>
  </si>
  <si>
    <t>82DH0515010013000651132</t>
  </si>
  <si>
    <t>82DH0515010016000649686</t>
  </si>
  <si>
    <t>82DH0515010016000651125</t>
  </si>
  <si>
    <t>82DH0515010020000649677</t>
  </si>
  <si>
    <t>82DH0515010042000649678</t>
  </si>
  <si>
    <t>82DH0515010042000649679</t>
  </si>
  <si>
    <t>82DH0515010042000649685</t>
  </si>
  <si>
    <t>82DH0515010026000649647</t>
  </si>
  <si>
    <t>82DH0515010026000651139</t>
  </si>
  <si>
    <t>82DH0565010001000649680</t>
  </si>
  <si>
    <t>82DH0565010001000539085</t>
  </si>
  <si>
    <t>82DH0519010043000649654</t>
  </si>
  <si>
    <t>82DH0515010025000542282</t>
  </si>
  <si>
    <t>82DH0515010020000565919</t>
  </si>
  <si>
    <t>82DH0515010013000649675</t>
  </si>
  <si>
    <t>82DH0515010002000535815</t>
  </si>
  <si>
    <t>82DH0515010001000564516</t>
  </si>
  <si>
    <t>82DH0515010001000539015</t>
  </si>
  <si>
    <t>82DH0511010017000522523</t>
  </si>
  <si>
    <t>82DH0531010065000580847</t>
  </si>
  <si>
    <t>82DH0565010041000539120</t>
  </si>
  <si>
    <t>82DH0515010016000522285</t>
  </si>
  <si>
    <t>82DH0531010094000564890</t>
  </si>
  <si>
    <t>82DH0531010094000564889</t>
  </si>
  <si>
    <t>CREDENZA_DE_MADERA_120X40</t>
  </si>
  <si>
    <t>VENTILADOR_DE_TORRE_NEGRO</t>
  </si>
  <si>
    <t>PIZAARRON_BLANCO_90X60_CM</t>
  </si>
  <si>
    <t>ARCHIVERO_DE_MADERA_4_CAJONES</t>
  </si>
  <si>
    <t>LIBRERO_DE_MADERA</t>
  </si>
  <si>
    <t>LOCKER_DE_MADERA_DOS_PUERTAS_194X79X43</t>
  </si>
  <si>
    <t>SIN_RESGUARDO</t>
  </si>
  <si>
    <t>LOCKER_DE_MADERA_DOS_PUERTAS_165X80X43</t>
  </si>
  <si>
    <t>MESA_DE_MADERA_CON_BASE_DE_METAL_80X60X50</t>
  </si>
  <si>
    <t>ARCHIVERO_DE_MADERA_2_CAJONES_76X100X56</t>
  </si>
  <si>
    <t>CREDENZA_DE_MADERA_4_PUERTAS</t>
  </si>
  <si>
    <t>ESCRITORIO_DE_MADERA</t>
  </si>
  <si>
    <t>ESCRITORIO_COMPLEMENTO</t>
  </si>
  <si>
    <t>ESCRITORIO_DE_MADERA_TIPO_ISLA_4_PIEZAS</t>
  </si>
  <si>
    <t>IMPRESORA_MULTIFUNCIONAL</t>
  </si>
  <si>
    <t>MONITOR_19.5"</t>
  </si>
  <si>
    <t>TELEFONO_GRIS_IP</t>
  </si>
  <si>
    <t>FRIGOBAR_GRIS_2_PIES</t>
  </si>
  <si>
    <t>SILLON_NEGRO_VINIPIEL_CON_RUEDAS</t>
  </si>
  <si>
    <t>PIZARRON_DE_CORCHO_90X60</t>
  </si>
  <si>
    <t>COMPUTADORA_ALL_IN_ONE_BLANCA_CON_BASE_METALICA</t>
  </si>
  <si>
    <t>DISCO_DURO_EXTERNO_1TB</t>
  </si>
  <si>
    <t>SILLON_NEGO_VINIPIEL_CON_BASE_METALICA</t>
  </si>
  <si>
    <t>PERCHERO_NEGRO</t>
  </si>
  <si>
    <t>TRITURADORA_DE_PAPEL</t>
  </si>
  <si>
    <t>SILLON_DE_VINIPIEL_CON_RUEDAS</t>
  </si>
  <si>
    <t>ESCRITORIO_DE_MADERA_DE_2_PIEZAS</t>
  </si>
  <si>
    <t>COMPUTADORA_DE_ESCRITORIO</t>
  </si>
  <si>
    <t>COMPLEMENTO_DE_EQUIPO_DE_MADERA</t>
  </si>
  <si>
    <t>TELEFONO_GRIS</t>
  </si>
  <si>
    <t>MONITOR_21.5"</t>
  </si>
  <si>
    <t>NO_BREAK</t>
  </si>
  <si>
    <t>MESA_DE_MADERA_CON_BASE_DE_METAL_BAJA_60X40X37</t>
  </si>
  <si>
    <t>VENTILADOR_CHICO_GRIS</t>
  </si>
  <si>
    <t>TAJALAPIZ_ELECTRICO</t>
  </si>
  <si>
    <t>ARCHIVERO_GRIS_CON_3_GAVETAS</t>
  </si>
  <si>
    <t>REGULADOR_NEGRO</t>
  </si>
  <si>
    <t>ESCRITORIO_DE_MADERA_140X60</t>
  </si>
  <si>
    <t>MESA_COMPLEMENTO_DE_ESCRITORIO_160X60</t>
  </si>
  <si>
    <t>SILLA_NEGRA_CON_RUEDAS</t>
  </si>
  <si>
    <t>MESA_DE_MADERA_CHICA_CON_RUEDAS_60X40</t>
  </si>
  <si>
    <t>VENTILADOR_GRIS_DE_PARED</t>
  </si>
  <si>
    <t>BANCO_DE_MADERA</t>
  </si>
  <si>
    <t>SILLA_CON_RUEDAS_CAFES</t>
  </si>
  <si>
    <t>MESA DE METAL GRIS CON RUEDAS</t>
  </si>
  <si>
    <t>MESA_DE_METAL_GRIS_CON_RUEDAS</t>
  </si>
  <si>
    <t>SILLÓN_DE_TELA_ALTO</t>
  </si>
  <si>
    <t>VENTILADOR_GRIS</t>
  </si>
  <si>
    <t>RECIBIDOR_DE_MADERA</t>
  </si>
  <si>
    <t>REGULADOR_(IMPRESORA)</t>
  </si>
  <si>
    <t>MESA_DE_MADERA_CON_BASE_DE_METAL_CAOBA</t>
  </si>
  <si>
    <t>ANAQUEL_GRIS_DE_2_PUERTAS</t>
  </si>
  <si>
    <t>SILLA_DE_TELA_CAFÉ</t>
  </si>
  <si>
    <t>SILLA_DE_PIEL_NEGRA</t>
  </si>
  <si>
    <t>MESA_DE_MADERA_CON_BASE_DE_METAL</t>
  </si>
  <si>
    <t>SILLA_DE_TELA_CAFE</t>
  </si>
  <si>
    <t>MESA_DE_MADERA_CHICA_60X50</t>
  </si>
  <si>
    <t>RECIBIDOR_DE_TRES_PLAZAS_COLOR_AZUL</t>
  </si>
  <si>
    <t>PIZARRON_DE_TELA</t>
  </si>
  <si>
    <t>ANAQUEL_GRIS_DE_2_PUERTAS_180X84X50</t>
  </si>
  <si>
    <t>ANAQUEL_GRIS_DE_2_PUERTAS_160X88X40</t>
  </si>
  <si>
    <t>ARCHIVERO DE MADERA 92X49X60</t>
  </si>
  <si>
    <t>ARCHIVERO_DE_MADERA_92X49X60</t>
  </si>
  <si>
    <t>MESA_DE_MADERA_COLOR_CAOBA_CHICA_75X60</t>
  </si>
  <si>
    <t>ESCRITORIO_DE_MADERA_DE_2_PIEZAS_TIPO_"L"</t>
  </si>
  <si>
    <t>SILLA_NEGRA_DE_TELA</t>
  </si>
  <si>
    <t>MESA_DE_MADERA_CHICA_66X40</t>
  </si>
  <si>
    <t>SILLON_NEGRO_CON_RUEDAS</t>
  </si>
  <si>
    <t>VENTILADOR_BEIGE_DE_PEDESTAL</t>
  </si>
  <si>
    <t>COMPUTADORA_TODO_EN_UNO_BLANCO</t>
  </si>
  <si>
    <t>MULTIFUNCIONAL_NEGRO</t>
  </si>
  <si>
    <t>MONITOR_15.6"</t>
  </si>
  <si>
    <t>MONITOR_19"</t>
  </si>
  <si>
    <t>ESTANTE_DE_METAL_CON_4_CHAROLAS_221X92</t>
  </si>
  <si>
    <t>DISCO_DURO_EXTERNO_2TB_COLOR_AZUL</t>
  </si>
  <si>
    <t>PIZARRON_CHICO_90X60</t>
  </si>
  <si>
    <t>MESA_DE_COPIADORA_CON_BASE_DE_METAL_120X60</t>
  </si>
  <si>
    <t>MESA_DE_MADERA_CON_BASE_DE_METAL_CHICA_120X60</t>
  </si>
  <si>
    <t>MESA_DE_MADERA_CON_BASE_DE_METAL_CAOBA_120X60</t>
  </si>
  <si>
    <t>MESA_DE_MADERA_CON_BASE_DE_METAL_CHICA_80X60</t>
  </si>
  <si>
    <t>MESA/TABLON_DE_PLASTICO_BLANCO_243X76</t>
  </si>
  <si>
    <t>MESA/TABLON_DE_PLASTICO_BLANCO_CHICA_120X60</t>
  </si>
  <si>
    <t>ANAQUEL_CREMA_DE_2_PUERTAS_160X60X40</t>
  </si>
  <si>
    <t>COMPUTADORA_TODO_EN_UNO_BLANCA</t>
  </si>
  <si>
    <t>SILLA_DE_MADERA_PEQUEÑA</t>
  </si>
  <si>
    <t>ESCALERA_DE_DOS_ESCALONES</t>
  </si>
  <si>
    <t>ENGARGOLADORA_METAL_GRIS</t>
  </si>
  <si>
    <t>MESA/TABLON_PEGABLE_CHICA_120X60</t>
  </si>
  <si>
    <t>MESA_DE_MADERA_CON_BASE_DE_METAL_120X60</t>
  </si>
  <si>
    <t>SILLA_DE_TELA_NEGRA_FIJA</t>
  </si>
  <si>
    <t>VENTILADOR_GRIS_DE_TORRE</t>
  </si>
  <si>
    <t>VENTILADOR_DE_PEDESTAL_CON_ASPAS_DE_METAL</t>
  </si>
  <si>
    <t>PIZARRON_BLANCO_90X90</t>
  </si>
  <si>
    <t>ESCRITORIO_DE_MADERA_CON_2_CAJONES_120X60</t>
  </si>
  <si>
    <t>SILLÓN_NEGRO_CON_RUEDAS</t>
  </si>
  <si>
    <t>DISCO_DURO_EXTERNO_2TB_COLOR_NEGRO</t>
  </si>
  <si>
    <t>SILLA_GRIS_PLEGABLE</t>
  </si>
  <si>
    <t>MONITOR_18.5"</t>
  </si>
  <si>
    <t>NO_BREAK_NEGRO</t>
  </si>
  <si>
    <t>SILLA_CON_RUEDAS_NEGRA</t>
  </si>
  <si>
    <t>ESCRITORIO_DE_MADERA_CON_2_CAJONES_120X75</t>
  </si>
  <si>
    <t>SILLON_DE_TELA_NEGRO_CON_RUEDAS</t>
  </si>
  <si>
    <t>ESTANTE_DE_METAL_CON_5_CHAROLAS</t>
  </si>
  <si>
    <t>ESTANTE_DE_METAL_CON_7_CHAROLAS</t>
  </si>
  <si>
    <t>ARCHIVERO_DE_MADERA_CON_4_CAJONES_124X50X60</t>
  </si>
  <si>
    <t>CREDENZA_DE_MADERA</t>
  </si>
  <si>
    <t>MESA_COMPLEMENTO</t>
  </si>
  <si>
    <t>ESCRITORIO_DE_MADERA_DE_3_PIEZAS_TIPO_ISLA</t>
  </si>
  <si>
    <t>IMPRESORA_NEGRA</t>
  </si>
  <si>
    <t>ARCHIVERO_DE_METAL_CON_3_CAJONES_105X47X72</t>
  </si>
  <si>
    <t>ARCHIVERO_DE_MADERA_CON_2_CAJONES_66X50X61</t>
  </si>
  <si>
    <t>COMPUTADORA_PORTATIL_TOUCH</t>
  </si>
  <si>
    <t>MESA_COMPLEMENTO_160X60</t>
  </si>
  <si>
    <t>SILLA_NEGRA_DE_TELA_FIJA</t>
  </si>
  <si>
    <t>ESCRITORIO_120X75</t>
  </si>
  <si>
    <t>MESA_DE_MADERA_COMPLEMENTO_160X60</t>
  </si>
  <si>
    <t>COMPUTADORA_NEGRO</t>
  </si>
  <si>
    <t>SILLA_NEGRA_DE_TELA_CON_RUEDAS</t>
  </si>
  <si>
    <t>SILLA_DE_TELA_NEGRA_SEMIEJECUTIVA</t>
  </si>
  <si>
    <t>CREDENZA_DE_MADERA_74X173X46</t>
  </si>
  <si>
    <t>PIZARRON_CON_CORCHO_60X40</t>
  </si>
  <si>
    <t>MODULO_DE_MADERA</t>
  </si>
  <si>
    <t>SILLON_CAFÉ_CON_RUEDAS_(RETAPIZADO)</t>
  </si>
  <si>
    <t>COMPUTADORA_PORTATIL_GRIS</t>
  </si>
  <si>
    <t>SILLON_DE_RECIBIDOR_AZUL</t>
  </si>
  <si>
    <t>MESA_NARANJA_CON_BASE_DE_METAL</t>
  </si>
  <si>
    <t>ANAQUEL_DE_MADERA_DOS_PUERTAS_164X81X42</t>
  </si>
  <si>
    <t>SILLA_NEGRA_CON_BASE_DE_METAL</t>
  </si>
  <si>
    <t>PIZARRON_DE_CORCHO_160X40</t>
  </si>
  <si>
    <t>VENTILADOR_BLANCO_DE_PEDESTAL</t>
  </si>
  <si>
    <t>MESA_DE_MADERA_CON_BASE_DE_METAL_60X40</t>
  </si>
  <si>
    <t>SILLA_DE_TELA_AZUL</t>
  </si>
  <si>
    <t>ARCHIVERO_DE_METAL_GRIS_CON_3_CAJONES</t>
  </si>
  <si>
    <t>ESCRITORIO_DE_MADERA_160X40</t>
  </si>
  <si>
    <t>MESA_COMPLEMENTO_TIPO_BALA_160X60</t>
  </si>
  <si>
    <t>COMPUTADORA_TODO_EN_UNO_NEGRA</t>
  </si>
  <si>
    <t>VENTILADOR_DE_TORRE</t>
  </si>
  <si>
    <t>SILLA_NEGRO_CON_RUEDAS</t>
  </si>
  <si>
    <t>DISCO_DURO</t>
  </si>
  <si>
    <t>ESTANTE_DE_METAL_CON_3_CHAROLAS_90X60</t>
  </si>
  <si>
    <t>SILLON_DE_PIEL_CON_RUEDAS_NEGRO</t>
  </si>
  <si>
    <t>PIZARRON_PARA_GIS_300X90</t>
  </si>
  <si>
    <t>SILLA_DE_TELA_NEGRA</t>
  </si>
  <si>
    <t>ESTANTE_METALICO_CON_5_CHAROLAS</t>
  </si>
  <si>
    <t>CHAROLA_DE_METAL_PARA_ESTANTE_91X30</t>
  </si>
  <si>
    <t>ESTANTE_METALICO_CON_6_CHAROLAS</t>
  </si>
  <si>
    <t>SILLA_CAFE_DE_PIEL_FIJA</t>
  </si>
  <si>
    <t>ARCHIVERO_METALICO_DE_3_CAJONES</t>
  </si>
  <si>
    <t>MESA_DE_MADERA_BLANCA_CON_BASE_DE_METAL</t>
  </si>
  <si>
    <t>MESA_DE_MADERA_CON_PORTA_TECLADO</t>
  </si>
  <si>
    <t>SILLON_DE_PIEL_NEGRO_CON_RUEDAS</t>
  </si>
  <si>
    <t>MONITOR_18"</t>
  </si>
  <si>
    <t>SILLA_DE_MADERA_CON_BASE_DE_METAL_ESCOLAR</t>
  </si>
  <si>
    <t>SILLA_DE_TELA_CAFE_CON_BASE_DE_METAL</t>
  </si>
  <si>
    <t>ESTANTE METALICO CON 3 CHAROLAS 92X45</t>
  </si>
  <si>
    <t>ESTANTE_METALICO_CON_3_CHAROLAS_92X45</t>
  </si>
  <si>
    <t>ESTANTE_METALICO_CON_6_CHAROLAS_88X30</t>
  </si>
  <si>
    <t>ESTANTE_METALICO_CON_7_CHAROLAS_88X30</t>
  </si>
  <si>
    <t>ANAQUEL_DE_METAL_DOS_PUERTAS_GRIS_183X92X46</t>
  </si>
  <si>
    <t>ESCRITORIO_CON_6_CAJONES</t>
  </si>
  <si>
    <t>ADAPTADOR_LECTOR_DE_CD_EXTERNO</t>
  </si>
  <si>
    <t>MESA_DE_MADERA_CAOBA_CON_BASE_DE_METAL_120X60</t>
  </si>
  <si>
    <t>MESA_DE_MADERA_CAOBA_CON_BASE_DE_METAL_80X60</t>
  </si>
  <si>
    <t>PIZARRON_BLANCO_120X90</t>
  </si>
  <si>
    <t>MESA_DE_MADERA_BASE_DE_METAL_100X40</t>
  </si>
  <si>
    <t>ADAPTADOR_LECTOR_DE_CD_EXTERNO_BLUE_RAY</t>
  </si>
  <si>
    <t>MONITOR_27"</t>
  </si>
  <si>
    <t>ESCRITORIO_CON_4_CAJONES</t>
  </si>
  <si>
    <t>MESA DE MADERA CAOBA</t>
  </si>
  <si>
    <t>MESA_DE_MADERA_CAOBA</t>
  </si>
  <si>
    <t>SILLA_DE_TELA_CON_RUEDAS</t>
  </si>
  <si>
    <t>SILLON_NEGRA_CON_RUEDAS</t>
  </si>
  <si>
    <t>PANTALLA_NEGRA_32"</t>
  </si>
  <si>
    <t>MESA_DE_MADERA_COMPLEMENTO_TIPO_BALA</t>
  </si>
  <si>
    <t>NO_BREAK_BLANCO</t>
  </si>
  <si>
    <t>ESCRITORIO_CON_2_CAJONES_Y_SEPARADOR_DE_MADERA</t>
  </si>
  <si>
    <t>VENTILADOR_BLANCO</t>
  </si>
  <si>
    <t>ANTENA_WIFI</t>
  </si>
  <si>
    <t>TARJETA_DE_RED_WIFI_(ANTENA)_USB</t>
  </si>
  <si>
    <t>VENTILADOR_GRIS_TORRE</t>
  </si>
  <si>
    <t>MODULO_DE_MADERA_3_PIEZAS</t>
  </si>
  <si>
    <t>VENTILADOR_DE_PEDESTAL</t>
  </si>
  <si>
    <t>SWITCH_BLANCO</t>
  </si>
  <si>
    <t>ADAPTADOR_LECTOR_DE_DISCOS_DUROS</t>
  </si>
  <si>
    <t>ADAPTADOR DE RED PARA</t>
  </si>
  <si>
    <t>ADAPTADOR_DE_RED_PARA</t>
  </si>
  <si>
    <t>COMPUTADORA_PORTATIL_NEGRA</t>
  </si>
  <si>
    <t>SERVIDOR_NAS</t>
  </si>
  <si>
    <t>RACK_PARA_CHAROLAS</t>
  </si>
  <si>
    <t>PANEL_DE_PARCHEO</t>
  </si>
  <si>
    <t>AIRE_ACONDICIONADO_BLANCO</t>
  </si>
  <si>
    <t>ASPIRADORA_BLANCA</t>
  </si>
  <si>
    <t>ANAQUEL_DE_METAL_GRIS_DE_2_PUERTAS_182X91X46</t>
  </si>
  <si>
    <t>MESA_HEXAGONAL</t>
  </si>
  <si>
    <t>CAMARA_DE_VIGILANCIA</t>
  </si>
  <si>
    <t>ESCRITORIO_DE_MADERA_DE_2_PIEZAS_TIPO_L</t>
  </si>
  <si>
    <t>ANAQUEL_DE_MADERA_CON_METAL_DE_2_PUERTAS_184.5X80X41</t>
  </si>
  <si>
    <t>ARCHIVERO_DE_MADERA_CON_4_CAJONES_127X49X57</t>
  </si>
  <si>
    <t>SILLA_CAFÉ_CON_METAL_TAPIZADA_EN_VINIPIEL</t>
  </si>
  <si>
    <t>ESCRITORIO_DE_MADERA_CAOBA_BASE_DE_METAL_GRIS_121X76</t>
  </si>
  <si>
    <t>SILLA_AZUL_DE_TELA_FIJA_TUBULAR_REDONDO_NEGRO</t>
  </si>
  <si>
    <t>SILLON_EJECUTIVO_DE_TELA_AZUL</t>
  </si>
  <si>
    <t>ARCHIVERO_BEIGE_DE_METAL_4_CAJONES</t>
  </si>
  <si>
    <t>ESTANTE_GRIS_DE_METAL_CON_5_CHAROLAS</t>
  </si>
  <si>
    <t>MESA_DE_MADERA_CON_RUEDAS_60X40</t>
  </si>
  <si>
    <t>SILLON_NEGRO_DE_PIEL</t>
  </si>
  <si>
    <t>PERCHERO_DE_MADERA_CAFÉ</t>
  </si>
  <si>
    <t>ANAQUEL_DE_MADERA_CON_2_PUERTAS_164X80X43</t>
  </si>
  <si>
    <t>MESA_COMPLEMENTO_DE_MADERA</t>
  </si>
  <si>
    <t>ESCRITORIO_DE_MADERA_DE_3_PIEZAS</t>
  </si>
  <si>
    <t>COMPLEMENTARIO_DE_EQUIPO_DE_COMPUTO</t>
  </si>
  <si>
    <t>VENTILADOR_NEGRO_DE_TORRE</t>
  </si>
  <si>
    <t>MESA_COMPLEMENTO_TIPO_BALA_160X60_(SILLÓN_NEGRO_CON_RUEDAS_)</t>
  </si>
  <si>
    <t>ANAQUEL_(locker)_DE_MADERA_DE_2_PUERTAS_165X80X42</t>
  </si>
  <si>
    <t>MESA_DE_JUNTAS_DE_MADERA_300X120</t>
  </si>
  <si>
    <t>SILLÓN_NEGRO_(silla)_DE_PIEL_FIJO</t>
  </si>
  <si>
    <t>SILLA_NEGRA_FIJA</t>
  </si>
  <si>
    <t>MODULO_DE_MADERA_2_PIEZAS</t>
  </si>
  <si>
    <t>ESCRITORIO_DE_MADERA_DE_4_PIEZAS</t>
  </si>
  <si>
    <t>IMPRESORA_BLANCA_CON_NEGRO</t>
  </si>
  <si>
    <t>MONITOR_21"</t>
  </si>
  <si>
    <t>PIZARRON_BLANCO_240X120</t>
  </si>
  <si>
    <t>MESA GRIS CON BASE DE METAL 60X40</t>
  </si>
  <si>
    <t>MESA_GRIS_CON_BASE_DE_METAL_60X40</t>
  </si>
  <si>
    <t>CREDENZA_DE_MADERA_160X40</t>
  </si>
  <si>
    <t>SILLA CAFÉ</t>
  </si>
  <si>
    <t>SILLA_CAFÉ</t>
  </si>
  <si>
    <t>ESTANTE_GRIS_DE_METAL_CON_5_CHAROLAS_45X92</t>
  </si>
  <si>
    <t>ESTANTE_GRIS_DE_METAL_CON_5_CHAROLAS_85X45</t>
  </si>
  <si>
    <t>CHAROLA_METALICA_PARA_ESTANTE</t>
  </si>
  <si>
    <t>ESTANTE_GRIS_DE_METAL_CON_6_CHAROLAS</t>
  </si>
  <si>
    <t>MESA_DE_MADERA_CON_BASE_DE_METAL_100X40</t>
  </si>
  <si>
    <t>TRITURADOR_DE_PAPEL</t>
  </si>
  <si>
    <t>ESCRITORIO_DE_MADERA_150X60</t>
  </si>
  <si>
    <t>ARCHIVERO_DE_MADERA_CON_4_CAJONES_126X49X56</t>
  </si>
  <si>
    <t>ARCHIVERO_DE_MADERA_CON_2_CAJONES_CON_RUEDAS_65X49X40</t>
  </si>
  <si>
    <t>MODULO_PARA_COMPUTADORA</t>
  </si>
  <si>
    <t>VENTILADOR_NEGRO_DE_PEDESTAL</t>
  </si>
  <si>
    <t>ESCRITORIO_DE_MADERA_2_PIEZAS_TIPO_"L"</t>
  </si>
  <si>
    <t>MESA_DE_MADERA_CON_RUEDAS_75X48</t>
  </si>
  <si>
    <t>MESA_BLANCA_DE_MADERA_CON_BASE_DE_METAL</t>
  </si>
  <si>
    <t>SILLON_NEGRO_EJECUTIVO</t>
  </si>
  <si>
    <t>MESA_MADERA_BASE_DE_METAL_120X40</t>
  </si>
  <si>
    <t>SILLA_SECRETARIAL_NEGRA_CON_RUEDAS</t>
  </si>
  <si>
    <t>SILLON_NEGRO_CON_METAL_FIJO</t>
  </si>
  <si>
    <t>MESA_MADERA_BASE_DE_METAL_100X40</t>
  </si>
  <si>
    <t>MESA_DE_MADERA_CON_BASE_DE_METAL_120X40</t>
  </si>
  <si>
    <t>ARCHIVERO_NEGRO_CON_3_CAJONES</t>
  </si>
  <si>
    <t>MESA_DE_MADERA_100X40</t>
  </si>
  <si>
    <t>MESA_DE_MADERA_COMPLEMENTO</t>
  </si>
  <si>
    <t>LIBRERO_DE_MADERA_(credenza)</t>
  </si>
  <si>
    <t>LIBRERO_DE_MADERA_(CREDENZA)</t>
  </si>
  <si>
    <t>MESA_DE_MADERA_120X60</t>
  </si>
  <si>
    <t>MESA_DE_MADERA_150X60</t>
  </si>
  <si>
    <t>ESCRITORIO_DE_MADERA_CON_2_CAJONES</t>
  </si>
  <si>
    <t>SILLA_NEGRA_DE_RUEDAS</t>
  </si>
  <si>
    <t>SILLA_DE_TELA_CAFÉ_FIJA</t>
  </si>
  <si>
    <t>MESA_DE_MADERA_CON_BASE_DE_METAL_CAFE_120X60</t>
  </si>
  <si>
    <t>MESA_GRIS_DE_MADERA_CON_BASE_DE_METAL_80X60</t>
  </si>
  <si>
    <t>CREDENZA_6_CAJONES_2_PUERTAS_180X42</t>
  </si>
  <si>
    <t>ARCHIVERO_(LOCKER)_DE_MADERA_CON_4_CAJONES</t>
  </si>
  <si>
    <t>LIBRERO_DE_MADERA_(COMODA)</t>
  </si>
  <si>
    <t>ESCRITORIO_DE_MADERA_3_PIEZAS</t>
  </si>
  <si>
    <t>MESA_DE_MADERA_CON_BASE_DE_METAL_40X40</t>
  </si>
  <si>
    <t>ESCRITORIO_DE_MADERA_DE_2_CAJONES</t>
  </si>
  <si>
    <t>82DH0531010065000564788</t>
  </si>
  <si>
    <t>COMPUTADORA_NEGRA</t>
  </si>
  <si>
    <t>MESA_DE_MADERA_Y_METAL_120X60</t>
  </si>
  <si>
    <t>SILLON_DE_PIEL_DE_RUEDAS</t>
  </si>
  <si>
    <t>ARCHIVERO_CAFÉ_CON_4_CAJONES_143X48X68</t>
  </si>
  <si>
    <t>ARCHIVERO_BEIGE_CON_4_CAJONES_133X46X71</t>
  </si>
  <si>
    <t>ARCHIVERO_GRIS_CON_4_CAJONES_132X47X64</t>
  </si>
  <si>
    <t>ARCHIVERO_DE_MADERA_CON_4_CAJONES_132X48X62</t>
  </si>
  <si>
    <t>LOCKER_DE_MADERA_CON_2_PUERTAS_165X80X43</t>
  </si>
  <si>
    <t>ESCRITORIO_DE_MADERA_TIPO_ISLA_DE_4_PIEZAS</t>
  </si>
  <si>
    <t>ARCHIVERO_CAFÉ_CON_4_CAJONES_133X47X70</t>
  </si>
  <si>
    <t>ARCHIVERO_GRIS_CON_4_CAJONES_132X46X73</t>
  </si>
  <si>
    <t>ARCHIVERO_CAFÉ_CON_4_CAJONES_135X47X66</t>
  </si>
  <si>
    <t>ARCHIVERO_GRIS_CON_4_CAJONES_134X45X71</t>
  </si>
  <si>
    <t>ARCHIVERO_NEGRO_CON_2_CAJONES_54X40X56</t>
  </si>
  <si>
    <t>MESA_DE_MADERA_CON_ENTREPAÑO_66X80X453</t>
  </si>
  <si>
    <t>VENTILADOR_GRIS_DE_TORRE_PEQUEÑO</t>
  </si>
  <si>
    <t>ESCRITORIO_DE_MADERA_2_CAJONES_140X60</t>
  </si>
  <si>
    <t>SILLON_DE_TELA_CON_RUEDAS_NEGRO</t>
  </si>
  <si>
    <t>ANAQUEL_CON_2_PUERTAS_180X80X37</t>
  </si>
  <si>
    <t>MESA_COMPLEMENTO_CHICA_66X60X40</t>
  </si>
  <si>
    <t>VENTILADOR_DE_PARED_GRIS</t>
  </si>
  <si>
    <t>LIBRERO_DE_MADERA_244X121X40</t>
  </si>
  <si>
    <t>VENTILADOR_DE_PEDESTAL_BLANCO</t>
  </si>
  <si>
    <t>MESA_DE_MADERA_CON_RUEDAS_40X60</t>
  </si>
  <si>
    <t>SILLA_NEGRA_CON_METAL_FIJA</t>
  </si>
  <si>
    <t>ARCHIVERO_DE_MADERA_CON_4_CAJONES_125X50X60</t>
  </si>
  <si>
    <t>SILLÓN_DE_TELA_NEGRO_CON_MADERA_FIJO</t>
  </si>
  <si>
    <t>ESCRITORIO_DE_MADERA_TIPO_ISLA_DE_3_PIEZAS</t>
  </si>
  <si>
    <t>PANTALLA_NEGRA_DE_32"</t>
  </si>
  <si>
    <t>DISCO DURO EXTERNO</t>
  </si>
  <si>
    <t>DISCO_DURO_EXTERNO</t>
  </si>
  <si>
    <t>RECIBIDOR_DE_TELA_DE_3_PLAZAS_CON_BASE_DE_METAL</t>
  </si>
  <si>
    <t>MESA_TRAPECIO_PLASTCA_VERDE_CON_BASE_DE_METAL</t>
  </si>
  <si>
    <t>ARCHIVERO_DE_METAL_GRIS_CON_4_CAJONES_133X46X68</t>
  </si>
  <si>
    <t>MESA_DE_MADERA_CHICA</t>
  </si>
  <si>
    <t>CREDENZA 74X124X48</t>
  </si>
  <si>
    <t>CREDENZA_74X124X48</t>
  </si>
  <si>
    <t>ESCRITORIO_BASE_DE_METAL_DE_4_CAJONES_160_X_70</t>
  </si>
  <si>
    <t>SILLA_DE_TELA_CAFÉ_CON_RUEDAS</t>
  </si>
  <si>
    <t>ARCHIVERO_DE_METAL_GRIS_CON_4_CAJONES</t>
  </si>
  <si>
    <t>MESA_MADERA_CON_BASE_DE_METAL_120X60</t>
  </si>
  <si>
    <t>VENTILADOR_BLANCO_DE_TORRE</t>
  </si>
  <si>
    <t>SILLA_CAFÉ_DE_TELA</t>
  </si>
  <si>
    <t>MESA_DE_MADERA_CON_BASE_DE_METAL_CON_RUEDAS_60X40</t>
  </si>
  <si>
    <t>ESCRITORIO_CON_2_CAJONES_120X75</t>
  </si>
  <si>
    <t>COMPUTADORA_GRIS_CON_NEGRO</t>
  </si>
  <si>
    <t>ARCHIVERO_DE_MADERA_4_CAJONES_120X50X60</t>
  </si>
  <si>
    <t>VENTILADOR_GRIS_DE_PEDESTAL</t>
  </si>
  <si>
    <t>SILLÓN_DE_PIEL_NEGRO_CON_RUEDAS</t>
  </si>
  <si>
    <t>MESA_DE_MADERA</t>
  </si>
  <si>
    <t>CREDENZA_DE_MADERA_DE_4_PUERTAS</t>
  </si>
  <si>
    <t>MODULO_DE_MADERA_U_(ESCRITORIO)</t>
  </si>
  <si>
    <t>ARCHIVERO_GRIS_METAL_DE_4_CAJONES_132X46X63</t>
  </si>
  <si>
    <t>MESA_DE_MADERA_BASE_DE_METAL_CON_RUEDAS_60X40</t>
  </si>
  <si>
    <t>ESCRITORIO_DE_MADERA_2_PIEZAS</t>
  </si>
  <si>
    <t>ARCHIVERO_GRIS_DE_METAL_CON_4_CAJONES_143X46X62</t>
  </si>
  <si>
    <t>51301200013-7</t>
  </si>
  <si>
    <t>MESA/TABLON_BLANCO_PLEGABLE_244X76</t>
  </si>
  <si>
    <t>VENTILADOR_DE_PARED_NEGRO</t>
  </si>
  <si>
    <t>ANAQUEL_BLANCO_DE_2_PUERTAS</t>
  </si>
  <si>
    <t>SILLLA_CAFÉ_DE_TELA_FIJA</t>
  </si>
  <si>
    <t>ESCRITORIO_MADERA_CAFÉ</t>
  </si>
  <si>
    <t>MODULO_DE_MADERA_CAFÉ</t>
  </si>
  <si>
    <t>ESCRITORIO_DE_MADERA_COMPLEMENTO</t>
  </si>
  <si>
    <t>COMPUTADORA_PORTATIL</t>
  </si>
  <si>
    <t>CREDENZA MADERA CAFE CON 2 PUERTAS 180X40</t>
  </si>
  <si>
    <t>CREDENZA_MADERA_CAFE_CON_2_PUERTAS_180X40</t>
  </si>
  <si>
    <t>MODULO_DE_MADERA_CON_RUEDAS_116X39</t>
  </si>
  <si>
    <t>ESCRITORIO DE MADERA VINO 180X85</t>
  </si>
  <si>
    <t>ESCRITORIO_DE_MADERA_VINO_180X85</t>
  </si>
  <si>
    <t>MESA_DE_MADERA_68X50</t>
  </si>
  <si>
    <t>ANAQUEL_DE_MADERA_(LOKER)_DE_2_PUERTAS_164X80X42</t>
  </si>
  <si>
    <t>MESA/TABLON_DE_PLASTICO_BLANCO_60X120</t>
  </si>
  <si>
    <t>MESA_NARANJA_CON_BASE_DE_METAL_60X120</t>
  </si>
  <si>
    <t>LOCKER_DE_METAL_2_PUERTAS_91X183X50</t>
  </si>
  <si>
    <t>MESA_DE_MADERA_CON_BASE_DE_METAL_60X120</t>
  </si>
  <si>
    <t>HORNO_ELECTRICO</t>
  </si>
  <si>
    <t>MESA_/TABLON_DE_PLASTICO_BLANCO_243X76</t>
  </si>
  <si>
    <t>MESA_DE_MADERA_OVALADA_240X120</t>
  </si>
  <si>
    <t>SILLA DE MADERA</t>
  </si>
  <si>
    <t>SILLA_DE_MADERA</t>
  </si>
  <si>
    <t>HORNO_DE_MICROONDAS_GRIS</t>
  </si>
  <si>
    <t>HORNO_ELECTRICO_GRIS</t>
  </si>
  <si>
    <t>EXTRACTOR_DE_JUGO</t>
  </si>
  <si>
    <t>REFRIGERADOR_BLANCO</t>
  </si>
  <si>
    <t>COMPLEMENTO_DE_EQUIPO_ALACENA</t>
  </si>
  <si>
    <t>ESTUFA_BLANCA</t>
  </si>
  <si>
    <t>COMPLEMENTO_DE_EQUIPO_TARJA</t>
  </si>
  <si>
    <t>SILLA_DE_METAL_GRIS_PLEGABLE</t>
  </si>
  <si>
    <t>COMPLEMENTO_DE_EQUIPO_ALACENA_PARTE_DE_ESTUFA_Y_FREGADOR</t>
  </si>
  <si>
    <t>CAJA_FUERTE_COLOR_GRIS_45X41X45</t>
  </si>
  <si>
    <t>SILLA_PLEGABLE_GRIS</t>
  </si>
  <si>
    <t>ESCRITORIO_DE_MADERA_BASE_DE_METAL_CON_2_CAJONES_120X60</t>
  </si>
  <si>
    <t>PIZARRON_DE_CRISTAL</t>
  </si>
  <si>
    <t>JUEGO_DE_SALA_NEGRA_DE_PIEL_CON_3_PIEZAS</t>
  </si>
  <si>
    <t>TAPETE_DE_ALFOMBRA,_COLOR_VERDE,_2.35X1.60</t>
  </si>
  <si>
    <t>MESA_DE_CENTRO_DE_CRISTAL_CON_BASE_DE_METAL_100X65</t>
  </si>
  <si>
    <t>LIBRERO_DE_CRISTAL_CON_BASE_DE_METAL_190X66X46</t>
  </si>
  <si>
    <t>MESA_CRISTAL_Y_METAL_CON_2_ENTREPAÑOS_DE_CRISTAL_80X86X46</t>
  </si>
  <si>
    <t>TELEVISOR_GRIS_CON_NEGRO_29"</t>
  </si>
  <si>
    <t>MESA_DE_CRISTAL_CON_BASE_DE_METAL_71X55</t>
  </si>
  <si>
    <t>CREDENZA_CRISTAL_CON_3_CAJONES_DE_MADERA_Y_BASE_DE_METAL_88X140X50</t>
  </si>
  <si>
    <t>MESA_CON_RUEDAS_117X39</t>
  </si>
  <si>
    <t>PERCHERO_DE_MADERA_CON_BASE_DE_METAL</t>
  </si>
  <si>
    <t>NICHO_PARA_BANDERA_MADERA_CON_CRISTAL</t>
  </si>
  <si>
    <t>CAJONERA_2_CAJONES_54X52X52</t>
  </si>
  <si>
    <t>MESA_DE_CRISTAL_CON_BASE_DE_MADERA_Y_METAL_160X50</t>
  </si>
  <si>
    <t>ESCRITORIO_CRISTAL_CON_BASE_DE_METAL_Y_MADERA_TIPO_ISLA_DE_3_PIEZAS</t>
  </si>
  <si>
    <t>SILLÓN_NEGRO_DE_PIEL_FIJO</t>
  </si>
  <si>
    <t>MESA_CON_RUEDAS_40X60</t>
  </si>
  <si>
    <t>TELEFONO_GRIS_CON_NEGRO</t>
  </si>
  <si>
    <t>MESA_BASE_DE_METAL_CON_MADERA_(BEIGE)_60X40</t>
  </si>
  <si>
    <t>SILLA_NEGRA_CON_RUEDAS_SECRETARIAL</t>
  </si>
  <si>
    <t>MESA_DE_MADERA_Y_BASE_DE_METAL_120X60</t>
  </si>
  <si>
    <t>REGULADOR_GRIS</t>
  </si>
  <si>
    <t>MODULO_DE_MADERA_CON_RUEDAS_PARA_COMPUTADORA_68X46</t>
  </si>
  <si>
    <t>LIBRERO_DE_CRISTAL_CON_SOPORTE_DE_METAL_225X165X40</t>
  </si>
  <si>
    <t>MESA_REDONDA_DE_MADERA_D-120CM</t>
  </si>
  <si>
    <t>MESA_DE_MADERA_BASE_DE_METAL_120X60</t>
  </si>
  <si>
    <t>PANTALLA_DE_PROYECCIÓN_178X163</t>
  </si>
  <si>
    <t>ROTAFOLIO_60X90</t>
  </si>
  <si>
    <t>PROYECTOR_BLANCO_CON_GRIS</t>
  </si>
  <si>
    <t>SILLÓN_NEGRO_DE_PIEL_EJECUTIVO_CON_RUEDAS</t>
  </si>
  <si>
    <t>MESA_DE_MADERA_CABECERA_140X60</t>
  </si>
  <si>
    <t>MESA_DE_CENTRO_CAFÉ_CON_NEGRO_240X60</t>
  </si>
  <si>
    <t>MESA_DE_MADERA_44X100X40</t>
  </si>
  <si>
    <t>ESCRITORIO_DE_MADERA_CON_UN_CAJON_120X60</t>
  </si>
  <si>
    <t>SILLA_DE_TELA_NEGRA_CON_RUEDAS</t>
  </si>
  <si>
    <t>MONITOR_17"</t>
  </si>
  <si>
    <t>REFRIGERADOR_BLANCO_DE_5FT</t>
  </si>
  <si>
    <t>ANAQUEL_MADERA_CON_4_PUERTAS_180X77X40</t>
  </si>
  <si>
    <t>HORNO_DE_MICROONDAS</t>
  </si>
  <si>
    <t>MESA_DE_MADERA_CON_BASE_METAL_120X60</t>
  </si>
  <si>
    <t>MESA_TRAPECIO_AZUL_CON_BASE_DE_METAL</t>
  </si>
  <si>
    <t>MESA_DE_METAL_CON_MADERA_BEIGE_120X60</t>
  </si>
  <si>
    <t>MESA_DE_CRISTAL_CON_BASE_DE_METAL_100X65</t>
  </si>
  <si>
    <t>JUEGO_DE_SALA_DE_PIEL_NEGRA_DE_3_PIEZAS</t>
  </si>
  <si>
    <t>MESA_DE_MADERA_COMPLEMENTO_TIPO_BALA_160X60</t>
  </si>
  <si>
    <t>ESCRITORIO_DE_MADERA_2_CAJONES_160X60</t>
  </si>
  <si>
    <t>ARCHIVERO_DE_MADERA_CON_RUEDAS_Y_2_CAJONES_65X49X40</t>
  </si>
  <si>
    <t>ARCHIVERO_DE_MADERA_CON_4_CAJONES_140X49X60</t>
  </si>
  <si>
    <t>ANAQUEL_DE_MADERA_CON_2_PUERTAS_(LOCKER)_165X80X40</t>
  </si>
  <si>
    <t>SILLA_NEGRA_CON_RUEDAS_SEMIEJECUTIVA</t>
  </si>
  <si>
    <t>SILLON_NEGRO</t>
  </si>
  <si>
    <t>ESCRITORIO_MADERA_CON_METAL</t>
  </si>
  <si>
    <t>COMPUTADORA_BLANCO_(DOS_EN_UNO)</t>
  </si>
  <si>
    <t>Se encuentran como no encontrado pero físicamente se encuentran</t>
  </si>
  <si>
    <t>Código Grupo</t>
  </si>
  <si>
    <t>Columna2</t>
  </si>
  <si>
    <t>MESA DE CRISTAL CON BASE DE METAL</t>
  </si>
  <si>
    <t>Escritorios</t>
  </si>
  <si>
    <t>ESCRITORIO CON RUEDAS</t>
  </si>
  <si>
    <t>Percheros</t>
  </si>
  <si>
    <t>Estantes</t>
  </si>
  <si>
    <t>ALTA EN PATRIMONIO</t>
  </si>
  <si>
    <t>CREDENZA CRISTAL CON MADERA Y BASE DE METAL</t>
  </si>
  <si>
    <t>ESCRITORIO CRISTAL CON BASE DE METAL Y MADERA</t>
  </si>
  <si>
    <t>LIBRERO DE CRISTAL CON BASE DE METAL</t>
  </si>
  <si>
    <t>Televisores</t>
  </si>
  <si>
    <t>TELEVISOR GRIS CON NEGRO</t>
  </si>
  <si>
    <t>MESA CRISTAL Y METAL</t>
  </si>
  <si>
    <t>LIBRERO CRISTAL CON BASE DE METAL</t>
  </si>
  <si>
    <t>MESA DE CENTRO DE METAL CON BASE DE METAL</t>
  </si>
  <si>
    <t>SILLÓN NEGRO DE PIEL</t>
  </si>
  <si>
    <t>COMPLEMENTARIO DE OFICINA</t>
  </si>
  <si>
    <t>Aire acondicionado</t>
  </si>
  <si>
    <t>Sillas</t>
  </si>
  <si>
    <t>SILLA COLOR NEGRA</t>
  </si>
  <si>
    <t>SILLA COLOR AZUL METAL</t>
  </si>
  <si>
    <t>PENDIENTE SILLA METALICA AZUL</t>
  </si>
  <si>
    <t>MESA BLANCA DE MADERA Y METAL</t>
  </si>
  <si>
    <t>PENDIENTE MESA BLANCA</t>
  </si>
  <si>
    <t>CAJA FUERTE COLOR GRIS</t>
  </si>
  <si>
    <t>MESA CON RUEDAS</t>
  </si>
  <si>
    <t>Muebles especializados para uso escolar</t>
  </si>
  <si>
    <t>PINTARRON DE CRISTAL</t>
  </si>
  <si>
    <t>ESCRITORIO DE CRISTAL CON METAL Y MADERA</t>
  </si>
  <si>
    <t>LIBRERO DE CRISTAL CON SOPORTE DE METAL</t>
  </si>
  <si>
    <t>MODULO DE MADERA CON RUEDAS</t>
  </si>
  <si>
    <t>MESA BASE DE METAL CON MADERA</t>
  </si>
  <si>
    <t>MESA DE CENTRO CAFÉ CON NEGRO</t>
  </si>
  <si>
    <t>PINTARRON TRIPIE BLANCO</t>
  </si>
  <si>
    <t>MESA DE MADERA BASE DE METAL</t>
  </si>
  <si>
    <t>MESA DE MADERA Y BASE DE METAL</t>
  </si>
  <si>
    <t>MESA CENTRO CAFÉ CON NEGRO</t>
  </si>
  <si>
    <t>MESA DE MADERA CABECERA</t>
  </si>
  <si>
    <t>Proyectores</t>
  </si>
  <si>
    <t>MESA DE CRISTAL CON MADERA</t>
  </si>
  <si>
    <t>MESA AZUL CON BASE DE METAL</t>
  </si>
  <si>
    <t>Muebles de cocinas y sus partes</t>
  </si>
  <si>
    <t>ANAQUEL MADERA CON 4 PUERTAS</t>
  </si>
  <si>
    <t>MESA DE MADERA CON METAL</t>
  </si>
  <si>
    <t>Hornos de microondas</t>
  </si>
  <si>
    <t>MESA DE METAL CON MADERA</t>
  </si>
  <si>
    <t>JOSÉ ENRIQUE GARCÍA CORREA</t>
  </si>
  <si>
    <t>MONITOR GRIS</t>
  </si>
  <si>
    <t>ANAQUEL DE MADERA CON 2 PUERTAS</t>
  </si>
  <si>
    <t>ARCHIVERO DE MADERA CON 4 CAJONES</t>
  </si>
  <si>
    <t>ARCHIVERO DE MADERA CON RUEDAS Y 2 CAJONES</t>
  </si>
  <si>
    <t>MONITOR NEGRO CON GRIS</t>
  </si>
  <si>
    <t>RECIBIDOR NEGRO CON BASE DE METAL</t>
  </si>
  <si>
    <t>ANAQUEL DE MADERA</t>
  </si>
  <si>
    <t>SILLA NEGRA CON METAL</t>
  </si>
  <si>
    <t>SILLÓN NEGRO CON MADERA</t>
  </si>
  <si>
    <t>Unidades de almacenamiento</t>
  </si>
  <si>
    <t>MULTIFUNSIONAL NEGRO</t>
  </si>
  <si>
    <t>RECIBIDOR NEGRO CON BASE NEGRA</t>
  </si>
  <si>
    <t>ALEJANDRA LÓPEZ MORENO</t>
  </si>
  <si>
    <t>P24SJ-39</t>
  </si>
  <si>
    <t>MESA/TABLON BLANCO</t>
  </si>
  <si>
    <t>SILLA NEGRA</t>
  </si>
  <si>
    <t>ARCHIVERO MUEBLE DE MADERA</t>
  </si>
  <si>
    <t>SILLLA CAFÉ DE TELA</t>
  </si>
  <si>
    <t>PIZARRON DE CORCHO</t>
  </si>
  <si>
    <t>ARCHIVO DE METAL CON 4 CAJONES</t>
  </si>
  <si>
    <t>SANTIAGO ARMANDO CASTILLO GARCÍA</t>
  </si>
  <si>
    <t>MESA MADERA CON BASE DE METAL</t>
  </si>
  <si>
    <t>ESCRITORIO CON 2 CAJONES</t>
  </si>
  <si>
    <t>HÉCTOR MANZO SILVA</t>
  </si>
  <si>
    <t>CREDENZA MADERA</t>
  </si>
  <si>
    <t>SILLÓN DE NEGRO</t>
  </si>
  <si>
    <t>Máquinas de escribir</t>
  </si>
  <si>
    <t>SILLÓN  NEGRO CON METAL</t>
  </si>
  <si>
    <t>MARÍA MAGDALENA GUTIÉRREZ ALTAMIRANO</t>
  </si>
  <si>
    <t>ARCHIVERO METAL DE 4 CAJONES</t>
  </si>
  <si>
    <t>ARCHIVERO META Y CAJONES</t>
  </si>
  <si>
    <t>ARMANDO AGUSTIN PEREZ CERVANTES</t>
  </si>
  <si>
    <t>ARCHIVERO DE MADERA CON 2 CAJONES CON RUEDAS</t>
  </si>
  <si>
    <t>MODULO CON RUEDAS</t>
  </si>
  <si>
    <t>ALFREDO GONZÁLEZ HERNÁNDEZ</t>
  </si>
  <si>
    <t>LUIS ENRIQUE LÓPEZ GONZÁLEZ</t>
  </si>
  <si>
    <t>SILLÓN DE PIEL</t>
  </si>
  <si>
    <t>MESA DE JUNTAS</t>
  </si>
  <si>
    <t>NELLY ACUÑA RODRÍGUEZ</t>
  </si>
  <si>
    <t>SILLON DE PIEL NEGRO</t>
  </si>
  <si>
    <t>MODULO DE MADEA</t>
  </si>
  <si>
    <t>PINTARRON BLANCO</t>
  </si>
  <si>
    <t>MESA GRIS CON BASE DE METAL</t>
  </si>
  <si>
    <t>ESTANTE GRIS DE METAL</t>
  </si>
  <si>
    <t>ARCHIVERO GRIS</t>
  </si>
  <si>
    <t>MESA DE COPIADORA</t>
  </si>
  <si>
    <t>LETICIA FARFAN  TOLEDO</t>
  </si>
  <si>
    <t>COMPLEMETO DE EQUIPO DE MADERA</t>
  </si>
  <si>
    <t>ROSA MARÍA CORTES VILLASEÑOR</t>
  </si>
  <si>
    <t>MONITOR  NEGRO</t>
  </si>
  <si>
    <t>MARÍA DE LOURDES RUVALCABA GUZMAN</t>
  </si>
  <si>
    <t>COMPLEMENTARIO DE EQUIPO  DE MADERA</t>
  </si>
  <si>
    <t>COMPUTADORA (DOS EN UNO)</t>
  </si>
  <si>
    <t>SILLA DE NEGRA CON RUEDAS</t>
  </si>
  <si>
    <t>ARCHIVERO GRIS DE METAL</t>
  </si>
  <si>
    <t>MESA GRIS DE MADERA CON BASE DE METAL</t>
  </si>
  <si>
    <t>MULTIFUNSIONAL</t>
  </si>
  <si>
    <t>BRYAN BALDOMERO ROMERO VALLADARES</t>
  </si>
  <si>
    <t>ANAQUEL DE MADERA CON METAL DE 2 PUERTAS</t>
  </si>
  <si>
    <t>ESCRITORIO  DE MADERA</t>
  </si>
  <si>
    <t>TELÉFONO GRIS</t>
  </si>
  <si>
    <t>SANTIAGO  GONZÁLEZ FLORES</t>
  </si>
  <si>
    <t>CREDENZA DE MADERA CON BASE DE METAL</t>
  </si>
  <si>
    <t>SILLON CAFÉ CON RUEDAS</t>
  </si>
  <si>
    <t>ANAQUEL DE METAL GRIS CON 2 PUERTAS</t>
  </si>
  <si>
    <t>NO ENCONTRADO EN TOMA FÍSICA</t>
  </si>
  <si>
    <t>Equipos de conectividad</t>
  </si>
  <si>
    <t>Aspiradoras</t>
  </si>
  <si>
    <t>P1255-55-023</t>
  </si>
  <si>
    <t>P1255-017</t>
  </si>
  <si>
    <t>HUMBERTO HERNÁNDEZ OLIVO</t>
  </si>
  <si>
    <t>DISCO DURO NEGRO</t>
  </si>
  <si>
    <t>VENTILADOR  GRIS</t>
  </si>
  <si>
    <t>MESA MADERA BASE DE METAL</t>
  </si>
  <si>
    <t>MESA DE MADERA CON RUEDAS</t>
  </si>
  <si>
    <t>ANAQUEL GRIS DE METAL</t>
  </si>
  <si>
    <t>COMPUTADORA BLANCA (DOS EN UNO)</t>
  </si>
  <si>
    <t>MARÍA MARTHA CASTAÑEDA REYES</t>
  </si>
  <si>
    <t>ARCHIVERO GRIS  CON 3 CAJONES</t>
  </si>
  <si>
    <t>MESA COMPLEMENTO  DE ESCRITORIO</t>
  </si>
  <si>
    <t>MESA COMPLEMENTO  CHICA</t>
  </si>
  <si>
    <t>ARCHIVERO NEGRO CON 2 CAJONES</t>
  </si>
  <si>
    <t>MONITOR GRIS Y NEGRO</t>
  </si>
  <si>
    <t>ESCRITORIO DE MADERA CAOBA CON 2 CAJONES</t>
  </si>
  <si>
    <t>MONITOR WF1907</t>
  </si>
  <si>
    <t>SILLON  DE TELA CON RUEDAS</t>
  </si>
  <si>
    <t>SILLA  DE TELA NEGRA</t>
  </si>
  <si>
    <t>ANAQUEL CON 2 PUERTAS</t>
  </si>
  <si>
    <t>JULIO CESAR AVALOS  BECERRA</t>
  </si>
  <si>
    <t>MONITOR NERGO</t>
  </si>
  <si>
    <t>ARCHIVERO DE METAL CON 3 CAJONES</t>
  </si>
  <si>
    <t>ARCHIVERO  DE MADERA  CON 2 CAJONES</t>
  </si>
  <si>
    <t>IMPRESORA  NEGRA</t>
  </si>
  <si>
    <t>SILLA  NEGRA CON RUEDAS</t>
  </si>
  <si>
    <t>SARA ARCELIA LÓPEZ NAVARRO</t>
  </si>
  <si>
    <t>ARCHIVERO  DE MADERA  CON 4 CAJONES</t>
  </si>
  <si>
    <t>SILLON  DE PIEL  CON RUEDAS</t>
  </si>
  <si>
    <t>COMPLEMENTO DE EQUIPO  DE MADERA</t>
  </si>
  <si>
    <t>TELEFONO  GRIS</t>
  </si>
  <si>
    <t>MESA MADERA CAFÉ</t>
  </si>
  <si>
    <t>ANAQUEL DE METAL 2 PUERTAS</t>
  </si>
  <si>
    <t>MESA CON BASE DE METAL</t>
  </si>
  <si>
    <t>COMPLEMENTO DE EQUIPO</t>
  </si>
  <si>
    <t>MESA/TABLON DE PLASTICO BLANCO</t>
  </si>
  <si>
    <t>ANAQUEL CREMA DE 2 PUERTAS</t>
  </si>
  <si>
    <t>TARJA METALICA</t>
  </si>
  <si>
    <t>VENTILADOR  NEGRO DE TORRE</t>
  </si>
  <si>
    <t>DISCO DURO  NEGRO</t>
  </si>
  <si>
    <t>LIBRERO  DE MADERA</t>
  </si>
  <si>
    <t>FRIGOBAR  NEGRO CON GRIS</t>
  </si>
  <si>
    <t>ARCHIVERO 2 CAJONES  DE MADERA</t>
  </si>
  <si>
    <t>SILLON DE PIEL CON RUEDAS</t>
  </si>
  <si>
    <t>COMPUTADORA ( DOS EN UNO)</t>
  </si>
  <si>
    <t>MESA CHICA DE MADERA</t>
  </si>
  <si>
    <t>SILLON  DE PIEL  NEGRO</t>
  </si>
  <si>
    <t>Circuito cerrado de T.V.</t>
  </si>
  <si>
    <t>REVISAR VALOR</t>
  </si>
  <si>
    <t>SILLA CON RUEDAS</t>
  </si>
  <si>
    <t>LOCKER DE MADERA CON 2 PUERTAS</t>
  </si>
  <si>
    <t>MESA  DE MADERA CON BASE DE METAL</t>
  </si>
  <si>
    <t>ARCHIVERO CAFÉ CON 4 CAJONES</t>
  </si>
  <si>
    <t>ARCHIVERO GRIS  CON 4 CAJONES</t>
  </si>
  <si>
    <t>ARCHIVERO  CAFÉ CON 4 CAJONES</t>
  </si>
  <si>
    <t>ARCHIVERO BEIGE CON 4 CAJONES</t>
  </si>
  <si>
    <t>ARCHIVERO GRIS CON 4 CAJONES</t>
  </si>
  <si>
    <t>ARCHIVERO DE MADERA  CON 4 CAJONES</t>
  </si>
  <si>
    <t>ARCHIVERO  BEIGE CON 4 CAJONES</t>
  </si>
  <si>
    <t>ANAQUEL/ESTANTE  DE METAL CON 5 CHAROLAS</t>
  </si>
  <si>
    <t>VENTILADOR  GRIS DE TORRE</t>
  </si>
  <si>
    <t>MARTHA MARÍA VARGAS RODRIGUEZ</t>
  </si>
  <si>
    <t>SILLA  CAFÉ DE PIEL</t>
  </si>
  <si>
    <t>MESA  DE MADERA BLANCA CON BASE DE METAL</t>
  </si>
  <si>
    <t>MESA  DE MADERA CON PORTA TECLADO</t>
  </si>
  <si>
    <t>ARCHIVO METALICO</t>
  </si>
  <si>
    <t>CHAROLA DE METAL PARA ESTANTE</t>
  </si>
  <si>
    <t>CHAROLA DE METAL PARA ESTANTE  METALICO</t>
  </si>
  <si>
    <t>ESTANTE  METALICO</t>
  </si>
  <si>
    <t>JORGE LUIS MARTINEZ LÓPEZ</t>
  </si>
  <si>
    <t xml:space="preserve">ESTANTE DE METAL CON 3 CHAROLAS </t>
  </si>
  <si>
    <t>ARCHIVERO DE MADERA</t>
  </si>
  <si>
    <t>MESA  DE MADERA COLOR CAOBA</t>
  </si>
  <si>
    <t>MONITOR GRIS CON NEGRO</t>
  </si>
  <si>
    <t>EN RESGUARDO</t>
  </si>
  <si>
    <t>SENTRA</t>
  </si>
  <si>
    <t>COMPUTADORA (CPU SERVIDOR)</t>
  </si>
  <si>
    <t>IMPRESORA BLANCO CON NEGRO</t>
  </si>
  <si>
    <t>RECIBIDOR DE 3 SILLAS AZULES DE TELA</t>
  </si>
  <si>
    <t>VENTILADOR ASPAS DE METAL</t>
  </si>
  <si>
    <t>ANAQUEL DE METAL DE 2 PUERTAS BLANCO</t>
  </si>
  <si>
    <t>SILLA CAFE CON METAL TAPIZADA EN VINIPIEL</t>
  </si>
  <si>
    <t>PENDIENTE REVISAR</t>
  </si>
  <si>
    <t>PANTALLA NEGRA</t>
  </si>
  <si>
    <t>P1251-029</t>
  </si>
  <si>
    <t xml:space="preserve">ESCRITORIO CON 6 CAJONES </t>
  </si>
  <si>
    <t>MESA DE MADERA CAOBA CON BASE DE METAL</t>
  </si>
  <si>
    <t>Tarjetas o circuitos</t>
  </si>
  <si>
    <t>MESA DE MADERA CON BASE DE METAL caoba</t>
  </si>
  <si>
    <t xml:space="preserve">ANAQUEL/ESTANTE  DE METAL CON 5 CHAROLAS
</t>
  </si>
  <si>
    <t>TARJETA DE RED</t>
  </si>
  <si>
    <t>SILLa NEGRA</t>
  </si>
  <si>
    <t>MESA/TABLON DE PLASTICO BLANCO CHICO</t>
  </si>
  <si>
    <t>Cuadros</t>
  </si>
  <si>
    <t>COCINETA (FREGADOR)</t>
  </si>
  <si>
    <t>ESCRITORIO DE 2 CAJONES</t>
  </si>
  <si>
    <t>ESTANTE METALICO CON 5 CHAROLAS</t>
  </si>
  <si>
    <t>Lectores ópticos y magnéticos</t>
  </si>
  <si>
    <t>Equipos destinados a la educación y recreación</t>
  </si>
  <si>
    <t>PIZARRON CON CORCHO</t>
  </si>
  <si>
    <t>P12SJ-014</t>
  </si>
  <si>
    <t>ADAPTADOR LECTOR EXTERNO DE DISCO DURO</t>
  </si>
  <si>
    <t>Tableros de control</t>
  </si>
  <si>
    <t>Terminales</t>
  </si>
  <si>
    <t>LECTOR BLUERAY</t>
  </si>
  <si>
    <t>TARJETA DE RED WIFI</t>
  </si>
  <si>
    <t>ESTANTE DE METAL CON 4 CHAROLAS</t>
  </si>
  <si>
    <t>P24A-038</t>
  </si>
  <si>
    <t>NUEVO</t>
  </si>
  <si>
    <t>FILTRAR POR:</t>
  </si>
  <si>
    <t>Descripción GENERICA</t>
  </si>
  <si>
    <t>Modelo</t>
  </si>
  <si>
    <t>No. De serie</t>
  </si>
  <si>
    <t>Estado Físico</t>
  </si>
  <si>
    <t>Área de asignación</t>
  </si>
  <si>
    <t xml:space="preserve">Nombre del usuario resguardante </t>
  </si>
  <si>
    <t>RESULTADOS</t>
  </si>
  <si>
    <t>82DH0511010016000786738</t>
  </si>
  <si>
    <t>SILLON DE OFICINA COLOR NEGRO DE TELA</t>
  </si>
  <si>
    <t>LAPTOP NEGRA</t>
  </si>
  <si>
    <t>82DK0515010002000786962</t>
  </si>
  <si>
    <t>VOSTRO 3520 3000</t>
  </si>
  <si>
    <t>0RW8M2A00HG2ZK000300</t>
  </si>
  <si>
    <t>SUBDIRECCION TECNICA</t>
  </si>
  <si>
    <t>ANAQUEL DE METAL 4 POSTES, 6 CHAROLAS 30X85 CM</t>
  </si>
  <si>
    <t>82DJ0511010020000786735</t>
  </si>
  <si>
    <t>VENTILADOR DE TORRE NEGRO 5 VEL</t>
  </si>
  <si>
    <t>82DJ0519010043000786736</t>
  </si>
  <si>
    <t>136483 T42916M</t>
  </si>
  <si>
    <t>82DJ0511010019000787332</t>
  </si>
  <si>
    <t>82DJ0511010019000787333</t>
  </si>
  <si>
    <t>VENTILADOR DE TORRE NEGRO 4 VEL</t>
  </si>
  <si>
    <t>82DJ0519010043000786740</t>
  </si>
  <si>
    <t>T48339N</t>
  </si>
  <si>
    <t>SUBDIRECCION OPERATIVA</t>
  </si>
  <si>
    <t>82DI0512010014000786963</t>
  </si>
  <si>
    <t>82DI0519010038000786734</t>
  </si>
  <si>
    <t>FRIGOBAR BLANCO ACERO INOXIDABLE</t>
  </si>
  <si>
    <t>RMF032PYMXB</t>
  </si>
  <si>
    <t>ST23122729MM0245</t>
  </si>
  <si>
    <t>IMPRESORA B/N</t>
  </si>
  <si>
    <t>82DI0515010010000786986</t>
  </si>
  <si>
    <t>HPS PRO 303DW</t>
  </si>
  <si>
    <t>VNB3F09729</t>
  </si>
  <si>
    <t>82DH0519010043000786739</t>
  </si>
  <si>
    <t>82DH0519010043000786737</t>
  </si>
  <si>
    <t xml:space="preserve">UNIDAD QUEMADOR EXTERNO </t>
  </si>
  <si>
    <t>GP61NB60</t>
  </si>
  <si>
    <t>3CG-04 QW</t>
  </si>
  <si>
    <t>SEAGATE</t>
  </si>
  <si>
    <t>NT17A74D</t>
  </si>
  <si>
    <t>3407AV4BC880301709</t>
  </si>
  <si>
    <t>3407AV4BC880301756</t>
  </si>
  <si>
    <t>3407AV4BC880301683</t>
  </si>
  <si>
    <t>AIRE ACONDICIONADO DE 3 TONELADAS</t>
  </si>
  <si>
    <t>53AEQ363A</t>
  </si>
  <si>
    <t>3407AV4BC880301759</t>
  </si>
  <si>
    <t>3407AV4BC880301699</t>
  </si>
  <si>
    <t>54CP330350445170130064</t>
  </si>
  <si>
    <t>54CP330350445170130141</t>
  </si>
  <si>
    <t>MONITOR 29 PULGADAS</t>
  </si>
  <si>
    <t>29WQ500</t>
  </si>
  <si>
    <t>406NTXR70450</t>
  </si>
  <si>
    <t>VENTILADOR DE TORRE NEGRO 3 VEL</t>
  </si>
  <si>
    <t>SILLON OFICINA NEGRO</t>
  </si>
  <si>
    <t>INTERNET750U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</si>
</sst>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000000000000000000"/>
    <numFmt numFmtId="165" formatCode="d/m/yyyy"/>
    <numFmt numFmtId="166" formatCode="yyyy\.mm"/>
    <numFmt numFmtId="167" formatCode="yyyy\.m"/>
  </numFmts>
  <fonts count="38">
    <font>
      <sz val="10"/>
      <color rgb="FF000000"/>
      <name val="Arial"/>
      <scheme val="minor"/>
    </font>
    <font>
      <sz val="11"/>
      <color theme="1"/>
      <name val="Arial"/>
      <family val="2"/>
    </font>
    <font>
      <b/>
      <sz val="11"/>
      <color theme="1"/>
      <name val="Arial"/>
      <family val="2"/>
    </font>
    <font>
      <sz val="10"/>
      <color theme="1"/>
      <name val="Arial"/>
      <family val="2"/>
    </font>
    <font>
      <sz val="11"/>
      <color theme="1"/>
      <name val="Roboto"/>
    </font>
    <font>
      <sz val="11"/>
      <color theme="1"/>
      <name val="Libre Barcode 39"/>
    </font>
    <font>
      <sz val="11"/>
      <color theme="1"/>
      <name val="Calibri"/>
      <family val="2"/>
    </font>
    <font>
      <sz val="11"/>
      <color theme="1"/>
      <name val="Inconsolata"/>
    </font>
    <font>
      <b/>
      <sz val="11"/>
      <color theme="1"/>
      <name val="Arial"/>
      <family val="2"/>
      <scheme val="minor"/>
    </font>
    <font>
      <b/>
      <sz val="11"/>
      <color theme="1"/>
      <name val="Calibri"/>
      <family val="2"/>
    </font>
    <font>
      <sz val="11"/>
      <color rgb="FFFFFFFF"/>
      <name val="Arial"/>
      <family val="2"/>
    </font>
    <font>
      <sz val="11"/>
      <color rgb="FF3C4043"/>
      <name val="Roboto"/>
    </font>
    <font>
      <sz val="11"/>
      <color rgb="FF000000"/>
      <name val="Arial"/>
      <family val="2"/>
    </font>
    <font>
      <sz val="10"/>
      <color theme="1"/>
      <name val="Calibri"/>
      <family val="2"/>
    </font>
    <font>
      <sz val="10"/>
      <color theme="1"/>
      <name val="Arial"/>
      <family val="2"/>
      <scheme val="minor"/>
    </font>
    <font>
      <sz val="11"/>
      <color rgb="FF000000"/>
      <name val="Calibri"/>
      <family val="2"/>
    </font>
    <font>
      <sz val="11"/>
      <color rgb="FF000000"/>
      <name val="Inconsolata"/>
    </font>
    <font>
      <sz val="11"/>
      <color rgb="FF000000"/>
      <name val="Roboto"/>
    </font>
    <font>
      <sz val="10"/>
      <color rgb="FF000000"/>
      <name val="Roboto"/>
    </font>
    <font>
      <sz val="9"/>
      <color theme="1"/>
      <name val="Arial"/>
      <family val="2"/>
    </font>
    <font>
      <sz val="11"/>
      <color theme="1"/>
      <name val="Arial"/>
      <family val="2"/>
      <scheme val="minor"/>
    </font>
    <font>
      <sz val="11"/>
      <color rgb="FF9C0006"/>
      <name val="Arial"/>
      <family val="2"/>
    </font>
    <font>
      <sz val="11"/>
      <color rgb="FF9C0006"/>
      <name val="Calibri"/>
      <family val="2"/>
    </font>
    <font>
      <sz val="18"/>
      <color theme="1"/>
      <name val="Arial"/>
      <family val="2"/>
      <scheme val="minor"/>
    </font>
    <font>
      <sz val="24"/>
      <color theme="1"/>
      <name val="Arial"/>
      <family val="2"/>
      <scheme val="minor"/>
    </font>
    <font>
      <b/>
      <sz val="36"/>
      <color theme="1"/>
      <name val="Arial"/>
      <family val="2"/>
      <scheme val="minor"/>
    </font>
    <font>
      <b/>
      <sz val="24"/>
      <color theme="1"/>
      <name val="Arial"/>
      <family val="2"/>
      <scheme val="minor"/>
    </font>
    <font>
      <sz val="35"/>
      <color theme="1"/>
      <name val="Roboto"/>
    </font>
    <font>
      <b/>
      <sz val="28"/>
      <color theme="1"/>
      <name val="Arial"/>
      <family val="2"/>
      <scheme val="minor"/>
    </font>
    <font>
      <sz val="28"/>
      <color theme="1"/>
      <name val="Arial"/>
      <family val="2"/>
      <scheme val="minor"/>
    </font>
    <font>
      <b/>
      <sz val="30"/>
      <color theme="1"/>
      <name val="Arial"/>
      <family val="2"/>
      <scheme val="minor"/>
    </font>
    <font>
      <sz val="9"/>
      <color rgb="FF312E25"/>
      <name val="&quot;Segoe UI&quot;"/>
    </font>
    <font>
      <sz val="14"/>
      <color theme="1"/>
      <name val="Arial"/>
      <family val="2"/>
      <scheme val="minor"/>
    </font>
    <font>
      <b/>
      <sz val="18"/>
      <color theme="1"/>
      <name val="Arial"/>
      <family val="2"/>
      <scheme val="minor"/>
    </font>
    <font>
      <sz val="18"/>
      <color rgb="FFFF0000"/>
      <name val="Arial"/>
      <family val="2"/>
      <scheme val="minor"/>
    </font>
    <font>
      <sz val="10"/>
      <color rgb="FF000000"/>
      <name val="Arial"/>
      <family val="2"/>
      <scheme val="minor"/>
    </font>
    <font>
      <sz val="11"/>
      <color theme="0"/>
      <name val="Arial"/>
      <family val="2"/>
    </font>
    <font>
      <b/>
      <sz val="11"/>
      <color theme="0"/>
      <name val="Arial"/>
      <family val="2"/>
    </font>
  </fonts>
  <fills count="26">
    <fill>
      <patternFill patternType="none"/>
    </fill>
    <fill>
      <patternFill patternType="gray125"/>
    </fill>
    <fill>
      <patternFill patternType="solid">
        <fgColor rgb="FFCCCCCC"/>
        <bgColor rgb="FFCCCCCC"/>
      </patternFill>
    </fill>
    <fill>
      <patternFill patternType="solid">
        <fgColor rgb="FFFF00FF"/>
        <bgColor rgb="FFFF00FF"/>
      </patternFill>
    </fill>
    <fill>
      <patternFill patternType="solid">
        <fgColor rgb="FFFFFFFF"/>
        <bgColor rgb="FFFFFFFF"/>
      </patternFill>
    </fill>
    <fill>
      <patternFill patternType="solid">
        <fgColor rgb="FF00FF00"/>
        <bgColor rgb="FF00FF00"/>
      </patternFill>
    </fill>
    <fill>
      <patternFill patternType="solid">
        <fgColor rgb="FFFF9900"/>
        <bgColor rgb="FFFF9900"/>
      </patternFill>
    </fill>
    <fill>
      <patternFill patternType="solid">
        <fgColor rgb="FFB6D7A8"/>
        <bgColor rgb="FFB6D7A8"/>
      </patternFill>
    </fill>
    <fill>
      <patternFill patternType="solid">
        <fgColor rgb="FF00FFFF"/>
        <bgColor rgb="FF00FFFF"/>
      </patternFill>
    </fill>
    <fill>
      <patternFill patternType="solid">
        <fgColor rgb="FF4A86E8"/>
        <bgColor rgb="FF4A86E8"/>
      </patternFill>
    </fill>
    <fill>
      <patternFill patternType="solid">
        <fgColor rgb="FFFF0000"/>
        <bgColor rgb="FFFF0000"/>
      </patternFill>
    </fill>
    <fill>
      <patternFill patternType="solid">
        <fgColor rgb="FFF4CCCC"/>
        <bgColor rgb="FFF4CCCC"/>
      </patternFill>
    </fill>
    <fill>
      <patternFill patternType="solid">
        <fgColor rgb="FFDAF1F3"/>
        <bgColor rgb="FFDAF1F3"/>
      </patternFill>
    </fill>
    <fill>
      <patternFill patternType="solid">
        <fgColor rgb="FFFFFF00"/>
        <bgColor rgb="FFFFFF00"/>
      </patternFill>
    </fill>
    <fill>
      <patternFill patternType="solid">
        <fgColor theme="9"/>
        <bgColor theme="9"/>
      </patternFill>
    </fill>
    <fill>
      <patternFill patternType="solid">
        <fgColor rgb="FFD9D9D9"/>
        <bgColor rgb="FFD9D9D9"/>
      </patternFill>
    </fill>
    <fill>
      <patternFill patternType="solid">
        <fgColor rgb="FFB4A7D6"/>
        <bgColor rgb="FFB4A7D6"/>
      </patternFill>
    </fill>
    <fill>
      <patternFill patternType="solid">
        <fgColor rgb="FF9900FF"/>
        <bgColor rgb="FF9900FF"/>
      </patternFill>
    </fill>
    <fill>
      <patternFill patternType="solid">
        <fgColor rgb="FFB7B7B7"/>
        <bgColor rgb="FFB7B7B7"/>
      </patternFill>
    </fill>
    <fill>
      <patternFill patternType="solid">
        <fgColor rgb="FF0000FF"/>
        <bgColor rgb="FF0000FF"/>
      </patternFill>
    </fill>
    <fill>
      <patternFill patternType="solid">
        <fgColor rgb="FFFFC7CE"/>
        <bgColor rgb="FFFFC7CE"/>
      </patternFill>
    </fill>
    <fill>
      <patternFill patternType="solid">
        <fgColor rgb="FFCFE2F3"/>
        <bgColor rgb="FFCFE2F3"/>
      </patternFill>
    </fill>
    <fill>
      <patternFill patternType="solid">
        <fgColor rgb="FFC9DAF8"/>
        <bgColor rgb="FFC9DAF8"/>
      </patternFill>
    </fill>
    <fill>
      <patternFill patternType="solid">
        <fgColor theme="4"/>
        <bgColor theme="4"/>
      </patternFill>
    </fill>
    <fill>
      <patternFill patternType="solid">
        <fgColor theme="0"/>
        <bgColor theme="0"/>
      </patternFill>
    </fill>
    <fill>
      <patternFill patternType="solid">
        <fgColor theme="1" tint="0.249977111117893"/>
        <bgColor rgb="FFCCCCCC"/>
      </patternFill>
    </fill>
  </fills>
  <borders count="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s>
  <cellStyleXfs count="2">
    <xf numFmtId="0" fontId="0" fillId="0" borderId="0"/>
    <xf numFmtId="44" fontId="35" fillId="0" borderId="0" applyFont="0" applyFill="0" applyBorder="0" applyAlignment="0" applyProtection="0"/>
  </cellStyleXfs>
  <cellXfs count="261">
    <xf numFmtId="0" fontId="0" fillId="0" borderId="0" xfId="0" applyFont="1" applyAlignment="1"/>
    <xf numFmtId="0" fontId="1" fillId="2" borderId="0" xfId="0" applyFont="1" applyFill="1" applyAlignment="1">
      <alignment horizontal="center" vertical="center"/>
    </xf>
    <xf numFmtId="0" fontId="2" fillId="2" borderId="0" xfId="0" applyFont="1" applyFill="1" applyAlignment="1">
      <alignment horizontal="center" vertical="center" wrapText="1"/>
    </xf>
    <xf numFmtId="0" fontId="2" fillId="3" borderId="0" xfId="0" applyFont="1" applyFill="1" applyAlignment="1">
      <alignment horizontal="center" vertical="center" wrapText="1"/>
    </xf>
    <xf numFmtId="0" fontId="2" fillId="2" borderId="0" xfId="0" applyFont="1" applyFill="1" applyAlignment="1">
      <alignment horizontal="center" vertical="center"/>
    </xf>
    <xf numFmtId="0" fontId="2" fillId="2" borderId="0" xfId="0" applyFont="1" applyFill="1" applyAlignment="1">
      <alignment horizontal="left" vertical="center"/>
    </xf>
    <xf numFmtId="0" fontId="1" fillId="0" borderId="0" xfId="0" applyFont="1" applyAlignment="1">
      <alignment horizontal="center" wrapText="1"/>
    </xf>
    <xf numFmtId="0" fontId="1" fillId="0" borderId="0" xfId="0" applyFont="1" applyAlignment="1">
      <alignment horizontal="center" wrapText="1"/>
    </xf>
    <xf numFmtId="0" fontId="3" fillId="0" borderId="0" xfId="0" applyFont="1" applyAlignment="1"/>
    <xf numFmtId="0" fontId="1" fillId="0" borderId="0" xfId="0" quotePrefix="1" applyFont="1" applyAlignment="1">
      <alignment horizontal="center"/>
    </xf>
    <xf numFmtId="0" fontId="1" fillId="0" borderId="0" xfId="0" applyFont="1" applyAlignment="1">
      <alignment horizontal="center"/>
    </xf>
    <xf numFmtId="0" fontId="4" fillId="4" borderId="0" xfId="0" applyFont="1" applyFill="1" applyAlignment="1"/>
    <xf numFmtId="0" fontId="1" fillId="0" borderId="0" xfId="0" applyFont="1" applyAlignment="1">
      <alignment horizontal="center"/>
    </xf>
    <xf numFmtId="0" fontId="1" fillId="0" borderId="0" xfId="0" applyFont="1" applyAlignment="1">
      <alignment wrapText="1"/>
    </xf>
    <xf numFmtId="0" fontId="1" fillId="4" borderId="0" xfId="0" applyFont="1" applyFill="1" applyAlignment="1">
      <alignment horizontal="center" wrapText="1"/>
    </xf>
    <xf numFmtId="0" fontId="1" fillId="5" borderId="0" xfId="0" applyFont="1" applyFill="1" applyAlignment="1">
      <alignment horizontal="center" wrapText="1"/>
    </xf>
    <xf numFmtId="0" fontId="5" fillId="0" borderId="0" xfId="0" applyFont="1" applyAlignment="1">
      <alignment horizontal="center" wrapText="1"/>
    </xf>
    <xf numFmtId="49" fontId="6" fillId="0" borderId="0" xfId="0" applyNumberFormat="1" applyFont="1" applyAlignment="1">
      <alignment horizontal="center"/>
    </xf>
    <xf numFmtId="49" fontId="7" fillId="0" borderId="0" xfId="0" applyNumberFormat="1" applyFont="1" applyAlignment="1"/>
    <xf numFmtId="0" fontId="4" fillId="0" borderId="0" xfId="0" applyFont="1" applyAlignment="1"/>
    <xf numFmtId="0" fontId="1" fillId="0" borderId="0" xfId="0" applyFont="1" applyAlignment="1"/>
    <xf numFmtId="0" fontId="6" fillId="0" borderId="0" xfId="0" applyFont="1" applyAlignment="1">
      <alignment horizontal="left"/>
    </xf>
    <xf numFmtId="0" fontId="6" fillId="0" borderId="0" xfId="0" applyFont="1" applyAlignment="1"/>
    <xf numFmtId="0" fontId="1" fillId="0" borderId="0" xfId="0" applyFont="1" applyAlignment="1">
      <alignment horizontal="center"/>
    </xf>
    <xf numFmtId="0" fontId="1" fillId="0" borderId="0" xfId="0" applyFont="1" applyAlignment="1"/>
    <xf numFmtId="0" fontId="8" fillId="5" borderId="0" xfId="0" applyFont="1" applyFill="1" applyAlignment="1"/>
    <xf numFmtId="0" fontId="6" fillId="0" borderId="0" xfId="0" applyFont="1" applyAlignment="1"/>
    <xf numFmtId="0" fontId="8" fillId="6" borderId="0" xfId="0" applyFont="1" applyFill="1" applyAlignment="1"/>
    <xf numFmtId="164" fontId="4" fillId="0" borderId="0" xfId="0" applyNumberFormat="1" applyFont="1" applyAlignment="1"/>
    <xf numFmtId="0" fontId="8" fillId="7" borderId="0" xfId="0" applyFont="1" applyFill="1" applyAlignment="1"/>
    <xf numFmtId="0" fontId="8" fillId="8" borderId="0" xfId="0" applyFont="1" applyFill="1" applyAlignment="1"/>
    <xf numFmtId="0" fontId="8" fillId="9" borderId="0" xfId="0" applyFont="1" applyFill="1" applyAlignment="1"/>
    <xf numFmtId="0" fontId="6" fillId="0" borderId="0" xfId="0" applyFont="1" applyAlignment="1">
      <alignment horizontal="center"/>
    </xf>
    <xf numFmtId="0" fontId="1" fillId="0" borderId="0" xfId="0" applyFont="1" applyAlignment="1"/>
    <xf numFmtId="0" fontId="8" fillId="10" borderId="0" xfId="0" applyFont="1" applyFill="1" applyAlignment="1"/>
    <xf numFmtId="49" fontId="1" fillId="0" borderId="0" xfId="0" applyNumberFormat="1" applyFont="1" applyAlignment="1">
      <alignment horizontal="center"/>
    </xf>
    <xf numFmtId="0" fontId="1" fillId="0" borderId="0" xfId="0" applyFont="1" applyAlignment="1">
      <alignment horizontal="center" wrapText="1"/>
    </xf>
    <xf numFmtId="0" fontId="6" fillId="0" borderId="0" xfId="0" applyFont="1" applyAlignment="1">
      <alignment horizontal="center"/>
    </xf>
    <xf numFmtId="0" fontId="6" fillId="0" borderId="0" xfId="0" applyFont="1" applyAlignment="1"/>
    <xf numFmtId="0" fontId="1" fillId="0" borderId="0" xfId="0" applyFont="1" applyAlignment="1">
      <alignment horizontal="left"/>
    </xf>
    <xf numFmtId="0" fontId="1" fillId="10" borderId="0" xfId="0" applyFont="1" applyFill="1" applyAlignment="1"/>
    <xf numFmtId="0" fontId="1" fillId="0" borderId="0" xfId="0" quotePrefix="1" applyFont="1" applyAlignment="1">
      <alignment horizontal="center"/>
    </xf>
    <xf numFmtId="14" fontId="1" fillId="0" borderId="0" xfId="0" applyNumberFormat="1" applyFont="1" applyAlignment="1"/>
    <xf numFmtId="49" fontId="1" fillId="0" borderId="0" xfId="0" applyNumberFormat="1" applyFont="1" applyAlignment="1">
      <alignment horizontal="center" wrapText="1"/>
    </xf>
    <xf numFmtId="49" fontId="9" fillId="0" borderId="0" xfId="0" applyNumberFormat="1" applyFont="1" applyAlignment="1">
      <alignment horizontal="center"/>
    </xf>
    <xf numFmtId="0" fontId="1" fillId="0" borderId="0" xfId="0" applyFont="1" applyAlignment="1"/>
    <xf numFmtId="49" fontId="6" fillId="0" borderId="0" xfId="0" applyNumberFormat="1" applyFont="1" applyAlignment="1">
      <alignment horizontal="center" wrapText="1"/>
    </xf>
    <xf numFmtId="0" fontId="10" fillId="10" borderId="0" xfId="0" applyFont="1" applyFill="1" applyAlignment="1">
      <alignment horizontal="center" wrapText="1"/>
    </xf>
    <xf numFmtId="49" fontId="1" fillId="4" borderId="0" xfId="0" applyNumberFormat="1" applyFont="1" applyFill="1" applyAlignment="1">
      <alignment horizontal="center" wrapText="1"/>
    </xf>
    <xf numFmtId="0" fontId="6" fillId="0" borderId="0" xfId="0" applyFont="1" applyAlignment="1">
      <alignment horizontal="center" wrapText="1"/>
    </xf>
    <xf numFmtId="0" fontId="7" fillId="0" borderId="0" xfId="0" applyFont="1" applyAlignment="1"/>
    <xf numFmtId="49" fontId="3" fillId="0" borderId="0" xfId="0" applyNumberFormat="1" applyFont="1" applyAlignment="1">
      <alignment horizontal="center"/>
    </xf>
    <xf numFmtId="0" fontId="4" fillId="0" borderId="0" xfId="0" applyFont="1" applyAlignment="1">
      <alignment horizontal="left"/>
    </xf>
    <xf numFmtId="49" fontId="11" fillId="4" borderId="0" xfId="0" applyNumberFormat="1" applyFont="1" applyFill="1" applyAlignment="1">
      <alignment horizontal="center"/>
    </xf>
    <xf numFmtId="0" fontId="6" fillId="0" borderId="0" xfId="0" applyFont="1" applyAlignment="1">
      <alignment horizontal="center"/>
    </xf>
    <xf numFmtId="0" fontId="1" fillId="4" borderId="0" xfId="0" applyFont="1" applyFill="1" applyAlignment="1">
      <alignment horizontal="center"/>
    </xf>
    <xf numFmtId="49" fontId="1" fillId="4" borderId="0" xfId="0" applyNumberFormat="1" applyFont="1" applyFill="1" applyAlignment="1">
      <alignment horizontal="center"/>
    </xf>
    <xf numFmtId="0" fontId="1" fillId="8" borderId="0" xfId="0" applyFont="1" applyFill="1" applyAlignment="1"/>
    <xf numFmtId="0" fontId="3" fillId="8" borderId="0" xfId="0" applyFont="1" applyFill="1" applyAlignment="1"/>
    <xf numFmtId="0" fontId="12" fillId="4" borderId="0" xfId="0" applyFont="1" applyFill="1" applyAlignment="1">
      <alignment horizontal="center" wrapText="1"/>
    </xf>
    <xf numFmtId="0" fontId="4" fillId="0" borderId="0" xfId="0" applyFont="1"/>
    <xf numFmtId="0" fontId="4" fillId="0" borderId="0" xfId="0" applyFont="1" applyAlignment="1">
      <alignment horizontal="left"/>
    </xf>
    <xf numFmtId="0" fontId="6" fillId="0" borderId="0" xfId="0" applyFont="1" applyAlignment="1">
      <alignment horizontal="center"/>
    </xf>
    <xf numFmtId="0" fontId="4" fillId="0" borderId="0" xfId="0" applyFont="1" applyAlignment="1"/>
    <xf numFmtId="0" fontId="1" fillId="6" borderId="0" xfId="0" applyFont="1" applyFill="1" applyAlignment="1">
      <alignment horizontal="center" wrapText="1"/>
    </xf>
    <xf numFmtId="164" fontId="4" fillId="0" borderId="0" xfId="0" applyNumberFormat="1" applyFont="1" applyAlignment="1">
      <alignment horizontal="left"/>
    </xf>
    <xf numFmtId="49" fontId="13" fillId="0" borderId="0" xfId="0" applyNumberFormat="1" applyFont="1" applyAlignment="1">
      <alignment horizontal="center"/>
    </xf>
    <xf numFmtId="0" fontId="1" fillId="4" borderId="0" xfId="0" applyFont="1" applyFill="1" applyAlignment="1">
      <alignment horizontal="left"/>
    </xf>
    <xf numFmtId="0" fontId="1" fillId="4" borderId="0" xfId="0" applyFont="1" applyFill="1" applyAlignment="1"/>
    <xf numFmtId="0" fontId="7" fillId="0" borderId="0" xfId="0" applyFont="1" applyAlignment="1">
      <alignment horizontal="right"/>
    </xf>
    <xf numFmtId="0" fontId="12" fillId="5" borderId="0" xfId="0" applyFont="1" applyFill="1" applyAlignment="1">
      <alignment horizontal="center" wrapText="1"/>
    </xf>
    <xf numFmtId="0" fontId="2" fillId="0" borderId="0" xfId="0" applyFont="1" applyAlignment="1">
      <alignment horizontal="center" wrapText="1"/>
    </xf>
    <xf numFmtId="0" fontId="6" fillId="0" borderId="0" xfId="0" applyFont="1" applyAlignment="1">
      <alignment horizontal="center" wrapText="1"/>
    </xf>
    <xf numFmtId="0" fontId="6" fillId="0" borderId="0" xfId="0" quotePrefix="1" applyFont="1" applyAlignment="1"/>
    <xf numFmtId="0" fontId="1" fillId="0" borderId="0" xfId="0" applyFont="1" applyAlignment="1">
      <alignment horizontal="left" wrapText="1"/>
    </xf>
    <xf numFmtId="49" fontId="6" fillId="8" borderId="0" xfId="0" applyNumberFormat="1" applyFont="1" applyFill="1" applyAlignment="1">
      <alignment horizontal="center"/>
    </xf>
    <xf numFmtId="0" fontId="1" fillId="4" borderId="0" xfId="0" applyFont="1" applyFill="1" applyAlignment="1">
      <alignment horizontal="center" wrapText="1"/>
    </xf>
    <xf numFmtId="0" fontId="1" fillId="6" borderId="0" xfId="0" applyFont="1" applyFill="1" applyAlignment="1"/>
    <xf numFmtId="0" fontId="1" fillId="0" borderId="0" xfId="0" applyFont="1" applyAlignment="1"/>
    <xf numFmtId="49" fontId="4" fillId="0" borderId="0" xfId="0" applyNumberFormat="1" applyFont="1" applyAlignment="1"/>
    <xf numFmtId="0" fontId="1" fillId="0" borderId="0" xfId="0" applyFont="1" applyAlignment="1">
      <alignment horizontal="center"/>
    </xf>
    <xf numFmtId="0" fontId="1" fillId="0" borderId="0" xfId="0" applyFont="1" applyAlignment="1">
      <alignment horizontal="center" wrapText="1"/>
    </xf>
    <xf numFmtId="0" fontId="1" fillId="10" borderId="0" xfId="0" applyFont="1" applyFill="1" applyAlignment="1">
      <alignment horizontal="center" wrapText="1"/>
    </xf>
    <xf numFmtId="49" fontId="7" fillId="11" borderId="0" xfId="0" applyNumberFormat="1" applyFont="1" applyFill="1" applyAlignment="1"/>
    <xf numFmtId="0" fontId="6" fillId="0" borderId="0" xfId="0" applyFont="1" applyAlignment="1">
      <alignment horizontal="center" wrapText="1"/>
    </xf>
    <xf numFmtId="0" fontId="4" fillId="0" borderId="0" xfId="0" applyFont="1" applyAlignment="1">
      <alignment horizontal="center"/>
    </xf>
    <xf numFmtId="0" fontId="14" fillId="0" borderId="0" xfId="0" applyFont="1" applyAlignment="1"/>
    <xf numFmtId="0" fontId="14" fillId="0" borderId="0" xfId="0" applyFont="1" applyAlignment="1">
      <alignment horizontal="left"/>
    </xf>
    <xf numFmtId="0" fontId="1" fillId="8" borderId="0" xfId="0" applyFont="1" applyFill="1" applyAlignment="1">
      <alignment horizontal="center" wrapText="1"/>
    </xf>
    <xf numFmtId="0" fontId="7" fillId="0" borderId="0" xfId="0" applyFont="1" applyAlignment="1">
      <alignment horizontal="center"/>
    </xf>
    <xf numFmtId="0" fontId="6" fillId="0" borderId="0" xfId="0" applyFont="1" applyAlignment="1"/>
    <xf numFmtId="0" fontId="15" fillId="0" borderId="0" xfId="0" applyFont="1" applyAlignment="1">
      <alignment horizontal="center"/>
    </xf>
    <xf numFmtId="0" fontId="6" fillId="0" borderId="0" xfId="0" applyFont="1" applyAlignment="1">
      <alignment horizontal="left"/>
    </xf>
    <xf numFmtId="0" fontId="12" fillId="4" borderId="0" xfId="0" applyFont="1" applyFill="1" applyAlignment="1">
      <alignment horizontal="center"/>
    </xf>
    <xf numFmtId="0" fontId="12" fillId="0" borderId="0" xfId="0" applyFont="1" applyAlignment="1">
      <alignment horizontal="center"/>
    </xf>
    <xf numFmtId="0" fontId="12" fillId="0" borderId="0" xfId="0" applyFont="1" applyAlignment="1">
      <alignment horizontal="center"/>
    </xf>
    <xf numFmtId="0" fontId="12" fillId="0" borderId="0" xfId="0" applyFont="1" applyAlignment="1"/>
    <xf numFmtId="0" fontId="12" fillId="8" borderId="0" xfId="0" applyFont="1" applyFill="1" applyAlignment="1">
      <alignment horizontal="center"/>
    </xf>
    <xf numFmtId="49" fontId="12" fillId="0" borderId="0" xfId="0" applyNumberFormat="1" applyFont="1" applyAlignment="1">
      <alignment horizontal="center"/>
    </xf>
    <xf numFmtId="0" fontId="16" fillId="0" borderId="0" xfId="0" applyFont="1" applyAlignment="1">
      <alignment horizontal="center"/>
    </xf>
    <xf numFmtId="0" fontId="17" fillId="0" borderId="0" xfId="0" applyFont="1" applyAlignment="1">
      <alignment horizontal="center"/>
    </xf>
    <xf numFmtId="0" fontId="12" fillId="0" borderId="0" xfId="0" applyFont="1" applyAlignment="1"/>
    <xf numFmtId="0" fontId="15" fillId="0" borderId="0" xfId="0" applyFont="1" applyAlignment="1"/>
    <xf numFmtId="0" fontId="15" fillId="0" borderId="0" xfId="0" applyFont="1" applyAlignment="1">
      <alignment horizontal="center"/>
    </xf>
    <xf numFmtId="0" fontId="15" fillId="0" borderId="0" xfId="0" applyFont="1" applyAlignment="1"/>
    <xf numFmtId="165" fontId="12" fillId="0" borderId="0" xfId="0" applyNumberFormat="1" applyFont="1" applyAlignment="1">
      <alignment horizontal="right"/>
    </xf>
    <xf numFmtId="14" fontId="15" fillId="0" borderId="0" xfId="0" applyNumberFormat="1" applyFont="1" applyAlignment="1">
      <alignment horizontal="right"/>
    </xf>
    <xf numFmtId="165" fontId="15" fillId="0" borderId="0" xfId="0" applyNumberFormat="1" applyFont="1" applyAlignment="1">
      <alignment horizontal="right"/>
    </xf>
    <xf numFmtId="49" fontId="6" fillId="0" borderId="0" xfId="0" applyNumberFormat="1" applyFont="1" applyAlignment="1">
      <alignment horizontal="center"/>
    </xf>
    <xf numFmtId="49" fontId="15" fillId="0" borderId="0" xfId="0" applyNumberFormat="1" applyFont="1" applyAlignment="1">
      <alignment horizontal="center"/>
    </xf>
    <xf numFmtId="0" fontId="17" fillId="0" borderId="0" xfId="0" applyFont="1" applyAlignment="1"/>
    <xf numFmtId="0" fontId="15" fillId="0" borderId="0" xfId="0" quotePrefix="1" applyFont="1" applyAlignment="1">
      <alignment horizontal="center"/>
    </xf>
    <xf numFmtId="14" fontId="12" fillId="0" borderId="0" xfId="0" applyNumberFormat="1" applyFont="1" applyAlignment="1">
      <alignment horizontal="right"/>
    </xf>
    <xf numFmtId="0" fontId="12" fillId="12" borderId="0" xfId="0" applyFont="1" applyFill="1" applyAlignment="1">
      <alignment horizontal="center"/>
    </xf>
    <xf numFmtId="0" fontId="12" fillId="0" borderId="0" xfId="0" applyFont="1" applyAlignment="1">
      <alignment horizontal="center"/>
    </xf>
    <xf numFmtId="11" fontId="15" fillId="0" borderId="0" xfId="0" applyNumberFormat="1" applyFont="1" applyAlignment="1">
      <alignment horizontal="center"/>
    </xf>
    <xf numFmtId="0" fontId="12" fillId="0" borderId="0" xfId="0" applyFont="1" applyAlignment="1"/>
    <xf numFmtId="0" fontId="12" fillId="8" borderId="0" xfId="0" applyFont="1" applyFill="1" applyAlignment="1">
      <alignment horizontal="center"/>
    </xf>
    <xf numFmtId="0" fontId="6" fillId="0" borderId="0" xfId="0" applyFont="1" applyAlignment="1">
      <alignment horizontal="center"/>
    </xf>
    <xf numFmtId="165" fontId="1" fillId="0" borderId="0" xfId="0" applyNumberFormat="1" applyFont="1" applyAlignment="1"/>
    <xf numFmtId="14" fontId="1" fillId="0" borderId="0" xfId="0" applyNumberFormat="1" applyFont="1" applyAlignment="1"/>
    <xf numFmtId="0" fontId="15" fillId="0" borderId="0" xfId="0" applyFont="1" applyAlignment="1"/>
    <xf numFmtId="0" fontId="6" fillId="0" borderId="0" xfId="0" applyFont="1" applyAlignment="1">
      <alignment horizontal="center"/>
    </xf>
    <xf numFmtId="14" fontId="6" fillId="0" borderId="0" xfId="0" applyNumberFormat="1" applyFont="1" applyAlignment="1"/>
    <xf numFmtId="0" fontId="12" fillId="10" borderId="0" xfId="0" applyFont="1" applyFill="1" applyAlignment="1">
      <alignment horizontal="center"/>
    </xf>
    <xf numFmtId="0" fontId="1" fillId="0" borderId="0" xfId="0" applyFont="1" applyAlignment="1">
      <alignment horizontal="center"/>
    </xf>
    <xf numFmtId="0" fontId="1" fillId="0" borderId="0" xfId="0" applyFont="1" applyAlignment="1">
      <alignment wrapText="1"/>
    </xf>
    <xf numFmtId="0" fontId="1" fillId="8" borderId="0" xfId="0" applyFont="1" applyFill="1" applyAlignment="1">
      <alignment horizontal="center" wrapText="1"/>
    </xf>
    <xf numFmtId="0" fontId="1" fillId="0" borderId="0" xfId="0" applyFont="1" applyAlignment="1">
      <alignment horizontal="center" wrapText="1"/>
    </xf>
    <xf numFmtId="0" fontId="6" fillId="0" borderId="0" xfId="0" applyFont="1" applyAlignment="1">
      <alignment horizontal="center" wrapText="1"/>
    </xf>
    <xf numFmtId="0" fontId="18" fillId="0" borderId="0" xfId="0" applyFont="1" applyAlignment="1">
      <alignment horizontal="center"/>
    </xf>
    <xf numFmtId="0" fontId="1" fillId="0" borderId="0" xfId="0" applyFont="1" applyAlignment="1">
      <alignment horizontal="left"/>
    </xf>
    <xf numFmtId="0" fontId="6" fillId="0" borderId="0" xfId="0" applyFont="1" applyAlignment="1">
      <alignment horizontal="center"/>
    </xf>
    <xf numFmtId="0" fontId="6" fillId="0" borderId="0" xfId="0" applyFont="1" applyAlignment="1">
      <alignment horizontal="left"/>
    </xf>
    <xf numFmtId="0" fontId="19" fillId="0" borderId="0" xfId="0" applyFont="1" applyAlignment="1">
      <alignment horizontal="left"/>
    </xf>
    <xf numFmtId="0" fontId="18" fillId="4" borderId="0" xfId="0" applyFont="1" applyFill="1" applyAlignment="1">
      <alignment horizontal="center"/>
    </xf>
    <xf numFmtId="0" fontId="4" fillId="4" borderId="0" xfId="0" applyFont="1" applyFill="1" applyAlignment="1"/>
    <xf numFmtId="0" fontId="12" fillId="13" borderId="0" xfId="0" applyFont="1" applyFill="1" applyAlignment="1">
      <alignment horizontal="center"/>
    </xf>
    <xf numFmtId="0" fontId="1" fillId="13" borderId="0" xfId="0" applyFont="1" applyFill="1" applyAlignment="1">
      <alignment horizontal="center"/>
    </xf>
    <xf numFmtId="0" fontId="1" fillId="13" borderId="0" xfId="0" applyFont="1" applyFill="1" applyAlignment="1">
      <alignment horizontal="center"/>
    </xf>
    <xf numFmtId="0" fontId="1" fillId="13" borderId="0" xfId="0" applyFont="1" applyFill="1" applyAlignment="1">
      <alignment wrapText="1"/>
    </xf>
    <xf numFmtId="0" fontId="1" fillId="13" borderId="0" xfId="0" applyFont="1" applyFill="1" applyAlignment="1">
      <alignment horizontal="center" wrapText="1"/>
    </xf>
    <xf numFmtId="0" fontId="1" fillId="13" borderId="0" xfId="0" applyFont="1" applyFill="1" applyAlignment="1">
      <alignment horizontal="center" wrapText="1"/>
    </xf>
    <xf numFmtId="0" fontId="6" fillId="13" borderId="0" xfId="0" applyFont="1" applyFill="1" applyAlignment="1">
      <alignment horizontal="center" wrapText="1"/>
    </xf>
    <xf numFmtId="0" fontId="18" fillId="13" borderId="0" xfId="0" applyFont="1" applyFill="1" applyAlignment="1">
      <alignment horizontal="center"/>
    </xf>
    <xf numFmtId="49" fontId="7" fillId="13" borderId="0" xfId="0" applyNumberFormat="1" applyFont="1" applyFill="1" applyAlignment="1"/>
    <xf numFmtId="0" fontId="4" fillId="13" borderId="0" xfId="0" applyFont="1" applyFill="1" applyAlignment="1"/>
    <xf numFmtId="0" fontId="1" fillId="13" borderId="0" xfId="0" applyFont="1" applyFill="1" applyAlignment="1">
      <alignment horizontal="left"/>
    </xf>
    <xf numFmtId="0" fontId="6" fillId="13" borderId="0" xfId="0" applyFont="1" applyFill="1" applyAlignment="1">
      <alignment horizontal="left"/>
    </xf>
    <xf numFmtId="0" fontId="6" fillId="13" borderId="0" xfId="0" applyFont="1" applyFill="1" applyAlignment="1">
      <alignment horizontal="center"/>
    </xf>
    <xf numFmtId="0" fontId="14" fillId="13" borderId="0" xfId="0" applyFont="1" applyFill="1"/>
    <xf numFmtId="0" fontId="1" fillId="14" borderId="0" xfId="0" applyFont="1" applyFill="1" applyAlignment="1">
      <alignment horizontal="center"/>
    </xf>
    <xf numFmtId="49" fontId="1" fillId="14" borderId="0" xfId="0" applyNumberFormat="1" applyFont="1" applyFill="1" applyAlignment="1">
      <alignment horizontal="center"/>
    </xf>
    <xf numFmtId="49" fontId="1" fillId="15" borderId="0" xfId="0" applyNumberFormat="1" applyFont="1" applyFill="1" applyAlignment="1">
      <alignment horizontal="center"/>
    </xf>
    <xf numFmtId="49" fontId="1" fillId="3" borderId="0" xfId="0" applyNumberFormat="1" applyFont="1" applyFill="1" applyAlignment="1">
      <alignment horizontal="center"/>
    </xf>
    <xf numFmtId="0" fontId="1" fillId="3" borderId="0" xfId="0" applyFont="1" applyFill="1" applyAlignment="1">
      <alignment horizontal="center"/>
    </xf>
    <xf numFmtId="0" fontId="6" fillId="3" borderId="0" xfId="0" applyFont="1" applyFill="1" applyAlignment="1">
      <alignment horizontal="center"/>
    </xf>
    <xf numFmtId="0" fontId="1" fillId="3" borderId="0" xfId="0" applyFont="1" applyFill="1" applyAlignment="1">
      <alignment horizontal="center" wrapText="1"/>
    </xf>
    <xf numFmtId="49" fontId="6" fillId="3" borderId="0" xfId="0" applyNumberFormat="1" applyFont="1" applyFill="1" applyAlignment="1">
      <alignment horizontal="center"/>
    </xf>
    <xf numFmtId="49" fontId="6" fillId="13" borderId="0" xfId="0" applyNumberFormat="1" applyFont="1" applyFill="1" applyAlignment="1">
      <alignment horizontal="center"/>
    </xf>
    <xf numFmtId="0" fontId="12" fillId="0" borderId="0" xfId="0" applyFont="1" applyAlignment="1">
      <alignment horizontal="left"/>
    </xf>
    <xf numFmtId="0" fontId="16" fillId="0" borderId="0" xfId="0" applyFont="1" applyAlignment="1">
      <alignment horizontal="left"/>
    </xf>
    <xf numFmtId="4" fontId="1" fillId="0" borderId="0" xfId="0" applyNumberFormat="1" applyFont="1" applyAlignment="1">
      <alignment horizontal="center" wrapText="1"/>
    </xf>
    <xf numFmtId="0" fontId="14" fillId="13" borderId="0" xfId="0" applyFont="1" applyFill="1" applyAlignment="1"/>
    <xf numFmtId="0" fontId="1" fillId="14" borderId="0" xfId="0" applyFont="1" applyFill="1" applyAlignment="1">
      <alignment horizontal="center"/>
    </xf>
    <xf numFmtId="0" fontId="1" fillId="16" borderId="0" xfId="0" applyFont="1" applyFill="1" applyAlignment="1">
      <alignment horizontal="center"/>
    </xf>
    <xf numFmtId="0" fontId="10" fillId="17" borderId="0" xfId="0" applyFont="1" applyFill="1" applyAlignment="1">
      <alignment horizontal="center"/>
    </xf>
    <xf numFmtId="0" fontId="14" fillId="0" borderId="0" xfId="0" applyFont="1"/>
    <xf numFmtId="49" fontId="14" fillId="0" borderId="0" xfId="0" applyNumberFormat="1" applyFont="1"/>
    <xf numFmtId="0" fontId="14" fillId="0" borderId="0" xfId="0" applyFont="1" applyAlignment="1">
      <alignment wrapText="1"/>
    </xf>
    <xf numFmtId="0" fontId="15" fillId="0" borderId="0" xfId="0" applyFont="1" applyAlignment="1"/>
    <xf numFmtId="165" fontId="14" fillId="0" borderId="0" xfId="0" applyNumberFormat="1" applyFont="1" applyAlignment="1"/>
    <xf numFmtId="0" fontId="2" fillId="0" borderId="0" xfId="0" applyFont="1" applyAlignment="1">
      <alignment horizontal="center" vertical="center" wrapText="1"/>
    </xf>
    <xf numFmtId="49" fontId="7" fillId="4" borderId="0" xfId="0" applyNumberFormat="1" applyFont="1" applyFill="1" applyAlignment="1"/>
    <xf numFmtId="164" fontId="4" fillId="4" borderId="0" xfId="0" applyNumberFormat="1" applyFont="1" applyFill="1" applyAlignment="1"/>
    <xf numFmtId="0" fontId="20" fillId="17" borderId="0" xfId="0" applyFont="1" applyFill="1" applyAlignment="1"/>
    <xf numFmtId="49" fontId="1" fillId="17" borderId="0" xfId="0" applyNumberFormat="1" applyFont="1" applyFill="1" applyAlignment="1">
      <alignment horizontal="center"/>
    </xf>
    <xf numFmtId="49" fontId="1" fillId="8" borderId="0" xfId="0" applyNumberFormat="1" applyFont="1" applyFill="1" applyAlignment="1">
      <alignment horizontal="center"/>
    </xf>
    <xf numFmtId="0" fontId="7" fillId="4" borderId="0" xfId="0" applyFont="1" applyFill="1" applyAlignment="1"/>
    <xf numFmtId="49" fontId="7" fillId="7" borderId="0" xfId="0" applyNumberFormat="1" applyFont="1" applyFill="1" applyAlignment="1"/>
    <xf numFmtId="0" fontId="4" fillId="7" borderId="0" xfId="0" applyFont="1" applyFill="1" applyAlignment="1"/>
    <xf numFmtId="0" fontId="4" fillId="4" borderId="0" xfId="0" applyFont="1" applyFill="1" applyAlignment="1">
      <alignment horizontal="left"/>
    </xf>
    <xf numFmtId="49" fontId="1" fillId="13" borderId="0" xfId="0" applyNumberFormat="1" applyFont="1" applyFill="1" applyAlignment="1">
      <alignment horizontal="center"/>
    </xf>
    <xf numFmtId="164" fontId="4" fillId="4" borderId="0" xfId="0" applyNumberFormat="1" applyFont="1" applyFill="1" applyAlignment="1">
      <alignment horizontal="left"/>
    </xf>
    <xf numFmtId="0" fontId="7" fillId="4" borderId="0" xfId="0" applyFont="1" applyFill="1" applyAlignment="1">
      <alignment horizontal="right"/>
    </xf>
    <xf numFmtId="0" fontId="1" fillId="19" borderId="0" xfId="0" applyFont="1" applyFill="1" applyAlignment="1">
      <alignment horizontal="center"/>
    </xf>
    <xf numFmtId="0" fontId="1" fillId="7" borderId="0" xfId="0" applyFont="1" applyFill="1" applyAlignment="1"/>
    <xf numFmtId="49" fontId="1" fillId="7" borderId="0" xfId="0" applyNumberFormat="1" applyFont="1" applyFill="1" applyAlignment="1">
      <alignment horizontal="center"/>
    </xf>
    <xf numFmtId="49" fontId="4" fillId="4" borderId="0" xfId="0" applyNumberFormat="1" applyFont="1" applyFill="1" applyAlignment="1"/>
    <xf numFmtId="0" fontId="4" fillId="4" borderId="0" xfId="0" applyFont="1" applyFill="1" applyAlignment="1">
      <alignment horizontal="center"/>
    </xf>
    <xf numFmtId="0" fontId="1" fillId="7" borderId="0" xfId="0" applyFont="1" applyFill="1" applyAlignment="1">
      <alignment horizontal="center"/>
    </xf>
    <xf numFmtId="0" fontId="7" fillId="4" borderId="0" xfId="0" applyFont="1" applyFill="1" applyAlignment="1">
      <alignment horizontal="center"/>
    </xf>
    <xf numFmtId="0" fontId="4" fillId="4" borderId="0" xfId="0" applyFont="1" applyFill="1" applyAlignment="1">
      <alignment horizontal="center"/>
    </xf>
    <xf numFmtId="0" fontId="21" fillId="20" borderId="0" xfId="0" applyFont="1" applyFill="1" applyAlignment="1">
      <alignment horizontal="center"/>
    </xf>
    <xf numFmtId="0" fontId="16" fillId="4" borderId="0" xfId="0" applyFont="1" applyFill="1" applyAlignment="1">
      <alignment horizontal="center"/>
    </xf>
    <xf numFmtId="0" fontId="17" fillId="4" borderId="0" xfId="0" applyFont="1" applyFill="1" applyAlignment="1">
      <alignment horizontal="center"/>
    </xf>
    <xf numFmtId="0" fontId="22" fillId="20" borderId="0" xfId="0" applyFont="1" applyFill="1" applyAlignment="1">
      <alignment horizontal="center"/>
    </xf>
    <xf numFmtId="0" fontId="15" fillId="12" borderId="0" xfId="0" applyFont="1" applyFill="1" applyAlignment="1">
      <alignment horizontal="center"/>
    </xf>
    <xf numFmtId="0" fontId="15" fillId="12" borderId="0" xfId="0" applyFont="1" applyFill="1" applyAlignment="1">
      <alignment horizontal="center"/>
    </xf>
    <xf numFmtId="0" fontId="17" fillId="4" borderId="0" xfId="0" applyFont="1" applyFill="1" applyAlignment="1"/>
    <xf numFmtId="0" fontId="12" fillId="0" borderId="0" xfId="0" applyFont="1" applyAlignment="1">
      <alignment horizontal="center"/>
    </xf>
    <xf numFmtId="0" fontId="22" fillId="20" borderId="0" xfId="0" applyFont="1" applyFill="1" applyAlignment="1">
      <alignment horizontal="center"/>
    </xf>
    <xf numFmtId="0" fontId="15" fillId="21" borderId="0" xfId="0" applyFont="1" applyFill="1" applyAlignment="1">
      <alignment horizontal="center"/>
    </xf>
    <xf numFmtId="0" fontId="6" fillId="21" borderId="0" xfId="0" applyFont="1" applyFill="1" applyAlignment="1">
      <alignment horizontal="center"/>
    </xf>
    <xf numFmtId="0" fontId="6" fillId="22" borderId="0" xfId="0" applyFont="1" applyFill="1" applyAlignment="1">
      <alignment horizontal="center"/>
    </xf>
    <xf numFmtId="0" fontId="1" fillId="0" borderId="0" xfId="0" applyFont="1" applyAlignment="1">
      <alignment wrapText="1"/>
    </xf>
    <xf numFmtId="0" fontId="23" fillId="0" borderId="0" xfId="0" applyFont="1"/>
    <xf numFmtId="0" fontId="24" fillId="0" borderId="0" xfId="0" applyFont="1" applyAlignment="1">
      <alignment wrapText="1"/>
    </xf>
    <xf numFmtId="0" fontId="6" fillId="7" borderId="0" xfId="0" applyFont="1" applyFill="1" applyAlignment="1">
      <alignment horizontal="center"/>
    </xf>
    <xf numFmtId="0" fontId="6" fillId="0" borderId="0" xfId="0" applyFont="1" applyAlignment="1">
      <alignment horizontal="center"/>
    </xf>
    <xf numFmtId="0" fontId="12" fillId="0" borderId="0" xfId="0" applyFont="1" applyAlignment="1"/>
    <xf numFmtId="0" fontId="12" fillId="0" borderId="0" xfId="0" applyFont="1" applyAlignment="1">
      <alignment horizontal="center"/>
    </xf>
    <xf numFmtId="0" fontId="1" fillId="21" borderId="0" xfId="0" applyFont="1" applyFill="1" applyAlignment="1">
      <alignment horizontal="center"/>
    </xf>
    <xf numFmtId="0" fontId="1" fillId="17" borderId="0" xfId="0" applyFont="1" applyFill="1" applyAlignment="1">
      <alignment horizontal="center"/>
    </xf>
    <xf numFmtId="0" fontId="1" fillId="8" borderId="0" xfId="0" applyFont="1" applyFill="1" applyAlignment="1">
      <alignment horizontal="center"/>
    </xf>
    <xf numFmtId="0" fontId="1" fillId="9" borderId="0" xfId="0" applyFont="1" applyFill="1" applyAlignment="1">
      <alignment horizontal="center"/>
    </xf>
    <xf numFmtId="0" fontId="6" fillId="9" borderId="0" xfId="0" applyFont="1" applyFill="1" applyAlignment="1">
      <alignment horizontal="center"/>
    </xf>
    <xf numFmtId="0" fontId="12" fillId="0" borderId="0" xfId="0" applyFont="1" applyAlignment="1">
      <alignment horizontal="center" wrapText="1"/>
    </xf>
    <xf numFmtId="0" fontId="7" fillId="4" borderId="0" xfId="0" applyFont="1" applyFill="1" applyAlignment="1">
      <alignment horizontal="center"/>
    </xf>
    <xf numFmtId="11" fontId="14" fillId="0" borderId="0" xfId="0" applyNumberFormat="1" applyFont="1"/>
    <xf numFmtId="166" fontId="14" fillId="0" borderId="0" xfId="0" applyNumberFormat="1" applyFont="1" applyAlignment="1"/>
    <xf numFmtId="167" fontId="14" fillId="0" borderId="0" xfId="0" applyNumberFormat="1" applyFont="1" applyAlignment="1"/>
    <xf numFmtId="0" fontId="24" fillId="0" borderId="0" xfId="0" applyFont="1" applyAlignment="1">
      <alignment wrapText="1"/>
    </xf>
    <xf numFmtId="49" fontId="14" fillId="0" borderId="0" xfId="0" applyNumberFormat="1" applyFont="1" applyAlignment="1">
      <alignment wrapText="1"/>
    </xf>
    <xf numFmtId="0" fontId="24" fillId="0" borderId="0" xfId="0" applyFont="1"/>
    <xf numFmtId="0" fontId="28" fillId="18" borderId="1" xfId="0" applyFont="1" applyFill="1" applyBorder="1" applyAlignment="1">
      <alignment wrapText="1"/>
    </xf>
    <xf numFmtId="0" fontId="29" fillId="0" borderId="1" xfId="0" applyFont="1" applyBorder="1" applyAlignment="1">
      <alignment wrapText="1"/>
    </xf>
    <xf numFmtId="0" fontId="24" fillId="0" borderId="1" xfId="0" applyFont="1" applyBorder="1" applyAlignment="1">
      <alignment wrapText="1"/>
    </xf>
    <xf numFmtId="0" fontId="15" fillId="0" borderId="3" xfId="0" applyFont="1" applyBorder="1" applyAlignment="1"/>
    <xf numFmtId="0" fontId="15" fillId="13" borderId="0" xfId="0" applyFont="1" applyFill="1" applyAlignment="1"/>
    <xf numFmtId="0" fontId="16" fillId="4" borderId="0" xfId="0" applyFont="1" applyFill="1"/>
    <xf numFmtId="0" fontId="15" fillId="0" borderId="2" xfId="0" applyFont="1" applyBorder="1" applyAlignment="1"/>
    <xf numFmtId="0" fontId="15" fillId="0" borderId="1" xfId="0" applyFont="1" applyBorder="1" applyAlignment="1"/>
    <xf numFmtId="0" fontId="31" fillId="0" borderId="0" xfId="0" applyFont="1" applyAlignment="1"/>
    <xf numFmtId="0" fontId="31" fillId="0" borderId="0" xfId="0" applyFont="1" applyAlignment="1"/>
    <xf numFmtId="0" fontId="15" fillId="0" borderId="2" xfId="0" applyFont="1" applyBorder="1" applyAlignment="1"/>
    <xf numFmtId="0" fontId="15" fillId="0" borderId="1" xfId="0" applyFont="1" applyBorder="1" applyAlignment="1"/>
    <xf numFmtId="49" fontId="1" fillId="0" borderId="0" xfId="0" applyNumberFormat="1" applyFont="1" applyAlignment="1">
      <alignment horizontal="center" wrapText="1"/>
    </xf>
    <xf numFmtId="0" fontId="14" fillId="18" borderId="0" xfId="0" applyFont="1" applyFill="1"/>
    <xf numFmtId="0" fontId="32" fillId="18" borderId="0" xfId="0" applyFont="1" applyFill="1"/>
    <xf numFmtId="0" fontId="33" fillId="18" borderId="0" xfId="0" applyFont="1" applyFill="1" applyAlignment="1"/>
    <xf numFmtId="0" fontId="1" fillId="23" borderId="1" xfId="0" applyFont="1" applyFill="1" applyBorder="1" applyAlignment="1">
      <alignment horizontal="center" vertical="center"/>
    </xf>
    <xf numFmtId="0" fontId="2" fillId="23" borderId="1" xfId="0" applyFont="1" applyFill="1" applyBorder="1" applyAlignment="1">
      <alignment horizontal="center" vertical="center" wrapText="1"/>
    </xf>
    <xf numFmtId="0" fontId="9" fillId="23" borderId="1" xfId="0" applyFont="1" applyFill="1" applyBorder="1" applyAlignment="1">
      <alignment horizontal="center" vertical="center"/>
    </xf>
    <xf numFmtId="0" fontId="3" fillId="23" borderId="1" xfId="0" applyFont="1" applyFill="1" applyBorder="1" applyAlignment="1"/>
    <xf numFmtId="0" fontId="14" fillId="24" borderId="0" xfId="0" applyFont="1" applyFill="1"/>
    <xf numFmtId="0" fontId="34" fillId="18" borderId="0" xfId="0" applyFont="1" applyFill="1" applyAlignment="1"/>
    <xf numFmtId="44" fontId="6" fillId="0" borderId="0" xfId="1" applyFont="1" applyAlignment="1">
      <alignment horizontal="center" wrapText="1"/>
    </xf>
    <xf numFmtId="46" fontId="36" fillId="25" borderId="0" xfId="0" applyNumberFormat="1" applyFont="1" applyFill="1" applyAlignment="1">
      <alignment horizontal="center" vertical="center"/>
    </xf>
    <xf numFmtId="0" fontId="36" fillId="25" borderId="0" xfId="0" applyFont="1" applyFill="1" applyAlignment="1">
      <alignment horizontal="center" vertical="center"/>
    </xf>
    <xf numFmtId="0" fontId="37" fillId="25" borderId="0" xfId="0" applyFont="1" applyFill="1" applyAlignment="1">
      <alignment horizontal="center" vertical="center" wrapText="1"/>
    </xf>
    <xf numFmtId="0" fontId="36" fillId="25" borderId="0" xfId="0" applyFont="1" applyFill="1" applyAlignment="1">
      <alignment horizontal="center" vertical="center" wrapText="1"/>
    </xf>
    <xf numFmtId="0" fontId="37" fillId="25" borderId="0" xfId="0" applyFont="1" applyFill="1" applyAlignment="1">
      <alignment horizontal="center" vertical="center"/>
    </xf>
    <xf numFmtId="0" fontId="14" fillId="0" borderId="0" xfId="0" applyFont="1" applyAlignment="1">
      <alignment wrapText="1"/>
    </xf>
    <xf numFmtId="0" fontId="0" fillId="0" borderId="0" xfId="0" applyFont="1" applyAlignment="1"/>
    <xf numFmtId="0" fontId="25" fillId="0" borderId="0" xfId="0" applyFont="1" applyAlignment="1">
      <alignment horizontal="center" vertical="center" wrapText="1"/>
    </xf>
    <xf numFmtId="0" fontId="26" fillId="0" borderId="0" xfId="0" applyFont="1" applyAlignment="1">
      <alignment horizontal="right" wrapText="1"/>
    </xf>
    <xf numFmtId="0" fontId="27" fillId="0" borderId="0" xfId="0" applyFont="1" applyAlignment="1">
      <alignment horizontal="left" vertical="center" wrapText="1"/>
    </xf>
    <xf numFmtId="0" fontId="30" fillId="0" borderId="0" xfId="0" applyFont="1" applyAlignment="1">
      <alignment horizontal="center" vertical="center" wrapText="1"/>
    </xf>
    <xf numFmtId="0" fontId="30" fillId="0" borderId="0" xfId="0" applyFont="1" applyAlignment="1">
      <alignment horizontal="center" wrapText="1"/>
    </xf>
    <xf numFmtId="0" fontId="14" fillId="0" borderId="0" xfId="0" applyFont="1" applyAlignment="1">
      <alignment vertical="center" wrapText="1"/>
    </xf>
  </cellXfs>
  <cellStyles count="2">
    <cellStyle name="Moneda" xfId="1" builtinId="4"/>
    <cellStyle name="Normal" xfId="0" builtinId="0"/>
  </cellStyles>
  <dxfs count="2">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552450</xdr:colOff>
      <xdr:row>0</xdr:row>
      <xdr:rowOff>200025</xdr:rowOff>
    </xdr:from>
    <xdr:ext cx="1914525" cy="261937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4114800</xdr:colOff>
      <xdr:row>1</xdr:row>
      <xdr:rowOff>0</xdr:rowOff>
    </xdr:from>
    <xdr:ext cx="6324600" cy="2362200"/>
    <xdr:pic>
      <xdr:nvPicPr>
        <xdr:cNvPr id="3" name="image2.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A1:AE1481"/>
  <sheetViews>
    <sheetView workbookViewId="0">
      <pane ySplit="1" topLeftCell="A2" activePane="bottomLeft" state="frozen"/>
      <selection pane="bottomLeft" activeCell="B3" sqref="B3"/>
    </sheetView>
  </sheetViews>
  <sheetFormatPr baseColWidth="10" defaultColWidth="12.5703125" defaultRowHeight="15.75" customHeight="1"/>
  <cols>
    <col min="1" max="1" width="9.28515625" customWidth="1"/>
    <col min="2" max="2" width="4.85546875" customWidth="1"/>
    <col min="3" max="3" width="28.28515625" customWidth="1"/>
    <col min="4" max="4" width="3.5703125" customWidth="1"/>
    <col min="5" max="5" width="18.42578125" customWidth="1"/>
    <col min="6" max="6" width="34.42578125" customWidth="1"/>
    <col min="7" max="7" width="15.42578125" customWidth="1"/>
    <col min="8" max="8" width="13.85546875" customWidth="1"/>
    <col min="9" max="9" width="25.28515625" customWidth="1"/>
    <col min="10" max="10" width="15.7109375" customWidth="1"/>
    <col min="11" max="11" width="11.5703125" customWidth="1"/>
    <col min="12" max="12" width="9.5703125" customWidth="1"/>
    <col min="13" max="13" width="13.85546875" customWidth="1"/>
    <col min="14" max="14" width="12" customWidth="1"/>
    <col min="15" max="16" width="12.42578125" customWidth="1"/>
    <col min="17" max="19" width="15.42578125" customWidth="1"/>
    <col min="20" max="20" width="26.7109375" customWidth="1"/>
    <col min="21" max="21" width="17.42578125" customWidth="1"/>
    <col min="22" max="22" width="24.28515625" customWidth="1"/>
    <col min="23" max="23" width="49.7109375" customWidth="1"/>
    <col min="24" max="24" width="46.85546875" customWidth="1"/>
    <col min="25" max="25" width="32.28515625" customWidth="1"/>
    <col min="26" max="26" width="20.42578125" customWidth="1"/>
    <col min="27" max="29" width="8.42578125" customWidth="1"/>
    <col min="30" max="30" width="9.140625" customWidth="1"/>
    <col min="31" max="31" width="23.140625" customWidth="1"/>
  </cols>
  <sheetData>
    <row r="1" spans="1:31" ht="30">
      <c r="A1" s="1" t="s">
        <v>0</v>
      </c>
      <c r="B1" s="1" t="s">
        <v>1</v>
      </c>
      <c r="C1" s="1" t="s">
        <v>2</v>
      </c>
      <c r="D1" s="1" t="s">
        <v>3</v>
      </c>
      <c r="E1" s="2" t="s">
        <v>4</v>
      </c>
      <c r="F1" s="2" t="s">
        <v>5</v>
      </c>
      <c r="G1" s="2" t="s">
        <v>6</v>
      </c>
      <c r="H1" s="3" t="s">
        <v>7</v>
      </c>
      <c r="I1" s="2"/>
      <c r="J1" s="2" t="s">
        <v>8</v>
      </c>
      <c r="K1" s="3" t="s">
        <v>9</v>
      </c>
      <c r="L1" s="2" t="s">
        <v>10</v>
      </c>
      <c r="M1" s="2" t="s">
        <v>11</v>
      </c>
      <c r="N1" s="2" t="s">
        <v>12</v>
      </c>
      <c r="O1" s="2" t="s">
        <v>13</v>
      </c>
      <c r="P1" s="2"/>
      <c r="Q1" s="2" t="s">
        <v>14</v>
      </c>
      <c r="R1" s="4" t="s">
        <v>15</v>
      </c>
      <c r="S1" s="4" t="s">
        <v>16</v>
      </c>
      <c r="T1" s="1" t="s">
        <v>17</v>
      </c>
      <c r="U1" s="4" t="s">
        <v>18</v>
      </c>
      <c r="V1" s="2" t="s">
        <v>19</v>
      </c>
      <c r="W1" s="4" t="s">
        <v>20</v>
      </c>
      <c r="X1" s="5" t="s">
        <v>21</v>
      </c>
      <c r="Y1" s="4" t="s">
        <v>22</v>
      </c>
      <c r="Z1" s="6" t="s">
        <v>23</v>
      </c>
      <c r="AA1" s="7"/>
      <c r="AB1" s="8" t="s">
        <v>24</v>
      </c>
      <c r="AC1" s="8" t="s">
        <v>25</v>
      </c>
      <c r="AD1" s="8" t="s">
        <v>13</v>
      </c>
    </row>
    <row r="2" spans="1:31" ht="15.75" customHeight="1">
      <c r="A2" s="9" t="s">
        <v>26</v>
      </c>
      <c r="B2" s="10" t="s">
        <v>27</v>
      </c>
      <c r="C2" s="11" t="s">
        <v>28</v>
      </c>
      <c r="D2" s="12"/>
      <c r="E2" s="13" t="s">
        <v>29</v>
      </c>
      <c r="F2" s="6" t="s">
        <v>30</v>
      </c>
      <c r="G2" s="14" t="str">
        <f ca="1">IFERROR(__xludf.DUMMYFUNCTION("CONCATENATE($B2,(VLOOKUP($C2,CATALOGOS!$F$2:$H$6,3,FALSE)),(VLOOKUP($V2,CATALOGOS!$J$2:$K$18,2,FALSE)),""-"",TO_TEXT(A2))"),"P05DA-0001")</f>
        <v>P05DA-0001</v>
      </c>
      <c r="H2" s="15" t="str">
        <f ca="1">IFERROR(__xludf.DUMMYFUNCTION("CONCATENATE($B2,(VLOOKUP($C2,CATALOGOS!$F$2:$H$6,3,FALSE)),(VLOOKUP($V2,CATALOGOS!$J$2:$K$18,2,FALSE)),""-"",TO_TEXT($A2))"),"P05DA-0001")</f>
        <v>P05DA-0001</v>
      </c>
      <c r="I2" s="16" t="str">
        <f t="shared" ref="I2:I7" ca="1" si="0">H2</f>
        <v>P05DA-0001</v>
      </c>
      <c r="J2" s="6" t="s">
        <v>31</v>
      </c>
      <c r="K2" s="6" t="s">
        <v>32</v>
      </c>
      <c r="L2" s="6" t="s">
        <v>33</v>
      </c>
      <c r="M2" s="6" t="s">
        <v>34</v>
      </c>
      <c r="N2" s="17"/>
      <c r="O2" s="17"/>
      <c r="P2" s="17" t="str">
        <f t="shared" ref="P2:P7" si="1">IF(COUNTIF($M$2:$M$997,M2)&gt;1,"REPETIDO","OK")</f>
        <v>OK</v>
      </c>
      <c r="Q2" s="17" t="s">
        <v>35</v>
      </c>
      <c r="R2" s="6" t="s">
        <v>35</v>
      </c>
      <c r="S2" s="6" t="s">
        <v>36</v>
      </c>
      <c r="T2" s="10" t="s">
        <v>37</v>
      </c>
      <c r="U2" s="18" t="s">
        <v>38</v>
      </c>
      <c r="V2" s="19" t="s">
        <v>28</v>
      </c>
      <c r="W2" s="20" t="s">
        <v>39</v>
      </c>
      <c r="X2" s="21" t="s">
        <v>40</v>
      </c>
      <c r="Y2" s="22"/>
      <c r="Z2" s="6"/>
      <c r="AA2" s="6"/>
      <c r="AB2" s="23"/>
      <c r="AC2" s="24"/>
      <c r="AE2" s="25" t="s">
        <v>41</v>
      </c>
    </row>
    <row r="3" spans="1:31" ht="15.75" customHeight="1">
      <c r="A3" s="9" t="s">
        <v>42</v>
      </c>
      <c r="B3" s="10" t="s">
        <v>27</v>
      </c>
      <c r="C3" s="11" t="s">
        <v>28</v>
      </c>
      <c r="D3" s="12"/>
      <c r="E3" s="13" t="s">
        <v>43</v>
      </c>
      <c r="F3" s="6" t="s">
        <v>44</v>
      </c>
      <c r="G3" s="14" t="str">
        <f ca="1">IFERROR(__xludf.DUMMYFUNCTION("CONCATENATE(B3,(VLOOKUP(C3,CATALOGOS!$F$2:$H$6,3,FALSE)),(VLOOKUP($V3,CATALOGOS!$J$2:$K$18,2,FALSE)),""-"",TO_TEXT(A3))"),"P05DA-0002")</f>
        <v>P05DA-0002</v>
      </c>
      <c r="H3" s="15" t="str">
        <f ca="1">IFERROR(__xludf.DUMMYFUNCTION("CONCATENATE($B3,(VLOOKUP($C3,CATALOGOS!$F$2:$H$6,3,FALSE)),(VLOOKUP($V3,CATALOGOS!$J$2:$K$18,2,FALSE)),""-"",TO_TEXT($A3))"),"P05DA-0002")</f>
        <v>P05DA-0002</v>
      </c>
      <c r="I3" s="16" t="str">
        <f t="shared" ca="1" si="0"/>
        <v>P05DA-0002</v>
      </c>
      <c r="J3" s="6" t="s">
        <v>45</v>
      </c>
      <c r="K3" s="6" t="s">
        <v>46</v>
      </c>
      <c r="L3" s="6" t="s">
        <v>47</v>
      </c>
      <c r="M3" s="6" t="s">
        <v>48</v>
      </c>
      <c r="N3" s="17"/>
      <c r="O3" s="17"/>
      <c r="P3" s="17" t="str">
        <f t="shared" si="1"/>
        <v>OK</v>
      </c>
      <c r="Q3" s="17" t="s">
        <v>49</v>
      </c>
      <c r="R3" s="6">
        <v>3358</v>
      </c>
      <c r="S3" s="6" t="s">
        <v>36</v>
      </c>
      <c r="T3" s="10" t="s">
        <v>50</v>
      </c>
      <c r="U3" s="18" t="s">
        <v>38</v>
      </c>
      <c r="V3" s="19" t="s">
        <v>28</v>
      </c>
      <c r="W3" s="22" t="s">
        <v>40</v>
      </c>
      <c r="X3" s="21" t="s">
        <v>40</v>
      </c>
      <c r="Y3" s="22"/>
      <c r="AB3" s="23"/>
      <c r="AC3" s="26"/>
      <c r="AE3" s="27" t="s">
        <v>51</v>
      </c>
    </row>
    <row r="4" spans="1:31" ht="15.75" customHeight="1">
      <c r="A4" s="9" t="s">
        <v>52</v>
      </c>
      <c r="B4" s="10" t="s">
        <v>27</v>
      </c>
      <c r="C4" s="11" t="s">
        <v>28</v>
      </c>
      <c r="D4" s="12"/>
      <c r="E4" s="13" t="s">
        <v>53</v>
      </c>
      <c r="F4" s="6" t="s">
        <v>54</v>
      </c>
      <c r="G4" s="14" t="str">
        <f ca="1">IFERROR(__xludf.DUMMYFUNCTION("CONCATENATE(B4,(VLOOKUP(C4,CATALOGOS!$F$2:$H$6,3,FALSE)),(VLOOKUP($V4,CATALOGOS!$J$2:$K$18,2,FALSE)),""-"",TO_TEXT(A4))"),"P05DA-0003")</f>
        <v>P05DA-0003</v>
      </c>
      <c r="H4" s="15" t="str">
        <f ca="1">IFERROR(__xludf.DUMMYFUNCTION("CONCATENATE($B4,(VLOOKUP($C4,CATALOGOS!$F$2:$H$6,3,FALSE)),(VLOOKUP($V4,CATALOGOS!$J$2:$K$18,2,FALSE)),""-"",TO_TEXT($A4))"),"P05DA-0003")</f>
        <v>P05DA-0003</v>
      </c>
      <c r="I4" s="16" t="str">
        <f t="shared" ca="1" si="0"/>
        <v>P05DA-0003</v>
      </c>
      <c r="J4" s="6" t="s">
        <v>55</v>
      </c>
      <c r="K4" s="6" t="s">
        <v>56</v>
      </c>
      <c r="L4" s="6" t="s">
        <v>57</v>
      </c>
      <c r="M4" s="6" t="s">
        <v>58</v>
      </c>
      <c r="N4" s="17"/>
      <c r="O4" s="17"/>
      <c r="P4" s="17" t="str">
        <f t="shared" si="1"/>
        <v>OK</v>
      </c>
      <c r="Q4" s="17" t="s">
        <v>35</v>
      </c>
      <c r="R4" s="6" t="s">
        <v>35</v>
      </c>
      <c r="S4" s="6" t="s">
        <v>36</v>
      </c>
      <c r="T4" s="10" t="s">
        <v>59</v>
      </c>
      <c r="U4" s="18" t="s">
        <v>38</v>
      </c>
      <c r="V4" s="28" t="s">
        <v>28</v>
      </c>
      <c r="W4" s="22" t="s">
        <v>40</v>
      </c>
      <c r="X4" s="21" t="s">
        <v>40</v>
      </c>
      <c r="Y4" s="22"/>
      <c r="Z4" s="6"/>
      <c r="AA4" s="6"/>
      <c r="AB4" s="23"/>
      <c r="AC4" s="24"/>
      <c r="AE4" s="29" t="s">
        <v>60</v>
      </c>
    </row>
    <row r="5" spans="1:31" ht="15.75" customHeight="1">
      <c r="A5" s="10" t="s">
        <v>61</v>
      </c>
      <c r="B5" s="10" t="s">
        <v>27</v>
      </c>
      <c r="C5" s="11" t="s">
        <v>28</v>
      </c>
      <c r="D5" s="12"/>
      <c r="E5" s="13" t="s">
        <v>62</v>
      </c>
      <c r="F5" s="6" t="s">
        <v>63</v>
      </c>
      <c r="G5" s="14" t="str">
        <f ca="1">IFERROR(__xludf.DUMMYFUNCTION("CONCATENATE(B5,(VLOOKUP(C5,CATALOGOS!$F$2:$H$6,3,FALSE)),(VLOOKUP($V5,CATALOGOS!$J$2:$K$18,2,FALSE)),""-"",TO_TEXT(A5))"),"P05DA-0004")</f>
        <v>P05DA-0004</v>
      </c>
      <c r="H5" s="15" t="str">
        <f ca="1">IFERROR(__xludf.DUMMYFUNCTION("CONCATENATE($B5,(VLOOKUP($C5,CATALOGOS!$F$2:$H$6,3,FALSE)),(VLOOKUP($V5,CATALOGOS!$J$2:$K$18,2,FALSE)),""-"",TO_TEXT($A5))"),"P05DA-0004")</f>
        <v>P05DA-0004</v>
      </c>
      <c r="I5" s="16" t="str">
        <f t="shared" ca="1" si="0"/>
        <v>P05DA-0004</v>
      </c>
      <c r="J5" s="6" t="s">
        <v>64</v>
      </c>
      <c r="K5" s="6" t="s">
        <v>65</v>
      </c>
      <c r="L5" s="6" t="s">
        <v>66</v>
      </c>
      <c r="M5" s="6" t="s">
        <v>67</v>
      </c>
      <c r="N5" s="17"/>
      <c r="O5" s="17"/>
      <c r="P5" s="17" t="str">
        <f t="shared" si="1"/>
        <v>OK</v>
      </c>
      <c r="Q5" s="17" t="s">
        <v>35</v>
      </c>
      <c r="R5" s="6" t="s">
        <v>35</v>
      </c>
      <c r="S5" s="6" t="s">
        <v>36</v>
      </c>
      <c r="T5" s="10" t="s">
        <v>68</v>
      </c>
      <c r="U5" s="18" t="s">
        <v>38</v>
      </c>
      <c r="V5" s="19" t="s">
        <v>28</v>
      </c>
      <c r="W5" s="20" t="s">
        <v>39</v>
      </c>
      <c r="X5" s="21" t="s">
        <v>40</v>
      </c>
      <c r="Y5" s="22"/>
      <c r="Z5" s="7"/>
      <c r="AA5" s="7"/>
      <c r="AB5" s="23"/>
      <c r="AC5" s="26"/>
      <c r="AE5" s="30" t="s">
        <v>69</v>
      </c>
    </row>
    <row r="6" spans="1:31" ht="15.75" customHeight="1">
      <c r="A6" s="10" t="s">
        <v>70</v>
      </c>
      <c r="B6" s="10" t="s">
        <v>27</v>
      </c>
      <c r="C6" s="11" t="s">
        <v>28</v>
      </c>
      <c r="D6" s="12"/>
      <c r="E6" s="13" t="s">
        <v>71</v>
      </c>
      <c r="F6" s="6" t="s">
        <v>72</v>
      </c>
      <c r="G6" s="14" t="str">
        <f ca="1">IFERROR(__xludf.DUMMYFUNCTION("CONCATENATE(B6,(VLOOKUP(C6,CATALOGOS!$F$2:$H$6,3,FALSE)),(VLOOKUP(V6,CATALOGOS!$J$2:$K$18,2,FALSE)),""-"",TO_TEXT(A6))"),"P05DA-0005")</f>
        <v>P05DA-0005</v>
      </c>
      <c r="H6" s="15" t="str">
        <f ca="1">IFERROR(__xludf.DUMMYFUNCTION("CONCATENATE($B6,(VLOOKUP($C6,CATALOGOS!$F$2:$H$6,3,FALSE)),(VLOOKUP($V6,CATALOGOS!$J$2:$K$18,2,FALSE)),""-"",TO_TEXT($A6))"),"P05DA-0005")</f>
        <v>P05DA-0005</v>
      </c>
      <c r="I6" s="16" t="str">
        <f t="shared" ca="1" si="0"/>
        <v>P05DA-0005</v>
      </c>
      <c r="J6" s="6" t="s">
        <v>73</v>
      </c>
      <c r="K6" s="6" t="s">
        <v>74</v>
      </c>
      <c r="L6" s="6" t="s">
        <v>75</v>
      </c>
      <c r="M6" s="6" t="s">
        <v>76</v>
      </c>
      <c r="N6" s="17"/>
      <c r="O6" s="17"/>
      <c r="P6" s="17" t="str">
        <f t="shared" si="1"/>
        <v>OK</v>
      </c>
      <c r="Q6" s="17" t="s">
        <v>35</v>
      </c>
      <c r="R6" s="6" t="s">
        <v>35</v>
      </c>
      <c r="S6" s="6" t="s">
        <v>36</v>
      </c>
      <c r="T6" s="10" t="s">
        <v>77</v>
      </c>
      <c r="U6" s="18" t="s">
        <v>38</v>
      </c>
      <c r="V6" s="19" t="s">
        <v>28</v>
      </c>
      <c r="W6" s="22" t="s">
        <v>40</v>
      </c>
      <c r="X6" s="21" t="s">
        <v>40</v>
      </c>
      <c r="Y6" s="22"/>
      <c r="Z6" s="7"/>
      <c r="AA6" s="7"/>
      <c r="AB6" s="23"/>
      <c r="AC6" s="26"/>
      <c r="AE6" s="31" t="s">
        <v>78</v>
      </c>
    </row>
    <row r="7" spans="1:31" ht="15.75" customHeight="1">
      <c r="A7" s="10" t="s">
        <v>79</v>
      </c>
      <c r="B7" s="10" t="s">
        <v>27</v>
      </c>
      <c r="C7" s="11" t="s">
        <v>28</v>
      </c>
      <c r="D7" s="12"/>
      <c r="E7" s="13" t="s">
        <v>80</v>
      </c>
      <c r="F7" s="6" t="s">
        <v>81</v>
      </c>
      <c r="G7" s="14" t="str">
        <f ca="1">IFERROR(__xludf.DUMMYFUNCTION("CONCATENATE(B7,(VLOOKUP(C7,CATALOGOS!$F$2:$H$6,3,FALSE)),(VLOOKUP(V7,CATALOGOS!$J$2:$K$18,2,FALSE)),""-"",TO_TEXT(A7))"),"P05DA-0006")</f>
        <v>P05DA-0006</v>
      </c>
      <c r="H7" s="15" t="str">
        <f ca="1">IFERROR(__xludf.DUMMYFUNCTION("CONCATENATE($B7,(VLOOKUP($C7,CATALOGOS!$F$2:$H$6,3,FALSE)),(VLOOKUP($V7,CATALOGOS!$J$2:$K$18,2,FALSE)),""-"",TO_TEXT($A7))"),"P05DA-0006")</f>
        <v>P05DA-0006</v>
      </c>
      <c r="I7" s="16" t="str">
        <f t="shared" ca="1" si="0"/>
        <v>P05DA-0006</v>
      </c>
      <c r="J7" s="6" t="s">
        <v>82</v>
      </c>
      <c r="K7" s="6" t="s">
        <v>83</v>
      </c>
      <c r="L7" s="6">
        <v>0</v>
      </c>
      <c r="M7" s="32" t="s">
        <v>84</v>
      </c>
      <c r="N7" s="17"/>
      <c r="O7" s="17"/>
      <c r="P7" s="17" t="str">
        <f t="shared" si="1"/>
        <v>OK</v>
      </c>
      <c r="Q7" s="17" t="s">
        <v>35</v>
      </c>
      <c r="R7" s="6" t="s">
        <v>35</v>
      </c>
      <c r="S7" s="6" t="s">
        <v>36</v>
      </c>
      <c r="T7" s="10" t="s">
        <v>85</v>
      </c>
      <c r="U7" s="18" t="s">
        <v>38</v>
      </c>
      <c r="V7" s="19" t="s">
        <v>28</v>
      </c>
      <c r="W7" s="22" t="s">
        <v>40</v>
      </c>
      <c r="X7" s="21" t="s">
        <v>40</v>
      </c>
      <c r="Y7" s="22"/>
      <c r="Z7" s="6"/>
      <c r="AA7" s="6"/>
      <c r="AB7" s="23"/>
      <c r="AC7" s="33"/>
      <c r="AE7" s="34" t="s">
        <v>86</v>
      </c>
    </row>
    <row r="8" spans="1:31" ht="15.75" customHeight="1">
      <c r="A8" s="10" t="s">
        <v>87</v>
      </c>
      <c r="B8" s="10" t="s">
        <v>27</v>
      </c>
      <c r="C8" s="11" t="s">
        <v>28</v>
      </c>
      <c r="D8" s="12"/>
      <c r="E8" s="13" t="s">
        <v>80</v>
      </c>
      <c r="F8" s="6" t="s">
        <v>81</v>
      </c>
      <c r="G8" s="14" t="str">
        <f ca="1">IFERROR(__xludf.DUMMYFUNCTION("CONCATENATE(B8,(VLOOKUP(C8,CATALOGOS!$F$2:$H$6,3,FALSE)),(VLOOKUP(V8,CATALOGOS!$J$2:$K$18,2,FALSE)),""-"",TO_TEXT(A8))"),"P05DA-0007")</f>
        <v>P05DA-0007</v>
      </c>
      <c r="H8" s="15" t="str">
        <f ca="1">IFERROR(__xludf.DUMMYFUNCTION("CONCATENATE($B8,(VLOOKUP($C8,CATALOGOS!$F$2:$H$6,3,FALSE)),(VLOOKUP($V8,CATALOGOS!$J$2:$K$18,2,FALSE)),""-"",TO_TEXT($A8))"),"P05DA-0007")</f>
        <v>P05DA-0007</v>
      </c>
      <c r="I8" s="16"/>
      <c r="J8" s="6"/>
      <c r="K8" s="6" t="s">
        <v>88</v>
      </c>
      <c r="L8" s="6" t="s">
        <v>89</v>
      </c>
      <c r="M8" s="32"/>
      <c r="N8" s="17"/>
      <c r="O8" s="17"/>
      <c r="P8" s="17"/>
      <c r="Q8" s="35" t="s">
        <v>90</v>
      </c>
      <c r="R8" s="6" t="s">
        <v>90</v>
      </c>
      <c r="S8" s="6" t="s">
        <v>36</v>
      </c>
      <c r="T8" s="10" t="s">
        <v>91</v>
      </c>
      <c r="U8" s="18" t="s">
        <v>38</v>
      </c>
      <c r="V8" s="19" t="s">
        <v>28</v>
      </c>
      <c r="W8" s="20" t="s">
        <v>39</v>
      </c>
      <c r="X8" s="21" t="s">
        <v>40</v>
      </c>
      <c r="Y8" s="22"/>
      <c r="Z8" s="6"/>
      <c r="AA8" s="6"/>
      <c r="AB8" s="23"/>
      <c r="AC8" s="33"/>
      <c r="AE8" s="34"/>
    </row>
    <row r="9" spans="1:31" ht="15.75" customHeight="1">
      <c r="A9" s="10" t="s">
        <v>92</v>
      </c>
      <c r="B9" s="10" t="s">
        <v>27</v>
      </c>
      <c r="C9" s="11" t="s">
        <v>28</v>
      </c>
      <c r="D9" s="12"/>
      <c r="E9" s="13" t="s">
        <v>93</v>
      </c>
      <c r="F9" s="6" t="s">
        <v>94</v>
      </c>
      <c r="G9" s="14" t="str">
        <f ca="1">IFERROR(__xludf.DUMMYFUNCTION("CONCATENATE(B9,(VLOOKUP(C9,CATALOGOS!$F$2:$H$6,3,FALSE)),(VLOOKUP(V9,CATALOGOS!$J$2:$K$18,2,FALSE)),""-"",TO_TEXT(A9))"),"P05DA-0008")</f>
        <v>P05DA-0008</v>
      </c>
      <c r="H9" s="15" t="str">
        <f ca="1">IFERROR(__xludf.DUMMYFUNCTION("CONCATENATE($B9,(VLOOKUP($C9,CATALOGOS!$F$2:$H$6,3,FALSE)),(VLOOKUP($V9,CATALOGOS!$J$2:$K$18,2,FALSE)),""-"",TO_TEXT($A9))"),"P05DA-0008")</f>
        <v>P05DA-0008</v>
      </c>
      <c r="I9" s="16" t="str">
        <f t="shared" ref="I9:I19" ca="1" si="2">H9</f>
        <v>P05DA-0008</v>
      </c>
      <c r="J9" s="6" t="s">
        <v>95</v>
      </c>
      <c r="K9" s="6" t="s">
        <v>96</v>
      </c>
      <c r="L9" s="6" t="s">
        <v>97</v>
      </c>
      <c r="M9" s="6" t="s">
        <v>98</v>
      </c>
      <c r="N9" s="17"/>
      <c r="O9" s="17"/>
      <c r="P9" s="17" t="str">
        <f t="shared" ref="P9:P14" si="3">IF(COUNTIF($M$2:$M$997,M9)&gt;1,"REPETIDO","OK")</f>
        <v>OK</v>
      </c>
      <c r="Q9" s="17" t="s">
        <v>35</v>
      </c>
      <c r="R9" s="6" t="s">
        <v>35</v>
      </c>
      <c r="S9" s="6" t="s">
        <v>36</v>
      </c>
      <c r="T9" s="10" t="s">
        <v>99</v>
      </c>
      <c r="U9" s="18" t="s">
        <v>100</v>
      </c>
      <c r="V9" s="19" t="s">
        <v>28</v>
      </c>
      <c r="W9" s="22" t="s">
        <v>40</v>
      </c>
      <c r="X9" s="21" t="s">
        <v>40</v>
      </c>
      <c r="Y9" s="22"/>
      <c r="Z9" s="6" t="s">
        <v>101</v>
      </c>
      <c r="AA9" s="6"/>
      <c r="AB9" s="23"/>
      <c r="AC9" s="24"/>
    </row>
    <row r="10" spans="1:31" ht="15.75" customHeight="1">
      <c r="A10" s="10" t="s">
        <v>102</v>
      </c>
      <c r="B10" s="10" t="s">
        <v>27</v>
      </c>
      <c r="C10" s="11" t="s">
        <v>28</v>
      </c>
      <c r="D10" s="12"/>
      <c r="E10" s="13" t="s">
        <v>62</v>
      </c>
      <c r="F10" s="6" t="s">
        <v>103</v>
      </c>
      <c r="G10" s="14" t="str">
        <f ca="1">IFERROR(__xludf.DUMMYFUNCTION("CONCATENATE(B10,(VLOOKUP(C10,CATALOGOS!$F$2:$H$6,3,FALSE)),(VLOOKUP(V10,CATALOGOS!$J$2:$K$18,2,FALSE)),""-"",TO_TEXT(A10))"),"P05DA-0009")</f>
        <v>P05DA-0009</v>
      </c>
      <c r="H10" s="15" t="str">
        <f ca="1">IFERROR(__xludf.DUMMYFUNCTION("CONCATENATE($B10,(VLOOKUP($C10,CATALOGOS!$F$2:$H$6,3,FALSE)),(VLOOKUP($V10,CATALOGOS!$J$2:$K$18,2,FALSE)),""-"",TO_TEXT($A10))"),"P05DA-0009")</f>
        <v>P05DA-0009</v>
      </c>
      <c r="I10" s="16" t="str">
        <f t="shared" ca="1" si="2"/>
        <v>P05DA-0009</v>
      </c>
      <c r="J10" s="6" t="s">
        <v>104</v>
      </c>
      <c r="K10" s="6" t="s">
        <v>105</v>
      </c>
      <c r="L10" s="6" t="s">
        <v>106</v>
      </c>
      <c r="M10" s="6" t="s">
        <v>107</v>
      </c>
      <c r="N10" s="17"/>
      <c r="O10" s="17"/>
      <c r="P10" s="17" t="str">
        <f t="shared" si="3"/>
        <v>OK</v>
      </c>
      <c r="Q10" s="17" t="s">
        <v>35</v>
      </c>
      <c r="R10" s="6" t="s">
        <v>35</v>
      </c>
      <c r="S10" s="6" t="s">
        <v>36</v>
      </c>
      <c r="T10" s="10" t="s">
        <v>108</v>
      </c>
      <c r="U10" s="18" t="s">
        <v>38</v>
      </c>
      <c r="V10" s="19" t="s">
        <v>28</v>
      </c>
      <c r="W10" s="22" t="s">
        <v>40</v>
      </c>
      <c r="X10" s="21" t="s">
        <v>40</v>
      </c>
      <c r="Y10" s="22"/>
      <c r="Z10" s="6"/>
      <c r="AA10" s="6"/>
      <c r="AB10" s="23"/>
      <c r="AC10" s="24"/>
    </row>
    <row r="11" spans="1:31" ht="15.75" customHeight="1">
      <c r="A11" s="10" t="s">
        <v>109</v>
      </c>
      <c r="B11" s="10" t="s">
        <v>27</v>
      </c>
      <c r="C11" s="11" t="s">
        <v>28</v>
      </c>
      <c r="D11" s="12"/>
      <c r="E11" s="13" t="s">
        <v>29</v>
      </c>
      <c r="F11" s="6" t="s">
        <v>110</v>
      </c>
      <c r="G11" s="14" t="str">
        <f ca="1">IFERROR(__xludf.DUMMYFUNCTION("CONCATENATE(B11,(VLOOKUP(C11,CATALOGOS!$F$2:$H$6,3,FALSE)),(VLOOKUP(V11,CATALOGOS!$J$2:$K$18,2,FALSE)),""-"",TO_TEXT(A11))"),"P05DA-0010")</f>
        <v>P05DA-0010</v>
      </c>
      <c r="H11" s="15" t="str">
        <f ca="1">IFERROR(__xludf.DUMMYFUNCTION("CONCATENATE($B11,(VLOOKUP($C11,CATALOGOS!$F$2:$H$6,3,FALSE)),(VLOOKUP($V11,CATALOGOS!$J$2:$K$18,2,FALSE)),""-"",TO_TEXT($A11))"),"P05DA-0010")</f>
        <v>P05DA-0010</v>
      </c>
      <c r="I11" s="16" t="str">
        <f t="shared" ca="1" si="2"/>
        <v>P05DA-0010</v>
      </c>
      <c r="J11" s="6" t="s">
        <v>111</v>
      </c>
      <c r="K11" s="36"/>
      <c r="L11" s="6" t="s">
        <v>112</v>
      </c>
      <c r="M11" s="6" t="s">
        <v>113</v>
      </c>
      <c r="N11" s="17"/>
      <c r="O11" s="35"/>
      <c r="P11" s="17" t="str">
        <f t="shared" si="3"/>
        <v>OK</v>
      </c>
      <c r="Q11" s="17" t="s">
        <v>35</v>
      </c>
      <c r="R11" s="6" t="s">
        <v>35</v>
      </c>
      <c r="S11" s="6" t="s">
        <v>36</v>
      </c>
      <c r="T11" s="10" t="s">
        <v>114</v>
      </c>
      <c r="U11" s="18" t="s">
        <v>38</v>
      </c>
      <c r="V11" s="19" t="s">
        <v>28</v>
      </c>
      <c r="W11" s="22" t="s">
        <v>40</v>
      </c>
      <c r="X11" s="21" t="s">
        <v>40</v>
      </c>
      <c r="Y11" s="22"/>
      <c r="Z11" s="6"/>
      <c r="AA11" s="6"/>
      <c r="AB11" s="23"/>
      <c r="AC11" s="33"/>
    </row>
    <row r="12" spans="1:31" ht="15.75" customHeight="1">
      <c r="A12" s="10" t="s">
        <v>115</v>
      </c>
      <c r="B12" s="10" t="s">
        <v>27</v>
      </c>
      <c r="C12" s="11" t="s">
        <v>28</v>
      </c>
      <c r="D12" s="12"/>
      <c r="E12" s="13" t="s">
        <v>116</v>
      </c>
      <c r="F12" s="6" t="s">
        <v>117</v>
      </c>
      <c r="G12" s="14" t="str">
        <f ca="1">IFERROR(__xludf.DUMMYFUNCTION("CONCATENATE(B12,(VLOOKUP(C12,CATALOGOS!$F$2:$H$6,3,FALSE)),(VLOOKUP(V12,CATALOGOS!$J$2:$K$18,2,FALSE)),""-"",TO_TEXT(A12))"),"P05DA-0011")</f>
        <v>P05DA-0011</v>
      </c>
      <c r="H12" s="15" t="str">
        <f ca="1">IFERROR(__xludf.DUMMYFUNCTION("CONCATENATE($B12,(VLOOKUP($C12,CATALOGOS!$F$2:$H$6,3,FALSE)),(VLOOKUP($V12,CATALOGOS!$J$2:$K$18,2,FALSE)),""-"",TO_TEXT($A12))"),"P05DA-0011")</f>
        <v>P05DA-0011</v>
      </c>
      <c r="I12" s="16" t="str">
        <f t="shared" ca="1" si="2"/>
        <v>P05DA-0011</v>
      </c>
      <c r="J12" s="6" t="s">
        <v>118</v>
      </c>
      <c r="K12" s="37"/>
      <c r="L12" s="6" t="s">
        <v>119</v>
      </c>
      <c r="M12" s="6" t="s">
        <v>120</v>
      </c>
      <c r="N12" s="17"/>
      <c r="O12" s="17"/>
      <c r="P12" s="17" t="str">
        <f t="shared" si="3"/>
        <v>OK</v>
      </c>
      <c r="Q12" s="17" t="s">
        <v>35</v>
      </c>
      <c r="R12" s="6" t="s">
        <v>35</v>
      </c>
      <c r="S12" s="6" t="s">
        <v>36</v>
      </c>
      <c r="T12" s="10" t="s">
        <v>121</v>
      </c>
      <c r="U12" s="18" t="s">
        <v>38</v>
      </c>
      <c r="V12" s="19" t="s">
        <v>28</v>
      </c>
      <c r="W12" s="22" t="s">
        <v>40</v>
      </c>
      <c r="X12" s="21" t="s">
        <v>40</v>
      </c>
      <c r="Y12" s="22"/>
      <c r="Z12" s="6"/>
      <c r="AA12" s="6"/>
      <c r="AB12" s="23"/>
      <c r="AC12" s="33"/>
    </row>
    <row r="13" spans="1:31" ht="15.75" customHeight="1">
      <c r="A13" s="10" t="s">
        <v>122</v>
      </c>
      <c r="B13" s="10" t="s">
        <v>27</v>
      </c>
      <c r="C13" s="11" t="s">
        <v>28</v>
      </c>
      <c r="D13" s="12"/>
      <c r="E13" s="13" t="s">
        <v>116</v>
      </c>
      <c r="F13" s="6" t="s">
        <v>123</v>
      </c>
      <c r="G13" s="14" t="str">
        <f ca="1">IFERROR(__xludf.DUMMYFUNCTION("CONCATENATE(B13,(VLOOKUP(C13,CATALOGOS!$F$2:$H$6,3,FALSE)),(VLOOKUP(V13,CATALOGOS!$J$2:$K$18,2,FALSE)),""-"",TO_TEXT(A13))"),"P05DA-0012")</f>
        <v>P05DA-0012</v>
      </c>
      <c r="H13" s="15" t="str">
        <f ca="1">IFERROR(__xludf.DUMMYFUNCTION("CONCATENATE($B13,(VLOOKUP($C13,CATALOGOS!$F$2:$H$6,3,FALSE)),(VLOOKUP($V13,CATALOGOS!$J$2:$K$18,2,FALSE)),""-"",TO_TEXT($A13))"),"P05DA-0012")</f>
        <v>P05DA-0012</v>
      </c>
      <c r="I13" s="16" t="str">
        <f t="shared" ca="1" si="2"/>
        <v>P05DA-0012</v>
      </c>
      <c r="J13" s="6" t="s">
        <v>124</v>
      </c>
      <c r="K13" s="36"/>
      <c r="L13" s="6" t="s">
        <v>125</v>
      </c>
      <c r="M13" s="6" t="s">
        <v>126</v>
      </c>
      <c r="N13" s="17"/>
      <c r="O13" s="17"/>
      <c r="P13" s="17" t="str">
        <f t="shared" si="3"/>
        <v>OK</v>
      </c>
      <c r="Q13" s="17" t="s">
        <v>35</v>
      </c>
      <c r="R13" s="6" t="s">
        <v>35</v>
      </c>
      <c r="S13" s="6" t="s">
        <v>36</v>
      </c>
      <c r="T13" s="10" t="s">
        <v>127</v>
      </c>
      <c r="U13" s="18" t="s">
        <v>38</v>
      </c>
      <c r="V13" s="19" t="s">
        <v>28</v>
      </c>
      <c r="W13" s="22" t="s">
        <v>40</v>
      </c>
      <c r="X13" s="21" t="s">
        <v>40</v>
      </c>
      <c r="Y13" s="22"/>
      <c r="Z13" s="36"/>
      <c r="AA13" s="36"/>
      <c r="AB13" s="23"/>
      <c r="AC13" s="33"/>
    </row>
    <row r="14" spans="1:31" ht="15.75" customHeight="1">
      <c r="A14" s="10" t="s">
        <v>128</v>
      </c>
      <c r="B14" s="10" t="s">
        <v>27</v>
      </c>
      <c r="C14" s="11" t="s">
        <v>28</v>
      </c>
      <c r="D14" s="12"/>
      <c r="E14" s="13" t="s">
        <v>116</v>
      </c>
      <c r="F14" s="6" t="s">
        <v>129</v>
      </c>
      <c r="G14" s="14" t="str">
        <f ca="1">IFERROR(__xludf.DUMMYFUNCTION("CONCATENATE(B14,(VLOOKUP(C14,CATALOGOS!$F$2:$H$6,3,FALSE)),(VLOOKUP(V14,CATALOGOS!$J$2:$K$18,2,FALSE)),""-"",TO_TEXT(A14))"),"P05DA-0013")</f>
        <v>P05DA-0013</v>
      </c>
      <c r="H14" s="15" t="str">
        <f ca="1">IFERROR(__xludf.DUMMYFUNCTION("CONCATENATE($B14,(VLOOKUP($C14,CATALOGOS!$F$2:$H$6,3,FALSE)),(VLOOKUP($V14,CATALOGOS!$J$2:$K$18,2,FALSE)),""-"",TO_TEXT($A14))"),"P05DA-0013")</f>
        <v>P05DA-0013</v>
      </c>
      <c r="I14" s="16" t="str">
        <f t="shared" ca="1" si="2"/>
        <v>P05DA-0013</v>
      </c>
      <c r="J14" s="6" t="s">
        <v>130</v>
      </c>
      <c r="K14" s="6" t="s">
        <v>131</v>
      </c>
      <c r="L14" s="6" t="s">
        <v>132</v>
      </c>
      <c r="M14" s="6" t="s">
        <v>133</v>
      </c>
      <c r="N14" s="17"/>
      <c r="O14" s="17"/>
      <c r="P14" s="17" t="str">
        <f t="shared" si="3"/>
        <v>OK</v>
      </c>
      <c r="Q14" s="17" t="s">
        <v>35</v>
      </c>
      <c r="R14" s="6" t="s">
        <v>35</v>
      </c>
      <c r="S14" s="6" t="s">
        <v>36</v>
      </c>
      <c r="T14" s="10" t="s">
        <v>134</v>
      </c>
      <c r="U14" s="18" t="s">
        <v>38</v>
      </c>
      <c r="V14" s="19" t="s">
        <v>28</v>
      </c>
      <c r="W14" s="22" t="s">
        <v>40</v>
      </c>
      <c r="X14" s="21" t="s">
        <v>40</v>
      </c>
      <c r="Y14" s="22"/>
      <c r="Z14" s="6"/>
      <c r="AA14" s="6"/>
      <c r="AB14" s="23"/>
      <c r="AC14" s="33"/>
    </row>
    <row r="15" spans="1:31" ht="15.75" customHeight="1">
      <c r="A15" s="10" t="s">
        <v>135</v>
      </c>
      <c r="B15" s="10" t="s">
        <v>27</v>
      </c>
      <c r="C15" s="11" t="s">
        <v>28</v>
      </c>
      <c r="D15" s="12"/>
      <c r="E15" s="13" t="s">
        <v>136</v>
      </c>
      <c r="F15" s="6" t="s">
        <v>137</v>
      </c>
      <c r="G15" s="14" t="str">
        <f ca="1">IFERROR(__xludf.DUMMYFUNCTION("CONCATENATE(B15,(VLOOKUP(C15,CATALOGOS!$F$2:$H$6,3,FALSE)),(VLOOKUP(V15,CATALOGOS!$J$2:$K$18,2,FALSE)),""-"",TO_TEXT(A15))"),"P05RM-0014")</f>
        <v>P05RM-0014</v>
      </c>
      <c r="H15" s="15" t="str">
        <f ca="1">IFERROR(__xludf.DUMMYFUNCTION("CONCATENATE($B15,(VLOOKUP($C15,CATALOGOS!$F$2:$H$6,3,FALSE)),(VLOOKUP($V15,CATALOGOS!$J$2:$K$18,2,FALSE)),""-"",TO_TEXT($A15))"),"P05RM-0014")</f>
        <v>P05RM-0014</v>
      </c>
      <c r="I15" s="16" t="str">
        <f t="shared" ca="1" si="2"/>
        <v>P05RM-0014</v>
      </c>
      <c r="J15" s="6" t="s">
        <v>138</v>
      </c>
      <c r="K15" s="6" t="s">
        <v>139</v>
      </c>
      <c r="L15" s="6" t="s">
        <v>140</v>
      </c>
      <c r="M15" s="6" t="s">
        <v>141</v>
      </c>
      <c r="N15" s="17"/>
      <c r="O15" s="17"/>
      <c r="P15" s="35" t="s">
        <v>142</v>
      </c>
      <c r="Q15" s="17" t="s">
        <v>143</v>
      </c>
      <c r="R15" s="6" t="s">
        <v>144</v>
      </c>
      <c r="S15" s="6" t="s">
        <v>145</v>
      </c>
      <c r="T15" s="10" t="s">
        <v>146</v>
      </c>
      <c r="U15" s="18" t="s">
        <v>100</v>
      </c>
      <c r="V15" s="19" t="s">
        <v>147</v>
      </c>
      <c r="W15" s="20" t="s">
        <v>148</v>
      </c>
      <c r="X15" s="21" t="s">
        <v>40</v>
      </c>
      <c r="Y15" s="22"/>
      <c r="Z15" s="6"/>
      <c r="AA15" s="6" t="s">
        <v>149</v>
      </c>
      <c r="AB15" s="23"/>
      <c r="AC15" s="24"/>
    </row>
    <row r="16" spans="1:31" ht="15.75" customHeight="1">
      <c r="A16" s="10" t="s">
        <v>150</v>
      </c>
      <c r="B16" s="10" t="s">
        <v>27</v>
      </c>
      <c r="C16" s="11" t="s">
        <v>28</v>
      </c>
      <c r="D16" s="12"/>
      <c r="E16" s="13" t="s">
        <v>151</v>
      </c>
      <c r="F16" s="6" t="s">
        <v>152</v>
      </c>
      <c r="G16" s="14" t="str">
        <f ca="1">IFERROR(__xludf.DUMMYFUNCTION("CONCATENATE(B16,(VLOOKUP(C16,CATALOGOS!$F$2:$H$6,3,FALSE)),(VLOOKUP(V16,CATALOGOS!$J$2:$K$18,2,FALSE)),""-"",TO_TEXT(A16))"),"P05DA-0015")</f>
        <v>P05DA-0015</v>
      </c>
      <c r="H16" s="15" t="str">
        <f ca="1">IFERROR(__xludf.DUMMYFUNCTION("CONCATENATE($B16,(VLOOKUP($C16,CATALOGOS!$F$2:$H$6,3,FALSE)),(VLOOKUP($V16,CATALOGOS!$J$2:$K$18,2,FALSE)),""-"",TO_TEXT($A16))"),"P05DA-0015")</f>
        <v>P05DA-0015</v>
      </c>
      <c r="I16" s="16" t="str">
        <f t="shared" ca="1" si="2"/>
        <v>P05DA-0015</v>
      </c>
      <c r="J16" s="6" t="s">
        <v>153</v>
      </c>
      <c r="K16" s="6" t="s">
        <v>154</v>
      </c>
      <c r="L16" s="6" t="s">
        <v>155</v>
      </c>
      <c r="M16" s="6" t="s">
        <v>156</v>
      </c>
      <c r="N16" s="17"/>
      <c r="O16" s="17"/>
      <c r="P16" s="17" t="str">
        <f t="shared" ref="P16:P26" si="4">IF(COUNTIF($M$2:$M$997,M16)&gt;1,"REPETIDO","OK")</f>
        <v>OK</v>
      </c>
      <c r="Q16" s="17" t="s">
        <v>157</v>
      </c>
      <c r="R16" s="6" t="s">
        <v>158</v>
      </c>
      <c r="S16" s="6" t="s">
        <v>159</v>
      </c>
      <c r="T16" s="10" t="s">
        <v>160</v>
      </c>
      <c r="U16" s="18" t="s">
        <v>100</v>
      </c>
      <c r="V16" s="19" t="s">
        <v>28</v>
      </c>
      <c r="W16" s="22" t="s">
        <v>40</v>
      </c>
      <c r="X16" s="21" t="s">
        <v>40</v>
      </c>
      <c r="Y16" s="22"/>
      <c r="Z16" s="6"/>
      <c r="AA16" s="6"/>
      <c r="AB16" s="23"/>
      <c r="AC16" s="24"/>
    </row>
    <row r="17" spans="1:30" ht="15.75" customHeight="1">
      <c r="A17" s="10" t="s">
        <v>161</v>
      </c>
      <c r="B17" s="10" t="s">
        <v>27</v>
      </c>
      <c r="C17" s="11" t="s">
        <v>28</v>
      </c>
      <c r="D17" s="12"/>
      <c r="E17" s="13" t="s">
        <v>162</v>
      </c>
      <c r="F17" s="6" t="s">
        <v>163</v>
      </c>
      <c r="G17" s="14" t="str">
        <f ca="1">IFERROR(__xludf.DUMMYFUNCTION("CONCATENATE(B17,(VLOOKUP(C17,CATALOGOS!$F$2:$H$6,3,FALSE)),(VLOOKUP(V17,CATALOGOS!$J$2:$K$18,2,FALSE)),""-"",TO_TEXT(A17))"),"P05DA-0016")</f>
        <v>P05DA-0016</v>
      </c>
      <c r="H17" s="15" t="str">
        <f ca="1">IFERROR(__xludf.DUMMYFUNCTION("CONCATENATE($B17,(VLOOKUP($C17,CATALOGOS!$F$2:$H$6,3,FALSE)),(VLOOKUP($V17,CATALOGOS!$J$2:$K$18,2,FALSE)),""-"",TO_TEXT($A17))"),"P05DA-0016")</f>
        <v>P05DA-0016</v>
      </c>
      <c r="I17" s="16" t="str">
        <f t="shared" ca="1" si="2"/>
        <v>P05DA-0016</v>
      </c>
      <c r="J17" s="6" t="s">
        <v>164</v>
      </c>
      <c r="K17" s="6" t="s">
        <v>165</v>
      </c>
      <c r="L17" s="6" t="s">
        <v>166</v>
      </c>
      <c r="M17" s="32" t="s">
        <v>167</v>
      </c>
      <c r="N17" s="17"/>
      <c r="O17" s="17"/>
      <c r="P17" s="17" t="str">
        <f t="shared" si="4"/>
        <v>OK</v>
      </c>
      <c r="Q17" s="17" t="s">
        <v>168</v>
      </c>
      <c r="R17" s="6" t="s">
        <v>169</v>
      </c>
      <c r="S17" s="6" t="s">
        <v>170</v>
      </c>
      <c r="T17" s="10" t="s">
        <v>171</v>
      </c>
      <c r="U17" s="18" t="s">
        <v>100</v>
      </c>
      <c r="V17" s="19" t="s">
        <v>28</v>
      </c>
      <c r="W17" s="22" t="s">
        <v>40</v>
      </c>
      <c r="X17" s="21" t="s">
        <v>40</v>
      </c>
      <c r="Y17" s="22"/>
      <c r="Z17" s="7"/>
      <c r="AA17" s="7"/>
      <c r="AB17" s="23"/>
      <c r="AC17" s="26"/>
    </row>
    <row r="18" spans="1:30" ht="15.75" customHeight="1">
      <c r="A18" s="10" t="s">
        <v>172</v>
      </c>
      <c r="B18" s="10" t="s">
        <v>27</v>
      </c>
      <c r="C18" s="11" t="s">
        <v>28</v>
      </c>
      <c r="D18" s="12"/>
      <c r="E18" s="13" t="s">
        <v>173</v>
      </c>
      <c r="F18" s="6" t="s">
        <v>174</v>
      </c>
      <c r="G18" s="14" t="str">
        <f ca="1">IFERROR(__xludf.DUMMYFUNCTION("CONCATENATE(B18,(VLOOKUP(C18,CATALOGOS!$F$2:$H$6,3,FALSE)),(VLOOKUP(V18,CATALOGOS!$J$2:$K$18,2,FALSE)),""-"",TO_TEXT(A18))"),"P05DA-0017")</f>
        <v>P05DA-0017</v>
      </c>
      <c r="H18" s="15" t="str">
        <f ca="1">IFERROR(__xludf.DUMMYFUNCTION("CONCATENATE($B18,(VLOOKUP($C18,CATALOGOS!$F$2:$H$6,3,FALSE)),(VLOOKUP($V18,CATALOGOS!$J$2:$K$18,2,FALSE)),""-"",TO_TEXT($A18))"),"P05DA-0017")</f>
        <v>P05DA-0017</v>
      </c>
      <c r="I18" s="16" t="str">
        <f t="shared" ca="1" si="2"/>
        <v>P05DA-0017</v>
      </c>
      <c r="J18" s="6" t="s">
        <v>175</v>
      </c>
      <c r="K18" s="6" t="s">
        <v>176</v>
      </c>
      <c r="L18" s="6" t="s">
        <v>177</v>
      </c>
      <c r="M18" s="6" t="s">
        <v>178</v>
      </c>
      <c r="N18" s="17"/>
      <c r="O18" s="17"/>
      <c r="P18" s="17" t="str">
        <f t="shared" si="4"/>
        <v>OK</v>
      </c>
      <c r="Q18" s="17" t="s">
        <v>179</v>
      </c>
      <c r="R18" s="6" t="s">
        <v>180</v>
      </c>
      <c r="S18" s="6" t="s">
        <v>181</v>
      </c>
      <c r="T18" s="10" t="s">
        <v>182</v>
      </c>
      <c r="U18" s="18" t="s">
        <v>38</v>
      </c>
      <c r="V18" s="19" t="s">
        <v>28</v>
      </c>
      <c r="W18" s="22" t="s">
        <v>40</v>
      </c>
      <c r="X18" s="21" t="s">
        <v>40</v>
      </c>
      <c r="Y18" s="22"/>
      <c r="Z18" s="7"/>
      <c r="AA18" s="7"/>
      <c r="AB18" s="23"/>
      <c r="AC18" s="26"/>
    </row>
    <row r="19" spans="1:30" ht="15.75" customHeight="1">
      <c r="A19" s="10" t="s">
        <v>183</v>
      </c>
      <c r="B19" s="10" t="s">
        <v>27</v>
      </c>
      <c r="C19" s="11" t="s">
        <v>28</v>
      </c>
      <c r="D19" s="12"/>
      <c r="E19" s="13" t="s">
        <v>184</v>
      </c>
      <c r="F19" s="6" t="s">
        <v>185</v>
      </c>
      <c r="G19" s="14" t="str">
        <f ca="1">IFERROR(__xludf.DUMMYFUNCTION("CONCATENATE(B19,(VLOOKUP(C19,CATALOGOS!$F$2:$H$6,3,FALSE)),(VLOOKUP(V19,CATALOGOS!$J$2:$K$18,2,FALSE)),""-"",TO_TEXT(A19))"),"P05DA-0018")</f>
        <v>P05DA-0018</v>
      </c>
      <c r="H19" s="15" t="str">
        <f ca="1">IFERROR(__xludf.DUMMYFUNCTION("CONCATENATE($B19,(VLOOKUP($C19,CATALOGOS!$F$2:$H$6,3,FALSE)),(VLOOKUP($V19,CATALOGOS!$J$2:$K$18,2,FALSE)),""-"",TO_TEXT($A19))"),"P05DA-0018")</f>
        <v>P05DA-0018</v>
      </c>
      <c r="I19" s="16" t="str">
        <f t="shared" ca="1" si="2"/>
        <v>P05DA-0018</v>
      </c>
      <c r="J19" s="6" t="s">
        <v>186</v>
      </c>
      <c r="K19" s="6" t="s">
        <v>187</v>
      </c>
      <c r="L19" s="6" t="s">
        <v>188</v>
      </c>
      <c r="M19" s="6" t="s">
        <v>189</v>
      </c>
      <c r="N19" s="17"/>
      <c r="O19" s="17"/>
      <c r="P19" s="17" t="str">
        <f t="shared" si="4"/>
        <v>OK</v>
      </c>
      <c r="Q19" s="35" t="s">
        <v>35</v>
      </c>
      <c r="R19" s="6" t="s">
        <v>35</v>
      </c>
      <c r="S19" s="10" t="s">
        <v>36</v>
      </c>
      <c r="T19" s="10" t="s">
        <v>190</v>
      </c>
      <c r="U19" s="18" t="s">
        <v>38</v>
      </c>
      <c r="V19" s="19" t="s">
        <v>28</v>
      </c>
      <c r="W19" s="22" t="s">
        <v>40</v>
      </c>
      <c r="X19" s="21" t="s">
        <v>40</v>
      </c>
      <c r="Y19" s="22"/>
      <c r="Z19" s="6"/>
      <c r="AA19" s="6"/>
      <c r="AB19" s="23"/>
      <c r="AC19" s="24"/>
    </row>
    <row r="20" spans="1:30" ht="15.75" customHeight="1">
      <c r="A20" s="10" t="s">
        <v>191</v>
      </c>
      <c r="B20" s="10" t="s">
        <v>27</v>
      </c>
      <c r="C20" s="11" t="s">
        <v>28</v>
      </c>
      <c r="D20" s="12"/>
      <c r="E20" s="13" t="s">
        <v>53</v>
      </c>
      <c r="F20" s="6" t="s">
        <v>192</v>
      </c>
      <c r="G20" s="14" t="str">
        <f ca="1">IFERROR(__xludf.DUMMYFUNCTION("CONCATENATE(B20,(VLOOKUP(C20,CATALOGOS!$F$2:$H$6,3,FALSE)),(VLOOKUP(V20,CATALOGOS!$J$2:$K$18,2,FALSE)),""-"",TO_TEXT(A20))"),"P05DA-0019")</f>
        <v>P05DA-0019</v>
      </c>
      <c r="H20" s="15" t="str">
        <f ca="1">IFERROR(__xludf.DUMMYFUNCTION("CONCATENATE($B20,(VLOOKUP($C20,CATALOGOS!$F$2:$H$6,3,FALSE)),(VLOOKUP($V20,CATALOGOS!$J$2:$K$18,2,FALSE)),""-"",TO_TEXT($A20))"),"P05DA-0019")</f>
        <v>P05DA-0019</v>
      </c>
      <c r="I20" s="6"/>
      <c r="J20" s="6" t="s">
        <v>193</v>
      </c>
      <c r="K20" s="6" t="s">
        <v>194</v>
      </c>
      <c r="L20" s="6" t="s">
        <v>195</v>
      </c>
      <c r="M20" s="6" t="s">
        <v>196</v>
      </c>
      <c r="N20" s="17"/>
      <c r="O20" s="17"/>
      <c r="P20" s="17" t="str">
        <f t="shared" si="4"/>
        <v>OK</v>
      </c>
      <c r="Q20" s="35" t="s">
        <v>35</v>
      </c>
      <c r="R20" s="6" t="s">
        <v>35</v>
      </c>
      <c r="S20" s="10" t="s">
        <v>36</v>
      </c>
      <c r="T20" s="10" t="s">
        <v>197</v>
      </c>
      <c r="U20" s="18" t="s">
        <v>38</v>
      </c>
      <c r="V20" s="19" t="s">
        <v>28</v>
      </c>
      <c r="W20" s="22" t="s">
        <v>40</v>
      </c>
      <c r="X20" s="21" t="s">
        <v>40</v>
      </c>
      <c r="Y20" s="22"/>
      <c r="Z20" s="7"/>
      <c r="AA20" s="7"/>
      <c r="AB20" s="23"/>
      <c r="AC20" s="26"/>
    </row>
    <row r="21" spans="1:30" ht="15.75" customHeight="1">
      <c r="A21" s="10" t="s">
        <v>198</v>
      </c>
      <c r="B21" s="10" t="s">
        <v>27</v>
      </c>
      <c r="C21" s="11" t="s">
        <v>28</v>
      </c>
      <c r="D21" s="12"/>
      <c r="E21" s="13" t="s">
        <v>199</v>
      </c>
      <c r="F21" s="6" t="s">
        <v>200</v>
      </c>
      <c r="G21" s="14" t="str">
        <f ca="1">IFERROR(__xludf.DUMMYFUNCTION("CONCATENATE(B21,(VLOOKUP(C21,CATALOGOS!$F$2:$H$6,3,FALSE)),(VLOOKUP(V21,CATALOGOS!$J$2:$K$18,2,FALSE)),""-"",TO_TEXT(A21))"),"P05DA-0020")</f>
        <v>P05DA-0020</v>
      </c>
      <c r="H21" s="15" t="str">
        <f ca="1">IFERROR(__xludf.DUMMYFUNCTION("CONCATENATE($B21,(VLOOKUP($C21,CATALOGOS!$F$2:$H$6,3,FALSE)),(VLOOKUP($V21,CATALOGOS!$J$2:$K$18,2,FALSE)),""-"",TO_TEXT($A21))"),"P05DA-0020")</f>
        <v>P05DA-0020</v>
      </c>
      <c r="I21" s="6"/>
      <c r="J21" s="6" t="s">
        <v>201</v>
      </c>
      <c r="K21" s="6" t="s">
        <v>202</v>
      </c>
      <c r="L21" s="6" t="s">
        <v>203</v>
      </c>
      <c r="M21" s="6" t="s">
        <v>204</v>
      </c>
      <c r="N21" s="17"/>
      <c r="O21" s="17"/>
      <c r="P21" s="17" t="str">
        <f t="shared" si="4"/>
        <v>OK</v>
      </c>
      <c r="Q21" s="17" t="s">
        <v>205</v>
      </c>
      <c r="R21" s="6" t="s">
        <v>206</v>
      </c>
      <c r="S21" s="6" t="s">
        <v>207</v>
      </c>
      <c r="T21" s="10" t="s">
        <v>208</v>
      </c>
      <c r="U21" s="18" t="s">
        <v>38</v>
      </c>
      <c r="V21" s="19" t="s">
        <v>28</v>
      </c>
      <c r="W21" s="22" t="s">
        <v>40</v>
      </c>
      <c r="X21" s="21" t="s">
        <v>40</v>
      </c>
      <c r="Y21" s="22"/>
      <c r="Z21" s="7"/>
      <c r="AA21" s="7"/>
      <c r="AB21" s="23"/>
      <c r="AC21" s="26"/>
    </row>
    <row r="22" spans="1:30" ht="15.75" customHeight="1">
      <c r="A22" s="10" t="s">
        <v>209</v>
      </c>
      <c r="B22" s="10" t="s">
        <v>27</v>
      </c>
      <c r="C22" s="11" t="s">
        <v>28</v>
      </c>
      <c r="D22" s="12"/>
      <c r="E22" s="13" t="s">
        <v>210</v>
      </c>
      <c r="F22" s="6" t="s">
        <v>211</v>
      </c>
      <c r="G22" s="14" t="str">
        <f ca="1">IFERROR(__xludf.DUMMYFUNCTION("CONCATENATE(B22,(VLOOKUP(C22,CATALOGOS!$F$2:$H$6,3,FALSE)),(VLOOKUP(V22,CATALOGOS!$J$2:$K$18,2,FALSE)),""-"",TO_TEXT(A22))"),"P05DA-0021")</f>
        <v>P05DA-0021</v>
      </c>
      <c r="H22" s="15" t="str">
        <f ca="1">IFERROR(__xludf.DUMMYFUNCTION("CONCATENATE($B22,(VLOOKUP($C22,CATALOGOS!$F$2:$H$6,3,FALSE)),(VLOOKUP($V22,CATALOGOS!$J$2:$K$18,2,FALSE)),""-"",TO_TEXT($A22))"),"P05DA-0021")</f>
        <v>P05DA-0021</v>
      </c>
      <c r="I22" s="6"/>
      <c r="J22" s="6" t="s">
        <v>212</v>
      </c>
      <c r="K22" s="6" t="s">
        <v>213</v>
      </c>
      <c r="L22" s="6" t="s">
        <v>214</v>
      </c>
      <c r="M22" s="6" t="s">
        <v>215</v>
      </c>
      <c r="N22" s="17"/>
      <c r="O22" s="17"/>
      <c r="P22" s="17" t="str">
        <f t="shared" si="4"/>
        <v>OK</v>
      </c>
      <c r="Q22" s="17" t="s">
        <v>216</v>
      </c>
      <c r="R22" s="6" t="s">
        <v>217</v>
      </c>
      <c r="S22" s="6" t="s">
        <v>218</v>
      </c>
      <c r="T22" s="10" t="s">
        <v>219</v>
      </c>
      <c r="U22" s="18" t="s">
        <v>38</v>
      </c>
      <c r="V22" s="19" t="s">
        <v>28</v>
      </c>
      <c r="W22" s="22" t="s">
        <v>40</v>
      </c>
      <c r="X22" s="21" t="s">
        <v>40</v>
      </c>
      <c r="Y22" s="22"/>
      <c r="Z22" s="7"/>
      <c r="AA22" s="7"/>
      <c r="AB22" s="23"/>
      <c r="AC22" s="26"/>
    </row>
    <row r="23" spans="1:30" ht="15.75" customHeight="1">
      <c r="A23" s="10" t="s">
        <v>220</v>
      </c>
      <c r="B23" s="10" t="s">
        <v>27</v>
      </c>
      <c r="C23" s="11" t="s">
        <v>28</v>
      </c>
      <c r="D23" s="12"/>
      <c r="E23" s="13" t="s">
        <v>184</v>
      </c>
      <c r="F23" s="6" t="s">
        <v>221</v>
      </c>
      <c r="G23" s="14" t="str">
        <f ca="1">IFERROR(__xludf.DUMMYFUNCTION("CONCATENATE(B23,(VLOOKUP(C23,CATALOGOS!$F$2:$H$6,3,FALSE)),(VLOOKUP(V23,CATALOGOS!$J$2:$K$18,2,FALSE)),""-"",TO_TEXT(A23))"),"P05DA-0022")</f>
        <v>P05DA-0022</v>
      </c>
      <c r="H23" s="15" t="str">
        <f ca="1">IFERROR(__xludf.DUMMYFUNCTION("CONCATENATE($B23,(VLOOKUP($C23,CATALOGOS!$F$2:$H$6,3,FALSE)),(VLOOKUP($V23,CATALOGOS!$J$2:$K$18,2,FALSE)),""-"",TO_TEXT($A23))"),"P05DA-0022")</f>
        <v>P05DA-0022</v>
      </c>
      <c r="I23" s="6"/>
      <c r="J23" s="6" t="s">
        <v>222</v>
      </c>
      <c r="K23" s="6" t="s">
        <v>223</v>
      </c>
      <c r="L23" s="6" t="s">
        <v>224</v>
      </c>
      <c r="M23" s="6" t="s">
        <v>225</v>
      </c>
      <c r="N23" s="17"/>
      <c r="O23" s="17"/>
      <c r="P23" s="17" t="str">
        <f t="shared" si="4"/>
        <v>OK</v>
      </c>
      <c r="Q23" s="17" t="s">
        <v>35</v>
      </c>
      <c r="R23" s="6" t="s">
        <v>35</v>
      </c>
      <c r="S23" s="6" t="s">
        <v>36</v>
      </c>
      <c r="T23" s="10" t="s">
        <v>226</v>
      </c>
      <c r="U23" s="18" t="s">
        <v>38</v>
      </c>
      <c r="V23" s="19" t="s">
        <v>28</v>
      </c>
      <c r="W23" s="22" t="s">
        <v>40</v>
      </c>
      <c r="X23" s="21" t="s">
        <v>40</v>
      </c>
      <c r="Y23" s="22"/>
      <c r="Z23" s="7"/>
      <c r="AA23" s="7"/>
      <c r="AB23" s="23"/>
      <c r="AC23" s="26"/>
    </row>
    <row r="24" spans="1:30" ht="15.75" customHeight="1">
      <c r="A24" s="10" t="s">
        <v>227</v>
      </c>
      <c r="B24" s="10" t="s">
        <v>27</v>
      </c>
      <c r="C24" s="11" t="s">
        <v>28</v>
      </c>
      <c r="D24" s="12"/>
      <c r="E24" s="13" t="s">
        <v>184</v>
      </c>
      <c r="F24" s="6" t="s">
        <v>221</v>
      </c>
      <c r="G24" s="14" t="str">
        <f ca="1">IFERROR(__xludf.DUMMYFUNCTION("CONCATENATE(B24,(VLOOKUP(C24,CATALOGOS!$F$2:$H$6,3,FALSE)),(VLOOKUP(V24,CATALOGOS!$J$2:$K$18,2,FALSE)),""-"",TO_TEXT(A24))"),"P05DA-0023")</f>
        <v>P05DA-0023</v>
      </c>
      <c r="H24" s="15" t="str">
        <f ca="1">IFERROR(__xludf.DUMMYFUNCTION("CONCATENATE($B24,(VLOOKUP($C24,CATALOGOS!$F$2:$H$6,3,FALSE)),(VLOOKUP($V24,CATALOGOS!$J$2:$K$18,2,FALSE)),""-"",TO_TEXT($A24))"),"P05DA-0023")</f>
        <v>P05DA-0023</v>
      </c>
      <c r="I24" s="6"/>
      <c r="J24" s="6" t="s">
        <v>228</v>
      </c>
      <c r="K24" s="6" t="s">
        <v>229</v>
      </c>
      <c r="L24" s="6" t="s">
        <v>230</v>
      </c>
      <c r="M24" s="6" t="s">
        <v>231</v>
      </c>
      <c r="N24" s="17"/>
      <c r="O24" s="17"/>
      <c r="P24" s="17" t="str">
        <f t="shared" si="4"/>
        <v>OK</v>
      </c>
      <c r="Q24" s="17" t="s">
        <v>35</v>
      </c>
      <c r="R24" s="6" t="s">
        <v>35</v>
      </c>
      <c r="S24" s="17" t="s">
        <v>36</v>
      </c>
      <c r="T24" s="35" t="s">
        <v>232</v>
      </c>
      <c r="U24" s="18" t="s">
        <v>38</v>
      </c>
      <c r="V24" s="19" t="s">
        <v>28</v>
      </c>
      <c r="W24" s="22" t="s">
        <v>40</v>
      </c>
      <c r="X24" s="21" t="s">
        <v>40</v>
      </c>
      <c r="Y24" s="22"/>
      <c r="Z24" s="7"/>
      <c r="AA24" s="7"/>
      <c r="AB24" s="23"/>
      <c r="AC24" s="26"/>
    </row>
    <row r="25" spans="1:30" ht="15.75" customHeight="1">
      <c r="A25" s="10" t="s">
        <v>233</v>
      </c>
      <c r="B25" s="10" t="s">
        <v>27</v>
      </c>
      <c r="C25" s="11" t="s">
        <v>28</v>
      </c>
      <c r="D25" s="12"/>
      <c r="E25" s="13" t="s">
        <v>234</v>
      </c>
      <c r="F25" s="6" t="s">
        <v>235</v>
      </c>
      <c r="G25" s="14" t="str">
        <f ca="1">IFERROR(__xludf.DUMMYFUNCTION("CONCATENATE(B25,(VLOOKUP(C25,CATALOGOS!$F$2:$H$6,3,FALSE)),(VLOOKUP(V25,CATALOGOS!$J$2:$K$18,2,FALSE)),""-"",TO_TEXT(A25))"),"P05DA-0024")</f>
        <v>P05DA-0024</v>
      </c>
      <c r="H25" s="15" t="str">
        <f ca="1">IFERROR(__xludf.DUMMYFUNCTION("CONCATENATE($B25,(VLOOKUP($C25,CATALOGOS!$F$2:$H$6,3,FALSE)),(VLOOKUP($V25,CATALOGOS!$J$2:$K$18,2,FALSE)),""-"",TO_TEXT($A25))"),"P05DA-0024")</f>
        <v>P05DA-0024</v>
      </c>
      <c r="I25" s="6"/>
      <c r="J25" s="6" t="s">
        <v>236</v>
      </c>
      <c r="K25" s="6" t="s">
        <v>237</v>
      </c>
      <c r="L25" s="6" t="s">
        <v>238</v>
      </c>
      <c r="M25" s="6" t="s">
        <v>239</v>
      </c>
      <c r="N25" s="17"/>
      <c r="O25" s="17"/>
      <c r="P25" s="17" t="str">
        <f t="shared" si="4"/>
        <v>OK</v>
      </c>
      <c r="Q25" s="17" t="s">
        <v>35</v>
      </c>
      <c r="R25" s="6" t="s">
        <v>35</v>
      </c>
      <c r="S25" s="17" t="s">
        <v>36</v>
      </c>
      <c r="T25" s="35" t="s">
        <v>240</v>
      </c>
      <c r="U25" s="18" t="s">
        <v>38</v>
      </c>
      <c r="V25" s="28" t="s">
        <v>28</v>
      </c>
      <c r="W25" s="22" t="s">
        <v>40</v>
      </c>
      <c r="X25" s="21" t="s">
        <v>40</v>
      </c>
      <c r="Y25" s="22"/>
      <c r="Z25" s="7"/>
      <c r="AA25" s="7"/>
      <c r="AB25" s="23"/>
      <c r="AC25" s="26"/>
    </row>
    <row r="26" spans="1:30" ht="15.75" customHeight="1">
      <c r="A26" s="10" t="s">
        <v>241</v>
      </c>
      <c r="B26" s="10" t="s">
        <v>27</v>
      </c>
      <c r="C26" s="11" t="s">
        <v>28</v>
      </c>
      <c r="D26" s="38"/>
      <c r="E26" s="13" t="s">
        <v>242</v>
      </c>
      <c r="F26" s="6" t="s">
        <v>242</v>
      </c>
      <c r="G26" s="14" t="str">
        <f ca="1">IFERROR(__xludf.DUMMYFUNCTION("CONCATENATE(B26,(VLOOKUP(C26,CATALOGOS!$F$2:$H$6,3,FALSE)),(VLOOKUP(V26,CATALOGOS!$J$2:$K$18,2,FALSE)),""-"",TO_TEXT(A26))"),"P05DA-0025")</f>
        <v>P05DA-0025</v>
      </c>
      <c r="H26" s="15" t="str">
        <f ca="1">IFERROR(__xludf.DUMMYFUNCTION("CONCATENATE($B26,(VLOOKUP($C26,CATALOGOS!$F$2:$H$6,3,FALSE)),(VLOOKUP($V26,CATALOGOS!$J$2:$K$18,2,FALSE)),""-"",TO_TEXT($A26))"),"P05DA-0025")</f>
        <v>P05DA-0025</v>
      </c>
      <c r="I26" s="6"/>
      <c r="J26" s="6" t="s">
        <v>243</v>
      </c>
      <c r="K26" s="6" t="s">
        <v>244</v>
      </c>
      <c r="L26" s="36"/>
      <c r="M26" s="6" t="s">
        <v>141</v>
      </c>
      <c r="N26" s="17"/>
      <c r="O26" s="17"/>
      <c r="P26" s="17" t="str">
        <f t="shared" si="4"/>
        <v>REPETIDO</v>
      </c>
      <c r="Q26" s="17" t="s">
        <v>245</v>
      </c>
      <c r="R26" s="6" t="s">
        <v>246</v>
      </c>
      <c r="S26" s="6" t="s">
        <v>36</v>
      </c>
      <c r="T26" s="10" t="s">
        <v>85</v>
      </c>
      <c r="U26" s="18" t="s">
        <v>38</v>
      </c>
      <c r="V26" s="19" t="s">
        <v>28</v>
      </c>
      <c r="W26" s="22" t="s">
        <v>40</v>
      </c>
      <c r="X26" s="21" t="s">
        <v>40</v>
      </c>
      <c r="Y26" s="22"/>
      <c r="Z26" s="7"/>
      <c r="AA26" s="7"/>
      <c r="AB26" s="26"/>
      <c r="AC26" s="26"/>
    </row>
    <row r="27" spans="1:30" ht="15.75" customHeight="1">
      <c r="A27" s="10" t="s">
        <v>247</v>
      </c>
      <c r="B27" s="10" t="s">
        <v>27</v>
      </c>
      <c r="C27" s="11" t="s">
        <v>28</v>
      </c>
      <c r="D27" s="38"/>
      <c r="E27" s="13" t="s">
        <v>248</v>
      </c>
      <c r="F27" s="6" t="s">
        <v>249</v>
      </c>
      <c r="G27" s="14" t="str">
        <f ca="1">IFERROR(__xludf.DUMMYFUNCTION("CONCATENATE(B27,(VLOOKUP(C27,CATALOGOS!$F$2:$H$6,3,FALSE)),(VLOOKUP(V27,CATALOGOS!$J$2:$K$18,2,FALSE)),""-"",TO_TEXT(A27))"),"P05DA-0026")</f>
        <v>P05DA-0026</v>
      </c>
      <c r="H27" s="15" t="str">
        <f ca="1">IFERROR(__xludf.DUMMYFUNCTION("CONCATENATE($B27,(VLOOKUP($C27,CATALOGOS!$F$2:$H$6,3,FALSE)),(VLOOKUP($V27,CATALOGOS!$J$2:$K$18,2,FALSE)),""-"",TO_TEXT($A27))"),"P05DA-0026")</f>
        <v>P05DA-0026</v>
      </c>
      <c r="I27" s="6"/>
      <c r="J27" s="6"/>
      <c r="K27" s="6"/>
      <c r="L27" s="36"/>
      <c r="M27" s="6" t="s">
        <v>141</v>
      </c>
      <c r="N27" s="17"/>
      <c r="O27" s="17"/>
      <c r="P27" s="17"/>
      <c r="Q27" s="35" t="s">
        <v>250</v>
      </c>
      <c r="R27" s="6" t="s">
        <v>251</v>
      </c>
      <c r="S27" s="6">
        <v>5827700022</v>
      </c>
      <c r="T27" s="10" t="s">
        <v>252</v>
      </c>
      <c r="U27" s="18" t="s">
        <v>38</v>
      </c>
      <c r="V27" s="19" t="s">
        <v>28</v>
      </c>
      <c r="W27" s="20" t="s">
        <v>40</v>
      </c>
      <c r="X27" s="39" t="s">
        <v>40</v>
      </c>
      <c r="Y27" s="20"/>
      <c r="Z27" s="7"/>
      <c r="AA27" s="7"/>
      <c r="AB27" s="26"/>
      <c r="AC27" s="26"/>
    </row>
    <row r="28" spans="1:30" ht="15.75" customHeight="1">
      <c r="A28" s="10" t="s">
        <v>253</v>
      </c>
      <c r="B28" s="10" t="s">
        <v>27</v>
      </c>
      <c r="C28" s="11" t="s">
        <v>28</v>
      </c>
      <c r="D28" s="12"/>
      <c r="E28" s="13" t="s">
        <v>184</v>
      </c>
      <c r="F28" s="6" t="s">
        <v>254</v>
      </c>
      <c r="G28" s="14" t="str">
        <f ca="1">IFERROR(__xludf.DUMMYFUNCTION("CONCATENATE(B28,(VLOOKUP(C28,CATALOGOS!$F$2:$H$6,3,FALSE)),(VLOOKUP(V28,CATALOGOS!$J$2:$K$18,2,FALSE)),""-"",TO_TEXT(A28))"),"P05RM-0027")</f>
        <v>P05RM-0027</v>
      </c>
      <c r="H28" s="15" t="str">
        <f ca="1">IFERROR(__xludf.DUMMYFUNCTION("CONCATENATE($B28,(VLOOKUP($C28,CATALOGOS!$F$2:$H$6,3,FALSE)),(VLOOKUP($V28,CATALOGOS!$J$2:$K$18,2,FALSE)),""-"",TO_TEXT($A28))"),"P05RM-0027")</f>
        <v>P05RM-0027</v>
      </c>
      <c r="I28" s="6"/>
      <c r="J28" s="6" t="s">
        <v>255</v>
      </c>
      <c r="K28" s="6" t="s">
        <v>256</v>
      </c>
      <c r="L28" s="6" t="s">
        <v>257</v>
      </c>
      <c r="M28" s="6" t="s">
        <v>258</v>
      </c>
      <c r="N28" s="17"/>
      <c r="O28" s="17"/>
      <c r="P28" s="17" t="str">
        <f t="shared" ref="P28:P45" si="5">IF(COUNTIF($M$2:$M$997,M28)&gt;1,"REPETIDO","OK")</f>
        <v>OK</v>
      </c>
      <c r="Q28" s="17" t="s">
        <v>35</v>
      </c>
      <c r="R28" s="6" t="s">
        <v>35</v>
      </c>
      <c r="S28" s="17" t="s">
        <v>36</v>
      </c>
      <c r="T28" s="35" t="s">
        <v>259</v>
      </c>
      <c r="U28" s="18" t="s">
        <v>38</v>
      </c>
      <c r="V28" s="19" t="s">
        <v>147</v>
      </c>
      <c r="W28" s="20" t="s">
        <v>260</v>
      </c>
      <c r="X28" s="39" t="s">
        <v>260</v>
      </c>
      <c r="Y28" s="40" t="s">
        <v>261</v>
      </c>
      <c r="Z28" s="7"/>
      <c r="AA28" s="7"/>
      <c r="AB28" s="23"/>
      <c r="AC28" s="26"/>
    </row>
    <row r="29" spans="1:30" ht="15.75" customHeight="1">
      <c r="A29" s="10" t="s">
        <v>262</v>
      </c>
      <c r="B29" s="10" t="s">
        <v>27</v>
      </c>
      <c r="C29" s="11" t="s">
        <v>28</v>
      </c>
      <c r="D29" s="12"/>
      <c r="E29" s="13" t="s">
        <v>116</v>
      </c>
      <c r="F29" s="6" t="s">
        <v>263</v>
      </c>
      <c r="G29" s="14" t="str">
        <f ca="1">IFERROR(__xludf.DUMMYFUNCTION("CONCATENATE(B29,(VLOOKUP(C29,CATALOGOS!$F$2:$H$6,3,FALSE)),(VLOOKUP(V29,CATALOGOS!$J$2:$K$18,2,FALSE)),""-"",TO_TEXT(A29))"),"P05DA-0028")</f>
        <v>P05DA-0028</v>
      </c>
      <c r="H29" s="15" t="str">
        <f ca="1">IFERROR(__xludf.DUMMYFUNCTION("CONCATENATE($B29,(VLOOKUP($C29,CATALOGOS!$F$2:$H$6,3,FALSE)),(VLOOKUP($V29,CATALOGOS!$J$2:$K$18,2,FALSE)),""-"",TO_TEXT($A29))"),"P05DA-0028")</f>
        <v>P05DA-0028</v>
      </c>
      <c r="I29" s="6"/>
      <c r="J29" s="6" t="s">
        <v>264</v>
      </c>
      <c r="K29" s="6" t="s">
        <v>265</v>
      </c>
      <c r="L29" s="6" t="s">
        <v>266</v>
      </c>
      <c r="M29" s="6" t="s">
        <v>267</v>
      </c>
      <c r="N29" s="17"/>
      <c r="O29" s="17"/>
      <c r="P29" s="17" t="str">
        <f t="shared" si="5"/>
        <v>OK</v>
      </c>
      <c r="Q29" s="17" t="s">
        <v>35</v>
      </c>
      <c r="R29" s="6" t="s">
        <v>35</v>
      </c>
      <c r="S29" s="17" t="s">
        <v>36</v>
      </c>
      <c r="T29" s="35" t="s">
        <v>268</v>
      </c>
      <c r="U29" s="18" t="s">
        <v>38</v>
      </c>
      <c r="V29" s="19" t="s">
        <v>28</v>
      </c>
      <c r="W29" s="22" t="s">
        <v>39</v>
      </c>
      <c r="X29" s="21" t="s">
        <v>39</v>
      </c>
      <c r="Y29" s="22"/>
      <c r="Z29" s="7"/>
      <c r="AA29" s="7"/>
      <c r="AB29" s="23"/>
      <c r="AC29" s="26"/>
    </row>
    <row r="30" spans="1:30" ht="15.75" customHeight="1">
      <c r="A30" s="10" t="s">
        <v>269</v>
      </c>
      <c r="B30" s="10" t="s">
        <v>27</v>
      </c>
      <c r="C30" s="11" t="s">
        <v>28</v>
      </c>
      <c r="D30" s="12"/>
      <c r="E30" s="13" t="s">
        <v>199</v>
      </c>
      <c r="F30" s="6" t="s">
        <v>199</v>
      </c>
      <c r="G30" s="14" t="str">
        <f ca="1">IFERROR(__xludf.DUMMYFUNCTION("CONCATENATE(B30,(VLOOKUP(C30,CATALOGOS!$F$2:$H$6,3,FALSE)),(VLOOKUP(V30,CATALOGOS!$J$2:$K$18,2,FALSE)),""-"",TO_TEXT(A30))"),"P05DA-0029")</f>
        <v>P05DA-0029</v>
      </c>
      <c r="H30" s="15" t="str">
        <f ca="1">IFERROR(__xludf.DUMMYFUNCTION("CONCATENATE($B30,(VLOOKUP($C30,CATALOGOS!$F$2:$H$6,3,FALSE)),(VLOOKUP($V30,CATALOGOS!$J$2:$K$18,2,FALSE)),""-"",TO_TEXT($A30))"),"P05DA-0029")</f>
        <v>P05DA-0029</v>
      </c>
      <c r="I30" s="6"/>
      <c r="J30" s="6" t="s">
        <v>270</v>
      </c>
      <c r="K30" s="6" t="s">
        <v>271</v>
      </c>
      <c r="L30" s="36"/>
      <c r="M30" s="6" t="s">
        <v>272</v>
      </c>
      <c r="N30" s="17"/>
      <c r="O30" s="17"/>
      <c r="P30" s="17" t="str">
        <f t="shared" si="5"/>
        <v>OK</v>
      </c>
      <c r="Q30" s="17" t="s">
        <v>273</v>
      </c>
      <c r="R30" s="6" t="s">
        <v>274</v>
      </c>
      <c r="S30" s="6">
        <v>11392903015651</v>
      </c>
      <c r="T30" s="10" t="s">
        <v>85</v>
      </c>
      <c r="U30" s="18" t="s">
        <v>38</v>
      </c>
      <c r="V30" s="19" t="s">
        <v>28</v>
      </c>
      <c r="W30" s="22" t="s">
        <v>39</v>
      </c>
      <c r="X30" s="21" t="s">
        <v>39</v>
      </c>
      <c r="Y30" s="22"/>
      <c r="Z30" s="6"/>
      <c r="AA30" s="6"/>
      <c r="AB30" s="41" t="s">
        <v>275</v>
      </c>
      <c r="AC30" s="42">
        <v>44403</v>
      </c>
      <c r="AD30" s="8" t="s">
        <v>276</v>
      </c>
    </row>
    <row r="31" spans="1:30" ht="15.75" customHeight="1">
      <c r="A31" s="10" t="s">
        <v>277</v>
      </c>
      <c r="B31" s="10" t="s">
        <v>27</v>
      </c>
      <c r="C31" s="11" t="s">
        <v>28</v>
      </c>
      <c r="D31" s="12"/>
      <c r="E31" s="13" t="s">
        <v>278</v>
      </c>
      <c r="F31" s="43" t="s">
        <v>278</v>
      </c>
      <c r="G31" s="14" t="str">
        <f ca="1">IFERROR(__xludf.DUMMYFUNCTION("CONCATENATE(B31,(VLOOKUP(C31,CATALOGOS!$F$2:$H$6,3,FALSE)),(VLOOKUP(V31,CATALOGOS!$J$2:$K$18,2,FALSE)),""-"",TO_TEXT(A31))"),"P05DA-0030")</f>
        <v>P05DA-0030</v>
      </c>
      <c r="H31" s="15" t="str">
        <f ca="1">IFERROR(__xludf.DUMMYFUNCTION("CONCATENATE($B31,(VLOOKUP($C31,CATALOGOS!$F$2:$H$6,3,FALSE)),(VLOOKUP($V31,CATALOGOS!$J$2:$K$18,2,FALSE)),""-"",TO_TEXT($A31))"),"P05DA-0030")</f>
        <v>P05DA-0030</v>
      </c>
      <c r="I31" s="6"/>
      <c r="J31" s="6" t="s">
        <v>279</v>
      </c>
      <c r="K31" s="6" t="s">
        <v>280</v>
      </c>
      <c r="L31" s="6" t="s">
        <v>281</v>
      </c>
      <c r="M31" s="6" t="s">
        <v>282</v>
      </c>
      <c r="N31" s="17"/>
      <c r="O31" s="17"/>
      <c r="P31" s="17" t="str">
        <f t="shared" si="5"/>
        <v>OK</v>
      </c>
      <c r="Q31" s="17" t="s">
        <v>35</v>
      </c>
      <c r="R31" s="6" t="s">
        <v>35</v>
      </c>
      <c r="S31" s="17" t="s">
        <v>36</v>
      </c>
      <c r="T31" s="35" t="s">
        <v>283</v>
      </c>
      <c r="U31" s="18" t="s">
        <v>38</v>
      </c>
      <c r="V31" s="19" t="s">
        <v>28</v>
      </c>
      <c r="W31" s="22" t="s">
        <v>39</v>
      </c>
      <c r="X31" s="21" t="s">
        <v>39</v>
      </c>
      <c r="Y31" s="22"/>
      <c r="Z31" s="7"/>
      <c r="AA31" s="7"/>
      <c r="AB31" s="23"/>
      <c r="AC31" s="26"/>
    </row>
    <row r="32" spans="1:30" ht="15.75" customHeight="1">
      <c r="A32" s="10" t="s">
        <v>284</v>
      </c>
      <c r="B32" s="10" t="s">
        <v>27</v>
      </c>
      <c r="C32" s="11" t="s">
        <v>28</v>
      </c>
      <c r="D32" s="12"/>
      <c r="E32" s="13" t="s">
        <v>162</v>
      </c>
      <c r="F32" s="6" t="s">
        <v>285</v>
      </c>
      <c r="G32" s="14" t="str">
        <f ca="1">IFERROR(__xludf.DUMMYFUNCTION("CONCATENATE(B32,(VLOOKUP(C32,CATALOGOS!$F$2:$H$6,3,FALSE)),(VLOOKUP(V32,CATALOGOS!$J$2:$K$18,2,FALSE)),""-"",TO_TEXT(A32))"),"P05DA-0031")</f>
        <v>P05DA-0031</v>
      </c>
      <c r="H32" s="15" t="str">
        <f ca="1">IFERROR(__xludf.DUMMYFUNCTION("CONCATENATE($B32,(VLOOKUP($C32,CATALOGOS!$F$2:$H$6,3,FALSE)),(VLOOKUP($V32,CATALOGOS!$J$2:$K$18,2,FALSE)),""-"",TO_TEXT($A32))"),"P05DA-0031")</f>
        <v>P05DA-0031</v>
      </c>
      <c r="I32" s="6"/>
      <c r="J32" s="6" t="s">
        <v>286</v>
      </c>
      <c r="K32" s="6" t="s">
        <v>287</v>
      </c>
      <c r="L32" s="6" t="s">
        <v>288</v>
      </c>
      <c r="M32" s="6" t="s">
        <v>289</v>
      </c>
      <c r="N32" s="17"/>
      <c r="O32" s="17"/>
      <c r="P32" s="17" t="str">
        <f t="shared" si="5"/>
        <v>OK</v>
      </c>
      <c r="Q32" s="17" t="s">
        <v>168</v>
      </c>
      <c r="R32" s="6" t="s">
        <v>169</v>
      </c>
      <c r="S32" s="17" t="s">
        <v>290</v>
      </c>
      <c r="T32" s="35" t="s">
        <v>291</v>
      </c>
      <c r="U32" s="18" t="s">
        <v>38</v>
      </c>
      <c r="V32" s="19" t="s">
        <v>28</v>
      </c>
      <c r="W32" s="22" t="s">
        <v>39</v>
      </c>
      <c r="X32" s="21" t="s">
        <v>39</v>
      </c>
      <c r="Y32" s="22"/>
      <c r="Z32" s="7"/>
      <c r="AA32" s="7"/>
      <c r="AB32" s="23"/>
      <c r="AC32" s="26"/>
    </row>
    <row r="33" spans="1:30" ht="15.75" customHeight="1">
      <c r="A33" s="10" t="s">
        <v>292</v>
      </c>
      <c r="B33" s="10" t="s">
        <v>27</v>
      </c>
      <c r="C33" s="11" t="s">
        <v>28</v>
      </c>
      <c r="D33" s="12"/>
      <c r="E33" s="13" t="s">
        <v>151</v>
      </c>
      <c r="F33" s="6" t="s">
        <v>293</v>
      </c>
      <c r="G33" s="14" t="str">
        <f ca="1">IFERROR(__xludf.DUMMYFUNCTION("CONCATENATE(B33,(VLOOKUP(C33,CATALOGOS!$F$2:$H$6,3,FALSE)),(VLOOKUP(V33,CATALOGOS!$J$2:$K$18,2,FALSE)),""-"",TO_TEXT(A33))"),"P05DA-0032")</f>
        <v>P05DA-0032</v>
      </c>
      <c r="H33" s="15" t="str">
        <f ca="1">IFERROR(__xludf.DUMMYFUNCTION("CONCATENATE($B33,(VLOOKUP($C33,CATALOGOS!$F$2:$H$6,3,FALSE)),(VLOOKUP($V33,CATALOGOS!$J$2:$K$18,2,FALSE)),""-"",TO_TEXT($A33))"),"P05DA-0032")</f>
        <v>P05DA-0032</v>
      </c>
      <c r="I33" s="6"/>
      <c r="J33" s="6" t="s">
        <v>294</v>
      </c>
      <c r="K33" s="6" t="s">
        <v>295</v>
      </c>
      <c r="L33" s="36"/>
      <c r="M33" s="6" t="s">
        <v>296</v>
      </c>
      <c r="N33" s="17"/>
      <c r="O33" s="17"/>
      <c r="P33" s="17" t="str">
        <f t="shared" si="5"/>
        <v>OK</v>
      </c>
      <c r="Q33" s="17" t="s">
        <v>297</v>
      </c>
      <c r="R33" s="6" t="s">
        <v>298</v>
      </c>
      <c r="S33" s="6" t="s">
        <v>299</v>
      </c>
      <c r="T33" s="10" t="s">
        <v>85</v>
      </c>
      <c r="U33" s="18" t="s">
        <v>100</v>
      </c>
      <c r="V33" s="19" t="s">
        <v>28</v>
      </c>
      <c r="W33" s="22" t="s">
        <v>39</v>
      </c>
      <c r="X33" s="21" t="s">
        <v>39</v>
      </c>
      <c r="Y33" s="22"/>
      <c r="Z33" s="6"/>
      <c r="AA33" s="6"/>
      <c r="AB33" s="41" t="s">
        <v>275</v>
      </c>
      <c r="AC33" s="42">
        <v>44403</v>
      </c>
      <c r="AD33" s="8">
        <v>0</v>
      </c>
    </row>
    <row r="34" spans="1:30" ht="15.75" customHeight="1">
      <c r="A34" s="10" t="s">
        <v>300</v>
      </c>
      <c r="B34" s="10" t="s">
        <v>27</v>
      </c>
      <c r="C34" s="11" t="s">
        <v>28</v>
      </c>
      <c r="D34" s="12"/>
      <c r="E34" s="13" t="s">
        <v>248</v>
      </c>
      <c r="F34" s="6" t="s">
        <v>248</v>
      </c>
      <c r="G34" s="14" t="str">
        <f ca="1">IFERROR(__xludf.DUMMYFUNCTION("CONCATENATE(B34,(VLOOKUP(C34,CATALOGOS!$F$2:$H$6,3,FALSE)),(VLOOKUP(V34,CATALOGOS!$J$2:$K$18,2,FALSE)),""-"",TO_TEXT(A34))"),"P05DA-0033")</f>
        <v>P05DA-0033</v>
      </c>
      <c r="H34" s="15" t="str">
        <f ca="1">IFERROR(__xludf.DUMMYFUNCTION("CONCATENATE($B34,(VLOOKUP($C34,CATALOGOS!$F$2:$H$6,3,FALSE)),(VLOOKUP($V34,CATALOGOS!$J$2:$K$18,2,FALSE)),""-"",TO_TEXT($A34))"),"P05DA-0033")</f>
        <v>P05DA-0033</v>
      </c>
      <c r="I34" s="6"/>
      <c r="J34" s="6" t="s">
        <v>301</v>
      </c>
      <c r="K34" s="6" t="s">
        <v>302</v>
      </c>
      <c r="L34" s="36"/>
      <c r="M34" s="6" t="s">
        <v>141</v>
      </c>
      <c r="N34" s="44"/>
      <c r="O34" s="17"/>
      <c r="P34" s="17" t="str">
        <f t="shared" si="5"/>
        <v>REPETIDO</v>
      </c>
      <c r="Q34" s="17" t="s">
        <v>303</v>
      </c>
      <c r="R34" s="6" t="s">
        <v>304</v>
      </c>
      <c r="S34" s="6" t="s">
        <v>305</v>
      </c>
      <c r="T34" s="10" t="s">
        <v>306</v>
      </c>
      <c r="U34" s="18" t="s">
        <v>38</v>
      </c>
      <c r="V34" s="19" t="s">
        <v>28</v>
      </c>
      <c r="W34" s="22" t="s">
        <v>39</v>
      </c>
      <c r="X34" s="21" t="s">
        <v>39</v>
      </c>
      <c r="Y34" s="22"/>
      <c r="Z34" s="7"/>
      <c r="AA34" s="7"/>
      <c r="AB34" s="23"/>
      <c r="AC34" s="26"/>
    </row>
    <row r="35" spans="1:30" ht="15.75" customHeight="1">
      <c r="A35" s="10" t="s">
        <v>307</v>
      </c>
      <c r="B35" s="10" t="s">
        <v>27</v>
      </c>
      <c r="C35" s="11" t="s">
        <v>28</v>
      </c>
      <c r="D35" s="12"/>
      <c r="E35" s="13" t="s">
        <v>93</v>
      </c>
      <c r="F35" s="6" t="s">
        <v>308</v>
      </c>
      <c r="G35" s="14" t="str">
        <f ca="1">IFERROR(__xludf.DUMMYFUNCTION("CONCATENATE(B35,(VLOOKUP(C35,CATALOGOS!$F$2:$H$6,3,FALSE)),(VLOOKUP(V35,CATALOGOS!$J$2:$K$18,2,FALSE)),""-"",TO_TEXT(A35))"),"P05DA-0034")</f>
        <v>P05DA-0034</v>
      </c>
      <c r="H35" s="15" t="str">
        <f ca="1">IFERROR(__xludf.DUMMYFUNCTION("CONCATENATE($B35,(VLOOKUP($C35,CATALOGOS!$F$2:$H$6,3,FALSE)),(VLOOKUP($V35,CATALOGOS!$J$2:$K$18,2,FALSE)),""-"",TO_TEXT($A35))"),"P05DA-0034")</f>
        <v>P05DA-0034</v>
      </c>
      <c r="I35" s="6"/>
      <c r="J35" s="6" t="s">
        <v>309</v>
      </c>
      <c r="K35" s="6" t="s">
        <v>310</v>
      </c>
      <c r="L35" s="6" t="s">
        <v>311</v>
      </c>
      <c r="M35" s="6" t="s">
        <v>312</v>
      </c>
      <c r="N35" s="17"/>
      <c r="O35" s="17"/>
      <c r="P35" s="17" t="str">
        <f t="shared" si="5"/>
        <v>OK</v>
      </c>
      <c r="Q35" s="17" t="s">
        <v>35</v>
      </c>
      <c r="R35" s="6" t="s">
        <v>35</v>
      </c>
      <c r="S35" s="17" t="s">
        <v>36</v>
      </c>
      <c r="T35" s="35" t="s">
        <v>313</v>
      </c>
      <c r="U35" s="18" t="s">
        <v>38</v>
      </c>
      <c r="V35" s="19" t="s">
        <v>28</v>
      </c>
      <c r="W35" s="22" t="s">
        <v>39</v>
      </c>
      <c r="X35" s="21" t="s">
        <v>39</v>
      </c>
      <c r="Y35" s="22"/>
      <c r="Z35" s="7"/>
      <c r="AA35" s="7"/>
      <c r="AB35" s="23"/>
      <c r="AC35" s="26"/>
    </row>
    <row r="36" spans="1:30" ht="15.75" customHeight="1">
      <c r="A36" s="10" t="s">
        <v>314</v>
      </c>
      <c r="B36" s="10" t="s">
        <v>27</v>
      </c>
      <c r="C36" s="11" t="s">
        <v>28</v>
      </c>
      <c r="D36" s="12"/>
      <c r="E36" s="13" t="s">
        <v>43</v>
      </c>
      <c r="F36" s="6" t="s">
        <v>315</v>
      </c>
      <c r="G36" s="14" t="str">
        <f ca="1">IFERROR(__xludf.DUMMYFUNCTION("CONCATENATE(B36,(VLOOKUP(C36,CATALOGOS!$F$2:$H$6,3,FALSE)),(VLOOKUP(V36,CATALOGOS!$J$2:$K$18,2,FALSE)),""-"",TO_TEXT(A36))"),"P05DA-0035")</f>
        <v>P05DA-0035</v>
      </c>
      <c r="H36" s="15" t="str">
        <f ca="1">IFERROR(__xludf.DUMMYFUNCTION("CONCATENATE($B36,(VLOOKUP($C36,CATALOGOS!$F$2:$H$6,3,FALSE)),(VLOOKUP($V36,CATALOGOS!$J$2:$K$18,2,FALSE)),""-"",TO_TEXT($A36))"),"P05DA-0035")</f>
        <v>P05DA-0035</v>
      </c>
      <c r="I36" s="6"/>
      <c r="J36" s="6" t="s">
        <v>316</v>
      </c>
      <c r="K36" s="6" t="s">
        <v>317</v>
      </c>
      <c r="L36" s="36"/>
      <c r="M36" s="6" t="s">
        <v>141</v>
      </c>
      <c r="N36" s="17"/>
      <c r="O36" s="17"/>
      <c r="P36" s="17" t="str">
        <f t="shared" si="5"/>
        <v>REPETIDO</v>
      </c>
      <c r="Q36" s="17" t="s">
        <v>318</v>
      </c>
      <c r="R36" s="6">
        <v>10188</v>
      </c>
      <c r="S36" s="6" t="s">
        <v>36</v>
      </c>
      <c r="T36" s="10" t="s">
        <v>319</v>
      </c>
      <c r="U36" s="18" t="s">
        <v>38</v>
      </c>
      <c r="V36" s="19" t="s">
        <v>28</v>
      </c>
      <c r="W36" s="22" t="s">
        <v>39</v>
      </c>
      <c r="X36" s="21" t="s">
        <v>39</v>
      </c>
      <c r="Y36" s="22"/>
      <c r="Z36" s="7"/>
      <c r="AA36" s="7"/>
      <c r="AB36" s="23"/>
      <c r="AC36" s="26"/>
    </row>
    <row r="37" spans="1:30" ht="15.75" customHeight="1">
      <c r="A37" s="10" t="s">
        <v>320</v>
      </c>
      <c r="B37" s="10" t="s">
        <v>27</v>
      </c>
      <c r="C37" s="11" t="s">
        <v>28</v>
      </c>
      <c r="D37" s="38"/>
      <c r="E37" s="13" t="s">
        <v>321</v>
      </c>
      <c r="F37" s="6" t="s">
        <v>322</v>
      </c>
      <c r="G37" s="14" t="str">
        <f ca="1">IFERROR(__xludf.DUMMYFUNCTION("CONCATENATE(B37,(VLOOKUP(C37,CATALOGOS!$F$2:$H$6,3,FALSE)),(VLOOKUP(V37,CATALOGOS!$J$2:$K$18,2,FALSE)),""-"",TO_TEXT(A37))"),"P05DA-0036")</f>
        <v>P05DA-0036</v>
      </c>
      <c r="H37" s="15" t="str">
        <f ca="1">IFERROR(__xludf.DUMMYFUNCTION("CONCATENATE($B37,(VLOOKUP($C37,CATALOGOS!$F$2:$H$6,3,FALSE)),(VLOOKUP($V37,CATALOGOS!$J$2:$K$18,2,FALSE)),""-"",TO_TEXT($A37))"),"P05DA-0036")</f>
        <v>P05DA-0036</v>
      </c>
      <c r="I37" s="6"/>
      <c r="J37" s="6" t="s">
        <v>323</v>
      </c>
      <c r="K37" s="6" t="s">
        <v>324</v>
      </c>
      <c r="L37" s="36"/>
      <c r="M37" s="6" t="s">
        <v>141</v>
      </c>
      <c r="N37" s="17"/>
      <c r="O37" s="17"/>
      <c r="P37" s="17" t="str">
        <f t="shared" si="5"/>
        <v>REPETIDO</v>
      </c>
      <c r="Q37" s="17" t="s">
        <v>325</v>
      </c>
      <c r="R37" s="6" t="s">
        <v>326</v>
      </c>
      <c r="S37" s="6" t="s">
        <v>36</v>
      </c>
      <c r="T37" s="32" t="s">
        <v>85</v>
      </c>
      <c r="U37" s="18" t="s">
        <v>100</v>
      </c>
      <c r="V37" s="19" t="s">
        <v>28</v>
      </c>
      <c r="W37" s="22" t="s">
        <v>39</v>
      </c>
      <c r="X37" s="21" t="s">
        <v>39</v>
      </c>
      <c r="Y37" s="22"/>
      <c r="Z37" s="7"/>
      <c r="AA37" s="7"/>
      <c r="AB37" s="26"/>
      <c r="AC37" s="26"/>
    </row>
    <row r="38" spans="1:30" ht="15.75" customHeight="1">
      <c r="A38" s="10" t="s">
        <v>327</v>
      </c>
      <c r="B38" s="10" t="s">
        <v>27</v>
      </c>
      <c r="C38" s="11" t="s">
        <v>28</v>
      </c>
      <c r="D38" s="12"/>
      <c r="E38" s="13" t="s">
        <v>151</v>
      </c>
      <c r="F38" s="6" t="s">
        <v>293</v>
      </c>
      <c r="G38" s="14" t="str">
        <f ca="1">IFERROR(__xludf.DUMMYFUNCTION("CONCATENATE(B38,(VLOOKUP(C38,CATALOGOS!$F$2:$H$6,3,FALSE)),(VLOOKUP(V38,CATALOGOS!$J$2:$K$18,2,FALSE)),""-"",TO_TEXT(A38))"),"P05DA-0037")</f>
        <v>P05DA-0037</v>
      </c>
      <c r="H38" s="15" t="str">
        <f ca="1">IFERROR(__xludf.DUMMYFUNCTION("CONCATENATE($B38,(VLOOKUP($C38,CATALOGOS!$F$2:$H$6,3,FALSE)),(VLOOKUP($V38,CATALOGOS!$J$2:$K$18,2,FALSE)),""-"",TO_TEXT($A38))"),"P05DA-0037")</f>
        <v>P05DA-0037</v>
      </c>
      <c r="I38" s="6"/>
      <c r="J38" s="6" t="s">
        <v>328</v>
      </c>
      <c r="K38" s="6" t="s">
        <v>329</v>
      </c>
      <c r="L38" s="36"/>
      <c r="M38" s="6" t="s">
        <v>330</v>
      </c>
      <c r="N38" s="17"/>
      <c r="O38" s="17"/>
      <c r="P38" s="17" t="str">
        <f t="shared" si="5"/>
        <v>OK</v>
      </c>
      <c r="Q38" s="17" t="s">
        <v>297</v>
      </c>
      <c r="R38" s="6" t="s">
        <v>298</v>
      </c>
      <c r="S38" s="6" t="s">
        <v>331</v>
      </c>
      <c r="T38" s="10" t="s">
        <v>85</v>
      </c>
      <c r="U38" s="18" t="s">
        <v>38</v>
      </c>
      <c r="V38" s="19" t="s">
        <v>28</v>
      </c>
      <c r="W38" s="22" t="s">
        <v>332</v>
      </c>
      <c r="X38" s="21" t="s">
        <v>332</v>
      </c>
      <c r="Y38" s="22"/>
      <c r="Z38" s="6"/>
      <c r="AA38" s="6"/>
      <c r="AB38" s="41" t="s">
        <v>92</v>
      </c>
      <c r="AC38" s="42">
        <v>44348</v>
      </c>
      <c r="AD38" s="45">
        <v>0</v>
      </c>
    </row>
    <row r="39" spans="1:30" ht="15.75" customHeight="1">
      <c r="A39" s="10" t="s">
        <v>333</v>
      </c>
      <c r="B39" s="10" t="s">
        <v>27</v>
      </c>
      <c r="C39" s="11" t="s">
        <v>28</v>
      </c>
      <c r="D39" s="12"/>
      <c r="E39" s="13" t="s">
        <v>162</v>
      </c>
      <c r="F39" s="6" t="s">
        <v>285</v>
      </c>
      <c r="G39" s="14" t="str">
        <f ca="1">IFERROR(__xludf.DUMMYFUNCTION("CONCATENATE(B39,(VLOOKUP(C39,CATALOGOS!$F$2:$H$6,3,FALSE)),(VLOOKUP(V39,CATALOGOS!$J$2:$K$18,2,FALSE)),""-"",TO_TEXT(A39))"),"P05RM-0038")</f>
        <v>P05RM-0038</v>
      </c>
      <c r="H39" s="15" t="str">
        <f ca="1">IFERROR(__xludf.DUMMYFUNCTION("CONCATENATE($B39,(VLOOKUP($C39,CATALOGOS!$F$2:$H$6,3,FALSE)),(VLOOKUP($V39,CATALOGOS!$J$2:$K$18,2,FALSE)),""-"",TO_TEXT($A39))"),"P05RM-0038")</f>
        <v>P05RM-0038</v>
      </c>
      <c r="I39" s="6"/>
      <c r="J39" s="6" t="s">
        <v>334</v>
      </c>
      <c r="K39" s="6" t="s">
        <v>335</v>
      </c>
      <c r="L39" s="6" t="s">
        <v>336</v>
      </c>
      <c r="M39" s="6" t="s">
        <v>337</v>
      </c>
      <c r="N39" s="17"/>
      <c r="O39" s="17"/>
      <c r="P39" s="17" t="str">
        <f t="shared" si="5"/>
        <v>OK</v>
      </c>
      <c r="Q39" s="17" t="s">
        <v>168</v>
      </c>
      <c r="R39" s="6" t="s">
        <v>169</v>
      </c>
      <c r="S39" s="17" t="s">
        <v>338</v>
      </c>
      <c r="T39" s="35" t="s">
        <v>339</v>
      </c>
      <c r="U39" s="18" t="s">
        <v>100</v>
      </c>
      <c r="V39" s="19" t="s">
        <v>147</v>
      </c>
      <c r="W39" s="20" t="s">
        <v>340</v>
      </c>
      <c r="X39" s="21" t="s">
        <v>332</v>
      </c>
      <c r="Y39" s="22"/>
      <c r="Z39" s="7"/>
      <c r="AA39" s="7"/>
      <c r="AB39" s="23"/>
      <c r="AC39" s="26"/>
    </row>
    <row r="40" spans="1:30" ht="15.75" customHeight="1">
      <c r="A40" s="10" t="s">
        <v>341</v>
      </c>
      <c r="B40" s="10" t="s">
        <v>27</v>
      </c>
      <c r="C40" s="11" t="s">
        <v>28</v>
      </c>
      <c r="D40" s="12"/>
      <c r="E40" s="13" t="s">
        <v>199</v>
      </c>
      <c r="F40" s="6" t="s">
        <v>199</v>
      </c>
      <c r="G40" s="14" t="str">
        <f ca="1">IFERROR(__xludf.DUMMYFUNCTION("CONCATENATE(B40,(VLOOKUP(C40,CATALOGOS!$F$2:$H$6,3,FALSE)),(VLOOKUP(V40,CATALOGOS!$J$2:$K$18,2,FALSE)),""-"",TO_TEXT(A40))"),"P05DA-0039")</f>
        <v>P05DA-0039</v>
      </c>
      <c r="H40" s="15" t="str">
        <f ca="1">IFERROR(__xludf.DUMMYFUNCTION("CONCATENATE($B40,(VLOOKUP($C40,CATALOGOS!$F$2:$H$6,3,FALSE)),(VLOOKUP($V40,CATALOGOS!$J$2:$K$18,2,FALSE)),""-"",TO_TEXT($A40))"),"P05DA-0039")</f>
        <v>P05DA-0039</v>
      </c>
      <c r="I40" s="6"/>
      <c r="J40" s="6" t="s">
        <v>342</v>
      </c>
      <c r="K40" s="6" t="s">
        <v>343</v>
      </c>
      <c r="L40" s="36"/>
      <c r="M40" s="6" t="s">
        <v>344</v>
      </c>
      <c r="N40" s="17"/>
      <c r="O40" s="17"/>
      <c r="P40" s="17" t="str">
        <f t="shared" si="5"/>
        <v>OK</v>
      </c>
      <c r="Q40" s="17" t="s">
        <v>273</v>
      </c>
      <c r="R40" s="6" t="s">
        <v>274</v>
      </c>
      <c r="S40" s="6">
        <v>11392903011586</v>
      </c>
      <c r="T40" s="10" t="s">
        <v>85</v>
      </c>
      <c r="U40" s="18" t="s">
        <v>38</v>
      </c>
      <c r="V40" s="19" t="s">
        <v>28</v>
      </c>
      <c r="W40" s="22" t="s">
        <v>332</v>
      </c>
      <c r="X40" s="21" t="s">
        <v>332</v>
      </c>
      <c r="Y40" s="22"/>
      <c r="Z40" s="6"/>
      <c r="AA40" s="6"/>
      <c r="AB40" s="41" t="s">
        <v>92</v>
      </c>
      <c r="AC40" s="42">
        <v>44348</v>
      </c>
      <c r="AD40" s="8" t="s">
        <v>276</v>
      </c>
    </row>
    <row r="41" spans="1:30" ht="15.75" customHeight="1">
      <c r="A41" s="10" t="s">
        <v>345</v>
      </c>
      <c r="B41" s="10" t="s">
        <v>27</v>
      </c>
      <c r="C41" s="11" t="s">
        <v>28</v>
      </c>
      <c r="D41" s="12"/>
      <c r="E41" s="13" t="s">
        <v>62</v>
      </c>
      <c r="F41" s="6" t="s">
        <v>346</v>
      </c>
      <c r="G41" s="14" t="str">
        <f ca="1">IFERROR(__xludf.DUMMYFUNCTION("CONCATENATE(B41,(VLOOKUP(C41,CATALOGOS!$F$2:$H$6,3,FALSE)),(VLOOKUP(V41,CATALOGOS!$J$2:$K$18,2,FALSE)),""-"",TO_TEXT(A41))"),"P05DA-0040")</f>
        <v>P05DA-0040</v>
      </c>
      <c r="H41" s="15" t="str">
        <f ca="1">IFERROR(__xludf.DUMMYFUNCTION("CONCATENATE($B41,(VLOOKUP($C41,CATALOGOS!$F$2:$H$6,3,FALSE)),(VLOOKUP($V41,CATALOGOS!$J$2:$K$18,2,FALSE)),""-"",TO_TEXT($A41))"),"P05DA-0040")</f>
        <v>P05DA-0040</v>
      </c>
      <c r="I41" s="6"/>
      <c r="J41" s="6" t="s">
        <v>347</v>
      </c>
      <c r="K41" s="6" t="s">
        <v>348</v>
      </c>
      <c r="L41" s="6" t="s">
        <v>349</v>
      </c>
      <c r="M41" s="6" t="s">
        <v>350</v>
      </c>
      <c r="N41" s="17"/>
      <c r="O41" s="17"/>
      <c r="P41" s="17" t="str">
        <f t="shared" si="5"/>
        <v>OK</v>
      </c>
      <c r="Q41" s="17" t="s">
        <v>35</v>
      </c>
      <c r="R41" s="6" t="s">
        <v>35</v>
      </c>
      <c r="S41" s="35" t="s">
        <v>36</v>
      </c>
      <c r="T41" s="35" t="s">
        <v>351</v>
      </c>
      <c r="U41" s="18" t="s">
        <v>38</v>
      </c>
      <c r="V41" s="19" t="s">
        <v>28</v>
      </c>
      <c r="W41" s="22" t="s">
        <v>332</v>
      </c>
      <c r="X41" s="21" t="s">
        <v>332</v>
      </c>
      <c r="Y41" s="22"/>
      <c r="Z41" s="7"/>
      <c r="AA41" s="7"/>
      <c r="AB41" s="23"/>
      <c r="AC41" s="26"/>
    </row>
    <row r="42" spans="1:30" ht="15.75" customHeight="1">
      <c r="A42" s="10" t="s">
        <v>352</v>
      </c>
      <c r="B42" s="10" t="s">
        <v>27</v>
      </c>
      <c r="C42" s="11" t="s">
        <v>28</v>
      </c>
      <c r="D42" s="12"/>
      <c r="E42" s="13" t="s">
        <v>353</v>
      </c>
      <c r="F42" s="6" t="s">
        <v>354</v>
      </c>
      <c r="G42" s="14" t="str">
        <f ca="1">IFERROR(__xludf.DUMMYFUNCTION("CONCATENATE(B42,(VLOOKUP(C42,CATALOGOS!$F$2:$H$6,3,FALSE)),(VLOOKUP(V42,CATALOGOS!$J$2:$K$18,2,FALSE)),""-"",TO_TEXT(A42))"),"P05DA-0041")</f>
        <v>P05DA-0041</v>
      </c>
      <c r="H42" s="15" t="str">
        <f ca="1">IFERROR(__xludf.DUMMYFUNCTION("CONCATENATE($B42,(VLOOKUP($C42,CATALOGOS!$F$2:$H$6,3,FALSE)),(VLOOKUP($V42,CATALOGOS!$J$2:$K$18,2,FALSE)),""-"",TO_TEXT($A42))"),"P05DA-0041")</f>
        <v>P05DA-0041</v>
      </c>
      <c r="I42" s="6"/>
      <c r="J42" s="6" t="s">
        <v>355</v>
      </c>
      <c r="K42" s="6" t="s">
        <v>356</v>
      </c>
      <c r="L42" s="6" t="s">
        <v>357</v>
      </c>
      <c r="M42" s="6" t="s">
        <v>358</v>
      </c>
      <c r="N42" s="17"/>
      <c r="O42" s="17"/>
      <c r="P42" s="17" t="str">
        <f t="shared" si="5"/>
        <v>OK</v>
      </c>
      <c r="Q42" s="17" t="s">
        <v>359</v>
      </c>
      <c r="R42" s="6" t="s">
        <v>360</v>
      </c>
      <c r="S42" s="17" t="s">
        <v>361</v>
      </c>
      <c r="T42" s="35" t="s">
        <v>362</v>
      </c>
      <c r="U42" s="18" t="s">
        <v>38</v>
      </c>
      <c r="V42" s="19" t="s">
        <v>28</v>
      </c>
      <c r="W42" s="22" t="s">
        <v>332</v>
      </c>
      <c r="X42" s="21" t="s">
        <v>332</v>
      </c>
      <c r="Y42" s="22"/>
      <c r="Z42" s="7"/>
      <c r="AA42" s="7"/>
      <c r="AB42" s="23"/>
      <c r="AC42" s="26"/>
    </row>
    <row r="43" spans="1:30" ht="15.75" customHeight="1">
      <c r="A43" s="10" t="s">
        <v>363</v>
      </c>
      <c r="B43" s="10" t="s">
        <v>27</v>
      </c>
      <c r="C43" s="11" t="s">
        <v>28</v>
      </c>
      <c r="D43" s="12"/>
      <c r="E43" s="13" t="s">
        <v>116</v>
      </c>
      <c r="F43" s="6" t="s">
        <v>364</v>
      </c>
      <c r="G43" s="14" t="str">
        <f ca="1">IFERROR(__xludf.DUMMYFUNCTION("CONCATENATE(B43,(VLOOKUP(C43,CATALOGOS!$F$2:$H$6,3,FALSE)),(VLOOKUP(V43,CATALOGOS!$J$2:$K$18,2,FALSE)),""-"",TO_TEXT(A43))"),"P05DA-0042")</f>
        <v>P05DA-0042</v>
      </c>
      <c r="H43" s="15" t="str">
        <f ca="1">IFERROR(__xludf.DUMMYFUNCTION("CONCATENATE($B43,(VLOOKUP($C43,CATALOGOS!$F$2:$H$6,3,FALSE)),(VLOOKUP($V43,CATALOGOS!$J$2:$K$18,2,FALSE)),""-"",TO_TEXT($A43))"),"P05DA-0042")</f>
        <v>P05DA-0042</v>
      </c>
      <c r="I43" s="6"/>
      <c r="J43" s="6" t="s">
        <v>365</v>
      </c>
      <c r="K43" s="6" t="s">
        <v>366</v>
      </c>
      <c r="L43" s="6" t="s">
        <v>367</v>
      </c>
      <c r="M43" s="6" t="s">
        <v>368</v>
      </c>
      <c r="N43" s="17"/>
      <c r="O43" s="17"/>
      <c r="P43" s="17" t="str">
        <f t="shared" si="5"/>
        <v>OK</v>
      </c>
      <c r="Q43" s="17" t="s">
        <v>35</v>
      </c>
      <c r="R43" s="6" t="s">
        <v>35</v>
      </c>
      <c r="S43" s="17" t="s">
        <v>36</v>
      </c>
      <c r="T43" s="35" t="s">
        <v>369</v>
      </c>
      <c r="U43" s="18" t="s">
        <v>100</v>
      </c>
      <c r="V43" s="19" t="s">
        <v>28</v>
      </c>
      <c r="W43" s="22" t="s">
        <v>332</v>
      </c>
      <c r="X43" s="21" t="s">
        <v>332</v>
      </c>
      <c r="Y43" s="22"/>
      <c r="Z43" s="7"/>
      <c r="AA43" s="7"/>
      <c r="AB43" s="23"/>
      <c r="AC43" s="26"/>
    </row>
    <row r="44" spans="1:30" ht="15.75" customHeight="1">
      <c r="A44" s="10" t="s">
        <v>370</v>
      </c>
      <c r="B44" s="10" t="s">
        <v>27</v>
      </c>
      <c r="C44" s="11" t="s">
        <v>28</v>
      </c>
      <c r="D44" s="12"/>
      <c r="E44" s="13" t="s">
        <v>93</v>
      </c>
      <c r="F44" s="6" t="s">
        <v>371</v>
      </c>
      <c r="G44" s="14" t="str">
        <f ca="1">IFERROR(__xludf.DUMMYFUNCTION("CONCATENATE(B44,(VLOOKUP(C44,CATALOGOS!$F$2:$H$6,3,FALSE)),(VLOOKUP(V44,CATALOGOS!$J$2:$K$18,2,FALSE)),""-"",TO_TEXT(A44))"),"P05DA-0043")</f>
        <v>P05DA-0043</v>
      </c>
      <c r="H44" s="15" t="str">
        <f ca="1">IFERROR(__xludf.DUMMYFUNCTION("CONCATENATE($B44,(VLOOKUP($C44,CATALOGOS!$F$2:$H$6,3,FALSE)),(VLOOKUP($V44,CATALOGOS!$J$2:$K$18,2,FALSE)),""-"",TO_TEXT($A44))"),"P05DA-0043")</f>
        <v>P05DA-0043</v>
      </c>
      <c r="I44" s="6"/>
      <c r="J44" s="6" t="s">
        <v>372</v>
      </c>
      <c r="K44" s="6" t="s">
        <v>373</v>
      </c>
      <c r="L44" s="6" t="s">
        <v>374</v>
      </c>
      <c r="M44" s="6" t="s">
        <v>375</v>
      </c>
      <c r="N44" s="17"/>
      <c r="O44" s="17"/>
      <c r="P44" s="17" t="str">
        <f t="shared" si="5"/>
        <v>OK</v>
      </c>
      <c r="Q44" s="17" t="s">
        <v>35</v>
      </c>
      <c r="R44" s="6" t="s">
        <v>35</v>
      </c>
      <c r="S44" s="17" t="s">
        <v>36</v>
      </c>
      <c r="T44" s="35" t="s">
        <v>376</v>
      </c>
      <c r="U44" s="18" t="s">
        <v>38</v>
      </c>
      <c r="V44" s="19" t="s">
        <v>28</v>
      </c>
      <c r="W44" s="22" t="s">
        <v>332</v>
      </c>
      <c r="X44" s="21" t="s">
        <v>332</v>
      </c>
      <c r="Y44" s="22"/>
      <c r="Z44" s="7"/>
      <c r="AA44" s="7"/>
      <c r="AB44" s="23"/>
      <c r="AC44" s="26"/>
    </row>
    <row r="45" spans="1:30" ht="15.75" customHeight="1">
      <c r="A45" s="10" t="s">
        <v>377</v>
      </c>
      <c r="B45" s="10" t="s">
        <v>27</v>
      </c>
      <c r="C45" s="11" t="s">
        <v>28</v>
      </c>
      <c r="D45" s="38"/>
      <c r="E45" s="13" t="s">
        <v>378</v>
      </c>
      <c r="F45" s="6" t="s">
        <v>379</v>
      </c>
      <c r="G45" s="14" t="str">
        <f ca="1">IFERROR(__xludf.DUMMYFUNCTION("CONCATENATE(B45,(VLOOKUP(C45,CATALOGOS!$F$2:$H$6,3,FALSE)),(VLOOKUP(V45,CATALOGOS!$J$2:$K$18,2,FALSE)),""-"",TO_TEXT(A45))"),"P05RM-0044")</f>
        <v>P05RM-0044</v>
      </c>
      <c r="H45" s="15" t="str">
        <f ca="1">IFERROR(__xludf.DUMMYFUNCTION("CONCATENATE($B45,(VLOOKUP($C45,CATALOGOS!$F$2:$H$6,3,FALSE)),(VLOOKUP($V45,CATALOGOS!$J$2:$K$18,2,FALSE)),""-"",TO_TEXT($A45))"),"P05RM-0044")</f>
        <v>P05RM-0044</v>
      </c>
      <c r="I45" s="6"/>
      <c r="J45" s="6" t="s">
        <v>380</v>
      </c>
      <c r="K45" s="6" t="s">
        <v>381</v>
      </c>
      <c r="L45" s="6" t="s">
        <v>382</v>
      </c>
      <c r="M45" s="6" t="s">
        <v>383</v>
      </c>
      <c r="N45" s="17"/>
      <c r="O45" s="17"/>
      <c r="P45" s="17" t="str">
        <f t="shared" si="5"/>
        <v>OK</v>
      </c>
      <c r="Q45" s="17" t="s">
        <v>35</v>
      </c>
      <c r="R45" s="6" t="s">
        <v>35</v>
      </c>
      <c r="S45" s="46" t="s">
        <v>36</v>
      </c>
      <c r="T45" s="35" t="s">
        <v>384</v>
      </c>
      <c r="U45" s="18" t="s">
        <v>100</v>
      </c>
      <c r="V45" s="19" t="s">
        <v>147</v>
      </c>
      <c r="W45" s="20" t="s">
        <v>385</v>
      </c>
      <c r="X45" s="21" t="s">
        <v>332</v>
      </c>
      <c r="Y45" s="40" t="s">
        <v>261</v>
      </c>
      <c r="Z45" s="7"/>
      <c r="AA45" s="7"/>
      <c r="AB45" s="26"/>
      <c r="AC45" s="26"/>
    </row>
    <row r="46" spans="1:30" ht="15.75" customHeight="1">
      <c r="A46" s="10" t="s">
        <v>386</v>
      </c>
      <c r="B46" s="10" t="s">
        <v>27</v>
      </c>
      <c r="C46" s="11" t="s">
        <v>28</v>
      </c>
      <c r="D46" s="12"/>
      <c r="E46" s="13" t="s">
        <v>387</v>
      </c>
      <c r="F46" s="6" t="s">
        <v>387</v>
      </c>
      <c r="G46" s="14" t="str">
        <f ca="1">IFERROR(__xludf.DUMMYFUNCTION("CONCATENATE(B46,(VLOOKUP(C46,CATALOGOS!$F$2:$H$6,3,FALSE)),(VLOOKUP(V46,CATALOGOS!$J$2:$K$18,2,FALSE)),""-"",TO_TEXT(A46))"),"P05DA-0045")</f>
        <v>P05DA-0045</v>
      </c>
      <c r="H46" s="15" t="str">
        <f ca="1">IFERROR(__xludf.DUMMYFUNCTION("CONCATENATE($B46,(VLOOKUP($C46,CATALOGOS!$F$2:$H$6,3,FALSE)),(VLOOKUP($V46,CATALOGOS!$J$2:$K$18,2,FALSE)),""-"",TO_TEXT($A46))"),"P05DA-0045")</f>
        <v>P05DA-0045</v>
      </c>
      <c r="I46" s="6"/>
      <c r="J46" s="6" t="s">
        <v>388</v>
      </c>
      <c r="K46" s="6" t="s">
        <v>389</v>
      </c>
      <c r="L46" s="36"/>
      <c r="M46" s="6" t="s">
        <v>141</v>
      </c>
      <c r="N46" s="17"/>
      <c r="O46" s="17"/>
      <c r="P46" s="35" t="s">
        <v>142</v>
      </c>
      <c r="Q46" s="17" t="s">
        <v>390</v>
      </c>
      <c r="R46" s="6">
        <v>40514</v>
      </c>
      <c r="S46" s="6" t="s">
        <v>391</v>
      </c>
      <c r="T46" s="10" t="s">
        <v>85</v>
      </c>
      <c r="U46" s="18" t="s">
        <v>38</v>
      </c>
      <c r="V46" s="19" t="s">
        <v>28</v>
      </c>
      <c r="W46" s="22" t="s">
        <v>392</v>
      </c>
      <c r="X46" s="21" t="s">
        <v>392</v>
      </c>
      <c r="Y46" s="22"/>
      <c r="Z46" s="7"/>
      <c r="AA46" s="7"/>
      <c r="AB46" s="23"/>
      <c r="AC46" s="26"/>
    </row>
    <row r="47" spans="1:30" ht="15.75" customHeight="1">
      <c r="A47" s="10" t="s">
        <v>393</v>
      </c>
      <c r="B47" s="10" t="s">
        <v>27</v>
      </c>
      <c r="C47" s="11" t="s">
        <v>28</v>
      </c>
      <c r="D47" s="12"/>
      <c r="E47" s="13" t="s">
        <v>93</v>
      </c>
      <c r="F47" s="6" t="s">
        <v>394</v>
      </c>
      <c r="G47" s="14" t="str">
        <f ca="1">IFERROR(__xludf.DUMMYFUNCTION("CONCATENATE(B47,(VLOOKUP(C47,CATALOGOS!$F$2:$H$6,3,FALSE)),(VLOOKUP(V47,CATALOGOS!$J$2:$K$18,2,FALSE)),""-"",TO_TEXT(A47))"),"P05DA-0046")</f>
        <v>P05DA-0046</v>
      </c>
      <c r="H47" s="15" t="str">
        <f ca="1">IFERROR(__xludf.DUMMYFUNCTION("CONCATENATE($B47,(VLOOKUP($C47,CATALOGOS!$F$2:$H$6,3,FALSE)),(VLOOKUP($V47,CATALOGOS!$J$2:$K$18,2,FALSE)),""-"",TO_TEXT($A47))"),"P05DA-0046")</f>
        <v>P05DA-0046</v>
      </c>
      <c r="I47" s="6"/>
      <c r="J47" s="6" t="s">
        <v>395</v>
      </c>
      <c r="K47" s="6" t="s">
        <v>396</v>
      </c>
      <c r="L47" s="6" t="s">
        <v>397</v>
      </c>
      <c r="M47" s="43" t="s">
        <v>398</v>
      </c>
      <c r="N47" s="17"/>
      <c r="O47" s="17"/>
      <c r="P47" s="17" t="str">
        <f t="shared" ref="P47:P430" si="6">IF(COUNTIF($M$2:$M$997,M47)&gt;1,"REPETIDO","OK")</f>
        <v>OK</v>
      </c>
      <c r="Q47" s="17" t="s">
        <v>35</v>
      </c>
      <c r="R47" s="6" t="s">
        <v>35</v>
      </c>
      <c r="S47" s="6" t="s">
        <v>36</v>
      </c>
      <c r="T47" s="10" t="s">
        <v>399</v>
      </c>
      <c r="U47" s="18" t="s">
        <v>38</v>
      </c>
      <c r="V47" s="19" t="s">
        <v>28</v>
      </c>
      <c r="W47" s="22" t="s">
        <v>392</v>
      </c>
      <c r="X47" s="21" t="s">
        <v>392</v>
      </c>
      <c r="Y47" s="22"/>
      <c r="Z47" s="7"/>
      <c r="AA47" s="7"/>
      <c r="AB47" s="23"/>
      <c r="AC47" s="26"/>
    </row>
    <row r="48" spans="1:30" ht="15.75" customHeight="1">
      <c r="A48" s="10" t="s">
        <v>400</v>
      </c>
      <c r="B48" s="10" t="s">
        <v>27</v>
      </c>
      <c r="C48" s="11" t="s">
        <v>28</v>
      </c>
      <c r="D48" s="12"/>
      <c r="E48" s="13" t="s">
        <v>43</v>
      </c>
      <c r="F48" s="6" t="s">
        <v>401</v>
      </c>
      <c r="G48" s="14" t="str">
        <f ca="1">IFERROR(__xludf.DUMMYFUNCTION("CONCATENATE(B48,(VLOOKUP(C48,CATALOGOS!$F$2:$H$6,3,FALSE)),(VLOOKUP(V48,CATALOGOS!$J$2:$K$18,2,FALSE)),""-"",TO_TEXT(A48))"),"P05DA-0047")</f>
        <v>P05DA-0047</v>
      </c>
      <c r="H48" s="15" t="str">
        <f ca="1">IFERROR(__xludf.DUMMYFUNCTION("CONCATENATE($B48,(VLOOKUP($C48,CATALOGOS!$F$2:$H$6,3,FALSE)),(VLOOKUP($V48,CATALOGOS!$J$2:$K$18,2,FALSE)),""-"",TO_TEXT($A48))"),"P05DA-0047")</f>
        <v>P05DA-0047</v>
      </c>
      <c r="I48" s="6"/>
      <c r="J48" s="6" t="s">
        <v>402</v>
      </c>
      <c r="K48" s="6" t="s">
        <v>403</v>
      </c>
      <c r="L48" s="6" t="s">
        <v>404</v>
      </c>
      <c r="M48" s="6" t="s">
        <v>405</v>
      </c>
      <c r="N48" s="17"/>
      <c r="O48" s="17"/>
      <c r="P48" s="17" t="str">
        <f t="shared" si="6"/>
        <v>OK</v>
      </c>
      <c r="Q48" s="17" t="s">
        <v>406</v>
      </c>
      <c r="R48" s="10" t="s">
        <v>407</v>
      </c>
      <c r="S48" s="17" t="s">
        <v>408</v>
      </c>
      <c r="T48" s="35" t="s">
        <v>409</v>
      </c>
      <c r="U48" s="18" t="s">
        <v>38</v>
      </c>
      <c r="V48" s="19" t="s">
        <v>28</v>
      </c>
      <c r="W48" s="22" t="s">
        <v>392</v>
      </c>
      <c r="X48" s="21" t="s">
        <v>392</v>
      </c>
      <c r="Y48" s="22"/>
      <c r="Z48" s="7"/>
      <c r="AA48" s="7"/>
      <c r="AB48" s="23"/>
      <c r="AC48" s="26"/>
    </row>
    <row r="49" spans="1:29" ht="15.75" customHeight="1">
      <c r="A49" s="10" t="s">
        <v>410</v>
      </c>
      <c r="B49" s="10" t="s">
        <v>27</v>
      </c>
      <c r="C49" s="11" t="s">
        <v>28</v>
      </c>
      <c r="D49" s="12"/>
      <c r="E49" s="13" t="s">
        <v>43</v>
      </c>
      <c r="F49" s="6" t="s">
        <v>401</v>
      </c>
      <c r="G49" s="14" t="str">
        <f ca="1">IFERROR(__xludf.DUMMYFUNCTION("CONCATENATE(B49,(VLOOKUP(C49,CATALOGOS!$F$2:$H$6,3,FALSE)),(VLOOKUP(V49,CATALOGOS!$J$2:$K$18,2,FALSE)),""-"",TO_TEXT(A49))"),"P05DA-0048")</f>
        <v>P05DA-0048</v>
      </c>
      <c r="H49" s="15" t="str">
        <f ca="1">IFERROR(__xludf.DUMMYFUNCTION("CONCATENATE($B49,(VLOOKUP($C49,CATALOGOS!$F$2:$H$6,3,FALSE)),(VLOOKUP($V49,CATALOGOS!$J$2:$K$18,2,FALSE)),""-"",TO_TEXT($A49))"),"P05DA-0048")</f>
        <v>P05DA-0048</v>
      </c>
      <c r="I49" s="6"/>
      <c r="J49" s="6" t="s">
        <v>411</v>
      </c>
      <c r="K49" s="6" t="s">
        <v>412</v>
      </c>
      <c r="L49" s="6" t="s">
        <v>413</v>
      </c>
      <c r="M49" s="6" t="s">
        <v>414</v>
      </c>
      <c r="N49" s="17"/>
      <c r="O49" s="17"/>
      <c r="P49" s="17" t="str">
        <f t="shared" si="6"/>
        <v>OK</v>
      </c>
      <c r="Q49" s="17" t="s">
        <v>406</v>
      </c>
      <c r="R49" s="6" t="s">
        <v>407</v>
      </c>
      <c r="S49" s="17" t="s">
        <v>415</v>
      </c>
      <c r="T49" s="35" t="s">
        <v>416</v>
      </c>
      <c r="U49" s="18" t="s">
        <v>38</v>
      </c>
      <c r="V49" s="19" t="s">
        <v>28</v>
      </c>
      <c r="W49" s="22" t="s">
        <v>392</v>
      </c>
      <c r="X49" s="21" t="s">
        <v>392</v>
      </c>
      <c r="Y49" s="22"/>
      <c r="Z49" s="7"/>
      <c r="AA49" s="7"/>
      <c r="AB49" s="23"/>
      <c r="AC49" s="26"/>
    </row>
    <row r="50" spans="1:29" ht="15.75" customHeight="1">
      <c r="A50" s="10" t="s">
        <v>417</v>
      </c>
      <c r="B50" s="10" t="s">
        <v>27</v>
      </c>
      <c r="C50" s="11" t="s">
        <v>28</v>
      </c>
      <c r="D50" s="12"/>
      <c r="E50" s="13" t="s">
        <v>43</v>
      </c>
      <c r="F50" s="6" t="s">
        <v>401</v>
      </c>
      <c r="G50" s="14" t="str">
        <f ca="1">IFERROR(__xludf.DUMMYFUNCTION("CONCATENATE(B50,(VLOOKUP(C50,CATALOGOS!$F$2:$H$6,3,FALSE)),(VLOOKUP(V50,CATALOGOS!$J$2:$K$18,2,FALSE)),""-"",TO_TEXT(A50))"),"P05DA-0049")</f>
        <v>P05DA-0049</v>
      </c>
      <c r="H50" s="15" t="str">
        <f ca="1">IFERROR(__xludf.DUMMYFUNCTION("CONCATENATE($B50,(VLOOKUP($C50,CATALOGOS!$F$2:$H$6,3,FALSE)),(VLOOKUP($V50,CATALOGOS!$J$2:$K$18,2,FALSE)),""-"",TO_TEXT($A50))"),"P05DA-0049")</f>
        <v>P05DA-0049</v>
      </c>
      <c r="I50" s="6"/>
      <c r="J50" s="6" t="s">
        <v>418</v>
      </c>
      <c r="K50" s="6" t="s">
        <v>419</v>
      </c>
      <c r="L50" s="6" t="s">
        <v>420</v>
      </c>
      <c r="M50" s="6" t="s">
        <v>421</v>
      </c>
      <c r="N50" s="17"/>
      <c r="O50" s="17"/>
      <c r="P50" s="17" t="str">
        <f t="shared" si="6"/>
        <v>OK</v>
      </c>
      <c r="Q50" s="17" t="s">
        <v>406</v>
      </c>
      <c r="R50" s="6" t="s">
        <v>407</v>
      </c>
      <c r="S50" s="17" t="s">
        <v>422</v>
      </c>
      <c r="T50" s="35" t="s">
        <v>423</v>
      </c>
      <c r="U50" s="18" t="s">
        <v>38</v>
      </c>
      <c r="V50" s="19" t="s">
        <v>28</v>
      </c>
      <c r="W50" s="22" t="s">
        <v>392</v>
      </c>
      <c r="X50" s="21" t="s">
        <v>392</v>
      </c>
      <c r="Y50" s="22"/>
      <c r="Z50" s="7"/>
      <c r="AA50" s="7"/>
      <c r="AB50" s="23"/>
      <c r="AC50" s="26"/>
    </row>
    <row r="51" spans="1:29" ht="15.75" customHeight="1">
      <c r="A51" s="10" t="s">
        <v>424</v>
      </c>
      <c r="B51" s="10" t="s">
        <v>27</v>
      </c>
      <c r="C51" s="11" t="s">
        <v>28</v>
      </c>
      <c r="D51" s="12"/>
      <c r="E51" s="13" t="s">
        <v>425</v>
      </c>
      <c r="F51" s="43" t="s">
        <v>426</v>
      </c>
      <c r="G51" s="14" t="str">
        <f ca="1">IFERROR(__xludf.DUMMYFUNCTION("CONCATENATE(B51,(VLOOKUP(C51,CATALOGOS!$F$2:$H$6,3,FALSE)),(VLOOKUP(V51,CATALOGOS!$J$2:$K$18,2,FALSE)),""-"",TO_TEXT(A51))"),"P05DA-0050")</f>
        <v>P05DA-0050</v>
      </c>
      <c r="H51" s="15" t="str">
        <f ca="1">IFERROR(__xludf.DUMMYFUNCTION("CONCATENATE($B51,(VLOOKUP($C51,CATALOGOS!$F$2:$H$6,3,FALSE)),(VLOOKUP($V51,CATALOGOS!$J$2:$K$18,2,FALSE)),""-"",TO_TEXT($A51))"),"P05DA-0050")</f>
        <v>P05DA-0050</v>
      </c>
      <c r="I51" s="6"/>
      <c r="J51" s="6" t="s">
        <v>427</v>
      </c>
      <c r="K51" s="6" t="s">
        <v>428</v>
      </c>
      <c r="L51" s="6" t="s">
        <v>429</v>
      </c>
      <c r="M51" s="6" t="s">
        <v>430</v>
      </c>
      <c r="N51" s="17"/>
      <c r="O51" s="17"/>
      <c r="P51" s="17" t="str">
        <f t="shared" si="6"/>
        <v>OK</v>
      </c>
      <c r="Q51" s="17" t="s">
        <v>35</v>
      </c>
      <c r="R51" s="6" t="s">
        <v>35</v>
      </c>
      <c r="S51" s="17" t="s">
        <v>36</v>
      </c>
      <c r="T51" s="35" t="s">
        <v>431</v>
      </c>
      <c r="U51" s="18" t="s">
        <v>38</v>
      </c>
      <c r="V51" s="19" t="s">
        <v>28</v>
      </c>
      <c r="W51" s="22" t="s">
        <v>392</v>
      </c>
      <c r="X51" s="21" t="s">
        <v>392</v>
      </c>
      <c r="Y51" s="22"/>
      <c r="Z51" s="6"/>
      <c r="AA51" s="6" t="s">
        <v>432</v>
      </c>
      <c r="AB51" s="23"/>
      <c r="AC51" s="26"/>
    </row>
    <row r="52" spans="1:29" ht="15.75" customHeight="1">
      <c r="A52" s="10" t="s">
        <v>433</v>
      </c>
      <c r="B52" s="10" t="s">
        <v>27</v>
      </c>
      <c r="C52" s="11" t="s">
        <v>28</v>
      </c>
      <c r="D52" s="12"/>
      <c r="E52" s="13" t="s">
        <v>378</v>
      </c>
      <c r="F52" s="43" t="s">
        <v>434</v>
      </c>
      <c r="G52" s="47" t="str">
        <f ca="1">IFERROR(__xludf.DUMMYFUNCTION("CONCATENATE(B52,(VLOOKUP(C52,CATALOGOS!$F$2:$H$6,3,FALSE)),(VLOOKUP(V52,CATALOGOS!$J$2:$K$18,2,FALSE)),""-"",TO_TEXT(A52))"),"P05RM-0051")</f>
        <v>P05RM-0051</v>
      </c>
      <c r="H52" s="15" t="str">
        <f ca="1">IFERROR(__xludf.DUMMYFUNCTION("CONCATENATE($B52,(VLOOKUP($C52,CATALOGOS!$F$2:$H$6,3,FALSE)),(VLOOKUP($V52,CATALOGOS!$J$2:$K$18,2,FALSE)),""-"",TO_TEXT($A52))"),"P05RM-0051")</f>
        <v>P05RM-0051</v>
      </c>
      <c r="I52" s="6"/>
      <c r="J52" s="6" t="s">
        <v>435</v>
      </c>
      <c r="K52" s="6" t="s">
        <v>436</v>
      </c>
      <c r="L52" s="6" t="s">
        <v>437</v>
      </c>
      <c r="M52" s="6" t="s">
        <v>438</v>
      </c>
      <c r="N52" s="17"/>
      <c r="O52" s="17"/>
      <c r="P52" s="17" t="str">
        <f t="shared" si="6"/>
        <v>OK</v>
      </c>
      <c r="Q52" s="35" t="s">
        <v>35</v>
      </c>
      <c r="R52" s="6" t="s">
        <v>35</v>
      </c>
      <c r="S52" s="17" t="s">
        <v>36</v>
      </c>
      <c r="T52" s="35" t="s">
        <v>439</v>
      </c>
      <c r="U52" s="18" t="s">
        <v>100</v>
      </c>
      <c r="V52" s="19" t="s">
        <v>147</v>
      </c>
      <c r="W52" s="20" t="s">
        <v>385</v>
      </c>
      <c r="X52" s="21" t="s">
        <v>392</v>
      </c>
      <c r="Y52" s="40" t="s">
        <v>261</v>
      </c>
      <c r="Z52" s="6"/>
      <c r="AA52" s="6" t="s">
        <v>440</v>
      </c>
      <c r="AB52" s="23"/>
      <c r="AC52" s="26"/>
    </row>
    <row r="53" spans="1:29" ht="15.75" customHeight="1">
      <c r="A53" s="10" t="s">
        <v>441</v>
      </c>
      <c r="B53" s="10" t="s">
        <v>27</v>
      </c>
      <c r="C53" s="11" t="s">
        <v>28</v>
      </c>
      <c r="D53" s="12"/>
      <c r="E53" s="13" t="s">
        <v>93</v>
      </c>
      <c r="F53" s="43" t="s">
        <v>442</v>
      </c>
      <c r="G53" s="14" t="str">
        <f ca="1">IFERROR(__xludf.DUMMYFUNCTION("CONCATENATE(B53,(VLOOKUP(C53,CATALOGOS!$F$2:$H$6,3,FALSE)),(VLOOKUP(V53,CATALOGOS!$J$2:$K$18,2,FALSE)),""-"",TO_TEXT(A53))"),"P05DA-0052")</f>
        <v>P05DA-0052</v>
      </c>
      <c r="H53" s="15" t="str">
        <f ca="1">IFERROR(__xludf.DUMMYFUNCTION("CONCATENATE($B53,(VLOOKUP($C53,CATALOGOS!$F$2:$H$6,3,FALSE)),(VLOOKUP($V53,CATALOGOS!$J$2:$K$18,2,FALSE)),""-"",TO_TEXT($A53))"),"P05DA-0052")</f>
        <v>P05DA-0052</v>
      </c>
      <c r="I53" s="6"/>
      <c r="J53" s="6" t="s">
        <v>443</v>
      </c>
      <c r="K53" s="6" t="s">
        <v>444</v>
      </c>
      <c r="L53" s="6" t="s">
        <v>445</v>
      </c>
      <c r="M53" s="6" t="s">
        <v>446</v>
      </c>
      <c r="N53" s="17"/>
      <c r="O53" s="17"/>
      <c r="P53" s="17" t="str">
        <f t="shared" si="6"/>
        <v>OK</v>
      </c>
      <c r="Q53" s="17" t="s">
        <v>35</v>
      </c>
      <c r="R53" s="6" t="s">
        <v>35</v>
      </c>
      <c r="S53" s="17" t="s">
        <v>36</v>
      </c>
      <c r="T53" s="35" t="s">
        <v>447</v>
      </c>
      <c r="U53" s="18" t="s">
        <v>38</v>
      </c>
      <c r="V53" s="19" t="s">
        <v>28</v>
      </c>
      <c r="W53" s="22" t="s">
        <v>392</v>
      </c>
      <c r="X53" s="21" t="s">
        <v>392</v>
      </c>
      <c r="Y53" s="22"/>
      <c r="Z53" s="6"/>
      <c r="AA53" s="6" t="s">
        <v>432</v>
      </c>
      <c r="AB53" s="23"/>
      <c r="AC53" s="26"/>
    </row>
    <row r="54" spans="1:29" ht="15.75" customHeight="1">
      <c r="A54" s="10" t="s">
        <v>448</v>
      </c>
      <c r="B54" s="10" t="s">
        <v>27</v>
      </c>
      <c r="C54" s="11" t="s">
        <v>28</v>
      </c>
      <c r="D54" s="12"/>
      <c r="E54" s="13" t="s">
        <v>184</v>
      </c>
      <c r="F54" s="6" t="s">
        <v>449</v>
      </c>
      <c r="G54" s="14" t="str">
        <f ca="1">IFERROR(__xludf.DUMMYFUNCTION("CONCATENATE(B54,(VLOOKUP(C54,CATALOGOS!$F$2:$H$6,3,FALSE)),(VLOOKUP(V54,CATALOGOS!$J$2:$K$18,2,FALSE)),""-"",TO_TEXT(A54))"),"P05DA-0053")</f>
        <v>P05DA-0053</v>
      </c>
      <c r="H54" s="15" t="str">
        <f ca="1">IFERROR(__xludf.DUMMYFUNCTION("CONCATENATE($B54,(VLOOKUP($C54,CATALOGOS!$F$2:$H$6,3,FALSE)),(VLOOKUP($V54,CATALOGOS!$J$2:$K$18,2,FALSE)),""-"",TO_TEXT($A54))"),"P05DA-0053")</f>
        <v>P05DA-0053</v>
      </c>
      <c r="I54" s="6"/>
      <c r="J54" s="6" t="s">
        <v>450</v>
      </c>
      <c r="K54" s="6" t="s">
        <v>451</v>
      </c>
      <c r="L54" s="6" t="s">
        <v>452</v>
      </c>
      <c r="M54" s="6" t="s">
        <v>453</v>
      </c>
      <c r="N54" s="17"/>
      <c r="O54" s="17"/>
      <c r="P54" s="17" t="str">
        <f t="shared" si="6"/>
        <v>OK</v>
      </c>
      <c r="Q54" s="17" t="s">
        <v>35</v>
      </c>
      <c r="R54" s="6" t="s">
        <v>35</v>
      </c>
      <c r="S54" s="17" t="s">
        <v>36</v>
      </c>
      <c r="T54" s="35" t="s">
        <v>454</v>
      </c>
      <c r="U54" s="18" t="s">
        <v>38</v>
      </c>
      <c r="V54" s="19" t="s">
        <v>28</v>
      </c>
      <c r="W54" s="22" t="s">
        <v>392</v>
      </c>
      <c r="X54" s="21" t="s">
        <v>392</v>
      </c>
      <c r="Y54" s="20" t="s">
        <v>455</v>
      </c>
      <c r="Z54" s="7"/>
      <c r="AA54" s="7"/>
      <c r="AB54" s="23"/>
      <c r="AC54" s="26"/>
    </row>
    <row r="55" spans="1:29" ht="15.75" customHeight="1">
      <c r="A55" s="10" t="s">
        <v>456</v>
      </c>
      <c r="B55" s="10" t="s">
        <v>27</v>
      </c>
      <c r="C55" s="11" t="s">
        <v>28</v>
      </c>
      <c r="D55" s="12"/>
      <c r="E55" s="13" t="s">
        <v>43</v>
      </c>
      <c r="F55" s="43" t="s">
        <v>457</v>
      </c>
      <c r="G55" s="14" t="str">
        <f ca="1">IFERROR(__xludf.DUMMYFUNCTION("CONCATENATE(B55,(VLOOKUP(C55,CATALOGOS!$F$2:$H$6,3,FALSE)),(VLOOKUP(V55,CATALOGOS!$J$2:$K$18,2,FALSE)),""-"",TO_TEXT(A55))"),"P05DA-0054")</f>
        <v>P05DA-0054</v>
      </c>
      <c r="H55" s="15" t="str">
        <f ca="1">IFERROR(__xludf.DUMMYFUNCTION("CONCATENATE($B55,(VLOOKUP($C55,CATALOGOS!$F$2:$H$6,3,FALSE)),(VLOOKUP($V55,CATALOGOS!$J$2:$K$18,2,FALSE)),""-"",TO_TEXT($A55))"),"P05DA-0054")</f>
        <v>P05DA-0054</v>
      </c>
      <c r="I55" s="6"/>
      <c r="J55" s="6" t="s">
        <v>458</v>
      </c>
      <c r="K55" s="6" t="s">
        <v>459</v>
      </c>
      <c r="L55" s="6" t="s">
        <v>460</v>
      </c>
      <c r="M55" s="6" t="s">
        <v>461</v>
      </c>
      <c r="N55" s="17"/>
      <c r="O55" s="17"/>
      <c r="P55" s="17" t="str">
        <f t="shared" si="6"/>
        <v>OK</v>
      </c>
      <c r="Q55" s="17" t="s">
        <v>462</v>
      </c>
      <c r="R55" s="6" t="s">
        <v>35</v>
      </c>
      <c r="S55" s="17" t="s">
        <v>463</v>
      </c>
      <c r="T55" s="35" t="s">
        <v>464</v>
      </c>
      <c r="U55" s="18" t="s">
        <v>38</v>
      </c>
      <c r="V55" s="19" t="s">
        <v>28</v>
      </c>
      <c r="W55" s="22" t="s">
        <v>392</v>
      </c>
      <c r="X55" s="21" t="s">
        <v>392</v>
      </c>
      <c r="Y55" s="22"/>
      <c r="Z55" s="6"/>
      <c r="AA55" s="6" t="s">
        <v>432</v>
      </c>
      <c r="AB55" s="23"/>
      <c r="AC55" s="26"/>
    </row>
    <row r="56" spans="1:29" ht="15.75" customHeight="1">
      <c r="A56" s="10" t="s">
        <v>465</v>
      </c>
      <c r="B56" s="10" t="s">
        <v>27</v>
      </c>
      <c r="C56" s="11" t="s">
        <v>28</v>
      </c>
      <c r="D56" s="12"/>
      <c r="E56" s="13" t="s">
        <v>466</v>
      </c>
      <c r="F56" s="6" t="s">
        <v>467</v>
      </c>
      <c r="G56" s="14" t="str">
        <f ca="1">IFERROR(__xludf.DUMMYFUNCTION("CONCATENATE(B56,(VLOOKUP(C56,CATALOGOS!$F$2:$H$6,3,FALSE)),(VLOOKUP(V56,CATALOGOS!$J$2:$K$18,2,FALSE)),""-"",TO_TEXT(A56))"),"P05DA-0055")</f>
        <v>P05DA-0055</v>
      </c>
      <c r="H56" s="15" t="str">
        <f ca="1">IFERROR(__xludf.DUMMYFUNCTION("CONCATENATE($B56,(VLOOKUP($C56,CATALOGOS!$F$2:$H$6,3,FALSE)),(VLOOKUP($V56,CATALOGOS!$J$2:$K$18,2,FALSE)),""-"",TO_TEXT($A56))"),"P05DA-0055")</f>
        <v>P05DA-0055</v>
      </c>
      <c r="I56" s="6"/>
      <c r="J56" s="6" t="s">
        <v>468</v>
      </c>
      <c r="K56" s="6" t="s">
        <v>469</v>
      </c>
      <c r="L56" s="6" t="s">
        <v>470</v>
      </c>
      <c r="M56" s="6" t="s">
        <v>471</v>
      </c>
      <c r="N56" s="17"/>
      <c r="O56" s="17"/>
      <c r="P56" s="17" t="str">
        <f t="shared" si="6"/>
        <v>OK</v>
      </c>
      <c r="Q56" s="17" t="s">
        <v>35</v>
      </c>
      <c r="R56" s="6" t="s">
        <v>35</v>
      </c>
      <c r="S56" s="17" t="s">
        <v>36</v>
      </c>
      <c r="T56" s="35" t="s">
        <v>472</v>
      </c>
      <c r="U56" s="18" t="s">
        <v>38</v>
      </c>
      <c r="V56" s="19" t="s">
        <v>28</v>
      </c>
      <c r="W56" s="22" t="s">
        <v>392</v>
      </c>
      <c r="X56" s="21" t="s">
        <v>392</v>
      </c>
      <c r="Y56" s="22"/>
      <c r="Z56" s="7"/>
      <c r="AA56" s="7"/>
      <c r="AB56" s="23"/>
      <c r="AC56" s="26"/>
    </row>
    <row r="57" spans="1:29" ht="15.75" customHeight="1">
      <c r="A57" s="10" t="s">
        <v>473</v>
      </c>
      <c r="B57" s="10" t="s">
        <v>474</v>
      </c>
      <c r="C57" s="11" t="s">
        <v>28</v>
      </c>
      <c r="D57" s="12"/>
      <c r="E57" s="13" t="s">
        <v>353</v>
      </c>
      <c r="F57" s="43" t="s">
        <v>475</v>
      </c>
      <c r="G57" s="14" t="str">
        <f ca="1">IFERROR(__xludf.DUMMYFUNCTION("CONCATENATE(B57,(VLOOKUP(C57,CATALOGOS!$F$2:$H$6,3,FALSE)),(VLOOKUP(V57,CATALOGOS!$J$2:$K$18,2,FALSE)),""-"",TO_TEXT(A57))"),"P35RM-0056")</f>
        <v>P35RM-0056</v>
      </c>
      <c r="H57" s="15" t="str">
        <f ca="1">IFERROR(__xludf.DUMMYFUNCTION("CONCATENATE($B57,(VLOOKUP($C57,CATALOGOS!$F$2:$H$6,3,FALSE)),(VLOOKUP($V57,CATALOGOS!$J$2:$K$18,2,FALSE)),""-"",TO_TEXT($A57))"),"P35RM-0056")</f>
        <v>P35RM-0056</v>
      </c>
      <c r="I57" s="6"/>
      <c r="J57" s="6" t="s">
        <v>476</v>
      </c>
      <c r="K57" s="6" t="s">
        <v>477</v>
      </c>
      <c r="L57" s="6" t="s">
        <v>478</v>
      </c>
      <c r="M57" s="43" t="s">
        <v>479</v>
      </c>
      <c r="N57" s="17"/>
      <c r="O57" s="17"/>
      <c r="P57" s="17" t="str">
        <f t="shared" si="6"/>
        <v>OK</v>
      </c>
      <c r="Q57" s="17" t="s">
        <v>480</v>
      </c>
      <c r="R57" s="6">
        <v>1300</v>
      </c>
      <c r="S57" s="17" t="s">
        <v>481</v>
      </c>
      <c r="T57" s="35" t="s">
        <v>482</v>
      </c>
      <c r="U57" s="18" t="s">
        <v>100</v>
      </c>
      <c r="V57" s="19" t="s">
        <v>147</v>
      </c>
      <c r="W57" s="20" t="s">
        <v>483</v>
      </c>
      <c r="X57" s="39" t="s">
        <v>484</v>
      </c>
      <c r="Y57" s="20"/>
      <c r="Z57" s="7"/>
      <c r="AA57" s="7"/>
      <c r="AB57" s="23"/>
      <c r="AC57" s="26"/>
    </row>
    <row r="58" spans="1:29" ht="15.75" customHeight="1">
      <c r="A58" s="10" t="s">
        <v>485</v>
      </c>
      <c r="B58" s="10" t="s">
        <v>27</v>
      </c>
      <c r="C58" s="11" t="s">
        <v>28</v>
      </c>
      <c r="D58" s="12"/>
      <c r="E58" s="13" t="s">
        <v>93</v>
      </c>
      <c r="F58" s="48" t="s">
        <v>486</v>
      </c>
      <c r="G58" s="14" t="str">
        <f ca="1">IFERROR(__xludf.DUMMYFUNCTION("CONCATENATE(B58,(VLOOKUP(C58,CATALOGOS!$F$2:$H$6,3,FALSE)),(VLOOKUP(V58,CATALOGOS!$J$2:$K$18,2,FALSE)),""-"",TO_TEXT(A58))"),"P05RM-0057")</f>
        <v>P05RM-0057</v>
      </c>
      <c r="H58" s="15" t="str">
        <f ca="1">IFERROR(__xludf.DUMMYFUNCTION("CONCATENATE($B58,(VLOOKUP($C58,CATALOGOS!$F$2:$H$6,3,FALSE)),(VLOOKUP($V58,CATALOGOS!$J$2:$K$18,2,FALSE)),""-"",TO_TEXT($A58))"),"P05RM-0057")</f>
        <v>P05RM-0057</v>
      </c>
      <c r="I58" s="6"/>
      <c r="J58" s="6" t="s">
        <v>487</v>
      </c>
      <c r="K58" s="6" t="s">
        <v>488</v>
      </c>
      <c r="L58" s="6" t="s">
        <v>489</v>
      </c>
      <c r="M58" s="6" t="s">
        <v>490</v>
      </c>
      <c r="N58" s="17"/>
      <c r="O58" s="17"/>
      <c r="P58" s="17" t="str">
        <f t="shared" si="6"/>
        <v>OK</v>
      </c>
      <c r="Q58" s="17" t="s">
        <v>35</v>
      </c>
      <c r="R58" s="6" t="s">
        <v>35</v>
      </c>
      <c r="S58" s="17" t="s">
        <v>36</v>
      </c>
      <c r="T58" s="35" t="s">
        <v>491</v>
      </c>
      <c r="U58" s="18" t="s">
        <v>38</v>
      </c>
      <c r="V58" s="19" t="s">
        <v>147</v>
      </c>
      <c r="W58" s="20" t="s">
        <v>492</v>
      </c>
      <c r="X58" s="39" t="s">
        <v>493</v>
      </c>
      <c r="Y58" s="20"/>
      <c r="Z58" s="7"/>
      <c r="AA58" s="7"/>
      <c r="AB58" s="23"/>
      <c r="AC58" s="26"/>
    </row>
    <row r="59" spans="1:29" ht="15.75" customHeight="1">
      <c r="A59" s="10" t="s">
        <v>494</v>
      </c>
      <c r="B59" s="10" t="s">
        <v>27</v>
      </c>
      <c r="C59" s="11" t="s">
        <v>28</v>
      </c>
      <c r="D59" s="12"/>
      <c r="E59" s="13" t="s">
        <v>425</v>
      </c>
      <c r="F59" s="43" t="s">
        <v>426</v>
      </c>
      <c r="G59" s="14" t="str">
        <f ca="1">IFERROR(__xludf.DUMMYFUNCTION("CONCATENATE(B59,(VLOOKUP(C59,CATALOGOS!$F$2:$H$6,3,FALSE)),(VLOOKUP(V59,CATALOGOS!$J$2:$K$18,2,FALSE)),""-"",TO_TEXT(A59))"),"P05DA-0058")</f>
        <v>P05DA-0058</v>
      </c>
      <c r="H59" s="15" t="str">
        <f ca="1">IFERROR(__xludf.DUMMYFUNCTION("CONCATENATE($B59,(VLOOKUP($C59,CATALOGOS!$F$2:$H$6,3,FALSE)),(VLOOKUP($V59,CATALOGOS!$J$2:$K$18,2,FALSE)),""-"",TO_TEXT($A59))"),"P05DA-0058")</f>
        <v>P05DA-0058</v>
      </c>
      <c r="I59" s="6"/>
      <c r="J59" s="6" t="s">
        <v>495</v>
      </c>
      <c r="K59" s="6" t="s">
        <v>496</v>
      </c>
      <c r="L59" s="6" t="s">
        <v>497</v>
      </c>
      <c r="M59" s="6" t="s">
        <v>498</v>
      </c>
      <c r="N59" s="17"/>
      <c r="O59" s="17"/>
      <c r="P59" s="17" t="str">
        <f t="shared" si="6"/>
        <v>OK</v>
      </c>
      <c r="Q59" s="17" t="s">
        <v>35</v>
      </c>
      <c r="R59" s="6" t="s">
        <v>35</v>
      </c>
      <c r="S59" s="17" t="s">
        <v>36</v>
      </c>
      <c r="T59" s="35" t="s">
        <v>499</v>
      </c>
      <c r="U59" s="18" t="s">
        <v>38</v>
      </c>
      <c r="V59" s="19" t="s">
        <v>28</v>
      </c>
      <c r="W59" s="22" t="s">
        <v>392</v>
      </c>
      <c r="X59" s="21" t="s">
        <v>392</v>
      </c>
      <c r="Y59" s="22"/>
      <c r="Z59" s="7"/>
      <c r="AA59" s="7"/>
      <c r="AB59" s="23"/>
      <c r="AC59" s="26"/>
    </row>
    <row r="60" spans="1:29" ht="15.75" customHeight="1">
      <c r="A60" s="10" t="s">
        <v>500</v>
      </c>
      <c r="B60" s="10" t="s">
        <v>27</v>
      </c>
      <c r="C60" s="11" t="s">
        <v>28</v>
      </c>
      <c r="D60" s="12"/>
      <c r="E60" s="13" t="s">
        <v>501</v>
      </c>
      <c r="F60" s="6" t="s">
        <v>502</v>
      </c>
      <c r="G60" s="14" t="str">
        <f ca="1">IFERROR(__xludf.DUMMYFUNCTION("CONCATENATE(B60,(VLOOKUP(C60,CATALOGOS!$F$2:$H$6,3,FALSE)),(VLOOKUP(V60,CATALOGOS!$J$2:$K$18,2,FALSE)),""-"",TO_TEXT(A60))"),"P05RM-0059")</f>
        <v>P05RM-0059</v>
      </c>
      <c r="H60" s="15" t="str">
        <f ca="1">IFERROR(__xludf.DUMMYFUNCTION("CONCATENATE($B60,(VLOOKUP($C60,CATALOGOS!$F$2:$H$6,3,FALSE)),(VLOOKUP($V60,CATALOGOS!$J$2:$K$18,2,FALSE)),""-"",TO_TEXT($A60))"),"P05RM-0059")</f>
        <v>P05RM-0059</v>
      </c>
      <c r="I60" s="6"/>
      <c r="J60" s="6" t="s">
        <v>503</v>
      </c>
      <c r="K60" s="6" t="s">
        <v>504</v>
      </c>
      <c r="L60" s="6" t="s">
        <v>505</v>
      </c>
      <c r="M60" s="6" t="s">
        <v>506</v>
      </c>
      <c r="N60" s="17"/>
      <c r="O60" s="17"/>
      <c r="P60" s="17" t="str">
        <f t="shared" si="6"/>
        <v>OK</v>
      </c>
      <c r="Q60" s="17" t="s">
        <v>35</v>
      </c>
      <c r="R60" s="6" t="s">
        <v>35</v>
      </c>
      <c r="S60" s="17" t="s">
        <v>36</v>
      </c>
      <c r="T60" s="35" t="s">
        <v>507</v>
      </c>
      <c r="U60" s="18" t="s">
        <v>38</v>
      </c>
      <c r="V60" s="19" t="s">
        <v>147</v>
      </c>
      <c r="W60" s="20" t="s">
        <v>492</v>
      </c>
      <c r="X60" s="39" t="s">
        <v>508</v>
      </c>
      <c r="Y60" s="20"/>
      <c r="Z60" s="6"/>
      <c r="AA60" s="6" t="s">
        <v>509</v>
      </c>
      <c r="AB60" s="23"/>
      <c r="AC60" s="26"/>
    </row>
    <row r="61" spans="1:29" ht="15.75" customHeight="1">
      <c r="A61" s="10" t="s">
        <v>510</v>
      </c>
      <c r="B61" s="10" t="s">
        <v>474</v>
      </c>
      <c r="C61" s="11" t="s">
        <v>28</v>
      </c>
      <c r="D61" s="12"/>
      <c r="E61" s="13" t="s">
        <v>378</v>
      </c>
      <c r="F61" s="43" t="s">
        <v>511</v>
      </c>
      <c r="G61" s="14" t="str">
        <f ca="1">IFERROR(__xludf.DUMMYFUNCTION("CONCATENATE(B61,(VLOOKUP(C61,CATALOGOS!$F$2:$H$6,3,FALSE)),(VLOOKUP(V61,CATALOGOS!$J$2:$K$18,2,FALSE)),""-"",TO_TEXT(A61))"),"P35DA-0060")</f>
        <v>P35DA-0060</v>
      </c>
      <c r="H61" s="15" t="str">
        <f ca="1">IFERROR(__xludf.DUMMYFUNCTION("CONCATENATE($B61,(VLOOKUP($C61,CATALOGOS!$F$2:$H$6,3,FALSE)),(VLOOKUP($V61,CATALOGOS!$J$2:$K$18,2,FALSE)),""-"",TO_TEXT($A61))"),"P35DA-0060")</f>
        <v>P35DA-0060</v>
      </c>
      <c r="I61" s="6"/>
      <c r="J61" s="6" t="s">
        <v>512</v>
      </c>
      <c r="K61" s="6" t="s">
        <v>513</v>
      </c>
      <c r="L61" s="6" t="s">
        <v>514</v>
      </c>
      <c r="M61" s="6" t="s">
        <v>515</v>
      </c>
      <c r="N61" s="17"/>
      <c r="O61" s="17"/>
      <c r="P61" s="17" t="str">
        <f t="shared" si="6"/>
        <v>OK</v>
      </c>
      <c r="Q61" s="17" t="s">
        <v>35</v>
      </c>
      <c r="R61" s="6" t="s">
        <v>35</v>
      </c>
      <c r="S61" s="17" t="s">
        <v>36</v>
      </c>
      <c r="T61" s="17" t="s">
        <v>516</v>
      </c>
      <c r="U61" s="18" t="s">
        <v>517</v>
      </c>
      <c r="V61" s="19" t="s">
        <v>28</v>
      </c>
      <c r="W61" s="22" t="s">
        <v>392</v>
      </c>
      <c r="X61" s="21" t="s">
        <v>392</v>
      </c>
      <c r="Y61" s="40" t="s">
        <v>261</v>
      </c>
      <c r="Z61" s="6"/>
      <c r="AA61" s="6" t="s">
        <v>518</v>
      </c>
      <c r="AB61" s="23"/>
      <c r="AC61" s="26"/>
    </row>
    <row r="62" spans="1:29" ht="15.75" customHeight="1">
      <c r="A62" s="10" t="s">
        <v>519</v>
      </c>
      <c r="B62" s="10" t="s">
        <v>27</v>
      </c>
      <c r="C62" s="11" t="s">
        <v>28</v>
      </c>
      <c r="D62" s="12"/>
      <c r="E62" s="13" t="s">
        <v>378</v>
      </c>
      <c r="F62" s="6" t="s">
        <v>520</v>
      </c>
      <c r="G62" s="14" t="str">
        <f ca="1">IFERROR(__xludf.DUMMYFUNCTION("CONCATENATE(B62,(VLOOKUP(C62,CATALOGOS!$F$2:$H$6,3,FALSE)),(VLOOKUP(V62,CATALOGOS!$J$2:$K$18,2,FALSE)),""-"",TO_TEXT(A62))"),"P05RM-0061")</f>
        <v>P05RM-0061</v>
      </c>
      <c r="H62" s="15" t="str">
        <f ca="1">IFERROR(__xludf.DUMMYFUNCTION("CONCATENATE($B62,(VLOOKUP($C62,CATALOGOS!$F$2:$H$6,3,FALSE)),(VLOOKUP($V62,CATALOGOS!$J$2:$K$18,2,FALSE)),""-"",TO_TEXT($A62))"),"P05RM-0061")</f>
        <v>P05RM-0061</v>
      </c>
      <c r="I62" s="6"/>
      <c r="J62" s="6" t="s">
        <v>521</v>
      </c>
      <c r="K62" s="6" t="s">
        <v>522</v>
      </c>
      <c r="L62" s="6" t="s">
        <v>523</v>
      </c>
      <c r="M62" s="6" t="s">
        <v>524</v>
      </c>
      <c r="N62" s="17"/>
      <c r="O62" s="17"/>
      <c r="P62" s="17" t="str">
        <f t="shared" si="6"/>
        <v>OK</v>
      </c>
      <c r="Q62" s="17" t="s">
        <v>35</v>
      </c>
      <c r="R62" s="6" t="s">
        <v>35</v>
      </c>
      <c r="S62" s="17" t="s">
        <v>36</v>
      </c>
      <c r="T62" s="17" t="s">
        <v>525</v>
      </c>
      <c r="U62" s="18" t="s">
        <v>100</v>
      </c>
      <c r="V62" s="19" t="s">
        <v>147</v>
      </c>
      <c r="W62" s="20" t="s">
        <v>385</v>
      </c>
      <c r="X62" s="21" t="s">
        <v>392</v>
      </c>
      <c r="Y62" s="40" t="s">
        <v>261</v>
      </c>
      <c r="Z62" s="6"/>
      <c r="AA62" s="6" t="s">
        <v>526</v>
      </c>
      <c r="AB62" s="23"/>
      <c r="AC62" s="26"/>
    </row>
    <row r="63" spans="1:29" ht="15.75" customHeight="1">
      <c r="A63" s="10" t="s">
        <v>527</v>
      </c>
      <c r="B63" s="10" t="s">
        <v>27</v>
      </c>
      <c r="C63" s="11" t="s">
        <v>28</v>
      </c>
      <c r="D63" s="12"/>
      <c r="E63" s="13" t="s">
        <v>93</v>
      </c>
      <c r="F63" s="6" t="s">
        <v>528</v>
      </c>
      <c r="G63" s="14" t="str">
        <f ca="1">IFERROR(__xludf.DUMMYFUNCTION("CONCATENATE(B63,(VLOOKUP(C63,CATALOGOS!$F$2:$H$6,3,FALSE)),(VLOOKUP(V63,CATALOGOS!$J$2:$K$18,2,FALSE)),""-"",TO_TEXT(A63))"),"P05DA-0062")</f>
        <v>P05DA-0062</v>
      </c>
      <c r="H63" s="15" t="str">
        <f ca="1">IFERROR(__xludf.DUMMYFUNCTION("CONCATENATE($B63,(VLOOKUP($C63,CATALOGOS!$F$2:$H$6,3,FALSE)),(VLOOKUP($V63,CATALOGOS!$J$2:$K$18,2,FALSE)),""-"",TO_TEXT($A63))"),"P05DA-0062")</f>
        <v>P05DA-0062</v>
      </c>
      <c r="I63" s="6"/>
      <c r="J63" s="6" t="s">
        <v>529</v>
      </c>
      <c r="K63" s="6" t="s">
        <v>530</v>
      </c>
      <c r="L63" s="6" t="s">
        <v>531</v>
      </c>
      <c r="M63" s="6" t="s">
        <v>532</v>
      </c>
      <c r="N63" s="17"/>
      <c r="O63" s="17"/>
      <c r="P63" s="17" t="str">
        <f t="shared" si="6"/>
        <v>OK</v>
      </c>
      <c r="Q63" s="17" t="s">
        <v>35</v>
      </c>
      <c r="R63" s="6" t="s">
        <v>35</v>
      </c>
      <c r="S63" s="17" t="s">
        <v>36</v>
      </c>
      <c r="T63" s="17" t="s">
        <v>533</v>
      </c>
      <c r="U63" s="18" t="s">
        <v>38</v>
      </c>
      <c r="V63" s="19" t="s">
        <v>28</v>
      </c>
      <c r="W63" s="22" t="s">
        <v>392</v>
      </c>
      <c r="X63" s="21" t="s">
        <v>392</v>
      </c>
      <c r="Y63" s="22"/>
      <c r="Z63" s="6"/>
      <c r="AA63" s="6"/>
      <c r="AB63" s="23"/>
      <c r="AC63" s="26"/>
    </row>
    <row r="64" spans="1:29" ht="15.75" customHeight="1">
      <c r="A64" s="10" t="s">
        <v>534</v>
      </c>
      <c r="B64" s="10" t="s">
        <v>474</v>
      </c>
      <c r="C64" s="11" t="s">
        <v>28</v>
      </c>
      <c r="D64" s="12"/>
      <c r="E64" s="13" t="s">
        <v>378</v>
      </c>
      <c r="F64" s="6" t="s">
        <v>535</v>
      </c>
      <c r="G64" s="14" t="str">
        <f ca="1">IFERROR(__xludf.DUMMYFUNCTION("CONCATENATE(B64,(VLOOKUP(C64,CATALOGOS!$F$2:$H$6,3,FALSE)),(VLOOKUP(V64,CATALOGOS!$J$2:$K$18,2,FALSE)),""-"",TO_TEXT(A64))"),"P35DA-0063")</f>
        <v>P35DA-0063</v>
      </c>
      <c r="H64" s="15" t="str">
        <f ca="1">IFERROR(__xludf.DUMMYFUNCTION("CONCATENATE($B64,(VLOOKUP($C64,CATALOGOS!$F$2:$H$6,3,FALSE)),(VLOOKUP($V64,CATALOGOS!$J$2:$K$18,2,FALSE)),""-"",TO_TEXT($A64))"),"P35DA-0063")</f>
        <v>P35DA-0063</v>
      </c>
      <c r="I64" s="6"/>
      <c r="J64" s="6" t="s">
        <v>536</v>
      </c>
      <c r="K64" s="6" t="s">
        <v>537</v>
      </c>
      <c r="L64" s="6" t="s">
        <v>538</v>
      </c>
      <c r="M64" s="6" t="s">
        <v>539</v>
      </c>
      <c r="N64" s="17"/>
      <c r="O64" s="17"/>
      <c r="P64" s="17" t="str">
        <f t="shared" si="6"/>
        <v>OK</v>
      </c>
      <c r="Q64" s="17" t="s">
        <v>35</v>
      </c>
      <c r="R64" s="6" t="s">
        <v>35</v>
      </c>
      <c r="S64" s="17" t="s">
        <v>36</v>
      </c>
      <c r="T64" s="17" t="s">
        <v>540</v>
      </c>
      <c r="U64" s="18" t="s">
        <v>38</v>
      </c>
      <c r="V64" s="19" t="s">
        <v>28</v>
      </c>
      <c r="W64" s="22" t="s">
        <v>392</v>
      </c>
      <c r="X64" s="21" t="s">
        <v>392</v>
      </c>
      <c r="Y64" s="22"/>
      <c r="Z64" s="6"/>
      <c r="AA64" s="6" t="s">
        <v>541</v>
      </c>
      <c r="AB64" s="23"/>
      <c r="AC64" s="26"/>
    </row>
    <row r="65" spans="1:29" ht="15.75" customHeight="1">
      <c r="A65" s="10" t="s">
        <v>542</v>
      </c>
      <c r="B65" s="10" t="s">
        <v>27</v>
      </c>
      <c r="C65" s="11" t="s">
        <v>28</v>
      </c>
      <c r="D65" s="12"/>
      <c r="E65" s="13" t="s">
        <v>93</v>
      </c>
      <c r="F65" s="6" t="s">
        <v>543</v>
      </c>
      <c r="G65" s="14" t="str">
        <f ca="1">IFERROR(__xludf.DUMMYFUNCTION("CONCATENATE(B65,(VLOOKUP(C65,CATALOGOS!$F$2:$H$6,3,FALSE)),(VLOOKUP(V65,CATALOGOS!$J$2:$K$18,2,FALSE)),""-"",TO_TEXT(A65))"),"P05DA-0064")</f>
        <v>P05DA-0064</v>
      </c>
      <c r="H65" s="15" t="str">
        <f ca="1">IFERROR(__xludf.DUMMYFUNCTION("CONCATENATE($B65,(VLOOKUP($C65,CATALOGOS!$F$2:$H$6,3,FALSE)),(VLOOKUP($V65,CATALOGOS!$J$2:$K$18,2,FALSE)),""-"",TO_TEXT($A65))"),"P05DA-0064")</f>
        <v>P05DA-0064</v>
      </c>
      <c r="I65" s="6"/>
      <c r="J65" s="6" t="s">
        <v>544</v>
      </c>
      <c r="K65" s="6" t="s">
        <v>545</v>
      </c>
      <c r="L65" s="6" t="s">
        <v>546</v>
      </c>
      <c r="M65" s="6" t="s">
        <v>547</v>
      </c>
      <c r="N65" s="17"/>
      <c r="O65" s="17"/>
      <c r="P65" s="17" t="str">
        <f t="shared" si="6"/>
        <v>OK</v>
      </c>
      <c r="Q65" s="17" t="s">
        <v>35</v>
      </c>
      <c r="R65" s="6" t="s">
        <v>35</v>
      </c>
      <c r="S65" s="17" t="s">
        <v>36</v>
      </c>
      <c r="T65" s="17" t="s">
        <v>548</v>
      </c>
      <c r="U65" s="18" t="s">
        <v>549</v>
      </c>
      <c r="V65" s="19" t="s">
        <v>28</v>
      </c>
      <c r="W65" s="22" t="s">
        <v>392</v>
      </c>
      <c r="X65" s="21" t="s">
        <v>392</v>
      </c>
      <c r="Y65" s="22"/>
      <c r="Z65" s="6"/>
      <c r="AA65" s="6" t="s">
        <v>541</v>
      </c>
      <c r="AB65" s="23"/>
      <c r="AC65" s="26"/>
    </row>
    <row r="66" spans="1:29" ht="15.75" customHeight="1">
      <c r="A66" s="10" t="s">
        <v>550</v>
      </c>
      <c r="B66" s="10" t="s">
        <v>27</v>
      </c>
      <c r="C66" s="11" t="s">
        <v>28</v>
      </c>
      <c r="D66" s="12"/>
      <c r="E66" s="13" t="s">
        <v>466</v>
      </c>
      <c r="F66" s="6" t="s">
        <v>551</v>
      </c>
      <c r="G66" s="14" t="str">
        <f ca="1">IFERROR(__xludf.DUMMYFUNCTION("CONCATENATE(B66,(VLOOKUP(C66,CATALOGOS!$F$2:$H$6,3,FALSE)),(VLOOKUP(V66,CATALOGOS!$J$2:$K$18,2,FALSE)),""-"",TO_TEXT(A66))"),"P05DA-0065")</f>
        <v>P05DA-0065</v>
      </c>
      <c r="H66" s="15" t="str">
        <f ca="1">IFERROR(__xludf.DUMMYFUNCTION("CONCATENATE($B66,(VLOOKUP($C66,CATALOGOS!$F$2:$H$6,3,FALSE)),(VLOOKUP($V66,CATALOGOS!$J$2:$K$18,2,FALSE)),""-"",TO_TEXT($A66))"),"P05DA-0065")</f>
        <v>P05DA-0065</v>
      </c>
      <c r="I66" s="6"/>
      <c r="J66" s="6" t="s">
        <v>552</v>
      </c>
      <c r="K66" s="6" t="s">
        <v>553</v>
      </c>
      <c r="L66" s="6" t="s">
        <v>554</v>
      </c>
      <c r="M66" s="6" t="s">
        <v>555</v>
      </c>
      <c r="N66" s="17"/>
      <c r="O66" s="17"/>
      <c r="P66" s="17" t="str">
        <f t="shared" si="6"/>
        <v>OK</v>
      </c>
      <c r="Q66" s="17" t="s">
        <v>35</v>
      </c>
      <c r="R66" s="6" t="s">
        <v>35</v>
      </c>
      <c r="S66" s="17" t="s">
        <v>36</v>
      </c>
      <c r="T66" s="17" t="s">
        <v>556</v>
      </c>
      <c r="U66" s="18" t="s">
        <v>38</v>
      </c>
      <c r="V66" s="19" t="s">
        <v>28</v>
      </c>
      <c r="W66" s="22" t="s">
        <v>392</v>
      </c>
      <c r="X66" s="21" t="s">
        <v>392</v>
      </c>
      <c r="Y66" s="22"/>
      <c r="Z66" s="7"/>
      <c r="AA66" s="7"/>
      <c r="AB66" s="23"/>
      <c r="AC66" s="26"/>
    </row>
    <row r="67" spans="1:29" ht="15.75" customHeight="1">
      <c r="A67" s="10" t="s">
        <v>557</v>
      </c>
      <c r="B67" s="10" t="s">
        <v>27</v>
      </c>
      <c r="C67" s="11" t="s">
        <v>28</v>
      </c>
      <c r="D67" s="12"/>
      <c r="E67" s="13" t="s">
        <v>53</v>
      </c>
      <c r="F67" s="6" t="s">
        <v>558</v>
      </c>
      <c r="G67" s="14" t="str">
        <f ca="1">IFERROR(__xludf.DUMMYFUNCTION("CONCATENATE(B67,(VLOOKUP(C67,CATALOGOS!$F$2:$H$6,3,FALSE)),(VLOOKUP(V67,CATALOGOS!$J$2:$K$18,2,FALSE)),""-"",TO_TEXT(A67))"),"P05DA-0066")</f>
        <v>P05DA-0066</v>
      </c>
      <c r="H67" s="15" t="str">
        <f ca="1">IFERROR(__xludf.DUMMYFUNCTION("CONCATENATE($B67,(VLOOKUP($C67,CATALOGOS!$F$2:$H$6,3,FALSE)),(VLOOKUP($V67,CATALOGOS!$J$2:$K$18,2,FALSE)),""-"",TO_TEXT($A67))"),"P05DA-0066")</f>
        <v>P05DA-0066</v>
      </c>
      <c r="I67" s="6"/>
      <c r="J67" s="6" t="s">
        <v>559</v>
      </c>
      <c r="K67" s="6" t="s">
        <v>560</v>
      </c>
      <c r="L67" s="6" t="s">
        <v>561</v>
      </c>
      <c r="M67" s="6" t="s">
        <v>562</v>
      </c>
      <c r="N67" s="17"/>
      <c r="O67" s="17"/>
      <c r="P67" s="17" t="str">
        <f t="shared" si="6"/>
        <v>OK</v>
      </c>
      <c r="Q67" s="17" t="s">
        <v>35</v>
      </c>
      <c r="R67" s="6" t="s">
        <v>35</v>
      </c>
      <c r="S67" s="17" t="s">
        <v>36</v>
      </c>
      <c r="T67" s="17" t="s">
        <v>563</v>
      </c>
      <c r="U67" s="18" t="s">
        <v>38</v>
      </c>
      <c r="V67" s="19" t="s">
        <v>28</v>
      </c>
      <c r="W67" s="22" t="s">
        <v>392</v>
      </c>
      <c r="X67" s="21" t="s">
        <v>392</v>
      </c>
      <c r="Y67" s="22"/>
      <c r="Z67" s="7"/>
      <c r="AA67" s="7"/>
      <c r="AB67" s="23"/>
      <c r="AC67" s="26"/>
    </row>
    <row r="68" spans="1:29" ht="15.75" customHeight="1">
      <c r="A68" s="10" t="s">
        <v>564</v>
      </c>
      <c r="B68" s="10" t="s">
        <v>27</v>
      </c>
      <c r="C68" s="11" t="s">
        <v>28</v>
      </c>
      <c r="D68" s="38"/>
      <c r="E68" s="13" t="s">
        <v>565</v>
      </c>
      <c r="F68" s="6" t="s">
        <v>566</v>
      </c>
      <c r="G68" s="14" t="str">
        <f ca="1">IFERROR(__xludf.DUMMYFUNCTION("CONCATENATE(B68,(VLOOKUP(C68,CATALOGOS!$F$2:$H$6,3,FALSE)),(VLOOKUP(V68,CATALOGOS!$J$2:$K$18,2,FALSE)),""-"",TO_TEXT(A68))"),"P05DA-0067")</f>
        <v>P05DA-0067</v>
      </c>
      <c r="H68" s="15" t="str">
        <f ca="1">IFERROR(__xludf.DUMMYFUNCTION("CONCATENATE($B68,(VLOOKUP($C68,CATALOGOS!$F$2:$H$6,3,FALSE)),(VLOOKUP($V68,CATALOGOS!$J$2:$K$18,2,FALSE)),""-"",TO_TEXT($A68))"),"P05DA-0067")</f>
        <v>P05DA-0067</v>
      </c>
      <c r="I68" s="6"/>
      <c r="J68" s="6" t="s">
        <v>567</v>
      </c>
      <c r="K68" s="6" t="s">
        <v>568</v>
      </c>
      <c r="L68" s="6" t="s">
        <v>569</v>
      </c>
      <c r="M68" s="6" t="s">
        <v>570</v>
      </c>
      <c r="N68" s="17"/>
      <c r="O68" s="17"/>
      <c r="P68" s="17" t="str">
        <f t="shared" si="6"/>
        <v>OK</v>
      </c>
      <c r="Q68" s="17" t="s">
        <v>35</v>
      </c>
      <c r="R68" s="6" t="s">
        <v>35</v>
      </c>
      <c r="S68" s="46" t="s">
        <v>36</v>
      </c>
      <c r="T68" s="17" t="s">
        <v>85</v>
      </c>
      <c r="U68" s="18" t="s">
        <v>38</v>
      </c>
      <c r="V68" s="19" t="s">
        <v>28</v>
      </c>
      <c r="W68" s="22" t="s">
        <v>392</v>
      </c>
      <c r="X68" s="21" t="s">
        <v>392</v>
      </c>
      <c r="Y68" s="22"/>
      <c r="Z68" s="7"/>
      <c r="AA68" s="7"/>
      <c r="AB68" s="26"/>
      <c r="AC68" s="26"/>
    </row>
    <row r="69" spans="1:29" ht="15.75" customHeight="1">
      <c r="A69" s="10" t="s">
        <v>571</v>
      </c>
      <c r="B69" s="10" t="s">
        <v>27</v>
      </c>
      <c r="C69" s="11" t="s">
        <v>28</v>
      </c>
      <c r="D69" s="12"/>
      <c r="E69" s="13" t="s">
        <v>501</v>
      </c>
      <c r="F69" s="6" t="s">
        <v>572</v>
      </c>
      <c r="G69" s="14" t="str">
        <f ca="1">IFERROR(__xludf.DUMMYFUNCTION("CONCATENATE(B69,(VLOOKUP(C69,CATALOGOS!$F$2:$H$6,3,FALSE)),(VLOOKUP(V69,CATALOGOS!$J$2:$K$18,2,FALSE)),""-"",TO_TEXT(A69))"),"P05RM-0068")</f>
        <v>P05RM-0068</v>
      </c>
      <c r="H69" s="15" t="str">
        <f ca="1">IFERROR(__xludf.DUMMYFUNCTION("CONCATENATE($B69,(VLOOKUP($C69,CATALOGOS!$F$2:$H$6,3,FALSE)),(VLOOKUP($V69,CATALOGOS!$J$2:$K$18,2,FALSE)),""-"",TO_TEXT($A69))"),"P05RM-0068")</f>
        <v>P05RM-0068</v>
      </c>
      <c r="I69" s="6"/>
      <c r="J69" s="6" t="s">
        <v>573</v>
      </c>
      <c r="K69" s="6" t="s">
        <v>574</v>
      </c>
      <c r="L69" s="6" t="s">
        <v>575</v>
      </c>
      <c r="M69" s="6" t="s">
        <v>576</v>
      </c>
      <c r="N69" s="17"/>
      <c r="O69" s="17"/>
      <c r="P69" s="17" t="str">
        <f t="shared" si="6"/>
        <v>OK</v>
      </c>
      <c r="Q69" s="17" t="s">
        <v>35</v>
      </c>
      <c r="R69" s="6" t="s">
        <v>35</v>
      </c>
      <c r="S69" s="17" t="s">
        <v>36</v>
      </c>
      <c r="T69" s="17" t="s">
        <v>577</v>
      </c>
      <c r="U69" s="18" t="s">
        <v>38</v>
      </c>
      <c r="V69" s="19" t="s">
        <v>147</v>
      </c>
      <c r="W69" s="20" t="s">
        <v>492</v>
      </c>
      <c r="X69" s="21" t="s">
        <v>493</v>
      </c>
      <c r="Y69" s="22"/>
      <c r="Z69" s="7"/>
      <c r="AA69" s="7"/>
      <c r="AB69" s="23"/>
      <c r="AC69" s="26"/>
    </row>
    <row r="70" spans="1:29" ht="15.75" customHeight="1">
      <c r="A70" s="10" t="s">
        <v>578</v>
      </c>
      <c r="B70" s="10" t="s">
        <v>27</v>
      </c>
      <c r="C70" s="11" t="s">
        <v>28</v>
      </c>
      <c r="D70" s="12"/>
      <c r="E70" s="13" t="s">
        <v>501</v>
      </c>
      <c r="F70" s="6" t="s">
        <v>579</v>
      </c>
      <c r="G70" s="14" t="str">
        <f ca="1">IFERROR(__xludf.DUMMYFUNCTION("CONCATENATE(B70,(VLOOKUP(C70,CATALOGOS!$F$2:$H$6,3,FALSE)),(VLOOKUP(V70,CATALOGOS!$J$2:$K$18,2,FALSE)),""-"",TO_TEXT(A70))"),"P05RM-0069")</f>
        <v>P05RM-0069</v>
      </c>
      <c r="H70" s="15" t="str">
        <f ca="1">IFERROR(__xludf.DUMMYFUNCTION("CONCATENATE($B70,(VLOOKUP($C70,CATALOGOS!$F$2:$H$6,3,FALSE)),(VLOOKUP($V70,CATALOGOS!$J$2:$K$18,2,FALSE)),""-"",TO_TEXT($A70))"),"P05RM-0069")</f>
        <v>P05RM-0069</v>
      </c>
      <c r="I70" s="6"/>
      <c r="J70" s="6" t="s">
        <v>580</v>
      </c>
      <c r="K70" s="6" t="s">
        <v>581</v>
      </c>
      <c r="L70" s="6" t="s">
        <v>582</v>
      </c>
      <c r="M70" s="6" t="s">
        <v>583</v>
      </c>
      <c r="N70" s="17"/>
      <c r="O70" s="17"/>
      <c r="P70" s="17" t="str">
        <f t="shared" si="6"/>
        <v>OK</v>
      </c>
      <c r="Q70" s="17" t="s">
        <v>35</v>
      </c>
      <c r="R70" s="6" t="s">
        <v>35</v>
      </c>
      <c r="S70" s="17" t="s">
        <v>36</v>
      </c>
      <c r="T70" s="17" t="s">
        <v>584</v>
      </c>
      <c r="U70" s="18" t="s">
        <v>38</v>
      </c>
      <c r="V70" s="19" t="s">
        <v>147</v>
      </c>
      <c r="W70" s="20" t="s">
        <v>492</v>
      </c>
      <c r="X70" s="21" t="s">
        <v>493</v>
      </c>
      <c r="Y70" s="22"/>
      <c r="Z70" s="7"/>
      <c r="AA70" s="7"/>
      <c r="AB70" s="23"/>
      <c r="AC70" s="26"/>
    </row>
    <row r="71" spans="1:29" ht="15.75" customHeight="1">
      <c r="A71" s="10" t="s">
        <v>275</v>
      </c>
      <c r="B71" s="10" t="s">
        <v>27</v>
      </c>
      <c r="C71" s="11" t="s">
        <v>28</v>
      </c>
      <c r="D71" s="12"/>
      <c r="E71" s="13" t="s">
        <v>62</v>
      </c>
      <c r="F71" s="6" t="s">
        <v>585</v>
      </c>
      <c r="G71" s="14" t="str">
        <f ca="1">IFERROR(__xludf.DUMMYFUNCTION("CONCATENATE(B71,(VLOOKUP(C71,CATALOGOS!$F$2:$H$6,3,FALSE)),(VLOOKUP(V71,CATALOGOS!$J$2:$K$18,2,FALSE)),""-"",TO_TEXT(A71))"),"P05RM-0070")</f>
        <v>P05RM-0070</v>
      </c>
      <c r="H71" s="15" t="str">
        <f ca="1">IFERROR(__xludf.DUMMYFUNCTION("CONCATENATE($B71,(VLOOKUP($C71,CATALOGOS!$F$2:$H$6,3,FALSE)),(VLOOKUP($V71,CATALOGOS!$J$2:$K$18,2,FALSE)),""-"",TO_TEXT($A71))"),"P05RM-0070")</f>
        <v>P05RM-0070</v>
      </c>
      <c r="I71" s="6"/>
      <c r="J71" s="6" t="s">
        <v>586</v>
      </c>
      <c r="K71" s="6" t="s">
        <v>587</v>
      </c>
      <c r="L71" s="6" t="s">
        <v>588</v>
      </c>
      <c r="M71" s="6" t="s">
        <v>589</v>
      </c>
      <c r="N71" s="17"/>
      <c r="O71" s="17"/>
      <c r="P71" s="17" t="str">
        <f t="shared" si="6"/>
        <v>OK</v>
      </c>
      <c r="Q71" s="17" t="s">
        <v>35</v>
      </c>
      <c r="R71" s="6" t="s">
        <v>35</v>
      </c>
      <c r="S71" s="17" t="s">
        <v>36</v>
      </c>
      <c r="T71" s="17" t="s">
        <v>590</v>
      </c>
      <c r="U71" s="18" t="s">
        <v>38</v>
      </c>
      <c r="V71" s="19" t="s">
        <v>147</v>
      </c>
      <c r="W71" s="20" t="s">
        <v>492</v>
      </c>
      <c r="X71" s="21" t="s">
        <v>493</v>
      </c>
      <c r="Y71" s="22"/>
      <c r="Z71" s="7"/>
      <c r="AA71" s="7"/>
      <c r="AB71" s="23"/>
      <c r="AC71" s="26"/>
    </row>
    <row r="72" spans="1:29" ht="15.75" customHeight="1">
      <c r="A72" s="10" t="s">
        <v>591</v>
      </c>
      <c r="B72" s="10" t="s">
        <v>27</v>
      </c>
      <c r="C72" s="11" t="s">
        <v>28</v>
      </c>
      <c r="D72" s="12"/>
      <c r="E72" s="13" t="s">
        <v>93</v>
      </c>
      <c r="F72" s="6" t="s">
        <v>592</v>
      </c>
      <c r="G72" s="14" t="str">
        <f ca="1">IFERROR(__xludf.DUMMYFUNCTION("CONCATENATE(B72,(VLOOKUP(C72,CATALOGOS!$F$2:$H$6,3,FALSE)),(VLOOKUP(V72,CATALOGOS!$J$2:$K$18,2,FALSE)),""-"",TO_TEXT(A72))"),"P05RM-0071")</f>
        <v>P05RM-0071</v>
      </c>
      <c r="H72" s="15" t="str">
        <f ca="1">IFERROR(__xludf.DUMMYFUNCTION("CONCATENATE($B72,(VLOOKUP($C72,CATALOGOS!$F$2:$H$6,3,FALSE)),(VLOOKUP($V72,CATALOGOS!$J$2:$K$18,2,FALSE)),""-"",TO_TEXT($A72))"),"P05RM-0071")</f>
        <v>P05RM-0071</v>
      </c>
      <c r="I72" s="6"/>
      <c r="J72" s="6" t="s">
        <v>593</v>
      </c>
      <c r="K72" s="6" t="s">
        <v>594</v>
      </c>
      <c r="L72" s="6" t="s">
        <v>595</v>
      </c>
      <c r="M72" s="6" t="s">
        <v>596</v>
      </c>
      <c r="N72" s="17"/>
      <c r="O72" s="17"/>
      <c r="P72" s="17" t="str">
        <f t="shared" si="6"/>
        <v>OK</v>
      </c>
      <c r="Q72" s="17" t="s">
        <v>35</v>
      </c>
      <c r="R72" s="49" t="s">
        <v>35</v>
      </c>
      <c r="S72" s="17" t="s">
        <v>36</v>
      </c>
      <c r="T72" s="17" t="s">
        <v>597</v>
      </c>
      <c r="U72" s="18" t="s">
        <v>38</v>
      </c>
      <c r="V72" s="19" t="s">
        <v>147</v>
      </c>
      <c r="W72" s="20" t="s">
        <v>492</v>
      </c>
      <c r="X72" s="21" t="s">
        <v>493</v>
      </c>
      <c r="Y72" s="22"/>
      <c r="Z72" s="7"/>
      <c r="AA72" s="7"/>
      <c r="AB72" s="23"/>
      <c r="AC72" s="26"/>
    </row>
    <row r="73" spans="1:29" ht="15.75" customHeight="1">
      <c r="A73" s="10" t="s">
        <v>598</v>
      </c>
      <c r="B73" s="10" t="s">
        <v>27</v>
      </c>
      <c r="C73" s="11" t="s">
        <v>28</v>
      </c>
      <c r="D73" s="12"/>
      <c r="E73" s="13" t="s">
        <v>116</v>
      </c>
      <c r="F73" s="6" t="s">
        <v>599</v>
      </c>
      <c r="G73" s="14" t="str">
        <f ca="1">IFERROR(__xludf.DUMMYFUNCTION("CONCATENATE(B73,(VLOOKUP(C73,CATALOGOS!$F$2:$H$6,3,FALSE)),(VLOOKUP(V73,CATALOGOS!$J$2:$K$18,2,FALSE)),""-"",TO_TEXT(A73))"),"P05RM-0072")</f>
        <v>P05RM-0072</v>
      </c>
      <c r="H73" s="15" t="str">
        <f ca="1">IFERROR(__xludf.DUMMYFUNCTION("CONCATENATE($B73,(VLOOKUP($C73,CATALOGOS!$F$2:$H$6,3,FALSE)),(VLOOKUP($V73,CATALOGOS!$J$2:$K$18,2,FALSE)),""-"",TO_TEXT($A73))"),"P05RM-0072")</f>
        <v>P05RM-0072</v>
      </c>
      <c r="I73" s="6"/>
      <c r="J73" s="6" t="s">
        <v>600</v>
      </c>
      <c r="K73" s="6" t="s">
        <v>601</v>
      </c>
      <c r="L73" s="6" t="s">
        <v>602</v>
      </c>
      <c r="M73" s="6" t="s">
        <v>603</v>
      </c>
      <c r="N73" s="17"/>
      <c r="O73" s="17"/>
      <c r="P73" s="17" t="str">
        <f t="shared" si="6"/>
        <v>OK</v>
      </c>
      <c r="Q73" s="17" t="s">
        <v>35</v>
      </c>
      <c r="R73" s="6" t="s">
        <v>35</v>
      </c>
      <c r="S73" s="17" t="s">
        <v>36</v>
      </c>
      <c r="T73" s="17" t="s">
        <v>604</v>
      </c>
      <c r="U73" s="18" t="s">
        <v>38</v>
      </c>
      <c r="V73" s="19" t="s">
        <v>147</v>
      </c>
      <c r="W73" s="20" t="s">
        <v>492</v>
      </c>
      <c r="X73" s="21" t="s">
        <v>493</v>
      </c>
      <c r="Y73" s="22"/>
      <c r="Z73" s="7"/>
      <c r="AA73" s="7"/>
      <c r="AB73" s="23"/>
      <c r="AC73" s="26"/>
    </row>
    <row r="74" spans="1:29" ht="15.75" customHeight="1">
      <c r="A74" s="10" t="s">
        <v>605</v>
      </c>
      <c r="B74" s="10" t="s">
        <v>27</v>
      </c>
      <c r="C74" s="11" t="s">
        <v>28</v>
      </c>
      <c r="D74" s="12"/>
      <c r="E74" s="13" t="s">
        <v>378</v>
      </c>
      <c r="F74" s="6" t="s">
        <v>606</v>
      </c>
      <c r="G74" s="14" t="str">
        <f ca="1">IFERROR(__xludf.DUMMYFUNCTION("CONCATENATE(B74,(VLOOKUP(C74,CATALOGOS!$F$2:$H$6,3,FALSE)),(VLOOKUP(V74,CATALOGOS!$J$2:$K$18,2,FALSE)),""-"",TO_TEXT(A74))"),"P05RM-0073")</f>
        <v>P05RM-0073</v>
      </c>
      <c r="H74" s="15" t="str">
        <f ca="1">IFERROR(__xludf.DUMMYFUNCTION("CONCATENATE($B74,(VLOOKUP($C74,CATALOGOS!$F$2:$H$6,3,FALSE)),(VLOOKUP($V74,CATALOGOS!$J$2:$K$18,2,FALSE)),""-"",TO_TEXT($A74))"),"P05RM-0073")</f>
        <v>P05RM-0073</v>
      </c>
      <c r="I74" s="6"/>
      <c r="J74" s="6" t="s">
        <v>607</v>
      </c>
      <c r="K74" s="6" t="s">
        <v>608</v>
      </c>
      <c r="L74" s="6" t="s">
        <v>609</v>
      </c>
      <c r="M74" s="6" t="s">
        <v>610</v>
      </c>
      <c r="N74" s="17"/>
      <c r="O74" s="17"/>
      <c r="P74" s="17" t="str">
        <f t="shared" si="6"/>
        <v>OK</v>
      </c>
      <c r="Q74" s="17" t="s">
        <v>35</v>
      </c>
      <c r="R74" s="6" t="s">
        <v>35</v>
      </c>
      <c r="S74" s="17" t="s">
        <v>36</v>
      </c>
      <c r="T74" s="17" t="s">
        <v>611</v>
      </c>
      <c r="U74" s="18" t="s">
        <v>38</v>
      </c>
      <c r="V74" s="19" t="s">
        <v>147</v>
      </c>
      <c r="W74" s="20" t="s">
        <v>492</v>
      </c>
      <c r="X74" s="21" t="s">
        <v>493</v>
      </c>
      <c r="Y74" s="22"/>
      <c r="Z74" s="7"/>
      <c r="AA74" s="7"/>
      <c r="AB74" s="23"/>
      <c r="AC74" s="26"/>
    </row>
    <row r="75" spans="1:29" ht="15.75" customHeight="1">
      <c r="A75" s="10" t="s">
        <v>612</v>
      </c>
      <c r="B75" s="10" t="s">
        <v>27</v>
      </c>
      <c r="C75" s="11" t="s">
        <v>28</v>
      </c>
      <c r="D75" s="12"/>
      <c r="E75" s="13" t="s">
        <v>378</v>
      </c>
      <c r="F75" s="6" t="s">
        <v>606</v>
      </c>
      <c r="G75" s="14" t="str">
        <f ca="1">IFERROR(__xludf.DUMMYFUNCTION("CONCATENATE(B75,(VLOOKUP(C75,CATALOGOS!$F$2:$H$6,3,FALSE)),(VLOOKUP(V75,CATALOGOS!$J$2:$K$18,2,FALSE)),""-"",TO_TEXT(A75))"),"P05RM-0074")</f>
        <v>P05RM-0074</v>
      </c>
      <c r="H75" s="15" t="str">
        <f ca="1">IFERROR(__xludf.DUMMYFUNCTION("CONCATENATE($B75,(VLOOKUP($C75,CATALOGOS!$F$2:$H$6,3,FALSE)),(VLOOKUP($V75,CATALOGOS!$J$2:$K$18,2,FALSE)),""-"",TO_TEXT($A75))"),"P05RM-0074")</f>
        <v>P05RM-0074</v>
      </c>
      <c r="I75" s="6"/>
      <c r="J75" s="6" t="s">
        <v>613</v>
      </c>
      <c r="K75" s="6" t="s">
        <v>614</v>
      </c>
      <c r="L75" s="6" t="s">
        <v>615</v>
      </c>
      <c r="M75" s="6" t="s">
        <v>616</v>
      </c>
      <c r="N75" s="17"/>
      <c r="O75" s="17"/>
      <c r="P75" s="17" t="str">
        <f t="shared" si="6"/>
        <v>OK</v>
      </c>
      <c r="Q75" s="17" t="s">
        <v>35</v>
      </c>
      <c r="R75" s="6" t="s">
        <v>35</v>
      </c>
      <c r="S75" s="17" t="s">
        <v>36</v>
      </c>
      <c r="T75" s="17" t="s">
        <v>617</v>
      </c>
      <c r="U75" s="18" t="s">
        <v>38</v>
      </c>
      <c r="V75" s="19" t="s">
        <v>147</v>
      </c>
      <c r="W75" s="20" t="s">
        <v>492</v>
      </c>
      <c r="X75" s="21" t="s">
        <v>493</v>
      </c>
      <c r="Y75" s="22"/>
      <c r="Z75" s="7"/>
      <c r="AA75" s="7"/>
      <c r="AB75" s="23"/>
      <c r="AC75" s="26"/>
    </row>
    <row r="76" spans="1:29" ht="15.75" customHeight="1">
      <c r="A76" s="10" t="s">
        <v>618</v>
      </c>
      <c r="B76" s="10" t="s">
        <v>27</v>
      </c>
      <c r="C76" s="11" t="s">
        <v>28</v>
      </c>
      <c r="D76" s="12"/>
      <c r="E76" s="13" t="s">
        <v>151</v>
      </c>
      <c r="F76" s="6" t="s">
        <v>152</v>
      </c>
      <c r="G76" s="14" t="str">
        <f ca="1">IFERROR(__xludf.DUMMYFUNCTION("CONCATENATE(B76,(VLOOKUP(C76,CATALOGOS!$F$2:$H$6,3,FALSE)),(VLOOKUP(V76,CATALOGOS!$J$2:$K$18,2,FALSE)),""-"",TO_TEXT(A76))"),"P05RM-0075")</f>
        <v>P05RM-0075</v>
      </c>
      <c r="H76" s="15" t="str">
        <f ca="1">IFERROR(__xludf.DUMMYFUNCTION("CONCATENATE($B76,(VLOOKUP($C76,CATALOGOS!$F$2:$H$6,3,FALSE)),(VLOOKUP($V76,CATALOGOS!$J$2:$K$18,2,FALSE)),""-"",TO_TEXT($A76))"),"P05RM-0075")</f>
        <v>P05RM-0075</v>
      </c>
      <c r="I76" s="6"/>
      <c r="J76" s="6" t="s">
        <v>619</v>
      </c>
      <c r="K76" s="6" t="s">
        <v>620</v>
      </c>
      <c r="L76" s="6" t="s">
        <v>621</v>
      </c>
      <c r="M76" s="6" t="s">
        <v>141</v>
      </c>
      <c r="N76" s="17"/>
      <c r="O76" s="17"/>
      <c r="P76" s="17" t="str">
        <f t="shared" si="6"/>
        <v>REPETIDO</v>
      </c>
      <c r="Q76" s="17" t="s">
        <v>157</v>
      </c>
      <c r="R76" s="6" t="s">
        <v>158</v>
      </c>
      <c r="S76" s="17" t="s">
        <v>36</v>
      </c>
      <c r="T76" s="10" t="s">
        <v>622</v>
      </c>
      <c r="U76" s="18" t="s">
        <v>38</v>
      </c>
      <c r="V76" s="19" t="s">
        <v>147</v>
      </c>
      <c r="W76" s="20" t="s">
        <v>492</v>
      </c>
      <c r="X76" s="21" t="s">
        <v>493</v>
      </c>
      <c r="Y76" s="22"/>
      <c r="Z76" s="7"/>
      <c r="AA76" s="7"/>
      <c r="AB76" s="23"/>
      <c r="AC76" s="26"/>
    </row>
    <row r="77" spans="1:29" ht="15.75" customHeight="1">
      <c r="A77" s="10" t="s">
        <v>623</v>
      </c>
      <c r="B77" s="10" t="s">
        <v>27</v>
      </c>
      <c r="C77" s="11" t="s">
        <v>28</v>
      </c>
      <c r="D77" s="12"/>
      <c r="E77" s="13" t="s">
        <v>199</v>
      </c>
      <c r="F77" s="6" t="s">
        <v>199</v>
      </c>
      <c r="G77" s="14" t="str">
        <f ca="1">IFERROR(__xludf.DUMMYFUNCTION("CONCATENATE(B77,(VLOOKUP(C77,CATALOGOS!$F$2:$H$6,3,FALSE)),(VLOOKUP(V77,CATALOGOS!$J$2:$K$18,2,FALSE)),""-"",TO_TEXT(A77))"),"P05RM-0076")</f>
        <v>P05RM-0076</v>
      </c>
      <c r="H77" s="15" t="str">
        <f ca="1">IFERROR(__xludf.DUMMYFUNCTION("CONCATENATE($B77,(VLOOKUP($C77,CATALOGOS!$F$2:$H$6,3,FALSE)),(VLOOKUP($V77,CATALOGOS!$J$2:$K$18,2,FALSE)),""-"",TO_TEXT($A77))"),"P05RM-0076")</f>
        <v>P05RM-0076</v>
      </c>
      <c r="I77" s="6"/>
      <c r="J77" s="6" t="s">
        <v>624</v>
      </c>
      <c r="K77" s="6" t="s">
        <v>625</v>
      </c>
      <c r="L77" s="6" t="s">
        <v>626</v>
      </c>
      <c r="M77" s="6" t="s">
        <v>627</v>
      </c>
      <c r="N77" s="17"/>
      <c r="O77" s="17"/>
      <c r="P77" s="17" t="str">
        <f t="shared" si="6"/>
        <v>OK</v>
      </c>
      <c r="Q77" s="17" t="s">
        <v>157</v>
      </c>
      <c r="R77" s="6">
        <v>2378</v>
      </c>
      <c r="S77" s="17" t="s">
        <v>628</v>
      </c>
      <c r="T77" s="17" t="s">
        <v>629</v>
      </c>
      <c r="U77" s="18" t="s">
        <v>38</v>
      </c>
      <c r="V77" s="19" t="s">
        <v>147</v>
      </c>
      <c r="W77" s="20" t="s">
        <v>492</v>
      </c>
      <c r="X77" s="21" t="s">
        <v>493</v>
      </c>
      <c r="Y77" s="22"/>
      <c r="Z77" s="7"/>
      <c r="AA77" s="7"/>
      <c r="AB77" s="23"/>
      <c r="AC77" s="26"/>
    </row>
    <row r="78" spans="1:29" ht="15.75" customHeight="1">
      <c r="A78" s="10" t="s">
        <v>630</v>
      </c>
      <c r="B78" s="10" t="s">
        <v>27</v>
      </c>
      <c r="C78" s="11" t="s">
        <v>28</v>
      </c>
      <c r="D78" s="12"/>
      <c r="E78" s="13" t="s">
        <v>151</v>
      </c>
      <c r="F78" s="6" t="s">
        <v>152</v>
      </c>
      <c r="G78" s="14" t="str">
        <f ca="1">IFERROR(__xludf.DUMMYFUNCTION("CONCATENATE(B78,(VLOOKUP(C78,CATALOGOS!$F$2:$H$6,3,FALSE)),(VLOOKUP(V78,CATALOGOS!$J$2:$K$18,2,FALSE)),""-"",TO_TEXT(A78))"),"P05RM-0077")</f>
        <v>P05RM-0077</v>
      </c>
      <c r="H78" s="15" t="str">
        <f ca="1">IFERROR(__xludf.DUMMYFUNCTION("CONCATENATE($B78,(VLOOKUP($C78,CATALOGOS!$F$2:$H$6,3,FALSE)),(VLOOKUP($V78,CATALOGOS!$J$2:$K$18,2,FALSE)),""-"",TO_TEXT($A78))"),"P05RM-0077")</f>
        <v>P05RM-0077</v>
      </c>
      <c r="I78" s="6"/>
      <c r="J78" s="6" t="s">
        <v>631</v>
      </c>
      <c r="K78" s="6" t="s">
        <v>632</v>
      </c>
      <c r="L78" s="6" t="s">
        <v>633</v>
      </c>
      <c r="M78" s="6" t="s">
        <v>634</v>
      </c>
      <c r="N78" s="17"/>
      <c r="O78" s="17"/>
      <c r="P78" s="17" t="str">
        <f t="shared" si="6"/>
        <v>OK</v>
      </c>
      <c r="Q78" s="17" t="s">
        <v>157</v>
      </c>
      <c r="R78" s="6" t="s">
        <v>158</v>
      </c>
      <c r="S78" s="17" t="s">
        <v>635</v>
      </c>
      <c r="T78" s="10" t="s">
        <v>636</v>
      </c>
      <c r="U78" s="18" t="s">
        <v>38</v>
      </c>
      <c r="V78" s="19" t="s">
        <v>147</v>
      </c>
      <c r="W78" s="20" t="s">
        <v>492</v>
      </c>
      <c r="X78" s="21" t="s">
        <v>493</v>
      </c>
      <c r="Y78" s="22"/>
      <c r="Z78" s="7"/>
      <c r="AA78" s="7"/>
      <c r="AB78" s="23"/>
      <c r="AC78" s="26"/>
    </row>
    <row r="79" spans="1:29" ht="15.75" customHeight="1">
      <c r="A79" s="10" t="s">
        <v>637</v>
      </c>
      <c r="B79" s="10" t="s">
        <v>27</v>
      </c>
      <c r="C79" s="11" t="s">
        <v>28</v>
      </c>
      <c r="D79" s="12"/>
      <c r="E79" s="13" t="s">
        <v>353</v>
      </c>
      <c r="F79" s="43" t="s">
        <v>638</v>
      </c>
      <c r="G79" s="6" t="str">
        <f ca="1">IFERROR(__xludf.DUMMYFUNCTION("CONCATENATE(B79,(VLOOKUP(C79,CATALOGOS!$F$2:$H$6,3,FALSE)),(VLOOKUP(V79,CATALOGOS!$J$2:$K$18,2,FALSE)),""-"",TO_TEXT(A79))"),"P05RM-0078")</f>
        <v>P05RM-0078</v>
      </c>
      <c r="H79" s="15" t="str">
        <f ca="1">IFERROR(__xludf.DUMMYFUNCTION("CONCATENATE($B79,(VLOOKUP($C79,CATALOGOS!$F$2:$H$6,3,FALSE)),(VLOOKUP($V79,CATALOGOS!$J$2:$K$18,2,FALSE)),""-"",TO_TEXT($A79))"),"P05RM-0078")</f>
        <v>P05RM-0078</v>
      </c>
      <c r="I79" s="6"/>
      <c r="J79" s="6" t="s">
        <v>639</v>
      </c>
      <c r="K79" s="6" t="s">
        <v>640</v>
      </c>
      <c r="L79" s="6" t="s">
        <v>641</v>
      </c>
      <c r="M79" s="6" t="s">
        <v>642</v>
      </c>
      <c r="N79" s="17"/>
      <c r="O79" s="17"/>
      <c r="P79" s="17" t="str">
        <f t="shared" si="6"/>
        <v>OK</v>
      </c>
      <c r="Q79" s="17" t="s">
        <v>359</v>
      </c>
      <c r="R79" s="6" t="s">
        <v>360</v>
      </c>
      <c r="S79" s="17" t="s">
        <v>643</v>
      </c>
      <c r="T79" s="17" t="s">
        <v>644</v>
      </c>
      <c r="U79" s="18" t="s">
        <v>38</v>
      </c>
      <c r="V79" s="19" t="s">
        <v>147</v>
      </c>
      <c r="W79" s="20" t="s">
        <v>492</v>
      </c>
      <c r="X79" s="21" t="s">
        <v>493</v>
      </c>
      <c r="Y79" s="22"/>
      <c r="Z79" s="7"/>
      <c r="AA79" s="7"/>
      <c r="AB79" s="23"/>
      <c r="AC79" s="26"/>
    </row>
    <row r="80" spans="1:29" ht="15.75" customHeight="1">
      <c r="A80" s="10" t="s">
        <v>645</v>
      </c>
      <c r="B80" s="10" t="s">
        <v>27</v>
      </c>
      <c r="C80" s="11" t="s">
        <v>28</v>
      </c>
      <c r="D80" s="12"/>
      <c r="E80" s="13" t="s">
        <v>93</v>
      </c>
      <c r="F80" s="6" t="s">
        <v>646</v>
      </c>
      <c r="G80" s="6" t="str">
        <f ca="1">IFERROR(__xludf.DUMMYFUNCTION("CONCATENATE(B80,(VLOOKUP(C80,CATALOGOS!$F$2:$H$6,3,FALSE)),(VLOOKUP(V80,CATALOGOS!$J$2:$K$18,2,FALSE)),""-"",TO_TEXT(A80))"),"P05RM-0079")</f>
        <v>P05RM-0079</v>
      </c>
      <c r="H80" s="15" t="str">
        <f ca="1">IFERROR(__xludf.DUMMYFUNCTION("CONCATENATE($B80,(VLOOKUP($C80,CATALOGOS!$F$2:$H$6,3,FALSE)),(VLOOKUP($V80,CATALOGOS!$J$2:$K$18,2,FALSE)),""-"",TO_TEXT($A80))"),"P05RM-0079")</f>
        <v>P05RM-0079</v>
      </c>
      <c r="I80" s="6"/>
      <c r="J80" s="6" t="s">
        <v>647</v>
      </c>
      <c r="K80" s="6" t="s">
        <v>648</v>
      </c>
      <c r="L80" s="6" t="s">
        <v>649</v>
      </c>
      <c r="M80" s="6" t="s">
        <v>650</v>
      </c>
      <c r="N80" s="17"/>
      <c r="O80" s="17"/>
      <c r="P80" s="17" t="str">
        <f t="shared" si="6"/>
        <v>OK</v>
      </c>
      <c r="Q80" s="17" t="s">
        <v>35</v>
      </c>
      <c r="R80" s="6" t="s">
        <v>35</v>
      </c>
      <c r="S80" s="17" t="s">
        <v>36</v>
      </c>
      <c r="T80" s="17" t="s">
        <v>651</v>
      </c>
      <c r="U80" s="18" t="s">
        <v>38</v>
      </c>
      <c r="V80" s="19" t="s">
        <v>147</v>
      </c>
      <c r="W80" s="20" t="s">
        <v>492</v>
      </c>
      <c r="X80" s="21" t="s">
        <v>493</v>
      </c>
      <c r="Y80" s="22"/>
      <c r="Z80" s="7"/>
      <c r="AA80" s="7"/>
      <c r="AB80" s="23"/>
      <c r="AC80" s="26"/>
    </row>
    <row r="81" spans="1:30" ht="15.75" customHeight="1">
      <c r="A81" s="10" t="s">
        <v>652</v>
      </c>
      <c r="B81" s="10" t="s">
        <v>27</v>
      </c>
      <c r="C81" s="11" t="s">
        <v>28</v>
      </c>
      <c r="D81" s="12"/>
      <c r="E81" s="13" t="s">
        <v>184</v>
      </c>
      <c r="F81" s="6" t="s">
        <v>653</v>
      </c>
      <c r="G81" s="6" t="str">
        <f ca="1">IFERROR(__xludf.DUMMYFUNCTION("CONCATENATE(B81,(VLOOKUP(C81,CATALOGOS!$F$2:$H$6,3,FALSE)),(VLOOKUP(V81,CATALOGOS!$J$2:$K$18,2,FALSE)),""-"",TO_TEXT(A81))"),"P05RM-0080")</f>
        <v>P05RM-0080</v>
      </c>
      <c r="H81" s="15" t="str">
        <f ca="1">IFERROR(__xludf.DUMMYFUNCTION("CONCATENATE($B81,(VLOOKUP($C81,CATALOGOS!$F$2:$H$6,3,FALSE)),(VLOOKUP($V81,CATALOGOS!$J$2:$K$18,2,FALSE)),""-"",TO_TEXT($A81))"),"P05RM-0080")</f>
        <v>P05RM-0080</v>
      </c>
      <c r="I81" s="6"/>
      <c r="J81" s="6" t="s">
        <v>654</v>
      </c>
      <c r="K81" s="6" t="s">
        <v>655</v>
      </c>
      <c r="L81" s="6" t="s">
        <v>656</v>
      </c>
      <c r="M81" s="6" t="s">
        <v>657</v>
      </c>
      <c r="N81" s="17"/>
      <c r="O81" s="17"/>
      <c r="P81" s="17" t="str">
        <f t="shared" si="6"/>
        <v>OK</v>
      </c>
      <c r="Q81" s="17" t="s">
        <v>35</v>
      </c>
      <c r="R81" s="6" t="s">
        <v>35</v>
      </c>
      <c r="S81" s="17" t="s">
        <v>36</v>
      </c>
      <c r="T81" s="17" t="s">
        <v>658</v>
      </c>
      <c r="U81" s="18" t="s">
        <v>38</v>
      </c>
      <c r="V81" s="19" t="s">
        <v>147</v>
      </c>
      <c r="W81" s="20" t="s">
        <v>492</v>
      </c>
      <c r="X81" s="21" t="s">
        <v>493</v>
      </c>
      <c r="Y81" s="22"/>
      <c r="Z81" s="7"/>
      <c r="AA81" s="7"/>
      <c r="AB81" s="23"/>
      <c r="AC81" s="26"/>
    </row>
    <row r="82" spans="1:30" ht="15.75" customHeight="1">
      <c r="A82" s="10" t="s">
        <v>659</v>
      </c>
      <c r="B82" s="10" t="s">
        <v>27</v>
      </c>
      <c r="C82" s="11" t="s">
        <v>28</v>
      </c>
      <c r="D82" s="12"/>
      <c r="E82" s="13" t="s">
        <v>162</v>
      </c>
      <c r="F82" s="6" t="s">
        <v>162</v>
      </c>
      <c r="G82" s="6" t="str">
        <f ca="1">IFERROR(__xludf.DUMMYFUNCTION("CONCATENATE(B82,(VLOOKUP(C82,CATALOGOS!$F$2:$H$6,3,FALSE)),(VLOOKUP(V82,CATALOGOS!$J$2:$K$18,2,FALSE)),""-"",TO_TEXT(A82))"),"P05RM-0081")</f>
        <v>P05RM-0081</v>
      </c>
      <c r="H82" s="15" t="str">
        <f ca="1">IFERROR(__xludf.DUMMYFUNCTION("CONCATENATE($B82,(VLOOKUP($C82,CATALOGOS!$F$2:$H$6,3,FALSE)),(VLOOKUP($V82,CATALOGOS!$J$2:$K$18,2,FALSE)),""-"",TO_TEXT($A82))"),"P05RM-0081")</f>
        <v>P05RM-0081</v>
      </c>
      <c r="I82" s="6"/>
      <c r="J82" s="6" t="s">
        <v>660</v>
      </c>
      <c r="K82" s="6" t="s">
        <v>661</v>
      </c>
      <c r="L82" s="6" t="s">
        <v>662</v>
      </c>
      <c r="M82" s="6" t="s">
        <v>141</v>
      </c>
      <c r="N82" s="17"/>
      <c r="O82" s="17"/>
      <c r="P82" s="17" t="str">
        <f t="shared" si="6"/>
        <v>REPETIDO</v>
      </c>
      <c r="Q82" s="17" t="s">
        <v>663</v>
      </c>
      <c r="R82" s="6" t="s">
        <v>664</v>
      </c>
      <c r="S82" s="17" t="s">
        <v>665</v>
      </c>
      <c r="T82" s="17" t="s">
        <v>85</v>
      </c>
      <c r="U82" s="18" t="s">
        <v>38</v>
      </c>
      <c r="V82" s="19" t="s">
        <v>147</v>
      </c>
      <c r="W82" s="20" t="s">
        <v>492</v>
      </c>
      <c r="X82" s="21" t="s">
        <v>493</v>
      </c>
      <c r="Y82" s="22"/>
      <c r="Z82" s="7"/>
      <c r="AA82" s="7"/>
      <c r="AB82" s="23"/>
      <c r="AC82" s="26"/>
    </row>
    <row r="83" spans="1:30" ht="15.75" customHeight="1">
      <c r="A83" s="10" t="s">
        <v>666</v>
      </c>
      <c r="B83" s="10" t="s">
        <v>27</v>
      </c>
      <c r="C83" s="11" t="s">
        <v>28</v>
      </c>
      <c r="D83" s="38"/>
      <c r="E83" s="13" t="s">
        <v>43</v>
      </c>
      <c r="F83" s="6" t="s">
        <v>667</v>
      </c>
      <c r="G83" s="14" t="str">
        <f ca="1">IFERROR(__xludf.DUMMYFUNCTION("CONCATENATE(B83,(VLOOKUP(C83,CATALOGOS!$F$2:$H$6,3,FALSE)),(VLOOKUP(V83,CATALOGOS!$J$2:$K$18,2,FALSE)),""-"",TO_TEXT(A83))"),"P05RM-0082")</f>
        <v>P05RM-0082</v>
      </c>
      <c r="H83" s="15" t="str">
        <f ca="1">IFERROR(__xludf.DUMMYFUNCTION("CONCATENATE($B83,(VLOOKUP($C83,CATALOGOS!$F$2:$H$6,3,FALSE)),(VLOOKUP($V83,CATALOGOS!$J$2:$K$18,2,FALSE)),""-"",TO_TEXT($A83))"),"P05RM-0082")</f>
        <v>P05RM-0082</v>
      </c>
      <c r="I83" s="6"/>
      <c r="J83" s="6" t="s">
        <v>668</v>
      </c>
      <c r="K83" s="6" t="s">
        <v>669</v>
      </c>
      <c r="L83" s="6" t="s">
        <v>670</v>
      </c>
      <c r="M83" s="6" t="s">
        <v>671</v>
      </c>
      <c r="N83" s="17"/>
      <c r="O83" s="17"/>
      <c r="P83" s="17" t="str">
        <f t="shared" si="6"/>
        <v>OK</v>
      </c>
      <c r="Q83" s="17" t="s">
        <v>672</v>
      </c>
      <c r="R83" s="6" t="s">
        <v>673</v>
      </c>
      <c r="S83" s="46" t="s">
        <v>674</v>
      </c>
      <c r="T83" s="17" t="s">
        <v>675</v>
      </c>
      <c r="U83" s="18" t="s">
        <v>38</v>
      </c>
      <c r="V83" s="19" t="s">
        <v>147</v>
      </c>
      <c r="W83" s="20" t="s">
        <v>492</v>
      </c>
      <c r="X83" s="21" t="s">
        <v>493</v>
      </c>
      <c r="Y83" s="22"/>
      <c r="Z83" s="7"/>
      <c r="AA83" s="7"/>
      <c r="AB83" s="38" t="s">
        <v>675</v>
      </c>
      <c r="AC83" s="38"/>
      <c r="AD83" s="8"/>
    </row>
    <row r="84" spans="1:30" ht="15.75" customHeight="1">
      <c r="A84" s="10" t="s">
        <v>676</v>
      </c>
      <c r="B84" s="10" t="s">
        <v>27</v>
      </c>
      <c r="C84" s="11" t="s">
        <v>28</v>
      </c>
      <c r="D84" s="12"/>
      <c r="E84" s="13" t="s">
        <v>199</v>
      </c>
      <c r="F84" s="6" t="s">
        <v>677</v>
      </c>
      <c r="G84" s="6" t="str">
        <f ca="1">IFERROR(__xludf.DUMMYFUNCTION("CONCATENATE(B84,(VLOOKUP(C84,CATALOGOS!$F$2:$H$6,3,FALSE)),(VLOOKUP(V84,CATALOGOS!$J$2:$K$18,2,FALSE)),""-"",TO_TEXT(A84))"),"P05RM-0083")</f>
        <v>P05RM-0083</v>
      </c>
      <c r="H84" s="15" t="str">
        <f ca="1">IFERROR(__xludf.DUMMYFUNCTION("CONCATENATE($B84,(VLOOKUP($C84,CATALOGOS!$F$2:$H$6,3,FALSE)),(VLOOKUP($V84,CATALOGOS!$J$2:$K$18,2,FALSE)),""-"",TO_TEXT($A84))"),"P05RM-0083")</f>
        <v>P05RM-0083</v>
      </c>
      <c r="I84" s="6"/>
      <c r="J84" s="6" t="s">
        <v>678</v>
      </c>
      <c r="K84" s="6" t="s">
        <v>679</v>
      </c>
      <c r="L84" s="6" t="s">
        <v>680</v>
      </c>
      <c r="M84" s="6" t="s">
        <v>681</v>
      </c>
      <c r="N84" s="17"/>
      <c r="O84" s="17"/>
      <c r="P84" s="17" t="str">
        <f t="shared" si="6"/>
        <v>OK</v>
      </c>
      <c r="Q84" s="17" t="s">
        <v>682</v>
      </c>
      <c r="R84" s="6" t="s">
        <v>683</v>
      </c>
      <c r="S84" s="6" t="s">
        <v>684</v>
      </c>
      <c r="T84" s="10" t="s">
        <v>685</v>
      </c>
      <c r="U84" s="18" t="s">
        <v>38</v>
      </c>
      <c r="V84" s="19" t="s">
        <v>147</v>
      </c>
      <c r="W84" s="20" t="s">
        <v>686</v>
      </c>
      <c r="X84" s="39" t="s">
        <v>687</v>
      </c>
      <c r="Y84" s="20"/>
      <c r="Z84" s="7"/>
      <c r="AA84" s="7"/>
      <c r="AB84" s="23"/>
      <c r="AC84" s="26"/>
    </row>
    <row r="85" spans="1:30" ht="15.75" customHeight="1">
      <c r="A85" s="10" t="s">
        <v>688</v>
      </c>
      <c r="B85" s="10" t="s">
        <v>27</v>
      </c>
      <c r="C85" s="11" t="s">
        <v>28</v>
      </c>
      <c r="D85" s="12"/>
      <c r="E85" s="13" t="s">
        <v>136</v>
      </c>
      <c r="F85" s="6" t="s">
        <v>689</v>
      </c>
      <c r="G85" s="14" t="str">
        <f ca="1">IFERROR(__xludf.DUMMYFUNCTION("CONCATENATE(B85,(VLOOKUP(C85,CATALOGOS!$F$2:$H$6,3,FALSE)),(VLOOKUP(V85,CATALOGOS!$J$2:$K$18,2,FALSE)),""-"",TO_TEXT(A85))"),"P05RM-0084")</f>
        <v>P05RM-0084</v>
      </c>
      <c r="H85" s="15" t="str">
        <f ca="1">IFERROR(__xludf.DUMMYFUNCTION("CONCATENATE($B85,(VLOOKUP($C85,CATALOGOS!$F$2:$H$6,3,FALSE)),(VLOOKUP($V85,CATALOGOS!$J$2:$K$18,2,FALSE)),""-"",TO_TEXT($A85))"),"P05RM-0084")</f>
        <v>P05RM-0084</v>
      </c>
      <c r="I85" s="6"/>
      <c r="J85" s="6" t="s">
        <v>690</v>
      </c>
      <c r="K85" s="6" t="s">
        <v>691</v>
      </c>
      <c r="L85" s="6" t="s">
        <v>692</v>
      </c>
      <c r="M85" s="6" t="s">
        <v>693</v>
      </c>
      <c r="N85" s="17"/>
      <c r="O85" s="17"/>
      <c r="P85" s="17" t="str">
        <f t="shared" si="6"/>
        <v>OK</v>
      </c>
      <c r="Q85" s="17" t="s">
        <v>205</v>
      </c>
      <c r="R85" s="6" t="s">
        <v>694</v>
      </c>
      <c r="S85" s="17" t="s">
        <v>695</v>
      </c>
      <c r="T85" s="17" t="s">
        <v>696</v>
      </c>
      <c r="U85" s="18" t="s">
        <v>100</v>
      </c>
      <c r="V85" s="19" t="s">
        <v>147</v>
      </c>
      <c r="W85" s="20" t="s">
        <v>483</v>
      </c>
      <c r="X85" s="39" t="s">
        <v>484</v>
      </c>
      <c r="Y85" s="22"/>
      <c r="Z85" s="7"/>
      <c r="AA85" s="7"/>
      <c r="AB85" s="23"/>
      <c r="AC85" s="26"/>
    </row>
    <row r="86" spans="1:30" ht="15.75" customHeight="1">
      <c r="A86" s="10" t="s">
        <v>697</v>
      </c>
      <c r="B86" s="10" t="s">
        <v>27</v>
      </c>
      <c r="C86" s="11" t="s">
        <v>28</v>
      </c>
      <c r="D86" s="12"/>
      <c r="E86" s="13" t="s">
        <v>151</v>
      </c>
      <c r="F86" s="6" t="s">
        <v>698</v>
      </c>
      <c r="G86" s="47" t="str">
        <f ca="1">IFERROR(__xludf.DUMMYFUNCTION("CONCATENATE(B86,(VLOOKUP(C86,CATALOGOS!$F$2:$H$6,3,FALSE)),(VLOOKUP(V86,CATALOGOS!$J$2:$K$18,2,FALSE)),""-"",TO_TEXT(A86))"),"P05RM-0085")</f>
        <v>P05RM-0085</v>
      </c>
      <c r="H86" s="15" t="str">
        <f ca="1">IFERROR(__xludf.DUMMYFUNCTION("CONCATENATE($B86,(VLOOKUP($C86,CATALOGOS!$F$2:$H$6,3,FALSE)),(VLOOKUP($V86,CATALOGOS!$J$2:$K$18,2,FALSE)),""-"",TO_TEXT($A86))"),"P05RM-0085")</f>
        <v>P05RM-0085</v>
      </c>
      <c r="I86" s="6"/>
      <c r="J86" s="6" t="s">
        <v>699</v>
      </c>
      <c r="K86" s="6" t="s">
        <v>700</v>
      </c>
      <c r="L86" s="6" t="s">
        <v>701</v>
      </c>
      <c r="M86" s="43" t="s">
        <v>702</v>
      </c>
      <c r="N86" s="17"/>
      <c r="O86" s="17"/>
      <c r="P86" s="17" t="str">
        <f t="shared" si="6"/>
        <v>OK</v>
      </c>
      <c r="Q86" s="17" t="s">
        <v>703</v>
      </c>
      <c r="R86" s="6" t="s">
        <v>704</v>
      </c>
      <c r="S86" s="32" t="s">
        <v>705</v>
      </c>
      <c r="T86" s="35" t="s">
        <v>384</v>
      </c>
      <c r="U86" s="18" t="s">
        <v>38</v>
      </c>
      <c r="V86" s="19" t="s">
        <v>147</v>
      </c>
      <c r="W86" s="20" t="s">
        <v>483</v>
      </c>
      <c r="X86" s="39" t="s">
        <v>484</v>
      </c>
      <c r="Y86" s="22"/>
      <c r="Z86" s="7"/>
      <c r="AA86" s="7"/>
      <c r="AB86" s="23"/>
      <c r="AC86" s="26"/>
    </row>
    <row r="87" spans="1:30" ht="15.75" customHeight="1">
      <c r="A87" s="10" t="s">
        <v>706</v>
      </c>
      <c r="B87" s="10" t="s">
        <v>27</v>
      </c>
      <c r="C87" s="11" t="s">
        <v>28</v>
      </c>
      <c r="D87" s="12"/>
      <c r="E87" s="13" t="s">
        <v>151</v>
      </c>
      <c r="F87" s="6" t="s">
        <v>698</v>
      </c>
      <c r="G87" s="14" t="str">
        <f ca="1">IFERROR(__xludf.DUMMYFUNCTION("CONCATENATE(B87,(VLOOKUP(C87,CATALOGOS!$F$2:$H$6,3,FALSE)),(VLOOKUP(V87,CATALOGOS!$J$2:$K$18,2,FALSE)),""-"",TO_TEXT(A87))"),"P05RM-0086")</f>
        <v>P05RM-0086</v>
      </c>
      <c r="H87" s="15" t="str">
        <f ca="1">IFERROR(__xludf.DUMMYFUNCTION("CONCATENATE($B87,(VLOOKUP($C87,CATALOGOS!$F$2:$H$6,3,FALSE)),(VLOOKUP($V87,CATALOGOS!$J$2:$K$18,2,FALSE)),""-"",TO_TEXT($A87))"),"P05RM-0086")</f>
        <v>P05RM-0086</v>
      </c>
      <c r="I87" s="6"/>
      <c r="J87" s="6" t="s">
        <v>707</v>
      </c>
      <c r="K87" s="6" t="s">
        <v>708</v>
      </c>
      <c r="L87" s="6" t="s">
        <v>709</v>
      </c>
      <c r="M87" s="6" t="s">
        <v>710</v>
      </c>
      <c r="N87" s="17"/>
      <c r="O87" s="17"/>
      <c r="P87" s="17" t="str">
        <f t="shared" si="6"/>
        <v>OK</v>
      </c>
      <c r="Q87" s="17" t="s">
        <v>703</v>
      </c>
      <c r="R87" s="6" t="s">
        <v>704</v>
      </c>
      <c r="S87" s="32" t="s">
        <v>711</v>
      </c>
      <c r="T87" s="32" t="s">
        <v>712</v>
      </c>
      <c r="U87" s="18" t="s">
        <v>38</v>
      </c>
      <c r="V87" s="19" t="s">
        <v>147</v>
      </c>
      <c r="W87" s="20" t="s">
        <v>483</v>
      </c>
      <c r="X87" s="39" t="s">
        <v>484</v>
      </c>
      <c r="Y87" s="22"/>
      <c r="Z87" s="7"/>
      <c r="AA87" s="7"/>
      <c r="AB87" s="23"/>
      <c r="AC87" s="26"/>
    </row>
    <row r="88" spans="1:30" ht="15.75" customHeight="1">
      <c r="A88" s="10" t="s">
        <v>713</v>
      </c>
      <c r="B88" s="10" t="s">
        <v>27</v>
      </c>
      <c r="C88" s="11" t="s">
        <v>28</v>
      </c>
      <c r="D88" s="12"/>
      <c r="E88" s="13" t="s">
        <v>151</v>
      </c>
      <c r="F88" s="6" t="s">
        <v>714</v>
      </c>
      <c r="G88" s="14" t="str">
        <f ca="1">IFERROR(__xludf.DUMMYFUNCTION("CONCATENATE(B88,(VLOOKUP(C88,CATALOGOS!$F$2:$H$6,3,FALSE)),(VLOOKUP(V88,CATALOGOS!$J$2:$K$18,2,FALSE)),""-"",TO_TEXT(A88))"),"P05RH-0087")</f>
        <v>P05RH-0087</v>
      </c>
      <c r="H88" s="15" t="str">
        <f ca="1">IFERROR(__xludf.DUMMYFUNCTION("CONCATENATE($B88,(VLOOKUP($C88,CATALOGOS!$F$2:$H$6,3,FALSE)),(VLOOKUP($V88,CATALOGOS!$J$2:$K$18,2,FALSE)),""-"",TO_TEXT($A88))"),"P05RH-0087")</f>
        <v>P05RH-0087</v>
      </c>
      <c r="I88" s="6"/>
      <c r="J88" s="6" t="s">
        <v>715</v>
      </c>
      <c r="K88" s="6" t="s">
        <v>716</v>
      </c>
      <c r="L88" s="6" t="s">
        <v>717</v>
      </c>
      <c r="M88" s="6" t="s">
        <v>718</v>
      </c>
      <c r="N88" s="17"/>
      <c r="O88" s="17"/>
      <c r="P88" s="17" t="str">
        <f t="shared" si="6"/>
        <v>OK</v>
      </c>
      <c r="Q88" s="17" t="s">
        <v>719</v>
      </c>
      <c r="R88" s="6" t="s">
        <v>720</v>
      </c>
      <c r="S88" s="17" t="s">
        <v>721</v>
      </c>
      <c r="T88" s="17" t="s">
        <v>722</v>
      </c>
      <c r="U88" s="18" t="s">
        <v>38</v>
      </c>
      <c r="V88" s="19" t="s">
        <v>723</v>
      </c>
      <c r="W88" s="20" t="s">
        <v>724</v>
      </c>
      <c r="X88" s="39" t="s">
        <v>724</v>
      </c>
      <c r="Y88" s="20"/>
      <c r="Z88" s="7"/>
      <c r="AA88" s="7"/>
      <c r="AB88" s="23"/>
      <c r="AC88" s="26"/>
    </row>
    <row r="89" spans="1:30" ht="15.75" customHeight="1">
      <c r="A89" s="10" t="s">
        <v>725</v>
      </c>
      <c r="B89" s="10" t="s">
        <v>27</v>
      </c>
      <c r="C89" s="11" t="s">
        <v>28</v>
      </c>
      <c r="D89" s="12"/>
      <c r="E89" s="13" t="s">
        <v>501</v>
      </c>
      <c r="F89" s="6" t="s">
        <v>726</v>
      </c>
      <c r="G89" s="14" t="str">
        <f ca="1">IFERROR(__xludf.DUMMYFUNCTION("CONCATENATE(B89,(VLOOKUP(C89,CATALOGOS!$F$2:$H$6,3,FALSE)),(VLOOKUP(V89,CATALOGOS!$J$2:$K$18,2,FALSE)),""-"",TO_TEXT(A89))"),"P05RM-0088")</f>
        <v>P05RM-0088</v>
      </c>
      <c r="H89" s="15" t="str">
        <f ca="1">IFERROR(__xludf.DUMMYFUNCTION("CONCATENATE($B89,(VLOOKUP($C89,CATALOGOS!$F$2:$H$6,3,FALSE)),(VLOOKUP($V89,CATALOGOS!$J$2:$K$18,2,FALSE)),""-"",TO_TEXT($A89))"),"P05RM-0088")</f>
        <v>P05RM-0088</v>
      </c>
      <c r="I89" s="6"/>
      <c r="J89" s="6" t="s">
        <v>727</v>
      </c>
      <c r="K89" s="6" t="s">
        <v>728</v>
      </c>
      <c r="L89" s="6" t="s">
        <v>729</v>
      </c>
      <c r="M89" s="6" t="s">
        <v>730</v>
      </c>
      <c r="N89" s="17"/>
      <c r="O89" s="17"/>
      <c r="P89" s="17" t="str">
        <f t="shared" si="6"/>
        <v>OK</v>
      </c>
      <c r="Q89" s="17" t="s">
        <v>35</v>
      </c>
      <c r="R89" s="6" t="s">
        <v>35</v>
      </c>
      <c r="S89" s="17" t="s">
        <v>36</v>
      </c>
      <c r="T89" s="17" t="s">
        <v>731</v>
      </c>
      <c r="U89" s="18" t="s">
        <v>38</v>
      </c>
      <c r="V89" s="19" t="s">
        <v>147</v>
      </c>
      <c r="W89" s="20" t="s">
        <v>483</v>
      </c>
      <c r="X89" s="39" t="s">
        <v>484</v>
      </c>
      <c r="Y89" s="22"/>
      <c r="Z89" s="7"/>
      <c r="AA89" s="7"/>
      <c r="AB89" s="23"/>
      <c r="AC89" s="26"/>
    </row>
    <row r="90" spans="1:30" ht="15.75" customHeight="1">
      <c r="A90" s="10" t="s">
        <v>732</v>
      </c>
      <c r="B90" s="10" t="s">
        <v>27</v>
      </c>
      <c r="C90" s="11" t="s">
        <v>28</v>
      </c>
      <c r="D90" s="12"/>
      <c r="E90" s="13" t="s">
        <v>210</v>
      </c>
      <c r="F90" s="6" t="s">
        <v>733</v>
      </c>
      <c r="G90" s="14" t="str">
        <f ca="1">IFERROR(__xludf.DUMMYFUNCTION("CONCATENATE(B90,(VLOOKUP(C90,CATALOGOS!$F$2:$H$6,3,FALSE)),(VLOOKUP(V90,CATALOGOS!$J$2:$K$18,2,FALSE)),""-"",TO_TEXT(A90))"),"P05RM-0089")</f>
        <v>P05RM-0089</v>
      </c>
      <c r="H90" s="15" t="str">
        <f ca="1">IFERROR(__xludf.DUMMYFUNCTION("CONCATENATE($B90,(VLOOKUP($C90,CATALOGOS!$F$2:$H$6,3,FALSE)),(VLOOKUP($V90,CATALOGOS!$J$2:$K$18,2,FALSE)),""-"",TO_TEXT($A90))"),"P05RM-0089")</f>
        <v>P05RM-0089</v>
      </c>
      <c r="I90" s="6"/>
      <c r="J90" s="6" t="s">
        <v>734</v>
      </c>
      <c r="K90" s="6" t="s">
        <v>735</v>
      </c>
      <c r="L90" s="36"/>
      <c r="M90" s="6" t="s">
        <v>736</v>
      </c>
      <c r="N90" s="17"/>
      <c r="O90" s="17"/>
      <c r="P90" s="17" t="str">
        <f t="shared" si="6"/>
        <v>OK</v>
      </c>
      <c r="Q90" s="17" t="s">
        <v>216</v>
      </c>
      <c r="R90" s="6" t="s">
        <v>737</v>
      </c>
      <c r="S90" s="6">
        <v>194708563</v>
      </c>
      <c r="T90" s="10" t="s">
        <v>85</v>
      </c>
      <c r="U90" s="18" t="s">
        <v>38</v>
      </c>
      <c r="V90" s="19" t="s">
        <v>147</v>
      </c>
      <c r="W90" s="20" t="s">
        <v>483</v>
      </c>
      <c r="X90" s="39" t="s">
        <v>484</v>
      </c>
      <c r="Y90" s="22"/>
      <c r="Z90" s="7"/>
      <c r="AA90" s="7"/>
      <c r="AB90" s="23"/>
      <c r="AC90" s="26"/>
    </row>
    <row r="91" spans="1:30" ht="15.75" customHeight="1">
      <c r="A91" s="10" t="s">
        <v>738</v>
      </c>
      <c r="B91" s="10" t="s">
        <v>27</v>
      </c>
      <c r="C91" s="11" t="s">
        <v>28</v>
      </c>
      <c r="D91" s="12"/>
      <c r="E91" s="13" t="s">
        <v>53</v>
      </c>
      <c r="F91" s="6" t="s">
        <v>739</v>
      </c>
      <c r="G91" s="14" t="str">
        <f ca="1">IFERROR(__xludf.DUMMYFUNCTION("CONCATENATE(B91,(VLOOKUP(C91,CATALOGOS!$F$2:$H$6,3,FALSE)),(VLOOKUP(V91,CATALOGOS!$J$2:$K$18,2,FALSE)),""-"",TO_TEXT(A91))"),"P05RM-0090")</f>
        <v>P05RM-0090</v>
      </c>
      <c r="H91" s="15" t="str">
        <f ca="1">IFERROR(__xludf.DUMMYFUNCTION("CONCATENATE($B91,(VLOOKUP($C91,CATALOGOS!$F$2:$H$6,3,FALSE)),(VLOOKUP($V91,CATALOGOS!$J$2:$K$18,2,FALSE)),""-"",TO_TEXT($A91))"),"P05RM-0090")</f>
        <v>P05RM-0090</v>
      </c>
      <c r="I91" s="6"/>
      <c r="J91" s="6" t="s">
        <v>740</v>
      </c>
      <c r="K91" s="6" t="s">
        <v>741</v>
      </c>
      <c r="L91" s="36"/>
      <c r="M91" s="6" t="s">
        <v>141</v>
      </c>
      <c r="N91" s="17"/>
      <c r="O91" s="17"/>
      <c r="P91" s="17" t="str">
        <f t="shared" si="6"/>
        <v>REPETIDO</v>
      </c>
      <c r="Q91" s="35" t="s">
        <v>35</v>
      </c>
      <c r="R91" s="6" t="s">
        <v>35</v>
      </c>
      <c r="S91" s="10" t="s">
        <v>36</v>
      </c>
      <c r="T91" s="32" t="s">
        <v>85</v>
      </c>
      <c r="U91" s="18" t="s">
        <v>38</v>
      </c>
      <c r="V91" s="19" t="s">
        <v>147</v>
      </c>
      <c r="W91" s="20" t="s">
        <v>483</v>
      </c>
      <c r="X91" s="39" t="s">
        <v>484</v>
      </c>
      <c r="Y91" s="22"/>
      <c r="Z91" s="7"/>
      <c r="AA91" s="7"/>
      <c r="AB91" s="23"/>
      <c r="AC91" s="26"/>
    </row>
    <row r="92" spans="1:30" ht="15.75" customHeight="1">
      <c r="A92" s="10" t="s">
        <v>742</v>
      </c>
      <c r="B92" s="10" t="s">
        <v>27</v>
      </c>
      <c r="C92" s="11" t="s">
        <v>28</v>
      </c>
      <c r="D92" s="12"/>
      <c r="E92" s="13" t="s">
        <v>93</v>
      </c>
      <c r="F92" s="6" t="s">
        <v>743</v>
      </c>
      <c r="G92" s="14" t="str">
        <f ca="1">IFERROR(__xludf.DUMMYFUNCTION("CONCATENATE(B92,(VLOOKUP(C92,CATALOGOS!$F$2:$H$6,3,FALSE)),(VLOOKUP(V92,CATALOGOS!$J$2:$K$18,2,FALSE)),""-"",TO_TEXT(A92))"),"P05RM-0091")</f>
        <v>P05RM-0091</v>
      </c>
      <c r="H92" s="15" t="str">
        <f ca="1">IFERROR(__xludf.DUMMYFUNCTION("CONCATENATE($B92,(VLOOKUP($C92,CATALOGOS!$F$2:$H$6,3,FALSE)),(VLOOKUP($V92,CATALOGOS!$J$2:$K$18,2,FALSE)),""-"",TO_TEXT($A92))"),"P05RM-0091")</f>
        <v>P05RM-0091</v>
      </c>
      <c r="I92" s="6"/>
      <c r="J92" s="6" t="s">
        <v>744</v>
      </c>
      <c r="K92" s="6" t="s">
        <v>745</v>
      </c>
      <c r="L92" s="6" t="s">
        <v>746</v>
      </c>
      <c r="M92" s="6" t="s">
        <v>747</v>
      </c>
      <c r="N92" s="17"/>
      <c r="O92" s="17"/>
      <c r="P92" s="17" t="str">
        <f t="shared" si="6"/>
        <v>OK</v>
      </c>
      <c r="Q92" s="17" t="s">
        <v>35</v>
      </c>
      <c r="R92" s="6" t="s">
        <v>35</v>
      </c>
      <c r="S92" s="17" t="s">
        <v>36</v>
      </c>
      <c r="T92" s="17" t="s">
        <v>748</v>
      </c>
      <c r="U92" s="18" t="s">
        <v>38</v>
      </c>
      <c r="V92" s="19" t="s">
        <v>147</v>
      </c>
      <c r="W92" s="20" t="s">
        <v>483</v>
      </c>
      <c r="X92" s="39" t="s">
        <v>484</v>
      </c>
      <c r="Y92" s="22"/>
      <c r="Z92" s="6"/>
      <c r="AA92" s="6" t="s">
        <v>749</v>
      </c>
      <c r="AB92" s="23"/>
      <c r="AC92" s="26"/>
    </row>
    <row r="93" spans="1:30" ht="15.75" customHeight="1">
      <c r="A93" s="10" t="s">
        <v>750</v>
      </c>
      <c r="B93" s="10" t="s">
        <v>27</v>
      </c>
      <c r="C93" s="11" t="s">
        <v>28</v>
      </c>
      <c r="D93" s="12"/>
      <c r="E93" s="13" t="s">
        <v>93</v>
      </c>
      <c r="F93" s="6" t="s">
        <v>751</v>
      </c>
      <c r="G93" s="14" t="str">
        <f ca="1">IFERROR(__xludf.DUMMYFUNCTION("CONCATENATE(B93,(VLOOKUP(C93,CATALOGOS!$F$2:$H$6,3,FALSE)),(VLOOKUP(V93,CATALOGOS!$J$2:$K$18,2,FALSE)),""-"",TO_TEXT(A93))"),"P05RM-0092")</f>
        <v>P05RM-0092</v>
      </c>
      <c r="H93" s="15" t="str">
        <f ca="1">IFERROR(__xludf.DUMMYFUNCTION("CONCATENATE($B93,(VLOOKUP($C93,CATALOGOS!$F$2:$H$6,3,FALSE)),(VLOOKUP($V93,CATALOGOS!$J$2:$K$18,2,FALSE)),""-"",TO_TEXT($A93))"),"P05RM-0092")</f>
        <v>P05RM-0092</v>
      </c>
      <c r="I93" s="6"/>
      <c r="J93" s="6" t="s">
        <v>752</v>
      </c>
      <c r="K93" s="6" t="s">
        <v>753</v>
      </c>
      <c r="L93" s="6" t="s">
        <v>754</v>
      </c>
      <c r="M93" s="43" t="s">
        <v>755</v>
      </c>
      <c r="N93" s="17"/>
      <c r="O93" s="17"/>
      <c r="P93" s="17" t="str">
        <f t="shared" si="6"/>
        <v>OK</v>
      </c>
      <c r="Q93" s="17" t="s">
        <v>35</v>
      </c>
      <c r="R93" s="6" t="s">
        <v>35</v>
      </c>
      <c r="S93" s="17" t="s">
        <v>36</v>
      </c>
      <c r="T93" s="17" t="s">
        <v>756</v>
      </c>
      <c r="U93" s="18" t="s">
        <v>38</v>
      </c>
      <c r="V93" s="19" t="s">
        <v>147</v>
      </c>
      <c r="W93" s="20" t="s">
        <v>483</v>
      </c>
      <c r="X93" s="39" t="s">
        <v>484</v>
      </c>
      <c r="Y93" s="22"/>
      <c r="Z93" s="7"/>
      <c r="AA93" s="7"/>
      <c r="AB93" s="23"/>
      <c r="AC93" s="26"/>
    </row>
    <row r="94" spans="1:30" ht="15.75" customHeight="1">
      <c r="A94" s="10" t="s">
        <v>757</v>
      </c>
      <c r="B94" s="10" t="s">
        <v>27</v>
      </c>
      <c r="C94" s="11" t="s">
        <v>28</v>
      </c>
      <c r="D94" s="12"/>
      <c r="E94" s="13" t="s">
        <v>93</v>
      </c>
      <c r="F94" s="6" t="s">
        <v>758</v>
      </c>
      <c r="G94" s="14" t="str">
        <f ca="1">IFERROR(__xludf.DUMMYFUNCTION("CONCATENATE(B94,(VLOOKUP(C94,CATALOGOS!$F$2:$H$6,3,FALSE)),(VLOOKUP(V94,CATALOGOS!$J$2:$K$18,2,FALSE)),""-"",TO_TEXT(A94))"),"P05RM-0093")</f>
        <v>P05RM-0093</v>
      </c>
      <c r="H94" s="15" t="str">
        <f ca="1">IFERROR(__xludf.DUMMYFUNCTION("CONCATENATE($B94,(VLOOKUP($C94,CATALOGOS!$F$2:$H$6,3,FALSE)),(VLOOKUP($V94,CATALOGOS!$J$2:$K$18,2,FALSE)),""-"",TO_TEXT($A94))"),"P05RM-0093")</f>
        <v>P05RM-0093</v>
      </c>
      <c r="I94" s="6"/>
      <c r="J94" s="6" t="s">
        <v>759</v>
      </c>
      <c r="K94" s="6" t="s">
        <v>760</v>
      </c>
      <c r="L94" s="6" t="s">
        <v>761</v>
      </c>
      <c r="M94" s="6" t="s">
        <v>762</v>
      </c>
      <c r="N94" s="17"/>
      <c r="O94" s="17"/>
      <c r="P94" s="17" t="str">
        <f t="shared" si="6"/>
        <v>OK</v>
      </c>
      <c r="Q94" s="17" t="s">
        <v>35</v>
      </c>
      <c r="R94" s="6" t="s">
        <v>35</v>
      </c>
      <c r="S94" s="17" t="s">
        <v>36</v>
      </c>
      <c r="T94" s="17" t="s">
        <v>763</v>
      </c>
      <c r="U94" s="18" t="s">
        <v>38</v>
      </c>
      <c r="V94" s="19" t="s">
        <v>147</v>
      </c>
      <c r="W94" s="20" t="s">
        <v>483</v>
      </c>
      <c r="X94" s="39" t="s">
        <v>484</v>
      </c>
      <c r="Y94" s="22"/>
      <c r="Z94" s="6"/>
      <c r="AA94" s="6" t="s">
        <v>749</v>
      </c>
      <c r="AB94" s="23"/>
      <c r="AC94" s="26"/>
    </row>
    <row r="95" spans="1:30" ht="15.75" customHeight="1">
      <c r="A95" s="10" t="s">
        <v>764</v>
      </c>
      <c r="B95" s="10" t="s">
        <v>27</v>
      </c>
      <c r="C95" s="11" t="s">
        <v>28</v>
      </c>
      <c r="D95" s="12"/>
      <c r="E95" s="13" t="s">
        <v>93</v>
      </c>
      <c r="F95" s="6" t="s">
        <v>765</v>
      </c>
      <c r="G95" s="14" t="str">
        <f ca="1">IFERROR(__xludf.DUMMYFUNCTION("CONCATENATE(B95,(VLOOKUP(C95,CATALOGOS!$F$2:$H$6,3,FALSE)),(VLOOKUP(V95,CATALOGOS!$J$2:$K$18,2,FALSE)),""-"",TO_TEXT(A95))"),"P05DA-0094")</f>
        <v>P05DA-0094</v>
      </c>
      <c r="H95" s="15" t="str">
        <f ca="1">IFERROR(__xludf.DUMMYFUNCTION("CONCATENATE($B95,(VLOOKUP($C95,CATALOGOS!$F$2:$H$6,3,FALSE)),(VLOOKUP($V95,CATALOGOS!$J$2:$K$18,2,FALSE)),""-"",TO_TEXT($A95))"),"P05DA-0094")</f>
        <v>P05DA-0094</v>
      </c>
      <c r="I95" s="6"/>
      <c r="J95" s="6" t="s">
        <v>766</v>
      </c>
      <c r="K95" s="6" t="s">
        <v>767</v>
      </c>
      <c r="L95" s="6" t="s">
        <v>768</v>
      </c>
      <c r="M95" s="6" t="s">
        <v>769</v>
      </c>
      <c r="N95" s="17"/>
      <c r="O95" s="17"/>
      <c r="P95" s="17" t="str">
        <f t="shared" si="6"/>
        <v>OK</v>
      </c>
      <c r="Q95" s="17" t="s">
        <v>35</v>
      </c>
      <c r="R95" s="6" t="s">
        <v>35</v>
      </c>
      <c r="S95" s="17" t="s">
        <v>36</v>
      </c>
      <c r="T95" s="17" t="s">
        <v>770</v>
      </c>
      <c r="U95" s="18" t="s">
        <v>38</v>
      </c>
      <c r="V95" s="19" t="s">
        <v>28</v>
      </c>
      <c r="W95" s="20" t="s">
        <v>392</v>
      </c>
      <c r="X95" s="39" t="s">
        <v>392</v>
      </c>
      <c r="Y95" s="20"/>
      <c r="Z95" s="6"/>
      <c r="AA95" s="6" t="s">
        <v>432</v>
      </c>
      <c r="AB95" s="23"/>
      <c r="AC95" s="26"/>
    </row>
    <row r="96" spans="1:30" ht="15.75" customHeight="1">
      <c r="A96" s="10" t="s">
        <v>771</v>
      </c>
      <c r="B96" s="10" t="s">
        <v>27</v>
      </c>
      <c r="C96" s="11" t="s">
        <v>28</v>
      </c>
      <c r="D96" s="12"/>
      <c r="E96" s="13" t="s">
        <v>93</v>
      </c>
      <c r="F96" s="6" t="s">
        <v>772</v>
      </c>
      <c r="G96" s="6" t="str">
        <f ca="1">IFERROR(__xludf.DUMMYFUNCTION("CONCATENATE(B96,(VLOOKUP(C96,CATALOGOS!$F$2:$H$6,3,FALSE)),(VLOOKUP(V96,CATALOGOS!$J$2:$K$18,2,FALSE)),""-"",TO_TEXT(A96))"),"P05RM-0095")</f>
        <v>P05RM-0095</v>
      </c>
      <c r="H96" s="15" t="str">
        <f ca="1">IFERROR(__xludf.DUMMYFUNCTION("CONCATENATE($B96,(VLOOKUP($C96,CATALOGOS!$F$2:$H$6,3,FALSE)),(VLOOKUP($V96,CATALOGOS!$J$2:$K$18,2,FALSE)),""-"",TO_TEXT($A96))"),"P05RM-0095")</f>
        <v>P05RM-0095</v>
      </c>
      <c r="I96" s="6"/>
      <c r="J96" s="6" t="s">
        <v>773</v>
      </c>
      <c r="K96" s="6" t="s">
        <v>774</v>
      </c>
      <c r="L96" s="6" t="s">
        <v>775</v>
      </c>
      <c r="M96" s="6" t="s">
        <v>776</v>
      </c>
      <c r="N96" s="17"/>
      <c r="O96" s="17"/>
      <c r="P96" s="17" t="str">
        <f t="shared" si="6"/>
        <v>OK</v>
      </c>
      <c r="Q96" s="17" t="s">
        <v>35</v>
      </c>
      <c r="R96" s="6" t="s">
        <v>35</v>
      </c>
      <c r="S96" s="17" t="s">
        <v>36</v>
      </c>
      <c r="T96" s="17" t="s">
        <v>777</v>
      </c>
      <c r="U96" s="18" t="s">
        <v>38</v>
      </c>
      <c r="V96" s="19" t="s">
        <v>147</v>
      </c>
      <c r="W96" s="20" t="s">
        <v>483</v>
      </c>
      <c r="X96" s="39" t="s">
        <v>484</v>
      </c>
      <c r="Y96" s="22"/>
      <c r="Z96" s="7"/>
      <c r="AA96" s="7"/>
      <c r="AB96" s="23"/>
      <c r="AC96" s="26"/>
    </row>
    <row r="97" spans="1:29" ht="15.75" customHeight="1">
      <c r="A97" s="10" t="s">
        <v>778</v>
      </c>
      <c r="B97" s="10" t="s">
        <v>27</v>
      </c>
      <c r="C97" s="11" t="s">
        <v>28</v>
      </c>
      <c r="D97" s="12"/>
      <c r="E97" s="13" t="s">
        <v>93</v>
      </c>
      <c r="F97" s="6" t="s">
        <v>779</v>
      </c>
      <c r="G97" s="6" t="str">
        <f ca="1">IFERROR(__xludf.DUMMYFUNCTION("CONCATENATE(B97,(VLOOKUP(C97,CATALOGOS!$F$2:$H$6,3,FALSE)),(VLOOKUP(V97,CATALOGOS!$J$2:$K$18,2,FALSE)),""-"",TO_TEXT(A97))"),"P05RM-0096")</f>
        <v>P05RM-0096</v>
      </c>
      <c r="H97" s="15" t="str">
        <f ca="1">IFERROR(__xludf.DUMMYFUNCTION("CONCATENATE($B97,(VLOOKUP($C97,CATALOGOS!$F$2:$H$6,3,FALSE)),(VLOOKUP($V97,CATALOGOS!$J$2:$K$18,2,FALSE)),""-"",TO_TEXT($A97))"),"P05RM-0096")</f>
        <v>P05RM-0096</v>
      </c>
      <c r="I97" s="6"/>
      <c r="J97" s="6" t="s">
        <v>780</v>
      </c>
      <c r="K97" s="6" t="s">
        <v>781</v>
      </c>
      <c r="L97" s="36"/>
      <c r="M97" s="6" t="s">
        <v>141</v>
      </c>
      <c r="N97" s="17"/>
      <c r="O97" s="17"/>
      <c r="P97" s="17" t="str">
        <f t="shared" si="6"/>
        <v>REPETIDO</v>
      </c>
      <c r="Q97" s="35" t="s">
        <v>35</v>
      </c>
      <c r="R97" s="6" t="s">
        <v>35</v>
      </c>
      <c r="S97" s="10" t="s">
        <v>36</v>
      </c>
      <c r="T97" s="32" t="s">
        <v>85</v>
      </c>
      <c r="U97" s="18" t="s">
        <v>38</v>
      </c>
      <c r="V97" s="19" t="s">
        <v>147</v>
      </c>
      <c r="W97" s="20" t="s">
        <v>483</v>
      </c>
      <c r="X97" s="39" t="s">
        <v>484</v>
      </c>
      <c r="Y97" s="22"/>
      <c r="Z97" s="7"/>
      <c r="AA97" s="7"/>
      <c r="AB97" s="23"/>
      <c r="AC97" s="26"/>
    </row>
    <row r="98" spans="1:29" ht="15.75" customHeight="1">
      <c r="A98" s="10" t="s">
        <v>782</v>
      </c>
      <c r="B98" s="10" t="s">
        <v>27</v>
      </c>
      <c r="C98" s="11" t="s">
        <v>28</v>
      </c>
      <c r="D98" s="12"/>
      <c r="E98" s="13" t="s">
        <v>501</v>
      </c>
      <c r="F98" s="6" t="s">
        <v>783</v>
      </c>
      <c r="G98" s="6" t="str">
        <f ca="1">IFERROR(__xludf.DUMMYFUNCTION("CONCATENATE(B98,(VLOOKUP(C98,CATALOGOS!$F$2:$H$6,3,FALSE)),(VLOOKUP(V98,CATALOGOS!$J$2:$K$18,2,FALSE)),""-"",TO_TEXT(A98))"),"P05RM-0097")</f>
        <v>P05RM-0097</v>
      </c>
      <c r="H98" s="15" t="str">
        <f ca="1">IFERROR(__xludf.DUMMYFUNCTION("CONCATENATE($B98,(VLOOKUP($C98,CATALOGOS!$F$2:$H$6,3,FALSE)),(VLOOKUP($V98,CATALOGOS!$J$2:$K$18,2,FALSE)),""-"",TO_TEXT($A98))"),"P05RM-0097")</f>
        <v>P05RM-0097</v>
      </c>
      <c r="I98" s="6"/>
      <c r="J98" s="6" t="s">
        <v>784</v>
      </c>
      <c r="K98" s="6" t="s">
        <v>785</v>
      </c>
      <c r="L98" s="6" t="s">
        <v>786</v>
      </c>
      <c r="M98" s="6" t="s">
        <v>787</v>
      </c>
      <c r="N98" s="17"/>
      <c r="O98" s="17"/>
      <c r="P98" s="17" t="str">
        <f t="shared" si="6"/>
        <v>OK</v>
      </c>
      <c r="Q98" s="17" t="s">
        <v>35</v>
      </c>
      <c r="R98" s="6" t="s">
        <v>35</v>
      </c>
      <c r="S98" s="17" t="s">
        <v>36</v>
      </c>
      <c r="T98" s="17" t="s">
        <v>788</v>
      </c>
      <c r="U98" s="18" t="s">
        <v>38</v>
      </c>
      <c r="V98" s="19" t="s">
        <v>147</v>
      </c>
      <c r="W98" s="20" t="s">
        <v>483</v>
      </c>
      <c r="X98" s="39" t="s">
        <v>484</v>
      </c>
      <c r="Y98" s="22"/>
      <c r="Z98" s="6"/>
      <c r="AA98" s="6" t="s">
        <v>749</v>
      </c>
      <c r="AB98" s="23"/>
      <c r="AC98" s="26"/>
    </row>
    <row r="99" spans="1:29" ht="15.75" customHeight="1">
      <c r="A99" s="10" t="s">
        <v>789</v>
      </c>
      <c r="B99" s="10" t="s">
        <v>27</v>
      </c>
      <c r="C99" s="11" t="s">
        <v>28</v>
      </c>
      <c r="D99" s="12"/>
      <c r="E99" s="13" t="s">
        <v>199</v>
      </c>
      <c r="F99" s="6" t="s">
        <v>199</v>
      </c>
      <c r="G99" s="47" t="str">
        <f ca="1">IFERROR(__xludf.DUMMYFUNCTION("CONCATENATE(B99,(VLOOKUP(C99,CATALOGOS!$F$2:$H$6,3,FALSE)),(VLOOKUP(V99,CATALOGOS!$J$2:$K$18,2,FALSE)),""-"",TO_TEXT(A99))"),"P05RM-0098")</f>
        <v>P05RM-0098</v>
      </c>
      <c r="H99" s="15" t="str">
        <f ca="1">IFERROR(__xludf.DUMMYFUNCTION("CONCATENATE($B99,(VLOOKUP($C99,CATALOGOS!$F$2:$H$6,3,FALSE)),(VLOOKUP($V99,CATALOGOS!$J$2:$K$18,2,FALSE)),""-"",TO_TEXT($A99))"),"P05RM-0098")</f>
        <v>P05RM-0098</v>
      </c>
      <c r="I99" s="6"/>
      <c r="J99" s="6" t="s">
        <v>790</v>
      </c>
      <c r="K99" s="6" t="s">
        <v>791</v>
      </c>
      <c r="L99" s="6" t="s">
        <v>792</v>
      </c>
      <c r="M99" s="6" t="s">
        <v>793</v>
      </c>
      <c r="N99" s="17"/>
      <c r="O99" s="17"/>
      <c r="P99" s="17" t="str">
        <f t="shared" si="6"/>
        <v>OK</v>
      </c>
      <c r="Q99" s="17" t="s">
        <v>205</v>
      </c>
      <c r="R99" s="6" t="s">
        <v>794</v>
      </c>
      <c r="S99" s="17" t="s">
        <v>795</v>
      </c>
      <c r="T99" s="17" t="s">
        <v>796</v>
      </c>
      <c r="U99" s="18" t="s">
        <v>38</v>
      </c>
      <c r="V99" s="19" t="s">
        <v>147</v>
      </c>
      <c r="W99" s="20" t="s">
        <v>483</v>
      </c>
      <c r="X99" s="39" t="s">
        <v>484</v>
      </c>
      <c r="Y99" s="22"/>
      <c r="Z99" s="7"/>
      <c r="AA99" s="7"/>
      <c r="AB99" s="23"/>
      <c r="AC99" s="26"/>
    </row>
    <row r="100" spans="1:29" ht="15.75" customHeight="1">
      <c r="A100" s="10" t="s">
        <v>797</v>
      </c>
      <c r="B100" s="10" t="s">
        <v>27</v>
      </c>
      <c r="C100" s="11" t="s">
        <v>28</v>
      </c>
      <c r="D100" s="12"/>
      <c r="E100" s="13" t="s">
        <v>199</v>
      </c>
      <c r="F100" s="6" t="s">
        <v>798</v>
      </c>
      <c r="G100" s="6" t="str">
        <f ca="1">IFERROR(__xludf.DUMMYFUNCTION("CONCATENATE(B100,(VLOOKUP(C100,CATALOGOS!$F$2:$H$6,3,FALSE)),(VLOOKUP(V100,CATALOGOS!$J$2:$K$18,2,FALSE)),""-"",TO_TEXT(A100))"),"P05RM-0099")</f>
        <v>P05RM-0099</v>
      </c>
      <c r="H100" s="15" t="str">
        <f ca="1">IFERROR(__xludf.DUMMYFUNCTION("CONCATENATE($B100,(VLOOKUP($C100,CATALOGOS!$F$2:$H$6,3,FALSE)),(VLOOKUP($V100,CATALOGOS!$J$2:$K$18,2,FALSE)),""-"",TO_TEXT($A100))"),"P05RM-0099")</f>
        <v>P05RM-0099</v>
      </c>
      <c r="I100" s="6"/>
      <c r="J100" s="6" t="s">
        <v>799</v>
      </c>
      <c r="K100" s="6" t="s">
        <v>800</v>
      </c>
      <c r="L100" s="6" t="s">
        <v>801</v>
      </c>
      <c r="M100" s="43" t="s">
        <v>141</v>
      </c>
      <c r="N100" s="17"/>
      <c r="O100" s="17"/>
      <c r="P100" s="17" t="str">
        <f t="shared" si="6"/>
        <v>REPETIDO</v>
      </c>
      <c r="Q100" s="17" t="s">
        <v>205</v>
      </c>
      <c r="R100" s="6" t="s">
        <v>802</v>
      </c>
      <c r="S100" s="17" t="s">
        <v>803</v>
      </c>
      <c r="T100" s="10" t="s">
        <v>804</v>
      </c>
      <c r="U100" s="50" t="s">
        <v>549</v>
      </c>
      <c r="V100" s="19" t="s">
        <v>147</v>
      </c>
      <c r="W100" s="20" t="s">
        <v>483</v>
      </c>
      <c r="X100" s="39" t="s">
        <v>484</v>
      </c>
      <c r="Y100" s="22"/>
      <c r="Z100" s="7"/>
      <c r="AA100" s="7"/>
      <c r="AB100" s="23"/>
      <c r="AC100" s="26"/>
    </row>
    <row r="101" spans="1:29" ht="15.75" customHeight="1">
      <c r="A101" s="10" t="s">
        <v>805</v>
      </c>
      <c r="B101" s="10" t="s">
        <v>27</v>
      </c>
      <c r="C101" s="11" t="s">
        <v>28</v>
      </c>
      <c r="D101" s="12"/>
      <c r="E101" s="13" t="s">
        <v>199</v>
      </c>
      <c r="F101" s="6" t="s">
        <v>199</v>
      </c>
      <c r="G101" s="47" t="str">
        <f ca="1">IFERROR(__xludf.DUMMYFUNCTION("CONCATENATE(B101,(VLOOKUP(C101,CATALOGOS!$F$2:$H$6,3,FALSE)),(VLOOKUP(V101,CATALOGOS!$J$2:$K$18,2,FALSE)),""-"",TO_TEXT(A101))"),"P05RM-0100")</f>
        <v>P05RM-0100</v>
      </c>
      <c r="H101" s="15" t="str">
        <f ca="1">IFERROR(__xludf.DUMMYFUNCTION("CONCATENATE($B101,(VLOOKUP($C101,CATALOGOS!$F$2:$H$6,3,FALSE)),(VLOOKUP($V101,CATALOGOS!$J$2:$K$18,2,FALSE)),""-"",TO_TEXT($A101))"),"P05RM-0100")</f>
        <v>P05RM-0100</v>
      </c>
      <c r="I101" s="6"/>
      <c r="J101" s="6" t="s">
        <v>806</v>
      </c>
      <c r="K101" s="6" t="s">
        <v>807</v>
      </c>
      <c r="L101" s="6" t="s">
        <v>808</v>
      </c>
      <c r="M101" s="43" t="s">
        <v>141</v>
      </c>
      <c r="N101" s="17"/>
      <c r="O101" s="17"/>
      <c r="P101" s="17" t="str">
        <f t="shared" si="6"/>
        <v>REPETIDO</v>
      </c>
      <c r="Q101" s="17" t="s">
        <v>205</v>
      </c>
      <c r="R101" s="6" t="s">
        <v>794</v>
      </c>
      <c r="S101" s="17" t="s">
        <v>809</v>
      </c>
      <c r="T101" s="17" t="s">
        <v>810</v>
      </c>
      <c r="U101" s="18" t="s">
        <v>38</v>
      </c>
      <c r="V101" s="19" t="s">
        <v>147</v>
      </c>
      <c r="W101" s="20" t="s">
        <v>483</v>
      </c>
      <c r="X101" s="39" t="s">
        <v>484</v>
      </c>
      <c r="Y101" s="22"/>
      <c r="Z101" s="7"/>
      <c r="AA101" s="7"/>
      <c r="AB101" s="23"/>
      <c r="AC101" s="26"/>
    </row>
    <row r="102" spans="1:29" ht="15.75" customHeight="1">
      <c r="A102" s="10" t="s">
        <v>811</v>
      </c>
      <c r="B102" s="10" t="s">
        <v>27</v>
      </c>
      <c r="C102" s="11" t="s">
        <v>28</v>
      </c>
      <c r="D102" s="12"/>
      <c r="E102" s="13" t="s">
        <v>199</v>
      </c>
      <c r="F102" s="6" t="s">
        <v>199</v>
      </c>
      <c r="G102" s="47" t="str">
        <f ca="1">IFERROR(__xludf.DUMMYFUNCTION("CONCATENATE(B102,(VLOOKUP(C102,CATALOGOS!$F$2:$H$6,3,FALSE)),(VLOOKUP(V102,CATALOGOS!$J$2:$K$18,2,FALSE)),""-"",TO_TEXT(A102))"),"P05RM-0101")</f>
        <v>P05RM-0101</v>
      </c>
      <c r="H102" s="15" t="str">
        <f ca="1">IFERROR(__xludf.DUMMYFUNCTION("CONCATENATE($B102,(VLOOKUP($C102,CATALOGOS!$F$2:$H$6,3,FALSE)),(VLOOKUP($V102,CATALOGOS!$J$2:$K$18,2,FALSE)),""-"",TO_TEXT($A102))"),"P05RM-0101")</f>
        <v>P05RM-0101</v>
      </c>
      <c r="I102" s="6"/>
      <c r="J102" s="6" t="s">
        <v>812</v>
      </c>
      <c r="K102" s="6" t="s">
        <v>813</v>
      </c>
      <c r="L102" s="36"/>
      <c r="M102" s="6" t="s">
        <v>814</v>
      </c>
      <c r="N102" s="17"/>
      <c r="O102" s="17"/>
      <c r="P102" s="17" t="str">
        <f t="shared" si="6"/>
        <v>OK</v>
      </c>
      <c r="Q102" s="17" t="s">
        <v>205</v>
      </c>
      <c r="R102" s="6" t="s">
        <v>794</v>
      </c>
      <c r="S102" s="6" t="s">
        <v>815</v>
      </c>
      <c r="T102" s="10" t="s">
        <v>816</v>
      </c>
      <c r="U102" s="50" t="s">
        <v>817</v>
      </c>
      <c r="V102" s="20" t="s">
        <v>147</v>
      </c>
      <c r="W102" s="20" t="s">
        <v>483</v>
      </c>
      <c r="X102" s="39" t="s">
        <v>484</v>
      </c>
      <c r="Y102" s="22"/>
      <c r="Z102" s="6"/>
      <c r="AA102" s="6" t="s">
        <v>749</v>
      </c>
      <c r="AB102" s="23"/>
      <c r="AC102" s="26"/>
    </row>
    <row r="103" spans="1:29" ht="15.75" customHeight="1">
      <c r="A103" s="10" t="s">
        <v>818</v>
      </c>
      <c r="B103" s="10" t="s">
        <v>27</v>
      </c>
      <c r="C103" s="11" t="s">
        <v>28</v>
      </c>
      <c r="D103" s="12"/>
      <c r="E103" s="13" t="s">
        <v>199</v>
      </c>
      <c r="F103" s="6" t="s">
        <v>199</v>
      </c>
      <c r="G103" s="47" t="str">
        <f ca="1">IFERROR(__xludf.DUMMYFUNCTION("CONCATENATE(B103,(VLOOKUP(C103,CATALOGOS!$F$2:$H$6,3,FALSE)),(VLOOKUP(V103,CATALOGOS!$J$2:$K$18,2,FALSE)),""-"",TO_TEXT(A103))"),"P05RM-0102")</f>
        <v>P05RM-0102</v>
      </c>
      <c r="H103" s="15" t="str">
        <f ca="1">IFERROR(__xludf.DUMMYFUNCTION("CONCATENATE($B103,(VLOOKUP($C103,CATALOGOS!$F$2:$H$6,3,FALSE)),(VLOOKUP($V103,CATALOGOS!$J$2:$K$18,2,FALSE)),""-"",TO_TEXT($A103))"),"P05RM-0102")</f>
        <v>P05RM-0102</v>
      </c>
      <c r="I103" s="6"/>
      <c r="J103" s="6" t="s">
        <v>819</v>
      </c>
      <c r="K103" s="6" t="s">
        <v>820</v>
      </c>
      <c r="L103" s="6" t="s">
        <v>821</v>
      </c>
      <c r="M103" s="43" t="s">
        <v>141</v>
      </c>
      <c r="N103" s="17"/>
      <c r="O103" s="17"/>
      <c r="P103" s="17" t="str">
        <f t="shared" si="6"/>
        <v>REPETIDO</v>
      </c>
      <c r="Q103" s="17" t="s">
        <v>205</v>
      </c>
      <c r="R103" s="6" t="s">
        <v>794</v>
      </c>
      <c r="S103" s="17" t="s">
        <v>822</v>
      </c>
      <c r="T103" s="17" t="s">
        <v>823</v>
      </c>
      <c r="U103" s="18" t="s">
        <v>38</v>
      </c>
      <c r="V103" s="19" t="s">
        <v>147</v>
      </c>
      <c r="W103" s="20" t="s">
        <v>483</v>
      </c>
      <c r="X103" s="39" t="s">
        <v>484</v>
      </c>
      <c r="Y103" s="22"/>
      <c r="Z103" s="7"/>
      <c r="AA103" s="7"/>
      <c r="AB103" s="23"/>
      <c r="AC103" s="26"/>
    </row>
    <row r="104" spans="1:29" ht="15.75" customHeight="1">
      <c r="A104" s="10" t="s">
        <v>824</v>
      </c>
      <c r="B104" s="10" t="s">
        <v>27</v>
      </c>
      <c r="C104" s="11" t="s">
        <v>28</v>
      </c>
      <c r="D104" s="12"/>
      <c r="E104" s="13" t="s">
        <v>353</v>
      </c>
      <c r="F104" s="6" t="s">
        <v>354</v>
      </c>
      <c r="G104" s="47" t="str">
        <f ca="1">IFERROR(__xludf.DUMMYFUNCTION("CONCATENATE(B104,(VLOOKUP(C104,CATALOGOS!$F$2:$H$6,3,FALSE)),(VLOOKUP(V104,CATALOGOS!$J$2:$K$18,2,FALSE)),""-"",TO_TEXT(A104))"),"P05RM-0103")</f>
        <v>P05RM-0103</v>
      </c>
      <c r="H104" s="15" t="str">
        <f ca="1">IFERROR(__xludf.DUMMYFUNCTION("CONCATENATE($B104,(VLOOKUP($C104,CATALOGOS!$F$2:$H$6,3,FALSE)),(VLOOKUP($V104,CATALOGOS!$J$2:$K$18,2,FALSE)),""-"",TO_TEXT($A104))"),"P05RM-0103")</f>
        <v>P05RM-0103</v>
      </c>
      <c r="I104" s="6"/>
      <c r="J104" s="6" t="s">
        <v>825</v>
      </c>
      <c r="K104" s="6" t="s">
        <v>826</v>
      </c>
      <c r="L104" s="36"/>
      <c r="M104" s="6" t="s">
        <v>141</v>
      </c>
      <c r="N104" s="17"/>
      <c r="O104" s="17"/>
      <c r="P104" s="17" t="str">
        <f t="shared" si="6"/>
        <v>REPETIDO</v>
      </c>
      <c r="Q104" s="17" t="s">
        <v>827</v>
      </c>
      <c r="R104" s="6" t="s">
        <v>828</v>
      </c>
      <c r="S104" s="6" t="s">
        <v>829</v>
      </c>
      <c r="T104" s="10" t="s">
        <v>85</v>
      </c>
      <c r="U104" s="18" t="s">
        <v>38</v>
      </c>
      <c r="V104" s="19" t="s">
        <v>147</v>
      </c>
      <c r="W104" s="20" t="s">
        <v>483</v>
      </c>
      <c r="X104" s="39" t="s">
        <v>484</v>
      </c>
      <c r="Y104" s="22"/>
      <c r="Z104" s="6"/>
      <c r="AA104" s="6" t="s">
        <v>749</v>
      </c>
      <c r="AB104" s="23"/>
      <c r="AC104" s="26"/>
    </row>
    <row r="105" spans="1:29" ht="15.75" customHeight="1">
      <c r="A105" s="10" t="s">
        <v>830</v>
      </c>
      <c r="B105" s="10" t="s">
        <v>27</v>
      </c>
      <c r="C105" s="11" t="s">
        <v>28</v>
      </c>
      <c r="D105" s="12"/>
      <c r="E105" s="13" t="s">
        <v>378</v>
      </c>
      <c r="F105" s="6" t="s">
        <v>831</v>
      </c>
      <c r="G105" s="6" t="str">
        <f ca="1">IFERROR(__xludf.DUMMYFUNCTION("CONCATENATE(B105,(VLOOKUP(C105,CATALOGOS!$F$2:$H$6,3,FALSE)),(VLOOKUP(V105,CATALOGOS!$J$2:$K$18,2,FALSE)),""-"",TO_TEXT(A105))"),"P05RM-0104")</f>
        <v>P05RM-0104</v>
      </c>
      <c r="H105" s="15" t="str">
        <f ca="1">IFERROR(__xludf.DUMMYFUNCTION("CONCATENATE($B105,(VLOOKUP($C105,CATALOGOS!$F$2:$H$6,3,FALSE)),(VLOOKUP($V105,CATALOGOS!$J$2:$K$18,2,FALSE)),""-"",TO_TEXT($A105))"),"P05RM-0104")</f>
        <v>P05RM-0104</v>
      </c>
      <c r="I105" s="6"/>
      <c r="J105" s="6" t="s">
        <v>832</v>
      </c>
      <c r="K105" s="6" t="s">
        <v>833</v>
      </c>
      <c r="L105" s="36"/>
      <c r="M105" s="6" t="s">
        <v>141</v>
      </c>
      <c r="N105" s="17"/>
      <c r="O105" s="17"/>
      <c r="P105" s="17" t="str">
        <f t="shared" si="6"/>
        <v>REPETIDO</v>
      </c>
      <c r="Q105" s="35" t="s">
        <v>35</v>
      </c>
      <c r="R105" s="6" t="s">
        <v>35</v>
      </c>
      <c r="S105" s="10" t="s">
        <v>36</v>
      </c>
      <c r="T105" s="32" t="s">
        <v>85</v>
      </c>
      <c r="U105" s="18" t="s">
        <v>38</v>
      </c>
      <c r="V105" s="19" t="s">
        <v>147</v>
      </c>
      <c r="W105" s="20" t="s">
        <v>483</v>
      </c>
      <c r="X105" s="39" t="s">
        <v>484</v>
      </c>
      <c r="Y105" s="22"/>
      <c r="Z105" s="7"/>
      <c r="AA105" s="7"/>
      <c r="AB105" s="23"/>
      <c r="AC105" s="26"/>
    </row>
    <row r="106" spans="1:29" ht="15.75" customHeight="1">
      <c r="A106" s="10" t="s">
        <v>834</v>
      </c>
      <c r="B106" s="10" t="s">
        <v>27</v>
      </c>
      <c r="C106" s="11" t="s">
        <v>28</v>
      </c>
      <c r="D106" s="38"/>
      <c r="E106" s="13" t="s">
        <v>835</v>
      </c>
      <c r="F106" s="43" t="s">
        <v>836</v>
      </c>
      <c r="G106" s="6" t="str">
        <f ca="1">IFERROR(__xludf.DUMMYFUNCTION("CONCATENATE(B106,(VLOOKUP(C106,CATALOGOS!$F$2:$H$6,3,FALSE)),(VLOOKUP(V106,CATALOGOS!$J$2:$K$18,2,FALSE)),""-"",TO_TEXT(A106))"),"P05RM-0105")</f>
        <v>P05RM-0105</v>
      </c>
      <c r="H106" s="15" t="str">
        <f ca="1">IFERROR(__xludf.DUMMYFUNCTION("CONCATENATE($B106,(VLOOKUP($C106,CATALOGOS!$F$2:$H$6,3,FALSE)),(VLOOKUP($V106,CATALOGOS!$J$2:$K$18,2,FALSE)),""-"",TO_TEXT($A106))"),"P05RM-0105")</f>
        <v>P05RM-0105</v>
      </c>
      <c r="I106" s="6"/>
      <c r="J106" s="6" t="s">
        <v>837</v>
      </c>
      <c r="K106" s="6" t="s">
        <v>838</v>
      </c>
      <c r="L106" s="6" t="s">
        <v>839</v>
      </c>
      <c r="M106" s="6" t="s">
        <v>141</v>
      </c>
      <c r="N106" s="17"/>
      <c r="O106" s="17"/>
      <c r="P106" s="17" t="str">
        <f t="shared" si="6"/>
        <v>REPETIDO</v>
      </c>
      <c r="Q106" s="17" t="s">
        <v>840</v>
      </c>
      <c r="R106" s="6" t="s">
        <v>35</v>
      </c>
      <c r="S106" s="6" t="s">
        <v>36</v>
      </c>
      <c r="T106" s="17" t="s">
        <v>841</v>
      </c>
      <c r="U106" s="18" t="s">
        <v>38</v>
      </c>
      <c r="V106" s="19" t="s">
        <v>147</v>
      </c>
      <c r="W106" s="20" t="s">
        <v>483</v>
      </c>
      <c r="X106" s="39" t="s">
        <v>484</v>
      </c>
      <c r="Y106" s="22"/>
      <c r="Z106" s="7"/>
      <c r="AA106" s="7"/>
      <c r="AB106" s="26"/>
      <c r="AC106" s="26"/>
    </row>
    <row r="107" spans="1:29" ht="15.75" customHeight="1">
      <c r="A107" s="10" t="s">
        <v>842</v>
      </c>
      <c r="B107" s="10" t="s">
        <v>27</v>
      </c>
      <c r="C107" s="11" t="s">
        <v>28</v>
      </c>
      <c r="D107" s="12"/>
      <c r="E107" s="13" t="s">
        <v>843</v>
      </c>
      <c r="F107" s="6" t="s">
        <v>843</v>
      </c>
      <c r="G107" s="6" t="str">
        <f ca="1">IFERROR(__xludf.DUMMYFUNCTION("CONCATENATE(B107,(VLOOKUP(C107,CATALOGOS!$F$2:$H$6,3,FALSE)),(VLOOKUP(V107,CATALOGOS!$J$2:$K$18,2,FALSE)),""-"",TO_TEXT(A107))"),"P05DA-0106")</f>
        <v>P05DA-0106</v>
      </c>
      <c r="H107" s="15" t="str">
        <f ca="1">IFERROR(__xludf.DUMMYFUNCTION("CONCATENATE($B107,(VLOOKUP($C107,CATALOGOS!$F$2:$H$6,3,FALSE)),(VLOOKUP($V107,CATALOGOS!$J$2:$K$18,2,FALSE)),""-"",TO_TEXT($A107))"),"P05DA-0106")</f>
        <v>P05DA-0106</v>
      </c>
      <c r="I107" s="6"/>
      <c r="J107" s="6" t="s">
        <v>844</v>
      </c>
      <c r="K107" s="6" t="s">
        <v>845</v>
      </c>
      <c r="L107" s="6" t="s">
        <v>846</v>
      </c>
      <c r="M107" s="43" t="s">
        <v>141</v>
      </c>
      <c r="N107" s="17"/>
      <c r="O107" s="17"/>
      <c r="P107" s="17" t="str">
        <f t="shared" si="6"/>
        <v>REPETIDO</v>
      </c>
      <c r="Q107" s="51" t="s">
        <v>35</v>
      </c>
      <c r="R107" s="6" t="s">
        <v>35</v>
      </c>
      <c r="S107" s="17" t="s">
        <v>36</v>
      </c>
      <c r="T107" s="17" t="s">
        <v>847</v>
      </c>
      <c r="U107" s="18" t="s">
        <v>38</v>
      </c>
      <c r="V107" s="19" t="s">
        <v>28</v>
      </c>
      <c r="W107" s="20" t="s">
        <v>848</v>
      </c>
      <c r="X107" s="39" t="s">
        <v>848</v>
      </c>
      <c r="Y107" s="20"/>
      <c r="Z107" s="7"/>
      <c r="AA107" s="7"/>
      <c r="AB107" s="23"/>
      <c r="AC107" s="26"/>
    </row>
    <row r="108" spans="1:29" ht="15.75" customHeight="1">
      <c r="A108" s="10" t="s">
        <v>849</v>
      </c>
      <c r="B108" s="10" t="s">
        <v>27</v>
      </c>
      <c r="C108" s="11" t="s">
        <v>28</v>
      </c>
      <c r="D108" s="12"/>
      <c r="E108" s="13" t="s">
        <v>850</v>
      </c>
      <c r="F108" s="43" t="s">
        <v>851</v>
      </c>
      <c r="G108" s="6" t="str">
        <f ca="1">IFERROR(__xludf.DUMMYFUNCTION("CONCATENATE(B108,(VLOOKUP(C108,CATALOGOS!$F$2:$H$6,3,FALSE)),(VLOOKUP(V108,CATALOGOS!$J$2:$K$18,2,FALSE)),""-"",TO_TEXT(A108))"),"P05DA-0107")</f>
        <v>P05DA-0107</v>
      </c>
      <c r="H108" s="15" t="str">
        <f ca="1">IFERROR(__xludf.DUMMYFUNCTION("CONCATENATE($B108,(VLOOKUP($C108,CATALOGOS!$F$2:$H$6,3,FALSE)),(VLOOKUP($V108,CATALOGOS!$J$2:$K$18,2,FALSE)),""-"",TO_TEXT($A108))"),"P05DA-0107")</f>
        <v>P05DA-0107</v>
      </c>
      <c r="I108" s="6"/>
      <c r="J108" s="6" t="s">
        <v>852</v>
      </c>
      <c r="K108" s="6" t="s">
        <v>853</v>
      </c>
      <c r="L108" s="6" t="s">
        <v>854</v>
      </c>
      <c r="M108" s="6" t="s">
        <v>855</v>
      </c>
      <c r="N108" s="17"/>
      <c r="O108" s="17"/>
      <c r="P108" s="17" t="str">
        <f t="shared" si="6"/>
        <v>OK</v>
      </c>
      <c r="Q108" s="17" t="s">
        <v>856</v>
      </c>
      <c r="R108" s="6" t="s">
        <v>857</v>
      </c>
      <c r="S108" s="6" t="s">
        <v>858</v>
      </c>
      <c r="T108" s="10" t="s">
        <v>859</v>
      </c>
      <c r="U108" s="18" t="s">
        <v>38</v>
      </c>
      <c r="V108" s="19" t="s">
        <v>28</v>
      </c>
      <c r="W108" s="20" t="s">
        <v>848</v>
      </c>
      <c r="X108" s="39" t="s">
        <v>848</v>
      </c>
      <c r="Y108" s="20"/>
      <c r="Z108" s="7"/>
      <c r="AA108" s="7"/>
      <c r="AB108" s="23"/>
      <c r="AC108" s="26"/>
    </row>
    <row r="109" spans="1:29" ht="15.75" customHeight="1">
      <c r="A109" s="10" t="s">
        <v>860</v>
      </c>
      <c r="B109" s="10" t="s">
        <v>27</v>
      </c>
      <c r="C109" s="11" t="s">
        <v>28</v>
      </c>
      <c r="D109" s="12"/>
      <c r="E109" s="13" t="s">
        <v>93</v>
      </c>
      <c r="F109" s="6" t="s">
        <v>861</v>
      </c>
      <c r="G109" s="6" t="str">
        <f ca="1">IFERROR(__xludf.DUMMYFUNCTION("CONCATENATE(B109,(VLOOKUP(C109,CATALOGOS!$F$2:$H$6,3,FALSE)),(VLOOKUP(V109,CATALOGOS!$J$2:$K$18,2,FALSE)),""-"",TO_TEXT(A109))"),"P05DA-0108")</f>
        <v>P05DA-0108</v>
      </c>
      <c r="H109" s="15" t="str">
        <f ca="1">IFERROR(__xludf.DUMMYFUNCTION("CONCATENATE($B109,(VLOOKUP($C109,CATALOGOS!$F$2:$H$6,3,FALSE)),(VLOOKUP($V109,CATALOGOS!$J$2:$K$18,2,FALSE)),""-"",TO_TEXT($A109))"),"P05DA-0108")</f>
        <v>P05DA-0108</v>
      </c>
      <c r="I109" s="6"/>
      <c r="J109" s="6" t="s">
        <v>862</v>
      </c>
      <c r="K109" s="6" t="s">
        <v>863</v>
      </c>
      <c r="L109" s="6" t="s">
        <v>864</v>
      </c>
      <c r="M109" s="6" t="s">
        <v>865</v>
      </c>
      <c r="N109" s="17"/>
      <c r="O109" s="17"/>
      <c r="P109" s="17" t="str">
        <f t="shared" si="6"/>
        <v>OK</v>
      </c>
      <c r="Q109" s="17" t="s">
        <v>35</v>
      </c>
      <c r="R109" s="6" t="s">
        <v>35</v>
      </c>
      <c r="S109" s="17" t="s">
        <v>36</v>
      </c>
      <c r="T109" s="17" t="s">
        <v>866</v>
      </c>
      <c r="U109" s="18" t="s">
        <v>38</v>
      </c>
      <c r="V109" s="19" t="s">
        <v>28</v>
      </c>
      <c r="W109" s="20" t="s">
        <v>848</v>
      </c>
      <c r="X109" s="39" t="s">
        <v>848</v>
      </c>
      <c r="Y109" s="20"/>
      <c r="Z109" s="7"/>
      <c r="AA109" s="7"/>
      <c r="AB109" s="23"/>
      <c r="AC109" s="26"/>
    </row>
    <row r="110" spans="1:29" ht="15.75" customHeight="1">
      <c r="A110" s="10" t="s">
        <v>867</v>
      </c>
      <c r="B110" s="10" t="s">
        <v>27</v>
      </c>
      <c r="C110" s="11" t="s">
        <v>868</v>
      </c>
      <c r="D110" s="12"/>
      <c r="E110" s="13" t="s">
        <v>93</v>
      </c>
      <c r="F110" s="6" t="s">
        <v>869</v>
      </c>
      <c r="G110" s="6" t="str">
        <f ca="1">IFERROR(__xludf.DUMMYFUNCTION("CONCATENATE(B110,(VLOOKUP(C110,CATALOGOS!$F$2:$H$6,3,FALSE)),(VLOOKUP(V110,CATALOGOS!$J$2:$K$18,2,FALSE)),""-"",TO_TEXT(A110))"),"P03CV-0109")</f>
        <v>P03CV-0109</v>
      </c>
      <c r="H110" s="15" t="str">
        <f ca="1">IFERROR(__xludf.DUMMYFUNCTION("CONCATENATE($B110,(VLOOKUP($C110,CATALOGOS!$F$2:$H$6,3,FALSE)),(VLOOKUP($V110,CATALOGOS!$J$2:$K$18,2,FALSE)),""-"",TO_TEXT($A110))"),"P03CV-0109")</f>
        <v>P03CV-0109</v>
      </c>
      <c r="I110" s="6"/>
      <c r="J110" s="6" t="s">
        <v>870</v>
      </c>
      <c r="K110" s="6" t="s">
        <v>871</v>
      </c>
      <c r="L110" s="6" t="s">
        <v>872</v>
      </c>
      <c r="M110" s="6" t="s">
        <v>873</v>
      </c>
      <c r="N110" s="17"/>
      <c r="O110" s="17"/>
      <c r="P110" s="17" t="str">
        <f t="shared" si="6"/>
        <v>OK</v>
      </c>
      <c r="Q110" s="17" t="s">
        <v>35</v>
      </c>
      <c r="R110" s="6" t="s">
        <v>35</v>
      </c>
      <c r="S110" s="17" t="s">
        <v>36</v>
      </c>
      <c r="T110" s="17" t="s">
        <v>874</v>
      </c>
      <c r="U110" s="18" t="s">
        <v>38</v>
      </c>
      <c r="V110" s="19" t="s">
        <v>875</v>
      </c>
      <c r="W110" s="20" t="s">
        <v>876</v>
      </c>
      <c r="X110" s="39" t="s">
        <v>848</v>
      </c>
      <c r="Y110" s="20"/>
      <c r="Z110" s="7"/>
      <c r="AA110" s="7"/>
      <c r="AB110" s="23"/>
      <c r="AC110" s="26"/>
    </row>
    <row r="111" spans="1:29" ht="15.75" customHeight="1">
      <c r="A111" s="10" t="s">
        <v>877</v>
      </c>
      <c r="B111" s="10" t="s">
        <v>27</v>
      </c>
      <c r="C111" s="11" t="s">
        <v>28</v>
      </c>
      <c r="D111" s="12"/>
      <c r="E111" s="13" t="s">
        <v>378</v>
      </c>
      <c r="F111" s="6" t="s">
        <v>878</v>
      </c>
      <c r="G111" s="14" t="str">
        <f ca="1">IFERROR(__xludf.DUMMYFUNCTION("CONCATENATE(B111,(VLOOKUP(C111,CATALOGOS!$F$2:$H$6,3,FALSE)),(VLOOKUP(V111,CATALOGOS!$J$2:$K$18,2,FALSE)),""-"",TO_TEXT(A111))"),"P05DA-0110")</f>
        <v>P05DA-0110</v>
      </c>
      <c r="H111" s="15" t="str">
        <f ca="1">IFERROR(__xludf.DUMMYFUNCTION("CONCATENATE($B111,(VLOOKUP($C111,CATALOGOS!$F$2:$H$6,3,FALSE)),(VLOOKUP($V111,CATALOGOS!$J$2:$K$18,2,FALSE)),""-"",TO_TEXT($A111))"),"P05DA-0110")</f>
        <v>P05DA-0110</v>
      </c>
      <c r="I111" s="6"/>
      <c r="J111" s="6" t="s">
        <v>879</v>
      </c>
      <c r="K111" s="6" t="s">
        <v>880</v>
      </c>
      <c r="L111" s="6" t="s">
        <v>881</v>
      </c>
      <c r="M111" s="6" t="s">
        <v>882</v>
      </c>
      <c r="N111" s="17"/>
      <c r="O111" s="17"/>
      <c r="P111" s="17" t="str">
        <f t="shared" si="6"/>
        <v>OK</v>
      </c>
      <c r="Q111" s="17" t="s">
        <v>35</v>
      </c>
      <c r="R111" s="6" t="s">
        <v>35</v>
      </c>
      <c r="S111" s="17" t="s">
        <v>36</v>
      </c>
      <c r="T111" s="17" t="s">
        <v>883</v>
      </c>
      <c r="U111" s="18" t="s">
        <v>38</v>
      </c>
      <c r="V111" s="19" t="s">
        <v>28</v>
      </c>
      <c r="W111" s="20" t="s">
        <v>848</v>
      </c>
      <c r="X111" s="39" t="s">
        <v>848</v>
      </c>
      <c r="Y111" s="20"/>
      <c r="Z111" s="7"/>
      <c r="AA111" s="7"/>
      <c r="AB111" s="23"/>
      <c r="AC111" s="26"/>
    </row>
    <row r="112" spans="1:29" ht="15.75" customHeight="1">
      <c r="A112" s="10" t="s">
        <v>884</v>
      </c>
      <c r="B112" s="10" t="s">
        <v>27</v>
      </c>
      <c r="C112" s="11" t="s">
        <v>28</v>
      </c>
      <c r="D112" s="12"/>
      <c r="E112" s="13" t="s">
        <v>43</v>
      </c>
      <c r="F112" s="6" t="s">
        <v>885</v>
      </c>
      <c r="G112" s="6" t="str">
        <f ca="1">IFERROR(__xludf.DUMMYFUNCTION("CONCATENATE(B112,(VLOOKUP(C112,CATALOGOS!$F$2:$H$6,3,FALSE)),(VLOOKUP(V112,CATALOGOS!$J$2:$K$18,2,FALSE)),""-"",TO_TEXT(A112))"),"P05DA-0111")</f>
        <v>P05DA-0111</v>
      </c>
      <c r="H112" s="15" t="str">
        <f ca="1">IFERROR(__xludf.DUMMYFUNCTION("CONCATENATE($B112,(VLOOKUP($C112,CATALOGOS!$F$2:$H$6,3,FALSE)),(VLOOKUP($V112,CATALOGOS!$J$2:$K$18,2,FALSE)),""-"",TO_TEXT($A112))"),"P05DA-0111")</f>
        <v>P05DA-0111</v>
      </c>
      <c r="I112" s="6"/>
      <c r="J112" s="6" t="s">
        <v>886</v>
      </c>
      <c r="K112" s="6" t="s">
        <v>887</v>
      </c>
      <c r="L112" s="6" t="s">
        <v>888</v>
      </c>
      <c r="M112" s="43" t="s">
        <v>889</v>
      </c>
      <c r="N112" s="17"/>
      <c r="O112" s="17"/>
      <c r="P112" s="17" t="str">
        <f t="shared" si="6"/>
        <v>OK</v>
      </c>
      <c r="Q112" s="17" t="s">
        <v>890</v>
      </c>
      <c r="R112" s="6" t="s">
        <v>35</v>
      </c>
      <c r="S112" s="17" t="s">
        <v>36</v>
      </c>
      <c r="T112" s="17" t="s">
        <v>891</v>
      </c>
      <c r="U112" s="18" t="s">
        <v>38</v>
      </c>
      <c r="V112" s="19" t="s">
        <v>28</v>
      </c>
      <c r="W112" s="20" t="s">
        <v>848</v>
      </c>
      <c r="X112" s="39" t="s">
        <v>848</v>
      </c>
      <c r="Y112" s="20"/>
      <c r="Z112" s="7"/>
      <c r="AA112" s="7"/>
      <c r="AB112" s="23"/>
      <c r="AC112" s="26"/>
    </row>
    <row r="113" spans="1:29" ht="15.75" customHeight="1">
      <c r="A113" s="10" t="s">
        <v>892</v>
      </c>
      <c r="B113" s="10" t="s">
        <v>27</v>
      </c>
      <c r="C113" s="11" t="s">
        <v>28</v>
      </c>
      <c r="D113" s="12"/>
      <c r="E113" s="13" t="s">
        <v>43</v>
      </c>
      <c r="F113" s="6" t="s">
        <v>893</v>
      </c>
      <c r="G113" s="6" t="str">
        <f ca="1">IFERROR(__xludf.DUMMYFUNCTION("CONCATENATE(B113,(VLOOKUP(C113,CATALOGOS!$F$2:$H$6,3,FALSE)),(VLOOKUP(V113,CATALOGOS!$J$2:$K$18,2,FALSE)),""-"",TO_TEXT(A113))"),"P05DA-0112")</f>
        <v>P05DA-0112</v>
      </c>
      <c r="H113" s="15" t="str">
        <f ca="1">IFERROR(__xludf.DUMMYFUNCTION("CONCATENATE($B113,(VLOOKUP($C113,CATALOGOS!$F$2:$H$6,3,FALSE)),(VLOOKUP($V113,CATALOGOS!$J$2:$K$18,2,FALSE)),""-"",TO_TEXT($A113))"),"P05DA-0112")</f>
        <v>P05DA-0112</v>
      </c>
      <c r="I113" s="6"/>
      <c r="J113" s="6" t="s">
        <v>894</v>
      </c>
      <c r="K113" s="6" t="s">
        <v>895</v>
      </c>
      <c r="L113" s="6" t="s">
        <v>896</v>
      </c>
      <c r="M113" s="6" t="s">
        <v>897</v>
      </c>
      <c r="N113" s="17"/>
      <c r="O113" s="17"/>
      <c r="P113" s="17" t="str">
        <f t="shared" si="6"/>
        <v>OK</v>
      </c>
      <c r="Q113" s="17" t="s">
        <v>898</v>
      </c>
      <c r="R113" s="6" t="s">
        <v>899</v>
      </c>
      <c r="S113" s="6" t="s">
        <v>36</v>
      </c>
      <c r="T113" s="17" t="s">
        <v>85</v>
      </c>
      <c r="U113" s="18" t="s">
        <v>38</v>
      </c>
      <c r="V113" s="19" t="s">
        <v>28</v>
      </c>
      <c r="W113" s="20" t="s">
        <v>848</v>
      </c>
      <c r="X113" s="39" t="s">
        <v>848</v>
      </c>
      <c r="Y113" s="20"/>
      <c r="Z113" s="6"/>
      <c r="AA113" s="6"/>
      <c r="AB113" s="23"/>
      <c r="AC113" s="33"/>
    </row>
    <row r="114" spans="1:29" ht="15.75" customHeight="1">
      <c r="A114" s="10" t="s">
        <v>900</v>
      </c>
      <c r="B114" s="10" t="s">
        <v>27</v>
      </c>
      <c r="C114" s="11" t="s">
        <v>28</v>
      </c>
      <c r="D114" s="12"/>
      <c r="E114" s="13" t="s">
        <v>53</v>
      </c>
      <c r="F114" s="6" t="s">
        <v>901</v>
      </c>
      <c r="G114" s="6" t="str">
        <f ca="1">IFERROR(__xludf.DUMMYFUNCTION("CONCATENATE(B114,(VLOOKUP(C114,CATALOGOS!$F$2:$H$6,3,FALSE)),(VLOOKUP(V114,CATALOGOS!$J$2:$K$18,2,FALSE)),""-"",TO_TEXT(A114))"),"P05DA-0113")</f>
        <v>P05DA-0113</v>
      </c>
      <c r="H114" s="15" t="str">
        <f ca="1">IFERROR(__xludf.DUMMYFUNCTION("CONCATENATE($B114,(VLOOKUP($C114,CATALOGOS!$F$2:$H$6,3,FALSE)),(VLOOKUP($V114,CATALOGOS!$J$2:$K$18,2,FALSE)),""-"",TO_TEXT($A114))"),"P05DA-0113")</f>
        <v>P05DA-0113</v>
      </c>
      <c r="I114" s="6"/>
      <c r="J114" s="6" t="s">
        <v>902</v>
      </c>
      <c r="K114" s="6" t="s">
        <v>903</v>
      </c>
      <c r="L114" s="36"/>
      <c r="M114" s="6" t="s">
        <v>141</v>
      </c>
      <c r="N114" s="17"/>
      <c r="O114" s="17"/>
      <c r="P114" s="17" t="str">
        <f t="shared" si="6"/>
        <v>REPETIDO</v>
      </c>
      <c r="Q114" s="35" t="s">
        <v>35</v>
      </c>
      <c r="R114" s="6" t="s">
        <v>35</v>
      </c>
      <c r="S114" s="10" t="s">
        <v>36</v>
      </c>
      <c r="T114" s="32" t="s">
        <v>85</v>
      </c>
      <c r="U114" s="18" t="s">
        <v>38</v>
      </c>
      <c r="V114" s="19" t="s">
        <v>28</v>
      </c>
      <c r="W114" s="20" t="s">
        <v>848</v>
      </c>
      <c r="X114" s="39" t="s">
        <v>848</v>
      </c>
      <c r="Y114" s="20"/>
      <c r="Z114" s="6"/>
      <c r="AA114" s="6"/>
      <c r="AB114" s="23"/>
      <c r="AC114" s="33"/>
    </row>
    <row r="115" spans="1:29" ht="15.75" customHeight="1">
      <c r="A115" s="10" t="s">
        <v>904</v>
      </c>
      <c r="B115" s="10" t="s">
        <v>27</v>
      </c>
      <c r="C115" s="11" t="s">
        <v>28</v>
      </c>
      <c r="D115" s="12"/>
      <c r="E115" s="13" t="s">
        <v>151</v>
      </c>
      <c r="F115" s="6" t="s">
        <v>152</v>
      </c>
      <c r="G115" s="6" t="str">
        <f ca="1">IFERROR(__xludf.DUMMYFUNCTION("CONCATENATE(B115,(VLOOKUP(C115,CATALOGOS!$F$2:$H$6,3,FALSE)),(VLOOKUP(V115,CATALOGOS!$J$2:$K$18,2,FALSE)),""-"",TO_TEXT(A115))"),"P05DA-0114")</f>
        <v>P05DA-0114</v>
      </c>
      <c r="H115" s="15" t="str">
        <f ca="1">IFERROR(__xludf.DUMMYFUNCTION("CONCATENATE($B115,(VLOOKUP($C115,CATALOGOS!$F$2:$H$6,3,FALSE)),(VLOOKUP($V115,CATALOGOS!$J$2:$K$18,2,FALSE)),""-"",TO_TEXT($A115))"),"P05DA-0114")</f>
        <v>P05DA-0114</v>
      </c>
      <c r="I115" s="6"/>
      <c r="J115" s="6" t="s">
        <v>905</v>
      </c>
      <c r="K115" s="6" t="s">
        <v>906</v>
      </c>
      <c r="L115" s="6" t="s">
        <v>907</v>
      </c>
      <c r="M115" s="6" t="s">
        <v>908</v>
      </c>
      <c r="N115" s="17"/>
      <c r="O115" s="17"/>
      <c r="P115" s="17" t="str">
        <f t="shared" si="6"/>
        <v>OK</v>
      </c>
      <c r="Q115" s="17" t="s">
        <v>157</v>
      </c>
      <c r="R115" s="6" t="s">
        <v>158</v>
      </c>
      <c r="S115" s="17" t="s">
        <v>909</v>
      </c>
      <c r="T115" s="10" t="s">
        <v>910</v>
      </c>
      <c r="U115" s="18" t="s">
        <v>38</v>
      </c>
      <c r="V115" s="19" t="s">
        <v>28</v>
      </c>
      <c r="W115" s="20" t="s">
        <v>848</v>
      </c>
      <c r="X115" s="39" t="s">
        <v>848</v>
      </c>
      <c r="Y115" s="20"/>
      <c r="Z115" s="7"/>
      <c r="AA115" s="7"/>
      <c r="AB115" s="23"/>
      <c r="AC115" s="26"/>
    </row>
    <row r="116" spans="1:29" ht="15.75" customHeight="1">
      <c r="A116" s="10" t="s">
        <v>911</v>
      </c>
      <c r="B116" s="10" t="s">
        <v>27</v>
      </c>
      <c r="C116" s="11" t="s">
        <v>28</v>
      </c>
      <c r="D116" s="12"/>
      <c r="E116" s="13" t="s">
        <v>151</v>
      </c>
      <c r="F116" s="6" t="s">
        <v>714</v>
      </c>
      <c r="G116" s="6" t="str">
        <f ca="1">IFERROR(__xludf.DUMMYFUNCTION("CONCATENATE(B116,(VLOOKUP(C116,CATALOGOS!$F$2:$H$6,3,FALSE)),(VLOOKUP(V116,CATALOGOS!$J$2:$K$18,2,FALSE)),""-"",TO_TEXT(A116))"),"P05DA-0115")</f>
        <v>P05DA-0115</v>
      </c>
      <c r="H116" s="15" t="str">
        <f ca="1">IFERROR(__xludf.DUMMYFUNCTION("CONCATENATE($B116,(VLOOKUP($C116,CATALOGOS!$F$2:$H$6,3,FALSE)),(VLOOKUP($V116,CATALOGOS!$J$2:$K$18,2,FALSE)),""-"",TO_TEXT($A116))"),"P05DA-0115")</f>
        <v>P05DA-0115</v>
      </c>
      <c r="I116" s="6"/>
      <c r="J116" s="6" t="s">
        <v>912</v>
      </c>
      <c r="K116" s="6" t="s">
        <v>913</v>
      </c>
      <c r="L116" s="6" t="s">
        <v>914</v>
      </c>
      <c r="M116" s="6" t="s">
        <v>915</v>
      </c>
      <c r="N116" s="17"/>
      <c r="O116" s="17"/>
      <c r="P116" s="17" t="str">
        <f t="shared" si="6"/>
        <v>OK</v>
      </c>
      <c r="Q116" s="17" t="s">
        <v>205</v>
      </c>
      <c r="R116" s="6" t="s">
        <v>916</v>
      </c>
      <c r="S116" s="17" t="s">
        <v>917</v>
      </c>
      <c r="T116" s="17" t="s">
        <v>918</v>
      </c>
      <c r="U116" s="18" t="s">
        <v>38</v>
      </c>
      <c r="V116" s="19" t="s">
        <v>28</v>
      </c>
      <c r="W116" s="20" t="s">
        <v>848</v>
      </c>
      <c r="X116" s="39" t="s">
        <v>848</v>
      </c>
      <c r="Y116" s="20"/>
      <c r="Z116" s="7"/>
      <c r="AA116" s="7"/>
      <c r="AB116" s="23"/>
      <c r="AC116" s="26"/>
    </row>
    <row r="117" spans="1:29" ht="15.75" customHeight="1">
      <c r="A117" s="10" t="s">
        <v>919</v>
      </c>
      <c r="B117" s="10" t="s">
        <v>27</v>
      </c>
      <c r="C117" s="11" t="s">
        <v>28</v>
      </c>
      <c r="D117" s="12"/>
      <c r="E117" s="13" t="s">
        <v>116</v>
      </c>
      <c r="F117" s="6" t="s">
        <v>920</v>
      </c>
      <c r="G117" s="6" t="str">
        <f ca="1">IFERROR(__xludf.DUMMYFUNCTION("CONCATENATE(B117,(VLOOKUP(C117,CATALOGOS!$F$2:$H$6,3,FALSE)),(VLOOKUP(V117,CATALOGOS!$J$2:$K$18,2,FALSE)),""-"",TO_TEXT(A117))"),"P05DA-0116")</f>
        <v>P05DA-0116</v>
      </c>
      <c r="H117" s="15" t="str">
        <f ca="1">IFERROR(__xludf.DUMMYFUNCTION("CONCATENATE($B117,(VLOOKUP($C117,CATALOGOS!$F$2:$H$6,3,FALSE)),(VLOOKUP($V117,CATALOGOS!$J$2:$K$18,2,FALSE)),""-"",TO_TEXT($A117))"),"P05DA-0116")</f>
        <v>P05DA-0116</v>
      </c>
      <c r="I117" s="6"/>
      <c r="J117" s="6" t="s">
        <v>921</v>
      </c>
      <c r="K117" s="6" t="s">
        <v>922</v>
      </c>
      <c r="L117" s="6" t="s">
        <v>923</v>
      </c>
      <c r="M117" s="43" t="s">
        <v>924</v>
      </c>
      <c r="N117" s="17"/>
      <c r="O117" s="17"/>
      <c r="P117" s="17" t="str">
        <f t="shared" si="6"/>
        <v>OK</v>
      </c>
      <c r="Q117" s="17" t="s">
        <v>35</v>
      </c>
      <c r="R117" s="6" t="s">
        <v>35</v>
      </c>
      <c r="S117" s="17" t="s">
        <v>36</v>
      </c>
      <c r="T117" s="17" t="s">
        <v>925</v>
      </c>
      <c r="U117" s="18" t="s">
        <v>38</v>
      </c>
      <c r="V117" s="19" t="s">
        <v>28</v>
      </c>
      <c r="W117" s="20" t="s">
        <v>848</v>
      </c>
      <c r="X117" s="39" t="s">
        <v>848</v>
      </c>
      <c r="Y117" s="20"/>
      <c r="Z117" s="7"/>
      <c r="AA117" s="7"/>
      <c r="AB117" s="23"/>
      <c r="AC117" s="26"/>
    </row>
    <row r="118" spans="1:29" ht="15.75" customHeight="1">
      <c r="A118" s="10" t="s">
        <v>926</v>
      </c>
      <c r="B118" s="10" t="s">
        <v>27</v>
      </c>
      <c r="C118" s="11" t="s">
        <v>28</v>
      </c>
      <c r="D118" s="12"/>
      <c r="E118" s="13" t="s">
        <v>184</v>
      </c>
      <c r="F118" s="6" t="s">
        <v>927</v>
      </c>
      <c r="G118" s="6" t="str">
        <f ca="1">IFERROR(__xludf.DUMMYFUNCTION("CONCATENATE(B118,(VLOOKUP(C118,CATALOGOS!$F$2:$H$6,3,FALSE)),(VLOOKUP(V118,CATALOGOS!$J$2:$K$18,2,FALSE)),""-"",TO_TEXT(A118))"),"P05DA-0117")</f>
        <v>P05DA-0117</v>
      </c>
      <c r="H118" s="15" t="str">
        <f ca="1">IFERROR(__xludf.DUMMYFUNCTION("CONCATENATE($B118,(VLOOKUP($C118,CATALOGOS!$F$2:$H$6,3,FALSE)),(VLOOKUP($V118,CATALOGOS!$J$2:$K$18,2,FALSE)),""-"",TO_TEXT($A118))"),"P05DA-0117")</f>
        <v>P05DA-0117</v>
      </c>
      <c r="I118" s="6"/>
      <c r="J118" s="6" t="s">
        <v>928</v>
      </c>
      <c r="K118" s="6" t="s">
        <v>929</v>
      </c>
      <c r="L118" s="6" t="s">
        <v>930</v>
      </c>
      <c r="M118" s="6" t="s">
        <v>931</v>
      </c>
      <c r="N118" s="17"/>
      <c r="O118" s="17"/>
      <c r="P118" s="17" t="str">
        <f t="shared" si="6"/>
        <v>OK</v>
      </c>
      <c r="Q118" s="17" t="s">
        <v>35</v>
      </c>
      <c r="R118" s="6" t="s">
        <v>35</v>
      </c>
      <c r="S118" s="17" t="s">
        <v>36</v>
      </c>
      <c r="T118" s="17" t="s">
        <v>932</v>
      </c>
      <c r="U118" s="18" t="s">
        <v>38</v>
      </c>
      <c r="V118" s="19" t="s">
        <v>28</v>
      </c>
      <c r="W118" s="20" t="s">
        <v>848</v>
      </c>
      <c r="X118" s="39" t="s">
        <v>848</v>
      </c>
      <c r="Y118" s="20"/>
      <c r="Z118" s="7"/>
      <c r="AA118" s="7"/>
      <c r="AB118" s="23"/>
      <c r="AC118" s="26"/>
    </row>
    <row r="119" spans="1:29" ht="15.75" customHeight="1">
      <c r="A119" s="10" t="s">
        <v>933</v>
      </c>
      <c r="B119" s="10" t="s">
        <v>27</v>
      </c>
      <c r="C119" s="11" t="s">
        <v>28</v>
      </c>
      <c r="D119" s="12"/>
      <c r="E119" s="13" t="s">
        <v>353</v>
      </c>
      <c r="F119" s="6" t="s">
        <v>638</v>
      </c>
      <c r="G119" s="6" t="str">
        <f ca="1">IFERROR(__xludf.DUMMYFUNCTION("CONCATENATE(B119,(VLOOKUP(C119,CATALOGOS!$F$2:$H$6,3,FALSE)),(VLOOKUP(V119,CATALOGOS!$J$2:$K$18,2,FALSE)),""-"",TO_TEXT(A119))"),"P05DA-0118")</f>
        <v>P05DA-0118</v>
      </c>
      <c r="H119" s="15" t="str">
        <f ca="1">IFERROR(__xludf.DUMMYFUNCTION("CONCATENATE($B119,(VLOOKUP($C119,CATALOGOS!$F$2:$H$6,3,FALSE)),(VLOOKUP($V119,CATALOGOS!$J$2:$K$18,2,FALSE)),""-"",TO_TEXT($A119))"),"P05DA-0118")</f>
        <v>P05DA-0118</v>
      </c>
      <c r="I119" s="6"/>
      <c r="J119" s="6" t="s">
        <v>934</v>
      </c>
      <c r="K119" s="6" t="s">
        <v>935</v>
      </c>
      <c r="L119" s="6" t="s">
        <v>936</v>
      </c>
      <c r="M119" s="6" t="s">
        <v>937</v>
      </c>
      <c r="N119" s="17"/>
      <c r="O119" s="17"/>
      <c r="P119" s="17" t="str">
        <f t="shared" si="6"/>
        <v>OK</v>
      </c>
      <c r="Q119" s="17" t="s">
        <v>359</v>
      </c>
      <c r="R119" s="6" t="s">
        <v>938</v>
      </c>
      <c r="S119" s="17" t="s">
        <v>939</v>
      </c>
      <c r="T119" s="10" t="s">
        <v>940</v>
      </c>
      <c r="U119" s="18" t="s">
        <v>38</v>
      </c>
      <c r="V119" s="19" t="s">
        <v>28</v>
      </c>
      <c r="W119" s="20" t="s">
        <v>848</v>
      </c>
      <c r="X119" s="39" t="s">
        <v>848</v>
      </c>
      <c r="Y119" s="20"/>
      <c r="Z119" s="7"/>
      <c r="AA119" s="7"/>
      <c r="AB119" s="23"/>
      <c r="AC119" s="26"/>
    </row>
    <row r="120" spans="1:29" ht="15.75" customHeight="1">
      <c r="A120" s="10" t="s">
        <v>941</v>
      </c>
      <c r="B120" s="10" t="s">
        <v>27</v>
      </c>
      <c r="C120" s="11" t="s">
        <v>28</v>
      </c>
      <c r="D120" s="12"/>
      <c r="E120" s="13" t="s">
        <v>199</v>
      </c>
      <c r="F120" s="6" t="s">
        <v>199</v>
      </c>
      <c r="G120" s="6" t="str">
        <f ca="1">IFERROR(__xludf.DUMMYFUNCTION("CONCATENATE(B120,(VLOOKUP(C120,CATALOGOS!$F$2:$H$6,3,FALSE)),(VLOOKUP(V120,CATALOGOS!$J$2:$K$18,2,FALSE)),""-"",TO_TEXT(A120))"),"P05DA-0119")</f>
        <v>P05DA-0119</v>
      </c>
      <c r="H120" s="15" t="str">
        <f ca="1">IFERROR(__xludf.DUMMYFUNCTION("CONCATENATE($B120,(VLOOKUP($C120,CATALOGOS!$F$2:$H$6,3,FALSE)),(VLOOKUP($V120,CATALOGOS!$J$2:$K$18,2,FALSE)),""-"",TO_TEXT($A120))"),"P05DA-0119")</f>
        <v>P05DA-0119</v>
      </c>
      <c r="I120" s="6"/>
      <c r="J120" s="6" t="s">
        <v>942</v>
      </c>
      <c r="K120" s="6" t="s">
        <v>943</v>
      </c>
      <c r="L120" s="6" t="s">
        <v>944</v>
      </c>
      <c r="M120" s="6" t="s">
        <v>945</v>
      </c>
      <c r="N120" s="17"/>
      <c r="O120" s="17"/>
      <c r="P120" s="17" t="str">
        <f t="shared" si="6"/>
        <v>OK</v>
      </c>
      <c r="Q120" s="17" t="s">
        <v>157</v>
      </c>
      <c r="R120" s="6">
        <v>2378</v>
      </c>
      <c r="S120" s="17" t="s">
        <v>946</v>
      </c>
      <c r="T120" s="17" t="s">
        <v>947</v>
      </c>
      <c r="U120" s="18" t="s">
        <v>38</v>
      </c>
      <c r="V120" s="19" t="s">
        <v>28</v>
      </c>
      <c r="W120" s="20" t="s">
        <v>848</v>
      </c>
      <c r="X120" s="39" t="s">
        <v>848</v>
      </c>
      <c r="Y120" s="20"/>
      <c r="Z120" s="7"/>
      <c r="AA120" s="7"/>
      <c r="AB120" s="23"/>
      <c r="AC120" s="26"/>
    </row>
    <row r="121" spans="1:29" ht="15.75" customHeight="1">
      <c r="A121" s="10" t="s">
        <v>948</v>
      </c>
      <c r="B121" s="10" t="s">
        <v>27</v>
      </c>
      <c r="C121" s="11" t="s">
        <v>28</v>
      </c>
      <c r="D121" s="12"/>
      <c r="E121" s="13" t="s">
        <v>210</v>
      </c>
      <c r="F121" s="6" t="s">
        <v>949</v>
      </c>
      <c r="G121" s="6" t="str">
        <f ca="1">IFERROR(__xludf.DUMMYFUNCTION("CONCATENATE(B121,(VLOOKUP(C121,CATALOGOS!$F$2:$H$6,3,FALSE)),(VLOOKUP(V121,CATALOGOS!$J$2:$K$18,2,FALSE)),""-"",TO_TEXT(A121))"),"P05DA-0120")</f>
        <v>P05DA-0120</v>
      </c>
      <c r="H121" s="15" t="str">
        <f ca="1">IFERROR(__xludf.DUMMYFUNCTION("CONCATENATE($B121,(VLOOKUP($C121,CATALOGOS!$F$2:$H$6,3,FALSE)),(VLOOKUP($V121,CATALOGOS!$J$2:$K$18,2,FALSE)),""-"",TO_TEXT($A121))"),"P05DA-0120")</f>
        <v>P05DA-0120</v>
      </c>
      <c r="I121" s="6"/>
      <c r="J121" s="6" t="s">
        <v>950</v>
      </c>
      <c r="K121" s="6" t="s">
        <v>951</v>
      </c>
      <c r="L121" s="6" t="s">
        <v>952</v>
      </c>
      <c r="M121" s="6" t="s">
        <v>953</v>
      </c>
      <c r="N121" s="17"/>
      <c r="O121" s="17"/>
      <c r="P121" s="17" t="str">
        <f t="shared" si="6"/>
        <v>OK</v>
      </c>
      <c r="Q121" s="17" t="s">
        <v>216</v>
      </c>
      <c r="R121" s="6" t="s">
        <v>737</v>
      </c>
      <c r="S121" s="17" t="s">
        <v>954</v>
      </c>
      <c r="T121" s="17" t="s">
        <v>85</v>
      </c>
      <c r="U121" s="18" t="s">
        <v>38</v>
      </c>
      <c r="V121" s="19" t="s">
        <v>28</v>
      </c>
      <c r="W121" s="20" t="s">
        <v>848</v>
      </c>
      <c r="X121" s="39" t="s">
        <v>848</v>
      </c>
      <c r="Y121" s="20"/>
      <c r="Z121" s="7"/>
      <c r="AA121" s="7"/>
      <c r="AB121" s="23"/>
      <c r="AC121" s="26"/>
    </row>
    <row r="122" spans="1:29" ht="15.75" customHeight="1">
      <c r="A122" s="10" t="s">
        <v>955</v>
      </c>
      <c r="B122" s="10" t="s">
        <v>27</v>
      </c>
      <c r="C122" s="11" t="s">
        <v>28</v>
      </c>
      <c r="D122" s="38"/>
      <c r="E122" s="13" t="s">
        <v>378</v>
      </c>
      <c r="F122" s="6" t="s">
        <v>956</v>
      </c>
      <c r="G122" s="6" t="str">
        <f ca="1">IFERROR(__xludf.DUMMYFUNCTION("CONCATENATE(B122,(VLOOKUP(C122,CATALOGOS!$F$2:$H$6,3,FALSE)),(VLOOKUP(V122,CATALOGOS!$J$2:$K$18,2,FALSE)),""-"",TO_TEXT(A122))"),"P05DA-0121")</f>
        <v>P05DA-0121</v>
      </c>
      <c r="H122" s="15" t="str">
        <f ca="1">IFERROR(__xludf.DUMMYFUNCTION("CONCATENATE($B122,(VLOOKUP($C122,CATALOGOS!$F$2:$H$6,3,FALSE)),(VLOOKUP($V122,CATALOGOS!$J$2:$K$18,2,FALSE)),""-"",TO_TEXT($A122))"),"P05DA-0121")</f>
        <v>P05DA-0121</v>
      </c>
      <c r="I122" s="6"/>
      <c r="J122" s="6" t="s">
        <v>957</v>
      </c>
      <c r="K122" s="6" t="s">
        <v>958</v>
      </c>
      <c r="L122" s="6" t="s">
        <v>959</v>
      </c>
      <c r="M122" s="6" t="s">
        <v>960</v>
      </c>
      <c r="N122" s="17"/>
      <c r="O122" s="17"/>
      <c r="P122" s="17" t="str">
        <f t="shared" si="6"/>
        <v>OK</v>
      </c>
      <c r="Q122" s="17" t="s">
        <v>35</v>
      </c>
      <c r="R122" s="6" t="s">
        <v>35</v>
      </c>
      <c r="S122" s="46" t="s">
        <v>36</v>
      </c>
      <c r="T122" s="17" t="s">
        <v>961</v>
      </c>
      <c r="U122" s="18" t="s">
        <v>38</v>
      </c>
      <c r="V122" s="19" t="s">
        <v>28</v>
      </c>
      <c r="W122" s="20" t="s">
        <v>848</v>
      </c>
      <c r="X122" s="39" t="s">
        <v>848</v>
      </c>
      <c r="Y122" s="20"/>
      <c r="Z122" s="7"/>
      <c r="AA122" s="7"/>
      <c r="AB122" s="26"/>
      <c r="AC122" s="26"/>
    </row>
    <row r="123" spans="1:29" ht="15.75" customHeight="1">
      <c r="A123" s="10" t="s">
        <v>962</v>
      </c>
      <c r="B123" s="10" t="s">
        <v>27</v>
      </c>
      <c r="C123" s="11" t="s">
        <v>28</v>
      </c>
      <c r="D123" s="12"/>
      <c r="E123" s="13" t="s">
        <v>151</v>
      </c>
      <c r="F123" s="6" t="s">
        <v>963</v>
      </c>
      <c r="G123" s="6" t="str">
        <f ca="1">IFERROR(__xludf.DUMMYFUNCTION("CONCATENATE(B123,(VLOOKUP(C123,CATALOGOS!$F$2:$H$6,3,FALSE)),(VLOOKUP(V123,CATALOGOS!$J$2:$K$18,2,FALSE)),""-"",TO_TEXT(A123))"),"P05RM-0122")</f>
        <v>P05RM-0122</v>
      </c>
      <c r="H123" s="15" t="str">
        <f ca="1">IFERROR(__xludf.DUMMYFUNCTION("CONCATENATE($B123,(VLOOKUP($C123,CATALOGOS!$F$2:$H$6,3,FALSE)),(VLOOKUP($V123,CATALOGOS!$J$2:$K$18,2,FALSE)),""-"",TO_TEXT($A123))"),"P05RM-0122")</f>
        <v>P05RM-0122</v>
      </c>
      <c r="I123" s="6"/>
      <c r="J123" s="6" t="s">
        <v>964</v>
      </c>
      <c r="K123" s="6" t="s">
        <v>965</v>
      </c>
      <c r="L123" s="6" t="s">
        <v>966</v>
      </c>
      <c r="M123" s="43" t="s">
        <v>967</v>
      </c>
      <c r="N123" s="17"/>
      <c r="O123" s="17"/>
      <c r="P123" s="17" t="str">
        <f t="shared" si="6"/>
        <v>OK</v>
      </c>
      <c r="Q123" s="17" t="s">
        <v>703</v>
      </c>
      <c r="R123" s="6" t="s">
        <v>968</v>
      </c>
      <c r="S123" s="17" t="s">
        <v>969</v>
      </c>
      <c r="T123" s="10" t="s">
        <v>970</v>
      </c>
      <c r="U123" s="18" t="s">
        <v>971</v>
      </c>
      <c r="V123" s="19" t="s">
        <v>147</v>
      </c>
      <c r="W123" s="20" t="s">
        <v>385</v>
      </c>
      <c r="X123" s="21" t="s">
        <v>686</v>
      </c>
      <c r="Y123" s="40" t="s">
        <v>261</v>
      </c>
      <c r="Z123" s="7"/>
      <c r="AA123" s="7"/>
      <c r="AB123" s="23"/>
      <c r="AC123" s="26"/>
    </row>
    <row r="124" spans="1:29" ht="15.75" customHeight="1">
      <c r="A124" s="10" t="s">
        <v>972</v>
      </c>
      <c r="B124" s="10" t="s">
        <v>27</v>
      </c>
      <c r="C124" s="11" t="s">
        <v>28</v>
      </c>
      <c r="D124" s="12"/>
      <c r="E124" s="13" t="s">
        <v>248</v>
      </c>
      <c r="F124" s="6" t="s">
        <v>973</v>
      </c>
      <c r="G124" s="6" t="str">
        <f ca="1">IFERROR(__xludf.DUMMYFUNCTION("CONCATENATE(B124,(VLOOKUP(C124,CATALOGOS!$F$2:$H$6,3,FALSE)),(VLOOKUP(V124,CATALOGOS!$J$2:$K$18,2,FALSE)),""-"",TO_TEXT(A124))"),"P05RM-0123")</f>
        <v>P05RM-0123</v>
      </c>
      <c r="H124" s="15" t="str">
        <f ca="1">IFERROR(__xludf.DUMMYFUNCTION("CONCATENATE($B124,(VLOOKUP($C124,CATALOGOS!$F$2:$H$6,3,FALSE)),(VLOOKUP($V124,CATALOGOS!$J$2:$K$18,2,FALSE)),""-"",TO_TEXT($A124))"),"P05RM-0123")</f>
        <v>P05RM-0123</v>
      </c>
      <c r="I124" s="6"/>
      <c r="J124" s="6" t="s">
        <v>974</v>
      </c>
      <c r="K124" s="6" t="s">
        <v>975</v>
      </c>
      <c r="L124" s="6" t="s">
        <v>976</v>
      </c>
      <c r="M124" s="6" t="s">
        <v>977</v>
      </c>
      <c r="N124" s="17"/>
      <c r="O124" s="17"/>
      <c r="P124" s="17" t="str">
        <f t="shared" si="6"/>
        <v>OK</v>
      </c>
      <c r="Q124" s="17" t="s">
        <v>978</v>
      </c>
      <c r="R124" s="6" t="s">
        <v>979</v>
      </c>
      <c r="S124" s="17" t="s">
        <v>980</v>
      </c>
      <c r="T124" s="17" t="s">
        <v>981</v>
      </c>
      <c r="U124" s="18" t="s">
        <v>38</v>
      </c>
      <c r="V124" s="19" t="s">
        <v>147</v>
      </c>
      <c r="W124" s="22" t="s">
        <v>686</v>
      </c>
      <c r="X124" s="21" t="s">
        <v>686</v>
      </c>
      <c r="Y124" s="22"/>
      <c r="Z124" s="7"/>
      <c r="AA124" s="7"/>
      <c r="AB124" s="23"/>
      <c r="AC124" s="26"/>
    </row>
    <row r="125" spans="1:29" ht="15.75" customHeight="1">
      <c r="A125" s="10" t="s">
        <v>982</v>
      </c>
      <c r="B125" s="10" t="s">
        <v>27</v>
      </c>
      <c r="C125" s="11" t="s">
        <v>28</v>
      </c>
      <c r="D125" s="12"/>
      <c r="E125" s="13" t="s">
        <v>93</v>
      </c>
      <c r="F125" s="6" t="s">
        <v>869</v>
      </c>
      <c r="G125" s="6" t="str">
        <f ca="1">IFERROR(__xludf.DUMMYFUNCTION("CONCATENATE(B125,(VLOOKUP(C125,CATALOGOS!$F$2:$H$6,3,FALSE)),(VLOOKUP(V125,CATALOGOS!$J$2:$K$18,2,FALSE)),""-"",TO_TEXT(A125))"),"P05RM-0124")</f>
        <v>P05RM-0124</v>
      </c>
      <c r="H125" s="15" t="str">
        <f ca="1">IFERROR(__xludf.DUMMYFUNCTION("CONCATENATE($B125,(VLOOKUP($C125,CATALOGOS!$F$2:$H$6,3,FALSE)),(VLOOKUP($V125,CATALOGOS!$J$2:$K$18,2,FALSE)),""-"",TO_TEXT($A125))"),"P05RM-0124")</f>
        <v>P05RM-0124</v>
      </c>
      <c r="I125" s="6"/>
      <c r="J125" s="6" t="s">
        <v>983</v>
      </c>
      <c r="K125" s="6" t="s">
        <v>984</v>
      </c>
      <c r="L125" s="6" t="s">
        <v>985</v>
      </c>
      <c r="M125" s="43" t="s">
        <v>986</v>
      </c>
      <c r="N125" s="17"/>
      <c r="O125" s="17"/>
      <c r="P125" s="17" t="str">
        <f t="shared" si="6"/>
        <v>OK</v>
      </c>
      <c r="Q125" s="17" t="s">
        <v>35</v>
      </c>
      <c r="R125" s="6" t="s">
        <v>35</v>
      </c>
      <c r="S125" s="17" t="s">
        <v>36</v>
      </c>
      <c r="T125" s="17" t="s">
        <v>987</v>
      </c>
      <c r="U125" s="18" t="s">
        <v>38</v>
      </c>
      <c r="V125" s="19" t="s">
        <v>147</v>
      </c>
      <c r="W125" s="20" t="s">
        <v>686</v>
      </c>
      <c r="X125" s="39" t="s">
        <v>687</v>
      </c>
      <c r="Y125" s="20"/>
      <c r="Z125" s="7"/>
      <c r="AA125" s="7"/>
      <c r="AB125" s="23"/>
      <c r="AC125" s="26"/>
    </row>
    <row r="126" spans="1:29" ht="15.75" customHeight="1">
      <c r="A126" s="10" t="s">
        <v>988</v>
      </c>
      <c r="B126" s="10" t="s">
        <v>27</v>
      </c>
      <c r="C126" s="11" t="s">
        <v>28</v>
      </c>
      <c r="D126" s="12"/>
      <c r="E126" s="13" t="s">
        <v>199</v>
      </c>
      <c r="F126" s="6" t="s">
        <v>199</v>
      </c>
      <c r="G126" s="6" t="str">
        <f ca="1">IFERROR(__xludf.DUMMYFUNCTION("CONCATENATE(B126,(VLOOKUP(C126,CATALOGOS!$F$2:$H$6,3,FALSE)),(VLOOKUP(V126,CATALOGOS!$J$2:$K$18,2,FALSE)),""-"",TO_TEXT(A126))"),"P05RM-0125")</f>
        <v>P05RM-0125</v>
      </c>
      <c r="H126" s="15" t="str">
        <f ca="1">IFERROR(__xludf.DUMMYFUNCTION("CONCATENATE($B126,(VLOOKUP($C126,CATALOGOS!$F$2:$H$6,3,FALSE)),(VLOOKUP($V126,CATALOGOS!$J$2:$K$18,2,FALSE)),""-"",TO_TEXT($A126))"),"P05RM-0125")</f>
        <v>P05RM-0125</v>
      </c>
      <c r="I126" s="6"/>
      <c r="J126" s="6" t="s">
        <v>989</v>
      </c>
      <c r="K126" s="6" t="s">
        <v>990</v>
      </c>
      <c r="L126" s="6" t="s">
        <v>991</v>
      </c>
      <c r="M126" s="6" t="s">
        <v>992</v>
      </c>
      <c r="N126" s="17"/>
      <c r="O126" s="17"/>
      <c r="P126" s="17" t="str">
        <f t="shared" si="6"/>
        <v>OK</v>
      </c>
      <c r="Q126" s="17" t="s">
        <v>205</v>
      </c>
      <c r="R126" s="6" t="s">
        <v>993</v>
      </c>
      <c r="S126" s="17" t="s">
        <v>994</v>
      </c>
      <c r="T126" s="17" t="s">
        <v>995</v>
      </c>
      <c r="U126" s="18" t="s">
        <v>38</v>
      </c>
      <c r="V126" s="19" t="s">
        <v>147</v>
      </c>
      <c r="W126" s="22" t="s">
        <v>686</v>
      </c>
      <c r="X126" s="21" t="s">
        <v>686</v>
      </c>
      <c r="Y126" s="22"/>
      <c r="Z126" s="7"/>
      <c r="AA126" s="7"/>
      <c r="AB126" s="23"/>
      <c r="AC126" s="26"/>
    </row>
    <row r="127" spans="1:29" ht="15.75" customHeight="1">
      <c r="A127" s="10" t="s">
        <v>996</v>
      </c>
      <c r="B127" s="10" t="s">
        <v>27</v>
      </c>
      <c r="C127" s="52" t="s">
        <v>868</v>
      </c>
      <c r="D127" s="12"/>
      <c r="E127" s="13" t="s">
        <v>151</v>
      </c>
      <c r="F127" s="6" t="s">
        <v>963</v>
      </c>
      <c r="G127" s="14" t="str">
        <f ca="1">IFERROR(__xludf.DUMMYFUNCTION("CONCATENATE(B127,(VLOOKUP(C127,CATALOGOS!$F$2:$H$6,3,FALSE)),(VLOOKUP(V127,CATALOGOS!$J$2:$K$18,2,FALSE)),""-"",TO_TEXT(A127))"),"P03CV-0126")</f>
        <v>P03CV-0126</v>
      </c>
      <c r="H127" s="15" t="str">
        <f ca="1">IFERROR(__xludf.DUMMYFUNCTION("CONCATENATE($B127,(VLOOKUP($C127,CATALOGOS!$F$2:$H$6,3,FALSE)),(VLOOKUP($V127,CATALOGOS!$J$2:$K$18,2,FALSE)),""-"",TO_TEXT($A127))"),"P03CV-0126")</f>
        <v>P03CV-0126</v>
      </c>
      <c r="I127" s="6"/>
      <c r="J127" s="6" t="s">
        <v>997</v>
      </c>
      <c r="K127" s="6" t="s">
        <v>998</v>
      </c>
      <c r="L127" s="6" t="s">
        <v>999</v>
      </c>
      <c r="M127" s="6" t="s">
        <v>1000</v>
      </c>
      <c r="N127" s="17"/>
      <c r="O127" s="17"/>
      <c r="P127" s="17" t="str">
        <f t="shared" si="6"/>
        <v>OK</v>
      </c>
      <c r="Q127" s="17" t="s">
        <v>297</v>
      </c>
      <c r="R127" s="6" t="s">
        <v>1001</v>
      </c>
      <c r="S127" s="17" t="s">
        <v>1002</v>
      </c>
      <c r="T127" s="17" t="s">
        <v>1003</v>
      </c>
      <c r="U127" s="18" t="s">
        <v>517</v>
      </c>
      <c r="V127" s="19" t="s">
        <v>875</v>
      </c>
      <c r="W127" s="20" t="s">
        <v>385</v>
      </c>
      <c r="X127" s="39" t="s">
        <v>1004</v>
      </c>
      <c r="Y127" s="20"/>
      <c r="Z127" s="7"/>
      <c r="AA127" s="7"/>
      <c r="AB127" s="23"/>
      <c r="AC127" s="26"/>
    </row>
    <row r="128" spans="1:29" ht="15.75" customHeight="1">
      <c r="A128" s="10" t="s">
        <v>1005</v>
      </c>
      <c r="B128" s="10" t="s">
        <v>27</v>
      </c>
      <c r="C128" s="11" t="s">
        <v>28</v>
      </c>
      <c r="D128" s="38"/>
      <c r="E128" s="13" t="s">
        <v>378</v>
      </c>
      <c r="F128" s="6" t="s">
        <v>1006</v>
      </c>
      <c r="G128" s="47" t="str">
        <f ca="1">IFERROR(__xludf.DUMMYFUNCTION("CONCATENATE(B128,(VLOOKUP(C128,CATALOGOS!$F$2:$H$6,3,FALSE)),(VLOOKUP(V128,CATALOGOS!$J$2:$K$18,2,FALSE)),""-"",TO_TEXT(A128))"),"P05RM-0127")</f>
        <v>P05RM-0127</v>
      </c>
      <c r="H128" s="15" t="str">
        <f ca="1">IFERROR(__xludf.DUMMYFUNCTION("CONCATENATE($B128,(VLOOKUP($C128,CATALOGOS!$F$2:$H$6,3,FALSE)),(VLOOKUP($V128,CATALOGOS!$J$2:$K$18,2,FALSE)),""-"",TO_TEXT($A128))"),"P05RM-0127")</f>
        <v>P05RM-0127</v>
      </c>
      <c r="I128" s="6"/>
      <c r="J128" s="6" t="s">
        <v>1007</v>
      </c>
      <c r="K128" s="6" t="s">
        <v>1008</v>
      </c>
      <c r="L128" s="6" t="s">
        <v>1009</v>
      </c>
      <c r="M128" s="6" t="s">
        <v>1010</v>
      </c>
      <c r="N128" s="17"/>
      <c r="O128" s="17"/>
      <c r="P128" s="17" t="str">
        <f t="shared" si="6"/>
        <v>OK</v>
      </c>
      <c r="Q128" s="17" t="s">
        <v>35</v>
      </c>
      <c r="R128" s="6" t="s">
        <v>35</v>
      </c>
      <c r="S128" s="46" t="s">
        <v>36</v>
      </c>
      <c r="T128" s="17" t="s">
        <v>1011</v>
      </c>
      <c r="U128" s="18" t="s">
        <v>38</v>
      </c>
      <c r="V128" s="19" t="s">
        <v>147</v>
      </c>
      <c r="W128" s="20" t="s">
        <v>385</v>
      </c>
      <c r="X128" s="39" t="s">
        <v>39</v>
      </c>
      <c r="Y128" s="20"/>
      <c r="Z128" s="7"/>
      <c r="AA128" s="7"/>
      <c r="AB128" s="26"/>
      <c r="AC128" s="26"/>
    </row>
    <row r="129" spans="1:29" ht="15.75" customHeight="1">
      <c r="A129" s="10" t="s">
        <v>1012</v>
      </c>
      <c r="B129" s="10" t="s">
        <v>27</v>
      </c>
      <c r="C129" s="11" t="s">
        <v>28</v>
      </c>
      <c r="D129" s="12"/>
      <c r="E129" s="13" t="s">
        <v>116</v>
      </c>
      <c r="F129" s="6" t="s">
        <v>1013</v>
      </c>
      <c r="G129" s="6" t="str">
        <f ca="1">IFERROR(__xludf.DUMMYFUNCTION("CONCATENATE(B129,(VLOOKUP(C129,CATALOGOS!$F$2:$H$6,3,FALSE)),(VLOOKUP(V129,CATALOGOS!$J$2:$K$18,2,FALSE)),""-"",TO_TEXT(A129))"),"P05RM-0128")</f>
        <v>P05RM-0128</v>
      </c>
      <c r="H129" s="15" t="str">
        <f ca="1">IFERROR(__xludf.DUMMYFUNCTION("CONCATENATE($B129,(VLOOKUP($C129,CATALOGOS!$F$2:$H$6,3,FALSE)),(VLOOKUP($V129,CATALOGOS!$J$2:$K$18,2,FALSE)),""-"",TO_TEXT($A129))"),"P05RM-0128")</f>
        <v>P05RM-0128</v>
      </c>
      <c r="I129" s="6"/>
      <c r="J129" s="6" t="s">
        <v>1014</v>
      </c>
      <c r="K129" s="6" t="s">
        <v>1015</v>
      </c>
      <c r="L129" s="36"/>
      <c r="M129" s="6" t="s">
        <v>1016</v>
      </c>
      <c r="N129" s="17"/>
      <c r="O129" s="17"/>
      <c r="P129" s="17" t="str">
        <f t="shared" si="6"/>
        <v>OK</v>
      </c>
      <c r="Q129" s="35" t="s">
        <v>35</v>
      </c>
      <c r="R129" s="6" t="s">
        <v>35</v>
      </c>
      <c r="S129" s="10" t="s">
        <v>36</v>
      </c>
      <c r="T129" s="32" t="s">
        <v>85</v>
      </c>
      <c r="U129" s="18" t="s">
        <v>38</v>
      </c>
      <c r="V129" s="19" t="s">
        <v>147</v>
      </c>
      <c r="W129" s="22" t="s">
        <v>260</v>
      </c>
      <c r="X129" s="21" t="s">
        <v>260</v>
      </c>
      <c r="Y129" s="22"/>
      <c r="Z129" s="7"/>
      <c r="AA129" s="7"/>
      <c r="AB129" s="23"/>
      <c r="AC129" s="26"/>
    </row>
    <row r="130" spans="1:29" ht="15.75" customHeight="1">
      <c r="A130" s="10" t="s">
        <v>1017</v>
      </c>
      <c r="B130" s="10" t="s">
        <v>27</v>
      </c>
      <c r="C130" s="11" t="s">
        <v>28</v>
      </c>
      <c r="D130" s="12"/>
      <c r="E130" s="13" t="s">
        <v>184</v>
      </c>
      <c r="F130" s="6" t="s">
        <v>1018</v>
      </c>
      <c r="G130" s="6" t="str">
        <f ca="1">IFERROR(__xludf.DUMMYFUNCTION("CONCATENATE(B130,(VLOOKUP(C130,CATALOGOS!$F$2:$H$6,3,FALSE)),(VLOOKUP(V130,CATALOGOS!$J$2:$K$18,2,FALSE)),""-"",TO_TEXT(A130))"),"P05RM-0129")</f>
        <v>P05RM-0129</v>
      </c>
      <c r="H130" s="15" t="str">
        <f ca="1">IFERROR(__xludf.DUMMYFUNCTION("CONCATENATE($B130,(VLOOKUP($C130,CATALOGOS!$F$2:$H$6,3,FALSE)),(VLOOKUP($V130,CATALOGOS!$J$2:$K$18,2,FALSE)),""-"",TO_TEXT($A130))"),"P05RM-0129")</f>
        <v>P05RM-0129</v>
      </c>
      <c r="I130" s="6"/>
      <c r="J130" s="6" t="s">
        <v>1019</v>
      </c>
      <c r="K130" s="6" t="s">
        <v>1020</v>
      </c>
      <c r="L130" s="6" t="s">
        <v>1021</v>
      </c>
      <c r="M130" s="6" t="s">
        <v>1022</v>
      </c>
      <c r="N130" s="17"/>
      <c r="O130" s="17"/>
      <c r="P130" s="17" t="str">
        <f t="shared" si="6"/>
        <v>OK</v>
      </c>
      <c r="Q130" s="17" t="s">
        <v>35</v>
      </c>
      <c r="R130" s="6" t="s">
        <v>35</v>
      </c>
      <c r="S130" s="17" t="s">
        <v>36</v>
      </c>
      <c r="T130" s="17" t="s">
        <v>1023</v>
      </c>
      <c r="U130" s="18" t="s">
        <v>100</v>
      </c>
      <c r="V130" s="19" t="s">
        <v>147</v>
      </c>
      <c r="W130" s="20" t="s">
        <v>385</v>
      </c>
      <c r="X130" s="39" t="s">
        <v>687</v>
      </c>
      <c r="Y130" s="40" t="s">
        <v>261</v>
      </c>
      <c r="Z130" s="7"/>
      <c r="AA130" s="7"/>
      <c r="AB130" s="23"/>
      <c r="AC130" s="26"/>
    </row>
    <row r="131" spans="1:29" ht="15.75" customHeight="1">
      <c r="A131" s="10" t="s">
        <v>1024</v>
      </c>
      <c r="B131" s="10" t="s">
        <v>27</v>
      </c>
      <c r="C131" s="11" t="s">
        <v>28</v>
      </c>
      <c r="D131" s="12"/>
      <c r="E131" s="13" t="s">
        <v>199</v>
      </c>
      <c r="F131" s="6" t="s">
        <v>199</v>
      </c>
      <c r="G131" s="6" t="str">
        <f ca="1">IFERROR(__xludf.DUMMYFUNCTION("CONCATENATE(B131,(VLOOKUP(C131,CATALOGOS!$F$2:$H$6,3,FALSE)),(VLOOKUP(V131,CATALOGOS!$J$2:$K$18,2,FALSE)),""-"",TO_TEXT(A131))"),"P05RM-0130")</f>
        <v>P05RM-0130</v>
      </c>
      <c r="H131" s="15" t="str">
        <f ca="1">IFERROR(__xludf.DUMMYFUNCTION("CONCATENATE($B131,(VLOOKUP($C131,CATALOGOS!$F$2:$H$6,3,FALSE)),(VLOOKUP($V131,CATALOGOS!$J$2:$K$18,2,FALSE)),""-"",TO_TEXT($A131))"),"P05RM-0130")</f>
        <v>P05RM-0130</v>
      </c>
      <c r="I131" s="6"/>
      <c r="J131" s="6" t="s">
        <v>1025</v>
      </c>
      <c r="K131" s="6" t="s">
        <v>1026</v>
      </c>
      <c r="L131" s="6" t="s">
        <v>1027</v>
      </c>
      <c r="M131" s="6" t="s">
        <v>1028</v>
      </c>
      <c r="N131" s="17"/>
      <c r="O131" s="17"/>
      <c r="P131" s="17" t="str">
        <f t="shared" si="6"/>
        <v>OK</v>
      </c>
      <c r="Q131" s="17" t="s">
        <v>297</v>
      </c>
      <c r="R131" s="6" t="s">
        <v>1029</v>
      </c>
      <c r="S131" s="17" t="s">
        <v>1030</v>
      </c>
      <c r="T131" s="17" t="s">
        <v>1031</v>
      </c>
      <c r="U131" s="18" t="s">
        <v>38</v>
      </c>
      <c r="V131" s="19" t="s">
        <v>147</v>
      </c>
      <c r="W131" s="22" t="s">
        <v>260</v>
      </c>
      <c r="X131" s="21" t="s">
        <v>260</v>
      </c>
      <c r="Y131" s="22"/>
      <c r="Z131" s="7"/>
      <c r="AA131" s="7"/>
      <c r="AB131" s="23"/>
      <c r="AC131" s="26"/>
    </row>
    <row r="132" spans="1:29" ht="15.75" customHeight="1">
      <c r="A132" s="10" t="s">
        <v>1032</v>
      </c>
      <c r="B132" s="10" t="s">
        <v>27</v>
      </c>
      <c r="C132" s="11" t="s">
        <v>28</v>
      </c>
      <c r="D132" s="12"/>
      <c r="E132" s="13" t="s">
        <v>151</v>
      </c>
      <c r="F132" s="6" t="s">
        <v>963</v>
      </c>
      <c r="G132" s="6" t="str">
        <f ca="1">IFERROR(__xludf.DUMMYFUNCTION("CONCATENATE(B132,(VLOOKUP(C132,CATALOGOS!$F$2:$H$6,3,FALSE)),(VLOOKUP(V132,CATALOGOS!$J$2:$K$18,2,FALSE)),""-"",TO_TEXT(A132))"),"P05RM-0131")</f>
        <v>P05RM-0131</v>
      </c>
      <c r="H132" s="15" t="str">
        <f ca="1">IFERROR(__xludf.DUMMYFUNCTION("CONCATENATE($B132,(VLOOKUP($C132,CATALOGOS!$F$2:$H$6,3,FALSE)),(VLOOKUP($V132,CATALOGOS!$J$2:$K$18,2,FALSE)),""-"",TO_TEXT($A132))"),"P05RM-0131")</f>
        <v>P05RM-0131</v>
      </c>
      <c r="I132" s="6"/>
      <c r="J132" s="6" t="s">
        <v>1033</v>
      </c>
      <c r="K132" s="6" t="s">
        <v>1034</v>
      </c>
      <c r="L132" s="6" t="s">
        <v>1035</v>
      </c>
      <c r="M132" s="6" t="s">
        <v>1036</v>
      </c>
      <c r="N132" s="17"/>
      <c r="O132" s="17"/>
      <c r="P132" s="17" t="str">
        <f t="shared" si="6"/>
        <v>OK</v>
      </c>
      <c r="Q132" s="17" t="s">
        <v>297</v>
      </c>
      <c r="R132" s="6" t="s">
        <v>1037</v>
      </c>
      <c r="S132" s="17" t="s">
        <v>1038</v>
      </c>
      <c r="T132" s="17" t="s">
        <v>1039</v>
      </c>
      <c r="U132" s="18" t="s">
        <v>38</v>
      </c>
      <c r="V132" s="19" t="s">
        <v>147</v>
      </c>
      <c r="W132" s="22" t="s">
        <v>260</v>
      </c>
      <c r="X132" s="21" t="s">
        <v>260</v>
      </c>
      <c r="Y132" s="22"/>
      <c r="Z132" s="7"/>
      <c r="AA132" s="7"/>
      <c r="AB132" s="23"/>
      <c r="AC132" s="26"/>
    </row>
    <row r="133" spans="1:29" ht="15.75" customHeight="1">
      <c r="A133" s="10" t="s">
        <v>1040</v>
      </c>
      <c r="B133" s="10" t="s">
        <v>27</v>
      </c>
      <c r="C133" s="52" t="s">
        <v>868</v>
      </c>
      <c r="D133" s="38"/>
      <c r="E133" s="13" t="s">
        <v>353</v>
      </c>
      <c r="F133" s="43" t="s">
        <v>354</v>
      </c>
      <c r="G133" s="6" t="str">
        <f ca="1">IFERROR(__xludf.DUMMYFUNCTION("CONCATENATE(B133,(VLOOKUP(C133,CATALOGOS!$F$2:$H$6,3,FALSE)),(VLOOKUP(V133,CATALOGOS!$J$2:$K$18,2,FALSE)),""-"",TO_TEXT(A133))"),"P03CV-0132")</f>
        <v>P03CV-0132</v>
      </c>
      <c r="H133" s="15" t="str">
        <f ca="1">IFERROR(__xludf.DUMMYFUNCTION("CONCATENATE($B133,(VLOOKUP($C133,CATALOGOS!$F$2:$H$6,3,FALSE)),(VLOOKUP($V133,CATALOGOS!$J$2:$K$18,2,FALSE)),""-"",TO_TEXT($A133))"),"P03CV-0132")</f>
        <v>P03CV-0132</v>
      </c>
      <c r="I133" s="6"/>
      <c r="J133" s="6" t="s">
        <v>1041</v>
      </c>
      <c r="K133" s="6" t="s">
        <v>1042</v>
      </c>
      <c r="L133" s="6" t="s">
        <v>1043</v>
      </c>
      <c r="M133" s="6" t="s">
        <v>1044</v>
      </c>
      <c r="N133" s="17"/>
      <c r="O133" s="17"/>
      <c r="P133" s="17" t="str">
        <f t="shared" si="6"/>
        <v>OK</v>
      </c>
      <c r="Q133" s="17" t="s">
        <v>359</v>
      </c>
      <c r="R133" s="6">
        <v>1350</v>
      </c>
      <c r="S133" s="46" t="s">
        <v>1045</v>
      </c>
      <c r="T133" s="17" t="s">
        <v>1046</v>
      </c>
      <c r="U133" s="18" t="s">
        <v>38</v>
      </c>
      <c r="V133" s="19" t="s">
        <v>875</v>
      </c>
      <c r="W133" s="20" t="s">
        <v>876</v>
      </c>
      <c r="X133" s="39" t="s">
        <v>876</v>
      </c>
      <c r="Y133" s="20"/>
      <c r="Z133" s="7"/>
      <c r="AA133" s="7"/>
      <c r="AB133" s="26"/>
      <c r="AC133" s="26"/>
    </row>
    <row r="134" spans="1:29" ht="15.75" customHeight="1">
      <c r="A134" s="10" t="s">
        <v>1047</v>
      </c>
      <c r="B134" s="10" t="s">
        <v>27</v>
      </c>
      <c r="C134" s="11" t="s">
        <v>28</v>
      </c>
      <c r="D134" s="12"/>
      <c r="E134" s="13" t="s">
        <v>501</v>
      </c>
      <c r="F134" s="6" t="s">
        <v>1048</v>
      </c>
      <c r="G134" s="6" t="str">
        <f ca="1">IFERROR(__xludf.DUMMYFUNCTION("CONCATENATE(B134,(VLOOKUP(C134,CATALOGOS!$F$2:$H$6,3,FALSE)),(VLOOKUP(V134,CATALOGOS!$J$2:$K$18,2,FALSE)),""-"",TO_TEXT(A134))"),"P05DA-0133")</f>
        <v>P05DA-0133</v>
      </c>
      <c r="H134" s="15" t="str">
        <f ca="1">IFERROR(__xludf.DUMMYFUNCTION("CONCATENATE($B134,(VLOOKUP($C134,CATALOGOS!$F$2:$H$6,3,FALSE)),(VLOOKUP($V134,CATALOGOS!$J$2:$K$18,2,FALSE)),""-"",TO_TEXT($A134))"),"P05DA-0133")</f>
        <v>P05DA-0133</v>
      </c>
      <c r="I134" s="6"/>
      <c r="J134" s="6" t="s">
        <v>1049</v>
      </c>
      <c r="K134" s="6" t="s">
        <v>1050</v>
      </c>
      <c r="L134" s="6" t="s">
        <v>1051</v>
      </c>
      <c r="M134" s="6" t="s">
        <v>1052</v>
      </c>
      <c r="N134" s="17"/>
      <c r="O134" s="17"/>
      <c r="P134" s="17" t="str">
        <f t="shared" si="6"/>
        <v>OK</v>
      </c>
      <c r="Q134" s="17" t="s">
        <v>35</v>
      </c>
      <c r="R134" s="6" t="s">
        <v>35</v>
      </c>
      <c r="S134" s="17" t="s">
        <v>36</v>
      </c>
      <c r="T134" s="17" t="s">
        <v>1053</v>
      </c>
      <c r="U134" s="18" t="s">
        <v>38</v>
      </c>
      <c r="V134" s="19" t="s">
        <v>28</v>
      </c>
      <c r="W134" s="20" t="s">
        <v>848</v>
      </c>
      <c r="X134" s="39" t="s">
        <v>848</v>
      </c>
      <c r="Y134" s="20"/>
      <c r="Z134" s="7"/>
      <c r="AA134" s="7"/>
      <c r="AB134" s="23"/>
      <c r="AC134" s="26"/>
    </row>
    <row r="135" spans="1:29" ht="15.75" customHeight="1">
      <c r="A135" s="10" t="s">
        <v>1054</v>
      </c>
      <c r="B135" s="10" t="s">
        <v>27</v>
      </c>
      <c r="C135" s="11" t="s">
        <v>28</v>
      </c>
      <c r="D135" s="12"/>
      <c r="E135" s="13" t="s">
        <v>501</v>
      </c>
      <c r="F135" s="6" t="s">
        <v>1048</v>
      </c>
      <c r="G135" s="6" t="str">
        <f ca="1">IFERROR(__xludf.DUMMYFUNCTION("CONCATENATE(B135,(VLOOKUP(C135,CATALOGOS!$F$2:$H$6,3,FALSE)),(VLOOKUP(V135,CATALOGOS!$J$2:$K$18,2,FALSE)),""-"",TO_TEXT(A135))"),"P05DA-0134")</f>
        <v>P05DA-0134</v>
      </c>
      <c r="H135" s="15" t="str">
        <f ca="1">IFERROR(__xludf.DUMMYFUNCTION("CONCATENATE($B135,(VLOOKUP($C135,CATALOGOS!$F$2:$H$6,3,FALSE)),(VLOOKUP($V135,CATALOGOS!$J$2:$K$18,2,FALSE)),""-"",TO_TEXT($A135))"),"P05DA-0134")</f>
        <v>P05DA-0134</v>
      </c>
      <c r="I135" s="6"/>
      <c r="J135" s="6" t="s">
        <v>1055</v>
      </c>
      <c r="K135" s="6" t="s">
        <v>1056</v>
      </c>
      <c r="L135" s="6" t="s">
        <v>1057</v>
      </c>
      <c r="M135" s="6" t="s">
        <v>1058</v>
      </c>
      <c r="N135" s="17"/>
      <c r="O135" s="17"/>
      <c r="P135" s="17" t="str">
        <f t="shared" si="6"/>
        <v>OK</v>
      </c>
      <c r="Q135" s="17" t="s">
        <v>35</v>
      </c>
      <c r="R135" s="6" t="s">
        <v>35</v>
      </c>
      <c r="S135" s="17" t="s">
        <v>36</v>
      </c>
      <c r="T135" s="17" t="s">
        <v>1059</v>
      </c>
      <c r="U135" s="18" t="s">
        <v>38</v>
      </c>
      <c r="V135" s="19" t="s">
        <v>28</v>
      </c>
      <c r="W135" s="20" t="s">
        <v>848</v>
      </c>
      <c r="X135" s="39" t="s">
        <v>848</v>
      </c>
      <c r="Y135" s="20"/>
      <c r="Z135" s="7"/>
      <c r="AA135" s="7"/>
      <c r="AB135" s="23"/>
      <c r="AC135" s="26"/>
    </row>
    <row r="136" spans="1:29" ht="15.75" customHeight="1">
      <c r="A136" s="10" t="s">
        <v>1060</v>
      </c>
      <c r="B136" s="10" t="s">
        <v>27</v>
      </c>
      <c r="C136" s="11" t="s">
        <v>28</v>
      </c>
      <c r="D136" s="12"/>
      <c r="E136" s="13" t="s">
        <v>501</v>
      </c>
      <c r="F136" s="6" t="s">
        <v>1061</v>
      </c>
      <c r="G136" s="6" t="str">
        <f ca="1">IFERROR(__xludf.DUMMYFUNCTION("CONCATENATE(B136,(VLOOKUP(C136,CATALOGOS!$F$2:$H$6,3,FALSE)),(VLOOKUP(V136,CATALOGOS!$J$2:$K$18,2,FALSE)),""-"",TO_TEXT(A136))"),"P05DA-0135")</f>
        <v>P05DA-0135</v>
      </c>
      <c r="H136" s="15" t="str">
        <f ca="1">IFERROR(__xludf.DUMMYFUNCTION("CONCATENATE($B136,(VLOOKUP($C136,CATALOGOS!$F$2:$H$6,3,FALSE)),(VLOOKUP($V136,CATALOGOS!$J$2:$K$18,2,FALSE)),""-"",TO_TEXT($A136))"),"P05DA-0135")</f>
        <v>P05DA-0135</v>
      </c>
      <c r="I136" s="6"/>
      <c r="J136" s="6" t="s">
        <v>1062</v>
      </c>
      <c r="K136" s="6" t="s">
        <v>1063</v>
      </c>
      <c r="L136" s="6" t="s">
        <v>1064</v>
      </c>
      <c r="M136" s="6" t="s">
        <v>141</v>
      </c>
      <c r="N136" s="17"/>
      <c r="O136" s="17"/>
      <c r="P136" s="17" t="str">
        <f t="shared" si="6"/>
        <v>REPETIDO</v>
      </c>
      <c r="Q136" s="17" t="s">
        <v>35</v>
      </c>
      <c r="R136" s="6" t="s">
        <v>35</v>
      </c>
      <c r="S136" s="17" t="s">
        <v>36</v>
      </c>
      <c r="T136" s="17" t="s">
        <v>1065</v>
      </c>
      <c r="U136" s="18" t="s">
        <v>38</v>
      </c>
      <c r="V136" s="19" t="s">
        <v>28</v>
      </c>
      <c r="W136" s="20" t="s">
        <v>848</v>
      </c>
      <c r="X136" s="39" t="s">
        <v>848</v>
      </c>
      <c r="Y136" s="20"/>
      <c r="Z136" s="7"/>
      <c r="AA136" s="7"/>
      <c r="AB136" s="23"/>
      <c r="AC136" s="26"/>
    </row>
    <row r="137" spans="1:29" ht="15.75" customHeight="1">
      <c r="A137" s="10" t="s">
        <v>1066</v>
      </c>
      <c r="B137" s="10" t="s">
        <v>27</v>
      </c>
      <c r="C137" s="11" t="s">
        <v>28</v>
      </c>
      <c r="D137" s="12"/>
      <c r="E137" s="13" t="s">
        <v>501</v>
      </c>
      <c r="F137" s="6" t="s">
        <v>1048</v>
      </c>
      <c r="G137" s="6" t="str">
        <f ca="1">IFERROR(__xludf.DUMMYFUNCTION("CONCATENATE(B137,(VLOOKUP(C137,CATALOGOS!$F$2:$H$6,3,FALSE)),(VLOOKUP(V137,CATALOGOS!$J$2:$K$18,2,FALSE)),""-"",TO_TEXT(A137))"),"P05DA-0136")</f>
        <v>P05DA-0136</v>
      </c>
      <c r="H137" s="15" t="str">
        <f ca="1">IFERROR(__xludf.DUMMYFUNCTION("CONCATENATE($B137,(VLOOKUP($C137,CATALOGOS!$F$2:$H$6,3,FALSE)),(VLOOKUP($V137,CATALOGOS!$J$2:$K$18,2,FALSE)),""-"",TO_TEXT($A137))"),"P05DA-0136")</f>
        <v>P05DA-0136</v>
      </c>
      <c r="I137" s="6"/>
      <c r="J137" s="6" t="s">
        <v>1067</v>
      </c>
      <c r="K137" s="6" t="s">
        <v>1068</v>
      </c>
      <c r="L137" s="6" t="s">
        <v>1069</v>
      </c>
      <c r="M137" s="6" t="s">
        <v>1070</v>
      </c>
      <c r="N137" s="17"/>
      <c r="O137" s="17"/>
      <c r="P137" s="17" t="str">
        <f t="shared" si="6"/>
        <v>OK</v>
      </c>
      <c r="Q137" s="17" t="s">
        <v>35</v>
      </c>
      <c r="R137" s="6" t="s">
        <v>35</v>
      </c>
      <c r="S137" s="17" t="s">
        <v>36</v>
      </c>
      <c r="T137" s="17" t="s">
        <v>1071</v>
      </c>
      <c r="U137" s="18" t="s">
        <v>38</v>
      </c>
      <c r="V137" s="19" t="s">
        <v>28</v>
      </c>
      <c r="W137" s="20" t="s">
        <v>848</v>
      </c>
      <c r="X137" s="39" t="s">
        <v>848</v>
      </c>
      <c r="Y137" s="20"/>
      <c r="Z137" s="7"/>
      <c r="AA137" s="7"/>
      <c r="AB137" s="23"/>
      <c r="AC137" s="26"/>
    </row>
    <row r="138" spans="1:29" ht="15.75" customHeight="1">
      <c r="A138" s="10" t="s">
        <v>1072</v>
      </c>
      <c r="B138" s="10" t="s">
        <v>27</v>
      </c>
      <c r="C138" s="11" t="s">
        <v>28</v>
      </c>
      <c r="D138" s="12"/>
      <c r="E138" s="13" t="s">
        <v>501</v>
      </c>
      <c r="F138" s="6" t="s">
        <v>1048</v>
      </c>
      <c r="G138" s="6" t="str">
        <f ca="1">IFERROR(__xludf.DUMMYFUNCTION("CONCATENATE(B138,(VLOOKUP(C138,CATALOGOS!$F$2:$H$6,3,FALSE)),(VLOOKUP(V138,CATALOGOS!$J$2:$K$18,2,FALSE)),""-"",TO_TEXT(A138))"),"P05DA-0137")</f>
        <v>P05DA-0137</v>
      </c>
      <c r="H138" s="15" t="str">
        <f ca="1">IFERROR(__xludf.DUMMYFUNCTION("CONCATENATE($B138,(VLOOKUP($C138,CATALOGOS!$F$2:$H$6,3,FALSE)),(VLOOKUP($V138,CATALOGOS!$J$2:$K$18,2,FALSE)),""-"",TO_TEXT($A138))"),"P05DA-0137")</f>
        <v>P05DA-0137</v>
      </c>
      <c r="I138" s="6"/>
      <c r="J138" s="6" t="s">
        <v>1073</v>
      </c>
      <c r="K138" s="6" t="s">
        <v>1074</v>
      </c>
      <c r="L138" s="6" t="s">
        <v>1075</v>
      </c>
      <c r="M138" s="6" t="s">
        <v>1076</v>
      </c>
      <c r="N138" s="17"/>
      <c r="O138" s="17"/>
      <c r="P138" s="17" t="str">
        <f t="shared" si="6"/>
        <v>OK</v>
      </c>
      <c r="Q138" s="17" t="s">
        <v>35</v>
      </c>
      <c r="R138" s="6" t="s">
        <v>35</v>
      </c>
      <c r="S138" s="17" t="s">
        <v>36</v>
      </c>
      <c r="T138" s="17" t="s">
        <v>1077</v>
      </c>
      <c r="U138" s="18" t="s">
        <v>38</v>
      </c>
      <c r="V138" s="19" t="s">
        <v>28</v>
      </c>
      <c r="W138" s="20" t="s">
        <v>848</v>
      </c>
      <c r="X138" s="39" t="s">
        <v>848</v>
      </c>
      <c r="Y138" s="20"/>
      <c r="Z138" s="7"/>
      <c r="AA138" s="7"/>
      <c r="AB138" s="23"/>
      <c r="AC138" s="26"/>
    </row>
    <row r="139" spans="1:29" ht="15.75" customHeight="1">
      <c r="A139" s="10" t="s">
        <v>1078</v>
      </c>
      <c r="B139" s="10" t="s">
        <v>27</v>
      </c>
      <c r="C139" s="11" t="s">
        <v>28</v>
      </c>
      <c r="D139" s="12"/>
      <c r="E139" s="13" t="s">
        <v>501</v>
      </c>
      <c r="F139" s="6" t="s">
        <v>1048</v>
      </c>
      <c r="G139" s="6" t="str">
        <f ca="1">IFERROR(__xludf.DUMMYFUNCTION("CONCATENATE(B139,(VLOOKUP(C139,CATALOGOS!$F$2:$H$6,3,FALSE)),(VLOOKUP(V139,CATALOGOS!$J$2:$K$18,2,FALSE)),""-"",TO_TEXT(A139))"),"P05DA-0138")</f>
        <v>P05DA-0138</v>
      </c>
      <c r="H139" s="15" t="str">
        <f ca="1">IFERROR(__xludf.DUMMYFUNCTION("CONCATENATE($B139,(VLOOKUP($C139,CATALOGOS!$F$2:$H$6,3,FALSE)),(VLOOKUP($V139,CATALOGOS!$J$2:$K$18,2,FALSE)),""-"",TO_TEXT($A139))"),"P05DA-0138")</f>
        <v>P05DA-0138</v>
      </c>
      <c r="I139" s="6"/>
      <c r="J139" s="6" t="s">
        <v>1079</v>
      </c>
      <c r="K139" s="6" t="s">
        <v>1080</v>
      </c>
      <c r="L139" s="6" t="s">
        <v>1081</v>
      </c>
      <c r="M139" s="6" t="s">
        <v>1082</v>
      </c>
      <c r="N139" s="17"/>
      <c r="O139" s="17"/>
      <c r="P139" s="17" t="str">
        <f t="shared" si="6"/>
        <v>OK</v>
      </c>
      <c r="Q139" s="17" t="s">
        <v>35</v>
      </c>
      <c r="R139" s="6" t="s">
        <v>35</v>
      </c>
      <c r="S139" s="17" t="s">
        <v>36</v>
      </c>
      <c r="T139" s="17" t="s">
        <v>1083</v>
      </c>
      <c r="U139" s="18" t="s">
        <v>38</v>
      </c>
      <c r="V139" s="19" t="s">
        <v>28</v>
      </c>
      <c r="W139" s="20" t="s">
        <v>848</v>
      </c>
      <c r="X139" s="39" t="s">
        <v>848</v>
      </c>
      <c r="Y139" s="20"/>
      <c r="Z139" s="7"/>
      <c r="AA139" s="7"/>
      <c r="AB139" s="23"/>
      <c r="AC139" s="26"/>
    </row>
    <row r="140" spans="1:29" ht="15.75" customHeight="1">
      <c r="A140" s="10" t="s">
        <v>1084</v>
      </c>
      <c r="B140" s="10" t="s">
        <v>27</v>
      </c>
      <c r="C140" s="11" t="s">
        <v>28</v>
      </c>
      <c r="D140" s="12"/>
      <c r="E140" s="13" t="s">
        <v>501</v>
      </c>
      <c r="F140" s="6" t="s">
        <v>1048</v>
      </c>
      <c r="G140" s="6" t="str">
        <f ca="1">IFERROR(__xludf.DUMMYFUNCTION("CONCATENATE(B140,(VLOOKUP(C140,CATALOGOS!$F$2:$H$6,3,FALSE)),(VLOOKUP(V140,CATALOGOS!$J$2:$K$18,2,FALSE)),""-"",TO_TEXT(A140))"),"P05DA-0139")</f>
        <v>P05DA-0139</v>
      </c>
      <c r="H140" s="15" t="str">
        <f ca="1">IFERROR(__xludf.DUMMYFUNCTION("CONCATENATE($B140,(VLOOKUP($C140,CATALOGOS!$F$2:$H$6,3,FALSE)),(VLOOKUP($V140,CATALOGOS!$J$2:$K$18,2,FALSE)),""-"",TO_TEXT($A140))"),"P05DA-0139")</f>
        <v>P05DA-0139</v>
      </c>
      <c r="I140" s="6"/>
      <c r="J140" s="6" t="s">
        <v>1085</v>
      </c>
      <c r="K140" s="6" t="s">
        <v>1086</v>
      </c>
      <c r="L140" s="6" t="s">
        <v>1087</v>
      </c>
      <c r="M140" s="6" t="s">
        <v>1088</v>
      </c>
      <c r="N140" s="17"/>
      <c r="O140" s="17"/>
      <c r="P140" s="17" t="str">
        <f t="shared" si="6"/>
        <v>OK</v>
      </c>
      <c r="Q140" s="17" t="s">
        <v>35</v>
      </c>
      <c r="R140" s="6" t="s">
        <v>35</v>
      </c>
      <c r="S140" s="17" t="s">
        <v>36</v>
      </c>
      <c r="T140" s="17" t="s">
        <v>1089</v>
      </c>
      <c r="U140" s="18" t="s">
        <v>38</v>
      </c>
      <c r="V140" s="19" t="s">
        <v>28</v>
      </c>
      <c r="W140" s="20" t="s">
        <v>848</v>
      </c>
      <c r="X140" s="39" t="s">
        <v>848</v>
      </c>
      <c r="Y140" s="20"/>
      <c r="Z140" s="7"/>
      <c r="AA140" s="7"/>
      <c r="AB140" s="23"/>
      <c r="AC140" s="26"/>
    </row>
    <row r="141" spans="1:29" ht="15.75" customHeight="1">
      <c r="A141" s="10" t="s">
        <v>1090</v>
      </c>
      <c r="B141" s="10" t="s">
        <v>27</v>
      </c>
      <c r="C141" s="11" t="s">
        <v>28</v>
      </c>
      <c r="D141" s="12"/>
      <c r="E141" s="13" t="s">
        <v>501</v>
      </c>
      <c r="F141" s="6" t="s">
        <v>1091</v>
      </c>
      <c r="G141" s="6" t="str">
        <f ca="1">IFERROR(__xludf.DUMMYFUNCTION("CONCATENATE(B141,(VLOOKUP(C141,CATALOGOS!$F$2:$H$6,3,FALSE)),(VLOOKUP(V141,CATALOGOS!$J$2:$K$18,2,FALSE)),""-"",TO_TEXT(A141))"),"P05DA-0140")</f>
        <v>P05DA-0140</v>
      </c>
      <c r="H141" s="15" t="str">
        <f ca="1">IFERROR(__xludf.DUMMYFUNCTION("CONCATENATE($B141,(VLOOKUP($C141,CATALOGOS!$F$2:$H$6,3,FALSE)),(VLOOKUP($V141,CATALOGOS!$J$2:$K$18,2,FALSE)),""-"",TO_TEXT($A141))"),"P05DA-0140")</f>
        <v>P05DA-0140</v>
      </c>
      <c r="I141" s="6"/>
      <c r="J141" s="6" t="s">
        <v>1092</v>
      </c>
      <c r="K141" s="6" t="s">
        <v>1093</v>
      </c>
      <c r="L141" s="36"/>
      <c r="M141" s="6" t="s">
        <v>141</v>
      </c>
      <c r="N141" s="17"/>
      <c r="O141" s="17"/>
      <c r="P141" s="17" t="str">
        <f t="shared" si="6"/>
        <v>REPETIDO</v>
      </c>
      <c r="Q141" s="17" t="s">
        <v>35</v>
      </c>
      <c r="R141" s="6" t="s">
        <v>35</v>
      </c>
      <c r="S141" s="6" t="s">
        <v>36</v>
      </c>
      <c r="T141" s="10" t="s">
        <v>1094</v>
      </c>
      <c r="U141" s="18" t="s">
        <v>38</v>
      </c>
      <c r="V141" s="19" t="s">
        <v>28</v>
      </c>
      <c r="W141" s="20" t="s">
        <v>848</v>
      </c>
      <c r="X141" s="39" t="s">
        <v>848</v>
      </c>
      <c r="Y141" s="20"/>
      <c r="Z141" s="7"/>
      <c r="AA141" s="7"/>
      <c r="AB141" s="23"/>
      <c r="AC141" s="26"/>
    </row>
    <row r="142" spans="1:29" ht="15.75" customHeight="1">
      <c r="A142" s="10" t="s">
        <v>1095</v>
      </c>
      <c r="B142" s="10" t="s">
        <v>27</v>
      </c>
      <c r="C142" s="11" t="s">
        <v>28</v>
      </c>
      <c r="D142" s="12"/>
      <c r="E142" s="13" t="s">
        <v>501</v>
      </c>
      <c r="F142" s="6" t="s">
        <v>1091</v>
      </c>
      <c r="G142" s="6" t="str">
        <f ca="1">IFERROR(__xludf.DUMMYFUNCTION("CONCATENATE(B142,(VLOOKUP(C142,CATALOGOS!$F$2:$H$6,3,FALSE)),(VLOOKUP(V142,CATALOGOS!$J$2:$K$18,2,FALSE)),""-"",TO_TEXT(A142))"),"P05DA-0141")</f>
        <v>P05DA-0141</v>
      </c>
      <c r="H142" s="15" t="str">
        <f ca="1">IFERROR(__xludf.DUMMYFUNCTION("CONCATENATE($B142,(VLOOKUP($C142,CATALOGOS!$F$2:$H$6,3,FALSE)),(VLOOKUP($V142,CATALOGOS!$J$2:$K$18,2,FALSE)),""-"",TO_TEXT($A142))"),"P05DA-0141")</f>
        <v>P05DA-0141</v>
      </c>
      <c r="I142" s="6"/>
      <c r="J142" s="6" t="s">
        <v>1096</v>
      </c>
      <c r="K142" s="6" t="s">
        <v>1097</v>
      </c>
      <c r="L142" s="36"/>
      <c r="M142" s="6" t="s">
        <v>141</v>
      </c>
      <c r="N142" s="17"/>
      <c r="O142" s="17"/>
      <c r="P142" s="17" t="str">
        <f t="shared" si="6"/>
        <v>REPETIDO</v>
      </c>
      <c r="Q142" s="17" t="s">
        <v>35</v>
      </c>
      <c r="R142" s="6" t="s">
        <v>35</v>
      </c>
      <c r="S142" s="6" t="s">
        <v>36</v>
      </c>
      <c r="T142" s="10" t="s">
        <v>1098</v>
      </c>
      <c r="U142" s="18" t="s">
        <v>38</v>
      </c>
      <c r="V142" s="19" t="s">
        <v>28</v>
      </c>
      <c r="W142" s="20" t="s">
        <v>848</v>
      </c>
      <c r="X142" s="39" t="s">
        <v>848</v>
      </c>
      <c r="Y142" s="20"/>
      <c r="Z142" s="7"/>
      <c r="AA142" s="7"/>
      <c r="AB142" s="23"/>
      <c r="AC142" s="26"/>
    </row>
    <row r="143" spans="1:29" ht="15.75" customHeight="1">
      <c r="A143" s="10" t="s">
        <v>1099</v>
      </c>
      <c r="B143" s="10" t="s">
        <v>27</v>
      </c>
      <c r="C143" s="11" t="s">
        <v>28</v>
      </c>
      <c r="D143" s="12"/>
      <c r="E143" s="13" t="s">
        <v>501</v>
      </c>
      <c r="F143" s="6" t="s">
        <v>1091</v>
      </c>
      <c r="G143" s="6" t="str">
        <f ca="1">IFERROR(__xludf.DUMMYFUNCTION("CONCATENATE(B143,(VLOOKUP(C143,CATALOGOS!$F$2:$H$6,3,FALSE)),(VLOOKUP(V143,CATALOGOS!$J$2:$K$18,2,FALSE)),""-"",TO_TEXT(A143))"),"P05DA-0142")</f>
        <v>P05DA-0142</v>
      </c>
      <c r="H143" s="15" t="str">
        <f ca="1">IFERROR(__xludf.DUMMYFUNCTION("CONCATENATE($B143,(VLOOKUP($C143,CATALOGOS!$F$2:$H$6,3,FALSE)),(VLOOKUP($V143,CATALOGOS!$J$2:$K$18,2,FALSE)),""-"",TO_TEXT($A143))"),"P05DA-0142")</f>
        <v>P05DA-0142</v>
      </c>
      <c r="I143" s="6"/>
      <c r="J143" s="6" t="s">
        <v>1100</v>
      </c>
      <c r="K143" s="6" t="s">
        <v>1101</v>
      </c>
      <c r="L143" s="36"/>
      <c r="M143" s="6" t="s">
        <v>141</v>
      </c>
      <c r="N143" s="17"/>
      <c r="O143" s="17"/>
      <c r="P143" s="17" t="str">
        <f t="shared" si="6"/>
        <v>REPETIDO</v>
      </c>
      <c r="Q143" s="17" t="s">
        <v>35</v>
      </c>
      <c r="R143" s="6" t="s">
        <v>35</v>
      </c>
      <c r="S143" s="6" t="s">
        <v>36</v>
      </c>
      <c r="T143" s="6" t="s">
        <v>1102</v>
      </c>
      <c r="U143" s="18" t="s">
        <v>38</v>
      </c>
      <c r="V143" s="19" t="s">
        <v>28</v>
      </c>
      <c r="W143" s="20" t="s">
        <v>848</v>
      </c>
      <c r="X143" s="39" t="s">
        <v>848</v>
      </c>
      <c r="Y143" s="20"/>
      <c r="Z143" s="7"/>
      <c r="AA143" s="7"/>
      <c r="AB143" s="23"/>
      <c r="AC143" s="26"/>
    </row>
    <row r="144" spans="1:29" ht="15.75" customHeight="1">
      <c r="A144" s="10" t="s">
        <v>1103</v>
      </c>
      <c r="B144" s="10" t="s">
        <v>27</v>
      </c>
      <c r="C144" s="11" t="s">
        <v>28</v>
      </c>
      <c r="D144" s="12"/>
      <c r="E144" s="13" t="s">
        <v>501</v>
      </c>
      <c r="F144" s="6" t="s">
        <v>1091</v>
      </c>
      <c r="G144" s="6" t="str">
        <f ca="1">IFERROR(__xludf.DUMMYFUNCTION("CONCATENATE(B144,(VLOOKUP(C144,CATALOGOS!$F$2:$H$6,3,FALSE)),(VLOOKUP(V144,CATALOGOS!$J$2:$K$18,2,FALSE)),""-"",TO_TEXT(A144))"),"P05DA-0143")</f>
        <v>P05DA-0143</v>
      </c>
      <c r="H144" s="15" t="str">
        <f ca="1">IFERROR(__xludf.DUMMYFUNCTION("CONCATENATE($B144,(VLOOKUP($C144,CATALOGOS!$F$2:$H$6,3,FALSE)),(VLOOKUP($V144,CATALOGOS!$J$2:$K$18,2,FALSE)),""-"",TO_TEXT($A144))"),"P05DA-0143")</f>
        <v>P05DA-0143</v>
      </c>
      <c r="I144" s="6"/>
      <c r="J144" s="6" t="s">
        <v>1104</v>
      </c>
      <c r="K144" s="6" t="s">
        <v>1105</v>
      </c>
      <c r="L144" s="36"/>
      <c r="M144" s="6" t="s">
        <v>141</v>
      </c>
      <c r="N144" s="17"/>
      <c r="O144" s="17"/>
      <c r="P144" s="17" t="str">
        <f t="shared" si="6"/>
        <v>REPETIDO</v>
      </c>
      <c r="Q144" s="17" t="s">
        <v>35</v>
      </c>
      <c r="R144" s="6" t="s">
        <v>35</v>
      </c>
      <c r="S144" s="6" t="s">
        <v>36</v>
      </c>
      <c r="T144" s="6" t="s">
        <v>1106</v>
      </c>
      <c r="U144" s="18" t="s">
        <v>38</v>
      </c>
      <c r="V144" s="19" t="s">
        <v>28</v>
      </c>
      <c r="W144" s="20" t="s">
        <v>848</v>
      </c>
      <c r="X144" s="39" t="s">
        <v>848</v>
      </c>
      <c r="Y144" s="20"/>
      <c r="Z144" s="7"/>
      <c r="AA144" s="7"/>
      <c r="AB144" s="23"/>
      <c r="AC144" s="26"/>
    </row>
    <row r="145" spans="1:29" ht="15.75" customHeight="1">
      <c r="A145" s="10" t="s">
        <v>1107</v>
      </c>
      <c r="B145" s="10" t="s">
        <v>27</v>
      </c>
      <c r="C145" s="11" t="s">
        <v>28</v>
      </c>
      <c r="D145" s="12"/>
      <c r="E145" s="13" t="s">
        <v>501</v>
      </c>
      <c r="F145" s="6" t="s">
        <v>1091</v>
      </c>
      <c r="G145" s="6" t="str">
        <f ca="1">IFERROR(__xludf.DUMMYFUNCTION("CONCATENATE(B145,(VLOOKUP(C145,CATALOGOS!$F$2:$H$6,3,FALSE)),(VLOOKUP(V145,CATALOGOS!$J$2:$K$18,2,FALSE)),""-"",TO_TEXT(A145))"),"P05DA-0144")</f>
        <v>P05DA-0144</v>
      </c>
      <c r="H145" s="15" t="str">
        <f ca="1">IFERROR(__xludf.DUMMYFUNCTION("CONCATENATE($B145,(VLOOKUP($C145,CATALOGOS!$F$2:$H$6,3,FALSE)),(VLOOKUP($V145,CATALOGOS!$J$2:$K$18,2,FALSE)),""-"",TO_TEXT($A145))"),"P05DA-0144")</f>
        <v>P05DA-0144</v>
      </c>
      <c r="I145" s="6"/>
      <c r="J145" s="6" t="s">
        <v>1108</v>
      </c>
      <c r="K145" s="6" t="s">
        <v>1109</v>
      </c>
      <c r="L145" s="36"/>
      <c r="M145" s="6" t="s">
        <v>141</v>
      </c>
      <c r="N145" s="17"/>
      <c r="O145" s="17"/>
      <c r="P145" s="17" t="str">
        <f t="shared" si="6"/>
        <v>REPETIDO</v>
      </c>
      <c r="Q145" s="17" t="s">
        <v>35</v>
      </c>
      <c r="R145" s="6" t="s">
        <v>35</v>
      </c>
      <c r="S145" s="6" t="s">
        <v>36</v>
      </c>
      <c r="T145" s="6" t="s">
        <v>1110</v>
      </c>
      <c r="U145" s="18" t="s">
        <v>38</v>
      </c>
      <c r="V145" s="19" t="s">
        <v>28</v>
      </c>
      <c r="W145" s="20" t="s">
        <v>848</v>
      </c>
      <c r="X145" s="39" t="s">
        <v>848</v>
      </c>
      <c r="Y145" s="20"/>
      <c r="Z145" s="7"/>
      <c r="AA145" s="7"/>
      <c r="AB145" s="23"/>
      <c r="AC145" s="26"/>
    </row>
    <row r="146" spans="1:29" ht="15.75" customHeight="1">
      <c r="A146" s="10" t="s">
        <v>1111</v>
      </c>
      <c r="B146" s="10" t="s">
        <v>27</v>
      </c>
      <c r="C146" s="11" t="s">
        <v>28</v>
      </c>
      <c r="D146" s="12"/>
      <c r="E146" s="13" t="s">
        <v>501</v>
      </c>
      <c r="F146" s="6" t="s">
        <v>1091</v>
      </c>
      <c r="G146" s="6" t="str">
        <f ca="1">IFERROR(__xludf.DUMMYFUNCTION("CONCATENATE(B146,(VLOOKUP(C146,CATALOGOS!$F$2:$H$6,3,FALSE)),(VLOOKUP(V146,CATALOGOS!$J$2:$K$18,2,FALSE)),""-"",TO_TEXT(A146))"),"P05DA-0145")</f>
        <v>P05DA-0145</v>
      </c>
      <c r="H146" s="15" t="str">
        <f ca="1">IFERROR(__xludf.DUMMYFUNCTION("CONCATENATE($B146,(VLOOKUP($C146,CATALOGOS!$F$2:$H$6,3,FALSE)),(VLOOKUP($V146,CATALOGOS!$J$2:$K$18,2,FALSE)),""-"",TO_TEXT($A146))"),"P05DA-0145")</f>
        <v>P05DA-0145</v>
      </c>
      <c r="I146" s="6"/>
      <c r="J146" s="6" t="s">
        <v>1112</v>
      </c>
      <c r="K146" s="6" t="s">
        <v>1113</v>
      </c>
      <c r="L146" s="36"/>
      <c r="M146" s="6" t="s">
        <v>141</v>
      </c>
      <c r="N146" s="17"/>
      <c r="O146" s="17"/>
      <c r="P146" s="17" t="str">
        <f t="shared" si="6"/>
        <v>REPETIDO</v>
      </c>
      <c r="Q146" s="17" t="s">
        <v>35</v>
      </c>
      <c r="R146" s="6" t="s">
        <v>35</v>
      </c>
      <c r="S146" s="6" t="s">
        <v>36</v>
      </c>
      <c r="T146" s="6" t="s">
        <v>1114</v>
      </c>
      <c r="U146" s="18" t="s">
        <v>38</v>
      </c>
      <c r="V146" s="19" t="s">
        <v>28</v>
      </c>
      <c r="W146" s="20" t="s">
        <v>848</v>
      </c>
      <c r="X146" s="39" t="s">
        <v>848</v>
      </c>
      <c r="Y146" s="20"/>
      <c r="Z146" s="7"/>
      <c r="AA146" s="7"/>
      <c r="AB146" s="23"/>
      <c r="AC146" s="26"/>
    </row>
    <row r="147" spans="1:29" ht="15.75" customHeight="1">
      <c r="A147" s="10" t="s">
        <v>1115</v>
      </c>
      <c r="B147" s="10" t="s">
        <v>27</v>
      </c>
      <c r="C147" s="11" t="s">
        <v>28</v>
      </c>
      <c r="D147" s="12"/>
      <c r="E147" s="13" t="s">
        <v>501</v>
      </c>
      <c r="F147" s="6" t="s">
        <v>1091</v>
      </c>
      <c r="G147" s="6" t="str">
        <f ca="1">IFERROR(__xludf.DUMMYFUNCTION("CONCATENATE(B147,(VLOOKUP(C147,CATALOGOS!$F$2:$H$6,3,FALSE)),(VLOOKUP(V147,CATALOGOS!$J$2:$K$18,2,FALSE)),""-"",TO_TEXT(A147))"),"P05DA-0146")</f>
        <v>P05DA-0146</v>
      </c>
      <c r="H147" s="15" t="str">
        <f ca="1">IFERROR(__xludf.DUMMYFUNCTION("CONCATENATE($B147,(VLOOKUP($C147,CATALOGOS!$F$2:$H$6,3,FALSE)),(VLOOKUP($V147,CATALOGOS!$J$2:$K$18,2,FALSE)),""-"",TO_TEXT($A147))"),"P05DA-0146")</f>
        <v>P05DA-0146</v>
      </c>
      <c r="I147" s="6"/>
      <c r="J147" s="6" t="s">
        <v>1116</v>
      </c>
      <c r="K147" s="6" t="s">
        <v>1117</v>
      </c>
      <c r="L147" s="36"/>
      <c r="M147" s="6" t="s">
        <v>141</v>
      </c>
      <c r="N147" s="17"/>
      <c r="O147" s="17"/>
      <c r="P147" s="17" t="str">
        <f t="shared" si="6"/>
        <v>REPETIDO</v>
      </c>
      <c r="Q147" s="35" t="s">
        <v>35</v>
      </c>
      <c r="R147" s="6" t="s">
        <v>35</v>
      </c>
      <c r="S147" s="6" t="s">
        <v>36</v>
      </c>
      <c r="T147" s="6" t="s">
        <v>1118</v>
      </c>
      <c r="U147" s="18" t="s">
        <v>38</v>
      </c>
      <c r="V147" s="19" t="s">
        <v>28</v>
      </c>
      <c r="W147" s="20" t="s">
        <v>848</v>
      </c>
      <c r="X147" s="39" t="s">
        <v>848</v>
      </c>
      <c r="Y147" s="20"/>
      <c r="Z147" s="7"/>
      <c r="AA147" s="7"/>
      <c r="AB147" s="23"/>
      <c r="AC147" s="26"/>
    </row>
    <row r="148" spans="1:29" ht="15.75" customHeight="1">
      <c r="A148" s="10" t="s">
        <v>1119</v>
      </c>
      <c r="B148" s="10" t="s">
        <v>27</v>
      </c>
      <c r="C148" s="11" t="s">
        <v>28</v>
      </c>
      <c r="D148" s="12"/>
      <c r="E148" s="13" t="s">
        <v>501</v>
      </c>
      <c r="F148" s="6" t="s">
        <v>1091</v>
      </c>
      <c r="G148" s="6" t="str">
        <f ca="1">IFERROR(__xludf.DUMMYFUNCTION("CONCATENATE(B148,(VLOOKUP(C148,CATALOGOS!$F$2:$H$6,3,FALSE)),(VLOOKUP(V148,CATALOGOS!$J$2:$K$18,2,FALSE)),""-"",TO_TEXT(A148))"),"P05DA-0147")</f>
        <v>P05DA-0147</v>
      </c>
      <c r="H148" s="15" t="str">
        <f ca="1">IFERROR(__xludf.DUMMYFUNCTION("CONCATENATE($B148,(VLOOKUP($C148,CATALOGOS!$F$2:$H$6,3,FALSE)),(VLOOKUP($V148,CATALOGOS!$J$2:$K$18,2,FALSE)),""-"",TO_TEXT($A148))"),"P05DA-0147")</f>
        <v>P05DA-0147</v>
      </c>
      <c r="I148" s="6"/>
      <c r="J148" s="6" t="s">
        <v>1120</v>
      </c>
      <c r="K148" s="6" t="s">
        <v>1121</v>
      </c>
      <c r="L148" s="36"/>
      <c r="M148" s="6" t="s">
        <v>141</v>
      </c>
      <c r="N148" s="17"/>
      <c r="O148" s="17"/>
      <c r="P148" s="17" t="str">
        <f t="shared" si="6"/>
        <v>REPETIDO</v>
      </c>
      <c r="Q148" s="17" t="s">
        <v>35</v>
      </c>
      <c r="R148" s="6" t="s">
        <v>35</v>
      </c>
      <c r="S148" s="6" t="s">
        <v>36</v>
      </c>
      <c r="T148" s="6" t="s">
        <v>1122</v>
      </c>
      <c r="U148" s="18" t="s">
        <v>38</v>
      </c>
      <c r="V148" s="19" t="s">
        <v>28</v>
      </c>
      <c r="W148" s="20" t="s">
        <v>848</v>
      </c>
      <c r="X148" s="39" t="s">
        <v>848</v>
      </c>
      <c r="Y148" s="20"/>
      <c r="Z148" s="7"/>
      <c r="AA148" s="7"/>
      <c r="AB148" s="23"/>
      <c r="AC148" s="26"/>
    </row>
    <row r="149" spans="1:29" ht="15.75" customHeight="1">
      <c r="A149" s="10" t="s">
        <v>1123</v>
      </c>
      <c r="B149" s="10" t="s">
        <v>27</v>
      </c>
      <c r="C149" s="11" t="s">
        <v>28</v>
      </c>
      <c r="D149" s="12"/>
      <c r="E149" s="13" t="s">
        <v>501</v>
      </c>
      <c r="F149" s="6" t="s">
        <v>1091</v>
      </c>
      <c r="G149" s="6" t="str">
        <f ca="1">IFERROR(__xludf.DUMMYFUNCTION("CONCATENATE(B149,(VLOOKUP(C149,CATALOGOS!$F$2:$H$6,3,FALSE)),(VLOOKUP(V149,CATALOGOS!$J$2:$K$18,2,FALSE)),""-"",TO_TEXT(A149))"),"P05DA-0148")</f>
        <v>P05DA-0148</v>
      </c>
      <c r="H149" s="15" t="str">
        <f ca="1">IFERROR(__xludf.DUMMYFUNCTION("CONCATENATE($B149,(VLOOKUP($C149,CATALOGOS!$F$2:$H$6,3,FALSE)),(VLOOKUP($V149,CATALOGOS!$J$2:$K$18,2,FALSE)),""-"",TO_TEXT($A149))"),"P05DA-0148")</f>
        <v>P05DA-0148</v>
      </c>
      <c r="I149" s="6"/>
      <c r="J149" s="6" t="s">
        <v>1124</v>
      </c>
      <c r="K149" s="6" t="s">
        <v>1125</v>
      </c>
      <c r="L149" s="36"/>
      <c r="M149" s="6" t="s">
        <v>141</v>
      </c>
      <c r="N149" s="17"/>
      <c r="O149" s="17"/>
      <c r="P149" s="17" t="str">
        <f t="shared" si="6"/>
        <v>REPETIDO</v>
      </c>
      <c r="Q149" s="17" t="s">
        <v>35</v>
      </c>
      <c r="R149" s="6" t="s">
        <v>35</v>
      </c>
      <c r="S149" s="6" t="s">
        <v>36</v>
      </c>
      <c r="T149" s="6" t="s">
        <v>85</v>
      </c>
      <c r="U149" s="18" t="s">
        <v>38</v>
      </c>
      <c r="V149" s="19" t="s">
        <v>28</v>
      </c>
      <c r="W149" s="20" t="s">
        <v>848</v>
      </c>
      <c r="X149" s="39" t="s">
        <v>848</v>
      </c>
      <c r="Y149" s="20"/>
      <c r="Z149" s="7"/>
      <c r="AA149" s="7"/>
      <c r="AB149" s="23"/>
      <c r="AC149" s="26"/>
    </row>
    <row r="150" spans="1:29" ht="15.75" customHeight="1">
      <c r="A150" s="10" t="s">
        <v>1126</v>
      </c>
      <c r="B150" s="10" t="s">
        <v>27</v>
      </c>
      <c r="C150" s="11" t="s">
        <v>28</v>
      </c>
      <c r="D150" s="38"/>
      <c r="E150" s="13" t="s">
        <v>151</v>
      </c>
      <c r="F150" s="6" t="s">
        <v>698</v>
      </c>
      <c r="G150" s="6" t="str">
        <f ca="1">IFERROR(__xludf.DUMMYFUNCTION("CONCATENATE(B150,(VLOOKUP(C150,CATALOGOS!$F$2:$H$6,3,FALSE)),(VLOOKUP(V150,CATALOGOS!$J$2:$K$18,2,FALSE)),""-"",TO_TEXT(A150))"),"P05RM-0149")</f>
        <v>P05RM-0149</v>
      </c>
      <c r="H150" s="15" t="str">
        <f ca="1">IFERROR(__xludf.DUMMYFUNCTION("CONCATENATE($B150,(VLOOKUP($C150,CATALOGOS!$F$2:$H$6,3,FALSE)),(VLOOKUP($V150,CATALOGOS!$J$2:$K$18,2,FALSE)),""-"",TO_TEXT($A150))"),"P05RM-0149")</f>
        <v>P05RM-0149</v>
      </c>
      <c r="I150" s="6"/>
      <c r="J150" s="6" t="s">
        <v>1127</v>
      </c>
      <c r="K150" s="6" t="s">
        <v>1128</v>
      </c>
      <c r="L150" s="6" t="s">
        <v>1129</v>
      </c>
      <c r="M150" s="6" t="s">
        <v>1130</v>
      </c>
      <c r="N150" s="17"/>
      <c r="O150" s="17"/>
      <c r="P150" s="17" t="str">
        <f t="shared" si="6"/>
        <v>OK</v>
      </c>
      <c r="Q150" s="17" t="s">
        <v>297</v>
      </c>
      <c r="R150" s="6" t="s">
        <v>1131</v>
      </c>
      <c r="S150" s="46" t="s">
        <v>1132</v>
      </c>
      <c r="T150" s="35" t="s">
        <v>1133</v>
      </c>
      <c r="U150" s="18" t="s">
        <v>38</v>
      </c>
      <c r="V150" s="19" t="s">
        <v>147</v>
      </c>
      <c r="W150" s="20" t="s">
        <v>483</v>
      </c>
      <c r="X150" s="39" t="s">
        <v>484</v>
      </c>
      <c r="Y150" s="32"/>
      <c r="Z150" s="7"/>
      <c r="AA150" s="7"/>
      <c r="AB150" s="26"/>
      <c r="AC150" s="26"/>
    </row>
    <row r="151" spans="1:29" ht="15.75" customHeight="1">
      <c r="A151" s="10" t="s">
        <v>1134</v>
      </c>
      <c r="B151" s="10" t="s">
        <v>27</v>
      </c>
      <c r="C151" s="11" t="s">
        <v>28</v>
      </c>
      <c r="D151" s="38"/>
      <c r="E151" s="13" t="s">
        <v>151</v>
      </c>
      <c r="F151" s="6" t="s">
        <v>698</v>
      </c>
      <c r="G151" s="6" t="str">
        <f ca="1">IFERROR(__xludf.DUMMYFUNCTION("CONCATENATE(B151,(VLOOKUP(C151,CATALOGOS!$F$2:$H$6,3,FALSE)),(VLOOKUP(V151,CATALOGOS!$J$2:$K$18,2,FALSE)),""-"",TO_TEXT(A151))"),"P05RM-0150")</f>
        <v>P05RM-0150</v>
      </c>
      <c r="H151" s="15" t="str">
        <f ca="1">IFERROR(__xludf.DUMMYFUNCTION("CONCATENATE($B151,(VLOOKUP($C151,CATALOGOS!$F$2:$H$6,3,FALSE)),(VLOOKUP($V151,CATALOGOS!$J$2:$K$18,2,FALSE)),""-"",TO_TEXT($A151))"),"P05RM-0150")</f>
        <v>P05RM-0150</v>
      </c>
      <c r="I151" s="6"/>
      <c r="J151" s="6" t="s">
        <v>1135</v>
      </c>
      <c r="K151" s="6" t="s">
        <v>1136</v>
      </c>
      <c r="L151" s="6" t="s">
        <v>1137</v>
      </c>
      <c r="M151" s="6" t="s">
        <v>1138</v>
      </c>
      <c r="N151" s="17"/>
      <c r="O151" s="17"/>
      <c r="P151" s="17" t="str">
        <f t="shared" si="6"/>
        <v>OK</v>
      </c>
      <c r="Q151" s="17" t="s">
        <v>297</v>
      </c>
      <c r="R151" s="6" t="s">
        <v>1131</v>
      </c>
      <c r="S151" s="46" t="s">
        <v>1139</v>
      </c>
      <c r="T151" s="35" t="s">
        <v>1140</v>
      </c>
      <c r="U151" s="18" t="s">
        <v>38</v>
      </c>
      <c r="V151" s="19" t="s">
        <v>147</v>
      </c>
      <c r="W151" s="20" t="s">
        <v>483</v>
      </c>
      <c r="X151" s="39" t="s">
        <v>484</v>
      </c>
      <c r="Y151" s="22"/>
      <c r="Z151" s="7"/>
      <c r="AA151" s="7"/>
      <c r="AB151" s="26"/>
      <c r="AC151" s="26"/>
    </row>
    <row r="152" spans="1:29" ht="15.75" customHeight="1">
      <c r="A152" s="10" t="s">
        <v>1141</v>
      </c>
      <c r="B152" s="10" t="s">
        <v>27</v>
      </c>
      <c r="C152" s="11" t="s">
        <v>28</v>
      </c>
      <c r="D152" s="12"/>
      <c r="E152" s="13" t="s">
        <v>1142</v>
      </c>
      <c r="F152" s="6" t="s">
        <v>1143</v>
      </c>
      <c r="G152" s="6" t="str">
        <f ca="1">IFERROR(__xludf.DUMMYFUNCTION("CONCATENATE(B152,(VLOOKUP(C152,CATALOGOS!$F$2:$H$6,3,FALSE)),(VLOOKUP(V152,CATALOGOS!$J$2:$K$18,2,FALSE)),""-"",TO_TEXT(A152))"),"P05RM-0151")</f>
        <v>P05RM-0151</v>
      </c>
      <c r="H152" s="15" t="str">
        <f ca="1">IFERROR(__xludf.DUMMYFUNCTION("CONCATENATE($B152,(VLOOKUP($C152,CATALOGOS!$F$2:$H$6,3,FALSE)),(VLOOKUP($V152,CATALOGOS!$J$2:$K$18,2,FALSE)),""-"",TO_TEXT($A152))"),"P05RM-0151")</f>
        <v>P05RM-0151</v>
      </c>
      <c r="I152" s="6"/>
      <c r="J152" s="6" t="s">
        <v>1144</v>
      </c>
      <c r="K152" s="6" t="s">
        <v>1145</v>
      </c>
      <c r="L152" s="6" t="s">
        <v>1146</v>
      </c>
      <c r="M152" s="6" t="s">
        <v>1147</v>
      </c>
      <c r="N152" s="17"/>
      <c r="O152" s="17"/>
      <c r="P152" s="17" t="str">
        <f t="shared" si="6"/>
        <v>OK</v>
      </c>
      <c r="Q152" s="17" t="s">
        <v>359</v>
      </c>
      <c r="R152" s="6" t="s">
        <v>1148</v>
      </c>
      <c r="S152" s="46" t="s">
        <v>36</v>
      </c>
      <c r="T152" s="17" t="s">
        <v>1149</v>
      </c>
      <c r="U152" s="18" t="s">
        <v>38</v>
      </c>
      <c r="V152" s="19" t="s">
        <v>147</v>
      </c>
      <c r="W152" s="20" t="s">
        <v>483</v>
      </c>
      <c r="X152" s="39" t="s">
        <v>484</v>
      </c>
      <c r="Y152" s="22"/>
      <c r="Z152" s="7"/>
      <c r="AA152" s="7"/>
      <c r="AB152" s="26"/>
      <c r="AC152" s="26"/>
    </row>
    <row r="153" spans="1:29" ht="15.75" customHeight="1">
      <c r="A153" s="10" t="s">
        <v>1150</v>
      </c>
      <c r="B153" s="10" t="s">
        <v>27</v>
      </c>
      <c r="C153" s="11" t="s">
        <v>28</v>
      </c>
      <c r="D153" s="12"/>
      <c r="E153" s="13" t="s">
        <v>151</v>
      </c>
      <c r="F153" s="6" t="s">
        <v>963</v>
      </c>
      <c r="G153" s="6" t="str">
        <f ca="1">IFERROR(__xludf.DUMMYFUNCTION("CONCATENATE(B153,(VLOOKUP(C153,CATALOGOS!$F$2:$H$6,3,FALSE)),(VLOOKUP(V153,CATALOGOS!$J$2:$K$18,2,FALSE)),""-"",TO_TEXT(A153))"),"P05RM-0152")</f>
        <v>P05RM-0152</v>
      </c>
      <c r="H153" s="15" t="str">
        <f ca="1">IFERROR(__xludf.DUMMYFUNCTION("CONCATENATE($B153,(VLOOKUP($C153,CATALOGOS!$F$2:$H$6,3,FALSE)),(VLOOKUP($V153,CATALOGOS!$J$2:$K$18,2,FALSE)),""-"",TO_TEXT($A153))"),"P05RM-0152")</f>
        <v>P05RM-0152</v>
      </c>
      <c r="I153" s="6"/>
      <c r="J153" s="6" t="s">
        <v>1151</v>
      </c>
      <c r="K153" s="6" t="s">
        <v>1034</v>
      </c>
      <c r="L153" s="6" t="s">
        <v>1152</v>
      </c>
      <c r="M153" s="6" t="s">
        <v>1153</v>
      </c>
      <c r="N153" s="17"/>
      <c r="O153" s="17"/>
      <c r="P153" s="17" t="str">
        <f t="shared" si="6"/>
        <v>OK</v>
      </c>
      <c r="Q153" s="17" t="s">
        <v>205</v>
      </c>
      <c r="R153" s="6" t="s">
        <v>1154</v>
      </c>
      <c r="S153" s="35" t="s">
        <v>1155</v>
      </c>
      <c r="T153" s="17" t="s">
        <v>1156</v>
      </c>
      <c r="U153" s="18" t="s">
        <v>38</v>
      </c>
      <c r="V153" s="19" t="s">
        <v>147</v>
      </c>
      <c r="W153" s="20" t="s">
        <v>483</v>
      </c>
      <c r="X153" s="39" t="s">
        <v>484</v>
      </c>
      <c r="Y153" s="22"/>
      <c r="Z153" s="7"/>
      <c r="AA153" s="7"/>
      <c r="AB153" s="26"/>
      <c r="AC153" s="26"/>
    </row>
    <row r="154" spans="1:29" ht="15.75" customHeight="1">
      <c r="A154" s="10" t="s">
        <v>1157</v>
      </c>
      <c r="B154" s="10" t="s">
        <v>27</v>
      </c>
      <c r="C154" s="11" t="s">
        <v>28</v>
      </c>
      <c r="D154" s="38"/>
      <c r="E154" s="13" t="s">
        <v>62</v>
      </c>
      <c r="F154" s="6" t="s">
        <v>1158</v>
      </c>
      <c r="G154" s="14" t="str">
        <f ca="1">IFERROR(__xludf.DUMMYFUNCTION("CONCATENATE(B154,(VLOOKUP(C154,CATALOGOS!$F$2:$H$6,3,FALSE)),(VLOOKUP(V154,CATALOGOS!$J$2:$K$18,2,FALSE)),""-"",TO_TEXT(A154))"),"P05RH-0153")</f>
        <v>P05RH-0153</v>
      </c>
      <c r="H154" s="15" t="str">
        <f ca="1">IFERROR(__xludf.DUMMYFUNCTION("CONCATENATE($B154,(VLOOKUP($C154,CATALOGOS!$F$2:$H$6,3,FALSE)),(VLOOKUP($V154,CATALOGOS!$J$2:$K$18,2,FALSE)),""-"",TO_TEXT($A154))"),"P05RH-0153")</f>
        <v>P05RH-0153</v>
      </c>
      <c r="I154" s="6"/>
      <c r="J154" s="6" t="s">
        <v>1159</v>
      </c>
      <c r="K154" s="6" t="s">
        <v>1160</v>
      </c>
      <c r="L154" s="6" t="s">
        <v>1161</v>
      </c>
      <c r="M154" s="6" t="s">
        <v>1162</v>
      </c>
      <c r="N154" s="17"/>
      <c r="O154" s="17"/>
      <c r="P154" s="17" t="str">
        <f t="shared" si="6"/>
        <v>OK</v>
      </c>
      <c r="Q154" s="17" t="s">
        <v>35</v>
      </c>
      <c r="R154" s="6" t="s">
        <v>35</v>
      </c>
      <c r="S154" s="17" t="s">
        <v>36</v>
      </c>
      <c r="T154" s="17" t="s">
        <v>1163</v>
      </c>
      <c r="U154" s="18" t="s">
        <v>38</v>
      </c>
      <c r="V154" s="19" t="s">
        <v>723</v>
      </c>
      <c r="W154" s="22" t="s">
        <v>1164</v>
      </c>
      <c r="X154" s="21" t="s">
        <v>1164</v>
      </c>
      <c r="Y154" s="22"/>
      <c r="Z154" s="7"/>
      <c r="AA154" s="7"/>
      <c r="AB154" s="26"/>
      <c r="AC154" s="26"/>
    </row>
    <row r="155" spans="1:29" ht="15.75" customHeight="1">
      <c r="A155" s="10" t="s">
        <v>1165</v>
      </c>
      <c r="B155" s="10" t="s">
        <v>27</v>
      </c>
      <c r="C155" s="11" t="s">
        <v>28</v>
      </c>
      <c r="D155" s="12"/>
      <c r="E155" s="13" t="s">
        <v>29</v>
      </c>
      <c r="F155" s="43" t="s">
        <v>1166</v>
      </c>
      <c r="G155" s="14" t="str">
        <f ca="1">IFERROR(__xludf.DUMMYFUNCTION("CONCATENATE(B155,(VLOOKUP(C155,CATALOGOS!$F$2:$H$6,3,FALSE)),(VLOOKUP(V155,CATALOGOS!$J$2:$K$18,2,FALSE)),""-"",TO_TEXT(A155))"),"P05RH-0154")</f>
        <v>P05RH-0154</v>
      </c>
      <c r="H155" s="15" t="str">
        <f ca="1">IFERROR(__xludf.DUMMYFUNCTION("CONCATENATE($B155,(VLOOKUP($C155,CATALOGOS!$F$2:$H$6,3,FALSE)),(VLOOKUP($V155,CATALOGOS!$J$2:$K$18,2,FALSE)),""-"",TO_TEXT($A155))"),"P05RH-0154")</f>
        <v>P05RH-0154</v>
      </c>
      <c r="I155" s="6"/>
      <c r="J155" s="6" t="s">
        <v>1167</v>
      </c>
      <c r="K155" s="6" t="s">
        <v>1168</v>
      </c>
      <c r="L155" s="6" t="s">
        <v>1169</v>
      </c>
      <c r="M155" s="43" t="s">
        <v>1170</v>
      </c>
      <c r="N155" s="17"/>
      <c r="O155" s="17"/>
      <c r="P155" s="17" t="str">
        <f t="shared" si="6"/>
        <v>OK</v>
      </c>
      <c r="Q155" s="53" t="s">
        <v>35</v>
      </c>
      <c r="R155" s="49" t="s">
        <v>35</v>
      </c>
      <c r="S155" s="17" t="s">
        <v>36</v>
      </c>
      <c r="T155" s="17" t="s">
        <v>1171</v>
      </c>
      <c r="U155" s="18" t="s">
        <v>38</v>
      </c>
      <c r="V155" s="19" t="s">
        <v>723</v>
      </c>
      <c r="W155" s="22" t="s">
        <v>1164</v>
      </c>
      <c r="X155" s="21" t="s">
        <v>1164</v>
      </c>
      <c r="Y155" s="22"/>
      <c r="Z155" s="7"/>
      <c r="AA155" s="7"/>
      <c r="AB155" s="23"/>
      <c r="AC155" s="26"/>
    </row>
    <row r="156" spans="1:29" ht="15.75" customHeight="1">
      <c r="A156" s="10" t="s">
        <v>1172</v>
      </c>
      <c r="B156" s="10" t="s">
        <v>27</v>
      </c>
      <c r="C156" s="11" t="s">
        <v>28</v>
      </c>
      <c r="D156" s="12"/>
      <c r="E156" s="13" t="s">
        <v>93</v>
      </c>
      <c r="F156" s="6" t="s">
        <v>1173</v>
      </c>
      <c r="G156" s="14" t="str">
        <f ca="1">IFERROR(__xludf.DUMMYFUNCTION("CONCATENATE(B156,(VLOOKUP(C156,CATALOGOS!$F$2:$H$6,3,FALSE)),(VLOOKUP(V156,CATALOGOS!$J$2:$K$18,2,FALSE)),""-"",TO_TEXT(A156))"),"P05RH-0155")</f>
        <v>P05RH-0155</v>
      </c>
      <c r="H156" s="15" t="str">
        <f ca="1">IFERROR(__xludf.DUMMYFUNCTION("CONCATENATE($B156,(VLOOKUP($C156,CATALOGOS!$F$2:$H$6,3,FALSE)),(VLOOKUP($V156,CATALOGOS!$J$2:$K$18,2,FALSE)),""-"",TO_TEXT($A156))"),"P05RH-0155")</f>
        <v>P05RH-0155</v>
      </c>
      <c r="I156" s="6"/>
      <c r="J156" s="6" t="s">
        <v>1174</v>
      </c>
      <c r="K156" s="54"/>
      <c r="L156" s="6" t="s">
        <v>1175</v>
      </c>
      <c r="M156" s="6" t="s">
        <v>1176</v>
      </c>
      <c r="N156" s="17"/>
      <c r="O156" s="17"/>
      <c r="P156" s="17" t="str">
        <f t="shared" si="6"/>
        <v>OK</v>
      </c>
      <c r="Q156" s="53" t="s">
        <v>35</v>
      </c>
      <c r="R156" s="6" t="s">
        <v>35</v>
      </c>
      <c r="S156" s="17" t="s">
        <v>36</v>
      </c>
      <c r="T156" s="17" t="s">
        <v>1177</v>
      </c>
      <c r="U156" s="18" t="s">
        <v>38</v>
      </c>
      <c r="V156" s="19" t="s">
        <v>723</v>
      </c>
      <c r="W156" s="22" t="s">
        <v>1164</v>
      </c>
      <c r="X156" s="21" t="s">
        <v>1164</v>
      </c>
      <c r="Y156" s="22"/>
      <c r="Z156" s="7"/>
      <c r="AA156" s="7"/>
      <c r="AB156" s="23"/>
      <c r="AC156" s="26"/>
    </row>
    <row r="157" spans="1:29" ht="15.75" customHeight="1">
      <c r="A157" s="10" t="s">
        <v>1178</v>
      </c>
      <c r="B157" s="10" t="s">
        <v>27</v>
      </c>
      <c r="C157" s="11" t="s">
        <v>28</v>
      </c>
      <c r="D157" s="12"/>
      <c r="E157" s="13" t="s">
        <v>116</v>
      </c>
      <c r="F157" s="6" t="s">
        <v>1179</v>
      </c>
      <c r="G157" s="14" t="str">
        <f ca="1">IFERROR(__xludf.DUMMYFUNCTION("CONCATENATE(B157,(VLOOKUP(C157,CATALOGOS!$F$2:$H$6,3,FALSE)),(VLOOKUP(V157,CATALOGOS!$J$2:$K$18,2,FALSE)),""-"",TO_TEXT(A157))"),"P05RM-0156")</f>
        <v>P05RM-0156</v>
      </c>
      <c r="H157" s="15" t="str">
        <f ca="1">IFERROR(__xludf.DUMMYFUNCTION("CONCATENATE($B157,(VLOOKUP($C157,CATALOGOS!$F$2:$H$6,3,FALSE)),(VLOOKUP($V157,CATALOGOS!$J$2:$K$18,2,FALSE)),""-"",TO_TEXT($A157))"),"P05RM-0156")</f>
        <v>P05RM-0156</v>
      </c>
      <c r="I157" s="6"/>
      <c r="J157" s="6" t="s">
        <v>1180</v>
      </c>
      <c r="K157" s="6" t="s">
        <v>1181</v>
      </c>
      <c r="L157" s="6" t="s">
        <v>1182</v>
      </c>
      <c r="M157" s="6" t="s">
        <v>1183</v>
      </c>
      <c r="N157" s="17"/>
      <c r="O157" s="17"/>
      <c r="P157" s="17" t="str">
        <f t="shared" si="6"/>
        <v>OK</v>
      </c>
      <c r="Q157" s="17" t="s">
        <v>35</v>
      </c>
      <c r="R157" s="6" t="s">
        <v>35</v>
      </c>
      <c r="S157" s="17" t="s">
        <v>36</v>
      </c>
      <c r="T157" s="35" t="s">
        <v>1184</v>
      </c>
      <c r="U157" s="18" t="s">
        <v>38</v>
      </c>
      <c r="V157" s="19" t="s">
        <v>147</v>
      </c>
      <c r="W157" s="20" t="s">
        <v>1185</v>
      </c>
      <c r="X157" s="21" t="s">
        <v>1164</v>
      </c>
      <c r="Y157" s="22"/>
      <c r="Z157" s="7"/>
      <c r="AA157" s="7"/>
      <c r="AB157" s="23"/>
      <c r="AC157" s="26"/>
    </row>
    <row r="158" spans="1:29" ht="15.75" customHeight="1">
      <c r="A158" s="10" t="s">
        <v>1186</v>
      </c>
      <c r="B158" s="10" t="s">
        <v>27</v>
      </c>
      <c r="C158" s="11" t="s">
        <v>28</v>
      </c>
      <c r="D158" s="12"/>
      <c r="E158" s="13" t="s">
        <v>378</v>
      </c>
      <c r="F158" s="6" t="s">
        <v>878</v>
      </c>
      <c r="G158" s="14" t="str">
        <f ca="1">IFERROR(__xludf.DUMMYFUNCTION("CONCATENATE(B158,(VLOOKUP(C158,CATALOGOS!$F$2:$H$6,3,FALSE)),(VLOOKUP(V158,CATALOGOS!$J$2:$K$18,2,FALSE)),""-"",TO_TEXT(A158))"),"P05RH-0157")</f>
        <v>P05RH-0157</v>
      </c>
      <c r="H158" s="15" t="str">
        <f ca="1">IFERROR(__xludf.DUMMYFUNCTION("CONCATENATE($B158,(VLOOKUP($C158,CATALOGOS!$F$2:$H$6,3,FALSE)),(VLOOKUP($V158,CATALOGOS!$J$2:$K$18,2,FALSE)),""-"",TO_TEXT($A158))"),"P05RH-0157")</f>
        <v>P05RH-0157</v>
      </c>
      <c r="I158" s="6"/>
      <c r="J158" s="6" t="s">
        <v>1187</v>
      </c>
      <c r="K158" s="6" t="s">
        <v>1188</v>
      </c>
      <c r="L158" s="6" t="s">
        <v>1189</v>
      </c>
      <c r="M158" s="6" t="s">
        <v>1190</v>
      </c>
      <c r="N158" s="17"/>
      <c r="O158" s="17"/>
      <c r="P158" s="17" t="str">
        <f t="shared" si="6"/>
        <v>OK</v>
      </c>
      <c r="Q158" s="17" t="s">
        <v>35</v>
      </c>
      <c r="R158" s="6" t="s">
        <v>35</v>
      </c>
      <c r="S158" s="17" t="s">
        <v>36</v>
      </c>
      <c r="T158" s="17" t="s">
        <v>1191</v>
      </c>
      <c r="U158" s="18" t="s">
        <v>38</v>
      </c>
      <c r="V158" s="19" t="s">
        <v>723</v>
      </c>
      <c r="W158" s="22" t="s">
        <v>1164</v>
      </c>
      <c r="X158" s="21" t="s">
        <v>1164</v>
      </c>
      <c r="Y158" s="22"/>
      <c r="Z158" s="7"/>
      <c r="AA158" s="7"/>
      <c r="AB158" s="23"/>
      <c r="AC158" s="26"/>
    </row>
    <row r="159" spans="1:29" ht="15.75" customHeight="1">
      <c r="A159" s="10" t="s">
        <v>1192</v>
      </c>
      <c r="B159" s="10" t="s">
        <v>27</v>
      </c>
      <c r="C159" s="11" t="s">
        <v>28</v>
      </c>
      <c r="D159" s="12"/>
      <c r="E159" s="13" t="s">
        <v>378</v>
      </c>
      <c r="F159" s="55" t="s">
        <v>878</v>
      </c>
      <c r="G159" s="14" t="str">
        <f ca="1">IFERROR(__xludf.DUMMYFUNCTION("CONCATENATE(B159,(VLOOKUP(C159,CATALOGOS!$F$2:$H$6,3,FALSE)),(VLOOKUP(V159,CATALOGOS!$J$2:$K$18,2,FALSE)),""-"",TO_TEXT(A159))"),"P05RH-0158")</f>
        <v>P05RH-0158</v>
      </c>
      <c r="H159" s="15" t="str">
        <f ca="1">IFERROR(__xludf.DUMMYFUNCTION("CONCATENATE($B159,(VLOOKUP($C159,CATALOGOS!$F$2:$H$6,3,FALSE)),(VLOOKUP($V159,CATALOGOS!$J$2:$K$18,2,FALSE)),""-"",TO_TEXT($A159))"),"P05RH-0158")</f>
        <v>P05RH-0158</v>
      </c>
      <c r="I159" s="6"/>
      <c r="J159" s="6" t="s">
        <v>1193</v>
      </c>
      <c r="K159" s="6" t="s">
        <v>1194</v>
      </c>
      <c r="L159" s="6" t="s">
        <v>1195</v>
      </c>
      <c r="M159" s="6" t="s">
        <v>1196</v>
      </c>
      <c r="N159" s="17"/>
      <c r="O159" s="17"/>
      <c r="P159" s="17" t="str">
        <f t="shared" si="6"/>
        <v>OK</v>
      </c>
      <c r="Q159" s="32" t="s">
        <v>35</v>
      </c>
      <c r="R159" s="6" t="s">
        <v>35</v>
      </c>
      <c r="S159" s="17" t="s">
        <v>36</v>
      </c>
      <c r="T159" s="17" t="s">
        <v>1197</v>
      </c>
      <c r="U159" s="18" t="s">
        <v>38</v>
      </c>
      <c r="V159" s="19" t="s">
        <v>723</v>
      </c>
      <c r="W159" s="22" t="s">
        <v>1164</v>
      </c>
      <c r="X159" s="21" t="s">
        <v>1164</v>
      </c>
      <c r="Y159" s="22"/>
      <c r="Z159" s="7"/>
      <c r="AA159" s="7"/>
      <c r="AB159" s="23"/>
      <c r="AC159" s="26"/>
    </row>
    <row r="160" spans="1:29" ht="15.75" customHeight="1">
      <c r="A160" s="10" t="s">
        <v>1198</v>
      </c>
      <c r="B160" s="10" t="s">
        <v>27</v>
      </c>
      <c r="C160" s="11" t="s">
        <v>28</v>
      </c>
      <c r="D160" s="12"/>
      <c r="E160" s="13" t="s">
        <v>1199</v>
      </c>
      <c r="F160" s="6" t="s">
        <v>1200</v>
      </c>
      <c r="G160" s="14" t="str">
        <f ca="1">IFERROR(__xludf.DUMMYFUNCTION("CONCATENATE(B160,(VLOOKUP(C160,CATALOGOS!$F$2:$H$6,3,FALSE)),(VLOOKUP(V160,CATALOGOS!$J$2:$K$18,2,FALSE)),""-"",TO_TEXT(A160))"),"P05RH-0159")</f>
        <v>P05RH-0159</v>
      </c>
      <c r="H160" s="15" t="str">
        <f ca="1">IFERROR(__xludf.DUMMYFUNCTION("CONCATENATE($B160,(VLOOKUP($C160,CATALOGOS!$F$2:$H$6,3,FALSE)),(VLOOKUP($V160,CATALOGOS!$J$2:$K$18,2,FALSE)),""-"",TO_TEXT($A160))"),"P05RH-0159")</f>
        <v>P05RH-0159</v>
      </c>
      <c r="I160" s="6"/>
      <c r="J160" s="6" t="s">
        <v>1201</v>
      </c>
      <c r="K160" s="6" t="s">
        <v>1202</v>
      </c>
      <c r="L160" s="6" t="s">
        <v>1203</v>
      </c>
      <c r="M160" s="6" t="s">
        <v>1204</v>
      </c>
      <c r="N160" s="17"/>
      <c r="O160" s="17"/>
      <c r="P160" s="17" t="str">
        <f t="shared" si="6"/>
        <v>OK</v>
      </c>
      <c r="Q160" s="17" t="s">
        <v>205</v>
      </c>
      <c r="R160" s="6" t="s">
        <v>1205</v>
      </c>
      <c r="S160" s="17" t="s">
        <v>1206</v>
      </c>
      <c r="T160" s="17" t="s">
        <v>1207</v>
      </c>
      <c r="U160" s="18" t="s">
        <v>38</v>
      </c>
      <c r="V160" s="19" t="s">
        <v>723</v>
      </c>
      <c r="W160" s="22" t="s">
        <v>1164</v>
      </c>
      <c r="X160" s="21" t="s">
        <v>1164</v>
      </c>
      <c r="Y160" s="22"/>
      <c r="Z160" s="7"/>
      <c r="AA160" s="7"/>
      <c r="AB160" s="23"/>
      <c r="AC160" s="26"/>
    </row>
    <row r="161" spans="1:30" ht="15.75" customHeight="1">
      <c r="A161" s="10" t="s">
        <v>1208</v>
      </c>
      <c r="B161" s="10" t="s">
        <v>27</v>
      </c>
      <c r="C161" s="11" t="s">
        <v>28</v>
      </c>
      <c r="D161" s="12"/>
      <c r="E161" s="13" t="s">
        <v>162</v>
      </c>
      <c r="F161" s="6" t="s">
        <v>285</v>
      </c>
      <c r="G161" s="14" t="str">
        <f ca="1">IFERROR(__xludf.DUMMYFUNCTION("CONCATENATE(B161,(VLOOKUP(C161,CATALOGOS!$F$2:$H$6,3,FALSE)),(VLOOKUP(V161,CATALOGOS!$J$2:$K$18,2,FALSE)),""-"",TO_TEXT(A161))"),"P05RH-0160")</f>
        <v>P05RH-0160</v>
      </c>
      <c r="H161" s="15" t="str">
        <f ca="1">IFERROR(__xludf.DUMMYFUNCTION("CONCATENATE($B161,(VLOOKUP($C161,CATALOGOS!$F$2:$H$6,3,FALSE)),(VLOOKUP($V161,CATALOGOS!$J$2:$K$18,2,FALSE)),""-"",TO_TEXT($A161))"),"P05RH-0160")</f>
        <v>P05RH-0160</v>
      </c>
      <c r="I161" s="6"/>
      <c r="J161" s="6" t="s">
        <v>1209</v>
      </c>
      <c r="K161" s="6" t="s">
        <v>1210</v>
      </c>
      <c r="L161" s="6" t="s">
        <v>1211</v>
      </c>
      <c r="M161" s="6" t="s">
        <v>1212</v>
      </c>
      <c r="N161" s="17"/>
      <c r="O161" s="17"/>
      <c r="P161" s="17" t="str">
        <f t="shared" si="6"/>
        <v>OK</v>
      </c>
      <c r="Q161" s="17" t="s">
        <v>663</v>
      </c>
      <c r="R161" s="6" t="s">
        <v>664</v>
      </c>
      <c r="S161" s="56" t="s">
        <v>1213</v>
      </c>
      <c r="T161" s="17" t="s">
        <v>1214</v>
      </c>
      <c r="U161" s="18" t="s">
        <v>38</v>
      </c>
      <c r="V161" s="19" t="s">
        <v>723</v>
      </c>
      <c r="W161" s="22" t="s">
        <v>1164</v>
      </c>
      <c r="X161" s="21" t="s">
        <v>1164</v>
      </c>
      <c r="Y161" s="22"/>
      <c r="Z161" s="7"/>
      <c r="AA161" s="7"/>
      <c r="AB161" s="23"/>
      <c r="AC161" s="26"/>
    </row>
    <row r="162" spans="1:30" ht="15.75" customHeight="1">
      <c r="A162" s="10" t="s">
        <v>1215</v>
      </c>
      <c r="B162" s="10" t="s">
        <v>27</v>
      </c>
      <c r="C162" s="11" t="s">
        <v>28</v>
      </c>
      <c r="D162" s="12"/>
      <c r="E162" s="13" t="s">
        <v>151</v>
      </c>
      <c r="F162" s="6" t="s">
        <v>714</v>
      </c>
      <c r="G162" s="14" t="str">
        <f ca="1">IFERROR(__xludf.DUMMYFUNCTION("CONCATENATE(B162,(VLOOKUP(C162,CATALOGOS!$F$2:$H$6,3,FALSE)),(VLOOKUP(V162,CATALOGOS!$J$2:$K$18,2,FALSE)),""-"",TO_TEXT(A162))"),"P05RH-0161")</f>
        <v>P05RH-0161</v>
      </c>
      <c r="H162" s="15" t="str">
        <f ca="1">IFERROR(__xludf.DUMMYFUNCTION("CONCATENATE($B162,(VLOOKUP($C162,CATALOGOS!$F$2:$H$6,3,FALSE)),(VLOOKUP($V162,CATALOGOS!$J$2:$K$18,2,FALSE)),""-"",TO_TEXT($A162))"),"P05RH-0161")</f>
        <v>P05RH-0161</v>
      </c>
      <c r="I162" s="6"/>
      <c r="J162" s="6" t="s">
        <v>1216</v>
      </c>
      <c r="K162" s="6" t="s">
        <v>1217</v>
      </c>
      <c r="L162" s="6" t="s">
        <v>1218</v>
      </c>
      <c r="M162" s="6" t="s">
        <v>1219</v>
      </c>
      <c r="N162" s="17"/>
      <c r="O162" s="17"/>
      <c r="P162" s="17" t="str">
        <f t="shared" si="6"/>
        <v>OK</v>
      </c>
      <c r="Q162" s="17" t="s">
        <v>1220</v>
      </c>
      <c r="R162" s="6" t="s">
        <v>720</v>
      </c>
      <c r="S162" s="17" t="s">
        <v>1221</v>
      </c>
      <c r="T162" s="32" t="s">
        <v>1222</v>
      </c>
      <c r="U162" s="18" t="s">
        <v>38</v>
      </c>
      <c r="V162" s="19" t="s">
        <v>723</v>
      </c>
      <c r="W162" s="22" t="s">
        <v>1164</v>
      </c>
      <c r="X162" s="21" t="s">
        <v>1164</v>
      </c>
      <c r="Y162" s="22"/>
      <c r="Z162" s="7"/>
      <c r="AA162" s="7"/>
      <c r="AB162" s="23"/>
      <c r="AC162" s="26"/>
    </row>
    <row r="163" spans="1:30" ht="15.75" customHeight="1">
      <c r="A163" s="10" t="s">
        <v>1223</v>
      </c>
      <c r="B163" s="10" t="s">
        <v>27</v>
      </c>
      <c r="C163" s="11" t="s">
        <v>28</v>
      </c>
      <c r="D163" s="12"/>
      <c r="E163" s="13" t="s">
        <v>151</v>
      </c>
      <c r="F163" s="6" t="s">
        <v>293</v>
      </c>
      <c r="G163" s="14" t="str">
        <f ca="1">IFERROR(__xludf.DUMMYFUNCTION("CONCATENATE(B163,(VLOOKUP(C163,CATALOGOS!$F$2:$H$6,3,FALSE)),(VLOOKUP(V163,CATALOGOS!$J$2:$K$18,2,FALSE)),""-"",TO_TEXT(A163))"),"P05RH-0162")</f>
        <v>P05RH-0162</v>
      </c>
      <c r="H163" s="15" t="str">
        <f ca="1">IFERROR(__xludf.DUMMYFUNCTION("CONCATENATE($B163,(VLOOKUP($C163,CATALOGOS!$F$2:$H$6,3,FALSE)),(VLOOKUP($V163,CATALOGOS!$J$2:$K$18,2,FALSE)),""-"",TO_TEXT($A163))"),"P05RH-0162")</f>
        <v>P05RH-0162</v>
      </c>
      <c r="I163" s="6"/>
      <c r="J163" s="6" t="s">
        <v>1224</v>
      </c>
      <c r="K163" s="6" t="s">
        <v>1225</v>
      </c>
      <c r="L163" s="36"/>
      <c r="M163" s="6" t="s">
        <v>1226</v>
      </c>
      <c r="N163" s="17"/>
      <c r="O163" s="17"/>
      <c r="P163" s="17" t="str">
        <f t="shared" si="6"/>
        <v>OK</v>
      </c>
      <c r="Q163" s="17" t="s">
        <v>297</v>
      </c>
      <c r="R163" s="6" t="s">
        <v>298</v>
      </c>
      <c r="S163" s="6" t="s">
        <v>1227</v>
      </c>
      <c r="T163" s="10" t="s">
        <v>85</v>
      </c>
      <c r="U163" s="18" t="s">
        <v>38</v>
      </c>
      <c r="V163" s="19" t="s">
        <v>723</v>
      </c>
      <c r="W163" s="22" t="s">
        <v>1164</v>
      </c>
      <c r="X163" s="21" t="s">
        <v>1164</v>
      </c>
      <c r="Y163" s="22"/>
      <c r="Z163" s="6"/>
      <c r="AA163" s="6"/>
      <c r="AB163" s="41" t="s">
        <v>92</v>
      </c>
      <c r="AC163" s="42">
        <v>44348</v>
      </c>
      <c r="AD163" s="57">
        <v>0</v>
      </c>
    </row>
    <row r="164" spans="1:30" ht="15.75" customHeight="1">
      <c r="A164" s="10" t="s">
        <v>1228</v>
      </c>
      <c r="B164" s="10" t="s">
        <v>27</v>
      </c>
      <c r="C164" s="11" t="s">
        <v>28</v>
      </c>
      <c r="D164" s="12"/>
      <c r="E164" s="13" t="s">
        <v>248</v>
      </c>
      <c r="F164" s="6" t="s">
        <v>249</v>
      </c>
      <c r="G164" s="14" t="str">
        <f ca="1">IFERROR(__xludf.DUMMYFUNCTION("CONCATENATE(B164,(VLOOKUP(C164,CATALOGOS!$F$2:$H$6,3,FALSE)),(VLOOKUP(V164,CATALOGOS!$J$2:$K$18,2,FALSE)),""-"",TO_TEXT(A164))"),"P05RH-0163")</f>
        <v>P05RH-0163</v>
      </c>
      <c r="H164" s="15" t="str">
        <f ca="1">IFERROR(__xludf.DUMMYFUNCTION("CONCATENATE($B164,(VLOOKUP($C164,CATALOGOS!$F$2:$H$6,3,FALSE)),(VLOOKUP($V164,CATALOGOS!$J$2:$K$18,2,FALSE)),""-"",TO_TEXT($A164))"),"P05RH-0163")</f>
        <v>P05RH-0163</v>
      </c>
      <c r="I164" s="6"/>
      <c r="J164" s="6" t="s">
        <v>1229</v>
      </c>
      <c r="K164" s="6" t="s">
        <v>1230</v>
      </c>
      <c r="L164" s="6" t="s">
        <v>1231</v>
      </c>
      <c r="M164" s="43" t="s">
        <v>1232</v>
      </c>
      <c r="N164" s="17"/>
      <c r="O164" s="17"/>
      <c r="P164" s="17" t="str">
        <f t="shared" si="6"/>
        <v>OK</v>
      </c>
      <c r="Q164" s="17" t="s">
        <v>978</v>
      </c>
      <c r="R164" s="6" t="s">
        <v>979</v>
      </c>
      <c r="S164" s="17" t="s">
        <v>1233</v>
      </c>
      <c r="T164" s="17" t="s">
        <v>1234</v>
      </c>
      <c r="U164" s="18" t="s">
        <v>38</v>
      </c>
      <c r="V164" s="19" t="s">
        <v>723</v>
      </c>
      <c r="W164" s="22" t="s">
        <v>1164</v>
      </c>
      <c r="X164" s="21" t="s">
        <v>1164</v>
      </c>
      <c r="Y164" s="22"/>
      <c r="Z164" s="7"/>
      <c r="AA164" s="7"/>
      <c r="AB164" s="23"/>
      <c r="AC164" s="26"/>
    </row>
    <row r="165" spans="1:30" ht="15.75" customHeight="1">
      <c r="A165" s="10" t="s">
        <v>1235</v>
      </c>
      <c r="B165" s="10" t="s">
        <v>27</v>
      </c>
      <c r="C165" s="11" t="s">
        <v>28</v>
      </c>
      <c r="D165" s="12"/>
      <c r="E165" s="13" t="s">
        <v>199</v>
      </c>
      <c r="F165" s="6" t="s">
        <v>199</v>
      </c>
      <c r="G165" s="14" t="str">
        <f ca="1">IFERROR(__xludf.DUMMYFUNCTION("CONCATENATE(B165,(VLOOKUP(C165,CATALOGOS!$F$2:$H$6,3,FALSE)),(VLOOKUP(V165,CATALOGOS!$J$2:$K$18,2,FALSE)),""-"",TO_TEXT(A165))"),"P05RH-0164")</f>
        <v>P05RH-0164</v>
      </c>
      <c r="H165" s="15" t="str">
        <f ca="1">IFERROR(__xludf.DUMMYFUNCTION("CONCATENATE($B165,(VLOOKUP($C165,CATALOGOS!$F$2:$H$6,3,FALSE)),(VLOOKUP($V165,CATALOGOS!$J$2:$K$18,2,FALSE)),""-"",TO_TEXT($A165))"),"P05RH-0164")</f>
        <v>P05RH-0164</v>
      </c>
      <c r="I165" s="6"/>
      <c r="J165" s="6" t="s">
        <v>1236</v>
      </c>
      <c r="K165" s="6" t="s">
        <v>1237</v>
      </c>
      <c r="L165" s="36"/>
      <c r="M165" s="6" t="s">
        <v>1238</v>
      </c>
      <c r="N165" s="17"/>
      <c r="O165" s="17"/>
      <c r="P165" s="17" t="str">
        <f t="shared" si="6"/>
        <v>OK</v>
      </c>
      <c r="Q165" s="17" t="s">
        <v>273</v>
      </c>
      <c r="R165" s="6" t="s">
        <v>274</v>
      </c>
      <c r="S165" s="6">
        <v>11392903014316</v>
      </c>
      <c r="T165" s="10" t="s">
        <v>85</v>
      </c>
      <c r="U165" s="18" t="s">
        <v>38</v>
      </c>
      <c r="V165" s="19" t="s">
        <v>723</v>
      </c>
      <c r="W165" s="22" t="s">
        <v>1164</v>
      </c>
      <c r="X165" s="21" t="s">
        <v>1164</v>
      </c>
      <c r="Y165" s="22"/>
      <c r="Z165" s="6"/>
      <c r="AA165" s="6"/>
      <c r="AB165" s="41" t="s">
        <v>92</v>
      </c>
      <c r="AC165" s="42">
        <v>44348</v>
      </c>
      <c r="AD165" s="58" t="s">
        <v>276</v>
      </c>
    </row>
    <row r="166" spans="1:30" ht="15.75" customHeight="1">
      <c r="A166" s="10" t="s">
        <v>1239</v>
      </c>
      <c r="B166" s="10" t="s">
        <v>27</v>
      </c>
      <c r="C166" s="11" t="s">
        <v>28</v>
      </c>
      <c r="D166" s="12"/>
      <c r="E166" s="13" t="s">
        <v>1240</v>
      </c>
      <c r="F166" s="43" t="s">
        <v>278</v>
      </c>
      <c r="G166" s="14" t="str">
        <f ca="1">IFERROR(__xludf.DUMMYFUNCTION("CONCATENATE(B166,(VLOOKUP(C166,CATALOGOS!$F$2:$H$6,3,FALSE)),(VLOOKUP(V166,CATALOGOS!$J$2:$K$18,2,FALSE)),""-"",TO_TEXT(A166))"),"P05RH-0165")</f>
        <v>P05RH-0165</v>
      </c>
      <c r="H166" s="15" t="str">
        <f ca="1">IFERROR(__xludf.DUMMYFUNCTION("CONCATENATE($B166,(VLOOKUP($C166,CATALOGOS!$F$2:$H$6,3,FALSE)),(VLOOKUP($V166,CATALOGOS!$J$2:$K$18,2,FALSE)),""-"",TO_TEXT($A166))"),"P05RH-0165")</f>
        <v>P05RH-0165</v>
      </c>
      <c r="I166" s="6"/>
      <c r="J166" s="6" t="s">
        <v>1241</v>
      </c>
      <c r="K166" s="6" t="s">
        <v>1242</v>
      </c>
      <c r="L166" s="6" t="s">
        <v>1243</v>
      </c>
      <c r="M166" s="6" t="s">
        <v>1244</v>
      </c>
      <c r="N166" s="17"/>
      <c r="O166" s="17"/>
      <c r="P166" s="17" t="str">
        <f t="shared" si="6"/>
        <v>OK</v>
      </c>
      <c r="Q166" s="17" t="s">
        <v>35</v>
      </c>
      <c r="R166" s="6" t="s">
        <v>35</v>
      </c>
      <c r="S166" s="17" t="s">
        <v>36</v>
      </c>
      <c r="T166" s="17" t="s">
        <v>1245</v>
      </c>
      <c r="U166" s="18" t="s">
        <v>38</v>
      </c>
      <c r="V166" s="19" t="s">
        <v>723</v>
      </c>
      <c r="W166" s="22" t="s">
        <v>1164</v>
      </c>
      <c r="X166" s="21" t="s">
        <v>1164</v>
      </c>
      <c r="Y166" s="22"/>
      <c r="Z166" s="7"/>
      <c r="AA166" s="7"/>
      <c r="AB166" s="23"/>
      <c r="AC166" s="26"/>
    </row>
    <row r="167" spans="1:30" ht="15.75" customHeight="1">
      <c r="A167" s="10" t="s">
        <v>1246</v>
      </c>
      <c r="B167" s="10" t="s">
        <v>27</v>
      </c>
      <c r="C167" s="11" t="s">
        <v>28</v>
      </c>
      <c r="D167" s="12"/>
      <c r="E167" s="13" t="s">
        <v>378</v>
      </c>
      <c r="F167" s="6" t="s">
        <v>379</v>
      </c>
      <c r="G167" s="14" t="str">
        <f ca="1">IFERROR(__xludf.DUMMYFUNCTION("CONCATENATE(B167,(VLOOKUP(C167,CATALOGOS!$F$2:$H$6,3,FALSE)),(VLOOKUP(V167,CATALOGOS!$J$2:$K$18,2,FALSE)),""-"",TO_TEXT(A167))"),"P05RH-0166")</f>
        <v>P05RH-0166</v>
      </c>
      <c r="H167" s="15" t="str">
        <f ca="1">IFERROR(__xludf.DUMMYFUNCTION("CONCATENATE($B167,(VLOOKUP($C167,CATALOGOS!$F$2:$H$6,3,FALSE)),(VLOOKUP($V167,CATALOGOS!$J$2:$K$18,2,FALSE)),""-"",TO_TEXT($A167))"),"P05RH-0166")</f>
        <v>P05RH-0166</v>
      </c>
      <c r="I167" s="6"/>
      <c r="J167" s="6" t="s">
        <v>1247</v>
      </c>
      <c r="K167" s="6" t="s">
        <v>1248</v>
      </c>
      <c r="L167" s="6" t="s">
        <v>1249</v>
      </c>
      <c r="M167" s="6" t="s">
        <v>1250</v>
      </c>
      <c r="N167" s="17"/>
      <c r="O167" s="17"/>
      <c r="P167" s="17" t="str">
        <f t="shared" si="6"/>
        <v>OK</v>
      </c>
      <c r="Q167" s="17" t="s">
        <v>35</v>
      </c>
      <c r="R167" s="6" t="s">
        <v>35</v>
      </c>
      <c r="S167" s="17" t="s">
        <v>36</v>
      </c>
      <c r="T167" s="17" t="s">
        <v>1251</v>
      </c>
      <c r="U167" s="18" t="s">
        <v>38</v>
      </c>
      <c r="V167" s="19" t="s">
        <v>723</v>
      </c>
      <c r="W167" s="22" t="s">
        <v>1164</v>
      </c>
      <c r="X167" s="21" t="s">
        <v>1164</v>
      </c>
      <c r="Y167" s="22"/>
      <c r="Z167" s="7"/>
      <c r="AA167" s="7"/>
      <c r="AB167" s="23"/>
      <c r="AC167" s="26"/>
    </row>
    <row r="168" spans="1:30" ht="15.75" customHeight="1">
      <c r="A168" s="10" t="s">
        <v>1252</v>
      </c>
      <c r="B168" s="10" t="s">
        <v>27</v>
      </c>
      <c r="C168" s="11" t="s">
        <v>28</v>
      </c>
      <c r="D168" s="12"/>
      <c r="E168" s="13" t="s">
        <v>62</v>
      </c>
      <c r="F168" s="6" t="s">
        <v>1253</v>
      </c>
      <c r="G168" s="14" t="str">
        <f ca="1">IFERROR(__xludf.DUMMYFUNCTION("CONCATENATE(B168,(VLOOKUP(C168,CATALOGOS!$F$2:$H$6,3,FALSE)),(VLOOKUP(V168,CATALOGOS!$J$2:$K$18,2,FALSE)),""-"",TO_TEXT(A168))"),"P05RH-0167")</f>
        <v>P05RH-0167</v>
      </c>
      <c r="H168" s="15" t="str">
        <f ca="1">IFERROR(__xludf.DUMMYFUNCTION("CONCATENATE($B168,(VLOOKUP($C168,CATALOGOS!$F$2:$H$6,3,FALSE)),(VLOOKUP($V168,CATALOGOS!$J$2:$K$18,2,FALSE)),""-"",TO_TEXT($A168))"),"P05RH-0167")</f>
        <v>P05RH-0167</v>
      </c>
      <c r="I168" s="6"/>
      <c r="J168" s="6" t="s">
        <v>1254</v>
      </c>
      <c r="K168" s="6" t="s">
        <v>1255</v>
      </c>
      <c r="L168" s="6" t="s">
        <v>1256</v>
      </c>
      <c r="M168" s="6" t="s">
        <v>1257</v>
      </c>
      <c r="N168" s="17"/>
      <c r="O168" s="17"/>
      <c r="P168" s="17" t="str">
        <f t="shared" si="6"/>
        <v>OK</v>
      </c>
      <c r="Q168" s="17" t="s">
        <v>35</v>
      </c>
      <c r="R168" s="6" t="s">
        <v>35</v>
      </c>
      <c r="S168" s="17" t="s">
        <v>36</v>
      </c>
      <c r="T168" s="17" t="s">
        <v>1258</v>
      </c>
      <c r="U168" s="18" t="s">
        <v>38</v>
      </c>
      <c r="V168" s="19" t="s">
        <v>723</v>
      </c>
      <c r="W168" s="22" t="s">
        <v>1164</v>
      </c>
      <c r="X168" s="21" t="s">
        <v>1164</v>
      </c>
      <c r="Y168" s="22"/>
      <c r="Z168" s="7"/>
      <c r="AA168" s="7"/>
      <c r="AB168" s="23"/>
      <c r="AC168" s="26"/>
    </row>
    <row r="169" spans="1:30" ht="15.75" customHeight="1">
      <c r="A169" s="10" t="s">
        <v>1259</v>
      </c>
      <c r="B169" s="10" t="s">
        <v>27</v>
      </c>
      <c r="C169" s="11" t="s">
        <v>28</v>
      </c>
      <c r="D169" s="12"/>
      <c r="E169" s="13" t="s">
        <v>62</v>
      </c>
      <c r="F169" s="6" t="s">
        <v>1260</v>
      </c>
      <c r="G169" s="14" t="str">
        <f ca="1">IFERROR(__xludf.DUMMYFUNCTION("CONCATENATE(B169,(VLOOKUP(C169,CATALOGOS!$F$2:$H$6,3,FALSE)),(VLOOKUP(V169,CATALOGOS!$J$2:$K$18,2,FALSE)),""-"",TO_TEXT(A169))"),"P05RH-0168")</f>
        <v>P05RH-0168</v>
      </c>
      <c r="H169" s="15" t="str">
        <f ca="1">IFERROR(__xludf.DUMMYFUNCTION("CONCATENATE($B169,(VLOOKUP($C169,CATALOGOS!$F$2:$H$6,3,FALSE)),(VLOOKUP($V169,CATALOGOS!$J$2:$K$18,2,FALSE)),""-"",TO_TEXT($A169))"),"P05RH-0168")</f>
        <v>P05RH-0168</v>
      </c>
      <c r="I169" s="6"/>
      <c r="J169" s="6" t="s">
        <v>1261</v>
      </c>
      <c r="K169" s="6" t="s">
        <v>1262</v>
      </c>
      <c r="L169" s="6" t="s">
        <v>1263</v>
      </c>
      <c r="M169" s="6" t="s">
        <v>1264</v>
      </c>
      <c r="N169" s="17"/>
      <c r="O169" s="17"/>
      <c r="P169" s="17" t="str">
        <f t="shared" si="6"/>
        <v>OK</v>
      </c>
      <c r="Q169" s="17" t="s">
        <v>35</v>
      </c>
      <c r="R169" s="6" t="s">
        <v>35</v>
      </c>
      <c r="S169" s="17" t="s">
        <v>36</v>
      </c>
      <c r="T169" s="17" t="s">
        <v>1265</v>
      </c>
      <c r="U169" s="18" t="s">
        <v>38</v>
      </c>
      <c r="V169" s="19" t="s">
        <v>723</v>
      </c>
      <c r="W169" s="22" t="s">
        <v>1164</v>
      </c>
      <c r="X169" s="21" t="s">
        <v>1164</v>
      </c>
      <c r="Y169" s="22"/>
      <c r="Z169" s="7"/>
      <c r="AA169" s="7"/>
      <c r="AB169" s="23"/>
      <c r="AC169" s="26"/>
    </row>
    <row r="170" spans="1:30" ht="15.75" customHeight="1">
      <c r="A170" s="10" t="s">
        <v>1266</v>
      </c>
      <c r="B170" s="10" t="s">
        <v>27</v>
      </c>
      <c r="C170" s="11" t="s">
        <v>28</v>
      </c>
      <c r="D170" s="12"/>
      <c r="E170" s="13" t="s">
        <v>43</v>
      </c>
      <c r="F170" s="6" t="s">
        <v>885</v>
      </c>
      <c r="G170" s="14" t="str">
        <f ca="1">IFERROR(__xludf.DUMMYFUNCTION("CONCATENATE(B170,(VLOOKUP(C170,CATALOGOS!$F$2:$H$6,3,FALSE)),(VLOOKUP(V170,CATALOGOS!$J$2:$K$18,2,FALSE)),""-"",TO_TEXT(A170))"),"P05RH-0169")</f>
        <v>P05RH-0169</v>
      </c>
      <c r="H170" s="15" t="str">
        <f ca="1">IFERROR(__xludf.DUMMYFUNCTION("CONCATENATE($B170,(VLOOKUP($C170,CATALOGOS!$F$2:$H$6,3,FALSE)),(VLOOKUP($V170,CATALOGOS!$J$2:$K$18,2,FALSE)),""-"",TO_TEXT($A170))"),"P05RH-0169")</f>
        <v>P05RH-0169</v>
      </c>
      <c r="I170" s="6"/>
      <c r="J170" s="6" t="s">
        <v>1267</v>
      </c>
      <c r="K170" s="6" t="s">
        <v>1268</v>
      </c>
      <c r="L170" s="10" t="s">
        <v>1269</v>
      </c>
      <c r="M170" s="43" t="s">
        <v>1270</v>
      </c>
      <c r="N170" s="17"/>
      <c r="O170" s="17"/>
      <c r="P170" s="17" t="str">
        <f t="shared" si="6"/>
        <v>OK</v>
      </c>
      <c r="Q170" s="17" t="s">
        <v>406</v>
      </c>
      <c r="R170" s="6" t="s">
        <v>1271</v>
      </c>
      <c r="S170" s="17" t="s">
        <v>1272</v>
      </c>
      <c r="T170" s="17" t="s">
        <v>1273</v>
      </c>
      <c r="U170" s="18" t="s">
        <v>38</v>
      </c>
      <c r="V170" s="19" t="s">
        <v>723</v>
      </c>
      <c r="W170" s="22" t="s">
        <v>1164</v>
      </c>
      <c r="X170" s="21" t="s">
        <v>1164</v>
      </c>
      <c r="Y170" s="22"/>
      <c r="Z170" s="7"/>
      <c r="AA170" s="7"/>
      <c r="AB170" s="23"/>
      <c r="AC170" s="26"/>
    </row>
    <row r="171" spans="1:30" ht="15.75" customHeight="1">
      <c r="A171" s="10" t="s">
        <v>1274</v>
      </c>
      <c r="B171" s="10" t="s">
        <v>27</v>
      </c>
      <c r="C171" s="11" t="s">
        <v>28</v>
      </c>
      <c r="D171" s="38"/>
      <c r="E171" s="13" t="s">
        <v>1275</v>
      </c>
      <c r="F171" s="6" t="s">
        <v>1276</v>
      </c>
      <c r="G171" s="14" t="str">
        <f ca="1">IFERROR(__xludf.DUMMYFUNCTION("CONCATENATE(B171,(VLOOKUP(C171,CATALOGOS!$F$2:$H$6,3,FALSE)),(VLOOKUP(V171,CATALOGOS!$J$2:$K$18,2,FALSE)),""-"",TO_TEXT(A171))"),"P05RH-0170")</f>
        <v>P05RH-0170</v>
      </c>
      <c r="H171" s="15" t="str">
        <f ca="1">IFERROR(__xludf.DUMMYFUNCTION("CONCATENATE($B171,(VLOOKUP($C171,CATALOGOS!$F$2:$H$6,3,FALSE)),(VLOOKUP($V171,CATALOGOS!$J$2:$K$18,2,FALSE)),""-"",TO_TEXT($A171))"),"P05RH-0170")</f>
        <v>P05RH-0170</v>
      </c>
      <c r="I171" s="6"/>
      <c r="J171" s="6" t="s">
        <v>1277</v>
      </c>
      <c r="K171" s="6" t="s">
        <v>1278</v>
      </c>
      <c r="L171" s="10" t="s">
        <v>1279</v>
      </c>
      <c r="M171" s="6" t="s">
        <v>1280</v>
      </c>
      <c r="N171" s="17"/>
      <c r="O171" s="17"/>
      <c r="P171" s="17" t="str">
        <f t="shared" si="6"/>
        <v>OK</v>
      </c>
      <c r="Q171" s="17" t="s">
        <v>682</v>
      </c>
      <c r="R171" s="6" t="s">
        <v>1281</v>
      </c>
      <c r="S171" s="46" t="s">
        <v>1282</v>
      </c>
      <c r="T171" s="17" t="s">
        <v>1283</v>
      </c>
      <c r="U171" s="18" t="s">
        <v>38</v>
      </c>
      <c r="V171" s="19" t="s">
        <v>723</v>
      </c>
      <c r="W171" s="22" t="s">
        <v>1164</v>
      </c>
      <c r="X171" s="21" t="s">
        <v>1164</v>
      </c>
      <c r="Y171" s="22"/>
      <c r="Z171" s="7"/>
      <c r="AA171" s="7"/>
      <c r="AB171" s="26"/>
      <c r="AC171" s="26"/>
    </row>
    <row r="172" spans="1:30" ht="15.75" customHeight="1">
      <c r="A172" s="10" t="s">
        <v>1284</v>
      </c>
      <c r="B172" s="10" t="s">
        <v>27</v>
      </c>
      <c r="C172" s="11" t="s">
        <v>28</v>
      </c>
      <c r="D172" s="12"/>
      <c r="E172" s="13" t="s">
        <v>93</v>
      </c>
      <c r="F172" s="6" t="s">
        <v>1285</v>
      </c>
      <c r="G172" s="14" t="str">
        <f ca="1">IFERROR(__xludf.DUMMYFUNCTION("CONCATENATE(B172,(VLOOKUP(C172,CATALOGOS!$F$2:$H$6,3,FALSE)),(VLOOKUP(V172,CATALOGOS!$J$2:$K$18,2,FALSE)),""-"",TO_TEXT(A172))"),"P05RH-0171")</f>
        <v>P05RH-0171</v>
      </c>
      <c r="H172" s="15" t="str">
        <f ca="1">IFERROR(__xludf.DUMMYFUNCTION("CONCATENATE($B172,(VLOOKUP($C172,CATALOGOS!$F$2:$H$6,3,FALSE)),(VLOOKUP($V172,CATALOGOS!$J$2:$K$18,2,FALSE)),""-"",TO_TEXT($A172))"),"P05RH-0171")</f>
        <v>P05RH-0171</v>
      </c>
      <c r="I172" s="6"/>
      <c r="J172" s="6" t="s">
        <v>1286</v>
      </c>
      <c r="K172" s="6" t="s">
        <v>1287</v>
      </c>
      <c r="L172" s="6" t="s">
        <v>1288</v>
      </c>
      <c r="M172" s="6" t="s">
        <v>1289</v>
      </c>
      <c r="N172" s="17"/>
      <c r="O172" s="17"/>
      <c r="P172" s="17" t="str">
        <f t="shared" si="6"/>
        <v>OK</v>
      </c>
      <c r="Q172" s="17" t="s">
        <v>35</v>
      </c>
      <c r="R172" s="6" t="s">
        <v>35</v>
      </c>
      <c r="S172" s="17" t="s">
        <v>36</v>
      </c>
      <c r="T172" s="17" t="s">
        <v>1290</v>
      </c>
      <c r="U172" s="18" t="s">
        <v>38</v>
      </c>
      <c r="V172" s="19" t="s">
        <v>723</v>
      </c>
      <c r="W172" s="22" t="s">
        <v>724</v>
      </c>
      <c r="X172" s="21" t="s">
        <v>724</v>
      </c>
      <c r="Y172" s="22"/>
      <c r="Z172" s="7"/>
      <c r="AA172" s="7"/>
      <c r="AB172" s="23"/>
      <c r="AC172" s="26"/>
    </row>
    <row r="173" spans="1:30" ht="15.75" customHeight="1">
      <c r="A173" s="10" t="s">
        <v>1291</v>
      </c>
      <c r="B173" s="10" t="s">
        <v>27</v>
      </c>
      <c r="C173" s="11" t="s">
        <v>28</v>
      </c>
      <c r="D173" s="12"/>
      <c r="E173" s="13" t="s">
        <v>378</v>
      </c>
      <c r="F173" s="6" t="s">
        <v>1292</v>
      </c>
      <c r="G173" s="14" t="str">
        <f ca="1">IFERROR(__xludf.DUMMYFUNCTION("CONCATENATE(B173,(VLOOKUP(C173,CATALOGOS!$F$2:$H$6,3,FALSE)),(VLOOKUP(V173,CATALOGOS!$J$2:$K$18,2,FALSE)),""-"",TO_TEXT(A173))"),"P05RH-0172")</f>
        <v>P05RH-0172</v>
      </c>
      <c r="H173" s="15" t="str">
        <f ca="1">IFERROR(__xludf.DUMMYFUNCTION("CONCATENATE($B173,(VLOOKUP($C173,CATALOGOS!$F$2:$H$6,3,FALSE)),(VLOOKUP($V173,CATALOGOS!$J$2:$K$18,2,FALSE)),""-"",TO_TEXT($A173))"),"P05RH-0172")</f>
        <v>P05RH-0172</v>
      </c>
      <c r="I173" s="6"/>
      <c r="J173" s="6" t="s">
        <v>1293</v>
      </c>
      <c r="K173" s="6" t="s">
        <v>1294</v>
      </c>
      <c r="L173" s="36"/>
      <c r="M173" s="6" t="s">
        <v>1295</v>
      </c>
      <c r="N173" s="17"/>
      <c r="O173" s="17"/>
      <c r="P173" s="17" t="str">
        <f t="shared" si="6"/>
        <v>OK</v>
      </c>
      <c r="Q173" s="35" t="s">
        <v>35</v>
      </c>
      <c r="R173" s="6" t="s">
        <v>35</v>
      </c>
      <c r="S173" s="10" t="s">
        <v>36</v>
      </c>
      <c r="T173" s="10" t="s">
        <v>1296</v>
      </c>
      <c r="U173" s="18" t="s">
        <v>38</v>
      </c>
      <c r="V173" s="19" t="s">
        <v>723</v>
      </c>
      <c r="W173" s="22" t="s">
        <v>724</v>
      </c>
      <c r="X173" s="21" t="s">
        <v>724</v>
      </c>
      <c r="Y173" s="22"/>
      <c r="Z173" s="7"/>
      <c r="AA173" s="7"/>
      <c r="AB173" s="23"/>
      <c r="AC173" s="26"/>
    </row>
    <row r="174" spans="1:30" ht="15.75" customHeight="1">
      <c r="A174" s="10" t="s">
        <v>1297</v>
      </c>
      <c r="B174" s="10" t="s">
        <v>27</v>
      </c>
      <c r="C174" s="11" t="s">
        <v>28</v>
      </c>
      <c r="D174" s="12"/>
      <c r="E174" s="13" t="s">
        <v>151</v>
      </c>
      <c r="F174" s="6" t="s">
        <v>152</v>
      </c>
      <c r="G174" s="47" t="str">
        <f ca="1">IFERROR(__xludf.DUMMYFUNCTION("CONCATENATE(B174,(VLOOKUP(C174,CATALOGOS!$F$2:$H$6,3,FALSE)),(VLOOKUP(V174,CATALOGOS!$J$2:$K$18,2,FALSE)),""-"",TO_TEXT(A174))"),"P05RM-0175")</f>
        <v>P05RM-0175</v>
      </c>
      <c r="H174" s="15" t="str">
        <f ca="1">IFERROR(__xludf.DUMMYFUNCTION("CONCATENATE($B174,(VLOOKUP($C174,CATALOGOS!$F$2:$H$6,3,FALSE)),(VLOOKUP($V174,CATALOGOS!$J$2:$K$18,2,FALSE)),""-"",TO_TEXT($A174))"),"P05RM-0175")</f>
        <v>P05RM-0175</v>
      </c>
      <c r="I174" s="6"/>
      <c r="J174" s="6" t="s">
        <v>1298</v>
      </c>
      <c r="K174" s="6" t="s">
        <v>1299</v>
      </c>
      <c r="L174" s="6" t="s">
        <v>1300</v>
      </c>
      <c r="M174" s="6" t="s">
        <v>1301</v>
      </c>
      <c r="N174" s="17"/>
      <c r="O174" s="17"/>
      <c r="P174" s="17" t="str">
        <f t="shared" si="6"/>
        <v>OK</v>
      </c>
      <c r="Q174" s="17" t="s">
        <v>157</v>
      </c>
      <c r="R174" s="6" t="s">
        <v>1302</v>
      </c>
      <c r="S174" s="17" t="s">
        <v>36</v>
      </c>
      <c r="T174" s="17" t="s">
        <v>1303</v>
      </c>
      <c r="U174" s="18" t="s">
        <v>1304</v>
      </c>
      <c r="V174" s="19" t="s">
        <v>147</v>
      </c>
      <c r="W174" s="20" t="s">
        <v>483</v>
      </c>
      <c r="X174" s="39" t="s">
        <v>484</v>
      </c>
      <c r="Y174" s="40" t="s">
        <v>261</v>
      </c>
      <c r="Z174" s="7"/>
      <c r="AA174" s="7"/>
      <c r="AB174" s="23"/>
      <c r="AC174" s="26"/>
    </row>
    <row r="175" spans="1:30" ht="15.75" customHeight="1">
      <c r="A175" s="55" t="s">
        <v>1305</v>
      </c>
      <c r="B175" s="10" t="s">
        <v>27</v>
      </c>
      <c r="C175" s="11" t="s">
        <v>28</v>
      </c>
      <c r="D175" s="12"/>
      <c r="E175" s="13" t="s">
        <v>378</v>
      </c>
      <c r="F175" s="6" t="s">
        <v>1306</v>
      </c>
      <c r="G175" s="14" t="str">
        <f ca="1">IFERROR(__xludf.DUMMYFUNCTION("CONCATENATE(B175,(VLOOKUP(C175,CATALOGOS!$F$2:$H$6,3,FALSE)),(VLOOKUP(V175,CATALOGOS!$J$2:$K$18,2,FALSE)),""-"",TO_TEXT(A175))"),"P05RH-0173")</f>
        <v>P05RH-0173</v>
      </c>
      <c r="H175" s="15" t="str">
        <f ca="1">IFERROR(__xludf.DUMMYFUNCTION("CONCATENATE($B175,(VLOOKUP($C175,CATALOGOS!$F$2:$H$6,3,FALSE)),(VLOOKUP($V175,CATALOGOS!$J$2:$K$18,2,FALSE)),""-"",TO_TEXT($A175))"),"P05RH-0173")</f>
        <v>P05RH-0173</v>
      </c>
      <c r="I175" s="6"/>
      <c r="J175" s="6" t="s">
        <v>1307</v>
      </c>
      <c r="K175" s="6" t="s">
        <v>1308</v>
      </c>
      <c r="L175" s="6" t="s">
        <v>1309</v>
      </c>
      <c r="M175" s="43" t="s">
        <v>1310</v>
      </c>
      <c r="N175" s="17"/>
      <c r="O175" s="17"/>
      <c r="P175" s="17" t="str">
        <f t="shared" si="6"/>
        <v>OK</v>
      </c>
      <c r="Q175" s="46" t="s">
        <v>35</v>
      </c>
      <c r="R175" s="6" t="s">
        <v>35</v>
      </c>
      <c r="S175" s="17" t="s">
        <v>36</v>
      </c>
      <c r="T175" s="17" t="s">
        <v>1311</v>
      </c>
      <c r="U175" s="18" t="s">
        <v>38</v>
      </c>
      <c r="V175" s="19" t="s">
        <v>723</v>
      </c>
      <c r="W175" s="22" t="s">
        <v>724</v>
      </c>
      <c r="X175" s="21" t="s">
        <v>724</v>
      </c>
      <c r="Y175" s="22"/>
      <c r="Z175" s="7"/>
      <c r="AA175" s="7"/>
      <c r="AB175" s="23"/>
      <c r="AC175" s="26"/>
    </row>
    <row r="176" spans="1:30" ht="15.75" customHeight="1">
      <c r="A176" s="10" t="s">
        <v>1312</v>
      </c>
      <c r="B176" s="10" t="s">
        <v>27</v>
      </c>
      <c r="C176" s="11" t="s">
        <v>28</v>
      </c>
      <c r="D176" s="12"/>
      <c r="E176" s="13" t="s">
        <v>116</v>
      </c>
      <c r="F176" s="6" t="s">
        <v>364</v>
      </c>
      <c r="G176" s="14" t="str">
        <f ca="1">IFERROR(__xludf.DUMMYFUNCTION("CONCATENATE(B176,(VLOOKUP(C176,CATALOGOS!$F$2:$H$6,3,FALSE)),(VLOOKUP(V176,CATALOGOS!$J$2:$K$18,2,FALSE)),""-"",TO_TEXT(A176))"),"P05RH-0174")</f>
        <v>P05RH-0174</v>
      </c>
      <c r="H176" s="15" t="str">
        <f ca="1">IFERROR(__xludf.DUMMYFUNCTION("CONCATENATE($B176,(VLOOKUP($C176,CATALOGOS!$F$2:$H$6,3,FALSE)),(VLOOKUP($V176,CATALOGOS!$J$2:$K$18,2,FALSE)),""-"",TO_TEXT($A176))"),"P05RH-0174")</f>
        <v>P05RH-0174</v>
      </c>
      <c r="I176" s="6"/>
      <c r="J176" s="6" t="s">
        <v>1313</v>
      </c>
      <c r="K176" s="6" t="s">
        <v>1314</v>
      </c>
      <c r="L176" s="6" t="s">
        <v>1315</v>
      </c>
      <c r="M176" s="6" t="s">
        <v>1316</v>
      </c>
      <c r="N176" s="17"/>
      <c r="O176" s="17"/>
      <c r="P176" s="17" t="str">
        <f t="shared" si="6"/>
        <v>OK</v>
      </c>
      <c r="Q176" s="17" t="s">
        <v>35</v>
      </c>
      <c r="R176" s="49" t="s">
        <v>35</v>
      </c>
      <c r="S176" s="17" t="s">
        <v>36</v>
      </c>
      <c r="T176" s="17" t="s">
        <v>1317</v>
      </c>
      <c r="U176" s="18" t="s">
        <v>38</v>
      </c>
      <c r="V176" s="19" t="s">
        <v>723</v>
      </c>
      <c r="W176" s="22" t="s">
        <v>724</v>
      </c>
      <c r="X176" s="21" t="s">
        <v>724</v>
      </c>
      <c r="Y176" s="22"/>
      <c r="Z176" s="7"/>
      <c r="AA176" s="7"/>
      <c r="AB176" s="23"/>
      <c r="AC176" s="26"/>
    </row>
    <row r="177" spans="1:30" ht="15.75" customHeight="1">
      <c r="A177" s="10" t="s">
        <v>1318</v>
      </c>
      <c r="B177" s="10" t="s">
        <v>27</v>
      </c>
      <c r="C177" s="11" t="s">
        <v>28</v>
      </c>
      <c r="D177" s="12"/>
      <c r="E177" s="13" t="s">
        <v>199</v>
      </c>
      <c r="F177" s="6" t="s">
        <v>199</v>
      </c>
      <c r="G177" s="14" t="str">
        <f ca="1">IFERROR(__xludf.DUMMYFUNCTION("CONCATENATE(B177,(VLOOKUP(C177,CATALOGOS!$F$2:$H$6,3,FALSE)),(VLOOKUP(V177,CATALOGOS!$J$2:$K$18,2,FALSE)),""-"",TO_TEXT(A177))"),"P05RH-0176")</f>
        <v>P05RH-0176</v>
      </c>
      <c r="H177" s="15" t="str">
        <f ca="1">IFERROR(__xludf.DUMMYFUNCTION("CONCATENATE($B177,(VLOOKUP($C177,CATALOGOS!$F$2:$H$6,3,FALSE)),(VLOOKUP($V177,CATALOGOS!$J$2:$K$18,2,FALSE)),""-"",TO_TEXT($A177))"),"P05RH-0176")</f>
        <v>P05RH-0176</v>
      </c>
      <c r="I177" s="6"/>
      <c r="J177" s="6" t="s">
        <v>1319</v>
      </c>
      <c r="K177" s="6" t="s">
        <v>1320</v>
      </c>
      <c r="L177" s="6" t="s">
        <v>1321</v>
      </c>
      <c r="M177" s="6" t="s">
        <v>1322</v>
      </c>
      <c r="N177" s="17"/>
      <c r="O177" s="17"/>
      <c r="P177" s="17" t="str">
        <f t="shared" si="6"/>
        <v>OK</v>
      </c>
      <c r="Q177" s="17" t="s">
        <v>157</v>
      </c>
      <c r="R177" s="6">
        <v>2378</v>
      </c>
      <c r="S177" s="17" t="s">
        <v>1323</v>
      </c>
      <c r="T177" s="17" t="s">
        <v>1324</v>
      </c>
      <c r="U177" s="18" t="s">
        <v>38</v>
      </c>
      <c r="V177" s="19" t="s">
        <v>723</v>
      </c>
      <c r="W177" s="22" t="s">
        <v>724</v>
      </c>
      <c r="X177" s="21" t="s">
        <v>724</v>
      </c>
      <c r="Y177" s="22"/>
      <c r="Z177" s="7"/>
      <c r="AA177" s="7"/>
      <c r="AB177" s="23"/>
      <c r="AC177" s="26"/>
    </row>
    <row r="178" spans="1:30" ht="15.75" customHeight="1">
      <c r="A178" s="10" t="s">
        <v>1325</v>
      </c>
      <c r="B178" s="10" t="s">
        <v>27</v>
      </c>
      <c r="C178" s="11" t="s">
        <v>28</v>
      </c>
      <c r="D178" s="12"/>
      <c r="E178" s="13" t="s">
        <v>136</v>
      </c>
      <c r="F178" s="6" t="s">
        <v>689</v>
      </c>
      <c r="G178" s="14" t="str">
        <f ca="1">IFERROR(__xludf.DUMMYFUNCTION("CONCATENATE(B178,(VLOOKUP(C178,CATALOGOS!$F$2:$H$6,3,FALSE)),(VLOOKUP(V178,CATALOGOS!$J$2:$K$18,2,FALSE)),""-"",TO_TEXT(A178))"),"P05RH-0177")</f>
        <v>P05RH-0177</v>
      </c>
      <c r="H178" s="15" t="str">
        <f ca="1">IFERROR(__xludf.DUMMYFUNCTION("CONCATENATE($B178,(VLOOKUP($C178,CATALOGOS!$F$2:$H$6,3,FALSE)),(VLOOKUP($V178,CATALOGOS!$J$2:$K$18,2,FALSE)),""-"",TO_TEXT($A178))"),"P05RH-0177")</f>
        <v>P05RH-0177</v>
      </c>
      <c r="I178" s="6"/>
      <c r="J178" s="6" t="s">
        <v>1326</v>
      </c>
      <c r="K178" s="6" t="s">
        <v>1327</v>
      </c>
      <c r="L178" s="6" t="s">
        <v>1328</v>
      </c>
      <c r="M178" s="6" t="s">
        <v>1329</v>
      </c>
      <c r="N178" s="17"/>
      <c r="O178" s="17"/>
      <c r="P178" s="17" t="str">
        <f t="shared" si="6"/>
        <v>OK</v>
      </c>
      <c r="Q178" s="17" t="s">
        <v>143</v>
      </c>
      <c r="R178" s="6" t="s">
        <v>1330</v>
      </c>
      <c r="S178" s="32" t="s">
        <v>1331</v>
      </c>
      <c r="T178" s="17" t="s">
        <v>1332</v>
      </c>
      <c r="U178" s="18" t="s">
        <v>38</v>
      </c>
      <c r="V178" s="19" t="s">
        <v>723</v>
      </c>
      <c r="W178" s="22" t="s">
        <v>724</v>
      </c>
      <c r="X178" s="21" t="s">
        <v>724</v>
      </c>
      <c r="Y178" s="22"/>
      <c r="Z178" s="7"/>
      <c r="AA178" s="7"/>
      <c r="AB178" s="23"/>
      <c r="AC178" s="26"/>
    </row>
    <row r="179" spans="1:30" ht="15.75" customHeight="1">
      <c r="A179" s="10" t="s">
        <v>1333</v>
      </c>
      <c r="B179" s="10" t="s">
        <v>27</v>
      </c>
      <c r="C179" s="11" t="s">
        <v>28</v>
      </c>
      <c r="D179" s="12"/>
      <c r="E179" s="13" t="s">
        <v>353</v>
      </c>
      <c r="F179" s="43" t="s">
        <v>638</v>
      </c>
      <c r="G179" s="14" t="str">
        <f ca="1">IFERROR(__xludf.DUMMYFUNCTION("CONCATENATE(B179,(VLOOKUP(C179,CATALOGOS!$F$2:$H$6,3,FALSE)),(VLOOKUP(V179,CATALOGOS!$J$2:$K$18,2,FALSE)),""-"",TO_TEXT(A179))"),"P05RH-0178")</f>
        <v>P05RH-0178</v>
      </c>
      <c r="H179" s="15" t="str">
        <f ca="1">IFERROR(__xludf.DUMMYFUNCTION("CONCATENATE($B179,(VLOOKUP($C179,CATALOGOS!$F$2:$H$6,3,FALSE)),(VLOOKUP($V179,CATALOGOS!$J$2:$K$18,2,FALSE)),""-"",TO_TEXT($A179))"),"P05RH-0178")</f>
        <v>P05RH-0178</v>
      </c>
      <c r="I179" s="6"/>
      <c r="J179" s="6" t="s">
        <v>1334</v>
      </c>
      <c r="K179" s="6" t="s">
        <v>1335</v>
      </c>
      <c r="L179" s="6" t="s">
        <v>1336</v>
      </c>
      <c r="M179" s="6" t="s">
        <v>1337</v>
      </c>
      <c r="N179" s="17"/>
      <c r="O179" s="17"/>
      <c r="P179" s="17" t="str">
        <f t="shared" si="6"/>
        <v>OK</v>
      </c>
      <c r="Q179" s="17" t="s">
        <v>359</v>
      </c>
      <c r="R179" s="6" t="s">
        <v>360</v>
      </c>
      <c r="S179" s="17" t="s">
        <v>1338</v>
      </c>
      <c r="T179" s="17" t="s">
        <v>1339</v>
      </c>
      <c r="U179" s="18" t="s">
        <v>38</v>
      </c>
      <c r="V179" s="19" t="s">
        <v>723</v>
      </c>
      <c r="W179" s="22" t="s">
        <v>724</v>
      </c>
      <c r="X179" s="21" t="s">
        <v>724</v>
      </c>
      <c r="Y179" s="22"/>
      <c r="Z179" s="7"/>
      <c r="AA179" s="7"/>
      <c r="AB179" s="23"/>
      <c r="AC179" s="26"/>
    </row>
    <row r="180" spans="1:30" ht="15.75" customHeight="1">
      <c r="A180" s="10" t="s">
        <v>1340</v>
      </c>
      <c r="B180" s="10" t="s">
        <v>27</v>
      </c>
      <c r="C180" s="11" t="s">
        <v>28</v>
      </c>
      <c r="D180" s="38"/>
      <c r="E180" s="13" t="s">
        <v>1240</v>
      </c>
      <c r="F180" s="6" t="s">
        <v>278</v>
      </c>
      <c r="G180" s="14" t="str">
        <f ca="1">IFERROR(__xludf.DUMMYFUNCTION("CONCATENATE(B180,(VLOOKUP(C180,CATALOGOS!$F$2:$H$6,3,FALSE)),(VLOOKUP(V180,CATALOGOS!$J$2:$K$18,2,FALSE)),""-"",TO_TEXT(A180))"),"P05RH-0179")</f>
        <v>P05RH-0179</v>
      </c>
      <c r="H180" s="15" t="str">
        <f ca="1">IFERROR(__xludf.DUMMYFUNCTION("CONCATENATE($B180,(VLOOKUP($C180,CATALOGOS!$F$2:$H$6,3,FALSE)),(VLOOKUP($V180,CATALOGOS!$J$2:$K$18,2,FALSE)),""-"",TO_TEXT($A180))"),"P05RH-0179")</f>
        <v>P05RH-0179</v>
      </c>
      <c r="I180" s="6"/>
      <c r="J180" s="6" t="s">
        <v>1341</v>
      </c>
      <c r="K180" s="6" t="s">
        <v>1342</v>
      </c>
      <c r="L180" s="6" t="s">
        <v>1343</v>
      </c>
      <c r="M180" s="6" t="s">
        <v>1344</v>
      </c>
      <c r="N180" s="17"/>
      <c r="O180" s="17"/>
      <c r="P180" s="17" t="str">
        <f t="shared" si="6"/>
        <v>OK</v>
      </c>
      <c r="Q180" s="17" t="s">
        <v>35</v>
      </c>
      <c r="R180" s="6" t="s">
        <v>35</v>
      </c>
      <c r="S180" s="46" t="s">
        <v>36</v>
      </c>
      <c r="T180" s="17" t="s">
        <v>1345</v>
      </c>
      <c r="U180" s="18" t="s">
        <v>38</v>
      </c>
      <c r="V180" s="19" t="s">
        <v>723</v>
      </c>
      <c r="W180" s="22" t="s">
        <v>724</v>
      </c>
      <c r="X180" s="21" t="s">
        <v>724</v>
      </c>
      <c r="Y180" s="22"/>
      <c r="Z180" s="7"/>
      <c r="AA180" s="7"/>
      <c r="AB180" s="26"/>
      <c r="AC180" s="26"/>
    </row>
    <row r="181" spans="1:30" ht="15.75" customHeight="1">
      <c r="A181" s="10" t="s">
        <v>1346</v>
      </c>
      <c r="B181" s="10" t="s">
        <v>27</v>
      </c>
      <c r="C181" s="11" t="s">
        <v>28</v>
      </c>
      <c r="D181" s="12"/>
      <c r="E181" s="13" t="s">
        <v>116</v>
      </c>
      <c r="F181" s="6" t="s">
        <v>1347</v>
      </c>
      <c r="G181" s="14" t="str">
        <f ca="1">IFERROR(__xludf.DUMMYFUNCTION("CONCATENATE(B181,(VLOOKUP(C181,CATALOGOS!$F$2:$H$6,3,FALSE)),(VLOOKUP(V181,CATALOGOS!$J$2:$K$18,2,FALSE)),""-"",TO_TEXT(A181))"),"P05RH-0180")</f>
        <v>P05RH-0180</v>
      </c>
      <c r="H181" s="15" t="str">
        <f ca="1">IFERROR(__xludf.DUMMYFUNCTION("CONCATENATE($B181,(VLOOKUP($C181,CATALOGOS!$F$2:$H$6,3,FALSE)),(VLOOKUP($V181,CATALOGOS!$J$2:$K$18,2,FALSE)),""-"",TO_TEXT($A181))"),"P05RH-0180")</f>
        <v>P05RH-0180</v>
      </c>
      <c r="I181" s="6"/>
      <c r="J181" s="6" t="s">
        <v>1348</v>
      </c>
      <c r="K181" s="6" t="s">
        <v>1349</v>
      </c>
      <c r="L181" s="36"/>
      <c r="M181" s="6" t="s">
        <v>141</v>
      </c>
      <c r="N181" s="17"/>
      <c r="O181" s="17"/>
      <c r="P181" s="17" t="str">
        <f t="shared" si="6"/>
        <v>REPETIDO</v>
      </c>
      <c r="Q181" s="17" t="s">
        <v>35</v>
      </c>
      <c r="R181" s="6" t="s">
        <v>35</v>
      </c>
      <c r="S181" s="6" t="s">
        <v>36</v>
      </c>
      <c r="T181" s="10" t="s">
        <v>85</v>
      </c>
      <c r="U181" s="18" t="s">
        <v>38</v>
      </c>
      <c r="V181" s="19" t="s">
        <v>723</v>
      </c>
      <c r="W181" s="20" t="s">
        <v>1350</v>
      </c>
      <c r="X181" s="21" t="s">
        <v>1350</v>
      </c>
      <c r="Y181" s="22"/>
      <c r="Z181" s="6"/>
      <c r="AA181" s="6"/>
      <c r="AB181" s="23"/>
      <c r="AC181" s="33"/>
    </row>
    <row r="182" spans="1:30" ht="15.75" customHeight="1">
      <c r="A182" s="10" t="s">
        <v>1351</v>
      </c>
      <c r="B182" s="10" t="s">
        <v>27</v>
      </c>
      <c r="C182" s="11" t="s">
        <v>28</v>
      </c>
      <c r="D182" s="12"/>
      <c r="E182" s="13" t="s">
        <v>151</v>
      </c>
      <c r="F182" s="6" t="s">
        <v>293</v>
      </c>
      <c r="G182" s="14" t="str">
        <f ca="1">IFERROR(__xludf.DUMMYFUNCTION("CONCATENATE(B182,(VLOOKUP(C182,CATALOGOS!$F$2:$H$6,3,FALSE)),(VLOOKUP(V182,CATALOGOS!$J$2:$K$18,2,FALSE)),""-"",TO_TEXT(A182))"),"P05RH-0181")</f>
        <v>P05RH-0181</v>
      </c>
      <c r="H182" s="15" t="str">
        <f ca="1">IFERROR(__xludf.DUMMYFUNCTION("CONCATENATE($B182,(VLOOKUP($C182,CATALOGOS!$F$2:$H$6,3,FALSE)),(VLOOKUP($V182,CATALOGOS!$J$2:$K$18,2,FALSE)),""-"",TO_TEXT($A182))"),"P05RH-0181")</f>
        <v>P05RH-0181</v>
      </c>
      <c r="I182" s="6"/>
      <c r="J182" s="6" t="s">
        <v>1352</v>
      </c>
      <c r="K182" s="6" t="s">
        <v>1353</v>
      </c>
      <c r="L182" s="36"/>
      <c r="M182" s="6" t="s">
        <v>1354</v>
      </c>
      <c r="N182" s="17"/>
      <c r="O182" s="17"/>
      <c r="P182" s="17" t="str">
        <f t="shared" si="6"/>
        <v>OK</v>
      </c>
      <c r="Q182" s="17" t="s">
        <v>297</v>
      </c>
      <c r="R182" s="6" t="s">
        <v>298</v>
      </c>
      <c r="S182" s="6" t="s">
        <v>1355</v>
      </c>
      <c r="T182" s="10" t="s">
        <v>85</v>
      </c>
      <c r="U182" s="18" t="s">
        <v>38</v>
      </c>
      <c r="V182" s="19" t="s">
        <v>723</v>
      </c>
      <c r="W182" s="22" t="s">
        <v>1350</v>
      </c>
      <c r="X182" s="39" t="s">
        <v>1350</v>
      </c>
      <c r="Y182" s="22"/>
      <c r="Z182" s="6"/>
      <c r="AA182" s="6"/>
      <c r="AB182" s="41" t="s">
        <v>275</v>
      </c>
      <c r="AC182" s="42">
        <v>44403</v>
      </c>
      <c r="AD182" s="58" t="s">
        <v>276</v>
      </c>
    </row>
    <row r="183" spans="1:30" ht="15.75" customHeight="1">
      <c r="A183" s="10" t="s">
        <v>1356</v>
      </c>
      <c r="B183" s="10" t="s">
        <v>27</v>
      </c>
      <c r="C183" s="11" t="s">
        <v>28</v>
      </c>
      <c r="D183" s="12"/>
      <c r="E183" s="13" t="s">
        <v>199</v>
      </c>
      <c r="F183" s="6" t="s">
        <v>199</v>
      </c>
      <c r="G183" s="14" t="str">
        <f ca="1">IFERROR(__xludf.DUMMYFUNCTION("CONCATENATE(B183,(VLOOKUP(C183,CATALOGOS!$F$2:$H$6,3,FALSE)),(VLOOKUP(V183,CATALOGOS!$J$2:$K$18,2,FALSE)),""-"",TO_TEXT(A183))"),"P05RH-0182")</f>
        <v>P05RH-0182</v>
      </c>
      <c r="H183" s="15" t="str">
        <f ca="1">IFERROR(__xludf.DUMMYFUNCTION("CONCATENATE($B183,(VLOOKUP($C183,CATALOGOS!$F$2:$H$6,3,FALSE)),(VLOOKUP($V183,CATALOGOS!$J$2:$K$18,2,FALSE)),""-"",TO_TEXT($A183))"),"P05RH-0182")</f>
        <v>P05RH-0182</v>
      </c>
      <c r="I183" s="6"/>
      <c r="J183" s="6" t="s">
        <v>1357</v>
      </c>
      <c r="K183" s="6" t="s">
        <v>1358</v>
      </c>
      <c r="L183" s="36"/>
      <c r="M183" s="6" t="s">
        <v>1359</v>
      </c>
      <c r="N183" s="17"/>
      <c r="O183" s="17"/>
      <c r="P183" s="17" t="str">
        <f t="shared" si="6"/>
        <v>OK</v>
      </c>
      <c r="Q183" s="17" t="s">
        <v>273</v>
      </c>
      <c r="R183" s="6" t="s">
        <v>274</v>
      </c>
      <c r="S183" s="6">
        <v>11392903015062</v>
      </c>
      <c r="T183" s="10" t="s">
        <v>85</v>
      </c>
      <c r="U183" s="18" t="s">
        <v>38</v>
      </c>
      <c r="V183" s="19" t="s">
        <v>723</v>
      </c>
      <c r="W183" s="22" t="s">
        <v>1350</v>
      </c>
      <c r="X183" s="21" t="s">
        <v>1350</v>
      </c>
      <c r="Y183" s="22"/>
      <c r="Z183" s="6"/>
      <c r="AA183" s="6"/>
      <c r="AB183" s="41" t="s">
        <v>275</v>
      </c>
      <c r="AC183" s="42">
        <v>44403</v>
      </c>
      <c r="AD183" s="58">
        <v>0</v>
      </c>
    </row>
    <row r="184" spans="1:30" ht="15.75" customHeight="1">
      <c r="A184" s="10" t="s">
        <v>1360</v>
      </c>
      <c r="B184" s="10" t="s">
        <v>27</v>
      </c>
      <c r="C184" s="11" t="s">
        <v>28</v>
      </c>
      <c r="D184" s="12"/>
      <c r="E184" s="13" t="s">
        <v>378</v>
      </c>
      <c r="F184" s="6" t="s">
        <v>379</v>
      </c>
      <c r="G184" s="14" t="str">
        <f ca="1">IFERROR(__xludf.DUMMYFUNCTION("CONCATENATE(B184,(VLOOKUP(C184,CATALOGOS!$F$2:$H$6,3,FALSE)),(VLOOKUP(V184,CATALOGOS!$J$2:$K$18,2,FALSE)),""-"",TO_TEXT(A184))"),"P05RH-0183")</f>
        <v>P05RH-0183</v>
      </c>
      <c r="H184" s="15" t="str">
        <f ca="1">IFERROR(__xludf.DUMMYFUNCTION("CONCATENATE($B184,(VLOOKUP($C184,CATALOGOS!$F$2:$H$6,3,FALSE)),(VLOOKUP($V184,CATALOGOS!$J$2:$K$18,2,FALSE)),""-"",TO_TEXT($A184))"),"P05RH-0183")</f>
        <v>P05RH-0183</v>
      </c>
      <c r="I184" s="6"/>
      <c r="J184" s="6" t="s">
        <v>1361</v>
      </c>
      <c r="K184" s="6" t="s">
        <v>1362</v>
      </c>
      <c r="L184" s="6" t="s">
        <v>1363</v>
      </c>
      <c r="M184" s="6" t="s">
        <v>1364</v>
      </c>
      <c r="N184" s="17"/>
      <c r="O184" s="17"/>
      <c r="P184" s="17" t="str">
        <f t="shared" si="6"/>
        <v>OK</v>
      </c>
      <c r="Q184" s="17" t="s">
        <v>35</v>
      </c>
      <c r="R184" s="6" t="s">
        <v>35</v>
      </c>
      <c r="S184" s="17" t="s">
        <v>36</v>
      </c>
      <c r="T184" s="17" t="s">
        <v>1365</v>
      </c>
      <c r="U184" s="18" t="s">
        <v>38</v>
      </c>
      <c r="V184" s="19" t="s">
        <v>723</v>
      </c>
      <c r="W184" s="22" t="s">
        <v>1350</v>
      </c>
      <c r="X184" s="21" t="s">
        <v>1350</v>
      </c>
      <c r="Y184" s="22"/>
      <c r="Z184" s="7"/>
      <c r="AA184" s="7"/>
      <c r="AB184" s="23"/>
      <c r="AC184" s="26"/>
    </row>
    <row r="185" spans="1:30" ht="15.75" customHeight="1">
      <c r="A185" s="10" t="s">
        <v>1366</v>
      </c>
      <c r="B185" s="10" t="s">
        <v>27</v>
      </c>
      <c r="C185" s="11" t="s">
        <v>28</v>
      </c>
      <c r="D185" s="38"/>
      <c r="E185" s="13" t="s">
        <v>353</v>
      </c>
      <c r="F185" s="6" t="s">
        <v>354</v>
      </c>
      <c r="G185" s="14" t="str">
        <f ca="1">IFERROR(__xludf.DUMMYFUNCTION("CONCATENATE(B185,(VLOOKUP(C185,CATALOGOS!$F$2:$H$6,3,FALSE)),(VLOOKUP(V185,CATALOGOS!$J$2:$K$18,2,FALSE)),""-"",TO_TEXT(A185))"),"P05RH-0184")</f>
        <v>P05RH-0184</v>
      </c>
      <c r="H185" s="15" t="str">
        <f ca="1">IFERROR(__xludf.DUMMYFUNCTION("CONCATENATE($B185,(VLOOKUP($C185,CATALOGOS!$F$2:$H$6,3,FALSE)),(VLOOKUP($V185,CATALOGOS!$J$2:$K$18,2,FALSE)),""-"",TO_TEXT($A185))"),"P05RH-0184")</f>
        <v>P05RH-0184</v>
      </c>
      <c r="I185" s="6"/>
      <c r="J185" s="6" t="s">
        <v>1367</v>
      </c>
      <c r="K185" s="6" t="s">
        <v>1368</v>
      </c>
      <c r="L185" s="36"/>
      <c r="M185" s="6" t="s">
        <v>1369</v>
      </c>
      <c r="N185" s="17"/>
      <c r="O185" s="17"/>
      <c r="P185" s="17" t="str">
        <f t="shared" si="6"/>
        <v>OK</v>
      </c>
      <c r="Q185" s="17" t="s">
        <v>1370</v>
      </c>
      <c r="R185" s="6" t="s">
        <v>304</v>
      </c>
      <c r="S185" s="6" t="s">
        <v>1371</v>
      </c>
      <c r="T185" s="32" t="s">
        <v>1372</v>
      </c>
      <c r="U185" s="18" t="s">
        <v>38</v>
      </c>
      <c r="V185" s="19" t="s">
        <v>723</v>
      </c>
      <c r="W185" s="22" t="s">
        <v>1350</v>
      </c>
      <c r="X185" s="21" t="s">
        <v>1350</v>
      </c>
      <c r="Y185" s="22"/>
      <c r="Z185" s="7"/>
      <c r="AA185" s="7"/>
      <c r="AB185" s="26"/>
      <c r="AC185" s="26"/>
    </row>
    <row r="186" spans="1:30" ht="15.75" customHeight="1">
      <c r="A186" s="10" t="s">
        <v>1373</v>
      </c>
      <c r="B186" s="10" t="s">
        <v>27</v>
      </c>
      <c r="C186" s="11" t="s">
        <v>28</v>
      </c>
      <c r="D186" s="12"/>
      <c r="E186" s="13" t="s">
        <v>1240</v>
      </c>
      <c r="F186" s="43" t="s">
        <v>278</v>
      </c>
      <c r="G186" s="14" t="str">
        <f ca="1">IFERROR(__xludf.DUMMYFUNCTION("CONCATENATE(B186,(VLOOKUP(C186,CATALOGOS!$F$2:$H$6,3,FALSE)),(VLOOKUP(V186,CATALOGOS!$J$2:$K$18,2,FALSE)),""-"",TO_TEXT(A186))"),"P05RH-0185")</f>
        <v>P05RH-0185</v>
      </c>
      <c r="H186" s="15" t="str">
        <f ca="1">IFERROR(__xludf.DUMMYFUNCTION("CONCATENATE($B186,(VLOOKUP($C186,CATALOGOS!$F$2:$H$6,3,FALSE)),(VLOOKUP($V186,CATALOGOS!$J$2:$K$18,2,FALSE)),""-"",TO_TEXT($A186))"),"P05RH-0185")</f>
        <v>P05RH-0185</v>
      </c>
      <c r="I186" s="6"/>
      <c r="J186" s="6" t="s">
        <v>1374</v>
      </c>
      <c r="K186" s="6" t="s">
        <v>1375</v>
      </c>
      <c r="L186" s="6" t="s">
        <v>1376</v>
      </c>
      <c r="M186" s="6" t="s">
        <v>1377</v>
      </c>
      <c r="N186" s="17"/>
      <c r="O186" s="17"/>
      <c r="P186" s="17" t="str">
        <f t="shared" si="6"/>
        <v>OK</v>
      </c>
      <c r="Q186" s="17" t="s">
        <v>35</v>
      </c>
      <c r="R186" s="6" t="s">
        <v>35</v>
      </c>
      <c r="S186" s="17" t="s">
        <v>36</v>
      </c>
      <c r="T186" s="17" t="s">
        <v>1378</v>
      </c>
      <c r="U186" s="18" t="s">
        <v>38</v>
      </c>
      <c r="V186" s="19" t="s">
        <v>723</v>
      </c>
      <c r="W186" s="20" t="s">
        <v>1350</v>
      </c>
      <c r="X186" s="39" t="s">
        <v>1350</v>
      </c>
      <c r="Y186" s="20"/>
      <c r="Z186" s="7"/>
      <c r="AA186" s="7"/>
      <c r="AB186" s="23"/>
      <c r="AC186" s="26"/>
    </row>
    <row r="187" spans="1:30" ht="15.75" customHeight="1">
      <c r="A187" s="10" t="s">
        <v>1379</v>
      </c>
      <c r="B187" s="10" t="s">
        <v>27</v>
      </c>
      <c r="C187" s="11" t="s">
        <v>28</v>
      </c>
      <c r="D187" s="12"/>
      <c r="E187" s="13" t="s">
        <v>93</v>
      </c>
      <c r="F187" s="6" t="s">
        <v>1380</v>
      </c>
      <c r="G187" s="14" t="str">
        <f ca="1">IFERROR(__xludf.DUMMYFUNCTION("CONCATENATE(B187,(VLOOKUP(C187,CATALOGOS!$F$2:$H$6,3,FALSE)),(VLOOKUP(V187,CATALOGOS!$J$2:$K$18,2,FALSE)),""-"",TO_TEXT(A187))"),"P05RH-0186")</f>
        <v>P05RH-0186</v>
      </c>
      <c r="H187" s="15" t="str">
        <f ca="1">IFERROR(__xludf.DUMMYFUNCTION("CONCATENATE($B187,(VLOOKUP($C187,CATALOGOS!$F$2:$H$6,3,FALSE)),(VLOOKUP($V187,CATALOGOS!$J$2:$K$18,2,FALSE)),""-"",TO_TEXT($A187))"),"P05RH-0186")</f>
        <v>P05RH-0186</v>
      </c>
      <c r="I187" s="6"/>
      <c r="J187" s="6" t="s">
        <v>1381</v>
      </c>
      <c r="K187" s="6" t="s">
        <v>1382</v>
      </c>
      <c r="L187" s="6" t="s">
        <v>1383</v>
      </c>
      <c r="M187" s="6" t="s">
        <v>1384</v>
      </c>
      <c r="N187" s="17"/>
      <c r="O187" s="17"/>
      <c r="P187" s="17" t="str">
        <f t="shared" si="6"/>
        <v>OK</v>
      </c>
      <c r="Q187" s="17" t="s">
        <v>35</v>
      </c>
      <c r="R187" s="6" t="s">
        <v>35</v>
      </c>
      <c r="S187" s="17" t="s">
        <v>36</v>
      </c>
      <c r="T187" s="17" t="s">
        <v>1385</v>
      </c>
      <c r="U187" s="18" t="s">
        <v>38</v>
      </c>
      <c r="V187" s="19" t="s">
        <v>723</v>
      </c>
      <c r="W187" s="22" t="s">
        <v>1386</v>
      </c>
      <c r="X187" s="21" t="s">
        <v>1386</v>
      </c>
      <c r="Y187" s="22"/>
      <c r="Z187" s="7"/>
      <c r="AA187" s="7"/>
      <c r="AB187" s="23"/>
      <c r="AC187" s="26"/>
    </row>
    <row r="188" spans="1:30" ht="15.75" customHeight="1">
      <c r="A188" s="10" t="s">
        <v>1387</v>
      </c>
      <c r="B188" s="10" t="s">
        <v>27</v>
      </c>
      <c r="C188" s="11" t="s">
        <v>28</v>
      </c>
      <c r="D188" s="12"/>
      <c r="E188" s="13" t="s">
        <v>116</v>
      </c>
      <c r="F188" s="6" t="s">
        <v>364</v>
      </c>
      <c r="G188" s="59" t="str">
        <f ca="1">IFERROR(__xludf.DUMMYFUNCTION("CONCATENATE(B188,(VLOOKUP(C188,CATALOGOS!$F$2:$H$6,3,FALSE)),(VLOOKUP(V188,CATALOGOS!$J$2:$K$18,2,FALSE)),""-"",TO_TEXT(A188))"),"P05RH-0187")</f>
        <v>P05RH-0187</v>
      </c>
      <c r="H188" s="15" t="str">
        <f ca="1">IFERROR(__xludf.DUMMYFUNCTION("CONCATENATE($B188,(VLOOKUP($C188,CATALOGOS!$F$2:$H$6,3,FALSE)),(VLOOKUP($V188,CATALOGOS!$J$2:$K$18,2,FALSE)),""-"",TO_TEXT($A188))"),"P05RH-0187")</f>
        <v>P05RH-0187</v>
      </c>
      <c r="I188" s="6"/>
      <c r="J188" s="6" t="s">
        <v>1388</v>
      </c>
      <c r="K188" s="6" t="s">
        <v>1389</v>
      </c>
      <c r="L188" s="6" t="s">
        <v>1390</v>
      </c>
      <c r="M188" s="6" t="s">
        <v>1391</v>
      </c>
      <c r="N188" s="17"/>
      <c r="O188" s="17"/>
      <c r="P188" s="17" t="str">
        <f t="shared" si="6"/>
        <v>OK</v>
      </c>
      <c r="Q188" s="17" t="s">
        <v>35</v>
      </c>
      <c r="R188" s="6" t="s">
        <v>35</v>
      </c>
      <c r="S188" s="17" t="s">
        <v>36</v>
      </c>
      <c r="T188" s="17" t="s">
        <v>1392</v>
      </c>
      <c r="U188" s="18" t="s">
        <v>38</v>
      </c>
      <c r="V188" s="19" t="s">
        <v>723</v>
      </c>
      <c r="W188" s="22" t="s">
        <v>1386</v>
      </c>
      <c r="X188" s="21" t="s">
        <v>1386</v>
      </c>
      <c r="Y188" s="22"/>
      <c r="Z188" s="7"/>
      <c r="AA188" s="7"/>
      <c r="AB188" s="23"/>
      <c r="AC188" s="26"/>
    </row>
    <row r="189" spans="1:30" ht="15.75" customHeight="1">
      <c r="A189" s="10" t="s">
        <v>1393</v>
      </c>
      <c r="B189" s="10" t="s">
        <v>27</v>
      </c>
      <c r="C189" s="11" t="s">
        <v>28</v>
      </c>
      <c r="D189" s="12"/>
      <c r="E189" s="13" t="s">
        <v>199</v>
      </c>
      <c r="F189" s="43" t="s">
        <v>1394</v>
      </c>
      <c r="G189" s="14" t="str">
        <f ca="1">IFERROR(__xludf.DUMMYFUNCTION("CONCATENATE(B189,(VLOOKUP(C189,CATALOGOS!$F$2:$H$6,3,FALSE)),(VLOOKUP(V189,CATALOGOS!$J$2:$K$18,2,FALSE)),""-"",TO_TEXT(A189))"),"P05RH-0188")</f>
        <v>P05RH-0188</v>
      </c>
      <c r="H189" s="15" t="str">
        <f ca="1">IFERROR(__xludf.DUMMYFUNCTION("CONCATENATE($B189,(VLOOKUP($C189,CATALOGOS!$F$2:$H$6,3,FALSE)),(VLOOKUP($V189,CATALOGOS!$J$2:$K$18,2,FALSE)),""-"",TO_TEXT($A189))"),"P05RH-0188")</f>
        <v>P05RH-0188</v>
      </c>
      <c r="I189" s="6"/>
      <c r="J189" s="6" t="s">
        <v>1395</v>
      </c>
      <c r="K189" s="6" t="s">
        <v>1396</v>
      </c>
      <c r="L189" s="6" t="s">
        <v>1397</v>
      </c>
      <c r="M189" s="43" t="s">
        <v>1398</v>
      </c>
      <c r="N189" s="17"/>
      <c r="O189" s="17"/>
      <c r="P189" s="17" t="str">
        <f t="shared" si="6"/>
        <v>OK</v>
      </c>
      <c r="Q189" s="17" t="s">
        <v>297</v>
      </c>
      <c r="R189" s="6" t="s">
        <v>1399</v>
      </c>
      <c r="S189" s="17" t="s">
        <v>1400</v>
      </c>
      <c r="T189" s="17" t="s">
        <v>1401</v>
      </c>
      <c r="U189" s="18" t="s">
        <v>517</v>
      </c>
      <c r="V189" s="19" t="s">
        <v>723</v>
      </c>
      <c r="W189" s="22" t="s">
        <v>1386</v>
      </c>
      <c r="X189" s="21" t="s">
        <v>1386</v>
      </c>
      <c r="Y189" s="22"/>
      <c r="Z189" s="7"/>
      <c r="AA189" s="7"/>
      <c r="AB189" s="23"/>
      <c r="AC189" s="26"/>
    </row>
    <row r="190" spans="1:30" ht="15.75" customHeight="1">
      <c r="A190" s="10" t="s">
        <v>1402</v>
      </c>
      <c r="B190" s="10" t="s">
        <v>27</v>
      </c>
      <c r="C190" s="11" t="s">
        <v>28</v>
      </c>
      <c r="D190" s="12"/>
      <c r="E190" s="13" t="s">
        <v>151</v>
      </c>
      <c r="F190" s="6" t="s">
        <v>963</v>
      </c>
      <c r="G190" s="14" t="str">
        <f ca="1">IFERROR(__xludf.DUMMYFUNCTION("CONCATENATE(B190,(VLOOKUP(C190,CATALOGOS!$F$2:$H$6,3,FALSE)),(VLOOKUP(V190,CATALOGOS!$J$2:$K$18,2,FALSE)),""-"",TO_TEXT(A190))"),"P05RH-0189")</f>
        <v>P05RH-0189</v>
      </c>
      <c r="H190" s="15" t="str">
        <f ca="1">IFERROR(__xludf.DUMMYFUNCTION("CONCATENATE($B190,(VLOOKUP($C190,CATALOGOS!$F$2:$H$6,3,FALSE)),(VLOOKUP($V190,CATALOGOS!$J$2:$K$18,2,FALSE)),""-"",TO_TEXT($A190))"),"P05RH-0189")</f>
        <v>P05RH-0189</v>
      </c>
      <c r="I190" s="6"/>
      <c r="J190" s="6" t="s">
        <v>1403</v>
      </c>
      <c r="K190" s="6" t="s">
        <v>1404</v>
      </c>
      <c r="L190" s="6" t="s">
        <v>1405</v>
      </c>
      <c r="M190" s="6" t="s">
        <v>1406</v>
      </c>
      <c r="N190" s="17"/>
      <c r="O190" s="17"/>
      <c r="P190" s="17" t="str">
        <f t="shared" si="6"/>
        <v>OK</v>
      </c>
      <c r="Q190" s="17" t="s">
        <v>297</v>
      </c>
      <c r="R190" s="6" t="s">
        <v>1407</v>
      </c>
      <c r="S190" s="17" t="s">
        <v>1408</v>
      </c>
      <c r="T190" s="17" t="s">
        <v>1409</v>
      </c>
      <c r="U190" s="18" t="s">
        <v>517</v>
      </c>
      <c r="V190" s="19" t="s">
        <v>723</v>
      </c>
      <c r="W190" s="22" t="s">
        <v>1386</v>
      </c>
      <c r="X190" s="21" t="s">
        <v>1386</v>
      </c>
      <c r="Y190" s="22"/>
      <c r="Z190" s="7"/>
      <c r="AA190" s="7"/>
      <c r="AB190" s="23"/>
      <c r="AC190" s="26"/>
    </row>
    <row r="191" spans="1:30" ht="15.75" customHeight="1">
      <c r="A191" s="10" t="s">
        <v>1410</v>
      </c>
      <c r="B191" s="10" t="s">
        <v>27</v>
      </c>
      <c r="C191" s="11" t="s">
        <v>28</v>
      </c>
      <c r="D191" s="12"/>
      <c r="E191" s="13" t="s">
        <v>353</v>
      </c>
      <c r="F191" s="6" t="s">
        <v>638</v>
      </c>
      <c r="G191" s="14" t="str">
        <f ca="1">IFERROR(__xludf.DUMMYFUNCTION("CONCATENATE(B191,(VLOOKUP(C191,CATALOGOS!$F$2:$H$6,3,FALSE)),(VLOOKUP(V191,CATALOGOS!$J$2:$K$18,2,FALSE)),""-"",TO_TEXT(A191))"),"P05RH-0190")</f>
        <v>P05RH-0190</v>
      </c>
      <c r="H191" s="15" t="str">
        <f ca="1">IFERROR(__xludf.DUMMYFUNCTION("CONCATENATE($B191,(VLOOKUP($C191,CATALOGOS!$F$2:$H$6,3,FALSE)),(VLOOKUP($V191,CATALOGOS!$J$2:$K$18,2,FALSE)),""-"",TO_TEXT($A191))"),"P05RH-0190")</f>
        <v>P05RH-0190</v>
      </c>
      <c r="I191" s="6"/>
      <c r="J191" s="6" t="s">
        <v>1411</v>
      </c>
      <c r="K191" s="6" t="s">
        <v>1412</v>
      </c>
      <c r="L191" s="36"/>
      <c r="M191" s="6" t="s">
        <v>1413</v>
      </c>
      <c r="N191" s="17"/>
      <c r="O191" s="17"/>
      <c r="P191" s="17" t="str">
        <f t="shared" si="6"/>
        <v>OK</v>
      </c>
      <c r="Q191" s="17" t="s">
        <v>359</v>
      </c>
      <c r="R191" s="6" t="s">
        <v>1414</v>
      </c>
      <c r="S191" s="6">
        <v>161139013</v>
      </c>
      <c r="T191" s="10" t="s">
        <v>1415</v>
      </c>
      <c r="U191" s="18" t="s">
        <v>38</v>
      </c>
      <c r="V191" s="19" t="s">
        <v>723</v>
      </c>
      <c r="W191" s="22" t="s">
        <v>1386</v>
      </c>
      <c r="X191" s="21" t="s">
        <v>1386</v>
      </c>
      <c r="Y191" s="22"/>
      <c r="Z191" s="7"/>
      <c r="AA191" s="7"/>
      <c r="AB191" s="23"/>
      <c r="AC191" s="26"/>
    </row>
    <row r="192" spans="1:30" ht="15.75" customHeight="1">
      <c r="A192" s="10" t="s">
        <v>1416</v>
      </c>
      <c r="B192" s="10" t="s">
        <v>27</v>
      </c>
      <c r="C192" s="11" t="s">
        <v>28</v>
      </c>
      <c r="D192" s="38"/>
      <c r="E192" s="13" t="s">
        <v>378</v>
      </c>
      <c r="F192" s="6" t="s">
        <v>1006</v>
      </c>
      <c r="G192" s="14" t="str">
        <f ca="1">IFERROR(__xludf.DUMMYFUNCTION("CONCATENATE(B192,(VLOOKUP(C192,CATALOGOS!$F$2:$H$6,3,FALSE)),(VLOOKUP(V192,CATALOGOS!$J$2:$K$18,2,FALSE)),""-"",TO_TEXT(A192))"),"P05RH-0191")</f>
        <v>P05RH-0191</v>
      </c>
      <c r="H192" s="15" t="str">
        <f ca="1">IFERROR(__xludf.DUMMYFUNCTION("CONCATENATE($B192,(VLOOKUP($C192,CATALOGOS!$F$2:$H$6,3,FALSE)),(VLOOKUP($V192,CATALOGOS!$J$2:$K$18,2,FALSE)),""-"",TO_TEXT($A192))"),"P05RH-0191")</f>
        <v>P05RH-0191</v>
      </c>
      <c r="I192" s="6"/>
      <c r="J192" s="6" t="s">
        <v>1417</v>
      </c>
      <c r="K192" s="6" t="s">
        <v>1418</v>
      </c>
      <c r="L192" s="6" t="s">
        <v>1419</v>
      </c>
      <c r="M192" s="43" t="s">
        <v>1420</v>
      </c>
      <c r="N192" s="17"/>
      <c r="O192" s="17"/>
      <c r="P192" s="17" t="str">
        <f t="shared" si="6"/>
        <v>OK</v>
      </c>
      <c r="Q192" s="17" t="s">
        <v>35</v>
      </c>
      <c r="R192" s="6" t="s">
        <v>35</v>
      </c>
      <c r="S192" s="46" t="s">
        <v>36</v>
      </c>
      <c r="T192" s="17" t="s">
        <v>1421</v>
      </c>
      <c r="U192" s="18" t="s">
        <v>517</v>
      </c>
      <c r="V192" s="19" t="s">
        <v>723</v>
      </c>
      <c r="W192" s="22" t="s">
        <v>1386</v>
      </c>
      <c r="X192" s="21" t="s">
        <v>1386</v>
      </c>
      <c r="Y192" s="22"/>
      <c r="Z192" s="7"/>
      <c r="AA192" s="7"/>
      <c r="AB192" s="26"/>
      <c r="AC192" s="26"/>
    </row>
    <row r="193" spans="1:29" ht="15.75" customHeight="1">
      <c r="A193" s="10" t="s">
        <v>1422</v>
      </c>
      <c r="B193" s="10" t="s">
        <v>27</v>
      </c>
      <c r="C193" s="11" t="s">
        <v>28</v>
      </c>
      <c r="D193" s="12"/>
      <c r="E193" s="13" t="s">
        <v>116</v>
      </c>
      <c r="F193" s="6" t="s">
        <v>364</v>
      </c>
      <c r="G193" s="14" t="str">
        <f ca="1">IFERROR(__xludf.DUMMYFUNCTION("CONCATENATE(B193,(VLOOKUP(C193,CATALOGOS!$F$2:$H$6,3,FALSE)),(VLOOKUP(V193,CATALOGOS!$J$2:$K$18,2,FALSE)),""-"",TO_TEXT(A193))"),"P05RH-0192")</f>
        <v>P05RH-0192</v>
      </c>
      <c r="H193" s="15" t="str">
        <f ca="1">IFERROR(__xludf.DUMMYFUNCTION("CONCATENATE($B193,(VLOOKUP($C193,CATALOGOS!$F$2:$H$6,3,FALSE)),(VLOOKUP($V193,CATALOGOS!$J$2:$K$18,2,FALSE)),""-"",TO_TEXT($A193))"),"P05RH-0192")</f>
        <v>P05RH-0192</v>
      </c>
      <c r="I193" s="6"/>
      <c r="J193" s="6" t="s">
        <v>1423</v>
      </c>
      <c r="K193" s="6" t="s">
        <v>1424</v>
      </c>
      <c r="L193" s="6" t="s">
        <v>1425</v>
      </c>
      <c r="M193" s="6" t="s">
        <v>141</v>
      </c>
      <c r="N193" s="17"/>
      <c r="O193" s="17"/>
      <c r="P193" s="17" t="str">
        <f t="shared" si="6"/>
        <v>REPETIDO</v>
      </c>
      <c r="Q193" s="17" t="s">
        <v>35</v>
      </c>
      <c r="R193" s="6" t="s">
        <v>35</v>
      </c>
      <c r="S193" s="17" t="s">
        <v>36</v>
      </c>
      <c r="T193" s="17" t="s">
        <v>1426</v>
      </c>
      <c r="U193" s="18" t="s">
        <v>38</v>
      </c>
      <c r="V193" s="19" t="s">
        <v>723</v>
      </c>
      <c r="W193" s="20" t="s">
        <v>1427</v>
      </c>
      <c r="X193" s="39" t="s">
        <v>1427</v>
      </c>
      <c r="Y193" s="20"/>
      <c r="Z193" s="7"/>
      <c r="AA193" s="7"/>
      <c r="AB193" s="23"/>
      <c r="AC193" s="26"/>
    </row>
    <row r="194" spans="1:29" ht="15.75" customHeight="1">
      <c r="A194" s="10" t="s">
        <v>1428</v>
      </c>
      <c r="B194" s="10" t="s">
        <v>27</v>
      </c>
      <c r="C194" s="11" t="s">
        <v>28</v>
      </c>
      <c r="D194" s="12"/>
      <c r="E194" s="13" t="s">
        <v>199</v>
      </c>
      <c r="F194" s="6" t="s">
        <v>677</v>
      </c>
      <c r="G194" s="14" t="str">
        <f ca="1">IFERROR(__xludf.DUMMYFUNCTION("CONCATENATE(B194,(VLOOKUP(C194,CATALOGOS!$F$2:$H$6,3,FALSE)),(VLOOKUP(V194,CATALOGOS!$J$2:$K$18,2,FALSE)),""-"",TO_TEXT(A194))"),"P05RH-0193")</f>
        <v>P05RH-0193</v>
      </c>
      <c r="H194" s="15" t="str">
        <f ca="1">IFERROR(__xludf.DUMMYFUNCTION("CONCATENATE($B194,(VLOOKUP($C194,CATALOGOS!$F$2:$H$6,3,FALSE)),(VLOOKUP($V194,CATALOGOS!$J$2:$K$18,2,FALSE)),""-"",TO_TEXT($A194))"),"P05RH-0193")</f>
        <v>P05RH-0193</v>
      </c>
      <c r="I194" s="6"/>
      <c r="J194" s="6" t="s">
        <v>1429</v>
      </c>
      <c r="K194" s="6" t="s">
        <v>1430</v>
      </c>
      <c r="L194" s="6" t="s">
        <v>1431</v>
      </c>
      <c r="M194" s="6" t="s">
        <v>141</v>
      </c>
      <c r="N194" s="17"/>
      <c r="O194" s="17"/>
      <c r="P194" s="17" t="str">
        <f t="shared" si="6"/>
        <v>REPETIDO</v>
      </c>
      <c r="Q194" s="17" t="s">
        <v>682</v>
      </c>
      <c r="R194" s="6" t="s">
        <v>1432</v>
      </c>
      <c r="S194" s="17" t="s">
        <v>1433</v>
      </c>
      <c r="T194" s="10" t="s">
        <v>1434</v>
      </c>
      <c r="U194" s="18" t="s">
        <v>38</v>
      </c>
      <c r="V194" s="19" t="s">
        <v>723</v>
      </c>
      <c r="W194" s="20" t="s">
        <v>1427</v>
      </c>
      <c r="X194" s="39" t="s">
        <v>1185</v>
      </c>
      <c r="Y194" s="20"/>
      <c r="Z194" s="7"/>
      <c r="AA194" s="7"/>
      <c r="AB194" s="23"/>
      <c r="AC194" s="26"/>
    </row>
    <row r="195" spans="1:29" ht="15.75" customHeight="1">
      <c r="A195" s="10" t="s">
        <v>1435</v>
      </c>
      <c r="B195" s="10" t="s">
        <v>27</v>
      </c>
      <c r="C195" s="11" t="s">
        <v>28</v>
      </c>
      <c r="D195" s="12"/>
      <c r="E195" s="13" t="s">
        <v>248</v>
      </c>
      <c r="F195" s="6" t="s">
        <v>248</v>
      </c>
      <c r="G195" s="14" t="str">
        <f ca="1">IFERROR(__xludf.DUMMYFUNCTION("CONCATENATE(B195,(VLOOKUP(C195,CATALOGOS!$F$2:$H$6,3,FALSE)),(VLOOKUP(V195,CATALOGOS!$J$2:$K$18,2,FALSE)),""-"",TO_TEXT(A195))"),"P05RM-0194")</f>
        <v>P05RM-0194</v>
      </c>
      <c r="H195" s="15" t="str">
        <f ca="1">IFERROR(__xludf.DUMMYFUNCTION("CONCATENATE($B195,(VLOOKUP($C195,CATALOGOS!$F$2:$H$6,3,FALSE)),(VLOOKUP($V195,CATALOGOS!$J$2:$K$18,2,FALSE)),""-"",TO_TEXT($A195))"),"P05RM-0194")</f>
        <v>P05RM-0194</v>
      </c>
      <c r="I195" s="6"/>
      <c r="J195" s="6" t="s">
        <v>1436</v>
      </c>
      <c r="K195" s="6" t="s">
        <v>1437</v>
      </c>
      <c r="L195" s="6" t="s">
        <v>1438</v>
      </c>
      <c r="M195" s="6" t="s">
        <v>1439</v>
      </c>
      <c r="N195" s="17"/>
      <c r="O195" s="17"/>
      <c r="P195" s="17" t="str">
        <f t="shared" si="6"/>
        <v>OK</v>
      </c>
      <c r="Q195" s="17" t="s">
        <v>303</v>
      </c>
      <c r="R195" s="6" t="s">
        <v>304</v>
      </c>
      <c r="S195" s="17" t="s">
        <v>1440</v>
      </c>
      <c r="T195" s="10" t="s">
        <v>1441</v>
      </c>
      <c r="U195" s="18" t="s">
        <v>38</v>
      </c>
      <c r="V195" s="19" t="s">
        <v>147</v>
      </c>
      <c r="W195" s="20" t="s">
        <v>1185</v>
      </c>
      <c r="X195" s="39" t="s">
        <v>1185</v>
      </c>
      <c r="Y195" s="20"/>
      <c r="Z195" s="7"/>
      <c r="AA195" s="7"/>
      <c r="AB195" s="23"/>
      <c r="AC195" s="26"/>
    </row>
    <row r="196" spans="1:29" ht="15.75" customHeight="1">
      <c r="A196" s="10" t="s">
        <v>1442</v>
      </c>
      <c r="B196" s="10" t="s">
        <v>27</v>
      </c>
      <c r="C196" s="11" t="s">
        <v>28</v>
      </c>
      <c r="D196" s="12"/>
      <c r="E196" s="13" t="s">
        <v>116</v>
      </c>
      <c r="F196" s="6" t="s">
        <v>1443</v>
      </c>
      <c r="G196" s="14" t="str">
        <f ca="1">IFERROR(__xludf.DUMMYFUNCTION("CONCATENATE(B196,(VLOOKUP(C196,CATALOGOS!$F$2:$H$6,3,FALSE)),(VLOOKUP(V196,CATALOGOS!$J$2:$K$18,2,FALSE)),""-"",TO_TEXT(A196))"),"P05RM-0195")</f>
        <v>P05RM-0195</v>
      </c>
      <c r="H196" s="15" t="str">
        <f ca="1">IFERROR(__xludf.DUMMYFUNCTION("CONCATENATE($B196,(VLOOKUP($C196,CATALOGOS!$F$2:$H$6,3,FALSE)),(VLOOKUP($V196,CATALOGOS!$J$2:$K$18,2,FALSE)),""-"",TO_TEXT($A196))"),"P05RM-0195")</f>
        <v>P05RM-0195</v>
      </c>
      <c r="I196" s="6"/>
      <c r="J196" s="6" t="s">
        <v>1444</v>
      </c>
      <c r="K196" s="6" t="s">
        <v>1445</v>
      </c>
      <c r="L196" s="6" t="s">
        <v>1446</v>
      </c>
      <c r="M196" s="6" t="s">
        <v>1447</v>
      </c>
      <c r="N196" s="17"/>
      <c r="O196" s="17"/>
      <c r="P196" s="17" t="str">
        <f t="shared" si="6"/>
        <v>OK</v>
      </c>
      <c r="Q196" s="17" t="s">
        <v>35</v>
      </c>
      <c r="R196" s="6" t="s">
        <v>35</v>
      </c>
      <c r="S196" s="17" t="s">
        <v>36</v>
      </c>
      <c r="T196" s="17" t="s">
        <v>1448</v>
      </c>
      <c r="U196" s="18" t="s">
        <v>38</v>
      </c>
      <c r="V196" s="19" t="s">
        <v>147</v>
      </c>
      <c r="W196" s="20" t="s">
        <v>1185</v>
      </c>
      <c r="X196" s="39" t="s">
        <v>1185</v>
      </c>
      <c r="Y196" s="20"/>
      <c r="Z196" s="7"/>
      <c r="AA196" s="7"/>
      <c r="AB196" s="23"/>
      <c r="AC196" s="26"/>
    </row>
    <row r="197" spans="1:29" ht="15.75" customHeight="1">
      <c r="A197" s="10" t="s">
        <v>1449</v>
      </c>
      <c r="B197" s="10" t="s">
        <v>27</v>
      </c>
      <c r="C197" s="11" t="s">
        <v>28</v>
      </c>
      <c r="D197" s="12"/>
      <c r="E197" s="13" t="s">
        <v>378</v>
      </c>
      <c r="F197" s="6" t="s">
        <v>1450</v>
      </c>
      <c r="G197" s="14" t="str">
        <f ca="1">IFERROR(__xludf.DUMMYFUNCTION("CONCATENATE(B197,(VLOOKUP(C197,CATALOGOS!$F$2:$H$6,3,FALSE)),(VLOOKUP(V197,CATALOGOS!$J$2:$K$18,2,FALSE)),""-"",TO_TEXT(A197))"),"P05RM-0196")</f>
        <v>P05RM-0196</v>
      </c>
      <c r="H197" s="15" t="str">
        <f ca="1">IFERROR(__xludf.DUMMYFUNCTION("CONCATENATE($B197,(VLOOKUP($C197,CATALOGOS!$F$2:$H$6,3,FALSE)),(VLOOKUP($V197,CATALOGOS!$J$2:$K$18,2,FALSE)),""-"",TO_TEXT($A197))"),"P05RM-0196")</f>
        <v>P05RM-0196</v>
      </c>
      <c r="I197" s="6"/>
      <c r="J197" s="6" t="s">
        <v>1451</v>
      </c>
      <c r="K197" s="6" t="s">
        <v>1452</v>
      </c>
      <c r="L197" s="6" t="s">
        <v>1453</v>
      </c>
      <c r="M197" s="6" t="s">
        <v>1454</v>
      </c>
      <c r="N197" s="17"/>
      <c r="O197" s="17"/>
      <c r="P197" s="17" t="str">
        <f t="shared" si="6"/>
        <v>OK</v>
      </c>
      <c r="Q197" s="17" t="s">
        <v>35</v>
      </c>
      <c r="R197" s="6" t="s">
        <v>35</v>
      </c>
      <c r="S197" s="17" t="s">
        <v>36</v>
      </c>
      <c r="T197" s="17" t="s">
        <v>1455</v>
      </c>
      <c r="U197" s="18" t="s">
        <v>38</v>
      </c>
      <c r="V197" s="19" t="s">
        <v>147</v>
      </c>
      <c r="W197" s="20" t="s">
        <v>1185</v>
      </c>
      <c r="X197" s="39" t="s">
        <v>1185</v>
      </c>
      <c r="Y197" s="20"/>
      <c r="Z197" s="7"/>
      <c r="AA197" s="7"/>
      <c r="AB197" s="23"/>
      <c r="AC197" s="26"/>
    </row>
    <row r="198" spans="1:29" ht="15.75" customHeight="1">
      <c r="A198" s="10" t="s">
        <v>1456</v>
      </c>
      <c r="B198" s="10" t="s">
        <v>27</v>
      </c>
      <c r="C198" s="11" t="s">
        <v>28</v>
      </c>
      <c r="D198" s="12"/>
      <c r="E198" s="13" t="s">
        <v>378</v>
      </c>
      <c r="F198" s="6" t="s">
        <v>1306</v>
      </c>
      <c r="G198" s="14" t="str">
        <f ca="1">IFERROR(__xludf.DUMMYFUNCTION("CONCATENATE(B198,(VLOOKUP(C198,CATALOGOS!$F$2:$H$6,3,FALSE)),(VLOOKUP(V198,CATALOGOS!$J$2:$K$18,2,FALSE)),""-"",TO_TEXT(A198))"),"P05RH-0197")</f>
        <v>P05RH-0197</v>
      </c>
      <c r="H198" s="15" t="str">
        <f ca="1">IFERROR(__xludf.DUMMYFUNCTION("CONCATENATE($B198,(VLOOKUP($C198,CATALOGOS!$F$2:$H$6,3,FALSE)),(VLOOKUP($V198,CATALOGOS!$J$2:$K$18,2,FALSE)),""-"",TO_TEXT($A198))"),"P05RH-0197")</f>
        <v>P05RH-0197</v>
      </c>
      <c r="I198" s="6"/>
      <c r="J198" s="6" t="s">
        <v>1457</v>
      </c>
      <c r="K198" s="6" t="s">
        <v>1458</v>
      </c>
      <c r="L198" s="6" t="s">
        <v>1459</v>
      </c>
      <c r="M198" s="6" t="s">
        <v>1460</v>
      </c>
      <c r="N198" s="17"/>
      <c r="O198" s="17"/>
      <c r="P198" s="17" t="str">
        <f t="shared" si="6"/>
        <v>OK</v>
      </c>
      <c r="Q198" s="17" t="s">
        <v>35</v>
      </c>
      <c r="R198" s="6" t="s">
        <v>35</v>
      </c>
      <c r="S198" s="17" t="s">
        <v>36</v>
      </c>
      <c r="T198" s="17" t="s">
        <v>1461</v>
      </c>
      <c r="U198" s="18" t="s">
        <v>38</v>
      </c>
      <c r="V198" s="19" t="s">
        <v>723</v>
      </c>
      <c r="W198" s="22" t="s">
        <v>1462</v>
      </c>
      <c r="X198" s="21" t="s">
        <v>1462</v>
      </c>
      <c r="Y198" s="22"/>
      <c r="Z198" s="7"/>
      <c r="AA198" s="7"/>
      <c r="AB198" s="23"/>
      <c r="AC198" s="26"/>
    </row>
    <row r="199" spans="1:29" ht="15.75" customHeight="1">
      <c r="A199" s="10" t="s">
        <v>1463</v>
      </c>
      <c r="B199" s="10" t="s">
        <v>27</v>
      </c>
      <c r="C199" s="11" t="s">
        <v>28</v>
      </c>
      <c r="D199" s="38"/>
      <c r="E199" s="13" t="s">
        <v>378</v>
      </c>
      <c r="F199" s="6" t="s">
        <v>1464</v>
      </c>
      <c r="G199" s="14" t="str">
        <f ca="1">IFERROR(__xludf.DUMMYFUNCTION("CONCATENATE(B199,(VLOOKUP(C199,CATALOGOS!$F$2:$H$6,3,FALSE)),(VLOOKUP(V199,CATALOGOS!$J$2:$K$18,2,FALSE)),""-"",TO_TEXT(A199))"),"P05DA-0198")</f>
        <v>P05DA-0198</v>
      </c>
      <c r="H199" s="15" t="str">
        <f ca="1">IFERROR(__xludf.DUMMYFUNCTION("CONCATENATE($B199,(VLOOKUP($C199,CATALOGOS!$F$2:$H$6,3,FALSE)),(VLOOKUP($V199,CATALOGOS!$J$2:$K$18,2,FALSE)),""-"",TO_TEXT($A199))"),"P05DA-0198")</f>
        <v>P05DA-0198</v>
      </c>
      <c r="I199" s="6"/>
      <c r="J199" s="6" t="s">
        <v>1465</v>
      </c>
      <c r="K199" s="6" t="s">
        <v>1466</v>
      </c>
      <c r="L199" s="36"/>
      <c r="M199" s="6" t="s">
        <v>141</v>
      </c>
      <c r="N199" s="17"/>
      <c r="O199" s="17"/>
      <c r="P199" s="17" t="str">
        <f t="shared" si="6"/>
        <v>REPETIDO</v>
      </c>
      <c r="Q199" s="17" t="s">
        <v>35</v>
      </c>
      <c r="R199" s="6" t="s">
        <v>35</v>
      </c>
      <c r="S199" s="6" t="s">
        <v>36</v>
      </c>
      <c r="T199" s="32" t="s">
        <v>1467</v>
      </c>
      <c r="U199" s="18" t="s">
        <v>38</v>
      </c>
      <c r="V199" s="19" t="s">
        <v>28</v>
      </c>
      <c r="W199" s="20" t="s">
        <v>848</v>
      </c>
      <c r="X199" s="39" t="s">
        <v>848</v>
      </c>
      <c r="Y199" s="20"/>
      <c r="Z199" s="7"/>
      <c r="AA199" s="7"/>
      <c r="AB199" s="26"/>
      <c r="AC199" s="26"/>
    </row>
    <row r="200" spans="1:29" ht="15.75" customHeight="1">
      <c r="A200" s="10" t="s">
        <v>1468</v>
      </c>
      <c r="B200" s="10" t="s">
        <v>1469</v>
      </c>
      <c r="C200" s="60" t="s">
        <v>1470</v>
      </c>
      <c r="D200" s="38"/>
      <c r="E200" s="13" t="s">
        <v>29</v>
      </c>
      <c r="F200" s="6" t="s">
        <v>1471</v>
      </c>
      <c r="G200" s="14" t="str">
        <f ca="1">IFERROR(__xludf.DUMMYFUNCTION("CONCATENATE(B200,(VLOOKUP(C200,CATALOGOS!$F$2:$H$6,3,FALSE)),(VLOOKUP(V200,CATALOGOS!$J$2:$K$18,2,FALSE)),""-"",TO_TEXT(A200))"),"P12ST-0199")</f>
        <v>P12ST-0199</v>
      </c>
      <c r="H200" s="15" t="str">
        <f ca="1">IFERROR(__xludf.DUMMYFUNCTION("CONCATENATE($B200,(VLOOKUP($C200,CATALOGOS!$F$2:$H$6,3,FALSE)),(VLOOKUP($V200,CATALOGOS!$J$2:$K$18,2,FALSE)),""-"",TO_TEXT($A200))"),"P12ST-0199")</f>
        <v>P12ST-0199</v>
      </c>
      <c r="I200" s="6"/>
      <c r="J200" s="6" t="s">
        <v>1472</v>
      </c>
      <c r="K200" s="6" t="s">
        <v>1473</v>
      </c>
      <c r="L200" s="6" t="s">
        <v>1474</v>
      </c>
      <c r="M200" s="6" t="s">
        <v>1475</v>
      </c>
      <c r="N200" s="17"/>
      <c r="O200" s="17"/>
      <c r="P200" s="17" t="str">
        <f t="shared" si="6"/>
        <v>OK</v>
      </c>
      <c r="Q200" s="17" t="s">
        <v>35</v>
      </c>
      <c r="R200" s="49" t="s">
        <v>35</v>
      </c>
      <c r="S200" s="46" t="s">
        <v>36</v>
      </c>
      <c r="T200" s="17" t="s">
        <v>1476</v>
      </c>
      <c r="U200" s="18" t="s">
        <v>38</v>
      </c>
      <c r="V200" s="19" t="s">
        <v>1470</v>
      </c>
      <c r="W200" s="20" t="s">
        <v>1477</v>
      </c>
      <c r="X200" s="39" t="s">
        <v>1477</v>
      </c>
      <c r="Y200" s="20"/>
      <c r="Z200" s="6"/>
      <c r="AA200" s="6"/>
      <c r="AB200" s="26"/>
      <c r="AC200" s="24"/>
    </row>
    <row r="201" spans="1:29" ht="15.75" customHeight="1">
      <c r="A201" s="10" t="s">
        <v>1478</v>
      </c>
      <c r="B201" s="10" t="s">
        <v>1469</v>
      </c>
      <c r="C201" s="60" t="s">
        <v>1470</v>
      </c>
      <c r="D201" s="12"/>
      <c r="E201" s="13" t="s">
        <v>378</v>
      </c>
      <c r="F201" s="6" t="s">
        <v>878</v>
      </c>
      <c r="G201" s="14" t="str">
        <f ca="1">IFERROR(__xludf.DUMMYFUNCTION("CONCATENATE(B201,(VLOOKUP(C201,CATALOGOS!$F$2:$H$6,3,FALSE)),(VLOOKUP(V201,CATALOGOS!$J$2:$K$18,2,FALSE)),""-"",TO_TEXT(A201))"),"P12SI-0200")</f>
        <v>P12SI-0200</v>
      </c>
      <c r="H201" s="15" t="str">
        <f ca="1">IFERROR(__xludf.DUMMYFUNCTION("CONCATENATE($B201,(VLOOKUP($C201,CATALOGOS!$F$2:$H$6,3,FALSE)),(VLOOKUP($V201,CATALOGOS!$J$2:$K$18,2,FALSE)),""-"",TO_TEXT($A201))"),"P12SI-0200")</f>
        <v>P12SI-0200</v>
      </c>
      <c r="I201" s="6"/>
      <c r="J201" s="6" t="s">
        <v>1479</v>
      </c>
      <c r="K201" s="6" t="s">
        <v>1480</v>
      </c>
      <c r="L201" s="6" t="s">
        <v>1481</v>
      </c>
      <c r="M201" s="6" t="s">
        <v>1482</v>
      </c>
      <c r="N201" s="17"/>
      <c r="O201" s="17"/>
      <c r="P201" s="17" t="str">
        <f t="shared" si="6"/>
        <v>OK</v>
      </c>
      <c r="Q201" s="17" t="s">
        <v>35</v>
      </c>
      <c r="R201" s="6" t="s">
        <v>35</v>
      </c>
      <c r="S201" s="17" t="s">
        <v>36</v>
      </c>
      <c r="T201" s="17" t="s">
        <v>85</v>
      </c>
      <c r="U201" s="18" t="s">
        <v>38</v>
      </c>
      <c r="V201" s="61" t="s">
        <v>1483</v>
      </c>
      <c r="W201" s="20" t="s">
        <v>1484</v>
      </c>
      <c r="X201" s="39" t="s">
        <v>1484</v>
      </c>
      <c r="Y201" s="20"/>
      <c r="Z201" s="6"/>
      <c r="AA201" s="6"/>
      <c r="AB201" s="23"/>
      <c r="AC201" s="24"/>
    </row>
    <row r="202" spans="1:29" ht="15.75" customHeight="1">
      <c r="A202" s="10" t="s">
        <v>1485</v>
      </c>
      <c r="B202" s="10" t="s">
        <v>1469</v>
      </c>
      <c r="C202" s="60" t="s">
        <v>1470</v>
      </c>
      <c r="D202" s="12"/>
      <c r="E202" s="13" t="s">
        <v>53</v>
      </c>
      <c r="F202" s="6" t="s">
        <v>1486</v>
      </c>
      <c r="G202" s="14" t="str">
        <f ca="1">IFERROR(__xludf.DUMMYFUNCTION("CONCATENATE(B202,(VLOOKUP(C202,CATALOGOS!$F$2:$H$6,3,FALSE)),(VLOOKUP(V202,CATALOGOS!$J$2:$K$18,2,FALSE)),""-"",TO_TEXT(A202))"),"P12ST-0201")</f>
        <v>P12ST-0201</v>
      </c>
      <c r="H202" s="15" t="str">
        <f ca="1">IFERROR(__xludf.DUMMYFUNCTION("CONCATENATE($B202,(VLOOKUP($C202,CATALOGOS!$F$2:$H$6,3,FALSE)),(VLOOKUP($V202,CATALOGOS!$J$2:$K$18,2,FALSE)),""-"",TO_TEXT($A202))"),"P12ST-0201")</f>
        <v>P12ST-0201</v>
      </c>
      <c r="I202" s="6"/>
      <c r="J202" s="6" t="s">
        <v>1487</v>
      </c>
      <c r="K202" s="6" t="s">
        <v>1488</v>
      </c>
      <c r="L202" s="6" t="s">
        <v>1489</v>
      </c>
      <c r="M202" s="6" t="s">
        <v>1490</v>
      </c>
      <c r="N202" s="17"/>
      <c r="O202" s="17"/>
      <c r="P202" s="17" t="str">
        <f t="shared" si="6"/>
        <v>OK</v>
      </c>
      <c r="Q202" s="17" t="s">
        <v>35</v>
      </c>
      <c r="R202" s="6" t="s">
        <v>35</v>
      </c>
      <c r="S202" s="17" t="s">
        <v>36</v>
      </c>
      <c r="T202" s="17" t="s">
        <v>85</v>
      </c>
      <c r="U202" s="18" t="s">
        <v>38</v>
      </c>
      <c r="V202" s="19" t="s">
        <v>1470</v>
      </c>
      <c r="W202" s="20" t="s">
        <v>1477</v>
      </c>
      <c r="X202" s="39" t="s">
        <v>1477</v>
      </c>
      <c r="Y202" s="20"/>
      <c r="Z202" s="6"/>
      <c r="AA202" s="6"/>
      <c r="AB202" s="23"/>
      <c r="AC202" s="24"/>
    </row>
    <row r="203" spans="1:29" ht="15.75" customHeight="1">
      <c r="A203" s="10" t="s">
        <v>1491</v>
      </c>
      <c r="B203" s="10" t="s">
        <v>1469</v>
      </c>
      <c r="C203" s="60" t="s">
        <v>1470</v>
      </c>
      <c r="D203" s="12"/>
      <c r="E203" s="13" t="s">
        <v>43</v>
      </c>
      <c r="F203" s="6" t="s">
        <v>1492</v>
      </c>
      <c r="G203" s="14" t="str">
        <f ca="1">IFERROR(__xludf.DUMMYFUNCTION("CONCATENATE(B203,(VLOOKUP(C203,CATALOGOS!$F$2:$H$6,3,FALSE)),(VLOOKUP(V203,CATALOGOS!$J$2:$K$18,2,FALSE)),""-"",TO_TEXT(A203))"),"P12ST-0202")</f>
        <v>P12ST-0202</v>
      </c>
      <c r="H203" s="15" t="str">
        <f ca="1">IFERROR(__xludf.DUMMYFUNCTION("CONCATENATE($B203,(VLOOKUP($C203,CATALOGOS!$F$2:$H$6,3,FALSE)),(VLOOKUP($V203,CATALOGOS!$J$2:$K$18,2,FALSE)),""-"",TO_TEXT($A203))"),"P12ST-0202")</f>
        <v>P12ST-0202</v>
      </c>
      <c r="I203" s="6"/>
      <c r="J203" s="6" t="s">
        <v>1493</v>
      </c>
      <c r="K203" s="6" t="s">
        <v>1494</v>
      </c>
      <c r="L203" s="6" t="s">
        <v>1495</v>
      </c>
      <c r="M203" s="6" t="s">
        <v>1496</v>
      </c>
      <c r="N203" s="17"/>
      <c r="O203" s="17"/>
      <c r="P203" s="17" t="str">
        <f t="shared" si="6"/>
        <v>OK</v>
      </c>
      <c r="Q203" s="17" t="s">
        <v>406</v>
      </c>
      <c r="R203" s="6" t="s">
        <v>407</v>
      </c>
      <c r="S203" s="17" t="s">
        <v>36</v>
      </c>
      <c r="T203" s="17" t="s">
        <v>1497</v>
      </c>
      <c r="U203" s="18" t="s">
        <v>38</v>
      </c>
      <c r="V203" s="19" t="s">
        <v>1470</v>
      </c>
      <c r="W203" s="20" t="s">
        <v>1477</v>
      </c>
      <c r="X203" s="39" t="s">
        <v>1477</v>
      </c>
      <c r="Y203" s="20"/>
      <c r="Z203" s="7"/>
      <c r="AA203" s="7"/>
      <c r="AB203" s="23"/>
      <c r="AC203" s="26"/>
    </row>
    <row r="204" spans="1:29" ht="15.75" customHeight="1">
      <c r="A204" s="10" t="s">
        <v>1498</v>
      </c>
      <c r="B204" s="10" t="s">
        <v>1469</v>
      </c>
      <c r="C204" s="60" t="s">
        <v>1470</v>
      </c>
      <c r="D204" s="12"/>
      <c r="E204" s="13" t="s">
        <v>116</v>
      </c>
      <c r="F204" s="6" t="s">
        <v>129</v>
      </c>
      <c r="G204" s="14" t="str">
        <f ca="1">IFERROR(__xludf.DUMMYFUNCTION("CONCATENATE(B204,(VLOOKUP(C204,CATALOGOS!$F$2:$H$6,3,FALSE)),(VLOOKUP(V204,CATALOGOS!$J$2:$K$18,2,FALSE)),""-"",TO_TEXT(A204))"),"P12ST-0203")</f>
        <v>P12ST-0203</v>
      </c>
      <c r="H204" s="15" t="str">
        <f ca="1">IFERROR(__xludf.DUMMYFUNCTION("CONCATENATE($B204,(VLOOKUP($C204,CATALOGOS!$F$2:$H$6,3,FALSE)),(VLOOKUP($V204,CATALOGOS!$J$2:$K$18,2,FALSE)),""-"",TO_TEXT($A204))"),"P12ST-0203")</f>
        <v>P12ST-0203</v>
      </c>
      <c r="I204" s="6"/>
      <c r="J204" s="6" t="s">
        <v>1499</v>
      </c>
      <c r="K204" s="6" t="s">
        <v>1500</v>
      </c>
      <c r="L204" s="6" t="s">
        <v>1501</v>
      </c>
      <c r="M204" s="6" t="s">
        <v>1502</v>
      </c>
      <c r="N204" s="17"/>
      <c r="O204" s="17"/>
      <c r="P204" s="17" t="str">
        <f t="shared" si="6"/>
        <v>OK</v>
      </c>
      <c r="Q204" s="17" t="s">
        <v>35</v>
      </c>
      <c r="R204" s="6" t="s">
        <v>35</v>
      </c>
      <c r="S204" s="17" t="s">
        <v>36</v>
      </c>
      <c r="T204" s="17" t="s">
        <v>1503</v>
      </c>
      <c r="U204" s="18" t="s">
        <v>38</v>
      </c>
      <c r="V204" s="19" t="s">
        <v>1470</v>
      </c>
      <c r="W204" s="20" t="s">
        <v>1477</v>
      </c>
      <c r="X204" s="39" t="s">
        <v>1477</v>
      </c>
      <c r="Y204" s="20"/>
      <c r="Z204" s="7"/>
      <c r="AA204" s="7"/>
      <c r="AB204" s="23"/>
      <c r="AC204" s="26"/>
    </row>
    <row r="205" spans="1:29" ht="15.75" customHeight="1">
      <c r="A205" s="10" t="s">
        <v>1504</v>
      </c>
      <c r="B205" s="10" t="s">
        <v>1469</v>
      </c>
      <c r="C205" s="60" t="s">
        <v>1470</v>
      </c>
      <c r="D205" s="12"/>
      <c r="E205" s="13" t="s">
        <v>71</v>
      </c>
      <c r="F205" s="6" t="s">
        <v>72</v>
      </c>
      <c r="G205" s="14" t="str">
        <f ca="1">IFERROR(__xludf.DUMMYFUNCTION("CONCATENATE(B205,(VLOOKUP(C205,CATALOGOS!$F$2:$H$6,3,FALSE)),(VLOOKUP(V205,CATALOGOS!$J$2:$K$18,2,FALSE)),""-"",TO_TEXT(A205))"),"P12ST-0204")</f>
        <v>P12ST-0204</v>
      </c>
      <c r="H205" s="15" t="str">
        <f ca="1">IFERROR(__xludf.DUMMYFUNCTION("CONCATENATE($B205,(VLOOKUP($C205,CATALOGOS!$F$2:$H$6,3,FALSE)),(VLOOKUP($V205,CATALOGOS!$J$2:$K$18,2,FALSE)),""-"",TO_TEXT($A205))"),"P12ST-0204")</f>
        <v>P12ST-0204</v>
      </c>
      <c r="I205" s="6"/>
      <c r="J205" s="6" t="s">
        <v>1505</v>
      </c>
      <c r="K205" s="62"/>
      <c r="L205" s="6" t="s">
        <v>1506</v>
      </c>
      <c r="M205" s="6" t="s">
        <v>1507</v>
      </c>
      <c r="N205" s="17"/>
      <c r="O205" s="17"/>
      <c r="P205" s="17" t="str">
        <f t="shared" si="6"/>
        <v>OK</v>
      </c>
      <c r="Q205" s="17" t="s">
        <v>35</v>
      </c>
      <c r="R205" s="6" t="s">
        <v>35</v>
      </c>
      <c r="S205" s="17" t="s">
        <v>36</v>
      </c>
      <c r="T205" s="17" t="s">
        <v>1508</v>
      </c>
      <c r="U205" s="18" t="s">
        <v>38</v>
      </c>
      <c r="V205" s="19" t="s">
        <v>1470</v>
      </c>
      <c r="W205" s="20" t="s">
        <v>1477</v>
      </c>
      <c r="X205" s="39" t="s">
        <v>1477</v>
      </c>
      <c r="Y205" s="20"/>
      <c r="Z205" s="6"/>
      <c r="AA205" s="6"/>
      <c r="AB205" s="23"/>
      <c r="AC205" s="33"/>
    </row>
    <row r="206" spans="1:29" ht="15.75" customHeight="1">
      <c r="A206" s="10" t="s">
        <v>1509</v>
      </c>
      <c r="B206" s="10" t="s">
        <v>1469</v>
      </c>
      <c r="C206" s="60" t="s">
        <v>1470</v>
      </c>
      <c r="D206" s="12"/>
      <c r="E206" s="13" t="s">
        <v>116</v>
      </c>
      <c r="F206" s="6" t="s">
        <v>1510</v>
      </c>
      <c r="G206" s="14" t="str">
        <f ca="1">IFERROR(__xludf.DUMMYFUNCTION("CONCATENATE(B206,(VLOOKUP(C206,CATALOGOS!$F$2:$H$6,3,FALSE)),(VLOOKUP(V206,CATALOGOS!$J$2:$K$18,2,FALSE)),""-"",TO_TEXT(A206))"),"P12ST-0205")</f>
        <v>P12ST-0205</v>
      </c>
      <c r="H206" s="15" t="str">
        <f ca="1">IFERROR(__xludf.DUMMYFUNCTION("CONCATENATE($B206,(VLOOKUP($C206,CATALOGOS!$F$2:$H$6,3,FALSE)),(VLOOKUP($V206,CATALOGOS!$J$2:$K$18,2,FALSE)),""-"",TO_TEXT($A206))"),"P12ST-0205")</f>
        <v>P12ST-0205</v>
      </c>
      <c r="I206" s="6"/>
      <c r="J206" s="6" t="s">
        <v>1511</v>
      </c>
      <c r="K206" s="62"/>
      <c r="L206" s="6" t="s">
        <v>1512</v>
      </c>
      <c r="M206" s="6" t="s">
        <v>1513</v>
      </c>
      <c r="N206" s="17"/>
      <c r="O206" s="17"/>
      <c r="P206" s="17" t="str">
        <f t="shared" si="6"/>
        <v>OK</v>
      </c>
      <c r="Q206" s="17" t="s">
        <v>35</v>
      </c>
      <c r="R206" s="6" t="s">
        <v>35</v>
      </c>
      <c r="S206" s="17" t="s">
        <v>36</v>
      </c>
      <c r="T206" s="17" t="s">
        <v>1514</v>
      </c>
      <c r="U206" s="18" t="s">
        <v>38</v>
      </c>
      <c r="V206" s="19" t="s">
        <v>1470</v>
      </c>
      <c r="W206" s="20" t="s">
        <v>1477</v>
      </c>
      <c r="X206" s="39" t="s">
        <v>1477</v>
      </c>
      <c r="Y206" s="20"/>
      <c r="Z206" s="6"/>
      <c r="AA206" s="6"/>
      <c r="AB206" s="23"/>
      <c r="AC206" s="33"/>
    </row>
    <row r="207" spans="1:29" ht="15.75" customHeight="1">
      <c r="A207" s="10" t="s">
        <v>1515</v>
      </c>
      <c r="B207" s="10" t="s">
        <v>1469</v>
      </c>
      <c r="C207" s="60" t="s">
        <v>1470</v>
      </c>
      <c r="D207" s="12"/>
      <c r="E207" s="13" t="s">
        <v>116</v>
      </c>
      <c r="F207" s="6" t="s">
        <v>117</v>
      </c>
      <c r="G207" s="14" t="str">
        <f ca="1">IFERROR(__xludf.DUMMYFUNCTION("CONCATENATE(B207,(VLOOKUP(C207,CATALOGOS!$F$2:$H$6,3,FALSE)),(VLOOKUP(V207,CATALOGOS!$J$2:$K$18,2,FALSE)),""-"",TO_TEXT(A207))"),"P12ST-0206")</f>
        <v>P12ST-0206</v>
      </c>
      <c r="H207" s="15" t="str">
        <f ca="1">IFERROR(__xludf.DUMMYFUNCTION("CONCATENATE($B207,(VLOOKUP($C207,CATALOGOS!$F$2:$H$6,3,FALSE)),(VLOOKUP($V207,CATALOGOS!$J$2:$K$18,2,FALSE)),""-"",TO_TEXT($A207))"),"P12ST-0206")</f>
        <v>P12ST-0206</v>
      </c>
      <c r="I207" s="6"/>
      <c r="J207" s="6" t="s">
        <v>1516</v>
      </c>
      <c r="K207" s="62"/>
      <c r="L207" s="6" t="s">
        <v>1517</v>
      </c>
      <c r="M207" s="6" t="s">
        <v>1518</v>
      </c>
      <c r="N207" s="17"/>
      <c r="O207" s="17"/>
      <c r="P207" s="17" t="str">
        <f t="shared" si="6"/>
        <v>OK</v>
      </c>
      <c r="Q207" s="17" t="s">
        <v>35</v>
      </c>
      <c r="R207" s="6" t="s">
        <v>35</v>
      </c>
      <c r="S207" s="17" t="s">
        <v>36</v>
      </c>
      <c r="T207" s="17" t="s">
        <v>1519</v>
      </c>
      <c r="U207" s="18" t="s">
        <v>38</v>
      </c>
      <c r="V207" s="19" t="s">
        <v>1470</v>
      </c>
      <c r="W207" s="20" t="s">
        <v>1477</v>
      </c>
      <c r="X207" s="39" t="s">
        <v>1477</v>
      </c>
      <c r="Y207" s="20"/>
      <c r="Z207" s="6"/>
      <c r="AA207" s="6"/>
      <c r="AB207" s="23"/>
      <c r="AC207" s="33"/>
    </row>
    <row r="208" spans="1:29" ht="15.75" customHeight="1">
      <c r="A208" s="10" t="s">
        <v>1520</v>
      </c>
      <c r="B208" s="10" t="s">
        <v>1469</v>
      </c>
      <c r="C208" s="60" t="s">
        <v>1470</v>
      </c>
      <c r="D208" s="12"/>
      <c r="E208" s="13" t="s">
        <v>184</v>
      </c>
      <c r="F208" s="43" t="s">
        <v>1521</v>
      </c>
      <c r="G208" s="14" t="str">
        <f ca="1">IFERROR(__xludf.DUMMYFUNCTION("CONCATENATE(B208,(VLOOKUP(C208,CATALOGOS!$F$2:$H$6,3,FALSE)),(VLOOKUP(V208,CATALOGOS!$J$2:$K$18,2,FALSE)),""-"",TO_TEXT(A208))"),"P12ST-0207")</f>
        <v>P12ST-0207</v>
      </c>
      <c r="H208" s="15" t="str">
        <f ca="1">IFERROR(__xludf.DUMMYFUNCTION("CONCATENATE($B208,(VLOOKUP($C208,CATALOGOS!$F$2:$H$6,3,FALSE)),(VLOOKUP($V208,CATALOGOS!$J$2:$K$18,2,FALSE)),""-"",TO_TEXT($A208))"),"P12ST-0207")</f>
        <v>P12ST-0207</v>
      </c>
      <c r="I208" s="6"/>
      <c r="J208" s="6" t="s">
        <v>1522</v>
      </c>
      <c r="K208" s="6" t="s">
        <v>1523</v>
      </c>
      <c r="L208" s="6" t="s">
        <v>1524</v>
      </c>
      <c r="M208" s="6" t="s">
        <v>1525</v>
      </c>
      <c r="N208" s="17"/>
      <c r="O208" s="17"/>
      <c r="P208" s="17" t="str">
        <f t="shared" si="6"/>
        <v>OK</v>
      </c>
      <c r="Q208" s="17" t="s">
        <v>35</v>
      </c>
      <c r="R208" s="6" t="s">
        <v>35</v>
      </c>
      <c r="S208" s="17" t="s">
        <v>36</v>
      </c>
      <c r="T208" s="17" t="s">
        <v>1526</v>
      </c>
      <c r="U208" s="18" t="s">
        <v>100</v>
      </c>
      <c r="V208" s="19" t="s">
        <v>1470</v>
      </c>
      <c r="W208" s="20" t="s">
        <v>1477</v>
      </c>
      <c r="X208" s="39" t="s">
        <v>1477</v>
      </c>
      <c r="Y208" s="20" t="s">
        <v>142</v>
      </c>
      <c r="Z208" s="6"/>
      <c r="AA208" s="6"/>
      <c r="AB208" s="23"/>
      <c r="AC208" s="24"/>
    </row>
    <row r="209" spans="1:30" ht="15.75" customHeight="1">
      <c r="A209" s="10" t="s">
        <v>1527</v>
      </c>
      <c r="B209" s="10" t="s">
        <v>1469</v>
      </c>
      <c r="C209" s="60" t="s">
        <v>1470</v>
      </c>
      <c r="D209" s="12"/>
      <c r="E209" s="13" t="s">
        <v>199</v>
      </c>
      <c r="F209" s="6" t="s">
        <v>199</v>
      </c>
      <c r="G209" s="14" t="str">
        <f ca="1">IFERROR(__xludf.DUMMYFUNCTION("CONCATENATE(B209,(VLOOKUP(C209,CATALOGOS!$F$2:$H$6,3,FALSE)),(VLOOKUP(V209,CATALOGOS!$J$2:$K$18,2,FALSE)),""-"",TO_TEXT(A209))"),"P12ST-0208")</f>
        <v>P12ST-0208</v>
      </c>
      <c r="H209" s="15" t="str">
        <f ca="1">IFERROR(__xludf.DUMMYFUNCTION("CONCATENATE($B209,(VLOOKUP($C209,CATALOGOS!$F$2:$H$6,3,FALSE)),(VLOOKUP($V209,CATALOGOS!$J$2:$K$18,2,FALSE)),""-"",TO_TEXT($A209))"),"P12ST-0208")</f>
        <v>P12ST-0208</v>
      </c>
      <c r="I209" s="6"/>
      <c r="J209" s="6" t="s">
        <v>1528</v>
      </c>
      <c r="K209" s="6" t="s">
        <v>1529</v>
      </c>
      <c r="L209" s="6" t="s">
        <v>1530</v>
      </c>
      <c r="M209" s="6" t="s">
        <v>1531</v>
      </c>
      <c r="N209" s="17"/>
      <c r="O209" s="17"/>
      <c r="P209" s="17" t="str">
        <f t="shared" si="6"/>
        <v>OK</v>
      </c>
      <c r="Q209" s="17" t="s">
        <v>205</v>
      </c>
      <c r="R209" s="6" t="s">
        <v>1532</v>
      </c>
      <c r="S209" s="17" t="s">
        <v>1533</v>
      </c>
      <c r="T209" s="17" t="s">
        <v>1534</v>
      </c>
      <c r="U209" s="18" t="s">
        <v>38</v>
      </c>
      <c r="V209" s="19" t="s">
        <v>1470</v>
      </c>
      <c r="W209" s="20" t="s">
        <v>1477</v>
      </c>
      <c r="X209" s="39" t="s">
        <v>1477</v>
      </c>
      <c r="Y209" s="20"/>
      <c r="Z209" s="6"/>
      <c r="AA209" s="6"/>
      <c r="AB209" s="23"/>
      <c r="AC209" s="24"/>
    </row>
    <row r="210" spans="1:30" ht="15.75" customHeight="1">
      <c r="A210" s="10" t="s">
        <v>1535</v>
      </c>
      <c r="B210" s="10" t="s">
        <v>1469</v>
      </c>
      <c r="C210" s="60" t="s">
        <v>1470</v>
      </c>
      <c r="D210" s="12"/>
      <c r="E210" s="13" t="s">
        <v>151</v>
      </c>
      <c r="F210" s="6" t="s">
        <v>714</v>
      </c>
      <c r="G210" s="14" t="str">
        <f ca="1">IFERROR(__xludf.DUMMYFUNCTION("CONCATENATE(B210,(VLOOKUP(C210,CATALOGOS!$F$2:$H$6,3,FALSE)),(VLOOKUP(V210,CATALOGOS!$J$2:$K$18,2,FALSE)),""-"",TO_TEXT(A210))"),"P12ST-0209")</f>
        <v>P12ST-0209</v>
      </c>
      <c r="H210" s="15" t="str">
        <f ca="1">IFERROR(__xludf.DUMMYFUNCTION("CONCATENATE($B210,(VLOOKUP($C210,CATALOGOS!$F$2:$H$6,3,FALSE)),(VLOOKUP($V210,CATALOGOS!$J$2:$K$18,2,FALSE)),""-"",TO_TEXT($A210))"),"P12ST-0209")</f>
        <v>P12ST-0209</v>
      </c>
      <c r="I210" s="6"/>
      <c r="J210" s="6" t="s">
        <v>1536</v>
      </c>
      <c r="K210" s="6" t="s">
        <v>1537</v>
      </c>
      <c r="L210" s="6" t="s">
        <v>1538</v>
      </c>
      <c r="M210" s="6" t="s">
        <v>1539</v>
      </c>
      <c r="N210" s="17"/>
      <c r="O210" s="17"/>
      <c r="P210" s="17" t="str">
        <f t="shared" si="6"/>
        <v>OK</v>
      </c>
      <c r="Q210" s="17" t="s">
        <v>719</v>
      </c>
      <c r="R210" s="6" t="s">
        <v>720</v>
      </c>
      <c r="S210" s="17" t="s">
        <v>1540</v>
      </c>
      <c r="T210" s="17" t="s">
        <v>1541</v>
      </c>
      <c r="U210" s="18" t="s">
        <v>38</v>
      </c>
      <c r="V210" s="19" t="s">
        <v>1470</v>
      </c>
      <c r="W210" s="20" t="s">
        <v>1477</v>
      </c>
      <c r="X210" s="39" t="s">
        <v>1477</v>
      </c>
      <c r="Y210" s="20"/>
      <c r="Z210" s="6"/>
      <c r="AA210" s="6"/>
      <c r="AB210" s="23"/>
      <c r="AC210" s="24"/>
    </row>
    <row r="211" spans="1:30" ht="15.75" customHeight="1">
      <c r="A211" s="10" t="s">
        <v>1542</v>
      </c>
      <c r="B211" s="10" t="s">
        <v>1469</v>
      </c>
      <c r="C211" s="60" t="s">
        <v>1470</v>
      </c>
      <c r="D211" s="12"/>
      <c r="E211" s="13" t="s">
        <v>162</v>
      </c>
      <c r="F211" s="6" t="s">
        <v>285</v>
      </c>
      <c r="G211" s="14" t="str">
        <f ca="1">IFERROR(__xludf.DUMMYFUNCTION("CONCATENATE(B211,(VLOOKUP(C211,CATALOGOS!$F$2:$H$6,3,FALSE)),(VLOOKUP(V211,CATALOGOS!$J$2:$K$18,2,FALSE)),""-"",TO_TEXT(A211))"),"P12PP-0210")</f>
        <v>P12PP-0210</v>
      </c>
      <c r="H211" s="15" t="str">
        <f ca="1">IFERROR(__xludf.DUMMYFUNCTION("CONCATENATE($B211,(VLOOKUP($C211,CATALOGOS!$F$2:$H$6,3,FALSE)),(VLOOKUP($V211,CATALOGOS!$J$2:$K$18,2,FALSE)),""-"",TO_TEXT($A211))"),"P12PP-0210")</f>
        <v>P12PP-0210</v>
      </c>
      <c r="I211" s="6"/>
      <c r="J211" s="6" t="s">
        <v>1543</v>
      </c>
      <c r="K211" s="6" t="s">
        <v>1544</v>
      </c>
      <c r="L211" s="6" t="s">
        <v>1545</v>
      </c>
      <c r="M211" s="6" t="s">
        <v>141</v>
      </c>
      <c r="N211" s="17"/>
      <c r="O211" s="17"/>
      <c r="P211" s="17" t="str">
        <f t="shared" si="6"/>
        <v>REPETIDO</v>
      </c>
      <c r="Q211" s="17" t="s">
        <v>663</v>
      </c>
      <c r="R211" s="6" t="s">
        <v>664</v>
      </c>
      <c r="S211" s="17" t="s">
        <v>1546</v>
      </c>
      <c r="T211" s="17" t="s">
        <v>1547</v>
      </c>
      <c r="U211" s="18" t="s">
        <v>38</v>
      </c>
      <c r="V211" s="19" t="s">
        <v>1548</v>
      </c>
      <c r="W211" s="20" t="s">
        <v>1549</v>
      </c>
      <c r="X211" s="39" t="s">
        <v>1550</v>
      </c>
      <c r="Y211" s="20"/>
      <c r="Z211" s="6"/>
      <c r="AA211" s="6"/>
      <c r="AB211" s="23"/>
      <c r="AC211" s="24"/>
    </row>
    <row r="212" spans="1:30" ht="15.75" customHeight="1">
      <c r="A212" s="10" t="s">
        <v>1551</v>
      </c>
      <c r="B212" s="10" t="s">
        <v>27</v>
      </c>
      <c r="C212" s="63" t="s">
        <v>28</v>
      </c>
      <c r="D212" s="12"/>
      <c r="E212" s="13" t="s">
        <v>1275</v>
      </c>
      <c r="F212" s="43" t="s">
        <v>1552</v>
      </c>
      <c r="G212" s="14" t="str">
        <f ca="1">IFERROR(__xludf.DUMMYFUNCTION("CONCATENATE(B212,(VLOOKUP(C212,CATALOGOS!$F$2:$H$6,3,FALSE)),(VLOOKUP(V212,CATALOGOS!$J$2:$K$18,2,FALSE)),""-"",TO_TEXT(A212))"),"P05DA-0211")</f>
        <v>P05DA-0211</v>
      </c>
      <c r="H212" s="15" t="str">
        <f ca="1">IFERROR(__xludf.DUMMYFUNCTION("CONCATENATE($B212,(VLOOKUP($C212,CATALOGOS!$F$2:$H$6,3,FALSE)),(VLOOKUP($V212,CATALOGOS!$J$2:$K$18,2,FALSE)),""-"",TO_TEXT($A212))"),"P05DA-0211")</f>
        <v>P05DA-0211</v>
      </c>
      <c r="I212" s="6"/>
      <c r="J212" s="6" t="s">
        <v>1553</v>
      </c>
      <c r="K212" s="6" t="s">
        <v>1554</v>
      </c>
      <c r="L212" s="6" t="s">
        <v>1555</v>
      </c>
      <c r="M212" s="6" t="s">
        <v>1556</v>
      </c>
      <c r="N212" s="17"/>
      <c r="O212" s="17"/>
      <c r="P212" s="17" t="str">
        <f t="shared" si="6"/>
        <v>OK</v>
      </c>
      <c r="Q212" s="17" t="s">
        <v>205</v>
      </c>
      <c r="R212" s="6" t="s">
        <v>1557</v>
      </c>
      <c r="S212" s="17" t="s">
        <v>1558</v>
      </c>
      <c r="T212" s="17" t="s">
        <v>1559</v>
      </c>
      <c r="U212" s="18" t="s">
        <v>38</v>
      </c>
      <c r="V212" s="61" t="s">
        <v>28</v>
      </c>
      <c r="W212" s="20" t="s">
        <v>40</v>
      </c>
      <c r="X212" s="39" t="s">
        <v>1484</v>
      </c>
      <c r="Y212" s="20"/>
      <c r="Z212" s="7"/>
      <c r="AA212" s="7"/>
      <c r="AB212" s="23"/>
      <c r="AC212" s="26"/>
    </row>
    <row r="213" spans="1:30" ht="15.75" customHeight="1">
      <c r="A213" s="10" t="s">
        <v>1560</v>
      </c>
      <c r="B213" s="10" t="s">
        <v>1469</v>
      </c>
      <c r="C213" s="60" t="s">
        <v>1470</v>
      </c>
      <c r="D213" s="12"/>
      <c r="E213" s="13" t="s">
        <v>184</v>
      </c>
      <c r="F213" s="43" t="s">
        <v>1561</v>
      </c>
      <c r="G213" s="59" t="str">
        <f ca="1">IFERROR(__xludf.DUMMYFUNCTION("CONCATENATE(B213,(VLOOKUP(C213,CATALOGOS!$F$2:$H$6,3,FALSE)),(VLOOKUP(V213,CATALOGOS!$J$2:$K$18,2,FALSE)),""-"",TO_TEXT(A213))"),"P12ST-0212")</f>
        <v>P12ST-0212</v>
      </c>
      <c r="H213" s="15" t="str">
        <f ca="1">IFERROR(__xludf.DUMMYFUNCTION("CONCATENATE($B213,(VLOOKUP($C213,CATALOGOS!$F$2:$H$6,3,FALSE)),(VLOOKUP($V213,CATALOGOS!$J$2:$K$18,2,FALSE)),""-"",TO_TEXT($A213))"),"P12ST-0212")</f>
        <v>P12ST-0212</v>
      </c>
      <c r="I213" s="6"/>
      <c r="J213" s="6" t="s">
        <v>1562</v>
      </c>
      <c r="K213" s="6" t="s">
        <v>1563</v>
      </c>
      <c r="L213" s="6" t="s">
        <v>1564</v>
      </c>
      <c r="M213" s="6" t="s">
        <v>1565</v>
      </c>
      <c r="N213" s="17"/>
      <c r="O213" s="17"/>
      <c r="P213" s="17" t="str">
        <f t="shared" si="6"/>
        <v>OK</v>
      </c>
      <c r="Q213" s="17" t="s">
        <v>35</v>
      </c>
      <c r="R213" s="6" t="s">
        <v>35</v>
      </c>
      <c r="S213" s="35" t="s">
        <v>36</v>
      </c>
      <c r="T213" s="17" t="s">
        <v>1566</v>
      </c>
      <c r="U213" s="18" t="s">
        <v>38</v>
      </c>
      <c r="V213" s="19" t="s">
        <v>1470</v>
      </c>
      <c r="W213" s="20" t="s">
        <v>1477</v>
      </c>
      <c r="X213" s="39" t="s">
        <v>1477</v>
      </c>
      <c r="Y213" s="20"/>
      <c r="Z213" s="7"/>
      <c r="AA213" s="7"/>
      <c r="AB213" s="23"/>
      <c r="AC213" s="26"/>
    </row>
    <row r="214" spans="1:30" ht="15.75" customHeight="1">
      <c r="A214" s="10" t="s">
        <v>1567</v>
      </c>
      <c r="B214" s="10" t="s">
        <v>1469</v>
      </c>
      <c r="C214" s="60" t="s">
        <v>1470</v>
      </c>
      <c r="D214" s="12"/>
      <c r="E214" s="13" t="s">
        <v>184</v>
      </c>
      <c r="F214" s="43" t="s">
        <v>1561</v>
      </c>
      <c r="G214" s="14" t="str">
        <f ca="1">IFERROR(__xludf.DUMMYFUNCTION("CONCATENATE(B214,(VLOOKUP(C214,CATALOGOS!$F$2:$H$6,3,FALSE)),(VLOOKUP(V214,CATALOGOS!$J$2:$K$18,2,FALSE)),""-"",TO_TEXT(A214))"),"P12ST-0213")</f>
        <v>P12ST-0213</v>
      </c>
      <c r="H214" s="15" t="str">
        <f ca="1">IFERROR(__xludf.DUMMYFUNCTION("CONCATENATE($B214,(VLOOKUP($C214,CATALOGOS!$F$2:$H$6,3,FALSE)),(VLOOKUP($V214,CATALOGOS!$J$2:$K$18,2,FALSE)),""-"",TO_TEXT($A214))"),"P12ST-0213")</f>
        <v>P12ST-0213</v>
      </c>
      <c r="I214" s="6"/>
      <c r="J214" s="6" t="s">
        <v>1568</v>
      </c>
      <c r="K214" s="6" t="s">
        <v>1569</v>
      </c>
      <c r="L214" s="6" t="s">
        <v>1570</v>
      </c>
      <c r="M214" s="6" t="s">
        <v>1571</v>
      </c>
      <c r="N214" s="17"/>
      <c r="O214" s="17"/>
      <c r="P214" s="17" t="str">
        <f t="shared" si="6"/>
        <v>OK</v>
      </c>
      <c r="Q214" s="17" t="s">
        <v>35</v>
      </c>
      <c r="R214" s="6" t="s">
        <v>35</v>
      </c>
      <c r="S214" s="35" t="s">
        <v>36</v>
      </c>
      <c r="T214" s="17" t="s">
        <v>1572</v>
      </c>
      <c r="U214" s="18" t="s">
        <v>38</v>
      </c>
      <c r="V214" s="19" t="s">
        <v>1470</v>
      </c>
      <c r="W214" s="20" t="s">
        <v>1477</v>
      </c>
      <c r="X214" s="39" t="s">
        <v>1477</v>
      </c>
      <c r="Y214" s="20"/>
      <c r="Z214" s="7"/>
      <c r="AA214" s="7"/>
      <c r="AB214" s="23"/>
      <c r="AC214" s="26"/>
    </row>
    <row r="215" spans="1:30" ht="15.75" customHeight="1">
      <c r="A215" s="10" t="s">
        <v>1573</v>
      </c>
      <c r="B215" s="10" t="s">
        <v>1469</v>
      </c>
      <c r="C215" s="60" t="s">
        <v>1470</v>
      </c>
      <c r="D215" s="12"/>
      <c r="E215" s="13" t="s">
        <v>387</v>
      </c>
      <c r="F215" s="6" t="s">
        <v>387</v>
      </c>
      <c r="G215" s="14" t="str">
        <f ca="1">IFERROR(__xludf.DUMMYFUNCTION("CONCATENATE(B215,(VLOOKUP(C215,CATALOGOS!$F$2:$H$6,3,FALSE)),(VLOOKUP(V215,CATALOGOS!$J$2:$K$18,2,FALSE)),""-"",TO_TEXT(A215))"),"P12ST-0214")</f>
        <v>P12ST-0214</v>
      </c>
      <c r="H215" s="15" t="str">
        <f ca="1">IFERROR(__xludf.DUMMYFUNCTION("CONCATENATE($B215,(VLOOKUP($C215,CATALOGOS!$F$2:$H$6,3,FALSE)),(VLOOKUP($V215,CATALOGOS!$J$2:$K$18,2,FALSE)),""-"",TO_TEXT($A215))"),"P12ST-0214")</f>
        <v>P12ST-0214</v>
      </c>
      <c r="I215" s="6"/>
      <c r="J215" s="6" t="s">
        <v>1574</v>
      </c>
      <c r="K215" s="6" t="s">
        <v>1575</v>
      </c>
      <c r="L215" s="6" t="s">
        <v>1576</v>
      </c>
      <c r="M215" s="6" t="s">
        <v>141</v>
      </c>
      <c r="N215" s="17"/>
      <c r="O215" s="17"/>
      <c r="P215" s="17" t="str">
        <f t="shared" si="6"/>
        <v>REPETIDO</v>
      </c>
      <c r="Q215" s="17" t="s">
        <v>390</v>
      </c>
      <c r="R215" s="6">
        <v>40514</v>
      </c>
      <c r="S215" s="6" t="s">
        <v>1577</v>
      </c>
      <c r="T215" s="10" t="s">
        <v>85</v>
      </c>
      <c r="U215" s="18" t="s">
        <v>38</v>
      </c>
      <c r="V215" s="19" t="s">
        <v>1470</v>
      </c>
      <c r="W215" s="20" t="s">
        <v>1477</v>
      </c>
      <c r="X215" s="39" t="s">
        <v>1477</v>
      </c>
      <c r="Y215" s="20"/>
      <c r="Z215" s="7"/>
      <c r="AA215" s="7"/>
      <c r="AB215" s="23"/>
      <c r="AC215" s="26"/>
    </row>
    <row r="216" spans="1:30" ht="15.75" customHeight="1">
      <c r="A216" s="10" t="s">
        <v>1578</v>
      </c>
      <c r="B216" s="10" t="s">
        <v>1469</v>
      </c>
      <c r="C216" s="60" t="s">
        <v>1470</v>
      </c>
      <c r="D216" s="12"/>
      <c r="E216" s="13" t="s">
        <v>93</v>
      </c>
      <c r="F216" s="6" t="s">
        <v>1579</v>
      </c>
      <c r="G216" s="14" t="str">
        <f ca="1">IFERROR(__xludf.DUMMYFUNCTION("CONCATENATE(B216,(VLOOKUP(C216,CATALOGOS!$F$2:$H$6,3,FALSE)),(VLOOKUP(V216,CATALOGOS!$J$2:$K$18,2,FALSE)),""-"",TO_TEXT(A216))"),"P12ST-0215")</f>
        <v>P12ST-0215</v>
      </c>
      <c r="H216" s="15" t="str">
        <f ca="1">IFERROR(__xludf.DUMMYFUNCTION("CONCATENATE($B216,(VLOOKUP($C216,CATALOGOS!$F$2:$H$6,3,FALSE)),(VLOOKUP($V216,CATALOGOS!$J$2:$K$18,2,FALSE)),""-"",TO_TEXT($A216))"),"P12ST-0215")</f>
        <v>P12ST-0215</v>
      </c>
      <c r="I216" s="6"/>
      <c r="J216" s="6" t="s">
        <v>1580</v>
      </c>
      <c r="K216" s="6" t="s">
        <v>1581</v>
      </c>
      <c r="L216" s="6" t="s">
        <v>1582</v>
      </c>
      <c r="M216" s="6" t="s">
        <v>1583</v>
      </c>
      <c r="N216" s="17"/>
      <c r="O216" s="17"/>
      <c r="P216" s="17" t="str">
        <f t="shared" si="6"/>
        <v>OK</v>
      </c>
      <c r="Q216" s="17" t="s">
        <v>35</v>
      </c>
      <c r="R216" s="6" t="s">
        <v>35</v>
      </c>
      <c r="S216" s="17" t="s">
        <v>36</v>
      </c>
      <c r="T216" s="17" t="s">
        <v>85</v>
      </c>
      <c r="U216" s="18" t="s">
        <v>38</v>
      </c>
      <c r="V216" s="19" t="s">
        <v>1470</v>
      </c>
      <c r="W216" s="20" t="s">
        <v>1477</v>
      </c>
      <c r="X216" s="39" t="s">
        <v>1477</v>
      </c>
      <c r="Y216" s="20"/>
      <c r="Z216" s="7"/>
      <c r="AA216" s="7"/>
      <c r="AB216" s="23"/>
      <c r="AC216" s="26"/>
    </row>
    <row r="217" spans="1:30" ht="15.75" customHeight="1">
      <c r="A217" s="10" t="s">
        <v>1584</v>
      </c>
      <c r="B217" s="10" t="s">
        <v>1469</v>
      </c>
      <c r="C217" s="60" t="s">
        <v>1470</v>
      </c>
      <c r="D217" s="12"/>
      <c r="E217" s="20" t="s">
        <v>43</v>
      </c>
      <c r="F217" s="43" t="s">
        <v>1492</v>
      </c>
      <c r="G217" s="14" t="str">
        <f ca="1">IFERROR(__xludf.DUMMYFUNCTION("CONCATENATE(B217,(VLOOKUP(C217,CATALOGOS!$F$2:$H$6,3,FALSE)),(VLOOKUP(V217,CATALOGOS!$J$2:$K$18,2,FALSE)),""-"",TO_TEXT(A217))"),"P12ST-0216")</f>
        <v>P12ST-0216</v>
      </c>
      <c r="H217" s="15" t="str">
        <f ca="1">IFERROR(__xludf.DUMMYFUNCTION("CONCATENATE($B217,(VLOOKUP($C217,CATALOGOS!$F$2:$H$6,3,FALSE)),(VLOOKUP($V217,CATALOGOS!$J$2:$K$18,2,FALSE)),""-"",TO_TEXT($A217))"),"P12ST-0216")</f>
        <v>P12ST-0216</v>
      </c>
      <c r="I217" s="6"/>
      <c r="J217" s="6" t="s">
        <v>1585</v>
      </c>
      <c r="K217" s="6" t="s">
        <v>1586</v>
      </c>
      <c r="L217" s="6" t="s">
        <v>1587</v>
      </c>
      <c r="M217" s="6" t="s">
        <v>1588</v>
      </c>
      <c r="N217" s="17"/>
      <c r="O217" s="17"/>
      <c r="P217" s="17" t="str">
        <f t="shared" si="6"/>
        <v>OK</v>
      </c>
      <c r="Q217" s="17" t="s">
        <v>406</v>
      </c>
      <c r="R217" s="6" t="s">
        <v>407</v>
      </c>
      <c r="S217" s="17" t="s">
        <v>36</v>
      </c>
      <c r="T217" s="35" t="s">
        <v>1589</v>
      </c>
      <c r="U217" s="18" t="s">
        <v>38</v>
      </c>
      <c r="V217" s="19" t="s">
        <v>1470</v>
      </c>
      <c r="W217" s="20" t="s">
        <v>1477</v>
      </c>
      <c r="X217" s="39" t="s">
        <v>1477</v>
      </c>
      <c r="Y217" s="20"/>
      <c r="Z217" s="7"/>
      <c r="AA217" s="7"/>
      <c r="AB217" s="23"/>
      <c r="AC217" s="26"/>
    </row>
    <row r="218" spans="1:30" ht="15.75" customHeight="1">
      <c r="A218" s="10" t="s">
        <v>1590</v>
      </c>
      <c r="B218" s="10" t="s">
        <v>1469</v>
      </c>
      <c r="C218" s="60" t="s">
        <v>1470</v>
      </c>
      <c r="D218" s="38"/>
      <c r="E218" s="13" t="s">
        <v>501</v>
      </c>
      <c r="F218" s="6" t="s">
        <v>1591</v>
      </c>
      <c r="G218" s="6" t="str">
        <f ca="1">IFERROR(__xludf.DUMMYFUNCTION("CONCATENATE(B218,(VLOOKUP(C218,CATALOGOS!$F$2:$H$6,3,FALSE)),(VLOOKUP(V218,CATALOGOS!$J$2:$K$18,2,FALSE)),""-"",TO_TEXT(A218))"),"P12PP-0217")</f>
        <v>P12PP-0217</v>
      </c>
      <c r="H218" s="15" t="str">
        <f ca="1">IFERROR(__xludf.DUMMYFUNCTION("CONCATENATE($B218,(VLOOKUP($C218,CATALOGOS!$F$2:$H$6,3,FALSE)),(VLOOKUP($V218,CATALOGOS!$J$2:$K$18,2,FALSE)),""-"",TO_TEXT($A218))"),"P12PP-0217")</f>
        <v>P12PP-0217</v>
      </c>
      <c r="I218" s="6"/>
      <c r="J218" s="6" t="s">
        <v>1592</v>
      </c>
      <c r="K218" s="6" t="s">
        <v>1593</v>
      </c>
      <c r="L218" s="6" t="s">
        <v>1594</v>
      </c>
      <c r="M218" s="6" t="s">
        <v>1595</v>
      </c>
      <c r="N218" s="17"/>
      <c r="O218" s="17"/>
      <c r="P218" s="17" t="str">
        <f t="shared" si="6"/>
        <v>OK</v>
      </c>
      <c r="Q218" s="17" t="s">
        <v>35</v>
      </c>
      <c r="R218" s="6" t="s">
        <v>35</v>
      </c>
      <c r="S218" s="46" t="s">
        <v>36</v>
      </c>
      <c r="T218" s="17" t="s">
        <v>1596</v>
      </c>
      <c r="U218" s="18" t="s">
        <v>38</v>
      </c>
      <c r="V218" s="19" t="s">
        <v>1548</v>
      </c>
      <c r="W218" s="20" t="s">
        <v>1597</v>
      </c>
      <c r="X218" s="39" t="s">
        <v>1597</v>
      </c>
      <c r="Y218" s="20"/>
      <c r="Z218" s="7"/>
      <c r="AA218" s="7"/>
      <c r="AB218" s="20" t="s">
        <v>1598</v>
      </c>
      <c r="AC218" s="26"/>
    </row>
    <row r="219" spans="1:30" ht="15.75" customHeight="1">
      <c r="A219" s="10" t="s">
        <v>1599</v>
      </c>
      <c r="B219" s="10" t="s">
        <v>1469</v>
      </c>
      <c r="C219" s="60" t="s">
        <v>1470</v>
      </c>
      <c r="D219" s="12"/>
      <c r="E219" s="13" t="s">
        <v>136</v>
      </c>
      <c r="F219" s="6" t="s">
        <v>137</v>
      </c>
      <c r="G219" s="6" t="str">
        <f ca="1">IFERROR(__xludf.DUMMYFUNCTION("CONCATENATE(B219,(VLOOKUP(C219,CATALOGOS!$F$2:$H$6,3,FALSE)),(VLOOKUP(V219,CATALOGOS!$J$2:$K$18,2,FALSE)),""-"",TO_TEXT(A219))"),"P12PP-0218")</f>
        <v>P12PP-0218</v>
      </c>
      <c r="H219" s="15" t="str">
        <f ca="1">IFERROR(__xludf.DUMMYFUNCTION("CONCATENATE($B219,(VLOOKUP($C219,CATALOGOS!$F$2:$H$6,3,FALSE)),(VLOOKUP($V219,CATALOGOS!$J$2:$K$18,2,FALSE)),""-"",TO_TEXT($A219))"),"P12PP-0218")</f>
        <v>P12PP-0218</v>
      </c>
      <c r="I219" s="6"/>
      <c r="J219" s="6" t="s">
        <v>1600</v>
      </c>
      <c r="K219" s="6" t="s">
        <v>1601</v>
      </c>
      <c r="L219" s="6" t="s">
        <v>1602</v>
      </c>
      <c r="M219" s="6" t="s">
        <v>1603</v>
      </c>
      <c r="N219" s="17"/>
      <c r="O219" s="17"/>
      <c r="P219" s="17" t="str">
        <f t="shared" si="6"/>
        <v>OK</v>
      </c>
      <c r="Q219" s="17" t="s">
        <v>1604</v>
      </c>
      <c r="R219" s="6" t="s">
        <v>1605</v>
      </c>
      <c r="S219" s="17" t="s">
        <v>1606</v>
      </c>
      <c r="T219" s="17" t="s">
        <v>1607</v>
      </c>
      <c r="U219" s="18" t="s">
        <v>38</v>
      </c>
      <c r="V219" s="19" t="s">
        <v>1548</v>
      </c>
      <c r="W219" s="20" t="s">
        <v>1597</v>
      </c>
      <c r="X219" s="39" t="s">
        <v>1597</v>
      </c>
      <c r="Y219" s="20"/>
      <c r="Z219" s="6"/>
      <c r="AA219" s="6"/>
      <c r="AB219" s="23"/>
      <c r="AC219" s="24"/>
    </row>
    <row r="220" spans="1:30" ht="15.75" customHeight="1">
      <c r="A220" s="10" t="s">
        <v>1608</v>
      </c>
      <c r="B220" s="10" t="s">
        <v>1469</v>
      </c>
      <c r="C220" s="60" t="s">
        <v>1470</v>
      </c>
      <c r="D220" s="12"/>
      <c r="E220" s="13" t="s">
        <v>162</v>
      </c>
      <c r="F220" s="43" t="s">
        <v>285</v>
      </c>
      <c r="G220" s="6" t="str">
        <f ca="1">IFERROR(__xludf.DUMMYFUNCTION("CONCATENATE(B220,(VLOOKUP(C220,CATALOGOS!$F$2:$H$6,3,FALSE)),(VLOOKUP(V220,CATALOGOS!$J$2:$K$18,2,FALSE)),""-"",TO_TEXT(A220))"),"P12PP-0219")</f>
        <v>P12PP-0219</v>
      </c>
      <c r="H220" s="15" t="str">
        <f ca="1">IFERROR(__xludf.DUMMYFUNCTION("CONCATENATE($B220,(VLOOKUP($C220,CATALOGOS!$F$2:$H$6,3,FALSE)),(VLOOKUP($V220,CATALOGOS!$J$2:$K$18,2,FALSE)),""-"",TO_TEXT($A220))"),"P12PP-0219")</f>
        <v>P12PP-0219</v>
      </c>
      <c r="I220" s="6"/>
      <c r="J220" s="6" t="s">
        <v>1609</v>
      </c>
      <c r="K220" s="6" t="s">
        <v>1610</v>
      </c>
      <c r="L220" s="6" t="s">
        <v>1611</v>
      </c>
      <c r="M220" s="6" t="s">
        <v>1612</v>
      </c>
      <c r="N220" s="17"/>
      <c r="O220" s="17"/>
      <c r="P220" s="17" t="str">
        <f t="shared" si="6"/>
        <v>OK</v>
      </c>
      <c r="Q220" s="17" t="s">
        <v>168</v>
      </c>
      <c r="R220" s="6" t="s">
        <v>169</v>
      </c>
      <c r="S220" s="17" t="s">
        <v>1613</v>
      </c>
      <c r="T220" s="17" t="s">
        <v>1614</v>
      </c>
      <c r="U220" s="18" t="s">
        <v>38</v>
      </c>
      <c r="V220" s="19" t="s">
        <v>1548</v>
      </c>
      <c r="W220" s="20" t="s">
        <v>1597</v>
      </c>
      <c r="X220" s="39" t="s">
        <v>1597</v>
      </c>
      <c r="Y220" s="20"/>
      <c r="Z220" s="6"/>
      <c r="AA220" s="6"/>
      <c r="AB220" s="23"/>
      <c r="AC220" s="24"/>
    </row>
    <row r="221" spans="1:30" ht="15.75" customHeight="1">
      <c r="A221" s="10" t="s">
        <v>1615</v>
      </c>
      <c r="B221" s="10" t="s">
        <v>1469</v>
      </c>
      <c r="C221" s="60" t="s">
        <v>1470</v>
      </c>
      <c r="D221" s="12"/>
      <c r="E221" s="13" t="s">
        <v>151</v>
      </c>
      <c r="F221" s="6" t="s">
        <v>152</v>
      </c>
      <c r="G221" s="6" t="str">
        <f ca="1">IFERROR(__xludf.DUMMYFUNCTION("CONCATENATE(B221,(VLOOKUP(C221,CATALOGOS!$F$2:$H$6,3,FALSE)),(VLOOKUP(V221,CATALOGOS!$J$2:$K$18,2,FALSE)),""-"",TO_TEXT(A221))"),"P12PP-0220")</f>
        <v>P12PP-0220</v>
      </c>
      <c r="H221" s="15" t="str">
        <f ca="1">IFERROR(__xludf.DUMMYFUNCTION("CONCATENATE($B221,(VLOOKUP($C221,CATALOGOS!$F$2:$H$6,3,FALSE)),(VLOOKUP($V221,CATALOGOS!$J$2:$K$18,2,FALSE)),""-"",TO_TEXT($A221))"),"P12PP-0220")</f>
        <v>P12PP-0220</v>
      </c>
      <c r="I221" s="6"/>
      <c r="J221" s="6" t="s">
        <v>1616</v>
      </c>
      <c r="K221" s="6" t="s">
        <v>1617</v>
      </c>
      <c r="L221" s="6" t="s">
        <v>1618</v>
      </c>
      <c r="M221" s="6" t="s">
        <v>1619</v>
      </c>
      <c r="N221" s="17"/>
      <c r="O221" s="17"/>
      <c r="P221" s="17" t="str">
        <f t="shared" si="6"/>
        <v>OK</v>
      </c>
      <c r="Q221" s="17" t="s">
        <v>297</v>
      </c>
      <c r="R221" s="6" t="s">
        <v>1620</v>
      </c>
      <c r="S221" s="17" t="s">
        <v>1621</v>
      </c>
      <c r="T221" s="17" t="s">
        <v>1622</v>
      </c>
      <c r="U221" s="18" t="s">
        <v>38</v>
      </c>
      <c r="V221" s="19" t="s">
        <v>1548</v>
      </c>
      <c r="W221" s="20" t="s">
        <v>1597</v>
      </c>
      <c r="X221" s="39" t="s">
        <v>1597</v>
      </c>
      <c r="Y221" s="20"/>
      <c r="Z221" s="7"/>
      <c r="AA221" s="7"/>
      <c r="AB221" s="23"/>
      <c r="AC221" s="26"/>
    </row>
    <row r="222" spans="1:30" ht="15.75" customHeight="1">
      <c r="A222" s="10" t="s">
        <v>1623</v>
      </c>
      <c r="B222" s="10" t="s">
        <v>1469</v>
      </c>
      <c r="C222" s="60" t="s">
        <v>1470</v>
      </c>
      <c r="D222" s="12"/>
      <c r="E222" s="13" t="s">
        <v>151</v>
      </c>
      <c r="F222" s="6" t="s">
        <v>293</v>
      </c>
      <c r="G222" s="6" t="str">
        <f ca="1">IFERROR(__xludf.DUMMYFUNCTION("CONCATENATE(B222,(VLOOKUP(C222,CATALOGOS!$F$2:$H$6,3,FALSE)),(VLOOKUP(V222,CATALOGOS!$J$2:$K$18,2,FALSE)),""-"",TO_TEXT(A222))"),"P12PP-0221")</f>
        <v>P12PP-0221</v>
      </c>
      <c r="H222" s="15" t="str">
        <f ca="1">IFERROR(__xludf.DUMMYFUNCTION("CONCATENATE($B222,(VLOOKUP($C222,CATALOGOS!$F$2:$H$6,3,FALSE)),(VLOOKUP($V222,CATALOGOS!$J$2:$K$18,2,FALSE)),""-"",TO_TEXT($A222))"),"P12PP-0221")</f>
        <v>P12PP-0221</v>
      </c>
      <c r="I222" s="6"/>
      <c r="J222" s="6" t="s">
        <v>1624</v>
      </c>
      <c r="K222" s="6" t="s">
        <v>1625</v>
      </c>
      <c r="L222" s="6" t="s">
        <v>1626</v>
      </c>
      <c r="M222" s="6" t="s">
        <v>1627</v>
      </c>
      <c r="N222" s="17"/>
      <c r="O222" s="17"/>
      <c r="P222" s="17" t="str">
        <f t="shared" si="6"/>
        <v>OK</v>
      </c>
      <c r="Q222" s="17" t="s">
        <v>297</v>
      </c>
      <c r="R222" s="6" t="s">
        <v>298</v>
      </c>
      <c r="S222" s="17" t="s">
        <v>1628</v>
      </c>
      <c r="T222" s="17" t="s">
        <v>85</v>
      </c>
      <c r="U222" s="18" t="s">
        <v>38</v>
      </c>
      <c r="V222" s="19" t="s">
        <v>1548</v>
      </c>
      <c r="W222" s="20" t="s">
        <v>1597</v>
      </c>
      <c r="X222" s="39" t="s">
        <v>1597</v>
      </c>
      <c r="Y222" s="20"/>
      <c r="Z222" s="6"/>
      <c r="AA222" s="6"/>
      <c r="AB222" s="41" t="s">
        <v>92</v>
      </c>
      <c r="AC222" s="42">
        <v>44348</v>
      </c>
      <c r="AD222" s="45">
        <v>0</v>
      </c>
    </row>
    <row r="223" spans="1:30" ht="15.75" customHeight="1">
      <c r="A223" s="10" t="s">
        <v>1629</v>
      </c>
      <c r="B223" s="10" t="s">
        <v>1469</v>
      </c>
      <c r="C223" s="60" t="s">
        <v>1470</v>
      </c>
      <c r="D223" s="12"/>
      <c r="E223" s="13" t="s">
        <v>199</v>
      </c>
      <c r="F223" s="6" t="s">
        <v>199</v>
      </c>
      <c r="G223" s="6" t="str">
        <f ca="1">IFERROR(__xludf.DUMMYFUNCTION("CONCATENATE(B223,(VLOOKUP(C223,CATALOGOS!$F$2:$H$6,3,FALSE)),(VLOOKUP(V223,CATALOGOS!$J$2:$K$18,2,FALSE)),""-"",TO_TEXT(A223))"),"P12PP-0222")</f>
        <v>P12PP-0222</v>
      </c>
      <c r="H223" s="15" t="str">
        <f ca="1">IFERROR(__xludf.DUMMYFUNCTION("CONCATENATE($B223,(VLOOKUP($C223,CATALOGOS!$F$2:$H$6,3,FALSE)),(VLOOKUP($V223,CATALOGOS!$J$2:$K$18,2,FALSE)),""-"",TO_TEXT($A223))"),"P12PP-0222")</f>
        <v>P12PP-0222</v>
      </c>
      <c r="I223" s="6"/>
      <c r="J223" s="6" t="s">
        <v>1630</v>
      </c>
      <c r="K223" s="6" t="s">
        <v>1631</v>
      </c>
      <c r="L223" s="6" t="s">
        <v>1632</v>
      </c>
      <c r="M223" s="6" t="s">
        <v>1633</v>
      </c>
      <c r="N223" s="17"/>
      <c r="O223" s="17"/>
      <c r="P223" s="17" t="str">
        <f t="shared" si="6"/>
        <v>OK</v>
      </c>
      <c r="Q223" s="17" t="s">
        <v>273</v>
      </c>
      <c r="R223" s="6" t="s">
        <v>274</v>
      </c>
      <c r="S223" s="17" t="s">
        <v>1634</v>
      </c>
      <c r="T223" s="10" t="s">
        <v>85</v>
      </c>
      <c r="U223" s="18" t="s">
        <v>38</v>
      </c>
      <c r="V223" s="19" t="s">
        <v>1548</v>
      </c>
      <c r="W223" s="20" t="s">
        <v>1597</v>
      </c>
      <c r="X223" s="39" t="s">
        <v>1597</v>
      </c>
      <c r="Y223" s="20"/>
      <c r="Z223" s="6"/>
      <c r="AA223" s="6"/>
      <c r="AB223" s="41" t="s">
        <v>92</v>
      </c>
      <c r="AC223" s="42">
        <v>44348</v>
      </c>
      <c r="AD223" s="8" t="s">
        <v>276</v>
      </c>
    </row>
    <row r="224" spans="1:30" ht="15.75" customHeight="1">
      <c r="A224" s="10" t="s">
        <v>1635</v>
      </c>
      <c r="B224" s="10" t="s">
        <v>1469</v>
      </c>
      <c r="C224" s="60" t="s">
        <v>1470</v>
      </c>
      <c r="D224" s="12"/>
      <c r="E224" s="13" t="s">
        <v>1636</v>
      </c>
      <c r="F224" s="43" t="s">
        <v>278</v>
      </c>
      <c r="G224" s="6" t="str">
        <f ca="1">IFERROR(__xludf.DUMMYFUNCTION("CONCATENATE(B224,(VLOOKUP(C224,CATALOGOS!$F$2:$H$6,3,FALSE)),(VLOOKUP(V224,CATALOGOS!$J$2:$K$18,2,FALSE)),""-"",TO_TEXT(A224))"),"P12PP-0223")</f>
        <v>P12PP-0223</v>
      </c>
      <c r="H224" s="15" t="str">
        <f ca="1">IFERROR(__xludf.DUMMYFUNCTION("CONCATENATE($B224,(VLOOKUP($C224,CATALOGOS!$F$2:$H$6,3,FALSE)),(VLOOKUP($V224,CATALOGOS!$J$2:$K$18,2,FALSE)),""-"",TO_TEXT($A224))"),"P12PP-0223")</f>
        <v>P12PP-0223</v>
      </c>
      <c r="I224" s="6"/>
      <c r="J224" s="6" t="s">
        <v>1637</v>
      </c>
      <c r="K224" s="6" t="s">
        <v>1638</v>
      </c>
      <c r="L224" s="6" t="s">
        <v>1639</v>
      </c>
      <c r="M224" s="6" t="s">
        <v>1640</v>
      </c>
      <c r="N224" s="17"/>
      <c r="O224" s="17"/>
      <c r="P224" s="17" t="str">
        <f t="shared" si="6"/>
        <v>OK</v>
      </c>
      <c r="Q224" s="17" t="s">
        <v>35</v>
      </c>
      <c r="R224" s="6" t="s">
        <v>35</v>
      </c>
      <c r="S224" s="17" t="s">
        <v>36</v>
      </c>
      <c r="T224" s="17" t="s">
        <v>1641</v>
      </c>
      <c r="U224" s="18" t="s">
        <v>38</v>
      </c>
      <c r="V224" s="19" t="s">
        <v>1548</v>
      </c>
      <c r="W224" s="20" t="s">
        <v>1597</v>
      </c>
      <c r="X224" s="39" t="s">
        <v>1597</v>
      </c>
      <c r="Y224" s="20"/>
      <c r="Z224" s="7"/>
      <c r="AA224" s="7"/>
      <c r="AB224" s="23"/>
      <c r="AC224" s="26"/>
    </row>
    <row r="225" spans="1:29" ht="15.75" customHeight="1">
      <c r="A225" s="10" t="s">
        <v>1642</v>
      </c>
      <c r="B225" s="10" t="s">
        <v>1469</v>
      </c>
      <c r="C225" s="60" t="s">
        <v>1470</v>
      </c>
      <c r="D225" s="12"/>
      <c r="E225" s="13" t="s">
        <v>116</v>
      </c>
      <c r="F225" s="6" t="s">
        <v>129</v>
      </c>
      <c r="G225" s="6" t="str">
        <f ca="1">IFERROR(__xludf.DUMMYFUNCTION("CONCATENATE(B225,(VLOOKUP(C225,CATALOGOS!$F$2:$H$6,3,FALSE)),(VLOOKUP(V225,CATALOGOS!$J$2:$K$18,2,FALSE)),""-"",TO_TEXT(A225))"),"P12PP-0224")</f>
        <v>P12PP-0224</v>
      </c>
      <c r="H225" s="15" t="str">
        <f ca="1">IFERROR(__xludf.DUMMYFUNCTION("CONCATENATE($B225,(VLOOKUP($C225,CATALOGOS!$F$2:$H$6,3,FALSE)),(VLOOKUP($V225,CATALOGOS!$J$2:$K$18,2,FALSE)),""-"",TO_TEXT($A225))"),"P12PP-0224")</f>
        <v>P12PP-0224</v>
      </c>
      <c r="I225" s="6"/>
      <c r="J225" s="6" t="s">
        <v>1643</v>
      </c>
      <c r="K225" s="6" t="s">
        <v>1644</v>
      </c>
      <c r="L225" s="6" t="s">
        <v>1645</v>
      </c>
      <c r="M225" s="6" t="s">
        <v>1646</v>
      </c>
      <c r="N225" s="17"/>
      <c r="O225" s="17"/>
      <c r="P225" s="17" t="str">
        <f t="shared" si="6"/>
        <v>OK</v>
      </c>
      <c r="Q225" s="17" t="s">
        <v>35</v>
      </c>
      <c r="R225" s="6" t="s">
        <v>35</v>
      </c>
      <c r="S225" s="17" t="s">
        <v>36</v>
      </c>
      <c r="T225" s="17" t="s">
        <v>1647</v>
      </c>
      <c r="U225" s="18" t="s">
        <v>38</v>
      </c>
      <c r="V225" s="19" t="s">
        <v>1548</v>
      </c>
      <c r="W225" s="20" t="s">
        <v>1597</v>
      </c>
      <c r="X225" s="39" t="s">
        <v>1597</v>
      </c>
      <c r="Y225" s="20"/>
      <c r="Z225" s="6"/>
      <c r="AA225" s="6"/>
      <c r="AB225" s="23"/>
      <c r="AC225" s="24"/>
    </row>
    <row r="226" spans="1:29" ht="15.75" customHeight="1">
      <c r="A226" s="10" t="s">
        <v>1648</v>
      </c>
      <c r="B226" s="10" t="s">
        <v>1469</v>
      </c>
      <c r="C226" s="60" t="s">
        <v>1470</v>
      </c>
      <c r="D226" s="12"/>
      <c r="E226" s="13" t="s">
        <v>93</v>
      </c>
      <c r="F226" s="6" t="s">
        <v>1173</v>
      </c>
      <c r="G226" s="6" t="str">
        <f ca="1">IFERROR(__xludf.DUMMYFUNCTION("CONCATENATE(B226,(VLOOKUP(C226,CATALOGOS!$F$2:$H$6,3,FALSE)),(VLOOKUP(V226,CATALOGOS!$J$2:$K$18,2,FALSE)),""-"",TO_TEXT(A226))"),"P12PP-0225")</f>
        <v>P12PP-0225</v>
      </c>
      <c r="H226" s="15" t="str">
        <f ca="1">IFERROR(__xludf.DUMMYFUNCTION("CONCATENATE($B226,(VLOOKUP($C226,CATALOGOS!$F$2:$H$6,3,FALSE)),(VLOOKUP($V226,CATALOGOS!$J$2:$K$18,2,FALSE)),""-"",TO_TEXT($A226))"),"P12PP-0225")</f>
        <v>P12PP-0225</v>
      </c>
      <c r="I226" s="6"/>
      <c r="J226" s="6" t="s">
        <v>1649</v>
      </c>
      <c r="K226" s="6" t="s">
        <v>1650</v>
      </c>
      <c r="L226" s="36"/>
      <c r="M226" s="6" t="s">
        <v>1651</v>
      </c>
      <c r="N226" s="17"/>
      <c r="O226" s="17"/>
      <c r="P226" s="17" t="str">
        <f t="shared" si="6"/>
        <v>OK</v>
      </c>
      <c r="Q226" s="35" t="s">
        <v>35</v>
      </c>
      <c r="R226" s="6" t="s">
        <v>35</v>
      </c>
      <c r="S226" s="10" t="s">
        <v>36</v>
      </c>
      <c r="T226" s="32" t="s">
        <v>85</v>
      </c>
      <c r="U226" s="18" t="s">
        <v>38</v>
      </c>
      <c r="V226" s="19" t="s">
        <v>1548</v>
      </c>
      <c r="W226" s="20" t="s">
        <v>1597</v>
      </c>
      <c r="X226" s="39" t="s">
        <v>1597</v>
      </c>
      <c r="Y226" s="20"/>
      <c r="Z226" s="7"/>
      <c r="AA226" s="7"/>
      <c r="AB226" s="23"/>
      <c r="AC226" s="26"/>
    </row>
    <row r="227" spans="1:29" ht="15.75" customHeight="1">
      <c r="A227" s="10" t="s">
        <v>1652</v>
      </c>
      <c r="B227" s="10" t="s">
        <v>1469</v>
      </c>
      <c r="C227" s="60" t="s">
        <v>1470</v>
      </c>
      <c r="D227" s="12"/>
      <c r="E227" s="13" t="s">
        <v>29</v>
      </c>
      <c r="F227" s="43" t="s">
        <v>1166</v>
      </c>
      <c r="G227" s="6" t="str">
        <f ca="1">IFERROR(__xludf.DUMMYFUNCTION("CONCATENATE(B227,(VLOOKUP(C227,CATALOGOS!$F$2:$H$6,3,FALSE)),(VLOOKUP(V227,CATALOGOS!$J$2:$K$18,2,FALSE)),""-"",TO_TEXT(A227))"),"P12PP-0226")</f>
        <v>P12PP-0226</v>
      </c>
      <c r="H227" s="15" t="str">
        <f ca="1">IFERROR(__xludf.DUMMYFUNCTION("CONCATENATE($B227,(VLOOKUP($C227,CATALOGOS!$F$2:$H$6,3,FALSE)),(VLOOKUP($V227,CATALOGOS!$J$2:$K$18,2,FALSE)),""-"",TO_TEXT($A227))"),"P12PP-0226")</f>
        <v>P12PP-0226</v>
      </c>
      <c r="I227" s="6"/>
      <c r="J227" s="6" t="s">
        <v>1653</v>
      </c>
      <c r="K227" s="62"/>
      <c r="L227" s="6" t="s">
        <v>1654</v>
      </c>
      <c r="M227" s="6" t="s">
        <v>1655</v>
      </c>
      <c r="N227" s="17"/>
      <c r="O227" s="17"/>
      <c r="P227" s="17" t="str">
        <f t="shared" si="6"/>
        <v>OK</v>
      </c>
      <c r="Q227" s="17" t="s">
        <v>35</v>
      </c>
      <c r="R227" s="6" t="s">
        <v>35</v>
      </c>
      <c r="S227" s="17" t="s">
        <v>36</v>
      </c>
      <c r="T227" s="17" t="s">
        <v>1656</v>
      </c>
      <c r="U227" s="18" t="s">
        <v>38</v>
      </c>
      <c r="V227" s="19" t="s">
        <v>1548</v>
      </c>
      <c r="W227" s="20" t="s">
        <v>1597</v>
      </c>
      <c r="X227" s="39" t="s">
        <v>1597</v>
      </c>
      <c r="Y227" s="20"/>
      <c r="Z227" s="7"/>
      <c r="AA227" s="7"/>
      <c r="AB227" s="23"/>
      <c r="AC227" s="26"/>
    </row>
    <row r="228" spans="1:29" ht="15.75" customHeight="1">
      <c r="A228" s="10" t="s">
        <v>1657</v>
      </c>
      <c r="B228" s="10" t="s">
        <v>1469</v>
      </c>
      <c r="C228" s="60" t="s">
        <v>1470</v>
      </c>
      <c r="D228" s="12"/>
      <c r="E228" s="13" t="s">
        <v>116</v>
      </c>
      <c r="F228" s="6" t="s">
        <v>117</v>
      </c>
      <c r="G228" s="6" t="str">
        <f ca="1">IFERROR(__xludf.DUMMYFUNCTION("CONCATENATE(B228,(VLOOKUP(C228,CATALOGOS!$F$2:$H$6,3,FALSE)),(VLOOKUP(V228,CATALOGOS!$J$2:$K$18,2,FALSE)),""-"",TO_TEXT(A228))"),"P12PP-0227")</f>
        <v>P12PP-0227</v>
      </c>
      <c r="H228" s="15" t="str">
        <f ca="1">IFERROR(__xludf.DUMMYFUNCTION("CONCATENATE($B228,(VLOOKUP($C228,CATALOGOS!$F$2:$H$6,3,FALSE)),(VLOOKUP($V228,CATALOGOS!$J$2:$K$18,2,FALSE)),""-"",TO_TEXT($A228))"),"P12PP-0227")</f>
        <v>P12PP-0227</v>
      </c>
      <c r="I228" s="6"/>
      <c r="J228" s="6" t="s">
        <v>1658</v>
      </c>
      <c r="K228" s="62"/>
      <c r="L228" s="36"/>
      <c r="M228" s="6" t="s">
        <v>141</v>
      </c>
      <c r="N228" s="17"/>
      <c r="O228" s="17"/>
      <c r="P228" s="17" t="str">
        <f t="shared" si="6"/>
        <v>REPETIDO</v>
      </c>
      <c r="Q228" s="35" t="s">
        <v>35</v>
      </c>
      <c r="R228" s="6" t="s">
        <v>35</v>
      </c>
      <c r="S228" s="10" t="s">
        <v>36</v>
      </c>
      <c r="T228" s="32" t="s">
        <v>85</v>
      </c>
      <c r="U228" s="18" t="s">
        <v>38</v>
      </c>
      <c r="V228" s="19" t="s">
        <v>1548</v>
      </c>
      <c r="W228" s="20" t="s">
        <v>1597</v>
      </c>
      <c r="X228" s="39" t="s">
        <v>1597</v>
      </c>
      <c r="Y228" s="20"/>
      <c r="Z228" s="7"/>
      <c r="AA228" s="7"/>
      <c r="AB228" s="23"/>
      <c r="AC228" s="26"/>
    </row>
    <row r="229" spans="1:29" ht="15.75" customHeight="1">
      <c r="A229" s="10" t="s">
        <v>1659</v>
      </c>
      <c r="B229" s="10" t="s">
        <v>1469</v>
      </c>
      <c r="C229" s="63" t="s">
        <v>868</v>
      </c>
      <c r="D229" s="12"/>
      <c r="E229" s="13" t="s">
        <v>184</v>
      </c>
      <c r="F229" s="43" t="s">
        <v>927</v>
      </c>
      <c r="G229" s="14" t="str">
        <f ca="1">IFERROR(__xludf.DUMMYFUNCTION("CONCATENATE(B229,(VLOOKUP(C229,CATALOGOS!$F$2:$H$6,3,FALSE)),(VLOOKUP(V229,CATALOGOS!$J$2:$K$18,2,FALSE)),""-"",TO_TEXT(A229))"),"P13SO-0228")</f>
        <v>P13SO-0228</v>
      </c>
      <c r="H229" s="15" t="str">
        <f ca="1">IFERROR(__xludf.DUMMYFUNCTION("CONCATENATE($B229,(VLOOKUP($C229,CATALOGOS!$F$2:$H$6,3,FALSE)),(VLOOKUP($V229,CATALOGOS!$J$2:$K$18,2,FALSE)),""-"",TO_TEXT($A229))"),"P13SO-0228")</f>
        <v>P13SO-0228</v>
      </c>
      <c r="I229" s="6"/>
      <c r="J229" s="6" t="s">
        <v>1660</v>
      </c>
      <c r="K229" s="6" t="s">
        <v>1661</v>
      </c>
      <c r="L229" s="6" t="s">
        <v>1662</v>
      </c>
      <c r="M229" s="6" t="s">
        <v>1663</v>
      </c>
      <c r="N229" s="17"/>
      <c r="O229" s="17"/>
      <c r="P229" s="17" t="str">
        <f t="shared" si="6"/>
        <v>OK</v>
      </c>
      <c r="Q229" s="17" t="s">
        <v>35</v>
      </c>
      <c r="R229" s="6" t="s">
        <v>35</v>
      </c>
      <c r="S229" s="17" t="s">
        <v>36</v>
      </c>
      <c r="T229" s="17" t="s">
        <v>1664</v>
      </c>
      <c r="U229" s="18" t="s">
        <v>38</v>
      </c>
      <c r="V229" s="19" t="s">
        <v>868</v>
      </c>
      <c r="W229" s="20" t="s">
        <v>1665</v>
      </c>
      <c r="X229" s="39" t="s">
        <v>1665</v>
      </c>
      <c r="Y229" s="20"/>
      <c r="Z229" s="7"/>
      <c r="AA229" s="7"/>
      <c r="AB229" s="23"/>
      <c r="AC229" s="26"/>
    </row>
    <row r="230" spans="1:29" ht="15.75" customHeight="1">
      <c r="A230" s="10" t="s">
        <v>1666</v>
      </c>
      <c r="B230" s="10" t="s">
        <v>1469</v>
      </c>
      <c r="C230" s="60" t="s">
        <v>1470</v>
      </c>
      <c r="D230" s="12"/>
      <c r="E230" s="13" t="s">
        <v>378</v>
      </c>
      <c r="F230" s="43" t="s">
        <v>831</v>
      </c>
      <c r="G230" s="6" t="str">
        <f ca="1">IFERROR(__xludf.DUMMYFUNCTION("CONCATENATE(B230,(VLOOKUP(C230,CATALOGOS!$F$2:$H$6,3,FALSE)),(VLOOKUP(V230,CATALOGOS!$J$2:$K$18,2,FALSE)),""-"",TO_TEXT(A230))"),"P12PP-0229")</f>
        <v>P12PP-0229</v>
      </c>
      <c r="H230" s="15" t="str">
        <f ca="1">IFERROR(__xludf.DUMMYFUNCTION("CONCATENATE($B230,(VLOOKUP($C230,CATALOGOS!$F$2:$H$6,3,FALSE)),(VLOOKUP($V230,CATALOGOS!$J$2:$K$18,2,FALSE)),""-"",TO_TEXT($A230))"),"P12PP-0229")</f>
        <v>P12PP-0229</v>
      </c>
      <c r="I230" s="6"/>
      <c r="J230" s="6" t="s">
        <v>1667</v>
      </c>
      <c r="K230" s="6" t="s">
        <v>1668</v>
      </c>
      <c r="L230" s="6" t="s">
        <v>1669</v>
      </c>
      <c r="M230" s="6" t="s">
        <v>1670</v>
      </c>
      <c r="N230" s="17"/>
      <c r="O230" s="17"/>
      <c r="P230" s="17" t="str">
        <f t="shared" si="6"/>
        <v>OK</v>
      </c>
      <c r="Q230" s="17" t="s">
        <v>35</v>
      </c>
      <c r="R230" s="6" t="s">
        <v>35</v>
      </c>
      <c r="S230" s="17" t="s">
        <v>36</v>
      </c>
      <c r="T230" s="17" t="s">
        <v>1671</v>
      </c>
      <c r="U230" s="18" t="s">
        <v>38</v>
      </c>
      <c r="V230" s="19" t="s">
        <v>1548</v>
      </c>
      <c r="W230" s="20" t="s">
        <v>687</v>
      </c>
      <c r="X230" s="39" t="s">
        <v>1672</v>
      </c>
      <c r="Y230" s="20"/>
      <c r="Z230" s="7"/>
      <c r="AA230" s="7"/>
      <c r="AB230" s="23"/>
      <c r="AC230" s="26"/>
    </row>
    <row r="231" spans="1:29" ht="15.75" customHeight="1">
      <c r="A231" s="10" t="s">
        <v>1673</v>
      </c>
      <c r="B231" s="10" t="s">
        <v>1469</v>
      </c>
      <c r="C231" s="60" t="s">
        <v>1470</v>
      </c>
      <c r="D231" s="12"/>
      <c r="E231" s="13" t="s">
        <v>378</v>
      </c>
      <c r="F231" s="43" t="s">
        <v>1674</v>
      </c>
      <c r="G231" s="6" t="str">
        <f ca="1">IFERROR(__xludf.DUMMYFUNCTION("CONCATENATE(B231,(VLOOKUP(C231,CATALOGOS!$F$2:$H$6,3,FALSE)),(VLOOKUP(V231,CATALOGOS!$J$2:$K$18,2,FALSE)),""-"",TO_TEXT(A231))"),"P12PP-0230")</f>
        <v>P12PP-0230</v>
      </c>
      <c r="H231" s="15" t="str">
        <f ca="1">IFERROR(__xludf.DUMMYFUNCTION("CONCATENATE($B231,(VLOOKUP($C231,CATALOGOS!$F$2:$H$6,3,FALSE)),(VLOOKUP($V231,CATALOGOS!$J$2:$K$18,2,FALSE)),""-"",TO_TEXT($A231))"),"P12PP-0230")</f>
        <v>P12PP-0230</v>
      </c>
      <c r="I231" s="6"/>
      <c r="J231" s="6" t="s">
        <v>1675</v>
      </c>
      <c r="K231" s="6" t="s">
        <v>1676</v>
      </c>
      <c r="L231" s="6" t="s">
        <v>1677</v>
      </c>
      <c r="M231" s="6" t="s">
        <v>1678</v>
      </c>
      <c r="N231" s="17"/>
      <c r="O231" s="17"/>
      <c r="P231" s="17" t="str">
        <f t="shared" si="6"/>
        <v>OK</v>
      </c>
      <c r="Q231" s="17" t="s">
        <v>35</v>
      </c>
      <c r="R231" s="6" t="s">
        <v>35</v>
      </c>
      <c r="S231" s="17" t="s">
        <v>36</v>
      </c>
      <c r="T231" s="17" t="s">
        <v>1679</v>
      </c>
      <c r="U231" s="18" t="s">
        <v>38</v>
      </c>
      <c r="V231" s="19" t="s">
        <v>1548</v>
      </c>
      <c r="W231" s="20" t="s">
        <v>1597</v>
      </c>
      <c r="X231" s="39" t="s">
        <v>1597</v>
      </c>
      <c r="Y231" s="20"/>
      <c r="Z231" s="7"/>
      <c r="AA231" s="7"/>
      <c r="AB231" s="23"/>
      <c r="AC231" s="26"/>
    </row>
    <row r="232" spans="1:29" ht="15.75" customHeight="1">
      <c r="A232" s="10" t="s">
        <v>1680</v>
      </c>
      <c r="B232" s="10" t="s">
        <v>1469</v>
      </c>
      <c r="C232" s="60" t="s">
        <v>1470</v>
      </c>
      <c r="D232" s="12"/>
      <c r="E232" s="13" t="s">
        <v>53</v>
      </c>
      <c r="F232" s="6" t="s">
        <v>1681</v>
      </c>
      <c r="G232" s="6" t="str">
        <f ca="1">IFERROR(__xludf.DUMMYFUNCTION("CONCATENATE(B232,(VLOOKUP(C232,CATALOGOS!$F$2:$H$6,3,FALSE)),(VLOOKUP(V232,CATALOGOS!$J$2:$K$18,2,FALSE)),""-"",TO_TEXT(A232))"),"P12PP-0231")</f>
        <v>P12PP-0231</v>
      </c>
      <c r="H232" s="15" t="str">
        <f ca="1">IFERROR(__xludf.DUMMYFUNCTION("CONCATENATE($B232,(VLOOKUP($C232,CATALOGOS!$F$2:$H$6,3,FALSE)),(VLOOKUP($V232,CATALOGOS!$J$2:$K$18,2,FALSE)),""-"",TO_TEXT($A232))"),"P12PP-0231")</f>
        <v>P12PP-0231</v>
      </c>
      <c r="I232" s="6"/>
      <c r="J232" s="6" t="s">
        <v>1682</v>
      </c>
      <c r="K232" s="6" t="s">
        <v>1683</v>
      </c>
      <c r="L232" s="6" t="s">
        <v>1684</v>
      </c>
      <c r="M232" s="6" t="s">
        <v>1685</v>
      </c>
      <c r="N232" s="17"/>
      <c r="O232" s="17"/>
      <c r="P232" s="17" t="str">
        <f t="shared" si="6"/>
        <v>OK</v>
      </c>
      <c r="Q232" s="17" t="s">
        <v>35</v>
      </c>
      <c r="R232" s="6" t="s">
        <v>35</v>
      </c>
      <c r="S232" s="17" t="s">
        <v>36</v>
      </c>
      <c r="T232" s="17" t="s">
        <v>1686</v>
      </c>
      <c r="U232" s="18" t="s">
        <v>38</v>
      </c>
      <c r="V232" s="19" t="s">
        <v>1548</v>
      </c>
      <c r="W232" s="20" t="s">
        <v>1597</v>
      </c>
      <c r="X232" s="39" t="s">
        <v>1597</v>
      </c>
      <c r="Y232" s="20"/>
      <c r="Z232" s="6"/>
      <c r="AA232" s="6"/>
      <c r="AB232" s="23"/>
      <c r="AC232" s="24"/>
    </row>
    <row r="233" spans="1:29" ht="15.75" customHeight="1">
      <c r="A233" s="10" t="s">
        <v>1687</v>
      </c>
      <c r="B233" s="10" t="s">
        <v>1469</v>
      </c>
      <c r="C233" s="60" t="s">
        <v>1470</v>
      </c>
      <c r="D233" s="12"/>
      <c r="E233" s="13" t="s">
        <v>43</v>
      </c>
      <c r="F233" s="43" t="s">
        <v>1688</v>
      </c>
      <c r="G233" s="6" t="str">
        <f ca="1">IFERROR(__xludf.DUMMYFUNCTION("CONCATENATE(B233,(VLOOKUP(C233,CATALOGOS!$F$2:$H$6,3,FALSE)),(VLOOKUP(V233,CATALOGOS!$J$2:$K$18,2,FALSE)),""-"",TO_TEXT(A233))"),"P12PP-0232")</f>
        <v>P12PP-0232</v>
      </c>
      <c r="H233" s="15" t="str">
        <f ca="1">IFERROR(__xludf.DUMMYFUNCTION("CONCATENATE($B233,(VLOOKUP($C233,CATALOGOS!$F$2:$H$6,3,FALSE)),(VLOOKUP($V233,CATALOGOS!$J$2:$K$18,2,FALSE)),""-"",TO_TEXT($A233))"),"P12PP-0232")</f>
        <v>P12PP-0232</v>
      </c>
      <c r="I233" s="6"/>
      <c r="J233" s="6" t="s">
        <v>1689</v>
      </c>
      <c r="K233" s="6" t="s">
        <v>1690</v>
      </c>
      <c r="L233" s="6" t="s">
        <v>1691</v>
      </c>
      <c r="M233" s="6" t="s">
        <v>1692</v>
      </c>
      <c r="N233" s="17"/>
      <c r="O233" s="17"/>
      <c r="P233" s="17" t="str">
        <f t="shared" si="6"/>
        <v>OK</v>
      </c>
      <c r="Q233" s="17" t="s">
        <v>1693</v>
      </c>
      <c r="R233" s="6">
        <v>3141</v>
      </c>
      <c r="S233" s="17" t="s">
        <v>36</v>
      </c>
      <c r="T233" s="17" t="s">
        <v>1694</v>
      </c>
      <c r="U233" s="18" t="s">
        <v>38</v>
      </c>
      <c r="V233" s="19" t="s">
        <v>1548</v>
      </c>
      <c r="W233" s="20" t="s">
        <v>1597</v>
      </c>
      <c r="X233" s="39" t="s">
        <v>1597</v>
      </c>
      <c r="Y233" s="20"/>
      <c r="Z233" s="7"/>
      <c r="AA233" s="7"/>
      <c r="AB233" s="23"/>
      <c r="AC233" s="26"/>
    </row>
    <row r="234" spans="1:29" ht="15.75" customHeight="1">
      <c r="A234" s="10" t="s">
        <v>1695</v>
      </c>
      <c r="B234" s="10" t="s">
        <v>1469</v>
      </c>
      <c r="C234" s="60" t="s">
        <v>1470</v>
      </c>
      <c r="D234" s="12"/>
      <c r="E234" s="13" t="s">
        <v>93</v>
      </c>
      <c r="F234" s="43" t="s">
        <v>1696</v>
      </c>
      <c r="G234" s="14" t="str">
        <f ca="1">IFERROR(__xludf.DUMMYFUNCTION("CONCATENATE(B234,(VLOOKUP(C234,CATALOGOS!$F$2:$H$6,3,FALSE)),(VLOOKUP(V234,CATALOGOS!$J$2:$K$18,2,FALSE)),""-"",TO_TEXT(A234))"),"P12PP-0233")</f>
        <v>P12PP-0233</v>
      </c>
      <c r="H234" s="15" t="str">
        <f ca="1">IFERROR(__xludf.DUMMYFUNCTION("CONCATENATE($B234,(VLOOKUP($C234,CATALOGOS!$F$2:$H$6,3,FALSE)),(VLOOKUP($V234,CATALOGOS!$J$2:$K$18,2,FALSE)),""-"",TO_TEXT($A234))"),"P12PP-0233")</f>
        <v>P12PP-0233</v>
      </c>
      <c r="I234" s="6"/>
      <c r="J234" s="6" t="s">
        <v>1697</v>
      </c>
      <c r="K234" s="6" t="s">
        <v>1698</v>
      </c>
      <c r="L234" s="6" t="s">
        <v>1699</v>
      </c>
      <c r="M234" s="6" t="s">
        <v>1700</v>
      </c>
      <c r="N234" s="17"/>
      <c r="O234" s="17"/>
      <c r="P234" s="17" t="str">
        <f t="shared" si="6"/>
        <v>OK</v>
      </c>
      <c r="Q234" s="17" t="s">
        <v>35</v>
      </c>
      <c r="R234" s="6" t="s">
        <v>35</v>
      </c>
      <c r="S234" s="17" t="s">
        <v>36</v>
      </c>
      <c r="T234" s="17" t="s">
        <v>1701</v>
      </c>
      <c r="U234" s="18" t="s">
        <v>38</v>
      </c>
      <c r="V234" s="19" t="s">
        <v>1548</v>
      </c>
      <c r="W234" s="20" t="s">
        <v>1549</v>
      </c>
      <c r="X234" s="39" t="s">
        <v>1550</v>
      </c>
      <c r="Y234" s="20"/>
      <c r="Z234" s="7"/>
      <c r="AA234" s="7"/>
      <c r="AB234" s="23"/>
      <c r="AC234" s="26"/>
    </row>
    <row r="235" spans="1:29" ht="15.75" customHeight="1">
      <c r="A235" s="10" t="s">
        <v>1702</v>
      </c>
      <c r="B235" s="10" t="s">
        <v>1469</v>
      </c>
      <c r="C235" s="60" t="s">
        <v>1470</v>
      </c>
      <c r="D235" s="12"/>
      <c r="E235" s="13" t="s">
        <v>378</v>
      </c>
      <c r="F235" s="43" t="s">
        <v>1703</v>
      </c>
      <c r="G235" s="6" t="str">
        <f ca="1">IFERROR(__xludf.DUMMYFUNCTION("CONCATENATE(B235,(VLOOKUP(C235,CATALOGOS!$F$2:$H$6,3,FALSE)),(VLOOKUP(V235,CATALOGOS!$J$2:$K$18,2,FALSE)),""-"",TO_TEXT(A235))"),"P12PP-0234")</f>
        <v>P12PP-0234</v>
      </c>
      <c r="H235" s="15" t="str">
        <f ca="1">IFERROR(__xludf.DUMMYFUNCTION("CONCATENATE($B235,(VLOOKUP($C235,CATALOGOS!$F$2:$H$6,3,FALSE)),(VLOOKUP($V235,CATALOGOS!$J$2:$K$18,2,FALSE)),""-"",TO_TEXT($A235))"),"P12PP-0234")</f>
        <v>P12PP-0234</v>
      </c>
      <c r="I235" s="6"/>
      <c r="J235" s="6" t="s">
        <v>1704</v>
      </c>
      <c r="K235" s="6" t="s">
        <v>1705</v>
      </c>
      <c r="L235" s="6" t="s">
        <v>1706</v>
      </c>
      <c r="M235" s="6" t="s">
        <v>1707</v>
      </c>
      <c r="N235" s="17"/>
      <c r="O235" s="17"/>
      <c r="P235" s="17" t="str">
        <f t="shared" si="6"/>
        <v>OK</v>
      </c>
      <c r="Q235" s="17" t="s">
        <v>35</v>
      </c>
      <c r="R235" s="6" t="s">
        <v>35</v>
      </c>
      <c r="S235" s="17" t="s">
        <v>36</v>
      </c>
      <c r="T235" s="17" t="s">
        <v>1708</v>
      </c>
      <c r="U235" s="18" t="s">
        <v>38</v>
      </c>
      <c r="V235" s="19" t="s">
        <v>1548</v>
      </c>
      <c r="W235" s="20" t="s">
        <v>1597</v>
      </c>
      <c r="X235" s="39" t="s">
        <v>1597</v>
      </c>
      <c r="Y235" s="20"/>
      <c r="Z235" s="7"/>
      <c r="AA235" s="7"/>
      <c r="AB235" s="23"/>
      <c r="AC235" s="26"/>
    </row>
    <row r="236" spans="1:29" ht="15.75" customHeight="1">
      <c r="A236" s="10" t="s">
        <v>1709</v>
      </c>
      <c r="B236" s="10" t="s">
        <v>1469</v>
      </c>
      <c r="C236" s="60" t="s">
        <v>1470</v>
      </c>
      <c r="D236" s="12"/>
      <c r="E236" s="13" t="s">
        <v>378</v>
      </c>
      <c r="F236" s="43" t="s">
        <v>1703</v>
      </c>
      <c r="G236" s="6" t="str">
        <f ca="1">IFERROR(__xludf.DUMMYFUNCTION("CONCATENATE(B236,(VLOOKUP(C236,CATALOGOS!$F$2:$H$6,3,FALSE)),(VLOOKUP(V236,CATALOGOS!$J$2:$K$18,2,FALSE)),""-"",TO_TEXT(A236))"),"P12PP-0235")</f>
        <v>P12PP-0235</v>
      </c>
      <c r="H236" s="15" t="str">
        <f ca="1">IFERROR(__xludf.DUMMYFUNCTION("CONCATENATE($B236,(VLOOKUP($C236,CATALOGOS!$F$2:$H$6,3,FALSE)),(VLOOKUP($V236,CATALOGOS!$J$2:$K$18,2,FALSE)),""-"",TO_TEXT($A236))"),"P12PP-0235")</f>
        <v>P12PP-0235</v>
      </c>
      <c r="I236" s="6"/>
      <c r="J236" s="6" t="s">
        <v>1710</v>
      </c>
      <c r="K236" s="6" t="s">
        <v>1711</v>
      </c>
      <c r="L236" s="6" t="s">
        <v>1712</v>
      </c>
      <c r="M236" s="6" t="s">
        <v>1713</v>
      </c>
      <c r="N236" s="17"/>
      <c r="O236" s="17"/>
      <c r="P236" s="17" t="str">
        <f t="shared" si="6"/>
        <v>OK</v>
      </c>
      <c r="Q236" s="17" t="s">
        <v>35</v>
      </c>
      <c r="R236" s="6" t="s">
        <v>35</v>
      </c>
      <c r="S236" s="17" t="s">
        <v>36</v>
      </c>
      <c r="T236" s="17" t="s">
        <v>1714</v>
      </c>
      <c r="U236" s="18" t="s">
        <v>38</v>
      </c>
      <c r="V236" s="19" t="s">
        <v>1548</v>
      </c>
      <c r="W236" s="20" t="s">
        <v>1597</v>
      </c>
      <c r="X236" s="39" t="s">
        <v>1597</v>
      </c>
      <c r="Y236" s="20"/>
      <c r="Z236" s="7"/>
      <c r="AA236" s="7"/>
      <c r="AB236" s="23"/>
      <c r="AC236" s="26"/>
    </row>
    <row r="237" spans="1:29" ht="15.75" customHeight="1">
      <c r="A237" s="10" t="s">
        <v>1715</v>
      </c>
      <c r="B237" s="10" t="s">
        <v>1469</v>
      </c>
      <c r="C237" s="60" t="s">
        <v>1470</v>
      </c>
      <c r="D237" s="12"/>
      <c r="E237" s="13" t="s">
        <v>62</v>
      </c>
      <c r="F237" s="43" t="s">
        <v>1716</v>
      </c>
      <c r="G237" s="6" t="str">
        <f ca="1">IFERROR(__xludf.DUMMYFUNCTION("CONCATENATE(B237,(VLOOKUP(C237,CATALOGOS!$F$2:$H$6,3,FALSE)),(VLOOKUP(V237,CATALOGOS!$J$2:$K$18,2,FALSE)),""-"",TO_TEXT(A237))"),"P12PP-0236")</f>
        <v>P12PP-0236</v>
      </c>
      <c r="H237" s="15" t="str">
        <f ca="1">IFERROR(__xludf.DUMMYFUNCTION("CONCATENATE($B237,(VLOOKUP($C237,CATALOGOS!$F$2:$H$6,3,FALSE)),(VLOOKUP($V237,CATALOGOS!$J$2:$K$18,2,FALSE)),""-"",TO_TEXT($A237))"),"P12PP-0236")</f>
        <v>P12PP-0236</v>
      </c>
      <c r="I237" s="6"/>
      <c r="J237" s="6" t="s">
        <v>1717</v>
      </c>
      <c r="K237" s="6" t="s">
        <v>1718</v>
      </c>
      <c r="L237" s="6" t="s">
        <v>1719</v>
      </c>
      <c r="M237" s="6" t="s">
        <v>1720</v>
      </c>
      <c r="N237" s="17"/>
      <c r="O237" s="17"/>
      <c r="P237" s="17" t="str">
        <f t="shared" si="6"/>
        <v>OK</v>
      </c>
      <c r="Q237" s="17" t="s">
        <v>35</v>
      </c>
      <c r="R237" s="6" t="s">
        <v>35</v>
      </c>
      <c r="S237" s="17" t="s">
        <v>36</v>
      </c>
      <c r="T237" s="17" t="s">
        <v>85</v>
      </c>
      <c r="U237" s="18" t="s">
        <v>38</v>
      </c>
      <c r="V237" s="19" t="s">
        <v>1548</v>
      </c>
      <c r="W237" s="20" t="s">
        <v>1597</v>
      </c>
      <c r="X237" s="39" t="s">
        <v>1597</v>
      </c>
      <c r="Y237" s="20"/>
      <c r="Z237" s="6"/>
      <c r="AA237" s="6"/>
      <c r="AB237" s="23"/>
      <c r="AC237" s="24"/>
    </row>
    <row r="238" spans="1:29" ht="15.75" customHeight="1">
      <c r="A238" s="10" t="s">
        <v>1721</v>
      </c>
      <c r="B238" s="10" t="s">
        <v>1469</v>
      </c>
      <c r="C238" s="60" t="s">
        <v>1470</v>
      </c>
      <c r="D238" s="38"/>
      <c r="E238" s="13" t="s">
        <v>248</v>
      </c>
      <c r="F238" s="43" t="s">
        <v>249</v>
      </c>
      <c r="G238" s="6" t="str">
        <f ca="1">IFERROR(__xludf.DUMMYFUNCTION("CONCATENATE(B238,(VLOOKUP(C238,CATALOGOS!$F$2:$H$6,3,FALSE)),(VLOOKUP(V238,CATALOGOS!$J$2:$K$18,2,FALSE)),""-"",TO_TEXT(A238))"),"P12PP-0237")</f>
        <v>P12PP-0237</v>
      </c>
      <c r="H238" s="15" t="str">
        <f ca="1">IFERROR(__xludf.DUMMYFUNCTION("CONCATENATE($B238,(VLOOKUP($C238,CATALOGOS!$F$2:$H$6,3,FALSE)),(VLOOKUP($V238,CATALOGOS!$J$2:$K$18,2,FALSE)),""-"",TO_TEXT($A238))"),"P12PP-0237")</f>
        <v>P12PP-0237</v>
      </c>
      <c r="I238" s="6"/>
      <c r="J238" s="6" t="s">
        <v>1722</v>
      </c>
      <c r="K238" s="17" t="s">
        <v>1723</v>
      </c>
      <c r="L238" s="17" t="s">
        <v>1724</v>
      </c>
      <c r="M238" s="17" t="s">
        <v>1725</v>
      </c>
      <c r="N238" s="17"/>
      <c r="O238" s="17"/>
      <c r="P238" s="17" t="str">
        <f t="shared" si="6"/>
        <v>OK</v>
      </c>
      <c r="Q238" s="17" t="s">
        <v>303</v>
      </c>
      <c r="R238" s="6" t="s">
        <v>1726</v>
      </c>
      <c r="S238" s="46" t="s">
        <v>1727</v>
      </c>
      <c r="T238" s="17" t="s">
        <v>1728</v>
      </c>
      <c r="U238" s="18" t="s">
        <v>38</v>
      </c>
      <c r="V238" s="19" t="s">
        <v>1548</v>
      </c>
      <c r="W238" s="20" t="s">
        <v>1597</v>
      </c>
      <c r="X238" s="39" t="s">
        <v>1597</v>
      </c>
      <c r="Y238" s="20"/>
      <c r="Z238" s="7"/>
      <c r="AA238" s="7"/>
      <c r="AB238" s="26"/>
      <c r="AC238" s="26"/>
    </row>
    <row r="239" spans="1:29" ht="15.75" customHeight="1">
      <c r="A239" s="10" t="s">
        <v>1729</v>
      </c>
      <c r="B239" s="10" t="s">
        <v>1469</v>
      </c>
      <c r="C239" s="60" t="s">
        <v>1470</v>
      </c>
      <c r="D239" s="12"/>
      <c r="E239" s="13" t="s">
        <v>116</v>
      </c>
      <c r="F239" s="6" t="s">
        <v>1730</v>
      </c>
      <c r="G239" s="6" t="str">
        <f ca="1">IFERROR(__xludf.DUMMYFUNCTION("CONCATENATE(B239,(VLOOKUP(C239,CATALOGOS!$F$2:$H$6,3,FALSE)),(VLOOKUP(V239,CATALOGOS!$J$2:$K$18,2,FALSE)),""-"",TO_TEXT(A239))"),"P12PP-0238")</f>
        <v>P12PP-0238</v>
      </c>
      <c r="H239" s="15" t="str">
        <f ca="1">IFERROR(__xludf.DUMMYFUNCTION("CONCATENATE($B239,(VLOOKUP($C239,CATALOGOS!$F$2:$H$6,3,FALSE)),(VLOOKUP($V239,CATALOGOS!$J$2:$K$18,2,FALSE)),""-"",TO_TEXT($A239))"),"P12PP-0238")</f>
        <v>P12PP-0238</v>
      </c>
      <c r="I239" s="6"/>
      <c r="J239" s="6" t="s">
        <v>1731</v>
      </c>
      <c r="K239" s="6" t="s">
        <v>1732</v>
      </c>
      <c r="L239" s="6" t="s">
        <v>1733</v>
      </c>
      <c r="M239" s="6" t="s">
        <v>1734</v>
      </c>
      <c r="N239" s="17"/>
      <c r="O239" s="17"/>
      <c r="P239" s="17" t="str">
        <f t="shared" si="6"/>
        <v>OK</v>
      </c>
      <c r="Q239" s="17" t="s">
        <v>35</v>
      </c>
      <c r="R239" s="6" t="s">
        <v>35</v>
      </c>
      <c r="S239" s="17" t="s">
        <v>36</v>
      </c>
      <c r="T239" s="17" t="s">
        <v>1735</v>
      </c>
      <c r="U239" s="18" t="s">
        <v>38</v>
      </c>
      <c r="V239" s="19" t="s">
        <v>1548</v>
      </c>
      <c r="W239" s="20" t="s">
        <v>1736</v>
      </c>
      <c r="X239" s="39" t="s">
        <v>1737</v>
      </c>
      <c r="Y239" s="20"/>
      <c r="Z239" s="7"/>
      <c r="AA239" s="7"/>
      <c r="AB239" s="23"/>
      <c r="AC239" s="26"/>
    </row>
    <row r="240" spans="1:29" ht="15.75" customHeight="1">
      <c r="A240" s="10" t="s">
        <v>1738</v>
      </c>
      <c r="B240" s="10" t="s">
        <v>1469</v>
      </c>
      <c r="C240" s="60" t="s">
        <v>1470</v>
      </c>
      <c r="D240" s="12"/>
      <c r="E240" s="13" t="s">
        <v>93</v>
      </c>
      <c r="F240" s="6" t="s">
        <v>1739</v>
      </c>
      <c r="G240" s="6" t="str">
        <f ca="1">IFERROR(__xludf.DUMMYFUNCTION("CONCATENATE(B240,(VLOOKUP(C240,CATALOGOS!$F$2:$H$6,3,FALSE)),(VLOOKUP(V240,CATALOGOS!$J$2:$K$18,2,FALSE)),""-"",TO_TEXT(A240))"),"P12PP-0239")</f>
        <v>P12PP-0239</v>
      </c>
      <c r="H240" s="15" t="str">
        <f ca="1">IFERROR(__xludf.DUMMYFUNCTION("CONCATENATE($B240,(VLOOKUP($C240,CATALOGOS!$F$2:$H$6,3,FALSE)),(VLOOKUP($V240,CATALOGOS!$J$2:$K$18,2,FALSE)),""-"",TO_TEXT($A240))"),"P12PP-0239")</f>
        <v>P12PP-0239</v>
      </c>
      <c r="I240" s="6"/>
      <c r="J240" s="6" t="s">
        <v>1740</v>
      </c>
      <c r="K240" s="6" t="s">
        <v>1741</v>
      </c>
      <c r="L240" s="6" t="s">
        <v>1742</v>
      </c>
      <c r="M240" s="6" t="s">
        <v>1743</v>
      </c>
      <c r="N240" s="17"/>
      <c r="O240" s="17"/>
      <c r="P240" s="17" t="str">
        <f t="shared" si="6"/>
        <v>OK</v>
      </c>
      <c r="Q240" s="17" t="s">
        <v>35</v>
      </c>
      <c r="R240" s="6" t="s">
        <v>35</v>
      </c>
      <c r="S240" s="17" t="s">
        <v>36</v>
      </c>
      <c r="T240" s="17" t="s">
        <v>1744</v>
      </c>
      <c r="U240" s="18" t="s">
        <v>38</v>
      </c>
      <c r="V240" s="19" t="s">
        <v>1548</v>
      </c>
      <c r="W240" s="20" t="s">
        <v>1736</v>
      </c>
      <c r="X240" s="39" t="s">
        <v>1737</v>
      </c>
      <c r="Y240" s="20"/>
      <c r="Z240" s="7"/>
      <c r="AA240" s="7"/>
      <c r="AB240" s="23"/>
      <c r="AC240" s="26"/>
    </row>
    <row r="241" spans="1:30" ht="15.75" customHeight="1">
      <c r="A241" s="10" t="s">
        <v>1745</v>
      </c>
      <c r="B241" s="10" t="s">
        <v>1469</v>
      </c>
      <c r="C241" s="60" t="s">
        <v>1470</v>
      </c>
      <c r="D241" s="12"/>
      <c r="E241" s="13" t="s">
        <v>199</v>
      </c>
      <c r="F241" s="6" t="s">
        <v>1746</v>
      </c>
      <c r="G241" s="6" t="str">
        <f ca="1">IFERROR(__xludf.DUMMYFUNCTION("CONCATENATE(B241,(VLOOKUP(C241,CATALOGOS!$F$2:$H$6,3,FALSE)),(VLOOKUP(V241,CATALOGOS!$J$2:$K$18,2,FALSE)),""-"",TO_TEXT(A241))"),"P12PP-0240")</f>
        <v>P12PP-0240</v>
      </c>
      <c r="H241" s="15" t="str">
        <f ca="1">IFERROR(__xludf.DUMMYFUNCTION("CONCATENATE($B241,(VLOOKUP($C241,CATALOGOS!$F$2:$H$6,3,FALSE)),(VLOOKUP($V241,CATALOGOS!$J$2:$K$18,2,FALSE)),""-"",TO_TEXT($A241))"),"P12PP-0240")</f>
        <v>P12PP-0240</v>
      </c>
      <c r="I241" s="6"/>
      <c r="J241" s="6" t="s">
        <v>1747</v>
      </c>
      <c r="K241" s="6" t="s">
        <v>1748</v>
      </c>
      <c r="L241" s="6" t="s">
        <v>1749</v>
      </c>
      <c r="M241" s="6" t="s">
        <v>141</v>
      </c>
      <c r="N241" s="17"/>
      <c r="O241" s="17"/>
      <c r="P241" s="17" t="str">
        <f t="shared" si="6"/>
        <v>REPETIDO</v>
      </c>
      <c r="Q241" s="17" t="s">
        <v>682</v>
      </c>
      <c r="R241" s="6" t="s">
        <v>1750</v>
      </c>
      <c r="S241" s="17" t="s">
        <v>1751</v>
      </c>
      <c r="T241" s="17" t="s">
        <v>1752</v>
      </c>
      <c r="U241" s="18" t="s">
        <v>38</v>
      </c>
      <c r="V241" s="19" t="s">
        <v>1548</v>
      </c>
      <c r="W241" s="20" t="s">
        <v>1736</v>
      </c>
      <c r="X241" s="39" t="s">
        <v>1737</v>
      </c>
      <c r="Y241" s="20"/>
      <c r="Z241" s="7"/>
      <c r="AA241" s="7"/>
      <c r="AB241" s="23"/>
      <c r="AC241" s="26"/>
    </row>
    <row r="242" spans="1:30" ht="15.75" customHeight="1">
      <c r="A242" s="10" t="s">
        <v>1753</v>
      </c>
      <c r="B242" s="10" t="s">
        <v>1469</v>
      </c>
      <c r="C242" s="60" t="s">
        <v>1470</v>
      </c>
      <c r="D242" s="38"/>
      <c r="E242" s="13" t="s">
        <v>248</v>
      </c>
      <c r="F242" s="6" t="s">
        <v>249</v>
      </c>
      <c r="G242" s="6" t="str">
        <f ca="1">IFERROR(__xludf.DUMMYFUNCTION("CONCATENATE(B242,(VLOOKUP(C242,CATALOGOS!$F$2:$H$6,3,FALSE)),(VLOOKUP(V242,CATALOGOS!$J$2:$K$18,2,FALSE)),""-"",TO_TEXT(A242))"),"P12PP-0241")</f>
        <v>P12PP-0241</v>
      </c>
      <c r="H242" s="15" t="str">
        <f ca="1">IFERROR(__xludf.DUMMYFUNCTION("CONCATENATE($B242,(VLOOKUP($C242,CATALOGOS!$F$2:$H$6,3,FALSE)),(VLOOKUP($V242,CATALOGOS!$J$2:$K$18,2,FALSE)),""-"",TO_TEXT($A242))"),"P12PP-0241")</f>
        <v>P12PP-0241</v>
      </c>
      <c r="I242" s="6"/>
      <c r="J242" s="6" t="s">
        <v>1754</v>
      </c>
      <c r="K242" s="6" t="s">
        <v>1755</v>
      </c>
      <c r="L242" s="6" t="s">
        <v>1756</v>
      </c>
      <c r="M242" s="6" t="s">
        <v>1757</v>
      </c>
      <c r="N242" s="17"/>
      <c r="O242" s="17"/>
      <c r="P242" s="17" t="str">
        <f t="shared" si="6"/>
        <v>OK</v>
      </c>
      <c r="Q242" s="6" t="s">
        <v>303</v>
      </c>
      <c r="R242" s="6" t="s">
        <v>304</v>
      </c>
      <c r="S242" s="46" t="s">
        <v>1758</v>
      </c>
      <c r="T242" s="17" t="s">
        <v>1759</v>
      </c>
      <c r="U242" s="18" t="s">
        <v>38</v>
      </c>
      <c r="V242" s="19" t="s">
        <v>1548</v>
      </c>
      <c r="W242" s="20" t="s">
        <v>687</v>
      </c>
      <c r="X242" s="39" t="s">
        <v>1672</v>
      </c>
      <c r="Y242" s="20"/>
      <c r="Z242" s="7"/>
      <c r="AA242" s="7"/>
      <c r="AB242" s="26"/>
      <c r="AC242" s="26"/>
    </row>
    <row r="243" spans="1:30" ht="15.75" customHeight="1">
      <c r="A243" s="10" t="s">
        <v>1760</v>
      </c>
      <c r="B243" s="10" t="s">
        <v>1469</v>
      </c>
      <c r="C243" s="60" t="s">
        <v>1470</v>
      </c>
      <c r="D243" s="12"/>
      <c r="E243" s="13" t="s">
        <v>116</v>
      </c>
      <c r="F243" s="6" t="s">
        <v>1730</v>
      </c>
      <c r="G243" s="6" t="str">
        <f ca="1">IFERROR(__xludf.DUMMYFUNCTION("CONCATENATE(B243,(VLOOKUP(C243,CATALOGOS!$F$2:$H$6,3,FALSE)),(VLOOKUP(V243,CATALOGOS!$J$2:$K$18,2,FALSE)),""-"",TO_TEXT(A243))"),"P12PP-0242")</f>
        <v>P12PP-0242</v>
      </c>
      <c r="H243" s="15" t="str">
        <f ca="1">IFERROR(__xludf.DUMMYFUNCTION("CONCATENATE($B243,(VLOOKUP($C243,CATALOGOS!$F$2:$H$6,3,FALSE)),(VLOOKUP($V243,CATALOGOS!$J$2:$K$18,2,FALSE)),""-"",TO_TEXT($A243))"),"P12PP-0242")</f>
        <v>P12PP-0242</v>
      </c>
      <c r="I243" s="6"/>
      <c r="J243" s="6" t="s">
        <v>1761</v>
      </c>
      <c r="K243" s="6" t="s">
        <v>1762</v>
      </c>
      <c r="L243" s="6" t="s">
        <v>1763</v>
      </c>
      <c r="M243" s="6" t="s">
        <v>1764</v>
      </c>
      <c r="N243" s="17"/>
      <c r="O243" s="17"/>
      <c r="P243" s="17" t="str">
        <f t="shared" si="6"/>
        <v>OK</v>
      </c>
      <c r="Q243" s="17" t="s">
        <v>35</v>
      </c>
      <c r="R243" s="6" t="s">
        <v>35</v>
      </c>
      <c r="S243" s="17" t="s">
        <v>36</v>
      </c>
      <c r="T243" s="17" t="s">
        <v>1765</v>
      </c>
      <c r="U243" s="18" t="s">
        <v>38</v>
      </c>
      <c r="V243" s="19" t="s">
        <v>1548</v>
      </c>
      <c r="W243" s="20" t="s">
        <v>687</v>
      </c>
      <c r="X243" s="21" t="s">
        <v>1672</v>
      </c>
      <c r="Y243" s="22"/>
      <c r="Z243" s="36"/>
      <c r="AA243" s="36"/>
      <c r="AB243" s="23"/>
      <c r="AC243" s="33"/>
    </row>
    <row r="244" spans="1:30" ht="15.75" customHeight="1">
      <c r="A244" s="10" t="s">
        <v>1766</v>
      </c>
      <c r="B244" s="10" t="s">
        <v>1469</v>
      </c>
      <c r="C244" s="60" t="s">
        <v>1470</v>
      </c>
      <c r="D244" s="12"/>
      <c r="E244" s="13" t="s">
        <v>93</v>
      </c>
      <c r="F244" s="6" t="s">
        <v>1739</v>
      </c>
      <c r="G244" s="6" t="str">
        <f ca="1">IFERROR(__xludf.DUMMYFUNCTION("CONCATENATE(B244,(VLOOKUP(C244,CATALOGOS!$F$2:$H$6,3,FALSE)),(VLOOKUP(V244,CATALOGOS!$J$2:$K$18,2,FALSE)),""-"",TO_TEXT(A244))"),"P12PP-0243")</f>
        <v>P12PP-0243</v>
      </c>
      <c r="H244" s="15" t="str">
        <f ca="1">IFERROR(__xludf.DUMMYFUNCTION("CONCATENATE($B244,(VLOOKUP($C244,CATALOGOS!$F$2:$H$6,3,FALSE)),(VLOOKUP($V244,CATALOGOS!$J$2:$K$18,2,FALSE)),""-"",TO_TEXT($A244))"),"P12PP-0243")</f>
        <v>P12PP-0243</v>
      </c>
      <c r="I244" s="6"/>
      <c r="J244" s="6" t="s">
        <v>1767</v>
      </c>
      <c r="K244" s="6" t="s">
        <v>1768</v>
      </c>
      <c r="L244" s="6" t="s">
        <v>1769</v>
      </c>
      <c r="M244" s="6" t="s">
        <v>1770</v>
      </c>
      <c r="N244" s="17"/>
      <c r="O244" s="17"/>
      <c r="P244" s="17" t="str">
        <f t="shared" si="6"/>
        <v>OK</v>
      </c>
      <c r="Q244" s="17" t="s">
        <v>35</v>
      </c>
      <c r="R244" s="6" t="s">
        <v>35</v>
      </c>
      <c r="S244" s="17" t="s">
        <v>36</v>
      </c>
      <c r="T244" s="17" t="s">
        <v>1771</v>
      </c>
      <c r="U244" s="18" t="s">
        <v>38</v>
      </c>
      <c r="V244" s="19" t="s">
        <v>1548</v>
      </c>
      <c r="W244" s="20" t="s">
        <v>687</v>
      </c>
      <c r="X244" s="21" t="s">
        <v>1672</v>
      </c>
      <c r="Y244" s="22"/>
      <c r="Z244" s="36"/>
      <c r="AA244" s="36"/>
      <c r="AB244" s="23"/>
      <c r="AC244" s="33"/>
    </row>
    <row r="245" spans="1:30" ht="15.75" customHeight="1">
      <c r="A245" s="10" t="s">
        <v>1772</v>
      </c>
      <c r="B245" s="10" t="s">
        <v>1469</v>
      </c>
      <c r="C245" s="60" t="s">
        <v>1470</v>
      </c>
      <c r="D245" s="12"/>
      <c r="E245" s="13" t="s">
        <v>1240</v>
      </c>
      <c r="F245" s="43" t="s">
        <v>278</v>
      </c>
      <c r="G245" s="6" t="str">
        <f ca="1">IFERROR(__xludf.DUMMYFUNCTION("CONCATENATE(B245,(VLOOKUP(C245,CATALOGOS!$F$2:$H$6,3,FALSE)),(VLOOKUP(V245,CATALOGOS!$J$2:$K$18,2,FALSE)),""-"",TO_TEXT(A245))"),"P12PP-0244")</f>
        <v>P12PP-0244</v>
      </c>
      <c r="H245" s="15" t="str">
        <f ca="1">IFERROR(__xludf.DUMMYFUNCTION("CONCATENATE($B245,(VLOOKUP($C245,CATALOGOS!$F$2:$H$6,3,FALSE)),(VLOOKUP($V245,CATALOGOS!$J$2:$K$18,2,FALSE)),""-"",TO_TEXT($A245))"),"P12PP-0244")</f>
        <v>P12PP-0244</v>
      </c>
      <c r="I245" s="6"/>
      <c r="J245" s="6" t="s">
        <v>1773</v>
      </c>
      <c r="K245" s="6" t="s">
        <v>1774</v>
      </c>
      <c r="L245" s="6" t="s">
        <v>1775</v>
      </c>
      <c r="M245" s="6" t="s">
        <v>1776</v>
      </c>
      <c r="N245" s="17"/>
      <c r="O245" s="17"/>
      <c r="P245" s="17" t="str">
        <f t="shared" si="6"/>
        <v>OK</v>
      </c>
      <c r="Q245" s="17" t="s">
        <v>35</v>
      </c>
      <c r="R245" s="6" t="s">
        <v>35</v>
      </c>
      <c r="S245" s="17" t="s">
        <v>36</v>
      </c>
      <c r="T245" s="17" t="s">
        <v>1777</v>
      </c>
      <c r="U245" s="18" t="s">
        <v>38</v>
      </c>
      <c r="V245" s="19" t="s">
        <v>1548</v>
      </c>
      <c r="W245" s="20" t="s">
        <v>687</v>
      </c>
      <c r="X245" s="21" t="s">
        <v>1672</v>
      </c>
      <c r="Y245" s="22"/>
      <c r="Z245" s="7"/>
      <c r="AA245" s="7"/>
      <c r="AB245" s="23"/>
      <c r="AC245" s="26"/>
    </row>
    <row r="246" spans="1:30" ht="15.75" customHeight="1">
      <c r="A246" s="10" t="s">
        <v>1778</v>
      </c>
      <c r="B246" s="10" t="s">
        <v>1469</v>
      </c>
      <c r="C246" s="60" t="s">
        <v>1470</v>
      </c>
      <c r="D246" s="12"/>
      <c r="E246" s="13" t="s">
        <v>199</v>
      </c>
      <c r="F246" s="6" t="s">
        <v>199</v>
      </c>
      <c r="G246" s="6" t="str">
        <f ca="1">IFERROR(__xludf.DUMMYFUNCTION("CONCATENATE(B246,(VLOOKUP(C246,CATALOGOS!$F$2:$H$6,3,FALSE)),(VLOOKUP(V246,CATALOGOS!$J$2:$K$18,2,FALSE)),""-"",TO_TEXT(A246))"),"P12PP-0245")</f>
        <v>P12PP-0245</v>
      </c>
      <c r="H246" s="15" t="str">
        <f ca="1">IFERROR(__xludf.DUMMYFUNCTION("CONCATENATE($B246,(VLOOKUP($C246,CATALOGOS!$F$2:$H$6,3,FALSE)),(VLOOKUP($V246,CATALOGOS!$J$2:$K$18,2,FALSE)),""-"",TO_TEXT($A246))"),"P12PP-0245")</f>
        <v>P12PP-0245</v>
      </c>
      <c r="I246" s="6"/>
      <c r="J246" s="6" t="s">
        <v>1779</v>
      </c>
      <c r="K246" s="6" t="s">
        <v>1780</v>
      </c>
      <c r="L246" s="6" t="s">
        <v>1781</v>
      </c>
      <c r="M246" s="6" t="s">
        <v>1782</v>
      </c>
      <c r="N246" s="17"/>
      <c r="O246" s="17"/>
      <c r="P246" s="17" t="str">
        <f t="shared" si="6"/>
        <v>OK</v>
      </c>
      <c r="Q246" s="17" t="s">
        <v>273</v>
      </c>
      <c r="R246" s="6" t="s">
        <v>274</v>
      </c>
      <c r="S246" s="17" t="s">
        <v>1783</v>
      </c>
      <c r="T246" s="10" t="s">
        <v>85</v>
      </c>
      <c r="U246" s="18" t="s">
        <v>38</v>
      </c>
      <c r="V246" s="19" t="s">
        <v>1548</v>
      </c>
      <c r="W246" s="20" t="s">
        <v>687</v>
      </c>
      <c r="X246" s="21" t="s">
        <v>1672</v>
      </c>
      <c r="Y246" s="22"/>
      <c r="Z246" s="6"/>
      <c r="AA246" s="6"/>
      <c r="AB246" s="41" t="s">
        <v>275</v>
      </c>
      <c r="AC246" s="42">
        <v>44403</v>
      </c>
      <c r="AD246" s="45" t="s">
        <v>276</v>
      </c>
    </row>
    <row r="247" spans="1:30" ht="15.75" customHeight="1">
      <c r="A247" s="10" t="s">
        <v>1784</v>
      </c>
      <c r="B247" s="10" t="s">
        <v>1469</v>
      </c>
      <c r="C247" s="60" t="s">
        <v>1470</v>
      </c>
      <c r="D247" s="12"/>
      <c r="E247" s="13" t="s">
        <v>151</v>
      </c>
      <c r="F247" s="6" t="s">
        <v>293</v>
      </c>
      <c r="G247" s="6" t="str">
        <f ca="1">IFERROR(__xludf.DUMMYFUNCTION("CONCATENATE(B247,(VLOOKUP(C247,CATALOGOS!$F$2:$H$6,3,FALSE)),(VLOOKUP(V247,CATALOGOS!$J$2:$K$18,2,FALSE)),""-"",TO_TEXT(A247))"),"P12PP-0246")</f>
        <v>P12PP-0246</v>
      </c>
      <c r="H247" s="15" t="str">
        <f ca="1">IFERROR(__xludf.DUMMYFUNCTION("CONCATENATE($B247,(VLOOKUP($C247,CATALOGOS!$F$2:$H$6,3,FALSE)),(VLOOKUP($V247,CATALOGOS!$J$2:$K$18,2,FALSE)),""-"",TO_TEXT($A247))"),"P12PP-0246")</f>
        <v>P12PP-0246</v>
      </c>
      <c r="I247" s="6"/>
      <c r="J247" s="6" t="s">
        <v>1785</v>
      </c>
      <c r="K247" s="6" t="s">
        <v>1786</v>
      </c>
      <c r="L247" s="6" t="s">
        <v>1787</v>
      </c>
      <c r="M247" s="6" t="s">
        <v>1788</v>
      </c>
      <c r="N247" s="17"/>
      <c r="O247" s="17"/>
      <c r="P247" s="17" t="str">
        <f t="shared" si="6"/>
        <v>OK</v>
      </c>
      <c r="Q247" s="17" t="s">
        <v>297</v>
      </c>
      <c r="R247" s="6" t="s">
        <v>298</v>
      </c>
      <c r="S247" s="17" t="s">
        <v>1789</v>
      </c>
      <c r="T247" s="17" t="s">
        <v>85</v>
      </c>
      <c r="U247" s="18" t="s">
        <v>38</v>
      </c>
      <c r="V247" s="19" t="s">
        <v>1548</v>
      </c>
      <c r="W247" s="20" t="s">
        <v>687</v>
      </c>
      <c r="X247" s="21" t="s">
        <v>1672</v>
      </c>
      <c r="Y247" s="22"/>
      <c r="Z247" s="6"/>
      <c r="AA247" s="6"/>
      <c r="AB247" s="41" t="s">
        <v>275</v>
      </c>
      <c r="AC247" s="42">
        <v>44403</v>
      </c>
      <c r="AD247" s="45">
        <v>0</v>
      </c>
    </row>
    <row r="248" spans="1:30" ht="15.75" customHeight="1">
      <c r="A248" s="10" t="s">
        <v>1790</v>
      </c>
      <c r="B248" s="10" t="s">
        <v>1469</v>
      </c>
      <c r="C248" s="60" t="s">
        <v>1470</v>
      </c>
      <c r="D248" s="38"/>
      <c r="E248" s="13" t="s">
        <v>248</v>
      </c>
      <c r="F248" s="43" t="s">
        <v>248</v>
      </c>
      <c r="G248" s="6" t="str">
        <f ca="1">IFERROR(__xludf.DUMMYFUNCTION("CONCATENATE(B248,(VLOOKUP(C248,CATALOGOS!$F$2:$H$6,3,FALSE)),(VLOOKUP(V248,CATALOGOS!$J$2:$K$18,2,FALSE)),""-"",TO_TEXT(A248))"),"P12PP-0247")</f>
        <v>P12PP-0247</v>
      </c>
      <c r="H248" s="15" t="str">
        <f ca="1">IFERROR(__xludf.DUMMYFUNCTION("CONCATENATE($B248,(VLOOKUP($C248,CATALOGOS!$F$2:$H$6,3,FALSE)),(VLOOKUP($V248,CATALOGOS!$J$2:$K$18,2,FALSE)),""-"",TO_TEXT($A248))"),"P12PP-0247")</f>
        <v>P12PP-0247</v>
      </c>
      <c r="I248" s="6"/>
      <c r="J248" s="6" t="s">
        <v>1791</v>
      </c>
      <c r="K248" s="6" t="s">
        <v>1792</v>
      </c>
      <c r="L248" s="6" t="s">
        <v>1793</v>
      </c>
      <c r="M248" s="6" t="s">
        <v>1794</v>
      </c>
      <c r="N248" s="17"/>
      <c r="O248" s="17"/>
      <c r="P248" s="17" t="str">
        <f t="shared" si="6"/>
        <v>OK</v>
      </c>
      <c r="Q248" s="17" t="s">
        <v>978</v>
      </c>
      <c r="R248" s="6" t="s">
        <v>979</v>
      </c>
      <c r="S248" s="46" t="s">
        <v>1795</v>
      </c>
      <c r="T248" s="17" t="s">
        <v>1796</v>
      </c>
      <c r="U248" s="18" t="s">
        <v>38</v>
      </c>
      <c r="V248" s="19" t="s">
        <v>1548</v>
      </c>
      <c r="W248" s="20" t="s">
        <v>1736</v>
      </c>
      <c r="X248" s="39" t="s">
        <v>1737</v>
      </c>
      <c r="Y248" s="20"/>
      <c r="Z248" s="36"/>
      <c r="AA248" s="36"/>
      <c r="AB248" s="26"/>
      <c r="AC248" s="33"/>
    </row>
    <row r="249" spans="1:30" ht="15.75" customHeight="1">
      <c r="A249" s="10" t="s">
        <v>1797</v>
      </c>
      <c r="B249" s="10" t="s">
        <v>1469</v>
      </c>
      <c r="C249" s="60" t="s">
        <v>1470</v>
      </c>
      <c r="D249" s="12"/>
      <c r="E249" s="13" t="s">
        <v>378</v>
      </c>
      <c r="F249" s="6" t="s">
        <v>1450</v>
      </c>
      <c r="G249" s="6" t="str">
        <f ca="1">IFERROR(__xludf.DUMMYFUNCTION("CONCATENATE(B249,(VLOOKUP(C249,CATALOGOS!$F$2:$H$6,3,FALSE)),(VLOOKUP(V249,CATALOGOS!$J$2:$K$18,2,FALSE)),""-"",TO_TEXT(A249))"),"P12PP-0248")</f>
        <v>P12PP-0248</v>
      </c>
      <c r="H249" s="15" t="str">
        <f ca="1">IFERROR(__xludf.DUMMYFUNCTION("CONCATENATE($B249,(VLOOKUP($C249,CATALOGOS!$F$2:$H$6,3,FALSE)),(VLOOKUP($V249,CATALOGOS!$J$2:$K$18,2,FALSE)),""-"",TO_TEXT($A249))"),"P12PP-0248")</f>
        <v>P12PP-0248</v>
      </c>
      <c r="I249" s="6"/>
      <c r="J249" s="6" t="s">
        <v>1798</v>
      </c>
      <c r="K249" s="6" t="s">
        <v>1799</v>
      </c>
      <c r="L249" s="36"/>
      <c r="M249" s="6" t="s">
        <v>1800</v>
      </c>
      <c r="N249" s="17"/>
      <c r="O249" s="17"/>
      <c r="P249" s="17" t="str">
        <f t="shared" si="6"/>
        <v>OK</v>
      </c>
      <c r="Q249" s="35" t="s">
        <v>35</v>
      </c>
      <c r="R249" s="6" t="s">
        <v>35</v>
      </c>
      <c r="S249" s="10" t="s">
        <v>36</v>
      </c>
      <c r="T249" s="32" t="s">
        <v>85</v>
      </c>
      <c r="U249" s="18" t="s">
        <v>38</v>
      </c>
      <c r="V249" s="19" t="s">
        <v>1548</v>
      </c>
      <c r="W249" s="20" t="s">
        <v>1597</v>
      </c>
      <c r="X249" s="39" t="s">
        <v>1597</v>
      </c>
      <c r="Y249" s="20"/>
      <c r="Z249" s="6"/>
      <c r="AA249" s="6"/>
      <c r="AB249" s="23"/>
      <c r="AC249" s="33"/>
    </row>
    <row r="250" spans="1:30" ht="15.75" customHeight="1">
      <c r="A250" s="10" t="s">
        <v>1801</v>
      </c>
      <c r="B250" s="10" t="s">
        <v>1469</v>
      </c>
      <c r="C250" s="60" t="s">
        <v>1470</v>
      </c>
      <c r="D250" s="12"/>
      <c r="E250" s="13" t="s">
        <v>378</v>
      </c>
      <c r="F250" s="6" t="s">
        <v>878</v>
      </c>
      <c r="G250" s="6" t="str">
        <f ca="1">IFERROR(__xludf.DUMMYFUNCTION("CONCATENATE(B250,(VLOOKUP(C250,CATALOGOS!$F$2:$H$6,3,FALSE)),(VLOOKUP(V250,CATALOGOS!$J$2:$K$18,2,FALSE)),""-"",TO_TEXT(A250))"),"P12PP-0249")</f>
        <v>P12PP-0249</v>
      </c>
      <c r="H250" s="15" t="str">
        <f ca="1">IFERROR(__xludf.DUMMYFUNCTION("CONCATENATE($B250,(VLOOKUP($C250,CATALOGOS!$F$2:$H$6,3,FALSE)),(VLOOKUP($V250,CATALOGOS!$J$2:$K$18,2,FALSE)),""-"",TO_TEXT($A250))"),"P12PP-0249")</f>
        <v>P12PP-0249</v>
      </c>
      <c r="I250" s="6"/>
      <c r="J250" s="6" t="s">
        <v>1802</v>
      </c>
      <c r="K250" s="6" t="s">
        <v>1803</v>
      </c>
      <c r="L250" s="6" t="s">
        <v>1804</v>
      </c>
      <c r="M250" s="6" t="s">
        <v>1805</v>
      </c>
      <c r="N250" s="17"/>
      <c r="O250" s="17"/>
      <c r="P250" s="17" t="str">
        <f t="shared" si="6"/>
        <v>OK</v>
      </c>
      <c r="Q250" s="17" t="s">
        <v>35</v>
      </c>
      <c r="R250" s="6" t="s">
        <v>35</v>
      </c>
      <c r="S250" s="17" t="s">
        <v>36</v>
      </c>
      <c r="T250" s="17" t="s">
        <v>1806</v>
      </c>
      <c r="U250" s="18" t="s">
        <v>38</v>
      </c>
      <c r="V250" s="19" t="s">
        <v>1548</v>
      </c>
      <c r="W250" s="20" t="s">
        <v>1736</v>
      </c>
      <c r="X250" s="39" t="s">
        <v>1737</v>
      </c>
      <c r="Y250" s="20"/>
      <c r="Z250" s="7"/>
      <c r="AA250" s="7"/>
      <c r="AB250" s="23"/>
      <c r="AC250" s="26"/>
    </row>
    <row r="251" spans="1:30" ht="15.75" customHeight="1">
      <c r="A251" s="10" t="s">
        <v>1807</v>
      </c>
      <c r="B251" s="10" t="s">
        <v>1469</v>
      </c>
      <c r="C251" s="60" t="s">
        <v>1470</v>
      </c>
      <c r="D251" s="38"/>
      <c r="E251" s="13" t="s">
        <v>378</v>
      </c>
      <c r="F251" s="6" t="s">
        <v>878</v>
      </c>
      <c r="G251" s="6" t="str">
        <f ca="1">IFERROR(__xludf.DUMMYFUNCTION("CONCATENATE(B251,(VLOOKUP(C251,CATALOGOS!$F$2:$H$6,3,FALSE)),(VLOOKUP(V251,CATALOGOS!$J$2:$K$18,2,FALSE)),""-"",TO_TEXT(A251))"),"P12PP-0250")</f>
        <v>P12PP-0250</v>
      </c>
      <c r="H251" s="15" t="str">
        <f ca="1">IFERROR(__xludf.DUMMYFUNCTION("CONCATENATE($B251,(VLOOKUP($C251,CATALOGOS!$F$2:$H$6,3,FALSE)),(VLOOKUP($V251,CATALOGOS!$J$2:$K$18,2,FALSE)),""-"",TO_TEXT($A251))"),"P12PP-0250")</f>
        <v>P12PP-0250</v>
      </c>
      <c r="I251" s="6"/>
      <c r="J251" s="6" t="s">
        <v>1808</v>
      </c>
      <c r="K251" s="6" t="s">
        <v>1809</v>
      </c>
      <c r="L251" s="6" t="s">
        <v>1810</v>
      </c>
      <c r="M251" s="6" t="s">
        <v>1811</v>
      </c>
      <c r="N251" s="17"/>
      <c r="O251" s="17"/>
      <c r="P251" s="17" t="str">
        <f t="shared" si="6"/>
        <v>OK</v>
      </c>
      <c r="Q251" s="17" t="s">
        <v>35</v>
      </c>
      <c r="R251" s="6" t="s">
        <v>35</v>
      </c>
      <c r="S251" s="46" t="s">
        <v>36</v>
      </c>
      <c r="T251" s="17" t="s">
        <v>1812</v>
      </c>
      <c r="U251" s="18" t="s">
        <v>38</v>
      </c>
      <c r="V251" s="19" t="s">
        <v>1548</v>
      </c>
      <c r="W251" s="20" t="s">
        <v>687</v>
      </c>
      <c r="X251" s="21" t="s">
        <v>1672</v>
      </c>
      <c r="Y251" s="32"/>
      <c r="Z251" s="7"/>
      <c r="AA251" s="7"/>
      <c r="AB251" s="26"/>
      <c r="AC251" s="26"/>
    </row>
    <row r="252" spans="1:30" ht="15.75" customHeight="1">
      <c r="A252" s="10" t="s">
        <v>1813</v>
      </c>
      <c r="B252" s="10" t="s">
        <v>1469</v>
      </c>
      <c r="C252" s="60" t="s">
        <v>1470</v>
      </c>
      <c r="D252" s="38"/>
      <c r="E252" s="13" t="s">
        <v>378</v>
      </c>
      <c r="F252" s="6" t="s">
        <v>878</v>
      </c>
      <c r="G252" s="6" t="str">
        <f ca="1">IFERROR(__xludf.DUMMYFUNCTION("CONCATENATE(B252,(VLOOKUP(C252,CATALOGOS!$F$2:$H$6,3,FALSE)),(VLOOKUP(V252,CATALOGOS!$J$2:$K$18,2,FALSE)),""-"",TO_TEXT(A252))"),"P12PP-0251")</f>
        <v>P12PP-0251</v>
      </c>
      <c r="H252" s="15" t="str">
        <f ca="1">IFERROR(__xludf.DUMMYFUNCTION("CONCATENATE($B252,(VLOOKUP($C252,CATALOGOS!$F$2:$H$6,3,FALSE)),(VLOOKUP($V252,CATALOGOS!$J$2:$K$18,2,FALSE)),""-"",TO_TEXT($A252))"),"P12PP-0251")</f>
        <v>P12PP-0251</v>
      </c>
      <c r="I252" s="6"/>
      <c r="J252" s="6" t="s">
        <v>1814</v>
      </c>
      <c r="K252" s="6" t="s">
        <v>1815</v>
      </c>
      <c r="L252" s="6" t="s">
        <v>1816</v>
      </c>
      <c r="M252" s="6" t="s">
        <v>1817</v>
      </c>
      <c r="N252" s="17"/>
      <c r="O252" s="17"/>
      <c r="P252" s="17" t="str">
        <f t="shared" si="6"/>
        <v>OK</v>
      </c>
      <c r="Q252" s="17" t="s">
        <v>35</v>
      </c>
      <c r="R252" s="6" t="s">
        <v>35</v>
      </c>
      <c r="S252" s="46" t="s">
        <v>36</v>
      </c>
      <c r="T252" s="17" t="s">
        <v>1818</v>
      </c>
      <c r="U252" s="18" t="s">
        <v>38</v>
      </c>
      <c r="V252" s="19" t="s">
        <v>1548</v>
      </c>
      <c r="W252" s="20" t="s">
        <v>687</v>
      </c>
      <c r="X252" s="21" t="s">
        <v>1672</v>
      </c>
      <c r="Y252" s="32"/>
      <c r="Z252" s="7"/>
      <c r="AA252" s="7"/>
      <c r="AB252" s="26"/>
      <c r="AC252" s="26"/>
    </row>
    <row r="253" spans="1:30" ht="15.75" customHeight="1">
      <c r="A253" s="10" t="s">
        <v>1819</v>
      </c>
      <c r="B253" s="10" t="s">
        <v>1469</v>
      </c>
      <c r="C253" s="60" t="s">
        <v>1470</v>
      </c>
      <c r="D253" s="12"/>
      <c r="E253" s="13" t="s">
        <v>378</v>
      </c>
      <c r="F253" s="6" t="s">
        <v>878</v>
      </c>
      <c r="G253" s="14" t="str">
        <f ca="1">IFERROR(__xludf.DUMMYFUNCTION("CONCATENATE(B253,(VLOOKUP(C253,CATALOGOS!$F$2:$H$6,3,FALSE)),(VLOOKUP(V253,CATALOGOS!$J$2:$K$18,2,FALSE)),""-"",TO_TEXT(A253))"),"P12PP-0252")</f>
        <v>P12PP-0252</v>
      </c>
      <c r="H253" s="15" t="str">
        <f ca="1">IFERROR(__xludf.DUMMYFUNCTION("CONCATENATE($B253,(VLOOKUP($C253,CATALOGOS!$F$2:$H$6,3,FALSE)),(VLOOKUP($V253,CATALOGOS!$J$2:$K$18,2,FALSE)),""-"",TO_TEXT($A253))"),"P12PP-0252")</f>
        <v>P12PP-0252</v>
      </c>
      <c r="I253" s="6"/>
      <c r="J253" s="6" t="s">
        <v>1820</v>
      </c>
      <c r="K253" s="6" t="s">
        <v>1821</v>
      </c>
      <c r="L253" s="6" t="s">
        <v>1822</v>
      </c>
      <c r="M253" s="43" t="s">
        <v>1823</v>
      </c>
      <c r="N253" s="17"/>
      <c r="O253" s="17"/>
      <c r="P253" s="17" t="str">
        <f t="shared" si="6"/>
        <v>OK</v>
      </c>
      <c r="Q253" s="17" t="s">
        <v>35</v>
      </c>
      <c r="R253" s="6" t="s">
        <v>35</v>
      </c>
      <c r="S253" s="17" t="s">
        <v>36</v>
      </c>
      <c r="T253" s="17" t="s">
        <v>1824</v>
      </c>
      <c r="U253" s="18" t="s">
        <v>38</v>
      </c>
      <c r="V253" s="19" t="s">
        <v>1548</v>
      </c>
      <c r="W253" s="20" t="s">
        <v>1549</v>
      </c>
      <c r="X253" s="21" t="s">
        <v>1550</v>
      </c>
      <c r="Y253" s="22"/>
      <c r="Z253" s="7"/>
      <c r="AA253" s="7"/>
      <c r="AB253" s="23"/>
      <c r="AC253" s="26"/>
    </row>
    <row r="254" spans="1:30" ht="15.75" customHeight="1">
      <c r="A254" s="10" t="s">
        <v>1825</v>
      </c>
      <c r="B254" s="10" t="s">
        <v>1469</v>
      </c>
      <c r="C254" s="60" t="s">
        <v>1470</v>
      </c>
      <c r="D254" s="12"/>
      <c r="E254" s="13" t="s">
        <v>378</v>
      </c>
      <c r="F254" s="6" t="s">
        <v>878</v>
      </c>
      <c r="G254" s="14" t="str">
        <f ca="1">IFERROR(__xludf.DUMMYFUNCTION("CONCATENATE(B254,(VLOOKUP(C254,CATALOGOS!$F$2:$H$6,3,FALSE)),(VLOOKUP(V254,CATALOGOS!$J$2:$K$18,2,FALSE)),""-"",TO_TEXT(A254))"),"P12PP-0253")</f>
        <v>P12PP-0253</v>
      </c>
      <c r="H254" s="15" t="str">
        <f ca="1">IFERROR(__xludf.DUMMYFUNCTION("CONCATENATE($B254,(VLOOKUP($C254,CATALOGOS!$F$2:$H$6,3,FALSE)),(VLOOKUP($V254,CATALOGOS!$J$2:$K$18,2,FALSE)),""-"",TO_TEXT($A254))"),"P12PP-0253")</f>
        <v>P12PP-0253</v>
      </c>
      <c r="I254" s="6"/>
      <c r="J254" s="6" t="s">
        <v>1826</v>
      </c>
      <c r="K254" s="6" t="s">
        <v>1827</v>
      </c>
      <c r="L254" s="6" t="s">
        <v>1828</v>
      </c>
      <c r="M254" s="6" t="s">
        <v>1829</v>
      </c>
      <c r="N254" s="17"/>
      <c r="O254" s="17"/>
      <c r="P254" s="17" t="str">
        <f t="shared" si="6"/>
        <v>OK</v>
      </c>
      <c r="Q254" s="17" t="s">
        <v>35</v>
      </c>
      <c r="R254" s="6" t="s">
        <v>35</v>
      </c>
      <c r="S254" s="17" t="s">
        <v>36</v>
      </c>
      <c r="T254" s="17" t="s">
        <v>1830</v>
      </c>
      <c r="U254" s="18" t="s">
        <v>38</v>
      </c>
      <c r="V254" s="19" t="s">
        <v>1548</v>
      </c>
      <c r="W254" s="20" t="s">
        <v>1549</v>
      </c>
      <c r="X254" s="21" t="s">
        <v>1550</v>
      </c>
      <c r="Y254" s="22"/>
      <c r="Z254" s="7"/>
      <c r="AA254" s="7"/>
      <c r="AB254" s="23"/>
      <c r="AC254" s="26"/>
    </row>
    <row r="255" spans="1:30" ht="15.75" customHeight="1">
      <c r="A255" s="10" t="s">
        <v>1831</v>
      </c>
      <c r="B255" s="10" t="s">
        <v>1469</v>
      </c>
      <c r="C255" s="60" t="s">
        <v>1470</v>
      </c>
      <c r="D255" s="12"/>
      <c r="E255" s="13" t="s">
        <v>93</v>
      </c>
      <c r="F255" s="6" t="s">
        <v>1739</v>
      </c>
      <c r="G255" s="14" t="str">
        <f ca="1">IFERROR(__xludf.DUMMYFUNCTION("CONCATENATE(B255,(VLOOKUP(C255,CATALOGOS!$F$2:$H$6,3,FALSE)),(VLOOKUP(V255,CATALOGOS!$J$2:$K$18,2,FALSE)),""-"",TO_TEXT(A255))"),"P12PP-0254")</f>
        <v>P12PP-0254</v>
      </c>
      <c r="H255" s="15" t="str">
        <f ca="1">IFERROR(__xludf.DUMMYFUNCTION("CONCATENATE($B255,(VLOOKUP($C255,CATALOGOS!$F$2:$H$6,3,FALSE)),(VLOOKUP($V255,CATALOGOS!$J$2:$K$18,2,FALSE)),""-"",TO_TEXT($A255))"),"P12PP-0254")</f>
        <v>P12PP-0254</v>
      </c>
      <c r="I255" s="6"/>
      <c r="J255" s="6" t="s">
        <v>1832</v>
      </c>
      <c r="K255" s="6" t="s">
        <v>1833</v>
      </c>
      <c r="L255" s="6" t="s">
        <v>1834</v>
      </c>
      <c r="M255" s="6" t="s">
        <v>1835</v>
      </c>
      <c r="N255" s="17"/>
      <c r="O255" s="17"/>
      <c r="P255" s="17" t="str">
        <f t="shared" si="6"/>
        <v>OK</v>
      </c>
      <c r="Q255" s="17" t="s">
        <v>35</v>
      </c>
      <c r="R255" s="6" t="s">
        <v>35</v>
      </c>
      <c r="S255" s="17" t="s">
        <v>36</v>
      </c>
      <c r="T255" s="17" t="s">
        <v>1836</v>
      </c>
      <c r="U255" s="18" t="s">
        <v>38</v>
      </c>
      <c r="V255" s="19" t="s">
        <v>1548</v>
      </c>
      <c r="W255" s="20" t="s">
        <v>1549</v>
      </c>
      <c r="X255" s="21" t="s">
        <v>1550</v>
      </c>
      <c r="Y255" s="22"/>
      <c r="Z255" s="6"/>
      <c r="AA255" s="6"/>
      <c r="AB255" s="23"/>
      <c r="AC255" s="24"/>
    </row>
    <row r="256" spans="1:30" ht="15.75" customHeight="1">
      <c r="A256" s="10" t="s">
        <v>1837</v>
      </c>
      <c r="B256" s="10" t="s">
        <v>1469</v>
      </c>
      <c r="C256" s="60" t="s">
        <v>1470</v>
      </c>
      <c r="D256" s="12"/>
      <c r="E256" s="13" t="s">
        <v>116</v>
      </c>
      <c r="F256" s="6" t="s">
        <v>1730</v>
      </c>
      <c r="G256" s="14" t="str">
        <f ca="1">IFERROR(__xludf.DUMMYFUNCTION("CONCATENATE(B256,(VLOOKUP(C256,CATALOGOS!$F$2:$H$6,3,FALSE)),(VLOOKUP(V256,CATALOGOS!$J$2:$K$18,2,FALSE)),""-"",TO_TEXT(A256))"),"P12PP-0255")</f>
        <v>P12PP-0255</v>
      </c>
      <c r="H256" s="15" t="str">
        <f ca="1">IFERROR(__xludf.DUMMYFUNCTION("CONCATENATE($B256,(VLOOKUP($C256,CATALOGOS!$F$2:$H$6,3,FALSE)),(VLOOKUP($V256,CATALOGOS!$J$2:$K$18,2,FALSE)),""-"",TO_TEXT($A256))"),"P12PP-0255")</f>
        <v>P12PP-0255</v>
      </c>
      <c r="I256" s="6"/>
      <c r="J256" s="6" t="s">
        <v>1838</v>
      </c>
      <c r="K256" s="6" t="s">
        <v>1839</v>
      </c>
      <c r="L256" s="6" t="s">
        <v>1840</v>
      </c>
      <c r="M256" s="6" t="s">
        <v>1841</v>
      </c>
      <c r="N256" s="17"/>
      <c r="O256" s="17"/>
      <c r="P256" s="17" t="str">
        <f t="shared" si="6"/>
        <v>OK</v>
      </c>
      <c r="Q256" s="17" t="s">
        <v>35</v>
      </c>
      <c r="R256" s="6" t="s">
        <v>35</v>
      </c>
      <c r="S256" s="17" t="s">
        <v>36</v>
      </c>
      <c r="T256" s="17" t="s">
        <v>1842</v>
      </c>
      <c r="U256" s="18" t="s">
        <v>38</v>
      </c>
      <c r="V256" s="19" t="s">
        <v>1548</v>
      </c>
      <c r="W256" s="20" t="s">
        <v>1549</v>
      </c>
      <c r="X256" s="21" t="s">
        <v>1550</v>
      </c>
      <c r="Y256" s="22"/>
      <c r="Z256" s="7"/>
      <c r="AA256" s="7"/>
      <c r="AB256" s="23"/>
      <c r="AC256" s="26"/>
    </row>
    <row r="257" spans="1:29" ht="15.75" customHeight="1">
      <c r="A257" s="10" t="s">
        <v>1843</v>
      </c>
      <c r="B257" s="10" t="s">
        <v>1469</v>
      </c>
      <c r="C257" s="60" t="s">
        <v>1470</v>
      </c>
      <c r="D257" s="12"/>
      <c r="E257" s="13" t="s">
        <v>93</v>
      </c>
      <c r="F257" s="43" t="s">
        <v>528</v>
      </c>
      <c r="G257" s="14" t="str">
        <f ca="1">IFERROR(__xludf.DUMMYFUNCTION("CONCATENATE(B257,(VLOOKUP(C257,CATALOGOS!$F$2:$H$6,3,FALSE)),(VLOOKUP(V257,CATALOGOS!$J$2:$K$18,2,FALSE)),""-"",TO_TEXT(A257))"),"P12PP-0256")</f>
        <v>P12PP-0256</v>
      </c>
      <c r="H257" s="15" t="str">
        <f ca="1">IFERROR(__xludf.DUMMYFUNCTION("CONCATENATE($B257,(VLOOKUP($C257,CATALOGOS!$F$2:$H$6,3,FALSE)),(VLOOKUP($V257,CATALOGOS!$J$2:$K$18,2,FALSE)),""-"",TO_TEXT($A257))"),"P12PP-0256")</f>
        <v>P12PP-0256</v>
      </c>
      <c r="I257" s="6"/>
      <c r="J257" s="6" t="s">
        <v>1844</v>
      </c>
      <c r="K257" s="6" t="s">
        <v>1845</v>
      </c>
      <c r="L257" s="6" t="s">
        <v>1846</v>
      </c>
      <c r="M257" s="6" t="s">
        <v>1847</v>
      </c>
      <c r="N257" s="17"/>
      <c r="O257" s="17"/>
      <c r="P257" s="17" t="str">
        <f t="shared" si="6"/>
        <v>OK</v>
      </c>
      <c r="Q257" s="17" t="s">
        <v>35</v>
      </c>
      <c r="R257" s="6" t="s">
        <v>35</v>
      </c>
      <c r="S257" s="17" t="s">
        <v>36</v>
      </c>
      <c r="T257" s="17" t="s">
        <v>1848</v>
      </c>
      <c r="U257" s="18" t="s">
        <v>38</v>
      </c>
      <c r="V257" s="19" t="s">
        <v>1548</v>
      </c>
      <c r="W257" s="20" t="s">
        <v>1597</v>
      </c>
      <c r="X257" s="39" t="s">
        <v>1597</v>
      </c>
      <c r="Y257" s="20"/>
      <c r="Z257" s="7"/>
      <c r="AA257" s="7"/>
      <c r="AB257" s="23"/>
      <c r="AC257" s="26"/>
    </row>
    <row r="258" spans="1:29" ht="15.75" customHeight="1">
      <c r="A258" s="10" t="s">
        <v>1849</v>
      </c>
      <c r="B258" s="10" t="s">
        <v>1469</v>
      </c>
      <c r="C258" s="60" t="s">
        <v>1470</v>
      </c>
      <c r="D258" s="12"/>
      <c r="E258" s="13" t="s">
        <v>43</v>
      </c>
      <c r="F258" s="43" t="s">
        <v>1850</v>
      </c>
      <c r="G258" s="14" t="str">
        <f ca="1">IFERROR(__xludf.DUMMYFUNCTION("CONCATENATE(B258,(VLOOKUP(C258,CATALOGOS!$F$2:$H$6,3,FALSE)),(VLOOKUP(V258,CATALOGOS!$J$2:$K$18,2,FALSE)),""-"",TO_TEXT(A258))"),"P12PP-0257")</f>
        <v>P12PP-0257</v>
      </c>
      <c r="H258" s="15" t="str">
        <f ca="1">IFERROR(__xludf.DUMMYFUNCTION("CONCATENATE($B258,(VLOOKUP($C258,CATALOGOS!$F$2:$H$6,3,FALSE)),(VLOOKUP($V258,CATALOGOS!$J$2:$K$18,2,FALSE)),""-"",TO_TEXT($A258))"),"P12PP-0257")</f>
        <v>P12PP-0257</v>
      </c>
      <c r="I258" s="6"/>
      <c r="J258" s="6" t="s">
        <v>1851</v>
      </c>
      <c r="K258" s="6" t="s">
        <v>1852</v>
      </c>
      <c r="L258" s="6" t="s">
        <v>1853</v>
      </c>
      <c r="M258" s="6" t="s">
        <v>1854</v>
      </c>
      <c r="N258" s="17"/>
      <c r="O258" s="17"/>
      <c r="P258" s="17" t="str">
        <f t="shared" si="6"/>
        <v>OK</v>
      </c>
      <c r="Q258" s="17" t="s">
        <v>49</v>
      </c>
      <c r="R258" s="6">
        <v>3352</v>
      </c>
      <c r="S258" s="17" t="s">
        <v>1855</v>
      </c>
      <c r="T258" s="17" t="s">
        <v>1856</v>
      </c>
      <c r="U258" s="18" t="s">
        <v>38</v>
      </c>
      <c r="V258" s="19" t="s">
        <v>1548</v>
      </c>
      <c r="W258" s="20" t="s">
        <v>1549</v>
      </c>
      <c r="X258" s="21" t="s">
        <v>1550</v>
      </c>
      <c r="Y258" s="22"/>
      <c r="Z258" s="7"/>
      <c r="AA258" s="7"/>
      <c r="AB258" s="23"/>
      <c r="AC258" s="26"/>
    </row>
    <row r="259" spans="1:29" ht="15.75" customHeight="1">
      <c r="A259" s="10" t="s">
        <v>1857</v>
      </c>
      <c r="B259" s="10" t="s">
        <v>1469</v>
      </c>
      <c r="C259" s="60" t="s">
        <v>1470</v>
      </c>
      <c r="D259" s="12"/>
      <c r="E259" s="13" t="s">
        <v>353</v>
      </c>
      <c r="F259" s="43" t="s">
        <v>354</v>
      </c>
      <c r="G259" s="14" t="str">
        <f ca="1">IFERROR(__xludf.DUMMYFUNCTION("CONCATENATE(B259,(VLOOKUP(C259,CATALOGOS!$F$2:$H$6,3,FALSE)),(VLOOKUP(V259,CATALOGOS!$J$2:$K$18,2,FALSE)),""-"",TO_TEXT(A259))"),"P12PP-0258")</f>
        <v>P12PP-0258</v>
      </c>
      <c r="H259" s="15" t="str">
        <f ca="1">IFERROR(__xludf.DUMMYFUNCTION("CONCATENATE($B259,(VLOOKUP($C259,CATALOGOS!$F$2:$H$6,3,FALSE)),(VLOOKUP($V259,CATALOGOS!$J$2:$K$18,2,FALSE)),""-"",TO_TEXT($A259))"),"P12PP-0258")</f>
        <v>P12PP-0258</v>
      </c>
      <c r="I259" s="6"/>
      <c r="J259" s="6" t="s">
        <v>1858</v>
      </c>
      <c r="K259" s="6" t="s">
        <v>1859</v>
      </c>
      <c r="L259" s="6" t="s">
        <v>1860</v>
      </c>
      <c r="M259" s="6" t="s">
        <v>1861</v>
      </c>
      <c r="N259" s="17"/>
      <c r="O259" s="17"/>
      <c r="P259" s="17" t="str">
        <f t="shared" si="6"/>
        <v>OK</v>
      </c>
      <c r="Q259" s="17" t="s">
        <v>359</v>
      </c>
      <c r="R259" s="6" t="s">
        <v>360</v>
      </c>
      <c r="S259" s="17" t="s">
        <v>36</v>
      </c>
      <c r="T259" s="17" t="s">
        <v>1862</v>
      </c>
      <c r="U259" s="18" t="s">
        <v>38</v>
      </c>
      <c r="V259" s="19" t="s">
        <v>1548</v>
      </c>
      <c r="W259" s="20" t="s">
        <v>1549</v>
      </c>
      <c r="X259" s="21" t="s">
        <v>1550</v>
      </c>
      <c r="Y259" s="22"/>
      <c r="Z259" s="6"/>
      <c r="AA259" s="6"/>
      <c r="AB259" s="23"/>
      <c r="AC259" s="24"/>
    </row>
    <row r="260" spans="1:29" ht="15.75" customHeight="1">
      <c r="A260" s="10" t="s">
        <v>1863</v>
      </c>
      <c r="B260" s="10" t="s">
        <v>1469</v>
      </c>
      <c r="C260" s="60" t="s">
        <v>1470</v>
      </c>
      <c r="D260" s="12"/>
      <c r="E260" s="13" t="s">
        <v>199</v>
      </c>
      <c r="F260" s="6" t="s">
        <v>199</v>
      </c>
      <c r="G260" s="14" t="str">
        <f ca="1">IFERROR(__xludf.DUMMYFUNCTION("CONCATENATE(B260,(VLOOKUP(C260,CATALOGOS!$F$2:$H$6,3,FALSE)),(VLOOKUP(V260,CATALOGOS!$J$2:$K$18,2,FALSE)),""-"",TO_TEXT(A260))"),"P12PP-0259")</f>
        <v>P12PP-0259</v>
      </c>
      <c r="H260" s="15" t="str">
        <f ca="1">IFERROR(__xludf.DUMMYFUNCTION("CONCATENATE($B260,(VLOOKUP($C260,CATALOGOS!$F$2:$H$6,3,FALSE)),(VLOOKUP($V260,CATALOGOS!$J$2:$K$18,2,FALSE)),""-"",TO_TEXT($A260))"),"P12PP-0259")</f>
        <v>P12PP-0259</v>
      </c>
      <c r="I260" s="6"/>
      <c r="J260" s="6" t="s">
        <v>1864</v>
      </c>
      <c r="K260" s="6" t="s">
        <v>1865</v>
      </c>
      <c r="L260" s="6" t="s">
        <v>1866</v>
      </c>
      <c r="M260" s="6" t="s">
        <v>1867</v>
      </c>
      <c r="N260" s="17"/>
      <c r="O260" s="17"/>
      <c r="P260" s="17" t="str">
        <f t="shared" si="6"/>
        <v>OK</v>
      </c>
      <c r="Q260" s="17" t="s">
        <v>157</v>
      </c>
      <c r="R260" s="6">
        <v>2378</v>
      </c>
      <c r="S260" s="17" t="s">
        <v>1868</v>
      </c>
      <c r="T260" s="17" t="s">
        <v>1869</v>
      </c>
      <c r="U260" s="18" t="s">
        <v>38</v>
      </c>
      <c r="V260" s="19" t="s">
        <v>1548</v>
      </c>
      <c r="W260" s="20" t="s">
        <v>1549</v>
      </c>
      <c r="X260" s="21" t="s">
        <v>1550</v>
      </c>
      <c r="Y260" s="22"/>
      <c r="Z260" s="6"/>
      <c r="AA260" s="6"/>
      <c r="AB260" s="23"/>
      <c r="AC260" s="33"/>
    </row>
    <row r="261" spans="1:29" ht="15.75" customHeight="1">
      <c r="A261" s="10" t="s">
        <v>1870</v>
      </c>
      <c r="B261" s="10" t="s">
        <v>1469</v>
      </c>
      <c r="C261" s="60" t="s">
        <v>1470</v>
      </c>
      <c r="D261" s="12"/>
      <c r="E261" s="13" t="s">
        <v>151</v>
      </c>
      <c r="F261" s="6" t="s">
        <v>152</v>
      </c>
      <c r="G261" s="14" t="str">
        <f ca="1">IFERROR(__xludf.DUMMYFUNCTION("CONCATENATE(B261,(VLOOKUP(C261,CATALOGOS!$F$2:$H$6,3,FALSE)),(VLOOKUP(V261,CATALOGOS!$J$2:$K$18,2,FALSE)),""-"",TO_TEXT(A261))"),"P12PP-0260")</f>
        <v>P12PP-0260</v>
      </c>
      <c r="H261" s="15" t="str">
        <f ca="1">IFERROR(__xludf.DUMMYFUNCTION("CONCATENATE($B261,(VLOOKUP($C261,CATALOGOS!$F$2:$H$6,3,FALSE)),(VLOOKUP($V261,CATALOGOS!$J$2:$K$18,2,FALSE)),""-"",TO_TEXT($A261))"),"P12PP-0260")</f>
        <v>P12PP-0260</v>
      </c>
      <c r="I261" s="6"/>
      <c r="J261" s="6" t="s">
        <v>1871</v>
      </c>
      <c r="K261" s="6" t="s">
        <v>1872</v>
      </c>
      <c r="L261" s="6" t="s">
        <v>1873</v>
      </c>
      <c r="M261" s="6" t="s">
        <v>1874</v>
      </c>
      <c r="N261" s="17"/>
      <c r="O261" s="17"/>
      <c r="P261" s="17" t="str">
        <f t="shared" si="6"/>
        <v>OK</v>
      </c>
      <c r="Q261" s="17" t="s">
        <v>1875</v>
      </c>
      <c r="R261" s="6" t="s">
        <v>1876</v>
      </c>
      <c r="S261" s="17" t="s">
        <v>1877</v>
      </c>
      <c r="T261" s="17" t="s">
        <v>1878</v>
      </c>
      <c r="U261" s="18" t="s">
        <v>38</v>
      </c>
      <c r="V261" s="19" t="s">
        <v>1548</v>
      </c>
      <c r="W261" s="20" t="s">
        <v>1549</v>
      </c>
      <c r="X261" s="21" t="s">
        <v>1550</v>
      </c>
      <c r="Y261" s="22"/>
      <c r="Z261" s="7"/>
      <c r="AA261" s="7"/>
      <c r="AB261" s="23"/>
      <c r="AC261" s="26"/>
    </row>
    <row r="262" spans="1:29" ht="15.75" customHeight="1">
      <c r="A262" s="10" t="s">
        <v>1879</v>
      </c>
      <c r="B262" s="10" t="s">
        <v>1469</v>
      </c>
      <c r="C262" s="60" t="s">
        <v>1470</v>
      </c>
      <c r="D262" s="38"/>
      <c r="E262" s="13" t="s">
        <v>378</v>
      </c>
      <c r="F262" s="43" t="s">
        <v>379</v>
      </c>
      <c r="G262" s="14" t="str">
        <f ca="1">IFERROR(__xludf.DUMMYFUNCTION("CONCATENATE(B262,(VLOOKUP(C262,CATALOGOS!$F$2:$H$6,3,FALSE)),(VLOOKUP(V262,CATALOGOS!$J$2:$K$18,2,FALSE)),""-"",TO_TEXT(A262))"),"P12PP-0261")</f>
        <v>P12PP-0261</v>
      </c>
      <c r="H262" s="15" t="str">
        <f ca="1">IFERROR(__xludf.DUMMYFUNCTION("CONCATENATE($B262,(VLOOKUP($C262,CATALOGOS!$F$2:$H$6,3,FALSE)),(VLOOKUP($V262,CATALOGOS!$J$2:$K$18,2,FALSE)),""-"",TO_TEXT($A262))"),"P12PP-0261")</f>
        <v>P12PP-0261</v>
      </c>
      <c r="I262" s="6"/>
      <c r="J262" s="6" t="s">
        <v>1880</v>
      </c>
      <c r="K262" s="6" t="s">
        <v>1881</v>
      </c>
      <c r="L262" s="6" t="s">
        <v>1882</v>
      </c>
      <c r="M262" s="6" t="s">
        <v>1883</v>
      </c>
      <c r="N262" s="17"/>
      <c r="O262" s="17"/>
      <c r="P262" s="17" t="str">
        <f t="shared" si="6"/>
        <v>OK</v>
      </c>
      <c r="Q262" s="17" t="s">
        <v>35</v>
      </c>
      <c r="R262" s="6" t="s">
        <v>35</v>
      </c>
      <c r="S262" s="46" t="s">
        <v>36</v>
      </c>
      <c r="T262" s="17" t="s">
        <v>1884</v>
      </c>
      <c r="U262" s="18" t="s">
        <v>38</v>
      </c>
      <c r="V262" s="19" t="s">
        <v>1548</v>
      </c>
      <c r="W262" s="20" t="s">
        <v>1549</v>
      </c>
      <c r="X262" s="21" t="s">
        <v>1550</v>
      </c>
      <c r="Y262" s="32"/>
      <c r="Z262" s="7"/>
      <c r="AA262" s="7"/>
      <c r="AB262" s="26"/>
      <c r="AC262" s="26"/>
    </row>
    <row r="263" spans="1:29" ht="15.75" customHeight="1">
      <c r="A263" s="10" t="s">
        <v>1885</v>
      </c>
      <c r="B263" s="10" t="s">
        <v>1469</v>
      </c>
      <c r="C263" s="60" t="s">
        <v>1470</v>
      </c>
      <c r="D263" s="12"/>
      <c r="E263" s="13" t="s">
        <v>378</v>
      </c>
      <c r="F263" s="6" t="s">
        <v>878</v>
      </c>
      <c r="G263" s="14" t="str">
        <f ca="1">IFERROR(__xludf.DUMMYFUNCTION("CONCATENATE(B263,(VLOOKUP(C263,CATALOGOS!$F$2:$H$6,3,FALSE)),(VLOOKUP(V263,CATALOGOS!$J$2:$K$18,2,FALSE)),""-"",TO_TEXT(A263))"),"P12PP-0262")</f>
        <v>P12PP-0262</v>
      </c>
      <c r="H263" s="15" t="str">
        <f ca="1">IFERROR(__xludf.DUMMYFUNCTION("CONCATENATE($B263,(VLOOKUP($C263,CATALOGOS!$F$2:$H$6,3,FALSE)),(VLOOKUP($V263,CATALOGOS!$J$2:$K$18,2,FALSE)),""-"",TO_TEXT($A263))"),"P12PP-0262")</f>
        <v>P12PP-0262</v>
      </c>
      <c r="I263" s="6"/>
      <c r="J263" s="6" t="s">
        <v>1886</v>
      </c>
      <c r="K263" s="6" t="s">
        <v>1887</v>
      </c>
      <c r="L263" s="6" t="s">
        <v>1888</v>
      </c>
      <c r="M263" s="6" t="s">
        <v>1889</v>
      </c>
      <c r="N263" s="17"/>
      <c r="O263" s="17"/>
      <c r="P263" s="17" t="str">
        <f t="shared" si="6"/>
        <v>OK</v>
      </c>
      <c r="Q263" s="17" t="s">
        <v>35</v>
      </c>
      <c r="R263" s="6" t="s">
        <v>35</v>
      </c>
      <c r="S263" s="17" t="s">
        <v>36</v>
      </c>
      <c r="T263" s="17" t="s">
        <v>85</v>
      </c>
      <c r="U263" s="18" t="s">
        <v>38</v>
      </c>
      <c r="V263" s="19" t="s">
        <v>1548</v>
      </c>
      <c r="W263" s="20" t="s">
        <v>1890</v>
      </c>
      <c r="X263" s="21" t="s">
        <v>1890</v>
      </c>
      <c r="Y263" s="22"/>
      <c r="Z263" s="6"/>
      <c r="AA263" s="6"/>
      <c r="AB263" s="23"/>
      <c r="AC263" s="33"/>
    </row>
    <row r="264" spans="1:29" ht="15.75" customHeight="1">
      <c r="A264" s="10" t="s">
        <v>1891</v>
      </c>
      <c r="B264" s="10" t="s">
        <v>1469</v>
      </c>
      <c r="C264" s="60" t="s">
        <v>1470</v>
      </c>
      <c r="D264" s="12"/>
      <c r="E264" s="13" t="s">
        <v>378</v>
      </c>
      <c r="F264" s="6" t="s">
        <v>878</v>
      </c>
      <c r="G264" s="14" t="str">
        <f ca="1">IFERROR(__xludf.DUMMYFUNCTION("CONCATENATE(B264,(VLOOKUP(C264,CATALOGOS!$F$2:$H$6,3,FALSE)),(VLOOKUP(V264,CATALOGOS!$J$2:$K$18,2,FALSE)),""-"",TO_TEXT(A264))"),"P12PP-0263")</f>
        <v>P12PP-0263</v>
      </c>
      <c r="H264" s="15" t="str">
        <f ca="1">IFERROR(__xludf.DUMMYFUNCTION("CONCATENATE($B264,(VLOOKUP($C264,CATALOGOS!$F$2:$H$6,3,FALSE)),(VLOOKUP($V264,CATALOGOS!$J$2:$K$18,2,FALSE)),""-"",TO_TEXT($A264))"),"P12PP-0263")</f>
        <v>P12PP-0263</v>
      </c>
      <c r="I264" s="6"/>
      <c r="J264" s="6" t="s">
        <v>1892</v>
      </c>
      <c r="K264" s="6" t="s">
        <v>1893</v>
      </c>
      <c r="L264" s="6" t="s">
        <v>1894</v>
      </c>
      <c r="M264" s="6" t="s">
        <v>1895</v>
      </c>
      <c r="N264" s="17"/>
      <c r="O264" s="17"/>
      <c r="P264" s="17" t="str">
        <f t="shared" si="6"/>
        <v>OK</v>
      </c>
      <c r="Q264" s="17" t="s">
        <v>35</v>
      </c>
      <c r="R264" s="6" t="s">
        <v>35</v>
      </c>
      <c r="S264" s="17" t="s">
        <v>36</v>
      </c>
      <c r="T264" s="17" t="s">
        <v>85</v>
      </c>
      <c r="U264" s="18" t="s">
        <v>38</v>
      </c>
      <c r="V264" s="19" t="s">
        <v>1548</v>
      </c>
      <c r="W264" s="22" t="s">
        <v>1890</v>
      </c>
      <c r="X264" s="21" t="s">
        <v>1890</v>
      </c>
      <c r="Y264" s="22"/>
      <c r="Z264" s="6"/>
      <c r="AA264" s="6"/>
      <c r="AB264" s="23"/>
      <c r="AC264" s="33"/>
    </row>
    <row r="265" spans="1:29" ht="15.75" customHeight="1">
      <c r="A265" s="10" t="s">
        <v>1896</v>
      </c>
      <c r="B265" s="10" t="s">
        <v>1469</v>
      </c>
      <c r="C265" s="60" t="s">
        <v>1470</v>
      </c>
      <c r="D265" s="12"/>
      <c r="E265" s="13" t="s">
        <v>93</v>
      </c>
      <c r="F265" s="6" t="s">
        <v>1739</v>
      </c>
      <c r="G265" s="14" t="str">
        <f ca="1">IFERROR(__xludf.DUMMYFUNCTION("CONCATENATE(B265,(VLOOKUP(C265,CATALOGOS!$F$2:$H$6,3,FALSE)),(VLOOKUP(V265,CATALOGOS!$J$2:$K$18,2,FALSE)),""-"",TO_TEXT(A265))"),"P12PP-0264")</f>
        <v>P12PP-0264</v>
      </c>
      <c r="H265" s="15" t="str">
        <f ca="1">IFERROR(__xludf.DUMMYFUNCTION("CONCATENATE($B265,(VLOOKUP($C265,CATALOGOS!$F$2:$H$6,3,FALSE)),(VLOOKUP($V265,CATALOGOS!$J$2:$K$18,2,FALSE)),""-"",TO_TEXT($A265))"),"P12PP-0264")</f>
        <v>P12PP-0264</v>
      </c>
      <c r="I265" s="6"/>
      <c r="J265" s="6" t="s">
        <v>1897</v>
      </c>
      <c r="K265" s="6" t="s">
        <v>1898</v>
      </c>
      <c r="L265" s="6" t="s">
        <v>1899</v>
      </c>
      <c r="M265" s="6" t="s">
        <v>1900</v>
      </c>
      <c r="N265" s="17"/>
      <c r="O265" s="17"/>
      <c r="P265" s="17" t="str">
        <f t="shared" si="6"/>
        <v>OK</v>
      </c>
      <c r="Q265" s="17" t="s">
        <v>35</v>
      </c>
      <c r="R265" s="6" t="s">
        <v>35</v>
      </c>
      <c r="S265" s="17" t="s">
        <v>36</v>
      </c>
      <c r="T265" s="17" t="s">
        <v>1901</v>
      </c>
      <c r="U265" s="18" t="s">
        <v>38</v>
      </c>
      <c r="V265" s="19" t="s">
        <v>1548</v>
      </c>
      <c r="W265" s="22" t="s">
        <v>1890</v>
      </c>
      <c r="X265" s="21" t="s">
        <v>1890</v>
      </c>
      <c r="Y265" s="22"/>
      <c r="Z265" s="7"/>
      <c r="AA265" s="7"/>
      <c r="AB265" s="23"/>
      <c r="AC265" s="26"/>
    </row>
    <row r="266" spans="1:29" ht="15.75" customHeight="1">
      <c r="A266" s="10" t="s">
        <v>1902</v>
      </c>
      <c r="B266" s="10" t="s">
        <v>1469</v>
      </c>
      <c r="C266" s="60" t="s">
        <v>1470</v>
      </c>
      <c r="D266" s="12"/>
      <c r="E266" s="13" t="s">
        <v>116</v>
      </c>
      <c r="F266" s="6" t="s">
        <v>1730</v>
      </c>
      <c r="G266" s="14" t="str">
        <f ca="1">IFERROR(__xludf.DUMMYFUNCTION("CONCATENATE(B266,(VLOOKUP(C266,CATALOGOS!$F$2:$H$6,3,FALSE)),(VLOOKUP(V266,CATALOGOS!$J$2:$K$18,2,FALSE)),""-"",TO_TEXT(A266))"),"P12PP-0265")</f>
        <v>P12PP-0265</v>
      </c>
      <c r="H266" s="15" t="str">
        <f ca="1">IFERROR(__xludf.DUMMYFUNCTION("CONCATENATE($B266,(VLOOKUP($C266,CATALOGOS!$F$2:$H$6,3,FALSE)),(VLOOKUP($V266,CATALOGOS!$J$2:$K$18,2,FALSE)),""-"",TO_TEXT($A266))"),"P12PP-0265")</f>
        <v>P12PP-0265</v>
      </c>
      <c r="I266" s="6"/>
      <c r="J266" s="6" t="s">
        <v>1903</v>
      </c>
      <c r="K266" s="6" t="s">
        <v>1904</v>
      </c>
      <c r="L266" s="6" t="s">
        <v>1905</v>
      </c>
      <c r="M266" s="6" t="s">
        <v>1906</v>
      </c>
      <c r="N266" s="17"/>
      <c r="O266" s="17"/>
      <c r="P266" s="17" t="str">
        <f t="shared" si="6"/>
        <v>OK</v>
      </c>
      <c r="Q266" s="17" t="s">
        <v>35</v>
      </c>
      <c r="R266" s="6" t="s">
        <v>35</v>
      </c>
      <c r="S266" s="17" t="s">
        <v>36</v>
      </c>
      <c r="T266" s="17" t="s">
        <v>1907</v>
      </c>
      <c r="U266" s="18" t="s">
        <v>38</v>
      </c>
      <c r="V266" s="19" t="s">
        <v>1548</v>
      </c>
      <c r="W266" s="22" t="s">
        <v>1890</v>
      </c>
      <c r="X266" s="21" t="s">
        <v>1890</v>
      </c>
      <c r="Y266" s="22"/>
      <c r="Z266" s="7"/>
      <c r="AA266" s="7"/>
      <c r="AB266" s="23"/>
      <c r="AC266" s="26"/>
    </row>
    <row r="267" spans="1:29" ht="15.75" customHeight="1">
      <c r="A267" s="10" t="s">
        <v>1908</v>
      </c>
      <c r="B267" s="10" t="s">
        <v>1469</v>
      </c>
      <c r="C267" s="63" t="s">
        <v>28</v>
      </c>
      <c r="D267" s="12"/>
      <c r="E267" s="13" t="s">
        <v>43</v>
      </c>
      <c r="F267" s="6" t="s">
        <v>885</v>
      </c>
      <c r="G267" s="14" t="str">
        <f ca="1">IFERROR(__xludf.DUMMYFUNCTION("CONCATENATE(B267,(VLOOKUP(C267,CATALOGOS!$F$2:$H$6,3,FALSE)),(VLOOKUP(V267,CATALOGOS!$J$2:$K$18,2,FALSE)),""-"",TO_TEXT(A267))"),"P15RM-0266")</f>
        <v>P15RM-0266</v>
      </c>
      <c r="H267" s="15" t="str">
        <f ca="1">IFERROR(__xludf.DUMMYFUNCTION("CONCATENATE($B267,(VLOOKUP($C267,CATALOGOS!$F$2:$H$6,3,FALSE)),(VLOOKUP($V267,CATALOGOS!$J$2:$K$18,2,FALSE)),""-"",TO_TEXT($A267))"),"P15RM-0266")</f>
        <v>P15RM-0266</v>
      </c>
      <c r="I267" s="6"/>
      <c r="J267" s="6" t="s">
        <v>1909</v>
      </c>
      <c r="K267" s="6" t="s">
        <v>1910</v>
      </c>
      <c r="L267" s="6" t="s">
        <v>1911</v>
      </c>
      <c r="M267" s="6" t="s">
        <v>1912</v>
      </c>
      <c r="N267" s="17"/>
      <c r="O267" s="17"/>
      <c r="P267" s="17" t="str">
        <f t="shared" si="6"/>
        <v>OK</v>
      </c>
      <c r="Q267" s="17" t="s">
        <v>1913</v>
      </c>
      <c r="R267" s="6" t="s">
        <v>1914</v>
      </c>
      <c r="S267" s="17" t="s">
        <v>36</v>
      </c>
      <c r="T267" s="17" t="s">
        <v>1915</v>
      </c>
      <c r="U267" s="18" t="s">
        <v>100</v>
      </c>
      <c r="V267" s="19" t="s">
        <v>147</v>
      </c>
      <c r="W267" s="20" t="s">
        <v>385</v>
      </c>
      <c r="X267" s="21" t="s">
        <v>1890</v>
      </c>
      <c r="Y267" s="22"/>
      <c r="Z267" s="7"/>
      <c r="AA267" s="7"/>
      <c r="AB267" s="23"/>
      <c r="AC267" s="26"/>
    </row>
    <row r="268" spans="1:29" ht="15.75" customHeight="1">
      <c r="A268" s="10" t="s">
        <v>1916</v>
      </c>
      <c r="B268" s="10" t="s">
        <v>1469</v>
      </c>
      <c r="C268" s="60" t="s">
        <v>1470</v>
      </c>
      <c r="D268" s="12"/>
      <c r="E268" s="13" t="s">
        <v>162</v>
      </c>
      <c r="F268" s="43" t="s">
        <v>285</v>
      </c>
      <c r="G268" s="14" t="str">
        <f ca="1">IFERROR(__xludf.DUMMYFUNCTION("CONCATENATE(B268,(VLOOKUP(C268,CATALOGOS!$F$2:$H$6,3,FALSE)),(VLOOKUP(V268,CATALOGOS!$J$2:$K$18,2,FALSE)),""-"",TO_TEXT(A268))"),"P12PP-0267")</f>
        <v>P12PP-0267</v>
      </c>
      <c r="H268" s="15" t="str">
        <f ca="1">IFERROR(__xludf.DUMMYFUNCTION("CONCATENATE($B268,(VLOOKUP($C268,CATALOGOS!$F$2:$H$6,3,FALSE)),(VLOOKUP($V268,CATALOGOS!$J$2:$K$18,2,FALSE)),""-"",TO_TEXT($A268))"),"P12PP-0267")</f>
        <v>P12PP-0267</v>
      </c>
      <c r="I268" s="6"/>
      <c r="J268" s="6" t="s">
        <v>1917</v>
      </c>
      <c r="K268" s="6" t="s">
        <v>1918</v>
      </c>
      <c r="L268" s="6" t="s">
        <v>1919</v>
      </c>
      <c r="M268" s="6" t="s">
        <v>1920</v>
      </c>
      <c r="N268" s="17"/>
      <c r="O268" s="17"/>
      <c r="P268" s="17" t="str">
        <f t="shared" si="6"/>
        <v>OK</v>
      </c>
      <c r="Q268" s="17" t="s">
        <v>168</v>
      </c>
      <c r="R268" s="6" t="s">
        <v>169</v>
      </c>
      <c r="S268" s="17" t="s">
        <v>1921</v>
      </c>
      <c r="T268" s="17" t="s">
        <v>1922</v>
      </c>
      <c r="U268" s="18" t="s">
        <v>38</v>
      </c>
      <c r="V268" s="19" t="s">
        <v>1548</v>
      </c>
      <c r="W268" s="22" t="s">
        <v>1890</v>
      </c>
      <c r="X268" s="21" t="s">
        <v>1890</v>
      </c>
      <c r="Y268" s="22"/>
      <c r="Z268" s="7"/>
      <c r="AA268" s="7"/>
      <c r="AB268" s="23"/>
      <c r="AC268" s="26"/>
    </row>
    <row r="269" spans="1:29" ht="15.75" customHeight="1">
      <c r="A269" s="10" t="s">
        <v>1923</v>
      </c>
      <c r="B269" s="10" t="s">
        <v>1469</v>
      </c>
      <c r="C269" s="60" t="s">
        <v>1470</v>
      </c>
      <c r="D269" s="12"/>
      <c r="E269" s="13" t="s">
        <v>151</v>
      </c>
      <c r="F269" s="6" t="s">
        <v>698</v>
      </c>
      <c r="G269" s="14" t="str">
        <f ca="1">IFERROR(__xludf.DUMMYFUNCTION("CONCATENATE(B269,(VLOOKUP(C269,CATALOGOS!$F$2:$H$6,3,FALSE)),(VLOOKUP(V269,CATALOGOS!$J$2:$K$18,2,FALSE)),""-"",TO_TEXT(A269))"),"P12PP-0268")</f>
        <v>P12PP-0268</v>
      </c>
      <c r="H269" s="15" t="str">
        <f ca="1">IFERROR(__xludf.DUMMYFUNCTION("CONCATENATE($B269,(VLOOKUP($C269,CATALOGOS!$F$2:$H$6,3,FALSE)),(VLOOKUP($V269,CATALOGOS!$J$2:$K$18,2,FALSE)),""-"",TO_TEXT($A269))"),"P12PP-0268")</f>
        <v>P12PP-0268</v>
      </c>
      <c r="I269" s="6"/>
      <c r="J269" s="6" t="s">
        <v>1924</v>
      </c>
      <c r="K269" s="6" t="s">
        <v>1925</v>
      </c>
      <c r="L269" s="6" t="s">
        <v>1926</v>
      </c>
      <c r="M269" s="6" t="s">
        <v>1927</v>
      </c>
      <c r="N269" s="17"/>
      <c r="O269" s="17"/>
      <c r="P269" s="17" t="str">
        <f t="shared" si="6"/>
        <v>OK</v>
      </c>
      <c r="Q269" s="17" t="s">
        <v>297</v>
      </c>
      <c r="R269" s="6" t="s">
        <v>1131</v>
      </c>
      <c r="S269" s="17" t="s">
        <v>1928</v>
      </c>
      <c r="T269" s="17" t="s">
        <v>1929</v>
      </c>
      <c r="U269" s="18" t="s">
        <v>38</v>
      </c>
      <c r="V269" s="19" t="s">
        <v>1548</v>
      </c>
      <c r="W269" s="22" t="s">
        <v>1890</v>
      </c>
      <c r="X269" s="21" t="s">
        <v>1890</v>
      </c>
      <c r="Y269" s="22"/>
      <c r="Z269" s="7"/>
      <c r="AA269" s="7"/>
      <c r="AB269" s="23"/>
      <c r="AC269" s="26"/>
    </row>
    <row r="270" spans="1:29" ht="15.75" customHeight="1">
      <c r="A270" s="10" t="s">
        <v>1930</v>
      </c>
      <c r="B270" s="10" t="s">
        <v>1469</v>
      </c>
      <c r="C270" s="60" t="s">
        <v>1470</v>
      </c>
      <c r="D270" s="12"/>
      <c r="E270" s="13" t="s">
        <v>151</v>
      </c>
      <c r="F270" s="6" t="s">
        <v>152</v>
      </c>
      <c r="G270" s="14" t="str">
        <f ca="1">IFERROR(__xludf.DUMMYFUNCTION("CONCATENATE(B270,(VLOOKUP(C270,CATALOGOS!$F$2:$H$6,3,FALSE)),(VLOOKUP(V270,CATALOGOS!$J$2:$K$18,2,FALSE)),""-"",TO_TEXT(A270))"),"P12PP-0269")</f>
        <v>P12PP-0269</v>
      </c>
      <c r="H270" s="15" t="str">
        <f ca="1">IFERROR(__xludf.DUMMYFUNCTION("CONCATENATE($B270,(VLOOKUP($C270,CATALOGOS!$F$2:$H$6,3,FALSE)),(VLOOKUP($V270,CATALOGOS!$J$2:$K$18,2,FALSE)),""-"",TO_TEXT($A270))"),"P12PP-0269")</f>
        <v>P12PP-0269</v>
      </c>
      <c r="I270" s="6"/>
      <c r="J270" s="6" t="s">
        <v>1931</v>
      </c>
      <c r="K270" s="6" t="s">
        <v>1932</v>
      </c>
      <c r="L270" s="6" t="s">
        <v>1933</v>
      </c>
      <c r="M270" s="6" t="s">
        <v>141</v>
      </c>
      <c r="N270" s="17"/>
      <c r="O270" s="17"/>
      <c r="P270" s="17" t="str">
        <f t="shared" si="6"/>
        <v>REPETIDO</v>
      </c>
      <c r="Q270" s="17" t="s">
        <v>1220</v>
      </c>
      <c r="R270" s="6" t="s">
        <v>720</v>
      </c>
      <c r="S270" s="17" t="s">
        <v>1934</v>
      </c>
      <c r="T270" s="17" t="s">
        <v>1935</v>
      </c>
      <c r="U270" s="18" t="s">
        <v>38</v>
      </c>
      <c r="V270" s="19" t="s">
        <v>1548</v>
      </c>
      <c r="W270" s="22" t="s">
        <v>1890</v>
      </c>
      <c r="X270" s="21" t="s">
        <v>1890</v>
      </c>
      <c r="Y270" s="22"/>
      <c r="Z270" s="7"/>
      <c r="AA270" s="7"/>
      <c r="AB270" s="23"/>
      <c r="AC270" s="26"/>
    </row>
    <row r="271" spans="1:29" ht="15.75" customHeight="1">
      <c r="A271" s="10" t="s">
        <v>1936</v>
      </c>
      <c r="B271" s="10" t="s">
        <v>1469</v>
      </c>
      <c r="C271" s="60" t="s">
        <v>1470</v>
      </c>
      <c r="D271" s="12"/>
      <c r="E271" s="13" t="s">
        <v>199</v>
      </c>
      <c r="F271" s="6" t="s">
        <v>199</v>
      </c>
      <c r="G271" s="14" t="str">
        <f ca="1">IFERROR(__xludf.DUMMYFUNCTION("CONCATENATE(B271,(VLOOKUP(C271,CATALOGOS!$F$2:$H$6,3,FALSE)),(VLOOKUP(V271,CATALOGOS!$J$2:$K$18,2,FALSE)),""-"",TO_TEXT(A271))"),"P12PP-0270")</f>
        <v>P12PP-0270</v>
      </c>
      <c r="H271" s="15" t="str">
        <f ca="1">IFERROR(__xludf.DUMMYFUNCTION("CONCATENATE($B271,(VLOOKUP($C271,CATALOGOS!$F$2:$H$6,3,FALSE)),(VLOOKUP($V271,CATALOGOS!$J$2:$K$18,2,FALSE)),""-"",TO_TEXT($A271))"),"P12PP-0270")</f>
        <v>P12PP-0270</v>
      </c>
      <c r="I271" s="6"/>
      <c r="J271" s="6" t="s">
        <v>1937</v>
      </c>
      <c r="K271" s="6" t="s">
        <v>1938</v>
      </c>
      <c r="L271" s="6" t="s">
        <v>1939</v>
      </c>
      <c r="M271" s="6" t="s">
        <v>1940</v>
      </c>
      <c r="N271" s="17"/>
      <c r="O271" s="17"/>
      <c r="P271" s="17" t="str">
        <f t="shared" si="6"/>
        <v>OK</v>
      </c>
      <c r="Q271" s="17" t="s">
        <v>205</v>
      </c>
      <c r="R271" s="6" t="s">
        <v>993</v>
      </c>
      <c r="S271" s="17" t="s">
        <v>1941</v>
      </c>
      <c r="T271" s="17" t="s">
        <v>1942</v>
      </c>
      <c r="U271" s="18" t="s">
        <v>38</v>
      </c>
      <c r="V271" s="19" t="s">
        <v>1548</v>
      </c>
      <c r="W271" s="22" t="s">
        <v>1890</v>
      </c>
      <c r="X271" s="21" t="s">
        <v>1890</v>
      </c>
      <c r="Y271" s="22"/>
      <c r="Z271" s="6"/>
      <c r="AA271" s="6"/>
      <c r="AB271" s="23"/>
      <c r="AC271" s="24"/>
    </row>
    <row r="272" spans="1:29" ht="15.75" customHeight="1">
      <c r="A272" s="10" t="s">
        <v>1943</v>
      </c>
      <c r="B272" s="10" t="s">
        <v>1469</v>
      </c>
      <c r="C272" s="60" t="s">
        <v>1470</v>
      </c>
      <c r="D272" s="12"/>
      <c r="E272" s="13" t="s">
        <v>1240</v>
      </c>
      <c r="F272" s="43" t="s">
        <v>278</v>
      </c>
      <c r="G272" s="14" t="str">
        <f ca="1">IFERROR(__xludf.DUMMYFUNCTION("CONCATENATE(B272,(VLOOKUP(C272,CATALOGOS!$F$2:$H$6,3,FALSE)),(VLOOKUP(V272,CATALOGOS!$J$2:$K$18,2,FALSE)),""-"",TO_TEXT(A272))"),"P12PP-0271")</f>
        <v>P12PP-0271</v>
      </c>
      <c r="H272" s="15" t="str">
        <f ca="1">IFERROR(__xludf.DUMMYFUNCTION("CONCATENATE($B272,(VLOOKUP($C272,CATALOGOS!$F$2:$H$6,3,FALSE)),(VLOOKUP($V272,CATALOGOS!$J$2:$K$18,2,FALSE)),""-"",TO_TEXT($A272))"),"P12PP-0271")</f>
        <v>P12PP-0271</v>
      </c>
      <c r="I272" s="6"/>
      <c r="J272" s="6" t="s">
        <v>1944</v>
      </c>
      <c r="K272" s="6" t="s">
        <v>1945</v>
      </c>
      <c r="L272" s="6" t="s">
        <v>1946</v>
      </c>
      <c r="M272" s="6" t="s">
        <v>1947</v>
      </c>
      <c r="N272" s="17"/>
      <c r="O272" s="17"/>
      <c r="P272" s="17" t="str">
        <f t="shared" si="6"/>
        <v>OK</v>
      </c>
      <c r="Q272" s="17" t="s">
        <v>35</v>
      </c>
      <c r="R272" s="6" t="s">
        <v>35</v>
      </c>
      <c r="S272" s="17" t="s">
        <v>36</v>
      </c>
      <c r="T272" s="17" t="s">
        <v>1948</v>
      </c>
      <c r="U272" s="18" t="s">
        <v>38</v>
      </c>
      <c r="V272" s="19" t="s">
        <v>1548</v>
      </c>
      <c r="W272" s="22" t="s">
        <v>1890</v>
      </c>
      <c r="X272" s="21" t="s">
        <v>1890</v>
      </c>
      <c r="Y272" s="22"/>
      <c r="Z272" s="7"/>
      <c r="AA272" s="7"/>
      <c r="AB272" s="23"/>
      <c r="AC272" s="26"/>
    </row>
    <row r="273" spans="1:29" ht="15.75" customHeight="1">
      <c r="A273" s="10" t="s">
        <v>1949</v>
      </c>
      <c r="B273" s="10" t="s">
        <v>1469</v>
      </c>
      <c r="C273" s="60" t="s">
        <v>1470</v>
      </c>
      <c r="D273" s="12"/>
      <c r="E273" s="13" t="s">
        <v>248</v>
      </c>
      <c r="F273" s="43" t="s">
        <v>249</v>
      </c>
      <c r="G273" s="14" t="str">
        <f ca="1">IFERROR(__xludf.DUMMYFUNCTION("CONCATENATE(B273,(VLOOKUP(C273,CATALOGOS!$F$2:$H$6,3,FALSE)),(VLOOKUP(V273,CATALOGOS!$J$2:$K$18,2,FALSE)),""-"",TO_TEXT(A273))"),"P12PP-0272")</f>
        <v>P12PP-0272</v>
      </c>
      <c r="H273" s="15" t="str">
        <f ca="1">IFERROR(__xludf.DUMMYFUNCTION("CONCATENATE($B273,(VLOOKUP($C273,CATALOGOS!$F$2:$H$6,3,FALSE)),(VLOOKUP($V273,CATALOGOS!$J$2:$K$18,2,FALSE)),""-"",TO_TEXT($A273))"),"P12PP-0272")</f>
        <v>P12PP-0272</v>
      </c>
      <c r="I273" s="6"/>
      <c r="J273" s="6" t="s">
        <v>1950</v>
      </c>
      <c r="K273" s="6" t="s">
        <v>1951</v>
      </c>
      <c r="L273" s="6" t="s">
        <v>1952</v>
      </c>
      <c r="M273" s="6" t="s">
        <v>1953</v>
      </c>
      <c r="N273" s="17"/>
      <c r="O273" s="17"/>
      <c r="P273" s="17" t="str">
        <f t="shared" si="6"/>
        <v>OK</v>
      </c>
      <c r="Q273" s="17" t="s">
        <v>250</v>
      </c>
      <c r="R273" s="6" t="s">
        <v>1954</v>
      </c>
      <c r="S273" s="17" t="s">
        <v>1955</v>
      </c>
      <c r="T273" s="17" t="s">
        <v>1956</v>
      </c>
      <c r="U273" s="18" t="s">
        <v>38</v>
      </c>
      <c r="V273" s="19" t="s">
        <v>1548</v>
      </c>
      <c r="W273" s="22" t="s">
        <v>1890</v>
      </c>
      <c r="X273" s="21" t="s">
        <v>1890</v>
      </c>
      <c r="Y273" s="22"/>
      <c r="Z273" s="7"/>
      <c r="AA273" s="7"/>
      <c r="AB273" s="23"/>
      <c r="AC273" s="26"/>
    </row>
    <row r="274" spans="1:29" ht="15.75" customHeight="1">
      <c r="A274" s="10" t="s">
        <v>1957</v>
      </c>
      <c r="B274" s="10" t="s">
        <v>1469</v>
      </c>
      <c r="C274" s="63" t="s">
        <v>28</v>
      </c>
      <c r="D274" s="12"/>
      <c r="E274" s="13" t="s">
        <v>378</v>
      </c>
      <c r="F274" s="43" t="s">
        <v>1958</v>
      </c>
      <c r="G274" s="47" t="str">
        <f ca="1">IFERROR(__xludf.DUMMYFUNCTION("CONCATENATE(B274,(VLOOKUP(C274,CATALOGOS!$F$2:$H$6,3,FALSE)),(VLOOKUP(V274,CATALOGOS!$J$2:$K$18,2,FALSE)),""-"",TO_TEXT(A274))"),"P15RM-0273")</f>
        <v>P15RM-0273</v>
      </c>
      <c r="H274" s="15" t="str">
        <f ca="1">IFERROR(__xludf.DUMMYFUNCTION("CONCATENATE($B274,(VLOOKUP($C274,CATALOGOS!$F$2:$H$6,3,FALSE)),(VLOOKUP($V274,CATALOGOS!$J$2:$K$18,2,FALSE)),""-"",TO_TEXT($A274))"),"P15RM-0273")</f>
        <v>P15RM-0273</v>
      </c>
      <c r="I274" s="6"/>
      <c r="J274" s="6" t="s">
        <v>1959</v>
      </c>
      <c r="K274" s="6" t="s">
        <v>1960</v>
      </c>
      <c r="L274" s="6" t="s">
        <v>1961</v>
      </c>
      <c r="M274" s="6" t="s">
        <v>1962</v>
      </c>
      <c r="N274" s="17"/>
      <c r="O274" s="17"/>
      <c r="P274" s="17" t="str">
        <f t="shared" si="6"/>
        <v>OK</v>
      </c>
      <c r="Q274" s="17" t="s">
        <v>35</v>
      </c>
      <c r="R274" s="6" t="s">
        <v>35</v>
      </c>
      <c r="S274" s="17" t="s">
        <v>36</v>
      </c>
      <c r="T274" s="17" t="s">
        <v>1963</v>
      </c>
      <c r="U274" s="18" t="s">
        <v>100</v>
      </c>
      <c r="V274" s="19" t="s">
        <v>147</v>
      </c>
      <c r="W274" s="20" t="s">
        <v>385</v>
      </c>
      <c r="X274" s="39" t="s">
        <v>385</v>
      </c>
      <c r="Y274" s="20"/>
      <c r="Z274" s="7"/>
      <c r="AA274" s="7"/>
      <c r="AB274" s="23"/>
      <c r="AC274" s="26"/>
    </row>
    <row r="275" spans="1:29" ht="15.75" customHeight="1">
      <c r="A275" s="10" t="s">
        <v>1964</v>
      </c>
      <c r="B275" s="10" t="s">
        <v>1469</v>
      </c>
      <c r="C275" s="63" t="s">
        <v>28</v>
      </c>
      <c r="D275" s="38"/>
      <c r="E275" s="13" t="s">
        <v>184</v>
      </c>
      <c r="F275" s="43" t="s">
        <v>927</v>
      </c>
      <c r="G275" s="47" t="str">
        <f ca="1">IFERROR(__xludf.DUMMYFUNCTION("CONCATENATE(B275,(VLOOKUP(C275,CATALOGOS!$F$2:$H$6,3,FALSE)),(VLOOKUP(V275,CATALOGOS!$J$2:$K$18,2,FALSE)),""-"",TO_TEXT(A275))"),"P15RM-0274")</f>
        <v>P15RM-0274</v>
      </c>
      <c r="H275" s="15" t="str">
        <f ca="1">IFERROR(__xludf.DUMMYFUNCTION("CONCATENATE($B275,(VLOOKUP($C275,CATALOGOS!$F$2:$H$6,3,FALSE)),(VLOOKUP($V275,CATALOGOS!$J$2:$K$18,2,FALSE)),""-"",TO_TEXT($A275))"),"P15RM-0274")</f>
        <v>P15RM-0274</v>
      </c>
      <c r="I275" s="6"/>
      <c r="J275" s="6" t="s">
        <v>1965</v>
      </c>
      <c r="K275" s="6" t="s">
        <v>1966</v>
      </c>
      <c r="L275" s="6" t="s">
        <v>1967</v>
      </c>
      <c r="M275" s="43" t="s">
        <v>1968</v>
      </c>
      <c r="N275" s="17"/>
      <c r="O275" s="17"/>
      <c r="P275" s="17" t="str">
        <f t="shared" si="6"/>
        <v>OK</v>
      </c>
      <c r="Q275" s="43" t="s">
        <v>35</v>
      </c>
      <c r="R275" s="6" t="s">
        <v>35</v>
      </c>
      <c r="S275" s="46" t="s">
        <v>36</v>
      </c>
      <c r="T275" s="17" t="s">
        <v>1969</v>
      </c>
      <c r="U275" s="18" t="s">
        <v>100</v>
      </c>
      <c r="V275" s="19" t="s">
        <v>147</v>
      </c>
      <c r="W275" s="20" t="s">
        <v>385</v>
      </c>
      <c r="X275" s="21" t="s">
        <v>1672</v>
      </c>
      <c r="Y275" s="40" t="s">
        <v>261</v>
      </c>
      <c r="Z275" s="7"/>
      <c r="AA275" s="7"/>
      <c r="AB275" s="26"/>
      <c r="AC275" s="26"/>
    </row>
    <row r="276" spans="1:29" ht="15.75" customHeight="1">
      <c r="A276" s="10" t="s">
        <v>1970</v>
      </c>
      <c r="B276" s="10" t="s">
        <v>1469</v>
      </c>
      <c r="C276" s="60" t="s">
        <v>1470</v>
      </c>
      <c r="D276" s="12"/>
      <c r="E276" s="13" t="s">
        <v>210</v>
      </c>
      <c r="F276" s="6" t="s">
        <v>210</v>
      </c>
      <c r="G276" s="6" t="str">
        <f ca="1">IFERROR(__xludf.DUMMYFUNCTION("CONCATENATE(B276,(VLOOKUP(C276,CATALOGOS!$F$2:$H$6,3,FALSE)),(VLOOKUP(V276,CATALOGOS!$J$2:$K$18,2,FALSE)),""-"",TO_TEXT(A276))"),"P12PP-0275")</f>
        <v>P12PP-0275</v>
      </c>
      <c r="H276" s="15" t="str">
        <f ca="1">IFERROR(__xludf.DUMMYFUNCTION("CONCATENATE($B276,(VLOOKUP($C276,CATALOGOS!$F$2:$H$6,3,FALSE)),(VLOOKUP($V276,CATALOGOS!$J$2:$K$18,2,FALSE)),""-"",TO_TEXT($A276))"),"P12PP-0275")</f>
        <v>P12PP-0275</v>
      </c>
      <c r="I276" s="6"/>
      <c r="J276" s="6" t="s">
        <v>1971</v>
      </c>
      <c r="K276" s="6" t="s">
        <v>1972</v>
      </c>
      <c r="L276" s="36"/>
      <c r="M276" s="6" t="s">
        <v>1973</v>
      </c>
      <c r="N276" s="17"/>
      <c r="O276" s="17"/>
      <c r="P276" s="17" t="str">
        <f t="shared" si="6"/>
        <v>OK</v>
      </c>
      <c r="Q276" s="17" t="s">
        <v>216</v>
      </c>
      <c r="R276" s="6" t="s">
        <v>1974</v>
      </c>
      <c r="S276" s="6" t="s">
        <v>36</v>
      </c>
      <c r="T276" s="10" t="s">
        <v>1975</v>
      </c>
      <c r="U276" s="18" t="s">
        <v>38</v>
      </c>
      <c r="V276" s="19" t="s">
        <v>1548</v>
      </c>
      <c r="W276" s="20" t="s">
        <v>1597</v>
      </c>
      <c r="X276" s="39" t="s">
        <v>1597</v>
      </c>
      <c r="Y276" s="20"/>
      <c r="Z276" s="7"/>
      <c r="AA276" s="7"/>
      <c r="AB276" s="23"/>
      <c r="AC276" s="26"/>
    </row>
    <row r="277" spans="1:29" ht="15.75" customHeight="1">
      <c r="A277" s="10" t="s">
        <v>1976</v>
      </c>
      <c r="B277" s="10" t="s">
        <v>27</v>
      </c>
      <c r="C277" s="60" t="s">
        <v>1470</v>
      </c>
      <c r="D277" s="12"/>
      <c r="E277" s="13" t="s">
        <v>501</v>
      </c>
      <c r="F277" s="6" t="s">
        <v>1977</v>
      </c>
      <c r="G277" s="14" t="str">
        <f ca="1">IFERROR(__xludf.DUMMYFUNCTION("CONCATENATE(B277,(VLOOKUP(C277,CATALOGOS!$F$2:$H$6,3,FALSE)),(VLOOKUP(V277,CATALOGOS!$J$2:$K$18,2,FALSE)),""-"",TO_TEXT(A277))"),"P02PP-0276")</f>
        <v>P02PP-0276</v>
      </c>
      <c r="H277" s="15" t="str">
        <f ca="1">IFERROR(__xludf.DUMMYFUNCTION("CONCATENATE($B277,(VLOOKUP($C277,CATALOGOS!$F$2:$H$6,3,FALSE)),(VLOOKUP($V277,CATALOGOS!$J$2:$K$18,2,FALSE)),""-"",TO_TEXT($A277))"),"P02PP-0276")</f>
        <v>P02PP-0276</v>
      </c>
      <c r="I277" s="6"/>
      <c r="J277" s="6" t="s">
        <v>1978</v>
      </c>
      <c r="K277" s="6" t="s">
        <v>1979</v>
      </c>
      <c r="L277" s="6" t="s">
        <v>1980</v>
      </c>
      <c r="M277" s="6" t="s">
        <v>1981</v>
      </c>
      <c r="N277" s="17"/>
      <c r="O277" s="17"/>
      <c r="P277" s="17" t="str">
        <f t="shared" si="6"/>
        <v>OK</v>
      </c>
      <c r="Q277" s="17" t="s">
        <v>35</v>
      </c>
      <c r="R277" s="6" t="s">
        <v>35</v>
      </c>
      <c r="S277" s="17" t="s">
        <v>36</v>
      </c>
      <c r="T277" s="35" t="s">
        <v>1982</v>
      </c>
      <c r="U277" s="18" t="s">
        <v>38</v>
      </c>
      <c r="V277" s="19" t="s">
        <v>1548</v>
      </c>
      <c r="W277" s="22" t="s">
        <v>1983</v>
      </c>
      <c r="X277" s="21" t="s">
        <v>1983</v>
      </c>
      <c r="Y277" s="22"/>
      <c r="Z277" s="7"/>
      <c r="AA277" s="7"/>
      <c r="AB277" s="23"/>
      <c r="AC277" s="26"/>
    </row>
    <row r="278" spans="1:29" ht="15.75" customHeight="1">
      <c r="A278" s="10" t="s">
        <v>1984</v>
      </c>
      <c r="B278" s="10" t="s">
        <v>27</v>
      </c>
      <c r="C278" s="60" t="s">
        <v>1470</v>
      </c>
      <c r="D278" s="12"/>
      <c r="E278" s="13" t="s">
        <v>43</v>
      </c>
      <c r="F278" s="6" t="s">
        <v>1688</v>
      </c>
      <c r="G278" s="14" t="str">
        <f ca="1">IFERROR(__xludf.DUMMYFUNCTION("CONCATENATE(B278,(VLOOKUP(C278,CATALOGOS!$F$2:$H$6,3,FALSE)),(VLOOKUP(V278,CATALOGOS!$J$2:$K$18,2,FALSE)),""-"",TO_TEXT(A278))"),"P02PP-0277")</f>
        <v>P02PP-0277</v>
      </c>
      <c r="H278" s="15" t="str">
        <f ca="1">IFERROR(__xludf.DUMMYFUNCTION("CONCATENATE($B278,(VLOOKUP($C278,CATALOGOS!$F$2:$H$6,3,FALSE)),(VLOOKUP($V278,CATALOGOS!$J$2:$K$18,2,FALSE)),""-"",TO_TEXT($A278))"),"P02PP-0277")</f>
        <v>P02PP-0277</v>
      </c>
      <c r="I278" s="6"/>
      <c r="J278" s="6" t="s">
        <v>1985</v>
      </c>
      <c r="K278" s="6" t="s">
        <v>1986</v>
      </c>
      <c r="L278" s="6" t="s">
        <v>1987</v>
      </c>
      <c r="M278" s="6" t="s">
        <v>1988</v>
      </c>
      <c r="N278" s="17"/>
      <c r="O278" s="17"/>
      <c r="P278" s="17" t="str">
        <f t="shared" si="6"/>
        <v>OK</v>
      </c>
      <c r="Q278" s="17" t="s">
        <v>49</v>
      </c>
      <c r="R278" s="6" t="s">
        <v>1989</v>
      </c>
      <c r="S278" s="17" t="s">
        <v>36</v>
      </c>
      <c r="T278" s="10" t="s">
        <v>1990</v>
      </c>
      <c r="U278" s="18" t="s">
        <v>100</v>
      </c>
      <c r="V278" s="19" t="s">
        <v>1548</v>
      </c>
      <c r="W278" s="22" t="s">
        <v>1983</v>
      </c>
      <c r="X278" s="21" t="s">
        <v>1983</v>
      </c>
      <c r="Y278" s="22"/>
      <c r="Z278" s="7"/>
      <c r="AA278" s="7"/>
      <c r="AB278" s="23"/>
      <c r="AC278" s="26"/>
    </row>
    <row r="279" spans="1:29" ht="15.75" customHeight="1">
      <c r="A279" s="10" t="s">
        <v>1991</v>
      </c>
      <c r="B279" s="10" t="s">
        <v>27</v>
      </c>
      <c r="C279" s="60" t="s">
        <v>1470</v>
      </c>
      <c r="D279" s="12"/>
      <c r="E279" s="13" t="s">
        <v>184</v>
      </c>
      <c r="F279" s="6" t="s">
        <v>1992</v>
      </c>
      <c r="G279" s="14" t="str">
        <f ca="1">IFERROR(__xludf.DUMMYFUNCTION("CONCATENATE(B279,(VLOOKUP(C279,CATALOGOS!$F$2:$H$6,3,FALSE)),(VLOOKUP(V279,CATALOGOS!$J$2:$K$18,2,FALSE)),""-"",TO_TEXT(A279))"),"P02PP-0278")</f>
        <v>P02PP-0278</v>
      </c>
      <c r="H279" s="15" t="str">
        <f ca="1">IFERROR(__xludf.DUMMYFUNCTION("CONCATENATE($B279,(VLOOKUP($C279,CATALOGOS!$F$2:$H$6,3,FALSE)),(VLOOKUP($V279,CATALOGOS!$J$2:$K$18,2,FALSE)),""-"",TO_TEXT($A279))"),"P02PP-0278")</f>
        <v>P02PP-0278</v>
      </c>
      <c r="I279" s="6"/>
      <c r="J279" s="6" t="s">
        <v>1993</v>
      </c>
      <c r="K279" s="6" t="s">
        <v>1994</v>
      </c>
      <c r="L279" s="6" t="s">
        <v>1995</v>
      </c>
      <c r="M279" s="43" t="s">
        <v>1996</v>
      </c>
      <c r="N279" s="17"/>
      <c r="O279" s="17"/>
      <c r="P279" s="17" t="str">
        <f t="shared" si="6"/>
        <v>OK</v>
      </c>
      <c r="Q279" s="17" t="s">
        <v>35</v>
      </c>
      <c r="R279" s="6" t="s">
        <v>35</v>
      </c>
      <c r="S279" s="17" t="s">
        <v>36</v>
      </c>
      <c r="T279" s="35" t="s">
        <v>1997</v>
      </c>
      <c r="U279" s="18" t="s">
        <v>38</v>
      </c>
      <c r="V279" s="19" t="s">
        <v>1548</v>
      </c>
      <c r="W279" s="22" t="s">
        <v>1983</v>
      </c>
      <c r="X279" s="21" t="s">
        <v>1983</v>
      </c>
      <c r="Y279" s="22"/>
      <c r="Z279" s="7"/>
      <c r="AA279" s="7"/>
      <c r="AB279" s="23"/>
      <c r="AC279" s="26"/>
    </row>
    <row r="280" spans="1:29" ht="15.75" customHeight="1">
      <c r="A280" s="10" t="s">
        <v>1998</v>
      </c>
      <c r="B280" s="10" t="s">
        <v>27</v>
      </c>
      <c r="C280" s="60" t="s">
        <v>1470</v>
      </c>
      <c r="D280" s="12"/>
      <c r="E280" s="13" t="s">
        <v>116</v>
      </c>
      <c r="F280" s="6" t="s">
        <v>599</v>
      </c>
      <c r="G280" s="14" t="str">
        <f ca="1">IFERROR(__xludf.DUMMYFUNCTION("CONCATENATE(B280,(VLOOKUP(C280,CATALOGOS!$F$2:$H$6,3,FALSE)),(VLOOKUP(V280,CATALOGOS!$J$2:$K$18,2,FALSE)),""-"",TO_TEXT(A280))"),"P02PP-0279")</f>
        <v>P02PP-0279</v>
      </c>
      <c r="H280" s="15" t="str">
        <f ca="1">IFERROR(__xludf.DUMMYFUNCTION("CONCATENATE($B280,(VLOOKUP($C280,CATALOGOS!$F$2:$H$6,3,FALSE)),(VLOOKUP($V280,CATALOGOS!$J$2:$K$18,2,FALSE)),""-"",TO_TEXT($A280))"),"P02PP-0279")</f>
        <v>P02PP-0279</v>
      </c>
      <c r="I280" s="6"/>
      <c r="J280" s="6" t="s">
        <v>1999</v>
      </c>
      <c r="K280" s="6" t="s">
        <v>2000</v>
      </c>
      <c r="L280" s="6" t="s">
        <v>2001</v>
      </c>
      <c r="M280" s="6" t="s">
        <v>2002</v>
      </c>
      <c r="N280" s="17"/>
      <c r="O280" s="17"/>
      <c r="P280" s="17" t="str">
        <f t="shared" si="6"/>
        <v>OK</v>
      </c>
      <c r="Q280" s="17" t="s">
        <v>35</v>
      </c>
      <c r="R280" s="6" t="s">
        <v>35</v>
      </c>
      <c r="S280" s="17" t="s">
        <v>36</v>
      </c>
      <c r="T280" s="35" t="s">
        <v>2003</v>
      </c>
      <c r="U280" s="18" t="s">
        <v>38</v>
      </c>
      <c r="V280" s="19" t="s">
        <v>1548</v>
      </c>
      <c r="W280" s="22" t="s">
        <v>1983</v>
      </c>
      <c r="X280" s="21" t="s">
        <v>1983</v>
      </c>
      <c r="Y280" s="22"/>
      <c r="Z280" s="7"/>
      <c r="AA280" s="7"/>
      <c r="AB280" s="23"/>
      <c r="AC280" s="26"/>
    </row>
    <row r="281" spans="1:29" ht="15.75" customHeight="1">
      <c r="A281" s="10" t="s">
        <v>2004</v>
      </c>
      <c r="B281" s="10" t="s">
        <v>27</v>
      </c>
      <c r="C281" s="60" t="s">
        <v>1470</v>
      </c>
      <c r="D281" s="12"/>
      <c r="E281" s="13" t="s">
        <v>199</v>
      </c>
      <c r="F281" s="6" t="s">
        <v>199</v>
      </c>
      <c r="G281" s="14" t="str">
        <f ca="1">IFERROR(__xludf.DUMMYFUNCTION("CONCATENATE(B281,(VLOOKUP(C281,CATALOGOS!$F$2:$H$6,3,FALSE)),(VLOOKUP(V281,CATALOGOS!$J$2:$K$18,2,FALSE)),""-"",TO_TEXT(A281))"),"P02PP-0280")</f>
        <v>P02PP-0280</v>
      </c>
      <c r="H281" s="15" t="str">
        <f ca="1">IFERROR(__xludf.DUMMYFUNCTION("CONCATENATE($B281,(VLOOKUP($C281,CATALOGOS!$F$2:$H$6,3,FALSE)),(VLOOKUP($V281,CATALOGOS!$J$2:$K$18,2,FALSE)),""-"",TO_TEXT($A281))"),"P02PP-0280")</f>
        <v>P02PP-0280</v>
      </c>
      <c r="I281" s="6"/>
      <c r="J281" s="6" t="s">
        <v>2005</v>
      </c>
      <c r="K281" s="6" t="s">
        <v>2006</v>
      </c>
      <c r="L281" s="6" t="s">
        <v>2007</v>
      </c>
      <c r="M281" s="6" t="s">
        <v>2008</v>
      </c>
      <c r="N281" s="17"/>
      <c r="O281" s="17"/>
      <c r="P281" s="17" t="str">
        <f t="shared" si="6"/>
        <v>OK</v>
      </c>
      <c r="Q281" s="17" t="s">
        <v>297</v>
      </c>
      <c r="R281" s="6" t="s">
        <v>2009</v>
      </c>
      <c r="S281" s="17" t="s">
        <v>2010</v>
      </c>
      <c r="T281" s="35" t="s">
        <v>2011</v>
      </c>
      <c r="U281" s="18" t="s">
        <v>517</v>
      </c>
      <c r="V281" s="19" t="s">
        <v>1548</v>
      </c>
      <c r="W281" s="22" t="s">
        <v>1983</v>
      </c>
      <c r="X281" s="21" t="s">
        <v>1983</v>
      </c>
      <c r="Y281" s="22"/>
      <c r="Z281" s="7"/>
      <c r="AA281" s="7"/>
      <c r="AB281" s="23"/>
      <c r="AC281" s="26"/>
    </row>
    <row r="282" spans="1:29" ht="15.75" customHeight="1">
      <c r="A282" s="10" t="s">
        <v>2012</v>
      </c>
      <c r="B282" s="10" t="s">
        <v>27</v>
      </c>
      <c r="C282" s="60" t="s">
        <v>1470</v>
      </c>
      <c r="D282" s="12"/>
      <c r="E282" s="13" t="s">
        <v>151</v>
      </c>
      <c r="F282" s="6" t="s">
        <v>152</v>
      </c>
      <c r="G282" s="14" t="str">
        <f ca="1">IFERROR(__xludf.DUMMYFUNCTION("CONCATENATE(B282,(VLOOKUP(C282,CATALOGOS!$F$2:$H$6,3,FALSE)),(VLOOKUP(V282,CATALOGOS!$J$2:$K$18,2,FALSE)),""-"",TO_TEXT(A282))"),"P02PP-0281")</f>
        <v>P02PP-0281</v>
      </c>
      <c r="H282" s="15" t="str">
        <f ca="1">IFERROR(__xludf.DUMMYFUNCTION("CONCATENATE($B282,(VLOOKUP($C282,CATALOGOS!$F$2:$H$6,3,FALSE)),(VLOOKUP($V282,CATALOGOS!$J$2:$K$18,2,FALSE)),""-"",TO_TEXT($A282))"),"P02PP-0281")</f>
        <v>P02PP-0281</v>
      </c>
      <c r="I282" s="6"/>
      <c r="J282" s="6" t="s">
        <v>2013</v>
      </c>
      <c r="K282" s="6" t="s">
        <v>2014</v>
      </c>
      <c r="L282" s="6" t="s">
        <v>2015</v>
      </c>
      <c r="M282" s="6" t="s">
        <v>2016</v>
      </c>
      <c r="N282" s="17"/>
      <c r="O282" s="17"/>
      <c r="P282" s="17" t="str">
        <f t="shared" si="6"/>
        <v>OK</v>
      </c>
      <c r="Q282" s="17" t="s">
        <v>1220</v>
      </c>
      <c r="R282" s="6" t="s">
        <v>720</v>
      </c>
      <c r="S282" s="17" t="s">
        <v>2017</v>
      </c>
      <c r="T282" s="35" t="s">
        <v>2018</v>
      </c>
      <c r="U282" s="18" t="s">
        <v>38</v>
      </c>
      <c r="V282" s="19" t="s">
        <v>1548</v>
      </c>
      <c r="W282" s="22" t="s">
        <v>1983</v>
      </c>
      <c r="X282" s="21" t="s">
        <v>1983</v>
      </c>
      <c r="Y282" s="22"/>
      <c r="Z282" s="7"/>
      <c r="AA282" s="7"/>
      <c r="AB282" s="23"/>
      <c r="AC282" s="26"/>
    </row>
    <row r="283" spans="1:29" ht="15.75" customHeight="1">
      <c r="A283" s="10" t="s">
        <v>2019</v>
      </c>
      <c r="B283" s="10" t="s">
        <v>27</v>
      </c>
      <c r="C283" s="60" t="s">
        <v>1470</v>
      </c>
      <c r="D283" s="12"/>
      <c r="E283" s="13" t="s">
        <v>248</v>
      </c>
      <c r="F283" s="6" t="s">
        <v>248</v>
      </c>
      <c r="G283" s="14" t="str">
        <f ca="1">IFERROR(__xludf.DUMMYFUNCTION("CONCATENATE(B283,(VLOOKUP(C283,CATALOGOS!$F$2:$H$6,3,FALSE)),(VLOOKUP(V283,CATALOGOS!$J$2:$K$18,2,FALSE)),""-"",TO_TEXT(A283))"),"P02PP-0282")</f>
        <v>P02PP-0282</v>
      </c>
      <c r="H283" s="15" t="str">
        <f ca="1">IFERROR(__xludf.DUMMYFUNCTION("CONCATENATE($B283,(VLOOKUP($C283,CATALOGOS!$F$2:$H$6,3,FALSE)),(VLOOKUP($V283,CATALOGOS!$J$2:$K$18,2,FALSE)),""-"",TO_TEXT($A283))"),"P02PP-0282")</f>
        <v>P02PP-0282</v>
      </c>
      <c r="I283" s="6"/>
      <c r="J283" s="6" t="s">
        <v>2020</v>
      </c>
      <c r="K283" s="6" t="s">
        <v>2021</v>
      </c>
      <c r="L283" s="36"/>
      <c r="M283" s="6" t="s">
        <v>141</v>
      </c>
      <c r="N283" s="17"/>
      <c r="O283" s="17"/>
      <c r="P283" s="17" t="str">
        <f t="shared" si="6"/>
        <v>REPETIDO</v>
      </c>
      <c r="Q283" s="17" t="s">
        <v>2022</v>
      </c>
      <c r="R283" s="6" t="s">
        <v>35</v>
      </c>
      <c r="S283" s="6" t="s">
        <v>2023</v>
      </c>
      <c r="T283" s="32" t="s">
        <v>2024</v>
      </c>
      <c r="U283" s="18" t="s">
        <v>100</v>
      </c>
      <c r="V283" s="19" t="s">
        <v>1548</v>
      </c>
      <c r="W283" s="22" t="s">
        <v>1983</v>
      </c>
      <c r="X283" s="21" t="s">
        <v>1983</v>
      </c>
      <c r="Y283" s="22"/>
      <c r="Z283" s="6"/>
      <c r="AA283" s="6"/>
      <c r="AB283" s="23"/>
      <c r="AC283" s="33"/>
    </row>
    <row r="284" spans="1:29" ht="15.75" customHeight="1">
      <c r="A284" s="10" t="s">
        <v>2025</v>
      </c>
      <c r="B284" s="10" t="s">
        <v>27</v>
      </c>
      <c r="C284" s="60" t="s">
        <v>1470</v>
      </c>
      <c r="D284" s="12"/>
      <c r="E284" s="13" t="s">
        <v>53</v>
      </c>
      <c r="F284" s="6" t="s">
        <v>2026</v>
      </c>
      <c r="G284" s="14" t="str">
        <f ca="1">IFERROR(__xludf.DUMMYFUNCTION("CONCATENATE(B284,(VLOOKUP(C284,CATALOGOS!$F$2:$H$6,3,FALSE)),(VLOOKUP(V284,CATALOGOS!$J$2:$K$18,2,FALSE)),""-"",TO_TEXT(A284))"),"P02PP-0283")</f>
        <v>P02PP-0283</v>
      </c>
      <c r="H284" s="15" t="str">
        <f ca="1">IFERROR(__xludf.DUMMYFUNCTION("CONCATENATE($B284,(VLOOKUP($C284,CATALOGOS!$F$2:$H$6,3,FALSE)),(VLOOKUP($V284,CATALOGOS!$J$2:$K$18,2,FALSE)),""-"",TO_TEXT($A284))"),"P02PP-0283")</f>
        <v>P02PP-0283</v>
      </c>
      <c r="I284" s="6"/>
      <c r="J284" s="6" t="s">
        <v>2027</v>
      </c>
      <c r="K284" s="6" t="s">
        <v>2028</v>
      </c>
      <c r="L284" s="36"/>
      <c r="M284" s="6" t="s">
        <v>141</v>
      </c>
      <c r="N284" s="17"/>
      <c r="O284" s="17"/>
      <c r="P284" s="17" t="str">
        <f t="shared" si="6"/>
        <v>REPETIDO</v>
      </c>
      <c r="Q284" s="17" t="s">
        <v>35</v>
      </c>
      <c r="R284" s="6" t="s">
        <v>35</v>
      </c>
      <c r="S284" s="6" t="s">
        <v>36</v>
      </c>
      <c r="T284" s="10" t="s">
        <v>85</v>
      </c>
      <c r="U284" s="18" t="s">
        <v>38</v>
      </c>
      <c r="V284" s="19" t="s">
        <v>1548</v>
      </c>
      <c r="W284" s="22" t="s">
        <v>1983</v>
      </c>
      <c r="X284" s="21" t="s">
        <v>1983</v>
      </c>
      <c r="Y284" s="22"/>
      <c r="Z284" s="6"/>
      <c r="AA284" s="6"/>
      <c r="AB284" s="23"/>
      <c r="AC284" s="33"/>
    </row>
    <row r="285" spans="1:29" ht="15.75" customHeight="1">
      <c r="A285" s="10" t="s">
        <v>2029</v>
      </c>
      <c r="B285" s="10" t="s">
        <v>27</v>
      </c>
      <c r="C285" s="60" t="s">
        <v>1470</v>
      </c>
      <c r="D285" s="12"/>
      <c r="E285" s="13" t="s">
        <v>2030</v>
      </c>
      <c r="F285" s="6" t="s">
        <v>2030</v>
      </c>
      <c r="G285" s="14" t="str">
        <f ca="1">IFERROR(__xludf.DUMMYFUNCTION("CONCATENATE(B285,(VLOOKUP(C285,CATALOGOS!$F$2:$H$6,3,FALSE)),(VLOOKUP(V285,CATALOGOS!$J$2:$K$18,2,FALSE)),""-"",TO_TEXT(A285))"),"P02PP-0284")</f>
        <v>P02PP-0284</v>
      </c>
      <c r="H285" s="15" t="str">
        <f ca="1">IFERROR(__xludf.DUMMYFUNCTION("CONCATENATE($B285,(VLOOKUP($C285,CATALOGOS!$F$2:$H$6,3,FALSE)),(VLOOKUP($V285,CATALOGOS!$J$2:$K$18,2,FALSE)),""-"",TO_TEXT($A285))"),"P02PP-0284")</f>
        <v>P02PP-0284</v>
      </c>
      <c r="I285" s="6"/>
      <c r="J285" s="6" t="s">
        <v>2031</v>
      </c>
      <c r="K285" s="6" t="s">
        <v>2032</v>
      </c>
      <c r="L285" s="36"/>
      <c r="M285" s="6" t="s">
        <v>141</v>
      </c>
      <c r="N285" s="17"/>
      <c r="O285" s="17"/>
      <c r="P285" s="17" t="str">
        <f t="shared" si="6"/>
        <v>REPETIDO</v>
      </c>
      <c r="Q285" s="17" t="s">
        <v>2033</v>
      </c>
      <c r="R285" s="6" t="s">
        <v>2034</v>
      </c>
      <c r="S285" s="6" t="s">
        <v>36</v>
      </c>
      <c r="T285" s="10" t="s">
        <v>85</v>
      </c>
      <c r="U285" s="18" t="s">
        <v>38</v>
      </c>
      <c r="V285" s="19" t="s">
        <v>1548</v>
      </c>
      <c r="W285" s="22" t="s">
        <v>1983</v>
      </c>
      <c r="X285" s="21" t="s">
        <v>1983</v>
      </c>
      <c r="Y285" s="22"/>
      <c r="Z285" s="6"/>
      <c r="AA285" s="6"/>
      <c r="AB285" s="23"/>
      <c r="AC285" s="33"/>
    </row>
    <row r="286" spans="1:29" ht="15.75" customHeight="1">
      <c r="A286" s="10" t="s">
        <v>2035</v>
      </c>
      <c r="B286" s="10" t="s">
        <v>27</v>
      </c>
      <c r="C286" s="60" t="s">
        <v>1470</v>
      </c>
      <c r="D286" s="38"/>
      <c r="E286" s="13" t="s">
        <v>321</v>
      </c>
      <c r="F286" s="6" t="s">
        <v>322</v>
      </c>
      <c r="G286" s="14" t="str">
        <f ca="1">IFERROR(__xludf.DUMMYFUNCTION("CONCATENATE(B286,(VLOOKUP(C286,CATALOGOS!$F$2:$H$6,3,FALSE)),(VLOOKUP(V286,CATALOGOS!$J$2:$K$18,2,FALSE)),""-"",TO_TEXT(A286))"),"P02PP-0285")</f>
        <v>P02PP-0285</v>
      </c>
      <c r="H286" s="15" t="str">
        <f ca="1">IFERROR(__xludf.DUMMYFUNCTION("CONCATENATE($B286,(VLOOKUP($C286,CATALOGOS!$F$2:$H$6,3,FALSE)),(VLOOKUP($V286,CATALOGOS!$J$2:$K$18,2,FALSE)),""-"",TO_TEXT($A286))"),"P02PP-0285")</f>
        <v>P02PP-0285</v>
      </c>
      <c r="I286" s="6"/>
      <c r="J286" s="6" t="s">
        <v>2036</v>
      </c>
      <c r="K286" s="6" t="s">
        <v>2037</v>
      </c>
      <c r="L286" s="36"/>
      <c r="M286" s="6" t="s">
        <v>141</v>
      </c>
      <c r="N286" s="17"/>
      <c r="O286" s="17"/>
      <c r="P286" s="17" t="str">
        <f t="shared" si="6"/>
        <v>REPETIDO</v>
      </c>
      <c r="Q286" s="35" t="s">
        <v>2038</v>
      </c>
      <c r="R286" s="6">
        <v>29965</v>
      </c>
      <c r="S286" s="6" t="s">
        <v>36</v>
      </c>
      <c r="T286" s="32" t="s">
        <v>85</v>
      </c>
      <c r="U286" s="18" t="s">
        <v>38</v>
      </c>
      <c r="V286" s="19" t="s">
        <v>1548</v>
      </c>
      <c r="W286" s="32" t="s">
        <v>1983</v>
      </c>
      <c r="X286" s="21" t="s">
        <v>1983</v>
      </c>
      <c r="Y286" s="32"/>
      <c r="Z286" s="6"/>
      <c r="AA286" s="6"/>
      <c r="AB286" s="26"/>
      <c r="AC286" s="33"/>
    </row>
    <row r="287" spans="1:29" ht="15.75" customHeight="1">
      <c r="A287" s="10" t="s">
        <v>2039</v>
      </c>
      <c r="B287" s="10" t="s">
        <v>27</v>
      </c>
      <c r="C287" s="60" t="s">
        <v>1470</v>
      </c>
      <c r="D287" s="38"/>
      <c r="E287" s="13" t="s">
        <v>378</v>
      </c>
      <c r="F287" s="43" t="s">
        <v>2040</v>
      </c>
      <c r="G287" s="14" t="str">
        <f ca="1">IFERROR(__xludf.DUMMYFUNCTION("CONCATENATE(B287,(VLOOKUP(C287,CATALOGOS!$F$2:$H$6,3,FALSE)),(VLOOKUP(V287,CATALOGOS!$J$2:$K$18,2,FALSE)),""-"",TO_TEXT(A287))"),"P02PP-0286")</f>
        <v>P02PP-0286</v>
      </c>
      <c r="H287" s="15" t="str">
        <f ca="1">IFERROR(__xludf.DUMMYFUNCTION("CONCATENATE($B287,(VLOOKUP($C287,CATALOGOS!$F$2:$H$6,3,FALSE)),(VLOOKUP($V287,CATALOGOS!$J$2:$K$18,2,FALSE)),""-"",TO_TEXT($A287))"),"P02PP-0286")</f>
        <v>P02PP-0286</v>
      </c>
      <c r="I287" s="6"/>
      <c r="J287" s="6" t="s">
        <v>2041</v>
      </c>
      <c r="K287" s="6" t="s">
        <v>2042</v>
      </c>
      <c r="L287" s="6" t="s">
        <v>2043</v>
      </c>
      <c r="M287" s="6" t="s">
        <v>2044</v>
      </c>
      <c r="N287" s="17"/>
      <c r="O287" s="17"/>
      <c r="P287" s="17" t="str">
        <f t="shared" si="6"/>
        <v>OK</v>
      </c>
      <c r="Q287" s="17" t="s">
        <v>35</v>
      </c>
      <c r="R287" s="6" t="s">
        <v>35</v>
      </c>
      <c r="S287" s="46" t="s">
        <v>36</v>
      </c>
      <c r="T287" s="17" t="s">
        <v>85</v>
      </c>
      <c r="U287" s="18" t="s">
        <v>38</v>
      </c>
      <c r="V287" s="19" t="s">
        <v>1548</v>
      </c>
      <c r="W287" s="32" t="s">
        <v>1983</v>
      </c>
      <c r="X287" s="21" t="s">
        <v>1983</v>
      </c>
      <c r="Y287" s="32"/>
      <c r="Z287" s="6"/>
      <c r="AA287" s="6"/>
      <c r="AB287" s="23"/>
      <c r="AC287" s="24"/>
    </row>
    <row r="288" spans="1:29" ht="15.75" customHeight="1">
      <c r="A288" s="10" t="s">
        <v>2045</v>
      </c>
      <c r="B288" s="10" t="s">
        <v>27</v>
      </c>
      <c r="C288" s="60" t="s">
        <v>1470</v>
      </c>
      <c r="D288" s="12"/>
      <c r="E288" s="13" t="s">
        <v>501</v>
      </c>
      <c r="F288" s="6" t="s">
        <v>2046</v>
      </c>
      <c r="G288" s="14" t="str">
        <f ca="1">IFERROR(__xludf.DUMMYFUNCTION("CONCATENATE(B288,(VLOOKUP(C288,CATALOGOS!$F$2:$H$6,3,FALSE)),(VLOOKUP(V288,CATALOGOS!$J$2:$K$18,2,FALSE)),""-"",TO_TEXT(A288))"),"P02PP-0287")</f>
        <v>P02PP-0287</v>
      </c>
      <c r="H288" s="15" t="str">
        <f ca="1">IFERROR(__xludf.DUMMYFUNCTION("CONCATENATE($B288,(VLOOKUP($C288,CATALOGOS!$F$2:$H$6,3,FALSE)),(VLOOKUP($V288,CATALOGOS!$J$2:$K$18,2,FALSE)),""-"",TO_TEXT($A288))"),"P02PP-0287")</f>
        <v>P02PP-0287</v>
      </c>
      <c r="I288" s="6"/>
      <c r="J288" s="6" t="s">
        <v>2047</v>
      </c>
      <c r="K288" s="6" t="s">
        <v>2048</v>
      </c>
      <c r="L288" s="6" t="s">
        <v>2049</v>
      </c>
      <c r="M288" s="43" t="s">
        <v>2050</v>
      </c>
      <c r="N288" s="17"/>
      <c r="O288" s="17"/>
      <c r="P288" s="17" t="str">
        <f t="shared" si="6"/>
        <v>OK</v>
      </c>
      <c r="Q288" s="17" t="s">
        <v>35</v>
      </c>
      <c r="R288" s="6" t="s">
        <v>35</v>
      </c>
      <c r="S288" s="17" t="s">
        <v>36</v>
      </c>
      <c r="T288" s="17" t="s">
        <v>2051</v>
      </c>
      <c r="U288" s="18" t="s">
        <v>38</v>
      </c>
      <c r="V288" s="19" t="s">
        <v>1548</v>
      </c>
      <c r="W288" s="20" t="s">
        <v>2052</v>
      </c>
      <c r="X288" s="39" t="s">
        <v>2052</v>
      </c>
      <c r="Y288" s="20"/>
      <c r="Z288" s="7"/>
      <c r="AA288" s="7"/>
      <c r="AB288" s="23"/>
      <c r="AC288" s="26"/>
    </row>
    <row r="289" spans="1:29" ht="15.75" customHeight="1">
      <c r="A289" s="10" t="s">
        <v>2053</v>
      </c>
      <c r="B289" s="10" t="s">
        <v>27</v>
      </c>
      <c r="C289" s="60" t="s">
        <v>1470</v>
      </c>
      <c r="D289" s="12"/>
      <c r="E289" s="13" t="s">
        <v>501</v>
      </c>
      <c r="F289" s="6" t="s">
        <v>2046</v>
      </c>
      <c r="G289" s="14" t="str">
        <f ca="1">IFERROR(__xludf.DUMMYFUNCTION("CONCATENATE(B289,(VLOOKUP(C289,CATALOGOS!$F$2:$H$6,3,FALSE)),(VLOOKUP(V289,CATALOGOS!$J$2:$K$18,2,FALSE)),""-"",TO_TEXT(A289))"),"P02PP-0288")</f>
        <v>P02PP-0288</v>
      </c>
      <c r="H289" s="15" t="str">
        <f ca="1">IFERROR(__xludf.DUMMYFUNCTION("CONCATENATE($B289,(VLOOKUP($C289,CATALOGOS!$F$2:$H$6,3,FALSE)),(VLOOKUP($V289,CATALOGOS!$J$2:$K$18,2,FALSE)),""-"",TO_TEXT($A289))"),"P02PP-0288")</f>
        <v>P02PP-0288</v>
      </c>
      <c r="I289" s="6"/>
      <c r="J289" s="6" t="s">
        <v>2054</v>
      </c>
      <c r="K289" s="6" t="s">
        <v>2055</v>
      </c>
      <c r="L289" s="6" t="s">
        <v>2056</v>
      </c>
      <c r="M289" s="43" t="s">
        <v>2057</v>
      </c>
      <c r="N289" s="17"/>
      <c r="O289" s="17"/>
      <c r="P289" s="17" t="str">
        <f t="shared" si="6"/>
        <v>OK</v>
      </c>
      <c r="Q289" s="17" t="s">
        <v>35</v>
      </c>
      <c r="R289" s="6" t="s">
        <v>35</v>
      </c>
      <c r="S289" s="17" t="s">
        <v>36</v>
      </c>
      <c r="T289" s="17" t="s">
        <v>2058</v>
      </c>
      <c r="U289" s="18" t="s">
        <v>38</v>
      </c>
      <c r="V289" s="19" t="s">
        <v>1548</v>
      </c>
      <c r="W289" s="20" t="s">
        <v>2052</v>
      </c>
      <c r="X289" s="39" t="s">
        <v>2052</v>
      </c>
      <c r="Y289" s="20"/>
      <c r="Z289" s="7"/>
      <c r="AA289" s="7"/>
      <c r="AB289" s="23"/>
      <c r="AC289" s="26"/>
    </row>
    <row r="290" spans="1:29" ht="15.75" customHeight="1">
      <c r="A290" s="10" t="s">
        <v>2059</v>
      </c>
      <c r="B290" s="10" t="s">
        <v>27</v>
      </c>
      <c r="C290" s="60" t="s">
        <v>1470</v>
      </c>
      <c r="D290" s="12"/>
      <c r="E290" s="13" t="s">
        <v>2060</v>
      </c>
      <c r="F290" s="6" t="s">
        <v>2061</v>
      </c>
      <c r="G290" s="14" t="str">
        <f ca="1">IFERROR(__xludf.DUMMYFUNCTION("CONCATENATE(B290,(VLOOKUP(C290,CATALOGOS!$F$2:$H$6,3,FALSE)),(VLOOKUP(V290,CATALOGOS!$J$2:$K$18,2,FALSE)),""-"",TO_TEXT(A290))"),"P02PP-0289")</f>
        <v>P02PP-0289</v>
      </c>
      <c r="H290" s="15" t="str">
        <f ca="1">IFERROR(__xludf.DUMMYFUNCTION("CONCATENATE($B290,(VLOOKUP($C290,CATALOGOS!$F$2:$H$6,3,FALSE)),(VLOOKUP($V290,CATALOGOS!$J$2:$K$18,2,FALSE)),""-"",TO_TEXT($A290))"),"P02PP-0289")</f>
        <v>P02PP-0289</v>
      </c>
      <c r="I290" s="6"/>
      <c r="J290" s="6" t="s">
        <v>2062</v>
      </c>
      <c r="K290" s="6" t="s">
        <v>2063</v>
      </c>
      <c r="L290" s="6" t="s">
        <v>2064</v>
      </c>
      <c r="M290" s="43" t="s">
        <v>2065</v>
      </c>
      <c r="N290" s="17"/>
      <c r="O290" s="17"/>
      <c r="P290" s="17" t="str">
        <f t="shared" si="6"/>
        <v>OK</v>
      </c>
      <c r="Q290" s="17" t="s">
        <v>35</v>
      </c>
      <c r="R290" s="6" t="s">
        <v>35</v>
      </c>
      <c r="S290" s="17" t="s">
        <v>36</v>
      </c>
      <c r="T290" s="17" t="s">
        <v>2066</v>
      </c>
      <c r="U290" s="18" t="s">
        <v>38</v>
      </c>
      <c r="V290" s="19" t="s">
        <v>1548</v>
      </c>
      <c r="W290" s="20" t="s">
        <v>2052</v>
      </c>
      <c r="X290" s="39" t="s">
        <v>2052</v>
      </c>
      <c r="Y290" s="20"/>
      <c r="Z290" s="7"/>
      <c r="AA290" s="7"/>
      <c r="AB290" s="23"/>
      <c r="AC290" s="26"/>
    </row>
    <row r="291" spans="1:29" ht="15.75" customHeight="1">
      <c r="A291" s="10" t="s">
        <v>2067</v>
      </c>
      <c r="B291" s="10" t="s">
        <v>27</v>
      </c>
      <c r="C291" s="60" t="s">
        <v>1470</v>
      </c>
      <c r="D291" s="12"/>
      <c r="E291" s="13" t="s">
        <v>2060</v>
      </c>
      <c r="F291" s="6" t="s">
        <v>2061</v>
      </c>
      <c r="G291" s="14" t="str">
        <f ca="1">IFERROR(__xludf.DUMMYFUNCTION("CONCATENATE(B291,(VLOOKUP(C291,CATALOGOS!$F$2:$H$6,3,FALSE)),(VLOOKUP(V291,CATALOGOS!$J$2:$K$18,2,FALSE)),""-"",TO_TEXT(A291))"),"P02PP-0290")</f>
        <v>P02PP-0290</v>
      </c>
      <c r="H291" s="15" t="str">
        <f ca="1">IFERROR(__xludf.DUMMYFUNCTION("CONCATENATE($B291,(VLOOKUP($C291,CATALOGOS!$F$2:$H$6,3,FALSE)),(VLOOKUP($V291,CATALOGOS!$J$2:$K$18,2,FALSE)),""-"",TO_TEXT($A291))"),"P02PP-0290")</f>
        <v>P02PP-0290</v>
      </c>
      <c r="I291" s="6"/>
      <c r="J291" s="6" t="s">
        <v>2068</v>
      </c>
      <c r="K291" s="6" t="s">
        <v>2069</v>
      </c>
      <c r="L291" s="6" t="s">
        <v>2070</v>
      </c>
      <c r="M291" s="43" t="s">
        <v>2071</v>
      </c>
      <c r="N291" s="17"/>
      <c r="O291" s="17"/>
      <c r="P291" s="17" t="str">
        <f t="shared" si="6"/>
        <v>OK</v>
      </c>
      <c r="Q291" s="17" t="s">
        <v>35</v>
      </c>
      <c r="R291" s="6" t="s">
        <v>35</v>
      </c>
      <c r="S291" s="17" t="s">
        <v>36</v>
      </c>
      <c r="T291" s="17" t="s">
        <v>2072</v>
      </c>
      <c r="U291" s="18" t="s">
        <v>38</v>
      </c>
      <c r="V291" s="19" t="s">
        <v>1548</v>
      </c>
      <c r="W291" s="20" t="s">
        <v>2052</v>
      </c>
      <c r="X291" s="39" t="s">
        <v>2052</v>
      </c>
      <c r="Y291" s="20"/>
      <c r="Z291" s="7"/>
      <c r="AA291" s="7"/>
      <c r="AB291" s="23"/>
      <c r="AC291" s="26"/>
    </row>
    <row r="292" spans="1:29" ht="15.75" customHeight="1">
      <c r="A292" s="10" t="s">
        <v>2073</v>
      </c>
      <c r="B292" s="10" t="s">
        <v>27</v>
      </c>
      <c r="C292" s="60" t="s">
        <v>1470</v>
      </c>
      <c r="D292" s="12"/>
      <c r="E292" s="13" t="s">
        <v>501</v>
      </c>
      <c r="F292" s="6" t="s">
        <v>2046</v>
      </c>
      <c r="G292" s="14" t="str">
        <f ca="1">IFERROR(__xludf.DUMMYFUNCTION("CONCATENATE(B292,(VLOOKUP(C292,CATALOGOS!$F$2:$H$6,3,FALSE)),(VLOOKUP(V292,CATALOGOS!$J$2:$K$18,2,FALSE)),""-"",TO_TEXT(A292))"),"P02PP-0291")</f>
        <v>P02PP-0291</v>
      </c>
      <c r="H292" s="15" t="str">
        <f ca="1">IFERROR(__xludf.DUMMYFUNCTION("CONCATENATE($B292,(VLOOKUP($C292,CATALOGOS!$F$2:$H$6,3,FALSE)),(VLOOKUP($V292,CATALOGOS!$J$2:$K$18,2,FALSE)),""-"",TO_TEXT($A292))"),"P02PP-0291")</f>
        <v>P02PP-0291</v>
      </c>
      <c r="I292" s="6"/>
      <c r="J292" s="6" t="s">
        <v>2074</v>
      </c>
      <c r="K292" s="6" t="s">
        <v>2075</v>
      </c>
      <c r="L292" s="6" t="s">
        <v>2076</v>
      </c>
      <c r="M292" s="43" t="s">
        <v>2077</v>
      </c>
      <c r="N292" s="17"/>
      <c r="O292" s="17"/>
      <c r="P292" s="17" t="str">
        <f t="shared" si="6"/>
        <v>OK</v>
      </c>
      <c r="Q292" s="17" t="s">
        <v>35</v>
      </c>
      <c r="R292" s="6" t="s">
        <v>35</v>
      </c>
      <c r="S292" s="17" t="s">
        <v>36</v>
      </c>
      <c r="T292" s="17" t="s">
        <v>2078</v>
      </c>
      <c r="U292" s="18" t="s">
        <v>38</v>
      </c>
      <c r="V292" s="19" t="s">
        <v>1548</v>
      </c>
      <c r="W292" s="20" t="s">
        <v>2052</v>
      </c>
      <c r="X292" s="39" t="s">
        <v>2052</v>
      </c>
      <c r="Y292" s="20"/>
      <c r="Z292" s="7"/>
      <c r="AA292" s="7"/>
      <c r="AB292" s="23"/>
      <c r="AC292" s="26"/>
    </row>
    <row r="293" spans="1:29" ht="15.75" customHeight="1">
      <c r="A293" s="10" t="s">
        <v>2079</v>
      </c>
      <c r="B293" s="10" t="s">
        <v>27</v>
      </c>
      <c r="C293" s="60" t="s">
        <v>1470</v>
      </c>
      <c r="D293" s="12"/>
      <c r="E293" s="13" t="s">
        <v>2060</v>
      </c>
      <c r="F293" s="6" t="s">
        <v>2061</v>
      </c>
      <c r="G293" s="14" t="str">
        <f ca="1">IFERROR(__xludf.DUMMYFUNCTION("CONCATENATE(B293,(VLOOKUP(C293,CATALOGOS!$F$2:$H$6,3,FALSE)),(VLOOKUP(V293,CATALOGOS!$J$2:$K$18,2,FALSE)),""-"",TO_TEXT(A293))"),"P02PP-0292")</f>
        <v>P02PP-0292</v>
      </c>
      <c r="H293" s="15" t="str">
        <f ca="1">IFERROR(__xludf.DUMMYFUNCTION("CONCATENATE($B293,(VLOOKUP($C293,CATALOGOS!$F$2:$H$6,3,FALSE)),(VLOOKUP($V293,CATALOGOS!$J$2:$K$18,2,FALSE)),""-"",TO_TEXT($A293))"),"P02PP-0292")</f>
        <v>P02PP-0292</v>
      </c>
      <c r="I293" s="6"/>
      <c r="J293" s="6" t="s">
        <v>2080</v>
      </c>
      <c r="K293" s="6" t="s">
        <v>2081</v>
      </c>
      <c r="L293" s="6" t="s">
        <v>2082</v>
      </c>
      <c r="M293" s="6" t="s">
        <v>2083</v>
      </c>
      <c r="N293" s="17"/>
      <c r="O293" s="17"/>
      <c r="P293" s="17" t="str">
        <f t="shared" si="6"/>
        <v>OK</v>
      </c>
      <c r="Q293" s="17" t="s">
        <v>35</v>
      </c>
      <c r="R293" s="6" t="s">
        <v>35</v>
      </c>
      <c r="S293" s="17" t="s">
        <v>36</v>
      </c>
      <c r="T293" s="17" t="s">
        <v>2084</v>
      </c>
      <c r="U293" s="18" t="s">
        <v>38</v>
      </c>
      <c r="V293" s="19" t="s">
        <v>1548</v>
      </c>
      <c r="W293" s="20" t="s">
        <v>2052</v>
      </c>
      <c r="X293" s="39" t="s">
        <v>2052</v>
      </c>
      <c r="Y293" s="20"/>
      <c r="Z293" s="7"/>
      <c r="AA293" s="7"/>
      <c r="AB293" s="23"/>
      <c r="AC293" s="26"/>
    </row>
    <row r="294" spans="1:29" ht="15.75" customHeight="1">
      <c r="A294" s="10" t="s">
        <v>2085</v>
      </c>
      <c r="B294" s="10" t="s">
        <v>27</v>
      </c>
      <c r="C294" s="60" t="s">
        <v>1470</v>
      </c>
      <c r="D294" s="12"/>
      <c r="E294" s="13" t="s">
        <v>2060</v>
      </c>
      <c r="F294" s="6" t="s">
        <v>2061</v>
      </c>
      <c r="G294" s="14" t="str">
        <f ca="1">IFERROR(__xludf.DUMMYFUNCTION("CONCATENATE(B294,(VLOOKUP(C294,CATALOGOS!$F$2:$H$6,3,FALSE)),(VLOOKUP(V294,CATALOGOS!$J$2:$K$18,2,FALSE)),""-"",TO_TEXT(A294))"),"P02PP-0293")</f>
        <v>P02PP-0293</v>
      </c>
      <c r="H294" s="15" t="str">
        <f ca="1">IFERROR(__xludf.DUMMYFUNCTION("CONCATENATE($B294,(VLOOKUP($C294,CATALOGOS!$F$2:$H$6,3,FALSE)),(VLOOKUP($V294,CATALOGOS!$J$2:$K$18,2,FALSE)),""-"",TO_TEXT($A294))"),"P02PP-0293")</f>
        <v>P02PP-0293</v>
      </c>
      <c r="I294" s="6"/>
      <c r="J294" s="6" t="s">
        <v>2086</v>
      </c>
      <c r="K294" s="6" t="s">
        <v>2087</v>
      </c>
      <c r="L294" s="6" t="s">
        <v>2088</v>
      </c>
      <c r="M294" s="6" t="s">
        <v>2089</v>
      </c>
      <c r="N294" s="17"/>
      <c r="O294" s="17"/>
      <c r="P294" s="17" t="str">
        <f t="shared" si="6"/>
        <v>OK</v>
      </c>
      <c r="Q294" s="17" t="s">
        <v>35</v>
      </c>
      <c r="R294" s="6" t="s">
        <v>35</v>
      </c>
      <c r="S294" s="17" t="s">
        <v>36</v>
      </c>
      <c r="T294" s="17" t="s">
        <v>2090</v>
      </c>
      <c r="U294" s="18" t="s">
        <v>38</v>
      </c>
      <c r="V294" s="19" t="s">
        <v>1548</v>
      </c>
      <c r="W294" s="20" t="s">
        <v>2052</v>
      </c>
      <c r="X294" s="39" t="s">
        <v>2052</v>
      </c>
      <c r="Y294" s="20"/>
      <c r="Z294" s="7"/>
      <c r="AA294" s="7"/>
      <c r="AB294" s="23"/>
      <c r="AC294" s="26"/>
    </row>
    <row r="295" spans="1:29" ht="15.75" customHeight="1">
      <c r="A295" s="10" t="s">
        <v>2091</v>
      </c>
      <c r="B295" s="10" t="s">
        <v>27</v>
      </c>
      <c r="C295" s="60" t="s">
        <v>1470</v>
      </c>
      <c r="D295" s="12"/>
      <c r="E295" s="13" t="s">
        <v>501</v>
      </c>
      <c r="F295" s="6" t="s">
        <v>2092</v>
      </c>
      <c r="G295" s="14" t="str">
        <f ca="1">IFERROR(__xludf.DUMMYFUNCTION("CONCATENATE(B295,(VLOOKUP(C295,CATALOGOS!$F$2:$H$6,3,FALSE)),(VLOOKUP(V295,CATALOGOS!$J$2:$K$18,2,FALSE)),""-"",TO_TEXT(A295))"),"P02PP-0294")</f>
        <v>P02PP-0294</v>
      </c>
      <c r="H295" s="15" t="str">
        <f ca="1">IFERROR(__xludf.DUMMYFUNCTION("CONCATENATE($B295,(VLOOKUP($C295,CATALOGOS!$F$2:$H$6,3,FALSE)),(VLOOKUP($V295,CATALOGOS!$J$2:$K$18,2,FALSE)),""-"",TO_TEXT($A295))"),"P02PP-0294")</f>
        <v>P02PP-0294</v>
      </c>
      <c r="I295" s="6"/>
      <c r="J295" s="6" t="s">
        <v>2093</v>
      </c>
      <c r="K295" s="6" t="s">
        <v>2094</v>
      </c>
      <c r="L295" s="6" t="s">
        <v>2095</v>
      </c>
      <c r="M295" s="6" t="s">
        <v>2096</v>
      </c>
      <c r="N295" s="17"/>
      <c r="O295" s="17"/>
      <c r="P295" s="17" t="str">
        <f t="shared" si="6"/>
        <v>OK</v>
      </c>
      <c r="Q295" s="17" t="s">
        <v>35</v>
      </c>
      <c r="R295" s="6" t="s">
        <v>35</v>
      </c>
      <c r="S295" s="17" t="s">
        <v>36</v>
      </c>
      <c r="T295" s="17" t="s">
        <v>2097</v>
      </c>
      <c r="U295" s="18" t="s">
        <v>38</v>
      </c>
      <c r="V295" s="19" t="s">
        <v>1548</v>
      </c>
      <c r="W295" s="20" t="s">
        <v>2052</v>
      </c>
      <c r="X295" s="39" t="s">
        <v>2052</v>
      </c>
      <c r="Y295" s="20"/>
      <c r="Z295" s="7"/>
      <c r="AA295" s="7"/>
      <c r="AB295" s="23"/>
      <c r="AC295" s="26"/>
    </row>
    <row r="296" spans="1:29" ht="15.75" customHeight="1">
      <c r="A296" s="10" t="s">
        <v>2098</v>
      </c>
      <c r="B296" s="10" t="s">
        <v>27</v>
      </c>
      <c r="C296" s="60" t="s">
        <v>1470</v>
      </c>
      <c r="D296" s="12"/>
      <c r="E296" s="13" t="s">
        <v>501</v>
      </c>
      <c r="F296" s="6" t="s">
        <v>2046</v>
      </c>
      <c r="G296" s="14" t="str">
        <f ca="1">IFERROR(__xludf.DUMMYFUNCTION("CONCATENATE(B296,(VLOOKUP(C296,CATALOGOS!$F$2:$H$6,3,FALSE)),(VLOOKUP(V296,CATALOGOS!$J$2:$K$18,2,FALSE)),""-"",TO_TEXT(A296))"),"P02PP-0295")</f>
        <v>P02PP-0295</v>
      </c>
      <c r="H296" s="15" t="str">
        <f ca="1">IFERROR(__xludf.DUMMYFUNCTION("CONCATENATE($B296,(VLOOKUP($C296,CATALOGOS!$F$2:$H$6,3,FALSE)),(VLOOKUP($V296,CATALOGOS!$J$2:$K$18,2,FALSE)),""-"",TO_TEXT($A296))"),"P02PP-0295")</f>
        <v>P02PP-0295</v>
      </c>
      <c r="I296" s="6"/>
      <c r="J296" s="6" t="s">
        <v>2099</v>
      </c>
      <c r="K296" s="6" t="s">
        <v>2100</v>
      </c>
      <c r="L296" s="6" t="s">
        <v>2101</v>
      </c>
      <c r="M296" s="6" t="s">
        <v>2102</v>
      </c>
      <c r="N296" s="17"/>
      <c r="O296" s="17"/>
      <c r="P296" s="17" t="str">
        <f t="shared" si="6"/>
        <v>OK</v>
      </c>
      <c r="Q296" s="17" t="s">
        <v>35</v>
      </c>
      <c r="R296" s="6" t="s">
        <v>35</v>
      </c>
      <c r="S296" s="17" t="s">
        <v>36</v>
      </c>
      <c r="T296" s="17" t="s">
        <v>2103</v>
      </c>
      <c r="U296" s="18" t="s">
        <v>38</v>
      </c>
      <c r="V296" s="28" t="s">
        <v>1548</v>
      </c>
      <c r="W296" s="20" t="s">
        <v>2052</v>
      </c>
      <c r="X296" s="39" t="s">
        <v>2052</v>
      </c>
      <c r="Y296" s="20"/>
      <c r="Z296" s="7"/>
      <c r="AA296" s="7"/>
      <c r="AB296" s="23"/>
      <c r="AC296" s="26"/>
    </row>
    <row r="297" spans="1:29" ht="15.75" customHeight="1">
      <c r="A297" s="10" t="s">
        <v>2104</v>
      </c>
      <c r="B297" s="10" t="s">
        <v>27</v>
      </c>
      <c r="C297" s="60" t="s">
        <v>1470</v>
      </c>
      <c r="D297" s="12"/>
      <c r="E297" s="13" t="s">
        <v>2060</v>
      </c>
      <c r="F297" s="6" t="s">
        <v>2061</v>
      </c>
      <c r="G297" s="14" t="str">
        <f ca="1">IFERROR(__xludf.DUMMYFUNCTION("CONCATENATE(B297,(VLOOKUP(C297,CATALOGOS!$F$2:$H$6,3,FALSE)),(VLOOKUP(V297,CATALOGOS!$J$2:$K$18,2,FALSE)),""-"",TO_TEXT(A297))"),"P02PP-0296")</f>
        <v>P02PP-0296</v>
      </c>
      <c r="H297" s="15" t="str">
        <f ca="1">IFERROR(__xludf.DUMMYFUNCTION("CONCATENATE($B297,(VLOOKUP($C297,CATALOGOS!$F$2:$H$6,3,FALSE)),(VLOOKUP($V297,CATALOGOS!$J$2:$K$18,2,FALSE)),""-"",TO_TEXT($A297))"),"P02PP-0296")</f>
        <v>P02PP-0296</v>
      </c>
      <c r="I297" s="6"/>
      <c r="J297" s="6" t="s">
        <v>2105</v>
      </c>
      <c r="K297" s="6" t="s">
        <v>2106</v>
      </c>
      <c r="L297" s="6" t="s">
        <v>2107</v>
      </c>
      <c r="M297" s="6" t="s">
        <v>2108</v>
      </c>
      <c r="N297" s="17"/>
      <c r="O297" s="17"/>
      <c r="P297" s="17" t="str">
        <f t="shared" si="6"/>
        <v>OK</v>
      </c>
      <c r="Q297" s="17" t="s">
        <v>35</v>
      </c>
      <c r="R297" s="6" t="s">
        <v>35</v>
      </c>
      <c r="S297" s="17" t="s">
        <v>36</v>
      </c>
      <c r="T297" s="17" t="s">
        <v>2109</v>
      </c>
      <c r="U297" s="18" t="s">
        <v>38</v>
      </c>
      <c r="V297" s="19" t="s">
        <v>1548</v>
      </c>
      <c r="W297" s="20" t="s">
        <v>2052</v>
      </c>
      <c r="X297" s="39" t="s">
        <v>2052</v>
      </c>
      <c r="Y297" s="20"/>
      <c r="Z297" s="7"/>
      <c r="AA297" s="7"/>
      <c r="AB297" s="23"/>
      <c r="AC297" s="26"/>
    </row>
    <row r="298" spans="1:29" ht="15.75" customHeight="1">
      <c r="A298" s="10" t="s">
        <v>2110</v>
      </c>
      <c r="B298" s="10" t="s">
        <v>27</v>
      </c>
      <c r="C298" s="60" t="s">
        <v>1470</v>
      </c>
      <c r="D298" s="12"/>
      <c r="E298" s="13" t="s">
        <v>2060</v>
      </c>
      <c r="F298" s="6" t="s">
        <v>2061</v>
      </c>
      <c r="G298" s="14" t="str">
        <f ca="1">IFERROR(__xludf.DUMMYFUNCTION("CONCATENATE(B298,(VLOOKUP(C298,CATALOGOS!$F$2:$H$6,3,FALSE)),(VLOOKUP(V298,CATALOGOS!$J$2:$K$18,2,FALSE)),""-"",TO_TEXT(A298))"),"P02PP-0297")</f>
        <v>P02PP-0297</v>
      </c>
      <c r="H298" s="15" t="str">
        <f ca="1">IFERROR(__xludf.DUMMYFUNCTION("CONCATENATE($B298,(VLOOKUP($C298,CATALOGOS!$F$2:$H$6,3,FALSE)),(VLOOKUP($V298,CATALOGOS!$J$2:$K$18,2,FALSE)),""-"",TO_TEXT($A298))"),"P02PP-0297")</f>
        <v>P02PP-0297</v>
      </c>
      <c r="I298" s="6"/>
      <c r="J298" s="6" t="s">
        <v>2111</v>
      </c>
      <c r="K298" s="6" t="s">
        <v>2112</v>
      </c>
      <c r="L298" s="6" t="s">
        <v>2113</v>
      </c>
      <c r="M298" s="43" t="s">
        <v>2114</v>
      </c>
      <c r="N298" s="17"/>
      <c r="O298" s="17"/>
      <c r="P298" s="17" t="str">
        <f t="shared" si="6"/>
        <v>OK</v>
      </c>
      <c r="Q298" s="17" t="s">
        <v>35</v>
      </c>
      <c r="R298" s="6" t="s">
        <v>35</v>
      </c>
      <c r="S298" s="17" t="s">
        <v>36</v>
      </c>
      <c r="T298" s="17" t="s">
        <v>2115</v>
      </c>
      <c r="U298" s="18" t="s">
        <v>38</v>
      </c>
      <c r="V298" s="19" t="s">
        <v>1548</v>
      </c>
      <c r="W298" s="20" t="s">
        <v>2052</v>
      </c>
      <c r="X298" s="39" t="s">
        <v>2052</v>
      </c>
      <c r="Y298" s="20"/>
      <c r="Z298" s="7"/>
      <c r="AA298" s="7"/>
      <c r="AB298" s="23"/>
      <c r="AC298" s="26"/>
    </row>
    <row r="299" spans="1:29" ht="15.75" customHeight="1">
      <c r="A299" s="10" t="s">
        <v>2116</v>
      </c>
      <c r="B299" s="10" t="s">
        <v>27</v>
      </c>
      <c r="C299" s="60" t="s">
        <v>1470</v>
      </c>
      <c r="D299" s="12"/>
      <c r="E299" s="13" t="s">
        <v>501</v>
      </c>
      <c r="F299" s="6" t="s">
        <v>2092</v>
      </c>
      <c r="G299" s="14" t="str">
        <f ca="1">IFERROR(__xludf.DUMMYFUNCTION("CONCATENATE(B299,(VLOOKUP(C299,CATALOGOS!$F$2:$H$6,3,FALSE)),(VLOOKUP(V299,CATALOGOS!$J$2:$K$18,2,FALSE)),""-"",TO_TEXT(A299))"),"P02PP-0298")</f>
        <v>P02PP-0298</v>
      </c>
      <c r="H299" s="15" t="str">
        <f ca="1">IFERROR(__xludf.DUMMYFUNCTION("CONCATENATE($B299,(VLOOKUP($C299,CATALOGOS!$F$2:$H$6,3,FALSE)),(VLOOKUP($V299,CATALOGOS!$J$2:$K$18,2,FALSE)),""-"",TO_TEXT($A299))"),"P02PP-0298")</f>
        <v>P02PP-0298</v>
      </c>
      <c r="I299" s="6"/>
      <c r="J299" s="6" t="s">
        <v>2117</v>
      </c>
      <c r="K299" s="6" t="s">
        <v>2118</v>
      </c>
      <c r="L299" s="6" t="s">
        <v>2119</v>
      </c>
      <c r="M299" s="6" t="s">
        <v>2120</v>
      </c>
      <c r="N299" s="17"/>
      <c r="O299" s="17"/>
      <c r="P299" s="17" t="str">
        <f t="shared" si="6"/>
        <v>OK</v>
      </c>
      <c r="Q299" s="17" t="s">
        <v>35</v>
      </c>
      <c r="R299" s="6" t="s">
        <v>35</v>
      </c>
      <c r="S299" s="17" t="s">
        <v>36</v>
      </c>
      <c r="T299" s="17" t="s">
        <v>2121</v>
      </c>
      <c r="U299" s="18" t="s">
        <v>38</v>
      </c>
      <c r="V299" s="19" t="s">
        <v>1548</v>
      </c>
      <c r="W299" s="20" t="s">
        <v>2052</v>
      </c>
      <c r="X299" s="39" t="s">
        <v>2052</v>
      </c>
      <c r="Y299" s="20"/>
      <c r="Z299" s="7"/>
      <c r="AA299" s="7"/>
      <c r="AB299" s="23"/>
      <c r="AC299" s="26"/>
    </row>
    <row r="300" spans="1:29" ht="15.75" customHeight="1">
      <c r="A300" s="10" t="s">
        <v>2122</v>
      </c>
      <c r="B300" s="10" t="s">
        <v>27</v>
      </c>
      <c r="C300" s="60" t="s">
        <v>1470</v>
      </c>
      <c r="D300" s="12"/>
      <c r="E300" s="13" t="s">
        <v>2060</v>
      </c>
      <c r="F300" s="6" t="s">
        <v>2061</v>
      </c>
      <c r="G300" s="14" t="str">
        <f ca="1">IFERROR(__xludf.DUMMYFUNCTION("CONCATENATE(B300,(VLOOKUP(C300,CATALOGOS!$F$2:$H$6,3,FALSE)),(VLOOKUP(V300,CATALOGOS!$J$2:$K$18,2,FALSE)),""-"",TO_TEXT(A300))"),"P02PP-0299")</f>
        <v>P02PP-0299</v>
      </c>
      <c r="H300" s="15" t="str">
        <f ca="1">IFERROR(__xludf.DUMMYFUNCTION("CONCATENATE($B300,(VLOOKUP($C300,CATALOGOS!$F$2:$H$6,3,FALSE)),(VLOOKUP($V300,CATALOGOS!$J$2:$K$18,2,FALSE)),""-"",TO_TEXT($A300))"),"P02PP-0299")</f>
        <v>P02PP-0299</v>
      </c>
      <c r="I300" s="6"/>
      <c r="J300" s="6" t="s">
        <v>2123</v>
      </c>
      <c r="K300" s="6" t="s">
        <v>2124</v>
      </c>
      <c r="L300" s="6" t="s">
        <v>2125</v>
      </c>
      <c r="M300" s="6" t="s">
        <v>2126</v>
      </c>
      <c r="N300" s="17"/>
      <c r="O300" s="17"/>
      <c r="P300" s="17" t="str">
        <f t="shared" si="6"/>
        <v>OK</v>
      </c>
      <c r="Q300" s="17" t="s">
        <v>35</v>
      </c>
      <c r="R300" s="6" t="s">
        <v>35</v>
      </c>
      <c r="S300" s="17" t="s">
        <v>36</v>
      </c>
      <c r="T300" s="17" t="s">
        <v>2127</v>
      </c>
      <c r="U300" s="18" t="s">
        <v>38</v>
      </c>
      <c r="V300" s="19" t="s">
        <v>1548</v>
      </c>
      <c r="W300" s="20" t="s">
        <v>2052</v>
      </c>
      <c r="X300" s="39" t="s">
        <v>2052</v>
      </c>
      <c r="Y300" s="20"/>
      <c r="Z300" s="7"/>
      <c r="AA300" s="7"/>
      <c r="AB300" s="23"/>
      <c r="AC300" s="26"/>
    </row>
    <row r="301" spans="1:29" ht="15.75" customHeight="1">
      <c r="A301" s="10" t="s">
        <v>2128</v>
      </c>
      <c r="B301" s="10" t="s">
        <v>27</v>
      </c>
      <c r="C301" s="60" t="s">
        <v>1470</v>
      </c>
      <c r="D301" s="12"/>
      <c r="E301" s="13" t="s">
        <v>501</v>
      </c>
      <c r="F301" s="6" t="s">
        <v>2046</v>
      </c>
      <c r="G301" s="14" t="str">
        <f ca="1">IFERROR(__xludf.DUMMYFUNCTION("CONCATENATE(B301,(VLOOKUP(C301,CATALOGOS!$F$2:$H$6,3,FALSE)),(VLOOKUP(V301,CATALOGOS!$J$2:$K$18,2,FALSE)),""-"",TO_TEXT(A301))"),"P02PP-0300")</f>
        <v>P02PP-0300</v>
      </c>
      <c r="H301" s="15" t="str">
        <f ca="1">IFERROR(__xludf.DUMMYFUNCTION("CONCATENATE($B301,(VLOOKUP($C301,CATALOGOS!$F$2:$H$6,3,FALSE)),(VLOOKUP($V301,CATALOGOS!$J$2:$K$18,2,FALSE)),""-"",TO_TEXT($A301))"),"P02PP-0300")</f>
        <v>P02PP-0300</v>
      </c>
      <c r="I301" s="6"/>
      <c r="J301" s="6" t="s">
        <v>2129</v>
      </c>
      <c r="K301" s="6" t="s">
        <v>2130</v>
      </c>
      <c r="L301" s="6" t="s">
        <v>2131</v>
      </c>
      <c r="M301" s="6" t="s">
        <v>2132</v>
      </c>
      <c r="N301" s="17"/>
      <c r="O301" s="17"/>
      <c r="P301" s="17" t="str">
        <f t="shared" si="6"/>
        <v>OK</v>
      </c>
      <c r="Q301" s="17" t="s">
        <v>35</v>
      </c>
      <c r="R301" s="6" t="s">
        <v>35</v>
      </c>
      <c r="S301" s="17" t="s">
        <v>36</v>
      </c>
      <c r="T301" s="17" t="s">
        <v>2133</v>
      </c>
      <c r="U301" s="18" t="s">
        <v>38</v>
      </c>
      <c r="V301" s="19" t="s">
        <v>1548</v>
      </c>
      <c r="W301" s="20" t="s">
        <v>2052</v>
      </c>
      <c r="X301" s="39" t="s">
        <v>2052</v>
      </c>
      <c r="Y301" s="20"/>
      <c r="Z301" s="7"/>
      <c r="AA301" s="7"/>
      <c r="AB301" s="23"/>
      <c r="AC301" s="26"/>
    </row>
    <row r="302" spans="1:29" ht="15.75" customHeight="1">
      <c r="A302" s="10" t="s">
        <v>2134</v>
      </c>
      <c r="B302" s="10" t="s">
        <v>27</v>
      </c>
      <c r="C302" s="60" t="s">
        <v>1470</v>
      </c>
      <c r="D302" s="12"/>
      <c r="E302" s="13" t="s">
        <v>501</v>
      </c>
      <c r="F302" s="6" t="s">
        <v>2046</v>
      </c>
      <c r="G302" s="14" t="str">
        <f ca="1">IFERROR(__xludf.DUMMYFUNCTION("CONCATENATE(B302,(VLOOKUP(C302,CATALOGOS!$F$2:$H$6,3,FALSE)),(VLOOKUP(V302,CATALOGOS!$J$2:$K$18,2,FALSE)),""-"",TO_TEXT(A302))"),"P02PP-0301")</f>
        <v>P02PP-0301</v>
      </c>
      <c r="H302" s="15" t="str">
        <f ca="1">IFERROR(__xludf.DUMMYFUNCTION("CONCATENATE($B302,(VLOOKUP($C302,CATALOGOS!$F$2:$H$6,3,FALSE)),(VLOOKUP($V302,CATALOGOS!$J$2:$K$18,2,FALSE)),""-"",TO_TEXT($A302))"),"P02PP-0301")</f>
        <v>P02PP-0301</v>
      </c>
      <c r="I302" s="6"/>
      <c r="J302" s="6" t="s">
        <v>2135</v>
      </c>
      <c r="K302" s="6" t="s">
        <v>2136</v>
      </c>
      <c r="L302" s="6" t="s">
        <v>2137</v>
      </c>
      <c r="M302" s="6" t="s">
        <v>2138</v>
      </c>
      <c r="N302" s="17"/>
      <c r="O302" s="17"/>
      <c r="P302" s="17" t="str">
        <f t="shared" si="6"/>
        <v>OK</v>
      </c>
      <c r="Q302" s="17" t="s">
        <v>35</v>
      </c>
      <c r="R302" s="6" t="s">
        <v>35</v>
      </c>
      <c r="S302" s="17" t="s">
        <v>36</v>
      </c>
      <c r="T302" s="17" t="s">
        <v>2139</v>
      </c>
      <c r="U302" s="18" t="s">
        <v>38</v>
      </c>
      <c r="V302" s="19" t="s">
        <v>1548</v>
      </c>
      <c r="W302" s="20" t="s">
        <v>2052</v>
      </c>
      <c r="X302" s="39" t="s">
        <v>2052</v>
      </c>
      <c r="Y302" s="20"/>
      <c r="Z302" s="7"/>
      <c r="AA302" s="7"/>
      <c r="AB302" s="23"/>
      <c r="AC302" s="26"/>
    </row>
    <row r="303" spans="1:29" ht="15.75" customHeight="1">
      <c r="A303" s="10" t="s">
        <v>2140</v>
      </c>
      <c r="B303" s="10" t="s">
        <v>27</v>
      </c>
      <c r="C303" s="60" t="s">
        <v>1470</v>
      </c>
      <c r="D303" s="12"/>
      <c r="E303" s="13" t="s">
        <v>2060</v>
      </c>
      <c r="F303" s="6" t="s">
        <v>2061</v>
      </c>
      <c r="G303" s="14" t="str">
        <f ca="1">IFERROR(__xludf.DUMMYFUNCTION("CONCATENATE(B303,(VLOOKUP(C303,CATALOGOS!$F$2:$H$6,3,FALSE)),(VLOOKUP(V303,CATALOGOS!$J$2:$K$18,2,FALSE)),""-"",TO_TEXT(A303))"),"P02PP-0302")</f>
        <v>P02PP-0302</v>
      </c>
      <c r="H303" s="15" t="str">
        <f ca="1">IFERROR(__xludf.DUMMYFUNCTION("CONCATENATE($B303,(VLOOKUP($C303,CATALOGOS!$F$2:$H$6,3,FALSE)),(VLOOKUP($V303,CATALOGOS!$J$2:$K$18,2,FALSE)),""-"",TO_TEXT($A303))"),"P02PP-0302")</f>
        <v>P02PP-0302</v>
      </c>
      <c r="I303" s="6"/>
      <c r="J303" s="6" t="s">
        <v>2141</v>
      </c>
      <c r="K303" s="6" t="s">
        <v>2142</v>
      </c>
      <c r="L303" s="6" t="s">
        <v>2143</v>
      </c>
      <c r="M303" s="6" t="s">
        <v>2144</v>
      </c>
      <c r="N303" s="17"/>
      <c r="O303" s="17"/>
      <c r="P303" s="17" t="str">
        <f t="shared" si="6"/>
        <v>OK</v>
      </c>
      <c r="Q303" s="17" t="s">
        <v>35</v>
      </c>
      <c r="R303" s="6" t="s">
        <v>35</v>
      </c>
      <c r="S303" s="17" t="s">
        <v>36</v>
      </c>
      <c r="T303" s="17" t="s">
        <v>2145</v>
      </c>
      <c r="U303" s="18" t="s">
        <v>38</v>
      </c>
      <c r="V303" s="19" t="s">
        <v>1548</v>
      </c>
      <c r="W303" s="20" t="s">
        <v>2052</v>
      </c>
      <c r="X303" s="39" t="s">
        <v>2052</v>
      </c>
      <c r="Y303" s="20"/>
      <c r="Z303" s="7"/>
      <c r="AA303" s="7"/>
      <c r="AB303" s="23"/>
      <c r="AC303" s="26"/>
    </row>
    <row r="304" spans="1:29" ht="15.75" customHeight="1">
      <c r="A304" s="10" t="s">
        <v>2146</v>
      </c>
      <c r="B304" s="10" t="s">
        <v>27</v>
      </c>
      <c r="C304" s="60" t="s">
        <v>1470</v>
      </c>
      <c r="D304" s="12"/>
      <c r="E304" s="13" t="s">
        <v>2060</v>
      </c>
      <c r="F304" s="6" t="s">
        <v>2061</v>
      </c>
      <c r="G304" s="14" t="str">
        <f ca="1">IFERROR(__xludf.DUMMYFUNCTION("CONCATENATE(B304,(VLOOKUP(C304,CATALOGOS!$F$2:$H$6,3,FALSE)),(VLOOKUP(V304,CATALOGOS!$J$2:$K$18,2,FALSE)),""-"",TO_TEXT(A304))"),"P02PP-0303")</f>
        <v>P02PP-0303</v>
      </c>
      <c r="H304" s="15" t="str">
        <f ca="1">IFERROR(__xludf.DUMMYFUNCTION("CONCATENATE($B304,(VLOOKUP($C304,CATALOGOS!$F$2:$H$6,3,FALSE)),(VLOOKUP($V304,CATALOGOS!$J$2:$K$18,2,FALSE)),""-"",TO_TEXT($A304))"),"P02PP-0303")</f>
        <v>P02PP-0303</v>
      </c>
      <c r="I304" s="6"/>
      <c r="J304" s="6" t="s">
        <v>2147</v>
      </c>
      <c r="K304" s="6" t="s">
        <v>2148</v>
      </c>
      <c r="L304" s="6" t="s">
        <v>2149</v>
      </c>
      <c r="M304" s="6" t="s">
        <v>2150</v>
      </c>
      <c r="N304" s="17"/>
      <c r="O304" s="17"/>
      <c r="P304" s="17" t="str">
        <f t="shared" si="6"/>
        <v>OK</v>
      </c>
      <c r="Q304" s="17" t="s">
        <v>35</v>
      </c>
      <c r="R304" s="6" t="s">
        <v>35</v>
      </c>
      <c r="S304" s="17" t="s">
        <v>36</v>
      </c>
      <c r="T304" s="17" t="s">
        <v>2151</v>
      </c>
      <c r="U304" s="18" t="s">
        <v>38</v>
      </c>
      <c r="V304" s="19" t="s">
        <v>1548</v>
      </c>
      <c r="W304" s="20" t="s">
        <v>2052</v>
      </c>
      <c r="X304" s="39" t="s">
        <v>2052</v>
      </c>
      <c r="Y304" s="20"/>
      <c r="Z304" s="7"/>
      <c r="AA304" s="7"/>
      <c r="AB304" s="23"/>
      <c r="AC304" s="26"/>
    </row>
    <row r="305" spans="1:29" ht="15.75" customHeight="1">
      <c r="A305" s="10" t="s">
        <v>2152</v>
      </c>
      <c r="B305" s="10" t="s">
        <v>27</v>
      </c>
      <c r="C305" s="60" t="s">
        <v>1470</v>
      </c>
      <c r="D305" s="12"/>
      <c r="E305" s="13" t="s">
        <v>501</v>
      </c>
      <c r="F305" s="6" t="s">
        <v>2046</v>
      </c>
      <c r="G305" s="14" t="str">
        <f ca="1">IFERROR(__xludf.DUMMYFUNCTION("CONCATENATE(B305,(VLOOKUP(C305,CATALOGOS!$F$2:$H$6,3,FALSE)),(VLOOKUP(V305,CATALOGOS!$J$2:$K$18,2,FALSE)),""-"",TO_TEXT(A305))"),"P02PP-0304")</f>
        <v>P02PP-0304</v>
      </c>
      <c r="H305" s="15" t="str">
        <f ca="1">IFERROR(__xludf.DUMMYFUNCTION("CONCATENATE($B305,(VLOOKUP($C305,CATALOGOS!$F$2:$H$6,3,FALSE)),(VLOOKUP($V305,CATALOGOS!$J$2:$K$18,2,FALSE)),""-"",TO_TEXT($A305))"),"P02PP-0304")</f>
        <v>P02PP-0304</v>
      </c>
      <c r="I305" s="6"/>
      <c r="J305" s="6" t="s">
        <v>2153</v>
      </c>
      <c r="K305" s="6" t="s">
        <v>2154</v>
      </c>
      <c r="L305" s="6" t="s">
        <v>2155</v>
      </c>
      <c r="M305" s="6" t="s">
        <v>2156</v>
      </c>
      <c r="N305" s="17"/>
      <c r="O305" s="17"/>
      <c r="P305" s="17" t="str">
        <f t="shared" si="6"/>
        <v>OK</v>
      </c>
      <c r="Q305" s="17" t="s">
        <v>35</v>
      </c>
      <c r="R305" s="6" t="s">
        <v>35</v>
      </c>
      <c r="S305" s="17" t="s">
        <v>36</v>
      </c>
      <c r="T305" s="17" t="s">
        <v>2157</v>
      </c>
      <c r="U305" s="18" t="s">
        <v>38</v>
      </c>
      <c r="V305" s="19" t="s">
        <v>1548</v>
      </c>
      <c r="W305" s="20" t="s">
        <v>2052</v>
      </c>
      <c r="X305" s="39" t="s">
        <v>2052</v>
      </c>
      <c r="Y305" s="20"/>
      <c r="Z305" s="7"/>
      <c r="AA305" s="7"/>
      <c r="AB305" s="23"/>
      <c r="AC305" s="26"/>
    </row>
    <row r="306" spans="1:29" ht="15.75" customHeight="1">
      <c r="A306" s="10" t="s">
        <v>2158</v>
      </c>
      <c r="B306" s="10" t="s">
        <v>27</v>
      </c>
      <c r="C306" s="60" t="s">
        <v>1470</v>
      </c>
      <c r="D306" s="12"/>
      <c r="E306" s="13" t="s">
        <v>2060</v>
      </c>
      <c r="F306" s="6" t="s">
        <v>2061</v>
      </c>
      <c r="G306" s="14" t="str">
        <f ca="1">IFERROR(__xludf.DUMMYFUNCTION("CONCATENATE(B306,(VLOOKUP(C306,CATALOGOS!$F$2:$H$6,3,FALSE)),(VLOOKUP(V306,CATALOGOS!$J$2:$K$18,2,FALSE)),""-"",TO_TEXT(A306))"),"P02PP-0305")</f>
        <v>P02PP-0305</v>
      </c>
      <c r="H306" s="15" t="str">
        <f ca="1">IFERROR(__xludf.DUMMYFUNCTION("CONCATENATE($B306,(VLOOKUP($C306,CATALOGOS!$F$2:$H$6,3,FALSE)),(VLOOKUP($V306,CATALOGOS!$J$2:$K$18,2,FALSE)),""-"",TO_TEXT($A306))"),"P02PP-0305")</f>
        <v>P02PP-0305</v>
      </c>
      <c r="I306" s="6"/>
      <c r="J306" s="6" t="s">
        <v>2159</v>
      </c>
      <c r="K306" s="6" t="s">
        <v>2160</v>
      </c>
      <c r="L306" s="6" t="s">
        <v>2161</v>
      </c>
      <c r="M306" s="6" t="s">
        <v>2162</v>
      </c>
      <c r="N306" s="17"/>
      <c r="O306" s="17"/>
      <c r="P306" s="17" t="str">
        <f t="shared" si="6"/>
        <v>OK</v>
      </c>
      <c r="Q306" s="17" t="s">
        <v>35</v>
      </c>
      <c r="R306" s="6" t="s">
        <v>35</v>
      </c>
      <c r="S306" s="17" t="s">
        <v>36</v>
      </c>
      <c r="T306" s="17" t="s">
        <v>2163</v>
      </c>
      <c r="U306" s="18" t="s">
        <v>38</v>
      </c>
      <c r="V306" s="19" t="s">
        <v>1548</v>
      </c>
      <c r="W306" s="20" t="s">
        <v>2052</v>
      </c>
      <c r="X306" s="39" t="s">
        <v>2052</v>
      </c>
      <c r="Y306" s="20"/>
      <c r="Z306" s="7"/>
      <c r="AA306" s="7"/>
      <c r="AB306" s="23"/>
      <c r="AC306" s="26"/>
    </row>
    <row r="307" spans="1:29" ht="15.75" customHeight="1">
      <c r="A307" s="10" t="s">
        <v>2164</v>
      </c>
      <c r="B307" s="10" t="s">
        <v>27</v>
      </c>
      <c r="C307" s="60" t="s">
        <v>1470</v>
      </c>
      <c r="D307" s="12"/>
      <c r="E307" s="13" t="s">
        <v>2060</v>
      </c>
      <c r="F307" s="6" t="s">
        <v>2061</v>
      </c>
      <c r="G307" s="14" t="str">
        <f ca="1">IFERROR(__xludf.DUMMYFUNCTION("CONCATENATE(B307,(VLOOKUP(C307,CATALOGOS!$F$2:$H$6,3,FALSE)),(VLOOKUP(V307,CATALOGOS!$J$2:$K$18,2,FALSE)),""-"",TO_TEXT(A307))"),"P02PP-0306")</f>
        <v>P02PP-0306</v>
      </c>
      <c r="H307" s="15" t="str">
        <f ca="1">IFERROR(__xludf.DUMMYFUNCTION("CONCATENATE($B307,(VLOOKUP($C307,CATALOGOS!$F$2:$H$6,3,FALSE)),(VLOOKUP($V307,CATALOGOS!$J$2:$K$18,2,FALSE)),""-"",TO_TEXT($A307))"),"P02PP-0306")</f>
        <v>P02PP-0306</v>
      </c>
      <c r="I307" s="6"/>
      <c r="J307" s="6" t="s">
        <v>2165</v>
      </c>
      <c r="K307" s="6" t="s">
        <v>2166</v>
      </c>
      <c r="L307" s="6" t="s">
        <v>2167</v>
      </c>
      <c r="M307" s="6" t="s">
        <v>2168</v>
      </c>
      <c r="N307" s="17"/>
      <c r="O307" s="17"/>
      <c r="P307" s="17" t="str">
        <f t="shared" si="6"/>
        <v>OK</v>
      </c>
      <c r="Q307" s="17" t="s">
        <v>35</v>
      </c>
      <c r="R307" s="6" t="s">
        <v>35</v>
      </c>
      <c r="S307" s="17" t="s">
        <v>36</v>
      </c>
      <c r="T307" s="17" t="s">
        <v>2169</v>
      </c>
      <c r="U307" s="18" t="s">
        <v>38</v>
      </c>
      <c r="V307" s="19" t="s">
        <v>1548</v>
      </c>
      <c r="W307" s="20" t="s">
        <v>2052</v>
      </c>
      <c r="X307" s="39" t="s">
        <v>2052</v>
      </c>
      <c r="Y307" s="20"/>
      <c r="Z307" s="7"/>
      <c r="AA307" s="7"/>
      <c r="AB307" s="23"/>
      <c r="AC307" s="26"/>
    </row>
    <row r="308" spans="1:29" ht="15.75" customHeight="1">
      <c r="A308" s="10" t="s">
        <v>2170</v>
      </c>
      <c r="B308" s="10" t="s">
        <v>27</v>
      </c>
      <c r="C308" s="60" t="s">
        <v>1470</v>
      </c>
      <c r="D308" s="12"/>
      <c r="E308" s="13" t="s">
        <v>501</v>
      </c>
      <c r="F308" s="6" t="s">
        <v>2046</v>
      </c>
      <c r="G308" s="14" t="str">
        <f ca="1">IFERROR(__xludf.DUMMYFUNCTION("CONCATENATE(B308,(VLOOKUP(C308,CATALOGOS!$F$2:$H$6,3,FALSE)),(VLOOKUP(V308,CATALOGOS!$J$2:$K$18,2,FALSE)),""-"",TO_TEXT(A308))"),"P02PP-0307")</f>
        <v>P02PP-0307</v>
      </c>
      <c r="H308" s="15" t="str">
        <f ca="1">IFERROR(__xludf.DUMMYFUNCTION("CONCATENATE($B308,(VLOOKUP($C308,CATALOGOS!$F$2:$H$6,3,FALSE)),(VLOOKUP($V308,CATALOGOS!$J$2:$K$18,2,FALSE)),""-"",TO_TEXT($A308))"),"P02PP-0307")</f>
        <v>P02PP-0307</v>
      </c>
      <c r="I308" s="6"/>
      <c r="J308" s="6" t="s">
        <v>2171</v>
      </c>
      <c r="K308" s="6" t="s">
        <v>2172</v>
      </c>
      <c r="L308" s="6" t="s">
        <v>2173</v>
      </c>
      <c r="M308" s="6" t="s">
        <v>2174</v>
      </c>
      <c r="N308" s="17"/>
      <c r="O308" s="17"/>
      <c r="P308" s="17" t="str">
        <f t="shared" si="6"/>
        <v>OK</v>
      </c>
      <c r="Q308" s="17" t="s">
        <v>35</v>
      </c>
      <c r="R308" s="6" t="s">
        <v>35</v>
      </c>
      <c r="S308" s="17" t="s">
        <v>36</v>
      </c>
      <c r="T308" s="17" t="s">
        <v>2175</v>
      </c>
      <c r="U308" s="18" t="s">
        <v>38</v>
      </c>
      <c r="V308" s="19" t="s">
        <v>1548</v>
      </c>
      <c r="W308" s="20" t="s">
        <v>2052</v>
      </c>
      <c r="X308" s="39" t="s">
        <v>2052</v>
      </c>
      <c r="Y308" s="20"/>
      <c r="Z308" s="7"/>
      <c r="AA308" s="7"/>
      <c r="AB308" s="23"/>
      <c r="AC308" s="26"/>
    </row>
    <row r="309" spans="1:29" ht="15.75" customHeight="1">
      <c r="A309" s="10" t="s">
        <v>2176</v>
      </c>
      <c r="B309" s="10" t="s">
        <v>27</v>
      </c>
      <c r="C309" s="60" t="s">
        <v>1470</v>
      </c>
      <c r="D309" s="12"/>
      <c r="E309" s="13" t="s">
        <v>2060</v>
      </c>
      <c r="F309" s="6" t="s">
        <v>2061</v>
      </c>
      <c r="G309" s="14" t="str">
        <f ca="1">IFERROR(__xludf.DUMMYFUNCTION("CONCATENATE(B309,(VLOOKUP(C309,CATALOGOS!$F$2:$H$6,3,FALSE)),(VLOOKUP(V309,CATALOGOS!$J$2:$K$18,2,FALSE)),""-"",TO_TEXT(A309))"),"P02PP-0308")</f>
        <v>P02PP-0308</v>
      </c>
      <c r="H309" s="15" t="str">
        <f ca="1">IFERROR(__xludf.DUMMYFUNCTION("CONCATENATE($B309,(VLOOKUP($C309,CATALOGOS!$F$2:$H$6,3,FALSE)),(VLOOKUP($V309,CATALOGOS!$J$2:$K$18,2,FALSE)),""-"",TO_TEXT($A309))"),"P02PP-0308")</f>
        <v>P02PP-0308</v>
      </c>
      <c r="I309" s="6"/>
      <c r="J309" s="6" t="s">
        <v>2177</v>
      </c>
      <c r="K309" s="6" t="s">
        <v>2178</v>
      </c>
      <c r="L309" s="6" t="s">
        <v>2179</v>
      </c>
      <c r="M309" s="6" t="s">
        <v>2180</v>
      </c>
      <c r="N309" s="17"/>
      <c r="O309" s="17"/>
      <c r="P309" s="17" t="str">
        <f t="shared" si="6"/>
        <v>OK</v>
      </c>
      <c r="Q309" s="17" t="s">
        <v>35</v>
      </c>
      <c r="R309" s="6" t="s">
        <v>35</v>
      </c>
      <c r="S309" s="17" t="s">
        <v>36</v>
      </c>
      <c r="T309" s="17" t="s">
        <v>2181</v>
      </c>
      <c r="U309" s="18" t="s">
        <v>38</v>
      </c>
      <c r="V309" s="19" t="s">
        <v>1548</v>
      </c>
      <c r="W309" s="20" t="s">
        <v>2052</v>
      </c>
      <c r="X309" s="39" t="s">
        <v>2052</v>
      </c>
      <c r="Y309" s="20"/>
      <c r="Z309" s="7"/>
      <c r="AA309" s="7"/>
      <c r="AB309" s="23"/>
      <c r="AC309" s="26"/>
    </row>
    <row r="310" spans="1:29" ht="15.75" customHeight="1">
      <c r="A310" s="10" t="s">
        <v>2182</v>
      </c>
      <c r="B310" s="10" t="s">
        <v>27</v>
      </c>
      <c r="C310" s="60" t="s">
        <v>1470</v>
      </c>
      <c r="D310" s="12"/>
      <c r="E310" s="13" t="s">
        <v>2060</v>
      </c>
      <c r="F310" s="6" t="s">
        <v>2061</v>
      </c>
      <c r="G310" s="14" t="str">
        <f ca="1">IFERROR(__xludf.DUMMYFUNCTION("CONCATENATE(B310,(VLOOKUP(C310,CATALOGOS!$F$2:$H$6,3,FALSE)),(VLOOKUP(V310,CATALOGOS!$J$2:$K$18,2,FALSE)),""-"",TO_TEXT(A310))"),"P02PP-0309")</f>
        <v>P02PP-0309</v>
      </c>
      <c r="H310" s="15" t="str">
        <f ca="1">IFERROR(__xludf.DUMMYFUNCTION("CONCATENATE($B310,(VLOOKUP($C310,CATALOGOS!$F$2:$H$6,3,FALSE)),(VLOOKUP($V310,CATALOGOS!$J$2:$K$18,2,FALSE)),""-"",TO_TEXT($A310))"),"P02PP-0309")</f>
        <v>P02PP-0309</v>
      </c>
      <c r="I310" s="6"/>
      <c r="J310" s="6" t="s">
        <v>2183</v>
      </c>
      <c r="K310" s="6" t="s">
        <v>2184</v>
      </c>
      <c r="L310" s="6" t="s">
        <v>2185</v>
      </c>
      <c r="M310" s="6" t="s">
        <v>2186</v>
      </c>
      <c r="N310" s="17"/>
      <c r="O310" s="17"/>
      <c r="P310" s="17" t="str">
        <f t="shared" si="6"/>
        <v>OK</v>
      </c>
      <c r="Q310" s="17" t="s">
        <v>35</v>
      </c>
      <c r="R310" s="6" t="s">
        <v>35</v>
      </c>
      <c r="S310" s="17" t="s">
        <v>36</v>
      </c>
      <c r="T310" s="17" t="s">
        <v>2187</v>
      </c>
      <c r="U310" s="18" t="s">
        <v>38</v>
      </c>
      <c r="V310" s="19" t="s">
        <v>1548</v>
      </c>
      <c r="W310" s="20" t="s">
        <v>2052</v>
      </c>
      <c r="X310" s="39" t="s">
        <v>2052</v>
      </c>
      <c r="Y310" s="20"/>
      <c r="Z310" s="7"/>
      <c r="AA310" s="7"/>
      <c r="AB310" s="23"/>
      <c r="AC310" s="26"/>
    </row>
    <row r="311" spans="1:29" ht="15.75" customHeight="1">
      <c r="A311" s="10" t="s">
        <v>2188</v>
      </c>
      <c r="B311" s="10" t="s">
        <v>27</v>
      </c>
      <c r="C311" s="60" t="s">
        <v>1470</v>
      </c>
      <c r="D311" s="12"/>
      <c r="E311" s="13" t="s">
        <v>501</v>
      </c>
      <c r="F311" s="6" t="s">
        <v>2046</v>
      </c>
      <c r="G311" s="14" t="str">
        <f ca="1">IFERROR(__xludf.DUMMYFUNCTION("CONCATENATE(B311,(VLOOKUP(C311,CATALOGOS!$F$2:$H$6,3,FALSE)),(VLOOKUP(V311,CATALOGOS!$J$2:$K$18,2,FALSE)),""-"",TO_TEXT(A311))"),"P02PP-0310")</f>
        <v>P02PP-0310</v>
      </c>
      <c r="H311" s="15" t="str">
        <f ca="1">IFERROR(__xludf.DUMMYFUNCTION("CONCATENATE($B311,(VLOOKUP($C311,CATALOGOS!$F$2:$H$6,3,FALSE)),(VLOOKUP($V311,CATALOGOS!$J$2:$K$18,2,FALSE)),""-"",TO_TEXT($A311))"),"P02PP-0310")</f>
        <v>P02PP-0310</v>
      </c>
      <c r="I311" s="6"/>
      <c r="J311" s="6" t="s">
        <v>2189</v>
      </c>
      <c r="K311" s="6" t="s">
        <v>2190</v>
      </c>
      <c r="L311" s="6" t="s">
        <v>2191</v>
      </c>
      <c r="M311" s="6" t="s">
        <v>2192</v>
      </c>
      <c r="N311" s="17"/>
      <c r="O311" s="17"/>
      <c r="P311" s="17" t="str">
        <f t="shared" si="6"/>
        <v>OK</v>
      </c>
      <c r="Q311" s="17" t="s">
        <v>35</v>
      </c>
      <c r="R311" s="6" t="s">
        <v>35</v>
      </c>
      <c r="S311" s="17" t="s">
        <v>36</v>
      </c>
      <c r="T311" s="17" t="s">
        <v>2193</v>
      </c>
      <c r="U311" s="18" t="s">
        <v>38</v>
      </c>
      <c r="V311" s="19" t="s">
        <v>1548</v>
      </c>
      <c r="W311" s="20" t="s">
        <v>2052</v>
      </c>
      <c r="X311" s="39" t="s">
        <v>2052</v>
      </c>
      <c r="Y311" s="20"/>
      <c r="Z311" s="7"/>
      <c r="AA311" s="7"/>
      <c r="AB311" s="23"/>
      <c r="AC311" s="26"/>
    </row>
    <row r="312" spans="1:29" ht="15.75" customHeight="1">
      <c r="A312" s="10" t="s">
        <v>2194</v>
      </c>
      <c r="B312" s="10" t="s">
        <v>27</v>
      </c>
      <c r="C312" s="60" t="s">
        <v>1470</v>
      </c>
      <c r="D312" s="12"/>
      <c r="E312" s="13" t="s">
        <v>2060</v>
      </c>
      <c r="F312" s="6" t="s">
        <v>2061</v>
      </c>
      <c r="G312" s="14" t="str">
        <f ca="1">IFERROR(__xludf.DUMMYFUNCTION("CONCATENATE(B312,(VLOOKUP(C312,CATALOGOS!$F$2:$H$6,3,FALSE)),(VLOOKUP(V312,CATALOGOS!$J$2:$K$18,2,FALSE)),""-"",TO_TEXT(A312))"),"P02PP-0311")</f>
        <v>P02PP-0311</v>
      </c>
      <c r="H312" s="15" t="str">
        <f ca="1">IFERROR(__xludf.DUMMYFUNCTION("CONCATENATE($B312,(VLOOKUP($C312,CATALOGOS!$F$2:$H$6,3,FALSE)),(VLOOKUP($V312,CATALOGOS!$J$2:$K$18,2,FALSE)),""-"",TO_TEXT($A312))"),"P02PP-0311")</f>
        <v>P02PP-0311</v>
      </c>
      <c r="I312" s="6"/>
      <c r="J312" s="6" t="s">
        <v>2195</v>
      </c>
      <c r="K312" s="6" t="s">
        <v>2196</v>
      </c>
      <c r="L312" s="6" t="s">
        <v>2197</v>
      </c>
      <c r="M312" s="6" t="s">
        <v>2198</v>
      </c>
      <c r="N312" s="17"/>
      <c r="O312" s="17"/>
      <c r="P312" s="17" t="str">
        <f t="shared" si="6"/>
        <v>OK</v>
      </c>
      <c r="Q312" s="17" t="s">
        <v>35</v>
      </c>
      <c r="R312" s="6" t="s">
        <v>35</v>
      </c>
      <c r="S312" s="17" t="s">
        <v>36</v>
      </c>
      <c r="T312" s="17" t="s">
        <v>2199</v>
      </c>
      <c r="U312" s="18" t="s">
        <v>38</v>
      </c>
      <c r="V312" s="19" t="s">
        <v>1548</v>
      </c>
      <c r="W312" s="20" t="s">
        <v>2052</v>
      </c>
      <c r="X312" s="39" t="s">
        <v>2052</v>
      </c>
      <c r="Y312" s="20"/>
      <c r="Z312" s="7"/>
      <c r="AA312" s="7"/>
      <c r="AB312" s="23"/>
      <c r="AC312" s="26"/>
    </row>
    <row r="313" spans="1:29" ht="15.75" customHeight="1">
      <c r="A313" s="10" t="s">
        <v>2200</v>
      </c>
      <c r="B313" s="10" t="s">
        <v>27</v>
      </c>
      <c r="C313" s="60" t="s">
        <v>1470</v>
      </c>
      <c r="D313" s="12"/>
      <c r="E313" s="13" t="s">
        <v>378</v>
      </c>
      <c r="F313" s="6" t="s">
        <v>2201</v>
      </c>
      <c r="G313" s="14" t="str">
        <f ca="1">IFERROR(__xludf.DUMMYFUNCTION("CONCATENATE(B313,(VLOOKUP(C313,CATALOGOS!$F$2:$H$6,3,FALSE)),(VLOOKUP(V313,CATALOGOS!$J$2:$K$18,2,FALSE)),""-"",TO_TEXT(A313))"),"P02PP-0312")</f>
        <v>P02PP-0312</v>
      </c>
      <c r="H313" s="15" t="str">
        <f ca="1">IFERROR(__xludf.DUMMYFUNCTION("CONCATENATE($B313,(VLOOKUP($C313,CATALOGOS!$F$2:$H$6,3,FALSE)),(VLOOKUP($V313,CATALOGOS!$J$2:$K$18,2,FALSE)),""-"",TO_TEXT($A313))"),"P02PP-0312")</f>
        <v>P02PP-0312</v>
      </c>
      <c r="I313" s="6"/>
      <c r="J313" s="6" t="s">
        <v>2202</v>
      </c>
      <c r="K313" s="6" t="s">
        <v>2203</v>
      </c>
      <c r="L313" s="6" t="s">
        <v>2204</v>
      </c>
      <c r="M313" s="6" t="s">
        <v>2205</v>
      </c>
      <c r="N313" s="17"/>
      <c r="O313" s="17"/>
      <c r="P313" s="17" t="str">
        <f t="shared" si="6"/>
        <v>OK</v>
      </c>
      <c r="Q313" s="17" t="s">
        <v>35</v>
      </c>
      <c r="R313" s="6" t="s">
        <v>35</v>
      </c>
      <c r="S313" s="17" t="s">
        <v>36</v>
      </c>
      <c r="T313" s="17" t="s">
        <v>2206</v>
      </c>
      <c r="U313" s="18" t="s">
        <v>38</v>
      </c>
      <c r="V313" s="19" t="s">
        <v>1548</v>
      </c>
      <c r="W313" s="20" t="s">
        <v>2052</v>
      </c>
      <c r="X313" s="39" t="s">
        <v>2052</v>
      </c>
      <c r="Y313" s="20"/>
      <c r="Z313" s="7"/>
      <c r="AA313" s="7"/>
      <c r="AB313" s="23"/>
      <c r="AC313" s="26"/>
    </row>
    <row r="314" spans="1:29" ht="15.75" customHeight="1">
      <c r="A314" s="10" t="s">
        <v>2207</v>
      </c>
      <c r="B314" s="10" t="s">
        <v>27</v>
      </c>
      <c r="C314" s="60" t="s">
        <v>1470</v>
      </c>
      <c r="D314" s="12"/>
      <c r="E314" s="13" t="s">
        <v>62</v>
      </c>
      <c r="F314" s="6" t="s">
        <v>2208</v>
      </c>
      <c r="G314" s="14" t="str">
        <f ca="1">IFERROR(__xludf.DUMMYFUNCTION("CONCATENATE(B314,(VLOOKUP(C314,CATALOGOS!$F$2:$H$6,3,FALSE)),(VLOOKUP(V314,CATALOGOS!$J$2:$K$18,2,FALSE)),""-"",TO_TEXT(A314))"),"P02PP-0313")</f>
        <v>P02PP-0313</v>
      </c>
      <c r="H314" s="15" t="str">
        <f ca="1">IFERROR(__xludf.DUMMYFUNCTION("CONCATENATE($B314,(VLOOKUP($C314,CATALOGOS!$F$2:$H$6,3,FALSE)),(VLOOKUP($V314,CATALOGOS!$J$2:$K$18,2,FALSE)),""-"",TO_TEXT($A314))"),"P02PP-0313")</f>
        <v>P02PP-0313</v>
      </c>
      <c r="I314" s="6"/>
      <c r="J314" s="6" t="s">
        <v>2209</v>
      </c>
      <c r="K314" s="6" t="s">
        <v>2210</v>
      </c>
      <c r="L314" s="6" t="s">
        <v>2211</v>
      </c>
      <c r="M314" s="6" t="s">
        <v>2212</v>
      </c>
      <c r="N314" s="17"/>
      <c r="O314" s="17"/>
      <c r="P314" s="17" t="str">
        <f t="shared" si="6"/>
        <v>OK</v>
      </c>
      <c r="Q314" s="17" t="s">
        <v>35</v>
      </c>
      <c r="R314" s="6" t="s">
        <v>35</v>
      </c>
      <c r="S314" s="17" t="s">
        <v>36</v>
      </c>
      <c r="T314" s="17" t="s">
        <v>2213</v>
      </c>
      <c r="U314" s="18" t="s">
        <v>38</v>
      </c>
      <c r="V314" s="19" t="s">
        <v>1548</v>
      </c>
      <c r="W314" s="20" t="s">
        <v>2052</v>
      </c>
      <c r="X314" s="39" t="s">
        <v>2052</v>
      </c>
      <c r="Y314" s="20"/>
      <c r="Z314" s="7"/>
      <c r="AA314" s="7"/>
      <c r="AB314" s="23"/>
      <c r="AC314" s="26"/>
    </row>
    <row r="315" spans="1:29" ht="15.75" customHeight="1">
      <c r="A315" s="10" t="s">
        <v>2214</v>
      </c>
      <c r="B315" s="10" t="s">
        <v>27</v>
      </c>
      <c r="C315" s="60" t="s">
        <v>1470</v>
      </c>
      <c r="D315" s="12"/>
      <c r="E315" s="13" t="s">
        <v>93</v>
      </c>
      <c r="F315" s="6" t="s">
        <v>2215</v>
      </c>
      <c r="G315" s="14" t="str">
        <f ca="1">IFERROR(__xludf.DUMMYFUNCTION("CONCATENATE(B315,(VLOOKUP(C315,CATALOGOS!$F$2:$H$6,3,FALSE)),(VLOOKUP(V315,CATALOGOS!$J$2:$K$18,2,FALSE)),""-"",TO_TEXT(A315))"),"P02PP-0314")</f>
        <v>P02PP-0314</v>
      </c>
      <c r="H315" s="15" t="str">
        <f ca="1">IFERROR(__xludf.DUMMYFUNCTION("CONCATENATE($B315,(VLOOKUP($C315,CATALOGOS!$F$2:$H$6,3,FALSE)),(VLOOKUP($V315,CATALOGOS!$J$2:$K$18,2,FALSE)),""-"",TO_TEXT($A315))"),"P02PP-0314")</f>
        <v>P02PP-0314</v>
      </c>
      <c r="I315" s="6"/>
      <c r="J315" s="6" t="s">
        <v>2216</v>
      </c>
      <c r="K315" s="6" t="s">
        <v>2217</v>
      </c>
      <c r="L315" s="6" t="s">
        <v>2218</v>
      </c>
      <c r="M315" s="6" t="s">
        <v>2219</v>
      </c>
      <c r="N315" s="17"/>
      <c r="O315" s="17"/>
      <c r="P315" s="17" t="str">
        <f t="shared" si="6"/>
        <v>OK</v>
      </c>
      <c r="Q315" s="17" t="s">
        <v>35</v>
      </c>
      <c r="R315" s="6" t="s">
        <v>35</v>
      </c>
      <c r="S315" s="17" t="s">
        <v>36</v>
      </c>
      <c r="T315" s="17" t="s">
        <v>2220</v>
      </c>
      <c r="U315" s="18" t="s">
        <v>38</v>
      </c>
      <c r="V315" s="19" t="s">
        <v>1548</v>
      </c>
      <c r="W315" s="20" t="s">
        <v>2052</v>
      </c>
      <c r="X315" s="39" t="s">
        <v>2052</v>
      </c>
      <c r="Y315" s="20"/>
      <c r="Z315" s="7"/>
      <c r="AA315" s="7"/>
      <c r="AB315" s="23"/>
      <c r="AC315" s="26"/>
    </row>
    <row r="316" spans="1:29" ht="15.75" customHeight="1">
      <c r="A316" s="10" t="s">
        <v>2221</v>
      </c>
      <c r="B316" s="10" t="s">
        <v>27</v>
      </c>
      <c r="C316" s="60" t="s">
        <v>1470</v>
      </c>
      <c r="D316" s="12"/>
      <c r="E316" s="13" t="s">
        <v>93</v>
      </c>
      <c r="F316" s="6" t="s">
        <v>2222</v>
      </c>
      <c r="G316" s="14" t="str">
        <f ca="1">IFERROR(__xludf.DUMMYFUNCTION("CONCATENATE(B316,(VLOOKUP(C316,CATALOGOS!$F$2:$H$6,3,FALSE)),(VLOOKUP(V316,CATALOGOS!$J$2:$K$18,2,FALSE)),""-"",TO_TEXT(A316))"),"P02PP-0315")</f>
        <v>P02PP-0315</v>
      </c>
      <c r="H316" s="15" t="str">
        <f ca="1">IFERROR(__xludf.DUMMYFUNCTION("CONCATENATE($B316,(VLOOKUP($C316,CATALOGOS!$F$2:$H$6,3,FALSE)),(VLOOKUP($V316,CATALOGOS!$J$2:$K$18,2,FALSE)),""-"",TO_TEXT($A316))"),"P02PP-0315")</f>
        <v>P02PP-0315</v>
      </c>
      <c r="I316" s="6"/>
      <c r="J316" s="6" t="s">
        <v>2223</v>
      </c>
      <c r="K316" s="6" t="s">
        <v>2224</v>
      </c>
      <c r="L316" s="6" t="s">
        <v>2225</v>
      </c>
      <c r="M316" s="6" t="s">
        <v>2226</v>
      </c>
      <c r="N316" s="17"/>
      <c r="O316" s="17"/>
      <c r="P316" s="17" t="str">
        <f t="shared" si="6"/>
        <v>OK</v>
      </c>
      <c r="Q316" s="17" t="s">
        <v>35</v>
      </c>
      <c r="R316" s="6" t="s">
        <v>35</v>
      </c>
      <c r="S316" s="17" t="s">
        <v>36</v>
      </c>
      <c r="T316" s="17" t="s">
        <v>2227</v>
      </c>
      <c r="U316" s="18" t="s">
        <v>38</v>
      </c>
      <c r="V316" s="19" t="s">
        <v>1548</v>
      </c>
      <c r="W316" s="20" t="s">
        <v>2052</v>
      </c>
      <c r="X316" s="39" t="s">
        <v>2052</v>
      </c>
      <c r="Y316" s="20"/>
      <c r="Z316" s="7"/>
      <c r="AA316" s="7"/>
      <c r="AB316" s="23"/>
      <c r="AC316" s="26"/>
    </row>
    <row r="317" spans="1:29" ht="15.75" customHeight="1">
      <c r="A317" s="10" t="s">
        <v>2228</v>
      </c>
      <c r="B317" s="10" t="s">
        <v>27</v>
      </c>
      <c r="C317" s="60" t="s">
        <v>1470</v>
      </c>
      <c r="D317" s="12"/>
      <c r="E317" s="13" t="s">
        <v>184</v>
      </c>
      <c r="F317" s="6" t="s">
        <v>2229</v>
      </c>
      <c r="G317" s="14" t="str">
        <f ca="1">IFERROR(__xludf.DUMMYFUNCTION("CONCATENATE(B317,(VLOOKUP(C317,CATALOGOS!$F$2:$H$6,3,FALSE)),(VLOOKUP(V317,CATALOGOS!$J$2:$K$18,2,FALSE)),""-"",TO_TEXT(A317))"),"P02PP-0316")</f>
        <v>P02PP-0316</v>
      </c>
      <c r="H317" s="15" t="str">
        <f ca="1">IFERROR(__xludf.DUMMYFUNCTION("CONCATENATE($B317,(VLOOKUP($C317,CATALOGOS!$F$2:$H$6,3,FALSE)),(VLOOKUP($V317,CATALOGOS!$J$2:$K$18,2,FALSE)),""-"",TO_TEXT($A317))"),"P02PP-0316")</f>
        <v>P02PP-0316</v>
      </c>
      <c r="I317" s="6"/>
      <c r="J317" s="6" t="s">
        <v>2230</v>
      </c>
      <c r="K317" s="6" t="s">
        <v>2231</v>
      </c>
      <c r="L317" s="6" t="s">
        <v>2232</v>
      </c>
      <c r="M317" s="6" t="s">
        <v>2233</v>
      </c>
      <c r="N317" s="17"/>
      <c r="O317" s="17"/>
      <c r="P317" s="17" t="str">
        <f t="shared" si="6"/>
        <v>OK</v>
      </c>
      <c r="Q317" s="17" t="s">
        <v>35</v>
      </c>
      <c r="R317" s="6" t="s">
        <v>35</v>
      </c>
      <c r="S317" s="17" t="s">
        <v>36</v>
      </c>
      <c r="T317" s="17" t="s">
        <v>2234</v>
      </c>
      <c r="U317" s="18" t="s">
        <v>38</v>
      </c>
      <c r="V317" s="19" t="s">
        <v>1548</v>
      </c>
      <c r="W317" s="20" t="s">
        <v>2052</v>
      </c>
      <c r="X317" s="39" t="s">
        <v>2052</v>
      </c>
      <c r="Y317" s="20"/>
      <c r="Z317" s="7"/>
      <c r="AA317" s="7"/>
      <c r="AB317" s="23"/>
      <c r="AC317" s="26"/>
    </row>
    <row r="318" spans="1:29" ht="15.75" customHeight="1">
      <c r="A318" s="10" t="s">
        <v>2235</v>
      </c>
      <c r="B318" s="10" t="s">
        <v>27</v>
      </c>
      <c r="C318" s="60" t="s">
        <v>1470</v>
      </c>
      <c r="D318" s="12"/>
      <c r="E318" s="13" t="s">
        <v>151</v>
      </c>
      <c r="F318" s="6" t="s">
        <v>2236</v>
      </c>
      <c r="G318" s="14" t="str">
        <f ca="1">IFERROR(__xludf.DUMMYFUNCTION("CONCATENATE(B318,(VLOOKUP(C318,CATALOGOS!$F$2:$H$6,3,FALSE)),(VLOOKUP(V318,CATALOGOS!$J$2:$K$18,2,FALSE)),""-"",TO_TEXT(A318))"),"P02PP-0317")</f>
        <v>P02PP-0317</v>
      </c>
      <c r="H318" s="15" t="str">
        <f ca="1">IFERROR(__xludf.DUMMYFUNCTION("CONCATENATE($B318,(VLOOKUP($C318,CATALOGOS!$F$2:$H$6,3,FALSE)),(VLOOKUP($V318,CATALOGOS!$J$2:$K$18,2,FALSE)),""-"",TO_TEXT($A318))"),"P02PP-0317")</f>
        <v>P02PP-0317</v>
      </c>
      <c r="I318" s="6"/>
      <c r="J318" s="6" t="s">
        <v>2237</v>
      </c>
      <c r="K318" s="6" t="s">
        <v>2238</v>
      </c>
      <c r="L318" s="6" t="s">
        <v>2239</v>
      </c>
      <c r="M318" s="6" t="s">
        <v>2240</v>
      </c>
      <c r="N318" s="17"/>
      <c r="O318" s="17"/>
      <c r="P318" s="17" t="str">
        <f t="shared" si="6"/>
        <v>OK</v>
      </c>
      <c r="Q318" s="17" t="s">
        <v>703</v>
      </c>
      <c r="R318" s="6" t="s">
        <v>2241</v>
      </c>
      <c r="S318" s="17" t="s">
        <v>2242</v>
      </c>
      <c r="T318" s="10" t="s">
        <v>2243</v>
      </c>
      <c r="U318" s="18" t="s">
        <v>38</v>
      </c>
      <c r="V318" s="19" t="s">
        <v>1548</v>
      </c>
      <c r="W318" s="20" t="s">
        <v>2052</v>
      </c>
      <c r="X318" s="39" t="s">
        <v>2052</v>
      </c>
      <c r="Y318" s="20"/>
      <c r="Z318" s="7"/>
      <c r="AA318" s="7"/>
      <c r="AB318" s="23"/>
      <c r="AC318" s="26"/>
    </row>
    <row r="319" spans="1:29" ht="15.75" customHeight="1">
      <c r="A319" s="10" t="s">
        <v>2244</v>
      </c>
      <c r="B319" s="10" t="s">
        <v>27</v>
      </c>
      <c r="C319" s="60" t="s">
        <v>1470</v>
      </c>
      <c r="D319" s="12"/>
      <c r="E319" s="13" t="s">
        <v>199</v>
      </c>
      <c r="F319" s="6" t="s">
        <v>199</v>
      </c>
      <c r="G319" s="14" t="str">
        <f ca="1">IFERROR(__xludf.DUMMYFUNCTION("CONCATENATE(B319,(VLOOKUP(C319,CATALOGOS!$F$2:$H$6,3,FALSE)),(VLOOKUP(V319,CATALOGOS!$J$2:$K$18,2,FALSE)),""-"",TO_TEXT(A319))"),"P02PP-0318")</f>
        <v>P02PP-0318</v>
      </c>
      <c r="H319" s="15" t="str">
        <f ca="1">IFERROR(__xludf.DUMMYFUNCTION("CONCATENATE($B319,(VLOOKUP($C319,CATALOGOS!$F$2:$H$6,3,FALSE)),(VLOOKUP($V319,CATALOGOS!$J$2:$K$18,2,FALSE)),""-"",TO_TEXT($A319))"),"P02PP-0318")</f>
        <v>P02PP-0318</v>
      </c>
      <c r="I319" s="6"/>
      <c r="J319" s="6" t="s">
        <v>2245</v>
      </c>
      <c r="K319" s="6" t="s">
        <v>2246</v>
      </c>
      <c r="L319" s="6" t="s">
        <v>2247</v>
      </c>
      <c r="M319" s="6" t="s">
        <v>2248</v>
      </c>
      <c r="N319" s="17"/>
      <c r="O319" s="17"/>
      <c r="P319" s="17" t="str">
        <f t="shared" si="6"/>
        <v>OK</v>
      </c>
      <c r="Q319" s="17" t="s">
        <v>205</v>
      </c>
      <c r="R319" s="6" t="s">
        <v>794</v>
      </c>
      <c r="S319" s="17" t="s">
        <v>2249</v>
      </c>
      <c r="T319" s="17" t="s">
        <v>2250</v>
      </c>
      <c r="U319" s="18" t="s">
        <v>517</v>
      </c>
      <c r="V319" s="19" t="s">
        <v>1548</v>
      </c>
      <c r="W319" s="20" t="s">
        <v>2052</v>
      </c>
      <c r="X319" s="39" t="s">
        <v>2052</v>
      </c>
      <c r="Y319" s="20"/>
      <c r="Z319" s="7"/>
      <c r="AA319" s="7"/>
      <c r="AB319" s="23"/>
      <c r="AC319" s="26"/>
    </row>
    <row r="320" spans="1:29" ht="15.75" customHeight="1">
      <c r="A320" s="10" t="s">
        <v>2251</v>
      </c>
      <c r="B320" s="10" t="s">
        <v>27</v>
      </c>
      <c r="C320" s="60" t="s">
        <v>1470</v>
      </c>
      <c r="D320" s="12"/>
      <c r="E320" s="13" t="s">
        <v>43</v>
      </c>
      <c r="F320" s="6" t="s">
        <v>1688</v>
      </c>
      <c r="G320" s="14" t="str">
        <f ca="1">IFERROR(__xludf.DUMMYFUNCTION("CONCATENATE(B320,(VLOOKUP(C320,CATALOGOS!$F$2:$H$6,3,FALSE)),(VLOOKUP(V320,CATALOGOS!$J$2:$K$18,2,FALSE)),""-"",TO_TEXT(A320))"),"P02PP-0319")</f>
        <v>P02PP-0319</v>
      </c>
      <c r="H320" s="15" t="str">
        <f ca="1">IFERROR(__xludf.DUMMYFUNCTION("CONCATENATE($B320,(VLOOKUP($C320,CATALOGOS!$F$2:$H$6,3,FALSE)),(VLOOKUP($V320,CATALOGOS!$J$2:$K$18,2,FALSE)),""-"",TO_TEXT($A320))"),"P02PP-0319")</f>
        <v>P02PP-0319</v>
      </c>
      <c r="I320" s="6"/>
      <c r="J320" s="6" t="s">
        <v>2252</v>
      </c>
      <c r="K320" s="6" t="s">
        <v>2253</v>
      </c>
      <c r="L320" s="6" t="s">
        <v>2254</v>
      </c>
      <c r="M320" s="6" t="s">
        <v>2255</v>
      </c>
      <c r="N320" s="17"/>
      <c r="O320" s="17"/>
      <c r="P320" s="17" t="str">
        <f t="shared" si="6"/>
        <v>OK</v>
      </c>
      <c r="Q320" s="17" t="s">
        <v>49</v>
      </c>
      <c r="R320" s="6" t="s">
        <v>1989</v>
      </c>
      <c r="S320" s="17" t="s">
        <v>36</v>
      </c>
      <c r="T320" s="10" t="s">
        <v>2256</v>
      </c>
      <c r="U320" s="18" t="s">
        <v>517</v>
      </c>
      <c r="V320" s="19" t="s">
        <v>1548</v>
      </c>
      <c r="W320" s="20" t="s">
        <v>2052</v>
      </c>
      <c r="X320" s="39" t="s">
        <v>2052</v>
      </c>
      <c r="Y320" s="20"/>
      <c r="Z320" s="7"/>
      <c r="AA320" s="7"/>
      <c r="AB320" s="23"/>
      <c r="AC320" s="26"/>
    </row>
    <row r="321" spans="1:29" ht="15.75" customHeight="1">
      <c r="A321" s="10" t="s">
        <v>2257</v>
      </c>
      <c r="B321" s="10" t="s">
        <v>27</v>
      </c>
      <c r="C321" s="60" t="s">
        <v>1470</v>
      </c>
      <c r="D321" s="12"/>
      <c r="E321" s="13" t="s">
        <v>378</v>
      </c>
      <c r="F321" s="6" t="s">
        <v>2258</v>
      </c>
      <c r="G321" s="14" t="str">
        <f ca="1">IFERROR(__xludf.DUMMYFUNCTION("CONCATENATE(B321,(VLOOKUP(C321,CATALOGOS!$F$2:$H$6,3,FALSE)),(VLOOKUP(V321,CATALOGOS!$J$2:$K$18,2,FALSE)),""-"",TO_TEXT(A321))"),"P02PP-0320")</f>
        <v>P02PP-0320</v>
      </c>
      <c r="H321" s="15" t="str">
        <f ca="1">IFERROR(__xludf.DUMMYFUNCTION("CONCATENATE($B321,(VLOOKUP($C321,CATALOGOS!$F$2:$H$6,3,FALSE)),(VLOOKUP($V321,CATALOGOS!$J$2:$K$18,2,FALSE)),""-"",TO_TEXT($A321))"),"P02PP-0320")</f>
        <v>P02PP-0320</v>
      </c>
      <c r="I321" s="6"/>
      <c r="J321" s="6" t="s">
        <v>2259</v>
      </c>
      <c r="K321" s="6" t="s">
        <v>2260</v>
      </c>
      <c r="L321" s="36"/>
      <c r="M321" s="6" t="s">
        <v>141</v>
      </c>
      <c r="N321" s="17"/>
      <c r="O321" s="17"/>
      <c r="P321" s="17" t="str">
        <f t="shared" si="6"/>
        <v>REPETIDO</v>
      </c>
      <c r="Q321" s="17" t="s">
        <v>35</v>
      </c>
      <c r="R321" s="6" t="s">
        <v>35</v>
      </c>
      <c r="S321" s="6" t="s">
        <v>36</v>
      </c>
      <c r="T321" s="10" t="s">
        <v>85</v>
      </c>
      <c r="U321" s="18" t="s">
        <v>38</v>
      </c>
      <c r="V321" s="19" t="s">
        <v>1548</v>
      </c>
      <c r="W321" s="20" t="s">
        <v>2052</v>
      </c>
      <c r="X321" s="39" t="s">
        <v>2052</v>
      </c>
      <c r="Y321" s="20"/>
      <c r="Z321" s="6"/>
      <c r="AA321" s="6"/>
      <c r="AB321" s="23"/>
      <c r="AC321" s="33"/>
    </row>
    <row r="322" spans="1:29" ht="15.75" customHeight="1">
      <c r="A322" s="10" t="s">
        <v>2261</v>
      </c>
      <c r="B322" s="10" t="s">
        <v>27</v>
      </c>
      <c r="C322" s="60" t="s">
        <v>1470</v>
      </c>
      <c r="D322" s="12"/>
      <c r="E322" s="13" t="s">
        <v>378</v>
      </c>
      <c r="F322" s="6" t="s">
        <v>2262</v>
      </c>
      <c r="G322" s="14" t="str">
        <f ca="1">IFERROR(__xludf.DUMMYFUNCTION("CONCATENATE(B322,(VLOOKUP(C322,CATALOGOS!$F$2:$H$6,3,FALSE)),(VLOOKUP(V322,CATALOGOS!$J$2:$K$18,2,FALSE)),""-"",TO_TEXT(A322))"),"P02PP-0321")</f>
        <v>P02PP-0321</v>
      </c>
      <c r="H322" s="15" t="str">
        <f ca="1">IFERROR(__xludf.DUMMYFUNCTION("CONCATENATE($B322,(VLOOKUP($C322,CATALOGOS!$F$2:$H$6,3,FALSE)),(VLOOKUP($V322,CATALOGOS!$J$2:$K$18,2,FALSE)),""-"",TO_TEXT($A322))"),"P02PP-0321")</f>
        <v>P02PP-0321</v>
      </c>
      <c r="I322" s="6"/>
      <c r="J322" s="6" t="s">
        <v>2263</v>
      </c>
      <c r="K322" s="6" t="s">
        <v>2264</v>
      </c>
      <c r="L322" s="36"/>
      <c r="M322" s="6" t="s">
        <v>141</v>
      </c>
      <c r="N322" s="17"/>
      <c r="O322" s="17"/>
      <c r="P322" s="17" t="str">
        <f t="shared" si="6"/>
        <v>REPETIDO</v>
      </c>
      <c r="Q322" s="17" t="s">
        <v>35</v>
      </c>
      <c r="R322" s="6" t="s">
        <v>35</v>
      </c>
      <c r="S322" s="6" t="s">
        <v>36</v>
      </c>
      <c r="T322" s="10" t="s">
        <v>85</v>
      </c>
      <c r="U322" s="18" t="s">
        <v>38</v>
      </c>
      <c r="V322" s="19" t="s">
        <v>1548</v>
      </c>
      <c r="W322" s="20" t="s">
        <v>2052</v>
      </c>
      <c r="X322" s="39" t="s">
        <v>2052</v>
      </c>
      <c r="Y322" s="20"/>
      <c r="Z322" s="6"/>
      <c r="AA322" s="6"/>
      <c r="AB322" s="23"/>
      <c r="AC322" s="33"/>
    </row>
    <row r="323" spans="1:29" ht="15.75" customHeight="1">
      <c r="A323" s="10" t="s">
        <v>2265</v>
      </c>
      <c r="B323" s="10" t="s">
        <v>27</v>
      </c>
      <c r="C323" s="60" t="s">
        <v>1470</v>
      </c>
      <c r="D323" s="38"/>
      <c r="E323" s="13" t="s">
        <v>353</v>
      </c>
      <c r="F323" s="6" t="s">
        <v>638</v>
      </c>
      <c r="G323" s="14" t="str">
        <f ca="1">IFERROR(__xludf.DUMMYFUNCTION("CONCATENATE(B323,(VLOOKUP(C323,CATALOGOS!$F$2:$H$6,3,FALSE)),(VLOOKUP(V323,CATALOGOS!$J$2:$K$18,2,FALSE)),""-"",TO_TEXT(A323))"),"P02PP-0322")</f>
        <v>P02PP-0322</v>
      </c>
      <c r="H323" s="15" t="str">
        <f ca="1">IFERROR(__xludf.DUMMYFUNCTION("CONCATENATE($B323,(VLOOKUP($C323,CATALOGOS!$F$2:$H$6,3,FALSE)),(VLOOKUP($V323,CATALOGOS!$J$2:$K$18,2,FALSE)),""-"",TO_TEXT($A323))"),"P02PP-0322")</f>
        <v>P02PP-0322</v>
      </c>
      <c r="I323" s="6"/>
      <c r="J323" s="6" t="s">
        <v>2266</v>
      </c>
      <c r="K323" s="6" t="s">
        <v>2267</v>
      </c>
      <c r="L323" s="6" t="s">
        <v>2268</v>
      </c>
      <c r="M323" s="6" t="s">
        <v>2269</v>
      </c>
      <c r="N323" s="17"/>
      <c r="O323" s="17"/>
      <c r="P323" s="17" t="str">
        <f t="shared" si="6"/>
        <v>OK</v>
      </c>
      <c r="Q323" s="17" t="s">
        <v>359</v>
      </c>
      <c r="R323" s="6" t="s">
        <v>938</v>
      </c>
      <c r="S323" s="46" t="s">
        <v>2270</v>
      </c>
      <c r="T323" s="32" t="s">
        <v>2271</v>
      </c>
      <c r="U323" s="18" t="s">
        <v>38</v>
      </c>
      <c r="V323" s="19" t="s">
        <v>1548</v>
      </c>
      <c r="W323" s="20" t="s">
        <v>2052</v>
      </c>
      <c r="X323" s="39" t="s">
        <v>2052</v>
      </c>
      <c r="Y323" s="20"/>
      <c r="Z323" s="7"/>
      <c r="AA323" s="7"/>
      <c r="AB323" s="26"/>
      <c r="AC323" s="26"/>
    </row>
    <row r="324" spans="1:29" ht="15.75" customHeight="1">
      <c r="A324" s="10" t="s">
        <v>2272</v>
      </c>
      <c r="B324" s="10" t="s">
        <v>27</v>
      </c>
      <c r="C324" s="60" t="s">
        <v>1470</v>
      </c>
      <c r="D324" s="12"/>
      <c r="E324" s="13" t="s">
        <v>501</v>
      </c>
      <c r="F324" s="6" t="s">
        <v>2273</v>
      </c>
      <c r="G324" s="14" t="str">
        <f ca="1">IFERROR(__xludf.DUMMYFUNCTION("CONCATENATE(B324,(VLOOKUP(C324,CATALOGOS!$F$2:$H$6,3,FALSE)),(VLOOKUP(V324,CATALOGOS!$J$2:$K$18,2,FALSE)),""-"",TO_TEXT(A324))"),"P02PP-0323")</f>
        <v>P02PP-0323</v>
      </c>
      <c r="H324" s="15" t="str">
        <f ca="1">IFERROR(__xludf.DUMMYFUNCTION("CONCATENATE($B324,(VLOOKUP($C324,CATALOGOS!$F$2:$H$6,3,FALSE)),(VLOOKUP($V324,CATALOGOS!$J$2:$K$18,2,FALSE)),""-"",TO_TEXT($A324))"),"P02PP-0323")</f>
        <v>P02PP-0323</v>
      </c>
      <c r="I324" s="6"/>
      <c r="J324" s="6" t="s">
        <v>2274</v>
      </c>
      <c r="K324" s="6" t="s">
        <v>2275</v>
      </c>
      <c r="L324" s="36"/>
      <c r="M324" s="6" t="s">
        <v>141</v>
      </c>
      <c r="N324" s="17"/>
      <c r="O324" s="17"/>
      <c r="P324" s="17" t="str">
        <f t="shared" si="6"/>
        <v>REPETIDO</v>
      </c>
      <c r="Q324" s="17" t="s">
        <v>35</v>
      </c>
      <c r="R324" s="6" t="s">
        <v>35</v>
      </c>
      <c r="S324" s="6" t="s">
        <v>36</v>
      </c>
      <c r="T324" s="10" t="s">
        <v>85</v>
      </c>
      <c r="U324" s="18" t="s">
        <v>38</v>
      </c>
      <c r="V324" s="19" t="s">
        <v>1548</v>
      </c>
      <c r="W324" s="20" t="s">
        <v>1983</v>
      </c>
      <c r="X324" s="21" t="s">
        <v>1983</v>
      </c>
      <c r="Y324" s="22"/>
      <c r="Z324" s="7"/>
      <c r="AA324" s="7"/>
      <c r="AB324" s="23"/>
      <c r="AC324" s="26"/>
    </row>
    <row r="325" spans="1:29" ht="15.75" customHeight="1">
      <c r="A325" s="10" t="s">
        <v>2276</v>
      </c>
      <c r="B325" s="10" t="s">
        <v>27</v>
      </c>
      <c r="C325" s="60" t="s">
        <v>1470</v>
      </c>
      <c r="D325" s="12"/>
      <c r="E325" s="13" t="s">
        <v>501</v>
      </c>
      <c r="F325" s="6" t="s">
        <v>2277</v>
      </c>
      <c r="G325" s="14" t="str">
        <f ca="1">IFERROR(__xludf.DUMMYFUNCTION("CONCATENATE(B325,(VLOOKUP(C325,CATALOGOS!$F$2:$H$6,3,FALSE)),(VLOOKUP(V325,CATALOGOS!$J$2:$K$18,2,FALSE)),""-"",TO_TEXT(A325))"),"P02PP-0324")</f>
        <v>P02PP-0324</v>
      </c>
      <c r="H325" s="15" t="str">
        <f ca="1">IFERROR(__xludf.DUMMYFUNCTION("CONCATENATE($B325,(VLOOKUP($C325,CATALOGOS!$F$2:$H$6,3,FALSE)),(VLOOKUP($V325,CATALOGOS!$J$2:$K$18,2,FALSE)),""-"",TO_TEXT($A325))"),"P02PP-0324")</f>
        <v>P02PP-0324</v>
      </c>
      <c r="I325" s="6"/>
      <c r="J325" s="6" t="s">
        <v>2278</v>
      </c>
      <c r="K325" s="6" t="s">
        <v>2279</v>
      </c>
      <c r="L325" s="36"/>
      <c r="M325" s="6" t="s">
        <v>141</v>
      </c>
      <c r="N325" s="17"/>
      <c r="O325" s="17"/>
      <c r="P325" s="17" t="str">
        <f t="shared" si="6"/>
        <v>REPETIDO</v>
      </c>
      <c r="Q325" s="17" t="s">
        <v>35</v>
      </c>
      <c r="R325" s="6" t="s">
        <v>35</v>
      </c>
      <c r="S325" s="6" t="s">
        <v>36</v>
      </c>
      <c r="T325" s="10" t="s">
        <v>85</v>
      </c>
      <c r="U325" s="18" t="s">
        <v>38</v>
      </c>
      <c r="V325" s="19" t="s">
        <v>1548</v>
      </c>
      <c r="W325" s="22" t="s">
        <v>1983</v>
      </c>
      <c r="X325" s="21" t="s">
        <v>1983</v>
      </c>
      <c r="Y325" s="22"/>
      <c r="Z325" s="7"/>
      <c r="AA325" s="7"/>
      <c r="AB325" s="23"/>
      <c r="AC325" s="26"/>
    </row>
    <row r="326" spans="1:29" ht="15.75" customHeight="1">
      <c r="A326" s="10" t="s">
        <v>2280</v>
      </c>
      <c r="B326" s="10" t="s">
        <v>27</v>
      </c>
      <c r="C326" s="60" t="s">
        <v>1470</v>
      </c>
      <c r="D326" s="38"/>
      <c r="E326" s="13" t="s">
        <v>501</v>
      </c>
      <c r="F326" s="6" t="s">
        <v>2281</v>
      </c>
      <c r="G326" s="14" t="str">
        <f ca="1">IFERROR(__xludf.DUMMYFUNCTION("CONCATENATE(B326,(VLOOKUP(C326,CATALOGOS!$F$2:$H$6,3,FALSE)),(VLOOKUP(V326,CATALOGOS!$J$2:$K$18,2,FALSE)),""-"",TO_TEXT(A326))"),"P02PP-0325")</f>
        <v>P02PP-0325</v>
      </c>
      <c r="H326" s="15" t="str">
        <f ca="1">IFERROR(__xludf.DUMMYFUNCTION("CONCATENATE($B326,(VLOOKUP($C326,CATALOGOS!$F$2:$H$6,3,FALSE)),(VLOOKUP($V326,CATALOGOS!$J$2:$K$18,2,FALSE)),""-"",TO_TEXT($A326))"),"P02PP-0325")</f>
        <v>P02PP-0325</v>
      </c>
      <c r="I326" s="6"/>
      <c r="J326" s="6" t="s">
        <v>2282</v>
      </c>
      <c r="K326" s="6" t="s">
        <v>2283</v>
      </c>
      <c r="L326" s="36"/>
      <c r="M326" s="6" t="s">
        <v>141</v>
      </c>
      <c r="N326" s="17"/>
      <c r="O326" s="17"/>
      <c r="P326" s="17" t="str">
        <f t="shared" si="6"/>
        <v>REPETIDO</v>
      </c>
      <c r="Q326" s="17" t="s">
        <v>35</v>
      </c>
      <c r="R326" s="6" t="s">
        <v>35</v>
      </c>
      <c r="S326" s="6" t="s">
        <v>36</v>
      </c>
      <c r="T326" s="32" t="s">
        <v>85</v>
      </c>
      <c r="U326" s="18" t="s">
        <v>38</v>
      </c>
      <c r="V326" s="19" t="s">
        <v>1548</v>
      </c>
      <c r="W326" s="20" t="s">
        <v>2052</v>
      </c>
      <c r="X326" s="39" t="s">
        <v>2052</v>
      </c>
      <c r="Y326" s="20"/>
      <c r="Z326" s="7"/>
      <c r="AA326" s="7"/>
      <c r="AB326" s="26"/>
      <c r="AC326" s="26"/>
    </row>
    <row r="327" spans="1:29" ht="15.75" customHeight="1">
      <c r="A327" s="10" t="s">
        <v>2284</v>
      </c>
      <c r="B327" s="10" t="s">
        <v>1469</v>
      </c>
      <c r="C327" s="60" t="s">
        <v>1470</v>
      </c>
      <c r="D327" s="12"/>
      <c r="E327" s="13" t="s">
        <v>501</v>
      </c>
      <c r="F327" s="6" t="s">
        <v>2285</v>
      </c>
      <c r="G327" s="14" t="str">
        <f ca="1">IFERROR(__xludf.DUMMYFUNCTION("CONCATENATE(B327,(VLOOKUP(C327,CATALOGOS!$F$2:$H$6,3,FALSE)),(VLOOKUP(V327,CATALOGOS!$J$2:$K$18,2,FALSE)),""-"",TO_TEXT(A327))"),"P12SI-0326")</f>
        <v>P12SI-0326</v>
      </c>
      <c r="H327" s="15" t="str">
        <f ca="1">IFERROR(__xludf.DUMMYFUNCTION("CONCATENATE($B327,(VLOOKUP($C327,CATALOGOS!$F$2:$H$6,3,FALSE)),(VLOOKUP($V327,CATALOGOS!$J$2:$K$18,2,FALSE)),""-"",TO_TEXT($A327))"),"P12SI-0326")</f>
        <v>P12SI-0326</v>
      </c>
      <c r="I327" s="6"/>
      <c r="J327" s="6" t="s">
        <v>2286</v>
      </c>
      <c r="K327" s="6" t="s">
        <v>2287</v>
      </c>
      <c r="L327" s="6" t="s">
        <v>2288</v>
      </c>
      <c r="M327" s="6" t="s">
        <v>2289</v>
      </c>
      <c r="N327" s="17"/>
      <c r="O327" s="17"/>
      <c r="P327" s="17" t="str">
        <f t="shared" si="6"/>
        <v>OK</v>
      </c>
      <c r="Q327" s="17" t="s">
        <v>35</v>
      </c>
      <c r="R327" s="6" t="s">
        <v>35</v>
      </c>
      <c r="S327" s="17" t="s">
        <v>36</v>
      </c>
      <c r="T327" s="17" t="s">
        <v>2290</v>
      </c>
      <c r="U327" s="18" t="s">
        <v>38</v>
      </c>
      <c r="V327" s="61" t="s">
        <v>1483</v>
      </c>
      <c r="W327" s="20" t="s">
        <v>1484</v>
      </c>
      <c r="X327" s="39" t="s">
        <v>1484</v>
      </c>
      <c r="Y327" s="20"/>
      <c r="Z327" s="7"/>
      <c r="AA327" s="7"/>
      <c r="AB327" s="23"/>
      <c r="AC327" s="26"/>
    </row>
    <row r="328" spans="1:29" ht="15.75" customHeight="1">
      <c r="A328" s="10" t="s">
        <v>2291</v>
      </c>
      <c r="B328" s="10" t="s">
        <v>1469</v>
      </c>
      <c r="C328" s="60" t="s">
        <v>1470</v>
      </c>
      <c r="D328" s="12"/>
      <c r="E328" s="13" t="s">
        <v>116</v>
      </c>
      <c r="F328" s="43" t="s">
        <v>2292</v>
      </c>
      <c r="G328" s="14" t="str">
        <f ca="1">IFERROR(__xludf.DUMMYFUNCTION("CONCATENATE(B328,(VLOOKUP(C328,CATALOGOS!$F$2:$H$6,3,FALSE)),(VLOOKUP(V328,CATALOGOS!$J$2:$K$18,2,FALSE)),""-"",TO_TEXT(A328))"),"P12SI-0327")</f>
        <v>P12SI-0327</v>
      </c>
      <c r="H328" s="15" t="str">
        <f ca="1">IFERROR(__xludf.DUMMYFUNCTION("CONCATENATE($B328,(VLOOKUP($C328,CATALOGOS!$F$2:$H$6,3,FALSE)),(VLOOKUP($V328,CATALOGOS!$J$2:$K$18,2,FALSE)),""-"",TO_TEXT($A328))"),"P12SI-0327")</f>
        <v>P12SI-0327</v>
      </c>
      <c r="I328" s="6"/>
      <c r="J328" s="6" t="s">
        <v>2293</v>
      </c>
      <c r="K328" s="6" t="s">
        <v>2294</v>
      </c>
      <c r="L328" s="6" t="s">
        <v>2295</v>
      </c>
      <c r="M328" s="6" t="s">
        <v>2296</v>
      </c>
      <c r="N328" s="17"/>
      <c r="O328" s="17"/>
      <c r="P328" s="17" t="str">
        <f t="shared" si="6"/>
        <v>OK</v>
      </c>
      <c r="Q328" s="17" t="s">
        <v>35</v>
      </c>
      <c r="R328" s="6" t="s">
        <v>35</v>
      </c>
      <c r="S328" s="17" t="s">
        <v>36</v>
      </c>
      <c r="T328" s="17" t="s">
        <v>2297</v>
      </c>
      <c r="U328" s="18" t="s">
        <v>38</v>
      </c>
      <c r="V328" s="61" t="s">
        <v>1483</v>
      </c>
      <c r="W328" s="20" t="s">
        <v>1484</v>
      </c>
      <c r="X328" s="39" t="s">
        <v>1484</v>
      </c>
      <c r="Y328" s="20"/>
      <c r="Z328" s="6"/>
      <c r="AA328" s="6"/>
      <c r="AB328" s="23"/>
      <c r="AC328" s="24"/>
    </row>
    <row r="329" spans="1:29" ht="15.75" customHeight="1">
      <c r="A329" s="10" t="s">
        <v>2298</v>
      </c>
      <c r="B329" s="10" t="s">
        <v>27</v>
      </c>
      <c r="C329" s="63" t="s">
        <v>28</v>
      </c>
      <c r="D329" s="12"/>
      <c r="E329" s="13" t="s">
        <v>2299</v>
      </c>
      <c r="F329" s="43" t="s">
        <v>2300</v>
      </c>
      <c r="G329" s="14" t="str">
        <f ca="1">IFERROR(__xludf.DUMMYFUNCTION("CONCATENATE(B329,(VLOOKUP(C329,CATALOGOS!$F$2:$H$6,3,FALSE)),(VLOOKUP(V329,CATALOGOS!$J$2:$K$18,2,FALSE)),""-"",TO_TEXT(A329))"),"P05RM-0328")</f>
        <v>P05RM-0328</v>
      </c>
      <c r="H329" s="64" t="str">
        <f ca="1">IFERROR(__xludf.DUMMYFUNCTION("CONCATENATE($B329,(VLOOKUP($C329,CATALOGOS!$F$2:$H$6,3,FALSE)),(VLOOKUP($V329,CATALOGOS!$J$2:$K$18,2,FALSE)),""-"",TO_TEXT($A329))"),"P05RM-0328")</f>
        <v>P05RM-0328</v>
      </c>
      <c r="I329" s="6"/>
      <c r="J329" s="6" t="s">
        <v>2301</v>
      </c>
      <c r="K329" s="6" t="s">
        <v>2302</v>
      </c>
      <c r="L329" s="6" t="s">
        <v>2303</v>
      </c>
      <c r="M329" s="6" t="s">
        <v>2304</v>
      </c>
      <c r="N329" s="17"/>
      <c r="O329" s="17"/>
      <c r="P329" s="17" t="str">
        <f t="shared" si="6"/>
        <v>OK</v>
      </c>
      <c r="Q329" s="17" t="s">
        <v>2305</v>
      </c>
      <c r="R329" s="6" t="s">
        <v>2306</v>
      </c>
      <c r="S329" s="17" t="s">
        <v>2307</v>
      </c>
      <c r="T329" s="17" t="s">
        <v>2308</v>
      </c>
      <c r="U329" s="18" t="s">
        <v>2309</v>
      </c>
      <c r="V329" s="61" t="s">
        <v>147</v>
      </c>
      <c r="W329" s="20" t="s">
        <v>385</v>
      </c>
      <c r="X329" s="39" t="s">
        <v>1484</v>
      </c>
      <c r="Y329" s="20"/>
      <c r="Z329" s="6"/>
      <c r="AA329" s="6"/>
      <c r="AB329" s="23"/>
      <c r="AC329" s="24"/>
    </row>
    <row r="330" spans="1:29" ht="15.75" customHeight="1">
      <c r="A330" s="10" t="s">
        <v>2310</v>
      </c>
      <c r="B330" s="10" t="s">
        <v>1469</v>
      </c>
      <c r="C330" s="60" t="s">
        <v>1470</v>
      </c>
      <c r="D330" s="12"/>
      <c r="E330" s="13" t="s">
        <v>2311</v>
      </c>
      <c r="F330" s="43" t="s">
        <v>2312</v>
      </c>
      <c r="G330" s="14" t="str">
        <f ca="1">IFERROR(__xludf.DUMMYFUNCTION("CONCATENATE(B330,(VLOOKUP(C330,CATALOGOS!$F$2:$H$6,3,FALSE)),(VLOOKUP(V330,CATALOGOS!$J$2:$K$18,2,FALSE)),""-"",TO_TEXT(A330))"),"P12SI-0329")</f>
        <v>P12SI-0329</v>
      </c>
      <c r="H330" s="15" t="str">
        <f ca="1">IFERROR(__xludf.DUMMYFUNCTION("CONCATENATE($B330,(VLOOKUP($C330,CATALOGOS!$F$2:$H$6,3,FALSE)),(VLOOKUP($V330,CATALOGOS!$J$2:$K$18,2,FALSE)),""-"",TO_TEXT($A330))"),"P12SI-0329")</f>
        <v>P12SI-0329</v>
      </c>
      <c r="I330" s="6"/>
      <c r="J330" s="6" t="s">
        <v>2313</v>
      </c>
      <c r="K330" s="6" t="s">
        <v>2314</v>
      </c>
      <c r="L330" s="6" t="s">
        <v>2315</v>
      </c>
      <c r="M330" s="6" t="s">
        <v>2316</v>
      </c>
      <c r="N330" s="17"/>
      <c r="O330" s="17"/>
      <c r="P330" s="17" t="str">
        <f t="shared" si="6"/>
        <v>OK</v>
      </c>
      <c r="Q330" s="17" t="s">
        <v>2317</v>
      </c>
      <c r="R330" s="6" t="s">
        <v>2318</v>
      </c>
      <c r="S330" s="17" t="s">
        <v>2319</v>
      </c>
      <c r="T330" s="17" t="s">
        <v>2320</v>
      </c>
      <c r="U330" s="18" t="s">
        <v>38</v>
      </c>
      <c r="V330" s="61" t="s">
        <v>1483</v>
      </c>
      <c r="W330" s="20" t="s">
        <v>1484</v>
      </c>
      <c r="X330" s="39" t="s">
        <v>1484</v>
      </c>
      <c r="Y330" s="20"/>
      <c r="Z330" s="6"/>
      <c r="AA330" s="6"/>
      <c r="AB330" s="23"/>
      <c r="AC330" s="24"/>
    </row>
    <row r="331" spans="1:29" ht="15.75" customHeight="1">
      <c r="A331" s="10" t="s">
        <v>2321</v>
      </c>
      <c r="B331" s="10" t="s">
        <v>1469</v>
      </c>
      <c r="C331" s="63" t="s">
        <v>868</v>
      </c>
      <c r="D331" s="12"/>
      <c r="E331" s="13" t="s">
        <v>93</v>
      </c>
      <c r="F331" s="6" t="s">
        <v>2322</v>
      </c>
      <c r="G331" s="14" t="str">
        <f ca="1">IFERROR(__xludf.DUMMYFUNCTION("CONCATENATE(B331,(VLOOKUP(C331,CATALOGOS!$F$2:$H$6,3,FALSE)),(VLOOKUP(V331,CATALOGOS!$J$2:$K$18,2,FALSE)),""-"",TO_TEXT(A331))"),"P13LP-0330")</f>
        <v>P13LP-0330</v>
      </c>
      <c r="H331" s="15" t="str">
        <f ca="1">IFERROR(__xludf.DUMMYFUNCTION("CONCATENATE($B331,(VLOOKUP($C331,CATALOGOS!$F$2:$H$6,3,FALSE)),(VLOOKUP($V331,CATALOGOS!$J$2:$K$18,2,FALSE)),""-"",TO_TEXT($A331))"),"P13LP-0330")</f>
        <v>P13LP-0330</v>
      </c>
      <c r="I331" s="6"/>
      <c r="J331" s="6" t="s">
        <v>2323</v>
      </c>
      <c r="K331" s="6" t="s">
        <v>2324</v>
      </c>
      <c r="L331" s="6" t="s">
        <v>2325</v>
      </c>
      <c r="M331" s="6" t="s">
        <v>2326</v>
      </c>
      <c r="N331" s="17"/>
      <c r="O331" s="17"/>
      <c r="P331" s="17" t="str">
        <f t="shared" si="6"/>
        <v>OK</v>
      </c>
      <c r="Q331" s="17" t="s">
        <v>35</v>
      </c>
      <c r="R331" s="6" t="s">
        <v>35</v>
      </c>
      <c r="S331" s="17" t="s">
        <v>36</v>
      </c>
      <c r="T331" s="17" t="s">
        <v>2327</v>
      </c>
      <c r="U331" s="18" t="s">
        <v>38</v>
      </c>
      <c r="V331" s="61" t="s">
        <v>2328</v>
      </c>
      <c r="W331" s="20" t="s">
        <v>2329</v>
      </c>
      <c r="X331" s="39" t="s">
        <v>1484</v>
      </c>
      <c r="Y331" s="20"/>
      <c r="Z331" s="6"/>
      <c r="AA331" s="6"/>
      <c r="AB331" s="23"/>
      <c r="AC331" s="24"/>
    </row>
    <row r="332" spans="1:29" ht="15.75" customHeight="1">
      <c r="A332" s="10" t="s">
        <v>2330</v>
      </c>
      <c r="B332" s="10" t="s">
        <v>1469</v>
      </c>
      <c r="C332" s="60" t="s">
        <v>1470</v>
      </c>
      <c r="D332" s="12"/>
      <c r="E332" s="13" t="s">
        <v>93</v>
      </c>
      <c r="F332" s="6" t="s">
        <v>2331</v>
      </c>
      <c r="G332" s="6" t="str">
        <f ca="1">IFERROR(__xludf.DUMMYFUNCTION("CONCATENATE(B332,(VLOOKUP(C332,CATALOGOS!$F$2:$H$6,3,FALSE)),(VLOOKUP(V332,CATALOGOS!$J$2:$K$18,2,FALSE)),""-"",TO_TEXT(A332))"),"P12SI-0331")</f>
        <v>P12SI-0331</v>
      </c>
      <c r="H332" s="15" t="str">
        <f ca="1">IFERROR(__xludf.DUMMYFUNCTION("CONCATENATE($B332,(VLOOKUP($C332,CATALOGOS!$F$2:$H$6,3,FALSE)),(VLOOKUP($V332,CATALOGOS!$J$2:$K$18,2,FALSE)),""-"",TO_TEXT($A332))"),"P12SI-0331")</f>
        <v>P12SI-0331</v>
      </c>
      <c r="I332" s="6"/>
      <c r="J332" s="6" t="s">
        <v>2332</v>
      </c>
      <c r="K332" s="6" t="s">
        <v>2333</v>
      </c>
      <c r="L332" s="6" t="s">
        <v>2334</v>
      </c>
      <c r="M332" s="6" t="s">
        <v>2335</v>
      </c>
      <c r="N332" s="17"/>
      <c r="O332" s="17"/>
      <c r="P332" s="17" t="str">
        <f t="shared" si="6"/>
        <v>OK</v>
      </c>
      <c r="Q332" s="17" t="s">
        <v>35</v>
      </c>
      <c r="R332" s="6" t="s">
        <v>35</v>
      </c>
      <c r="S332" s="17" t="s">
        <v>36</v>
      </c>
      <c r="T332" s="17" t="s">
        <v>2336</v>
      </c>
      <c r="U332" s="18" t="s">
        <v>38</v>
      </c>
      <c r="V332" s="61" t="s">
        <v>1483</v>
      </c>
      <c r="W332" s="20" t="s">
        <v>2337</v>
      </c>
      <c r="X332" s="39" t="s">
        <v>1484</v>
      </c>
      <c r="Y332" s="20"/>
      <c r="Z332" s="7"/>
      <c r="AA332" s="7"/>
      <c r="AB332" s="23"/>
      <c r="AC332" s="26"/>
    </row>
    <row r="333" spans="1:29" ht="15.75" customHeight="1">
      <c r="A333" s="10" t="s">
        <v>2338</v>
      </c>
      <c r="B333" s="10" t="s">
        <v>1469</v>
      </c>
      <c r="C333" s="60" t="s">
        <v>1470</v>
      </c>
      <c r="D333" s="12"/>
      <c r="E333" s="13" t="s">
        <v>248</v>
      </c>
      <c r="F333" s="6" t="s">
        <v>249</v>
      </c>
      <c r="G333" s="6" t="str">
        <f ca="1">IFERROR(__xludf.DUMMYFUNCTION("CONCATENATE(B333,(VLOOKUP(C333,CATALOGOS!$F$2:$H$6,3,FALSE)),(VLOOKUP(V333,CATALOGOS!$J$2:$K$18,2,FALSE)),""-"",TO_TEXT(A333))"),"P12SI-0332")</f>
        <v>P12SI-0332</v>
      </c>
      <c r="H333" s="15" t="str">
        <f ca="1">IFERROR(__xludf.DUMMYFUNCTION("CONCATENATE($B333,(VLOOKUP($C333,CATALOGOS!$F$2:$H$6,3,FALSE)),(VLOOKUP($V333,CATALOGOS!$J$2:$K$18,2,FALSE)),""-"",TO_TEXT($A333))"),"P12SI-0332")</f>
        <v>P12SI-0332</v>
      </c>
      <c r="I333" s="6"/>
      <c r="J333" s="6" t="s">
        <v>2339</v>
      </c>
      <c r="K333" s="6" t="s">
        <v>2340</v>
      </c>
      <c r="L333" s="36"/>
      <c r="M333" s="6" t="s">
        <v>141</v>
      </c>
      <c r="N333" s="17"/>
      <c r="O333" s="17"/>
      <c r="P333" s="17" t="str">
        <f t="shared" si="6"/>
        <v>REPETIDO</v>
      </c>
      <c r="Q333" s="17" t="s">
        <v>827</v>
      </c>
      <c r="R333" s="6" t="s">
        <v>828</v>
      </c>
      <c r="S333" s="6" t="s">
        <v>2341</v>
      </c>
      <c r="T333" s="10" t="s">
        <v>85</v>
      </c>
      <c r="U333" s="18" t="s">
        <v>38</v>
      </c>
      <c r="V333" s="61" t="s">
        <v>1483</v>
      </c>
      <c r="W333" s="20" t="s">
        <v>1484</v>
      </c>
      <c r="X333" s="39" t="s">
        <v>1484</v>
      </c>
      <c r="Y333" s="20"/>
      <c r="Z333" s="6"/>
      <c r="AA333" s="6"/>
      <c r="AB333" s="23"/>
      <c r="AC333" s="33"/>
    </row>
    <row r="334" spans="1:29" ht="15.75" customHeight="1">
      <c r="A334" s="10" t="s">
        <v>2342</v>
      </c>
      <c r="B334" s="10" t="s">
        <v>1469</v>
      </c>
      <c r="C334" s="60" t="s">
        <v>1470</v>
      </c>
      <c r="D334" s="12"/>
      <c r="E334" s="13" t="s">
        <v>248</v>
      </c>
      <c r="F334" s="43" t="s">
        <v>248</v>
      </c>
      <c r="G334" s="6" t="str">
        <f ca="1">IFERROR(__xludf.DUMMYFUNCTION("CONCATENATE(B334,(VLOOKUP(C334,CATALOGOS!$F$2:$H$6,3,FALSE)),(VLOOKUP(V334,CATALOGOS!$J$2:$K$18,2,FALSE)),""-"",TO_TEXT(A334))"),"P12SI-0333")</f>
        <v>P12SI-0333</v>
      </c>
      <c r="H334" s="15" t="str">
        <f ca="1">IFERROR(__xludf.DUMMYFUNCTION("CONCATENATE($B334,(VLOOKUP($C334,CATALOGOS!$F$2:$H$6,3,FALSE)),(VLOOKUP($V334,CATALOGOS!$J$2:$K$18,2,FALSE)),""-"",TO_TEXT($A334))"),"P12SI-0333")</f>
        <v>P12SI-0333</v>
      </c>
      <c r="I334" s="6"/>
      <c r="J334" s="6" t="s">
        <v>2343</v>
      </c>
      <c r="K334" s="6" t="s">
        <v>2344</v>
      </c>
      <c r="L334" s="6" t="s">
        <v>2345</v>
      </c>
      <c r="M334" s="6" t="s">
        <v>2346</v>
      </c>
      <c r="N334" s="17"/>
      <c r="O334" s="17"/>
      <c r="P334" s="17" t="str">
        <f t="shared" si="6"/>
        <v>OK</v>
      </c>
      <c r="Q334" s="17" t="s">
        <v>250</v>
      </c>
      <c r="R334" s="6" t="s">
        <v>2347</v>
      </c>
      <c r="S334" s="17" t="s">
        <v>2348</v>
      </c>
      <c r="T334" s="17" t="s">
        <v>2349</v>
      </c>
      <c r="U334" s="18" t="s">
        <v>38</v>
      </c>
      <c r="V334" s="61" t="s">
        <v>1483</v>
      </c>
      <c r="W334" s="20" t="s">
        <v>1484</v>
      </c>
      <c r="X334" s="39" t="s">
        <v>1484</v>
      </c>
      <c r="Y334" s="20"/>
      <c r="Z334" s="7"/>
      <c r="AA334" s="7"/>
      <c r="AB334" s="23"/>
      <c r="AC334" s="26"/>
    </row>
    <row r="335" spans="1:29" ht="15.75" customHeight="1">
      <c r="A335" s="10" t="s">
        <v>2350</v>
      </c>
      <c r="B335" s="10" t="s">
        <v>1469</v>
      </c>
      <c r="C335" s="60" t="s">
        <v>1470</v>
      </c>
      <c r="D335" s="12"/>
      <c r="E335" s="13" t="s">
        <v>2351</v>
      </c>
      <c r="F335" s="43" t="s">
        <v>2352</v>
      </c>
      <c r="G335" s="6" t="str">
        <f ca="1">IFERROR(__xludf.DUMMYFUNCTION("CONCATENATE(B335,(VLOOKUP(C335,CATALOGOS!$F$2:$H$6,3,FALSE)),(VLOOKUP(V335,CATALOGOS!$J$2:$K$18,2,FALSE)),""-"",TO_TEXT(A335))"),"P12SI-0334")</f>
        <v>P12SI-0334</v>
      </c>
      <c r="H335" s="15" t="str">
        <f ca="1">IFERROR(__xludf.DUMMYFUNCTION("CONCATENATE($B335,(VLOOKUP($C335,CATALOGOS!$F$2:$H$6,3,FALSE)),(VLOOKUP($V335,CATALOGOS!$J$2:$K$18,2,FALSE)),""-"",TO_TEXT($A335))"),"P12SI-0334")</f>
        <v>P12SI-0334</v>
      </c>
      <c r="I335" s="6"/>
      <c r="J335" s="6" t="s">
        <v>2353</v>
      </c>
      <c r="K335" s="6" t="s">
        <v>2354</v>
      </c>
      <c r="L335" s="6" t="s">
        <v>2355</v>
      </c>
      <c r="M335" s="6" t="s">
        <v>2356</v>
      </c>
      <c r="N335" s="17"/>
      <c r="O335" s="17"/>
      <c r="P335" s="17" t="str">
        <f t="shared" si="6"/>
        <v>OK</v>
      </c>
      <c r="Q335" s="17" t="s">
        <v>2357</v>
      </c>
      <c r="R335" s="6" t="s">
        <v>2358</v>
      </c>
      <c r="S335" s="17" t="s">
        <v>2359</v>
      </c>
      <c r="T335" s="17" t="s">
        <v>2360</v>
      </c>
      <c r="U335" s="18" t="s">
        <v>38</v>
      </c>
      <c r="V335" s="61" t="s">
        <v>1483</v>
      </c>
      <c r="W335" s="20" t="s">
        <v>1484</v>
      </c>
      <c r="X335" s="39" t="s">
        <v>1484</v>
      </c>
      <c r="Y335" s="20"/>
      <c r="Z335" s="7"/>
      <c r="AA335" s="7"/>
      <c r="AB335" s="23"/>
      <c r="AC335" s="26"/>
    </row>
    <row r="336" spans="1:29" ht="15.75" customHeight="1">
      <c r="A336" s="10" t="s">
        <v>2361</v>
      </c>
      <c r="B336" s="10" t="s">
        <v>1469</v>
      </c>
      <c r="C336" s="60" t="s">
        <v>1470</v>
      </c>
      <c r="D336" s="12"/>
      <c r="E336" s="13" t="s">
        <v>53</v>
      </c>
      <c r="F336" s="6" t="s">
        <v>2362</v>
      </c>
      <c r="G336" s="6" t="str">
        <f ca="1">IFERROR(__xludf.DUMMYFUNCTION("CONCATENATE(B336,(VLOOKUP(C336,CATALOGOS!$F$2:$H$6,3,FALSE)),(VLOOKUP(V336,CATALOGOS!$J$2:$K$18,2,FALSE)),""-"",TO_TEXT(A336))"),"P12SI-0335")</f>
        <v>P12SI-0335</v>
      </c>
      <c r="H336" s="15" t="str">
        <f ca="1">IFERROR(__xludf.DUMMYFUNCTION("CONCATENATE($B336,(VLOOKUP($C336,CATALOGOS!$F$2:$H$6,3,FALSE)),(VLOOKUP($V336,CATALOGOS!$J$2:$K$18,2,FALSE)),""-"",TO_TEXT($A336))"),"P12SI-0335")</f>
        <v>P12SI-0335</v>
      </c>
      <c r="I336" s="6"/>
      <c r="J336" s="6" t="s">
        <v>2363</v>
      </c>
      <c r="K336" s="6" t="s">
        <v>2364</v>
      </c>
      <c r="L336" s="6" t="s">
        <v>2365</v>
      </c>
      <c r="M336" s="6" t="s">
        <v>2366</v>
      </c>
      <c r="N336" s="17"/>
      <c r="O336" s="17"/>
      <c r="P336" s="17" t="str">
        <f t="shared" si="6"/>
        <v>OK</v>
      </c>
      <c r="Q336" s="17" t="s">
        <v>35</v>
      </c>
      <c r="R336" s="6" t="s">
        <v>35</v>
      </c>
      <c r="S336" s="17" t="s">
        <v>36</v>
      </c>
      <c r="T336" s="17" t="s">
        <v>2367</v>
      </c>
      <c r="U336" s="18" t="s">
        <v>38</v>
      </c>
      <c r="V336" s="61" t="s">
        <v>1483</v>
      </c>
      <c r="W336" s="20" t="s">
        <v>1484</v>
      </c>
      <c r="X336" s="39" t="s">
        <v>1484</v>
      </c>
      <c r="Y336" s="20"/>
      <c r="Z336" s="7"/>
      <c r="AA336" s="7"/>
      <c r="AB336" s="23"/>
      <c r="AC336" s="26"/>
    </row>
    <row r="337" spans="1:29" ht="15.75" customHeight="1">
      <c r="A337" s="10" t="s">
        <v>2368</v>
      </c>
      <c r="B337" s="10" t="s">
        <v>1469</v>
      </c>
      <c r="C337" s="60" t="s">
        <v>1470</v>
      </c>
      <c r="D337" s="12"/>
      <c r="E337" s="13" t="s">
        <v>199</v>
      </c>
      <c r="F337" s="6" t="s">
        <v>199</v>
      </c>
      <c r="G337" s="6" t="str">
        <f ca="1">IFERROR(__xludf.DUMMYFUNCTION("CONCATENATE(B337,(VLOOKUP(C337,CATALOGOS!$F$2:$H$6,3,FALSE)),(VLOOKUP(V337,CATALOGOS!$J$2:$K$18,2,FALSE)),""-"",TO_TEXT(A337))"),"P12SI-0336")</f>
        <v>P12SI-0336</v>
      </c>
      <c r="H337" s="15" t="str">
        <f ca="1">IFERROR(__xludf.DUMMYFUNCTION("CONCATENATE($B337,(VLOOKUP($C337,CATALOGOS!$F$2:$H$6,3,FALSE)),(VLOOKUP($V337,CATALOGOS!$J$2:$K$18,2,FALSE)),""-"",TO_TEXT($A337))"),"P12SI-0336")</f>
        <v>P12SI-0336</v>
      </c>
      <c r="I337" s="6"/>
      <c r="J337" s="6" t="s">
        <v>2369</v>
      </c>
      <c r="K337" s="6" t="s">
        <v>2370</v>
      </c>
      <c r="L337" s="6" t="s">
        <v>2371</v>
      </c>
      <c r="M337" s="43" t="s">
        <v>141</v>
      </c>
      <c r="N337" s="17"/>
      <c r="O337" s="17"/>
      <c r="P337" s="17" t="str">
        <f t="shared" si="6"/>
        <v>REPETIDO</v>
      </c>
      <c r="Q337" s="17" t="s">
        <v>205</v>
      </c>
      <c r="R337" s="32" t="s">
        <v>993</v>
      </c>
      <c r="S337" s="17" t="s">
        <v>2372</v>
      </c>
      <c r="T337" s="17" t="s">
        <v>2373</v>
      </c>
      <c r="U337" s="18" t="s">
        <v>38</v>
      </c>
      <c r="V337" s="61" t="s">
        <v>1483</v>
      </c>
      <c r="W337" s="20" t="s">
        <v>1484</v>
      </c>
      <c r="X337" s="39" t="s">
        <v>1484</v>
      </c>
      <c r="Y337" s="20"/>
      <c r="Z337" s="7"/>
      <c r="AA337" s="7"/>
      <c r="AB337" s="23"/>
      <c r="AC337" s="26"/>
    </row>
    <row r="338" spans="1:29" ht="15.75" customHeight="1">
      <c r="A338" s="10" t="s">
        <v>2374</v>
      </c>
      <c r="B338" s="10" t="s">
        <v>1469</v>
      </c>
      <c r="C338" s="63" t="s">
        <v>868</v>
      </c>
      <c r="D338" s="12"/>
      <c r="E338" s="13" t="s">
        <v>151</v>
      </c>
      <c r="F338" s="6" t="s">
        <v>963</v>
      </c>
      <c r="G338" s="6" t="str">
        <f ca="1">IFERROR(__xludf.DUMMYFUNCTION("CONCATENATE(B338,(VLOOKUP(C338,CATALOGOS!$F$2:$H$6,3,FALSE)),(VLOOKUP(V338,CATALOGOS!$J$2:$K$18,2,FALSE)),""-"",TO_TEXT(A338))"),"P13IR-0337")</f>
        <v>P13IR-0337</v>
      </c>
      <c r="H338" s="15" t="str">
        <f ca="1">IFERROR(__xludf.DUMMYFUNCTION("CONCATENATE($B338,(VLOOKUP($C338,CATALOGOS!$F$2:$H$6,3,FALSE)),(VLOOKUP($V338,CATALOGOS!$J$2:$K$18,2,FALSE)),""-"",TO_TEXT($A338))"),"P13IR-0337")</f>
        <v>P13IR-0337</v>
      </c>
      <c r="I338" s="6"/>
      <c r="J338" s="6" t="s">
        <v>2375</v>
      </c>
      <c r="K338" s="6" t="s">
        <v>2376</v>
      </c>
      <c r="L338" s="6" t="s">
        <v>2377</v>
      </c>
      <c r="M338" s="6" t="s">
        <v>2378</v>
      </c>
      <c r="N338" s="17"/>
      <c r="O338" s="17"/>
      <c r="P338" s="17" t="str">
        <f t="shared" si="6"/>
        <v>OK</v>
      </c>
      <c r="Q338" s="17" t="s">
        <v>297</v>
      </c>
      <c r="R338" s="6" t="s">
        <v>1037</v>
      </c>
      <c r="S338" s="17" t="s">
        <v>2379</v>
      </c>
      <c r="T338" s="17" t="s">
        <v>2380</v>
      </c>
      <c r="U338" s="18" t="s">
        <v>38</v>
      </c>
      <c r="V338" s="61" t="s">
        <v>2381</v>
      </c>
      <c r="W338" s="20" t="s">
        <v>493</v>
      </c>
      <c r="X338" s="39" t="s">
        <v>1484</v>
      </c>
      <c r="Y338" s="20"/>
      <c r="Z338" s="7"/>
      <c r="AA338" s="7"/>
      <c r="AB338" s="23"/>
      <c r="AC338" s="26"/>
    </row>
    <row r="339" spans="1:29" ht="15.75" customHeight="1">
      <c r="A339" s="10" t="s">
        <v>2382</v>
      </c>
      <c r="B339" s="10" t="s">
        <v>1469</v>
      </c>
      <c r="C339" s="60" t="s">
        <v>1470</v>
      </c>
      <c r="D339" s="12"/>
      <c r="E339" s="13" t="s">
        <v>93</v>
      </c>
      <c r="F339" s="6" t="s">
        <v>2383</v>
      </c>
      <c r="G339" s="6" t="str">
        <f ca="1">IFERROR(__xludf.DUMMYFUNCTION("CONCATENATE(B339,(VLOOKUP(C339,CATALOGOS!$F$2:$H$6,3,FALSE)),(VLOOKUP(V339,CATALOGOS!$J$2:$K$18,2,FALSE)),""-"",TO_TEXT(A339))"),"P12SI-0338")</f>
        <v>P12SI-0338</v>
      </c>
      <c r="H339" s="15" t="str">
        <f ca="1">IFERROR(__xludf.DUMMYFUNCTION("CONCATENATE($B339,(VLOOKUP($C339,CATALOGOS!$F$2:$H$6,3,FALSE)),(VLOOKUP($V339,CATALOGOS!$J$2:$K$18,2,FALSE)),""-"",TO_TEXT($A339))"),"P12SI-0338")</f>
        <v>P12SI-0338</v>
      </c>
      <c r="I339" s="6"/>
      <c r="J339" s="6" t="s">
        <v>2384</v>
      </c>
      <c r="K339" s="6" t="s">
        <v>2385</v>
      </c>
      <c r="L339" s="6" t="s">
        <v>2386</v>
      </c>
      <c r="M339" s="43" t="s">
        <v>2387</v>
      </c>
      <c r="N339" s="17"/>
      <c r="O339" s="17"/>
      <c r="P339" s="17" t="str">
        <f t="shared" si="6"/>
        <v>OK</v>
      </c>
      <c r="Q339" s="17" t="s">
        <v>35</v>
      </c>
      <c r="R339" s="6" t="s">
        <v>35</v>
      </c>
      <c r="S339" s="17" t="s">
        <v>36</v>
      </c>
      <c r="T339" s="17" t="s">
        <v>2388</v>
      </c>
      <c r="U339" s="18" t="s">
        <v>38</v>
      </c>
      <c r="V339" s="61" t="s">
        <v>1483</v>
      </c>
      <c r="W339" s="20" t="s">
        <v>1484</v>
      </c>
      <c r="X339" s="39" t="s">
        <v>1484</v>
      </c>
      <c r="Y339" s="20"/>
      <c r="Z339" s="7"/>
      <c r="AA339" s="7"/>
      <c r="AB339" s="23"/>
      <c r="AC339" s="26"/>
    </row>
    <row r="340" spans="1:29" ht="15.75" customHeight="1">
      <c r="A340" s="10" t="s">
        <v>2389</v>
      </c>
      <c r="B340" s="10" t="s">
        <v>1469</v>
      </c>
      <c r="C340" s="60" t="s">
        <v>1470</v>
      </c>
      <c r="D340" s="12"/>
      <c r="E340" s="13" t="s">
        <v>151</v>
      </c>
      <c r="F340" s="6" t="s">
        <v>698</v>
      </c>
      <c r="G340" s="6" t="str">
        <f ca="1">IFERROR(__xludf.DUMMYFUNCTION("CONCATENATE(B340,(VLOOKUP(C340,CATALOGOS!$F$2:$H$6,3,FALSE)),(VLOOKUP(V340,CATALOGOS!$J$2:$K$18,2,FALSE)),""-"",TO_TEXT(A340))"),"P12SI-0339")</f>
        <v>P12SI-0339</v>
      </c>
      <c r="H340" s="15" t="str">
        <f ca="1">IFERROR(__xludf.DUMMYFUNCTION("CONCATENATE($B340,(VLOOKUP($C340,CATALOGOS!$F$2:$H$6,3,FALSE)),(VLOOKUP($V340,CATALOGOS!$J$2:$K$18,2,FALSE)),""-"",TO_TEXT($A340))"),"P12SI-0339")</f>
        <v>P12SI-0339</v>
      </c>
      <c r="I340" s="6"/>
      <c r="J340" s="6" t="s">
        <v>2390</v>
      </c>
      <c r="K340" s="6" t="s">
        <v>2391</v>
      </c>
      <c r="L340" s="6" t="s">
        <v>2392</v>
      </c>
      <c r="M340" s="6" t="s">
        <v>2393</v>
      </c>
      <c r="N340" s="17"/>
      <c r="O340" s="17"/>
      <c r="P340" s="17" t="str">
        <f t="shared" si="6"/>
        <v>OK</v>
      </c>
      <c r="Q340" s="17" t="s">
        <v>297</v>
      </c>
      <c r="R340" s="6" t="s">
        <v>1131</v>
      </c>
      <c r="S340" s="17" t="s">
        <v>2394</v>
      </c>
      <c r="T340" s="17" t="s">
        <v>2395</v>
      </c>
      <c r="U340" s="18" t="s">
        <v>38</v>
      </c>
      <c r="V340" s="61" t="s">
        <v>1483</v>
      </c>
      <c r="W340" s="20" t="s">
        <v>1484</v>
      </c>
      <c r="X340" s="39" t="s">
        <v>1484</v>
      </c>
      <c r="Y340" s="20"/>
      <c r="Z340" s="7"/>
      <c r="AA340" s="7"/>
      <c r="AB340" s="23"/>
      <c r="AC340" s="26"/>
    </row>
    <row r="341" spans="1:29" ht="15.75" customHeight="1">
      <c r="A341" s="10" t="s">
        <v>2396</v>
      </c>
      <c r="B341" s="10" t="s">
        <v>1469</v>
      </c>
      <c r="C341" s="60" t="s">
        <v>1470</v>
      </c>
      <c r="D341" s="12"/>
      <c r="E341" s="13" t="s">
        <v>2397</v>
      </c>
      <c r="F341" s="6" t="s">
        <v>2398</v>
      </c>
      <c r="G341" s="6" t="str">
        <f ca="1">IFERROR(__xludf.DUMMYFUNCTION("CONCATENATE(B341,(VLOOKUP(C341,CATALOGOS!$F$2:$H$6,3,FALSE)),(VLOOKUP(V341,CATALOGOS!$J$2:$K$18,2,FALSE)),""-"",TO_TEXT(A341))"),"P12SI-0340")</f>
        <v>P12SI-0340</v>
      </c>
      <c r="H341" s="15" t="str">
        <f ca="1">IFERROR(__xludf.DUMMYFUNCTION("CONCATENATE($B341,(VLOOKUP($C341,CATALOGOS!$F$2:$H$6,3,FALSE)),(VLOOKUP($V341,CATALOGOS!$J$2:$K$18,2,FALSE)),""-"",TO_TEXT($A341))"),"P12SI-0340")</f>
        <v>P12SI-0340</v>
      </c>
      <c r="I341" s="6"/>
      <c r="J341" s="6" t="s">
        <v>2399</v>
      </c>
      <c r="K341" s="6" t="s">
        <v>2400</v>
      </c>
      <c r="L341" s="6" t="s">
        <v>2401</v>
      </c>
      <c r="M341" s="6" t="s">
        <v>2402</v>
      </c>
      <c r="N341" s="17"/>
      <c r="O341" s="17"/>
      <c r="P341" s="17" t="str">
        <f t="shared" si="6"/>
        <v>OK</v>
      </c>
      <c r="Q341" s="17" t="s">
        <v>2403</v>
      </c>
      <c r="R341" s="6" t="s">
        <v>2404</v>
      </c>
      <c r="S341" s="17" t="s">
        <v>2405</v>
      </c>
      <c r="T341" s="17" t="s">
        <v>2406</v>
      </c>
      <c r="U341" s="18" t="s">
        <v>38</v>
      </c>
      <c r="V341" s="61" t="s">
        <v>1483</v>
      </c>
      <c r="W341" s="20" t="s">
        <v>1484</v>
      </c>
      <c r="X341" s="39" t="s">
        <v>1484</v>
      </c>
      <c r="Y341" s="20"/>
      <c r="Z341" s="6"/>
      <c r="AA341" s="6"/>
      <c r="AB341" s="23"/>
      <c r="AC341" s="24"/>
    </row>
    <row r="342" spans="1:29" ht="15.75" customHeight="1">
      <c r="A342" s="10" t="s">
        <v>2407</v>
      </c>
      <c r="B342" s="10" t="s">
        <v>1469</v>
      </c>
      <c r="C342" s="60" t="s">
        <v>1470</v>
      </c>
      <c r="D342" s="12"/>
      <c r="E342" s="13" t="s">
        <v>248</v>
      </c>
      <c r="F342" s="43" t="s">
        <v>248</v>
      </c>
      <c r="G342" s="6" t="str">
        <f ca="1">IFERROR(__xludf.DUMMYFUNCTION("CONCATENATE(B342,(VLOOKUP(C342,CATALOGOS!$F$2:$H$6,3,FALSE)),(VLOOKUP(V342,CATALOGOS!$J$2:$K$18,2,FALSE)),""-"",TO_TEXT(A342))"),"P12SI-0341")</f>
        <v>P12SI-0341</v>
      </c>
      <c r="H342" s="15" t="str">
        <f ca="1">IFERROR(__xludf.DUMMYFUNCTION("CONCATENATE($B342,(VLOOKUP($C342,CATALOGOS!$F$2:$H$6,3,FALSE)),(VLOOKUP($V342,CATALOGOS!$J$2:$K$18,2,FALSE)),""-"",TO_TEXT($A342))"),"P12SI-0341")</f>
        <v>P12SI-0341</v>
      </c>
      <c r="I342" s="6"/>
      <c r="J342" s="6" t="s">
        <v>2408</v>
      </c>
      <c r="K342" s="6" t="s">
        <v>2409</v>
      </c>
      <c r="L342" s="6" t="s">
        <v>2410</v>
      </c>
      <c r="M342" s="6" t="s">
        <v>2411</v>
      </c>
      <c r="N342" s="17"/>
      <c r="O342" s="17"/>
      <c r="P342" s="17" t="str">
        <f t="shared" si="6"/>
        <v>OK</v>
      </c>
      <c r="Q342" s="17" t="s">
        <v>303</v>
      </c>
      <c r="R342" s="6" t="s">
        <v>1726</v>
      </c>
      <c r="S342" s="17" t="s">
        <v>2412</v>
      </c>
      <c r="T342" s="17" t="s">
        <v>2413</v>
      </c>
      <c r="U342" s="18" t="s">
        <v>38</v>
      </c>
      <c r="V342" s="61" t="s">
        <v>1483</v>
      </c>
      <c r="W342" s="20" t="s">
        <v>1484</v>
      </c>
      <c r="X342" s="39" t="s">
        <v>1484</v>
      </c>
      <c r="Y342" s="20"/>
      <c r="Z342" s="7"/>
      <c r="AA342" s="7"/>
      <c r="AB342" s="23"/>
      <c r="AC342" s="26"/>
    </row>
    <row r="343" spans="1:29" ht="15.75" customHeight="1">
      <c r="A343" s="10" t="s">
        <v>2414</v>
      </c>
      <c r="B343" s="10" t="s">
        <v>1469</v>
      </c>
      <c r="C343" s="60" t="s">
        <v>1470</v>
      </c>
      <c r="D343" s="12"/>
      <c r="E343" s="13" t="s">
        <v>199</v>
      </c>
      <c r="F343" s="6" t="s">
        <v>199</v>
      </c>
      <c r="G343" s="6" t="str">
        <f ca="1">IFERROR(__xludf.DUMMYFUNCTION("CONCATENATE(B343,(VLOOKUP(C343,CATALOGOS!$F$2:$H$6,3,FALSE)),(VLOOKUP(V343,CATALOGOS!$J$2:$K$18,2,FALSE)),""-"",TO_TEXT(A343))"),"P12SI-0342")</f>
        <v>P12SI-0342</v>
      </c>
      <c r="H343" s="15" t="str">
        <f ca="1">IFERROR(__xludf.DUMMYFUNCTION("CONCATENATE($B343,(VLOOKUP($C343,CATALOGOS!$F$2:$H$6,3,FALSE)),(VLOOKUP($V343,CATALOGOS!$J$2:$K$18,2,FALSE)),""-"",TO_TEXT($A343))"),"P12SI-0342")</f>
        <v>P12SI-0342</v>
      </c>
      <c r="I343" s="6"/>
      <c r="J343" s="6" t="s">
        <v>2415</v>
      </c>
      <c r="K343" s="6" t="s">
        <v>2416</v>
      </c>
      <c r="L343" s="6" t="s">
        <v>2417</v>
      </c>
      <c r="M343" s="6" t="s">
        <v>2418</v>
      </c>
      <c r="N343" s="17"/>
      <c r="O343" s="17"/>
      <c r="P343" s="17" t="str">
        <f t="shared" si="6"/>
        <v>OK</v>
      </c>
      <c r="Q343" s="17" t="s">
        <v>2419</v>
      </c>
      <c r="R343" s="6" t="s">
        <v>2420</v>
      </c>
      <c r="S343" s="35" t="s">
        <v>2421</v>
      </c>
      <c r="T343" s="17" t="s">
        <v>2422</v>
      </c>
      <c r="U343" s="18" t="s">
        <v>38</v>
      </c>
      <c r="V343" s="61" t="s">
        <v>1483</v>
      </c>
      <c r="W343" s="20" t="s">
        <v>1484</v>
      </c>
      <c r="X343" s="39" t="s">
        <v>1484</v>
      </c>
      <c r="Y343" s="20"/>
      <c r="Z343" s="6"/>
      <c r="AA343" s="6"/>
      <c r="AB343" s="23"/>
      <c r="AC343" s="24"/>
    </row>
    <row r="344" spans="1:29" ht="15.75" customHeight="1">
      <c r="A344" s="10" t="s">
        <v>2423</v>
      </c>
      <c r="B344" s="10" t="s">
        <v>1469</v>
      </c>
      <c r="C344" s="60" t="s">
        <v>1470</v>
      </c>
      <c r="D344" s="12"/>
      <c r="E344" s="13" t="s">
        <v>162</v>
      </c>
      <c r="F344" s="43" t="s">
        <v>285</v>
      </c>
      <c r="G344" s="14" t="str">
        <f ca="1">IFERROR(__xludf.DUMMYFUNCTION("CONCATENATE(B344,(VLOOKUP(C344,CATALOGOS!$F$2:$H$6,3,FALSE)),(VLOOKUP(V344,CATALOGOS!$J$2:$K$18,2,FALSE)),""-"",TO_TEXT(A344))"),"P12SI-0343")</f>
        <v>P12SI-0343</v>
      </c>
      <c r="H344" s="15" t="str">
        <f ca="1">IFERROR(__xludf.DUMMYFUNCTION("CONCATENATE($B344,(VLOOKUP($C344,CATALOGOS!$F$2:$H$6,3,FALSE)),(VLOOKUP($V344,CATALOGOS!$J$2:$K$18,2,FALSE)),""-"",TO_TEXT($A344))"),"P12SI-0343")</f>
        <v>P12SI-0343</v>
      </c>
      <c r="I344" s="6"/>
      <c r="J344" s="6" t="s">
        <v>2424</v>
      </c>
      <c r="K344" s="6" t="s">
        <v>2425</v>
      </c>
      <c r="L344" s="6" t="s">
        <v>2426</v>
      </c>
      <c r="M344" s="6" t="s">
        <v>141</v>
      </c>
      <c r="N344" s="17"/>
      <c r="O344" s="17"/>
      <c r="P344" s="17" t="str">
        <f t="shared" si="6"/>
        <v>REPETIDO</v>
      </c>
      <c r="Q344" s="17" t="s">
        <v>663</v>
      </c>
      <c r="R344" s="32" t="s">
        <v>664</v>
      </c>
      <c r="S344" s="17" t="s">
        <v>2427</v>
      </c>
      <c r="T344" s="17" t="s">
        <v>2428</v>
      </c>
      <c r="U344" s="18" t="s">
        <v>38</v>
      </c>
      <c r="V344" s="61" t="s">
        <v>1483</v>
      </c>
      <c r="W344" s="20" t="s">
        <v>1484</v>
      </c>
      <c r="X344" s="39" t="s">
        <v>1484</v>
      </c>
      <c r="Y344" s="20"/>
      <c r="Z344" s="7"/>
      <c r="AA344" s="7"/>
      <c r="AB344" s="23"/>
      <c r="AC344" s="26"/>
    </row>
    <row r="345" spans="1:29" ht="15.75" customHeight="1">
      <c r="A345" s="10" t="s">
        <v>2429</v>
      </c>
      <c r="B345" s="10" t="s">
        <v>1469</v>
      </c>
      <c r="C345" s="60" t="s">
        <v>1470</v>
      </c>
      <c r="D345" s="12"/>
      <c r="E345" s="13" t="s">
        <v>2311</v>
      </c>
      <c r="F345" s="6" t="s">
        <v>2430</v>
      </c>
      <c r="G345" s="6" t="str">
        <f ca="1">IFERROR(__xludf.DUMMYFUNCTION("CONCATENATE(B345,(VLOOKUP(C345,CATALOGOS!$F$2:$H$6,3,FALSE)),(VLOOKUP(V345,CATALOGOS!$J$2:$K$18,2,FALSE)),""-"",TO_TEXT(A345))"),"P12SI-0344")</f>
        <v>P12SI-0344</v>
      </c>
      <c r="H345" s="15" t="str">
        <f ca="1">IFERROR(__xludf.DUMMYFUNCTION("CONCATENATE($B345,(VLOOKUP($C345,CATALOGOS!$F$2:$H$6,3,FALSE)),(VLOOKUP($V345,CATALOGOS!$J$2:$K$18,2,FALSE)),""-"",TO_TEXT($A345))"),"P12SI-0344")</f>
        <v>P12SI-0344</v>
      </c>
      <c r="I345" s="6"/>
      <c r="J345" s="6" t="s">
        <v>2431</v>
      </c>
      <c r="K345" s="6" t="s">
        <v>2432</v>
      </c>
      <c r="L345" s="6" t="s">
        <v>2433</v>
      </c>
      <c r="M345" s="6" t="s">
        <v>2434</v>
      </c>
      <c r="N345" s="17"/>
      <c r="O345" s="17"/>
      <c r="P345" s="17" t="str">
        <f t="shared" si="6"/>
        <v>OK</v>
      </c>
      <c r="Q345" s="17" t="s">
        <v>2317</v>
      </c>
      <c r="R345" s="6" t="s">
        <v>2435</v>
      </c>
      <c r="S345" s="17" t="s">
        <v>2436</v>
      </c>
      <c r="T345" s="17" t="s">
        <v>2437</v>
      </c>
      <c r="U345" s="18" t="s">
        <v>38</v>
      </c>
      <c r="V345" s="61" t="s">
        <v>1483</v>
      </c>
      <c r="W345" s="20" t="s">
        <v>1484</v>
      </c>
      <c r="X345" s="39" t="s">
        <v>1484</v>
      </c>
      <c r="Y345" s="20"/>
      <c r="Z345" s="7"/>
      <c r="AA345" s="7"/>
      <c r="AB345" s="23"/>
      <c r="AC345" s="26"/>
    </row>
    <row r="346" spans="1:29" ht="15.75" customHeight="1">
      <c r="A346" s="10" t="s">
        <v>2438</v>
      </c>
      <c r="B346" s="10" t="s">
        <v>1469</v>
      </c>
      <c r="C346" s="60" t="s">
        <v>1470</v>
      </c>
      <c r="D346" s="12"/>
      <c r="E346" s="13" t="s">
        <v>151</v>
      </c>
      <c r="F346" s="6" t="s">
        <v>2439</v>
      </c>
      <c r="G346" s="6" t="str">
        <f ca="1">IFERROR(__xludf.DUMMYFUNCTION("CONCATENATE(B346,(VLOOKUP(C346,CATALOGOS!$F$2:$H$6,3,FALSE)),(VLOOKUP(V346,CATALOGOS!$J$2:$K$18,2,FALSE)),""-"",TO_TEXT(A346))"),"P12SI-0345")</f>
        <v>P12SI-0345</v>
      </c>
      <c r="H346" s="15" t="str">
        <f ca="1">IFERROR(__xludf.DUMMYFUNCTION("CONCATENATE($B346,(VLOOKUP($C346,CATALOGOS!$F$2:$H$6,3,FALSE)),(VLOOKUP($V346,CATALOGOS!$J$2:$K$18,2,FALSE)),""-"",TO_TEXT($A346))"),"P12SI-0345")</f>
        <v>P12SI-0345</v>
      </c>
      <c r="I346" s="6"/>
      <c r="J346" s="6" t="s">
        <v>2440</v>
      </c>
      <c r="K346" s="6" t="s">
        <v>2441</v>
      </c>
      <c r="L346" s="6" t="s">
        <v>2442</v>
      </c>
      <c r="M346" s="6" t="s">
        <v>2443</v>
      </c>
      <c r="N346" s="17"/>
      <c r="O346" s="17"/>
      <c r="P346" s="17" t="str">
        <f t="shared" si="6"/>
        <v>OK</v>
      </c>
      <c r="Q346" s="17" t="s">
        <v>703</v>
      </c>
      <c r="R346" s="6" t="s">
        <v>2444</v>
      </c>
      <c r="S346" s="35" t="s">
        <v>2445</v>
      </c>
      <c r="T346" s="17" t="s">
        <v>2446</v>
      </c>
      <c r="U346" s="18" t="s">
        <v>38</v>
      </c>
      <c r="V346" s="61" t="s">
        <v>1483</v>
      </c>
      <c r="W346" s="20" t="s">
        <v>1484</v>
      </c>
      <c r="X346" s="39" t="s">
        <v>1484</v>
      </c>
      <c r="Y346" s="20"/>
      <c r="Z346" s="7"/>
      <c r="AA346" s="7"/>
      <c r="AB346" s="23"/>
      <c r="AC346" s="26"/>
    </row>
    <row r="347" spans="1:29" ht="15.75" customHeight="1">
      <c r="A347" s="10" t="s">
        <v>2447</v>
      </c>
      <c r="B347" s="10" t="s">
        <v>1469</v>
      </c>
      <c r="C347" s="60" t="s">
        <v>1470</v>
      </c>
      <c r="D347" s="12"/>
      <c r="E347" s="13" t="s">
        <v>93</v>
      </c>
      <c r="F347" s="6" t="s">
        <v>1380</v>
      </c>
      <c r="G347" s="6" t="str">
        <f ca="1">IFERROR(__xludf.DUMMYFUNCTION("CONCATENATE(B347,(VLOOKUP(C347,CATALOGOS!$F$2:$H$6,3,FALSE)),(VLOOKUP(V347,CATALOGOS!$J$2:$K$18,2,FALSE)),""-"",TO_TEXT(A347))"),"P12SI-0346")</f>
        <v>P12SI-0346</v>
      </c>
      <c r="H347" s="15" t="str">
        <f ca="1">IFERROR(__xludf.DUMMYFUNCTION("CONCATENATE($B347,(VLOOKUP($C347,CATALOGOS!$F$2:$H$6,3,FALSE)),(VLOOKUP($V347,CATALOGOS!$J$2:$K$18,2,FALSE)),""-"",TO_TEXT($A347))"),"P12SI-0346")</f>
        <v>P12SI-0346</v>
      </c>
      <c r="I347" s="6"/>
      <c r="J347" s="6" t="s">
        <v>2448</v>
      </c>
      <c r="K347" s="62"/>
      <c r="L347" s="6" t="s">
        <v>2449</v>
      </c>
      <c r="M347" s="6" t="s">
        <v>2450</v>
      </c>
      <c r="N347" s="17"/>
      <c r="O347" s="17"/>
      <c r="P347" s="17" t="str">
        <f t="shared" si="6"/>
        <v>OK</v>
      </c>
      <c r="Q347" s="17" t="s">
        <v>35</v>
      </c>
      <c r="R347" s="49" t="s">
        <v>35</v>
      </c>
      <c r="S347" s="17" t="s">
        <v>36</v>
      </c>
      <c r="T347" s="17" t="s">
        <v>2451</v>
      </c>
      <c r="U347" s="18" t="s">
        <v>38</v>
      </c>
      <c r="V347" s="61" t="s">
        <v>1483</v>
      </c>
      <c r="W347" s="20" t="s">
        <v>1484</v>
      </c>
      <c r="X347" s="39" t="s">
        <v>1484</v>
      </c>
      <c r="Y347" s="20"/>
      <c r="Z347" s="7"/>
      <c r="AA347" s="7"/>
      <c r="AB347" s="23"/>
      <c r="AC347" s="26"/>
    </row>
    <row r="348" spans="1:29" ht="15.75" customHeight="1">
      <c r="A348" s="10" t="s">
        <v>2452</v>
      </c>
      <c r="B348" s="10" t="s">
        <v>1469</v>
      </c>
      <c r="C348" s="60" t="s">
        <v>1470</v>
      </c>
      <c r="D348" s="12"/>
      <c r="E348" s="13" t="s">
        <v>116</v>
      </c>
      <c r="F348" s="43" t="s">
        <v>2453</v>
      </c>
      <c r="G348" s="6" t="str">
        <f ca="1">IFERROR(__xludf.DUMMYFUNCTION("CONCATENATE(B348,(VLOOKUP(C348,CATALOGOS!$F$2:$H$6,3,FALSE)),(VLOOKUP(V348,CATALOGOS!$J$2:$K$18,2,FALSE)),""-"",TO_TEXT(A348))"),"P12SI-0347")</f>
        <v>P12SI-0347</v>
      </c>
      <c r="H348" s="15" t="str">
        <f ca="1">IFERROR(__xludf.DUMMYFUNCTION("CONCATENATE($B348,(VLOOKUP($C348,CATALOGOS!$F$2:$H$6,3,FALSE)),(VLOOKUP($V348,CATALOGOS!$J$2:$K$18,2,FALSE)),""-"",TO_TEXT($A348))"),"P12SI-0347")</f>
        <v>P12SI-0347</v>
      </c>
      <c r="I348" s="6"/>
      <c r="J348" s="6" t="s">
        <v>2454</v>
      </c>
      <c r="K348" s="6" t="s">
        <v>2455</v>
      </c>
      <c r="L348" s="6" t="s">
        <v>2456</v>
      </c>
      <c r="M348" s="6" t="s">
        <v>2457</v>
      </c>
      <c r="N348" s="17"/>
      <c r="O348" s="17"/>
      <c r="P348" s="17" t="str">
        <f t="shared" si="6"/>
        <v>OK</v>
      </c>
      <c r="Q348" s="17" t="s">
        <v>35</v>
      </c>
      <c r="R348" s="49" t="s">
        <v>35</v>
      </c>
      <c r="S348" s="17" t="s">
        <v>36</v>
      </c>
      <c r="T348" s="17" t="s">
        <v>2458</v>
      </c>
      <c r="U348" s="18" t="s">
        <v>38</v>
      </c>
      <c r="V348" s="61" t="s">
        <v>1483</v>
      </c>
      <c r="W348" s="20" t="s">
        <v>1484</v>
      </c>
      <c r="X348" s="39" t="s">
        <v>1484</v>
      </c>
      <c r="Y348" s="20"/>
      <c r="Z348" s="7"/>
      <c r="AA348" s="7"/>
      <c r="AB348" s="23"/>
      <c r="AC348" s="26"/>
    </row>
    <row r="349" spans="1:29" ht="15.75" customHeight="1">
      <c r="A349" s="10" t="s">
        <v>2459</v>
      </c>
      <c r="B349" s="10" t="s">
        <v>1469</v>
      </c>
      <c r="C349" s="60" t="s">
        <v>1470</v>
      </c>
      <c r="D349" s="12"/>
      <c r="E349" s="13" t="s">
        <v>93</v>
      </c>
      <c r="F349" s="6" t="s">
        <v>2460</v>
      </c>
      <c r="G349" s="6" t="str">
        <f ca="1">IFERROR(__xludf.DUMMYFUNCTION("CONCATENATE(B349,(VLOOKUP(C349,CATALOGOS!$F$2:$H$6,3,FALSE)),(VLOOKUP(V349,CATALOGOS!$J$2:$K$18,2,FALSE)),""-"",TO_TEXT(A349))"),"P12SI-0348")</f>
        <v>P12SI-0348</v>
      </c>
      <c r="H349" s="15" t="str">
        <f ca="1">IFERROR(__xludf.DUMMYFUNCTION("CONCATENATE($B349,(VLOOKUP($C349,CATALOGOS!$F$2:$H$6,3,FALSE)),(VLOOKUP($V349,CATALOGOS!$J$2:$K$18,2,FALSE)),""-"",TO_TEXT($A349))"),"P12SI-0348")</f>
        <v>P12SI-0348</v>
      </c>
      <c r="I349" s="6"/>
      <c r="J349" s="6" t="s">
        <v>2461</v>
      </c>
      <c r="K349" s="6" t="s">
        <v>2462</v>
      </c>
      <c r="L349" s="6" t="s">
        <v>2463</v>
      </c>
      <c r="M349" s="6" t="s">
        <v>2464</v>
      </c>
      <c r="N349" s="17"/>
      <c r="O349" s="17"/>
      <c r="P349" s="17" t="str">
        <f t="shared" si="6"/>
        <v>OK</v>
      </c>
      <c r="Q349" s="17" t="s">
        <v>35</v>
      </c>
      <c r="R349" s="6" t="s">
        <v>35</v>
      </c>
      <c r="S349" s="17" t="s">
        <v>36</v>
      </c>
      <c r="T349" s="17" t="s">
        <v>2465</v>
      </c>
      <c r="U349" s="18" t="s">
        <v>38</v>
      </c>
      <c r="V349" s="61" t="s">
        <v>1483</v>
      </c>
      <c r="W349" s="20" t="s">
        <v>7203</v>
      </c>
      <c r="X349" s="20" t="s">
        <v>2466</v>
      </c>
      <c r="Y349" s="20"/>
      <c r="Z349" s="7"/>
      <c r="AA349" s="7"/>
      <c r="AB349" s="23"/>
      <c r="AC349" s="26"/>
    </row>
    <row r="350" spans="1:29" ht="15.75" customHeight="1">
      <c r="A350" s="10" t="s">
        <v>2467</v>
      </c>
      <c r="B350" s="10" t="s">
        <v>1469</v>
      </c>
      <c r="C350" s="60" t="s">
        <v>1470</v>
      </c>
      <c r="D350" s="12"/>
      <c r="E350" s="13" t="s">
        <v>378</v>
      </c>
      <c r="F350" s="6" t="s">
        <v>878</v>
      </c>
      <c r="G350" s="6" t="str">
        <f ca="1">IFERROR(__xludf.DUMMYFUNCTION("CONCATENATE(B350,(VLOOKUP(C350,CATALOGOS!$F$2:$H$6,3,FALSE)),(VLOOKUP(V350,CATALOGOS!$J$2:$K$18,2,FALSE)),""-"",TO_TEXT(A350))"),"P12SI-0349")</f>
        <v>P12SI-0349</v>
      </c>
      <c r="H350" s="15" t="str">
        <f ca="1">IFERROR(__xludf.DUMMYFUNCTION("CONCATENATE($B350,(VLOOKUP($C350,CATALOGOS!$F$2:$H$6,3,FALSE)),(VLOOKUP($V350,CATALOGOS!$J$2:$K$18,2,FALSE)),""-"",TO_TEXT($A350))"),"P12SI-0349")</f>
        <v>P12SI-0349</v>
      </c>
      <c r="I350" s="6"/>
      <c r="J350" s="6" t="s">
        <v>2468</v>
      </c>
      <c r="K350" s="6" t="s">
        <v>2469</v>
      </c>
      <c r="L350" s="6" t="s">
        <v>2470</v>
      </c>
      <c r="M350" s="6" t="s">
        <v>2471</v>
      </c>
      <c r="N350" s="17"/>
      <c r="O350" s="17"/>
      <c r="P350" s="17" t="str">
        <f t="shared" si="6"/>
        <v>OK</v>
      </c>
      <c r="Q350" s="17" t="s">
        <v>35</v>
      </c>
      <c r="R350" s="6" t="s">
        <v>35</v>
      </c>
      <c r="S350" s="17" t="s">
        <v>36</v>
      </c>
      <c r="T350" s="17" t="s">
        <v>2472</v>
      </c>
      <c r="U350" s="18" t="s">
        <v>38</v>
      </c>
      <c r="V350" s="61" t="s">
        <v>1483</v>
      </c>
      <c r="W350" s="20" t="s">
        <v>1484</v>
      </c>
      <c r="X350" s="39" t="s">
        <v>1484</v>
      </c>
      <c r="Y350" s="20"/>
      <c r="Z350" s="6"/>
      <c r="AA350" s="6"/>
      <c r="AB350" s="23"/>
      <c r="AC350" s="24"/>
    </row>
    <row r="351" spans="1:29" ht="15.75" customHeight="1">
      <c r="A351" s="10" t="s">
        <v>2473</v>
      </c>
      <c r="B351" s="10" t="s">
        <v>1469</v>
      </c>
      <c r="C351" s="60" t="s">
        <v>1470</v>
      </c>
      <c r="D351" s="12"/>
      <c r="E351" s="13" t="s">
        <v>378</v>
      </c>
      <c r="F351" s="6" t="s">
        <v>878</v>
      </c>
      <c r="G351" s="6" t="str">
        <f ca="1">IFERROR(__xludf.DUMMYFUNCTION("CONCATENATE(B351,(VLOOKUP(C351,CATALOGOS!$F$2:$H$6,3,FALSE)),(VLOOKUP(V351,CATALOGOS!$J$2:$K$18,2,FALSE)),""-"",TO_TEXT(A351))"),"P12SI-0350")</f>
        <v>P12SI-0350</v>
      </c>
      <c r="H351" s="15" t="str">
        <f ca="1">IFERROR(__xludf.DUMMYFUNCTION("CONCATENATE($B351,(VLOOKUP($C351,CATALOGOS!$F$2:$H$6,3,FALSE)),(VLOOKUP($V351,CATALOGOS!$J$2:$K$18,2,FALSE)),""-"",TO_TEXT($A351))"),"P12SI-0350")</f>
        <v>P12SI-0350</v>
      </c>
      <c r="I351" s="6"/>
      <c r="J351" s="6" t="s">
        <v>2474</v>
      </c>
      <c r="K351" s="6" t="s">
        <v>2475</v>
      </c>
      <c r="L351" s="6" t="s">
        <v>2476</v>
      </c>
      <c r="M351" s="6" t="s">
        <v>2477</v>
      </c>
      <c r="N351" s="17"/>
      <c r="O351" s="17"/>
      <c r="P351" s="17" t="str">
        <f t="shared" si="6"/>
        <v>OK</v>
      </c>
      <c r="Q351" s="17" t="s">
        <v>35</v>
      </c>
      <c r="R351" s="6" t="s">
        <v>35</v>
      </c>
      <c r="S351" s="17" t="s">
        <v>36</v>
      </c>
      <c r="T351" s="17" t="s">
        <v>2478</v>
      </c>
      <c r="U351" s="18" t="s">
        <v>38</v>
      </c>
      <c r="V351" s="61" t="s">
        <v>1483</v>
      </c>
      <c r="W351" s="20" t="s">
        <v>1484</v>
      </c>
      <c r="X351" s="39" t="s">
        <v>1484</v>
      </c>
      <c r="Y351" s="20"/>
      <c r="Z351" s="7"/>
      <c r="AA351" s="7"/>
      <c r="AB351" s="23"/>
      <c r="AC351" s="26"/>
    </row>
    <row r="352" spans="1:29" ht="15.75" customHeight="1">
      <c r="A352" s="10" t="s">
        <v>2479</v>
      </c>
      <c r="B352" s="10" t="s">
        <v>27</v>
      </c>
      <c r="C352" s="63" t="s">
        <v>28</v>
      </c>
      <c r="D352" s="12"/>
      <c r="E352" s="13" t="s">
        <v>378</v>
      </c>
      <c r="F352" s="43" t="s">
        <v>2480</v>
      </c>
      <c r="G352" s="6" t="str">
        <f ca="1">IFERROR(__xludf.DUMMYFUNCTION("CONCATENATE(B352,(VLOOKUP(C352,CATALOGOS!$F$2:$H$6,3,FALSE)),(VLOOKUP(V352,CATALOGOS!$J$2:$K$18,2,FALSE)),""-"",TO_TEXT(A352))"),"P05RM-0351")</f>
        <v>P05RM-0351</v>
      </c>
      <c r="H352" s="64" t="str">
        <f ca="1">IFERROR(__xludf.DUMMYFUNCTION("CONCATENATE($B352,(VLOOKUP($C352,CATALOGOS!$F$2:$H$6,3,FALSE)),(VLOOKUP($V352,CATALOGOS!$J$2:$K$18,2,FALSE)),""-"",TO_TEXT($A352))"),"P05RM-0351")</f>
        <v>P05RM-0351</v>
      </c>
      <c r="I352" s="6"/>
      <c r="J352" s="6" t="s">
        <v>2481</v>
      </c>
      <c r="K352" s="6" t="s">
        <v>2482</v>
      </c>
      <c r="L352" s="6" t="s">
        <v>2483</v>
      </c>
      <c r="M352" s="6" t="s">
        <v>2484</v>
      </c>
      <c r="N352" s="17"/>
      <c r="O352" s="17"/>
      <c r="P352" s="17" t="str">
        <f t="shared" si="6"/>
        <v>OK</v>
      </c>
      <c r="Q352" s="17" t="s">
        <v>35</v>
      </c>
      <c r="R352" s="6" t="s">
        <v>35</v>
      </c>
      <c r="S352" s="17" t="s">
        <v>36</v>
      </c>
      <c r="T352" s="17" t="s">
        <v>2485</v>
      </c>
      <c r="U352" s="18" t="s">
        <v>2309</v>
      </c>
      <c r="V352" s="61" t="s">
        <v>147</v>
      </c>
      <c r="W352" s="20" t="s">
        <v>385</v>
      </c>
      <c r="X352" s="39" t="s">
        <v>1484</v>
      </c>
      <c r="Y352" s="20"/>
      <c r="Z352" s="6"/>
      <c r="AA352" s="6"/>
      <c r="AB352" s="23"/>
      <c r="AC352" s="24"/>
    </row>
    <row r="353" spans="1:29" ht="15.75" customHeight="1">
      <c r="A353" s="10" t="s">
        <v>2486</v>
      </c>
      <c r="B353" s="10" t="s">
        <v>27</v>
      </c>
      <c r="C353" s="63" t="s">
        <v>28</v>
      </c>
      <c r="D353" s="12"/>
      <c r="E353" s="13" t="s">
        <v>184</v>
      </c>
      <c r="F353" s="43" t="s">
        <v>2487</v>
      </c>
      <c r="G353" s="6" t="str">
        <f ca="1">IFERROR(__xludf.DUMMYFUNCTION("CONCATENATE(B353,(VLOOKUP(C353,CATALOGOS!$F$2:$H$6,3,FALSE)),(VLOOKUP(V353,CATALOGOS!$J$2:$K$18,2,FALSE)),""-"",TO_TEXT(A353))"),"P05RM-0352")</f>
        <v>P05RM-0352</v>
      </c>
      <c r="H353" s="15" t="str">
        <f ca="1">IFERROR(__xludf.DUMMYFUNCTION("CONCATENATE($B353,(VLOOKUP($C353,CATALOGOS!$F$2:$H$6,3,FALSE)),(VLOOKUP($V353,CATALOGOS!$J$2:$K$18,2,FALSE)),""-"",TO_TEXT($A353))"),"P05RM-0352")</f>
        <v>P05RM-0352</v>
      </c>
      <c r="I353" s="6"/>
      <c r="J353" s="6" t="s">
        <v>2488</v>
      </c>
      <c r="K353" s="6" t="s">
        <v>2489</v>
      </c>
      <c r="L353" s="6" t="s">
        <v>2490</v>
      </c>
      <c r="M353" s="6" t="s">
        <v>2491</v>
      </c>
      <c r="N353" s="17"/>
      <c r="O353" s="17"/>
      <c r="P353" s="17" t="str">
        <f t="shared" si="6"/>
        <v>OK</v>
      </c>
      <c r="Q353" s="17" t="s">
        <v>35</v>
      </c>
      <c r="R353" s="6" t="s">
        <v>35</v>
      </c>
      <c r="S353" s="17" t="s">
        <v>36</v>
      </c>
      <c r="T353" s="17" t="s">
        <v>2492</v>
      </c>
      <c r="U353" s="18" t="s">
        <v>549</v>
      </c>
      <c r="V353" s="61" t="s">
        <v>147</v>
      </c>
      <c r="W353" s="20" t="s">
        <v>385</v>
      </c>
      <c r="X353" s="39" t="s">
        <v>1484</v>
      </c>
      <c r="Y353" s="40" t="s">
        <v>261</v>
      </c>
      <c r="Z353" s="6"/>
      <c r="AA353" s="6" t="s">
        <v>440</v>
      </c>
      <c r="AB353" s="23"/>
      <c r="AC353" s="24"/>
    </row>
    <row r="354" spans="1:29" ht="15.75" customHeight="1">
      <c r="A354" s="10" t="s">
        <v>2493</v>
      </c>
      <c r="B354" s="10" t="s">
        <v>1469</v>
      </c>
      <c r="C354" s="60" t="s">
        <v>1470</v>
      </c>
      <c r="D354" s="12"/>
      <c r="E354" s="13" t="s">
        <v>199</v>
      </c>
      <c r="F354" s="6" t="s">
        <v>677</v>
      </c>
      <c r="G354" s="6" t="str">
        <f ca="1">IFERROR(__xludf.DUMMYFUNCTION("CONCATENATE(B354,(VLOOKUP(C354,CATALOGOS!$F$2:$H$6,3,FALSE)),(VLOOKUP(V354,CATALOGOS!$J$2:$K$18,2,FALSE)),""-"",TO_TEXT(A354))"),"P12SI-0353")</f>
        <v>P12SI-0353</v>
      </c>
      <c r="H354" s="15" t="str">
        <f ca="1">IFERROR(__xludf.DUMMYFUNCTION("CONCATENATE($B354,(VLOOKUP($C354,CATALOGOS!$F$2:$H$6,3,FALSE)),(VLOOKUP($V354,CATALOGOS!$J$2:$K$18,2,FALSE)),""-"",TO_TEXT($A354))"),"P12SI-0353")</f>
        <v>P12SI-0353</v>
      </c>
      <c r="I354" s="6"/>
      <c r="J354" s="6" t="s">
        <v>2494</v>
      </c>
      <c r="K354" s="6" t="s">
        <v>2495</v>
      </c>
      <c r="L354" s="6" t="s">
        <v>2496</v>
      </c>
      <c r="M354" s="6" t="s">
        <v>141</v>
      </c>
      <c r="N354" s="17"/>
      <c r="O354" s="17"/>
      <c r="P354" s="17" t="str">
        <f t="shared" si="6"/>
        <v>REPETIDO</v>
      </c>
      <c r="Q354" s="17" t="s">
        <v>682</v>
      </c>
      <c r="R354" s="32" t="s">
        <v>2497</v>
      </c>
      <c r="S354" s="17" t="s">
        <v>2498</v>
      </c>
      <c r="T354" s="17" t="s">
        <v>2499</v>
      </c>
      <c r="U354" s="18" t="s">
        <v>38</v>
      </c>
      <c r="V354" s="61" t="s">
        <v>1483</v>
      </c>
      <c r="W354" s="20" t="s">
        <v>2500</v>
      </c>
      <c r="X354" s="39" t="s">
        <v>1484</v>
      </c>
      <c r="Y354" s="20"/>
      <c r="Z354" s="36"/>
      <c r="AA354" s="36"/>
      <c r="AB354" s="23"/>
      <c r="AC354" s="33"/>
    </row>
    <row r="355" spans="1:29" ht="15.75" customHeight="1">
      <c r="A355" s="10" t="s">
        <v>2501</v>
      </c>
      <c r="B355" s="10" t="s">
        <v>27</v>
      </c>
      <c r="C355" s="63" t="s">
        <v>28</v>
      </c>
      <c r="D355" s="12"/>
      <c r="E355" s="13" t="s">
        <v>2502</v>
      </c>
      <c r="F355" s="43" t="s">
        <v>2503</v>
      </c>
      <c r="G355" s="6" t="str">
        <f ca="1">IFERROR(__xludf.DUMMYFUNCTION("CONCATENATE(B355,(VLOOKUP(C355,CATALOGOS!$F$2:$H$6,3,FALSE)),(VLOOKUP(V355,CATALOGOS!$J$2:$K$18,2,FALSE)),""-"",TO_TEXT(A355))"),"P05RM-0354")</f>
        <v>P05RM-0354</v>
      </c>
      <c r="H355" s="15" t="str">
        <f ca="1">IFERROR(__xludf.DUMMYFUNCTION("CONCATENATE($B355,(VLOOKUP($C355,CATALOGOS!$F$2:$H$6,3,FALSE)),(VLOOKUP($V355,CATALOGOS!$J$2:$K$18,2,FALSE)),""-"",TO_TEXT($A355))"),"P05RM-0354")</f>
        <v>P05RM-0354</v>
      </c>
      <c r="I355" s="6"/>
      <c r="J355" s="6" t="s">
        <v>2504</v>
      </c>
      <c r="K355" s="6" t="s">
        <v>2505</v>
      </c>
      <c r="L355" s="6" t="s">
        <v>2506</v>
      </c>
      <c r="M355" s="6" t="s">
        <v>2507</v>
      </c>
      <c r="N355" s="17"/>
      <c r="O355" s="17"/>
      <c r="P355" s="17" t="str">
        <f t="shared" si="6"/>
        <v>OK</v>
      </c>
      <c r="Q355" s="17" t="s">
        <v>2508</v>
      </c>
      <c r="R355" s="6" t="s">
        <v>2509</v>
      </c>
      <c r="S355" s="17" t="s">
        <v>2510</v>
      </c>
      <c r="T355" s="17" t="s">
        <v>85</v>
      </c>
      <c r="U355" s="50" t="s">
        <v>2511</v>
      </c>
      <c r="V355" s="61" t="s">
        <v>147</v>
      </c>
      <c r="W355" s="20" t="s">
        <v>385</v>
      </c>
      <c r="X355" s="39" t="s">
        <v>1484</v>
      </c>
      <c r="Y355" s="40" t="s">
        <v>261</v>
      </c>
      <c r="Z355" s="6"/>
      <c r="AA355" s="6"/>
      <c r="AB355" s="23"/>
      <c r="AC355" s="33"/>
    </row>
    <row r="356" spans="1:29" ht="15.75" customHeight="1">
      <c r="A356" s="10" t="s">
        <v>2512</v>
      </c>
      <c r="B356" s="10" t="s">
        <v>1469</v>
      </c>
      <c r="C356" s="60" t="s">
        <v>1470</v>
      </c>
      <c r="D356" s="12"/>
      <c r="E356" s="13" t="s">
        <v>151</v>
      </c>
      <c r="F356" s="6" t="s">
        <v>152</v>
      </c>
      <c r="G356" s="6" t="str">
        <f ca="1">IFERROR(__xludf.DUMMYFUNCTION("CONCATENATE(B356,(VLOOKUP(C356,CATALOGOS!$F$2:$H$6,3,FALSE)),(VLOOKUP(V356,CATALOGOS!$J$2:$K$18,2,FALSE)),""-"",TO_TEXT(A356))"),"P12SI-0355")</f>
        <v>P12SI-0355</v>
      </c>
      <c r="H356" s="15" t="str">
        <f ca="1">IFERROR(__xludf.DUMMYFUNCTION("CONCATENATE($B356,(VLOOKUP($C356,CATALOGOS!$F$2:$H$6,3,FALSE)),(VLOOKUP($V356,CATALOGOS!$J$2:$K$18,2,FALSE)),""-"",TO_TEXT($A356))"),"P12SI-0355")</f>
        <v>P12SI-0355</v>
      </c>
      <c r="I356" s="6"/>
      <c r="J356" s="6" t="s">
        <v>2513</v>
      </c>
      <c r="K356" s="6" t="s">
        <v>2514</v>
      </c>
      <c r="L356" s="6" t="s">
        <v>2515</v>
      </c>
      <c r="M356" s="6" t="s">
        <v>2516</v>
      </c>
      <c r="N356" s="17"/>
      <c r="O356" s="17"/>
      <c r="P356" s="17" t="str">
        <f t="shared" si="6"/>
        <v>OK</v>
      </c>
      <c r="Q356" s="17" t="s">
        <v>297</v>
      </c>
      <c r="R356" s="6" t="s">
        <v>1620</v>
      </c>
      <c r="S356" s="17" t="s">
        <v>2517</v>
      </c>
      <c r="T356" s="17" t="s">
        <v>85</v>
      </c>
      <c r="U356" s="18" t="s">
        <v>38</v>
      </c>
      <c r="V356" s="61" t="s">
        <v>1483</v>
      </c>
      <c r="W356" s="20" t="s">
        <v>2518</v>
      </c>
      <c r="X356" s="39" t="s">
        <v>1484</v>
      </c>
      <c r="Y356" s="20"/>
      <c r="Z356" s="6"/>
      <c r="AA356" s="6"/>
      <c r="AB356" s="23"/>
      <c r="AC356" s="24"/>
    </row>
    <row r="357" spans="1:29" ht="15.75" customHeight="1">
      <c r="A357" s="10" t="s">
        <v>2519</v>
      </c>
      <c r="B357" s="10" t="s">
        <v>27</v>
      </c>
      <c r="C357" s="63" t="s">
        <v>28</v>
      </c>
      <c r="D357" s="12"/>
      <c r="E357" s="13" t="s">
        <v>162</v>
      </c>
      <c r="F357" s="43" t="s">
        <v>285</v>
      </c>
      <c r="G357" s="6" t="str">
        <f ca="1">IFERROR(__xludf.DUMMYFUNCTION("CONCATENATE(B357,(VLOOKUP(C357,CATALOGOS!$F$2:$H$6,3,FALSE)),(VLOOKUP(V357,CATALOGOS!$J$2:$K$18,2,FALSE)),""-"",TO_TEXT(A357))"),"P05SI-0356")</f>
        <v>P05SI-0356</v>
      </c>
      <c r="H357" s="15" t="str">
        <f ca="1">IFERROR(__xludf.DUMMYFUNCTION("CONCATENATE($B357,(VLOOKUP($C357,CATALOGOS!$F$2:$H$6,3,FALSE)),(VLOOKUP($V357,CATALOGOS!$J$2:$K$18,2,FALSE)),""-"",TO_TEXT($A357))"),"P05SI-0356")</f>
        <v>P05SI-0356</v>
      </c>
      <c r="I357" s="6"/>
      <c r="J357" s="6" t="s">
        <v>2520</v>
      </c>
      <c r="K357" s="6" t="s">
        <v>2521</v>
      </c>
      <c r="L357" s="6" t="s">
        <v>2522</v>
      </c>
      <c r="M357" s="6" t="s">
        <v>2523</v>
      </c>
      <c r="N357" s="17"/>
      <c r="O357" s="17"/>
      <c r="P357" s="17" t="str">
        <f t="shared" si="6"/>
        <v>OK</v>
      </c>
      <c r="Q357" s="17" t="s">
        <v>168</v>
      </c>
      <c r="R357" s="6" t="s">
        <v>169</v>
      </c>
      <c r="S357" s="17" t="s">
        <v>2524</v>
      </c>
      <c r="T357" s="17" t="s">
        <v>2525</v>
      </c>
      <c r="U357" s="18" t="s">
        <v>2309</v>
      </c>
      <c r="V357" s="61" t="s">
        <v>1483</v>
      </c>
      <c r="W357" s="20" t="s">
        <v>385</v>
      </c>
      <c r="X357" s="39" t="s">
        <v>1484</v>
      </c>
      <c r="Y357" s="20"/>
      <c r="Z357" s="7"/>
      <c r="AA357" s="7"/>
      <c r="AB357" s="23"/>
      <c r="AC357" s="26"/>
    </row>
    <row r="358" spans="1:29" ht="15.75" customHeight="1">
      <c r="A358" s="10" t="s">
        <v>2526</v>
      </c>
      <c r="B358" s="10" t="s">
        <v>1469</v>
      </c>
      <c r="C358" s="60" t="s">
        <v>1470</v>
      </c>
      <c r="D358" s="12"/>
      <c r="E358" s="13" t="s">
        <v>93</v>
      </c>
      <c r="F358" s="6" t="s">
        <v>2527</v>
      </c>
      <c r="G358" s="6" t="str">
        <f ca="1">IFERROR(__xludf.DUMMYFUNCTION("CONCATENATE(B358,(VLOOKUP(C358,CATALOGOS!$F$2:$H$6,3,FALSE)),(VLOOKUP(V358,CATALOGOS!$J$2:$K$18,2,FALSE)),""-"",TO_TEXT(A358))"),"P12SI-0357")</f>
        <v>P12SI-0357</v>
      </c>
      <c r="H358" s="15" t="str">
        <f ca="1">IFERROR(__xludf.DUMMYFUNCTION("CONCATENATE($B358,(VLOOKUP($C358,CATALOGOS!$F$2:$H$6,3,FALSE)),(VLOOKUP($V358,CATALOGOS!$J$2:$K$18,2,FALSE)),""-"",TO_TEXT($A358))"),"P12SI-0357")</f>
        <v>P12SI-0357</v>
      </c>
      <c r="I358" s="6"/>
      <c r="J358" s="6" t="s">
        <v>2528</v>
      </c>
      <c r="K358" s="6" t="s">
        <v>2529</v>
      </c>
      <c r="L358" s="6" t="s">
        <v>2530</v>
      </c>
      <c r="M358" s="6" t="s">
        <v>2531</v>
      </c>
      <c r="N358" s="17"/>
      <c r="O358" s="17"/>
      <c r="P358" s="17" t="str">
        <f t="shared" si="6"/>
        <v>OK</v>
      </c>
      <c r="Q358" s="17" t="s">
        <v>35</v>
      </c>
      <c r="R358" s="6" t="s">
        <v>35</v>
      </c>
      <c r="S358" s="17" t="s">
        <v>36</v>
      </c>
      <c r="T358" s="17" t="s">
        <v>2532</v>
      </c>
      <c r="U358" s="18" t="s">
        <v>38</v>
      </c>
      <c r="V358" s="61" t="s">
        <v>1483</v>
      </c>
      <c r="W358" s="20" t="s">
        <v>2337</v>
      </c>
      <c r="X358" s="39" t="s">
        <v>2533</v>
      </c>
      <c r="Y358" s="20"/>
      <c r="Z358" s="7"/>
      <c r="AA358" s="7"/>
      <c r="AB358" s="23"/>
      <c r="AC358" s="26"/>
    </row>
    <row r="359" spans="1:29" ht="15.75" customHeight="1">
      <c r="A359" s="10" t="s">
        <v>2534</v>
      </c>
      <c r="B359" s="10" t="s">
        <v>1469</v>
      </c>
      <c r="C359" s="60" t="s">
        <v>1470</v>
      </c>
      <c r="D359" s="38"/>
      <c r="E359" s="13" t="s">
        <v>248</v>
      </c>
      <c r="F359" s="6" t="s">
        <v>2535</v>
      </c>
      <c r="G359" s="6" t="str">
        <f ca="1">IFERROR(__xludf.DUMMYFUNCTION("CONCATENATE(B359,(VLOOKUP(C359,CATALOGOS!$F$2:$H$6,3,FALSE)),(VLOOKUP(V359,CATALOGOS!$J$2:$K$18,2,FALSE)),""-"",TO_TEXT(A359))"),"P12SI-0358")</f>
        <v>P12SI-0358</v>
      </c>
      <c r="H359" s="15" t="str">
        <f ca="1">IFERROR(__xludf.DUMMYFUNCTION("CONCATENATE($B359,(VLOOKUP($C359,CATALOGOS!$F$2:$H$6,3,FALSE)),(VLOOKUP($V359,CATALOGOS!$J$2:$K$18,2,FALSE)),""-"",TO_TEXT($A359))"),"P12SI-0358")</f>
        <v>P12SI-0358</v>
      </c>
      <c r="I359" s="6"/>
      <c r="J359" s="6" t="s">
        <v>2536</v>
      </c>
      <c r="K359" s="6" t="s">
        <v>2537</v>
      </c>
      <c r="L359" s="6" t="s">
        <v>2538</v>
      </c>
      <c r="M359" s="6" t="s">
        <v>2539</v>
      </c>
      <c r="N359" s="17"/>
      <c r="O359" s="17"/>
      <c r="P359" s="17" t="str">
        <f t="shared" si="6"/>
        <v>OK</v>
      </c>
      <c r="Q359" s="17" t="s">
        <v>2540</v>
      </c>
      <c r="R359" s="6" t="s">
        <v>2541</v>
      </c>
      <c r="S359" s="46" t="s">
        <v>2542</v>
      </c>
      <c r="T359" s="17" t="s">
        <v>2543</v>
      </c>
      <c r="U359" s="18" t="s">
        <v>2544</v>
      </c>
      <c r="V359" s="61" t="s">
        <v>1483</v>
      </c>
      <c r="W359" s="10" t="s">
        <v>1484</v>
      </c>
      <c r="X359" s="39" t="s">
        <v>2533</v>
      </c>
      <c r="Y359" s="10"/>
      <c r="Z359" s="7"/>
      <c r="AA359" s="7"/>
      <c r="AB359" s="26"/>
      <c r="AC359" s="26"/>
    </row>
    <row r="360" spans="1:29" ht="15.75" customHeight="1">
      <c r="A360" s="10" t="s">
        <v>2545</v>
      </c>
      <c r="B360" s="10" t="s">
        <v>1469</v>
      </c>
      <c r="C360" s="60" t="s">
        <v>1470</v>
      </c>
      <c r="D360" s="12"/>
      <c r="E360" s="13" t="s">
        <v>116</v>
      </c>
      <c r="F360" s="43" t="s">
        <v>2546</v>
      </c>
      <c r="G360" s="6" t="str">
        <f ca="1">IFERROR(__xludf.DUMMYFUNCTION("CONCATENATE(B360,(VLOOKUP(C360,CATALOGOS!$F$2:$H$6,3,FALSE)),(VLOOKUP(V360,CATALOGOS!$J$2:$K$18,2,FALSE)),""-"",TO_TEXT(A360))"),"P12SI-0359")</f>
        <v>P12SI-0359</v>
      </c>
      <c r="H360" s="15" t="str">
        <f ca="1">IFERROR(__xludf.DUMMYFUNCTION("CONCATENATE($B360,(VLOOKUP($C360,CATALOGOS!$F$2:$H$6,3,FALSE)),(VLOOKUP($V360,CATALOGOS!$J$2:$K$18,2,FALSE)),""-"",TO_TEXT($A360))"),"P12SI-0359")</f>
        <v>P12SI-0359</v>
      </c>
      <c r="I360" s="6"/>
      <c r="J360" s="6" t="s">
        <v>2547</v>
      </c>
      <c r="K360" s="6" t="s">
        <v>2548</v>
      </c>
      <c r="L360" s="6" t="s">
        <v>2549</v>
      </c>
      <c r="M360" s="6" t="s">
        <v>2550</v>
      </c>
      <c r="N360" s="17"/>
      <c r="O360" s="17"/>
      <c r="P360" s="17" t="str">
        <f t="shared" si="6"/>
        <v>OK</v>
      </c>
      <c r="Q360" s="17" t="s">
        <v>35</v>
      </c>
      <c r="R360" s="49" t="s">
        <v>35</v>
      </c>
      <c r="S360" s="17" t="s">
        <v>36</v>
      </c>
      <c r="T360" s="17" t="s">
        <v>2551</v>
      </c>
      <c r="U360" s="18" t="s">
        <v>38</v>
      </c>
      <c r="V360" s="61" t="s">
        <v>1483</v>
      </c>
      <c r="W360" s="20" t="s">
        <v>2518</v>
      </c>
      <c r="X360" s="21" t="s">
        <v>2552</v>
      </c>
      <c r="Y360" s="22"/>
      <c r="Z360" s="6"/>
      <c r="AA360" s="6"/>
      <c r="AB360" s="23"/>
      <c r="AC360" s="24"/>
    </row>
    <row r="361" spans="1:29" ht="15.75" customHeight="1">
      <c r="A361" s="10" t="s">
        <v>2553</v>
      </c>
      <c r="B361" s="10" t="s">
        <v>1469</v>
      </c>
      <c r="C361" s="60" t="s">
        <v>1470</v>
      </c>
      <c r="D361" s="12"/>
      <c r="E361" s="13" t="s">
        <v>151</v>
      </c>
      <c r="F361" s="6" t="s">
        <v>152</v>
      </c>
      <c r="G361" s="6" t="str">
        <f ca="1">IFERROR(__xludf.DUMMYFUNCTION("CONCATENATE(B361,(VLOOKUP(C361,CATALOGOS!$F$2:$H$6,3,FALSE)),(VLOOKUP(V361,CATALOGOS!$J$2:$K$18,2,FALSE)),""-"",TO_TEXT(A361))"),"P12SI-0360")</f>
        <v>P12SI-0360</v>
      </c>
      <c r="H361" s="15" t="str">
        <f ca="1">IFERROR(__xludf.DUMMYFUNCTION("CONCATENATE($B361,(VLOOKUP($C361,CATALOGOS!$F$2:$H$6,3,FALSE)),(VLOOKUP($V361,CATALOGOS!$J$2:$K$18,2,FALSE)),""-"",TO_TEXT($A361))"),"P12SI-0360")</f>
        <v>P12SI-0360</v>
      </c>
      <c r="I361" s="6"/>
      <c r="J361" s="6" t="s">
        <v>2554</v>
      </c>
      <c r="K361" s="6" t="s">
        <v>2555</v>
      </c>
      <c r="L361" s="6" t="s">
        <v>2556</v>
      </c>
      <c r="M361" s="6" t="s">
        <v>2557</v>
      </c>
      <c r="N361" s="17"/>
      <c r="O361" s="17"/>
      <c r="P361" s="17" t="str">
        <f t="shared" si="6"/>
        <v>OK</v>
      </c>
      <c r="Q361" s="17" t="s">
        <v>205</v>
      </c>
      <c r="R361" s="6" t="s">
        <v>916</v>
      </c>
      <c r="S361" s="17" t="s">
        <v>2558</v>
      </c>
      <c r="T361" s="17" t="s">
        <v>2559</v>
      </c>
      <c r="U361" s="18" t="s">
        <v>38</v>
      </c>
      <c r="V361" s="61" t="s">
        <v>1483</v>
      </c>
      <c r="W361" s="20" t="s">
        <v>1484</v>
      </c>
      <c r="X361" s="21" t="s">
        <v>2552</v>
      </c>
      <c r="Y361" s="22"/>
      <c r="Z361" s="7"/>
      <c r="AA361" s="7"/>
      <c r="AB361" s="23"/>
      <c r="AC361" s="26"/>
    </row>
    <row r="362" spans="1:29" ht="15.75" customHeight="1">
      <c r="A362" s="10" t="s">
        <v>2560</v>
      </c>
      <c r="B362" s="10" t="s">
        <v>1469</v>
      </c>
      <c r="C362" s="60" t="s">
        <v>1470</v>
      </c>
      <c r="D362" s="12"/>
      <c r="E362" s="13" t="s">
        <v>1240</v>
      </c>
      <c r="F362" s="43" t="s">
        <v>278</v>
      </c>
      <c r="G362" s="6" t="str">
        <f ca="1">IFERROR(__xludf.DUMMYFUNCTION("CONCATENATE(B362,(VLOOKUP(C362,CATALOGOS!$F$2:$H$6,3,FALSE)),(VLOOKUP(V362,CATALOGOS!$J$2:$K$18,2,FALSE)),""-"",TO_TEXT(A362))"),"P12SI-0361")</f>
        <v>P12SI-0361</v>
      </c>
      <c r="H362" s="15" t="str">
        <f ca="1">IFERROR(__xludf.DUMMYFUNCTION("CONCATENATE($B362,(VLOOKUP($C362,CATALOGOS!$F$2:$H$6,3,FALSE)),(VLOOKUP($V362,CATALOGOS!$J$2:$K$18,2,FALSE)),""-"",TO_TEXT($A362))"),"P12SI-0361")</f>
        <v>P12SI-0361</v>
      </c>
      <c r="I362" s="6"/>
      <c r="J362" s="6" t="s">
        <v>2561</v>
      </c>
      <c r="K362" s="6" t="s">
        <v>2562</v>
      </c>
      <c r="L362" s="6" t="s">
        <v>2563</v>
      </c>
      <c r="M362" s="6" t="s">
        <v>2564</v>
      </c>
      <c r="N362" s="17"/>
      <c r="O362" s="17"/>
      <c r="P362" s="17" t="str">
        <f t="shared" si="6"/>
        <v>OK</v>
      </c>
      <c r="Q362" s="17" t="s">
        <v>35</v>
      </c>
      <c r="R362" s="6" t="s">
        <v>35</v>
      </c>
      <c r="S362" s="17" t="s">
        <v>36</v>
      </c>
      <c r="T362" s="17" t="s">
        <v>2565</v>
      </c>
      <c r="U362" s="18" t="s">
        <v>38</v>
      </c>
      <c r="V362" s="61" t="s">
        <v>1483</v>
      </c>
      <c r="W362" s="20" t="s">
        <v>2518</v>
      </c>
      <c r="X362" s="21" t="s">
        <v>2552</v>
      </c>
      <c r="Y362" s="22"/>
      <c r="Z362" s="6"/>
      <c r="AA362" s="6"/>
      <c r="AB362" s="23"/>
      <c r="AC362" s="24"/>
    </row>
    <row r="363" spans="1:29" ht="15.75" customHeight="1">
      <c r="A363" s="10" t="s">
        <v>2566</v>
      </c>
      <c r="B363" s="10" t="s">
        <v>1469</v>
      </c>
      <c r="C363" s="60" t="s">
        <v>1470</v>
      </c>
      <c r="D363" s="12"/>
      <c r="E363" s="13" t="s">
        <v>248</v>
      </c>
      <c r="F363" s="43" t="s">
        <v>248</v>
      </c>
      <c r="G363" s="6" t="str">
        <f ca="1">IFERROR(__xludf.DUMMYFUNCTION("CONCATENATE(B363,(VLOOKUP(C363,CATALOGOS!$F$2:$H$6,3,FALSE)),(VLOOKUP(V363,CATALOGOS!$J$2:$K$18,2,FALSE)),""-"",TO_TEXT(A363))"),"P12SI-0362")</f>
        <v>P12SI-0362</v>
      </c>
      <c r="H363" s="15" t="str">
        <f ca="1">IFERROR(__xludf.DUMMYFUNCTION("CONCATENATE($B363,(VLOOKUP($C363,CATALOGOS!$F$2:$H$6,3,FALSE)),(VLOOKUP($V363,CATALOGOS!$J$2:$K$18,2,FALSE)),""-"",TO_TEXT($A363))"),"P12SI-0362")</f>
        <v>P12SI-0362</v>
      </c>
      <c r="I363" s="6"/>
      <c r="J363" s="6" t="s">
        <v>2567</v>
      </c>
      <c r="K363" s="6" t="s">
        <v>2568</v>
      </c>
      <c r="L363" s="6" t="s">
        <v>2569</v>
      </c>
      <c r="M363" s="6" t="s">
        <v>2570</v>
      </c>
      <c r="N363" s="17"/>
      <c r="O363" s="17"/>
      <c r="P363" s="17" t="str">
        <f t="shared" si="6"/>
        <v>OK</v>
      </c>
      <c r="Q363" s="17" t="s">
        <v>250</v>
      </c>
      <c r="R363" s="6" t="s">
        <v>35</v>
      </c>
      <c r="S363" s="17" t="s">
        <v>2571</v>
      </c>
      <c r="T363" s="17" t="s">
        <v>2572</v>
      </c>
      <c r="U363" s="18" t="s">
        <v>38</v>
      </c>
      <c r="V363" s="61" t="s">
        <v>1483</v>
      </c>
      <c r="W363" s="20" t="s">
        <v>2518</v>
      </c>
      <c r="X363" s="21" t="s">
        <v>2552</v>
      </c>
      <c r="Y363" s="22"/>
      <c r="Z363" s="7"/>
      <c r="AA363" s="7"/>
      <c r="AB363" s="23"/>
      <c r="AC363" s="26"/>
    </row>
    <row r="364" spans="1:29" ht="15.75" customHeight="1">
      <c r="A364" s="10" t="s">
        <v>2573</v>
      </c>
      <c r="B364" s="10" t="s">
        <v>1469</v>
      </c>
      <c r="C364" s="60" t="s">
        <v>1470</v>
      </c>
      <c r="D364" s="12"/>
      <c r="E364" s="13" t="s">
        <v>199</v>
      </c>
      <c r="F364" s="43" t="s">
        <v>1394</v>
      </c>
      <c r="G364" s="6" t="str">
        <f ca="1">IFERROR(__xludf.DUMMYFUNCTION("CONCATENATE(B364,(VLOOKUP(C364,CATALOGOS!$F$2:$H$6,3,FALSE)),(VLOOKUP(V364,CATALOGOS!$J$2:$K$18,2,FALSE)),""-"",TO_TEXT(A364))"),"P12SI-0363")</f>
        <v>P12SI-0363</v>
      </c>
      <c r="H364" s="15" t="str">
        <f ca="1">IFERROR(__xludf.DUMMYFUNCTION("CONCATENATE($B364,(VLOOKUP($C364,CATALOGOS!$F$2:$H$6,3,FALSE)),(VLOOKUP($V364,CATALOGOS!$J$2:$K$18,2,FALSE)),""-"",TO_TEXT($A364))"),"P12SI-0363")</f>
        <v>P12SI-0363</v>
      </c>
      <c r="I364" s="6"/>
      <c r="J364" s="6" t="s">
        <v>2574</v>
      </c>
      <c r="K364" s="6" t="s">
        <v>2575</v>
      </c>
      <c r="L364" s="6" t="s">
        <v>2576</v>
      </c>
      <c r="M364" s="6" t="s">
        <v>2577</v>
      </c>
      <c r="N364" s="17"/>
      <c r="O364" s="17"/>
      <c r="P364" s="17" t="str">
        <f t="shared" si="6"/>
        <v>OK</v>
      </c>
      <c r="Q364" s="17" t="s">
        <v>297</v>
      </c>
      <c r="R364" s="6" t="s">
        <v>2009</v>
      </c>
      <c r="S364" s="17" t="s">
        <v>2578</v>
      </c>
      <c r="T364" s="17" t="s">
        <v>2579</v>
      </c>
      <c r="U364" s="18" t="s">
        <v>38</v>
      </c>
      <c r="V364" s="61" t="s">
        <v>1483</v>
      </c>
      <c r="W364" s="20" t="s">
        <v>2337</v>
      </c>
      <c r="X364" s="21" t="s">
        <v>2552</v>
      </c>
      <c r="Y364" s="22"/>
      <c r="Z364" s="6"/>
      <c r="AA364" s="6"/>
      <c r="AB364" s="23"/>
      <c r="AC364" s="24"/>
    </row>
    <row r="365" spans="1:29" ht="15.75" customHeight="1">
      <c r="A365" s="10" t="s">
        <v>2580</v>
      </c>
      <c r="B365" s="10" t="s">
        <v>1469</v>
      </c>
      <c r="C365" s="60" t="s">
        <v>1470</v>
      </c>
      <c r="D365" s="12"/>
      <c r="E365" s="13" t="s">
        <v>43</v>
      </c>
      <c r="F365" s="6" t="s">
        <v>2581</v>
      </c>
      <c r="G365" s="6" t="str">
        <f ca="1">IFERROR(__xludf.DUMMYFUNCTION("CONCATENATE(B365,(VLOOKUP(C365,CATALOGOS!$F$2:$H$6,3,FALSE)),(VLOOKUP(V365,CATALOGOS!$J$2:$K$18,2,FALSE)),""-"",TO_TEXT(A365))"),"P12SI-0364")</f>
        <v>P12SI-0364</v>
      </c>
      <c r="H365" s="15" t="str">
        <f ca="1">IFERROR(__xludf.DUMMYFUNCTION("CONCATENATE($B365,(VLOOKUP($C365,CATALOGOS!$F$2:$H$6,3,FALSE)),(VLOOKUP($V365,CATALOGOS!$J$2:$K$18,2,FALSE)),""-"",TO_TEXT($A365))"),"P12SI-0364")</f>
        <v>P12SI-0364</v>
      </c>
      <c r="I365" s="6"/>
      <c r="J365" s="6" t="s">
        <v>2582</v>
      </c>
      <c r="K365" s="6" t="s">
        <v>2583</v>
      </c>
      <c r="L365" s="6" t="s">
        <v>2584</v>
      </c>
      <c r="M365" s="6" t="s">
        <v>2585</v>
      </c>
      <c r="N365" s="17"/>
      <c r="O365" s="17"/>
      <c r="P365" s="17" t="str">
        <f t="shared" si="6"/>
        <v>OK</v>
      </c>
      <c r="Q365" s="17" t="s">
        <v>2586</v>
      </c>
      <c r="R365" s="6" t="s">
        <v>2587</v>
      </c>
      <c r="S365" s="17" t="s">
        <v>36</v>
      </c>
      <c r="T365" s="10" t="s">
        <v>2588</v>
      </c>
      <c r="U365" s="18" t="s">
        <v>100</v>
      </c>
      <c r="V365" s="61" t="s">
        <v>1483</v>
      </c>
      <c r="W365" s="20" t="s">
        <v>2518</v>
      </c>
      <c r="X365" s="21" t="s">
        <v>2552</v>
      </c>
      <c r="Y365" s="22"/>
      <c r="Z365" s="7"/>
      <c r="AA365" s="7"/>
      <c r="AB365" s="23"/>
      <c r="AC365" s="26"/>
    </row>
    <row r="366" spans="1:29" ht="15.75" customHeight="1">
      <c r="A366" s="10" t="s">
        <v>2589</v>
      </c>
      <c r="B366" s="10" t="s">
        <v>1469</v>
      </c>
      <c r="C366" s="60" t="s">
        <v>1470</v>
      </c>
      <c r="D366" s="12"/>
      <c r="E366" s="13" t="s">
        <v>184</v>
      </c>
      <c r="F366" s="6" t="s">
        <v>927</v>
      </c>
      <c r="G366" s="6" t="str">
        <f ca="1">IFERROR(__xludf.DUMMYFUNCTION("CONCATENATE(B366,(VLOOKUP(C366,CATALOGOS!$F$2:$H$6,3,FALSE)),(VLOOKUP(V366,CATALOGOS!$J$2:$K$18,2,FALSE)),""-"",TO_TEXT(A366))"),"P12SI-0365")</f>
        <v>P12SI-0365</v>
      </c>
      <c r="H366" s="15" t="str">
        <f ca="1">IFERROR(__xludf.DUMMYFUNCTION("CONCATENATE($B366,(VLOOKUP($C366,CATALOGOS!$F$2:$H$6,3,FALSE)),(VLOOKUP($V366,CATALOGOS!$J$2:$K$18,2,FALSE)),""-"",TO_TEXT($A366))"),"P12SI-0365")</f>
        <v>P12SI-0365</v>
      </c>
      <c r="I366" s="6"/>
      <c r="J366" s="6" t="s">
        <v>2590</v>
      </c>
      <c r="K366" s="6" t="s">
        <v>2591</v>
      </c>
      <c r="L366" s="6" t="s">
        <v>2592</v>
      </c>
      <c r="M366" s="6" t="s">
        <v>2593</v>
      </c>
      <c r="N366" s="17"/>
      <c r="O366" s="17"/>
      <c r="P366" s="17" t="str">
        <f t="shared" si="6"/>
        <v>OK</v>
      </c>
      <c r="Q366" s="17" t="s">
        <v>35</v>
      </c>
      <c r="R366" s="6" t="s">
        <v>35</v>
      </c>
      <c r="S366" s="17" t="s">
        <v>36</v>
      </c>
      <c r="T366" s="17" t="s">
        <v>2594</v>
      </c>
      <c r="U366" s="18" t="s">
        <v>38</v>
      </c>
      <c r="V366" s="61" t="s">
        <v>1483</v>
      </c>
      <c r="W366" s="20" t="s">
        <v>2337</v>
      </c>
      <c r="X366" s="21" t="s">
        <v>2552</v>
      </c>
      <c r="Y366" s="22"/>
      <c r="Z366" s="7"/>
      <c r="AA366" s="7"/>
      <c r="AB366" s="23"/>
      <c r="AC366" s="26"/>
    </row>
    <row r="367" spans="1:29" ht="15.75" customHeight="1">
      <c r="A367" s="10" t="s">
        <v>2595</v>
      </c>
      <c r="B367" s="10" t="s">
        <v>1469</v>
      </c>
      <c r="C367" s="60" t="s">
        <v>1470</v>
      </c>
      <c r="D367" s="38"/>
      <c r="E367" s="13" t="s">
        <v>2311</v>
      </c>
      <c r="F367" s="6" t="s">
        <v>2596</v>
      </c>
      <c r="G367" s="6" t="str">
        <f ca="1">IFERROR(__xludf.DUMMYFUNCTION("CONCATENATE(B367,(VLOOKUP(C367,CATALOGOS!$F$2:$H$6,3,FALSE)),(VLOOKUP(V367,CATALOGOS!$J$2:$K$18,2,FALSE)),""-"",TO_TEXT(A367))"),"P12SI-0366")</f>
        <v>P12SI-0366</v>
      </c>
      <c r="H367" s="15" t="str">
        <f ca="1">IFERROR(__xludf.DUMMYFUNCTION("CONCATENATE($B367,(VLOOKUP($C367,CATALOGOS!$F$2:$H$6,3,FALSE)),(VLOOKUP($V367,CATALOGOS!$J$2:$K$18,2,FALSE)),""-"",TO_TEXT($A367))"),"P12SI-0366")</f>
        <v>P12SI-0366</v>
      </c>
      <c r="I367" s="6"/>
      <c r="J367" s="6" t="s">
        <v>2597</v>
      </c>
      <c r="K367" s="6" t="s">
        <v>2598</v>
      </c>
      <c r="L367" s="36"/>
      <c r="M367" s="6" t="s">
        <v>141</v>
      </c>
      <c r="N367" s="17"/>
      <c r="O367" s="17"/>
      <c r="P367" s="17" t="str">
        <f t="shared" si="6"/>
        <v>REPETIDO</v>
      </c>
      <c r="Q367" s="17" t="s">
        <v>2599</v>
      </c>
      <c r="R367" s="6" t="s">
        <v>2600</v>
      </c>
      <c r="S367" s="6" t="s">
        <v>2601</v>
      </c>
      <c r="T367" s="32" t="s">
        <v>85</v>
      </c>
      <c r="U367" s="18" t="s">
        <v>38</v>
      </c>
      <c r="V367" s="61" t="s">
        <v>1483</v>
      </c>
      <c r="W367" s="20" t="s">
        <v>7203</v>
      </c>
      <c r="X367" s="20" t="s">
        <v>2466</v>
      </c>
      <c r="Y367" s="32"/>
      <c r="Z367" s="6"/>
      <c r="AA367" s="6"/>
      <c r="AB367" s="26"/>
      <c r="AC367" s="33"/>
    </row>
    <row r="368" spans="1:29" ht="15.75" customHeight="1">
      <c r="A368" s="10" t="s">
        <v>2602</v>
      </c>
      <c r="B368" s="10" t="s">
        <v>1469</v>
      </c>
      <c r="C368" s="60" t="s">
        <v>1470</v>
      </c>
      <c r="D368" s="12"/>
      <c r="E368" s="13" t="s">
        <v>151</v>
      </c>
      <c r="F368" s="6" t="s">
        <v>151</v>
      </c>
      <c r="G368" s="6" t="str">
        <f ca="1">IFERROR(__xludf.DUMMYFUNCTION("CONCATENATE(B368,(VLOOKUP(C368,CATALOGOS!$F$2:$H$6,3,FALSE)),(VLOOKUP(V368,CATALOGOS!$J$2:$K$18,2,FALSE)),""-"",TO_TEXT(A368))"),"P12SI-0367")</f>
        <v>P12SI-0367</v>
      </c>
      <c r="H368" s="15" t="str">
        <f ca="1">IFERROR(__xludf.DUMMYFUNCTION("CONCATENATE($B368,(VLOOKUP($C368,CATALOGOS!$F$2:$H$6,3,FALSE)),(VLOOKUP($V368,CATALOGOS!$J$2:$K$18,2,FALSE)),""-"",TO_TEXT($A368))"),"P12SI-0367")</f>
        <v>P12SI-0367</v>
      </c>
      <c r="I368" s="6"/>
      <c r="J368" s="6" t="s">
        <v>2603</v>
      </c>
      <c r="K368" s="6" t="s">
        <v>2604</v>
      </c>
      <c r="L368" s="6" t="s">
        <v>2605</v>
      </c>
      <c r="M368" s="6" t="s">
        <v>2606</v>
      </c>
      <c r="N368" s="17"/>
      <c r="O368" s="17"/>
      <c r="P368" s="17" t="str">
        <f t="shared" si="6"/>
        <v>OK</v>
      </c>
      <c r="Q368" s="17" t="s">
        <v>297</v>
      </c>
      <c r="R368" s="6" t="s">
        <v>1407</v>
      </c>
      <c r="S368" s="17" t="s">
        <v>2607</v>
      </c>
      <c r="T368" s="10" t="s">
        <v>2608</v>
      </c>
      <c r="U368" s="18" t="s">
        <v>38</v>
      </c>
      <c r="V368" s="61" t="s">
        <v>1483</v>
      </c>
      <c r="W368" s="22" t="s">
        <v>2500</v>
      </c>
      <c r="X368" s="21" t="s">
        <v>2500</v>
      </c>
      <c r="Y368" s="22"/>
      <c r="Z368" s="7"/>
      <c r="AA368" s="7"/>
      <c r="AB368" s="23"/>
      <c r="AC368" s="26"/>
    </row>
    <row r="369" spans="1:29" ht="15.75" customHeight="1">
      <c r="A369" s="10" t="s">
        <v>2609</v>
      </c>
      <c r="B369" s="10" t="s">
        <v>1469</v>
      </c>
      <c r="C369" s="60" t="s">
        <v>1470</v>
      </c>
      <c r="D369" s="12"/>
      <c r="E369" s="13" t="s">
        <v>151</v>
      </c>
      <c r="F369" s="6" t="s">
        <v>151</v>
      </c>
      <c r="G369" s="6" t="str">
        <f ca="1">IFERROR(__xludf.DUMMYFUNCTION("CONCATENATE(B369,(VLOOKUP(C369,CATALOGOS!$F$2:$H$6,3,FALSE)),(VLOOKUP(V369,CATALOGOS!$J$2:$K$18,2,FALSE)),""-"",TO_TEXT(A369))"),"P12SI-0368")</f>
        <v>P12SI-0368</v>
      </c>
      <c r="H369" s="15" t="str">
        <f ca="1">IFERROR(__xludf.DUMMYFUNCTION("CONCATENATE($B369,(VLOOKUP($C369,CATALOGOS!$F$2:$H$6,3,FALSE)),(VLOOKUP($V369,CATALOGOS!$J$2:$K$18,2,FALSE)),""-"",TO_TEXT($A369))"),"P12SI-0368")</f>
        <v>P12SI-0368</v>
      </c>
      <c r="I369" s="6"/>
      <c r="J369" s="6" t="s">
        <v>2610</v>
      </c>
      <c r="K369" s="6" t="s">
        <v>2611</v>
      </c>
      <c r="L369" s="6" t="s">
        <v>2612</v>
      </c>
      <c r="M369" s="6" t="s">
        <v>2613</v>
      </c>
      <c r="N369" s="17"/>
      <c r="O369" s="17"/>
      <c r="P369" s="17" t="str">
        <f t="shared" si="6"/>
        <v>OK</v>
      </c>
      <c r="Q369" s="17" t="s">
        <v>297</v>
      </c>
      <c r="R369" s="6" t="s">
        <v>1407</v>
      </c>
      <c r="S369" s="17" t="s">
        <v>2614</v>
      </c>
      <c r="T369" s="10" t="s">
        <v>2615</v>
      </c>
      <c r="U369" s="18" t="s">
        <v>38</v>
      </c>
      <c r="V369" s="61" t="s">
        <v>1483</v>
      </c>
      <c r="W369" s="22" t="s">
        <v>2500</v>
      </c>
      <c r="X369" s="21" t="s">
        <v>2500</v>
      </c>
      <c r="Y369" s="22"/>
      <c r="Z369" s="6"/>
      <c r="AA369" s="6"/>
      <c r="AB369" s="23"/>
      <c r="AC369" s="24"/>
    </row>
    <row r="370" spans="1:29" ht="15.75" customHeight="1">
      <c r="A370" s="10" t="s">
        <v>2616</v>
      </c>
      <c r="B370" s="10" t="s">
        <v>1469</v>
      </c>
      <c r="C370" s="60" t="s">
        <v>1470</v>
      </c>
      <c r="D370" s="12"/>
      <c r="E370" s="13" t="s">
        <v>199</v>
      </c>
      <c r="F370" s="43" t="s">
        <v>1394</v>
      </c>
      <c r="G370" s="6" t="str">
        <f ca="1">IFERROR(__xludf.DUMMYFUNCTION("CONCATENATE(B370,(VLOOKUP(C370,CATALOGOS!$F$2:$H$6,3,FALSE)),(VLOOKUP(V370,CATALOGOS!$J$2:$K$18,2,FALSE)),""-"",TO_TEXT(A370))"),"P12SI-0369")</f>
        <v>P12SI-0369</v>
      </c>
      <c r="H370" s="15" t="str">
        <f ca="1">IFERROR(__xludf.DUMMYFUNCTION("CONCATENATE($B370,(VLOOKUP($C370,CATALOGOS!$F$2:$H$6,3,FALSE)),(VLOOKUP($V370,CATALOGOS!$J$2:$K$18,2,FALSE)),""-"",TO_TEXT($A370))"),"P12SI-0369")</f>
        <v>P12SI-0369</v>
      </c>
      <c r="I370" s="6"/>
      <c r="J370" s="6" t="s">
        <v>2617</v>
      </c>
      <c r="K370" s="6" t="s">
        <v>2618</v>
      </c>
      <c r="L370" s="6" t="s">
        <v>2619</v>
      </c>
      <c r="M370" s="6" t="s">
        <v>141</v>
      </c>
      <c r="N370" s="17"/>
      <c r="O370" s="17"/>
      <c r="P370" s="17" t="str">
        <f t="shared" si="6"/>
        <v>REPETIDO</v>
      </c>
      <c r="Q370" s="17" t="s">
        <v>297</v>
      </c>
      <c r="R370" s="32" t="s">
        <v>2620</v>
      </c>
      <c r="S370" s="17" t="s">
        <v>2621</v>
      </c>
      <c r="T370" s="17" t="s">
        <v>2622</v>
      </c>
      <c r="U370" s="18" t="s">
        <v>38</v>
      </c>
      <c r="V370" s="61" t="s">
        <v>1483</v>
      </c>
      <c r="W370" s="22" t="s">
        <v>2500</v>
      </c>
      <c r="X370" s="21" t="s">
        <v>2500</v>
      </c>
      <c r="Y370" s="22"/>
      <c r="Z370" s="7"/>
      <c r="AA370" s="7"/>
      <c r="AB370" s="23"/>
      <c r="AC370" s="26"/>
    </row>
    <row r="371" spans="1:29" ht="15.75" customHeight="1">
      <c r="A371" s="10" t="s">
        <v>2623</v>
      </c>
      <c r="B371" s="10" t="s">
        <v>1469</v>
      </c>
      <c r="C371" s="60" t="s">
        <v>1470</v>
      </c>
      <c r="D371" s="12"/>
      <c r="E371" s="13" t="s">
        <v>2311</v>
      </c>
      <c r="F371" s="6" t="s">
        <v>2624</v>
      </c>
      <c r="G371" s="6" t="str">
        <f ca="1">IFERROR(__xludf.DUMMYFUNCTION("CONCATENATE(B371,(VLOOKUP(C371,CATALOGOS!$F$2:$H$6,3,FALSE)),(VLOOKUP(V371,CATALOGOS!$J$2:$K$18,2,FALSE)),""-"",TO_TEXT(A371))"),"P12SI-0370")</f>
        <v>P12SI-0370</v>
      </c>
      <c r="H371" s="64" t="str">
        <f ca="1">IFERROR(__xludf.DUMMYFUNCTION("CONCATENATE($B371,(VLOOKUP($C371,CATALOGOS!$F$2:$H$6,3,FALSE)),(VLOOKUP($V371,CATALOGOS!$J$2:$K$18,2,FALSE)),""-"",TO_TEXT($A371))"),"P12SI-0370")</f>
        <v>P12SI-0370</v>
      </c>
      <c r="I371" s="6"/>
      <c r="J371" s="6" t="s">
        <v>2625</v>
      </c>
      <c r="K371" s="6" t="s">
        <v>2626</v>
      </c>
      <c r="L371" s="6" t="s">
        <v>2627</v>
      </c>
      <c r="M371" s="6" t="s">
        <v>2628</v>
      </c>
      <c r="N371" s="17"/>
      <c r="O371" s="17"/>
      <c r="P371" s="17" t="str">
        <f t="shared" si="6"/>
        <v>OK</v>
      </c>
      <c r="Q371" s="17" t="s">
        <v>2629</v>
      </c>
      <c r="R371" s="6" t="s">
        <v>2630</v>
      </c>
      <c r="S371" s="17" t="s">
        <v>2631</v>
      </c>
      <c r="T371" s="10" t="s">
        <v>2632</v>
      </c>
      <c r="U371" s="18" t="s">
        <v>38</v>
      </c>
      <c r="V371" s="61" t="s">
        <v>1483</v>
      </c>
      <c r="W371" s="22" t="s">
        <v>2500</v>
      </c>
      <c r="X371" s="21" t="s">
        <v>2500</v>
      </c>
      <c r="Y371" s="22"/>
      <c r="Z371" s="7"/>
      <c r="AA371" s="7"/>
      <c r="AB371" s="23"/>
      <c r="AC371" s="26"/>
    </row>
    <row r="372" spans="1:29" ht="15.75" customHeight="1">
      <c r="A372" s="10" t="s">
        <v>2633</v>
      </c>
      <c r="B372" s="10" t="s">
        <v>1469</v>
      </c>
      <c r="C372" s="63" t="s">
        <v>28</v>
      </c>
      <c r="D372" s="12"/>
      <c r="E372" s="13" t="s">
        <v>136</v>
      </c>
      <c r="F372" s="43" t="s">
        <v>136</v>
      </c>
      <c r="G372" s="14" t="str">
        <f ca="1">IFERROR(__xludf.DUMMYFUNCTION("CONCATENATE(B372,(VLOOKUP(C372,CATALOGOS!$F$2:$H$6,3,FALSE)),(VLOOKUP(V372,CATALOGOS!$J$2:$K$18,2,FALSE)),""-"",TO_TEXT(A372))"),"P15RM-0371")</f>
        <v>P15RM-0371</v>
      </c>
      <c r="H372" s="15" t="str">
        <f ca="1">IFERROR(__xludf.DUMMYFUNCTION("CONCATENATE($B372,(VLOOKUP($C372,CATALOGOS!$F$2:$H$6,3,FALSE)),(VLOOKUP($V372,CATALOGOS!$J$2:$K$18,2,FALSE)),""-"",TO_TEXT($A372))"),"P15RM-0371")</f>
        <v>P15RM-0371</v>
      </c>
      <c r="I372" s="6"/>
      <c r="J372" s="6" t="s">
        <v>2634</v>
      </c>
      <c r="K372" s="6" t="s">
        <v>2635</v>
      </c>
      <c r="L372" s="6" t="s">
        <v>2636</v>
      </c>
      <c r="M372" s="6" t="s">
        <v>2637</v>
      </c>
      <c r="N372" s="17"/>
      <c r="O372" s="17"/>
      <c r="P372" s="17" t="str">
        <f t="shared" si="6"/>
        <v>OK</v>
      </c>
      <c r="Q372" s="17" t="s">
        <v>143</v>
      </c>
      <c r="R372" s="6" t="s">
        <v>1330</v>
      </c>
      <c r="S372" s="17" t="s">
        <v>2638</v>
      </c>
      <c r="T372" s="10" t="s">
        <v>2639</v>
      </c>
      <c r="U372" s="50" t="s">
        <v>142</v>
      </c>
      <c r="V372" s="61" t="s">
        <v>147</v>
      </c>
      <c r="W372" s="20" t="s">
        <v>385</v>
      </c>
      <c r="X372" s="21" t="s">
        <v>2500</v>
      </c>
      <c r="Y372" s="22"/>
      <c r="Z372" s="7"/>
      <c r="AA372" s="7"/>
      <c r="AB372" s="23"/>
      <c r="AC372" s="26"/>
    </row>
    <row r="373" spans="1:29" ht="15.75" customHeight="1">
      <c r="A373" s="10" t="s">
        <v>2640</v>
      </c>
      <c r="B373" s="10" t="s">
        <v>1469</v>
      </c>
      <c r="C373" s="60" t="s">
        <v>1470</v>
      </c>
      <c r="D373" s="12"/>
      <c r="E373" s="13" t="s">
        <v>43</v>
      </c>
      <c r="F373" s="6" t="s">
        <v>2641</v>
      </c>
      <c r="G373" s="6" t="str">
        <f ca="1">IFERROR(__xludf.DUMMYFUNCTION("CONCATENATE(B373,(VLOOKUP(C373,CATALOGOS!$F$2:$H$6,3,FALSE)),(VLOOKUP(V373,CATALOGOS!$J$2:$K$18,2,FALSE)),""-"",TO_TEXT(A373))"),"P12SI-0372")</f>
        <v>P12SI-0372</v>
      </c>
      <c r="H373" s="15" t="str">
        <f ca="1">IFERROR(__xludf.DUMMYFUNCTION("CONCATENATE($B373,(VLOOKUP($C373,CATALOGOS!$F$2:$H$6,3,FALSE)),(VLOOKUP($V373,CATALOGOS!$J$2:$K$18,2,FALSE)),""-"",TO_TEXT($A373))"),"P12SI-0372")</f>
        <v>P12SI-0372</v>
      </c>
      <c r="I373" s="6"/>
      <c r="J373" s="6" t="s">
        <v>2642</v>
      </c>
      <c r="K373" s="6" t="s">
        <v>2643</v>
      </c>
      <c r="L373" s="6" t="s">
        <v>2644</v>
      </c>
      <c r="M373" s="6" t="s">
        <v>2645</v>
      </c>
      <c r="N373" s="17"/>
      <c r="O373" s="17"/>
      <c r="P373" s="17" t="str">
        <f t="shared" si="6"/>
        <v>OK</v>
      </c>
      <c r="Q373" s="17" t="s">
        <v>406</v>
      </c>
      <c r="R373" s="6" t="s">
        <v>1271</v>
      </c>
      <c r="S373" s="17" t="s">
        <v>2646</v>
      </c>
      <c r="T373" s="17" t="s">
        <v>2647</v>
      </c>
      <c r="U373" s="18" t="s">
        <v>38</v>
      </c>
      <c r="V373" s="61" t="s">
        <v>1483</v>
      </c>
      <c r="W373" s="22" t="s">
        <v>2500</v>
      </c>
      <c r="X373" s="21" t="s">
        <v>2500</v>
      </c>
      <c r="Y373" s="22"/>
      <c r="Z373" s="6"/>
      <c r="AA373" s="6"/>
      <c r="AB373" s="23"/>
      <c r="AC373" s="24"/>
    </row>
    <row r="374" spans="1:29" ht="15.75" customHeight="1">
      <c r="A374" s="10" t="s">
        <v>2648</v>
      </c>
      <c r="B374" s="10" t="s">
        <v>1469</v>
      </c>
      <c r="C374" s="60" t="s">
        <v>1470</v>
      </c>
      <c r="D374" s="12"/>
      <c r="E374" s="13" t="s">
        <v>248</v>
      </c>
      <c r="F374" s="6" t="s">
        <v>248</v>
      </c>
      <c r="G374" s="6" t="str">
        <f ca="1">IFERROR(__xludf.DUMMYFUNCTION("CONCATENATE(B374,(VLOOKUP(C374,CATALOGOS!$F$2:$H$6,3,FALSE)),(VLOOKUP(V374,CATALOGOS!$J$2:$K$18,2,FALSE)),""-"",TO_TEXT(A374))"),"P12SI-0373")</f>
        <v>P12SI-0373</v>
      </c>
      <c r="H374" s="15" t="str">
        <f ca="1">IFERROR(__xludf.DUMMYFUNCTION("CONCATENATE($B374,(VLOOKUP($C374,CATALOGOS!$F$2:$H$6,3,FALSE)),(VLOOKUP($V374,CATALOGOS!$J$2:$K$18,2,FALSE)),""-"",TO_TEXT($A374))"),"P12SI-0373")</f>
        <v>P12SI-0373</v>
      </c>
      <c r="I374" s="6"/>
      <c r="J374" s="6" t="s">
        <v>2649</v>
      </c>
      <c r="K374" s="6" t="s">
        <v>2650</v>
      </c>
      <c r="L374" s="6" t="s">
        <v>2651</v>
      </c>
      <c r="M374" s="6" t="s">
        <v>2652</v>
      </c>
      <c r="N374" s="17"/>
      <c r="O374" s="17"/>
      <c r="P374" s="17" t="str">
        <f t="shared" si="6"/>
        <v>OK</v>
      </c>
      <c r="Q374" s="17" t="s">
        <v>303</v>
      </c>
      <c r="R374" s="6" t="s">
        <v>304</v>
      </c>
      <c r="S374" s="17" t="s">
        <v>2653</v>
      </c>
      <c r="T374" s="10" t="s">
        <v>2654</v>
      </c>
      <c r="U374" s="18" t="s">
        <v>38</v>
      </c>
      <c r="V374" s="61" t="s">
        <v>1483</v>
      </c>
      <c r="W374" s="22" t="s">
        <v>2500</v>
      </c>
      <c r="X374" s="21" t="s">
        <v>2500</v>
      </c>
      <c r="Y374" s="22"/>
      <c r="Z374" s="6"/>
      <c r="AA374" s="6"/>
      <c r="AB374" s="23"/>
      <c r="AC374" s="24"/>
    </row>
    <row r="375" spans="1:29" ht="15.75" customHeight="1">
      <c r="A375" s="10" t="s">
        <v>2655</v>
      </c>
      <c r="B375" s="10" t="s">
        <v>1469</v>
      </c>
      <c r="C375" s="60" t="s">
        <v>1470</v>
      </c>
      <c r="D375" s="12"/>
      <c r="E375" s="13" t="s">
        <v>184</v>
      </c>
      <c r="F375" s="6" t="s">
        <v>927</v>
      </c>
      <c r="G375" s="6" t="str">
        <f ca="1">IFERROR(__xludf.DUMMYFUNCTION("CONCATENATE(B375,(VLOOKUP(C375,CATALOGOS!$F$2:$H$6,3,FALSE)),(VLOOKUP(V375,CATALOGOS!$J$2:$K$18,2,FALSE)),""-"",TO_TEXT(A375))"),"P12SI-0374")</f>
        <v>P12SI-0374</v>
      </c>
      <c r="H375" s="15" t="str">
        <f ca="1">IFERROR(__xludf.DUMMYFUNCTION("CONCATENATE($B375,(VLOOKUP($C375,CATALOGOS!$F$2:$H$6,3,FALSE)),(VLOOKUP($V375,CATALOGOS!$J$2:$K$18,2,FALSE)),""-"",TO_TEXT($A375))"),"P12SI-0374")</f>
        <v>P12SI-0374</v>
      </c>
      <c r="I375" s="6"/>
      <c r="J375" s="6" t="s">
        <v>2656</v>
      </c>
      <c r="K375" s="6" t="s">
        <v>2657</v>
      </c>
      <c r="L375" s="6" t="s">
        <v>2658</v>
      </c>
      <c r="M375" s="6" t="s">
        <v>2659</v>
      </c>
      <c r="N375" s="17"/>
      <c r="O375" s="17"/>
      <c r="P375" s="17" t="str">
        <f t="shared" si="6"/>
        <v>OK</v>
      </c>
      <c r="Q375" s="17" t="s">
        <v>35</v>
      </c>
      <c r="R375" s="6" t="s">
        <v>35</v>
      </c>
      <c r="S375" s="17" t="s">
        <v>36</v>
      </c>
      <c r="T375" s="17" t="s">
        <v>2660</v>
      </c>
      <c r="U375" s="18" t="s">
        <v>38</v>
      </c>
      <c r="V375" s="61" t="s">
        <v>1483</v>
      </c>
      <c r="W375" s="22" t="s">
        <v>2500</v>
      </c>
      <c r="X375" s="21" t="s">
        <v>2500</v>
      </c>
      <c r="Y375" s="22"/>
      <c r="Z375" s="6"/>
      <c r="AA375" s="6"/>
      <c r="AB375" s="23"/>
      <c r="AC375" s="24"/>
    </row>
    <row r="376" spans="1:29" ht="15.75" customHeight="1">
      <c r="A376" s="10" t="s">
        <v>2661</v>
      </c>
      <c r="B376" s="10" t="s">
        <v>1469</v>
      </c>
      <c r="C376" s="60" t="s">
        <v>1470</v>
      </c>
      <c r="D376" s="38"/>
      <c r="E376" s="13" t="s">
        <v>116</v>
      </c>
      <c r="F376" s="6" t="s">
        <v>2662</v>
      </c>
      <c r="G376" s="6" t="str">
        <f ca="1">IFERROR(__xludf.DUMMYFUNCTION("CONCATENATE(B376,(VLOOKUP(C376,CATALOGOS!$F$2:$H$6,3,FALSE)),(VLOOKUP(V376,CATALOGOS!$J$2:$K$18,2,FALSE)),""-"",TO_TEXT(A376))"),"P12SI-0375")</f>
        <v>P12SI-0375</v>
      </c>
      <c r="H376" s="15" t="str">
        <f ca="1">IFERROR(__xludf.DUMMYFUNCTION("CONCATENATE($B376,(VLOOKUP($C376,CATALOGOS!$F$2:$H$6,3,FALSE)),(VLOOKUP($V376,CATALOGOS!$J$2:$K$18,2,FALSE)),""-"",TO_TEXT($A376))"),"P12SI-0375")</f>
        <v>P12SI-0375</v>
      </c>
      <c r="I376" s="6"/>
      <c r="J376" s="6" t="s">
        <v>2663</v>
      </c>
      <c r="K376" s="6" t="s">
        <v>2664</v>
      </c>
      <c r="L376" s="6" t="s">
        <v>2665</v>
      </c>
      <c r="M376" s="6" t="s">
        <v>2666</v>
      </c>
      <c r="N376" s="17"/>
      <c r="O376" s="17"/>
      <c r="P376" s="17" t="str">
        <f t="shared" si="6"/>
        <v>OK</v>
      </c>
      <c r="Q376" s="17" t="s">
        <v>35</v>
      </c>
      <c r="R376" s="6" t="s">
        <v>35</v>
      </c>
      <c r="S376" s="46" t="s">
        <v>36</v>
      </c>
      <c r="T376" s="17" t="s">
        <v>2667</v>
      </c>
      <c r="U376" s="18" t="s">
        <v>38</v>
      </c>
      <c r="V376" s="61" t="s">
        <v>1483</v>
      </c>
      <c r="W376" s="32" t="s">
        <v>2500</v>
      </c>
      <c r="X376" s="21" t="s">
        <v>2500</v>
      </c>
      <c r="Y376" s="32"/>
      <c r="Z376" s="7"/>
      <c r="AA376" s="7"/>
      <c r="AB376" s="26"/>
      <c r="AC376" s="26"/>
    </row>
    <row r="377" spans="1:29" ht="15.75" customHeight="1">
      <c r="A377" s="10" t="s">
        <v>2668</v>
      </c>
      <c r="B377" s="10" t="s">
        <v>1469</v>
      </c>
      <c r="C377" s="60" t="s">
        <v>1470</v>
      </c>
      <c r="D377" s="12"/>
      <c r="E377" s="13" t="s">
        <v>43</v>
      </c>
      <c r="F377" s="43" t="s">
        <v>2669</v>
      </c>
      <c r="G377" s="6" t="str">
        <f ca="1">IFERROR(__xludf.DUMMYFUNCTION("CONCATENATE(B377,(VLOOKUP(C377,CATALOGOS!$F$2:$H$6,3,FALSE)),(VLOOKUP(V377,CATALOGOS!$J$2:$K$18,2,FALSE)),""-"",TO_TEXT(A377))"),"P12SI-0376")</f>
        <v>P12SI-0376</v>
      </c>
      <c r="H377" s="15" t="str">
        <f ca="1">IFERROR(__xludf.DUMMYFUNCTION("CONCATENATE($B377,(VLOOKUP($C377,CATALOGOS!$F$2:$H$6,3,FALSE)),(VLOOKUP($V377,CATALOGOS!$J$2:$K$18,2,FALSE)),""-"",TO_TEXT($A377))"),"P12SI-0376")</f>
        <v>P12SI-0376</v>
      </c>
      <c r="I377" s="6"/>
      <c r="J377" s="6" t="s">
        <v>2670</v>
      </c>
      <c r="K377" s="6" t="s">
        <v>2671</v>
      </c>
      <c r="L377" s="6" t="s">
        <v>2672</v>
      </c>
      <c r="M377" s="6" t="s">
        <v>2673</v>
      </c>
      <c r="N377" s="17"/>
      <c r="O377" s="17"/>
      <c r="P377" s="17" t="str">
        <f t="shared" si="6"/>
        <v>OK</v>
      </c>
      <c r="Q377" s="17" t="s">
        <v>406</v>
      </c>
      <c r="R377" s="6" t="s">
        <v>2674</v>
      </c>
      <c r="S377" s="17" t="s">
        <v>36</v>
      </c>
      <c r="T377" s="17" t="s">
        <v>2675</v>
      </c>
      <c r="U377" s="18" t="s">
        <v>38</v>
      </c>
      <c r="V377" s="61" t="s">
        <v>1483</v>
      </c>
      <c r="W377" s="20" t="s">
        <v>1484</v>
      </c>
      <c r="X377" s="39" t="s">
        <v>1484</v>
      </c>
      <c r="Y377" s="20"/>
      <c r="Z377" s="7"/>
      <c r="AA377" s="7"/>
      <c r="AB377" s="23"/>
      <c r="AC377" s="26"/>
    </row>
    <row r="378" spans="1:29" ht="15.75" customHeight="1">
      <c r="A378" s="10" t="s">
        <v>2676</v>
      </c>
      <c r="B378" s="10" t="s">
        <v>27</v>
      </c>
      <c r="C378" s="63" t="s">
        <v>28</v>
      </c>
      <c r="D378" s="12"/>
      <c r="E378" s="13" t="s">
        <v>184</v>
      </c>
      <c r="F378" s="43" t="s">
        <v>2677</v>
      </c>
      <c r="G378" s="6" t="str">
        <f ca="1">IFERROR(__xludf.DUMMYFUNCTION("CONCATENATE(B378,(VLOOKUP(C378,CATALOGOS!$F$2:$H$6,3,FALSE)),(VLOOKUP(V378,CATALOGOS!$J$2:$K$18,2,FALSE)),""-"",TO_TEXT(A378))"),"P05RM-0377")</f>
        <v>P05RM-0377</v>
      </c>
      <c r="H378" s="15" t="str">
        <f ca="1">IFERROR(__xludf.DUMMYFUNCTION("CONCATENATE($B378,(VLOOKUP($C378,CATALOGOS!$F$2:$H$6,3,FALSE)),(VLOOKUP($V378,CATALOGOS!$J$2:$K$18,2,FALSE)),""-"",TO_TEXT($A378))"),"P05RM-0377")</f>
        <v>P05RM-0377</v>
      </c>
      <c r="I378" s="6"/>
      <c r="J378" s="6" t="s">
        <v>2678</v>
      </c>
      <c r="K378" s="6" t="s">
        <v>2679</v>
      </c>
      <c r="L378" s="51" t="s">
        <v>2680</v>
      </c>
      <c r="M378" s="6" t="s">
        <v>2681</v>
      </c>
      <c r="N378" s="17"/>
      <c r="O378" s="17"/>
      <c r="P378" s="17" t="str">
        <f t="shared" si="6"/>
        <v>OK</v>
      </c>
      <c r="Q378" s="17" t="s">
        <v>35</v>
      </c>
      <c r="R378" s="6" t="s">
        <v>35</v>
      </c>
      <c r="S378" s="17" t="s">
        <v>36</v>
      </c>
      <c r="T378" s="17" t="s">
        <v>2682</v>
      </c>
      <c r="U378" s="18" t="s">
        <v>549</v>
      </c>
      <c r="V378" s="61" t="s">
        <v>147</v>
      </c>
      <c r="W378" s="20" t="s">
        <v>385</v>
      </c>
      <c r="X378" s="39" t="s">
        <v>1484</v>
      </c>
      <c r="Y378" s="40" t="s">
        <v>261</v>
      </c>
      <c r="Z378" s="6"/>
      <c r="AA378" s="6" t="s">
        <v>440</v>
      </c>
      <c r="AB378" s="23"/>
      <c r="AC378" s="24"/>
    </row>
    <row r="379" spans="1:29" ht="15.75" customHeight="1">
      <c r="A379" s="10" t="s">
        <v>2683</v>
      </c>
      <c r="B379" s="10" t="s">
        <v>1469</v>
      </c>
      <c r="C379" s="60" t="s">
        <v>1470</v>
      </c>
      <c r="D379" s="12"/>
      <c r="E379" s="13" t="s">
        <v>2300</v>
      </c>
      <c r="F379" s="6" t="s">
        <v>2300</v>
      </c>
      <c r="G379" s="6" t="str">
        <f ca="1">IFERROR(__xludf.DUMMYFUNCTION("CONCATENATE(B379,(VLOOKUP(C379,CATALOGOS!$F$2:$H$6,3,FALSE)),(VLOOKUP(V379,CATALOGOS!$J$2:$K$18,2,FALSE)),""-"",TO_TEXT(A379))"),"P12SI-0378")</f>
        <v>P12SI-0378</v>
      </c>
      <c r="H379" s="15" t="str">
        <f ca="1">IFERROR(__xludf.DUMMYFUNCTION("CONCATENATE($B379,(VLOOKUP($C379,CATALOGOS!$F$2:$H$6,3,FALSE)),(VLOOKUP($V379,CATALOGOS!$J$2:$K$18,2,FALSE)),""-"",TO_TEXT($A379))"),"P12SI-0378")</f>
        <v>P12SI-0378</v>
      </c>
      <c r="I379" s="6"/>
      <c r="J379" s="6" t="s">
        <v>2684</v>
      </c>
      <c r="K379" s="6" t="s">
        <v>2685</v>
      </c>
      <c r="L379" s="36"/>
      <c r="M379" s="6" t="s">
        <v>141</v>
      </c>
      <c r="N379" s="17"/>
      <c r="O379" s="17"/>
      <c r="P379" s="17" t="str">
        <f t="shared" si="6"/>
        <v>REPETIDO</v>
      </c>
      <c r="Q379" s="17" t="s">
        <v>2599</v>
      </c>
      <c r="R379" s="6" t="s">
        <v>2686</v>
      </c>
      <c r="S379" s="6">
        <v>2159987001653</v>
      </c>
      <c r="T379" s="10" t="s">
        <v>85</v>
      </c>
      <c r="U379" s="18" t="s">
        <v>38</v>
      </c>
      <c r="V379" s="61" t="s">
        <v>1483</v>
      </c>
      <c r="W379" s="20" t="s">
        <v>1484</v>
      </c>
      <c r="X379" s="39" t="s">
        <v>1484</v>
      </c>
      <c r="Y379" s="20"/>
      <c r="Z379" s="6"/>
      <c r="AA379" s="6"/>
      <c r="AB379" s="23"/>
      <c r="AC379" s="24"/>
    </row>
    <row r="380" spans="1:29" ht="15.75" customHeight="1">
      <c r="A380" s="10" t="s">
        <v>2687</v>
      </c>
      <c r="B380" s="10" t="s">
        <v>1469</v>
      </c>
      <c r="C380" s="60" t="s">
        <v>1470</v>
      </c>
      <c r="D380" s="12"/>
      <c r="E380" s="13" t="s">
        <v>2351</v>
      </c>
      <c r="F380" s="43" t="s">
        <v>2688</v>
      </c>
      <c r="G380" s="6" t="str">
        <f ca="1">IFERROR(__xludf.DUMMYFUNCTION("CONCATENATE(B380,(VLOOKUP(C380,CATALOGOS!$F$2:$H$6,3,FALSE)),(VLOOKUP(V380,CATALOGOS!$J$2:$K$18,2,FALSE)),""-"",TO_TEXT(A380))"),"P12SI-0379")</f>
        <v>P12SI-0379</v>
      </c>
      <c r="H380" s="15" t="str">
        <f ca="1">IFERROR(__xludf.DUMMYFUNCTION("CONCATENATE($B380,(VLOOKUP($C380,CATALOGOS!$F$2:$H$6,3,FALSE)),(VLOOKUP($V380,CATALOGOS!$J$2:$K$18,2,FALSE)),""-"",TO_TEXT($A380))"),"P12SI-0379")</f>
        <v>P12SI-0379</v>
      </c>
      <c r="I380" s="6"/>
      <c r="J380" s="6" t="s">
        <v>2689</v>
      </c>
      <c r="K380" s="6" t="s">
        <v>2690</v>
      </c>
      <c r="L380" s="6" t="s">
        <v>2691</v>
      </c>
      <c r="M380" s="6" t="s">
        <v>2692</v>
      </c>
      <c r="N380" s="17"/>
      <c r="O380" s="17"/>
      <c r="P380" s="17" t="str">
        <f t="shared" si="6"/>
        <v>OK</v>
      </c>
      <c r="Q380" s="17" t="s">
        <v>2357</v>
      </c>
      <c r="R380" s="6" t="s">
        <v>2693</v>
      </c>
      <c r="S380" s="17" t="s">
        <v>2694</v>
      </c>
      <c r="T380" s="10" t="s">
        <v>2695</v>
      </c>
      <c r="U380" s="18" t="s">
        <v>38</v>
      </c>
      <c r="V380" s="65" t="s">
        <v>1483</v>
      </c>
      <c r="W380" s="20" t="s">
        <v>1484</v>
      </c>
      <c r="X380" s="39" t="s">
        <v>1484</v>
      </c>
      <c r="Y380" s="20"/>
      <c r="Z380" s="6"/>
      <c r="AA380" s="6"/>
      <c r="AB380" s="23"/>
      <c r="AC380" s="24"/>
    </row>
    <row r="381" spans="1:29" ht="15.75" customHeight="1">
      <c r="A381" s="10" t="s">
        <v>2696</v>
      </c>
      <c r="B381" s="10" t="s">
        <v>1469</v>
      </c>
      <c r="C381" s="60" t="s">
        <v>1470</v>
      </c>
      <c r="D381" s="12"/>
      <c r="E381" s="13" t="s">
        <v>2311</v>
      </c>
      <c r="F381" s="6" t="s">
        <v>2697</v>
      </c>
      <c r="G381" s="6" t="str">
        <f ca="1">IFERROR(__xludf.DUMMYFUNCTION("CONCATENATE(B381,(VLOOKUP(C381,CATALOGOS!$F$2:$H$6,3,FALSE)),(VLOOKUP(V381,CATALOGOS!$J$2:$K$18,2,FALSE)),""-"",TO_TEXT(A381))"),"P12SI-0380")</f>
        <v>P12SI-0380</v>
      </c>
      <c r="H381" s="15" t="str">
        <f ca="1">IFERROR(__xludf.DUMMYFUNCTION("CONCATENATE($B381,(VLOOKUP($C381,CATALOGOS!$F$2:$H$6,3,FALSE)),(VLOOKUP($V381,CATALOGOS!$J$2:$K$18,2,FALSE)),""-"",TO_TEXT($A381))"),"P12SI-0380")</f>
        <v>P12SI-0380</v>
      </c>
      <c r="I381" s="6"/>
      <c r="J381" s="6" t="s">
        <v>2698</v>
      </c>
      <c r="K381" s="6" t="s">
        <v>2699</v>
      </c>
      <c r="L381" s="36"/>
      <c r="M381" s="6" t="s">
        <v>2700</v>
      </c>
      <c r="N381" s="17"/>
      <c r="O381" s="17"/>
      <c r="P381" s="17" t="str">
        <f t="shared" si="6"/>
        <v>OK</v>
      </c>
      <c r="Q381" s="17" t="s">
        <v>2701</v>
      </c>
      <c r="R381" s="6" t="s">
        <v>2702</v>
      </c>
      <c r="S381" s="6">
        <v>60344924301373</v>
      </c>
      <c r="T381" s="10" t="s">
        <v>2703</v>
      </c>
      <c r="U381" s="18" t="s">
        <v>38</v>
      </c>
      <c r="V381" s="61" t="s">
        <v>1483</v>
      </c>
      <c r="W381" s="20" t="s">
        <v>1484</v>
      </c>
      <c r="X381" s="39" t="s">
        <v>1484</v>
      </c>
      <c r="Y381" s="20"/>
      <c r="Z381" s="7"/>
      <c r="AA381" s="7"/>
      <c r="AB381" s="23"/>
      <c r="AC381" s="26"/>
    </row>
    <row r="382" spans="1:29" ht="15.75" customHeight="1">
      <c r="A382" s="10" t="s">
        <v>2704</v>
      </c>
      <c r="B382" s="10" t="s">
        <v>1469</v>
      </c>
      <c r="C382" s="60" t="s">
        <v>1470</v>
      </c>
      <c r="D382" s="38"/>
      <c r="E382" s="13" t="s">
        <v>2311</v>
      </c>
      <c r="F382" s="6" t="s">
        <v>2705</v>
      </c>
      <c r="G382" s="6" t="str">
        <f ca="1">IFERROR(__xludf.DUMMYFUNCTION("CONCATENATE(B382,(VLOOKUP(C382,CATALOGOS!$F$2:$H$6,3,FALSE)),(VLOOKUP(V382,CATALOGOS!$J$2:$K$18,2,FALSE)),""-"",TO_TEXT(A382))"),"P12SI-0381")</f>
        <v>P12SI-0381</v>
      </c>
      <c r="H382" s="15" t="str">
        <f ca="1">IFERROR(__xludf.DUMMYFUNCTION("CONCATENATE($B382,(VLOOKUP($C382,CATALOGOS!$F$2:$H$6,3,FALSE)),(VLOOKUP($V382,CATALOGOS!$J$2:$K$18,2,FALSE)),""-"",TO_TEXT($A382))"),"P12SI-0381")</f>
        <v>P12SI-0381</v>
      </c>
      <c r="I382" s="6"/>
      <c r="J382" s="6" t="s">
        <v>2706</v>
      </c>
      <c r="K382" s="6" t="s">
        <v>2707</v>
      </c>
      <c r="L382" s="36"/>
      <c r="M382" s="6" t="s">
        <v>2708</v>
      </c>
      <c r="N382" s="17"/>
      <c r="O382" s="17"/>
      <c r="P382" s="17" t="str">
        <f t="shared" si="6"/>
        <v>OK</v>
      </c>
      <c r="Q382" s="17" t="s">
        <v>827</v>
      </c>
      <c r="R382" s="6" t="s">
        <v>2709</v>
      </c>
      <c r="S382" s="6">
        <v>43201404</v>
      </c>
      <c r="T382" s="32" t="s">
        <v>2710</v>
      </c>
      <c r="U382" s="18" t="s">
        <v>38</v>
      </c>
      <c r="V382" s="61" t="s">
        <v>1483</v>
      </c>
      <c r="W382" s="10" t="s">
        <v>1484</v>
      </c>
      <c r="X382" s="39" t="s">
        <v>1484</v>
      </c>
      <c r="Y382" s="10"/>
      <c r="Z382" s="7"/>
      <c r="AA382" s="7"/>
      <c r="AB382" s="26"/>
      <c r="AC382" s="26"/>
    </row>
    <row r="383" spans="1:29" ht="15.75" customHeight="1">
      <c r="A383" s="10" t="s">
        <v>2711</v>
      </c>
      <c r="B383" s="10" t="s">
        <v>1469</v>
      </c>
      <c r="C383" s="60" t="s">
        <v>1470</v>
      </c>
      <c r="D383" s="12"/>
      <c r="E383" s="13" t="s">
        <v>1275</v>
      </c>
      <c r="F383" s="6" t="s">
        <v>2712</v>
      </c>
      <c r="G383" s="6" t="str">
        <f ca="1">IFERROR(__xludf.DUMMYFUNCTION("CONCATENATE(B383,(VLOOKUP(C383,CATALOGOS!$F$2:$H$6,3,FALSE)),(VLOOKUP(V383,CATALOGOS!$J$2:$K$18,2,FALSE)),""-"",TO_TEXT(A383))"),"P12SI-0382")</f>
        <v>P12SI-0382</v>
      </c>
      <c r="H383" s="15" t="str">
        <f ca="1">IFERROR(__xludf.DUMMYFUNCTION("CONCATENATE($B383,(VLOOKUP($C383,CATALOGOS!$F$2:$H$6,3,FALSE)),(VLOOKUP($V383,CATALOGOS!$J$2:$K$18,2,FALSE)),""-"",TO_TEXT($A383))"),"P12SI-0382")</f>
        <v>P12SI-0382</v>
      </c>
      <c r="I383" s="6"/>
      <c r="J383" s="6" t="s">
        <v>2713</v>
      </c>
      <c r="K383" s="6" t="s">
        <v>2714</v>
      </c>
      <c r="L383" s="36"/>
      <c r="M383" s="6" t="s">
        <v>2715</v>
      </c>
      <c r="N383" s="17"/>
      <c r="O383" s="17"/>
      <c r="P383" s="17" t="str">
        <f t="shared" si="6"/>
        <v>OK</v>
      </c>
      <c r="Q383" s="17" t="s">
        <v>297</v>
      </c>
      <c r="R383" s="6" t="s">
        <v>2716</v>
      </c>
      <c r="S383" s="6" t="s">
        <v>2717</v>
      </c>
      <c r="T383" s="10" t="s">
        <v>2718</v>
      </c>
      <c r="U383" s="18" t="s">
        <v>38</v>
      </c>
      <c r="V383" s="61" t="s">
        <v>1483</v>
      </c>
      <c r="W383" s="20" t="s">
        <v>2518</v>
      </c>
      <c r="X383" s="39" t="s">
        <v>2533</v>
      </c>
      <c r="Y383" s="20"/>
      <c r="Z383" s="7"/>
      <c r="AA383" s="7"/>
      <c r="AB383" s="23"/>
      <c r="AC383" s="26"/>
    </row>
    <row r="384" spans="1:29" ht="15.75" customHeight="1">
      <c r="A384" s="10" t="s">
        <v>2719</v>
      </c>
      <c r="B384" s="10" t="s">
        <v>1469</v>
      </c>
      <c r="C384" s="60" t="s">
        <v>1470</v>
      </c>
      <c r="D384" s="12"/>
      <c r="E384" s="13" t="s">
        <v>210</v>
      </c>
      <c r="F384" s="6" t="s">
        <v>2720</v>
      </c>
      <c r="G384" s="6" t="str">
        <f ca="1">IFERROR(__xludf.DUMMYFUNCTION("CONCATENATE(B384,(VLOOKUP(C384,CATALOGOS!$F$2:$H$6,3,FALSE)),(VLOOKUP(V384,CATALOGOS!$J$2:$K$18,2,FALSE)),""-"",TO_TEXT(A384))"),"P12SI-0383")</f>
        <v>P12SI-0383</v>
      </c>
      <c r="H384" s="15" t="str">
        <f ca="1">IFERROR(__xludf.DUMMYFUNCTION("CONCATENATE($B384,(VLOOKUP($C384,CATALOGOS!$F$2:$H$6,3,FALSE)),(VLOOKUP($V384,CATALOGOS!$J$2:$K$18,2,FALSE)),""-"",TO_TEXT($A384))"),"P12SI-0383")</f>
        <v>P12SI-0383</v>
      </c>
      <c r="I384" s="6"/>
      <c r="J384" s="6" t="s">
        <v>2721</v>
      </c>
      <c r="K384" s="6" t="s">
        <v>2722</v>
      </c>
      <c r="L384" s="36"/>
      <c r="M384" s="6" t="s">
        <v>2723</v>
      </c>
      <c r="N384" s="17"/>
      <c r="O384" s="17"/>
      <c r="P384" s="17" t="str">
        <f t="shared" si="6"/>
        <v>OK</v>
      </c>
      <c r="Q384" s="17" t="s">
        <v>216</v>
      </c>
      <c r="R384" s="6" t="s">
        <v>2724</v>
      </c>
      <c r="S384" s="6" t="s">
        <v>2725</v>
      </c>
      <c r="T384" s="10" t="s">
        <v>2726</v>
      </c>
      <c r="U384" s="18" t="s">
        <v>38</v>
      </c>
      <c r="V384" s="61" t="s">
        <v>1483</v>
      </c>
      <c r="W384" s="20" t="s">
        <v>1484</v>
      </c>
      <c r="X384" s="39" t="s">
        <v>1484</v>
      </c>
      <c r="Y384" s="20"/>
      <c r="Z384" s="7"/>
      <c r="AA384" s="7"/>
      <c r="AB384" s="23"/>
      <c r="AC384" s="26"/>
    </row>
    <row r="385" spans="1:29" ht="15.75" customHeight="1">
      <c r="A385" s="10" t="s">
        <v>2727</v>
      </c>
      <c r="B385" s="10" t="s">
        <v>1469</v>
      </c>
      <c r="C385" s="60" t="s">
        <v>1470</v>
      </c>
      <c r="D385" s="12"/>
      <c r="E385" s="13" t="s">
        <v>210</v>
      </c>
      <c r="F385" s="6" t="s">
        <v>2720</v>
      </c>
      <c r="G385" s="6" t="str">
        <f ca="1">IFERROR(__xludf.DUMMYFUNCTION("CONCATENATE(B385,(VLOOKUP(C385,CATALOGOS!$F$2:$H$6,3,FALSE)),(VLOOKUP(V385,CATALOGOS!$J$2:$K$18,2,FALSE)),""-"",TO_TEXT(A385))"),"P12SI-0384")</f>
        <v>P12SI-0384</v>
      </c>
      <c r="H385" s="15" t="str">
        <f ca="1">IFERROR(__xludf.DUMMYFUNCTION("CONCATENATE($B385,(VLOOKUP($C385,CATALOGOS!$F$2:$H$6,3,FALSE)),(VLOOKUP($V385,CATALOGOS!$J$2:$K$18,2,FALSE)),""-"",TO_TEXT($A385))"),"P12SI-0384")</f>
        <v>P12SI-0384</v>
      </c>
      <c r="I385" s="6"/>
      <c r="J385" s="6" t="s">
        <v>2728</v>
      </c>
      <c r="K385" s="6" t="s">
        <v>2729</v>
      </c>
      <c r="L385" s="36"/>
      <c r="M385" s="6" t="s">
        <v>2730</v>
      </c>
      <c r="N385" s="17"/>
      <c r="O385" s="17"/>
      <c r="P385" s="17" t="str">
        <f t="shared" si="6"/>
        <v>OK</v>
      </c>
      <c r="Q385" s="17" t="s">
        <v>216</v>
      </c>
      <c r="R385" s="6" t="s">
        <v>2724</v>
      </c>
      <c r="S385" s="6" t="s">
        <v>2731</v>
      </c>
      <c r="T385" s="10" t="s">
        <v>2732</v>
      </c>
      <c r="U385" s="18" t="s">
        <v>38</v>
      </c>
      <c r="V385" s="61" t="s">
        <v>1483</v>
      </c>
      <c r="W385" s="20" t="s">
        <v>1484</v>
      </c>
      <c r="X385" s="39" t="s">
        <v>1484</v>
      </c>
      <c r="Y385" s="20"/>
      <c r="Z385" s="7"/>
      <c r="AA385" s="7"/>
      <c r="AB385" s="23"/>
      <c r="AC385" s="26"/>
    </row>
    <row r="386" spans="1:29" ht="15.75" customHeight="1">
      <c r="A386" s="10" t="s">
        <v>2733</v>
      </c>
      <c r="B386" s="10" t="s">
        <v>1469</v>
      </c>
      <c r="C386" s="60" t="s">
        <v>1470</v>
      </c>
      <c r="D386" s="12"/>
      <c r="E386" s="13" t="s">
        <v>2734</v>
      </c>
      <c r="F386" s="6" t="s">
        <v>2734</v>
      </c>
      <c r="G386" s="6" t="str">
        <f ca="1">IFERROR(__xludf.DUMMYFUNCTION("CONCATENATE(B386,(VLOOKUP(C386,CATALOGOS!$F$2:$H$6,3,FALSE)),(VLOOKUP(V386,CATALOGOS!$J$2:$K$18,2,FALSE)),""-"",TO_TEXT(A386))"),"P12SI-0385")</f>
        <v>P12SI-0385</v>
      </c>
      <c r="H386" s="15" t="str">
        <f ca="1">IFERROR(__xludf.DUMMYFUNCTION("CONCATENATE($B386,(VLOOKUP($C386,CATALOGOS!$F$2:$H$6,3,FALSE)),(VLOOKUP($V386,CATALOGOS!$J$2:$K$18,2,FALSE)),""-"",TO_TEXT($A386))"),"P12SI-0385")</f>
        <v>P12SI-0385</v>
      </c>
      <c r="I386" s="6"/>
      <c r="J386" s="6" t="s">
        <v>2735</v>
      </c>
      <c r="K386" s="6" t="s">
        <v>2736</v>
      </c>
      <c r="L386" s="6" t="s">
        <v>2737</v>
      </c>
      <c r="M386" s="6" t="s">
        <v>2738</v>
      </c>
      <c r="N386" s="17"/>
      <c r="O386" s="17"/>
      <c r="P386" s="17" t="str">
        <f t="shared" si="6"/>
        <v>OK</v>
      </c>
      <c r="Q386" s="17" t="s">
        <v>205</v>
      </c>
      <c r="R386" s="6" t="s">
        <v>2739</v>
      </c>
      <c r="S386" s="17" t="s">
        <v>2740</v>
      </c>
      <c r="T386" s="17" t="s">
        <v>2741</v>
      </c>
      <c r="U386" s="18" t="s">
        <v>38</v>
      </c>
      <c r="V386" s="61" t="s">
        <v>1483</v>
      </c>
      <c r="W386" s="20" t="s">
        <v>1484</v>
      </c>
      <c r="X386" s="39" t="s">
        <v>1484</v>
      </c>
      <c r="Y386" s="20"/>
      <c r="Z386" s="7"/>
      <c r="AA386" s="7"/>
      <c r="AB386" s="23"/>
      <c r="AC386" s="26"/>
    </row>
    <row r="387" spans="1:29" ht="15.75" customHeight="1">
      <c r="A387" s="10" t="s">
        <v>2742</v>
      </c>
      <c r="B387" s="10" t="s">
        <v>1469</v>
      </c>
      <c r="C387" s="60" t="s">
        <v>1470</v>
      </c>
      <c r="D387" s="12"/>
      <c r="E387" s="13" t="s">
        <v>2743</v>
      </c>
      <c r="F387" s="43" t="s">
        <v>2743</v>
      </c>
      <c r="G387" s="6" t="str">
        <f ca="1">IFERROR(__xludf.DUMMYFUNCTION("CONCATENATE(B387,(VLOOKUP(C387,CATALOGOS!$F$2:$H$6,3,FALSE)),(VLOOKUP(V387,CATALOGOS!$J$2:$K$18,2,FALSE)),""-"",TO_TEXT(A387))"),"P12SI-0386")</f>
        <v>P12SI-0386</v>
      </c>
      <c r="H387" s="15" t="str">
        <f ca="1">IFERROR(__xludf.DUMMYFUNCTION("CONCATENATE($B387,(VLOOKUP($C387,CATALOGOS!$F$2:$H$6,3,FALSE)),(VLOOKUP($V387,CATALOGOS!$J$2:$K$18,2,FALSE)),""-"",TO_TEXT($A387))"),"P12SI-0386")</f>
        <v>P12SI-0386</v>
      </c>
      <c r="I387" s="6"/>
      <c r="J387" s="6" t="s">
        <v>2744</v>
      </c>
      <c r="K387" s="6" t="s">
        <v>2745</v>
      </c>
      <c r="L387" s="6" t="s">
        <v>2746</v>
      </c>
      <c r="M387" s="6" t="s">
        <v>2747</v>
      </c>
      <c r="N387" s="17"/>
      <c r="O387" s="17"/>
      <c r="P387" s="17" t="str">
        <f t="shared" si="6"/>
        <v>OK</v>
      </c>
      <c r="Q387" s="17" t="s">
        <v>2748</v>
      </c>
      <c r="R387" s="6" t="s">
        <v>2749</v>
      </c>
      <c r="S387" s="17" t="s">
        <v>2750</v>
      </c>
      <c r="T387" s="17" t="s">
        <v>2751</v>
      </c>
      <c r="U387" s="18" t="s">
        <v>38</v>
      </c>
      <c r="V387" s="61" t="s">
        <v>1483</v>
      </c>
      <c r="W387" s="20" t="s">
        <v>1484</v>
      </c>
      <c r="X387" s="39" t="s">
        <v>1484</v>
      </c>
      <c r="Y387" s="20"/>
      <c r="Z387" s="7"/>
      <c r="AA387" s="7"/>
      <c r="AB387" s="23"/>
      <c r="AC387" s="26"/>
    </row>
    <row r="388" spans="1:29" ht="15.75" customHeight="1">
      <c r="A388" s="10" t="s">
        <v>2752</v>
      </c>
      <c r="B388" s="10" t="s">
        <v>1469</v>
      </c>
      <c r="C388" s="60" t="s">
        <v>1470</v>
      </c>
      <c r="D388" s="12"/>
      <c r="E388" s="13" t="s">
        <v>2743</v>
      </c>
      <c r="F388" s="43" t="s">
        <v>2743</v>
      </c>
      <c r="G388" s="6" t="str">
        <f ca="1">IFERROR(__xludf.DUMMYFUNCTION("CONCATENATE(B388,(VLOOKUP(C388,CATALOGOS!$F$2:$H$6,3,FALSE)),(VLOOKUP(V388,CATALOGOS!$J$2:$K$18,2,FALSE)),""-"",TO_TEXT(A388))"),"P12SI-0387")</f>
        <v>P12SI-0387</v>
      </c>
      <c r="H388" s="15" t="str">
        <f ca="1">IFERROR(__xludf.DUMMYFUNCTION("CONCATENATE($B388,(VLOOKUP($C388,CATALOGOS!$F$2:$H$6,3,FALSE)),(VLOOKUP($V388,CATALOGOS!$J$2:$K$18,2,FALSE)),""-"",TO_TEXT($A388))"),"P12SI-0387")</f>
        <v>P12SI-0387</v>
      </c>
      <c r="I388" s="6"/>
      <c r="J388" s="6" t="s">
        <v>2753</v>
      </c>
      <c r="K388" s="6" t="s">
        <v>2754</v>
      </c>
      <c r="L388" s="6" t="s">
        <v>2755</v>
      </c>
      <c r="M388" s="6" t="s">
        <v>2756</v>
      </c>
      <c r="N388" s="17"/>
      <c r="O388" s="17"/>
      <c r="P388" s="17" t="str">
        <f t="shared" si="6"/>
        <v>OK</v>
      </c>
      <c r="Q388" s="17" t="s">
        <v>205</v>
      </c>
      <c r="R388" s="6" t="s">
        <v>2757</v>
      </c>
      <c r="S388" s="17" t="s">
        <v>2758</v>
      </c>
      <c r="T388" s="17" t="s">
        <v>2759</v>
      </c>
      <c r="U388" s="18" t="s">
        <v>38</v>
      </c>
      <c r="V388" s="61" t="s">
        <v>1483</v>
      </c>
      <c r="W388" s="20" t="s">
        <v>1484</v>
      </c>
      <c r="X388" s="39" t="s">
        <v>1484</v>
      </c>
      <c r="Y388" s="20"/>
      <c r="Z388" s="7"/>
      <c r="AA388" s="7"/>
      <c r="AB388" s="23"/>
      <c r="AC388" s="26"/>
    </row>
    <row r="389" spans="1:29" ht="15.75" customHeight="1">
      <c r="A389" s="10" t="s">
        <v>2760</v>
      </c>
      <c r="B389" s="10" t="s">
        <v>1469</v>
      </c>
      <c r="C389" s="60" t="s">
        <v>1470</v>
      </c>
      <c r="D389" s="12"/>
      <c r="E389" s="13" t="s">
        <v>151</v>
      </c>
      <c r="F389" s="6" t="s">
        <v>698</v>
      </c>
      <c r="G389" s="6" t="str">
        <f ca="1">IFERROR(__xludf.DUMMYFUNCTION("CONCATENATE(B389,(VLOOKUP(C389,CATALOGOS!$F$2:$H$6,3,FALSE)),(VLOOKUP(V389,CATALOGOS!$J$2:$K$18,2,FALSE)),""-"",TO_TEXT(A389))"),"P12SI-0388")</f>
        <v>P12SI-0388</v>
      </c>
      <c r="H389" s="15" t="str">
        <f ca="1">IFERROR(__xludf.DUMMYFUNCTION("CONCATENATE($B389,(VLOOKUP($C389,CATALOGOS!$F$2:$H$6,3,FALSE)),(VLOOKUP($V389,CATALOGOS!$J$2:$K$18,2,FALSE)),""-"",TO_TEXT($A389))"),"P12SI-0388")</f>
        <v>P12SI-0388</v>
      </c>
      <c r="I389" s="6"/>
      <c r="J389" s="6" t="s">
        <v>2761</v>
      </c>
      <c r="K389" s="6" t="s">
        <v>2762</v>
      </c>
      <c r="L389" s="6" t="s">
        <v>2763</v>
      </c>
      <c r="M389" s="6" t="s">
        <v>2764</v>
      </c>
      <c r="N389" s="17"/>
      <c r="O389" s="17"/>
      <c r="P389" s="17" t="str">
        <f t="shared" si="6"/>
        <v>OK</v>
      </c>
      <c r="Q389" s="17" t="s">
        <v>157</v>
      </c>
      <c r="R389" s="6" t="s">
        <v>2765</v>
      </c>
      <c r="S389" s="17" t="s">
        <v>2766</v>
      </c>
      <c r="T389" s="10" t="s">
        <v>2767</v>
      </c>
      <c r="U389" s="18" t="s">
        <v>38</v>
      </c>
      <c r="V389" s="61" t="s">
        <v>1483</v>
      </c>
      <c r="W389" s="20" t="s">
        <v>1484</v>
      </c>
      <c r="X389" s="39" t="s">
        <v>1484</v>
      </c>
      <c r="Y389" s="20"/>
      <c r="Z389" s="7"/>
      <c r="AA389" s="7"/>
      <c r="AB389" s="23"/>
      <c r="AC389" s="26"/>
    </row>
    <row r="390" spans="1:29" ht="15.75" customHeight="1">
      <c r="A390" s="10" t="s">
        <v>2768</v>
      </c>
      <c r="B390" s="10" t="s">
        <v>1469</v>
      </c>
      <c r="C390" s="60" t="s">
        <v>1470</v>
      </c>
      <c r="D390" s="12"/>
      <c r="E390" s="13" t="s">
        <v>199</v>
      </c>
      <c r="F390" s="6" t="s">
        <v>199</v>
      </c>
      <c r="G390" s="6" t="str">
        <f ca="1">IFERROR(__xludf.DUMMYFUNCTION("CONCATENATE(B390,(VLOOKUP(C390,CATALOGOS!$F$2:$H$6,3,FALSE)),(VLOOKUP(V390,CATALOGOS!$J$2:$K$18,2,FALSE)),""-"",TO_TEXT(A390))"),"P12SI-0389")</f>
        <v>P12SI-0389</v>
      </c>
      <c r="H390" s="15" t="str">
        <f ca="1">IFERROR(__xludf.DUMMYFUNCTION("CONCATENATE($B390,(VLOOKUP($C390,CATALOGOS!$F$2:$H$6,3,FALSE)),(VLOOKUP($V390,CATALOGOS!$J$2:$K$18,2,FALSE)),""-"",TO_TEXT($A390))"),"P12SI-0389")</f>
        <v>P12SI-0389</v>
      </c>
      <c r="I390" s="6"/>
      <c r="J390" s="6" t="s">
        <v>2769</v>
      </c>
      <c r="K390" s="6" t="s">
        <v>2770</v>
      </c>
      <c r="L390" s="6" t="s">
        <v>2771</v>
      </c>
      <c r="M390" s="6" t="s">
        <v>141</v>
      </c>
      <c r="N390" s="17"/>
      <c r="O390" s="17"/>
      <c r="P390" s="17" t="str">
        <f t="shared" si="6"/>
        <v>REPETIDO</v>
      </c>
      <c r="Q390" s="17" t="s">
        <v>297</v>
      </c>
      <c r="R390" s="32" t="s">
        <v>2772</v>
      </c>
      <c r="S390" s="17" t="s">
        <v>2773</v>
      </c>
      <c r="T390" s="10" t="s">
        <v>2774</v>
      </c>
      <c r="U390" s="18" t="s">
        <v>38</v>
      </c>
      <c r="V390" s="61" t="s">
        <v>1483</v>
      </c>
      <c r="W390" s="20" t="s">
        <v>1484</v>
      </c>
      <c r="X390" s="39" t="s">
        <v>1484</v>
      </c>
      <c r="Y390" s="20"/>
      <c r="Z390" s="7"/>
      <c r="AA390" s="7"/>
      <c r="AB390" s="23"/>
      <c r="AC390" s="26"/>
    </row>
    <row r="391" spans="1:29" ht="15.75" customHeight="1">
      <c r="A391" s="10" t="s">
        <v>2775</v>
      </c>
      <c r="B391" s="10" t="s">
        <v>1469</v>
      </c>
      <c r="C391" s="60" t="s">
        <v>1470</v>
      </c>
      <c r="D391" s="12"/>
      <c r="E391" s="13" t="s">
        <v>2743</v>
      </c>
      <c r="F391" s="43" t="s">
        <v>2776</v>
      </c>
      <c r="G391" s="6" t="str">
        <f ca="1">IFERROR(__xludf.DUMMYFUNCTION("CONCATENATE(B391,(VLOOKUP(C391,CATALOGOS!$F$2:$H$6,3,FALSE)),(VLOOKUP(V391,CATALOGOS!$J$2:$K$18,2,FALSE)),""-"",TO_TEXT(A391))"),"P12SI-0390")</f>
        <v>P12SI-0390</v>
      </c>
      <c r="H391" s="15" t="str">
        <f ca="1">IFERROR(__xludf.DUMMYFUNCTION("CONCATENATE($B391,(VLOOKUP($C391,CATALOGOS!$F$2:$H$6,3,FALSE)),(VLOOKUP($V391,CATALOGOS!$J$2:$K$18,2,FALSE)),""-"",TO_TEXT($A391))"),"P12SI-0390")</f>
        <v>P12SI-0390</v>
      </c>
      <c r="I391" s="6"/>
      <c r="J391" s="6" t="s">
        <v>2777</v>
      </c>
      <c r="K391" s="6" t="s">
        <v>2778</v>
      </c>
      <c r="L391" s="6" t="s">
        <v>2779</v>
      </c>
      <c r="M391" s="43" t="s">
        <v>2780</v>
      </c>
      <c r="N391" s="17"/>
      <c r="O391" s="17"/>
      <c r="P391" s="17" t="str">
        <f t="shared" si="6"/>
        <v>OK</v>
      </c>
      <c r="Q391" s="17" t="s">
        <v>2781</v>
      </c>
      <c r="R391" s="6" t="s">
        <v>2782</v>
      </c>
      <c r="S391" s="17" t="s">
        <v>2783</v>
      </c>
      <c r="T391" s="10" t="s">
        <v>2784</v>
      </c>
      <c r="U391" s="18" t="s">
        <v>38</v>
      </c>
      <c r="V391" s="61" t="s">
        <v>1483</v>
      </c>
      <c r="W391" s="20" t="s">
        <v>1484</v>
      </c>
      <c r="X391" s="39" t="s">
        <v>1484</v>
      </c>
      <c r="Y391" s="20"/>
      <c r="Z391" s="7"/>
      <c r="AA391" s="7"/>
      <c r="AB391" s="23"/>
      <c r="AC391" s="26"/>
    </row>
    <row r="392" spans="1:29" ht="15.75" customHeight="1">
      <c r="A392" s="10" t="s">
        <v>2785</v>
      </c>
      <c r="B392" s="10" t="s">
        <v>1469</v>
      </c>
      <c r="C392" s="60" t="s">
        <v>1470</v>
      </c>
      <c r="D392" s="12"/>
      <c r="E392" s="13" t="s">
        <v>2743</v>
      </c>
      <c r="F392" s="43" t="s">
        <v>2776</v>
      </c>
      <c r="G392" s="6" t="str">
        <f ca="1">IFERROR(__xludf.DUMMYFUNCTION("CONCATENATE(B392,(VLOOKUP(C392,CATALOGOS!$F$2:$H$6,3,FALSE)),(VLOOKUP(V392,CATALOGOS!$J$2:$K$18,2,FALSE)),""-"",TO_TEXT(A392))"),"P12SI-0391")</f>
        <v>P12SI-0391</v>
      </c>
      <c r="H392" s="15" t="str">
        <f ca="1">IFERROR(__xludf.DUMMYFUNCTION("CONCATENATE($B392,(VLOOKUP($C392,CATALOGOS!$F$2:$H$6,3,FALSE)),(VLOOKUP($V392,CATALOGOS!$J$2:$K$18,2,FALSE)),""-"",TO_TEXT($A392))"),"P12SI-0391")</f>
        <v>P12SI-0391</v>
      </c>
      <c r="I392" s="6"/>
      <c r="J392" s="6" t="s">
        <v>2786</v>
      </c>
      <c r="K392" s="6" t="s">
        <v>2787</v>
      </c>
      <c r="L392" s="6" t="s">
        <v>2788</v>
      </c>
      <c r="M392" s="43" t="s">
        <v>2789</v>
      </c>
      <c r="N392" s="17"/>
      <c r="O392" s="17"/>
      <c r="P392" s="17" t="str">
        <f t="shared" si="6"/>
        <v>OK</v>
      </c>
      <c r="Q392" s="17" t="s">
        <v>2781</v>
      </c>
      <c r="R392" s="6" t="s">
        <v>2782</v>
      </c>
      <c r="S392" s="17" t="s">
        <v>2790</v>
      </c>
      <c r="T392" s="10" t="s">
        <v>2791</v>
      </c>
      <c r="U392" s="18" t="s">
        <v>38</v>
      </c>
      <c r="V392" s="61" t="s">
        <v>1483</v>
      </c>
      <c r="W392" s="20" t="s">
        <v>1484</v>
      </c>
      <c r="X392" s="39" t="s">
        <v>1484</v>
      </c>
      <c r="Y392" s="20"/>
      <c r="Z392" s="7"/>
      <c r="AA392" s="7"/>
      <c r="AB392" s="23"/>
      <c r="AC392" s="26"/>
    </row>
    <row r="393" spans="1:29" ht="15.75" customHeight="1">
      <c r="A393" s="10" t="s">
        <v>2792</v>
      </c>
      <c r="B393" s="10" t="s">
        <v>1469</v>
      </c>
      <c r="C393" s="60" t="s">
        <v>1470</v>
      </c>
      <c r="D393" s="12"/>
      <c r="E393" s="13" t="s">
        <v>248</v>
      </c>
      <c r="F393" s="43" t="s">
        <v>248</v>
      </c>
      <c r="G393" s="6" t="str">
        <f ca="1">IFERROR(__xludf.DUMMYFUNCTION("CONCATENATE(B393,(VLOOKUP(C393,CATALOGOS!$F$2:$H$6,3,FALSE)),(VLOOKUP(V393,CATALOGOS!$J$2:$K$18,2,FALSE)),""-"",TO_TEXT(A393))"),"P12SI-0392")</f>
        <v>P12SI-0392</v>
      </c>
      <c r="H393" s="15" t="str">
        <f ca="1">IFERROR(__xludf.DUMMYFUNCTION("CONCATENATE($B393,(VLOOKUP($C393,CATALOGOS!$F$2:$H$6,3,FALSE)),(VLOOKUP($V393,CATALOGOS!$J$2:$K$18,2,FALSE)),""-"",TO_TEXT($A393))"),"P12SI-0392")</f>
        <v>P12SI-0392</v>
      </c>
      <c r="I393" s="6"/>
      <c r="J393" s="6" t="s">
        <v>2793</v>
      </c>
      <c r="K393" s="6" t="s">
        <v>2794</v>
      </c>
      <c r="L393" s="6" t="s">
        <v>2795</v>
      </c>
      <c r="M393" s="43" t="s">
        <v>2796</v>
      </c>
      <c r="N393" s="17"/>
      <c r="O393" s="17"/>
      <c r="P393" s="17" t="str">
        <f t="shared" si="6"/>
        <v>OK</v>
      </c>
      <c r="Q393" s="17" t="s">
        <v>205</v>
      </c>
      <c r="R393" s="6" t="s">
        <v>2797</v>
      </c>
      <c r="S393" s="17" t="s">
        <v>2798</v>
      </c>
      <c r="T393" s="17" t="s">
        <v>2799</v>
      </c>
      <c r="U393" s="18" t="s">
        <v>38</v>
      </c>
      <c r="V393" s="61" t="s">
        <v>1483</v>
      </c>
      <c r="W393" s="20" t="s">
        <v>1484</v>
      </c>
      <c r="X393" s="39" t="s">
        <v>1484</v>
      </c>
      <c r="Y393" s="20"/>
      <c r="Z393" s="7"/>
      <c r="AA393" s="7"/>
      <c r="AB393" s="23"/>
      <c r="AC393" s="26"/>
    </row>
    <row r="394" spans="1:29" ht="15.75" customHeight="1">
      <c r="A394" s="10" t="s">
        <v>2800</v>
      </c>
      <c r="B394" s="10" t="s">
        <v>1469</v>
      </c>
      <c r="C394" s="60" t="s">
        <v>1470</v>
      </c>
      <c r="D394" s="12"/>
      <c r="E394" s="13" t="s">
        <v>2734</v>
      </c>
      <c r="F394" s="6" t="s">
        <v>2801</v>
      </c>
      <c r="G394" s="6" t="str">
        <f ca="1">IFERROR(__xludf.DUMMYFUNCTION("CONCATENATE(B394,(VLOOKUP(C394,CATALOGOS!$F$2:$H$6,3,FALSE)),(VLOOKUP(V394,CATALOGOS!$J$2:$K$18,2,FALSE)),""-"",TO_TEXT(A394))"),"P12SI-0393")</f>
        <v>P12SI-0393</v>
      </c>
      <c r="H394" s="15" t="str">
        <f ca="1">IFERROR(__xludf.DUMMYFUNCTION("CONCATENATE($B394,(VLOOKUP($C394,CATALOGOS!$F$2:$H$6,3,FALSE)),(VLOOKUP($V394,CATALOGOS!$J$2:$K$18,2,FALSE)),""-"",TO_TEXT($A394))"),"P12SI-0393")</f>
        <v>P12SI-0393</v>
      </c>
      <c r="I394" s="6"/>
      <c r="J394" s="6" t="s">
        <v>2802</v>
      </c>
      <c r="K394" s="6" t="s">
        <v>2803</v>
      </c>
      <c r="L394" s="6" t="s">
        <v>2804</v>
      </c>
      <c r="M394" s="6" t="s">
        <v>2805</v>
      </c>
      <c r="N394" s="17"/>
      <c r="O394" s="17"/>
      <c r="P394" s="17" t="str">
        <f t="shared" si="6"/>
        <v>OK</v>
      </c>
      <c r="Q394" s="17" t="s">
        <v>35</v>
      </c>
      <c r="R394" s="6" t="s">
        <v>35</v>
      </c>
      <c r="S394" s="17" t="s">
        <v>2806</v>
      </c>
      <c r="T394" s="17" t="s">
        <v>2807</v>
      </c>
      <c r="U394" s="18" t="s">
        <v>38</v>
      </c>
      <c r="V394" s="61" t="s">
        <v>1483</v>
      </c>
      <c r="W394" s="20" t="s">
        <v>1484</v>
      </c>
      <c r="X394" s="39" t="s">
        <v>1484</v>
      </c>
      <c r="Y394" s="20"/>
      <c r="Z394" s="7"/>
      <c r="AA394" s="7"/>
      <c r="AB394" s="23"/>
      <c r="AC394" s="26"/>
    </row>
    <row r="395" spans="1:29" ht="15.75" customHeight="1">
      <c r="A395" s="10" t="s">
        <v>2808</v>
      </c>
      <c r="B395" s="10" t="s">
        <v>1469</v>
      </c>
      <c r="C395" s="60" t="s">
        <v>1470</v>
      </c>
      <c r="D395" s="12"/>
      <c r="E395" s="13" t="s">
        <v>2351</v>
      </c>
      <c r="F395" s="43" t="s">
        <v>2352</v>
      </c>
      <c r="G395" s="6" t="str">
        <f ca="1">IFERROR(__xludf.DUMMYFUNCTION("CONCATENATE(B395,(VLOOKUP(C395,CATALOGOS!$F$2:$H$6,3,FALSE)),(VLOOKUP(V395,CATALOGOS!$J$2:$K$18,2,FALSE)),""-"",TO_TEXT(A395))"),"P12SI-0394")</f>
        <v>P12SI-0394</v>
      </c>
      <c r="H395" s="15" t="str">
        <f ca="1">IFERROR(__xludf.DUMMYFUNCTION("CONCATENATE($B395,(VLOOKUP($C395,CATALOGOS!$F$2:$H$6,3,FALSE)),(VLOOKUP($V395,CATALOGOS!$J$2:$K$18,2,FALSE)),""-"",TO_TEXT($A395))"),"P12SI-0394")</f>
        <v>P12SI-0394</v>
      </c>
      <c r="I395" s="6"/>
      <c r="J395" s="6" t="s">
        <v>2809</v>
      </c>
      <c r="K395" s="6" t="s">
        <v>2810</v>
      </c>
      <c r="L395" s="6" t="s">
        <v>2811</v>
      </c>
      <c r="M395" s="6" t="s">
        <v>2812</v>
      </c>
      <c r="N395" s="17"/>
      <c r="O395" s="17"/>
      <c r="P395" s="17" t="str">
        <f t="shared" si="6"/>
        <v>OK</v>
      </c>
      <c r="Q395" s="17" t="s">
        <v>663</v>
      </c>
      <c r="R395" s="6" t="s">
        <v>2813</v>
      </c>
      <c r="S395" s="17" t="s">
        <v>2814</v>
      </c>
      <c r="T395" s="17" t="s">
        <v>2815</v>
      </c>
      <c r="U395" s="18" t="s">
        <v>38</v>
      </c>
      <c r="V395" s="61" t="s">
        <v>1483</v>
      </c>
      <c r="W395" s="20" t="s">
        <v>1484</v>
      </c>
      <c r="X395" s="39" t="s">
        <v>1484</v>
      </c>
      <c r="Y395" s="20"/>
      <c r="Z395" s="7"/>
      <c r="AA395" s="7"/>
      <c r="AB395" s="23"/>
      <c r="AC395" s="26"/>
    </row>
    <row r="396" spans="1:29" ht="15.75" customHeight="1">
      <c r="A396" s="10" t="s">
        <v>2816</v>
      </c>
      <c r="B396" s="10" t="s">
        <v>1469</v>
      </c>
      <c r="C396" s="60" t="s">
        <v>1470</v>
      </c>
      <c r="D396" s="12"/>
      <c r="E396" s="13" t="s">
        <v>2817</v>
      </c>
      <c r="F396" s="43" t="s">
        <v>2817</v>
      </c>
      <c r="G396" s="6" t="str">
        <f ca="1">IFERROR(__xludf.DUMMYFUNCTION("CONCATENATE(B396,(VLOOKUP(C396,CATALOGOS!$F$2:$H$6,3,FALSE)),(VLOOKUP(V396,CATALOGOS!$J$2:$K$18,2,FALSE)),""-"",TO_TEXT(A396))"),"P12SI-0395")</f>
        <v>P12SI-0395</v>
      </c>
      <c r="H396" s="15" t="str">
        <f ca="1">IFERROR(__xludf.DUMMYFUNCTION("CONCATENATE($B396,(VLOOKUP($C396,CATALOGOS!$F$2:$H$6,3,FALSE)),(VLOOKUP($V396,CATALOGOS!$J$2:$K$18,2,FALSE)),""-"",TO_TEXT($A396))"),"P12SI-0395")</f>
        <v>P12SI-0395</v>
      </c>
      <c r="I396" s="6"/>
      <c r="J396" s="6" t="s">
        <v>2818</v>
      </c>
      <c r="K396" s="6" t="s">
        <v>2819</v>
      </c>
      <c r="L396" s="6" t="s">
        <v>2820</v>
      </c>
      <c r="M396" s="6" t="s">
        <v>2821</v>
      </c>
      <c r="N396" s="17"/>
      <c r="O396" s="17"/>
      <c r="P396" s="17" t="str">
        <f t="shared" si="6"/>
        <v>OK</v>
      </c>
      <c r="Q396" s="17" t="s">
        <v>2822</v>
      </c>
      <c r="R396" s="6" t="s">
        <v>35</v>
      </c>
      <c r="S396" s="17" t="s">
        <v>36</v>
      </c>
      <c r="T396" s="17" t="s">
        <v>2823</v>
      </c>
      <c r="U396" s="18" t="s">
        <v>38</v>
      </c>
      <c r="V396" s="61" t="s">
        <v>1483</v>
      </c>
      <c r="W396" s="20" t="s">
        <v>1484</v>
      </c>
      <c r="X396" s="39" t="s">
        <v>1484</v>
      </c>
      <c r="Y396" s="20"/>
      <c r="Z396" s="7"/>
      <c r="AA396" s="7"/>
      <c r="AB396" s="23"/>
      <c r="AC396" s="26"/>
    </row>
    <row r="397" spans="1:29" ht="15.75" customHeight="1">
      <c r="A397" s="10" t="s">
        <v>2824</v>
      </c>
      <c r="B397" s="10" t="s">
        <v>1469</v>
      </c>
      <c r="C397" s="60" t="s">
        <v>1470</v>
      </c>
      <c r="D397" s="12"/>
      <c r="E397" s="13" t="s">
        <v>2817</v>
      </c>
      <c r="F397" s="43" t="s">
        <v>2817</v>
      </c>
      <c r="G397" s="6" t="str">
        <f ca="1">IFERROR(__xludf.DUMMYFUNCTION("CONCATENATE(B397,(VLOOKUP(C397,CATALOGOS!$F$2:$H$6,3,FALSE)),(VLOOKUP(V397,CATALOGOS!$J$2:$K$18,2,FALSE)),""-"",TO_TEXT(A397))"),"P12SI-0396")</f>
        <v>P12SI-0396</v>
      </c>
      <c r="H397" s="15" t="str">
        <f ca="1">IFERROR(__xludf.DUMMYFUNCTION("CONCATENATE($B397,(VLOOKUP($C397,CATALOGOS!$F$2:$H$6,3,FALSE)),(VLOOKUP($V397,CATALOGOS!$J$2:$K$18,2,FALSE)),""-"",TO_TEXT($A397))"),"P12SI-0396")</f>
        <v>P12SI-0396</v>
      </c>
      <c r="I397" s="6"/>
      <c r="J397" s="6" t="s">
        <v>2825</v>
      </c>
      <c r="K397" s="6" t="s">
        <v>2826</v>
      </c>
      <c r="L397" s="6" t="s">
        <v>2827</v>
      </c>
      <c r="M397" s="6" t="s">
        <v>2828</v>
      </c>
      <c r="N397" s="17"/>
      <c r="O397" s="17"/>
      <c r="P397" s="17" t="str">
        <f t="shared" si="6"/>
        <v>OK</v>
      </c>
      <c r="Q397" s="17" t="s">
        <v>2822</v>
      </c>
      <c r="R397" s="6" t="s">
        <v>35</v>
      </c>
      <c r="S397" s="17" t="s">
        <v>36</v>
      </c>
      <c r="T397" s="17" t="s">
        <v>85</v>
      </c>
      <c r="U397" s="18" t="s">
        <v>38</v>
      </c>
      <c r="V397" s="61" t="s">
        <v>1483</v>
      </c>
      <c r="W397" s="20" t="s">
        <v>1484</v>
      </c>
      <c r="X397" s="39" t="s">
        <v>1484</v>
      </c>
      <c r="Y397" s="20"/>
      <c r="Z397" s="7"/>
      <c r="AA397" s="7"/>
      <c r="AB397" s="23"/>
      <c r="AC397" s="26"/>
    </row>
    <row r="398" spans="1:29" ht="15.75" customHeight="1">
      <c r="A398" s="10" t="s">
        <v>2829</v>
      </c>
      <c r="B398" s="10" t="s">
        <v>1469</v>
      </c>
      <c r="C398" s="60" t="s">
        <v>1470</v>
      </c>
      <c r="D398" s="12"/>
      <c r="E398" s="13" t="s">
        <v>2351</v>
      </c>
      <c r="F398" s="43" t="s">
        <v>2688</v>
      </c>
      <c r="G398" s="6" t="str">
        <f ca="1">IFERROR(__xludf.DUMMYFUNCTION("CONCATENATE(B398,(VLOOKUP(C398,CATALOGOS!$F$2:$H$6,3,FALSE)),(VLOOKUP(V398,CATALOGOS!$J$2:$K$18,2,FALSE)),""-"",TO_TEXT(A398))"),"P12SI-0397")</f>
        <v>P12SI-0397</v>
      </c>
      <c r="H398" s="15" t="str">
        <f ca="1">IFERROR(__xludf.DUMMYFUNCTION("CONCATENATE($B398,(VLOOKUP($C398,CATALOGOS!$F$2:$H$6,3,FALSE)),(VLOOKUP($V398,CATALOGOS!$J$2:$K$18,2,FALSE)),""-"",TO_TEXT($A398))"),"P12SI-0397")</f>
        <v>P12SI-0397</v>
      </c>
      <c r="I398" s="6"/>
      <c r="J398" s="6" t="s">
        <v>2830</v>
      </c>
      <c r="K398" s="6" t="s">
        <v>2831</v>
      </c>
      <c r="L398" s="6" t="s">
        <v>2832</v>
      </c>
      <c r="M398" s="6" t="s">
        <v>2833</v>
      </c>
      <c r="N398" s="17"/>
      <c r="O398" s="17"/>
      <c r="P398" s="17" t="str">
        <f t="shared" si="6"/>
        <v>OK</v>
      </c>
      <c r="Q398" s="17" t="s">
        <v>2357</v>
      </c>
      <c r="R398" s="6" t="s">
        <v>2693</v>
      </c>
      <c r="S398" s="17" t="s">
        <v>2834</v>
      </c>
      <c r="T398" s="17" t="s">
        <v>2835</v>
      </c>
      <c r="U398" s="18" t="s">
        <v>38</v>
      </c>
      <c r="V398" s="61" t="s">
        <v>1483</v>
      </c>
      <c r="W398" s="20" t="s">
        <v>1484</v>
      </c>
      <c r="X398" s="39" t="s">
        <v>1484</v>
      </c>
      <c r="Y398" s="20"/>
      <c r="Z398" s="7"/>
      <c r="AA398" s="7"/>
      <c r="AB398" s="23"/>
      <c r="AC398" s="26"/>
    </row>
    <row r="399" spans="1:29" ht="15.75" customHeight="1">
      <c r="A399" s="10" t="s">
        <v>2836</v>
      </c>
      <c r="B399" s="10" t="s">
        <v>1469</v>
      </c>
      <c r="C399" s="60" t="s">
        <v>1470</v>
      </c>
      <c r="D399" s="12"/>
      <c r="E399" s="13" t="s">
        <v>2743</v>
      </c>
      <c r="F399" s="43" t="s">
        <v>2743</v>
      </c>
      <c r="G399" s="6" t="str">
        <f ca="1">IFERROR(__xludf.DUMMYFUNCTION("CONCATENATE(B399,(VLOOKUP(C399,CATALOGOS!$F$2:$H$6,3,FALSE)),(VLOOKUP(V399,CATALOGOS!$J$2:$K$18,2,FALSE)),""-"",TO_TEXT(A399))"),"P12SI-0398")</f>
        <v>P12SI-0398</v>
      </c>
      <c r="H399" s="15" t="str">
        <f ca="1">IFERROR(__xludf.DUMMYFUNCTION("CONCATENATE($B399,(VLOOKUP($C399,CATALOGOS!$F$2:$H$6,3,FALSE)),(VLOOKUP($V399,CATALOGOS!$J$2:$K$18,2,FALSE)),""-"",TO_TEXT($A399))"),"P12SI-0398")</f>
        <v>P12SI-0398</v>
      </c>
      <c r="I399" s="6"/>
      <c r="J399" s="6" t="s">
        <v>2837</v>
      </c>
      <c r="K399" s="6" t="s">
        <v>2838</v>
      </c>
      <c r="L399" s="6" t="s">
        <v>2839</v>
      </c>
      <c r="M399" s="43" t="s">
        <v>2840</v>
      </c>
      <c r="N399" s="17"/>
      <c r="O399" s="17"/>
      <c r="P399" s="17" t="str">
        <f t="shared" si="6"/>
        <v>OK</v>
      </c>
      <c r="Q399" s="17" t="s">
        <v>273</v>
      </c>
      <c r="R399" s="6" t="s">
        <v>2841</v>
      </c>
      <c r="S399" s="17" t="s">
        <v>2842</v>
      </c>
      <c r="T399" s="17" t="s">
        <v>2843</v>
      </c>
      <c r="U399" s="18" t="s">
        <v>38</v>
      </c>
      <c r="V399" s="61" t="s">
        <v>1483</v>
      </c>
      <c r="W399" s="20" t="s">
        <v>1484</v>
      </c>
      <c r="X399" s="39" t="s">
        <v>1484</v>
      </c>
      <c r="Y399" s="20"/>
      <c r="Z399" s="7"/>
      <c r="AA399" s="7"/>
      <c r="AB399" s="23"/>
      <c r="AC399" s="26"/>
    </row>
    <row r="400" spans="1:29" ht="15.75" customHeight="1">
      <c r="A400" s="10" t="s">
        <v>2844</v>
      </c>
      <c r="B400" s="10" t="s">
        <v>1469</v>
      </c>
      <c r="C400" s="60" t="s">
        <v>1470</v>
      </c>
      <c r="D400" s="12"/>
      <c r="E400" s="13" t="s">
        <v>248</v>
      </c>
      <c r="F400" s="6" t="s">
        <v>249</v>
      </c>
      <c r="G400" s="6" t="str">
        <f ca="1">IFERROR(__xludf.DUMMYFUNCTION("CONCATENATE(B400,(VLOOKUP(C400,CATALOGOS!$F$2:$H$6,3,FALSE)),(VLOOKUP(V400,CATALOGOS!$J$2:$K$18,2,FALSE)),""-"",TO_TEXT(A400))"),"P12SI-0399")</f>
        <v>P12SI-0399</v>
      </c>
      <c r="H400" s="15" t="str">
        <f ca="1">IFERROR(__xludf.DUMMYFUNCTION("CONCATENATE($B400,(VLOOKUP($C400,CATALOGOS!$F$2:$H$6,3,FALSE)),(VLOOKUP($V400,CATALOGOS!$J$2:$K$18,2,FALSE)),""-"",TO_TEXT($A400))"),"P12SI-0399")</f>
        <v>P12SI-0399</v>
      </c>
      <c r="I400" s="6"/>
      <c r="J400" s="6" t="s">
        <v>2845</v>
      </c>
      <c r="K400" s="6" t="s">
        <v>2846</v>
      </c>
      <c r="L400" s="6" t="s">
        <v>2847</v>
      </c>
      <c r="M400" s="43" t="s">
        <v>2848</v>
      </c>
      <c r="N400" s="17"/>
      <c r="O400" s="17"/>
      <c r="P400" s="17" t="str">
        <f t="shared" si="6"/>
        <v>OK</v>
      </c>
      <c r="Q400" s="17" t="s">
        <v>827</v>
      </c>
      <c r="R400" s="6" t="s">
        <v>2849</v>
      </c>
      <c r="S400" s="17" t="s">
        <v>2850</v>
      </c>
      <c r="T400" s="10" t="s">
        <v>2851</v>
      </c>
      <c r="U400" s="18" t="s">
        <v>38</v>
      </c>
      <c r="V400" s="61" t="s">
        <v>1483</v>
      </c>
      <c r="W400" s="20" t="s">
        <v>1484</v>
      </c>
      <c r="X400" s="39" t="s">
        <v>1484</v>
      </c>
      <c r="Y400" s="20"/>
      <c r="Z400" s="7"/>
      <c r="AA400" s="7"/>
      <c r="AB400" s="23"/>
      <c r="AC400" s="26"/>
    </row>
    <row r="401" spans="1:29" ht="15.75" customHeight="1">
      <c r="A401" s="10" t="s">
        <v>2852</v>
      </c>
      <c r="B401" s="10" t="s">
        <v>1469</v>
      </c>
      <c r="C401" s="60" t="s">
        <v>1470</v>
      </c>
      <c r="D401" s="12"/>
      <c r="E401" s="13" t="s">
        <v>248</v>
      </c>
      <c r="F401" s="43" t="s">
        <v>2535</v>
      </c>
      <c r="G401" s="6" t="str">
        <f ca="1">IFERROR(__xludf.DUMMYFUNCTION("CONCATENATE(B401,(VLOOKUP(C401,CATALOGOS!$F$2:$H$6,3,FALSE)),(VLOOKUP(V401,CATALOGOS!$J$2:$K$18,2,FALSE)),""-"",TO_TEXT(A401))"),"P12SI-0400")</f>
        <v>P12SI-0400</v>
      </c>
      <c r="H401" s="15" t="str">
        <f ca="1">IFERROR(__xludf.DUMMYFUNCTION("CONCATENATE($B401,(VLOOKUP($C401,CATALOGOS!$F$2:$H$6,3,FALSE)),(VLOOKUP($V401,CATALOGOS!$J$2:$K$18,2,FALSE)),""-"",TO_TEXT($A401))"),"P12SI-0400")</f>
        <v>P12SI-0400</v>
      </c>
      <c r="I401" s="6"/>
      <c r="J401" s="6" t="s">
        <v>2853</v>
      </c>
      <c r="K401" s="6" t="s">
        <v>2854</v>
      </c>
      <c r="L401" s="6" t="s">
        <v>2855</v>
      </c>
      <c r="M401" s="6" t="s">
        <v>141</v>
      </c>
      <c r="N401" s="17"/>
      <c r="O401" s="17"/>
      <c r="P401" s="17" t="str">
        <f t="shared" si="6"/>
        <v>REPETIDO</v>
      </c>
      <c r="Q401" s="17" t="s">
        <v>303</v>
      </c>
      <c r="R401" s="6" t="s">
        <v>2856</v>
      </c>
      <c r="S401" s="17" t="s">
        <v>2857</v>
      </c>
      <c r="T401" s="10" t="s">
        <v>2858</v>
      </c>
      <c r="U401" s="18" t="s">
        <v>38</v>
      </c>
      <c r="V401" s="61" t="s">
        <v>1483</v>
      </c>
      <c r="W401" s="20" t="s">
        <v>1484</v>
      </c>
      <c r="X401" s="39" t="s">
        <v>1484</v>
      </c>
      <c r="Y401" s="20"/>
      <c r="Z401" s="7"/>
      <c r="AA401" s="7"/>
      <c r="AB401" s="23"/>
      <c r="AC401" s="26"/>
    </row>
    <row r="402" spans="1:29" ht="15.75" customHeight="1">
      <c r="A402" s="10" t="s">
        <v>2859</v>
      </c>
      <c r="B402" s="10" t="s">
        <v>1469</v>
      </c>
      <c r="C402" s="60" t="s">
        <v>1470</v>
      </c>
      <c r="D402" s="12"/>
      <c r="E402" s="13" t="s">
        <v>2860</v>
      </c>
      <c r="F402" s="43" t="s">
        <v>2861</v>
      </c>
      <c r="G402" s="6" t="str">
        <f ca="1">IFERROR(__xludf.DUMMYFUNCTION("CONCATENATE(B402,(VLOOKUP(C402,CATALOGOS!$F$2:$H$6,3,FALSE)),(VLOOKUP(V402,CATALOGOS!$J$2:$K$18,2,FALSE)),""-"",TO_TEXT(A402))"),"P12SI-0401")</f>
        <v>P12SI-0401</v>
      </c>
      <c r="H402" s="15" t="str">
        <f ca="1">IFERROR(__xludf.DUMMYFUNCTION("CONCATENATE($B402,(VLOOKUP($C402,CATALOGOS!$F$2:$H$6,3,FALSE)),(VLOOKUP($V402,CATALOGOS!$J$2:$K$18,2,FALSE)),""-"",TO_TEXT($A402))"),"P12SI-0401")</f>
        <v>P12SI-0401</v>
      </c>
      <c r="I402" s="6"/>
      <c r="J402" s="6" t="s">
        <v>2862</v>
      </c>
      <c r="K402" s="6" t="s">
        <v>2863</v>
      </c>
      <c r="L402" s="6" t="s">
        <v>2864</v>
      </c>
      <c r="M402" s="6" t="s">
        <v>2865</v>
      </c>
      <c r="N402" s="17"/>
      <c r="O402" s="17"/>
      <c r="P402" s="17" t="str">
        <f t="shared" si="6"/>
        <v>OK</v>
      </c>
      <c r="Q402" s="17" t="s">
        <v>2866</v>
      </c>
      <c r="R402" s="6" t="s">
        <v>2867</v>
      </c>
      <c r="S402" s="17" t="s">
        <v>2868</v>
      </c>
      <c r="T402" s="17" t="s">
        <v>85</v>
      </c>
      <c r="U402" s="18" t="s">
        <v>2544</v>
      </c>
      <c r="V402" s="61" t="s">
        <v>1483</v>
      </c>
      <c r="W402" s="20" t="s">
        <v>1484</v>
      </c>
      <c r="X402" s="39" t="s">
        <v>1484</v>
      </c>
      <c r="Y402" s="20"/>
      <c r="Z402" s="7"/>
      <c r="AA402" s="7"/>
      <c r="AB402" s="23"/>
      <c r="AC402" s="26"/>
    </row>
    <row r="403" spans="1:29" ht="15.75" customHeight="1">
      <c r="A403" s="10" t="s">
        <v>2869</v>
      </c>
      <c r="B403" s="10" t="s">
        <v>1469</v>
      </c>
      <c r="C403" s="60" t="s">
        <v>1470</v>
      </c>
      <c r="D403" s="12"/>
      <c r="E403" s="13" t="s">
        <v>151</v>
      </c>
      <c r="F403" s="6" t="s">
        <v>698</v>
      </c>
      <c r="G403" s="6" t="str">
        <f ca="1">IFERROR(__xludf.DUMMYFUNCTION("CONCATENATE(B403,(VLOOKUP(C403,CATALOGOS!$F$2:$H$6,3,FALSE)),(VLOOKUP(V403,CATALOGOS!$J$2:$K$18,2,FALSE)),""-"",TO_TEXT(A403))"),"P12SI-0402")</f>
        <v>P12SI-0402</v>
      </c>
      <c r="H403" s="15" t="str">
        <f ca="1">IFERROR(__xludf.DUMMYFUNCTION("CONCATENATE($B403,(VLOOKUP($C403,CATALOGOS!$F$2:$H$6,3,FALSE)),(VLOOKUP($V403,CATALOGOS!$J$2:$K$18,2,FALSE)),""-"",TO_TEXT($A403))"),"P12SI-0402")</f>
        <v>P12SI-0402</v>
      </c>
      <c r="I403" s="6"/>
      <c r="J403" s="6" t="s">
        <v>2870</v>
      </c>
      <c r="K403" s="6" t="s">
        <v>2871</v>
      </c>
      <c r="L403" s="6" t="s">
        <v>2872</v>
      </c>
      <c r="M403" s="6" t="s">
        <v>2873</v>
      </c>
      <c r="N403" s="17"/>
      <c r="O403" s="17"/>
      <c r="P403" s="17" t="str">
        <f t="shared" si="6"/>
        <v>OK</v>
      </c>
      <c r="Q403" s="17" t="s">
        <v>703</v>
      </c>
      <c r="R403" s="6" t="s">
        <v>2874</v>
      </c>
      <c r="S403" s="17" t="s">
        <v>2875</v>
      </c>
      <c r="T403" s="17" t="s">
        <v>2876</v>
      </c>
      <c r="U403" s="18" t="s">
        <v>38</v>
      </c>
      <c r="V403" s="61" t="s">
        <v>1483</v>
      </c>
      <c r="W403" s="20" t="s">
        <v>1484</v>
      </c>
      <c r="X403" s="39" t="s">
        <v>1484</v>
      </c>
      <c r="Y403" s="20"/>
      <c r="Z403" s="6"/>
      <c r="AA403" s="6"/>
      <c r="AB403" s="23"/>
      <c r="AC403" s="33"/>
    </row>
    <row r="404" spans="1:29" ht="15.75" customHeight="1">
      <c r="A404" s="10" t="s">
        <v>2877</v>
      </c>
      <c r="B404" s="10" t="s">
        <v>1469</v>
      </c>
      <c r="C404" s="60" t="s">
        <v>1470</v>
      </c>
      <c r="D404" s="12"/>
      <c r="E404" s="13" t="s">
        <v>199</v>
      </c>
      <c r="F404" s="6" t="s">
        <v>677</v>
      </c>
      <c r="G404" s="14" t="str">
        <f ca="1">IFERROR(__xludf.DUMMYFUNCTION("CONCATENATE(B404,(VLOOKUP(C404,CATALOGOS!$F$2:$H$6,3,FALSE)),(VLOOKUP(V404,CATALOGOS!$J$2:$K$18,2,FALSE)),""-"",TO_TEXT(A404))"),"P12CT-0403")</f>
        <v>P12CT-0403</v>
      </c>
      <c r="H404" s="15" t="str">
        <f ca="1">IFERROR(__xludf.DUMMYFUNCTION("CONCATENATE($B404,(VLOOKUP($C404,CATALOGOS!$F$2:$H$6,3,FALSE)),(VLOOKUP($V404,CATALOGOS!$J$2:$K$18,2,FALSE)),""-"",TO_TEXT($A404))"),"P12CT-0403")</f>
        <v>P12CT-0403</v>
      </c>
      <c r="I404" s="6"/>
      <c r="J404" s="6" t="s">
        <v>2878</v>
      </c>
      <c r="K404" s="6" t="s">
        <v>2879</v>
      </c>
      <c r="L404" s="6" t="s">
        <v>2880</v>
      </c>
      <c r="M404" s="6" t="s">
        <v>141</v>
      </c>
      <c r="N404" s="17"/>
      <c r="O404" s="17"/>
      <c r="P404" s="17" t="str">
        <f t="shared" si="6"/>
        <v>REPETIDO</v>
      </c>
      <c r="Q404" s="17" t="s">
        <v>682</v>
      </c>
      <c r="R404" s="32" t="s">
        <v>2881</v>
      </c>
      <c r="S404" s="17" t="s">
        <v>2882</v>
      </c>
      <c r="T404" s="17" t="s">
        <v>2883</v>
      </c>
      <c r="U404" s="18" t="s">
        <v>38</v>
      </c>
      <c r="V404" s="19" t="s">
        <v>2884</v>
      </c>
      <c r="W404" s="20" t="s">
        <v>2885</v>
      </c>
      <c r="X404" s="39" t="s">
        <v>385</v>
      </c>
      <c r="Y404" s="20"/>
      <c r="Z404" s="36"/>
      <c r="AA404" s="36"/>
      <c r="AB404" s="23"/>
      <c r="AC404" s="33"/>
    </row>
    <row r="405" spans="1:29" ht="15.75" customHeight="1">
      <c r="A405" s="10" t="s">
        <v>2886</v>
      </c>
      <c r="B405" s="10" t="s">
        <v>27</v>
      </c>
      <c r="C405" s="63" t="s">
        <v>28</v>
      </c>
      <c r="D405" s="12"/>
      <c r="E405" s="13" t="s">
        <v>199</v>
      </c>
      <c r="F405" s="6" t="s">
        <v>677</v>
      </c>
      <c r="G405" s="14" t="str">
        <f ca="1">IFERROR(__xludf.DUMMYFUNCTION("CONCATENATE(B405,(VLOOKUP(C405,CATALOGOS!$F$2:$H$6,3,FALSE)),(VLOOKUP(V405,CATALOGOS!$J$2:$K$18,2,FALSE)),""-"",TO_TEXT(A405))"),"P05RM-0404")</f>
        <v>P05RM-0404</v>
      </c>
      <c r="H405" s="15" t="str">
        <f ca="1">IFERROR(__xludf.DUMMYFUNCTION("CONCATENATE($B405,(VLOOKUP($C405,CATALOGOS!$F$2:$H$6,3,FALSE)),(VLOOKUP($V405,CATALOGOS!$J$2:$K$18,2,FALSE)),""-"",TO_TEXT($A405))"),"P05RM-0404")</f>
        <v>P05RM-0404</v>
      </c>
      <c r="I405" s="6"/>
      <c r="J405" s="6" t="s">
        <v>2887</v>
      </c>
      <c r="K405" s="6" t="s">
        <v>2888</v>
      </c>
      <c r="L405" s="6" t="s">
        <v>2889</v>
      </c>
      <c r="M405" s="6" t="s">
        <v>141</v>
      </c>
      <c r="N405" s="17"/>
      <c r="O405" s="17"/>
      <c r="P405" s="17" t="str">
        <f t="shared" si="6"/>
        <v>REPETIDO</v>
      </c>
      <c r="Q405" s="17" t="s">
        <v>205</v>
      </c>
      <c r="R405" s="32" t="s">
        <v>2890</v>
      </c>
      <c r="S405" s="17" t="s">
        <v>2891</v>
      </c>
      <c r="T405" s="17" t="s">
        <v>2892</v>
      </c>
      <c r="U405" s="18" t="s">
        <v>38</v>
      </c>
      <c r="V405" s="19" t="s">
        <v>147</v>
      </c>
      <c r="W405" s="20" t="s">
        <v>1185</v>
      </c>
      <c r="X405" s="39" t="s">
        <v>1185</v>
      </c>
      <c r="Y405" s="20"/>
      <c r="Z405" s="6"/>
      <c r="AA405" s="6"/>
      <c r="AB405" s="23"/>
      <c r="AC405" s="33"/>
    </row>
    <row r="406" spans="1:29" ht="15.75" customHeight="1">
      <c r="A406" s="10" t="s">
        <v>2893</v>
      </c>
      <c r="B406" s="10" t="s">
        <v>1469</v>
      </c>
      <c r="C406" s="60" t="s">
        <v>1470</v>
      </c>
      <c r="D406" s="12"/>
      <c r="E406" s="13" t="s">
        <v>199</v>
      </c>
      <c r="F406" s="6" t="s">
        <v>677</v>
      </c>
      <c r="G406" s="6" t="str">
        <f ca="1">IFERROR(__xludf.DUMMYFUNCTION("CONCATENATE(B406,(VLOOKUP(C406,CATALOGOS!$F$2:$H$6,3,FALSE)),(VLOOKUP(V406,CATALOGOS!$J$2:$K$18,2,FALSE)),""-"",TO_TEXT(A406))"),"P12SI-0405")</f>
        <v>P12SI-0405</v>
      </c>
      <c r="H406" s="15" t="str">
        <f ca="1">IFERROR(__xludf.DUMMYFUNCTION("CONCATENATE($B406,(VLOOKUP($C406,CATALOGOS!$F$2:$H$6,3,FALSE)),(VLOOKUP($V406,CATALOGOS!$J$2:$K$18,2,FALSE)),""-"",TO_TEXT($A406))"),"P12SI-0405")</f>
        <v>P12SI-0405</v>
      </c>
      <c r="I406" s="6"/>
      <c r="J406" s="6" t="s">
        <v>2894</v>
      </c>
      <c r="K406" s="6" t="s">
        <v>2895</v>
      </c>
      <c r="L406" s="6" t="s">
        <v>2896</v>
      </c>
      <c r="M406" s="6" t="s">
        <v>141</v>
      </c>
      <c r="N406" s="17"/>
      <c r="O406" s="17"/>
      <c r="P406" s="17" t="str">
        <f t="shared" si="6"/>
        <v>REPETIDO</v>
      </c>
      <c r="Q406" s="17" t="s">
        <v>682</v>
      </c>
      <c r="R406" s="32" t="s">
        <v>2897</v>
      </c>
      <c r="S406" s="17" t="s">
        <v>2898</v>
      </c>
      <c r="T406" s="17" t="s">
        <v>2899</v>
      </c>
      <c r="U406" s="18" t="s">
        <v>38</v>
      </c>
      <c r="V406" s="61" t="s">
        <v>1483</v>
      </c>
      <c r="W406" s="20" t="s">
        <v>1484</v>
      </c>
      <c r="X406" s="39" t="s">
        <v>1484</v>
      </c>
      <c r="Y406" s="20"/>
      <c r="Z406" s="7"/>
      <c r="AA406" s="7"/>
      <c r="AB406" s="23"/>
      <c r="AC406" s="26"/>
    </row>
    <row r="407" spans="1:29" ht="15.75" customHeight="1">
      <c r="A407" s="10" t="s">
        <v>2900</v>
      </c>
      <c r="B407" s="10" t="s">
        <v>1469</v>
      </c>
      <c r="C407" s="60" t="s">
        <v>1470</v>
      </c>
      <c r="D407" s="12"/>
      <c r="E407" s="13" t="s">
        <v>1142</v>
      </c>
      <c r="F407" s="43" t="s">
        <v>2901</v>
      </c>
      <c r="G407" s="6" t="str">
        <f ca="1">IFERROR(__xludf.DUMMYFUNCTION("CONCATENATE(B407,(VLOOKUP(C407,CATALOGOS!$F$2:$H$6,3,FALSE)),(VLOOKUP(V407,CATALOGOS!$J$2:$K$18,2,FALSE)),""-"",TO_TEXT(A407))"),"P12SI-0406")</f>
        <v>P12SI-0406</v>
      </c>
      <c r="H407" s="15" t="str">
        <f ca="1">IFERROR(__xludf.DUMMYFUNCTION("CONCATENATE($B407,(VLOOKUP($C407,CATALOGOS!$F$2:$H$6,3,FALSE)),(VLOOKUP($V407,CATALOGOS!$J$2:$K$18,2,FALSE)),""-"",TO_TEXT($A407))"),"P12SI-0406")</f>
        <v>P12SI-0406</v>
      </c>
      <c r="I407" s="6"/>
      <c r="J407" s="6" t="s">
        <v>2902</v>
      </c>
      <c r="K407" s="6" t="s">
        <v>2903</v>
      </c>
      <c r="L407" s="6" t="s">
        <v>2904</v>
      </c>
      <c r="M407" s="6" t="s">
        <v>2905</v>
      </c>
      <c r="N407" s="17"/>
      <c r="O407" s="17"/>
      <c r="P407" s="17" t="str">
        <f t="shared" si="6"/>
        <v>OK</v>
      </c>
      <c r="Q407" s="17" t="s">
        <v>359</v>
      </c>
      <c r="R407" s="6" t="s">
        <v>2906</v>
      </c>
      <c r="S407" s="17" t="s">
        <v>2907</v>
      </c>
      <c r="T407" s="10" t="s">
        <v>85</v>
      </c>
      <c r="U407" s="18" t="s">
        <v>38</v>
      </c>
      <c r="V407" s="61" t="s">
        <v>1483</v>
      </c>
      <c r="W407" s="20" t="s">
        <v>1484</v>
      </c>
      <c r="X407" s="39" t="s">
        <v>1484</v>
      </c>
      <c r="Y407" s="20"/>
      <c r="Z407" s="7"/>
      <c r="AA407" s="7"/>
      <c r="AB407" s="23"/>
      <c r="AC407" s="26"/>
    </row>
    <row r="408" spans="1:29" ht="15.75" customHeight="1">
      <c r="A408" s="10" t="s">
        <v>2908</v>
      </c>
      <c r="B408" s="10" t="s">
        <v>27</v>
      </c>
      <c r="C408" s="63" t="s">
        <v>28</v>
      </c>
      <c r="D408" s="12"/>
      <c r="E408" s="13" t="s">
        <v>151</v>
      </c>
      <c r="F408" s="6" t="s">
        <v>152</v>
      </c>
      <c r="G408" s="6" t="str">
        <f ca="1">IFERROR(__xludf.DUMMYFUNCTION("CONCATENATE(B408,(VLOOKUP(C408,CATALOGOS!$F$2:$H$6,3,FALSE)),(VLOOKUP(V408,CATALOGOS!$J$2:$K$18,2,FALSE)),""-"",TO_TEXT(A408))"),"P05RM-0407")</f>
        <v>P05RM-0407</v>
      </c>
      <c r="H408" s="15" t="str">
        <f ca="1">IFERROR(__xludf.DUMMYFUNCTION("CONCATENATE($B408,(VLOOKUP($C408,CATALOGOS!$F$2:$H$6,3,FALSE)),(VLOOKUP($V408,CATALOGOS!$J$2:$K$18,2,FALSE)),""-"",TO_TEXT($A408))"),"P05RM-0407")</f>
        <v>P05RM-0407</v>
      </c>
      <c r="I408" s="6"/>
      <c r="J408" s="6" t="s">
        <v>2909</v>
      </c>
      <c r="K408" s="6" t="s">
        <v>2910</v>
      </c>
      <c r="L408" s="6" t="s">
        <v>2911</v>
      </c>
      <c r="M408" s="6" t="s">
        <v>2912</v>
      </c>
      <c r="N408" s="17"/>
      <c r="O408" s="17"/>
      <c r="P408" s="17" t="str">
        <f t="shared" si="6"/>
        <v>OK</v>
      </c>
      <c r="Q408" s="17" t="s">
        <v>1220</v>
      </c>
      <c r="R408" s="6" t="s">
        <v>720</v>
      </c>
      <c r="S408" s="17" t="s">
        <v>2913</v>
      </c>
      <c r="T408" s="17" t="s">
        <v>2914</v>
      </c>
      <c r="U408" s="18" t="s">
        <v>2915</v>
      </c>
      <c r="V408" s="61" t="s">
        <v>147</v>
      </c>
      <c r="W408" s="20" t="s">
        <v>385</v>
      </c>
      <c r="X408" s="39" t="s">
        <v>1484</v>
      </c>
      <c r="Y408" s="40" t="s">
        <v>261</v>
      </c>
      <c r="Z408" s="7"/>
      <c r="AA408" s="7"/>
      <c r="AB408" s="23"/>
      <c r="AC408" s="26"/>
    </row>
    <row r="409" spans="1:29" ht="15.75" customHeight="1">
      <c r="A409" s="10" t="s">
        <v>2916</v>
      </c>
      <c r="B409" s="10" t="s">
        <v>1469</v>
      </c>
      <c r="C409" s="60" t="s">
        <v>1470</v>
      </c>
      <c r="D409" s="12"/>
      <c r="E409" s="13" t="s">
        <v>353</v>
      </c>
      <c r="F409" s="43" t="s">
        <v>638</v>
      </c>
      <c r="G409" s="6" t="str">
        <f ca="1">IFERROR(__xludf.DUMMYFUNCTION("CONCATENATE(B409,(VLOOKUP(C409,CATALOGOS!$F$2:$H$6,3,FALSE)),(VLOOKUP(V409,CATALOGOS!$J$2:$K$18,2,FALSE)),""-"",TO_TEXT(A409))"),"P12SI-0408")</f>
        <v>P12SI-0408</v>
      </c>
      <c r="H409" s="15" t="str">
        <f ca="1">IFERROR(__xludf.DUMMYFUNCTION("CONCATENATE($B409,(VLOOKUP($C409,CATALOGOS!$F$2:$H$6,3,FALSE)),(VLOOKUP($V409,CATALOGOS!$J$2:$K$18,2,FALSE)),""-"",TO_TEXT($A409))"),"P12SI-0408")</f>
        <v>P12SI-0408</v>
      </c>
      <c r="I409" s="6"/>
      <c r="J409" s="6" t="s">
        <v>2917</v>
      </c>
      <c r="K409" s="6" t="s">
        <v>2918</v>
      </c>
      <c r="L409" s="6" t="s">
        <v>2919</v>
      </c>
      <c r="M409" s="43" t="s">
        <v>2920</v>
      </c>
      <c r="N409" s="17"/>
      <c r="O409" s="17"/>
      <c r="P409" s="17" t="str">
        <f t="shared" si="6"/>
        <v>OK</v>
      </c>
      <c r="Q409" s="66" t="s">
        <v>359</v>
      </c>
      <c r="R409" s="6">
        <v>1500</v>
      </c>
      <c r="S409" s="17" t="s">
        <v>2921</v>
      </c>
      <c r="T409" s="10" t="s">
        <v>2922</v>
      </c>
      <c r="U409" s="18" t="s">
        <v>38</v>
      </c>
      <c r="V409" s="61" t="s">
        <v>1483</v>
      </c>
      <c r="W409" s="20" t="s">
        <v>7203</v>
      </c>
      <c r="X409" s="20" t="s">
        <v>2466</v>
      </c>
      <c r="Y409" s="20"/>
      <c r="Z409" s="7"/>
      <c r="AA409" s="7"/>
      <c r="AB409" s="23"/>
      <c r="AC409" s="26"/>
    </row>
    <row r="410" spans="1:29" ht="15.75" customHeight="1">
      <c r="A410" s="10" t="s">
        <v>2923</v>
      </c>
      <c r="B410" s="10" t="s">
        <v>1469</v>
      </c>
      <c r="C410" s="60" t="s">
        <v>1470</v>
      </c>
      <c r="D410" s="12"/>
      <c r="E410" s="13" t="s">
        <v>151</v>
      </c>
      <c r="F410" s="6" t="s">
        <v>698</v>
      </c>
      <c r="G410" s="6" t="str">
        <f ca="1">IFERROR(__xludf.DUMMYFUNCTION("CONCATENATE(B410,(VLOOKUP(C410,CATALOGOS!$F$2:$H$6,3,FALSE)),(VLOOKUP(V410,CATALOGOS!$J$2:$K$18,2,FALSE)),""-"",TO_TEXT(A410))"),"P12SI-0409")</f>
        <v>P12SI-0409</v>
      </c>
      <c r="H410" s="15" t="str">
        <f ca="1">IFERROR(__xludf.DUMMYFUNCTION("CONCATENATE($B410,(VLOOKUP($C410,CATALOGOS!$F$2:$H$6,3,FALSE)),(VLOOKUP($V410,CATALOGOS!$J$2:$K$18,2,FALSE)),""-"",TO_TEXT($A410))"),"P12SI-0409")</f>
        <v>P12SI-0409</v>
      </c>
      <c r="I410" s="6"/>
      <c r="J410" s="6" t="s">
        <v>2924</v>
      </c>
      <c r="K410" s="6" t="s">
        <v>2925</v>
      </c>
      <c r="L410" s="6" t="s">
        <v>2926</v>
      </c>
      <c r="M410" s="6" t="s">
        <v>2927</v>
      </c>
      <c r="N410" s="17"/>
      <c r="O410" s="17"/>
      <c r="P410" s="17" t="str">
        <f t="shared" si="6"/>
        <v>OK</v>
      </c>
      <c r="Q410" s="17" t="s">
        <v>703</v>
      </c>
      <c r="R410" s="6" t="s">
        <v>2874</v>
      </c>
      <c r="S410" s="17" t="s">
        <v>2928</v>
      </c>
      <c r="T410" s="10" t="s">
        <v>2929</v>
      </c>
      <c r="U410" s="18" t="s">
        <v>38</v>
      </c>
      <c r="V410" s="61" t="s">
        <v>1483</v>
      </c>
      <c r="W410" s="20" t="s">
        <v>1484</v>
      </c>
      <c r="X410" s="39" t="s">
        <v>1484</v>
      </c>
      <c r="Y410" s="20"/>
      <c r="Z410" s="7"/>
      <c r="AA410" s="7"/>
      <c r="AB410" s="23"/>
      <c r="AC410" s="26"/>
    </row>
    <row r="411" spans="1:29" ht="15.75" customHeight="1">
      <c r="A411" s="10" t="s">
        <v>2930</v>
      </c>
      <c r="B411" s="10" t="s">
        <v>1469</v>
      </c>
      <c r="C411" s="60" t="s">
        <v>1470</v>
      </c>
      <c r="D411" s="12"/>
      <c r="E411" s="13" t="s">
        <v>2734</v>
      </c>
      <c r="F411" s="43" t="s">
        <v>2931</v>
      </c>
      <c r="G411" s="6" t="str">
        <f ca="1">IFERROR(__xludf.DUMMYFUNCTION("CONCATENATE(B411,(VLOOKUP(C411,CATALOGOS!$F$2:$H$6,3,FALSE)),(VLOOKUP(V411,CATALOGOS!$J$2:$K$18,2,FALSE)),""-"",TO_TEXT(A411))"),"P12SI-0410")</f>
        <v>P12SI-0410</v>
      </c>
      <c r="H411" s="15" t="str">
        <f ca="1">IFERROR(__xludf.DUMMYFUNCTION("CONCATENATE($B411,(VLOOKUP($C411,CATALOGOS!$F$2:$H$6,3,FALSE)),(VLOOKUP($V411,CATALOGOS!$J$2:$K$18,2,FALSE)),""-"",TO_TEXT($A411))"),"P12SI-0410")</f>
        <v>P12SI-0410</v>
      </c>
      <c r="I411" s="6"/>
      <c r="J411" s="6" t="s">
        <v>2932</v>
      </c>
      <c r="K411" s="6" t="s">
        <v>2933</v>
      </c>
      <c r="L411" s="6" t="s">
        <v>2934</v>
      </c>
      <c r="M411" s="6" t="s">
        <v>2935</v>
      </c>
      <c r="N411" s="17"/>
      <c r="O411" s="17"/>
      <c r="P411" s="17" t="str">
        <f t="shared" si="6"/>
        <v>OK</v>
      </c>
      <c r="Q411" s="17" t="s">
        <v>35</v>
      </c>
      <c r="R411" s="6" t="s">
        <v>35</v>
      </c>
      <c r="S411" s="17" t="s">
        <v>36</v>
      </c>
      <c r="T411" s="17" t="s">
        <v>2936</v>
      </c>
      <c r="U411" s="18" t="s">
        <v>38</v>
      </c>
      <c r="V411" s="61" t="s">
        <v>1483</v>
      </c>
      <c r="W411" s="20" t="s">
        <v>2937</v>
      </c>
      <c r="X411" s="39" t="s">
        <v>2937</v>
      </c>
      <c r="Y411" s="20"/>
      <c r="Z411" s="7"/>
      <c r="AA411" s="7"/>
      <c r="AB411" s="23"/>
      <c r="AC411" s="26"/>
    </row>
    <row r="412" spans="1:29" ht="15.75" customHeight="1">
      <c r="A412" s="10" t="s">
        <v>2938</v>
      </c>
      <c r="B412" s="10" t="s">
        <v>1469</v>
      </c>
      <c r="C412" s="60" t="s">
        <v>1470</v>
      </c>
      <c r="D412" s="12"/>
      <c r="E412" s="13" t="s">
        <v>2817</v>
      </c>
      <c r="F412" s="43" t="s">
        <v>2817</v>
      </c>
      <c r="G412" s="6" t="str">
        <f ca="1">IFERROR(__xludf.DUMMYFUNCTION("CONCATENATE(B412,(VLOOKUP(C412,CATALOGOS!$F$2:$H$6,3,FALSE)),(VLOOKUP(V412,CATALOGOS!$J$2:$K$18,2,FALSE)),""-"",TO_TEXT(A412))"),"P12SI-0411")</f>
        <v>P12SI-0411</v>
      </c>
      <c r="H412" s="15" t="str">
        <f ca="1">IFERROR(__xludf.DUMMYFUNCTION("CONCATENATE($B412,(VLOOKUP($C412,CATALOGOS!$F$2:$H$6,3,FALSE)),(VLOOKUP($V412,CATALOGOS!$J$2:$K$18,2,FALSE)),""-"",TO_TEXT($A412))"),"P12SI-0411")</f>
        <v>P12SI-0411</v>
      </c>
      <c r="I412" s="6"/>
      <c r="J412" s="6" t="s">
        <v>2939</v>
      </c>
      <c r="K412" s="6" t="s">
        <v>2940</v>
      </c>
      <c r="L412" s="6" t="s">
        <v>2941</v>
      </c>
      <c r="M412" s="6" t="s">
        <v>2942</v>
      </c>
      <c r="N412" s="17"/>
      <c r="O412" s="17"/>
      <c r="P412" s="17" t="str">
        <f t="shared" si="6"/>
        <v>OK</v>
      </c>
      <c r="Q412" s="17" t="s">
        <v>2943</v>
      </c>
      <c r="R412" s="6" t="s">
        <v>35</v>
      </c>
      <c r="S412" s="17" t="s">
        <v>36</v>
      </c>
      <c r="T412" s="17" t="s">
        <v>2944</v>
      </c>
      <c r="U412" s="18" t="s">
        <v>38</v>
      </c>
      <c r="V412" s="61" t="s">
        <v>1483</v>
      </c>
      <c r="W412" s="20" t="s">
        <v>2937</v>
      </c>
      <c r="X412" s="67" t="s">
        <v>2937</v>
      </c>
      <c r="Y412" s="68"/>
      <c r="Z412" s="7"/>
      <c r="AA412" s="7"/>
      <c r="AB412" s="23"/>
      <c r="AC412" s="26"/>
    </row>
    <row r="413" spans="1:29" ht="15.75" customHeight="1">
      <c r="A413" s="10" t="s">
        <v>2945</v>
      </c>
      <c r="B413" s="10" t="s">
        <v>1469</v>
      </c>
      <c r="C413" s="60" t="s">
        <v>1470</v>
      </c>
      <c r="D413" s="12"/>
      <c r="E413" s="13" t="s">
        <v>2351</v>
      </c>
      <c r="F413" s="43" t="s">
        <v>2352</v>
      </c>
      <c r="G413" s="6" t="str">
        <f ca="1">IFERROR(__xludf.DUMMYFUNCTION("CONCATENATE(B413,(VLOOKUP(C413,CATALOGOS!$F$2:$H$6,3,FALSE)),(VLOOKUP(V413,CATALOGOS!$J$2:$K$18,2,FALSE)),""-"",TO_TEXT(A413))"),"P12SI-0412")</f>
        <v>P12SI-0412</v>
      </c>
      <c r="H413" s="15" t="str">
        <f ca="1">IFERROR(__xludf.DUMMYFUNCTION("CONCATENATE($B413,(VLOOKUP($C413,CATALOGOS!$F$2:$H$6,3,FALSE)),(VLOOKUP($V413,CATALOGOS!$J$2:$K$18,2,FALSE)),""-"",TO_TEXT($A413))"),"P12SI-0412")</f>
        <v>P12SI-0412</v>
      </c>
      <c r="I413" s="6"/>
      <c r="J413" s="6" t="s">
        <v>2946</v>
      </c>
      <c r="K413" s="6" t="s">
        <v>2947</v>
      </c>
      <c r="L413" s="6" t="s">
        <v>2948</v>
      </c>
      <c r="M413" s="6" t="s">
        <v>2949</v>
      </c>
      <c r="N413" s="17"/>
      <c r="O413" s="17"/>
      <c r="P413" s="17" t="str">
        <f t="shared" si="6"/>
        <v>OK</v>
      </c>
      <c r="Q413" s="17" t="s">
        <v>2357</v>
      </c>
      <c r="R413" s="6" t="s">
        <v>35</v>
      </c>
      <c r="S413" s="17" t="s">
        <v>2928</v>
      </c>
      <c r="T413" s="17" t="s">
        <v>2950</v>
      </c>
      <c r="U413" s="18" t="s">
        <v>38</v>
      </c>
      <c r="V413" s="61" t="s">
        <v>1483</v>
      </c>
      <c r="W413" s="20" t="s">
        <v>2937</v>
      </c>
      <c r="X413" s="39" t="s">
        <v>2937</v>
      </c>
      <c r="Y413" s="20"/>
      <c r="Z413" s="7"/>
      <c r="AA413" s="7"/>
      <c r="AB413" s="23"/>
      <c r="AC413" s="26"/>
    </row>
    <row r="414" spans="1:29" ht="15.75" customHeight="1">
      <c r="A414" s="10" t="s">
        <v>2951</v>
      </c>
      <c r="B414" s="10" t="s">
        <v>1469</v>
      </c>
      <c r="C414" s="60" t="s">
        <v>1470</v>
      </c>
      <c r="D414" s="12"/>
      <c r="E414" s="13" t="s">
        <v>501</v>
      </c>
      <c r="F414" s="6" t="s">
        <v>2952</v>
      </c>
      <c r="G414" s="6" t="str">
        <f ca="1">IFERROR(__xludf.DUMMYFUNCTION("CONCATENATE(B414,(VLOOKUP(C414,CATALOGOS!$F$2:$H$6,3,FALSE)),(VLOOKUP(V414,CATALOGOS!$J$2:$K$18,2,FALSE)),""-"",TO_TEXT(A414))"),"P12SI-0413")</f>
        <v>P12SI-0413</v>
      </c>
      <c r="H414" s="15" t="str">
        <f ca="1">IFERROR(__xludf.DUMMYFUNCTION("CONCATENATE($B414,(VLOOKUP($C414,CATALOGOS!$F$2:$H$6,3,FALSE)),(VLOOKUP($V414,CATALOGOS!$J$2:$K$18,2,FALSE)),""-"",TO_TEXT($A414))"),"P12SI-0413")</f>
        <v>P12SI-0413</v>
      </c>
      <c r="I414" s="6"/>
      <c r="J414" s="6" t="s">
        <v>2953</v>
      </c>
      <c r="K414" s="6" t="s">
        <v>2954</v>
      </c>
      <c r="L414" s="6" t="s">
        <v>2955</v>
      </c>
      <c r="M414" s="43" t="s">
        <v>2956</v>
      </c>
      <c r="N414" s="17"/>
      <c r="O414" s="17"/>
      <c r="P414" s="17" t="str">
        <f t="shared" si="6"/>
        <v>OK</v>
      </c>
      <c r="Q414" s="17" t="s">
        <v>35</v>
      </c>
      <c r="R414" s="6" t="s">
        <v>35</v>
      </c>
      <c r="S414" s="17" t="s">
        <v>36</v>
      </c>
      <c r="T414" s="10" t="s">
        <v>2957</v>
      </c>
      <c r="U414" s="18" t="s">
        <v>38</v>
      </c>
      <c r="V414" s="61" t="s">
        <v>1483</v>
      </c>
      <c r="W414" s="20" t="s">
        <v>1484</v>
      </c>
      <c r="X414" s="39" t="s">
        <v>1484</v>
      </c>
      <c r="Y414" s="20"/>
      <c r="Z414" s="7"/>
      <c r="AA414" s="7"/>
      <c r="AB414" s="23"/>
      <c r="AC414" s="26"/>
    </row>
    <row r="415" spans="1:29" ht="15.75" customHeight="1">
      <c r="A415" s="10" t="s">
        <v>2958</v>
      </c>
      <c r="B415" s="10" t="s">
        <v>1469</v>
      </c>
      <c r="C415" s="60" t="s">
        <v>1470</v>
      </c>
      <c r="D415" s="12"/>
      <c r="E415" s="13" t="s">
        <v>2734</v>
      </c>
      <c r="F415" s="43" t="s">
        <v>2734</v>
      </c>
      <c r="G415" s="6" t="str">
        <f ca="1">IFERROR(__xludf.DUMMYFUNCTION("CONCATENATE(B415,(VLOOKUP(C415,CATALOGOS!$F$2:$H$6,3,FALSE)),(VLOOKUP(V415,CATALOGOS!$J$2:$K$18,2,FALSE)),""-"",TO_TEXT(A415))"),"P12SI-0414")</f>
        <v>P12SI-0414</v>
      </c>
      <c r="H415" s="15" t="str">
        <f ca="1">IFERROR(__xludf.DUMMYFUNCTION("CONCATENATE($B415,(VLOOKUP($C415,CATALOGOS!$F$2:$H$6,3,FALSE)),(VLOOKUP($V415,CATALOGOS!$J$2:$K$18,2,FALSE)),""-"",TO_TEXT($A415))"),"P12SI-0414")</f>
        <v>P12SI-0414</v>
      </c>
      <c r="I415" s="6"/>
      <c r="J415" s="6" t="s">
        <v>2959</v>
      </c>
      <c r="K415" s="6" t="s">
        <v>2960</v>
      </c>
      <c r="L415" s="49" t="s">
        <v>2961</v>
      </c>
      <c r="M415" s="6" t="s">
        <v>2962</v>
      </c>
      <c r="N415" s="17"/>
      <c r="O415" s="17"/>
      <c r="P415" s="17" t="str">
        <f t="shared" si="6"/>
        <v>OK</v>
      </c>
      <c r="Q415" s="17" t="s">
        <v>35</v>
      </c>
      <c r="R415" s="6" t="s">
        <v>35</v>
      </c>
      <c r="S415" s="17" t="s">
        <v>36</v>
      </c>
      <c r="T415" s="17" t="s">
        <v>2963</v>
      </c>
      <c r="U415" s="18" t="s">
        <v>38</v>
      </c>
      <c r="V415" s="61" t="s">
        <v>1483</v>
      </c>
      <c r="W415" s="20" t="s">
        <v>2964</v>
      </c>
      <c r="X415" s="39" t="s">
        <v>2964</v>
      </c>
      <c r="Y415" s="20"/>
      <c r="Z415" s="7"/>
      <c r="AA415" s="7"/>
      <c r="AB415" s="23"/>
      <c r="AC415" s="26"/>
    </row>
    <row r="416" spans="1:29" ht="15.75" customHeight="1">
      <c r="A416" s="10" t="s">
        <v>2965</v>
      </c>
      <c r="B416" s="10" t="s">
        <v>1469</v>
      </c>
      <c r="C416" s="60" t="s">
        <v>1470</v>
      </c>
      <c r="D416" s="12"/>
      <c r="E416" s="13" t="s">
        <v>2817</v>
      </c>
      <c r="F416" s="43" t="s">
        <v>2817</v>
      </c>
      <c r="G416" s="6" t="str">
        <f ca="1">IFERROR(__xludf.DUMMYFUNCTION("CONCATENATE(B416,(VLOOKUP(C416,CATALOGOS!$F$2:$H$6,3,FALSE)),(VLOOKUP(V416,CATALOGOS!$J$2:$K$18,2,FALSE)),""-"",TO_TEXT(A416))"),"P12SI-0415")</f>
        <v>P12SI-0415</v>
      </c>
      <c r="H416" s="15" t="str">
        <f ca="1">IFERROR(__xludf.DUMMYFUNCTION("CONCATENATE($B416,(VLOOKUP($C416,CATALOGOS!$F$2:$H$6,3,FALSE)),(VLOOKUP($V416,CATALOGOS!$J$2:$K$18,2,FALSE)),""-"",TO_TEXT($A416))"),"P12SI-0415")</f>
        <v>P12SI-0415</v>
      </c>
      <c r="I416" s="6"/>
      <c r="J416" s="6" t="s">
        <v>2966</v>
      </c>
      <c r="K416" s="6" t="s">
        <v>2967</v>
      </c>
      <c r="L416" s="6" t="s">
        <v>2968</v>
      </c>
      <c r="M416" s="6" t="s">
        <v>2969</v>
      </c>
      <c r="N416" s="17"/>
      <c r="O416" s="17"/>
      <c r="P416" s="17" t="str">
        <f t="shared" si="6"/>
        <v>OK</v>
      </c>
      <c r="Q416" s="17" t="s">
        <v>2822</v>
      </c>
      <c r="R416" s="6" t="s">
        <v>35</v>
      </c>
      <c r="S416" s="6" t="s">
        <v>36</v>
      </c>
      <c r="T416" s="17" t="s">
        <v>2970</v>
      </c>
      <c r="U416" s="18" t="s">
        <v>38</v>
      </c>
      <c r="V416" s="61" t="s">
        <v>1483</v>
      </c>
      <c r="W416" s="20" t="s">
        <v>2964</v>
      </c>
      <c r="X416" s="39" t="s">
        <v>2964</v>
      </c>
      <c r="Y416" s="20"/>
      <c r="Z416" s="7"/>
      <c r="AA416" s="7"/>
      <c r="AB416" s="23"/>
      <c r="AC416" s="26"/>
    </row>
    <row r="417" spans="1:29" ht="15.75" customHeight="1">
      <c r="A417" s="10" t="s">
        <v>2971</v>
      </c>
      <c r="B417" s="10" t="s">
        <v>1469</v>
      </c>
      <c r="C417" s="60" t="s">
        <v>1470</v>
      </c>
      <c r="D417" s="12"/>
      <c r="E417" s="13" t="s">
        <v>2351</v>
      </c>
      <c r="F417" s="43" t="s">
        <v>2352</v>
      </c>
      <c r="G417" s="6" t="str">
        <f ca="1">IFERROR(__xludf.DUMMYFUNCTION("CONCATENATE(B417,(VLOOKUP(C417,CATALOGOS!$F$2:$H$6,3,FALSE)),(VLOOKUP(V417,CATALOGOS!$J$2:$K$18,2,FALSE)),""-"",TO_TEXT(A417))"),"P12SI-0416")</f>
        <v>P12SI-0416</v>
      </c>
      <c r="H417" s="15" t="str">
        <f ca="1">IFERROR(__xludf.DUMMYFUNCTION("CONCATENATE($B417,(VLOOKUP($C417,CATALOGOS!$F$2:$H$6,3,FALSE)),(VLOOKUP($V417,CATALOGOS!$J$2:$K$18,2,FALSE)),""-"",TO_TEXT($A417))"),"P12SI-0416")</f>
        <v>P12SI-0416</v>
      </c>
      <c r="I417" s="6"/>
      <c r="J417" s="6" t="s">
        <v>2972</v>
      </c>
      <c r="K417" s="6" t="s">
        <v>2973</v>
      </c>
      <c r="L417" s="6" t="s">
        <v>2974</v>
      </c>
      <c r="M417" s="6" t="s">
        <v>2975</v>
      </c>
      <c r="N417" s="17"/>
      <c r="O417" s="17"/>
      <c r="P417" s="17" t="str">
        <f t="shared" si="6"/>
        <v>OK</v>
      </c>
      <c r="Q417" s="17" t="s">
        <v>2976</v>
      </c>
      <c r="R417" s="6" t="s">
        <v>2977</v>
      </c>
      <c r="S417" s="6" t="s">
        <v>2978</v>
      </c>
      <c r="T417" s="10" t="s">
        <v>2979</v>
      </c>
      <c r="U417" s="18" t="s">
        <v>38</v>
      </c>
      <c r="V417" s="61" t="s">
        <v>1483</v>
      </c>
      <c r="W417" s="20" t="s">
        <v>2964</v>
      </c>
      <c r="X417" s="39" t="s">
        <v>2964</v>
      </c>
      <c r="Y417" s="20"/>
      <c r="Z417" s="7"/>
      <c r="AA417" s="7"/>
      <c r="AB417" s="23"/>
      <c r="AC417" s="26"/>
    </row>
    <row r="418" spans="1:29" ht="15.75" customHeight="1">
      <c r="A418" s="10" t="s">
        <v>2980</v>
      </c>
      <c r="B418" s="10" t="s">
        <v>1469</v>
      </c>
      <c r="C418" s="60" t="s">
        <v>1470</v>
      </c>
      <c r="D418" s="12"/>
      <c r="E418" s="13" t="s">
        <v>93</v>
      </c>
      <c r="F418" s="6" t="s">
        <v>2981</v>
      </c>
      <c r="G418" s="6" t="str">
        <f ca="1">IFERROR(__xludf.DUMMYFUNCTION("CONCATENATE(B418,(VLOOKUP(C418,CATALOGOS!$F$2:$H$6,3,FALSE)),(VLOOKUP(V418,CATALOGOS!$J$2:$K$18,2,FALSE)),""-"",TO_TEXT(A418))"),"P12SI-0417")</f>
        <v>P12SI-0417</v>
      </c>
      <c r="H418" s="15" t="str">
        <f ca="1">IFERROR(__xludf.DUMMYFUNCTION("CONCATENATE($B418,(VLOOKUP($C418,CATALOGOS!$F$2:$H$6,3,FALSE)),(VLOOKUP($V418,CATALOGOS!$J$2:$K$18,2,FALSE)),""-"",TO_TEXT($A418))"),"P12SI-0417")</f>
        <v>P12SI-0417</v>
      </c>
      <c r="I418" s="6"/>
      <c r="J418" s="6" t="s">
        <v>2982</v>
      </c>
      <c r="K418" s="6" t="s">
        <v>2983</v>
      </c>
      <c r="L418" s="6" t="s">
        <v>2984</v>
      </c>
      <c r="M418" s="6" t="s">
        <v>2985</v>
      </c>
      <c r="N418" s="17"/>
      <c r="O418" s="17"/>
      <c r="P418" s="17" t="str">
        <f t="shared" si="6"/>
        <v>OK</v>
      </c>
      <c r="Q418" s="17" t="s">
        <v>35</v>
      </c>
      <c r="R418" s="6" t="s">
        <v>35</v>
      </c>
      <c r="S418" s="17" t="s">
        <v>36</v>
      </c>
      <c r="T418" s="17" t="s">
        <v>2986</v>
      </c>
      <c r="U418" s="18" t="s">
        <v>38</v>
      </c>
      <c r="V418" s="61" t="s">
        <v>1483</v>
      </c>
      <c r="W418" s="20" t="s">
        <v>1484</v>
      </c>
      <c r="X418" s="39" t="s">
        <v>1484</v>
      </c>
      <c r="Y418" s="20"/>
      <c r="Z418" s="7"/>
      <c r="AA418" s="7"/>
      <c r="AB418" s="23"/>
      <c r="AC418" s="26"/>
    </row>
    <row r="419" spans="1:29" ht="15.75" customHeight="1">
      <c r="A419" s="10" t="s">
        <v>2987</v>
      </c>
      <c r="B419" s="10" t="s">
        <v>1469</v>
      </c>
      <c r="C419" s="60" t="s">
        <v>1470</v>
      </c>
      <c r="D419" s="12"/>
      <c r="E419" s="13" t="s">
        <v>2988</v>
      </c>
      <c r="F419" s="6" t="s">
        <v>2988</v>
      </c>
      <c r="G419" s="6" t="str">
        <f ca="1">IFERROR(__xludf.DUMMYFUNCTION("CONCATENATE(B419,(VLOOKUP(C419,CATALOGOS!$F$2:$H$6,3,FALSE)),(VLOOKUP(V419,CATALOGOS!$J$2:$K$18,2,FALSE)),""-"",TO_TEXT(A419))"),"P12SI-0418")</f>
        <v>P12SI-0418</v>
      </c>
      <c r="H419" s="15" t="str">
        <f ca="1">IFERROR(__xludf.DUMMYFUNCTION("CONCATENATE($B419,(VLOOKUP($C419,CATALOGOS!$F$2:$H$6,3,FALSE)),(VLOOKUP($V419,CATALOGOS!$J$2:$K$18,2,FALSE)),""-"",TO_TEXT($A419))"),"P12SI-0418")</f>
        <v>P12SI-0418</v>
      </c>
      <c r="I419" s="6"/>
      <c r="J419" s="6" t="s">
        <v>2989</v>
      </c>
      <c r="K419" s="6" t="s">
        <v>2990</v>
      </c>
      <c r="L419" s="6" t="s">
        <v>2991</v>
      </c>
      <c r="M419" s="6" t="s">
        <v>2992</v>
      </c>
      <c r="N419" s="17"/>
      <c r="O419" s="17"/>
      <c r="P419" s="17" t="str">
        <f t="shared" si="6"/>
        <v>OK</v>
      </c>
      <c r="Q419" s="17" t="s">
        <v>2993</v>
      </c>
      <c r="R419" s="6" t="s">
        <v>2994</v>
      </c>
      <c r="S419" s="17" t="s">
        <v>2995</v>
      </c>
      <c r="T419" s="17" t="s">
        <v>2996</v>
      </c>
      <c r="U419" s="18" t="s">
        <v>38</v>
      </c>
      <c r="V419" s="61" t="s">
        <v>1483</v>
      </c>
      <c r="W419" s="20" t="s">
        <v>1484</v>
      </c>
      <c r="X419" s="39" t="s">
        <v>1484</v>
      </c>
      <c r="Y419" s="20" t="s">
        <v>2997</v>
      </c>
      <c r="Z419" s="6"/>
      <c r="AA419" s="6"/>
      <c r="AB419" s="23"/>
      <c r="AC419" s="33"/>
    </row>
    <row r="420" spans="1:29" ht="15.75" customHeight="1">
      <c r="A420" s="10" t="s">
        <v>2998</v>
      </c>
      <c r="B420" s="10" t="s">
        <v>1469</v>
      </c>
      <c r="C420" s="60" t="s">
        <v>1470</v>
      </c>
      <c r="D420" s="12"/>
      <c r="E420" s="13" t="s">
        <v>2988</v>
      </c>
      <c r="F420" s="6" t="s">
        <v>2988</v>
      </c>
      <c r="G420" s="6" t="str">
        <f ca="1">IFERROR(__xludf.DUMMYFUNCTION("CONCATENATE(B420,(VLOOKUP(C420,CATALOGOS!$F$2:$H$6,3,FALSE)),(VLOOKUP(V420,CATALOGOS!$J$2:$K$18,2,FALSE)),""-"",TO_TEXT(A420))"),"P12SI-0419")</f>
        <v>P12SI-0419</v>
      </c>
      <c r="H420" s="15" t="str">
        <f ca="1">IFERROR(__xludf.DUMMYFUNCTION("CONCATENATE($B420,(VLOOKUP($C420,CATALOGOS!$F$2:$H$6,3,FALSE)),(VLOOKUP($V420,CATALOGOS!$J$2:$K$18,2,FALSE)),""-"",TO_TEXT($A420))"),"P12SI-0419")</f>
        <v>P12SI-0419</v>
      </c>
      <c r="I420" s="6"/>
      <c r="J420" s="6" t="s">
        <v>2999</v>
      </c>
      <c r="K420" s="6" t="s">
        <v>3000</v>
      </c>
      <c r="L420" s="6" t="s">
        <v>3001</v>
      </c>
      <c r="M420" s="6" t="s">
        <v>3002</v>
      </c>
      <c r="N420" s="17"/>
      <c r="O420" s="17"/>
      <c r="P420" s="17" t="str">
        <f t="shared" si="6"/>
        <v>OK</v>
      </c>
      <c r="Q420" s="17" t="s">
        <v>2993</v>
      </c>
      <c r="R420" s="6" t="s">
        <v>3003</v>
      </c>
      <c r="S420" s="17" t="s">
        <v>3004</v>
      </c>
      <c r="T420" s="17" t="s">
        <v>3005</v>
      </c>
      <c r="U420" s="18" t="s">
        <v>38</v>
      </c>
      <c r="V420" s="61" t="s">
        <v>1483</v>
      </c>
      <c r="W420" s="20" t="s">
        <v>1484</v>
      </c>
      <c r="X420" s="39" t="s">
        <v>1484</v>
      </c>
      <c r="Y420" s="20" t="s">
        <v>3006</v>
      </c>
      <c r="Z420" s="6"/>
      <c r="AA420" s="6"/>
      <c r="AB420" s="23"/>
      <c r="AC420" s="33"/>
    </row>
    <row r="421" spans="1:29" ht="15.75" customHeight="1">
      <c r="A421" s="10" t="s">
        <v>3007</v>
      </c>
      <c r="B421" s="10" t="s">
        <v>1469</v>
      </c>
      <c r="C421" s="60" t="s">
        <v>1470</v>
      </c>
      <c r="D421" s="12"/>
      <c r="E421" s="13" t="s">
        <v>2988</v>
      </c>
      <c r="F421" s="6" t="s">
        <v>2988</v>
      </c>
      <c r="G421" s="6" t="str">
        <f ca="1">IFERROR(__xludf.DUMMYFUNCTION("CONCATENATE(B421,(VLOOKUP(C421,CATALOGOS!$F$2:$H$6,3,FALSE)),(VLOOKUP(V421,CATALOGOS!$J$2:$K$18,2,FALSE)),""-"",TO_TEXT(A421))"),"P12SI-0420")</f>
        <v>P12SI-0420</v>
      </c>
      <c r="H421" s="15" t="str">
        <f ca="1">IFERROR(__xludf.DUMMYFUNCTION("CONCATENATE($B421,(VLOOKUP($C421,CATALOGOS!$F$2:$H$6,3,FALSE)),(VLOOKUP($V421,CATALOGOS!$J$2:$K$18,2,FALSE)),""-"",TO_TEXT($A421))"),"P12SI-0420")</f>
        <v>P12SI-0420</v>
      </c>
      <c r="I421" s="6"/>
      <c r="J421" s="6" t="s">
        <v>3008</v>
      </c>
      <c r="K421" s="6" t="s">
        <v>3009</v>
      </c>
      <c r="L421" s="6" t="s">
        <v>3010</v>
      </c>
      <c r="M421" s="6" t="s">
        <v>3011</v>
      </c>
      <c r="N421" s="17"/>
      <c r="O421" s="17"/>
      <c r="P421" s="17" t="str">
        <f t="shared" si="6"/>
        <v>OK</v>
      </c>
      <c r="Q421" s="17" t="s">
        <v>2993</v>
      </c>
      <c r="R421" s="6" t="s">
        <v>3012</v>
      </c>
      <c r="S421" s="17" t="s">
        <v>3013</v>
      </c>
      <c r="T421" s="17" t="s">
        <v>3014</v>
      </c>
      <c r="U421" s="18" t="s">
        <v>38</v>
      </c>
      <c r="V421" s="61" t="s">
        <v>1483</v>
      </c>
      <c r="W421" s="20" t="s">
        <v>1484</v>
      </c>
      <c r="X421" s="39" t="s">
        <v>1484</v>
      </c>
      <c r="Y421" s="20" t="s">
        <v>3015</v>
      </c>
      <c r="Z421" s="6"/>
      <c r="AA421" s="6"/>
      <c r="AB421" s="23"/>
      <c r="AC421" s="33"/>
    </row>
    <row r="422" spans="1:29" ht="15.75" customHeight="1">
      <c r="A422" s="10" t="s">
        <v>3016</v>
      </c>
      <c r="B422" s="10" t="s">
        <v>1469</v>
      </c>
      <c r="C422" s="60" t="s">
        <v>1470</v>
      </c>
      <c r="D422" s="12"/>
      <c r="E422" s="13" t="s">
        <v>2988</v>
      </c>
      <c r="F422" s="6" t="s">
        <v>2988</v>
      </c>
      <c r="G422" s="6" t="str">
        <f ca="1">IFERROR(__xludf.DUMMYFUNCTION("CONCATENATE(B422,(VLOOKUP(C422,CATALOGOS!$F$2:$H$6,3,FALSE)),(VLOOKUP(V422,CATALOGOS!$J$2:$K$18,2,FALSE)),""-"",TO_TEXT(A422))"),"P12SI-0421")</f>
        <v>P12SI-0421</v>
      </c>
      <c r="H422" s="15" t="str">
        <f ca="1">IFERROR(__xludf.DUMMYFUNCTION("CONCATENATE($B422,(VLOOKUP($C422,CATALOGOS!$F$2:$H$6,3,FALSE)),(VLOOKUP($V422,CATALOGOS!$J$2:$K$18,2,FALSE)),""-"",TO_TEXT($A422))"),"P12SI-0421")</f>
        <v>P12SI-0421</v>
      </c>
      <c r="I422" s="6"/>
      <c r="J422" s="6" t="s">
        <v>3017</v>
      </c>
      <c r="K422" s="6" t="s">
        <v>3018</v>
      </c>
      <c r="L422" s="6" t="s">
        <v>3019</v>
      </c>
      <c r="M422" s="6" t="s">
        <v>3020</v>
      </c>
      <c r="N422" s="17"/>
      <c r="O422" s="17"/>
      <c r="P422" s="17" t="str">
        <f t="shared" si="6"/>
        <v>OK</v>
      </c>
      <c r="Q422" s="17" t="s">
        <v>2993</v>
      </c>
      <c r="R422" s="6" t="s">
        <v>3003</v>
      </c>
      <c r="S422" s="17" t="s">
        <v>3021</v>
      </c>
      <c r="T422" s="17" t="s">
        <v>3022</v>
      </c>
      <c r="U422" s="18" t="s">
        <v>100</v>
      </c>
      <c r="V422" s="61" t="s">
        <v>1483</v>
      </c>
      <c r="W422" s="20" t="s">
        <v>1484</v>
      </c>
      <c r="X422" s="39" t="s">
        <v>1484</v>
      </c>
      <c r="Y422" s="20" t="s">
        <v>3023</v>
      </c>
      <c r="Z422" s="6"/>
      <c r="AA422" s="6"/>
      <c r="AB422" s="23"/>
      <c r="AC422" s="33"/>
    </row>
    <row r="423" spans="1:29" ht="15.75" customHeight="1">
      <c r="A423" s="10" t="s">
        <v>3024</v>
      </c>
      <c r="B423" s="10" t="s">
        <v>1469</v>
      </c>
      <c r="C423" s="60" t="s">
        <v>1470</v>
      </c>
      <c r="D423" s="12"/>
      <c r="E423" s="13" t="s">
        <v>2988</v>
      </c>
      <c r="F423" s="6" t="s">
        <v>2988</v>
      </c>
      <c r="G423" s="6" t="str">
        <f ca="1">IFERROR(__xludf.DUMMYFUNCTION("CONCATENATE(B423,(VLOOKUP(C423,CATALOGOS!$F$2:$H$6,3,FALSE)),(VLOOKUP(V423,CATALOGOS!$J$2:$K$18,2,FALSE)),""-"",TO_TEXT(A423))"),"P12SI-0422")</f>
        <v>P12SI-0422</v>
      </c>
      <c r="H423" s="15" t="str">
        <f ca="1">IFERROR(__xludf.DUMMYFUNCTION("CONCATENATE($B423,(VLOOKUP($C423,CATALOGOS!$F$2:$H$6,3,FALSE)),(VLOOKUP($V423,CATALOGOS!$J$2:$K$18,2,FALSE)),""-"",TO_TEXT($A423))"),"P12SI-0422")</f>
        <v>P12SI-0422</v>
      </c>
      <c r="I423" s="6"/>
      <c r="J423" s="6" t="s">
        <v>3025</v>
      </c>
      <c r="K423" s="6" t="s">
        <v>3026</v>
      </c>
      <c r="L423" s="6" t="s">
        <v>3027</v>
      </c>
      <c r="M423" s="6" t="s">
        <v>3028</v>
      </c>
      <c r="N423" s="17"/>
      <c r="O423" s="17"/>
      <c r="P423" s="17" t="str">
        <f t="shared" si="6"/>
        <v>OK</v>
      </c>
      <c r="Q423" s="17" t="s">
        <v>2993</v>
      </c>
      <c r="R423" s="6" t="s">
        <v>3003</v>
      </c>
      <c r="S423" s="17" t="s">
        <v>3029</v>
      </c>
      <c r="T423" s="17" t="s">
        <v>3030</v>
      </c>
      <c r="U423" s="18" t="s">
        <v>38</v>
      </c>
      <c r="V423" s="61" t="s">
        <v>1483</v>
      </c>
      <c r="W423" s="20" t="s">
        <v>1484</v>
      </c>
      <c r="X423" s="39" t="s">
        <v>1484</v>
      </c>
      <c r="Y423" s="20" t="s">
        <v>3031</v>
      </c>
      <c r="Z423" s="6"/>
      <c r="AA423" s="6"/>
      <c r="AB423" s="23"/>
      <c r="AC423" s="33"/>
    </row>
    <row r="424" spans="1:29" ht="15.75" customHeight="1">
      <c r="A424" s="10" t="s">
        <v>3032</v>
      </c>
      <c r="B424" s="10" t="s">
        <v>1469</v>
      </c>
      <c r="C424" s="60" t="s">
        <v>1470</v>
      </c>
      <c r="D424" s="12"/>
      <c r="E424" s="13" t="s">
        <v>2988</v>
      </c>
      <c r="F424" s="6" t="s">
        <v>2988</v>
      </c>
      <c r="G424" s="6" t="str">
        <f ca="1">IFERROR(__xludf.DUMMYFUNCTION("CONCATENATE(B424,(VLOOKUP(C424,CATALOGOS!$F$2:$H$6,3,FALSE)),(VLOOKUP(V424,CATALOGOS!$J$2:$K$18,2,FALSE)),""-"",TO_TEXT(A424))"),"P12SI-0423")</f>
        <v>P12SI-0423</v>
      </c>
      <c r="H424" s="15" t="str">
        <f ca="1">IFERROR(__xludf.DUMMYFUNCTION("CONCATENATE($B424,(VLOOKUP($C424,CATALOGOS!$F$2:$H$6,3,FALSE)),(VLOOKUP($V424,CATALOGOS!$J$2:$K$18,2,FALSE)),""-"",TO_TEXT($A424))"),"P12SI-0423")</f>
        <v>P12SI-0423</v>
      </c>
      <c r="I424" s="6"/>
      <c r="J424" s="6" t="s">
        <v>3033</v>
      </c>
      <c r="K424" s="6" t="s">
        <v>3034</v>
      </c>
      <c r="L424" s="6" t="s">
        <v>3035</v>
      </c>
      <c r="M424" s="6" t="s">
        <v>3036</v>
      </c>
      <c r="N424" s="17"/>
      <c r="O424" s="17"/>
      <c r="P424" s="17" t="str">
        <f t="shared" si="6"/>
        <v>OK</v>
      </c>
      <c r="Q424" s="17" t="s">
        <v>2993</v>
      </c>
      <c r="R424" s="6" t="s">
        <v>3037</v>
      </c>
      <c r="S424" s="17" t="s">
        <v>3038</v>
      </c>
      <c r="T424" s="17" t="s">
        <v>3039</v>
      </c>
      <c r="U424" s="18" t="s">
        <v>38</v>
      </c>
      <c r="V424" s="61" t="s">
        <v>1483</v>
      </c>
      <c r="W424" s="20" t="s">
        <v>1484</v>
      </c>
      <c r="X424" s="39" t="s">
        <v>1484</v>
      </c>
      <c r="Y424" s="20" t="s">
        <v>3040</v>
      </c>
      <c r="Z424" s="6"/>
      <c r="AA424" s="6"/>
      <c r="AB424" s="23"/>
      <c r="AC424" s="33"/>
    </row>
    <row r="425" spans="1:29" ht="15.75" customHeight="1">
      <c r="A425" s="10" t="s">
        <v>3041</v>
      </c>
      <c r="B425" s="10" t="s">
        <v>1469</v>
      </c>
      <c r="C425" s="60" t="s">
        <v>1470</v>
      </c>
      <c r="D425" s="12"/>
      <c r="E425" s="13" t="s">
        <v>2988</v>
      </c>
      <c r="F425" s="6" t="s">
        <v>2988</v>
      </c>
      <c r="G425" s="6" t="str">
        <f ca="1">IFERROR(__xludf.DUMMYFUNCTION("CONCATENATE(B425,(VLOOKUP(C425,CATALOGOS!$F$2:$H$6,3,FALSE)),(VLOOKUP(V425,CATALOGOS!$J$2:$K$18,2,FALSE)),""-"",TO_TEXT(A425))"),"P12SI-0424")</f>
        <v>P12SI-0424</v>
      </c>
      <c r="H425" s="15" t="str">
        <f ca="1">IFERROR(__xludf.DUMMYFUNCTION("CONCATENATE($B425,(VLOOKUP($C425,CATALOGOS!$F$2:$H$6,3,FALSE)),(VLOOKUP($V425,CATALOGOS!$J$2:$K$18,2,FALSE)),""-"",TO_TEXT($A425))"),"P12SI-0424")</f>
        <v>P12SI-0424</v>
      </c>
      <c r="I425" s="6"/>
      <c r="J425" s="6" t="s">
        <v>3042</v>
      </c>
      <c r="K425" s="6" t="s">
        <v>3043</v>
      </c>
      <c r="L425" s="6" t="s">
        <v>3044</v>
      </c>
      <c r="M425" s="6" t="s">
        <v>3045</v>
      </c>
      <c r="N425" s="17"/>
      <c r="O425" s="17"/>
      <c r="P425" s="17" t="str">
        <f t="shared" si="6"/>
        <v>OK</v>
      </c>
      <c r="Q425" s="17" t="s">
        <v>2993</v>
      </c>
      <c r="R425" s="6" t="s">
        <v>3046</v>
      </c>
      <c r="S425" s="17" t="s">
        <v>3047</v>
      </c>
      <c r="T425" s="17" t="s">
        <v>3048</v>
      </c>
      <c r="U425" s="18" t="s">
        <v>38</v>
      </c>
      <c r="V425" s="61" t="s">
        <v>1483</v>
      </c>
      <c r="W425" s="20" t="s">
        <v>1484</v>
      </c>
      <c r="X425" s="39" t="s">
        <v>1484</v>
      </c>
      <c r="Y425" s="20" t="s">
        <v>3049</v>
      </c>
      <c r="Z425" s="6"/>
      <c r="AA425" s="6"/>
      <c r="AB425" s="23"/>
      <c r="AC425" s="33"/>
    </row>
    <row r="426" spans="1:29" ht="15.75" customHeight="1">
      <c r="A426" s="10" t="s">
        <v>3050</v>
      </c>
      <c r="B426" s="10" t="s">
        <v>1469</v>
      </c>
      <c r="C426" s="60" t="s">
        <v>1470</v>
      </c>
      <c r="D426" s="12"/>
      <c r="E426" s="13" t="s">
        <v>2988</v>
      </c>
      <c r="F426" s="6" t="s">
        <v>2988</v>
      </c>
      <c r="G426" s="6" t="str">
        <f ca="1">IFERROR(__xludf.DUMMYFUNCTION("CONCATENATE(B426,(VLOOKUP(C426,CATALOGOS!$F$2:$H$6,3,FALSE)),(VLOOKUP(V426,CATALOGOS!$J$2:$K$18,2,FALSE)),""-"",TO_TEXT(A426))"),"P12SI-0425")</f>
        <v>P12SI-0425</v>
      </c>
      <c r="H426" s="15" t="str">
        <f ca="1">IFERROR(__xludf.DUMMYFUNCTION("CONCATENATE($B426,(VLOOKUP($C426,CATALOGOS!$F$2:$H$6,3,FALSE)),(VLOOKUP($V426,CATALOGOS!$J$2:$K$18,2,FALSE)),""-"",TO_TEXT($A426))"),"P12SI-0425")</f>
        <v>P12SI-0425</v>
      </c>
      <c r="I426" s="6"/>
      <c r="J426" s="6" t="s">
        <v>3051</v>
      </c>
      <c r="K426" s="6" t="s">
        <v>3052</v>
      </c>
      <c r="L426" s="6" t="s">
        <v>3053</v>
      </c>
      <c r="M426" s="6" t="s">
        <v>3054</v>
      </c>
      <c r="N426" s="17"/>
      <c r="O426" s="17"/>
      <c r="P426" s="17" t="str">
        <f t="shared" si="6"/>
        <v>OK</v>
      </c>
      <c r="Q426" s="35" t="s">
        <v>3055</v>
      </c>
      <c r="R426" s="6" t="s">
        <v>3056</v>
      </c>
      <c r="S426" s="35" t="s">
        <v>3057</v>
      </c>
      <c r="T426" s="17" t="s">
        <v>3058</v>
      </c>
      <c r="U426" s="18" t="s">
        <v>100</v>
      </c>
      <c r="V426" s="61" t="s">
        <v>1483</v>
      </c>
      <c r="W426" s="20" t="s">
        <v>1484</v>
      </c>
      <c r="X426" s="39" t="s">
        <v>1484</v>
      </c>
      <c r="Y426" s="20" t="s">
        <v>3059</v>
      </c>
      <c r="Z426" s="6"/>
      <c r="AA426" s="6"/>
      <c r="AB426" s="23"/>
      <c r="AC426" s="33"/>
    </row>
    <row r="427" spans="1:29" ht="15.75" customHeight="1">
      <c r="A427" s="10" t="s">
        <v>3060</v>
      </c>
      <c r="B427" s="10" t="s">
        <v>1469</v>
      </c>
      <c r="C427" s="60" t="s">
        <v>1470</v>
      </c>
      <c r="D427" s="12"/>
      <c r="E427" s="13" t="s">
        <v>2300</v>
      </c>
      <c r="F427" s="6" t="s">
        <v>2596</v>
      </c>
      <c r="G427" s="6" t="str">
        <f ca="1">IFERROR(__xludf.DUMMYFUNCTION("CONCATENATE(B427,(VLOOKUP(C427,CATALOGOS!$F$2:$H$6,3,FALSE)),(VLOOKUP(V427,CATALOGOS!$J$2:$K$18,2,FALSE)),""-"",TO_TEXT(A427))"),"P12SI-0426")</f>
        <v>P12SI-0426</v>
      </c>
      <c r="H427" s="15" t="str">
        <f ca="1">IFERROR(__xludf.DUMMYFUNCTION("CONCATENATE($B427,(VLOOKUP($C427,CATALOGOS!$F$2:$H$6,3,FALSE)),(VLOOKUP($V427,CATALOGOS!$J$2:$K$18,2,FALSE)),""-"",TO_TEXT($A427))"),"P12SI-0426")</f>
        <v>P12SI-0426</v>
      </c>
      <c r="I427" s="6"/>
      <c r="J427" s="6" t="s">
        <v>3061</v>
      </c>
      <c r="K427" s="6" t="s">
        <v>3062</v>
      </c>
      <c r="L427" s="36"/>
      <c r="M427" s="6" t="s">
        <v>141</v>
      </c>
      <c r="N427" s="17"/>
      <c r="O427" s="17"/>
      <c r="P427" s="17" t="str">
        <f t="shared" si="6"/>
        <v>REPETIDO</v>
      </c>
      <c r="Q427" s="17" t="s">
        <v>3063</v>
      </c>
      <c r="R427" s="6" t="s">
        <v>3064</v>
      </c>
      <c r="S427" s="6" t="s">
        <v>3065</v>
      </c>
      <c r="T427" s="10" t="s">
        <v>85</v>
      </c>
      <c r="U427" s="18" t="s">
        <v>38</v>
      </c>
      <c r="V427" s="61" t="s">
        <v>1483</v>
      </c>
      <c r="W427" s="20" t="s">
        <v>1484</v>
      </c>
      <c r="X427" s="39" t="s">
        <v>1484</v>
      </c>
      <c r="Y427" s="20"/>
      <c r="Z427" s="6"/>
      <c r="AA427" s="6"/>
      <c r="AB427" s="23"/>
      <c r="AC427" s="33"/>
    </row>
    <row r="428" spans="1:29" ht="15.75" customHeight="1">
      <c r="A428" s="10" t="s">
        <v>3066</v>
      </c>
      <c r="B428" s="10" t="s">
        <v>1469</v>
      </c>
      <c r="C428" s="63" t="s">
        <v>28</v>
      </c>
      <c r="D428" s="12"/>
      <c r="E428" s="13" t="s">
        <v>2300</v>
      </c>
      <c r="F428" s="6" t="s">
        <v>2596</v>
      </c>
      <c r="G428" s="6" t="str">
        <f ca="1">IFERROR(__xludf.DUMMYFUNCTION("CONCATENATE(B428,(VLOOKUP(C428,CATALOGOS!$F$2:$H$6,3,FALSE)),(VLOOKUP(V428,CATALOGOS!$J$2:$K$18,2,FALSE)),""-"",TO_TEXT(A428))"),"P15RM-0427")</f>
        <v>P15RM-0427</v>
      </c>
      <c r="H428" s="15" t="str">
        <f ca="1">IFERROR(__xludf.DUMMYFUNCTION("CONCATENATE($B428,(VLOOKUP($C428,CATALOGOS!$F$2:$H$6,3,FALSE)),(VLOOKUP($V428,CATALOGOS!$J$2:$K$18,2,FALSE)),""-"",TO_TEXT($A428))"),"P15RM-0427")</f>
        <v>P15RM-0427</v>
      </c>
      <c r="I428" s="6"/>
      <c r="J428" s="6" t="s">
        <v>3067</v>
      </c>
      <c r="K428" s="6" t="s">
        <v>3068</v>
      </c>
      <c r="L428" s="36"/>
      <c r="M428" s="6" t="s">
        <v>141</v>
      </c>
      <c r="N428" s="17"/>
      <c r="O428" s="17"/>
      <c r="P428" s="17" t="str">
        <f t="shared" si="6"/>
        <v>REPETIDO</v>
      </c>
      <c r="Q428" s="17" t="s">
        <v>3069</v>
      </c>
      <c r="R428" s="6" t="s">
        <v>3070</v>
      </c>
      <c r="S428" s="6" t="s">
        <v>3071</v>
      </c>
      <c r="T428" s="10" t="s">
        <v>85</v>
      </c>
      <c r="U428" s="18" t="s">
        <v>100</v>
      </c>
      <c r="V428" s="61" t="s">
        <v>147</v>
      </c>
      <c r="W428" s="20" t="s">
        <v>385</v>
      </c>
      <c r="X428" s="39" t="s">
        <v>1484</v>
      </c>
      <c r="Y428" s="20"/>
      <c r="Z428" s="6"/>
      <c r="AA428" s="6"/>
      <c r="AB428" s="23"/>
      <c r="AC428" s="33"/>
    </row>
    <row r="429" spans="1:29" ht="15.75" customHeight="1">
      <c r="A429" s="10" t="s">
        <v>3072</v>
      </c>
      <c r="B429" s="10" t="s">
        <v>1469</v>
      </c>
      <c r="C429" s="60" t="s">
        <v>1470</v>
      </c>
      <c r="D429" s="12"/>
      <c r="E429" s="13" t="s">
        <v>2300</v>
      </c>
      <c r="F429" s="6" t="s">
        <v>2596</v>
      </c>
      <c r="G429" s="6" t="str">
        <f ca="1">IFERROR(__xludf.DUMMYFUNCTION("CONCATENATE(B429,(VLOOKUP(C429,CATALOGOS!$F$2:$H$6,3,FALSE)),(VLOOKUP(V429,CATALOGOS!$J$2:$K$18,2,FALSE)),""-"",TO_TEXT(A429))"),"P12SI-0428")</f>
        <v>P12SI-0428</v>
      </c>
      <c r="H429" s="15" t="str">
        <f ca="1">IFERROR(__xludf.DUMMYFUNCTION("CONCATENATE($B429,(VLOOKUP($C429,CATALOGOS!$F$2:$H$6,3,FALSE)),(VLOOKUP($V429,CATALOGOS!$J$2:$K$18,2,FALSE)),""-"",TO_TEXT($A429))"),"P12SI-0428")</f>
        <v>P12SI-0428</v>
      </c>
      <c r="I429" s="6"/>
      <c r="J429" s="6" t="s">
        <v>3073</v>
      </c>
      <c r="K429" s="6" t="s">
        <v>3074</v>
      </c>
      <c r="L429" s="36"/>
      <c r="M429" s="6" t="s">
        <v>141</v>
      </c>
      <c r="N429" s="17"/>
      <c r="O429" s="17"/>
      <c r="P429" s="17" t="str">
        <f t="shared" si="6"/>
        <v>REPETIDO</v>
      </c>
      <c r="Q429" s="17" t="s">
        <v>3063</v>
      </c>
      <c r="R429" s="6" t="s">
        <v>3064</v>
      </c>
      <c r="S429" s="6" t="s">
        <v>3075</v>
      </c>
      <c r="T429" s="10" t="s">
        <v>85</v>
      </c>
      <c r="U429" s="18" t="s">
        <v>38</v>
      </c>
      <c r="V429" s="61" t="s">
        <v>1483</v>
      </c>
      <c r="W429" s="20" t="s">
        <v>1484</v>
      </c>
      <c r="X429" s="39" t="s">
        <v>1484</v>
      </c>
      <c r="Y429" s="20"/>
      <c r="Z429" s="6"/>
      <c r="AA429" s="6"/>
      <c r="AB429" s="23"/>
      <c r="AC429" s="33"/>
    </row>
    <row r="430" spans="1:29" ht="15.75" customHeight="1">
      <c r="A430" s="10" t="s">
        <v>3076</v>
      </c>
      <c r="B430" s="10" t="s">
        <v>1469</v>
      </c>
      <c r="C430" s="60" t="s">
        <v>1470</v>
      </c>
      <c r="D430" s="38"/>
      <c r="E430" s="13" t="s">
        <v>2988</v>
      </c>
      <c r="F430" s="6" t="s">
        <v>2988</v>
      </c>
      <c r="G430" s="6" t="str">
        <f ca="1">IFERROR(__xludf.DUMMYFUNCTION("CONCATENATE(B430,(VLOOKUP(C430,CATALOGOS!$F$2:$H$6,3,FALSE)),(VLOOKUP(V430,CATALOGOS!$J$2:$K$18,2,FALSE)),""-"",TO_TEXT(A430))"),"P12SI-0429")</f>
        <v>P12SI-0429</v>
      </c>
      <c r="H430" s="15" t="str">
        <f ca="1">IFERROR(__xludf.DUMMYFUNCTION("CONCATENATE($B430,(VLOOKUP($C430,CATALOGOS!$F$2:$H$6,3,FALSE)),(VLOOKUP($V430,CATALOGOS!$J$2:$K$18,2,FALSE)),""-"",TO_TEXT($A430))"),"P12SI-0429")</f>
        <v>P12SI-0429</v>
      </c>
      <c r="I430" s="6"/>
      <c r="J430" s="6" t="s">
        <v>3077</v>
      </c>
      <c r="K430" s="6" t="s">
        <v>3078</v>
      </c>
      <c r="L430" s="36"/>
      <c r="M430" s="6" t="s">
        <v>141</v>
      </c>
      <c r="N430" s="17"/>
      <c r="O430" s="17"/>
      <c r="P430" s="17" t="str">
        <f t="shared" si="6"/>
        <v>REPETIDO</v>
      </c>
      <c r="Q430" s="17" t="s">
        <v>3079</v>
      </c>
      <c r="R430" s="6" t="s">
        <v>3080</v>
      </c>
      <c r="S430" s="6">
        <v>358720</v>
      </c>
      <c r="T430" s="10" t="s">
        <v>85</v>
      </c>
      <c r="U430" s="18" t="s">
        <v>38</v>
      </c>
      <c r="V430" s="61" t="s">
        <v>1483</v>
      </c>
      <c r="W430" s="20" t="s">
        <v>1484</v>
      </c>
      <c r="X430" s="39" t="s">
        <v>1484</v>
      </c>
      <c r="Y430" s="20"/>
      <c r="Z430" s="6"/>
      <c r="AA430" s="6"/>
      <c r="AB430" s="26"/>
      <c r="AC430" s="33"/>
    </row>
    <row r="431" spans="1:29" ht="15.75" customHeight="1">
      <c r="A431" s="10" t="s">
        <v>3081</v>
      </c>
      <c r="B431" s="10" t="s">
        <v>1469</v>
      </c>
      <c r="C431" s="60" t="s">
        <v>1470</v>
      </c>
      <c r="D431" s="38"/>
      <c r="E431" s="13" t="s">
        <v>2300</v>
      </c>
      <c r="F431" s="6" t="s">
        <v>2300</v>
      </c>
      <c r="G431" s="6" t="str">
        <f ca="1">IFERROR(__xludf.DUMMYFUNCTION("CONCATENATE(B431,(VLOOKUP(C431,CATALOGOS!$F$2:$H$6,3,FALSE)),(VLOOKUP(V431,CATALOGOS!$J$2:$K$18,2,FALSE)),""-"",TO_TEXT(A431))"),"P12SI-0430")</f>
        <v>P12SI-0430</v>
      </c>
      <c r="H431" s="15" t="str">
        <f ca="1">IFERROR(__xludf.DUMMYFUNCTION("CONCATENATE($B431,(VLOOKUP($C431,CATALOGOS!$F$2:$H$6,3,FALSE)),(VLOOKUP($V431,CATALOGOS!$J$2:$K$18,2,FALSE)),""-"",TO_TEXT($A431))"),"P12SI-0430")</f>
        <v>P12SI-0430</v>
      </c>
      <c r="I431" s="6"/>
      <c r="J431" s="6"/>
      <c r="K431" s="6"/>
      <c r="L431" s="36"/>
      <c r="M431" s="6" t="s">
        <v>141</v>
      </c>
      <c r="N431" s="17"/>
      <c r="O431" s="17"/>
      <c r="P431" s="17"/>
      <c r="Q431" s="35" t="s">
        <v>3082</v>
      </c>
      <c r="R431" s="6" t="s">
        <v>3083</v>
      </c>
      <c r="S431" s="6">
        <v>104001694168</v>
      </c>
      <c r="T431" s="10" t="s">
        <v>3084</v>
      </c>
      <c r="U431" s="18" t="s">
        <v>38</v>
      </c>
      <c r="V431" s="61" t="s">
        <v>1483</v>
      </c>
      <c r="W431" s="10" t="s">
        <v>1484</v>
      </c>
      <c r="X431" s="39" t="s">
        <v>1484</v>
      </c>
      <c r="Y431" s="10"/>
      <c r="Z431" s="6"/>
      <c r="AA431" s="6"/>
      <c r="AB431" s="26"/>
      <c r="AC431" s="33"/>
    </row>
    <row r="432" spans="1:29" ht="15.75" customHeight="1">
      <c r="A432" s="10" t="s">
        <v>3085</v>
      </c>
      <c r="B432" s="10" t="s">
        <v>1469</v>
      </c>
      <c r="C432" s="60" t="s">
        <v>1470</v>
      </c>
      <c r="D432" s="12"/>
      <c r="E432" s="13" t="s">
        <v>162</v>
      </c>
      <c r="F432" s="6" t="s">
        <v>285</v>
      </c>
      <c r="G432" s="14" t="str">
        <f ca="1">IFERROR(__xludf.DUMMYFUNCTION("CONCATENATE(B432,(VLOOKUP(C432,CATALOGOS!$F$2:$H$6,3,FALSE)),(VLOOKUP(V432,CATALOGOS!$J$2:$K$18,2,FALSE)),""-"",TO_TEXT(A432))"),"P12PL-0431")</f>
        <v>P12PL-0431</v>
      </c>
      <c r="H432" s="15" t="str">
        <f ca="1">IFERROR(__xludf.DUMMYFUNCTION("CONCATENATE($B432,(VLOOKUP($C432,CATALOGOS!$F$2:$H$6,3,FALSE)),(VLOOKUP($V432,CATALOGOS!$J$2:$K$18,2,FALSE)),""-"",TO_TEXT($A432))"),"P12PL-0431")</f>
        <v>P12PL-0431</v>
      </c>
      <c r="I432" s="6"/>
      <c r="J432" s="6" t="s">
        <v>3086</v>
      </c>
      <c r="K432" s="6" t="s">
        <v>3087</v>
      </c>
      <c r="L432" s="6" t="s">
        <v>3088</v>
      </c>
      <c r="M432" s="6" t="s">
        <v>141</v>
      </c>
      <c r="N432" s="17"/>
      <c r="O432" s="17"/>
      <c r="P432" s="17" t="str">
        <f t="shared" ref="P432:P793" si="7">IF(COUNTIF($M$2:$M$997,M432)&gt;1,"REPETIDO","OK")</f>
        <v>REPETIDO</v>
      </c>
      <c r="Q432" s="17" t="s">
        <v>663</v>
      </c>
      <c r="R432" s="32" t="s">
        <v>664</v>
      </c>
      <c r="S432" s="17" t="s">
        <v>3089</v>
      </c>
      <c r="T432" s="17" t="s">
        <v>3090</v>
      </c>
      <c r="U432" s="18" t="s">
        <v>38</v>
      </c>
      <c r="V432" s="19" t="s">
        <v>3091</v>
      </c>
      <c r="W432" s="20" t="s">
        <v>3092</v>
      </c>
      <c r="X432" s="39" t="s">
        <v>3092</v>
      </c>
      <c r="Y432" s="20"/>
      <c r="Z432" s="7"/>
      <c r="AA432" s="7"/>
      <c r="AB432" s="23"/>
      <c r="AC432" s="26"/>
    </row>
    <row r="433" spans="1:29" ht="15.75" customHeight="1">
      <c r="A433" s="10" t="s">
        <v>3093</v>
      </c>
      <c r="B433" s="10" t="s">
        <v>1469</v>
      </c>
      <c r="C433" s="60" t="s">
        <v>1470</v>
      </c>
      <c r="D433" s="12"/>
      <c r="E433" s="13" t="s">
        <v>353</v>
      </c>
      <c r="F433" s="43" t="s">
        <v>638</v>
      </c>
      <c r="G433" s="14" t="str">
        <f ca="1">IFERROR(__xludf.DUMMYFUNCTION("CONCATENATE(B433,(VLOOKUP(C433,CATALOGOS!$F$2:$H$6,3,FALSE)),(VLOOKUP(V433,CATALOGOS!$J$2:$K$18,2,FALSE)),""-"",TO_TEXT(A433))"),"P12PL-0432")</f>
        <v>P12PL-0432</v>
      </c>
      <c r="H433" s="15" t="str">
        <f ca="1">IFERROR(__xludf.DUMMYFUNCTION("CONCATENATE($B433,(VLOOKUP($C433,CATALOGOS!$F$2:$H$6,3,FALSE)),(VLOOKUP($V433,CATALOGOS!$J$2:$K$18,2,FALSE)),""-"",TO_TEXT($A433))"),"P12PL-0432")</f>
        <v>P12PL-0432</v>
      </c>
      <c r="I433" s="6"/>
      <c r="J433" s="6" t="s">
        <v>3094</v>
      </c>
      <c r="K433" s="6" t="s">
        <v>3095</v>
      </c>
      <c r="L433" s="6" t="s">
        <v>3096</v>
      </c>
      <c r="M433" s="6" t="s">
        <v>3097</v>
      </c>
      <c r="N433" s="17"/>
      <c r="O433" s="17"/>
      <c r="P433" s="17" t="str">
        <f t="shared" si="7"/>
        <v>OK</v>
      </c>
      <c r="Q433" s="17" t="s">
        <v>359</v>
      </c>
      <c r="R433" s="6" t="s">
        <v>360</v>
      </c>
      <c r="S433" s="17" t="s">
        <v>3098</v>
      </c>
      <c r="T433" s="17" t="s">
        <v>3099</v>
      </c>
      <c r="U433" s="18" t="s">
        <v>38</v>
      </c>
      <c r="V433" s="19" t="s">
        <v>3091</v>
      </c>
      <c r="W433" s="20" t="s">
        <v>3092</v>
      </c>
      <c r="X433" s="39" t="s">
        <v>3092</v>
      </c>
      <c r="Y433" s="20"/>
      <c r="Z433" s="7"/>
      <c r="AA433" s="7"/>
      <c r="AB433" s="23"/>
      <c r="AC433" s="26"/>
    </row>
    <row r="434" spans="1:29" ht="15.75" customHeight="1">
      <c r="A434" s="10" t="s">
        <v>3100</v>
      </c>
      <c r="B434" s="10" t="s">
        <v>1469</v>
      </c>
      <c r="C434" s="60" t="s">
        <v>1470</v>
      </c>
      <c r="D434" s="12"/>
      <c r="E434" s="13" t="s">
        <v>116</v>
      </c>
      <c r="F434" s="6" t="s">
        <v>3101</v>
      </c>
      <c r="G434" s="14" t="str">
        <f ca="1">IFERROR(__xludf.DUMMYFUNCTION("CONCATENATE(B434,(VLOOKUP(C434,CATALOGOS!$F$2:$H$6,3,FALSE)),(VLOOKUP(V434,CATALOGOS!$J$2:$K$18,2,FALSE)),""-"",TO_TEXT(A434))"),"P12PL-0433")</f>
        <v>P12PL-0433</v>
      </c>
      <c r="H434" s="15" t="str">
        <f ca="1">IFERROR(__xludf.DUMMYFUNCTION("CONCATENATE($B434,(VLOOKUP($C434,CATALOGOS!$F$2:$H$6,3,FALSE)),(VLOOKUP($V434,CATALOGOS!$J$2:$K$18,2,FALSE)),""-"",TO_TEXT($A434))"),"P12PL-0433")</f>
        <v>P12PL-0433</v>
      </c>
      <c r="I434" s="6"/>
      <c r="J434" s="6" t="s">
        <v>3102</v>
      </c>
      <c r="K434" s="6" t="s">
        <v>3103</v>
      </c>
      <c r="L434" s="6" t="s">
        <v>3104</v>
      </c>
      <c r="M434" s="6" t="s">
        <v>3105</v>
      </c>
      <c r="N434" s="17"/>
      <c r="O434" s="17"/>
      <c r="P434" s="17" t="str">
        <f t="shared" si="7"/>
        <v>OK</v>
      </c>
      <c r="Q434" s="17" t="s">
        <v>35</v>
      </c>
      <c r="R434" s="6" t="s">
        <v>35</v>
      </c>
      <c r="S434" s="17" t="s">
        <v>36</v>
      </c>
      <c r="T434" s="17" t="s">
        <v>3106</v>
      </c>
      <c r="U434" s="18" t="s">
        <v>38</v>
      </c>
      <c r="V434" s="19" t="s">
        <v>3091</v>
      </c>
      <c r="W434" s="20" t="s">
        <v>3092</v>
      </c>
      <c r="X434" s="39" t="s">
        <v>3092</v>
      </c>
      <c r="Y434" s="20"/>
      <c r="Z434" s="7"/>
      <c r="AA434" s="7"/>
      <c r="AB434" s="23"/>
      <c r="AC434" s="26"/>
    </row>
    <row r="435" spans="1:29" ht="15.75" customHeight="1">
      <c r="A435" s="10" t="s">
        <v>3107</v>
      </c>
      <c r="B435" s="10" t="s">
        <v>1469</v>
      </c>
      <c r="C435" s="60" t="s">
        <v>1470</v>
      </c>
      <c r="D435" s="12"/>
      <c r="E435" s="13" t="s">
        <v>184</v>
      </c>
      <c r="F435" s="6" t="s">
        <v>927</v>
      </c>
      <c r="G435" s="14" t="str">
        <f ca="1">IFERROR(__xludf.DUMMYFUNCTION("CONCATENATE(B435,(VLOOKUP(C435,CATALOGOS!$F$2:$H$6,3,FALSE)),(VLOOKUP(V435,CATALOGOS!$J$2:$K$18,2,FALSE)),""-"",TO_TEXT(A435))"),"P12PL-0434")</f>
        <v>P12PL-0434</v>
      </c>
      <c r="H435" s="15" t="str">
        <f ca="1">IFERROR(__xludf.DUMMYFUNCTION("CONCATENATE($B435,(VLOOKUP($C435,CATALOGOS!$F$2:$H$6,3,FALSE)),(VLOOKUP($V435,CATALOGOS!$J$2:$K$18,2,FALSE)),""-"",TO_TEXT($A435))"),"P12PL-0434")</f>
        <v>P12PL-0434</v>
      </c>
      <c r="I435" s="6"/>
      <c r="J435" s="6" t="s">
        <v>3108</v>
      </c>
      <c r="K435" s="6" t="s">
        <v>3109</v>
      </c>
      <c r="L435" s="6" t="s">
        <v>3110</v>
      </c>
      <c r="M435" s="6" t="s">
        <v>3111</v>
      </c>
      <c r="N435" s="17"/>
      <c r="O435" s="17"/>
      <c r="P435" s="17" t="str">
        <f t="shared" si="7"/>
        <v>OK</v>
      </c>
      <c r="Q435" s="17" t="s">
        <v>35</v>
      </c>
      <c r="R435" s="6" t="s">
        <v>35</v>
      </c>
      <c r="S435" s="17" t="s">
        <v>36</v>
      </c>
      <c r="T435" s="17" t="s">
        <v>3112</v>
      </c>
      <c r="U435" s="18" t="s">
        <v>38</v>
      </c>
      <c r="V435" s="19" t="s">
        <v>3091</v>
      </c>
      <c r="W435" s="20" t="s">
        <v>3092</v>
      </c>
      <c r="X435" s="39" t="s">
        <v>3092</v>
      </c>
      <c r="Y435" s="20"/>
      <c r="Z435" s="7"/>
      <c r="AA435" s="7"/>
      <c r="AB435" s="23"/>
      <c r="AC435" s="26"/>
    </row>
    <row r="436" spans="1:29" ht="15.75" customHeight="1">
      <c r="A436" s="10" t="s">
        <v>3113</v>
      </c>
      <c r="B436" s="10" t="s">
        <v>1469</v>
      </c>
      <c r="C436" s="60" t="s">
        <v>1470</v>
      </c>
      <c r="D436" s="12"/>
      <c r="E436" s="13" t="s">
        <v>378</v>
      </c>
      <c r="F436" s="6" t="s">
        <v>1306</v>
      </c>
      <c r="G436" s="14" t="str">
        <f ca="1">IFERROR(__xludf.DUMMYFUNCTION("CONCATENATE(B436,(VLOOKUP(C436,CATALOGOS!$F$2:$H$6,3,FALSE)),(VLOOKUP(V436,CATALOGOS!$J$2:$K$18,2,FALSE)),""-"",TO_TEXT(A436))"),"P12PL-0435")</f>
        <v>P12PL-0435</v>
      </c>
      <c r="H436" s="15" t="str">
        <f ca="1">IFERROR(__xludf.DUMMYFUNCTION("CONCATENATE($B436,(VLOOKUP($C436,CATALOGOS!$F$2:$H$6,3,FALSE)),(VLOOKUP($V436,CATALOGOS!$J$2:$K$18,2,FALSE)),""-"",TO_TEXT($A436))"),"P12PL-0435")</f>
        <v>P12PL-0435</v>
      </c>
      <c r="I436" s="6"/>
      <c r="J436" s="6" t="s">
        <v>3114</v>
      </c>
      <c r="K436" s="6" t="s">
        <v>3115</v>
      </c>
      <c r="L436" s="36"/>
      <c r="M436" s="6" t="s">
        <v>3116</v>
      </c>
      <c r="N436" s="17"/>
      <c r="O436" s="17"/>
      <c r="P436" s="17" t="str">
        <f t="shared" si="7"/>
        <v>OK</v>
      </c>
      <c r="Q436" s="35" t="s">
        <v>35</v>
      </c>
      <c r="R436" s="6" t="s">
        <v>35</v>
      </c>
      <c r="S436" s="10" t="s">
        <v>36</v>
      </c>
      <c r="T436" s="32" t="s">
        <v>3117</v>
      </c>
      <c r="U436" s="18" t="s">
        <v>38</v>
      </c>
      <c r="V436" s="19" t="s">
        <v>3091</v>
      </c>
      <c r="W436" s="20" t="s">
        <v>3092</v>
      </c>
      <c r="X436" s="39" t="s">
        <v>3092</v>
      </c>
      <c r="Y436" s="20"/>
      <c r="Z436" s="6"/>
      <c r="AA436" s="6"/>
      <c r="AB436" s="23"/>
      <c r="AC436" s="33"/>
    </row>
    <row r="437" spans="1:29" ht="15.75" customHeight="1">
      <c r="A437" s="10" t="s">
        <v>3118</v>
      </c>
      <c r="B437" s="10" t="s">
        <v>1469</v>
      </c>
      <c r="C437" s="60" t="s">
        <v>1470</v>
      </c>
      <c r="D437" s="12"/>
      <c r="E437" s="13" t="s">
        <v>378</v>
      </c>
      <c r="F437" s="6" t="s">
        <v>1306</v>
      </c>
      <c r="G437" s="14" t="str">
        <f ca="1">IFERROR(__xludf.DUMMYFUNCTION("CONCATENATE(B437,(VLOOKUP(C437,CATALOGOS!$F$2:$H$6,3,FALSE)),(VLOOKUP(V437,CATALOGOS!$J$2:$K$18,2,FALSE)),""-"",TO_TEXT(A437))"),"P12PL-0436")</f>
        <v>P12PL-0436</v>
      </c>
      <c r="H437" s="15" t="str">
        <f ca="1">IFERROR(__xludf.DUMMYFUNCTION("CONCATENATE($B437,(VLOOKUP($C437,CATALOGOS!$F$2:$H$6,3,FALSE)),(VLOOKUP($V437,CATALOGOS!$J$2:$K$18,2,FALSE)),""-"",TO_TEXT($A437))"),"P12PL-0436")</f>
        <v>P12PL-0436</v>
      </c>
      <c r="I437" s="6"/>
      <c r="J437" s="6" t="s">
        <v>3119</v>
      </c>
      <c r="K437" s="6" t="s">
        <v>3120</v>
      </c>
      <c r="L437" s="6" t="s">
        <v>3121</v>
      </c>
      <c r="M437" s="6" t="s">
        <v>3122</v>
      </c>
      <c r="N437" s="17"/>
      <c r="O437" s="17"/>
      <c r="P437" s="17" t="str">
        <f t="shared" si="7"/>
        <v>OK</v>
      </c>
      <c r="Q437" s="17" t="s">
        <v>35</v>
      </c>
      <c r="R437" s="6" t="s">
        <v>35</v>
      </c>
      <c r="S437" s="17" t="s">
        <v>36</v>
      </c>
      <c r="T437" s="17" t="s">
        <v>3123</v>
      </c>
      <c r="U437" s="18" t="s">
        <v>38</v>
      </c>
      <c r="V437" s="19" t="s">
        <v>3091</v>
      </c>
      <c r="W437" s="20" t="s">
        <v>3092</v>
      </c>
      <c r="X437" s="39" t="s">
        <v>3092</v>
      </c>
      <c r="Y437" s="20"/>
      <c r="Z437" s="7"/>
      <c r="AA437" s="7"/>
      <c r="AB437" s="23"/>
      <c r="AC437" s="26"/>
    </row>
    <row r="438" spans="1:29" ht="15.75" customHeight="1">
      <c r="A438" s="10" t="s">
        <v>3124</v>
      </c>
      <c r="B438" s="10" t="s">
        <v>1469</v>
      </c>
      <c r="C438" s="60" t="s">
        <v>1470</v>
      </c>
      <c r="D438" s="12"/>
      <c r="E438" s="13" t="s">
        <v>501</v>
      </c>
      <c r="F438" s="6" t="s">
        <v>3125</v>
      </c>
      <c r="G438" s="14" t="str">
        <f ca="1">IFERROR(__xludf.DUMMYFUNCTION("CONCATENATE(B438,(VLOOKUP(C438,CATALOGOS!$F$2:$H$6,3,FALSE)),(VLOOKUP(V438,CATALOGOS!$J$2:$K$18,2,FALSE)),""-"",TO_TEXT(A438))"),"P12PL-0437")</f>
        <v>P12PL-0437</v>
      </c>
      <c r="H438" s="15" t="str">
        <f ca="1">IFERROR(__xludf.DUMMYFUNCTION("CONCATENATE($B438,(VLOOKUP($C438,CATALOGOS!$F$2:$H$6,3,FALSE)),(VLOOKUP($V438,CATALOGOS!$J$2:$K$18,2,FALSE)),""-"",TO_TEXT($A438))"),"P12PL-0437")</f>
        <v>P12PL-0437</v>
      </c>
      <c r="I438" s="6"/>
      <c r="J438" s="6" t="s">
        <v>3126</v>
      </c>
      <c r="K438" s="6" t="s">
        <v>3127</v>
      </c>
      <c r="L438" s="6" t="s">
        <v>3128</v>
      </c>
      <c r="M438" s="6" t="s">
        <v>3129</v>
      </c>
      <c r="N438" s="17"/>
      <c r="O438" s="17"/>
      <c r="P438" s="17" t="str">
        <f t="shared" si="7"/>
        <v>OK</v>
      </c>
      <c r="Q438" s="17" t="s">
        <v>35</v>
      </c>
      <c r="R438" s="6" t="s">
        <v>35</v>
      </c>
      <c r="S438" s="17" t="s">
        <v>36</v>
      </c>
      <c r="T438" s="17" t="s">
        <v>3130</v>
      </c>
      <c r="U438" s="18" t="s">
        <v>38</v>
      </c>
      <c r="V438" s="19" t="s">
        <v>3091</v>
      </c>
      <c r="W438" s="20" t="s">
        <v>3092</v>
      </c>
      <c r="X438" s="39" t="s">
        <v>3092</v>
      </c>
      <c r="Y438" s="20"/>
      <c r="Z438" s="7"/>
      <c r="AA438" s="7"/>
      <c r="AB438" s="23"/>
      <c r="AC438" s="26"/>
    </row>
    <row r="439" spans="1:29" ht="15.75" customHeight="1">
      <c r="A439" s="10" t="s">
        <v>3131</v>
      </c>
      <c r="B439" s="10" t="s">
        <v>1469</v>
      </c>
      <c r="C439" s="60" t="s">
        <v>1470</v>
      </c>
      <c r="D439" s="12"/>
      <c r="E439" s="13" t="s">
        <v>62</v>
      </c>
      <c r="F439" s="6" t="s">
        <v>3132</v>
      </c>
      <c r="G439" s="14" t="str">
        <f ca="1">IFERROR(__xludf.DUMMYFUNCTION("CONCATENATE(B439,(VLOOKUP(C439,CATALOGOS!$F$2:$H$6,3,FALSE)),(VLOOKUP(V439,CATALOGOS!$J$2:$K$18,2,FALSE)),""-"",TO_TEXT(A439))"),"P12PL-0438")</f>
        <v>P12PL-0438</v>
      </c>
      <c r="H439" s="15" t="str">
        <f ca="1">IFERROR(__xludf.DUMMYFUNCTION("CONCATENATE($B439,(VLOOKUP($C439,CATALOGOS!$F$2:$H$6,3,FALSE)),(VLOOKUP($V439,CATALOGOS!$J$2:$K$18,2,FALSE)),""-"",TO_TEXT($A439))"),"P12PL-0438")</f>
        <v>P12PL-0438</v>
      </c>
      <c r="I439" s="6"/>
      <c r="J439" s="6" t="s">
        <v>3133</v>
      </c>
      <c r="K439" s="6" t="s">
        <v>3134</v>
      </c>
      <c r="L439" s="6" t="s">
        <v>3135</v>
      </c>
      <c r="M439" s="43" t="s">
        <v>3136</v>
      </c>
      <c r="N439" s="17"/>
      <c r="O439" s="17"/>
      <c r="P439" s="17" t="str">
        <f t="shared" si="7"/>
        <v>OK</v>
      </c>
      <c r="Q439" s="17" t="s">
        <v>35</v>
      </c>
      <c r="R439" s="6" t="s">
        <v>35</v>
      </c>
      <c r="S439" s="17" t="s">
        <v>36</v>
      </c>
      <c r="T439" s="17" t="s">
        <v>3137</v>
      </c>
      <c r="U439" s="18" t="s">
        <v>38</v>
      </c>
      <c r="V439" s="19" t="s">
        <v>3091</v>
      </c>
      <c r="W439" s="20" t="s">
        <v>3092</v>
      </c>
      <c r="X439" s="39" t="s">
        <v>3092</v>
      </c>
      <c r="Y439" s="20"/>
      <c r="Z439" s="7"/>
      <c r="AA439" s="7"/>
      <c r="AB439" s="23"/>
      <c r="AC439" s="26"/>
    </row>
    <row r="440" spans="1:29" ht="15.75" customHeight="1">
      <c r="A440" s="10" t="s">
        <v>3138</v>
      </c>
      <c r="B440" s="10" t="s">
        <v>27</v>
      </c>
      <c r="C440" s="63" t="s">
        <v>28</v>
      </c>
      <c r="D440" s="12"/>
      <c r="E440" s="13" t="s">
        <v>43</v>
      </c>
      <c r="F440" s="6" t="s">
        <v>457</v>
      </c>
      <c r="G440" s="47" t="str">
        <f ca="1">IFERROR(__xludf.DUMMYFUNCTION("CONCATENATE(B440,(VLOOKUP(C440,CATALOGOS!$F$2:$H$6,3,FALSE)),(VLOOKUP(V440,CATALOGOS!$J$2:$K$18,2,FALSE)),""-"",TO_TEXT(A440))"),"P05RM-0439")</f>
        <v>P05RM-0439</v>
      </c>
      <c r="H440" s="15" t="str">
        <f ca="1">IFERROR(__xludf.DUMMYFUNCTION("CONCATENATE($B440,(VLOOKUP($C440,CATALOGOS!$F$2:$H$6,3,FALSE)),(VLOOKUP($V440,CATALOGOS!$J$2:$K$18,2,FALSE)),""-"",TO_TEXT($A440))"),"P05RM-0439")</f>
        <v>P05RM-0439</v>
      </c>
      <c r="I440" s="6"/>
      <c r="J440" s="6" t="s">
        <v>3139</v>
      </c>
      <c r="K440" s="6" t="s">
        <v>3140</v>
      </c>
      <c r="L440" s="6" t="s">
        <v>3141</v>
      </c>
      <c r="M440" s="6" t="s">
        <v>3142</v>
      </c>
      <c r="N440" s="17"/>
      <c r="O440" s="17"/>
      <c r="P440" s="17" t="str">
        <f t="shared" si="7"/>
        <v>OK</v>
      </c>
      <c r="Q440" s="17" t="s">
        <v>406</v>
      </c>
      <c r="R440" s="6" t="s">
        <v>407</v>
      </c>
      <c r="S440" s="17" t="s">
        <v>36</v>
      </c>
      <c r="T440" s="35" t="s">
        <v>3143</v>
      </c>
      <c r="U440" s="18" t="s">
        <v>2544</v>
      </c>
      <c r="V440" s="19" t="s">
        <v>147</v>
      </c>
      <c r="W440" s="20" t="s">
        <v>385</v>
      </c>
      <c r="X440" s="39" t="s">
        <v>3092</v>
      </c>
      <c r="Y440" s="40" t="s">
        <v>261</v>
      </c>
      <c r="Z440" s="7"/>
      <c r="AA440" s="7"/>
      <c r="AB440" s="23"/>
      <c r="AC440" s="26"/>
    </row>
    <row r="441" spans="1:29" ht="15.75" customHeight="1">
      <c r="A441" s="10" t="s">
        <v>3144</v>
      </c>
      <c r="B441" s="10" t="s">
        <v>1469</v>
      </c>
      <c r="C441" s="60" t="s">
        <v>1470</v>
      </c>
      <c r="D441" s="12"/>
      <c r="E441" s="13" t="s">
        <v>378</v>
      </c>
      <c r="F441" s="6" t="s">
        <v>3145</v>
      </c>
      <c r="G441" s="14" t="str">
        <f ca="1">IFERROR(__xludf.DUMMYFUNCTION("CONCATENATE(B441,(VLOOKUP(C441,CATALOGOS!$F$2:$H$6,3,FALSE)),(VLOOKUP(V441,CATALOGOS!$J$2:$K$18,2,FALSE)),""-"",TO_TEXT(A441))"),"P12PL-0440")</f>
        <v>P12PL-0440</v>
      </c>
      <c r="H441" s="15" t="str">
        <f ca="1">IFERROR(__xludf.DUMMYFUNCTION("CONCATENATE($B441,(VLOOKUP($C441,CATALOGOS!$F$2:$H$6,3,FALSE)),(VLOOKUP($V441,CATALOGOS!$J$2:$K$18,2,FALSE)),""-"",TO_TEXT($A441))"),"P12PL-0440")</f>
        <v>P12PL-0440</v>
      </c>
      <c r="I441" s="6"/>
      <c r="J441" s="6" t="s">
        <v>3146</v>
      </c>
      <c r="K441" s="6" t="s">
        <v>3147</v>
      </c>
      <c r="L441" s="6" t="s">
        <v>3148</v>
      </c>
      <c r="M441" s="43" t="s">
        <v>3149</v>
      </c>
      <c r="N441" s="17"/>
      <c r="O441" s="17"/>
      <c r="P441" s="17" t="str">
        <f t="shared" si="7"/>
        <v>OK</v>
      </c>
      <c r="Q441" s="17" t="s">
        <v>35</v>
      </c>
      <c r="R441" s="6" t="s">
        <v>35</v>
      </c>
      <c r="S441" s="17" t="s">
        <v>36</v>
      </c>
      <c r="T441" s="17" t="s">
        <v>3150</v>
      </c>
      <c r="U441" s="18" t="s">
        <v>38</v>
      </c>
      <c r="V441" s="19" t="s">
        <v>3091</v>
      </c>
      <c r="W441" s="20" t="s">
        <v>3151</v>
      </c>
      <c r="X441" s="39" t="s">
        <v>3092</v>
      </c>
      <c r="Y441" s="20"/>
      <c r="Z441" s="7"/>
      <c r="AA441" s="7"/>
      <c r="AB441" s="23"/>
      <c r="AC441" s="26"/>
    </row>
    <row r="442" spans="1:29" ht="15.75" customHeight="1">
      <c r="A442" s="10" t="s">
        <v>3152</v>
      </c>
      <c r="B442" s="10" t="s">
        <v>1469</v>
      </c>
      <c r="C442" s="60" t="s">
        <v>1470</v>
      </c>
      <c r="D442" s="12"/>
      <c r="E442" s="13" t="s">
        <v>199</v>
      </c>
      <c r="F442" s="6" t="s">
        <v>199</v>
      </c>
      <c r="G442" s="14" t="str">
        <f ca="1">IFERROR(__xludf.DUMMYFUNCTION("CONCATENATE(B442,(VLOOKUP(C442,CATALOGOS!$F$2:$H$6,3,FALSE)),(VLOOKUP(V442,CATALOGOS!$J$2:$K$18,2,FALSE)),""-"",TO_TEXT(A442))"),"P12PL-0441")</f>
        <v>P12PL-0441</v>
      </c>
      <c r="H442" s="15" t="str">
        <f ca="1">IFERROR(__xludf.DUMMYFUNCTION("CONCATENATE($B442,(VLOOKUP($C442,CATALOGOS!$F$2:$H$6,3,FALSE)),(VLOOKUP($V442,CATALOGOS!$J$2:$K$18,2,FALSE)),""-"",TO_TEXT($A442))"),"P12PL-0441")</f>
        <v>P12PL-0441</v>
      </c>
      <c r="I442" s="6"/>
      <c r="J442" s="6" t="s">
        <v>3153</v>
      </c>
      <c r="K442" s="6" t="s">
        <v>3154</v>
      </c>
      <c r="L442" s="6" t="s">
        <v>3155</v>
      </c>
      <c r="M442" s="6" t="s">
        <v>3156</v>
      </c>
      <c r="N442" s="17"/>
      <c r="O442" s="17"/>
      <c r="P442" s="17" t="str">
        <f t="shared" si="7"/>
        <v>OK</v>
      </c>
      <c r="Q442" s="17" t="s">
        <v>157</v>
      </c>
      <c r="R442" s="6">
        <v>2378</v>
      </c>
      <c r="S442" s="17" t="s">
        <v>3157</v>
      </c>
      <c r="T442" s="10" t="s">
        <v>3158</v>
      </c>
      <c r="U442" s="18" t="s">
        <v>38</v>
      </c>
      <c r="V442" s="19" t="s">
        <v>3091</v>
      </c>
      <c r="W442" s="20" t="s">
        <v>3092</v>
      </c>
      <c r="X442" s="39" t="s">
        <v>3092</v>
      </c>
      <c r="Y442" s="20"/>
      <c r="Z442" s="7"/>
      <c r="AA442" s="7"/>
      <c r="AB442" s="23"/>
      <c r="AC442" s="26"/>
    </row>
    <row r="443" spans="1:29" ht="15.75" customHeight="1">
      <c r="A443" s="10" t="s">
        <v>3159</v>
      </c>
      <c r="B443" s="10" t="s">
        <v>1469</v>
      </c>
      <c r="C443" s="60" t="s">
        <v>1470</v>
      </c>
      <c r="D443" s="12"/>
      <c r="E443" s="13" t="s">
        <v>151</v>
      </c>
      <c r="F443" s="6" t="s">
        <v>714</v>
      </c>
      <c r="G443" s="14" t="str">
        <f ca="1">IFERROR(__xludf.DUMMYFUNCTION("CONCATENATE(B443,(VLOOKUP(C443,CATALOGOS!$F$2:$H$6,3,FALSE)),(VLOOKUP(V443,CATALOGOS!$J$2:$K$18,2,FALSE)),""-"",TO_TEXT(A443))"),"P12PL-0442")</f>
        <v>P12PL-0442</v>
      </c>
      <c r="H443" s="15" t="str">
        <f ca="1">IFERROR(__xludf.DUMMYFUNCTION("CONCATENATE($B443,(VLOOKUP($C443,CATALOGOS!$F$2:$H$6,3,FALSE)),(VLOOKUP($V443,CATALOGOS!$J$2:$K$18,2,FALSE)),""-"",TO_TEXT($A443))"),"P12PL-0442")</f>
        <v>P12PL-0442</v>
      </c>
      <c r="I443" s="6"/>
      <c r="J443" s="6" t="s">
        <v>3160</v>
      </c>
      <c r="K443" s="6" t="s">
        <v>3161</v>
      </c>
      <c r="L443" s="6" t="s">
        <v>3162</v>
      </c>
      <c r="M443" s="6" t="s">
        <v>3163</v>
      </c>
      <c r="N443" s="17"/>
      <c r="O443" s="17"/>
      <c r="P443" s="17" t="str">
        <f t="shared" si="7"/>
        <v>OK</v>
      </c>
      <c r="Q443" s="17" t="s">
        <v>157</v>
      </c>
      <c r="R443" s="6" t="s">
        <v>158</v>
      </c>
      <c r="S443" s="17" t="s">
        <v>3164</v>
      </c>
      <c r="T443" s="10" t="s">
        <v>3165</v>
      </c>
      <c r="U443" s="18" t="s">
        <v>38</v>
      </c>
      <c r="V443" s="28" t="s">
        <v>3091</v>
      </c>
      <c r="W443" s="20" t="s">
        <v>3092</v>
      </c>
      <c r="X443" s="39" t="s">
        <v>3092</v>
      </c>
      <c r="Y443" s="20"/>
      <c r="Z443" s="7"/>
      <c r="AA443" s="7"/>
      <c r="AB443" s="23"/>
      <c r="AC443" s="26"/>
    </row>
    <row r="444" spans="1:29" ht="15.75" customHeight="1">
      <c r="A444" s="10" t="s">
        <v>3166</v>
      </c>
      <c r="B444" s="10" t="s">
        <v>1469</v>
      </c>
      <c r="C444" s="60" t="s">
        <v>1470</v>
      </c>
      <c r="D444" s="12"/>
      <c r="E444" s="13" t="s">
        <v>116</v>
      </c>
      <c r="F444" s="6" t="s">
        <v>3167</v>
      </c>
      <c r="G444" s="14" t="str">
        <f ca="1">IFERROR(__xludf.DUMMYFUNCTION("CONCATENATE(B444,(VLOOKUP(C444,CATALOGOS!$F$2:$H$6,3,FALSE)),(VLOOKUP(V444,CATALOGOS!$J$2:$K$18,2,FALSE)),""-"",TO_TEXT(A444))"),"P12SI-0443")</f>
        <v>P12SI-0443</v>
      </c>
      <c r="H444" s="15" t="str">
        <f ca="1">IFERROR(__xludf.DUMMYFUNCTION("CONCATENATE($B444,(VLOOKUP($C444,CATALOGOS!$F$2:$H$6,3,FALSE)),(VLOOKUP($V444,CATALOGOS!$J$2:$K$18,2,FALSE)),""-"",TO_TEXT($A444))"),"P12SI-0443")</f>
        <v>P12SI-0443</v>
      </c>
      <c r="I444" s="6"/>
      <c r="J444" s="6" t="s">
        <v>3168</v>
      </c>
      <c r="K444" s="6" t="s">
        <v>3169</v>
      </c>
      <c r="L444" s="6" t="s">
        <v>3170</v>
      </c>
      <c r="M444" s="6" t="s">
        <v>3171</v>
      </c>
      <c r="N444" s="17"/>
      <c r="O444" s="17"/>
      <c r="P444" s="17" t="str">
        <f t="shared" si="7"/>
        <v>OK</v>
      </c>
      <c r="Q444" s="17" t="s">
        <v>35</v>
      </c>
      <c r="R444" s="6" t="s">
        <v>35</v>
      </c>
      <c r="S444" s="17" t="s">
        <v>36</v>
      </c>
      <c r="T444" s="17" t="s">
        <v>3172</v>
      </c>
      <c r="U444" s="18" t="s">
        <v>38</v>
      </c>
      <c r="V444" s="61" t="s">
        <v>1483</v>
      </c>
      <c r="W444" s="20" t="s">
        <v>7203</v>
      </c>
      <c r="X444" s="20" t="s">
        <v>2466</v>
      </c>
      <c r="Y444" s="20"/>
      <c r="Z444" s="6"/>
      <c r="AA444" s="6"/>
      <c r="AB444" s="23"/>
      <c r="AC444" s="33"/>
    </row>
    <row r="445" spans="1:29" ht="15.75" customHeight="1">
      <c r="A445" s="10" t="s">
        <v>3174</v>
      </c>
      <c r="B445" s="10" t="s">
        <v>1469</v>
      </c>
      <c r="C445" s="60" t="s">
        <v>1470</v>
      </c>
      <c r="D445" s="12"/>
      <c r="E445" s="13" t="s">
        <v>378</v>
      </c>
      <c r="F445" s="6" t="s">
        <v>3175</v>
      </c>
      <c r="G445" s="14" t="str">
        <f ca="1">IFERROR(__xludf.DUMMYFUNCTION("CONCATENATE(B445,(VLOOKUP(C445,CATALOGOS!$F$2:$H$6,3,FALSE)),(VLOOKUP(V445,CATALOGOS!$J$2:$K$18,2,FALSE)),""-"",TO_TEXT(A445))"),"P12PL-0444")</f>
        <v>P12PL-0444</v>
      </c>
      <c r="H445" s="15" t="str">
        <f ca="1">IFERROR(__xludf.DUMMYFUNCTION("CONCATENATE($B445,(VLOOKUP($C445,CATALOGOS!$F$2:$H$6,3,FALSE)),(VLOOKUP($V445,CATALOGOS!$J$2:$K$18,2,FALSE)),""-"",TO_TEXT($A445))"),"P12PL-0444")</f>
        <v>P12PL-0444</v>
      </c>
      <c r="I445" s="6"/>
      <c r="J445" s="6" t="s">
        <v>3176</v>
      </c>
      <c r="K445" s="6" t="s">
        <v>3177</v>
      </c>
      <c r="L445" s="36"/>
      <c r="M445" s="6" t="s">
        <v>141</v>
      </c>
      <c r="N445" s="17"/>
      <c r="O445" s="17"/>
      <c r="P445" s="17" t="str">
        <f t="shared" si="7"/>
        <v>REPETIDO</v>
      </c>
      <c r="Q445" s="35" t="s">
        <v>35</v>
      </c>
      <c r="R445" s="6" t="s">
        <v>35</v>
      </c>
      <c r="S445" s="10" t="s">
        <v>36</v>
      </c>
      <c r="T445" s="32" t="s">
        <v>85</v>
      </c>
      <c r="U445" s="18" t="s">
        <v>38</v>
      </c>
      <c r="V445" s="19" t="s">
        <v>3091</v>
      </c>
      <c r="W445" s="20" t="s">
        <v>3092</v>
      </c>
      <c r="X445" s="39" t="s">
        <v>3092</v>
      </c>
      <c r="Y445" s="20"/>
      <c r="Z445" s="6"/>
      <c r="AA445" s="6"/>
      <c r="AB445" s="23"/>
      <c r="AC445" s="33"/>
    </row>
    <row r="446" spans="1:29" ht="15.75" customHeight="1">
      <c r="A446" s="10" t="s">
        <v>3178</v>
      </c>
      <c r="B446" s="10" t="s">
        <v>1469</v>
      </c>
      <c r="C446" s="63" t="s">
        <v>28</v>
      </c>
      <c r="D446" s="38"/>
      <c r="E446" s="13" t="s">
        <v>353</v>
      </c>
      <c r="F446" s="6" t="s">
        <v>638</v>
      </c>
      <c r="G446" s="47" t="str">
        <f ca="1">IFERROR(__xludf.DUMMYFUNCTION("CONCATENATE(B446,(VLOOKUP(C446,CATALOGOS!$F$2:$H$6,3,FALSE)),(VLOOKUP(V446,CATALOGOS!$J$2:$K$18,2,FALSE)),""-"",TO_TEXT(A446))"),"P15RM-0445")</f>
        <v>P15RM-0445</v>
      </c>
      <c r="H446" s="15" t="str">
        <f ca="1">IFERROR(__xludf.DUMMYFUNCTION("CONCATENATE($B446,(VLOOKUP($C446,CATALOGOS!$F$2:$H$6,3,FALSE)),(VLOOKUP($V446,CATALOGOS!$J$2:$K$18,2,FALSE)),""-"",TO_TEXT($A446))"),"P15RM-0445")</f>
        <v>P15RM-0445</v>
      </c>
      <c r="I446" s="6"/>
      <c r="J446" s="6" t="s">
        <v>3179</v>
      </c>
      <c r="K446" s="6" t="s">
        <v>3180</v>
      </c>
      <c r="L446" s="6" t="s">
        <v>3181</v>
      </c>
      <c r="M446" s="6" t="s">
        <v>3182</v>
      </c>
      <c r="N446" s="17"/>
      <c r="O446" s="17"/>
      <c r="P446" s="17" t="str">
        <f t="shared" si="7"/>
        <v>OK</v>
      </c>
      <c r="Q446" s="17" t="s">
        <v>359</v>
      </c>
      <c r="R446" s="6" t="s">
        <v>360</v>
      </c>
      <c r="S446" s="6">
        <v>161039232</v>
      </c>
      <c r="T446" s="32" t="s">
        <v>3183</v>
      </c>
      <c r="U446" s="69" t="s">
        <v>971</v>
      </c>
      <c r="V446" s="19" t="s">
        <v>147</v>
      </c>
      <c r="W446" s="20" t="s">
        <v>385</v>
      </c>
      <c r="X446" s="39" t="s">
        <v>3092</v>
      </c>
      <c r="Y446" s="20" t="s">
        <v>971</v>
      </c>
      <c r="Z446" s="36"/>
      <c r="AA446" s="36"/>
      <c r="AB446" s="26"/>
      <c r="AC446" s="33"/>
    </row>
    <row r="447" spans="1:29" ht="15.75" customHeight="1">
      <c r="A447" s="10" t="s">
        <v>3184</v>
      </c>
      <c r="B447" s="10" t="s">
        <v>1469</v>
      </c>
      <c r="C447" s="60" t="s">
        <v>1470</v>
      </c>
      <c r="D447" s="12"/>
      <c r="E447" s="13" t="s">
        <v>93</v>
      </c>
      <c r="F447" s="6" t="s">
        <v>1739</v>
      </c>
      <c r="G447" s="14" t="str">
        <f ca="1">IFERROR(__xludf.DUMMYFUNCTION("CONCATENATE(B447,(VLOOKUP(C447,CATALOGOS!$F$2:$H$6,3,FALSE)),(VLOOKUP(V447,CATALOGOS!$J$2:$K$18,2,FALSE)),""-"",TO_TEXT(A447))"),"P12PL-0446")</f>
        <v>P12PL-0446</v>
      </c>
      <c r="H447" s="15" t="str">
        <f ca="1">IFERROR(__xludf.DUMMYFUNCTION("CONCATENATE($B447,(VLOOKUP($C447,CATALOGOS!$F$2:$H$6,3,FALSE)),(VLOOKUP($V447,CATALOGOS!$J$2:$K$18,2,FALSE)),""-"",TO_TEXT($A447))"),"P12PL-0446")</f>
        <v>P12PL-0446</v>
      </c>
      <c r="I447" s="6"/>
      <c r="J447" s="6" t="s">
        <v>3185</v>
      </c>
      <c r="K447" s="6" t="s">
        <v>3186</v>
      </c>
      <c r="L447" s="6" t="s">
        <v>3187</v>
      </c>
      <c r="M447" s="6" t="s">
        <v>3188</v>
      </c>
      <c r="N447" s="17"/>
      <c r="O447" s="17"/>
      <c r="P447" s="17" t="str">
        <f t="shared" si="7"/>
        <v>OK</v>
      </c>
      <c r="Q447" s="17" t="s">
        <v>35</v>
      </c>
      <c r="R447" s="6" t="s">
        <v>35</v>
      </c>
      <c r="S447" s="17" t="s">
        <v>36</v>
      </c>
      <c r="T447" s="17" t="s">
        <v>3189</v>
      </c>
      <c r="U447" s="18" t="s">
        <v>38</v>
      </c>
      <c r="V447" s="19" t="s">
        <v>3091</v>
      </c>
      <c r="W447" s="22" t="s">
        <v>3151</v>
      </c>
      <c r="X447" s="21" t="s">
        <v>3151</v>
      </c>
      <c r="Y447" s="22"/>
      <c r="Z447" s="7"/>
      <c r="AA447" s="7"/>
      <c r="AB447" s="23"/>
      <c r="AC447" s="26"/>
    </row>
    <row r="448" spans="1:29" ht="15.75" customHeight="1">
      <c r="A448" s="10" t="s">
        <v>3190</v>
      </c>
      <c r="B448" s="10" t="s">
        <v>1469</v>
      </c>
      <c r="C448" s="60" t="s">
        <v>1470</v>
      </c>
      <c r="D448" s="12"/>
      <c r="E448" s="13" t="s">
        <v>116</v>
      </c>
      <c r="F448" s="43" t="s">
        <v>117</v>
      </c>
      <c r="G448" s="14" t="str">
        <f ca="1">IFERROR(__xludf.DUMMYFUNCTION("CONCATENATE(B448,(VLOOKUP(C448,CATALOGOS!$F$2:$H$6,3,FALSE)),(VLOOKUP(V448,CATALOGOS!$J$2:$K$18,2,FALSE)),""-"",TO_TEXT(A448))"),"P12PL-0447")</f>
        <v>P12PL-0447</v>
      </c>
      <c r="H448" s="15" t="str">
        <f ca="1">IFERROR(__xludf.DUMMYFUNCTION("CONCATENATE($B448,(VLOOKUP($C448,CATALOGOS!$F$2:$H$6,3,FALSE)),(VLOOKUP($V448,CATALOGOS!$J$2:$K$18,2,FALSE)),""-"",TO_TEXT($A448))"),"P12PL-0447")</f>
        <v>P12PL-0447</v>
      </c>
      <c r="I448" s="6"/>
      <c r="J448" s="6" t="s">
        <v>3191</v>
      </c>
      <c r="K448" s="6" t="s">
        <v>3192</v>
      </c>
      <c r="L448" s="6" t="s">
        <v>3193</v>
      </c>
      <c r="M448" s="6" t="s">
        <v>3194</v>
      </c>
      <c r="N448" s="17"/>
      <c r="O448" s="17"/>
      <c r="P448" s="17" t="str">
        <f t="shared" si="7"/>
        <v>OK</v>
      </c>
      <c r="Q448" s="17" t="s">
        <v>35</v>
      </c>
      <c r="R448" s="6" t="s">
        <v>35</v>
      </c>
      <c r="S448" s="17" t="s">
        <v>36</v>
      </c>
      <c r="T448" s="17" t="s">
        <v>3195</v>
      </c>
      <c r="U448" s="18" t="s">
        <v>38</v>
      </c>
      <c r="V448" s="19" t="s">
        <v>3091</v>
      </c>
      <c r="W448" s="22" t="s">
        <v>3151</v>
      </c>
      <c r="X448" s="21" t="s">
        <v>3151</v>
      </c>
      <c r="Y448" s="22"/>
      <c r="Z448" s="7"/>
      <c r="AA448" s="7"/>
      <c r="AB448" s="23"/>
      <c r="AC448" s="26"/>
    </row>
    <row r="449" spans="1:29" ht="15.75" customHeight="1">
      <c r="A449" s="10" t="s">
        <v>3196</v>
      </c>
      <c r="B449" s="10" t="s">
        <v>27</v>
      </c>
      <c r="C449" s="63" t="s">
        <v>28</v>
      </c>
      <c r="D449" s="12"/>
      <c r="E449" s="13" t="s">
        <v>199</v>
      </c>
      <c r="F449" s="6" t="s">
        <v>199</v>
      </c>
      <c r="G449" s="14" t="str">
        <f ca="1">IFERROR(__xludf.DUMMYFUNCTION("CONCATENATE(B449,(VLOOKUP(C449,CATALOGOS!$F$2:$H$6,3,FALSE)),(VLOOKUP(V449,CATALOGOS!$J$2:$K$18,2,FALSE)),""-"",TO_TEXT(A449))"),"P05RM-0448")</f>
        <v>P05RM-0448</v>
      </c>
      <c r="H449" s="15" t="str">
        <f ca="1">IFERROR(__xludf.DUMMYFUNCTION("CONCATENATE($B449,(VLOOKUP($C449,CATALOGOS!$F$2:$H$6,3,FALSE)),(VLOOKUP($V449,CATALOGOS!$J$2:$K$18,2,FALSE)),""-"",TO_TEXT($A449))"),"P05RM-0448")</f>
        <v>P05RM-0448</v>
      </c>
      <c r="I449" s="6"/>
      <c r="J449" s="6" t="s">
        <v>3197</v>
      </c>
      <c r="K449" s="6" t="s">
        <v>3198</v>
      </c>
      <c r="L449" s="6" t="s">
        <v>3199</v>
      </c>
      <c r="M449" s="6" t="s">
        <v>3200</v>
      </c>
      <c r="N449" s="17"/>
      <c r="O449" s="17"/>
      <c r="P449" s="17" t="str">
        <f t="shared" si="7"/>
        <v>OK</v>
      </c>
      <c r="Q449" s="17" t="s">
        <v>205</v>
      </c>
      <c r="R449" s="6" t="s">
        <v>794</v>
      </c>
      <c r="S449" s="17" t="s">
        <v>3201</v>
      </c>
      <c r="T449" s="17" t="s">
        <v>3202</v>
      </c>
      <c r="U449" s="18" t="s">
        <v>100</v>
      </c>
      <c r="V449" s="19" t="s">
        <v>147</v>
      </c>
      <c r="W449" s="20" t="s">
        <v>385</v>
      </c>
      <c r="X449" s="21" t="s">
        <v>3151</v>
      </c>
      <c r="Y449" s="20" t="s">
        <v>142</v>
      </c>
      <c r="Z449" s="7"/>
      <c r="AA449" s="7"/>
      <c r="AB449" s="23"/>
      <c r="AC449" s="26"/>
    </row>
    <row r="450" spans="1:29" ht="15.75" customHeight="1">
      <c r="A450" s="10" t="s">
        <v>3203</v>
      </c>
      <c r="B450" s="10" t="s">
        <v>1469</v>
      </c>
      <c r="C450" s="60" t="s">
        <v>1470</v>
      </c>
      <c r="D450" s="12"/>
      <c r="E450" s="13" t="s">
        <v>248</v>
      </c>
      <c r="F450" s="43" t="s">
        <v>248</v>
      </c>
      <c r="G450" s="14" t="str">
        <f ca="1">IFERROR(__xludf.DUMMYFUNCTION("CONCATENATE(B450,(VLOOKUP(C450,CATALOGOS!$F$2:$H$6,3,FALSE)),(VLOOKUP(V450,CATALOGOS!$J$2:$K$18,2,FALSE)),""-"",TO_TEXT(A450))"),"P12PL-0449")</f>
        <v>P12PL-0449</v>
      </c>
      <c r="H450" s="15" t="str">
        <f ca="1">IFERROR(__xludf.DUMMYFUNCTION("CONCATENATE($B450,(VLOOKUP($C450,CATALOGOS!$F$2:$H$6,3,FALSE)),(VLOOKUP($V450,CATALOGOS!$J$2:$K$18,2,FALSE)),""-"",TO_TEXT($A450))"),"P12PL-0449")</f>
        <v>P12PL-0449</v>
      </c>
      <c r="I450" s="6"/>
      <c r="J450" s="6" t="s">
        <v>3204</v>
      </c>
      <c r="K450" s="6" t="s">
        <v>3205</v>
      </c>
      <c r="L450" s="6" t="s">
        <v>3206</v>
      </c>
      <c r="M450" s="6" t="s">
        <v>3207</v>
      </c>
      <c r="N450" s="17"/>
      <c r="O450" s="17"/>
      <c r="P450" s="17" t="str">
        <f t="shared" si="7"/>
        <v>OK</v>
      </c>
      <c r="Q450" s="17" t="s">
        <v>978</v>
      </c>
      <c r="R450" s="6" t="s">
        <v>979</v>
      </c>
      <c r="S450" s="17" t="s">
        <v>36</v>
      </c>
      <c r="T450" s="17" t="s">
        <v>3208</v>
      </c>
      <c r="U450" s="18" t="s">
        <v>38</v>
      </c>
      <c r="V450" s="19" t="s">
        <v>3091</v>
      </c>
      <c r="W450" s="22" t="s">
        <v>3151</v>
      </c>
      <c r="X450" s="21" t="s">
        <v>3151</v>
      </c>
      <c r="Y450" s="22"/>
      <c r="Z450" s="7"/>
      <c r="AA450" s="7"/>
      <c r="AB450" s="23"/>
      <c r="AC450" s="26"/>
    </row>
    <row r="451" spans="1:29" ht="15.75" customHeight="1">
      <c r="A451" s="10" t="s">
        <v>3209</v>
      </c>
      <c r="B451" s="10" t="s">
        <v>1469</v>
      </c>
      <c r="C451" s="60" t="s">
        <v>1470</v>
      </c>
      <c r="D451" s="12"/>
      <c r="E451" s="13" t="s">
        <v>1240</v>
      </c>
      <c r="F451" s="43" t="s">
        <v>278</v>
      </c>
      <c r="G451" s="14" t="str">
        <f ca="1">IFERROR(__xludf.DUMMYFUNCTION("CONCATENATE(B451,(VLOOKUP(C451,CATALOGOS!$F$2:$H$6,3,FALSE)),(VLOOKUP(V451,CATALOGOS!$J$2:$K$18,2,FALSE)),""-"",TO_TEXT(A451))"),"P12PL-0450")</f>
        <v>P12PL-0450</v>
      </c>
      <c r="H451" s="15" t="str">
        <f ca="1">IFERROR(__xludf.DUMMYFUNCTION("CONCATENATE($B451,(VLOOKUP($C451,CATALOGOS!$F$2:$H$6,3,FALSE)),(VLOOKUP($V451,CATALOGOS!$J$2:$K$18,2,FALSE)),""-"",TO_TEXT($A451))"),"P12PL-0450")</f>
        <v>P12PL-0450</v>
      </c>
      <c r="I451" s="6"/>
      <c r="J451" s="6" t="s">
        <v>3210</v>
      </c>
      <c r="K451" s="6" t="s">
        <v>3211</v>
      </c>
      <c r="L451" s="6" t="s">
        <v>3212</v>
      </c>
      <c r="M451" s="6" t="s">
        <v>3213</v>
      </c>
      <c r="N451" s="17"/>
      <c r="O451" s="17"/>
      <c r="P451" s="17" t="str">
        <f t="shared" si="7"/>
        <v>OK</v>
      </c>
      <c r="Q451" s="17" t="s">
        <v>35</v>
      </c>
      <c r="R451" s="6" t="s">
        <v>35</v>
      </c>
      <c r="S451" s="17" t="s">
        <v>36</v>
      </c>
      <c r="T451" s="17" t="s">
        <v>3214</v>
      </c>
      <c r="U451" s="18" t="s">
        <v>38</v>
      </c>
      <c r="V451" s="19" t="s">
        <v>3091</v>
      </c>
      <c r="W451" s="22" t="s">
        <v>3151</v>
      </c>
      <c r="X451" s="21" t="s">
        <v>3151</v>
      </c>
      <c r="Y451" s="22"/>
      <c r="Z451" s="7"/>
      <c r="AA451" s="7"/>
      <c r="AB451" s="23"/>
      <c r="AC451" s="26"/>
    </row>
    <row r="452" spans="1:29" ht="15.75" customHeight="1">
      <c r="A452" s="10" t="s">
        <v>3215</v>
      </c>
      <c r="B452" s="10" t="s">
        <v>1469</v>
      </c>
      <c r="C452" s="60" t="s">
        <v>1470</v>
      </c>
      <c r="D452" s="38"/>
      <c r="E452" s="13" t="s">
        <v>151</v>
      </c>
      <c r="F452" s="6" t="s">
        <v>152</v>
      </c>
      <c r="G452" s="14" t="str">
        <f ca="1">IFERROR(__xludf.DUMMYFUNCTION("CONCATENATE(B452,(VLOOKUP(C452,CATALOGOS!$F$2:$H$6,3,FALSE)),(VLOOKUP(V452,CATALOGOS!$J$2:$K$18,2,FALSE)),""-"",TO_TEXT(A452))"),"P12SI-0451")</f>
        <v>P12SI-0451</v>
      </c>
      <c r="H452" s="15" t="str">
        <f ca="1">IFERROR(__xludf.DUMMYFUNCTION("CONCATENATE($B452,(VLOOKUP($C452,CATALOGOS!$F$2:$H$6,3,FALSE)),(VLOOKUP($V452,CATALOGOS!$J$2:$K$18,2,FALSE)),""-"",TO_TEXT($A452))"),"P12SI-0451")</f>
        <v>P12SI-0451</v>
      </c>
      <c r="I452" s="6"/>
      <c r="J452" s="6" t="s">
        <v>3216</v>
      </c>
      <c r="K452" s="6" t="s">
        <v>3217</v>
      </c>
      <c r="L452" s="6" t="s">
        <v>3218</v>
      </c>
      <c r="M452" s="6" t="s">
        <v>3219</v>
      </c>
      <c r="N452" s="17"/>
      <c r="O452" s="17"/>
      <c r="P452" s="17" t="str">
        <f t="shared" si="7"/>
        <v>OK</v>
      </c>
      <c r="Q452" s="17" t="s">
        <v>1220</v>
      </c>
      <c r="R452" s="6" t="s">
        <v>720</v>
      </c>
      <c r="S452" s="46" t="s">
        <v>3220</v>
      </c>
      <c r="T452" s="17" t="s">
        <v>3221</v>
      </c>
      <c r="U452" s="18" t="s">
        <v>38</v>
      </c>
      <c r="V452" s="19" t="s">
        <v>1483</v>
      </c>
      <c r="W452" s="10" t="s">
        <v>1484</v>
      </c>
      <c r="X452" s="21" t="s">
        <v>3151</v>
      </c>
      <c r="Y452" s="32"/>
      <c r="Z452" s="7"/>
      <c r="AA452" s="7"/>
      <c r="AB452" s="26"/>
      <c r="AC452" s="26"/>
    </row>
    <row r="453" spans="1:29" ht="15.75" customHeight="1">
      <c r="A453" s="10" t="s">
        <v>3222</v>
      </c>
      <c r="B453" s="10" t="s">
        <v>1469</v>
      </c>
      <c r="C453" s="63" t="s">
        <v>28</v>
      </c>
      <c r="D453" s="38"/>
      <c r="E453" s="13" t="s">
        <v>378</v>
      </c>
      <c r="F453" s="6" t="s">
        <v>379</v>
      </c>
      <c r="G453" s="14" t="str">
        <f ca="1">IFERROR(__xludf.DUMMYFUNCTION("CONCATENATE(B453,(VLOOKUP(C453,CATALOGOS!$F$2:$H$6,3,FALSE)),(VLOOKUP(V453,CATALOGOS!$J$2:$K$18,2,FALSE)),""-"",TO_TEXT(A453))"),"P15RM-0452")</f>
        <v>P15RM-0452</v>
      </c>
      <c r="H453" s="15" t="str">
        <f ca="1">IFERROR(__xludf.DUMMYFUNCTION("CONCATENATE($B453,(VLOOKUP($C453,CATALOGOS!$F$2:$H$6,3,FALSE)),(VLOOKUP($V453,CATALOGOS!$J$2:$K$18,2,FALSE)),""-"",TO_TEXT($A453))"),"P15RM-0452")</f>
        <v>P15RM-0452</v>
      </c>
      <c r="I453" s="6"/>
      <c r="J453" s="6" t="s">
        <v>3223</v>
      </c>
      <c r="K453" s="6" t="s">
        <v>3224</v>
      </c>
      <c r="L453" s="6" t="s">
        <v>3225</v>
      </c>
      <c r="M453" s="6" t="s">
        <v>3226</v>
      </c>
      <c r="N453" s="17"/>
      <c r="O453" s="17"/>
      <c r="P453" s="17" t="str">
        <f t="shared" si="7"/>
        <v>OK</v>
      </c>
      <c r="Q453" s="17" t="s">
        <v>35</v>
      </c>
      <c r="R453" s="6" t="s">
        <v>35</v>
      </c>
      <c r="S453" s="46" t="s">
        <v>36</v>
      </c>
      <c r="T453" s="17" t="s">
        <v>3227</v>
      </c>
      <c r="U453" s="18" t="s">
        <v>38</v>
      </c>
      <c r="V453" s="19" t="s">
        <v>147</v>
      </c>
      <c r="W453" s="39" t="s">
        <v>385</v>
      </c>
      <c r="X453" s="39" t="s">
        <v>876</v>
      </c>
      <c r="Y453" s="10"/>
      <c r="Z453" s="7"/>
      <c r="AA453" s="7"/>
      <c r="AB453" s="26"/>
      <c r="AC453" s="26"/>
    </row>
    <row r="454" spans="1:29" ht="15.75" customHeight="1">
      <c r="A454" s="10" t="s">
        <v>3228</v>
      </c>
      <c r="B454" s="10" t="s">
        <v>1469</v>
      </c>
      <c r="C454" s="60" t="s">
        <v>1470</v>
      </c>
      <c r="D454" s="38"/>
      <c r="E454" s="13" t="s">
        <v>184</v>
      </c>
      <c r="F454" s="6" t="s">
        <v>3229</v>
      </c>
      <c r="G454" s="14" t="str">
        <f ca="1">IFERROR(__xludf.DUMMYFUNCTION("CONCATENATE(B454,(VLOOKUP(C454,CATALOGOS!$F$2:$H$6,3,FALSE)),(VLOOKUP(V454,CATALOGOS!$J$2:$K$18,2,FALSE)),""-"",TO_TEXT(A454))"),"P12PL-0453")</f>
        <v>P12PL-0453</v>
      </c>
      <c r="H454" s="15" t="str">
        <f ca="1">IFERROR(__xludf.DUMMYFUNCTION("CONCATENATE($B454,(VLOOKUP($C454,CATALOGOS!$F$2:$H$6,3,FALSE)),(VLOOKUP($V454,CATALOGOS!$J$2:$K$18,2,FALSE)),""-"",TO_TEXT($A454))"),"P12PL-0453")</f>
        <v>P12PL-0453</v>
      </c>
      <c r="I454" s="6"/>
      <c r="J454" s="6" t="s">
        <v>3230</v>
      </c>
      <c r="K454" s="6" t="s">
        <v>3231</v>
      </c>
      <c r="L454" s="6" t="s">
        <v>3232</v>
      </c>
      <c r="M454" s="6" t="s">
        <v>3233</v>
      </c>
      <c r="N454" s="17"/>
      <c r="O454" s="17"/>
      <c r="P454" s="17" t="str">
        <f t="shared" si="7"/>
        <v>OK</v>
      </c>
      <c r="Q454" s="17" t="s">
        <v>35</v>
      </c>
      <c r="R454" s="6" t="s">
        <v>35</v>
      </c>
      <c r="S454" s="46" t="s">
        <v>36</v>
      </c>
      <c r="T454" s="17" t="s">
        <v>3234</v>
      </c>
      <c r="U454" s="18" t="s">
        <v>38</v>
      </c>
      <c r="V454" s="19" t="s">
        <v>3091</v>
      </c>
      <c r="W454" s="22" t="s">
        <v>3151</v>
      </c>
      <c r="X454" s="21" t="s">
        <v>3151</v>
      </c>
      <c r="Y454" s="22"/>
      <c r="Z454" s="7"/>
      <c r="AA454" s="7"/>
      <c r="AB454" s="26"/>
      <c r="AC454" s="26"/>
    </row>
    <row r="455" spans="1:29" ht="15.75" customHeight="1">
      <c r="A455" s="10" t="s">
        <v>3235</v>
      </c>
      <c r="B455" s="10" t="s">
        <v>1469</v>
      </c>
      <c r="C455" s="60" t="s">
        <v>1470</v>
      </c>
      <c r="D455" s="12"/>
      <c r="E455" s="13" t="s">
        <v>210</v>
      </c>
      <c r="F455" s="6" t="s">
        <v>210</v>
      </c>
      <c r="G455" s="14" t="str">
        <f ca="1">IFERROR(__xludf.DUMMYFUNCTION("CONCATENATE(B455,(VLOOKUP(C455,CATALOGOS!$F$2:$H$6,3,FALSE)),(VLOOKUP(V455,CATALOGOS!$J$2:$K$18,2,FALSE)),""-"",TO_TEXT(A455))"),"P12PL-0454")</f>
        <v>P12PL-0454</v>
      </c>
      <c r="H455" s="15" t="str">
        <f ca="1">IFERROR(__xludf.DUMMYFUNCTION("CONCATENATE($B455,(VLOOKUP($C455,CATALOGOS!$F$2:$H$6,3,FALSE)),(VLOOKUP($V455,CATALOGOS!$J$2:$K$18,2,FALSE)),""-"",TO_TEXT($A455))"),"P12PL-0454")</f>
        <v>P12PL-0454</v>
      </c>
      <c r="I455" s="6"/>
      <c r="J455" s="6" t="s">
        <v>3236</v>
      </c>
      <c r="K455" s="6" t="s">
        <v>3237</v>
      </c>
      <c r="L455" s="36"/>
      <c r="M455" s="6" t="s">
        <v>3238</v>
      </c>
      <c r="N455" s="17"/>
      <c r="O455" s="17"/>
      <c r="P455" s="17" t="str">
        <f t="shared" si="7"/>
        <v>OK</v>
      </c>
      <c r="Q455" s="17" t="s">
        <v>216</v>
      </c>
      <c r="R455" s="6" t="s">
        <v>3239</v>
      </c>
      <c r="S455" s="6" t="s">
        <v>3240</v>
      </c>
      <c r="T455" s="10" t="s">
        <v>85</v>
      </c>
      <c r="U455" s="18" t="s">
        <v>38</v>
      </c>
      <c r="V455" s="19" t="s">
        <v>3091</v>
      </c>
      <c r="W455" s="20" t="s">
        <v>3092</v>
      </c>
      <c r="X455" s="39" t="s">
        <v>3092</v>
      </c>
      <c r="Y455" s="20"/>
      <c r="Z455" s="7"/>
      <c r="AA455" s="7"/>
      <c r="AB455" s="23"/>
      <c r="AC455" s="26"/>
    </row>
    <row r="456" spans="1:29" ht="15.75" customHeight="1">
      <c r="A456" s="10" t="s">
        <v>3241</v>
      </c>
      <c r="B456" s="10" t="s">
        <v>1469</v>
      </c>
      <c r="C456" s="60" t="s">
        <v>1470</v>
      </c>
      <c r="D456" s="12"/>
      <c r="E456" s="13" t="s">
        <v>501</v>
      </c>
      <c r="F456" s="6" t="s">
        <v>2285</v>
      </c>
      <c r="G456" s="14" t="str">
        <f ca="1">IFERROR(__xludf.DUMMYFUNCTION("CONCATENATE(B456,(VLOOKUP(C456,CATALOGOS!$F$2:$H$6,3,FALSE)),(VLOOKUP(V456,CATALOGOS!$J$2:$K$18,2,FALSE)),""-"",TO_TEXT(A456))"),"P12CT-0455")</f>
        <v>P12CT-0455</v>
      </c>
      <c r="H456" s="15" t="str">
        <f ca="1">IFERROR(__xludf.DUMMYFUNCTION("CONCATENATE($B456,(VLOOKUP($C456,CATALOGOS!$F$2:$H$6,3,FALSE)),(VLOOKUP($V456,CATALOGOS!$J$2:$K$18,2,FALSE)),""-"",TO_TEXT($A456))"),"P12CT-0455")</f>
        <v>P12CT-0455</v>
      </c>
      <c r="I456" s="6"/>
      <c r="J456" s="6" t="s">
        <v>3242</v>
      </c>
      <c r="K456" s="6" t="s">
        <v>3243</v>
      </c>
      <c r="L456" s="6" t="s">
        <v>3244</v>
      </c>
      <c r="M456" s="6" t="s">
        <v>3245</v>
      </c>
      <c r="N456" s="17"/>
      <c r="O456" s="17"/>
      <c r="P456" s="17" t="str">
        <f t="shared" si="7"/>
        <v>OK</v>
      </c>
      <c r="Q456" s="17" t="s">
        <v>35</v>
      </c>
      <c r="R456" s="6" t="s">
        <v>35</v>
      </c>
      <c r="S456" s="17" t="s">
        <v>36</v>
      </c>
      <c r="T456" s="17" t="s">
        <v>3246</v>
      </c>
      <c r="U456" s="18" t="s">
        <v>38</v>
      </c>
      <c r="V456" s="19" t="s">
        <v>2884</v>
      </c>
      <c r="W456" s="20" t="s">
        <v>3247</v>
      </c>
      <c r="X456" s="21" t="s">
        <v>3247</v>
      </c>
      <c r="Y456" s="22"/>
      <c r="Z456" s="7"/>
      <c r="AA456" s="7"/>
      <c r="AB456" s="23"/>
      <c r="AC456" s="26"/>
    </row>
    <row r="457" spans="1:29" ht="15.75" customHeight="1">
      <c r="A457" s="10" t="s">
        <v>3248</v>
      </c>
      <c r="B457" s="10" t="s">
        <v>1469</v>
      </c>
      <c r="C457" s="60" t="s">
        <v>1470</v>
      </c>
      <c r="D457" s="12"/>
      <c r="E457" s="13" t="s">
        <v>43</v>
      </c>
      <c r="F457" s="43" t="s">
        <v>885</v>
      </c>
      <c r="G457" s="14" t="str">
        <f ca="1">IFERROR(__xludf.DUMMYFUNCTION("CONCATENATE(B457,(VLOOKUP(C457,CATALOGOS!$F$2:$H$6,3,FALSE)),(VLOOKUP(V457,CATALOGOS!$J$2:$K$18,2,FALSE)),""-"",TO_TEXT(A457))"),"P12CT-0456")</f>
        <v>P12CT-0456</v>
      </c>
      <c r="H457" s="15" t="str">
        <f ca="1">IFERROR(__xludf.DUMMYFUNCTION("CONCATENATE($B457,(VLOOKUP($C457,CATALOGOS!$F$2:$H$6,3,FALSE)),(VLOOKUP($V457,CATALOGOS!$J$2:$K$18,2,FALSE)),""-"",TO_TEXT($A457))"),"P12CT-0456")</f>
        <v>P12CT-0456</v>
      </c>
      <c r="I457" s="6"/>
      <c r="J457" s="6" t="s">
        <v>3249</v>
      </c>
      <c r="K457" s="6" t="s">
        <v>3250</v>
      </c>
      <c r="L457" s="6" t="s">
        <v>3251</v>
      </c>
      <c r="M457" s="6" t="s">
        <v>3252</v>
      </c>
      <c r="N457" s="17"/>
      <c r="O457" s="17"/>
      <c r="P457" s="17" t="str">
        <f t="shared" si="7"/>
        <v>OK</v>
      </c>
      <c r="Q457" s="17" t="s">
        <v>3253</v>
      </c>
      <c r="R457" s="6" t="s">
        <v>35</v>
      </c>
      <c r="S457" s="17" t="s">
        <v>36</v>
      </c>
      <c r="T457" s="17" t="s">
        <v>3254</v>
      </c>
      <c r="U457" s="18" t="s">
        <v>100</v>
      </c>
      <c r="V457" s="19" t="s">
        <v>2884</v>
      </c>
      <c r="W457" s="22" t="s">
        <v>3247</v>
      </c>
      <c r="X457" s="21" t="s">
        <v>3247</v>
      </c>
      <c r="Y457" s="20" t="s">
        <v>142</v>
      </c>
      <c r="Z457" s="7"/>
      <c r="AA457" s="7"/>
      <c r="AB457" s="23"/>
      <c r="AC457" s="26"/>
    </row>
    <row r="458" spans="1:29" ht="15.75" customHeight="1">
      <c r="A458" s="10" t="s">
        <v>3255</v>
      </c>
      <c r="B458" s="10" t="s">
        <v>1469</v>
      </c>
      <c r="C458" s="60" t="s">
        <v>1470</v>
      </c>
      <c r="D458" s="12"/>
      <c r="E458" s="13" t="s">
        <v>93</v>
      </c>
      <c r="F458" s="6" t="s">
        <v>2383</v>
      </c>
      <c r="G458" s="14" t="str">
        <f ca="1">IFERROR(__xludf.DUMMYFUNCTION("CONCATENATE(B458,(VLOOKUP(C458,CATALOGOS!$F$2:$H$6,3,FALSE)),(VLOOKUP(V458,CATALOGOS!$J$2:$K$18,2,FALSE)),""-"",TO_TEXT(A458))"),"P12CT-0457")</f>
        <v>P12CT-0457</v>
      </c>
      <c r="H458" s="15" t="str">
        <f ca="1">IFERROR(__xludf.DUMMYFUNCTION("CONCATENATE($B458,(VLOOKUP($C458,CATALOGOS!$F$2:$H$6,3,FALSE)),(VLOOKUP($V458,CATALOGOS!$J$2:$K$18,2,FALSE)),""-"",TO_TEXT($A458))"),"P12CT-0457")</f>
        <v>P12CT-0457</v>
      </c>
      <c r="I458" s="6"/>
      <c r="J458" s="6" t="s">
        <v>3256</v>
      </c>
      <c r="K458" s="6" t="s">
        <v>3257</v>
      </c>
      <c r="L458" s="6" t="s">
        <v>3258</v>
      </c>
      <c r="M458" s="6" t="s">
        <v>3259</v>
      </c>
      <c r="N458" s="17"/>
      <c r="O458" s="17"/>
      <c r="P458" s="17" t="str">
        <f t="shared" si="7"/>
        <v>OK</v>
      </c>
      <c r="Q458" s="17" t="s">
        <v>35</v>
      </c>
      <c r="R458" s="6" t="s">
        <v>35</v>
      </c>
      <c r="S458" s="17" t="s">
        <v>36</v>
      </c>
      <c r="T458" s="17" t="s">
        <v>3260</v>
      </c>
      <c r="U458" s="18" t="s">
        <v>38</v>
      </c>
      <c r="V458" s="19" t="s">
        <v>2884</v>
      </c>
      <c r="W458" s="22" t="s">
        <v>3247</v>
      </c>
      <c r="X458" s="21" t="s">
        <v>3247</v>
      </c>
      <c r="Y458" s="22"/>
      <c r="Z458" s="7"/>
      <c r="AA458" s="7"/>
      <c r="AB458" s="23"/>
      <c r="AC458" s="26"/>
    </row>
    <row r="459" spans="1:29" ht="15.75" customHeight="1">
      <c r="A459" s="10" t="s">
        <v>3261</v>
      </c>
      <c r="B459" s="10" t="s">
        <v>1469</v>
      </c>
      <c r="C459" s="60" t="s">
        <v>1470</v>
      </c>
      <c r="D459" s="12"/>
      <c r="E459" s="13" t="s">
        <v>62</v>
      </c>
      <c r="F459" s="43" t="s">
        <v>3262</v>
      </c>
      <c r="G459" s="14" t="str">
        <f ca="1">IFERROR(__xludf.DUMMYFUNCTION("CONCATENATE(B459,(VLOOKUP(C459,CATALOGOS!$F$2:$H$6,3,FALSE)),(VLOOKUP(V459,CATALOGOS!$J$2:$K$18,2,FALSE)),""-"",TO_TEXT(A459))"),"P12CT-0458")</f>
        <v>P12CT-0458</v>
      </c>
      <c r="H459" s="15" t="str">
        <f ca="1">IFERROR(__xludf.DUMMYFUNCTION("CONCATENATE($B459,(VLOOKUP($C459,CATALOGOS!$F$2:$H$6,3,FALSE)),(VLOOKUP($V459,CATALOGOS!$J$2:$K$18,2,FALSE)),""-"",TO_TEXT($A459))"),"P12CT-0458")</f>
        <v>P12CT-0458</v>
      </c>
      <c r="I459" s="6"/>
      <c r="J459" s="6" t="s">
        <v>3263</v>
      </c>
      <c r="K459" s="6" t="s">
        <v>3264</v>
      </c>
      <c r="L459" s="6" t="s">
        <v>3265</v>
      </c>
      <c r="M459" s="6" t="s">
        <v>3266</v>
      </c>
      <c r="N459" s="17"/>
      <c r="O459" s="17"/>
      <c r="P459" s="17" t="str">
        <f t="shared" si="7"/>
        <v>OK</v>
      </c>
      <c r="Q459" s="17" t="s">
        <v>35</v>
      </c>
      <c r="R459" s="6" t="s">
        <v>35</v>
      </c>
      <c r="S459" s="17" t="s">
        <v>36</v>
      </c>
      <c r="T459" s="17" t="s">
        <v>3267</v>
      </c>
      <c r="U459" s="18" t="s">
        <v>38</v>
      </c>
      <c r="V459" s="19" t="s">
        <v>2884</v>
      </c>
      <c r="W459" s="22" t="s">
        <v>3247</v>
      </c>
      <c r="X459" s="21" t="s">
        <v>3247</v>
      </c>
      <c r="Y459" s="22"/>
      <c r="Z459" s="7"/>
      <c r="AA459" s="7"/>
      <c r="AB459" s="23"/>
      <c r="AC459" s="26"/>
    </row>
    <row r="460" spans="1:29" ht="15.75" customHeight="1">
      <c r="A460" s="10" t="s">
        <v>3268</v>
      </c>
      <c r="B460" s="10" t="s">
        <v>1469</v>
      </c>
      <c r="C460" s="60" t="s">
        <v>1470</v>
      </c>
      <c r="D460" s="12"/>
      <c r="E460" s="13" t="s">
        <v>501</v>
      </c>
      <c r="F460" s="43" t="s">
        <v>3269</v>
      </c>
      <c r="G460" s="14" t="str">
        <f ca="1">IFERROR(__xludf.DUMMYFUNCTION("CONCATENATE(B460,(VLOOKUP(C460,CATALOGOS!$F$2:$H$6,3,FALSE)),(VLOOKUP(V460,CATALOGOS!$J$2:$K$18,2,FALSE)),""-"",TO_TEXT(A460))"),"P12CT-0459")</f>
        <v>P12CT-0459</v>
      </c>
      <c r="H460" s="15" t="str">
        <f ca="1">IFERROR(__xludf.DUMMYFUNCTION("CONCATENATE($B460,(VLOOKUP($C460,CATALOGOS!$F$2:$H$6,3,FALSE)),(VLOOKUP($V460,CATALOGOS!$J$2:$K$18,2,FALSE)),""-"",TO_TEXT($A460))"),"P12CT-0459")</f>
        <v>P12CT-0459</v>
      </c>
      <c r="I460" s="6"/>
      <c r="J460" s="6" t="s">
        <v>3270</v>
      </c>
      <c r="K460" s="6" t="s">
        <v>3271</v>
      </c>
      <c r="L460" s="6" t="s">
        <v>3272</v>
      </c>
      <c r="M460" s="6" t="s">
        <v>3273</v>
      </c>
      <c r="N460" s="17"/>
      <c r="O460" s="17"/>
      <c r="P460" s="17" t="str">
        <f t="shared" si="7"/>
        <v>OK</v>
      </c>
      <c r="Q460" s="17" t="s">
        <v>35</v>
      </c>
      <c r="R460" s="6" t="s">
        <v>35</v>
      </c>
      <c r="S460" s="17" t="s">
        <v>36</v>
      </c>
      <c r="T460" s="17" t="s">
        <v>3274</v>
      </c>
      <c r="U460" s="18" t="s">
        <v>38</v>
      </c>
      <c r="V460" s="19" t="s">
        <v>2884</v>
      </c>
      <c r="W460" s="22" t="s">
        <v>3247</v>
      </c>
      <c r="X460" s="21" t="s">
        <v>3247</v>
      </c>
      <c r="Y460" s="22"/>
      <c r="Z460" s="7"/>
      <c r="AA460" s="7"/>
      <c r="AB460" s="23"/>
      <c r="AC460" s="26"/>
    </row>
    <row r="461" spans="1:29" ht="15.75" customHeight="1">
      <c r="A461" s="10" t="s">
        <v>3275</v>
      </c>
      <c r="B461" s="10" t="s">
        <v>27</v>
      </c>
      <c r="C461" s="63" t="s">
        <v>28</v>
      </c>
      <c r="D461" s="12"/>
      <c r="E461" s="13" t="s">
        <v>199</v>
      </c>
      <c r="F461" s="6" t="s">
        <v>677</v>
      </c>
      <c r="G461" s="14" t="str">
        <f ca="1">IFERROR(__xludf.DUMMYFUNCTION("CONCATENATE(B461,(VLOOKUP(C461,CATALOGOS!$F$2:$H$6,3,FALSE)),(VLOOKUP(V461,CATALOGOS!$J$2:$K$18,2,FALSE)),""-"",TO_TEXT(A461))"),"P05RM-0460")</f>
        <v>P05RM-0460</v>
      </c>
      <c r="H461" s="15" t="str">
        <f ca="1">IFERROR(__xludf.DUMMYFUNCTION("CONCATENATE($B461,(VLOOKUP($C461,CATALOGOS!$F$2:$H$6,3,FALSE)),(VLOOKUP($V461,CATALOGOS!$J$2:$K$18,2,FALSE)),""-"",TO_TEXT($A461))"),"P05RM-0460")</f>
        <v>P05RM-0460</v>
      </c>
      <c r="I461" s="6"/>
      <c r="J461" s="6" t="s">
        <v>3276</v>
      </c>
      <c r="K461" s="6" t="s">
        <v>3277</v>
      </c>
      <c r="L461" s="6" t="s">
        <v>3278</v>
      </c>
      <c r="M461" s="6" t="s">
        <v>3279</v>
      </c>
      <c r="N461" s="17"/>
      <c r="O461" s="17"/>
      <c r="P461" s="17" t="str">
        <f t="shared" si="7"/>
        <v>OK</v>
      </c>
      <c r="Q461" s="17" t="s">
        <v>205</v>
      </c>
      <c r="R461" s="6" t="s">
        <v>2890</v>
      </c>
      <c r="S461" s="17" t="s">
        <v>3280</v>
      </c>
      <c r="T461" s="17" t="s">
        <v>3281</v>
      </c>
      <c r="U461" s="18" t="s">
        <v>3282</v>
      </c>
      <c r="V461" s="19" t="s">
        <v>147</v>
      </c>
      <c r="W461" s="20" t="s">
        <v>385</v>
      </c>
      <c r="X461" s="21" t="s">
        <v>3283</v>
      </c>
      <c r="Y461" s="22"/>
      <c r="Z461" s="7"/>
      <c r="AA461" s="7"/>
      <c r="AB461" s="23"/>
      <c r="AC461" s="26"/>
    </row>
    <row r="462" spans="1:29" ht="15.75" customHeight="1">
      <c r="A462" s="10" t="s">
        <v>3284</v>
      </c>
      <c r="B462" s="10" t="s">
        <v>1469</v>
      </c>
      <c r="C462" s="60" t="s">
        <v>1470</v>
      </c>
      <c r="D462" s="12"/>
      <c r="E462" s="13" t="s">
        <v>501</v>
      </c>
      <c r="F462" s="6" t="s">
        <v>3285</v>
      </c>
      <c r="G462" s="14" t="str">
        <f ca="1">IFERROR(__xludf.DUMMYFUNCTION("CONCATENATE(B462,(VLOOKUP(C462,CATALOGOS!$F$2:$H$6,3,FALSE)),(VLOOKUP(V462,CATALOGOS!$J$2:$K$18,2,FALSE)),""-"",TO_TEXT(A462))"),"P12CT-0461")</f>
        <v>P12CT-0461</v>
      </c>
      <c r="H462" s="15" t="str">
        <f ca="1">IFERROR(__xludf.DUMMYFUNCTION("CONCATENATE($B462,(VLOOKUP($C462,CATALOGOS!$F$2:$H$6,3,FALSE)),(VLOOKUP($V462,CATALOGOS!$J$2:$K$18,2,FALSE)),""-"",TO_TEXT($A462))"),"P12CT-0461")</f>
        <v>P12CT-0461</v>
      </c>
      <c r="I462" s="6"/>
      <c r="J462" s="6" t="s">
        <v>3286</v>
      </c>
      <c r="K462" s="6" t="s">
        <v>3287</v>
      </c>
      <c r="L462" s="6" t="s">
        <v>3288</v>
      </c>
      <c r="M462" s="6" t="s">
        <v>3289</v>
      </c>
      <c r="N462" s="17"/>
      <c r="O462" s="17"/>
      <c r="P462" s="17" t="str">
        <f t="shared" si="7"/>
        <v>OK</v>
      </c>
      <c r="Q462" s="17" t="s">
        <v>35</v>
      </c>
      <c r="R462" s="6" t="s">
        <v>35</v>
      </c>
      <c r="S462" s="17" t="s">
        <v>36</v>
      </c>
      <c r="T462" s="17" t="s">
        <v>3290</v>
      </c>
      <c r="U462" s="18" t="s">
        <v>38</v>
      </c>
      <c r="V462" s="19" t="s">
        <v>2884</v>
      </c>
      <c r="W462" s="22" t="s">
        <v>3247</v>
      </c>
      <c r="X462" s="21" t="s">
        <v>3247</v>
      </c>
      <c r="Y462" s="22"/>
      <c r="Z462" s="7"/>
      <c r="AA462" s="7"/>
      <c r="AB462" s="23"/>
      <c r="AC462" s="26"/>
    </row>
    <row r="463" spans="1:29" ht="15.75" customHeight="1">
      <c r="A463" s="10" t="s">
        <v>3291</v>
      </c>
      <c r="B463" s="10" t="s">
        <v>1469</v>
      </c>
      <c r="C463" s="60" t="s">
        <v>1470</v>
      </c>
      <c r="D463" s="12"/>
      <c r="E463" s="13" t="s">
        <v>378</v>
      </c>
      <c r="F463" s="6" t="s">
        <v>2040</v>
      </c>
      <c r="G463" s="14" t="str">
        <f ca="1">IFERROR(__xludf.DUMMYFUNCTION("CONCATENATE(B463,(VLOOKUP(C463,CATALOGOS!$F$2:$H$6,3,FALSE)),(VLOOKUP(V463,CATALOGOS!$J$2:$K$18,2,FALSE)),""-"",TO_TEXT(A463))"),"P12CT-0462")</f>
        <v>P12CT-0462</v>
      </c>
      <c r="H463" s="15" t="str">
        <f ca="1">IFERROR(__xludf.DUMMYFUNCTION("CONCATENATE($B463,(VLOOKUP($C463,CATALOGOS!$F$2:$H$6,3,FALSE)),(VLOOKUP($V463,CATALOGOS!$J$2:$K$18,2,FALSE)),""-"",TO_TEXT($A463))"),"P12CT-0462")</f>
        <v>P12CT-0462</v>
      </c>
      <c r="I463" s="6"/>
      <c r="J463" s="6" t="s">
        <v>3292</v>
      </c>
      <c r="K463" s="6" t="s">
        <v>3293</v>
      </c>
      <c r="L463" s="66" t="s">
        <v>3294</v>
      </c>
      <c r="M463" s="6" t="s">
        <v>3295</v>
      </c>
      <c r="N463" s="17"/>
      <c r="O463" s="17"/>
      <c r="P463" s="17" t="str">
        <f t="shared" si="7"/>
        <v>OK</v>
      </c>
      <c r="Q463" s="17" t="s">
        <v>35</v>
      </c>
      <c r="R463" s="6" t="s">
        <v>35</v>
      </c>
      <c r="S463" s="17" t="s">
        <v>36</v>
      </c>
      <c r="T463" s="17" t="s">
        <v>3296</v>
      </c>
      <c r="U463" s="18" t="s">
        <v>38</v>
      </c>
      <c r="V463" s="19" t="s">
        <v>2884</v>
      </c>
      <c r="W463" s="22" t="s">
        <v>3247</v>
      </c>
      <c r="X463" s="21" t="s">
        <v>3247</v>
      </c>
      <c r="Y463" s="22"/>
      <c r="Z463" s="7"/>
      <c r="AA463" s="7"/>
      <c r="AB463" s="23"/>
      <c r="AC463" s="26"/>
    </row>
    <row r="464" spans="1:29" ht="15.75" customHeight="1">
      <c r="A464" s="10" t="s">
        <v>3297</v>
      </c>
      <c r="B464" s="10" t="s">
        <v>1469</v>
      </c>
      <c r="C464" s="60" t="s">
        <v>1470</v>
      </c>
      <c r="D464" s="12"/>
      <c r="E464" s="13" t="s">
        <v>93</v>
      </c>
      <c r="F464" s="6" t="s">
        <v>2383</v>
      </c>
      <c r="G464" s="14" t="str">
        <f ca="1">IFERROR(__xludf.DUMMYFUNCTION("CONCATENATE(B464,(VLOOKUP(C464,CATALOGOS!$F$2:$H$6,3,FALSE)),(VLOOKUP(V464,CATALOGOS!$J$2:$K$18,2,FALSE)),""-"",TO_TEXT(A464))"),"P12CT-0463")</f>
        <v>P12CT-0463</v>
      </c>
      <c r="H464" s="15" t="str">
        <f ca="1">IFERROR(__xludf.DUMMYFUNCTION("CONCATENATE($B464,(VLOOKUP($C464,CATALOGOS!$F$2:$H$6,3,FALSE)),(VLOOKUP($V464,CATALOGOS!$J$2:$K$18,2,FALSE)),""-"",TO_TEXT($A464))"),"P12CT-0463")</f>
        <v>P12CT-0463</v>
      </c>
      <c r="I464" s="6"/>
      <c r="J464" s="6" t="s">
        <v>3298</v>
      </c>
      <c r="K464" s="6" t="s">
        <v>3299</v>
      </c>
      <c r="L464" s="6" t="s">
        <v>3300</v>
      </c>
      <c r="M464" s="6" t="s">
        <v>3301</v>
      </c>
      <c r="N464" s="17"/>
      <c r="O464" s="17"/>
      <c r="P464" s="17" t="str">
        <f t="shared" si="7"/>
        <v>OK</v>
      </c>
      <c r="Q464" s="17" t="s">
        <v>35</v>
      </c>
      <c r="R464" s="6" t="s">
        <v>35</v>
      </c>
      <c r="S464" s="17" t="s">
        <v>36</v>
      </c>
      <c r="T464" s="17" t="s">
        <v>3302</v>
      </c>
      <c r="U464" s="18" t="s">
        <v>38</v>
      </c>
      <c r="V464" s="19" t="s">
        <v>2884</v>
      </c>
      <c r="W464" s="22" t="s">
        <v>3247</v>
      </c>
      <c r="X464" s="21" t="s">
        <v>3247</v>
      </c>
      <c r="Y464" s="22"/>
      <c r="Z464" s="7"/>
      <c r="AA464" s="7"/>
      <c r="AB464" s="23"/>
      <c r="AC464" s="26"/>
    </row>
    <row r="465" spans="1:29" ht="15.75" customHeight="1">
      <c r="A465" s="10" t="s">
        <v>3303</v>
      </c>
      <c r="B465" s="10" t="s">
        <v>1469</v>
      </c>
      <c r="C465" s="60" t="s">
        <v>1470</v>
      </c>
      <c r="D465" s="12"/>
      <c r="E465" s="13" t="s">
        <v>93</v>
      </c>
      <c r="F465" s="6" t="s">
        <v>3304</v>
      </c>
      <c r="G465" s="14" t="str">
        <f ca="1">IFERROR(__xludf.DUMMYFUNCTION("CONCATENATE(B465,(VLOOKUP(C465,CATALOGOS!$F$2:$H$6,3,FALSE)),(VLOOKUP(V465,CATALOGOS!$J$2:$K$18,2,FALSE)),""-"",TO_TEXT(A465))"),"P12CT-0464")</f>
        <v>P12CT-0464</v>
      </c>
      <c r="H465" s="15" t="str">
        <f ca="1">IFERROR(__xludf.DUMMYFUNCTION("CONCATENATE($B465,(VLOOKUP($C465,CATALOGOS!$F$2:$H$6,3,FALSE)),(VLOOKUP($V465,CATALOGOS!$J$2:$K$18,2,FALSE)),""-"",TO_TEXT($A465))"),"P12CT-0464")</f>
        <v>P12CT-0464</v>
      </c>
      <c r="I465" s="6"/>
      <c r="J465" s="6" t="s">
        <v>3305</v>
      </c>
      <c r="K465" s="6" t="s">
        <v>3306</v>
      </c>
      <c r="L465" s="6" t="s">
        <v>3307</v>
      </c>
      <c r="M465" s="6" t="s">
        <v>3308</v>
      </c>
      <c r="N465" s="17"/>
      <c r="O465" s="17"/>
      <c r="P465" s="17" t="str">
        <f t="shared" si="7"/>
        <v>OK</v>
      </c>
      <c r="Q465" s="17" t="s">
        <v>35</v>
      </c>
      <c r="R465" s="6" t="s">
        <v>35</v>
      </c>
      <c r="S465" s="17" t="s">
        <v>36</v>
      </c>
      <c r="T465" s="17" t="s">
        <v>3309</v>
      </c>
      <c r="U465" s="18" t="s">
        <v>38</v>
      </c>
      <c r="V465" s="19" t="s">
        <v>2884</v>
      </c>
      <c r="W465" s="22" t="s">
        <v>3247</v>
      </c>
      <c r="X465" s="21" t="s">
        <v>3247</v>
      </c>
      <c r="Y465" s="22"/>
      <c r="Z465" s="7"/>
      <c r="AA465" s="7"/>
      <c r="AB465" s="23"/>
      <c r="AC465" s="26"/>
    </row>
    <row r="466" spans="1:29" ht="15.75" customHeight="1">
      <c r="A466" s="10" t="s">
        <v>3310</v>
      </c>
      <c r="B466" s="10" t="s">
        <v>1469</v>
      </c>
      <c r="C466" s="60" t="s">
        <v>1470</v>
      </c>
      <c r="D466" s="12"/>
      <c r="E466" s="13" t="s">
        <v>184</v>
      </c>
      <c r="F466" s="6" t="s">
        <v>3311</v>
      </c>
      <c r="G466" s="14" t="str">
        <f ca="1">IFERROR(__xludf.DUMMYFUNCTION("CONCATENATE(B466,(VLOOKUP(C466,CATALOGOS!$F$2:$H$6,3,FALSE)),(VLOOKUP(V466,CATALOGOS!$J$2:$K$18,2,FALSE)),""-"",TO_TEXT(A466))"),"P12CT-0465")</f>
        <v>P12CT-0465</v>
      </c>
      <c r="H466" s="15" t="str">
        <f ca="1">IFERROR(__xludf.DUMMYFUNCTION("CONCATENATE($B466,(VLOOKUP($C466,CATALOGOS!$F$2:$H$6,3,FALSE)),(VLOOKUP($V466,CATALOGOS!$J$2:$K$18,2,FALSE)),""-"",TO_TEXT($A466))"),"P12CT-0465")</f>
        <v>P12CT-0465</v>
      </c>
      <c r="I466" s="6"/>
      <c r="J466" s="6" t="s">
        <v>3312</v>
      </c>
      <c r="K466" s="6" t="s">
        <v>3313</v>
      </c>
      <c r="L466" s="6" t="s">
        <v>3314</v>
      </c>
      <c r="M466" s="6" t="s">
        <v>3315</v>
      </c>
      <c r="N466" s="17"/>
      <c r="O466" s="17"/>
      <c r="P466" s="17" t="str">
        <f t="shared" si="7"/>
        <v>OK</v>
      </c>
      <c r="Q466" s="17" t="s">
        <v>35</v>
      </c>
      <c r="R466" s="6" t="s">
        <v>35</v>
      </c>
      <c r="S466" s="17" t="s">
        <v>36</v>
      </c>
      <c r="T466" s="17" t="s">
        <v>3316</v>
      </c>
      <c r="U466" s="18" t="s">
        <v>38</v>
      </c>
      <c r="V466" s="19" t="s">
        <v>2884</v>
      </c>
      <c r="W466" s="22" t="s">
        <v>3247</v>
      </c>
      <c r="X466" s="21" t="s">
        <v>3247</v>
      </c>
      <c r="Y466" s="22"/>
      <c r="Z466" s="7"/>
      <c r="AA466" s="7"/>
      <c r="AB466" s="23"/>
      <c r="AC466" s="26"/>
    </row>
    <row r="467" spans="1:29" ht="15.75" customHeight="1">
      <c r="A467" s="10" t="s">
        <v>3317</v>
      </c>
      <c r="B467" s="10" t="s">
        <v>1469</v>
      </c>
      <c r="C467" s="60" t="s">
        <v>1470</v>
      </c>
      <c r="D467" s="12"/>
      <c r="E467" s="13" t="s">
        <v>184</v>
      </c>
      <c r="F467" s="6" t="s">
        <v>3311</v>
      </c>
      <c r="G467" s="14" t="str">
        <f ca="1">IFERROR(__xludf.DUMMYFUNCTION("CONCATENATE(B467,(VLOOKUP(C467,CATALOGOS!$F$2:$H$6,3,FALSE)),(VLOOKUP(V467,CATALOGOS!$J$2:$K$18,2,FALSE)),""-"",TO_TEXT(A467))"),"P12CT-0466")</f>
        <v>P12CT-0466</v>
      </c>
      <c r="H467" s="15" t="str">
        <f ca="1">IFERROR(__xludf.DUMMYFUNCTION("CONCATENATE($B467,(VLOOKUP($C467,CATALOGOS!$F$2:$H$6,3,FALSE)),(VLOOKUP($V467,CATALOGOS!$J$2:$K$18,2,FALSE)),""-"",TO_TEXT($A467))"),"P12CT-0466")</f>
        <v>P12CT-0466</v>
      </c>
      <c r="I467" s="6"/>
      <c r="J467" s="6" t="s">
        <v>3318</v>
      </c>
      <c r="K467" s="6" t="s">
        <v>3319</v>
      </c>
      <c r="L467" s="6" t="s">
        <v>3320</v>
      </c>
      <c r="M467" s="6" t="s">
        <v>3321</v>
      </c>
      <c r="N467" s="17"/>
      <c r="O467" s="17"/>
      <c r="P467" s="17" t="str">
        <f t="shared" si="7"/>
        <v>OK</v>
      </c>
      <c r="Q467" s="17" t="s">
        <v>35</v>
      </c>
      <c r="R467" s="6" t="s">
        <v>35</v>
      </c>
      <c r="S467" s="17" t="s">
        <v>36</v>
      </c>
      <c r="T467" s="17" t="s">
        <v>3322</v>
      </c>
      <c r="U467" s="18" t="s">
        <v>38</v>
      </c>
      <c r="V467" s="19" t="s">
        <v>2884</v>
      </c>
      <c r="W467" s="22" t="s">
        <v>3247</v>
      </c>
      <c r="X467" s="21" t="s">
        <v>3247</v>
      </c>
      <c r="Y467" s="22"/>
      <c r="Z467" s="7"/>
      <c r="AA467" s="7"/>
      <c r="AB467" s="23"/>
      <c r="AC467" s="26"/>
    </row>
    <row r="468" spans="1:29" ht="15.75" customHeight="1">
      <c r="A468" s="10" t="s">
        <v>3323</v>
      </c>
      <c r="B468" s="10" t="s">
        <v>1469</v>
      </c>
      <c r="C468" s="60" t="s">
        <v>1470</v>
      </c>
      <c r="D468" s="12"/>
      <c r="E468" s="13" t="s">
        <v>234</v>
      </c>
      <c r="F468" s="6" t="s">
        <v>3324</v>
      </c>
      <c r="G468" s="14" t="str">
        <f ca="1">IFERROR(__xludf.DUMMYFUNCTION("CONCATENATE(B468,(VLOOKUP(C468,CATALOGOS!$F$2:$H$6,3,FALSE)),(VLOOKUP(V468,CATALOGOS!$J$2:$K$18,2,FALSE)),""-"",TO_TEXT(A468))"),"P12CT-0467")</f>
        <v>P12CT-0467</v>
      </c>
      <c r="H468" s="15" t="str">
        <f ca="1">IFERROR(__xludf.DUMMYFUNCTION("CONCATENATE($B468,(VLOOKUP($C468,CATALOGOS!$F$2:$H$6,3,FALSE)),(VLOOKUP($V468,CATALOGOS!$J$2:$K$18,2,FALSE)),""-"",TO_TEXT($A468))"),"P12CT-0467")</f>
        <v>P12CT-0467</v>
      </c>
      <c r="I468" s="6"/>
      <c r="J468" s="6" t="s">
        <v>3325</v>
      </c>
      <c r="K468" s="6" t="s">
        <v>3326</v>
      </c>
      <c r="L468" s="6" t="s">
        <v>3327</v>
      </c>
      <c r="M468" s="6" t="s">
        <v>3328</v>
      </c>
      <c r="N468" s="17"/>
      <c r="O468" s="17"/>
      <c r="P468" s="17" t="str">
        <f t="shared" si="7"/>
        <v>OK</v>
      </c>
      <c r="Q468" s="17" t="s">
        <v>35</v>
      </c>
      <c r="R468" s="6" t="s">
        <v>35</v>
      </c>
      <c r="S468" s="17" t="s">
        <v>36</v>
      </c>
      <c r="T468" s="17" t="s">
        <v>3329</v>
      </c>
      <c r="U468" s="18" t="s">
        <v>38</v>
      </c>
      <c r="V468" s="19" t="s">
        <v>2884</v>
      </c>
      <c r="W468" s="22" t="s">
        <v>3247</v>
      </c>
      <c r="X468" s="21" t="s">
        <v>3247</v>
      </c>
      <c r="Y468" s="22"/>
      <c r="Z468" s="7"/>
      <c r="AA468" s="7"/>
      <c r="AB468" s="23"/>
      <c r="AC468" s="26"/>
    </row>
    <row r="469" spans="1:29" ht="15.75" customHeight="1">
      <c r="A469" s="10" t="s">
        <v>3330</v>
      </c>
      <c r="B469" s="10" t="s">
        <v>1469</v>
      </c>
      <c r="C469" s="60" t="s">
        <v>1470</v>
      </c>
      <c r="D469" s="12"/>
      <c r="E469" s="13" t="s">
        <v>501</v>
      </c>
      <c r="F469" s="6" t="s">
        <v>3331</v>
      </c>
      <c r="G469" s="14" t="str">
        <f ca="1">IFERROR(__xludf.DUMMYFUNCTION("CONCATENATE(B469,(VLOOKUP(C469,CATALOGOS!$F$2:$H$6,3,FALSE)),(VLOOKUP(V469,CATALOGOS!$J$2:$K$18,2,FALSE)),""-"",TO_TEXT(A469))"),"P12CT-0468")</f>
        <v>P12CT-0468</v>
      </c>
      <c r="H469" s="15" t="str">
        <f ca="1">IFERROR(__xludf.DUMMYFUNCTION("CONCATENATE($B469,(VLOOKUP($C469,CATALOGOS!$F$2:$H$6,3,FALSE)),(VLOOKUP($V469,CATALOGOS!$J$2:$K$18,2,FALSE)),""-"",TO_TEXT($A469))"),"P12CT-0468")</f>
        <v>P12CT-0468</v>
      </c>
      <c r="I469" s="6"/>
      <c r="J469" s="6" t="s">
        <v>3332</v>
      </c>
      <c r="K469" s="6" t="s">
        <v>3333</v>
      </c>
      <c r="L469" s="6" t="s">
        <v>3334</v>
      </c>
      <c r="M469" s="6" t="s">
        <v>3335</v>
      </c>
      <c r="N469" s="17"/>
      <c r="O469" s="17"/>
      <c r="P469" s="17" t="str">
        <f t="shared" si="7"/>
        <v>OK</v>
      </c>
      <c r="Q469" s="17" t="s">
        <v>35</v>
      </c>
      <c r="R469" s="6" t="s">
        <v>35</v>
      </c>
      <c r="S469" s="17" t="s">
        <v>36</v>
      </c>
      <c r="T469" s="17" t="s">
        <v>3336</v>
      </c>
      <c r="U469" s="18" t="s">
        <v>38</v>
      </c>
      <c r="V469" s="19" t="s">
        <v>2884</v>
      </c>
      <c r="W469" s="22" t="s">
        <v>3247</v>
      </c>
      <c r="X469" s="21" t="s">
        <v>3247</v>
      </c>
      <c r="Y469" s="22"/>
      <c r="Z469" s="7"/>
      <c r="AA469" s="7"/>
      <c r="AB469" s="23"/>
      <c r="AC469" s="26"/>
    </row>
    <row r="470" spans="1:29" ht="15.75" customHeight="1">
      <c r="A470" s="10" t="s">
        <v>3337</v>
      </c>
      <c r="B470" s="10" t="s">
        <v>1469</v>
      </c>
      <c r="C470" s="60" t="s">
        <v>1470</v>
      </c>
      <c r="D470" s="12"/>
      <c r="E470" s="13" t="s">
        <v>93</v>
      </c>
      <c r="F470" s="43" t="s">
        <v>3338</v>
      </c>
      <c r="G470" s="14" t="str">
        <f ca="1">IFERROR(__xludf.DUMMYFUNCTION("CONCATENATE(B470,(VLOOKUP(C470,CATALOGOS!$F$2:$H$6,3,FALSE)),(VLOOKUP(V470,CATALOGOS!$J$2:$K$18,2,FALSE)),""-"",TO_TEXT(A470))"),"P12CT-0469")</f>
        <v>P12CT-0469</v>
      </c>
      <c r="H470" s="15" t="str">
        <f ca="1">IFERROR(__xludf.DUMMYFUNCTION("CONCATENATE($B470,(VLOOKUP($C470,CATALOGOS!$F$2:$H$6,3,FALSE)),(VLOOKUP($V470,CATALOGOS!$J$2:$K$18,2,FALSE)),""-"",TO_TEXT($A470))"),"P12CT-0469")</f>
        <v>P12CT-0469</v>
      </c>
      <c r="I470" s="6"/>
      <c r="J470" s="6" t="s">
        <v>3339</v>
      </c>
      <c r="K470" s="54"/>
      <c r="L470" s="6" t="s">
        <v>3340</v>
      </c>
      <c r="M470" s="6" t="s">
        <v>3341</v>
      </c>
      <c r="N470" s="17"/>
      <c r="O470" s="17"/>
      <c r="P470" s="17" t="str">
        <f t="shared" si="7"/>
        <v>OK</v>
      </c>
      <c r="Q470" s="17" t="s">
        <v>35</v>
      </c>
      <c r="R470" s="6" t="s">
        <v>35</v>
      </c>
      <c r="S470" s="17" t="s">
        <v>36</v>
      </c>
      <c r="T470" s="17" t="s">
        <v>3342</v>
      </c>
      <c r="U470" s="18" t="s">
        <v>38</v>
      </c>
      <c r="V470" s="19" t="s">
        <v>2884</v>
      </c>
      <c r="W470" s="22" t="s">
        <v>3247</v>
      </c>
      <c r="X470" s="21" t="s">
        <v>3247</v>
      </c>
      <c r="Y470" s="22"/>
      <c r="Z470" s="7"/>
      <c r="AA470" s="7"/>
      <c r="AB470" s="23"/>
      <c r="AC470" s="26"/>
    </row>
    <row r="471" spans="1:29" ht="15.75" customHeight="1">
      <c r="A471" s="10" t="s">
        <v>3343</v>
      </c>
      <c r="B471" s="10" t="s">
        <v>1469</v>
      </c>
      <c r="C471" s="60" t="s">
        <v>1470</v>
      </c>
      <c r="D471" s="12"/>
      <c r="E471" s="13" t="s">
        <v>116</v>
      </c>
      <c r="F471" s="6" t="s">
        <v>3344</v>
      </c>
      <c r="G471" s="14" t="str">
        <f ca="1">IFERROR(__xludf.DUMMYFUNCTION("CONCATENATE(B471,(VLOOKUP(C471,CATALOGOS!$F$2:$H$6,3,FALSE)),(VLOOKUP(V471,CATALOGOS!$J$2:$K$18,2,FALSE)),""-"",TO_TEXT(A471))"),"P12CT-0470")</f>
        <v>P12CT-0470</v>
      </c>
      <c r="H471" s="15" t="str">
        <f ca="1">IFERROR(__xludf.DUMMYFUNCTION("CONCATENATE($B471,(VLOOKUP($C471,CATALOGOS!$F$2:$H$6,3,FALSE)),(VLOOKUP($V471,CATALOGOS!$J$2:$K$18,2,FALSE)),""-"",TO_TEXT($A471))"),"P12CT-0470")</f>
        <v>P12CT-0470</v>
      </c>
      <c r="I471" s="6"/>
      <c r="J471" s="6" t="s">
        <v>3345</v>
      </c>
      <c r="K471" s="6" t="s">
        <v>3346</v>
      </c>
      <c r="L471" s="6" t="s">
        <v>3347</v>
      </c>
      <c r="M471" s="6" t="s">
        <v>3348</v>
      </c>
      <c r="N471" s="17"/>
      <c r="O471" s="17"/>
      <c r="P471" s="17" t="str">
        <f t="shared" si="7"/>
        <v>OK</v>
      </c>
      <c r="Q471" s="17" t="s">
        <v>35</v>
      </c>
      <c r="R471" s="6" t="s">
        <v>35</v>
      </c>
      <c r="S471" s="17" t="s">
        <v>36</v>
      </c>
      <c r="T471" s="17" t="s">
        <v>3349</v>
      </c>
      <c r="U471" s="18" t="s">
        <v>38</v>
      </c>
      <c r="V471" s="19" t="s">
        <v>2884</v>
      </c>
      <c r="W471" s="22" t="s">
        <v>3247</v>
      </c>
      <c r="X471" s="21" t="s">
        <v>3247</v>
      </c>
      <c r="Y471" s="22"/>
      <c r="Z471" s="7"/>
      <c r="AA471" s="7"/>
      <c r="AB471" s="23"/>
      <c r="AC471" s="26"/>
    </row>
    <row r="472" spans="1:29" ht="15.75" customHeight="1">
      <c r="A472" s="10" t="s">
        <v>3350</v>
      </c>
      <c r="B472" s="10" t="s">
        <v>1469</v>
      </c>
      <c r="C472" s="60" t="s">
        <v>1470</v>
      </c>
      <c r="D472" s="12"/>
      <c r="E472" s="13" t="s">
        <v>151</v>
      </c>
      <c r="F472" s="6" t="s">
        <v>963</v>
      </c>
      <c r="G472" s="14" t="str">
        <f ca="1">IFERROR(__xludf.DUMMYFUNCTION("CONCATENATE(B472,(VLOOKUP(C472,CATALOGOS!$F$2:$H$6,3,FALSE)),(VLOOKUP(V472,CATALOGOS!$J$2:$K$18,2,FALSE)),""-"",TO_TEXT(A472))"),"P12CT-0471")</f>
        <v>P12CT-0471</v>
      </c>
      <c r="H472" s="15" t="str">
        <f ca="1">IFERROR(__xludf.DUMMYFUNCTION("CONCATENATE($B472,(VLOOKUP($C472,CATALOGOS!$F$2:$H$6,3,FALSE)),(VLOOKUP($V472,CATALOGOS!$J$2:$K$18,2,FALSE)),""-"",TO_TEXT($A472))"),"P12CT-0471")</f>
        <v>P12CT-0471</v>
      </c>
      <c r="I472" s="6"/>
      <c r="J472" s="6" t="s">
        <v>3351</v>
      </c>
      <c r="K472" s="6" t="s">
        <v>3352</v>
      </c>
      <c r="L472" s="6" t="s">
        <v>3353</v>
      </c>
      <c r="M472" s="6" t="s">
        <v>3354</v>
      </c>
      <c r="N472" s="17"/>
      <c r="O472" s="17"/>
      <c r="P472" s="17" t="str">
        <f t="shared" si="7"/>
        <v>OK</v>
      </c>
      <c r="Q472" s="17" t="s">
        <v>297</v>
      </c>
      <c r="R472" s="6" t="s">
        <v>1407</v>
      </c>
      <c r="S472" s="17" t="s">
        <v>3355</v>
      </c>
      <c r="T472" s="17" t="s">
        <v>3356</v>
      </c>
      <c r="U472" s="18" t="s">
        <v>38</v>
      </c>
      <c r="V472" s="19" t="s">
        <v>2884</v>
      </c>
      <c r="W472" s="22" t="s">
        <v>3247</v>
      </c>
      <c r="X472" s="21" t="s">
        <v>3247</v>
      </c>
      <c r="Y472" s="22"/>
      <c r="Z472" s="7"/>
      <c r="AA472" s="7"/>
      <c r="AB472" s="23"/>
      <c r="AC472" s="26"/>
    </row>
    <row r="473" spans="1:29" ht="15.75" customHeight="1">
      <c r="A473" s="10" t="s">
        <v>3357</v>
      </c>
      <c r="B473" s="10" t="s">
        <v>1469</v>
      </c>
      <c r="C473" s="60" t="s">
        <v>1470</v>
      </c>
      <c r="D473" s="12"/>
      <c r="E473" s="13" t="s">
        <v>151</v>
      </c>
      <c r="F473" s="6" t="s">
        <v>714</v>
      </c>
      <c r="G473" s="14" t="str">
        <f ca="1">IFERROR(__xludf.DUMMYFUNCTION("CONCATENATE(B473,(VLOOKUP(C473,CATALOGOS!$F$2:$H$6,3,FALSE)),(VLOOKUP(V473,CATALOGOS!$J$2:$K$18,2,FALSE)),""-"",TO_TEXT(A473))"),"P12CT-0472")</f>
        <v>P12CT-0472</v>
      </c>
      <c r="H473" s="15" t="str">
        <f ca="1">IFERROR(__xludf.DUMMYFUNCTION("CONCATENATE($B473,(VLOOKUP($C473,CATALOGOS!$F$2:$H$6,3,FALSE)),(VLOOKUP($V473,CATALOGOS!$J$2:$K$18,2,FALSE)),""-"",TO_TEXT($A473))"),"P12CT-0472")</f>
        <v>P12CT-0472</v>
      </c>
      <c r="I473" s="6"/>
      <c r="J473" s="6" t="s">
        <v>3358</v>
      </c>
      <c r="K473" s="6" t="s">
        <v>3359</v>
      </c>
      <c r="L473" s="6" t="s">
        <v>3360</v>
      </c>
      <c r="M473" s="6" t="s">
        <v>3361</v>
      </c>
      <c r="N473" s="17"/>
      <c r="O473" s="17"/>
      <c r="P473" s="17" t="str">
        <f t="shared" si="7"/>
        <v>OK</v>
      </c>
      <c r="Q473" s="17" t="s">
        <v>157</v>
      </c>
      <c r="R473" s="6" t="s">
        <v>158</v>
      </c>
      <c r="S473" s="17" t="s">
        <v>3362</v>
      </c>
      <c r="T473" s="10" t="s">
        <v>3363</v>
      </c>
      <c r="U473" s="18" t="s">
        <v>38</v>
      </c>
      <c r="V473" s="19" t="s">
        <v>2884</v>
      </c>
      <c r="W473" s="22" t="s">
        <v>3247</v>
      </c>
      <c r="X473" s="21" t="s">
        <v>3247</v>
      </c>
      <c r="Y473" s="22"/>
      <c r="Z473" s="7"/>
      <c r="AA473" s="7"/>
      <c r="AB473" s="23"/>
      <c r="AC473" s="26"/>
    </row>
    <row r="474" spans="1:29" ht="15.75" customHeight="1">
      <c r="A474" s="10" t="s">
        <v>3364</v>
      </c>
      <c r="B474" s="10" t="s">
        <v>1469</v>
      </c>
      <c r="C474" s="60" t="s">
        <v>1470</v>
      </c>
      <c r="D474" s="12"/>
      <c r="E474" s="13" t="s">
        <v>162</v>
      </c>
      <c r="F474" s="6" t="s">
        <v>285</v>
      </c>
      <c r="G474" s="14" t="str">
        <f ca="1">IFERROR(__xludf.DUMMYFUNCTION("CONCATENATE(B474,(VLOOKUP(C474,CATALOGOS!$F$2:$H$6,3,FALSE)),(VLOOKUP(V474,CATALOGOS!$J$2:$K$18,2,FALSE)),""-"",TO_TEXT(A474))"),"P12CT-0473")</f>
        <v>P12CT-0473</v>
      </c>
      <c r="H474" s="15" t="str">
        <f ca="1">IFERROR(__xludf.DUMMYFUNCTION("CONCATENATE($B474,(VLOOKUP($C474,CATALOGOS!$F$2:$H$6,3,FALSE)),(VLOOKUP($V474,CATALOGOS!$J$2:$K$18,2,FALSE)),""-"",TO_TEXT($A474))"),"P12CT-0473")</f>
        <v>P12CT-0473</v>
      </c>
      <c r="I474" s="6"/>
      <c r="J474" s="6" t="s">
        <v>3365</v>
      </c>
      <c r="K474" s="6" t="s">
        <v>3366</v>
      </c>
      <c r="L474" s="6" t="s">
        <v>3367</v>
      </c>
      <c r="M474" s="6" t="s">
        <v>3368</v>
      </c>
      <c r="N474" s="17"/>
      <c r="O474" s="17"/>
      <c r="P474" s="17" t="str">
        <f t="shared" si="7"/>
        <v>OK</v>
      </c>
      <c r="Q474" s="17" t="s">
        <v>168</v>
      </c>
      <c r="R474" s="6" t="s">
        <v>169</v>
      </c>
      <c r="S474" s="17" t="s">
        <v>3369</v>
      </c>
      <c r="T474" s="17" t="s">
        <v>3370</v>
      </c>
      <c r="U474" s="18" t="s">
        <v>38</v>
      </c>
      <c r="V474" s="19" t="s">
        <v>2884</v>
      </c>
      <c r="W474" s="22" t="s">
        <v>3247</v>
      </c>
      <c r="X474" s="21" t="s">
        <v>3247</v>
      </c>
      <c r="Y474" s="22"/>
      <c r="Z474" s="7"/>
      <c r="AA474" s="7"/>
      <c r="AB474" s="23"/>
      <c r="AC474" s="26"/>
    </row>
    <row r="475" spans="1:29" ht="15.75" customHeight="1">
      <c r="A475" s="10" t="s">
        <v>3371</v>
      </c>
      <c r="B475" s="10" t="s">
        <v>1469</v>
      </c>
      <c r="C475" s="60" t="s">
        <v>1470</v>
      </c>
      <c r="D475" s="12"/>
      <c r="E475" s="13" t="s">
        <v>199</v>
      </c>
      <c r="F475" s="6" t="s">
        <v>199</v>
      </c>
      <c r="G475" s="14" t="str">
        <f ca="1">IFERROR(__xludf.DUMMYFUNCTION("CONCATENATE(B475,(VLOOKUP(C475,CATALOGOS!$F$2:$H$6,3,FALSE)),(VLOOKUP(V475,CATALOGOS!$J$2:$K$18,2,FALSE)),""-"",TO_TEXT(A475))"),"P12CT-0474")</f>
        <v>P12CT-0474</v>
      </c>
      <c r="H475" s="15" t="str">
        <f ca="1">IFERROR(__xludf.DUMMYFUNCTION("CONCATENATE($B475,(VLOOKUP($C475,CATALOGOS!$F$2:$H$6,3,FALSE)),(VLOOKUP($V475,CATALOGOS!$J$2:$K$18,2,FALSE)),""-"",TO_TEXT($A475))"),"P12CT-0474")</f>
        <v>P12CT-0474</v>
      </c>
      <c r="I475" s="6"/>
      <c r="J475" s="6" t="s">
        <v>3372</v>
      </c>
      <c r="K475" s="6" t="s">
        <v>3373</v>
      </c>
      <c r="L475" s="6" t="s">
        <v>3374</v>
      </c>
      <c r="M475" s="6" t="s">
        <v>3375</v>
      </c>
      <c r="N475" s="17"/>
      <c r="O475" s="17"/>
      <c r="P475" s="17" t="str">
        <f t="shared" si="7"/>
        <v>OK</v>
      </c>
      <c r="Q475" s="17" t="s">
        <v>157</v>
      </c>
      <c r="R475" s="6">
        <v>2378</v>
      </c>
      <c r="S475" s="17" t="s">
        <v>3376</v>
      </c>
      <c r="T475" s="10" t="s">
        <v>3377</v>
      </c>
      <c r="U475" s="18" t="s">
        <v>38</v>
      </c>
      <c r="V475" s="19" t="s">
        <v>2884</v>
      </c>
      <c r="W475" s="20" t="s">
        <v>3247</v>
      </c>
      <c r="X475" s="21" t="s">
        <v>3247</v>
      </c>
      <c r="Y475" s="22"/>
      <c r="Z475" s="7"/>
      <c r="AA475" s="7"/>
      <c r="AB475" s="23"/>
      <c r="AC475" s="26"/>
    </row>
    <row r="476" spans="1:29" ht="15.75" customHeight="1">
      <c r="A476" s="10" t="s">
        <v>3378</v>
      </c>
      <c r="B476" s="10" t="s">
        <v>1469</v>
      </c>
      <c r="C476" s="60" t="s">
        <v>1470</v>
      </c>
      <c r="D476" s="12"/>
      <c r="E476" s="13" t="s">
        <v>353</v>
      </c>
      <c r="F476" s="43" t="s">
        <v>638</v>
      </c>
      <c r="G476" s="14" t="str">
        <f ca="1">IFERROR(__xludf.DUMMYFUNCTION("CONCATENATE(B476,(VLOOKUP(C476,CATALOGOS!$F$2:$H$6,3,FALSE)),(VLOOKUP(V476,CATALOGOS!$J$2:$K$18,2,FALSE)),""-"",TO_TEXT(A476))"),"P12CT-0475")</f>
        <v>P12CT-0475</v>
      </c>
      <c r="H476" s="15" t="str">
        <f ca="1">IFERROR(__xludf.DUMMYFUNCTION("CONCATENATE($B476,(VLOOKUP($C476,CATALOGOS!$F$2:$H$6,3,FALSE)),(VLOOKUP($V476,CATALOGOS!$J$2:$K$18,2,FALSE)),""-"",TO_TEXT($A476))"),"P12CT-0475")</f>
        <v>P12CT-0475</v>
      </c>
      <c r="I476" s="6"/>
      <c r="J476" s="6" t="s">
        <v>3379</v>
      </c>
      <c r="K476" s="6" t="s">
        <v>3380</v>
      </c>
      <c r="L476" s="6" t="s">
        <v>3381</v>
      </c>
      <c r="M476" s="6" t="s">
        <v>3382</v>
      </c>
      <c r="N476" s="17"/>
      <c r="O476" s="17"/>
      <c r="P476" s="17" t="str">
        <f t="shared" si="7"/>
        <v>OK</v>
      </c>
      <c r="Q476" s="17" t="s">
        <v>359</v>
      </c>
      <c r="R476" s="6" t="s">
        <v>360</v>
      </c>
      <c r="S476" s="17" t="s">
        <v>36</v>
      </c>
      <c r="T476" s="17" t="s">
        <v>3383</v>
      </c>
      <c r="U476" s="18" t="s">
        <v>38</v>
      </c>
      <c r="V476" s="19" t="s">
        <v>2884</v>
      </c>
      <c r="W476" s="22" t="s">
        <v>3247</v>
      </c>
      <c r="X476" s="21" t="s">
        <v>3247</v>
      </c>
      <c r="Y476" s="22"/>
      <c r="Z476" s="7"/>
      <c r="AA476" s="7"/>
      <c r="AB476" s="23"/>
      <c r="AC476" s="26"/>
    </row>
    <row r="477" spans="1:29" ht="15.75" customHeight="1">
      <c r="A477" s="10" t="s">
        <v>3384</v>
      </c>
      <c r="B477" s="10" t="s">
        <v>1469</v>
      </c>
      <c r="C477" s="60" t="s">
        <v>1470</v>
      </c>
      <c r="D477" s="12"/>
      <c r="E477" s="13" t="s">
        <v>248</v>
      </c>
      <c r="F477" s="43" t="s">
        <v>248</v>
      </c>
      <c r="G477" s="14" t="str">
        <f ca="1">IFERROR(__xludf.DUMMYFUNCTION("CONCATENATE(B477,(VLOOKUP(C477,CATALOGOS!$F$2:$H$6,3,FALSE)),(VLOOKUP(V477,CATALOGOS!$J$2:$K$18,2,FALSE)),""-"",TO_TEXT(A477))"),"P12CT-0476")</f>
        <v>P12CT-0476</v>
      </c>
      <c r="H477" s="15" t="str">
        <f ca="1">IFERROR(__xludf.DUMMYFUNCTION("CONCATENATE($B477,(VLOOKUP($C477,CATALOGOS!$F$2:$H$6,3,FALSE)),(VLOOKUP($V477,CATALOGOS!$J$2:$K$18,2,FALSE)),""-"",TO_TEXT($A477))"),"P12CT-0476")</f>
        <v>P12CT-0476</v>
      </c>
      <c r="I477" s="6"/>
      <c r="J477" s="6" t="s">
        <v>3385</v>
      </c>
      <c r="K477" s="6" t="s">
        <v>3386</v>
      </c>
      <c r="L477" s="6" t="s">
        <v>3387</v>
      </c>
      <c r="M477" s="6" t="s">
        <v>3388</v>
      </c>
      <c r="N477" s="17"/>
      <c r="O477" s="17"/>
      <c r="P477" s="17" t="str">
        <f t="shared" si="7"/>
        <v>OK</v>
      </c>
      <c r="Q477" s="17" t="s">
        <v>978</v>
      </c>
      <c r="R477" s="6" t="s">
        <v>979</v>
      </c>
      <c r="S477" s="17" t="s">
        <v>3389</v>
      </c>
      <c r="T477" s="17" t="s">
        <v>3390</v>
      </c>
      <c r="U477" s="18" t="s">
        <v>38</v>
      </c>
      <c r="V477" s="19" t="s">
        <v>2884</v>
      </c>
      <c r="W477" s="22" t="s">
        <v>3247</v>
      </c>
      <c r="X477" s="21" t="s">
        <v>3247</v>
      </c>
      <c r="Y477" s="22"/>
      <c r="Z477" s="7"/>
      <c r="AA477" s="7"/>
      <c r="AB477" s="23"/>
      <c r="AC477" s="26"/>
    </row>
    <row r="478" spans="1:29" ht="15.75" customHeight="1">
      <c r="A478" s="10" t="s">
        <v>3391</v>
      </c>
      <c r="B478" s="10" t="s">
        <v>1469</v>
      </c>
      <c r="C478" s="60" t="s">
        <v>1470</v>
      </c>
      <c r="D478" s="12"/>
      <c r="E478" s="13" t="s">
        <v>1240</v>
      </c>
      <c r="F478" s="6" t="s">
        <v>1240</v>
      </c>
      <c r="G478" s="14" t="str">
        <f ca="1">IFERROR(__xludf.DUMMYFUNCTION("CONCATENATE(B478,(VLOOKUP(C478,CATALOGOS!$F$2:$H$6,3,FALSE)),(VLOOKUP(V478,CATALOGOS!$J$2:$K$18,2,FALSE)),""-"",TO_TEXT(A478))"),"P12CT-0477")</f>
        <v>P12CT-0477</v>
      </c>
      <c r="H478" s="15" t="str">
        <f ca="1">IFERROR(__xludf.DUMMYFUNCTION("CONCATENATE($B478,(VLOOKUP($C478,CATALOGOS!$F$2:$H$6,3,FALSE)),(VLOOKUP($V478,CATALOGOS!$J$2:$K$18,2,FALSE)),""-"",TO_TEXT($A478))"),"P12CT-0477")</f>
        <v>P12CT-0477</v>
      </c>
      <c r="I478" s="6"/>
      <c r="J478" s="6" t="s">
        <v>3392</v>
      </c>
      <c r="K478" s="6" t="s">
        <v>3393</v>
      </c>
      <c r="L478" s="6" t="s">
        <v>3394</v>
      </c>
      <c r="M478" s="6" t="s">
        <v>3395</v>
      </c>
      <c r="N478" s="17"/>
      <c r="O478" s="17"/>
      <c r="P478" s="17" t="str">
        <f t="shared" si="7"/>
        <v>OK</v>
      </c>
      <c r="Q478" s="17" t="s">
        <v>35</v>
      </c>
      <c r="R478" s="6" t="s">
        <v>35</v>
      </c>
      <c r="S478" s="17" t="s">
        <v>36</v>
      </c>
      <c r="T478" s="17" t="s">
        <v>3396</v>
      </c>
      <c r="U478" s="18" t="s">
        <v>38</v>
      </c>
      <c r="V478" s="19" t="s">
        <v>2884</v>
      </c>
      <c r="W478" s="20" t="s">
        <v>3247</v>
      </c>
      <c r="X478" s="39" t="s">
        <v>3247</v>
      </c>
      <c r="Y478" s="20"/>
      <c r="Z478" s="7"/>
      <c r="AA478" s="7"/>
      <c r="AB478" s="23"/>
      <c r="AC478" s="26"/>
    </row>
    <row r="479" spans="1:29" ht="15.75" customHeight="1">
      <c r="A479" s="10" t="s">
        <v>3397</v>
      </c>
      <c r="B479" s="10" t="s">
        <v>1469</v>
      </c>
      <c r="C479" s="60" t="s">
        <v>1470</v>
      </c>
      <c r="D479" s="12"/>
      <c r="E479" s="13" t="s">
        <v>248</v>
      </c>
      <c r="F479" s="43" t="s">
        <v>248</v>
      </c>
      <c r="G479" s="14" t="str">
        <f ca="1">IFERROR(__xludf.DUMMYFUNCTION("CONCATENATE(B479,(VLOOKUP(C479,CATALOGOS!$F$2:$H$6,3,FALSE)),(VLOOKUP(V479,CATALOGOS!$J$2:$K$18,2,FALSE)),""-"",TO_TEXT(A479))"),"P12SI-0478")</f>
        <v>P12SI-0478</v>
      </c>
      <c r="H479" s="64" t="str">
        <f ca="1">IFERROR(__xludf.DUMMYFUNCTION("CONCATENATE($B479,(VLOOKUP($C479,CATALOGOS!$F$2:$H$6,3,FALSE)),(VLOOKUP($V479,CATALOGOS!$J$2:$K$18,2,FALSE)),""-"",TO_TEXT($A479))"),"P12SI-0478")</f>
        <v>P12SI-0478</v>
      </c>
      <c r="I479" s="6"/>
      <c r="J479" s="6" t="s">
        <v>3398</v>
      </c>
      <c r="K479" s="6" t="s">
        <v>3399</v>
      </c>
      <c r="L479" s="6" t="s">
        <v>3400</v>
      </c>
      <c r="M479" s="6" t="s">
        <v>3401</v>
      </c>
      <c r="N479" s="17"/>
      <c r="O479" s="17"/>
      <c r="P479" s="17" t="str">
        <f t="shared" si="7"/>
        <v>OK</v>
      </c>
      <c r="Q479" s="17" t="s">
        <v>827</v>
      </c>
      <c r="R479" s="6" t="s">
        <v>828</v>
      </c>
      <c r="S479" s="17" t="s">
        <v>3402</v>
      </c>
      <c r="T479" s="10" t="s">
        <v>3403</v>
      </c>
      <c r="U479" s="18" t="s">
        <v>38</v>
      </c>
      <c r="V479" s="19" t="s">
        <v>1483</v>
      </c>
      <c r="W479" s="20" t="s">
        <v>1484</v>
      </c>
      <c r="X479" s="21" t="s">
        <v>3247</v>
      </c>
      <c r="Y479" s="22"/>
      <c r="Z479" s="7"/>
      <c r="AA479" s="7"/>
      <c r="AB479" s="23"/>
      <c r="AC479" s="26"/>
    </row>
    <row r="480" spans="1:29" ht="15.75" customHeight="1">
      <c r="A480" s="10" t="s">
        <v>3404</v>
      </c>
      <c r="B480" s="10" t="s">
        <v>1469</v>
      </c>
      <c r="C480" s="60" t="s">
        <v>1470</v>
      </c>
      <c r="D480" s="12"/>
      <c r="E480" s="13" t="s">
        <v>43</v>
      </c>
      <c r="F480" s="43" t="s">
        <v>3405</v>
      </c>
      <c r="G480" s="14" t="str">
        <f ca="1">IFERROR(__xludf.DUMMYFUNCTION("CONCATENATE(B480,(VLOOKUP(C480,CATALOGOS!$F$2:$H$6,3,FALSE)),(VLOOKUP(V480,CATALOGOS!$J$2:$K$18,2,FALSE)),""-"",TO_TEXT(A480))"),"P12CT-0479")</f>
        <v>P12CT-0479</v>
      </c>
      <c r="H480" s="15" t="str">
        <f ca="1">IFERROR(__xludf.DUMMYFUNCTION("CONCATENATE($B480,(VLOOKUP($C480,CATALOGOS!$F$2:$H$6,3,FALSE)),(VLOOKUP($V480,CATALOGOS!$J$2:$K$18,2,FALSE)),""-"",TO_TEXT($A480))"),"P12CT-0479")</f>
        <v>P12CT-0479</v>
      </c>
      <c r="I480" s="6"/>
      <c r="J480" s="6" t="s">
        <v>3406</v>
      </c>
      <c r="K480" s="6" t="s">
        <v>3407</v>
      </c>
      <c r="L480" s="6" t="s">
        <v>3408</v>
      </c>
      <c r="M480" s="6" t="s">
        <v>3409</v>
      </c>
      <c r="N480" s="17"/>
      <c r="O480" s="17"/>
      <c r="P480" s="17" t="str">
        <f t="shared" si="7"/>
        <v>OK</v>
      </c>
      <c r="Q480" s="17" t="s">
        <v>49</v>
      </c>
      <c r="R480" s="6">
        <v>3352</v>
      </c>
      <c r="S480" s="17" t="s">
        <v>36</v>
      </c>
      <c r="T480" s="10" t="s">
        <v>3410</v>
      </c>
      <c r="U480" s="18" t="s">
        <v>38</v>
      </c>
      <c r="V480" s="19" t="s">
        <v>2884</v>
      </c>
      <c r="W480" s="20" t="s">
        <v>2885</v>
      </c>
      <c r="X480" s="39" t="s">
        <v>385</v>
      </c>
      <c r="Y480" s="20"/>
      <c r="Z480" s="7"/>
      <c r="AA480" s="7"/>
      <c r="AB480" s="23"/>
      <c r="AC480" s="26"/>
    </row>
    <row r="481" spans="1:29" ht="15.75" customHeight="1">
      <c r="A481" s="10" t="s">
        <v>3411</v>
      </c>
      <c r="B481" s="10" t="s">
        <v>1469</v>
      </c>
      <c r="C481" s="60" t="s">
        <v>1470</v>
      </c>
      <c r="D481" s="12"/>
      <c r="E481" s="13" t="s">
        <v>248</v>
      </c>
      <c r="F481" s="6" t="s">
        <v>248</v>
      </c>
      <c r="G481" s="14" t="str">
        <f ca="1">IFERROR(__xludf.DUMMYFUNCTION("CONCATENATE(B481,(VLOOKUP(C481,CATALOGOS!$F$2:$H$6,3,FALSE)),(VLOOKUP(V481,CATALOGOS!$J$2:$K$18,2,FALSE)),""-"",TO_TEXT(A481))"),"P12CT-0480")</f>
        <v>P12CT-0480</v>
      </c>
      <c r="H481" s="15" t="str">
        <f ca="1">IFERROR(__xludf.DUMMYFUNCTION("CONCATENATE($B481,(VLOOKUP($C481,CATALOGOS!$F$2:$H$6,3,FALSE)),(VLOOKUP($V481,CATALOGOS!$J$2:$K$18,2,FALSE)),""-"",TO_TEXT($A481))"),"P12CT-0480")</f>
        <v>P12CT-0480</v>
      </c>
      <c r="I481" s="6"/>
      <c r="J481" s="6" t="s">
        <v>3412</v>
      </c>
      <c r="K481" s="6" t="s">
        <v>3413</v>
      </c>
      <c r="L481" s="6" t="s">
        <v>3414</v>
      </c>
      <c r="M481" s="6" t="s">
        <v>3415</v>
      </c>
      <c r="N481" s="17"/>
      <c r="O481" s="17"/>
      <c r="P481" s="17" t="str">
        <f t="shared" si="7"/>
        <v>OK</v>
      </c>
      <c r="Q481" s="17" t="s">
        <v>250</v>
      </c>
      <c r="R481" s="6" t="s">
        <v>3416</v>
      </c>
      <c r="S481" s="17" t="s">
        <v>3417</v>
      </c>
      <c r="T481" s="10" t="s">
        <v>3418</v>
      </c>
      <c r="U481" s="18" t="s">
        <v>38</v>
      </c>
      <c r="V481" s="19" t="s">
        <v>2884</v>
      </c>
      <c r="W481" s="20" t="s">
        <v>2885</v>
      </c>
      <c r="X481" s="39" t="s">
        <v>385</v>
      </c>
      <c r="Y481" s="20"/>
      <c r="Z481" s="7"/>
      <c r="AA481" s="7"/>
      <c r="AB481" s="23"/>
      <c r="AC481" s="26"/>
    </row>
    <row r="482" spans="1:29" ht="15.75" customHeight="1">
      <c r="A482" s="10" t="s">
        <v>3419</v>
      </c>
      <c r="B482" s="10" t="s">
        <v>1469</v>
      </c>
      <c r="C482" s="60" t="s">
        <v>1470</v>
      </c>
      <c r="D482" s="12"/>
      <c r="E482" s="13" t="s">
        <v>1240</v>
      </c>
      <c r="F482" s="6" t="s">
        <v>1240</v>
      </c>
      <c r="G482" s="14" t="str">
        <f ca="1">IFERROR(__xludf.DUMMYFUNCTION("CONCATENATE(B482,(VLOOKUP(C482,CATALOGOS!$F$2:$H$6,3,FALSE)),(VLOOKUP(V482,CATALOGOS!$J$2:$K$18,2,FALSE)),""-"",TO_TEXT(A482))"),"P12CT-0481")</f>
        <v>P12CT-0481</v>
      </c>
      <c r="H482" s="15" t="str">
        <f ca="1">IFERROR(__xludf.DUMMYFUNCTION("CONCATENATE($B482,(VLOOKUP($C482,CATALOGOS!$F$2:$H$6,3,FALSE)),(VLOOKUP($V482,CATALOGOS!$J$2:$K$18,2,FALSE)),""-"",TO_TEXT($A482))"),"P12CT-0481")</f>
        <v>P12CT-0481</v>
      </c>
      <c r="I482" s="6"/>
      <c r="J482" s="6" t="s">
        <v>3420</v>
      </c>
      <c r="K482" s="6" t="s">
        <v>3421</v>
      </c>
      <c r="L482" s="6" t="s">
        <v>3422</v>
      </c>
      <c r="M482" s="6" t="s">
        <v>3423</v>
      </c>
      <c r="N482" s="17"/>
      <c r="O482" s="17"/>
      <c r="P482" s="17" t="str">
        <f t="shared" si="7"/>
        <v>OK</v>
      </c>
      <c r="Q482" s="17" t="s">
        <v>35</v>
      </c>
      <c r="R482" s="6" t="s">
        <v>35</v>
      </c>
      <c r="S482" s="17" t="s">
        <v>36</v>
      </c>
      <c r="T482" s="17" t="s">
        <v>3424</v>
      </c>
      <c r="U482" s="18" t="s">
        <v>38</v>
      </c>
      <c r="V482" s="19" t="s">
        <v>2884</v>
      </c>
      <c r="W482" s="20" t="s">
        <v>2885</v>
      </c>
      <c r="X482" s="39" t="s">
        <v>385</v>
      </c>
      <c r="Y482" s="20"/>
      <c r="Z482" s="7"/>
      <c r="AA482" s="7"/>
      <c r="AB482" s="23"/>
      <c r="AC482" s="26"/>
    </row>
    <row r="483" spans="1:29" ht="15.75" customHeight="1">
      <c r="A483" s="10" t="s">
        <v>3425</v>
      </c>
      <c r="B483" s="10" t="s">
        <v>1469</v>
      </c>
      <c r="C483" s="60" t="s">
        <v>1470</v>
      </c>
      <c r="D483" s="12"/>
      <c r="E483" s="13" t="s">
        <v>116</v>
      </c>
      <c r="F483" s="6" t="s">
        <v>117</v>
      </c>
      <c r="G483" s="14" t="str">
        <f ca="1">IFERROR(__xludf.DUMMYFUNCTION("CONCATENATE(B483,(VLOOKUP(C483,CATALOGOS!$F$2:$H$6,3,FALSE)),(VLOOKUP(V483,CATALOGOS!$J$2:$K$18,2,FALSE)),""-"",TO_TEXT(A483))"),"P12CT-0482")</f>
        <v>P12CT-0482</v>
      </c>
      <c r="H483" s="15" t="str">
        <f ca="1">IFERROR(__xludf.DUMMYFUNCTION("CONCATENATE($B483,(VLOOKUP($C483,CATALOGOS!$F$2:$H$6,3,FALSE)),(VLOOKUP($V483,CATALOGOS!$J$2:$K$18,2,FALSE)),""-"",TO_TEXT($A483))"),"P12CT-0482")</f>
        <v>P12CT-0482</v>
      </c>
      <c r="I483" s="6"/>
      <c r="J483" s="6" t="s">
        <v>3426</v>
      </c>
      <c r="K483" s="6" t="s">
        <v>3427</v>
      </c>
      <c r="L483" s="6" t="s">
        <v>3428</v>
      </c>
      <c r="M483" s="6" t="s">
        <v>3429</v>
      </c>
      <c r="N483" s="17"/>
      <c r="O483" s="17"/>
      <c r="P483" s="17" t="str">
        <f t="shared" si="7"/>
        <v>OK</v>
      </c>
      <c r="Q483" s="17" t="s">
        <v>35</v>
      </c>
      <c r="R483" s="49" t="s">
        <v>35</v>
      </c>
      <c r="S483" s="17" t="s">
        <v>36</v>
      </c>
      <c r="T483" s="17" t="s">
        <v>3430</v>
      </c>
      <c r="U483" s="18" t="s">
        <v>38</v>
      </c>
      <c r="V483" s="19" t="s">
        <v>2884</v>
      </c>
      <c r="W483" s="20" t="s">
        <v>2885</v>
      </c>
      <c r="X483" s="39" t="s">
        <v>385</v>
      </c>
      <c r="Y483" s="20"/>
      <c r="Z483" s="7"/>
      <c r="AA483" s="7"/>
      <c r="AB483" s="23"/>
      <c r="AC483" s="26"/>
    </row>
    <row r="484" spans="1:29" ht="15.75" customHeight="1">
      <c r="A484" s="10" t="s">
        <v>3431</v>
      </c>
      <c r="B484" s="10" t="s">
        <v>1469</v>
      </c>
      <c r="C484" s="60" t="s">
        <v>1470</v>
      </c>
      <c r="D484" s="12"/>
      <c r="E484" s="13" t="s">
        <v>93</v>
      </c>
      <c r="F484" s="6" t="s">
        <v>3432</v>
      </c>
      <c r="G484" s="14" t="str">
        <f ca="1">IFERROR(__xludf.DUMMYFUNCTION("CONCATENATE(B484,(VLOOKUP(C484,CATALOGOS!$F$2:$H$6,3,FALSE)),(VLOOKUP(V484,CATALOGOS!$J$2:$K$18,2,FALSE)),""-"",TO_TEXT(A484))"),"P12PP-0483")</f>
        <v>P12PP-0483</v>
      </c>
      <c r="H484" s="64" t="str">
        <f ca="1">IFERROR(__xludf.DUMMYFUNCTION("CONCATENATE($B484,(VLOOKUP($C484,CATALOGOS!$F$2:$H$6,3,FALSE)),(VLOOKUP($V484,CATALOGOS!$J$2:$K$18,2,FALSE)),""-"",TO_TEXT($A484))"),"P12PP-0483")</f>
        <v>P12PP-0483</v>
      </c>
      <c r="I484" s="6"/>
      <c r="J484" s="6" t="s">
        <v>3433</v>
      </c>
      <c r="K484" s="6" t="s">
        <v>3434</v>
      </c>
      <c r="L484" s="6" t="s">
        <v>3435</v>
      </c>
      <c r="M484" s="6" t="s">
        <v>141</v>
      </c>
      <c r="N484" s="17"/>
      <c r="O484" s="17"/>
      <c r="P484" s="17" t="str">
        <f t="shared" si="7"/>
        <v>REPETIDO</v>
      </c>
      <c r="Q484" s="17" t="s">
        <v>35</v>
      </c>
      <c r="R484" s="32" t="s">
        <v>35</v>
      </c>
      <c r="S484" s="17" t="s">
        <v>36</v>
      </c>
      <c r="T484" s="17" t="s">
        <v>3436</v>
      </c>
      <c r="U484" s="18" t="s">
        <v>38</v>
      </c>
      <c r="V484" s="19" t="s">
        <v>1548</v>
      </c>
      <c r="W484" s="20" t="s">
        <v>1597</v>
      </c>
      <c r="X484" s="39" t="s">
        <v>1597</v>
      </c>
      <c r="Y484" s="20"/>
      <c r="Z484" s="7"/>
      <c r="AA484" s="7"/>
      <c r="AB484" s="23"/>
      <c r="AC484" s="26"/>
    </row>
    <row r="485" spans="1:29" ht="15.75" customHeight="1">
      <c r="A485" s="10" t="s">
        <v>3437</v>
      </c>
      <c r="B485" s="10" t="s">
        <v>1469</v>
      </c>
      <c r="C485" s="60" t="s">
        <v>1470</v>
      </c>
      <c r="D485" s="38"/>
      <c r="E485" s="13" t="s">
        <v>184</v>
      </c>
      <c r="F485" s="6" t="s">
        <v>2677</v>
      </c>
      <c r="G485" s="14" t="str">
        <f ca="1">IFERROR(__xludf.DUMMYFUNCTION("CONCATENATE(B485,(VLOOKUP(C485,CATALOGOS!$F$2:$H$6,3,FALSE)),(VLOOKUP(V485,CATALOGOS!$J$2:$K$18,2,FALSE)),""-"",TO_TEXT(A485))"),"P12CT-0484")</f>
        <v>P12CT-0484</v>
      </c>
      <c r="H485" s="15" t="str">
        <f ca="1">IFERROR(__xludf.DUMMYFUNCTION("CONCATENATE($B485,(VLOOKUP($C485,CATALOGOS!$F$2:$H$6,3,FALSE)),(VLOOKUP($V485,CATALOGOS!$J$2:$K$18,2,FALSE)),""-"",TO_TEXT($A485))"),"P12CT-0484")</f>
        <v>P12CT-0484</v>
      </c>
      <c r="I485" s="6"/>
      <c r="J485" s="6" t="s">
        <v>3438</v>
      </c>
      <c r="K485" s="6" t="s">
        <v>3439</v>
      </c>
      <c r="L485" s="6" t="s">
        <v>3440</v>
      </c>
      <c r="M485" s="6" t="s">
        <v>3441</v>
      </c>
      <c r="N485" s="17"/>
      <c r="O485" s="17"/>
      <c r="P485" s="17" t="str">
        <f t="shared" si="7"/>
        <v>OK</v>
      </c>
      <c r="Q485" s="17" t="s">
        <v>35</v>
      </c>
      <c r="R485" s="6" t="s">
        <v>35</v>
      </c>
      <c r="S485" s="46" t="s">
        <v>36</v>
      </c>
      <c r="T485" s="17" t="s">
        <v>3442</v>
      </c>
      <c r="U485" s="18" t="s">
        <v>38</v>
      </c>
      <c r="V485" s="19" t="s">
        <v>2884</v>
      </c>
      <c r="W485" s="39" t="s">
        <v>2885</v>
      </c>
      <c r="X485" s="21" t="s">
        <v>3247</v>
      </c>
      <c r="Y485" s="32"/>
      <c r="Z485" s="6"/>
      <c r="AA485" s="6" t="s">
        <v>51</v>
      </c>
      <c r="AB485" s="26"/>
      <c r="AC485" s="26"/>
    </row>
    <row r="486" spans="1:29" ht="15.75" customHeight="1">
      <c r="A486" s="10" t="s">
        <v>3443</v>
      </c>
      <c r="B486" s="10" t="s">
        <v>1469</v>
      </c>
      <c r="C486" s="52" t="s">
        <v>868</v>
      </c>
      <c r="D486" s="12"/>
      <c r="E486" s="13" t="s">
        <v>501</v>
      </c>
      <c r="F486" s="6" t="s">
        <v>3444</v>
      </c>
      <c r="G486" s="6" t="str">
        <f ca="1">IFERROR(__xludf.DUMMYFUNCTION("CONCATENATE(B486,(VLOOKUP(C486,CATALOGOS!$F$2:$H$6,3,FALSE)),(VLOOKUP(V486,CATALOGOS!$J$2:$K$18,2,FALSE)),""-"",TO_TEXT(A486))"),"P13SO-0485")</f>
        <v>P13SO-0485</v>
      </c>
      <c r="H486" s="15" t="str">
        <f ca="1">IFERROR(__xludf.DUMMYFUNCTION("CONCATENATE($B486,(VLOOKUP($C486,CATALOGOS!$F$2:$H$6,3,FALSE)),(VLOOKUP($V486,CATALOGOS!$J$2:$K$18,2,FALSE)),""-"",TO_TEXT($A486))"),"P13SO-0485")</f>
        <v>P13SO-0485</v>
      </c>
      <c r="I486" s="6"/>
      <c r="J486" s="6" t="s">
        <v>3445</v>
      </c>
      <c r="K486" s="6" t="s">
        <v>3446</v>
      </c>
      <c r="L486" s="6" t="s">
        <v>3447</v>
      </c>
      <c r="M486" s="6" t="s">
        <v>3448</v>
      </c>
      <c r="N486" s="17"/>
      <c r="O486" s="17"/>
      <c r="P486" s="17" t="str">
        <f t="shared" si="7"/>
        <v>OK</v>
      </c>
      <c r="Q486" s="17" t="s">
        <v>35</v>
      </c>
      <c r="R486" s="6" t="s">
        <v>35</v>
      </c>
      <c r="S486" s="17" t="s">
        <v>36</v>
      </c>
      <c r="T486" s="17" t="s">
        <v>3449</v>
      </c>
      <c r="U486" s="18" t="s">
        <v>38</v>
      </c>
      <c r="V486" s="19" t="s">
        <v>868</v>
      </c>
      <c r="W486" s="20" t="s">
        <v>3450</v>
      </c>
      <c r="X486" s="21" t="s">
        <v>3451</v>
      </c>
      <c r="Y486" s="22"/>
      <c r="Z486" s="7"/>
      <c r="AA486" s="7"/>
      <c r="AB486" s="23"/>
      <c r="AC486" s="26"/>
    </row>
    <row r="487" spans="1:29" ht="15.75" customHeight="1">
      <c r="A487" s="10" t="s">
        <v>3452</v>
      </c>
      <c r="B487" s="10" t="s">
        <v>1469</v>
      </c>
      <c r="C487" s="52" t="s">
        <v>868</v>
      </c>
      <c r="D487" s="12"/>
      <c r="E487" s="13" t="s">
        <v>248</v>
      </c>
      <c r="F487" s="6" t="s">
        <v>249</v>
      </c>
      <c r="G487" s="6" t="str">
        <f ca="1">IFERROR(__xludf.DUMMYFUNCTION("CONCATENATE(B487,(VLOOKUP(C487,CATALOGOS!$F$2:$H$6,3,FALSE)),(VLOOKUP(V487,CATALOGOS!$J$2:$K$18,2,FALSE)),""-"",TO_TEXT(A487))"),"P13SO-0486")</f>
        <v>P13SO-0486</v>
      </c>
      <c r="H487" s="15" t="str">
        <f ca="1">IFERROR(__xludf.DUMMYFUNCTION("CONCATENATE($B487,(VLOOKUP($C487,CATALOGOS!$F$2:$H$6,3,FALSE)),(VLOOKUP($V487,CATALOGOS!$J$2:$K$18,2,FALSE)),""-"",TO_TEXT($A487))"),"P13SO-0486")</f>
        <v>P13SO-0486</v>
      </c>
      <c r="I487" s="6"/>
      <c r="J487" s="6" t="s">
        <v>3453</v>
      </c>
      <c r="K487" s="6" t="s">
        <v>3454</v>
      </c>
      <c r="L487" s="6" t="s">
        <v>3455</v>
      </c>
      <c r="M487" s="6" t="s">
        <v>3456</v>
      </c>
      <c r="N487" s="17"/>
      <c r="O487" s="17"/>
      <c r="P487" s="17" t="str">
        <f t="shared" si="7"/>
        <v>OK</v>
      </c>
      <c r="Q487" s="17" t="s">
        <v>303</v>
      </c>
      <c r="R487" s="6" t="s">
        <v>304</v>
      </c>
      <c r="S487" s="17" t="s">
        <v>3457</v>
      </c>
      <c r="T487" s="10" t="s">
        <v>3458</v>
      </c>
      <c r="U487" s="18" t="s">
        <v>38</v>
      </c>
      <c r="V487" s="19" t="s">
        <v>868</v>
      </c>
      <c r="W487" s="20" t="s">
        <v>3450</v>
      </c>
      <c r="X487" s="21" t="s">
        <v>3451</v>
      </c>
      <c r="Y487" s="22"/>
      <c r="Z487" s="7"/>
      <c r="AA487" s="7"/>
      <c r="AB487" s="23"/>
      <c r="AC487" s="26"/>
    </row>
    <row r="488" spans="1:29" ht="15.75" customHeight="1">
      <c r="A488" s="10" t="s">
        <v>3459</v>
      </c>
      <c r="B488" s="10" t="s">
        <v>1469</v>
      </c>
      <c r="C488" s="52" t="s">
        <v>868</v>
      </c>
      <c r="D488" s="12"/>
      <c r="E488" s="13" t="s">
        <v>43</v>
      </c>
      <c r="F488" s="6" t="s">
        <v>1492</v>
      </c>
      <c r="G488" s="6" t="str">
        <f ca="1">IFERROR(__xludf.DUMMYFUNCTION("CONCATENATE(B488,(VLOOKUP(C488,CATALOGOS!$F$2:$H$6,3,FALSE)),(VLOOKUP(V488,CATALOGOS!$J$2:$K$18,2,FALSE)),""-"",TO_TEXT(A488))"),"P13SO-0487")</f>
        <v>P13SO-0487</v>
      </c>
      <c r="H488" s="15" t="str">
        <f ca="1">IFERROR(__xludf.DUMMYFUNCTION("CONCATENATE($B488,(VLOOKUP($C488,CATALOGOS!$F$2:$H$6,3,FALSE)),(VLOOKUP($V488,CATALOGOS!$J$2:$K$18,2,FALSE)),""-"",TO_TEXT($A488))"),"P13SO-0487")</f>
        <v>P13SO-0487</v>
      </c>
      <c r="I488" s="6"/>
      <c r="J488" s="6" t="s">
        <v>3460</v>
      </c>
      <c r="K488" s="6" t="s">
        <v>3461</v>
      </c>
      <c r="L488" s="6" t="s">
        <v>3462</v>
      </c>
      <c r="M488" s="6" t="s">
        <v>3463</v>
      </c>
      <c r="N488" s="17"/>
      <c r="O488" s="17"/>
      <c r="P488" s="17" t="str">
        <f t="shared" si="7"/>
        <v>OK</v>
      </c>
      <c r="Q488" s="17" t="s">
        <v>406</v>
      </c>
      <c r="R488" s="6" t="s">
        <v>407</v>
      </c>
      <c r="S488" s="17" t="s">
        <v>36</v>
      </c>
      <c r="T488" s="17" t="s">
        <v>3464</v>
      </c>
      <c r="U488" s="18" t="s">
        <v>38</v>
      </c>
      <c r="V488" s="19" t="s">
        <v>868</v>
      </c>
      <c r="W488" s="20" t="s">
        <v>3450</v>
      </c>
      <c r="X488" s="21" t="s">
        <v>3451</v>
      </c>
      <c r="Y488" s="22"/>
      <c r="Z488" s="7"/>
      <c r="AA488" s="7"/>
      <c r="AB488" s="23"/>
      <c r="AC488" s="26"/>
    </row>
    <row r="489" spans="1:29" ht="15.75" customHeight="1">
      <c r="A489" s="10" t="s">
        <v>3465</v>
      </c>
      <c r="B489" s="10" t="s">
        <v>1469</v>
      </c>
      <c r="C489" s="52" t="s">
        <v>868</v>
      </c>
      <c r="D489" s="12"/>
      <c r="E489" s="13" t="s">
        <v>93</v>
      </c>
      <c r="F489" s="6" t="s">
        <v>3466</v>
      </c>
      <c r="G489" s="6" t="str">
        <f ca="1">IFERROR(__xludf.DUMMYFUNCTION("CONCATENATE(B489,(VLOOKUP(C489,CATALOGOS!$F$2:$H$6,3,FALSE)),(VLOOKUP(V489,CATALOGOS!$J$2:$K$18,2,FALSE)),""-"",TO_TEXT(A489))"),"P13SO-0488")</f>
        <v>P13SO-0488</v>
      </c>
      <c r="H489" s="15" t="str">
        <f ca="1">IFERROR(__xludf.DUMMYFUNCTION("CONCATENATE($B489,(VLOOKUP($C489,CATALOGOS!$F$2:$H$6,3,FALSE)),(VLOOKUP($V489,CATALOGOS!$J$2:$K$18,2,FALSE)),""-"",TO_TEXT($A489))"),"P13SO-0488")</f>
        <v>P13SO-0488</v>
      </c>
      <c r="I489" s="6"/>
      <c r="J489" s="6" t="s">
        <v>3467</v>
      </c>
      <c r="K489" s="6" t="s">
        <v>3468</v>
      </c>
      <c r="L489" s="6" t="s">
        <v>3469</v>
      </c>
      <c r="M489" s="6" t="s">
        <v>3470</v>
      </c>
      <c r="N489" s="17"/>
      <c r="O489" s="17"/>
      <c r="P489" s="17" t="str">
        <f t="shared" si="7"/>
        <v>OK</v>
      </c>
      <c r="Q489" s="17" t="s">
        <v>35</v>
      </c>
      <c r="R489" s="6" t="s">
        <v>35</v>
      </c>
      <c r="S489" s="17" t="s">
        <v>36</v>
      </c>
      <c r="T489" s="17" t="s">
        <v>3471</v>
      </c>
      <c r="U489" s="18" t="s">
        <v>38</v>
      </c>
      <c r="V489" s="19" t="s">
        <v>868</v>
      </c>
      <c r="W489" s="20" t="s">
        <v>3450</v>
      </c>
      <c r="X489" s="21" t="s">
        <v>3451</v>
      </c>
      <c r="Y489" s="22"/>
      <c r="Z489" s="7"/>
      <c r="AA489" s="7"/>
      <c r="AB489" s="23"/>
      <c r="AC489" s="26"/>
    </row>
    <row r="490" spans="1:29" ht="15.75" customHeight="1">
      <c r="A490" s="10" t="s">
        <v>3472</v>
      </c>
      <c r="B490" s="10" t="s">
        <v>1469</v>
      </c>
      <c r="C490" s="52" t="s">
        <v>868</v>
      </c>
      <c r="D490" s="12"/>
      <c r="E490" s="13" t="s">
        <v>184</v>
      </c>
      <c r="F490" s="6" t="s">
        <v>3473</v>
      </c>
      <c r="G490" s="6" t="str">
        <f ca="1">IFERROR(__xludf.DUMMYFUNCTION("CONCATENATE(B490,(VLOOKUP(C490,CATALOGOS!$F$2:$H$6,3,FALSE)),(VLOOKUP(V490,CATALOGOS!$J$2:$K$18,2,FALSE)),""-"",TO_TEXT(A490))"),"P13SO-0489")</f>
        <v>P13SO-0489</v>
      </c>
      <c r="H490" s="15" t="str">
        <f ca="1">IFERROR(__xludf.DUMMYFUNCTION("CONCATENATE($B490,(VLOOKUP($C490,CATALOGOS!$F$2:$H$6,3,FALSE)),(VLOOKUP($V490,CATALOGOS!$J$2:$K$18,2,FALSE)),""-"",TO_TEXT($A490))"),"P13SO-0489")</f>
        <v>P13SO-0489</v>
      </c>
      <c r="I490" s="6"/>
      <c r="J490" s="6" t="s">
        <v>3474</v>
      </c>
      <c r="K490" s="6" t="s">
        <v>3475</v>
      </c>
      <c r="L490" s="6" t="s">
        <v>3476</v>
      </c>
      <c r="M490" s="6" t="s">
        <v>3477</v>
      </c>
      <c r="N490" s="17"/>
      <c r="O490" s="17"/>
      <c r="P490" s="17" t="str">
        <f t="shared" si="7"/>
        <v>OK</v>
      </c>
      <c r="Q490" s="17" t="s">
        <v>35</v>
      </c>
      <c r="R490" s="6" t="s">
        <v>35</v>
      </c>
      <c r="S490" s="17" t="s">
        <v>36</v>
      </c>
      <c r="T490" s="17" t="s">
        <v>3478</v>
      </c>
      <c r="U490" s="18" t="s">
        <v>38</v>
      </c>
      <c r="V490" s="19" t="s">
        <v>868</v>
      </c>
      <c r="W490" s="20" t="s">
        <v>3450</v>
      </c>
      <c r="X490" s="21" t="s">
        <v>3451</v>
      </c>
      <c r="Y490" s="22"/>
      <c r="Z490" s="7"/>
      <c r="AA490" s="7"/>
      <c r="AB490" s="23"/>
      <c r="AC490" s="26"/>
    </row>
    <row r="491" spans="1:29" ht="15.75" customHeight="1">
      <c r="A491" s="9" t="s">
        <v>3479</v>
      </c>
      <c r="B491" s="10" t="s">
        <v>1469</v>
      </c>
      <c r="C491" s="52" t="s">
        <v>868</v>
      </c>
      <c r="D491" s="12"/>
      <c r="E491" s="13" t="s">
        <v>378</v>
      </c>
      <c r="F491" s="6" t="s">
        <v>3480</v>
      </c>
      <c r="G491" s="47" t="str">
        <f ca="1">IFERROR(__xludf.DUMMYFUNCTION("CONCATENATE(B491,(VLOOKUP(C491,CATALOGOS!$F$2:$H$6,3,FALSE)),(VLOOKUP(V491,CATALOGOS!$J$2:$K$18,2,FALSE)),""-"",TO_TEXT(A491))"),"P13SO-0492")</f>
        <v>P13SO-0492</v>
      </c>
      <c r="H491" s="70" t="str">
        <f ca="1">IFERROR(__xludf.DUMMYFUNCTION("CONCATENATE($B491,(VLOOKUP($C491,CATALOGOS!$F$2:$H$6,3,FALSE)),(VLOOKUP($V491,CATALOGOS!$J$2:$K$18,2,FALSE)),""-"",TO_TEXT($A491))"),"P13SO-0492")</f>
        <v>P13SO-0492</v>
      </c>
      <c r="I491" s="6"/>
      <c r="J491" s="6" t="s">
        <v>3481</v>
      </c>
      <c r="K491" s="6" t="s">
        <v>3482</v>
      </c>
      <c r="L491" s="6" t="s">
        <v>3483</v>
      </c>
      <c r="M491" s="6" t="s">
        <v>3484</v>
      </c>
      <c r="N491" s="17"/>
      <c r="O491" s="17"/>
      <c r="P491" s="17" t="str">
        <f t="shared" si="7"/>
        <v>OK</v>
      </c>
      <c r="Q491" s="17" t="s">
        <v>35</v>
      </c>
      <c r="R491" s="6" t="s">
        <v>35</v>
      </c>
      <c r="S491" s="17" t="s">
        <v>36</v>
      </c>
      <c r="T491" s="17" t="s">
        <v>3485</v>
      </c>
      <c r="U491" s="18" t="s">
        <v>38</v>
      </c>
      <c r="V491" s="19" t="s">
        <v>868</v>
      </c>
      <c r="W491" s="20" t="s">
        <v>3450</v>
      </c>
      <c r="X491" s="21" t="s">
        <v>3451</v>
      </c>
      <c r="Y491" s="40" t="s">
        <v>261</v>
      </c>
      <c r="Z491" s="7"/>
      <c r="AA491" s="7"/>
      <c r="AB491" s="23"/>
      <c r="AC491" s="26"/>
    </row>
    <row r="492" spans="1:29" ht="15.75" customHeight="1">
      <c r="A492" s="10" t="s">
        <v>3486</v>
      </c>
      <c r="B492" s="10" t="s">
        <v>1469</v>
      </c>
      <c r="C492" s="52" t="s">
        <v>868</v>
      </c>
      <c r="D492" s="12"/>
      <c r="E492" s="13" t="s">
        <v>378</v>
      </c>
      <c r="F492" s="55" t="s">
        <v>3480</v>
      </c>
      <c r="G492" s="6" t="str">
        <f ca="1">IFERROR(__xludf.DUMMYFUNCTION("CONCATENATE(B492,(VLOOKUP(C492,CATALOGOS!$F$2:$H$6,3,FALSE)),(VLOOKUP(V492,CATALOGOS!$J$2:$K$18,2,FALSE)),""-"",TO_TEXT(A492))"),"P13SO-0491")</f>
        <v>P13SO-0491</v>
      </c>
      <c r="H492" s="15" t="str">
        <f ca="1">IFERROR(__xludf.DUMMYFUNCTION("CONCATENATE($B492,(VLOOKUP($C492,CATALOGOS!$F$2:$H$6,3,FALSE)),(VLOOKUP($V492,CATALOGOS!$J$2:$K$18,2,FALSE)),""-"",TO_TEXT($A492))"),"P13SO-0491")</f>
        <v>P13SO-0491</v>
      </c>
      <c r="I492" s="6"/>
      <c r="J492" s="6" t="s">
        <v>3487</v>
      </c>
      <c r="K492" s="6" t="s">
        <v>3488</v>
      </c>
      <c r="L492" s="6" t="s">
        <v>3489</v>
      </c>
      <c r="M492" s="6" t="s">
        <v>3490</v>
      </c>
      <c r="N492" s="17"/>
      <c r="O492" s="17"/>
      <c r="P492" s="17" t="str">
        <f t="shared" si="7"/>
        <v>OK</v>
      </c>
      <c r="Q492" s="17" t="s">
        <v>35</v>
      </c>
      <c r="R492" s="6" t="s">
        <v>35</v>
      </c>
      <c r="S492" s="17" t="s">
        <v>36</v>
      </c>
      <c r="T492" s="17" t="s">
        <v>3491</v>
      </c>
      <c r="U492" s="18" t="s">
        <v>38</v>
      </c>
      <c r="V492" s="19" t="s">
        <v>868</v>
      </c>
      <c r="W492" s="20" t="s">
        <v>3450</v>
      </c>
      <c r="X492" s="21" t="s">
        <v>3451</v>
      </c>
      <c r="Y492" s="22"/>
      <c r="Z492" s="7"/>
      <c r="AA492" s="7"/>
      <c r="AB492" s="23"/>
      <c r="AC492" s="26"/>
    </row>
    <row r="493" spans="1:29" ht="15.75" customHeight="1">
      <c r="A493" s="10" t="s">
        <v>3479</v>
      </c>
      <c r="B493" s="10" t="s">
        <v>1469</v>
      </c>
      <c r="C493" s="61" t="s">
        <v>28</v>
      </c>
      <c r="D493" s="12"/>
      <c r="E493" s="13" t="s">
        <v>378</v>
      </c>
      <c r="F493" s="55" t="s">
        <v>3480</v>
      </c>
      <c r="G493" s="6" t="str">
        <f ca="1">IFERROR(__xludf.DUMMYFUNCTION("CONCATENATE(B493,(VLOOKUP(C493,CATALOGOS!$F$2:$H$6,3,FALSE)),(VLOOKUP(V493,CATALOGOS!$J$2:$K$18,2,FALSE)),""-"",TO_TEXT(A493))"),"P15RM-0492")</f>
        <v>P15RM-0492</v>
      </c>
      <c r="H493" s="15" t="str">
        <f ca="1">IFERROR(__xludf.DUMMYFUNCTION("CONCATENATE($B493,(VLOOKUP($C493,CATALOGOS!$F$2:$H$6,3,FALSE)),(VLOOKUP($V493,CATALOGOS!$J$2:$K$18,2,FALSE)),""-"",TO_TEXT($A493))"),"P15RM-0492")</f>
        <v>P15RM-0492</v>
      </c>
      <c r="I493" s="6"/>
      <c r="J493" s="6" t="s">
        <v>3492</v>
      </c>
      <c r="K493" s="6" t="s">
        <v>3493</v>
      </c>
      <c r="L493" s="6" t="s">
        <v>3494</v>
      </c>
      <c r="M493" s="6" t="s">
        <v>3495</v>
      </c>
      <c r="N493" s="17"/>
      <c r="O493" s="17"/>
      <c r="P493" s="17" t="str">
        <f t="shared" si="7"/>
        <v>OK</v>
      </c>
      <c r="Q493" s="17" t="s">
        <v>35</v>
      </c>
      <c r="R493" s="6" t="s">
        <v>35</v>
      </c>
      <c r="S493" s="17" t="s">
        <v>36</v>
      </c>
      <c r="T493" s="17" t="s">
        <v>3496</v>
      </c>
      <c r="U493" s="18" t="s">
        <v>38</v>
      </c>
      <c r="V493" s="19" t="s">
        <v>147</v>
      </c>
      <c r="W493" s="20" t="s">
        <v>385</v>
      </c>
      <c r="X493" s="21" t="s">
        <v>3451</v>
      </c>
      <c r="Y493" s="22"/>
      <c r="Z493" s="7"/>
      <c r="AA493" s="7"/>
      <c r="AB493" s="23"/>
      <c r="AC493" s="26"/>
    </row>
    <row r="494" spans="1:29" ht="15.75" customHeight="1">
      <c r="A494" s="10" t="s">
        <v>3497</v>
      </c>
      <c r="B494" s="10" t="s">
        <v>1469</v>
      </c>
      <c r="C494" s="52" t="s">
        <v>868</v>
      </c>
      <c r="D494" s="12"/>
      <c r="E494" s="13" t="s">
        <v>378</v>
      </c>
      <c r="F494" s="55" t="s">
        <v>3480</v>
      </c>
      <c r="G494" s="14" t="str">
        <f ca="1">IFERROR(__xludf.DUMMYFUNCTION("CONCATENATE(B494,(VLOOKUP(C494,CATALOGOS!$F$2:$H$6,3,FALSE)),(VLOOKUP(V494,CATALOGOS!$J$2:$K$18,2,FALSE)),""-"",TO_TEXT(A494))"),"P13LP-0493")</f>
        <v>P13LP-0493</v>
      </c>
      <c r="H494" s="15" t="str">
        <f ca="1">IFERROR(__xludf.DUMMYFUNCTION("CONCATENATE($B494,(VLOOKUP($C494,CATALOGOS!$F$2:$H$6,3,FALSE)),(VLOOKUP($V494,CATALOGOS!$J$2:$K$18,2,FALSE)),""-"",TO_TEXT($A494))"),"P13LP-0493")</f>
        <v>P13LP-0493</v>
      </c>
      <c r="I494" s="6"/>
      <c r="J494" s="6" t="s">
        <v>3498</v>
      </c>
      <c r="K494" s="6" t="s">
        <v>3499</v>
      </c>
      <c r="L494" s="6" t="s">
        <v>3500</v>
      </c>
      <c r="M494" s="6" t="s">
        <v>3501</v>
      </c>
      <c r="N494" s="17"/>
      <c r="O494" s="17"/>
      <c r="P494" s="17" t="str">
        <f t="shared" si="7"/>
        <v>OK</v>
      </c>
      <c r="Q494" s="17" t="s">
        <v>35</v>
      </c>
      <c r="R494" s="6" t="s">
        <v>35</v>
      </c>
      <c r="S494" s="17" t="s">
        <v>36</v>
      </c>
      <c r="T494" s="17" t="s">
        <v>3502</v>
      </c>
      <c r="U494" s="18" t="s">
        <v>38</v>
      </c>
      <c r="V494" s="19" t="s">
        <v>2328</v>
      </c>
      <c r="W494" s="20" t="s">
        <v>2329</v>
      </c>
      <c r="X494" s="21" t="s">
        <v>3451</v>
      </c>
      <c r="Y494" s="22"/>
      <c r="Z494" s="7"/>
      <c r="AA494" s="7"/>
      <c r="AB494" s="23"/>
      <c r="AC494" s="26"/>
    </row>
    <row r="495" spans="1:29" ht="15.75" customHeight="1">
      <c r="A495" s="10" t="s">
        <v>3503</v>
      </c>
      <c r="B495" s="10" t="s">
        <v>27</v>
      </c>
      <c r="C495" s="61" t="s">
        <v>28</v>
      </c>
      <c r="D495" s="12"/>
      <c r="E495" s="13" t="s">
        <v>378</v>
      </c>
      <c r="F495" s="55" t="s">
        <v>3480</v>
      </c>
      <c r="G495" s="47" t="str">
        <f ca="1">IFERROR(__xludf.DUMMYFUNCTION("CONCATENATE(B495,(VLOOKUP(C495,CATALOGOS!$F$2:$H$6,3,FALSE)),(VLOOKUP(V495,CATALOGOS!$J$2:$K$18,2,FALSE)),""-"",TO_TEXT(A495))"),"P05RM-0494")</f>
        <v>P05RM-0494</v>
      </c>
      <c r="H495" s="70" t="str">
        <f ca="1">IFERROR(__xludf.DUMMYFUNCTION("CONCATENATE($B495,(VLOOKUP($C495,CATALOGOS!$F$2:$H$6,3,FALSE)),(VLOOKUP($V495,CATALOGOS!$J$2:$K$18,2,FALSE)),""-"",TO_TEXT($A495))"),"P05RM-0494")</f>
        <v>P05RM-0494</v>
      </c>
      <c r="I495" s="6"/>
      <c r="J495" s="6" t="s">
        <v>3504</v>
      </c>
      <c r="K495" s="6" t="s">
        <v>3505</v>
      </c>
      <c r="L495" s="6" t="s">
        <v>3506</v>
      </c>
      <c r="M495" s="6" t="s">
        <v>3507</v>
      </c>
      <c r="N495" s="17"/>
      <c r="O495" s="17"/>
      <c r="P495" s="17" t="str">
        <f t="shared" si="7"/>
        <v>OK</v>
      </c>
      <c r="Q495" s="17" t="s">
        <v>35</v>
      </c>
      <c r="R495" s="6" t="s">
        <v>35</v>
      </c>
      <c r="S495" s="17" t="s">
        <v>36</v>
      </c>
      <c r="T495" s="17" t="s">
        <v>3508</v>
      </c>
      <c r="U495" s="18" t="s">
        <v>3509</v>
      </c>
      <c r="V495" s="19" t="s">
        <v>147</v>
      </c>
      <c r="W495" s="20" t="s">
        <v>385</v>
      </c>
      <c r="X495" s="21" t="s">
        <v>3451</v>
      </c>
      <c r="Y495" s="22"/>
      <c r="Z495" s="7"/>
      <c r="AA495" s="7"/>
      <c r="AB495" s="23"/>
      <c r="AC495" s="26"/>
    </row>
    <row r="496" spans="1:29" ht="15.75" customHeight="1">
      <c r="A496" s="10" t="s">
        <v>3510</v>
      </c>
      <c r="B496" s="10" t="s">
        <v>1469</v>
      </c>
      <c r="C496" s="52" t="s">
        <v>868</v>
      </c>
      <c r="D496" s="12"/>
      <c r="E496" s="13" t="s">
        <v>93</v>
      </c>
      <c r="F496" s="6" t="s">
        <v>1173</v>
      </c>
      <c r="G496" s="6" t="str">
        <f ca="1">IFERROR(__xludf.DUMMYFUNCTION("CONCATENATE(B496,(VLOOKUP(C496,CATALOGOS!$F$2:$H$6,3,FALSE)),(VLOOKUP(V496,CATALOGOS!$J$2:$K$18,2,FALSE)),""-"",TO_TEXT(A496))"),"P13SO-0495")</f>
        <v>P13SO-0495</v>
      </c>
      <c r="H496" s="15" t="str">
        <f ca="1">IFERROR(__xludf.DUMMYFUNCTION("CONCATENATE($B496,(VLOOKUP($C496,CATALOGOS!$F$2:$H$6,3,FALSE)),(VLOOKUP($V496,CATALOGOS!$J$2:$K$18,2,FALSE)),""-"",TO_TEXT($A496))"),"P13SO-0495")</f>
        <v>P13SO-0495</v>
      </c>
      <c r="I496" s="6"/>
      <c r="J496" s="6" t="s">
        <v>3511</v>
      </c>
      <c r="K496" s="54"/>
      <c r="L496" s="6" t="s">
        <v>3512</v>
      </c>
      <c r="M496" s="6" t="s">
        <v>3513</v>
      </c>
      <c r="N496" s="17"/>
      <c r="O496" s="17"/>
      <c r="P496" s="17" t="str">
        <f t="shared" si="7"/>
        <v>OK</v>
      </c>
      <c r="Q496" s="17" t="s">
        <v>35</v>
      </c>
      <c r="R496" s="6" t="s">
        <v>35</v>
      </c>
      <c r="S496" s="17" t="s">
        <v>36</v>
      </c>
      <c r="T496" s="17" t="s">
        <v>3514</v>
      </c>
      <c r="U496" s="18" t="s">
        <v>38</v>
      </c>
      <c r="V496" s="19" t="s">
        <v>868</v>
      </c>
      <c r="W496" s="20" t="s">
        <v>3450</v>
      </c>
      <c r="X496" s="21" t="s">
        <v>3451</v>
      </c>
      <c r="Y496" s="22"/>
      <c r="Z496" s="7"/>
      <c r="AA496" s="7"/>
      <c r="AB496" s="23"/>
      <c r="AC496" s="26"/>
    </row>
    <row r="497" spans="1:30" ht="15.75" customHeight="1">
      <c r="A497" s="10" t="s">
        <v>3515</v>
      </c>
      <c r="B497" s="10" t="s">
        <v>1469</v>
      </c>
      <c r="C497" s="52" t="s">
        <v>868</v>
      </c>
      <c r="D497" s="12"/>
      <c r="E497" s="13" t="s">
        <v>29</v>
      </c>
      <c r="F497" s="6" t="s">
        <v>1166</v>
      </c>
      <c r="G497" s="6" t="str">
        <f ca="1">IFERROR(__xludf.DUMMYFUNCTION("CONCATENATE(B497,(VLOOKUP(C497,CATALOGOS!$F$2:$H$6,3,FALSE)),(VLOOKUP(V497,CATALOGOS!$J$2:$K$18,2,FALSE)),""-"",TO_TEXT(A497))"),"P13SO-0496")</f>
        <v>P13SO-0496</v>
      </c>
      <c r="H497" s="15" t="str">
        <f ca="1">IFERROR(__xludf.DUMMYFUNCTION("CONCATENATE($B497,(VLOOKUP($C497,CATALOGOS!$F$2:$H$6,3,FALSE)),(VLOOKUP($V497,CATALOGOS!$J$2:$K$18,2,FALSE)),""-"",TO_TEXT($A497))"),"P13SO-0496")</f>
        <v>P13SO-0496</v>
      </c>
      <c r="I497" s="6"/>
      <c r="J497" s="6" t="s">
        <v>3516</v>
      </c>
      <c r="K497" s="54"/>
      <c r="L497" s="6" t="s">
        <v>3517</v>
      </c>
      <c r="M497" s="6" t="s">
        <v>3518</v>
      </c>
      <c r="N497" s="17"/>
      <c r="O497" s="17"/>
      <c r="P497" s="17" t="str">
        <f t="shared" si="7"/>
        <v>OK</v>
      </c>
      <c r="Q497" s="17" t="s">
        <v>35</v>
      </c>
      <c r="R497" s="6" t="s">
        <v>35</v>
      </c>
      <c r="S497" s="17" t="s">
        <v>36</v>
      </c>
      <c r="T497" s="17" t="s">
        <v>3519</v>
      </c>
      <c r="U497" s="18" t="s">
        <v>38</v>
      </c>
      <c r="V497" s="19" t="s">
        <v>868</v>
      </c>
      <c r="W497" s="20" t="s">
        <v>3450</v>
      </c>
      <c r="X497" s="21" t="s">
        <v>3451</v>
      </c>
      <c r="Y497" s="22"/>
      <c r="Z497" s="7"/>
      <c r="AA497" s="7"/>
      <c r="AB497" s="23"/>
      <c r="AC497" s="26"/>
    </row>
    <row r="498" spans="1:30" ht="15.75" customHeight="1">
      <c r="A498" s="10" t="s">
        <v>3520</v>
      </c>
      <c r="B498" s="10" t="s">
        <v>1469</v>
      </c>
      <c r="C498" s="52" t="s">
        <v>868</v>
      </c>
      <c r="D498" s="12"/>
      <c r="E498" s="13" t="s">
        <v>3521</v>
      </c>
      <c r="F498" s="43" t="s">
        <v>3522</v>
      </c>
      <c r="G498" s="6" t="str">
        <f ca="1">IFERROR(__xludf.DUMMYFUNCTION("CONCATENATE(B498,(VLOOKUP(C498,CATALOGOS!$F$2:$H$6,3,FALSE)),(VLOOKUP(V498,CATALOGOS!$J$2:$K$18,2,FALSE)),""-"",TO_TEXT(A498))"),"P13SO-0497")</f>
        <v>P13SO-0497</v>
      </c>
      <c r="H498" s="15" t="str">
        <f ca="1">IFERROR(__xludf.DUMMYFUNCTION("CONCATENATE($B498,(VLOOKUP($C498,CATALOGOS!$F$2:$H$6,3,FALSE)),(VLOOKUP($V498,CATALOGOS!$J$2:$K$18,2,FALSE)),""-"",TO_TEXT($A498))"),"P13SO-0497")</f>
        <v>P13SO-0497</v>
      </c>
      <c r="I498" s="6"/>
      <c r="J498" s="6" t="s">
        <v>3523</v>
      </c>
      <c r="K498" s="54"/>
      <c r="L498" s="6" t="s">
        <v>3524</v>
      </c>
      <c r="M498" s="43" t="s">
        <v>3525</v>
      </c>
      <c r="N498" s="17"/>
      <c r="O498" s="17"/>
      <c r="P498" s="17" t="str">
        <f t="shared" si="7"/>
        <v>OK</v>
      </c>
      <c r="Q498" s="17" t="s">
        <v>35</v>
      </c>
      <c r="R498" s="49" t="s">
        <v>35</v>
      </c>
      <c r="S498" s="17" t="s">
        <v>36</v>
      </c>
      <c r="T498" s="17" t="s">
        <v>3526</v>
      </c>
      <c r="U498" s="18" t="s">
        <v>38</v>
      </c>
      <c r="V498" s="19" t="s">
        <v>868</v>
      </c>
      <c r="W498" s="20" t="s">
        <v>3450</v>
      </c>
      <c r="X498" s="21" t="s">
        <v>3451</v>
      </c>
      <c r="Y498" s="22"/>
      <c r="Z498" s="7"/>
      <c r="AA498" s="7"/>
      <c r="AB498" s="23"/>
      <c r="AC498" s="26"/>
    </row>
    <row r="499" spans="1:30" ht="15.75" customHeight="1">
      <c r="A499" s="10" t="s">
        <v>3527</v>
      </c>
      <c r="B499" s="10" t="s">
        <v>1469</v>
      </c>
      <c r="C499" s="52" t="s">
        <v>868</v>
      </c>
      <c r="D499" s="12"/>
      <c r="E499" s="13" t="s">
        <v>116</v>
      </c>
      <c r="F499" s="6" t="s">
        <v>3528</v>
      </c>
      <c r="G499" s="6" t="str">
        <f ca="1">IFERROR(__xludf.DUMMYFUNCTION("CONCATENATE(B499,(VLOOKUP(C499,CATALOGOS!$F$2:$H$6,3,FALSE)),(VLOOKUP(V499,CATALOGOS!$J$2:$K$18,2,FALSE)),""-"",TO_TEXT(A499))"),"P13SO-0498")</f>
        <v>P13SO-0498</v>
      </c>
      <c r="H499" s="15" t="str">
        <f ca="1">IFERROR(__xludf.DUMMYFUNCTION("CONCATENATE($B499,(VLOOKUP($C499,CATALOGOS!$F$2:$H$6,3,FALSE)),(VLOOKUP($V499,CATALOGOS!$J$2:$K$18,2,FALSE)),""-"",TO_TEXT($A499))"),"P13SO-0498")</f>
        <v>P13SO-0498</v>
      </c>
      <c r="I499" s="6"/>
      <c r="J499" s="6" t="s">
        <v>3529</v>
      </c>
      <c r="K499" s="6" t="s">
        <v>3530</v>
      </c>
      <c r="L499" s="6" t="s">
        <v>3531</v>
      </c>
      <c r="M499" s="6" t="s">
        <v>3532</v>
      </c>
      <c r="N499" s="17"/>
      <c r="O499" s="17"/>
      <c r="P499" s="17" t="str">
        <f t="shared" si="7"/>
        <v>OK</v>
      </c>
      <c r="Q499" s="17" t="s">
        <v>35</v>
      </c>
      <c r="R499" s="6" t="s">
        <v>35</v>
      </c>
      <c r="S499" s="17" t="s">
        <v>36</v>
      </c>
      <c r="T499" s="17" t="s">
        <v>3533</v>
      </c>
      <c r="U499" s="18" t="s">
        <v>38</v>
      </c>
      <c r="V499" s="19" t="s">
        <v>868</v>
      </c>
      <c r="W499" s="20" t="s">
        <v>3450</v>
      </c>
      <c r="X499" s="21" t="s">
        <v>3451</v>
      </c>
      <c r="Y499" s="22"/>
      <c r="Z499" s="7"/>
      <c r="AA499" s="7"/>
      <c r="AB499" s="23"/>
      <c r="AC499" s="26"/>
    </row>
    <row r="500" spans="1:30" ht="15.75" customHeight="1">
      <c r="A500" s="10" t="s">
        <v>3534</v>
      </c>
      <c r="B500" s="10" t="s">
        <v>1469</v>
      </c>
      <c r="C500" s="52" t="s">
        <v>868</v>
      </c>
      <c r="D500" s="12"/>
      <c r="E500" s="13" t="s">
        <v>184</v>
      </c>
      <c r="F500" s="6" t="s">
        <v>3535</v>
      </c>
      <c r="G500" s="6" t="str">
        <f ca="1">IFERROR(__xludf.DUMMYFUNCTION("CONCATENATE(B500,(VLOOKUP(C500,CATALOGOS!$F$2:$H$6,3,FALSE)),(VLOOKUP(V500,CATALOGOS!$J$2:$K$18,2,FALSE)),""-"",TO_TEXT(A500))"),"P13SO-0499")</f>
        <v>P13SO-0499</v>
      </c>
      <c r="H500" s="15" t="str">
        <f ca="1">IFERROR(__xludf.DUMMYFUNCTION("CONCATENATE($B500,(VLOOKUP($C500,CATALOGOS!$F$2:$H$6,3,FALSE)),(VLOOKUP($V500,CATALOGOS!$J$2:$K$18,2,FALSE)),""-"",TO_TEXT($A500))"),"P13SO-0499")</f>
        <v>P13SO-0499</v>
      </c>
      <c r="I500" s="6"/>
      <c r="J500" s="6" t="s">
        <v>3536</v>
      </c>
      <c r="K500" s="6" t="s">
        <v>3537</v>
      </c>
      <c r="L500" s="6" t="s">
        <v>3538</v>
      </c>
      <c r="M500" s="6" t="s">
        <v>3539</v>
      </c>
      <c r="N500" s="17"/>
      <c r="O500" s="17"/>
      <c r="P500" s="17" t="str">
        <f t="shared" si="7"/>
        <v>OK</v>
      </c>
      <c r="Q500" s="17" t="s">
        <v>35</v>
      </c>
      <c r="R500" s="6" t="s">
        <v>35</v>
      </c>
      <c r="S500" s="17" t="s">
        <v>36</v>
      </c>
      <c r="T500" s="17" t="s">
        <v>3540</v>
      </c>
      <c r="U500" s="18" t="s">
        <v>38</v>
      </c>
      <c r="V500" s="19" t="s">
        <v>868</v>
      </c>
      <c r="W500" s="20" t="s">
        <v>3450</v>
      </c>
      <c r="X500" s="21" t="s">
        <v>3451</v>
      </c>
      <c r="Y500" s="22"/>
      <c r="Z500" s="7"/>
      <c r="AA500" s="7"/>
      <c r="AB500" s="23"/>
      <c r="AC500" s="26"/>
    </row>
    <row r="501" spans="1:30" ht="15.75" customHeight="1">
      <c r="A501" s="10" t="s">
        <v>3541</v>
      </c>
      <c r="B501" s="10" t="s">
        <v>1469</v>
      </c>
      <c r="C501" s="52" t="s">
        <v>868</v>
      </c>
      <c r="D501" s="12"/>
      <c r="E501" s="13" t="s">
        <v>1240</v>
      </c>
      <c r="F501" s="43" t="s">
        <v>278</v>
      </c>
      <c r="G501" s="6" t="str">
        <f ca="1">IFERROR(__xludf.DUMMYFUNCTION("CONCATENATE(B501,(VLOOKUP(C501,CATALOGOS!$F$2:$H$6,3,FALSE)),(VLOOKUP(V501,CATALOGOS!$J$2:$K$18,2,FALSE)),""-"",TO_TEXT(A501))"),"P13SO-0500")</f>
        <v>P13SO-0500</v>
      </c>
      <c r="H501" s="15" t="str">
        <f ca="1">IFERROR(__xludf.DUMMYFUNCTION("CONCATENATE($B501,(VLOOKUP($C501,CATALOGOS!$F$2:$H$6,3,FALSE)),(VLOOKUP($V501,CATALOGOS!$J$2:$K$18,2,FALSE)),""-"",TO_TEXT($A501))"),"P13SO-0500")</f>
        <v>P13SO-0500</v>
      </c>
      <c r="I501" s="6"/>
      <c r="J501" s="6" t="s">
        <v>3542</v>
      </c>
      <c r="K501" s="6" t="s">
        <v>3543</v>
      </c>
      <c r="L501" s="6" t="s">
        <v>3544</v>
      </c>
      <c r="M501" s="6" t="s">
        <v>3545</v>
      </c>
      <c r="N501" s="17"/>
      <c r="O501" s="17"/>
      <c r="P501" s="17" t="str">
        <f t="shared" si="7"/>
        <v>OK</v>
      </c>
      <c r="Q501" s="17" t="s">
        <v>35</v>
      </c>
      <c r="R501" s="49" t="s">
        <v>35</v>
      </c>
      <c r="S501" s="17" t="s">
        <v>36</v>
      </c>
      <c r="T501" s="17" t="s">
        <v>3546</v>
      </c>
      <c r="U501" s="18" t="s">
        <v>38</v>
      </c>
      <c r="V501" s="19" t="s">
        <v>868</v>
      </c>
      <c r="W501" s="20" t="s">
        <v>3450</v>
      </c>
      <c r="X501" s="21" t="s">
        <v>3451</v>
      </c>
      <c r="Y501" s="22"/>
      <c r="Z501" s="7"/>
      <c r="AA501" s="7"/>
      <c r="AB501" s="23"/>
      <c r="AC501" s="26"/>
    </row>
    <row r="502" spans="1:30" ht="15.75" customHeight="1">
      <c r="A502" s="10" t="s">
        <v>3547</v>
      </c>
      <c r="B502" s="10" t="s">
        <v>1469</v>
      </c>
      <c r="C502" s="52" t="s">
        <v>868</v>
      </c>
      <c r="D502" s="12"/>
      <c r="E502" s="13" t="s">
        <v>248</v>
      </c>
      <c r="F502" s="43" t="s">
        <v>3548</v>
      </c>
      <c r="G502" s="6" t="str">
        <f ca="1">IFERROR(__xludf.DUMMYFUNCTION("CONCATENATE(B502,(VLOOKUP(C502,CATALOGOS!$F$2:$H$6,3,FALSE)),(VLOOKUP(V502,CATALOGOS!$J$2:$K$18,2,FALSE)),""-"",TO_TEXT(A502))"),"P13SO-0501")</f>
        <v>P13SO-0501</v>
      </c>
      <c r="H502" s="15" t="str">
        <f ca="1">IFERROR(__xludf.DUMMYFUNCTION("CONCATENATE($B502,(VLOOKUP($C502,CATALOGOS!$F$2:$H$6,3,FALSE)),(VLOOKUP($V502,CATALOGOS!$J$2:$K$18,2,FALSE)),""-"",TO_TEXT($A502))"),"P13SO-0501")</f>
        <v>P13SO-0501</v>
      </c>
      <c r="I502" s="6"/>
      <c r="J502" s="6" t="s">
        <v>3549</v>
      </c>
      <c r="K502" s="6" t="s">
        <v>3550</v>
      </c>
      <c r="L502" s="6" t="s">
        <v>3551</v>
      </c>
      <c r="M502" s="6" t="s">
        <v>3552</v>
      </c>
      <c r="N502" s="17"/>
      <c r="O502" s="17"/>
      <c r="P502" s="17" t="str">
        <f t="shared" si="7"/>
        <v>OK</v>
      </c>
      <c r="Q502" s="17" t="s">
        <v>978</v>
      </c>
      <c r="R502" s="6" t="s">
        <v>979</v>
      </c>
      <c r="S502" s="17" t="s">
        <v>3553</v>
      </c>
      <c r="T502" s="10" t="s">
        <v>3554</v>
      </c>
      <c r="U502" s="18" t="s">
        <v>38</v>
      </c>
      <c r="V502" s="19" t="s">
        <v>868</v>
      </c>
      <c r="W502" s="20" t="s">
        <v>3450</v>
      </c>
      <c r="X502" s="21" t="s">
        <v>3451</v>
      </c>
      <c r="Y502" s="22"/>
      <c r="Z502" s="7"/>
      <c r="AA502" s="7"/>
      <c r="AB502" s="23"/>
      <c r="AC502" s="26"/>
    </row>
    <row r="503" spans="1:30" ht="15.75" customHeight="1">
      <c r="A503" s="10" t="s">
        <v>3555</v>
      </c>
      <c r="B503" s="10" t="s">
        <v>1469</v>
      </c>
      <c r="C503" s="52" t="s">
        <v>868</v>
      </c>
      <c r="D503" s="12"/>
      <c r="E503" s="13" t="s">
        <v>162</v>
      </c>
      <c r="F503" s="6" t="s">
        <v>285</v>
      </c>
      <c r="G503" s="6" t="str">
        <f ca="1">IFERROR(__xludf.DUMMYFUNCTION("CONCATENATE(B503,(VLOOKUP(C503,CATALOGOS!$F$2:$H$6,3,FALSE)),(VLOOKUP(V503,CATALOGOS!$J$2:$K$18,2,FALSE)),""-"",TO_TEXT(A503))"),"P13SO-0502")</f>
        <v>P13SO-0502</v>
      </c>
      <c r="H503" s="15" t="str">
        <f ca="1">IFERROR(__xludf.DUMMYFUNCTION("CONCATENATE($B503,(VLOOKUP($C503,CATALOGOS!$F$2:$H$6,3,FALSE)),(VLOOKUP($V503,CATALOGOS!$J$2:$K$18,2,FALSE)),""-"",TO_TEXT($A503))"),"P13SO-0502")</f>
        <v>P13SO-0502</v>
      </c>
      <c r="I503" s="6"/>
      <c r="J503" s="6" t="s">
        <v>3556</v>
      </c>
      <c r="K503" s="6" t="s">
        <v>3557</v>
      </c>
      <c r="L503" s="6" t="s">
        <v>3558</v>
      </c>
      <c r="M503" s="6" t="s">
        <v>3559</v>
      </c>
      <c r="N503" s="17"/>
      <c r="O503" s="17"/>
      <c r="P503" s="17" t="str">
        <f t="shared" si="7"/>
        <v>OK</v>
      </c>
      <c r="Q503" s="17" t="s">
        <v>663</v>
      </c>
      <c r="R503" s="6" t="s">
        <v>664</v>
      </c>
      <c r="S503" s="17" t="s">
        <v>3560</v>
      </c>
      <c r="T503" s="17" t="s">
        <v>3561</v>
      </c>
      <c r="U503" s="18" t="s">
        <v>38</v>
      </c>
      <c r="V503" s="19" t="s">
        <v>868</v>
      </c>
      <c r="W503" s="20" t="s">
        <v>3450</v>
      </c>
      <c r="X503" s="21" t="s">
        <v>3451</v>
      </c>
      <c r="Y503" s="22"/>
      <c r="Z503" s="7"/>
      <c r="AA503" s="7"/>
      <c r="AB503" s="23"/>
      <c r="AC503" s="26"/>
    </row>
    <row r="504" spans="1:30" ht="15.75" customHeight="1">
      <c r="A504" s="10" t="s">
        <v>3562</v>
      </c>
      <c r="B504" s="10" t="s">
        <v>1469</v>
      </c>
      <c r="C504" s="52" t="s">
        <v>868</v>
      </c>
      <c r="D504" s="12"/>
      <c r="E504" s="13" t="s">
        <v>1199</v>
      </c>
      <c r="F504" s="6" t="s">
        <v>3563</v>
      </c>
      <c r="G504" s="6" t="str">
        <f ca="1">IFERROR(__xludf.DUMMYFUNCTION("CONCATENATE(B504,(VLOOKUP(C504,CATALOGOS!$F$2:$H$6,3,FALSE)),(VLOOKUP(V504,CATALOGOS!$J$2:$K$18,2,FALSE)),""-"",TO_TEXT(A504))"),"P13SO-0503")</f>
        <v>P13SO-0503</v>
      </c>
      <c r="H504" s="15" t="str">
        <f ca="1">IFERROR(__xludf.DUMMYFUNCTION("CONCATENATE($B504,(VLOOKUP($C504,CATALOGOS!$F$2:$H$6,3,FALSE)),(VLOOKUP($V504,CATALOGOS!$J$2:$K$18,2,FALSE)),""-"",TO_TEXT($A504))"),"P13SO-0503")</f>
        <v>P13SO-0503</v>
      </c>
      <c r="I504" s="6"/>
      <c r="J504" s="6" t="s">
        <v>3564</v>
      </c>
      <c r="K504" s="6" t="s">
        <v>3565</v>
      </c>
      <c r="L504" s="6" t="s">
        <v>3566</v>
      </c>
      <c r="M504" s="6" t="s">
        <v>3567</v>
      </c>
      <c r="N504" s="17"/>
      <c r="O504" s="17"/>
      <c r="P504" s="17" t="str">
        <f t="shared" si="7"/>
        <v>OK</v>
      </c>
      <c r="Q504" s="17" t="s">
        <v>205</v>
      </c>
      <c r="R504" s="6" t="s">
        <v>3568</v>
      </c>
      <c r="S504" s="35" t="s">
        <v>3569</v>
      </c>
      <c r="T504" s="17" t="s">
        <v>3570</v>
      </c>
      <c r="U504" s="18" t="s">
        <v>38</v>
      </c>
      <c r="V504" s="19" t="s">
        <v>868</v>
      </c>
      <c r="W504" s="20" t="s">
        <v>3450</v>
      </c>
      <c r="X504" s="21" t="s">
        <v>3451</v>
      </c>
      <c r="Y504" s="22"/>
      <c r="Z504" s="7"/>
      <c r="AA504" s="7"/>
      <c r="AB504" s="23"/>
      <c r="AC504" s="26"/>
    </row>
    <row r="505" spans="1:30" ht="15.75" customHeight="1">
      <c r="A505" s="10" t="s">
        <v>3571</v>
      </c>
      <c r="B505" s="10" t="s">
        <v>1469</v>
      </c>
      <c r="C505" s="52" t="s">
        <v>868</v>
      </c>
      <c r="D505" s="12"/>
      <c r="E505" s="13" t="s">
        <v>1240</v>
      </c>
      <c r="F505" s="43" t="s">
        <v>278</v>
      </c>
      <c r="G505" s="6" t="str">
        <f ca="1">IFERROR(__xludf.DUMMYFUNCTION("CONCATENATE(B505,(VLOOKUP(C505,CATALOGOS!$F$2:$H$6,3,FALSE)),(VLOOKUP(V505,CATALOGOS!$J$2:$K$18,2,FALSE)),""-"",TO_TEXT(A505))"),"P13SO-0504")</f>
        <v>P13SO-0504</v>
      </c>
      <c r="H505" s="15" t="str">
        <f ca="1">IFERROR(__xludf.DUMMYFUNCTION("CONCATENATE($B505,(VLOOKUP($C505,CATALOGOS!$F$2:$H$6,3,FALSE)),(VLOOKUP($V505,CATALOGOS!$J$2:$K$18,2,FALSE)),""-"",TO_TEXT($A505))"),"P13SO-0504")</f>
        <v>P13SO-0504</v>
      </c>
      <c r="I505" s="6"/>
      <c r="J505" s="6" t="s">
        <v>3572</v>
      </c>
      <c r="K505" s="6" t="s">
        <v>3573</v>
      </c>
      <c r="L505" s="6" t="s">
        <v>3574</v>
      </c>
      <c r="M505" s="6" t="s">
        <v>3575</v>
      </c>
      <c r="N505" s="17"/>
      <c r="O505" s="17"/>
      <c r="P505" s="17" t="str">
        <f t="shared" si="7"/>
        <v>OK</v>
      </c>
      <c r="Q505" s="17" t="s">
        <v>35</v>
      </c>
      <c r="R505" s="6" t="s">
        <v>35</v>
      </c>
      <c r="S505" s="17" t="s">
        <v>36</v>
      </c>
      <c r="T505" s="17" t="s">
        <v>3576</v>
      </c>
      <c r="U505" s="18" t="s">
        <v>38</v>
      </c>
      <c r="V505" s="19" t="s">
        <v>868</v>
      </c>
      <c r="W505" s="20" t="s">
        <v>3450</v>
      </c>
      <c r="X505" s="21" t="s">
        <v>3451</v>
      </c>
      <c r="Y505" s="22"/>
      <c r="Z505" s="7"/>
      <c r="AA505" s="7"/>
      <c r="AB505" s="23"/>
      <c r="AC505" s="26"/>
    </row>
    <row r="506" spans="1:30" ht="15.75" customHeight="1">
      <c r="A506" s="10" t="s">
        <v>3577</v>
      </c>
      <c r="B506" s="10" t="s">
        <v>1469</v>
      </c>
      <c r="C506" s="52" t="s">
        <v>868</v>
      </c>
      <c r="D506" s="12"/>
      <c r="E506" s="13" t="s">
        <v>199</v>
      </c>
      <c r="F506" s="6" t="s">
        <v>3578</v>
      </c>
      <c r="G506" s="6" t="str">
        <f ca="1">IFERROR(__xludf.DUMMYFUNCTION("CONCATENATE(B506,(VLOOKUP(C506,CATALOGOS!$F$2:$H$6,3,FALSE)),(VLOOKUP(V506,CATALOGOS!$J$2:$K$18,2,FALSE)),""-"",TO_TEXT(A506))"),"P13SO-0505")</f>
        <v>P13SO-0505</v>
      </c>
      <c r="H506" s="15" t="str">
        <f ca="1">IFERROR(__xludf.DUMMYFUNCTION("CONCATENATE($B506,(VLOOKUP($C506,CATALOGOS!$F$2:$H$6,3,FALSE)),(VLOOKUP($V506,CATALOGOS!$J$2:$K$18,2,FALSE)),""-"",TO_TEXT($A506))"),"P13SO-0505")</f>
        <v>P13SO-0505</v>
      </c>
      <c r="I506" s="6"/>
      <c r="J506" s="6" t="s">
        <v>3579</v>
      </c>
      <c r="K506" s="6" t="s">
        <v>3580</v>
      </c>
      <c r="L506" s="36"/>
      <c r="M506" s="6" t="s">
        <v>3581</v>
      </c>
      <c r="N506" s="17"/>
      <c r="O506" s="17"/>
      <c r="P506" s="17" t="str">
        <f t="shared" si="7"/>
        <v>OK</v>
      </c>
      <c r="Q506" s="17" t="s">
        <v>273</v>
      </c>
      <c r="R506" s="6" t="s">
        <v>274</v>
      </c>
      <c r="S506" s="6">
        <v>11392903012354</v>
      </c>
      <c r="T506" s="10" t="s">
        <v>85</v>
      </c>
      <c r="U506" s="18" t="s">
        <v>38</v>
      </c>
      <c r="V506" s="19" t="s">
        <v>868</v>
      </c>
      <c r="W506" s="20" t="s">
        <v>3450</v>
      </c>
      <c r="X506" s="21" t="s">
        <v>3451</v>
      </c>
      <c r="Y506" s="22"/>
      <c r="Z506" s="6"/>
      <c r="AA506" s="6"/>
      <c r="AB506" s="41" t="s">
        <v>92</v>
      </c>
      <c r="AC506" s="42">
        <v>44348</v>
      </c>
      <c r="AD506" s="8" t="s">
        <v>276</v>
      </c>
    </row>
    <row r="507" spans="1:30" ht="15.75" customHeight="1">
      <c r="A507" s="10" t="s">
        <v>3582</v>
      </c>
      <c r="B507" s="10" t="s">
        <v>1469</v>
      </c>
      <c r="C507" s="52" t="s">
        <v>868</v>
      </c>
      <c r="D507" s="12"/>
      <c r="E507" s="13" t="s">
        <v>151</v>
      </c>
      <c r="F507" s="6" t="s">
        <v>3583</v>
      </c>
      <c r="G507" s="6" t="str">
        <f ca="1">IFERROR(__xludf.DUMMYFUNCTION("CONCATENATE(B507,(VLOOKUP(C507,CATALOGOS!$F$2:$H$6,3,FALSE)),(VLOOKUP(V507,CATALOGOS!$J$2:$K$18,2,FALSE)),""-"",TO_TEXT(A507))"),"P13SO-0506")</f>
        <v>P13SO-0506</v>
      </c>
      <c r="H507" s="15" t="str">
        <f ca="1">IFERROR(__xludf.DUMMYFUNCTION("CONCATENATE($B507,(VLOOKUP($C507,CATALOGOS!$F$2:$H$6,3,FALSE)),(VLOOKUP($V507,CATALOGOS!$J$2:$K$18,2,FALSE)),""-"",TO_TEXT($A507))"),"P13SO-0506")</f>
        <v>P13SO-0506</v>
      </c>
      <c r="I507" s="6"/>
      <c r="J507" s="6" t="s">
        <v>3584</v>
      </c>
      <c r="K507" s="6" t="s">
        <v>3585</v>
      </c>
      <c r="L507" s="37"/>
      <c r="M507" s="6" t="s">
        <v>3586</v>
      </c>
      <c r="N507" s="17"/>
      <c r="O507" s="17"/>
      <c r="P507" s="17" t="str">
        <f t="shared" si="7"/>
        <v>OK</v>
      </c>
      <c r="Q507" s="17" t="s">
        <v>297</v>
      </c>
      <c r="R507" s="6" t="s">
        <v>298</v>
      </c>
      <c r="S507" s="6" t="s">
        <v>3587</v>
      </c>
      <c r="T507" s="10" t="s">
        <v>85</v>
      </c>
      <c r="U507" s="18" t="s">
        <v>38</v>
      </c>
      <c r="V507" s="19" t="s">
        <v>868</v>
      </c>
      <c r="W507" s="20" t="s">
        <v>3450</v>
      </c>
      <c r="X507" s="21" t="s">
        <v>3451</v>
      </c>
      <c r="Y507" s="22"/>
      <c r="Z507" s="6"/>
      <c r="AA507" s="6"/>
      <c r="AB507" s="41" t="s">
        <v>92</v>
      </c>
      <c r="AC507" s="42">
        <v>44348</v>
      </c>
      <c r="AD507" s="8">
        <v>0</v>
      </c>
    </row>
    <row r="508" spans="1:30" ht="15.75" customHeight="1">
      <c r="A508" s="10" t="s">
        <v>3588</v>
      </c>
      <c r="B508" s="10" t="s">
        <v>1469</v>
      </c>
      <c r="C508" s="52" t="s">
        <v>868</v>
      </c>
      <c r="D508" s="12"/>
      <c r="E508" s="13" t="s">
        <v>53</v>
      </c>
      <c r="F508" s="6" t="s">
        <v>3589</v>
      </c>
      <c r="G508" s="6" t="str">
        <f ca="1">IFERROR(__xludf.DUMMYFUNCTION("CONCATENATE(B508,(VLOOKUP(C508,CATALOGOS!$F$2:$H$6,3,FALSE)),(VLOOKUP(V508,CATALOGOS!$J$2:$K$18,2,FALSE)),""-"",TO_TEXT(A508))"),"P13SO-0507")</f>
        <v>P13SO-0507</v>
      </c>
      <c r="H508" s="15" t="str">
        <f ca="1">IFERROR(__xludf.DUMMYFUNCTION("CONCATENATE($B508,(VLOOKUP($C508,CATALOGOS!$F$2:$H$6,3,FALSE)),(VLOOKUP($V508,CATALOGOS!$J$2:$K$18,2,FALSE)),""-"",TO_TEXT($A508))"),"P13SO-0507")</f>
        <v>P13SO-0507</v>
      </c>
      <c r="I508" s="6"/>
      <c r="J508" s="6" t="s">
        <v>3590</v>
      </c>
      <c r="K508" s="6" t="s">
        <v>3591</v>
      </c>
      <c r="L508" s="6" t="s">
        <v>3592</v>
      </c>
      <c r="M508" s="6" t="s">
        <v>3593</v>
      </c>
      <c r="N508" s="17"/>
      <c r="O508" s="17"/>
      <c r="P508" s="17" t="str">
        <f t="shared" si="7"/>
        <v>OK</v>
      </c>
      <c r="Q508" s="17" t="s">
        <v>35</v>
      </c>
      <c r="R508" s="6" t="s">
        <v>35</v>
      </c>
      <c r="S508" s="17" t="s">
        <v>36</v>
      </c>
      <c r="T508" s="17" t="s">
        <v>3594</v>
      </c>
      <c r="U508" s="18" t="s">
        <v>38</v>
      </c>
      <c r="V508" s="19" t="s">
        <v>868</v>
      </c>
      <c r="W508" s="20" t="s">
        <v>3450</v>
      </c>
      <c r="X508" s="21" t="s">
        <v>3451</v>
      </c>
      <c r="Y508" s="22"/>
      <c r="Z508" s="7"/>
      <c r="AA508" s="7"/>
      <c r="AB508" s="23"/>
      <c r="AC508" s="26"/>
    </row>
    <row r="509" spans="1:30" ht="15.75" customHeight="1">
      <c r="A509" s="10" t="s">
        <v>3595</v>
      </c>
      <c r="B509" s="10" t="s">
        <v>1469</v>
      </c>
      <c r="C509" s="52" t="s">
        <v>868</v>
      </c>
      <c r="D509" s="12"/>
      <c r="E509" s="13" t="s">
        <v>93</v>
      </c>
      <c r="F509" s="6" t="s">
        <v>3596</v>
      </c>
      <c r="G509" s="6" t="str">
        <f ca="1">IFERROR(__xludf.DUMMYFUNCTION("CONCATENATE(B509,(VLOOKUP(C509,CATALOGOS!$F$2:$H$6,3,FALSE)),(VLOOKUP(V509,CATALOGOS!$J$2:$K$18,2,FALSE)),""-"",TO_TEXT(A509))"),"P13SO-0508")</f>
        <v>P13SO-0508</v>
      </c>
      <c r="H509" s="15" t="str">
        <f ca="1">IFERROR(__xludf.DUMMYFUNCTION("CONCATENATE($B509,(VLOOKUP($C509,CATALOGOS!$F$2:$H$6,3,FALSE)),(VLOOKUP($V509,CATALOGOS!$J$2:$K$18,2,FALSE)),""-"",TO_TEXT($A509))"),"P13SO-0508")</f>
        <v>P13SO-0508</v>
      </c>
      <c r="I509" s="6"/>
      <c r="J509" s="6" t="s">
        <v>3597</v>
      </c>
      <c r="K509" s="6" t="s">
        <v>3598</v>
      </c>
      <c r="L509" s="6" t="s">
        <v>3599</v>
      </c>
      <c r="M509" s="6" t="s">
        <v>3600</v>
      </c>
      <c r="N509" s="17"/>
      <c r="O509" s="17"/>
      <c r="P509" s="17" t="str">
        <f t="shared" si="7"/>
        <v>OK</v>
      </c>
      <c r="Q509" s="17" t="s">
        <v>35</v>
      </c>
      <c r="R509" s="6" t="s">
        <v>35</v>
      </c>
      <c r="S509" s="17" t="s">
        <v>36</v>
      </c>
      <c r="T509" s="17" t="s">
        <v>3601</v>
      </c>
      <c r="U509" s="18" t="s">
        <v>38</v>
      </c>
      <c r="V509" s="19" t="s">
        <v>868</v>
      </c>
      <c r="W509" s="20" t="s">
        <v>3450</v>
      </c>
      <c r="X509" s="21" t="s">
        <v>3451</v>
      </c>
      <c r="Y509" s="22"/>
      <c r="Z509" s="7"/>
      <c r="AA509" s="7"/>
      <c r="AB509" s="23"/>
      <c r="AC509" s="26"/>
    </row>
    <row r="510" spans="1:30" ht="15.75" customHeight="1">
      <c r="A510" s="10" t="s">
        <v>3602</v>
      </c>
      <c r="B510" s="10" t="s">
        <v>1469</v>
      </c>
      <c r="C510" s="52" t="s">
        <v>868</v>
      </c>
      <c r="D510" s="12"/>
      <c r="E510" s="13" t="s">
        <v>29</v>
      </c>
      <c r="F510" s="6" t="s">
        <v>3603</v>
      </c>
      <c r="G510" s="6" t="str">
        <f ca="1">IFERROR(__xludf.DUMMYFUNCTION("CONCATENATE(B510,(VLOOKUP(C510,CATALOGOS!$F$2:$H$6,3,FALSE)),(VLOOKUP(V510,CATALOGOS!$J$2:$K$18,2,FALSE)),""-"",TO_TEXT(A510))"),"P13SO-0509")</f>
        <v>P13SO-0509</v>
      </c>
      <c r="H510" s="15" t="str">
        <f ca="1">IFERROR(__xludf.DUMMYFUNCTION("CONCATENATE($B510,(VLOOKUP($C510,CATALOGOS!$F$2:$H$6,3,FALSE)),(VLOOKUP($V510,CATALOGOS!$J$2:$K$18,2,FALSE)),""-"",TO_TEXT($A510))"),"P13SO-0509")</f>
        <v>P13SO-0509</v>
      </c>
      <c r="I510" s="6"/>
      <c r="J510" s="6" t="s">
        <v>3604</v>
      </c>
      <c r="K510" s="6" t="s">
        <v>3605</v>
      </c>
      <c r="L510" s="6" t="s">
        <v>3606</v>
      </c>
      <c r="M510" s="6" t="s">
        <v>3607</v>
      </c>
      <c r="N510" s="17"/>
      <c r="O510" s="17"/>
      <c r="P510" s="17" t="str">
        <f t="shared" si="7"/>
        <v>OK</v>
      </c>
      <c r="Q510" s="17" t="s">
        <v>35</v>
      </c>
      <c r="R510" s="6" t="s">
        <v>35</v>
      </c>
      <c r="S510" s="17" t="s">
        <v>36</v>
      </c>
      <c r="T510" s="17" t="s">
        <v>3608</v>
      </c>
      <c r="U510" s="18" t="s">
        <v>38</v>
      </c>
      <c r="V510" s="19" t="s">
        <v>868</v>
      </c>
      <c r="W510" s="20" t="s">
        <v>3450</v>
      </c>
      <c r="X510" s="21" t="s">
        <v>3451</v>
      </c>
      <c r="Y510" s="22"/>
      <c r="Z510" s="7"/>
      <c r="AA510" s="7"/>
      <c r="AB510" s="23"/>
      <c r="AC510" s="26"/>
    </row>
    <row r="511" spans="1:30" ht="15.75" customHeight="1">
      <c r="A511" s="10" t="s">
        <v>3609</v>
      </c>
      <c r="B511" s="10" t="s">
        <v>1469</v>
      </c>
      <c r="C511" s="52" t="s">
        <v>868</v>
      </c>
      <c r="D511" s="12"/>
      <c r="E511" s="13" t="s">
        <v>378</v>
      </c>
      <c r="F511" s="6" t="s">
        <v>3610</v>
      </c>
      <c r="G511" s="6" t="str">
        <f ca="1">IFERROR(__xludf.DUMMYFUNCTION("CONCATENATE(B511,(VLOOKUP(C511,CATALOGOS!$F$2:$H$6,3,FALSE)),(VLOOKUP(V511,CATALOGOS!$J$2:$K$18,2,FALSE)),""-"",TO_TEXT(A511))"),"P13SO-0510")</f>
        <v>P13SO-0510</v>
      </c>
      <c r="H511" s="15" t="str">
        <f ca="1">IFERROR(__xludf.DUMMYFUNCTION("CONCATENATE($B511,(VLOOKUP($C511,CATALOGOS!$F$2:$H$6,3,FALSE)),(VLOOKUP($V511,CATALOGOS!$J$2:$K$18,2,FALSE)),""-"",TO_TEXT($A511))"),"P13SO-0510")</f>
        <v>P13SO-0510</v>
      </c>
      <c r="I511" s="6"/>
      <c r="J511" s="6" t="s">
        <v>3611</v>
      </c>
      <c r="K511" s="6" t="s">
        <v>3612</v>
      </c>
      <c r="L511" s="6" t="s">
        <v>3613</v>
      </c>
      <c r="M511" s="6" t="s">
        <v>3614</v>
      </c>
      <c r="N511" s="17"/>
      <c r="O511" s="17"/>
      <c r="P511" s="17" t="str">
        <f t="shared" si="7"/>
        <v>OK</v>
      </c>
      <c r="Q511" s="17" t="s">
        <v>35</v>
      </c>
      <c r="R511" s="6" t="s">
        <v>35</v>
      </c>
      <c r="S511" s="17" t="s">
        <v>36</v>
      </c>
      <c r="T511" s="17" t="s">
        <v>3615</v>
      </c>
      <c r="U511" s="18" t="s">
        <v>38</v>
      </c>
      <c r="V511" s="19" t="s">
        <v>868</v>
      </c>
      <c r="W511" s="20" t="s">
        <v>3450</v>
      </c>
      <c r="X511" s="21" t="s">
        <v>3451</v>
      </c>
      <c r="Y511" s="22"/>
      <c r="Z511" s="7"/>
      <c r="AA511" s="7"/>
      <c r="AB511" s="23"/>
      <c r="AC511" s="26"/>
    </row>
    <row r="512" spans="1:30" ht="15.75" customHeight="1">
      <c r="A512" s="10" t="s">
        <v>3616</v>
      </c>
      <c r="B512" s="10" t="s">
        <v>1469</v>
      </c>
      <c r="C512" s="52" t="s">
        <v>868</v>
      </c>
      <c r="D512" s="38"/>
      <c r="E512" s="13" t="s">
        <v>501</v>
      </c>
      <c r="F512" s="6" t="s">
        <v>3617</v>
      </c>
      <c r="G512" s="6" t="str">
        <f ca="1">IFERROR(__xludf.DUMMYFUNCTION("CONCATENATE(B512,(VLOOKUP(C512,CATALOGOS!$F$2:$H$6,3,FALSE)),(VLOOKUP(V512,CATALOGOS!$J$2:$K$18,2,FALSE)),""-"",TO_TEXT(A512))"),"P13SO-0511")</f>
        <v>P13SO-0511</v>
      </c>
      <c r="H512" s="15" t="str">
        <f ca="1">IFERROR(__xludf.DUMMYFUNCTION("CONCATENATE($B512,(VLOOKUP($C512,CATALOGOS!$F$2:$H$6,3,FALSE)),(VLOOKUP($V512,CATALOGOS!$J$2:$K$18,2,FALSE)),""-"",TO_TEXT($A512))"),"P13SO-0511")</f>
        <v>P13SO-0511</v>
      </c>
      <c r="I512" s="6"/>
      <c r="J512" s="6" t="s">
        <v>3618</v>
      </c>
      <c r="K512" s="6" t="s">
        <v>3619</v>
      </c>
      <c r="L512" s="6" t="s">
        <v>3620</v>
      </c>
      <c r="M512" s="6" t="s">
        <v>3621</v>
      </c>
      <c r="N512" s="17"/>
      <c r="O512" s="17"/>
      <c r="P512" s="17" t="str">
        <f t="shared" si="7"/>
        <v>OK</v>
      </c>
      <c r="Q512" s="17" t="s">
        <v>35</v>
      </c>
      <c r="R512" s="6" t="s">
        <v>35</v>
      </c>
      <c r="S512" s="46" t="s">
        <v>36</v>
      </c>
      <c r="T512" s="17" t="s">
        <v>3622</v>
      </c>
      <c r="U512" s="18" t="s">
        <v>38</v>
      </c>
      <c r="V512" s="19" t="s">
        <v>868</v>
      </c>
      <c r="W512" s="20" t="s">
        <v>3450</v>
      </c>
      <c r="X512" s="21" t="s">
        <v>3451</v>
      </c>
      <c r="Y512" s="32"/>
      <c r="Z512" s="7"/>
      <c r="AA512" s="7"/>
      <c r="AB512" s="26"/>
      <c r="AC512" s="26"/>
    </row>
    <row r="513" spans="1:29" ht="15.75" customHeight="1">
      <c r="A513" s="10" t="s">
        <v>3623</v>
      </c>
      <c r="B513" s="10" t="s">
        <v>1469</v>
      </c>
      <c r="C513" s="52" t="s">
        <v>868</v>
      </c>
      <c r="D513" s="12"/>
      <c r="E513" s="13" t="s">
        <v>501</v>
      </c>
      <c r="F513" s="6" t="s">
        <v>3624</v>
      </c>
      <c r="G513" s="6" t="str">
        <f ca="1">IFERROR(__xludf.DUMMYFUNCTION("CONCATENATE(B513,(VLOOKUP(C513,CATALOGOS!$F$2:$H$6,3,FALSE)),(VLOOKUP(V513,CATALOGOS!$J$2:$K$18,2,FALSE)),""-"",TO_TEXT(A513))"),"P13SO-0512")</f>
        <v>P13SO-0512</v>
      </c>
      <c r="H513" s="15" t="str">
        <f ca="1">IFERROR(__xludf.DUMMYFUNCTION("CONCATENATE($B513,(VLOOKUP($C513,CATALOGOS!$F$2:$H$6,3,FALSE)),(VLOOKUP($V513,CATALOGOS!$J$2:$K$18,2,FALSE)),""-"",TO_TEXT($A513))"),"P13SO-0512")</f>
        <v>P13SO-0512</v>
      </c>
      <c r="I513" s="6"/>
      <c r="J513" s="6" t="s">
        <v>3625</v>
      </c>
      <c r="K513" s="6" t="s">
        <v>3626</v>
      </c>
      <c r="L513" s="6" t="s">
        <v>3627</v>
      </c>
      <c r="M513" s="6" t="s">
        <v>3628</v>
      </c>
      <c r="N513" s="17"/>
      <c r="O513" s="17"/>
      <c r="P513" s="17" t="str">
        <f t="shared" si="7"/>
        <v>OK</v>
      </c>
      <c r="Q513" s="17" t="s">
        <v>35</v>
      </c>
      <c r="R513" s="6" t="s">
        <v>35</v>
      </c>
      <c r="S513" s="17" t="s">
        <v>36</v>
      </c>
      <c r="T513" s="17" t="s">
        <v>3629</v>
      </c>
      <c r="U513" s="18" t="s">
        <v>38</v>
      </c>
      <c r="V513" s="19" t="s">
        <v>868</v>
      </c>
      <c r="W513" s="20" t="s">
        <v>3450</v>
      </c>
      <c r="X513" s="21" t="s">
        <v>3451</v>
      </c>
      <c r="Y513" s="22"/>
      <c r="Z513" s="7"/>
      <c r="AA513" s="7"/>
      <c r="AB513" s="23"/>
      <c r="AC513" s="26"/>
    </row>
    <row r="514" spans="1:29" ht="15.75" customHeight="1">
      <c r="A514" s="10" t="s">
        <v>3630</v>
      </c>
      <c r="B514" s="10" t="s">
        <v>1469</v>
      </c>
      <c r="C514" s="52" t="s">
        <v>868</v>
      </c>
      <c r="D514" s="12"/>
      <c r="E514" s="13" t="s">
        <v>2060</v>
      </c>
      <c r="F514" s="6" t="s">
        <v>3631</v>
      </c>
      <c r="G514" s="6" t="str">
        <f ca="1">IFERROR(__xludf.DUMMYFUNCTION("CONCATENATE(B514,(VLOOKUP(C514,CATALOGOS!$F$2:$H$6,3,FALSE)),(VLOOKUP(V514,CATALOGOS!$J$2:$K$18,2,FALSE)),""-"",TO_TEXT(A514))"),"P13SO-0513")</f>
        <v>P13SO-0513</v>
      </c>
      <c r="H514" s="15" t="str">
        <f ca="1">IFERROR(__xludf.DUMMYFUNCTION("CONCATENATE($B514,(VLOOKUP($C514,CATALOGOS!$F$2:$H$6,3,FALSE)),(VLOOKUP($V514,CATALOGOS!$J$2:$K$18,2,FALSE)),""-"",TO_TEXT($A514))"),"P13SO-0513")</f>
        <v>P13SO-0513</v>
      </c>
      <c r="I514" s="6"/>
      <c r="J514" s="6" t="s">
        <v>3632</v>
      </c>
      <c r="K514" s="6" t="s">
        <v>3633</v>
      </c>
      <c r="L514" s="6" t="s">
        <v>3634</v>
      </c>
      <c r="M514" s="43" t="s">
        <v>3635</v>
      </c>
      <c r="N514" s="17"/>
      <c r="O514" s="17"/>
      <c r="P514" s="17" t="str">
        <f t="shared" si="7"/>
        <v>OK</v>
      </c>
      <c r="Q514" s="17" t="s">
        <v>35</v>
      </c>
      <c r="R514" s="6" t="s">
        <v>35</v>
      </c>
      <c r="S514" s="17" t="s">
        <v>36</v>
      </c>
      <c r="T514" s="17" t="s">
        <v>3636</v>
      </c>
      <c r="U514" s="18" t="s">
        <v>38</v>
      </c>
      <c r="V514" s="19" t="s">
        <v>868</v>
      </c>
      <c r="W514" s="20" t="s">
        <v>3450</v>
      </c>
      <c r="X514" s="21" t="s">
        <v>3451</v>
      </c>
      <c r="Y514" s="22"/>
      <c r="Z514" s="7"/>
      <c r="AA514" s="7"/>
      <c r="AB514" s="23"/>
      <c r="AC514" s="26"/>
    </row>
    <row r="515" spans="1:29" ht="15.75" customHeight="1">
      <c r="A515" s="10" t="s">
        <v>3637</v>
      </c>
      <c r="B515" s="10" t="s">
        <v>1469</v>
      </c>
      <c r="C515" s="52" t="s">
        <v>868</v>
      </c>
      <c r="D515" s="12"/>
      <c r="E515" s="13" t="s">
        <v>501</v>
      </c>
      <c r="F515" s="43" t="s">
        <v>3269</v>
      </c>
      <c r="G515" s="6" t="str">
        <f ca="1">IFERROR(__xludf.DUMMYFUNCTION("CONCATENATE(B515,(VLOOKUP(C515,CATALOGOS!$F$2:$H$6,3,FALSE)),(VLOOKUP(V515,CATALOGOS!$J$2:$K$18,2,FALSE)),""-"",TO_TEXT(A515))"),"P13SO-0514")</f>
        <v>P13SO-0514</v>
      </c>
      <c r="H515" s="15" t="str">
        <f ca="1">IFERROR(__xludf.DUMMYFUNCTION("CONCATENATE($B515,(VLOOKUP($C515,CATALOGOS!$F$2:$H$6,3,FALSE)),(VLOOKUP($V515,CATALOGOS!$J$2:$K$18,2,FALSE)),""-"",TO_TEXT($A515))"),"P13SO-0514")</f>
        <v>P13SO-0514</v>
      </c>
      <c r="I515" s="6"/>
      <c r="J515" s="6" t="s">
        <v>3638</v>
      </c>
      <c r="K515" s="6" t="s">
        <v>3639</v>
      </c>
      <c r="L515" s="6" t="s">
        <v>3640</v>
      </c>
      <c r="M515" s="6" t="s">
        <v>3641</v>
      </c>
      <c r="N515" s="17"/>
      <c r="O515" s="17"/>
      <c r="P515" s="17" t="str">
        <f t="shared" si="7"/>
        <v>OK</v>
      </c>
      <c r="Q515" s="17" t="s">
        <v>35</v>
      </c>
      <c r="R515" s="6" t="s">
        <v>35</v>
      </c>
      <c r="S515" s="17" t="s">
        <v>36</v>
      </c>
      <c r="T515" s="17" t="s">
        <v>3642</v>
      </c>
      <c r="U515" s="18" t="s">
        <v>38</v>
      </c>
      <c r="V515" s="19" t="s">
        <v>868</v>
      </c>
      <c r="W515" s="20" t="s">
        <v>3450</v>
      </c>
      <c r="X515" s="21" t="s">
        <v>3451</v>
      </c>
      <c r="Y515" s="22"/>
      <c r="Z515" s="7"/>
      <c r="AA515" s="7"/>
      <c r="AB515" s="23"/>
      <c r="AC515" s="26"/>
    </row>
    <row r="516" spans="1:29" ht="15.75" customHeight="1">
      <c r="A516" s="10" t="s">
        <v>3643</v>
      </c>
      <c r="B516" s="10" t="s">
        <v>1469</v>
      </c>
      <c r="C516" s="52" t="s">
        <v>868</v>
      </c>
      <c r="D516" s="12"/>
      <c r="E516" s="13" t="s">
        <v>2060</v>
      </c>
      <c r="F516" s="6" t="s">
        <v>3631</v>
      </c>
      <c r="G516" s="6" t="str">
        <f ca="1">IFERROR(__xludf.DUMMYFUNCTION("CONCATENATE(B516,(VLOOKUP(C516,CATALOGOS!$F$2:$H$6,3,FALSE)),(VLOOKUP(V516,CATALOGOS!$J$2:$K$18,2,FALSE)),""-"",TO_TEXT(A516))"),"P13SO-0515")</f>
        <v>P13SO-0515</v>
      </c>
      <c r="H516" s="15" t="str">
        <f ca="1">IFERROR(__xludf.DUMMYFUNCTION("CONCATENATE($B516,(VLOOKUP($C516,CATALOGOS!$F$2:$H$6,3,FALSE)),(VLOOKUP($V516,CATALOGOS!$J$2:$K$18,2,FALSE)),""-"",TO_TEXT($A516))"),"P13SO-0515")</f>
        <v>P13SO-0515</v>
      </c>
      <c r="I516" s="6"/>
      <c r="J516" s="6" t="s">
        <v>3644</v>
      </c>
      <c r="K516" s="6" t="s">
        <v>3645</v>
      </c>
      <c r="L516" s="6" t="s">
        <v>3646</v>
      </c>
      <c r="M516" s="6" t="s">
        <v>3647</v>
      </c>
      <c r="N516" s="17"/>
      <c r="O516" s="17"/>
      <c r="P516" s="17" t="str">
        <f t="shared" si="7"/>
        <v>OK</v>
      </c>
      <c r="Q516" s="17" t="s">
        <v>35</v>
      </c>
      <c r="R516" s="6" t="s">
        <v>35</v>
      </c>
      <c r="S516" s="17" t="s">
        <v>36</v>
      </c>
      <c r="T516" s="17" t="s">
        <v>3648</v>
      </c>
      <c r="U516" s="18" t="s">
        <v>38</v>
      </c>
      <c r="V516" s="19" t="s">
        <v>868</v>
      </c>
      <c r="W516" s="20" t="s">
        <v>3450</v>
      </c>
      <c r="X516" s="21" t="s">
        <v>3451</v>
      </c>
      <c r="Y516" s="22"/>
      <c r="Z516" s="7"/>
      <c r="AA516" s="7"/>
      <c r="AB516" s="23"/>
      <c r="AC516" s="26"/>
    </row>
    <row r="517" spans="1:29" ht="15.75" customHeight="1">
      <c r="A517" s="10" t="s">
        <v>3649</v>
      </c>
      <c r="B517" s="10" t="s">
        <v>1469</v>
      </c>
      <c r="C517" s="52" t="s">
        <v>868</v>
      </c>
      <c r="D517" s="12"/>
      <c r="E517" s="13" t="s">
        <v>501</v>
      </c>
      <c r="F517" s="43" t="s">
        <v>3269</v>
      </c>
      <c r="G517" s="6" t="str">
        <f ca="1">IFERROR(__xludf.DUMMYFUNCTION("CONCATENATE(B517,(VLOOKUP(C517,CATALOGOS!$F$2:$H$6,3,FALSE)),(VLOOKUP(V517,CATALOGOS!$J$2:$K$18,2,FALSE)),""-"",TO_TEXT(A517))"),"P13SO-0516")</f>
        <v>P13SO-0516</v>
      </c>
      <c r="H517" s="15" t="str">
        <f ca="1">IFERROR(__xludf.DUMMYFUNCTION("CONCATENATE($B517,(VLOOKUP($C517,CATALOGOS!$F$2:$H$6,3,FALSE)),(VLOOKUP($V517,CATALOGOS!$J$2:$K$18,2,FALSE)),""-"",TO_TEXT($A517))"),"P13SO-0516")</f>
        <v>P13SO-0516</v>
      </c>
      <c r="I517" s="6"/>
      <c r="J517" s="6" t="s">
        <v>3650</v>
      </c>
      <c r="K517" s="6" t="s">
        <v>3651</v>
      </c>
      <c r="L517" s="6" t="s">
        <v>3652</v>
      </c>
      <c r="M517" s="6" t="s">
        <v>3653</v>
      </c>
      <c r="N517" s="17"/>
      <c r="O517" s="17"/>
      <c r="P517" s="17" t="str">
        <f t="shared" si="7"/>
        <v>OK</v>
      </c>
      <c r="Q517" s="17" t="s">
        <v>35</v>
      </c>
      <c r="R517" s="6" t="s">
        <v>35</v>
      </c>
      <c r="S517" s="17" t="s">
        <v>36</v>
      </c>
      <c r="T517" s="17" t="s">
        <v>3654</v>
      </c>
      <c r="U517" s="18" t="s">
        <v>38</v>
      </c>
      <c r="V517" s="19" t="s">
        <v>868</v>
      </c>
      <c r="W517" s="20" t="s">
        <v>3450</v>
      </c>
      <c r="X517" s="21" t="s">
        <v>3451</v>
      </c>
      <c r="Y517" s="22"/>
      <c r="Z517" s="7"/>
      <c r="AA517" s="7"/>
      <c r="AB517" s="23"/>
      <c r="AC517" s="26"/>
    </row>
    <row r="518" spans="1:29" ht="15.75" customHeight="1">
      <c r="A518" s="10" t="s">
        <v>3655</v>
      </c>
      <c r="B518" s="10" t="s">
        <v>1469</v>
      </c>
      <c r="C518" s="52" t="s">
        <v>868</v>
      </c>
      <c r="D518" s="12"/>
      <c r="E518" s="13" t="s">
        <v>2060</v>
      </c>
      <c r="F518" s="6" t="s">
        <v>3631</v>
      </c>
      <c r="G518" s="6" t="str">
        <f ca="1">IFERROR(__xludf.DUMMYFUNCTION("CONCATENATE(B518,(VLOOKUP(C518,CATALOGOS!$F$2:$H$6,3,FALSE)),(VLOOKUP(V518,CATALOGOS!$J$2:$K$18,2,FALSE)),""-"",TO_TEXT(A518))"),"P13SO-0517")</f>
        <v>P13SO-0517</v>
      </c>
      <c r="H518" s="15" t="str">
        <f ca="1">IFERROR(__xludf.DUMMYFUNCTION("CONCATENATE($B518,(VLOOKUP($C518,CATALOGOS!$F$2:$H$6,3,FALSE)),(VLOOKUP($V518,CATALOGOS!$J$2:$K$18,2,FALSE)),""-"",TO_TEXT($A518))"),"P13SO-0517")</f>
        <v>P13SO-0517</v>
      </c>
      <c r="I518" s="6"/>
      <c r="J518" s="6" t="s">
        <v>3656</v>
      </c>
      <c r="K518" s="6" t="s">
        <v>3657</v>
      </c>
      <c r="L518" s="6" t="s">
        <v>3658</v>
      </c>
      <c r="M518" s="6" t="s">
        <v>3659</v>
      </c>
      <c r="N518" s="17"/>
      <c r="O518" s="17"/>
      <c r="P518" s="17" t="str">
        <f t="shared" si="7"/>
        <v>OK</v>
      </c>
      <c r="Q518" s="17" t="s">
        <v>35</v>
      </c>
      <c r="R518" s="6" t="s">
        <v>35</v>
      </c>
      <c r="S518" s="6" t="s">
        <v>36</v>
      </c>
      <c r="T518" s="10" t="s">
        <v>3660</v>
      </c>
      <c r="U518" s="18" t="s">
        <v>38</v>
      </c>
      <c r="V518" s="19" t="s">
        <v>868</v>
      </c>
      <c r="W518" s="20" t="s">
        <v>3450</v>
      </c>
      <c r="X518" s="21" t="s">
        <v>3451</v>
      </c>
      <c r="Y518" s="22"/>
      <c r="Z518" s="7"/>
      <c r="AA518" s="7"/>
      <c r="AB518" s="23"/>
      <c r="AC518" s="26"/>
    </row>
    <row r="519" spans="1:29" ht="15.75" customHeight="1">
      <c r="A519" s="10" t="s">
        <v>3661</v>
      </c>
      <c r="B519" s="10" t="s">
        <v>1469</v>
      </c>
      <c r="C519" s="52" t="s">
        <v>868</v>
      </c>
      <c r="D519" s="12"/>
      <c r="E519" s="13" t="s">
        <v>501</v>
      </c>
      <c r="F519" s="43" t="s">
        <v>3285</v>
      </c>
      <c r="G519" s="6" t="str">
        <f ca="1">IFERROR(__xludf.DUMMYFUNCTION("CONCATENATE(B519,(VLOOKUP(C519,CATALOGOS!$F$2:$H$6,3,FALSE)),(VLOOKUP(V519,CATALOGOS!$J$2:$K$18,2,FALSE)),""-"",TO_TEXT(A519))"),"P13SO-0518")</f>
        <v>P13SO-0518</v>
      </c>
      <c r="H519" s="15" t="str">
        <f ca="1">IFERROR(__xludf.DUMMYFUNCTION("CONCATENATE($B519,(VLOOKUP($C519,CATALOGOS!$F$2:$H$6,3,FALSE)),(VLOOKUP($V519,CATALOGOS!$J$2:$K$18,2,FALSE)),""-"",TO_TEXT($A519))"),"P13SO-0518")</f>
        <v>P13SO-0518</v>
      </c>
      <c r="I519" s="6"/>
      <c r="J519" s="6" t="s">
        <v>3662</v>
      </c>
      <c r="K519" s="6" t="s">
        <v>3663</v>
      </c>
      <c r="L519" s="6" t="s">
        <v>3664</v>
      </c>
      <c r="M519" s="6" t="s">
        <v>3665</v>
      </c>
      <c r="N519" s="17"/>
      <c r="O519" s="17"/>
      <c r="P519" s="17" t="str">
        <f t="shared" si="7"/>
        <v>OK</v>
      </c>
      <c r="Q519" s="17" t="s">
        <v>35</v>
      </c>
      <c r="R519" s="6" t="s">
        <v>35</v>
      </c>
      <c r="S519" s="17" t="s">
        <v>36</v>
      </c>
      <c r="T519" s="17" t="s">
        <v>3666</v>
      </c>
      <c r="U519" s="18" t="s">
        <v>38</v>
      </c>
      <c r="V519" s="19" t="s">
        <v>868</v>
      </c>
      <c r="W519" s="20" t="s">
        <v>3450</v>
      </c>
      <c r="X519" s="21" t="s">
        <v>3451</v>
      </c>
      <c r="Y519" s="22"/>
      <c r="Z519" s="7"/>
      <c r="AA519" s="7"/>
      <c r="AB519" s="23"/>
      <c r="AC519" s="26"/>
    </row>
    <row r="520" spans="1:29" ht="15.75" customHeight="1">
      <c r="A520" s="10" t="s">
        <v>3667</v>
      </c>
      <c r="B520" s="10" t="s">
        <v>1469</v>
      </c>
      <c r="C520" s="52" t="s">
        <v>868</v>
      </c>
      <c r="D520" s="12"/>
      <c r="E520" s="13" t="s">
        <v>501</v>
      </c>
      <c r="F520" s="43" t="s">
        <v>3269</v>
      </c>
      <c r="G520" s="6" t="str">
        <f ca="1">IFERROR(__xludf.DUMMYFUNCTION("CONCATENATE(B520,(VLOOKUP(C520,CATALOGOS!$F$2:$H$6,3,FALSE)),(VLOOKUP(V520,CATALOGOS!$J$2:$K$18,2,FALSE)),""-"",TO_TEXT(A520))"),"P13SO-0519")</f>
        <v>P13SO-0519</v>
      </c>
      <c r="H520" s="15" t="str">
        <f ca="1">IFERROR(__xludf.DUMMYFUNCTION("CONCATENATE($B520,(VLOOKUP($C520,CATALOGOS!$F$2:$H$6,3,FALSE)),(VLOOKUP($V520,CATALOGOS!$J$2:$K$18,2,FALSE)),""-"",TO_TEXT($A520))"),"P13SO-0519")</f>
        <v>P13SO-0519</v>
      </c>
      <c r="I520" s="6"/>
      <c r="J520" s="6" t="s">
        <v>3668</v>
      </c>
      <c r="K520" s="6" t="s">
        <v>3669</v>
      </c>
      <c r="L520" s="6" t="s">
        <v>3670</v>
      </c>
      <c r="M520" s="6" t="s">
        <v>3671</v>
      </c>
      <c r="N520" s="17"/>
      <c r="O520" s="17"/>
      <c r="P520" s="17" t="str">
        <f t="shared" si="7"/>
        <v>OK</v>
      </c>
      <c r="Q520" s="17" t="s">
        <v>35</v>
      </c>
      <c r="R520" s="6" t="s">
        <v>35</v>
      </c>
      <c r="S520" s="17" t="s">
        <v>36</v>
      </c>
      <c r="T520" s="17" t="s">
        <v>3672</v>
      </c>
      <c r="U520" s="18" t="s">
        <v>38</v>
      </c>
      <c r="V520" s="19" t="s">
        <v>868</v>
      </c>
      <c r="W520" s="20" t="s">
        <v>3450</v>
      </c>
      <c r="X520" s="21" t="s">
        <v>3451</v>
      </c>
      <c r="Y520" s="22"/>
      <c r="Z520" s="7"/>
      <c r="AA520" s="7"/>
      <c r="AB520" s="23"/>
      <c r="AC520" s="26"/>
    </row>
    <row r="521" spans="1:29" ht="15.75" customHeight="1">
      <c r="A521" s="10" t="s">
        <v>3673</v>
      </c>
      <c r="B521" s="10" t="s">
        <v>1469</v>
      </c>
      <c r="C521" s="52" t="s">
        <v>868</v>
      </c>
      <c r="D521" s="12"/>
      <c r="E521" s="13" t="s">
        <v>2060</v>
      </c>
      <c r="F521" s="6" t="s">
        <v>3631</v>
      </c>
      <c r="G521" s="6" t="str">
        <f ca="1">IFERROR(__xludf.DUMMYFUNCTION("CONCATENATE(B521,(VLOOKUP(C521,CATALOGOS!$F$2:$H$6,3,FALSE)),(VLOOKUP(V521,CATALOGOS!$J$2:$K$18,2,FALSE)),""-"",TO_TEXT(A521))"),"P13SO-0520")</f>
        <v>P13SO-0520</v>
      </c>
      <c r="H521" s="15" t="str">
        <f ca="1">IFERROR(__xludf.DUMMYFUNCTION("CONCATENATE($B521,(VLOOKUP($C521,CATALOGOS!$F$2:$H$6,3,FALSE)),(VLOOKUP($V521,CATALOGOS!$J$2:$K$18,2,FALSE)),""-"",TO_TEXT($A521))"),"P13SO-0520")</f>
        <v>P13SO-0520</v>
      </c>
      <c r="I521" s="6"/>
      <c r="J521" s="6" t="s">
        <v>3674</v>
      </c>
      <c r="K521" s="6" t="s">
        <v>3675</v>
      </c>
      <c r="L521" s="37"/>
      <c r="M521" s="6" t="s">
        <v>141</v>
      </c>
      <c r="N521" s="17"/>
      <c r="O521" s="17"/>
      <c r="P521" s="17" t="str">
        <f t="shared" si="7"/>
        <v>REPETIDO</v>
      </c>
      <c r="Q521" s="17" t="s">
        <v>35</v>
      </c>
      <c r="R521" s="6" t="s">
        <v>35</v>
      </c>
      <c r="S521" s="6" t="s">
        <v>36</v>
      </c>
      <c r="T521" s="10" t="s">
        <v>85</v>
      </c>
      <c r="U521" s="18" t="s">
        <v>38</v>
      </c>
      <c r="V521" s="19" t="s">
        <v>868</v>
      </c>
      <c r="W521" s="20" t="s">
        <v>3450</v>
      </c>
      <c r="X521" s="21" t="s">
        <v>3451</v>
      </c>
      <c r="Y521" s="22"/>
      <c r="Z521" s="7"/>
      <c r="AA521" s="7"/>
      <c r="AB521" s="23"/>
      <c r="AC521" s="26"/>
    </row>
    <row r="522" spans="1:29" ht="15.75" customHeight="1">
      <c r="A522" s="10" t="s">
        <v>3676</v>
      </c>
      <c r="B522" s="10" t="s">
        <v>1469</v>
      </c>
      <c r="C522" s="52" t="s">
        <v>868</v>
      </c>
      <c r="D522" s="12"/>
      <c r="E522" s="13" t="s">
        <v>501</v>
      </c>
      <c r="F522" s="43" t="s">
        <v>3269</v>
      </c>
      <c r="G522" s="6" t="str">
        <f ca="1">IFERROR(__xludf.DUMMYFUNCTION("CONCATENATE(B522,(VLOOKUP(C522,CATALOGOS!$F$2:$H$6,3,FALSE)),(VLOOKUP(V522,CATALOGOS!$J$2:$K$18,2,FALSE)),""-"",TO_TEXT(A522))"),"P13SO-0521")</f>
        <v>P13SO-0521</v>
      </c>
      <c r="H522" s="15" t="str">
        <f ca="1">IFERROR(__xludf.DUMMYFUNCTION("CONCATENATE($B522,(VLOOKUP($C522,CATALOGOS!$F$2:$H$6,3,FALSE)),(VLOOKUP($V522,CATALOGOS!$J$2:$K$18,2,FALSE)),""-"",TO_TEXT($A522))"),"P13SO-0521")</f>
        <v>P13SO-0521</v>
      </c>
      <c r="I522" s="6"/>
      <c r="J522" s="6" t="s">
        <v>3677</v>
      </c>
      <c r="K522" s="6" t="s">
        <v>3678</v>
      </c>
      <c r="L522" s="6" t="s">
        <v>3679</v>
      </c>
      <c r="M522" s="6" t="s">
        <v>3680</v>
      </c>
      <c r="N522" s="17"/>
      <c r="O522" s="17"/>
      <c r="P522" s="17" t="str">
        <f t="shared" si="7"/>
        <v>OK</v>
      </c>
      <c r="Q522" s="17" t="s">
        <v>35</v>
      </c>
      <c r="R522" s="6" t="s">
        <v>35</v>
      </c>
      <c r="S522" s="17" t="s">
        <v>36</v>
      </c>
      <c r="T522" s="17" t="s">
        <v>3681</v>
      </c>
      <c r="U522" s="18" t="s">
        <v>38</v>
      </c>
      <c r="V522" s="19" t="s">
        <v>868</v>
      </c>
      <c r="W522" s="20" t="s">
        <v>3450</v>
      </c>
      <c r="X522" s="21" t="s">
        <v>3451</v>
      </c>
      <c r="Y522" s="22"/>
      <c r="Z522" s="7"/>
      <c r="AA522" s="7"/>
      <c r="AB522" s="23"/>
      <c r="AC522" s="26"/>
    </row>
    <row r="523" spans="1:29" ht="15.75" customHeight="1">
      <c r="A523" s="10" t="s">
        <v>3682</v>
      </c>
      <c r="B523" s="10" t="s">
        <v>1469</v>
      </c>
      <c r="C523" s="52" t="s">
        <v>868</v>
      </c>
      <c r="D523" s="12"/>
      <c r="E523" s="13" t="s">
        <v>2060</v>
      </c>
      <c r="F523" s="6" t="s">
        <v>3631</v>
      </c>
      <c r="G523" s="6" t="str">
        <f ca="1">IFERROR(__xludf.DUMMYFUNCTION("CONCATENATE(B523,(VLOOKUP(C523,CATALOGOS!$F$2:$H$6,3,FALSE)),(VLOOKUP(V523,CATALOGOS!$J$2:$K$18,2,FALSE)),""-"",TO_TEXT(A523))"),"P13SO-0522")</f>
        <v>P13SO-0522</v>
      </c>
      <c r="H523" s="15" t="str">
        <f ca="1">IFERROR(__xludf.DUMMYFUNCTION("CONCATENATE($B523,(VLOOKUP($C523,CATALOGOS!$F$2:$H$6,3,FALSE)),(VLOOKUP($V523,CATALOGOS!$J$2:$K$18,2,FALSE)),""-"",TO_TEXT($A523))"),"P13SO-0522")</f>
        <v>P13SO-0522</v>
      </c>
      <c r="I523" s="6"/>
      <c r="J523" s="6" t="s">
        <v>3683</v>
      </c>
      <c r="K523" s="6" t="s">
        <v>3684</v>
      </c>
      <c r="L523" s="37"/>
      <c r="M523" s="6" t="s">
        <v>141</v>
      </c>
      <c r="N523" s="17"/>
      <c r="O523" s="17"/>
      <c r="P523" s="17" t="str">
        <f t="shared" si="7"/>
        <v>REPETIDO</v>
      </c>
      <c r="Q523" s="17" t="s">
        <v>35</v>
      </c>
      <c r="R523" s="6" t="s">
        <v>35</v>
      </c>
      <c r="S523" s="6" t="s">
        <v>36</v>
      </c>
      <c r="T523" s="10" t="s">
        <v>85</v>
      </c>
      <c r="U523" s="18" t="s">
        <v>38</v>
      </c>
      <c r="V523" s="19" t="s">
        <v>868</v>
      </c>
      <c r="W523" s="20" t="s">
        <v>3450</v>
      </c>
      <c r="X523" s="21" t="s">
        <v>3451</v>
      </c>
      <c r="Y523" s="22"/>
      <c r="Z523" s="7"/>
      <c r="AA523" s="7"/>
      <c r="AB523" s="23"/>
      <c r="AC523" s="26"/>
    </row>
    <row r="524" spans="1:29" ht="15.75" customHeight="1">
      <c r="A524" s="10" t="s">
        <v>3685</v>
      </c>
      <c r="B524" s="10" t="s">
        <v>1469</v>
      </c>
      <c r="C524" s="52" t="s">
        <v>868</v>
      </c>
      <c r="D524" s="12"/>
      <c r="E524" s="13" t="s">
        <v>501</v>
      </c>
      <c r="F524" s="6" t="s">
        <v>3285</v>
      </c>
      <c r="G524" s="6" t="str">
        <f ca="1">IFERROR(__xludf.DUMMYFUNCTION("CONCATENATE(B524,(VLOOKUP(C524,CATALOGOS!$F$2:$H$6,3,FALSE)),(VLOOKUP(V524,CATALOGOS!$J$2:$K$18,2,FALSE)),""-"",TO_TEXT(A524))"),"P13SO-0523")</f>
        <v>P13SO-0523</v>
      </c>
      <c r="H524" s="15" t="str">
        <f ca="1">IFERROR(__xludf.DUMMYFUNCTION("CONCATENATE($B524,(VLOOKUP($C524,CATALOGOS!$F$2:$H$6,3,FALSE)),(VLOOKUP($V524,CATALOGOS!$J$2:$K$18,2,FALSE)),""-"",TO_TEXT($A524))"),"P13SO-0523")</f>
        <v>P13SO-0523</v>
      </c>
      <c r="I524" s="6"/>
      <c r="J524" s="6" t="s">
        <v>3686</v>
      </c>
      <c r="K524" s="6" t="s">
        <v>3687</v>
      </c>
      <c r="L524" s="6" t="s">
        <v>3688</v>
      </c>
      <c r="M524" s="6" t="s">
        <v>3689</v>
      </c>
      <c r="N524" s="17"/>
      <c r="O524" s="17"/>
      <c r="P524" s="17" t="str">
        <f t="shared" si="7"/>
        <v>OK</v>
      </c>
      <c r="Q524" s="17" t="s">
        <v>35</v>
      </c>
      <c r="R524" s="6" t="s">
        <v>35</v>
      </c>
      <c r="S524" s="17" t="s">
        <v>36</v>
      </c>
      <c r="T524" s="17" t="s">
        <v>3690</v>
      </c>
      <c r="U524" s="18" t="s">
        <v>38</v>
      </c>
      <c r="V524" s="19" t="s">
        <v>868</v>
      </c>
      <c r="W524" s="20" t="s">
        <v>3450</v>
      </c>
      <c r="X524" s="21" t="s">
        <v>3451</v>
      </c>
      <c r="Y524" s="22"/>
      <c r="Z524" s="7"/>
      <c r="AA524" s="7"/>
      <c r="AB524" s="23"/>
      <c r="AC524" s="26"/>
    </row>
    <row r="525" spans="1:29" ht="15.75" customHeight="1">
      <c r="A525" s="10" t="s">
        <v>3691</v>
      </c>
      <c r="B525" s="10" t="s">
        <v>1469</v>
      </c>
      <c r="C525" s="52" t="s">
        <v>868</v>
      </c>
      <c r="D525" s="12"/>
      <c r="E525" s="13" t="s">
        <v>501</v>
      </c>
      <c r="F525" s="6" t="s">
        <v>2046</v>
      </c>
      <c r="G525" s="6" t="str">
        <f ca="1">IFERROR(__xludf.DUMMYFUNCTION("CONCATENATE(B525,(VLOOKUP(C525,CATALOGOS!$F$2:$H$6,3,FALSE)),(VLOOKUP(V525,CATALOGOS!$J$2:$K$18,2,FALSE)),""-"",TO_TEXT(A525))"),"P13SO-0524")</f>
        <v>P13SO-0524</v>
      </c>
      <c r="H525" s="15" t="str">
        <f ca="1">IFERROR(__xludf.DUMMYFUNCTION("CONCATENATE($B525,(VLOOKUP($C525,CATALOGOS!$F$2:$H$6,3,FALSE)),(VLOOKUP($V525,CATALOGOS!$J$2:$K$18,2,FALSE)),""-"",TO_TEXT($A525))"),"P13SO-0524")</f>
        <v>P13SO-0524</v>
      </c>
      <c r="I525" s="6"/>
      <c r="J525" s="6" t="s">
        <v>3692</v>
      </c>
      <c r="K525" s="6" t="s">
        <v>3693</v>
      </c>
      <c r="L525" s="6" t="s">
        <v>3694</v>
      </c>
      <c r="M525" s="6" t="s">
        <v>3695</v>
      </c>
      <c r="N525" s="17"/>
      <c r="O525" s="17"/>
      <c r="P525" s="17" t="str">
        <f t="shared" si="7"/>
        <v>OK</v>
      </c>
      <c r="Q525" s="17" t="s">
        <v>35</v>
      </c>
      <c r="R525" s="6" t="s">
        <v>35</v>
      </c>
      <c r="S525" s="6" t="s">
        <v>36</v>
      </c>
      <c r="T525" s="10" t="s">
        <v>3696</v>
      </c>
      <c r="U525" s="18" t="s">
        <v>38</v>
      </c>
      <c r="V525" s="19" t="s">
        <v>868</v>
      </c>
      <c r="W525" s="20" t="s">
        <v>3450</v>
      </c>
      <c r="X525" s="21" t="s">
        <v>3451</v>
      </c>
      <c r="Y525" s="22"/>
      <c r="Z525" s="7"/>
      <c r="AA525" s="7"/>
      <c r="AB525" s="23"/>
      <c r="AC525" s="26"/>
    </row>
    <row r="526" spans="1:29" ht="15.75" customHeight="1">
      <c r="A526" s="10" t="s">
        <v>3697</v>
      </c>
      <c r="B526" s="10" t="s">
        <v>1469</v>
      </c>
      <c r="C526" s="52" t="s">
        <v>868</v>
      </c>
      <c r="D526" s="12"/>
      <c r="E526" s="13" t="s">
        <v>501</v>
      </c>
      <c r="F526" s="43" t="s">
        <v>3269</v>
      </c>
      <c r="G526" s="6" t="str">
        <f ca="1">IFERROR(__xludf.DUMMYFUNCTION("CONCATENATE(B526,(VLOOKUP(C526,CATALOGOS!$F$2:$H$6,3,FALSE)),(VLOOKUP(V526,CATALOGOS!$J$2:$K$18,2,FALSE)),""-"",TO_TEXT(A526))"),"P13SO-0525")</f>
        <v>P13SO-0525</v>
      </c>
      <c r="H526" s="15" t="str">
        <f ca="1">IFERROR(__xludf.DUMMYFUNCTION("CONCATENATE($B526,(VLOOKUP($C526,CATALOGOS!$F$2:$H$6,3,FALSE)),(VLOOKUP($V526,CATALOGOS!$J$2:$K$18,2,FALSE)),""-"",TO_TEXT($A526))"),"P13SO-0525")</f>
        <v>P13SO-0525</v>
      </c>
      <c r="I526" s="6"/>
      <c r="J526" s="6" t="s">
        <v>3698</v>
      </c>
      <c r="K526" s="6" t="s">
        <v>3699</v>
      </c>
      <c r="L526" s="6" t="s">
        <v>3700</v>
      </c>
      <c r="M526" s="6" t="s">
        <v>3701</v>
      </c>
      <c r="N526" s="17"/>
      <c r="O526" s="17"/>
      <c r="P526" s="17" t="str">
        <f t="shared" si="7"/>
        <v>OK</v>
      </c>
      <c r="Q526" s="17" t="s">
        <v>35</v>
      </c>
      <c r="R526" s="6" t="s">
        <v>35</v>
      </c>
      <c r="S526" s="17" t="s">
        <v>36</v>
      </c>
      <c r="T526" s="17" t="s">
        <v>3702</v>
      </c>
      <c r="U526" s="18" t="s">
        <v>38</v>
      </c>
      <c r="V526" s="19" t="s">
        <v>868</v>
      </c>
      <c r="W526" s="20" t="s">
        <v>3450</v>
      </c>
      <c r="X526" s="21" t="s">
        <v>3451</v>
      </c>
      <c r="Y526" s="22"/>
      <c r="Z526" s="7"/>
      <c r="AA526" s="7"/>
      <c r="AB526" s="23"/>
      <c r="AC526" s="26"/>
    </row>
    <row r="527" spans="1:29" ht="15.75" customHeight="1">
      <c r="A527" s="10" t="s">
        <v>3703</v>
      </c>
      <c r="B527" s="10" t="s">
        <v>1469</v>
      </c>
      <c r="C527" s="52" t="s">
        <v>868</v>
      </c>
      <c r="D527" s="12"/>
      <c r="E527" s="13" t="s">
        <v>62</v>
      </c>
      <c r="F527" s="6" t="s">
        <v>3262</v>
      </c>
      <c r="G527" s="6" t="str">
        <f ca="1">IFERROR(__xludf.DUMMYFUNCTION("CONCATENATE(B527,(VLOOKUP(C527,CATALOGOS!$F$2:$H$6,3,FALSE)),(VLOOKUP(V527,CATALOGOS!$J$2:$K$18,2,FALSE)),""-"",TO_TEXT(A527))"),"P13SO-0526")</f>
        <v>P13SO-0526</v>
      </c>
      <c r="H527" s="15" t="str">
        <f ca="1">IFERROR(__xludf.DUMMYFUNCTION("CONCATENATE($B527,(VLOOKUP($C527,CATALOGOS!$F$2:$H$6,3,FALSE)),(VLOOKUP($V527,CATALOGOS!$J$2:$K$18,2,FALSE)),""-"",TO_TEXT($A527))"),"P13SO-0526")</f>
        <v>P13SO-0526</v>
      </c>
      <c r="I527" s="6"/>
      <c r="J527" s="6" t="s">
        <v>3704</v>
      </c>
      <c r="K527" s="6" t="s">
        <v>3705</v>
      </c>
      <c r="L527" s="6" t="s">
        <v>3706</v>
      </c>
      <c r="M527" s="6" t="s">
        <v>3707</v>
      </c>
      <c r="N527" s="17"/>
      <c r="O527" s="17"/>
      <c r="P527" s="17" t="str">
        <f t="shared" si="7"/>
        <v>OK</v>
      </c>
      <c r="Q527" s="17" t="s">
        <v>35</v>
      </c>
      <c r="R527" s="6" t="s">
        <v>35</v>
      </c>
      <c r="S527" s="17" t="s">
        <v>36</v>
      </c>
      <c r="T527" s="17" t="s">
        <v>3708</v>
      </c>
      <c r="U527" s="18" t="s">
        <v>38</v>
      </c>
      <c r="V527" s="19" t="s">
        <v>868</v>
      </c>
      <c r="W527" s="20" t="s">
        <v>3450</v>
      </c>
      <c r="X527" s="21" t="s">
        <v>3451</v>
      </c>
      <c r="Y527" s="22"/>
      <c r="Z527" s="71"/>
      <c r="AA527" s="71"/>
      <c r="AB527" s="23"/>
      <c r="AC527" s="26"/>
    </row>
    <row r="528" spans="1:29" ht="15.75" customHeight="1">
      <c r="A528" s="10" t="s">
        <v>3709</v>
      </c>
      <c r="B528" s="10" t="s">
        <v>1469</v>
      </c>
      <c r="C528" s="52" t="s">
        <v>868</v>
      </c>
      <c r="D528" s="38"/>
      <c r="E528" s="13" t="s">
        <v>93</v>
      </c>
      <c r="F528" s="6" t="s">
        <v>3710</v>
      </c>
      <c r="G528" s="6" t="str">
        <f ca="1">IFERROR(__xludf.DUMMYFUNCTION("CONCATENATE(B528,(VLOOKUP(C528,CATALOGOS!$F$2:$H$6,3,FALSE)),(VLOOKUP(V528,CATALOGOS!$J$2:$K$18,2,FALSE)),""-"",TO_TEXT(A528))"),"P13SO-0527")</f>
        <v>P13SO-0527</v>
      </c>
      <c r="H528" s="15" t="str">
        <f ca="1">IFERROR(__xludf.DUMMYFUNCTION("CONCATENATE($B528,(VLOOKUP($C528,CATALOGOS!$F$2:$H$6,3,FALSE)),(VLOOKUP($V528,CATALOGOS!$J$2:$K$18,2,FALSE)),""-"",TO_TEXT($A528))"),"P13SO-0527")</f>
        <v>P13SO-0527</v>
      </c>
      <c r="I528" s="6"/>
      <c r="J528" s="6" t="s">
        <v>3711</v>
      </c>
      <c r="K528" s="6" t="s">
        <v>3712</v>
      </c>
      <c r="L528" s="6" t="s">
        <v>3713</v>
      </c>
      <c r="M528" s="6" t="s">
        <v>3714</v>
      </c>
      <c r="N528" s="17"/>
      <c r="O528" s="17"/>
      <c r="P528" s="17" t="str">
        <f t="shared" si="7"/>
        <v>OK</v>
      </c>
      <c r="Q528" s="17" t="s">
        <v>35</v>
      </c>
      <c r="R528" s="6" t="s">
        <v>35</v>
      </c>
      <c r="S528" s="46" t="s">
        <v>36</v>
      </c>
      <c r="T528" s="17" t="s">
        <v>3715</v>
      </c>
      <c r="U528" s="18" t="s">
        <v>38</v>
      </c>
      <c r="V528" s="19" t="s">
        <v>868</v>
      </c>
      <c r="W528" s="20" t="s">
        <v>3716</v>
      </c>
      <c r="X528" s="21" t="s">
        <v>3451</v>
      </c>
      <c r="Y528" s="32"/>
      <c r="Z528" s="7"/>
      <c r="AA528" s="7"/>
      <c r="AB528" s="26"/>
      <c r="AC528" s="26"/>
    </row>
    <row r="529" spans="1:29" ht="15.75" customHeight="1">
      <c r="A529" s="10" t="s">
        <v>3717</v>
      </c>
      <c r="B529" s="10" t="s">
        <v>1469</v>
      </c>
      <c r="C529" s="52" t="s">
        <v>868</v>
      </c>
      <c r="D529" s="12"/>
      <c r="E529" s="13" t="s">
        <v>242</v>
      </c>
      <c r="F529" s="6" t="s">
        <v>3718</v>
      </c>
      <c r="G529" s="14" t="str">
        <f ca="1">IFERROR(__xludf.DUMMYFUNCTION("CONCATENATE(B529,(VLOOKUP(C529,CATALOGOS!$F$2:$H$6,3,FALSE)),(VLOOKUP(V529,CATALOGOS!$J$2:$K$18,2,FALSE)),""-"",TO_TEXT(A529))"),"P13SO-0528")</f>
        <v>P13SO-0528</v>
      </c>
      <c r="H529" s="15" t="str">
        <f ca="1">IFERROR(__xludf.DUMMYFUNCTION("CONCATENATE($B529,(VLOOKUP($C529,CATALOGOS!$F$2:$H$6,3,FALSE)),(VLOOKUP($V529,CATALOGOS!$J$2:$K$18,2,FALSE)),""-"",TO_TEXT($A529))"),"P13SO-0528")</f>
        <v>P13SO-0528</v>
      </c>
      <c r="I529" s="6"/>
      <c r="J529" s="6" t="s">
        <v>3719</v>
      </c>
      <c r="K529" s="6" t="s">
        <v>3720</v>
      </c>
      <c r="L529" s="37"/>
      <c r="M529" s="6" t="s">
        <v>141</v>
      </c>
      <c r="N529" s="17"/>
      <c r="O529" s="17"/>
      <c r="P529" s="17" t="str">
        <f t="shared" si="7"/>
        <v>REPETIDO</v>
      </c>
      <c r="Q529" s="17" t="s">
        <v>856</v>
      </c>
      <c r="R529" s="6" t="s">
        <v>3721</v>
      </c>
      <c r="S529" s="6" t="s">
        <v>36</v>
      </c>
      <c r="T529" s="10" t="s">
        <v>85</v>
      </c>
      <c r="U529" s="18" t="s">
        <v>38</v>
      </c>
      <c r="V529" s="19" t="s">
        <v>868</v>
      </c>
      <c r="W529" s="22" t="s">
        <v>1665</v>
      </c>
      <c r="X529" s="21" t="s">
        <v>1665</v>
      </c>
      <c r="Y529" s="22"/>
      <c r="Z529" s="7"/>
      <c r="AA529" s="7"/>
      <c r="AB529" s="23"/>
      <c r="AC529" s="26"/>
    </row>
    <row r="530" spans="1:29" ht="15.75" customHeight="1">
      <c r="A530" s="10" t="s">
        <v>3722</v>
      </c>
      <c r="B530" s="10" t="s">
        <v>1469</v>
      </c>
      <c r="C530" s="52" t="s">
        <v>868</v>
      </c>
      <c r="D530" s="12"/>
      <c r="E530" s="13" t="s">
        <v>116</v>
      </c>
      <c r="F530" s="6" t="s">
        <v>3723</v>
      </c>
      <c r="G530" s="14" t="str">
        <f ca="1">IFERROR(__xludf.DUMMYFUNCTION("CONCATENATE(B530,(VLOOKUP(C530,CATALOGOS!$F$2:$H$6,3,FALSE)),(VLOOKUP(V530,CATALOGOS!$J$2:$K$18,2,FALSE)),""-"",TO_TEXT(A530))"),"P13SO-0529")</f>
        <v>P13SO-0529</v>
      </c>
      <c r="H530" s="15" t="str">
        <f ca="1">IFERROR(__xludf.DUMMYFUNCTION("CONCATENATE($B530,(VLOOKUP($C530,CATALOGOS!$F$2:$H$6,3,FALSE)),(VLOOKUP($V530,CATALOGOS!$J$2:$K$18,2,FALSE)),""-"",TO_TEXT($A530))"),"P13SO-0529")</f>
        <v>P13SO-0529</v>
      </c>
      <c r="I530" s="6"/>
      <c r="J530" s="6" t="s">
        <v>3724</v>
      </c>
      <c r="K530" s="6" t="s">
        <v>3725</v>
      </c>
      <c r="L530" s="6" t="s">
        <v>3726</v>
      </c>
      <c r="M530" s="6" t="s">
        <v>3727</v>
      </c>
      <c r="N530" s="17"/>
      <c r="O530" s="17"/>
      <c r="P530" s="17" t="str">
        <f t="shared" si="7"/>
        <v>OK</v>
      </c>
      <c r="Q530" s="17" t="s">
        <v>35</v>
      </c>
      <c r="R530" s="6" t="s">
        <v>35</v>
      </c>
      <c r="S530" s="17" t="s">
        <v>36</v>
      </c>
      <c r="T530" s="17" t="s">
        <v>3728</v>
      </c>
      <c r="U530" s="18" t="s">
        <v>38</v>
      </c>
      <c r="V530" s="19" t="s">
        <v>868</v>
      </c>
      <c r="W530" s="22" t="s">
        <v>1665</v>
      </c>
      <c r="X530" s="21" t="s">
        <v>1665</v>
      </c>
      <c r="Y530" s="22"/>
      <c r="Z530" s="7"/>
      <c r="AA530" s="7"/>
      <c r="AB530" s="23"/>
      <c r="AC530" s="26"/>
    </row>
    <row r="531" spans="1:29" ht="15.75" customHeight="1">
      <c r="A531" s="10" t="s">
        <v>3729</v>
      </c>
      <c r="B531" s="10" t="s">
        <v>1469</v>
      </c>
      <c r="C531" s="52" t="s">
        <v>868</v>
      </c>
      <c r="D531" s="12"/>
      <c r="E531" s="13" t="s">
        <v>62</v>
      </c>
      <c r="F531" s="6" t="s">
        <v>3730</v>
      </c>
      <c r="G531" s="14" t="str">
        <f ca="1">IFERROR(__xludf.DUMMYFUNCTION("CONCATENATE(B531,(VLOOKUP(C531,CATALOGOS!$F$2:$H$6,3,FALSE)),(VLOOKUP(V531,CATALOGOS!$J$2:$K$18,2,FALSE)),""-"",TO_TEXT(A531))"),"P13SO-0530")</f>
        <v>P13SO-0530</v>
      </c>
      <c r="H531" s="15" t="str">
        <f ca="1">IFERROR(__xludf.DUMMYFUNCTION("CONCATENATE($B531,(VLOOKUP($C531,CATALOGOS!$F$2:$H$6,3,FALSE)),(VLOOKUP($V531,CATALOGOS!$J$2:$K$18,2,FALSE)),""-"",TO_TEXT($A531))"),"P13SO-0530")</f>
        <v>P13SO-0530</v>
      </c>
      <c r="I531" s="6"/>
      <c r="J531" s="6" t="s">
        <v>3731</v>
      </c>
      <c r="K531" s="6" t="s">
        <v>3732</v>
      </c>
      <c r="L531" s="6" t="s">
        <v>3733</v>
      </c>
      <c r="M531" s="6" t="s">
        <v>3734</v>
      </c>
      <c r="N531" s="17"/>
      <c r="O531" s="17"/>
      <c r="P531" s="17" t="str">
        <f t="shared" si="7"/>
        <v>OK</v>
      </c>
      <c r="Q531" s="17" t="s">
        <v>35</v>
      </c>
      <c r="R531" s="6" t="s">
        <v>35</v>
      </c>
      <c r="S531" s="17" t="s">
        <v>36</v>
      </c>
      <c r="T531" s="17" t="s">
        <v>3735</v>
      </c>
      <c r="U531" s="18" t="s">
        <v>38</v>
      </c>
      <c r="V531" s="19" t="s">
        <v>868</v>
      </c>
      <c r="W531" s="22" t="s">
        <v>1665</v>
      </c>
      <c r="X531" s="21" t="s">
        <v>1665</v>
      </c>
      <c r="Y531" s="22"/>
      <c r="Z531" s="7"/>
      <c r="AA531" s="7"/>
      <c r="AB531" s="23"/>
      <c r="AC531" s="26"/>
    </row>
    <row r="532" spans="1:29" ht="15.75" customHeight="1">
      <c r="A532" s="10" t="s">
        <v>3736</v>
      </c>
      <c r="B532" s="10" t="s">
        <v>1469</v>
      </c>
      <c r="C532" s="52" t="s">
        <v>868</v>
      </c>
      <c r="D532" s="12"/>
      <c r="E532" s="13" t="s">
        <v>62</v>
      </c>
      <c r="F532" s="6" t="s">
        <v>3737</v>
      </c>
      <c r="G532" s="14" t="str">
        <f ca="1">IFERROR(__xludf.DUMMYFUNCTION("CONCATENATE(B532,(VLOOKUP(C532,CATALOGOS!$F$2:$H$6,3,FALSE)),(VLOOKUP(V532,CATALOGOS!$J$2:$K$18,2,FALSE)),""-"",TO_TEXT(A532))"),"P13SO-0531")</f>
        <v>P13SO-0531</v>
      </c>
      <c r="H532" s="15" t="str">
        <f ca="1">IFERROR(__xludf.DUMMYFUNCTION("CONCATENATE($B532,(VLOOKUP($C532,CATALOGOS!$F$2:$H$6,3,FALSE)),(VLOOKUP($V532,CATALOGOS!$J$2:$K$18,2,FALSE)),""-"",TO_TEXT($A532))"),"P13SO-0531")</f>
        <v>P13SO-0531</v>
      </c>
      <c r="I532" s="6"/>
      <c r="J532" s="6" t="s">
        <v>3738</v>
      </c>
      <c r="K532" s="6" t="s">
        <v>3739</v>
      </c>
      <c r="L532" s="6" t="s">
        <v>3740</v>
      </c>
      <c r="M532" s="6" t="s">
        <v>3741</v>
      </c>
      <c r="N532" s="17"/>
      <c r="O532" s="17"/>
      <c r="P532" s="17" t="str">
        <f t="shared" si="7"/>
        <v>OK</v>
      </c>
      <c r="Q532" s="17" t="s">
        <v>35</v>
      </c>
      <c r="R532" s="6" t="s">
        <v>35</v>
      </c>
      <c r="S532" s="17" t="s">
        <v>36</v>
      </c>
      <c r="T532" s="17" t="s">
        <v>3742</v>
      </c>
      <c r="U532" s="18" t="s">
        <v>38</v>
      </c>
      <c r="V532" s="19" t="s">
        <v>868</v>
      </c>
      <c r="W532" s="22" t="s">
        <v>1665</v>
      </c>
      <c r="X532" s="21" t="s">
        <v>1665</v>
      </c>
      <c r="Y532" s="22"/>
      <c r="Z532" s="7"/>
      <c r="AA532" s="7"/>
      <c r="AB532" s="23"/>
      <c r="AC532" s="26"/>
    </row>
    <row r="533" spans="1:29" ht="15.75" customHeight="1">
      <c r="A533" s="10" t="s">
        <v>3743</v>
      </c>
      <c r="B533" s="10" t="s">
        <v>1469</v>
      </c>
      <c r="C533" s="52" t="s">
        <v>868</v>
      </c>
      <c r="D533" s="12"/>
      <c r="E533" s="13" t="s">
        <v>3521</v>
      </c>
      <c r="F533" s="6" t="s">
        <v>3744</v>
      </c>
      <c r="G533" s="14" t="str">
        <f ca="1">IFERROR(__xludf.DUMMYFUNCTION("CONCATENATE(B533,(VLOOKUP(C533,CATALOGOS!$F$2:$H$6,3,FALSE)),(VLOOKUP(V533,CATALOGOS!$J$2:$K$18,2,FALSE)),""-"",TO_TEXT(A533))"),"P13SO-0532")</f>
        <v>P13SO-0532</v>
      </c>
      <c r="H533" s="15" t="str">
        <f ca="1">IFERROR(__xludf.DUMMYFUNCTION("CONCATENATE($B533,(VLOOKUP($C533,CATALOGOS!$F$2:$H$6,3,FALSE)),(VLOOKUP($V533,CATALOGOS!$J$2:$K$18,2,FALSE)),""-"",TO_TEXT($A533))"),"P13SO-0532")</f>
        <v>P13SO-0532</v>
      </c>
      <c r="I533" s="6"/>
      <c r="J533" s="6" t="s">
        <v>3745</v>
      </c>
      <c r="K533" s="6" t="s">
        <v>3746</v>
      </c>
      <c r="L533" s="6" t="s">
        <v>3747</v>
      </c>
      <c r="M533" s="6" t="s">
        <v>3748</v>
      </c>
      <c r="N533" s="17"/>
      <c r="O533" s="17"/>
      <c r="P533" s="17" t="str">
        <f t="shared" si="7"/>
        <v>OK</v>
      </c>
      <c r="Q533" s="17" t="s">
        <v>35</v>
      </c>
      <c r="R533" s="6" t="s">
        <v>35</v>
      </c>
      <c r="S533" s="17" t="s">
        <v>36</v>
      </c>
      <c r="T533" s="17" t="s">
        <v>3749</v>
      </c>
      <c r="U533" s="18" t="s">
        <v>38</v>
      </c>
      <c r="V533" s="19" t="s">
        <v>868</v>
      </c>
      <c r="W533" s="22" t="s">
        <v>1665</v>
      </c>
      <c r="X533" s="21" t="s">
        <v>1665</v>
      </c>
      <c r="Y533" s="22"/>
      <c r="Z533" s="7"/>
      <c r="AA533" s="7"/>
      <c r="AB533" s="23"/>
      <c r="AC533" s="26"/>
    </row>
    <row r="534" spans="1:29" ht="15.75" customHeight="1">
      <c r="A534" s="10" t="s">
        <v>3750</v>
      </c>
      <c r="B534" s="10" t="s">
        <v>1469</v>
      </c>
      <c r="C534" s="52" t="s">
        <v>868</v>
      </c>
      <c r="D534" s="12"/>
      <c r="E534" s="13" t="s">
        <v>43</v>
      </c>
      <c r="F534" s="43" t="s">
        <v>3751</v>
      </c>
      <c r="G534" s="14" t="str">
        <f ca="1">IFERROR(__xludf.DUMMYFUNCTION("CONCATENATE(B534,(VLOOKUP(C534,CATALOGOS!$F$2:$H$6,3,FALSE)),(VLOOKUP(V534,CATALOGOS!$J$2:$K$18,2,FALSE)),""-"",TO_TEXT(A534))"),"P13SO-0533")</f>
        <v>P13SO-0533</v>
      </c>
      <c r="H534" s="15" t="str">
        <f ca="1">IFERROR(__xludf.DUMMYFUNCTION("CONCATENATE($B534,(VLOOKUP($C534,CATALOGOS!$F$2:$H$6,3,FALSE)),(VLOOKUP($V534,CATALOGOS!$J$2:$K$18,2,FALSE)),""-"",TO_TEXT($A534))"),"P13SO-0533")</f>
        <v>P13SO-0533</v>
      </c>
      <c r="I534" s="6"/>
      <c r="J534" s="6" t="s">
        <v>3752</v>
      </c>
      <c r="K534" s="6" t="s">
        <v>3753</v>
      </c>
      <c r="L534" s="6" t="s">
        <v>3754</v>
      </c>
      <c r="M534" s="6" t="s">
        <v>3755</v>
      </c>
      <c r="N534" s="17"/>
      <c r="O534" s="17"/>
      <c r="P534" s="17" t="str">
        <f t="shared" si="7"/>
        <v>OK</v>
      </c>
      <c r="Q534" s="17" t="s">
        <v>406</v>
      </c>
      <c r="R534" s="6" t="s">
        <v>3756</v>
      </c>
      <c r="S534" s="17" t="s">
        <v>3757</v>
      </c>
      <c r="T534" s="17" t="s">
        <v>3758</v>
      </c>
      <c r="U534" s="18" t="s">
        <v>38</v>
      </c>
      <c r="V534" s="19" t="s">
        <v>868</v>
      </c>
      <c r="W534" s="22" t="s">
        <v>1665</v>
      </c>
      <c r="X534" s="21" t="s">
        <v>1665</v>
      </c>
      <c r="Y534" s="22"/>
      <c r="Z534" s="7"/>
      <c r="AA534" s="7"/>
      <c r="AB534" s="23"/>
      <c r="AC534" s="26"/>
    </row>
    <row r="535" spans="1:29" ht="15.75" customHeight="1">
      <c r="A535" s="10" t="s">
        <v>3759</v>
      </c>
      <c r="B535" s="10" t="s">
        <v>1469</v>
      </c>
      <c r="C535" s="52" t="s">
        <v>868</v>
      </c>
      <c r="D535" s="12"/>
      <c r="E535" s="13" t="s">
        <v>116</v>
      </c>
      <c r="F535" s="6" t="s">
        <v>3760</v>
      </c>
      <c r="G535" s="14" t="str">
        <f ca="1">IFERROR(__xludf.DUMMYFUNCTION("CONCATENATE(B535,(VLOOKUP(C535,CATALOGOS!$F$2:$H$6,3,FALSE)),(VLOOKUP(V535,CATALOGOS!$J$2:$K$18,2,FALSE)),""-"",TO_TEXT(A535))"),"P13SO-0534")</f>
        <v>P13SO-0534</v>
      </c>
      <c r="H535" s="15" t="str">
        <f ca="1">IFERROR(__xludf.DUMMYFUNCTION("CONCATENATE($B535,(VLOOKUP($C535,CATALOGOS!$F$2:$H$6,3,FALSE)),(VLOOKUP($V535,CATALOGOS!$J$2:$K$18,2,FALSE)),""-"",TO_TEXT($A535))"),"P13SO-0534")</f>
        <v>P13SO-0534</v>
      </c>
      <c r="I535" s="6"/>
      <c r="J535" s="6" t="s">
        <v>3761</v>
      </c>
      <c r="K535" s="6" t="s">
        <v>3762</v>
      </c>
      <c r="L535" s="6" t="s">
        <v>3763</v>
      </c>
      <c r="M535" s="6" t="s">
        <v>3764</v>
      </c>
      <c r="N535" s="17"/>
      <c r="O535" s="17"/>
      <c r="P535" s="17" t="str">
        <f t="shared" si="7"/>
        <v>OK</v>
      </c>
      <c r="Q535" s="17" t="s">
        <v>35</v>
      </c>
      <c r="R535" s="49" t="s">
        <v>35</v>
      </c>
      <c r="S535" s="17" t="s">
        <v>36</v>
      </c>
      <c r="T535" s="17" t="s">
        <v>3765</v>
      </c>
      <c r="U535" s="18" t="s">
        <v>38</v>
      </c>
      <c r="V535" s="19" t="s">
        <v>868</v>
      </c>
      <c r="W535" s="22" t="s">
        <v>1665</v>
      </c>
      <c r="X535" s="21" t="s">
        <v>1665</v>
      </c>
      <c r="Y535" s="22"/>
      <c r="Z535" s="7"/>
      <c r="AA535" s="7"/>
      <c r="AB535" s="23"/>
      <c r="AC535" s="26"/>
    </row>
    <row r="536" spans="1:29" ht="15.75" customHeight="1">
      <c r="A536" s="10" t="s">
        <v>3766</v>
      </c>
      <c r="B536" s="10" t="s">
        <v>1469</v>
      </c>
      <c r="C536" s="52" t="s">
        <v>868</v>
      </c>
      <c r="D536" s="12"/>
      <c r="E536" s="13" t="s">
        <v>1240</v>
      </c>
      <c r="F536" s="43" t="s">
        <v>278</v>
      </c>
      <c r="G536" s="14" t="str">
        <f ca="1">IFERROR(__xludf.DUMMYFUNCTION("CONCATENATE(B536,(VLOOKUP(C536,CATALOGOS!$F$2:$H$6,3,FALSE)),(VLOOKUP(V536,CATALOGOS!$J$2:$K$18,2,FALSE)),""-"",TO_TEXT(A536))"),"P13SO-0535")</f>
        <v>P13SO-0535</v>
      </c>
      <c r="H536" s="15" t="str">
        <f ca="1">IFERROR(__xludf.DUMMYFUNCTION("CONCATENATE($B536,(VLOOKUP($C536,CATALOGOS!$F$2:$H$6,3,FALSE)),(VLOOKUP($V536,CATALOGOS!$J$2:$K$18,2,FALSE)),""-"",TO_TEXT($A536))"),"P13SO-0535")</f>
        <v>P13SO-0535</v>
      </c>
      <c r="I536" s="6"/>
      <c r="J536" s="6" t="s">
        <v>3767</v>
      </c>
      <c r="K536" s="6" t="s">
        <v>3768</v>
      </c>
      <c r="L536" s="6" t="s">
        <v>3769</v>
      </c>
      <c r="M536" s="6" t="s">
        <v>3770</v>
      </c>
      <c r="N536" s="17"/>
      <c r="O536" s="17"/>
      <c r="P536" s="17" t="str">
        <f t="shared" si="7"/>
        <v>OK</v>
      </c>
      <c r="Q536" s="17" t="s">
        <v>35</v>
      </c>
      <c r="R536" s="6" t="s">
        <v>35</v>
      </c>
      <c r="S536" s="17" t="s">
        <v>36</v>
      </c>
      <c r="T536" s="17" t="s">
        <v>3771</v>
      </c>
      <c r="U536" s="18" t="s">
        <v>38</v>
      </c>
      <c r="V536" s="19" t="s">
        <v>868</v>
      </c>
      <c r="W536" s="22" t="s">
        <v>1665</v>
      </c>
      <c r="X536" s="21" t="s">
        <v>1665</v>
      </c>
      <c r="Y536" s="22"/>
      <c r="Z536" s="7"/>
      <c r="AA536" s="7"/>
      <c r="AB536" s="23"/>
      <c r="AC536" s="26"/>
    </row>
    <row r="537" spans="1:29" ht="15.75" customHeight="1">
      <c r="A537" s="10" t="s">
        <v>3772</v>
      </c>
      <c r="B537" s="10" t="s">
        <v>1469</v>
      </c>
      <c r="C537" s="52" t="s">
        <v>868</v>
      </c>
      <c r="D537" s="12"/>
      <c r="E537" s="13" t="s">
        <v>248</v>
      </c>
      <c r="F537" s="43" t="s">
        <v>248</v>
      </c>
      <c r="G537" s="14" t="str">
        <f ca="1">IFERROR(__xludf.DUMMYFUNCTION("CONCATENATE(B537,(VLOOKUP(C537,CATALOGOS!$F$2:$H$6,3,FALSE)),(VLOOKUP(V537,CATALOGOS!$J$2:$K$18,2,FALSE)),""-"",TO_TEXT(A537))"),"P13SO-0536")</f>
        <v>P13SO-0536</v>
      </c>
      <c r="H537" s="64" t="str">
        <f ca="1">IFERROR(__xludf.DUMMYFUNCTION("CONCATENATE($B537,(VLOOKUP($C537,CATALOGOS!$F$2:$H$6,3,FALSE)),(VLOOKUP($V537,CATALOGOS!$J$2:$K$18,2,FALSE)),""-"",TO_TEXT($A537))"),"P13SO-0536")</f>
        <v>P13SO-0536</v>
      </c>
      <c r="I537" s="6"/>
      <c r="J537" s="6" t="s">
        <v>3773</v>
      </c>
      <c r="K537" s="6" t="s">
        <v>3774</v>
      </c>
      <c r="L537" s="6" t="s">
        <v>3775</v>
      </c>
      <c r="M537" s="6" t="s">
        <v>3776</v>
      </c>
      <c r="N537" s="17"/>
      <c r="O537" s="17"/>
      <c r="P537" s="17" t="str">
        <f t="shared" si="7"/>
        <v>OK</v>
      </c>
      <c r="Q537" s="17" t="s">
        <v>978</v>
      </c>
      <c r="R537" s="6" t="s">
        <v>3777</v>
      </c>
      <c r="S537" s="17" t="s">
        <v>3778</v>
      </c>
      <c r="T537" s="17" t="s">
        <v>3779</v>
      </c>
      <c r="U537" s="18" t="s">
        <v>38</v>
      </c>
      <c r="V537" s="19" t="s">
        <v>868</v>
      </c>
      <c r="W537" s="22" t="s">
        <v>1665</v>
      </c>
      <c r="X537" s="21" t="s">
        <v>1665</v>
      </c>
      <c r="Y537" s="22"/>
      <c r="Z537" s="7"/>
      <c r="AA537" s="7"/>
      <c r="AB537" s="23"/>
      <c r="AC537" s="26"/>
    </row>
    <row r="538" spans="1:29" ht="15.75" customHeight="1">
      <c r="A538" s="10" t="s">
        <v>3780</v>
      </c>
      <c r="B538" s="10" t="s">
        <v>1469</v>
      </c>
      <c r="C538" s="52" t="s">
        <v>868</v>
      </c>
      <c r="D538" s="12"/>
      <c r="E538" s="13" t="s">
        <v>378</v>
      </c>
      <c r="F538" s="6" t="s">
        <v>878</v>
      </c>
      <c r="G538" s="14" t="str">
        <f ca="1">IFERROR(__xludf.DUMMYFUNCTION("CONCATENATE(B538,(VLOOKUP(C538,CATALOGOS!$F$2:$H$6,3,FALSE)),(VLOOKUP(V538,CATALOGOS!$J$2:$K$18,2,FALSE)),""-"",TO_TEXT(A538))"),"P13SO-0537")</f>
        <v>P13SO-0537</v>
      </c>
      <c r="H538" s="15" t="str">
        <f ca="1">IFERROR(__xludf.DUMMYFUNCTION("CONCATENATE($B538,(VLOOKUP($C538,CATALOGOS!$F$2:$H$6,3,FALSE)),(VLOOKUP($V538,CATALOGOS!$J$2:$K$18,2,FALSE)),""-"",TO_TEXT($A538))"),"P13SO-0537")</f>
        <v>P13SO-0537</v>
      </c>
      <c r="I538" s="6"/>
      <c r="J538" s="6" t="s">
        <v>3781</v>
      </c>
      <c r="K538" s="6" t="s">
        <v>3782</v>
      </c>
      <c r="L538" s="6" t="s">
        <v>3783</v>
      </c>
      <c r="M538" s="6" t="s">
        <v>3784</v>
      </c>
      <c r="N538" s="17"/>
      <c r="O538" s="17"/>
      <c r="P538" s="17" t="str">
        <f t="shared" si="7"/>
        <v>OK</v>
      </c>
      <c r="Q538" s="17" t="s">
        <v>35</v>
      </c>
      <c r="R538" s="6" t="s">
        <v>35</v>
      </c>
      <c r="S538" s="17" t="s">
        <v>36</v>
      </c>
      <c r="T538" s="17" t="s">
        <v>3785</v>
      </c>
      <c r="U538" s="18" t="s">
        <v>38</v>
      </c>
      <c r="V538" s="19" t="s">
        <v>868</v>
      </c>
      <c r="W538" s="22" t="s">
        <v>1665</v>
      </c>
      <c r="X538" s="21" t="s">
        <v>1665</v>
      </c>
      <c r="Y538" s="22"/>
      <c r="Z538" s="7"/>
      <c r="AA538" s="7"/>
      <c r="AB538" s="23"/>
      <c r="AC538" s="26"/>
    </row>
    <row r="539" spans="1:29" ht="15.75" customHeight="1">
      <c r="A539" s="10" t="s">
        <v>3786</v>
      </c>
      <c r="B539" s="10" t="s">
        <v>1469</v>
      </c>
      <c r="C539" s="52" t="s">
        <v>868</v>
      </c>
      <c r="D539" s="12"/>
      <c r="E539" s="13" t="s">
        <v>378</v>
      </c>
      <c r="F539" s="6" t="s">
        <v>878</v>
      </c>
      <c r="G539" s="14" t="str">
        <f ca="1">IFERROR(__xludf.DUMMYFUNCTION("CONCATENATE(B539,(VLOOKUP(C539,CATALOGOS!$F$2:$H$6,3,FALSE)),(VLOOKUP(V539,CATALOGOS!$J$2:$K$18,2,FALSE)),""-"",TO_TEXT(A539))"),"P13SO-0538")</f>
        <v>P13SO-0538</v>
      </c>
      <c r="H539" s="15" t="str">
        <f ca="1">IFERROR(__xludf.DUMMYFUNCTION("CONCATENATE($B539,(VLOOKUP($C539,CATALOGOS!$F$2:$H$6,3,FALSE)),(VLOOKUP($V539,CATALOGOS!$J$2:$K$18,2,FALSE)),""-"",TO_TEXT($A539))"),"P13SO-0538")</f>
        <v>P13SO-0538</v>
      </c>
      <c r="I539" s="6"/>
      <c r="J539" s="6" t="s">
        <v>3787</v>
      </c>
      <c r="K539" s="6" t="s">
        <v>3788</v>
      </c>
      <c r="L539" s="6" t="s">
        <v>3789</v>
      </c>
      <c r="M539" s="6" t="s">
        <v>3790</v>
      </c>
      <c r="N539" s="17"/>
      <c r="O539" s="17"/>
      <c r="P539" s="17" t="str">
        <f t="shared" si="7"/>
        <v>OK</v>
      </c>
      <c r="Q539" s="17" t="s">
        <v>35</v>
      </c>
      <c r="R539" s="6" t="s">
        <v>35</v>
      </c>
      <c r="S539" s="17" t="s">
        <v>36</v>
      </c>
      <c r="T539" s="17" t="s">
        <v>3791</v>
      </c>
      <c r="U539" s="18" t="s">
        <v>38</v>
      </c>
      <c r="V539" s="19" t="s">
        <v>868</v>
      </c>
      <c r="W539" s="22" t="s">
        <v>1665</v>
      </c>
      <c r="X539" s="21" t="s">
        <v>1665</v>
      </c>
      <c r="Y539" s="22"/>
      <c r="Z539" s="7"/>
      <c r="AA539" s="7"/>
      <c r="AB539" s="23"/>
      <c r="AC539" s="26"/>
    </row>
    <row r="540" spans="1:29" ht="15.75" customHeight="1">
      <c r="A540" s="10" t="s">
        <v>3792</v>
      </c>
      <c r="B540" s="10" t="s">
        <v>1469</v>
      </c>
      <c r="C540" s="52" t="s">
        <v>868</v>
      </c>
      <c r="D540" s="12"/>
      <c r="E540" s="13" t="s">
        <v>199</v>
      </c>
      <c r="F540" s="6" t="s">
        <v>199</v>
      </c>
      <c r="G540" s="14" t="str">
        <f ca="1">IFERROR(__xludf.DUMMYFUNCTION("CONCATENATE(B540,(VLOOKUP(C540,CATALOGOS!$F$2:$H$6,3,FALSE)),(VLOOKUP(V540,CATALOGOS!$J$2:$K$18,2,FALSE)),""-"",TO_TEXT(A540))"),"P13SO-0539")</f>
        <v>P13SO-0539</v>
      </c>
      <c r="H540" s="15" t="str">
        <f ca="1">IFERROR(__xludf.DUMMYFUNCTION("CONCATENATE($B540,(VLOOKUP($C540,CATALOGOS!$F$2:$H$6,3,FALSE)),(VLOOKUP($V540,CATALOGOS!$J$2:$K$18,2,FALSE)),""-"",TO_TEXT($A540))"),"P13SO-0539")</f>
        <v>P13SO-0539</v>
      </c>
      <c r="I540" s="6"/>
      <c r="J540" s="6" t="s">
        <v>3793</v>
      </c>
      <c r="K540" s="6" t="s">
        <v>3794</v>
      </c>
      <c r="L540" s="6" t="s">
        <v>3795</v>
      </c>
      <c r="M540" s="6" t="s">
        <v>3796</v>
      </c>
      <c r="N540" s="17"/>
      <c r="O540" s="17"/>
      <c r="P540" s="17" t="str">
        <f t="shared" si="7"/>
        <v>OK</v>
      </c>
      <c r="Q540" s="17" t="s">
        <v>205</v>
      </c>
      <c r="R540" s="6" t="s">
        <v>3797</v>
      </c>
      <c r="S540" s="17" t="s">
        <v>3798</v>
      </c>
      <c r="T540" s="17" t="s">
        <v>3799</v>
      </c>
      <c r="U540" s="18" t="s">
        <v>517</v>
      </c>
      <c r="V540" s="19" t="s">
        <v>868</v>
      </c>
      <c r="W540" s="22" t="s">
        <v>1665</v>
      </c>
      <c r="X540" s="21" t="s">
        <v>1665</v>
      </c>
      <c r="Y540" s="22"/>
      <c r="Z540" s="7"/>
      <c r="AA540" s="7"/>
      <c r="AB540" s="23"/>
      <c r="AC540" s="26"/>
    </row>
    <row r="541" spans="1:29" ht="15.75" customHeight="1">
      <c r="A541" s="10" t="s">
        <v>3800</v>
      </c>
      <c r="B541" s="10" t="s">
        <v>1469</v>
      </c>
      <c r="C541" s="52" t="s">
        <v>868</v>
      </c>
      <c r="D541" s="12"/>
      <c r="E541" s="13" t="s">
        <v>151</v>
      </c>
      <c r="F541" s="6" t="s">
        <v>152</v>
      </c>
      <c r="G541" s="14" t="str">
        <f ca="1">IFERROR(__xludf.DUMMYFUNCTION("CONCATENATE(B541,(VLOOKUP(C541,CATALOGOS!$F$2:$H$6,3,FALSE)),(VLOOKUP(V541,CATALOGOS!$J$2:$K$18,2,FALSE)),""-"",TO_TEXT(A541))"),"P13SO-0540")</f>
        <v>P13SO-0540</v>
      </c>
      <c r="H541" s="15" t="str">
        <f ca="1">IFERROR(__xludf.DUMMYFUNCTION("CONCATENATE($B541,(VLOOKUP($C541,CATALOGOS!$F$2:$H$6,3,FALSE)),(VLOOKUP($V541,CATALOGOS!$J$2:$K$18,2,FALSE)),""-"",TO_TEXT($A541))"),"P13SO-0540")</f>
        <v>P13SO-0540</v>
      </c>
      <c r="I541" s="6"/>
      <c r="J541" s="6" t="s">
        <v>3801</v>
      </c>
      <c r="K541" s="6" t="s">
        <v>3802</v>
      </c>
      <c r="L541" s="6" t="s">
        <v>3803</v>
      </c>
      <c r="M541" s="6" t="s">
        <v>3804</v>
      </c>
      <c r="N541" s="17"/>
      <c r="O541" s="17"/>
      <c r="P541" s="17" t="str">
        <f t="shared" si="7"/>
        <v>OK</v>
      </c>
      <c r="Q541" s="17" t="s">
        <v>1220</v>
      </c>
      <c r="R541" s="6" t="s">
        <v>720</v>
      </c>
      <c r="S541" s="17" t="s">
        <v>3805</v>
      </c>
      <c r="T541" s="10" t="s">
        <v>3806</v>
      </c>
      <c r="U541" s="18" t="s">
        <v>38</v>
      </c>
      <c r="V541" s="19" t="s">
        <v>868</v>
      </c>
      <c r="W541" s="22" t="s">
        <v>1665</v>
      </c>
      <c r="X541" s="21" t="s">
        <v>1665</v>
      </c>
      <c r="Y541" s="22"/>
      <c r="Z541" s="7"/>
      <c r="AA541" s="7"/>
      <c r="AB541" s="23"/>
      <c r="AC541" s="26"/>
    </row>
    <row r="542" spans="1:29" ht="15.75" customHeight="1">
      <c r="A542" s="10" t="s">
        <v>3807</v>
      </c>
      <c r="B542" s="10" t="s">
        <v>27</v>
      </c>
      <c r="C542" s="61" t="s">
        <v>28</v>
      </c>
      <c r="D542" s="38"/>
      <c r="E542" s="13" t="s">
        <v>162</v>
      </c>
      <c r="F542" s="43" t="s">
        <v>285</v>
      </c>
      <c r="G542" s="14" t="str">
        <f ca="1">IFERROR(__xludf.DUMMYFUNCTION("CONCATENATE(B542,(VLOOKUP(C542,CATALOGOS!$F$2:$H$6,3,FALSE)),(VLOOKUP(V542,CATALOGOS!$J$2:$K$18,2,FALSE)),""-"",TO_TEXT(A542))"),"P05RM-0541")</f>
        <v>P05RM-0541</v>
      </c>
      <c r="H542" s="64" t="str">
        <f ca="1">IFERROR(__xludf.DUMMYFUNCTION("CONCATENATE($B542,(VLOOKUP($C542,CATALOGOS!$F$2:$H$6,3,FALSE)),(VLOOKUP($V542,CATALOGOS!$J$2:$K$18,2,FALSE)),""-"",TO_TEXT($A542))"),"P05RM-0541")</f>
        <v>P05RM-0541</v>
      </c>
      <c r="I542" s="6"/>
      <c r="J542" s="6" t="s">
        <v>3808</v>
      </c>
      <c r="K542" s="6" t="s">
        <v>3809</v>
      </c>
      <c r="L542" s="6" t="s">
        <v>3810</v>
      </c>
      <c r="M542" s="6" t="s">
        <v>3811</v>
      </c>
      <c r="N542" s="17"/>
      <c r="O542" s="17"/>
      <c r="P542" s="17" t="str">
        <f t="shared" si="7"/>
        <v>OK</v>
      </c>
      <c r="Q542" s="17" t="s">
        <v>168</v>
      </c>
      <c r="R542" s="6" t="s">
        <v>169</v>
      </c>
      <c r="S542" s="46" t="s">
        <v>3812</v>
      </c>
      <c r="T542" s="17" t="s">
        <v>3813</v>
      </c>
      <c r="U542" s="50" t="s">
        <v>2309</v>
      </c>
      <c r="V542" s="19" t="s">
        <v>147</v>
      </c>
      <c r="W542" s="20" t="s">
        <v>385</v>
      </c>
      <c r="X542" s="21" t="s">
        <v>1665</v>
      </c>
      <c r="Y542" s="32"/>
      <c r="Z542" s="7"/>
      <c r="AA542" s="7"/>
      <c r="AB542" s="26"/>
      <c r="AC542" s="26"/>
    </row>
    <row r="543" spans="1:29" ht="15.75" customHeight="1">
      <c r="A543" s="10" t="s">
        <v>3814</v>
      </c>
      <c r="B543" s="10" t="s">
        <v>1469</v>
      </c>
      <c r="C543" s="52" t="s">
        <v>868</v>
      </c>
      <c r="D543" s="12"/>
      <c r="E543" s="13" t="s">
        <v>43</v>
      </c>
      <c r="F543" s="6" t="s">
        <v>1492</v>
      </c>
      <c r="G543" s="6" t="str">
        <f ca="1">IFERROR(__xludf.DUMMYFUNCTION("CONCATENATE(B543,(VLOOKUP(C543,CATALOGOS!$F$2:$H$6,3,FALSE)),(VLOOKUP(V543,CATALOGOS!$J$2:$K$18,2,FALSE)),""-"",TO_TEXT(A543))"),"P13SO-0542")</f>
        <v>P13SO-0542</v>
      </c>
      <c r="H543" s="15" t="str">
        <f ca="1">IFERROR(__xludf.DUMMYFUNCTION("CONCATENATE($B543,(VLOOKUP($C543,CATALOGOS!$F$2:$H$6,3,FALSE)),(VLOOKUP($V543,CATALOGOS!$J$2:$K$18,2,FALSE)),""-"",TO_TEXT($A543))"),"P13SO-0542")</f>
        <v>P13SO-0542</v>
      </c>
      <c r="I543" s="6"/>
      <c r="J543" s="6" t="s">
        <v>3815</v>
      </c>
      <c r="K543" s="6" t="s">
        <v>3816</v>
      </c>
      <c r="L543" s="6" t="s">
        <v>3817</v>
      </c>
      <c r="M543" s="6" t="s">
        <v>3818</v>
      </c>
      <c r="N543" s="17"/>
      <c r="O543" s="17"/>
      <c r="P543" s="17" t="str">
        <f t="shared" si="7"/>
        <v>OK</v>
      </c>
      <c r="Q543" s="17" t="s">
        <v>406</v>
      </c>
      <c r="R543" s="6" t="s">
        <v>407</v>
      </c>
      <c r="S543" s="17" t="s">
        <v>36</v>
      </c>
      <c r="T543" s="17" t="s">
        <v>3819</v>
      </c>
      <c r="U543" s="18" t="s">
        <v>38</v>
      </c>
      <c r="V543" s="19" t="s">
        <v>868</v>
      </c>
      <c r="W543" s="20" t="s">
        <v>3450</v>
      </c>
      <c r="X543" s="21" t="s">
        <v>3451</v>
      </c>
      <c r="Y543" s="22"/>
      <c r="Z543" s="7"/>
      <c r="AA543" s="7"/>
      <c r="AB543" s="23"/>
      <c r="AC543" s="26"/>
    </row>
    <row r="544" spans="1:29" ht="15.75" customHeight="1">
      <c r="A544" s="10" t="s">
        <v>3820</v>
      </c>
      <c r="B544" s="10" t="s">
        <v>1469</v>
      </c>
      <c r="C544" s="52" t="s">
        <v>868</v>
      </c>
      <c r="D544" s="12"/>
      <c r="E544" s="13" t="s">
        <v>43</v>
      </c>
      <c r="F544" s="6" t="s">
        <v>1492</v>
      </c>
      <c r="G544" s="6" t="str">
        <f ca="1">IFERROR(__xludf.DUMMYFUNCTION("CONCATENATE(B544,(VLOOKUP(C544,CATALOGOS!$F$2:$H$6,3,FALSE)),(VLOOKUP(V544,CATALOGOS!$J$2:$K$18,2,FALSE)),""-"",TO_TEXT(A544))"),"P13SO-0543")</f>
        <v>P13SO-0543</v>
      </c>
      <c r="H544" s="15" t="str">
        <f ca="1">IFERROR(__xludf.DUMMYFUNCTION("CONCATENATE($B544,(VLOOKUP($C544,CATALOGOS!$F$2:$H$6,3,FALSE)),(VLOOKUP($V544,CATALOGOS!$J$2:$K$18,2,FALSE)),""-"",TO_TEXT($A544))"),"P13SO-0543")</f>
        <v>P13SO-0543</v>
      </c>
      <c r="I544" s="6"/>
      <c r="J544" s="6" t="s">
        <v>3821</v>
      </c>
      <c r="K544" s="6" t="s">
        <v>3822</v>
      </c>
      <c r="L544" s="6" t="s">
        <v>3823</v>
      </c>
      <c r="M544" s="6" t="s">
        <v>3824</v>
      </c>
      <c r="N544" s="17"/>
      <c r="O544" s="17"/>
      <c r="P544" s="17" t="str">
        <f t="shared" si="7"/>
        <v>OK</v>
      </c>
      <c r="Q544" s="17" t="s">
        <v>406</v>
      </c>
      <c r="R544" s="6" t="s">
        <v>407</v>
      </c>
      <c r="S544" s="17" t="s">
        <v>36</v>
      </c>
      <c r="T544" s="17" t="s">
        <v>3825</v>
      </c>
      <c r="U544" s="18" t="s">
        <v>38</v>
      </c>
      <c r="V544" s="19" t="s">
        <v>868</v>
      </c>
      <c r="W544" s="20" t="s">
        <v>3450</v>
      </c>
      <c r="X544" s="21" t="s">
        <v>3451</v>
      </c>
      <c r="Y544" s="22"/>
      <c r="Z544" s="7"/>
      <c r="AA544" s="7"/>
      <c r="AB544" s="23"/>
      <c r="AC544" s="26"/>
    </row>
    <row r="545" spans="1:29" ht="15.75" customHeight="1">
      <c r="A545" s="10" t="s">
        <v>3826</v>
      </c>
      <c r="B545" s="10" t="s">
        <v>1469</v>
      </c>
      <c r="C545" s="52" t="s">
        <v>868</v>
      </c>
      <c r="D545" s="12"/>
      <c r="E545" s="13" t="s">
        <v>93</v>
      </c>
      <c r="F545" s="6" t="s">
        <v>3827</v>
      </c>
      <c r="G545" s="6" t="str">
        <f ca="1">IFERROR(__xludf.DUMMYFUNCTION("CONCATENATE(B545,(VLOOKUP(C545,CATALOGOS!$F$2:$H$6,3,FALSE)),(VLOOKUP(V545,CATALOGOS!$J$2:$K$18,2,FALSE)),""-"",TO_TEXT(A545))"),"P13SO-0544")</f>
        <v>P13SO-0544</v>
      </c>
      <c r="H545" s="15" t="str">
        <f ca="1">IFERROR(__xludf.DUMMYFUNCTION("CONCATENATE($B545,(VLOOKUP($C545,CATALOGOS!$F$2:$H$6,3,FALSE)),(VLOOKUP($V545,CATALOGOS!$J$2:$K$18,2,FALSE)),""-"",TO_TEXT($A545))"),"P13SO-0544")</f>
        <v>P13SO-0544</v>
      </c>
      <c r="I545" s="6"/>
      <c r="J545" s="6" t="s">
        <v>3828</v>
      </c>
      <c r="K545" s="6" t="s">
        <v>3829</v>
      </c>
      <c r="L545" s="6" t="s">
        <v>3830</v>
      </c>
      <c r="M545" s="6" t="s">
        <v>3831</v>
      </c>
      <c r="N545" s="17"/>
      <c r="O545" s="17"/>
      <c r="P545" s="17" t="str">
        <f t="shared" si="7"/>
        <v>OK</v>
      </c>
      <c r="Q545" s="17" t="s">
        <v>35</v>
      </c>
      <c r="R545" s="6" t="s">
        <v>35</v>
      </c>
      <c r="S545" s="17" t="s">
        <v>36</v>
      </c>
      <c r="T545" s="17" t="s">
        <v>3832</v>
      </c>
      <c r="U545" s="18" t="s">
        <v>38</v>
      </c>
      <c r="V545" s="19" t="s">
        <v>868</v>
      </c>
      <c r="W545" s="20" t="s">
        <v>3450</v>
      </c>
      <c r="X545" s="21" t="s">
        <v>3451</v>
      </c>
      <c r="Y545" s="22"/>
      <c r="Z545" s="7"/>
      <c r="AA545" s="7"/>
      <c r="AB545" s="23"/>
      <c r="AC545" s="26"/>
    </row>
    <row r="546" spans="1:29" ht="15.75" customHeight="1">
      <c r="A546" s="10" t="s">
        <v>3833</v>
      </c>
      <c r="B546" s="10" t="s">
        <v>1469</v>
      </c>
      <c r="C546" s="52" t="s">
        <v>868</v>
      </c>
      <c r="D546" s="38"/>
      <c r="E546" s="13" t="s">
        <v>93</v>
      </c>
      <c r="F546" s="6" t="s">
        <v>3834</v>
      </c>
      <c r="G546" s="6" t="str">
        <f ca="1">IFERROR(__xludf.DUMMYFUNCTION("CONCATENATE(B546,(VLOOKUP(C546,CATALOGOS!$F$2:$H$6,3,FALSE)),(VLOOKUP(V546,CATALOGOS!$J$2:$K$18,2,FALSE)),""-"",TO_TEXT(A546))"),"P13IR-0545")</f>
        <v>P13IR-0545</v>
      </c>
      <c r="H546" s="15" t="str">
        <f ca="1">IFERROR(__xludf.DUMMYFUNCTION("CONCATENATE($B546,(VLOOKUP($C546,CATALOGOS!$F$2:$H$6,3,FALSE)),(VLOOKUP($V546,CATALOGOS!$J$2:$K$18,2,FALSE)),""-"",TO_TEXT($A546))"),"P13IR-0545")</f>
        <v>P13IR-0545</v>
      </c>
      <c r="I546" s="6"/>
      <c r="J546" s="6" t="s">
        <v>3835</v>
      </c>
      <c r="K546" s="6" t="s">
        <v>3836</v>
      </c>
      <c r="L546" s="6" t="s">
        <v>3837</v>
      </c>
      <c r="M546" s="6" t="s">
        <v>3838</v>
      </c>
      <c r="N546" s="17"/>
      <c r="O546" s="17"/>
      <c r="P546" s="17" t="str">
        <f t="shared" si="7"/>
        <v>OK</v>
      </c>
      <c r="Q546" s="17" t="s">
        <v>35</v>
      </c>
      <c r="R546" s="6" t="s">
        <v>35</v>
      </c>
      <c r="S546" s="46" t="s">
        <v>36</v>
      </c>
      <c r="T546" s="17" t="s">
        <v>3839</v>
      </c>
      <c r="U546" s="18" t="s">
        <v>38</v>
      </c>
      <c r="V546" s="19" t="s">
        <v>2381</v>
      </c>
      <c r="W546" s="10" t="s">
        <v>3840</v>
      </c>
      <c r="X546" s="21" t="s">
        <v>3451</v>
      </c>
      <c r="Y546" s="32"/>
      <c r="Z546" s="7"/>
      <c r="AA546" s="7"/>
      <c r="AB546" s="26"/>
      <c r="AC546" s="26"/>
    </row>
    <row r="547" spans="1:29" ht="15.75" customHeight="1">
      <c r="A547" s="10" t="s">
        <v>3841</v>
      </c>
      <c r="B547" s="10" t="s">
        <v>1469</v>
      </c>
      <c r="C547" s="52" t="s">
        <v>868</v>
      </c>
      <c r="D547" s="38"/>
      <c r="E547" s="13" t="s">
        <v>184</v>
      </c>
      <c r="F547" s="6" t="s">
        <v>3842</v>
      </c>
      <c r="G547" s="14" t="str">
        <f ca="1">IFERROR(__xludf.DUMMYFUNCTION("CONCATENATE(B547,(VLOOKUP(C547,CATALOGOS!$F$2:$H$6,3,FALSE)),(VLOOKUP(V547,CATALOGOS!$J$2:$K$18,2,FALSE)),""-"",TO_TEXT(A547))"),"P13LP-0546")</f>
        <v>P13LP-0546</v>
      </c>
      <c r="H547" s="15" t="str">
        <f ca="1">IFERROR(__xludf.DUMMYFUNCTION("CONCATENATE($B547,(VLOOKUP($C547,CATALOGOS!$F$2:$H$6,3,FALSE)),(VLOOKUP($V547,CATALOGOS!$J$2:$K$18,2,FALSE)),""-"",TO_TEXT($A547))"),"P13LP-0546")</f>
        <v>P13LP-0546</v>
      </c>
      <c r="I547" s="6"/>
      <c r="J547" s="6" t="s">
        <v>3843</v>
      </c>
      <c r="K547" s="6" t="s">
        <v>3844</v>
      </c>
      <c r="L547" s="6" t="s">
        <v>3845</v>
      </c>
      <c r="M547" s="6" t="s">
        <v>3846</v>
      </c>
      <c r="N547" s="17"/>
      <c r="O547" s="17"/>
      <c r="P547" s="17" t="str">
        <f t="shared" si="7"/>
        <v>OK</v>
      </c>
      <c r="Q547" s="17" t="s">
        <v>35</v>
      </c>
      <c r="R547" s="6" t="s">
        <v>35</v>
      </c>
      <c r="S547" s="46" t="s">
        <v>36</v>
      </c>
      <c r="T547" s="17" t="s">
        <v>3847</v>
      </c>
      <c r="U547" s="18" t="s">
        <v>38</v>
      </c>
      <c r="V547" s="19" t="s">
        <v>2328</v>
      </c>
      <c r="W547" s="39" t="s">
        <v>2329</v>
      </c>
      <c r="X547" s="39" t="s">
        <v>3848</v>
      </c>
      <c r="Y547" s="10"/>
      <c r="Z547" s="7"/>
      <c r="AA547" s="7"/>
      <c r="AB547" s="26"/>
      <c r="AC547" s="26"/>
    </row>
    <row r="548" spans="1:29" ht="15.75" customHeight="1">
      <c r="A548" s="10" t="s">
        <v>3849</v>
      </c>
      <c r="B548" s="10" t="s">
        <v>1469</v>
      </c>
      <c r="C548" s="52" t="s">
        <v>868</v>
      </c>
      <c r="D548" s="12"/>
      <c r="E548" s="13" t="s">
        <v>210</v>
      </c>
      <c r="F548" s="6" t="s">
        <v>210</v>
      </c>
      <c r="G548" s="6" t="str">
        <f ca="1">IFERROR(__xludf.DUMMYFUNCTION("CONCATENATE(B548,(VLOOKUP(C548,CATALOGOS!$F$2:$H$6,3,FALSE)),(VLOOKUP(V548,CATALOGOS!$J$2:$K$18,2,FALSE)),""-"",TO_TEXT(A548))"),"P13SO-0547")</f>
        <v>P13SO-0547</v>
      </c>
      <c r="H548" s="15" t="str">
        <f ca="1">IFERROR(__xludf.DUMMYFUNCTION("CONCATENATE($B548,(VLOOKUP($C548,CATALOGOS!$F$2:$H$6,3,FALSE)),(VLOOKUP($V548,CATALOGOS!$J$2:$K$18,2,FALSE)),""-"",TO_TEXT($A548))"),"P13SO-0547")</f>
        <v>P13SO-0547</v>
      </c>
      <c r="I548" s="6"/>
      <c r="J548" s="6" t="s">
        <v>3850</v>
      </c>
      <c r="K548" s="6" t="s">
        <v>3851</v>
      </c>
      <c r="L548" s="36"/>
      <c r="M548" s="6" t="s">
        <v>3852</v>
      </c>
      <c r="N548" s="17"/>
      <c r="O548" s="17"/>
      <c r="P548" s="17" t="str">
        <f t="shared" si="7"/>
        <v>OK</v>
      </c>
      <c r="Q548" s="17" t="s">
        <v>216</v>
      </c>
      <c r="R548" s="6" t="s">
        <v>217</v>
      </c>
      <c r="S548" s="6" t="s">
        <v>36</v>
      </c>
      <c r="T548" s="10" t="s">
        <v>3853</v>
      </c>
      <c r="U548" s="18" t="s">
        <v>38</v>
      </c>
      <c r="V548" s="19" t="s">
        <v>868</v>
      </c>
      <c r="W548" s="20" t="s">
        <v>3450</v>
      </c>
      <c r="X548" s="21" t="s">
        <v>3451</v>
      </c>
      <c r="Y548" s="22"/>
      <c r="Z548" s="7"/>
      <c r="AA548" s="7"/>
      <c r="AB548" s="26"/>
      <c r="AC548" s="26"/>
    </row>
    <row r="549" spans="1:29" ht="15.75" customHeight="1">
      <c r="A549" s="10" t="s">
        <v>3854</v>
      </c>
      <c r="B549" s="10" t="s">
        <v>1469</v>
      </c>
      <c r="C549" s="52" t="s">
        <v>868</v>
      </c>
      <c r="D549" s="12"/>
      <c r="E549" s="13" t="s">
        <v>93</v>
      </c>
      <c r="F549" s="6" t="s">
        <v>3855</v>
      </c>
      <c r="G549" s="6" t="str">
        <f ca="1">IFERROR(__xludf.DUMMYFUNCTION("CONCATENATE(B549,(VLOOKUP(C549,CATALOGOS!$F$2:$H$6,3,FALSE)),(VLOOKUP(V549,CATALOGOS!$J$2:$K$18,2,FALSE)),""-"",TO_TEXT(A549))"),"P13IR-0548")</f>
        <v>P13IR-0548</v>
      </c>
      <c r="H549" s="15" t="str">
        <f ca="1">IFERROR(__xludf.DUMMYFUNCTION("CONCATENATE($B549,(VLOOKUP($C549,CATALOGOS!$F$2:$H$6,3,FALSE)),(VLOOKUP($V549,CATALOGOS!$J$2:$K$18,2,FALSE)),""-"",TO_TEXT($A549))"),"P13IR-0548")</f>
        <v>P13IR-0548</v>
      </c>
      <c r="I549" s="6"/>
      <c r="J549" s="6" t="s">
        <v>3856</v>
      </c>
      <c r="K549" s="6" t="s">
        <v>3857</v>
      </c>
      <c r="L549" s="6" t="s">
        <v>3858</v>
      </c>
      <c r="M549" s="6" t="s">
        <v>3859</v>
      </c>
      <c r="N549" s="17"/>
      <c r="O549" s="17"/>
      <c r="P549" s="17" t="str">
        <f t="shared" si="7"/>
        <v>OK</v>
      </c>
      <c r="Q549" s="17" t="s">
        <v>35</v>
      </c>
      <c r="R549" s="6" t="s">
        <v>35</v>
      </c>
      <c r="S549" s="17" t="s">
        <v>36</v>
      </c>
      <c r="T549" s="17" t="s">
        <v>3860</v>
      </c>
      <c r="U549" s="18" t="s">
        <v>38</v>
      </c>
      <c r="V549" s="61" t="s">
        <v>2381</v>
      </c>
      <c r="W549" s="20" t="s">
        <v>493</v>
      </c>
      <c r="X549" s="39" t="s">
        <v>3450</v>
      </c>
      <c r="Y549" s="22"/>
      <c r="Z549" s="7"/>
      <c r="AA549" s="7"/>
      <c r="AB549" s="23"/>
      <c r="AC549" s="26"/>
    </row>
    <row r="550" spans="1:29" ht="15.75" customHeight="1">
      <c r="A550" s="10" t="s">
        <v>3861</v>
      </c>
      <c r="B550" s="10" t="s">
        <v>1469</v>
      </c>
      <c r="C550" s="52" t="s">
        <v>868</v>
      </c>
      <c r="D550" s="12"/>
      <c r="E550" s="13" t="s">
        <v>378</v>
      </c>
      <c r="F550" s="6" t="s">
        <v>3862</v>
      </c>
      <c r="G550" s="6" t="str">
        <f ca="1">IFERROR(__xludf.DUMMYFUNCTION("CONCATENATE(B550,(VLOOKUP(C550,CATALOGOS!$F$2:$H$6,3,FALSE)),(VLOOKUP(V550,CATALOGOS!$J$2:$K$18,2,FALSE)),""-"",TO_TEXT(A550))"),"P13IR-0549")</f>
        <v>P13IR-0549</v>
      </c>
      <c r="H550" s="15" t="str">
        <f ca="1">IFERROR(__xludf.DUMMYFUNCTION("CONCATENATE($B550,(VLOOKUP($C550,CATALOGOS!$F$2:$H$6,3,FALSE)),(VLOOKUP($V550,CATALOGOS!$J$2:$K$18,2,FALSE)),""-"",TO_TEXT($A550))"),"P13IR-0549")</f>
        <v>P13IR-0549</v>
      </c>
      <c r="I550" s="6"/>
      <c r="J550" s="6" t="s">
        <v>3863</v>
      </c>
      <c r="K550" s="6" t="s">
        <v>3864</v>
      </c>
      <c r="L550" s="36"/>
      <c r="M550" s="6" t="s">
        <v>141</v>
      </c>
      <c r="N550" s="17"/>
      <c r="O550" s="17"/>
      <c r="P550" s="17" t="str">
        <f t="shared" si="7"/>
        <v>REPETIDO</v>
      </c>
      <c r="Q550" s="17" t="s">
        <v>35</v>
      </c>
      <c r="R550" s="6" t="s">
        <v>35</v>
      </c>
      <c r="S550" s="6" t="s">
        <v>36</v>
      </c>
      <c r="T550" s="10" t="s">
        <v>3865</v>
      </c>
      <c r="U550" s="18" t="s">
        <v>38</v>
      </c>
      <c r="V550" s="61" t="s">
        <v>2381</v>
      </c>
      <c r="W550" s="20" t="s">
        <v>493</v>
      </c>
      <c r="X550" s="39" t="s">
        <v>3450</v>
      </c>
      <c r="Y550" s="22"/>
      <c r="Z550" s="7"/>
      <c r="AA550" s="7"/>
      <c r="AB550" s="23"/>
      <c r="AC550" s="26"/>
    </row>
    <row r="551" spans="1:29" ht="15.75" customHeight="1">
      <c r="A551" s="10" t="s">
        <v>3866</v>
      </c>
      <c r="B551" s="10" t="s">
        <v>1469</v>
      </c>
      <c r="C551" s="52" t="s">
        <v>868</v>
      </c>
      <c r="D551" s="12"/>
      <c r="E551" s="13" t="s">
        <v>378</v>
      </c>
      <c r="F551" s="6" t="s">
        <v>3867</v>
      </c>
      <c r="G551" s="6" t="str">
        <f ca="1">IFERROR(__xludf.DUMMYFUNCTION("CONCATENATE(B551,(VLOOKUP(C551,CATALOGOS!$F$2:$H$6,3,FALSE)),(VLOOKUP(V551,CATALOGOS!$J$2:$K$18,2,FALSE)),""-"",TO_TEXT(A551))"),"P13IR-0550")</f>
        <v>P13IR-0550</v>
      </c>
      <c r="H551" s="15" t="str">
        <f ca="1">IFERROR(__xludf.DUMMYFUNCTION("CONCATENATE($B551,(VLOOKUP($C551,CATALOGOS!$F$2:$H$6,3,FALSE)),(VLOOKUP($V551,CATALOGOS!$J$2:$K$18,2,FALSE)),""-"",TO_TEXT($A551))"),"P13IR-0550")</f>
        <v>P13IR-0550</v>
      </c>
      <c r="I551" s="6"/>
      <c r="J551" s="6" t="s">
        <v>3868</v>
      </c>
      <c r="K551" s="6" t="s">
        <v>3869</v>
      </c>
      <c r="L551" s="6" t="s">
        <v>3870</v>
      </c>
      <c r="M551" s="6" t="s">
        <v>141</v>
      </c>
      <c r="N551" s="17"/>
      <c r="O551" s="17"/>
      <c r="P551" s="17" t="str">
        <f t="shared" si="7"/>
        <v>REPETIDO</v>
      </c>
      <c r="Q551" s="17" t="s">
        <v>35</v>
      </c>
      <c r="R551" s="6" t="s">
        <v>35</v>
      </c>
      <c r="S551" s="17" t="s">
        <v>36</v>
      </c>
      <c r="T551" s="17" t="s">
        <v>3871</v>
      </c>
      <c r="U551" s="18" t="s">
        <v>38</v>
      </c>
      <c r="V551" s="61" t="s">
        <v>2381</v>
      </c>
      <c r="W551" s="20" t="s">
        <v>493</v>
      </c>
      <c r="X551" s="39" t="s">
        <v>3450</v>
      </c>
      <c r="Y551" s="22"/>
      <c r="Z551" s="7"/>
      <c r="AA551" s="7"/>
      <c r="AB551" s="23"/>
      <c r="AC551" s="26"/>
    </row>
    <row r="552" spans="1:29" ht="15.75" customHeight="1">
      <c r="A552" s="10" t="s">
        <v>3872</v>
      </c>
      <c r="B552" s="10" t="s">
        <v>1469</v>
      </c>
      <c r="C552" s="52" t="s">
        <v>868</v>
      </c>
      <c r="D552" s="12"/>
      <c r="E552" s="13" t="s">
        <v>378</v>
      </c>
      <c r="F552" s="6" t="s">
        <v>3867</v>
      </c>
      <c r="G552" s="6" t="str">
        <f ca="1">IFERROR(__xludf.DUMMYFUNCTION("CONCATENATE(B552,(VLOOKUP(C552,CATALOGOS!$F$2:$H$6,3,FALSE)),(VLOOKUP(V552,CATALOGOS!$J$2:$K$18,2,FALSE)),""-"",TO_TEXT(A552))"),"P13IR-0551")</f>
        <v>P13IR-0551</v>
      </c>
      <c r="H552" s="15" t="str">
        <f ca="1">IFERROR(__xludf.DUMMYFUNCTION("CONCATENATE($B552,(VLOOKUP($C552,CATALOGOS!$F$2:$H$6,3,FALSE)),(VLOOKUP($V552,CATALOGOS!$J$2:$K$18,2,FALSE)),""-"",TO_TEXT($A552))"),"P13IR-0551")</f>
        <v>P13IR-0551</v>
      </c>
      <c r="I552" s="6"/>
      <c r="J552" s="6" t="s">
        <v>3873</v>
      </c>
      <c r="K552" s="6" t="s">
        <v>3874</v>
      </c>
      <c r="L552" s="6" t="s">
        <v>3875</v>
      </c>
      <c r="M552" s="43" t="s">
        <v>3876</v>
      </c>
      <c r="N552" s="17"/>
      <c r="O552" s="17"/>
      <c r="P552" s="17" t="str">
        <f t="shared" si="7"/>
        <v>OK</v>
      </c>
      <c r="Q552" s="17" t="s">
        <v>35</v>
      </c>
      <c r="R552" s="6" t="s">
        <v>35</v>
      </c>
      <c r="S552" s="17" t="s">
        <v>36</v>
      </c>
      <c r="T552" s="17" t="s">
        <v>3877</v>
      </c>
      <c r="U552" s="18" t="s">
        <v>38</v>
      </c>
      <c r="V552" s="61" t="s">
        <v>2381</v>
      </c>
      <c r="W552" s="20" t="s">
        <v>493</v>
      </c>
      <c r="X552" s="39" t="s">
        <v>3450</v>
      </c>
      <c r="Y552" s="22"/>
      <c r="Z552" s="7"/>
      <c r="AA552" s="7"/>
      <c r="AB552" s="23"/>
      <c r="AC552" s="26"/>
    </row>
    <row r="553" spans="1:29" ht="15.75" customHeight="1">
      <c r="A553" s="10" t="s">
        <v>3878</v>
      </c>
      <c r="B553" s="10" t="s">
        <v>1469</v>
      </c>
      <c r="C553" s="52" t="s">
        <v>868</v>
      </c>
      <c r="D553" s="12"/>
      <c r="E553" s="13" t="s">
        <v>184</v>
      </c>
      <c r="F553" s="6" t="s">
        <v>3879</v>
      </c>
      <c r="G553" s="6" t="str">
        <f ca="1">IFERROR(__xludf.DUMMYFUNCTION("CONCATENATE(B553,(VLOOKUP(C553,CATALOGOS!$F$2:$H$6,3,FALSE)),(VLOOKUP(V553,CATALOGOS!$J$2:$K$18,2,FALSE)),""-"",TO_TEXT(A553))"),"P13IR-0552")</f>
        <v>P13IR-0552</v>
      </c>
      <c r="H553" s="64" t="str">
        <f ca="1">IFERROR(__xludf.DUMMYFUNCTION("CONCATENATE($B553,(VLOOKUP($C553,CATALOGOS!$F$2:$H$6,3,FALSE)),(VLOOKUP($V553,CATALOGOS!$J$2:$K$18,2,FALSE)),""-"",TO_TEXT($A553))"),"P13IR-0552")</f>
        <v>P13IR-0552</v>
      </c>
      <c r="I553" s="6"/>
      <c r="J553" s="6" t="s">
        <v>3880</v>
      </c>
      <c r="K553" s="6" t="s">
        <v>3881</v>
      </c>
      <c r="L553" s="6" t="s">
        <v>3882</v>
      </c>
      <c r="M553" s="6" t="s">
        <v>3883</v>
      </c>
      <c r="N553" s="17"/>
      <c r="O553" s="17"/>
      <c r="P553" s="17" t="str">
        <f t="shared" si="7"/>
        <v>OK</v>
      </c>
      <c r="Q553" s="17" t="s">
        <v>35</v>
      </c>
      <c r="R553" s="6" t="s">
        <v>35</v>
      </c>
      <c r="S553" s="17" t="s">
        <v>36</v>
      </c>
      <c r="T553" s="17" t="s">
        <v>3884</v>
      </c>
      <c r="U553" s="18" t="s">
        <v>38</v>
      </c>
      <c r="V553" s="61" t="s">
        <v>2381</v>
      </c>
      <c r="W553" s="20" t="s">
        <v>493</v>
      </c>
      <c r="X553" s="39" t="s">
        <v>3450</v>
      </c>
      <c r="Y553" s="22"/>
      <c r="Z553" s="7"/>
      <c r="AA553" s="7"/>
      <c r="AB553" s="23"/>
      <c r="AC553" s="26"/>
    </row>
    <row r="554" spans="1:29" ht="15.75" customHeight="1">
      <c r="A554" s="10" t="s">
        <v>3885</v>
      </c>
      <c r="B554" s="10" t="s">
        <v>1469</v>
      </c>
      <c r="C554" s="52" t="s">
        <v>868</v>
      </c>
      <c r="D554" s="12"/>
      <c r="E554" s="13" t="s">
        <v>93</v>
      </c>
      <c r="F554" s="6" t="s">
        <v>3886</v>
      </c>
      <c r="G554" s="6" t="str">
        <f ca="1">IFERROR(__xludf.DUMMYFUNCTION("CONCATENATE(B554,(VLOOKUP(C554,CATALOGOS!$F$2:$H$6,3,FALSE)),(VLOOKUP(V554,CATALOGOS!$J$2:$K$18,2,FALSE)),""-"",TO_TEXT(A554))"),"P13IR-0553")</f>
        <v>P13IR-0553</v>
      </c>
      <c r="H554" s="15" t="str">
        <f ca="1">IFERROR(__xludf.DUMMYFUNCTION("CONCATENATE($B554,(VLOOKUP($C554,CATALOGOS!$F$2:$H$6,3,FALSE)),(VLOOKUP($V554,CATALOGOS!$J$2:$K$18,2,FALSE)),""-"",TO_TEXT($A554))"),"P13IR-0553")</f>
        <v>P13IR-0553</v>
      </c>
      <c r="I554" s="6"/>
      <c r="J554" s="6" t="s">
        <v>3887</v>
      </c>
      <c r="K554" s="6" t="s">
        <v>3888</v>
      </c>
      <c r="L554" s="6" t="s">
        <v>3889</v>
      </c>
      <c r="M554" s="6" t="s">
        <v>3890</v>
      </c>
      <c r="N554" s="17"/>
      <c r="O554" s="17"/>
      <c r="P554" s="17" t="str">
        <f t="shared" si="7"/>
        <v>OK</v>
      </c>
      <c r="Q554" s="17" t="s">
        <v>35</v>
      </c>
      <c r="R554" s="6" t="s">
        <v>35</v>
      </c>
      <c r="S554" s="17" t="s">
        <v>36</v>
      </c>
      <c r="T554" s="17" t="s">
        <v>3891</v>
      </c>
      <c r="U554" s="18" t="s">
        <v>38</v>
      </c>
      <c r="V554" s="61" t="s">
        <v>2381</v>
      </c>
      <c r="W554" s="20" t="s">
        <v>493</v>
      </c>
      <c r="X554" s="39" t="s">
        <v>3450</v>
      </c>
      <c r="Y554" s="22"/>
      <c r="Z554" s="7"/>
      <c r="AA554" s="7"/>
      <c r="AB554" s="23"/>
      <c r="AC554" s="26"/>
    </row>
    <row r="555" spans="1:29" ht="15.75" customHeight="1">
      <c r="A555" s="10" t="s">
        <v>3892</v>
      </c>
      <c r="B555" s="10" t="s">
        <v>1469</v>
      </c>
      <c r="C555" s="52" t="s">
        <v>868</v>
      </c>
      <c r="D555" s="12"/>
      <c r="E555" s="13" t="s">
        <v>93</v>
      </c>
      <c r="F555" s="6" t="s">
        <v>3893</v>
      </c>
      <c r="G555" s="6" t="str">
        <f ca="1">IFERROR(__xludf.DUMMYFUNCTION("CONCATENATE(B555,(VLOOKUP(C555,CATALOGOS!$F$2:$H$6,3,FALSE)),(VLOOKUP(V555,CATALOGOS!$J$2:$K$18,2,FALSE)),""-"",TO_TEXT(A555))"),"P13IR-0554")</f>
        <v>P13IR-0554</v>
      </c>
      <c r="H555" s="15" t="str">
        <f ca="1">IFERROR(__xludf.DUMMYFUNCTION("CONCATENATE($B555,(VLOOKUP($C555,CATALOGOS!$F$2:$H$6,3,FALSE)),(VLOOKUP($V555,CATALOGOS!$J$2:$K$18,2,FALSE)),""-"",TO_TEXT($A555))"),"P13IR-0554")</f>
        <v>P13IR-0554</v>
      </c>
      <c r="I555" s="6"/>
      <c r="J555" s="6" t="s">
        <v>3894</v>
      </c>
      <c r="K555" s="6" t="s">
        <v>3895</v>
      </c>
      <c r="L555" s="6" t="s">
        <v>3896</v>
      </c>
      <c r="M555" s="6" t="s">
        <v>3897</v>
      </c>
      <c r="N555" s="17"/>
      <c r="O555" s="17"/>
      <c r="P555" s="17" t="str">
        <f t="shared" si="7"/>
        <v>OK</v>
      </c>
      <c r="Q555" s="17" t="s">
        <v>35</v>
      </c>
      <c r="R555" s="6" t="s">
        <v>35</v>
      </c>
      <c r="S555" s="17" t="s">
        <v>36</v>
      </c>
      <c r="T555" s="17" t="s">
        <v>3898</v>
      </c>
      <c r="U555" s="18" t="s">
        <v>38</v>
      </c>
      <c r="V555" s="61" t="s">
        <v>2381</v>
      </c>
      <c r="W555" s="20" t="s">
        <v>493</v>
      </c>
      <c r="X555" s="39" t="s">
        <v>3450</v>
      </c>
      <c r="Y555" s="22"/>
      <c r="Z555" s="7"/>
      <c r="AA555" s="7"/>
      <c r="AB555" s="23"/>
      <c r="AC555" s="26"/>
    </row>
    <row r="556" spans="1:29" ht="15.75" customHeight="1">
      <c r="A556" s="10" t="s">
        <v>3899</v>
      </c>
      <c r="B556" s="10" t="s">
        <v>1469</v>
      </c>
      <c r="C556" s="52" t="s">
        <v>868</v>
      </c>
      <c r="D556" s="12"/>
      <c r="E556" s="13" t="s">
        <v>43</v>
      </c>
      <c r="F556" s="6" t="s">
        <v>1850</v>
      </c>
      <c r="G556" s="6" t="str">
        <f ca="1">IFERROR(__xludf.DUMMYFUNCTION("CONCATENATE(B556,(VLOOKUP(C556,CATALOGOS!$F$2:$H$6,3,FALSE)),(VLOOKUP(V556,CATALOGOS!$J$2:$K$18,2,FALSE)),""-"",TO_TEXT(A556))"),"P13IR-0555")</f>
        <v>P13IR-0555</v>
      </c>
      <c r="H556" s="15" t="str">
        <f ca="1">IFERROR(__xludf.DUMMYFUNCTION("CONCATENATE($B556,(VLOOKUP($C556,CATALOGOS!$F$2:$H$6,3,FALSE)),(VLOOKUP($V556,CATALOGOS!$J$2:$K$18,2,FALSE)),""-"",TO_TEXT($A556))"),"P13IR-0555")</f>
        <v>P13IR-0555</v>
      </c>
      <c r="I556" s="6"/>
      <c r="J556" s="6" t="s">
        <v>3900</v>
      </c>
      <c r="K556" s="6" t="s">
        <v>3901</v>
      </c>
      <c r="L556" s="6" t="s">
        <v>3902</v>
      </c>
      <c r="M556" s="6" t="s">
        <v>3903</v>
      </c>
      <c r="N556" s="17"/>
      <c r="O556" s="17"/>
      <c r="P556" s="17" t="str">
        <f t="shared" si="7"/>
        <v>OK</v>
      </c>
      <c r="Q556" s="17" t="s">
        <v>49</v>
      </c>
      <c r="R556" s="6">
        <v>3358</v>
      </c>
      <c r="S556" s="17" t="s">
        <v>36</v>
      </c>
      <c r="T556" s="10" t="s">
        <v>3904</v>
      </c>
      <c r="U556" s="18" t="s">
        <v>38</v>
      </c>
      <c r="V556" s="61" t="s">
        <v>2381</v>
      </c>
      <c r="W556" s="20" t="s">
        <v>493</v>
      </c>
      <c r="X556" s="39" t="s">
        <v>3450</v>
      </c>
      <c r="Y556" s="22"/>
      <c r="Z556" s="7"/>
      <c r="AA556" s="7"/>
      <c r="AB556" s="23"/>
      <c r="AC556" s="26"/>
    </row>
    <row r="557" spans="1:29" ht="15.75" customHeight="1">
      <c r="A557" s="10" t="s">
        <v>3905</v>
      </c>
      <c r="B557" s="10" t="s">
        <v>1469</v>
      </c>
      <c r="C557" s="52" t="s">
        <v>868</v>
      </c>
      <c r="D557" s="12"/>
      <c r="E557" s="13" t="s">
        <v>62</v>
      </c>
      <c r="F557" s="6" t="s">
        <v>3906</v>
      </c>
      <c r="G557" s="6" t="str">
        <f ca="1">IFERROR(__xludf.DUMMYFUNCTION("CONCATENATE(B557,(VLOOKUP(C557,CATALOGOS!$F$2:$H$6,3,FALSE)),(VLOOKUP(V557,CATALOGOS!$J$2:$K$18,2,FALSE)),""-"",TO_TEXT(A557))"),"P13IR-0556")</f>
        <v>P13IR-0556</v>
      </c>
      <c r="H557" s="15" t="str">
        <f ca="1">IFERROR(__xludf.DUMMYFUNCTION("CONCATENATE($B557,(VLOOKUP($C557,CATALOGOS!$F$2:$H$6,3,FALSE)),(VLOOKUP($V557,CATALOGOS!$J$2:$K$18,2,FALSE)),""-"",TO_TEXT($A557))"),"P13IR-0556")</f>
        <v>P13IR-0556</v>
      </c>
      <c r="I557" s="6"/>
      <c r="J557" s="6" t="s">
        <v>3907</v>
      </c>
      <c r="K557" s="6" t="s">
        <v>3908</v>
      </c>
      <c r="L557" s="6" t="s">
        <v>3909</v>
      </c>
      <c r="M557" s="6" t="s">
        <v>3910</v>
      </c>
      <c r="N557" s="17"/>
      <c r="O557" s="17"/>
      <c r="P557" s="17" t="str">
        <f t="shared" si="7"/>
        <v>OK</v>
      </c>
      <c r="Q557" s="17" t="s">
        <v>35</v>
      </c>
      <c r="R557" s="6" t="s">
        <v>35</v>
      </c>
      <c r="S557" s="17" t="s">
        <v>36</v>
      </c>
      <c r="T557" s="17" t="s">
        <v>3911</v>
      </c>
      <c r="U557" s="18" t="s">
        <v>38</v>
      </c>
      <c r="V557" s="61" t="s">
        <v>2381</v>
      </c>
      <c r="W557" s="20" t="s">
        <v>493</v>
      </c>
      <c r="X557" s="39" t="s">
        <v>3450</v>
      </c>
      <c r="Y557" s="22"/>
      <c r="Z557" s="7"/>
      <c r="AA557" s="7"/>
      <c r="AB557" s="23"/>
      <c r="AC557" s="26"/>
    </row>
    <row r="558" spans="1:29" ht="15.75" customHeight="1">
      <c r="A558" s="10" t="s">
        <v>3912</v>
      </c>
      <c r="B558" s="10" t="s">
        <v>1469</v>
      </c>
      <c r="C558" s="52" t="s">
        <v>868</v>
      </c>
      <c r="D558" s="12"/>
      <c r="E558" s="13" t="s">
        <v>29</v>
      </c>
      <c r="F558" s="14" t="s">
        <v>29</v>
      </c>
      <c r="G558" s="6" t="str">
        <f ca="1">IFERROR(__xludf.DUMMYFUNCTION("CONCATENATE(B558,(VLOOKUP(C558,CATALOGOS!$F$2:$H$6,3,FALSE)),(VLOOKUP(V558,CATALOGOS!$J$2:$K$18,2,FALSE)),""-"",TO_TEXT(A558))"),"P13IR-0557")</f>
        <v>P13IR-0557</v>
      </c>
      <c r="H558" s="15" t="str">
        <f ca="1">IFERROR(__xludf.DUMMYFUNCTION("CONCATENATE($B558,(VLOOKUP($C558,CATALOGOS!$F$2:$H$6,3,FALSE)),(VLOOKUP($V558,CATALOGOS!$J$2:$K$18,2,FALSE)),""-"",TO_TEXT($A558))"),"P13IR-0557")</f>
        <v>P13IR-0557</v>
      </c>
      <c r="I558" s="6"/>
      <c r="J558" s="6" t="s">
        <v>3913</v>
      </c>
      <c r="K558" s="54"/>
      <c r="L558" s="6" t="s">
        <v>3914</v>
      </c>
      <c r="M558" s="6" t="s">
        <v>3915</v>
      </c>
      <c r="N558" s="17"/>
      <c r="O558" s="17"/>
      <c r="P558" s="17" t="str">
        <f t="shared" si="7"/>
        <v>OK</v>
      </c>
      <c r="Q558" s="17" t="s">
        <v>35</v>
      </c>
      <c r="R558" s="6" t="s">
        <v>35</v>
      </c>
      <c r="S558" s="17" t="s">
        <v>36</v>
      </c>
      <c r="T558" s="17" t="s">
        <v>3916</v>
      </c>
      <c r="U558" s="18" t="s">
        <v>38</v>
      </c>
      <c r="V558" s="61" t="s">
        <v>2381</v>
      </c>
      <c r="W558" s="20" t="s">
        <v>493</v>
      </c>
      <c r="X558" s="39" t="s">
        <v>3450</v>
      </c>
      <c r="Y558" s="22"/>
      <c r="Z558" s="7"/>
      <c r="AA558" s="7"/>
      <c r="AB558" s="23"/>
      <c r="AC558" s="26"/>
    </row>
    <row r="559" spans="1:29" ht="15.75" customHeight="1">
      <c r="A559" s="10" t="s">
        <v>3917</v>
      </c>
      <c r="B559" s="10" t="s">
        <v>1469</v>
      </c>
      <c r="C559" s="52" t="s">
        <v>868</v>
      </c>
      <c r="D559" s="12"/>
      <c r="E559" s="13" t="s">
        <v>3521</v>
      </c>
      <c r="F559" s="14" t="s">
        <v>117</v>
      </c>
      <c r="G559" s="6" t="str">
        <f ca="1">IFERROR(__xludf.DUMMYFUNCTION("CONCATENATE(B559,(VLOOKUP(C559,CATALOGOS!$F$2:$H$6,3,FALSE)),(VLOOKUP(V559,CATALOGOS!$J$2:$K$18,2,FALSE)),""-"",TO_TEXT(A559))"),"P13IR-0558")</f>
        <v>P13IR-0558</v>
      </c>
      <c r="H559" s="15" t="str">
        <f ca="1">IFERROR(__xludf.DUMMYFUNCTION("CONCATENATE($B559,(VLOOKUP($C559,CATALOGOS!$F$2:$H$6,3,FALSE)),(VLOOKUP($V559,CATALOGOS!$J$2:$K$18,2,FALSE)),""-"",TO_TEXT($A559))"),"P13IR-0558")</f>
        <v>P13IR-0558</v>
      </c>
      <c r="I559" s="6"/>
      <c r="J559" s="6" t="s">
        <v>3918</v>
      </c>
      <c r="K559" s="54"/>
      <c r="L559" s="6" t="s">
        <v>3919</v>
      </c>
      <c r="M559" s="6" t="s">
        <v>3920</v>
      </c>
      <c r="N559" s="17"/>
      <c r="O559" s="17"/>
      <c r="P559" s="17" t="str">
        <f t="shared" si="7"/>
        <v>OK</v>
      </c>
      <c r="Q559" s="17" t="s">
        <v>35</v>
      </c>
      <c r="R559" s="6" t="s">
        <v>35</v>
      </c>
      <c r="S559" s="17" t="s">
        <v>36</v>
      </c>
      <c r="T559" s="17" t="s">
        <v>3921</v>
      </c>
      <c r="U559" s="18" t="s">
        <v>38</v>
      </c>
      <c r="V559" s="61" t="s">
        <v>2381</v>
      </c>
      <c r="W559" s="20" t="s">
        <v>493</v>
      </c>
      <c r="X559" s="39" t="s">
        <v>3450</v>
      </c>
      <c r="Y559" s="22"/>
      <c r="Z559" s="7"/>
      <c r="AA559" s="7"/>
      <c r="AB559" s="23"/>
      <c r="AC559" s="26"/>
    </row>
    <row r="560" spans="1:29" ht="15.75" customHeight="1">
      <c r="A560" s="10" t="s">
        <v>3922</v>
      </c>
      <c r="B560" s="10" t="s">
        <v>1469</v>
      </c>
      <c r="C560" s="52" t="s">
        <v>868</v>
      </c>
      <c r="D560" s="12"/>
      <c r="E560" s="13" t="s">
        <v>116</v>
      </c>
      <c r="F560" s="14" t="s">
        <v>3923</v>
      </c>
      <c r="G560" s="6" t="str">
        <f ca="1">IFERROR(__xludf.DUMMYFUNCTION("CONCATENATE(B560,(VLOOKUP(C560,CATALOGOS!$F$2:$H$6,3,FALSE)),(VLOOKUP(V560,CATALOGOS!$J$2:$K$18,2,FALSE)),""-"",TO_TEXT(A560))"),"P13IR-0559")</f>
        <v>P13IR-0559</v>
      </c>
      <c r="H560" s="15" t="str">
        <f ca="1">IFERROR(__xludf.DUMMYFUNCTION("CONCATENATE($B560,(VLOOKUP($C560,CATALOGOS!$F$2:$H$6,3,FALSE)),(VLOOKUP($V560,CATALOGOS!$J$2:$K$18,2,FALSE)),""-"",TO_TEXT($A560))"),"P13IR-0559")</f>
        <v>P13IR-0559</v>
      </c>
      <c r="I560" s="6"/>
      <c r="J560" s="6" t="s">
        <v>3924</v>
      </c>
      <c r="K560" s="6" t="s">
        <v>3925</v>
      </c>
      <c r="L560" s="6" t="s">
        <v>3926</v>
      </c>
      <c r="M560" s="6" t="s">
        <v>3927</v>
      </c>
      <c r="N560" s="17"/>
      <c r="O560" s="17"/>
      <c r="P560" s="17" t="str">
        <f t="shared" si="7"/>
        <v>OK</v>
      </c>
      <c r="Q560" s="17" t="s">
        <v>35</v>
      </c>
      <c r="R560" s="6" t="s">
        <v>35</v>
      </c>
      <c r="S560" s="17" t="s">
        <v>36</v>
      </c>
      <c r="T560" s="17" t="s">
        <v>3928</v>
      </c>
      <c r="U560" s="18" t="s">
        <v>38</v>
      </c>
      <c r="V560" s="61" t="s">
        <v>2381</v>
      </c>
      <c r="W560" s="20" t="s">
        <v>493</v>
      </c>
      <c r="X560" s="39" t="s">
        <v>3450</v>
      </c>
      <c r="Y560" s="22"/>
      <c r="Z560" s="7"/>
      <c r="AA560" s="7"/>
      <c r="AB560" s="23"/>
      <c r="AC560" s="26"/>
    </row>
    <row r="561" spans="1:29" ht="15.75" customHeight="1">
      <c r="A561" s="10" t="s">
        <v>3929</v>
      </c>
      <c r="B561" s="10" t="s">
        <v>1469</v>
      </c>
      <c r="C561" s="52" t="s">
        <v>868</v>
      </c>
      <c r="D561" s="12"/>
      <c r="E561" s="13" t="s">
        <v>1240</v>
      </c>
      <c r="F561" s="48" t="s">
        <v>3930</v>
      </c>
      <c r="G561" s="6" t="str">
        <f ca="1">IFERROR(__xludf.DUMMYFUNCTION("CONCATENATE(B561,(VLOOKUP(C561,CATALOGOS!$F$2:$H$6,3,FALSE)),(VLOOKUP(V561,CATALOGOS!$J$2:$K$18,2,FALSE)),""-"",TO_TEXT(A561))"),"P13IR-0560")</f>
        <v>P13IR-0560</v>
      </c>
      <c r="H561" s="15" t="str">
        <f ca="1">IFERROR(__xludf.DUMMYFUNCTION("CONCATENATE($B561,(VLOOKUP($C561,CATALOGOS!$F$2:$H$6,3,FALSE)),(VLOOKUP($V561,CATALOGOS!$J$2:$K$18,2,FALSE)),""-"",TO_TEXT($A561))"),"P13IR-0560")</f>
        <v>P13IR-0560</v>
      </c>
      <c r="I561" s="6"/>
      <c r="J561" s="6" t="s">
        <v>3931</v>
      </c>
      <c r="K561" s="6" t="s">
        <v>3932</v>
      </c>
      <c r="L561" s="6" t="s">
        <v>3933</v>
      </c>
      <c r="M561" s="6" t="s">
        <v>3934</v>
      </c>
      <c r="N561" s="17"/>
      <c r="O561" s="17"/>
      <c r="P561" s="17" t="str">
        <f t="shared" si="7"/>
        <v>OK</v>
      </c>
      <c r="Q561" s="35" t="s">
        <v>35</v>
      </c>
      <c r="R561" s="6" t="s">
        <v>35</v>
      </c>
      <c r="S561" s="17" t="s">
        <v>36</v>
      </c>
      <c r="T561" s="17" t="s">
        <v>3935</v>
      </c>
      <c r="U561" s="18" t="s">
        <v>38</v>
      </c>
      <c r="V561" s="61" t="s">
        <v>2381</v>
      </c>
      <c r="W561" s="20" t="s">
        <v>493</v>
      </c>
      <c r="X561" s="39" t="s">
        <v>3450</v>
      </c>
      <c r="Y561" s="22"/>
      <c r="Z561" s="7"/>
      <c r="AA561" s="7"/>
      <c r="AB561" s="23"/>
      <c r="AC561" s="26"/>
    </row>
    <row r="562" spans="1:29" ht="15.75" customHeight="1">
      <c r="A562" s="10" t="s">
        <v>3936</v>
      </c>
      <c r="B562" s="10" t="s">
        <v>1469</v>
      </c>
      <c r="C562" s="52" t="s">
        <v>868</v>
      </c>
      <c r="D562" s="12"/>
      <c r="E562" s="13" t="s">
        <v>1240</v>
      </c>
      <c r="F562" s="43" t="s">
        <v>278</v>
      </c>
      <c r="G562" s="6" t="str">
        <f ca="1">IFERROR(__xludf.DUMMYFUNCTION("CONCATENATE(B562,(VLOOKUP(C562,CATALOGOS!$F$2:$H$6,3,FALSE)),(VLOOKUP(V562,CATALOGOS!$J$2:$K$18,2,FALSE)),""-"",TO_TEXT(A562))"),"P13IR-0561")</f>
        <v>P13IR-0561</v>
      </c>
      <c r="H562" s="15" t="str">
        <f ca="1">IFERROR(__xludf.DUMMYFUNCTION("CONCATENATE($B562,(VLOOKUP($C562,CATALOGOS!$F$2:$H$6,3,FALSE)),(VLOOKUP($V562,CATALOGOS!$J$2:$K$18,2,FALSE)),""-"",TO_TEXT($A562))"),"P13IR-0561")</f>
        <v>P13IR-0561</v>
      </c>
      <c r="I562" s="6"/>
      <c r="J562" s="6" t="s">
        <v>3937</v>
      </c>
      <c r="K562" s="6" t="s">
        <v>3938</v>
      </c>
      <c r="L562" s="6" t="s">
        <v>3939</v>
      </c>
      <c r="M562" s="6" t="s">
        <v>3940</v>
      </c>
      <c r="N562" s="17"/>
      <c r="O562" s="17"/>
      <c r="P562" s="17" t="str">
        <f t="shared" si="7"/>
        <v>OK</v>
      </c>
      <c r="Q562" s="17" t="s">
        <v>35</v>
      </c>
      <c r="R562" s="6" t="s">
        <v>35</v>
      </c>
      <c r="S562" s="17" t="s">
        <v>36</v>
      </c>
      <c r="T562" s="17" t="s">
        <v>3941</v>
      </c>
      <c r="U562" s="18" t="s">
        <v>38</v>
      </c>
      <c r="V562" s="61" t="s">
        <v>2381</v>
      </c>
      <c r="W562" s="20" t="s">
        <v>493</v>
      </c>
      <c r="X562" s="39" t="s">
        <v>3450</v>
      </c>
      <c r="Y562" s="22"/>
      <c r="Z562" s="7"/>
      <c r="AA562" s="7"/>
      <c r="AB562" s="23"/>
      <c r="AC562" s="26"/>
    </row>
    <row r="563" spans="1:29" ht="15.75" customHeight="1">
      <c r="A563" s="10" t="s">
        <v>3942</v>
      </c>
      <c r="B563" s="10" t="s">
        <v>1469</v>
      </c>
      <c r="C563" s="61" t="s">
        <v>28</v>
      </c>
      <c r="D563" s="12"/>
      <c r="E563" s="13" t="s">
        <v>184</v>
      </c>
      <c r="F563" s="6" t="s">
        <v>2677</v>
      </c>
      <c r="G563" s="6" t="str">
        <f ca="1">IFERROR(__xludf.DUMMYFUNCTION("CONCATENATE(B563,(VLOOKUP(C563,CATALOGOS!$F$2:$H$6,3,FALSE)),(VLOOKUP(V563,CATALOGOS!$J$2:$K$18,2,FALSE)),""-"",TO_TEXT(A563))"),"P15RM-0562")</f>
        <v>P15RM-0562</v>
      </c>
      <c r="H563" s="15" t="str">
        <f ca="1">IFERROR(__xludf.DUMMYFUNCTION("CONCATENATE($B563,(VLOOKUP($C563,CATALOGOS!$F$2:$H$6,3,FALSE)),(VLOOKUP($V563,CATALOGOS!$J$2:$K$18,2,FALSE)),""-"",TO_TEXT($A563))"),"P15RM-0562")</f>
        <v>P15RM-0562</v>
      </c>
      <c r="I563" s="6"/>
      <c r="J563" s="6" t="s">
        <v>3943</v>
      </c>
      <c r="K563" s="15" t="s">
        <v>3944</v>
      </c>
      <c r="L563" s="6" t="s">
        <v>3945</v>
      </c>
      <c r="M563" s="6" t="s">
        <v>3946</v>
      </c>
      <c r="N563" s="17"/>
      <c r="O563" s="17"/>
      <c r="P563" s="17" t="str">
        <f t="shared" si="7"/>
        <v>OK</v>
      </c>
      <c r="Q563" s="17" t="s">
        <v>35</v>
      </c>
      <c r="R563" s="6" t="s">
        <v>35</v>
      </c>
      <c r="S563" s="17" t="s">
        <v>36</v>
      </c>
      <c r="T563" s="17" t="s">
        <v>3947</v>
      </c>
      <c r="U563" s="18" t="s">
        <v>100</v>
      </c>
      <c r="V563" s="19" t="s">
        <v>147</v>
      </c>
      <c r="W563" s="20" t="s">
        <v>385</v>
      </c>
      <c r="X563" s="21" t="s">
        <v>3450</v>
      </c>
      <c r="Y563" s="22"/>
      <c r="Z563" s="7"/>
      <c r="AA563" s="7"/>
      <c r="AB563" s="23"/>
      <c r="AC563" s="26"/>
    </row>
    <row r="564" spans="1:29" ht="15.75" customHeight="1">
      <c r="A564" s="10" t="s">
        <v>3948</v>
      </c>
      <c r="B564" s="10" t="s">
        <v>1469</v>
      </c>
      <c r="C564" s="52" t="s">
        <v>868</v>
      </c>
      <c r="D564" s="12"/>
      <c r="E564" s="13" t="s">
        <v>248</v>
      </c>
      <c r="F564" s="6" t="s">
        <v>249</v>
      </c>
      <c r="G564" s="6" t="str">
        <f ca="1">IFERROR(__xludf.DUMMYFUNCTION("CONCATENATE(B564,(VLOOKUP(C564,CATALOGOS!$F$2:$H$6,3,FALSE)),(VLOOKUP(V564,CATALOGOS!$J$2:$K$18,2,FALSE)),""-"",TO_TEXT(A564))"),"P13IR-0563")</f>
        <v>P13IR-0563</v>
      </c>
      <c r="H564" s="15" t="str">
        <f ca="1">IFERROR(__xludf.DUMMYFUNCTION("CONCATENATE($B564,(VLOOKUP($C564,CATALOGOS!$F$2:$H$6,3,FALSE)),(VLOOKUP($V564,CATALOGOS!$J$2:$K$18,2,FALSE)),""-"",TO_TEXT($A564))"),"P13IR-0563")</f>
        <v>P13IR-0563</v>
      </c>
      <c r="I564" s="6"/>
      <c r="J564" s="6" t="s">
        <v>3949</v>
      </c>
      <c r="K564" s="6" t="s">
        <v>3950</v>
      </c>
      <c r="L564" s="6" t="s">
        <v>3951</v>
      </c>
      <c r="M564" s="6" t="s">
        <v>141</v>
      </c>
      <c r="N564" s="17"/>
      <c r="O564" s="17"/>
      <c r="P564" s="17" t="str">
        <f t="shared" si="7"/>
        <v>REPETIDO</v>
      </c>
      <c r="Q564" s="17" t="s">
        <v>303</v>
      </c>
      <c r="R564" s="32" t="s">
        <v>304</v>
      </c>
      <c r="S564" s="17" t="s">
        <v>3952</v>
      </c>
      <c r="T564" s="10" t="s">
        <v>3953</v>
      </c>
      <c r="U564" s="18" t="s">
        <v>38</v>
      </c>
      <c r="V564" s="61" t="s">
        <v>2381</v>
      </c>
      <c r="W564" s="20" t="s">
        <v>493</v>
      </c>
      <c r="X564" s="21" t="s">
        <v>3450</v>
      </c>
      <c r="Y564" s="22"/>
      <c r="Z564" s="7"/>
      <c r="AA564" s="7"/>
      <c r="AB564" s="23"/>
      <c r="AC564" s="26"/>
    </row>
    <row r="565" spans="1:29" ht="15.75" customHeight="1">
      <c r="A565" s="10" t="s">
        <v>3954</v>
      </c>
      <c r="B565" s="10" t="s">
        <v>1469</v>
      </c>
      <c r="C565" s="52" t="s">
        <v>868</v>
      </c>
      <c r="D565" s="12"/>
      <c r="E565" s="13" t="s">
        <v>199</v>
      </c>
      <c r="F565" s="6" t="s">
        <v>199</v>
      </c>
      <c r="G565" s="6" t="str">
        <f ca="1">IFERROR(__xludf.DUMMYFUNCTION("CONCATENATE(B565,(VLOOKUP(C565,CATALOGOS!$F$2:$H$6,3,FALSE)),(VLOOKUP(V565,CATALOGOS!$J$2:$K$18,2,FALSE)),""-"",TO_TEXT(A565))"),"P13IR-0564")</f>
        <v>P13IR-0564</v>
      </c>
      <c r="H565" s="15" t="str">
        <f ca="1">IFERROR(__xludf.DUMMYFUNCTION("CONCATENATE($B565,(VLOOKUP($C565,CATALOGOS!$F$2:$H$6,3,FALSE)),(VLOOKUP($V565,CATALOGOS!$J$2:$K$18,2,FALSE)),""-"",TO_TEXT($A565))"),"P13IR-0564")</f>
        <v>P13IR-0564</v>
      </c>
      <c r="I565" s="6"/>
      <c r="J565" s="6" t="s">
        <v>3955</v>
      </c>
      <c r="K565" s="6" t="s">
        <v>3956</v>
      </c>
      <c r="L565" s="6" t="s">
        <v>3957</v>
      </c>
      <c r="M565" s="6" t="s">
        <v>3958</v>
      </c>
      <c r="N565" s="17"/>
      <c r="O565" s="17"/>
      <c r="P565" s="17" t="str">
        <f t="shared" si="7"/>
        <v>OK</v>
      </c>
      <c r="Q565" s="17" t="s">
        <v>205</v>
      </c>
      <c r="R565" s="6" t="s">
        <v>3959</v>
      </c>
      <c r="S565" s="17" t="s">
        <v>3960</v>
      </c>
      <c r="T565" s="17" t="s">
        <v>3961</v>
      </c>
      <c r="U565" s="18" t="s">
        <v>38</v>
      </c>
      <c r="V565" s="61" t="s">
        <v>2381</v>
      </c>
      <c r="W565" s="20" t="s">
        <v>493</v>
      </c>
      <c r="X565" s="21" t="s">
        <v>3450</v>
      </c>
      <c r="Y565" s="22"/>
      <c r="Z565" s="7"/>
      <c r="AA565" s="7"/>
      <c r="AB565" s="23"/>
      <c r="AC565" s="26"/>
    </row>
    <row r="566" spans="1:29" ht="15.75" customHeight="1">
      <c r="A566" s="10" t="s">
        <v>3962</v>
      </c>
      <c r="B566" s="10" t="s">
        <v>1469</v>
      </c>
      <c r="C566" s="52" t="s">
        <v>868</v>
      </c>
      <c r="D566" s="12"/>
      <c r="E566" s="13" t="s">
        <v>151</v>
      </c>
      <c r="F566" s="6" t="s">
        <v>963</v>
      </c>
      <c r="G566" s="6" t="str">
        <f ca="1">IFERROR(__xludf.DUMMYFUNCTION("CONCATENATE(B566,(VLOOKUP(C566,CATALOGOS!$F$2:$H$6,3,FALSE)),(VLOOKUP(V566,CATALOGOS!$J$2:$K$18,2,FALSE)),""-"",TO_TEXT(A566))"),"P13IR-0565")</f>
        <v>P13IR-0565</v>
      </c>
      <c r="H566" s="15" t="str">
        <f ca="1">IFERROR(__xludf.DUMMYFUNCTION("CONCATENATE($B566,(VLOOKUP($C566,CATALOGOS!$F$2:$H$6,3,FALSE)),(VLOOKUP($V566,CATALOGOS!$J$2:$K$18,2,FALSE)),""-"",TO_TEXT($A566))"),"P13IR-0565")</f>
        <v>P13IR-0565</v>
      </c>
      <c r="I566" s="6"/>
      <c r="J566" s="6" t="s">
        <v>3963</v>
      </c>
      <c r="K566" s="6" t="s">
        <v>3964</v>
      </c>
      <c r="L566" s="6" t="s">
        <v>3965</v>
      </c>
      <c r="M566" s="6" t="s">
        <v>3966</v>
      </c>
      <c r="N566" s="17"/>
      <c r="O566" s="17"/>
      <c r="P566" s="17" t="str">
        <f t="shared" si="7"/>
        <v>OK</v>
      </c>
      <c r="Q566" s="17" t="s">
        <v>205</v>
      </c>
      <c r="R566" s="6" t="s">
        <v>3967</v>
      </c>
      <c r="S566" s="17" t="s">
        <v>3968</v>
      </c>
      <c r="T566" s="17" t="s">
        <v>3969</v>
      </c>
      <c r="U566" s="18" t="s">
        <v>38</v>
      </c>
      <c r="V566" s="61" t="s">
        <v>2381</v>
      </c>
      <c r="W566" s="20" t="s">
        <v>493</v>
      </c>
      <c r="X566" s="21" t="s">
        <v>3450</v>
      </c>
      <c r="Y566" s="22"/>
      <c r="Z566" s="7"/>
      <c r="AA566" s="7"/>
      <c r="AB566" s="23"/>
      <c r="AC566" s="26"/>
    </row>
    <row r="567" spans="1:29" ht="15.75" customHeight="1">
      <c r="A567" s="10" t="s">
        <v>3970</v>
      </c>
      <c r="B567" s="10" t="s">
        <v>1469</v>
      </c>
      <c r="C567" s="52" t="s">
        <v>868</v>
      </c>
      <c r="D567" s="38"/>
      <c r="E567" s="13" t="s">
        <v>162</v>
      </c>
      <c r="F567" s="6" t="s">
        <v>285</v>
      </c>
      <c r="G567" s="6" t="str">
        <f ca="1">IFERROR(__xludf.DUMMYFUNCTION("CONCATENATE(B567,(VLOOKUP(C567,CATALOGOS!$F$2:$H$6,3,FALSE)),(VLOOKUP(V567,CATALOGOS!$J$2:$K$18,2,FALSE)),""-"",TO_TEXT(A567))"),"P13IR-0566")</f>
        <v>P13IR-0566</v>
      </c>
      <c r="H567" s="15" t="str">
        <f ca="1">IFERROR(__xludf.DUMMYFUNCTION("CONCATENATE($B567,(VLOOKUP($C567,CATALOGOS!$F$2:$H$6,3,FALSE)),(VLOOKUP($V567,CATALOGOS!$J$2:$K$18,2,FALSE)),""-"",TO_TEXT($A567))"),"P13IR-0566")</f>
        <v>P13IR-0566</v>
      </c>
      <c r="I567" s="6"/>
      <c r="J567" s="6" t="s">
        <v>3971</v>
      </c>
      <c r="K567" s="6" t="s">
        <v>3972</v>
      </c>
      <c r="L567" s="6" t="s">
        <v>3973</v>
      </c>
      <c r="M567" s="6" t="s">
        <v>3974</v>
      </c>
      <c r="N567" s="17"/>
      <c r="O567" s="17"/>
      <c r="P567" s="17" t="str">
        <f t="shared" si="7"/>
        <v>OK</v>
      </c>
      <c r="Q567" s="17" t="s">
        <v>168</v>
      </c>
      <c r="R567" s="6" t="s">
        <v>169</v>
      </c>
      <c r="S567" s="46" t="s">
        <v>3975</v>
      </c>
      <c r="T567" s="17" t="s">
        <v>3976</v>
      </c>
      <c r="U567" s="18" t="s">
        <v>38</v>
      </c>
      <c r="V567" s="61" t="s">
        <v>2381</v>
      </c>
      <c r="W567" s="20" t="s">
        <v>493</v>
      </c>
      <c r="X567" s="39" t="s">
        <v>2329</v>
      </c>
      <c r="Y567" s="32"/>
      <c r="Z567" s="7"/>
      <c r="AA567" s="7"/>
      <c r="AB567" s="26"/>
      <c r="AC567" s="26"/>
    </row>
    <row r="568" spans="1:29" ht="15.75" customHeight="1">
      <c r="A568" s="10" t="s">
        <v>3977</v>
      </c>
      <c r="B568" s="10" t="s">
        <v>1469</v>
      </c>
      <c r="C568" s="52" t="s">
        <v>868</v>
      </c>
      <c r="D568" s="12"/>
      <c r="E568" s="13" t="s">
        <v>93</v>
      </c>
      <c r="F568" s="6" t="s">
        <v>3978</v>
      </c>
      <c r="G568" s="14" t="str">
        <f ca="1">IFERROR(__xludf.DUMMYFUNCTION("CONCATENATE(B568,(VLOOKUP(C568,CATALOGOS!$F$2:$H$6,3,FALSE)),(VLOOKUP(V568,CATALOGOS!$J$2:$K$18,2,FALSE)),""-"",TO_TEXT(A568))"),"P13LP-0567")</f>
        <v>P13LP-0567</v>
      </c>
      <c r="H568" s="15" t="str">
        <f ca="1">IFERROR(__xludf.DUMMYFUNCTION("CONCATENATE($B568,(VLOOKUP($C568,CATALOGOS!$F$2:$H$6,3,FALSE)),(VLOOKUP($V568,CATALOGOS!$J$2:$K$18,2,FALSE)),""-"",TO_TEXT($A568))"),"P13LP-0567")</f>
        <v>P13LP-0567</v>
      </c>
      <c r="I568" s="6"/>
      <c r="J568" s="6" t="s">
        <v>3979</v>
      </c>
      <c r="K568" s="6" t="s">
        <v>3980</v>
      </c>
      <c r="L568" s="6" t="s">
        <v>3981</v>
      </c>
      <c r="M568" s="6" t="s">
        <v>3982</v>
      </c>
      <c r="N568" s="17"/>
      <c r="O568" s="17"/>
      <c r="P568" s="17" t="str">
        <f t="shared" si="7"/>
        <v>OK</v>
      </c>
      <c r="Q568" s="17" t="s">
        <v>35</v>
      </c>
      <c r="R568" s="6" t="s">
        <v>35</v>
      </c>
      <c r="S568" s="17" t="s">
        <v>36</v>
      </c>
      <c r="T568" s="17" t="s">
        <v>3983</v>
      </c>
      <c r="U568" s="18" t="s">
        <v>38</v>
      </c>
      <c r="V568" s="19" t="s">
        <v>2328</v>
      </c>
      <c r="W568" s="22" t="s">
        <v>3984</v>
      </c>
      <c r="X568" s="21" t="s">
        <v>3984</v>
      </c>
      <c r="Y568" s="22"/>
      <c r="Z568" s="7"/>
      <c r="AA568" s="7"/>
      <c r="AB568" s="23"/>
      <c r="AC568" s="26"/>
    </row>
    <row r="569" spans="1:29" ht="15.75" customHeight="1">
      <c r="A569" s="10" t="s">
        <v>3985</v>
      </c>
      <c r="B569" s="10" t="s">
        <v>1469</v>
      </c>
      <c r="C569" s="52" t="s">
        <v>868</v>
      </c>
      <c r="D569" s="12"/>
      <c r="E569" s="13" t="s">
        <v>116</v>
      </c>
      <c r="F569" s="6" t="s">
        <v>117</v>
      </c>
      <c r="G569" s="14" t="str">
        <f ca="1">IFERROR(__xludf.DUMMYFUNCTION("CONCATENATE(B569,(VLOOKUP(C569,CATALOGOS!$F$2:$H$6,3,FALSE)),(VLOOKUP(V569,CATALOGOS!$J$2:$K$18,2,FALSE)),""-"",TO_TEXT(A569))"),"P13LP-0568")</f>
        <v>P13LP-0568</v>
      </c>
      <c r="H569" s="15" t="str">
        <f ca="1">IFERROR(__xludf.DUMMYFUNCTION("CONCATENATE($B569,(VLOOKUP($C569,CATALOGOS!$F$2:$H$6,3,FALSE)),(VLOOKUP($V569,CATALOGOS!$J$2:$K$18,2,FALSE)),""-"",TO_TEXT($A569))"),"P13LP-0568")</f>
        <v>P13LP-0568</v>
      </c>
      <c r="I569" s="6"/>
      <c r="J569" s="6" t="s">
        <v>3986</v>
      </c>
      <c r="K569" s="6" t="s">
        <v>3987</v>
      </c>
      <c r="L569" s="6" t="s">
        <v>3988</v>
      </c>
      <c r="M569" s="6" t="s">
        <v>3989</v>
      </c>
      <c r="N569" s="17"/>
      <c r="O569" s="17"/>
      <c r="P569" s="17" t="str">
        <f t="shared" si="7"/>
        <v>OK</v>
      </c>
      <c r="Q569" s="17" t="s">
        <v>35</v>
      </c>
      <c r="R569" s="6" t="s">
        <v>35</v>
      </c>
      <c r="S569" s="17" t="s">
        <v>36</v>
      </c>
      <c r="T569" s="17" t="s">
        <v>3990</v>
      </c>
      <c r="U569" s="18" t="s">
        <v>38</v>
      </c>
      <c r="V569" s="19" t="s">
        <v>2328</v>
      </c>
      <c r="W569" s="22" t="s">
        <v>3984</v>
      </c>
      <c r="X569" s="21" t="s">
        <v>3984</v>
      </c>
      <c r="Y569" s="22"/>
      <c r="Z569" s="7"/>
      <c r="AA569" s="7"/>
      <c r="AB569" s="23"/>
      <c r="AC569" s="26"/>
    </row>
    <row r="570" spans="1:29" ht="15.75" customHeight="1">
      <c r="A570" s="10" t="s">
        <v>3991</v>
      </c>
      <c r="B570" s="10" t="s">
        <v>1469</v>
      </c>
      <c r="C570" s="52" t="s">
        <v>868</v>
      </c>
      <c r="D570" s="12"/>
      <c r="E570" s="13" t="s">
        <v>93</v>
      </c>
      <c r="F570" s="6" t="s">
        <v>3992</v>
      </c>
      <c r="G570" s="14" t="str">
        <f ca="1">IFERROR(__xludf.DUMMYFUNCTION("CONCATENATE(B570,(VLOOKUP(C570,CATALOGOS!$F$2:$H$6,3,FALSE)),(VLOOKUP(V570,CATALOGOS!$J$2:$K$18,2,FALSE)),""-"",TO_TEXT(A570))"),"P13LP-0569")</f>
        <v>P13LP-0569</v>
      </c>
      <c r="H570" s="15" t="str">
        <f ca="1">IFERROR(__xludf.DUMMYFUNCTION("CONCATENATE($B570,(VLOOKUP($C570,CATALOGOS!$F$2:$H$6,3,FALSE)),(VLOOKUP($V570,CATALOGOS!$J$2:$K$18,2,FALSE)),""-"",TO_TEXT($A570))"),"P13LP-0569")</f>
        <v>P13LP-0569</v>
      </c>
      <c r="I570" s="6"/>
      <c r="J570" s="6" t="s">
        <v>3993</v>
      </c>
      <c r="K570" s="6" t="s">
        <v>3994</v>
      </c>
      <c r="L570" s="6" t="s">
        <v>3995</v>
      </c>
      <c r="M570" s="6" t="s">
        <v>3996</v>
      </c>
      <c r="N570" s="17"/>
      <c r="O570" s="17"/>
      <c r="P570" s="17" t="str">
        <f t="shared" si="7"/>
        <v>OK</v>
      </c>
      <c r="Q570" s="17" t="s">
        <v>35</v>
      </c>
      <c r="R570" s="6" t="s">
        <v>35</v>
      </c>
      <c r="S570" s="17" t="s">
        <v>36</v>
      </c>
      <c r="T570" s="17" t="s">
        <v>3997</v>
      </c>
      <c r="U570" s="18" t="s">
        <v>38</v>
      </c>
      <c r="V570" s="19" t="s">
        <v>2328</v>
      </c>
      <c r="W570" s="22" t="s">
        <v>3984</v>
      </c>
      <c r="X570" s="21" t="s">
        <v>3984</v>
      </c>
      <c r="Y570" s="22"/>
      <c r="Z570" s="7"/>
      <c r="AA570" s="7"/>
      <c r="AB570" s="23"/>
      <c r="AC570" s="26"/>
    </row>
    <row r="571" spans="1:29" ht="15.75" customHeight="1">
      <c r="A571" s="10" t="s">
        <v>3998</v>
      </c>
      <c r="B571" s="10" t="s">
        <v>1469</v>
      </c>
      <c r="C571" s="52" t="s">
        <v>868</v>
      </c>
      <c r="D571" s="12"/>
      <c r="E571" s="13" t="s">
        <v>71</v>
      </c>
      <c r="F571" s="6" t="s">
        <v>3999</v>
      </c>
      <c r="G571" s="14" t="str">
        <f ca="1">IFERROR(__xludf.DUMMYFUNCTION("CONCATENATE(B571,(VLOOKUP(C571,CATALOGOS!$F$2:$H$6,3,FALSE)),(VLOOKUP(V571,CATALOGOS!$J$2:$K$18,2,FALSE)),""-"",TO_TEXT(A571))"),"P13LP-0570")</f>
        <v>P13LP-0570</v>
      </c>
      <c r="H571" s="15" t="str">
        <f ca="1">IFERROR(__xludf.DUMMYFUNCTION("CONCATENATE($B571,(VLOOKUP($C571,CATALOGOS!$F$2:$H$6,3,FALSE)),(VLOOKUP($V571,CATALOGOS!$J$2:$K$18,2,FALSE)),""-"",TO_TEXT($A571))"),"P13LP-0570")</f>
        <v>P13LP-0570</v>
      </c>
      <c r="I571" s="6"/>
      <c r="J571" s="6" t="s">
        <v>4000</v>
      </c>
      <c r="K571" s="6" t="s">
        <v>4001</v>
      </c>
      <c r="L571" s="6" t="s">
        <v>4002</v>
      </c>
      <c r="M571" s="6" t="s">
        <v>4003</v>
      </c>
      <c r="N571" s="17"/>
      <c r="O571" s="17"/>
      <c r="P571" s="17" t="str">
        <f t="shared" si="7"/>
        <v>OK</v>
      </c>
      <c r="Q571" s="17" t="s">
        <v>35</v>
      </c>
      <c r="R571" s="6" t="s">
        <v>35</v>
      </c>
      <c r="S571" s="17" t="s">
        <v>36</v>
      </c>
      <c r="T571" s="17" t="s">
        <v>4004</v>
      </c>
      <c r="U571" s="18" t="s">
        <v>38</v>
      </c>
      <c r="V571" s="19" t="s">
        <v>2328</v>
      </c>
      <c r="W571" s="22" t="s">
        <v>3984</v>
      </c>
      <c r="X571" s="21" t="s">
        <v>3984</v>
      </c>
      <c r="Y571" s="22"/>
      <c r="Z571" s="7"/>
      <c r="AA571" s="7"/>
      <c r="AB571" s="23"/>
      <c r="AC571" s="26"/>
    </row>
    <row r="572" spans="1:29" ht="15.75" customHeight="1">
      <c r="A572" s="10" t="s">
        <v>4005</v>
      </c>
      <c r="B572" s="10" t="s">
        <v>1469</v>
      </c>
      <c r="C572" s="52" t="s">
        <v>868</v>
      </c>
      <c r="D572" s="12"/>
      <c r="E572" s="13" t="s">
        <v>43</v>
      </c>
      <c r="F572" s="6" t="s">
        <v>1850</v>
      </c>
      <c r="G572" s="14" t="str">
        <f ca="1">IFERROR(__xludf.DUMMYFUNCTION("CONCATENATE(B572,(VLOOKUP(C572,CATALOGOS!$F$2:$H$6,3,FALSE)),(VLOOKUP(V572,CATALOGOS!$J$2:$K$18,2,FALSE)),""-"",TO_TEXT(A572))"),"P13LP-0571")</f>
        <v>P13LP-0571</v>
      </c>
      <c r="H572" s="15" t="str">
        <f ca="1">IFERROR(__xludf.DUMMYFUNCTION("CONCATENATE($B572,(VLOOKUP($C572,CATALOGOS!$F$2:$H$6,3,FALSE)),(VLOOKUP($V572,CATALOGOS!$J$2:$K$18,2,FALSE)),""-"",TO_TEXT($A572))"),"P13LP-0571")</f>
        <v>P13LP-0571</v>
      </c>
      <c r="I572" s="6"/>
      <c r="J572" s="6" t="s">
        <v>4006</v>
      </c>
      <c r="K572" s="6" t="s">
        <v>4007</v>
      </c>
      <c r="L572" s="6" t="s">
        <v>4008</v>
      </c>
      <c r="M572" s="6" t="s">
        <v>4009</v>
      </c>
      <c r="N572" s="17"/>
      <c r="O572" s="17"/>
      <c r="P572" s="17" t="str">
        <f t="shared" si="7"/>
        <v>OK</v>
      </c>
      <c r="Q572" s="17" t="s">
        <v>1913</v>
      </c>
      <c r="R572" s="6" t="s">
        <v>1914</v>
      </c>
      <c r="S572" s="17" t="s">
        <v>36</v>
      </c>
      <c r="T572" s="10" t="s">
        <v>4010</v>
      </c>
      <c r="U572" s="18" t="s">
        <v>38</v>
      </c>
      <c r="V572" s="19" t="s">
        <v>2328</v>
      </c>
      <c r="W572" s="22" t="s">
        <v>3984</v>
      </c>
      <c r="X572" s="21" t="s">
        <v>3984</v>
      </c>
      <c r="Y572" s="22"/>
      <c r="Z572" s="7"/>
      <c r="AA572" s="7"/>
      <c r="AB572" s="23"/>
      <c r="AC572" s="26"/>
    </row>
    <row r="573" spans="1:29" ht="15.75" customHeight="1">
      <c r="A573" s="10" t="s">
        <v>4011</v>
      </c>
      <c r="B573" s="10" t="s">
        <v>1469</v>
      </c>
      <c r="C573" s="52" t="s">
        <v>868</v>
      </c>
      <c r="D573" s="12"/>
      <c r="E573" s="13" t="s">
        <v>162</v>
      </c>
      <c r="F573" s="6" t="s">
        <v>285</v>
      </c>
      <c r="G573" s="14" t="str">
        <f ca="1">IFERROR(__xludf.DUMMYFUNCTION("CONCATENATE(B573,(VLOOKUP(C573,CATALOGOS!$F$2:$H$6,3,FALSE)),(VLOOKUP(V573,CATALOGOS!$J$2:$K$18,2,FALSE)),""-"",TO_TEXT(A573))"),"P13SO-0572")</f>
        <v>P13SO-0572</v>
      </c>
      <c r="H573" s="15" t="str">
        <f ca="1">IFERROR(__xludf.DUMMYFUNCTION("CONCATENATE($B573,(VLOOKUP($C573,CATALOGOS!$F$2:$H$6,3,FALSE)),(VLOOKUP($V573,CATALOGOS!$J$2:$K$18,2,FALSE)),""-"",TO_TEXT($A573))"),"P13SO-0572")</f>
        <v>P13SO-0572</v>
      </c>
      <c r="I573" s="6"/>
      <c r="J573" s="6" t="s">
        <v>4012</v>
      </c>
      <c r="K573" s="6" t="s">
        <v>4013</v>
      </c>
      <c r="L573" s="6" t="s">
        <v>4014</v>
      </c>
      <c r="M573" s="6" t="s">
        <v>4015</v>
      </c>
      <c r="N573" s="17"/>
      <c r="O573" s="17"/>
      <c r="P573" s="17" t="str">
        <f t="shared" si="7"/>
        <v>OK</v>
      </c>
      <c r="Q573" s="17" t="s">
        <v>168</v>
      </c>
      <c r="R573" s="6" t="s">
        <v>169</v>
      </c>
      <c r="S573" s="17" t="s">
        <v>4016</v>
      </c>
      <c r="T573" s="17" t="s">
        <v>4017</v>
      </c>
      <c r="U573" s="18" t="s">
        <v>38</v>
      </c>
      <c r="V573" s="19" t="s">
        <v>868</v>
      </c>
      <c r="W573" s="20" t="s">
        <v>1665</v>
      </c>
      <c r="X573" s="21" t="s">
        <v>3984</v>
      </c>
      <c r="Y573" s="22"/>
      <c r="Z573" s="7"/>
      <c r="AA573" s="7"/>
      <c r="AB573" s="23"/>
      <c r="AC573" s="26"/>
    </row>
    <row r="574" spans="1:29" ht="15.75" customHeight="1">
      <c r="A574" s="10" t="s">
        <v>4018</v>
      </c>
      <c r="B574" s="10" t="s">
        <v>1469</v>
      </c>
      <c r="C574" s="52" t="s">
        <v>868</v>
      </c>
      <c r="D574" s="12"/>
      <c r="E574" s="13" t="s">
        <v>248</v>
      </c>
      <c r="F574" s="6" t="s">
        <v>249</v>
      </c>
      <c r="G574" s="14" t="str">
        <f ca="1">IFERROR(__xludf.DUMMYFUNCTION("CONCATENATE(B574,(VLOOKUP(C574,CATALOGOS!$F$2:$H$6,3,FALSE)),(VLOOKUP(V574,CATALOGOS!$J$2:$K$18,2,FALSE)),""-"",TO_TEXT(A574))"),"P13LP-0573")</f>
        <v>P13LP-0573</v>
      </c>
      <c r="H574" s="15" t="str">
        <f ca="1">IFERROR(__xludf.DUMMYFUNCTION("CONCATENATE($B574,(VLOOKUP($C574,CATALOGOS!$F$2:$H$6,3,FALSE)),(VLOOKUP($V574,CATALOGOS!$J$2:$K$18,2,FALSE)),""-"",TO_TEXT($A574))"),"P13LP-0573")</f>
        <v>P13LP-0573</v>
      </c>
      <c r="I574" s="6"/>
      <c r="J574" s="6" t="s">
        <v>4019</v>
      </c>
      <c r="K574" s="6" t="s">
        <v>4020</v>
      </c>
      <c r="L574" s="6" t="s">
        <v>4021</v>
      </c>
      <c r="M574" s="6" t="s">
        <v>4022</v>
      </c>
      <c r="N574" s="17"/>
      <c r="O574" s="17"/>
      <c r="P574" s="17" t="str">
        <f t="shared" si="7"/>
        <v>OK</v>
      </c>
      <c r="Q574" s="17" t="s">
        <v>978</v>
      </c>
      <c r="R574" s="6" t="s">
        <v>979</v>
      </c>
      <c r="S574" s="17" t="s">
        <v>4023</v>
      </c>
      <c r="T574" s="17" t="s">
        <v>4024</v>
      </c>
      <c r="U574" s="18" t="s">
        <v>38</v>
      </c>
      <c r="V574" s="19" t="s">
        <v>2328</v>
      </c>
      <c r="W574" s="22" t="s">
        <v>3984</v>
      </c>
      <c r="X574" s="21" t="s">
        <v>3984</v>
      </c>
      <c r="Y574" s="22"/>
      <c r="Z574" s="7"/>
      <c r="AA574" s="7"/>
      <c r="AB574" s="23"/>
      <c r="AC574" s="26"/>
    </row>
    <row r="575" spans="1:29" ht="15.75" customHeight="1">
      <c r="A575" s="10" t="s">
        <v>4025</v>
      </c>
      <c r="B575" s="10" t="s">
        <v>1469</v>
      </c>
      <c r="C575" s="52" t="s">
        <v>868</v>
      </c>
      <c r="D575" s="12"/>
      <c r="E575" s="13" t="s">
        <v>1240</v>
      </c>
      <c r="F575" s="43" t="s">
        <v>278</v>
      </c>
      <c r="G575" s="14" t="str">
        <f ca="1">IFERROR(__xludf.DUMMYFUNCTION("CONCATENATE(B575,(VLOOKUP(C575,CATALOGOS!$F$2:$H$6,3,FALSE)),(VLOOKUP(V575,CATALOGOS!$J$2:$K$18,2,FALSE)),""-"",TO_TEXT(A575))"),"P13LP-0574")</f>
        <v>P13LP-0574</v>
      </c>
      <c r="H575" s="15" t="str">
        <f ca="1">IFERROR(__xludf.DUMMYFUNCTION("CONCATENATE($B575,(VLOOKUP($C575,CATALOGOS!$F$2:$H$6,3,FALSE)),(VLOOKUP($V575,CATALOGOS!$J$2:$K$18,2,FALSE)),""-"",TO_TEXT($A575))"),"P13LP-0574")</f>
        <v>P13LP-0574</v>
      </c>
      <c r="I575" s="6"/>
      <c r="J575" s="6" t="s">
        <v>4026</v>
      </c>
      <c r="K575" s="6" t="s">
        <v>4027</v>
      </c>
      <c r="L575" s="6" t="s">
        <v>4028</v>
      </c>
      <c r="M575" s="6" t="s">
        <v>4029</v>
      </c>
      <c r="N575" s="17"/>
      <c r="O575" s="17"/>
      <c r="P575" s="17" t="str">
        <f t="shared" si="7"/>
        <v>OK</v>
      </c>
      <c r="Q575" s="17" t="s">
        <v>35</v>
      </c>
      <c r="R575" s="6" t="s">
        <v>35</v>
      </c>
      <c r="S575" s="17" t="s">
        <v>36</v>
      </c>
      <c r="T575" s="17" t="s">
        <v>4030</v>
      </c>
      <c r="U575" s="18" t="s">
        <v>38</v>
      </c>
      <c r="V575" s="19" t="s">
        <v>2328</v>
      </c>
      <c r="W575" s="22" t="s">
        <v>3984</v>
      </c>
      <c r="X575" s="21" t="s">
        <v>3984</v>
      </c>
      <c r="Y575" s="22"/>
      <c r="Z575" s="7"/>
      <c r="AA575" s="7"/>
      <c r="AB575" s="23"/>
      <c r="AC575" s="26"/>
    </row>
    <row r="576" spans="1:29" ht="15.75" customHeight="1">
      <c r="A576" s="10" t="s">
        <v>4031</v>
      </c>
      <c r="B576" s="10" t="s">
        <v>1469</v>
      </c>
      <c r="C576" s="52" t="s">
        <v>868</v>
      </c>
      <c r="D576" s="12"/>
      <c r="E576" s="13" t="s">
        <v>321</v>
      </c>
      <c r="F576" s="6" t="s">
        <v>321</v>
      </c>
      <c r="G576" s="14" t="str">
        <f ca="1">IFERROR(__xludf.DUMMYFUNCTION("CONCATENATE(B576,(VLOOKUP(C576,CATALOGOS!$F$2:$H$6,3,FALSE)),(VLOOKUP(V576,CATALOGOS!$J$2:$K$18,2,FALSE)),""-"",TO_TEXT(A576))"),"P13LP-0575")</f>
        <v>P13LP-0575</v>
      </c>
      <c r="H576" s="15" t="str">
        <f ca="1">IFERROR(__xludf.DUMMYFUNCTION("CONCATENATE($B576,(VLOOKUP($C576,CATALOGOS!$F$2:$H$6,3,FALSE)),(VLOOKUP($V576,CATALOGOS!$J$2:$K$18,2,FALSE)),""-"",TO_TEXT($A576))"),"P13LP-0575")</f>
        <v>P13LP-0575</v>
      </c>
      <c r="I576" s="6"/>
      <c r="J576" s="6" t="s">
        <v>4032</v>
      </c>
      <c r="K576" s="6" t="s">
        <v>4033</v>
      </c>
      <c r="L576" s="6" t="s">
        <v>4034</v>
      </c>
      <c r="M576" s="6" t="s">
        <v>141</v>
      </c>
      <c r="N576" s="17"/>
      <c r="O576" s="17"/>
      <c r="P576" s="17" t="str">
        <f t="shared" si="7"/>
        <v>REPETIDO</v>
      </c>
      <c r="Q576" s="17" t="s">
        <v>4035</v>
      </c>
      <c r="R576" s="6" t="s">
        <v>4036</v>
      </c>
      <c r="S576" s="6" t="s">
        <v>36</v>
      </c>
      <c r="T576" s="10" t="s">
        <v>4037</v>
      </c>
      <c r="U576" s="18" t="s">
        <v>517</v>
      </c>
      <c r="V576" s="19" t="s">
        <v>2328</v>
      </c>
      <c r="W576" s="22" t="s">
        <v>3984</v>
      </c>
      <c r="X576" s="21" t="s">
        <v>3984</v>
      </c>
      <c r="Y576" s="22"/>
      <c r="Z576" s="7"/>
      <c r="AA576" s="7"/>
      <c r="AB576" s="23"/>
      <c r="AC576" s="26"/>
    </row>
    <row r="577" spans="1:30" ht="15.75" customHeight="1">
      <c r="A577" s="10" t="s">
        <v>4038</v>
      </c>
      <c r="B577" s="10" t="s">
        <v>1469</v>
      </c>
      <c r="C577" s="52" t="s">
        <v>868</v>
      </c>
      <c r="D577" s="12"/>
      <c r="E577" s="13" t="s">
        <v>378</v>
      </c>
      <c r="F577" s="43" t="s">
        <v>379</v>
      </c>
      <c r="G577" s="14" t="str">
        <f ca="1">IFERROR(__xludf.DUMMYFUNCTION("CONCATENATE(B577,(VLOOKUP(C577,CATALOGOS!$F$2:$H$6,3,FALSE)),(VLOOKUP(V577,CATALOGOS!$J$2:$K$18,2,FALSE)),""-"",TO_TEXT(A577))"),"P13LP-0576")</f>
        <v>P13LP-0576</v>
      </c>
      <c r="H577" s="15" t="str">
        <f ca="1">IFERROR(__xludf.DUMMYFUNCTION("CONCATENATE($B577,(VLOOKUP($C577,CATALOGOS!$F$2:$H$6,3,FALSE)),(VLOOKUP($V577,CATALOGOS!$J$2:$K$18,2,FALSE)),""-"",TO_TEXT($A577))"),"P13LP-0576")</f>
        <v>P13LP-0576</v>
      </c>
      <c r="I577" s="6"/>
      <c r="J577" s="6" t="s">
        <v>4039</v>
      </c>
      <c r="K577" s="6" t="s">
        <v>4040</v>
      </c>
      <c r="L577" s="6" t="s">
        <v>4041</v>
      </c>
      <c r="M577" s="6" t="s">
        <v>4042</v>
      </c>
      <c r="N577" s="17"/>
      <c r="O577" s="17"/>
      <c r="P577" s="17" t="str">
        <f t="shared" si="7"/>
        <v>OK</v>
      </c>
      <c r="Q577" s="17" t="s">
        <v>35</v>
      </c>
      <c r="R577" s="6" t="s">
        <v>35</v>
      </c>
      <c r="S577" s="17" t="s">
        <v>36</v>
      </c>
      <c r="T577" s="17" t="s">
        <v>4043</v>
      </c>
      <c r="U577" s="18" t="s">
        <v>38</v>
      </c>
      <c r="V577" s="19" t="s">
        <v>2328</v>
      </c>
      <c r="W577" s="22" t="s">
        <v>3984</v>
      </c>
      <c r="X577" s="21" t="s">
        <v>3984</v>
      </c>
      <c r="Y577" s="22"/>
      <c r="Z577" s="7"/>
      <c r="AA577" s="7"/>
      <c r="AB577" s="23"/>
      <c r="AC577" s="26"/>
    </row>
    <row r="578" spans="1:30" ht="15.75" customHeight="1">
      <c r="A578" s="10" t="s">
        <v>4044</v>
      </c>
      <c r="B578" s="10" t="s">
        <v>1469</v>
      </c>
      <c r="C578" s="52" t="s">
        <v>868</v>
      </c>
      <c r="D578" s="38"/>
      <c r="E578" s="13" t="s">
        <v>199</v>
      </c>
      <c r="F578" s="6" t="s">
        <v>677</v>
      </c>
      <c r="G578" s="14" t="str">
        <f ca="1">IFERROR(__xludf.DUMMYFUNCTION("CONCATENATE(B578,(VLOOKUP(C578,CATALOGOS!$F$2:$H$6,3,FALSE)),(VLOOKUP(V578,CATALOGOS!$J$2:$K$18,2,FALSE)),""-"",TO_TEXT(A578))"),"P13LP-0577")</f>
        <v>P13LP-0577</v>
      </c>
      <c r="H578" s="15" t="str">
        <f ca="1">IFERROR(__xludf.DUMMYFUNCTION("CONCATENATE($B578,(VLOOKUP($C578,CATALOGOS!$F$2:$H$6,3,FALSE)),(VLOOKUP($V578,CATALOGOS!$J$2:$K$18,2,FALSE)),""-"",TO_TEXT($A578))"),"P13LP-0577")</f>
        <v>P13LP-0577</v>
      </c>
      <c r="I578" s="6"/>
      <c r="J578" s="6" t="s">
        <v>4045</v>
      </c>
      <c r="K578" s="6" t="s">
        <v>4046</v>
      </c>
      <c r="L578" s="6" t="s">
        <v>4047</v>
      </c>
      <c r="M578" s="43" t="s">
        <v>4048</v>
      </c>
      <c r="N578" s="17"/>
      <c r="O578" s="17"/>
      <c r="P578" s="17" t="str">
        <f t="shared" si="7"/>
        <v>OK</v>
      </c>
      <c r="Q578" s="17" t="s">
        <v>682</v>
      </c>
      <c r="R578" s="6" t="s">
        <v>2497</v>
      </c>
      <c r="S578" s="46" t="s">
        <v>4049</v>
      </c>
      <c r="T578" s="17" t="s">
        <v>4050</v>
      </c>
      <c r="U578" s="18" t="s">
        <v>38</v>
      </c>
      <c r="V578" s="19" t="s">
        <v>2328</v>
      </c>
      <c r="W578" s="32" t="s">
        <v>3984</v>
      </c>
      <c r="X578" s="21" t="s">
        <v>3984</v>
      </c>
      <c r="Y578" s="32"/>
      <c r="Z578" s="7"/>
      <c r="AA578" s="7"/>
      <c r="AB578" s="26"/>
      <c r="AC578" s="26"/>
    </row>
    <row r="579" spans="1:30" ht="15.75" customHeight="1">
      <c r="A579" s="10" t="s">
        <v>4051</v>
      </c>
      <c r="B579" s="10" t="s">
        <v>1469</v>
      </c>
      <c r="C579" s="52" t="s">
        <v>868</v>
      </c>
      <c r="D579" s="12"/>
      <c r="E579" s="13" t="s">
        <v>71</v>
      </c>
      <c r="F579" s="6" t="s">
        <v>4052</v>
      </c>
      <c r="G579" s="14" t="str">
        <f ca="1">IFERROR(__xludf.DUMMYFUNCTION("CONCATENATE(B579,(VLOOKUP(C579,CATALOGOS!$F$2:$H$6,3,FALSE)),(VLOOKUP(V579,CATALOGOS!$J$2:$K$18,2,FALSE)),""-"",TO_TEXT(A579))"),"P13LP-0578")</f>
        <v>P13LP-0578</v>
      </c>
      <c r="H579" s="15" t="str">
        <f ca="1">IFERROR(__xludf.DUMMYFUNCTION("CONCATENATE($B579,(VLOOKUP($C579,CATALOGOS!$F$2:$H$6,3,FALSE)),(VLOOKUP($V579,CATALOGOS!$J$2:$K$18,2,FALSE)),""-"",TO_TEXT($A579))"),"P13LP-0578")</f>
        <v>P13LP-0578</v>
      </c>
      <c r="I579" s="6"/>
      <c r="J579" s="6" t="s">
        <v>4053</v>
      </c>
      <c r="K579" s="54"/>
      <c r="L579" s="6" t="s">
        <v>4054</v>
      </c>
      <c r="M579" s="6" t="s">
        <v>4055</v>
      </c>
      <c r="N579" s="17"/>
      <c r="O579" s="17"/>
      <c r="P579" s="17" t="str">
        <f t="shared" si="7"/>
        <v>OK</v>
      </c>
      <c r="Q579" s="17" t="s">
        <v>35</v>
      </c>
      <c r="R579" s="6" t="s">
        <v>35</v>
      </c>
      <c r="S579" s="17" t="s">
        <v>36</v>
      </c>
      <c r="T579" s="17" t="s">
        <v>4056</v>
      </c>
      <c r="U579" s="18" t="s">
        <v>38</v>
      </c>
      <c r="V579" s="19" t="s">
        <v>2328</v>
      </c>
      <c r="W579" s="22" t="s">
        <v>4057</v>
      </c>
      <c r="X579" s="21" t="s">
        <v>4057</v>
      </c>
      <c r="Y579" s="22"/>
      <c r="Z579" s="7"/>
      <c r="AA579" s="7"/>
      <c r="AB579" s="23"/>
      <c r="AC579" s="26"/>
    </row>
    <row r="580" spans="1:30" ht="15.75" customHeight="1">
      <c r="A580" s="10" t="s">
        <v>4058</v>
      </c>
      <c r="B580" s="10" t="s">
        <v>1469</v>
      </c>
      <c r="C580" s="52" t="s">
        <v>868</v>
      </c>
      <c r="D580" s="12"/>
      <c r="E580" s="13" t="s">
        <v>116</v>
      </c>
      <c r="F580" s="6" t="s">
        <v>117</v>
      </c>
      <c r="G580" s="14" t="str">
        <f ca="1">IFERROR(__xludf.DUMMYFUNCTION("CONCATENATE(B580,(VLOOKUP(C580,CATALOGOS!$F$2:$H$6,3,FALSE)),(VLOOKUP(V580,CATALOGOS!$J$2:$K$18,2,FALSE)),""-"",TO_TEXT(A580))"),"P13LP-0579")</f>
        <v>P13LP-0579</v>
      </c>
      <c r="H580" s="15" t="str">
        <f ca="1">IFERROR(__xludf.DUMMYFUNCTION("CONCATENATE($B580,(VLOOKUP($C580,CATALOGOS!$F$2:$H$6,3,FALSE)),(VLOOKUP($V580,CATALOGOS!$J$2:$K$18,2,FALSE)),""-"",TO_TEXT($A580))"),"P13LP-0579")</f>
        <v>P13LP-0579</v>
      </c>
      <c r="I580" s="6"/>
      <c r="J580" s="6" t="s">
        <v>4059</v>
      </c>
      <c r="K580" s="6" t="s">
        <v>4060</v>
      </c>
      <c r="L580" s="6" t="s">
        <v>4061</v>
      </c>
      <c r="M580" s="6" t="s">
        <v>4062</v>
      </c>
      <c r="N580" s="17"/>
      <c r="O580" s="17"/>
      <c r="P580" s="17" t="str">
        <f t="shared" si="7"/>
        <v>OK</v>
      </c>
      <c r="Q580" s="17" t="s">
        <v>35</v>
      </c>
      <c r="R580" s="6" t="s">
        <v>35</v>
      </c>
      <c r="S580" s="17" t="s">
        <v>36</v>
      </c>
      <c r="T580" s="17" t="s">
        <v>4063</v>
      </c>
      <c r="U580" s="18" t="s">
        <v>38</v>
      </c>
      <c r="V580" s="19" t="s">
        <v>2328</v>
      </c>
      <c r="W580" s="22" t="s">
        <v>4057</v>
      </c>
      <c r="X580" s="21" t="s">
        <v>4057</v>
      </c>
      <c r="Y580" s="22"/>
      <c r="Z580" s="7"/>
      <c r="AA580" s="7"/>
      <c r="AB580" s="23"/>
      <c r="AC580" s="26"/>
    </row>
    <row r="581" spans="1:30" ht="15.75" customHeight="1">
      <c r="A581" s="10" t="s">
        <v>4064</v>
      </c>
      <c r="B581" s="10" t="s">
        <v>1469</v>
      </c>
      <c r="C581" s="52" t="s">
        <v>868</v>
      </c>
      <c r="D581" s="12"/>
      <c r="E581" s="13" t="s">
        <v>93</v>
      </c>
      <c r="F581" s="43" t="s">
        <v>4065</v>
      </c>
      <c r="G581" s="14" t="str">
        <f ca="1">IFERROR(__xludf.DUMMYFUNCTION("CONCATENATE(B581,(VLOOKUP(C581,CATALOGOS!$F$2:$H$6,3,FALSE)),(VLOOKUP(V581,CATALOGOS!$J$2:$K$18,2,FALSE)),""-"",TO_TEXT(A581))"),"P13LP-0580")</f>
        <v>P13LP-0580</v>
      </c>
      <c r="H581" s="15" t="str">
        <f ca="1">IFERROR(__xludf.DUMMYFUNCTION("CONCATENATE($B581,(VLOOKUP($C581,CATALOGOS!$F$2:$H$6,3,FALSE)),(VLOOKUP($V581,CATALOGOS!$J$2:$K$18,2,FALSE)),""-"",TO_TEXT($A581))"),"P13LP-0580")</f>
        <v>P13LP-0580</v>
      </c>
      <c r="I581" s="6"/>
      <c r="J581" s="6" t="s">
        <v>4066</v>
      </c>
      <c r="K581" s="6" t="s">
        <v>4067</v>
      </c>
      <c r="L581" s="6" t="s">
        <v>4068</v>
      </c>
      <c r="M581" s="6" t="s">
        <v>4069</v>
      </c>
      <c r="N581" s="17"/>
      <c r="O581" s="17"/>
      <c r="P581" s="17" t="str">
        <f t="shared" si="7"/>
        <v>OK</v>
      </c>
      <c r="Q581" s="17" t="s">
        <v>35</v>
      </c>
      <c r="R581" s="6" t="s">
        <v>35</v>
      </c>
      <c r="S581" s="17" t="s">
        <v>36</v>
      </c>
      <c r="T581" s="17" t="s">
        <v>4070</v>
      </c>
      <c r="U581" s="18" t="s">
        <v>38</v>
      </c>
      <c r="V581" s="19" t="s">
        <v>2328</v>
      </c>
      <c r="W581" s="22" t="s">
        <v>4057</v>
      </c>
      <c r="X581" s="21" t="s">
        <v>4057</v>
      </c>
      <c r="Y581" s="22"/>
      <c r="Z581" s="7"/>
      <c r="AA581" s="7"/>
      <c r="AB581" s="23"/>
      <c r="AC581" s="26"/>
    </row>
    <row r="582" spans="1:30" ht="15.75" customHeight="1">
      <c r="A582" s="10" t="s">
        <v>4071</v>
      </c>
      <c r="B582" s="10" t="s">
        <v>1469</v>
      </c>
      <c r="C582" s="52" t="s">
        <v>868</v>
      </c>
      <c r="D582" s="12"/>
      <c r="E582" s="13" t="s">
        <v>378</v>
      </c>
      <c r="F582" s="43" t="s">
        <v>878</v>
      </c>
      <c r="G582" s="59" t="str">
        <f ca="1">IFERROR(__xludf.DUMMYFUNCTION("CONCATENATE(B582,(VLOOKUP(C582,CATALOGOS!$F$2:$H$6,3,FALSE)),(VLOOKUP(V582,CATALOGOS!$J$2:$K$18,2,FALSE)),""-"",TO_TEXT(A582))"),"P13LP-0581")</f>
        <v>P13LP-0581</v>
      </c>
      <c r="H582" s="15" t="str">
        <f ca="1">IFERROR(__xludf.DUMMYFUNCTION("CONCATENATE($B582,(VLOOKUP($C582,CATALOGOS!$F$2:$H$6,3,FALSE)),(VLOOKUP($V582,CATALOGOS!$J$2:$K$18,2,FALSE)),""-"",TO_TEXT($A582))"),"P13LP-0581")</f>
        <v>P13LP-0581</v>
      </c>
      <c r="I582" s="6"/>
      <c r="J582" s="6" t="s">
        <v>4072</v>
      </c>
      <c r="K582" s="6" t="s">
        <v>4073</v>
      </c>
      <c r="L582" s="6" t="s">
        <v>4074</v>
      </c>
      <c r="M582" s="43" t="s">
        <v>4075</v>
      </c>
      <c r="N582" s="17"/>
      <c r="O582" s="17"/>
      <c r="P582" s="17" t="str">
        <f t="shared" si="7"/>
        <v>OK</v>
      </c>
      <c r="Q582" s="17" t="s">
        <v>35</v>
      </c>
      <c r="R582" s="6" t="s">
        <v>35</v>
      </c>
      <c r="S582" s="17" t="s">
        <v>36</v>
      </c>
      <c r="T582" s="17" t="s">
        <v>4076</v>
      </c>
      <c r="U582" s="18" t="s">
        <v>38</v>
      </c>
      <c r="V582" s="19" t="s">
        <v>2328</v>
      </c>
      <c r="W582" s="22" t="s">
        <v>4057</v>
      </c>
      <c r="X582" s="21" t="s">
        <v>4057</v>
      </c>
      <c r="Y582" s="22"/>
      <c r="Z582" s="7"/>
      <c r="AA582" s="7"/>
      <c r="AB582" s="23"/>
      <c r="AC582" s="26"/>
    </row>
    <row r="583" spans="1:30" ht="15.75" customHeight="1">
      <c r="A583" s="10" t="s">
        <v>4077</v>
      </c>
      <c r="B583" s="10" t="s">
        <v>1469</v>
      </c>
      <c r="C583" s="52" t="s">
        <v>868</v>
      </c>
      <c r="D583" s="12"/>
      <c r="E583" s="13" t="s">
        <v>93</v>
      </c>
      <c r="F583" s="6" t="s">
        <v>869</v>
      </c>
      <c r="G583" s="14" t="str">
        <f ca="1">IFERROR(__xludf.DUMMYFUNCTION("CONCATENATE(B583,(VLOOKUP(C583,CATALOGOS!$F$2:$H$6,3,FALSE)),(VLOOKUP(V583,CATALOGOS!$J$2:$K$18,2,FALSE)),""-"",TO_TEXT(A583))"),"P13LP-0582")</f>
        <v>P13LP-0582</v>
      </c>
      <c r="H583" s="15" t="str">
        <f ca="1">IFERROR(__xludf.DUMMYFUNCTION("CONCATENATE($B583,(VLOOKUP($C583,CATALOGOS!$F$2:$H$6,3,FALSE)),(VLOOKUP($V583,CATALOGOS!$J$2:$K$18,2,FALSE)),""-"",TO_TEXT($A583))"),"P13LP-0582")</f>
        <v>P13LP-0582</v>
      </c>
      <c r="I583" s="6"/>
      <c r="J583" s="6" t="s">
        <v>4078</v>
      </c>
      <c r="K583" s="6" t="s">
        <v>4079</v>
      </c>
      <c r="L583" s="6" t="s">
        <v>4080</v>
      </c>
      <c r="M583" s="6" t="s">
        <v>4081</v>
      </c>
      <c r="N583" s="17"/>
      <c r="O583" s="17"/>
      <c r="P583" s="17" t="str">
        <f t="shared" si="7"/>
        <v>OK</v>
      </c>
      <c r="Q583" s="17" t="s">
        <v>35</v>
      </c>
      <c r="R583" s="6" t="s">
        <v>35</v>
      </c>
      <c r="S583" s="17" t="s">
        <v>36</v>
      </c>
      <c r="T583" s="17" t="s">
        <v>4082</v>
      </c>
      <c r="U583" s="18" t="s">
        <v>38</v>
      </c>
      <c r="V583" s="19" t="s">
        <v>2328</v>
      </c>
      <c r="W583" s="22" t="s">
        <v>4057</v>
      </c>
      <c r="X583" s="21" t="s">
        <v>4057</v>
      </c>
      <c r="Y583" s="22"/>
      <c r="Z583" s="7"/>
      <c r="AA583" s="7"/>
      <c r="AB583" s="23"/>
      <c r="AC583" s="26"/>
    </row>
    <row r="584" spans="1:30" ht="15.75" customHeight="1">
      <c r="A584" s="10" t="s">
        <v>4083</v>
      </c>
      <c r="B584" s="10" t="s">
        <v>1469</v>
      </c>
      <c r="C584" s="52" t="s">
        <v>868</v>
      </c>
      <c r="D584" s="12"/>
      <c r="E584" s="13" t="s">
        <v>378</v>
      </c>
      <c r="F584" s="6" t="s">
        <v>379</v>
      </c>
      <c r="G584" s="14" t="str">
        <f ca="1">IFERROR(__xludf.DUMMYFUNCTION("CONCATENATE(B584,(VLOOKUP(C584,CATALOGOS!$F$2:$H$6,3,FALSE)),(VLOOKUP(V584,CATALOGOS!$J$2:$K$18,2,FALSE)),""-"",TO_TEXT(A584))"),"P13LP-0583")</f>
        <v>P13LP-0583</v>
      </c>
      <c r="H584" s="15" t="str">
        <f ca="1">IFERROR(__xludf.DUMMYFUNCTION("CONCATENATE($B584,(VLOOKUP($C584,CATALOGOS!$F$2:$H$6,3,FALSE)),(VLOOKUP($V584,CATALOGOS!$J$2:$K$18,2,FALSE)),""-"",TO_TEXT($A584))"),"P13LP-0583")</f>
        <v>P13LP-0583</v>
      </c>
      <c r="I584" s="6"/>
      <c r="J584" s="6" t="s">
        <v>4084</v>
      </c>
      <c r="K584" s="6" t="s">
        <v>4085</v>
      </c>
      <c r="L584" s="6" t="s">
        <v>4086</v>
      </c>
      <c r="M584" s="43" t="s">
        <v>4087</v>
      </c>
      <c r="N584" s="17"/>
      <c r="O584" s="17"/>
      <c r="P584" s="17" t="str">
        <f t="shared" si="7"/>
        <v>OK</v>
      </c>
      <c r="Q584" s="17" t="s">
        <v>35</v>
      </c>
      <c r="R584" s="6" t="s">
        <v>35</v>
      </c>
      <c r="S584" s="17" t="s">
        <v>36</v>
      </c>
      <c r="T584" s="17" t="s">
        <v>4088</v>
      </c>
      <c r="U584" s="18" t="s">
        <v>38</v>
      </c>
      <c r="V584" s="19" t="s">
        <v>2328</v>
      </c>
      <c r="W584" s="22" t="s">
        <v>4057</v>
      </c>
      <c r="X584" s="21" t="s">
        <v>4057</v>
      </c>
      <c r="Y584" s="22"/>
      <c r="Z584" s="7"/>
      <c r="AA584" s="7"/>
      <c r="AB584" s="23"/>
      <c r="AC584" s="26"/>
    </row>
    <row r="585" spans="1:30" ht="15.75" customHeight="1">
      <c r="A585" s="10" t="s">
        <v>4089</v>
      </c>
      <c r="B585" s="10" t="s">
        <v>1469</v>
      </c>
      <c r="C585" s="61" t="s">
        <v>28</v>
      </c>
      <c r="D585" s="12"/>
      <c r="E585" s="13" t="s">
        <v>151</v>
      </c>
      <c r="F585" s="6" t="s">
        <v>152</v>
      </c>
      <c r="G585" s="14" t="str">
        <f ca="1">IFERROR(__xludf.DUMMYFUNCTION("CONCATENATE(B585,(VLOOKUP(C585,CATALOGOS!$F$2:$H$6,3,FALSE)),(VLOOKUP(V585,CATALOGOS!$J$2:$K$18,2,FALSE)),""-"",TO_TEXT(A585))"),"P15RM-0584")</f>
        <v>P15RM-0584</v>
      </c>
      <c r="H585" s="15" t="str">
        <f ca="1">IFERROR(__xludf.DUMMYFUNCTION("CONCATENATE($B585,(VLOOKUP($C585,CATALOGOS!$F$2:$H$6,3,FALSE)),(VLOOKUP($V585,CATALOGOS!$J$2:$K$18,2,FALSE)),""-"",TO_TEXT($A585))"),"P15RM-0584")</f>
        <v>P15RM-0584</v>
      </c>
      <c r="I585" s="6"/>
      <c r="J585" s="6" t="s">
        <v>4090</v>
      </c>
      <c r="K585" s="6" t="s">
        <v>4091</v>
      </c>
      <c r="L585" s="6" t="s">
        <v>4092</v>
      </c>
      <c r="M585" s="6" t="s">
        <v>4093</v>
      </c>
      <c r="N585" s="17"/>
      <c r="O585" s="17"/>
      <c r="P585" s="17" t="str">
        <f t="shared" si="7"/>
        <v>OK</v>
      </c>
      <c r="Q585" s="17" t="s">
        <v>1220</v>
      </c>
      <c r="R585" s="6" t="s">
        <v>720</v>
      </c>
      <c r="S585" s="17" t="s">
        <v>36</v>
      </c>
      <c r="T585" s="17" t="s">
        <v>4094</v>
      </c>
      <c r="U585" s="18" t="s">
        <v>1304</v>
      </c>
      <c r="V585" s="19" t="s">
        <v>147</v>
      </c>
      <c r="W585" s="20" t="s">
        <v>385</v>
      </c>
      <c r="X585" s="21" t="s">
        <v>4057</v>
      </c>
      <c r="Y585" s="40" t="s">
        <v>261</v>
      </c>
      <c r="Z585" s="7"/>
      <c r="AA585" s="7"/>
      <c r="AB585" s="23"/>
      <c r="AC585" s="26"/>
    </row>
    <row r="586" spans="1:30" ht="15.75" customHeight="1">
      <c r="A586" s="10" t="s">
        <v>4095</v>
      </c>
      <c r="B586" s="10" t="s">
        <v>1469</v>
      </c>
      <c r="C586" s="52" t="s">
        <v>868</v>
      </c>
      <c r="D586" s="12"/>
      <c r="E586" s="13" t="s">
        <v>248</v>
      </c>
      <c r="F586" s="43" t="s">
        <v>248</v>
      </c>
      <c r="G586" s="14" t="str">
        <f ca="1">IFERROR(__xludf.DUMMYFUNCTION("CONCATENATE(B586,(VLOOKUP(C586,CATALOGOS!$F$2:$H$6,3,FALSE)),(VLOOKUP(V586,CATALOGOS!$J$2:$K$18,2,FALSE)),""-"",TO_TEXT(A586))"),"P13LP-0585")</f>
        <v>P13LP-0585</v>
      </c>
      <c r="H586" s="15" t="str">
        <f ca="1">IFERROR(__xludf.DUMMYFUNCTION("CONCATENATE($B586,(VLOOKUP($C586,CATALOGOS!$F$2:$H$6,3,FALSE)),(VLOOKUP($V586,CATALOGOS!$J$2:$K$18,2,FALSE)),""-"",TO_TEXT($A586))"),"P13LP-0585")</f>
        <v>P13LP-0585</v>
      </c>
      <c r="I586" s="6"/>
      <c r="J586" s="6" t="s">
        <v>4096</v>
      </c>
      <c r="K586" s="6" t="s">
        <v>4097</v>
      </c>
      <c r="L586" s="6" t="s">
        <v>4098</v>
      </c>
      <c r="M586" s="6" t="s">
        <v>4099</v>
      </c>
      <c r="N586" s="17"/>
      <c r="O586" s="17"/>
      <c r="P586" s="17" t="str">
        <f t="shared" si="7"/>
        <v>OK</v>
      </c>
      <c r="Q586" s="17" t="s">
        <v>978</v>
      </c>
      <c r="R586" s="6" t="s">
        <v>979</v>
      </c>
      <c r="S586" s="17" t="s">
        <v>4100</v>
      </c>
      <c r="T586" s="17" t="s">
        <v>4101</v>
      </c>
      <c r="U586" s="18" t="s">
        <v>38</v>
      </c>
      <c r="V586" s="19" t="s">
        <v>2328</v>
      </c>
      <c r="W586" s="22" t="s">
        <v>4057</v>
      </c>
      <c r="X586" s="21" t="s">
        <v>4057</v>
      </c>
      <c r="Y586" s="22"/>
      <c r="Z586" s="7"/>
      <c r="AA586" s="7"/>
      <c r="AB586" s="23"/>
      <c r="AC586" s="26"/>
    </row>
    <row r="587" spans="1:30" ht="15.75" customHeight="1">
      <c r="A587" s="10" t="s">
        <v>4102</v>
      </c>
      <c r="B587" s="10" t="s">
        <v>1469</v>
      </c>
      <c r="C587" s="52" t="s">
        <v>868</v>
      </c>
      <c r="D587" s="12"/>
      <c r="E587" s="13" t="s">
        <v>199</v>
      </c>
      <c r="F587" s="6" t="s">
        <v>199</v>
      </c>
      <c r="G587" s="14" t="str">
        <f ca="1">IFERROR(__xludf.DUMMYFUNCTION("CONCATENATE(B587,(VLOOKUP(C587,CATALOGOS!$F$2:$H$6,3,FALSE)),(VLOOKUP(V587,CATALOGOS!$J$2:$K$18,2,FALSE)),""-"",TO_TEXT(A587))"),"P13LP-0586")</f>
        <v>P13LP-0586</v>
      </c>
      <c r="H587" s="15" t="str">
        <f ca="1">IFERROR(__xludf.DUMMYFUNCTION("CONCATENATE($B587,(VLOOKUP($C587,CATALOGOS!$F$2:$H$6,3,FALSE)),(VLOOKUP($V587,CATALOGOS!$J$2:$K$18,2,FALSE)),""-"",TO_TEXT($A587))"),"P13LP-0586")</f>
        <v>P13LP-0586</v>
      </c>
      <c r="I587" s="6"/>
      <c r="J587" s="6" t="s">
        <v>4103</v>
      </c>
      <c r="K587" s="6" t="s">
        <v>4104</v>
      </c>
      <c r="L587" s="36"/>
      <c r="M587" s="6" t="s">
        <v>4105</v>
      </c>
      <c r="N587" s="17"/>
      <c r="O587" s="17"/>
      <c r="P587" s="17" t="str">
        <f t="shared" si="7"/>
        <v>OK</v>
      </c>
      <c r="Q587" s="17" t="s">
        <v>273</v>
      </c>
      <c r="R587" s="6" t="s">
        <v>274</v>
      </c>
      <c r="S587" s="6">
        <v>11392903012347</v>
      </c>
      <c r="T587" s="10" t="s">
        <v>85</v>
      </c>
      <c r="U587" s="18" t="s">
        <v>38</v>
      </c>
      <c r="V587" s="19" t="s">
        <v>2328</v>
      </c>
      <c r="W587" s="22" t="s">
        <v>4057</v>
      </c>
      <c r="X587" s="21" t="s">
        <v>4057</v>
      </c>
      <c r="Y587" s="22"/>
      <c r="Z587" s="6"/>
      <c r="AA587" s="6"/>
      <c r="AB587" s="41" t="s">
        <v>92</v>
      </c>
      <c r="AC587" s="42">
        <v>44348</v>
      </c>
      <c r="AD587" s="8" t="s">
        <v>276</v>
      </c>
    </row>
    <row r="588" spans="1:30" ht="15.75" customHeight="1">
      <c r="A588" s="10" t="s">
        <v>4106</v>
      </c>
      <c r="B588" s="10" t="s">
        <v>1469</v>
      </c>
      <c r="C588" s="52" t="s">
        <v>868</v>
      </c>
      <c r="D588" s="12"/>
      <c r="E588" s="13" t="s">
        <v>1240</v>
      </c>
      <c r="F588" s="43" t="s">
        <v>278</v>
      </c>
      <c r="G588" s="14" t="str">
        <f ca="1">IFERROR(__xludf.DUMMYFUNCTION("CONCATENATE(B588,(VLOOKUP(C588,CATALOGOS!$F$2:$H$6,3,FALSE)),(VLOOKUP(V588,CATALOGOS!$J$2:$K$18,2,FALSE)),""-"",TO_TEXT(A588))"),"P13LP-0587")</f>
        <v>P13LP-0587</v>
      </c>
      <c r="H588" s="15" t="str">
        <f ca="1">IFERROR(__xludf.DUMMYFUNCTION("CONCATENATE($B588,(VLOOKUP($C588,CATALOGOS!$F$2:$H$6,3,FALSE)),(VLOOKUP($V588,CATALOGOS!$J$2:$K$18,2,FALSE)),""-"",TO_TEXT($A588))"),"P13LP-0587")</f>
        <v>P13LP-0587</v>
      </c>
      <c r="I588" s="6"/>
      <c r="J588" s="6" t="s">
        <v>4107</v>
      </c>
      <c r="K588" s="6" t="s">
        <v>4108</v>
      </c>
      <c r="L588" s="6" t="s">
        <v>4109</v>
      </c>
      <c r="M588" s="6" t="s">
        <v>4110</v>
      </c>
      <c r="N588" s="17"/>
      <c r="O588" s="17"/>
      <c r="P588" s="17" t="str">
        <f t="shared" si="7"/>
        <v>OK</v>
      </c>
      <c r="Q588" s="17" t="s">
        <v>35</v>
      </c>
      <c r="R588" s="6" t="s">
        <v>35</v>
      </c>
      <c r="S588" s="17" t="s">
        <v>36</v>
      </c>
      <c r="T588" s="17" t="s">
        <v>4111</v>
      </c>
      <c r="U588" s="18" t="s">
        <v>38</v>
      </c>
      <c r="V588" s="19" t="s">
        <v>2328</v>
      </c>
      <c r="W588" s="22" t="s">
        <v>4057</v>
      </c>
      <c r="X588" s="21" t="s">
        <v>4057</v>
      </c>
      <c r="Y588" s="22"/>
      <c r="Z588" s="7"/>
      <c r="AA588" s="7"/>
      <c r="AB588" s="23"/>
      <c r="AC588" s="26"/>
    </row>
    <row r="589" spans="1:30" ht="15.75" customHeight="1">
      <c r="A589" s="10" t="s">
        <v>4112</v>
      </c>
      <c r="B589" s="10" t="s">
        <v>1469</v>
      </c>
      <c r="C589" s="52" t="s">
        <v>868</v>
      </c>
      <c r="D589" s="38"/>
      <c r="E589" s="13" t="s">
        <v>151</v>
      </c>
      <c r="F589" s="6" t="s">
        <v>4113</v>
      </c>
      <c r="G589" s="14" t="str">
        <f ca="1">IFERROR(__xludf.DUMMYFUNCTION("CONCATENATE(B589,(VLOOKUP(C589,CATALOGOS!$F$2:$H$6,3,FALSE)),(VLOOKUP(V589,CATALOGOS!$J$2:$K$18,2,FALSE)),""-"",TO_TEXT(A589))"),"P13LP-0588")</f>
        <v>P13LP-0588</v>
      </c>
      <c r="H589" s="15" t="str">
        <f ca="1">IFERROR(__xludf.DUMMYFUNCTION("CONCATENATE($B589,(VLOOKUP($C589,CATALOGOS!$F$2:$H$6,3,FALSE)),(VLOOKUP($V589,CATALOGOS!$J$2:$K$18,2,FALSE)),""-"",TO_TEXT($A589))"),"P13LP-0588")</f>
        <v>P13LP-0588</v>
      </c>
      <c r="I589" s="6"/>
      <c r="J589" s="6" t="s">
        <v>4114</v>
      </c>
      <c r="K589" s="6" t="s">
        <v>4115</v>
      </c>
      <c r="L589" s="72"/>
      <c r="M589" s="6" t="s">
        <v>4116</v>
      </c>
      <c r="N589" s="17"/>
      <c r="O589" s="17"/>
      <c r="P589" s="17" t="str">
        <f t="shared" si="7"/>
        <v>OK</v>
      </c>
      <c r="Q589" s="17" t="s">
        <v>297</v>
      </c>
      <c r="R589" s="6" t="s">
        <v>298</v>
      </c>
      <c r="S589" s="6" t="s">
        <v>4117</v>
      </c>
      <c r="T589" s="32" t="s">
        <v>85</v>
      </c>
      <c r="U589" s="18" t="s">
        <v>38</v>
      </c>
      <c r="V589" s="19" t="s">
        <v>2328</v>
      </c>
      <c r="W589" s="32" t="s">
        <v>4057</v>
      </c>
      <c r="X589" s="21" t="s">
        <v>4057</v>
      </c>
      <c r="Y589" s="32"/>
      <c r="Z589" s="6"/>
      <c r="AA589" s="6"/>
      <c r="AB589" s="73" t="s">
        <v>92</v>
      </c>
      <c r="AC589" s="42">
        <v>44348</v>
      </c>
      <c r="AD589" s="8">
        <v>0</v>
      </c>
    </row>
    <row r="590" spans="1:30" ht="15.75" customHeight="1">
      <c r="A590" s="10" t="s">
        <v>4118</v>
      </c>
      <c r="B590" s="10" t="s">
        <v>1469</v>
      </c>
      <c r="C590" s="52" t="s">
        <v>868</v>
      </c>
      <c r="D590" s="12"/>
      <c r="E590" s="13" t="s">
        <v>93</v>
      </c>
      <c r="F590" s="6" t="s">
        <v>4119</v>
      </c>
      <c r="G590" s="14" t="str">
        <f ca="1">IFERROR(__xludf.DUMMYFUNCTION("CONCATENATE(B590,(VLOOKUP(C590,CATALOGOS!$F$2:$H$6,3,FALSE)),(VLOOKUP(V590,CATALOGOS!$J$2:$K$18,2,FALSE)),""-"",TO_TEXT(A590))"),"P13LP-0589")</f>
        <v>P13LP-0589</v>
      </c>
      <c r="H590" s="15" t="str">
        <f ca="1">IFERROR(__xludf.DUMMYFUNCTION("CONCATENATE($B590,(VLOOKUP($C590,CATALOGOS!$F$2:$H$6,3,FALSE)),(VLOOKUP($V590,CATALOGOS!$J$2:$K$18,2,FALSE)),""-"",TO_TEXT($A590))"),"P13LP-0589")</f>
        <v>P13LP-0589</v>
      </c>
      <c r="I590" s="6"/>
      <c r="J590" s="6" t="s">
        <v>4120</v>
      </c>
      <c r="K590" s="6" t="s">
        <v>4121</v>
      </c>
      <c r="L590" s="6" t="s">
        <v>4122</v>
      </c>
      <c r="M590" s="6" t="s">
        <v>4123</v>
      </c>
      <c r="N590" s="17"/>
      <c r="O590" s="17"/>
      <c r="P590" s="17" t="str">
        <f t="shared" si="7"/>
        <v>OK</v>
      </c>
      <c r="Q590" s="17" t="s">
        <v>35</v>
      </c>
      <c r="R590" s="6" t="s">
        <v>35</v>
      </c>
      <c r="S590" s="17" t="s">
        <v>36</v>
      </c>
      <c r="T590" s="17" t="s">
        <v>4124</v>
      </c>
      <c r="U590" s="18" t="s">
        <v>38</v>
      </c>
      <c r="V590" s="19" t="s">
        <v>2328</v>
      </c>
      <c r="W590" s="20" t="s">
        <v>4125</v>
      </c>
      <c r="X590" s="39" t="s">
        <v>4125</v>
      </c>
      <c r="Y590" s="20"/>
      <c r="Z590" s="7"/>
      <c r="AA590" s="7"/>
      <c r="AB590" s="23"/>
      <c r="AC590" s="26"/>
    </row>
    <row r="591" spans="1:30" ht="15.75" customHeight="1">
      <c r="A591" s="10" t="s">
        <v>4126</v>
      </c>
      <c r="B591" s="10" t="s">
        <v>1469</v>
      </c>
      <c r="C591" s="52" t="s">
        <v>868</v>
      </c>
      <c r="D591" s="12"/>
      <c r="E591" s="13" t="s">
        <v>29</v>
      </c>
      <c r="F591" s="6" t="s">
        <v>1166</v>
      </c>
      <c r="G591" s="14" t="str">
        <f ca="1">IFERROR(__xludf.DUMMYFUNCTION("CONCATENATE(B591,(VLOOKUP(C591,CATALOGOS!$F$2:$H$6,3,FALSE)),(VLOOKUP(V591,CATALOGOS!$J$2:$K$18,2,FALSE)),""-"",TO_TEXT(A591))"),"P13LP-0590")</f>
        <v>P13LP-0590</v>
      </c>
      <c r="H591" s="15" t="str">
        <f ca="1">IFERROR(__xludf.DUMMYFUNCTION("CONCATENATE($B591,(VLOOKUP($C591,CATALOGOS!$F$2:$H$6,3,FALSE)),(VLOOKUP($V591,CATALOGOS!$J$2:$K$18,2,FALSE)),""-"",TO_TEXT($A591))"),"P13LP-0590")</f>
        <v>P13LP-0590</v>
      </c>
      <c r="I591" s="6"/>
      <c r="J591" s="6" t="s">
        <v>4127</v>
      </c>
      <c r="K591" s="6" t="s">
        <v>4128</v>
      </c>
      <c r="L591" s="6" t="s">
        <v>4129</v>
      </c>
      <c r="M591" s="6" t="s">
        <v>4130</v>
      </c>
      <c r="N591" s="17"/>
      <c r="O591" s="17"/>
      <c r="P591" s="17" t="str">
        <f t="shared" si="7"/>
        <v>OK</v>
      </c>
      <c r="Q591" s="17" t="s">
        <v>35</v>
      </c>
      <c r="R591" s="6" t="s">
        <v>35</v>
      </c>
      <c r="S591" s="17" t="s">
        <v>36</v>
      </c>
      <c r="T591" s="17" t="s">
        <v>4131</v>
      </c>
      <c r="U591" s="18" t="s">
        <v>38</v>
      </c>
      <c r="V591" s="19" t="s">
        <v>2328</v>
      </c>
      <c r="W591" s="20" t="s">
        <v>4125</v>
      </c>
      <c r="X591" s="39" t="s">
        <v>4125</v>
      </c>
      <c r="Y591" s="20"/>
      <c r="Z591" s="7"/>
      <c r="AA591" s="7"/>
      <c r="AB591" s="23"/>
      <c r="AC591" s="26"/>
    </row>
    <row r="592" spans="1:30" ht="15.75" customHeight="1">
      <c r="A592" s="10" t="s">
        <v>4132</v>
      </c>
      <c r="B592" s="10" t="s">
        <v>1469</v>
      </c>
      <c r="C592" s="52" t="s">
        <v>868</v>
      </c>
      <c r="D592" s="12"/>
      <c r="E592" s="13" t="s">
        <v>93</v>
      </c>
      <c r="F592" s="6" t="s">
        <v>4133</v>
      </c>
      <c r="G592" s="14" t="str">
        <f ca="1">IFERROR(__xludf.DUMMYFUNCTION("CONCATENATE(B592,(VLOOKUP(C592,CATALOGOS!$F$2:$H$6,3,FALSE)),(VLOOKUP(V592,CATALOGOS!$J$2:$K$18,2,FALSE)),""-"",TO_TEXT(A592))"),"P13LP-0591")</f>
        <v>P13LP-0591</v>
      </c>
      <c r="H592" s="15" t="str">
        <f ca="1">IFERROR(__xludf.DUMMYFUNCTION("CONCATENATE($B592,(VLOOKUP($C592,CATALOGOS!$F$2:$H$6,3,FALSE)),(VLOOKUP($V592,CATALOGOS!$J$2:$K$18,2,FALSE)),""-"",TO_TEXT($A592))"),"P13LP-0591")</f>
        <v>P13LP-0591</v>
      </c>
      <c r="I592" s="6"/>
      <c r="J592" s="6" t="s">
        <v>4134</v>
      </c>
      <c r="K592" s="6" t="s">
        <v>4135</v>
      </c>
      <c r="L592" s="6" t="s">
        <v>4136</v>
      </c>
      <c r="M592" s="6" t="s">
        <v>4137</v>
      </c>
      <c r="N592" s="17"/>
      <c r="O592" s="17"/>
      <c r="P592" s="17" t="str">
        <f t="shared" si="7"/>
        <v>OK</v>
      </c>
      <c r="Q592" s="17" t="s">
        <v>35</v>
      </c>
      <c r="R592" s="6" t="s">
        <v>35</v>
      </c>
      <c r="S592" s="17" t="s">
        <v>36</v>
      </c>
      <c r="T592" s="17" t="s">
        <v>4138</v>
      </c>
      <c r="U592" s="18" t="s">
        <v>38</v>
      </c>
      <c r="V592" s="19" t="s">
        <v>2328</v>
      </c>
      <c r="W592" s="20" t="s">
        <v>4125</v>
      </c>
      <c r="X592" s="39" t="s">
        <v>4125</v>
      </c>
      <c r="Y592" s="20"/>
      <c r="Z592" s="7"/>
      <c r="AA592" s="7"/>
      <c r="AB592" s="23"/>
      <c r="AC592" s="26"/>
    </row>
    <row r="593" spans="1:30" ht="15.75" customHeight="1">
      <c r="A593" s="10" t="s">
        <v>4139</v>
      </c>
      <c r="B593" s="10" t="s">
        <v>1469</v>
      </c>
      <c r="C593" s="52" t="s">
        <v>868</v>
      </c>
      <c r="D593" s="12"/>
      <c r="E593" s="13" t="s">
        <v>378</v>
      </c>
      <c r="F593" s="6" t="s">
        <v>379</v>
      </c>
      <c r="G593" s="14" t="str">
        <f ca="1">IFERROR(__xludf.DUMMYFUNCTION("CONCATENATE(B593,(VLOOKUP(C593,CATALOGOS!$F$2:$H$6,3,FALSE)),(VLOOKUP(V593,CATALOGOS!$J$2:$K$18,2,FALSE)),""-"",TO_TEXT(A593))"),"P13LP-0592")</f>
        <v>P13LP-0592</v>
      </c>
      <c r="H593" s="15" t="str">
        <f ca="1">IFERROR(__xludf.DUMMYFUNCTION("CONCATENATE($B593,(VLOOKUP($C593,CATALOGOS!$F$2:$H$6,3,FALSE)),(VLOOKUP($V593,CATALOGOS!$J$2:$K$18,2,FALSE)),""-"",TO_TEXT($A593))"),"P13LP-0592")</f>
        <v>P13LP-0592</v>
      </c>
      <c r="I593" s="6"/>
      <c r="J593" s="6" t="s">
        <v>4140</v>
      </c>
      <c r="K593" s="6" t="s">
        <v>4141</v>
      </c>
      <c r="L593" s="6" t="s">
        <v>4142</v>
      </c>
      <c r="M593" s="6" t="s">
        <v>4143</v>
      </c>
      <c r="N593" s="17"/>
      <c r="O593" s="17"/>
      <c r="P593" s="17" t="str">
        <f t="shared" si="7"/>
        <v>OK</v>
      </c>
      <c r="Q593" s="17" t="s">
        <v>35</v>
      </c>
      <c r="R593" s="6" t="s">
        <v>35</v>
      </c>
      <c r="S593" s="17" t="s">
        <v>36</v>
      </c>
      <c r="T593" s="17" t="s">
        <v>4144</v>
      </c>
      <c r="U593" s="18" t="s">
        <v>38</v>
      </c>
      <c r="V593" s="19" t="s">
        <v>2328</v>
      </c>
      <c r="W593" s="20" t="s">
        <v>4125</v>
      </c>
      <c r="X593" s="39" t="s">
        <v>4125</v>
      </c>
      <c r="Y593" s="20"/>
      <c r="Z593" s="7"/>
      <c r="AA593" s="7"/>
      <c r="AB593" s="23"/>
      <c r="AC593" s="26"/>
    </row>
    <row r="594" spans="1:30" ht="15.75" customHeight="1">
      <c r="A594" s="10" t="s">
        <v>4145</v>
      </c>
      <c r="B594" s="10" t="s">
        <v>1469</v>
      </c>
      <c r="C594" s="52" t="s">
        <v>868</v>
      </c>
      <c r="D594" s="12"/>
      <c r="E594" s="13" t="s">
        <v>248</v>
      </c>
      <c r="F594" s="43" t="s">
        <v>248</v>
      </c>
      <c r="G594" s="14" t="str">
        <f ca="1">IFERROR(__xludf.DUMMYFUNCTION("CONCATENATE(B594,(VLOOKUP(C594,CATALOGOS!$F$2:$H$6,3,FALSE)),(VLOOKUP(V594,CATALOGOS!$J$2:$K$18,2,FALSE)),""-"",TO_TEXT(A594))"),"P13LP-0593")</f>
        <v>P13LP-0593</v>
      </c>
      <c r="H594" s="15" t="str">
        <f ca="1">IFERROR(__xludf.DUMMYFUNCTION("CONCATENATE($B594,(VLOOKUP($C594,CATALOGOS!$F$2:$H$6,3,FALSE)),(VLOOKUP($V594,CATALOGOS!$J$2:$K$18,2,FALSE)),""-"",TO_TEXT($A594))"),"P13LP-0593")</f>
        <v>P13LP-0593</v>
      </c>
      <c r="I594" s="6"/>
      <c r="J594" s="6" t="s">
        <v>4146</v>
      </c>
      <c r="K594" s="6" t="s">
        <v>4147</v>
      </c>
      <c r="L594" s="6" t="s">
        <v>4148</v>
      </c>
      <c r="M594" s="6" t="s">
        <v>4149</v>
      </c>
      <c r="N594" s="17"/>
      <c r="O594" s="17"/>
      <c r="P594" s="17" t="str">
        <f t="shared" si="7"/>
        <v>OK</v>
      </c>
      <c r="Q594" s="17" t="s">
        <v>978</v>
      </c>
      <c r="R594" s="6" t="s">
        <v>979</v>
      </c>
      <c r="S594" s="17" t="s">
        <v>4150</v>
      </c>
      <c r="T594" s="17" t="s">
        <v>4151</v>
      </c>
      <c r="U594" s="18" t="s">
        <v>38</v>
      </c>
      <c r="V594" s="19" t="s">
        <v>2328</v>
      </c>
      <c r="W594" s="20" t="s">
        <v>4125</v>
      </c>
      <c r="X594" s="39" t="s">
        <v>4125</v>
      </c>
      <c r="Y594" s="20"/>
      <c r="Z594" s="7"/>
      <c r="AA594" s="7"/>
      <c r="AB594" s="23"/>
      <c r="AC594" s="26"/>
    </row>
    <row r="595" spans="1:30" ht="15.75" customHeight="1">
      <c r="A595" s="10" t="s">
        <v>4152</v>
      </c>
      <c r="B595" s="10" t="s">
        <v>1469</v>
      </c>
      <c r="C595" s="52" t="s">
        <v>868</v>
      </c>
      <c r="D595" s="12"/>
      <c r="E595" s="13" t="s">
        <v>116</v>
      </c>
      <c r="F595" s="6" t="s">
        <v>4153</v>
      </c>
      <c r="G595" s="14" t="str">
        <f ca="1">IFERROR(__xludf.DUMMYFUNCTION("CONCATENATE(B595,(VLOOKUP(C595,CATALOGOS!$F$2:$H$6,3,FALSE)),(VLOOKUP(V595,CATALOGOS!$J$2:$K$18,2,FALSE)),""-"",TO_TEXT(A595))"),"P13LP-0594")</f>
        <v>P13LP-0594</v>
      </c>
      <c r="H595" s="15" t="str">
        <f ca="1">IFERROR(__xludf.DUMMYFUNCTION("CONCATENATE($B595,(VLOOKUP($C595,CATALOGOS!$F$2:$H$6,3,FALSE)),(VLOOKUP($V595,CATALOGOS!$J$2:$K$18,2,FALSE)),""-"",TO_TEXT($A595))"),"P13LP-0594")</f>
        <v>P13LP-0594</v>
      </c>
      <c r="I595" s="6"/>
      <c r="J595" s="6" t="s">
        <v>4154</v>
      </c>
      <c r="K595" s="6" t="s">
        <v>4155</v>
      </c>
      <c r="L595" s="6" t="s">
        <v>4156</v>
      </c>
      <c r="M595" s="6" t="s">
        <v>4157</v>
      </c>
      <c r="N595" s="17"/>
      <c r="O595" s="17"/>
      <c r="P595" s="17" t="str">
        <f t="shared" si="7"/>
        <v>OK</v>
      </c>
      <c r="Q595" s="17" t="s">
        <v>35</v>
      </c>
      <c r="R595" s="6" t="s">
        <v>35</v>
      </c>
      <c r="S595" s="17" t="s">
        <v>36</v>
      </c>
      <c r="T595" s="17" t="s">
        <v>4158</v>
      </c>
      <c r="U595" s="18" t="s">
        <v>38</v>
      </c>
      <c r="V595" s="19" t="s">
        <v>2328</v>
      </c>
      <c r="W595" s="20" t="s">
        <v>4125</v>
      </c>
      <c r="X595" s="39" t="s">
        <v>4125</v>
      </c>
      <c r="Y595" s="20"/>
      <c r="Z595" s="7"/>
      <c r="AA595" s="7"/>
      <c r="AB595" s="23"/>
      <c r="AC595" s="26"/>
    </row>
    <row r="596" spans="1:30" ht="15.75" customHeight="1">
      <c r="A596" s="10" t="s">
        <v>4159</v>
      </c>
      <c r="B596" s="10" t="s">
        <v>1469</v>
      </c>
      <c r="C596" s="52" t="s">
        <v>868</v>
      </c>
      <c r="D596" s="12"/>
      <c r="E596" s="13" t="s">
        <v>199</v>
      </c>
      <c r="F596" s="6" t="s">
        <v>199</v>
      </c>
      <c r="G596" s="14" t="str">
        <f ca="1">IFERROR(__xludf.DUMMYFUNCTION("CONCATENATE(B596,(VLOOKUP(C596,CATALOGOS!$F$2:$H$6,3,FALSE)),(VLOOKUP(V596,CATALOGOS!$J$2:$K$18,2,FALSE)),""-"",TO_TEXT(A596))"),"P13LP-0595")</f>
        <v>P13LP-0595</v>
      </c>
      <c r="H596" s="15" t="str">
        <f ca="1">IFERROR(__xludf.DUMMYFUNCTION("CONCATENATE($B596,(VLOOKUP($C596,CATALOGOS!$F$2:$H$6,3,FALSE)),(VLOOKUP($V596,CATALOGOS!$J$2:$K$18,2,FALSE)),""-"",TO_TEXT($A596))"),"P13LP-0595")</f>
        <v>P13LP-0595</v>
      </c>
      <c r="I596" s="6"/>
      <c r="J596" s="6" t="s">
        <v>4160</v>
      </c>
      <c r="K596" s="6" t="s">
        <v>4161</v>
      </c>
      <c r="L596" s="37"/>
      <c r="M596" s="6" t="s">
        <v>4162</v>
      </c>
      <c r="N596" s="17"/>
      <c r="O596" s="17"/>
      <c r="P596" s="17" t="str">
        <f t="shared" si="7"/>
        <v>OK</v>
      </c>
      <c r="Q596" s="17" t="s">
        <v>273</v>
      </c>
      <c r="R596" s="6" t="s">
        <v>274</v>
      </c>
      <c r="S596" s="6">
        <v>11392903015788</v>
      </c>
      <c r="T596" s="10" t="s">
        <v>85</v>
      </c>
      <c r="U596" s="18" t="s">
        <v>38</v>
      </c>
      <c r="V596" s="19" t="s">
        <v>2328</v>
      </c>
      <c r="W596" s="20" t="s">
        <v>4125</v>
      </c>
      <c r="X596" s="39" t="s">
        <v>4125</v>
      </c>
      <c r="Y596" s="20"/>
      <c r="Z596" s="6"/>
      <c r="AA596" s="6"/>
      <c r="AB596" s="41" t="s">
        <v>275</v>
      </c>
      <c r="AC596" s="42">
        <v>44403</v>
      </c>
      <c r="AD596" s="8" t="s">
        <v>276</v>
      </c>
    </row>
    <row r="597" spans="1:30" ht="15.75" customHeight="1">
      <c r="A597" s="10" t="s">
        <v>4163</v>
      </c>
      <c r="B597" s="10" t="s">
        <v>1469</v>
      </c>
      <c r="C597" s="52" t="s">
        <v>868</v>
      </c>
      <c r="D597" s="12"/>
      <c r="E597" s="13" t="s">
        <v>151</v>
      </c>
      <c r="F597" s="6" t="s">
        <v>4113</v>
      </c>
      <c r="G597" s="14" t="str">
        <f ca="1">IFERROR(__xludf.DUMMYFUNCTION("CONCATENATE(B597,(VLOOKUP(C597,CATALOGOS!$F$2:$H$6,3,FALSE)),(VLOOKUP(V597,CATALOGOS!$J$2:$K$18,2,FALSE)),""-"",TO_TEXT(A597))"),"P13LP-0596")</f>
        <v>P13LP-0596</v>
      </c>
      <c r="H597" s="15" t="str">
        <f ca="1">IFERROR(__xludf.DUMMYFUNCTION("CONCATENATE($B597,(VLOOKUP($C597,CATALOGOS!$F$2:$H$6,3,FALSE)),(VLOOKUP($V597,CATALOGOS!$J$2:$K$18,2,FALSE)),""-"",TO_TEXT($A597))"),"P13LP-0596")</f>
        <v>P13LP-0596</v>
      </c>
      <c r="I597" s="6"/>
      <c r="J597" s="6" t="s">
        <v>4164</v>
      </c>
      <c r="K597" s="6" t="s">
        <v>4165</v>
      </c>
      <c r="L597" s="37"/>
      <c r="M597" s="6" t="s">
        <v>4166</v>
      </c>
      <c r="N597" s="17"/>
      <c r="O597" s="17"/>
      <c r="P597" s="17" t="str">
        <f t="shared" si="7"/>
        <v>OK</v>
      </c>
      <c r="Q597" s="17" t="s">
        <v>297</v>
      </c>
      <c r="R597" s="6" t="s">
        <v>298</v>
      </c>
      <c r="S597" s="6" t="s">
        <v>4167</v>
      </c>
      <c r="T597" s="10" t="s">
        <v>85</v>
      </c>
      <c r="U597" s="18" t="s">
        <v>38</v>
      </c>
      <c r="V597" s="19" t="s">
        <v>2328</v>
      </c>
      <c r="W597" s="20" t="s">
        <v>4125</v>
      </c>
      <c r="X597" s="39" t="s">
        <v>4125</v>
      </c>
      <c r="Y597" s="20"/>
      <c r="Z597" s="6"/>
      <c r="AA597" s="6"/>
      <c r="AB597" s="41" t="s">
        <v>275</v>
      </c>
      <c r="AC597" s="42">
        <v>44403</v>
      </c>
      <c r="AD597" s="8">
        <v>0</v>
      </c>
    </row>
    <row r="598" spans="1:30" ht="15.75" customHeight="1">
      <c r="A598" s="10" t="s">
        <v>4168</v>
      </c>
      <c r="B598" s="10" t="s">
        <v>1469</v>
      </c>
      <c r="C598" s="52" t="s">
        <v>868</v>
      </c>
      <c r="D598" s="38"/>
      <c r="E598" s="13" t="s">
        <v>1240</v>
      </c>
      <c r="F598" s="43" t="s">
        <v>278</v>
      </c>
      <c r="G598" s="14" t="str">
        <f ca="1">IFERROR(__xludf.DUMMYFUNCTION("CONCATENATE(B598,(VLOOKUP(C598,CATALOGOS!$F$2:$H$6,3,FALSE)),(VLOOKUP(V598,CATALOGOS!$J$2:$K$18,2,FALSE)),""-"",TO_TEXT(A598))"),"P13LP-0597")</f>
        <v>P13LP-0597</v>
      </c>
      <c r="H598" s="15" t="str">
        <f ca="1">IFERROR(__xludf.DUMMYFUNCTION("CONCATENATE($B598,(VLOOKUP($C598,CATALOGOS!$F$2:$H$6,3,FALSE)),(VLOOKUP($V598,CATALOGOS!$J$2:$K$18,2,FALSE)),""-"",TO_TEXT($A598))"),"P13LP-0597")</f>
        <v>P13LP-0597</v>
      </c>
      <c r="I598" s="6"/>
      <c r="J598" s="6" t="s">
        <v>4169</v>
      </c>
      <c r="K598" s="6" t="s">
        <v>4170</v>
      </c>
      <c r="L598" s="6" t="s">
        <v>4171</v>
      </c>
      <c r="M598" s="6" t="s">
        <v>4172</v>
      </c>
      <c r="N598" s="17"/>
      <c r="O598" s="17"/>
      <c r="P598" s="17" t="str">
        <f t="shared" si="7"/>
        <v>OK</v>
      </c>
      <c r="Q598" s="17" t="s">
        <v>35</v>
      </c>
      <c r="R598" s="6" t="s">
        <v>35</v>
      </c>
      <c r="S598" s="46" t="s">
        <v>36</v>
      </c>
      <c r="T598" s="17" t="s">
        <v>4173</v>
      </c>
      <c r="U598" s="18" t="s">
        <v>38</v>
      </c>
      <c r="V598" s="19" t="s">
        <v>2328</v>
      </c>
      <c r="W598" s="20" t="s">
        <v>4125</v>
      </c>
      <c r="X598" s="39" t="s">
        <v>4125</v>
      </c>
      <c r="Y598" s="20"/>
      <c r="Z598" s="7"/>
      <c r="AA598" s="7"/>
      <c r="AB598" s="26"/>
      <c r="AC598" s="26"/>
    </row>
    <row r="599" spans="1:30" ht="15.75" customHeight="1">
      <c r="A599" s="10" t="s">
        <v>4174</v>
      </c>
      <c r="B599" s="10" t="s">
        <v>1469</v>
      </c>
      <c r="C599" s="52" t="s">
        <v>868</v>
      </c>
      <c r="D599" s="12"/>
      <c r="E599" s="13" t="s">
        <v>378</v>
      </c>
      <c r="F599" s="43" t="s">
        <v>4175</v>
      </c>
      <c r="G599" s="14" t="str">
        <f ca="1">IFERROR(__xludf.DUMMYFUNCTION("CONCATENATE(B599,(VLOOKUP(C599,CATALOGOS!$F$2:$H$6,3,FALSE)),(VLOOKUP(V599,CATALOGOS!$J$2:$K$18,2,FALSE)),""-"",TO_TEXT(A599))"),"P13LP-0598")</f>
        <v>P13LP-0598</v>
      </c>
      <c r="H599" s="15" t="str">
        <f ca="1">IFERROR(__xludf.DUMMYFUNCTION("CONCATENATE($B599,(VLOOKUP($C599,CATALOGOS!$F$2:$H$6,3,FALSE)),(VLOOKUP($V599,CATALOGOS!$J$2:$K$18,2,FALSE)),""-"",TO_TEXT($A599))"),"P13LP-0598")</f>
        <v>P13LP-0598</v>
      </c>
      <c r="I599" s="6"/>
      <c r="J599" s="6" t="s">
        <v>4176</v>
      </c>
      <c r="K599" s="6" t="s">
        <v>4177</v>
      </c>
      <c r="L599" s="6" t="s">
        <v>4178</v>
      </c>
      <c r="M599" s="6" t="s">
        <v>4179</v>
      </c>
      <c r="N599" s="17"/>
      <c r="O599" s="17"/>
      <c r="P599" s="17" t="str">
        <f t="shared" si="7"/>
        <v>OK</v>
      </c>
      <c r="Q599" s="17" t="s">
        <v>35</v>
      </c>
      <c r="R599" s="6" t="s">
        <v>35</v>
      </c>
      <c r="S599" s="17" t="s">
        <v>36</v>
      </c>
      <c r="T599" s="17" t="s">
        <v>4180</v>
      </c>
      <c r="U599" s="18" t="s">
        <v>38</v>
      </c>
      <c r="V599" s="19" t="s">
        <v>2328</v>
      </c>
      <c r="W599" s="20" t="s">
        <v>3716</v>
      </c>
      <c r="X599" s="39" t="s">
        <v>4181</v>
      </c>
      <c r="Y599" s="20"/>
      <c r="Z599" s="7"/>
      <c r="AA599" s="7"/>
      <c r="AB599" s="23"/>
      <c r="AC599" s="26"/>
    </row>
    <row r="600" spans="1:30" ht="15.75" customHeight="1">
      <c r="A600" s="10" t="s">
        <v>4182</v>
      </c>
      <c r="B600" s="10" t="s">
        <v>1469</v>
      </c>
      <c r="C600" s="52" t="s">
        <v>868</v>
      </c>
      <c r="D600" s="12"/>
      <c r="E600" s="13" t="s">
        <v>378</v>
      </c>
      <c r="F600" s="6" t="s">
        <v>4183</v>
      </c>
      <c r="G600" s="14" t="str">
        <f ca="1">IFERROR(__xludf.DUMMYFUNCTION("CONCATENATE(B600,(VLOOKUP(C600,CATALOGOS!$F$2:$H$6,3,FALSE)),(VLOOKUP(V600,CATALOGOS!$J$2:$K$18,2,FALSE)),""-"",TO_TEXT(A600))"),"P13SO-0599")</f>
        <v>P13SO-0599</v>
      </c>
      <c r="H600" s="15" t="str">
        <f ca="1">IFERROR(__xludf.DUMMYFUNCTION("CONCATENATE($B600,(VLOOKUP($C600,CATALOGOS!$F$2:$H$6,3,FALSE)),(VLOOKUP($V600,CATALOGOS!$J$2:$K$18,2,FALSE)),""-"",TO_TEXT($A600))"),"P13SO-0599")</f>
        <v>P13SO-0599</v>
      </c>
      <c r="I600" s="6"/>
      <c r="J600" s="6" t="s">
        <v>4184</v>
      </c>
      <c r="K600" s="6" t="s">
        <v>4185</v>
      </c>
      <c r="L600" s="6" t="s">
        <v>4186</v>
      </c>
      <c r="M600" s="6" t="s">
        <v>4187</v>
      </c>
      <c r="N600" s="17"/>
      <c r="O600" s="17"/>
      <c r="P600" s="17" t="str">
        <f t="shared" si="7"/>
        <v>OK</v>
      </c>
      <c r="Q600" s="17" t="s">
        <v>35</v>
      </c>
      <c r="R600" s="6" t="s">
        <v>35</v>
      </c>
      <c r="S600" s="17" t="s">
        <v>36</v>
      </c>
      <c r="T600" s="17" t="s">
        <v>4188</v>
      </c>
      <c r="U600" s="18" t="s">
        <v>38</v>
      </c>
      <c r="V600" s="19" t="s">
        <v>868</v>
      </c>
      <c r="W600" s="20" t="s">
        <v>3450</v>
      </c>
      <c r="X600" s="39" t="s">
        <v>3451</v>
      </c>
      <c r="Y600" s="20"/>
      <c r="Z600" s="6"/>
      <c r="AA600" s="6"/>
      <c r="AB600" s="23"/>
      <c r="AC600" s="24"/>
    </row>
    <row r="601" spans="1:30" ht="15.75" customHeight="1">
      <c r="A601" s="10" t="s">
        <v>4189</v>
      </c>
      <c r="B601" s="10" t="s">
        <v>1469</v>
      </c>
      <c r="C601" s="52" t="s">
        <v>868</v>
      </c>
      <c r="D601" s="12"/>
      <c r="E601" s="13" t="s">
        <v>93</v>
      </c>
      <c r="F601" s="6" t="s">
        <v>4190</v>
      </c>
      <c r="G601" s="14" t="str">
        <f ca="1">IFERROR(__xludf.DUMMYFUNCTION("CONCATENATE(B601,(VLOOKUP(C601,CATALOGOS!$F$2:$H$6,3,FALSE)),(VLOOKUP(V601,CATALOGOS!$J$2:$K$18,2,FALSE)),""-"",TO_TEXT(A601))"),"P13IR-0600")</f>
        <v>P13IR-0600</v>
      </c>
      <c r="H601" s="15" t="str">
        <f ca="1">IFERROR(__xludf.DUMMYFUNCTION("CONCATENATE($B601,(VLOOKUP($C601,CATALOGOS!$F$2:$H$6,3,FALSE)),(VLOOKUP($V601,CATALOGOS!$J$2:$K$18,2,FALSE)),""-"",TO_TEXT($A601))"),"P13IR-0600")</f>
        <v>P13IR-0600</v>
      </c>
      <c r="I601" s="6"/>
      <c r="J601" s="6" t="s">
        <v>4191</v>
      </c>
      <c r="K601" s="6" t="s">
        <v>4192</v>
      </c>
      <c r="L601" s="6" t="s">
        <v>4193</v>
      </c>
      <c r="M601" s="6" t="s">
        <v>4194</v>
      </c>
      <c r="N601" s="17"/>
      <c r="O601" s="17"/>
      <c r="P601" s="17" t="str">
        <f t="shared" si="7"/>
        <v>OK</v>
      </c>
      <c r="Q601" s="17" t="s">
        <v>35</v>
      </c>
      <c r="R601" s="6" t="s">
        <v>35</v>
      </c>
      <c r="S601" s="17" t="s">
        <v>36</v>
      </c>
      <c r="T601" s="17" t="s">
        <v>4195</v>
      </c>
      <c r="U601" s="18" t="s">
        <v>38</v>
      </c>
      <c r="V601" s="19" t="s">
        <v>2381</v>
      </c>
      <c r="W601" s="20" t="s">
        <v>4181</v>
      </c>
      <c r="X601" s="39" t="s">
        <v>4181</v>
      </c>
      <c r="Y601" s="20"/>
      <c r="Z601" s="7"/>
      <c r="AA601" s="7"/>
      <c r="AB601" s="23"/>
      <c r="AC601" s="26"/>
    </row>
    <row r="602" spans="1:30" ht="15.75" customHeight="1">
      <c r="A602" s="10" t="s">
        <v>4196</v>
      </c>
      <c r="B602" s="10" t="s">
        <v>1469</v>
      </c>
      <c r="C602" s="52" t="s">
        <v>868</v>
      </c>
      <c r="D602" s="12"/>
      <c r="E602" s="13" t="s">
        <v>93</v>
      </c>
      <c r="F602" s="6" t="s">
        <v>869</v>
      </c>
      <c r="G602" s="14" t="str">
        <f ca="1">IFERROR(__xludf.DUMMYFUNCTION("CONCATENATE(B602,(VLOOKUP(C602,CATALOGOS!$F$2:$H$6,3,FALSE)),(VLOOKUP(V602,CATALOGOS!$J$2:$K$18,2,FALSE)),""-"",TO_TEXT(A602))"),"P13LP-0601")</f>
        <v>P13LP-0601</v>
      </c>
      <c r="H602" s="15" t="str">
        <f ca="1">IFERROR(__xludf.DUMMYFUNCTION("CONCATENATE($B602,(VLOOKUP($C602,CATALOGOS!$F$2:$H$6,3,FALSE)),(VLOOKUP($V602,CATALOGOS!$J$2:$K$18,2,FALSE)),""-"",TO_TEXT($A602))"),"P13LP-0601")</f>
        <v>P13LP-0601</v>
      </c>
      <c r="I602" s="6"/>
      <c r="J602" s="6" t="s">
        <v>4197</v>
      </c>
      <c r="K602" s="6" t="s">
        <v>4198</v>
      </c>
      <c r="L602" s="6" t="s">
        <v>4199</v>
      </c>
      <c r="M602" s="6" t="s">
        <v>4200</v>
      </c>
      <c r="N602" s="17"/>
      <c r="O602" s="17"/>
      <c r="P602" s="17" t="str">
        <f t="shared" si="7"/>
        <v>OK</v>
      </c>
      <c r="Q602" s="17" t="s">
        <v>35</v>
      </c>
      <c r="R602" s="6" t="s">
        <v>35</v>
      </c>
      <c r="S602" s="17" t="s">
        <v>36</v>
      </c>
      <c r="T602" s="17" t="s">
        <v>4201</v>
      </c>
      <c r="U602" s="18" t="s">
        <v>38</v>
      </c>
      <c r="V602" s="19" t="s">
        <v>2328</v>
      </c>
      <c r="W602" s="20" t="s">
        <v>3716</v>
      </c>
      <c r="X602" s="74" t="s">
        <v>4202</v>
      </c>
      <c r="Y602" s="6"/>
      <c r="Z602" s="6"/>
      <c r="AA602" s="6" t="s">
        <v>4203</v>
      </c>
      <c r="AB602" s="23"/>
      <c r="AC602" s="26"/>
    </row>
    <row r="603" spans="1:30" ht="15.75" customHeight="1">
      <c r="A603" s="10" t="s">
        <v>4204</v>
      </c>
      <c r="B603" s="10" t="s">
        <v>1469</v>
      </c>
      <c r="C603" s="52" t="s">
        <v>868</v>
      </c>
      <c r="D603" s="12"/>
      <c r="E603" s="13" t="s">
        <v>199</v>
      </c>
      <c r="F603" s="6" t="s">
        <v>199</v>
      </c>
      <c r="G603" s="14" t="str">
        <f ca="1">IFERROR(__xludf.DUMMYFUNCTION("CONCATENATE(B603,(VLOOKUP(C603,CATALOGOS!$F$2:$H$6,3,FALSE)),(VLOOKUP(V603,CATALOGOS!$J$2:$K$18,2,FALSE)),""-"",TO_TEXT(A603))"),"P13IR-0602")</f>
        <v>P13IR-0602</v>
      </c>
      <c r="H603" s="15" t="str">
        <f ca="1">IFERROR(__xludf.DUMMYFUNCTION("CONCATENATE($B603,(VLOOKUP($C603,CATALOGOS!$F$2:$H$6,3,FALSE)),(VLOOKUP($V603,CATALOGOS!$J$2:$K$18,2,FALSE)),""-"",TO_TEXT($A603))"),"P13IR-0602")</f>
        <v>P13IR-0602</v>
      </c>
      <c r="I603" s="6"/>
      <c r="J603" s="6" t="s">
        <v>4205</v>
      </c>
      <c r="K603" s="6" t="s">
        <v>4206</v>
      </c>
      <c r="L603" s="6" t="s">
        <v>4207</v>
      </c>
      <c r="M603" s="6" t="s">
        <v>141</v>
      </c>
      <c r="N603" s="17"/>
      <c r="O603" s="17"/>
      <c r="P603" s="17" t="str">
        <f t="shared" si="7"/>
        <v>REPETIDO</v>
      </c>
      <c r="Q603" s="17" t="s">
        <v>157</v>
      </c>
      <c r="R603" s="32">
        <v>1592</v>
      </c>
      <c r="S603" s="17" t="s">
        <v>4208</v>
      </c>
      <c r="T603" s="17" t="s">
        <v>4209</v>
      </c>
      <c r="U603" s="18" t="s">
        <v>3282</v>
      </c>
      <c r="V603" s="19" t="s">
        <v>2381</v>
      </c>
      <c r="W603" s="20" t="s">
        <v>4181</v>
      </c>
      <c r="X603" s="39" t="s">
        <v>4181</v>
      </c>
      <c r="Y603" s="20" t="s">
        <v>142</v>
      </c>
      <c r="Z603" s="6"/>
      <c r="AA603" s="6"/>
      <c r="AB603" s="23"/>
      <c r="AC603" s="7"/>
    </row>
    <row r="604" spans="1:30" ht="15.75" customHeight="1">
      <c r="A604" s="10" t="s">
        <v>4210</v>
      </c>
      <c r="B604" s="10" t="s">
        <v>1469</v>
      </c>
      <c r="C604" s="52" t="s">
        <v>868</v>
      </c>
      <c r="D604" s="12"/>
      <c r="E604" s="13" t="s">
        <v>353</v>
      </c>
      <c r="F604" s="43" t="s">
        <v>354</v>
      </c>
      <c r="G604" s="6" t="str">
        <f ca="1">IFERROR(__xludf.DUMMYFUNCTION("CONCATENATE(B604,(VLOOKUP(C604,CATALOGOS!$F$2:$H$6,3,FALSE)),(VLOOKUP(V604,CATALOGOS!$J$2:$K$18,2,FALSE)),""-"",TO_TEXT(A604))"),"P13LP-0603")</f>
        <v>P13LP-0603</v>
      </c>
      <c r="H604" s="15" t="str">
        <f ca="1">IFERROR(__xludf.DUMMYFUNCTION("CONCATENATE($B604,(VLOOKUP($C604,CATALOGOS!$F$2:$H$6,3,FALSE)),(VLOOKUP($V604,CATALOGOS!$J$2:$K$18,2,FALSE)),""-"",TO_TEXT($A604))"),"P13LP-0603")</f>
        <v>P13LP-0603</v>
      </c>
      <c r="I604" s="6"/>
      <c r="J604" s="6" t="s">
        <v>4211</v>
      </c>
      <c r="K604" s="6" t="s">
        <v>4212</v>
      </c>
      <c r="L604" s="6" t="s">
        <v>4213</v>
      </c>
      <c r="M604" s="6" t="s">
        <v>4214</v>
      </c>
      <c r="N604" s="17"/>
      <c r="O604" s="17"/>
      <c r="P604" s="17" t="str">
        <f t="shared" si="7"/>
        <v>OK</v>
      </c>
      <c r="Q604" s="17" t="s">
        <v>359</v>
      </c>
      <c r="R604" s="6" t="s">
        <v>360</v>
      </c>
      <c r="S604" s="17" t="s">
        <v>36</v>
      </c>
      <c r="T604" s="17" t="s">
        <v>4215</v>
      </c>
      <c r="U604" s="18" t="s">
        <v>38</v>
      </c>
      <c r="V604" s="19" t="s">
        <v>2328</v>
      </c>
      <c r="W604" s="6" t="s">
        <v>4202</v>
      </c>
      <c r="X604" s="74" t="s">
        <v>4202</v>
      </c>
      <c r="Y604" s="6"/>
      <c r="Z604" s="6"/>
      <c r="AA604" s="6" t="s">
        <v>4203</v>
      </c>
      <c r="AB604" s="23"/>
      <c r="AC604" s="26"/>
    </row>
    <row r="605" spans="1:30" ht="15.75" customHeight="1">
      <c r="A605" s="10" t="s">
        <v>4216</v>
      </c>
      <c r="B605" s="10" t="s">
        <v>1469</v>
      </c>
      <c r="C605" s="61" t="s">
        <v>28</v>
      </c>
      <c r="D605" s="38"/>
      <c r="E605" s="13" t="s">
        <v>151</v>
      </c>
      <c r="F605" s="6" t="s">
        <v>152</v>
      </c>
      <c r="G605" s="47" t="str">
        <f ca="1">IFERROR(__xludf.DUMMYFUNCTION("CONCATENATE(B605,(VLOOKUP(C605,CATALOGOS!$F$2:$H$6,3,FALSE)),(VLOOKUP(V605,CATALOGOS!$J$2:$K$18,2,FALSE)),""-"",TO_TEXT(A605))"),"P15RM-0604")</f>
        <v>P15RM-0604</v>
      </c>
      <c r="H605" s="15" t="str">
        <f ca="1">IFERROR(__xludf.DUMMYFUNCTION("CONCATENATE($B605,(VLOOKUP($C605,CATALOGOS!$F$2:$H$6,3,FALSE)),(VLOOKUP($V605,CATALOGOS!$J$2:$K$18,2,FALSE)),""-"",TO_TEXT($A605))"),"P15RM-0604")</f>
        <v>P15RM-0604</v>
      </c>
      <c r="I605" s="6"/>
      <c r="J605" s="6" t="s">
        <v>4217</v>
      </c>
      <c r="K605" s="6" t="s">
        <v>4218</v>
      </c>
      <c r="L605" s="6" t="s">
        <v>4219</v>
      </c>
      <c r="M605" s="6" t="s">
        <v>4220</v>
      </c>
      <c r="N605" s="17"/>
      <c r="O605" s="17"/>
      <c r="P605" s="17" t="str">
        <f t="shared" si="7"/>
        <v>OK</v>
      </c>
      <c r="Q605" s="17" t="s">
        <v>1220</v>
      </c>
      <c r="R605" s="6" t="s">
        <v>720</v>
      </c>
      <c r="S605" s="46" t="s">
        <v>4221</v>
      </c>
      <c r="T605" s="17" t="s">
        <v>4222</v>
      </c>
      <c r="U605" s="18" t="s">
        <v>749</v>
      </c>
      <c r="V605" s="19" t="s">
        <v>147</v>
      </c>
      <c r="W605" s="74" t="s">
        <v>492</v>
      </c>
      <c r="X605" s="74" t="s">
        <v>4202</v>
      </c>
      <c r="Y605" s="40" t="s">
        <v>261</v>
      </c>
      <c r="Z605" s="6"/>
      <c r="AA605" s="6" t="s">
        <v>4203</v>
      </c>
      <c r="AB605" s="26"/>
      <c r="AC605" s="7"/>
    </row>
    <row r="606" spans="1:30" ht="15.75" customHeight="1">
      <c r="A606" s="10" t="s">
        <v>4223</v>
      </c>
      <c r="B606" s="10" t="s">
        <v>1469</v>
      </c>
      <c r="C606" s="52" t="s">
        <v>868</v>
      </c>
      <c r="D606" s="12"/>
      <c r="E606" s="13" t="s">
        <v>53</v>
      </c>
      <c r="F606" s="6" t="s">
        <v>2362</v>
      </c>
      <c r="G606" s="14" t="str">
        <f ca="1">IFERROR(__xludf.DUMMYFUNCTION("CONCATENATE(B606,(VLOOKUP(C606,CATALOGOS!$F$2:$H$6,3,FALSE)),(VLOOKUP(V606,CATALOGOS!$J$2:$K$18,2,FALSE)),""-"",TO_TEXT(A606))"),"P13LP-0605")</f>
        <v>P13LP-0605</v>
      </c>
      <c r="H606" s="15" t="str">
        <f ca="1">IFERROR(__xludf.DUMMYFUNCTION("CONCATENATE($B606,(VLOOKUP($C606,CATALOGOS!$F$2:$H$6,3,FALSE)),(VLOOKUP($V606,CATALOGOS!$J$2:$K$18,2,FALSE)),""-"",TO_TEXT($A606))"),"P13LP-0605")</f>
        <v>P13LP-0605</v>
      </c>
      <c r="I606" s="6"/>
      <c r="J606" s="6" t="s">
        <v>4224</v>
      </c>
      <c r="K606" s="6" t="s">
        <v>4225</v>
      </c>
      <c r="L606" s="6" t="s">
        <v>4226</v>
      </c>
      <c r="M606" s="6" t="s">
        <v>4227</v>
      </c>
      <c r="N606" s="17"/>
      <c r="O606" s="17"/>
      <c r="P606" s="17" t="str">
        <f t="shared" si="7"/>
        <v>OK</v>
      </c>
      <c r="Q606" s="17" t="s">
        <v>35</v>
      </c>
      <c r="R606" s="6" t="s">
        <v>35</v>
      </c>
      <c r="S606" s="17" t="s">
        <v>36</v>
      </c>
      <c r="T606" s="17" t="s">
        <v>4228</v>
      </c>
      <c r="U606" s="18" t="s">
        <v>38</v>
      </c>
      <c r="V606" s="19" t="s">
        <v>2328</v>
      </c>
      <c r="W606" s="20" t="s">
        <v>2329</v>
      </c>
      <c r="X606" s="39" t="s">
        <v>3848</v>
      </c>
      <c r="Y606" s="20"/>
      <c r="Z606" s="7"/>
      <c r="AA606" s="7"/>
      <c r="AB606" s="23"/>
      <c r="AC606" s="26"/>
    </row>
    <row r="607" spans="1:30" ht="15.75" customHeight="1">
      <c r="A607" s="10" t="s">
        <v>4229</v>
      </c>
      <c r="B607" s="10" t="s">
        <v>1469</v>
      </c>
      <c r="C607" s="52" t="s">
        <v>868</v>
      </c>
      <c r="D607" s="12"/>
      <c r="E607" s="13" t="s">
        <v>93</v>
      </c>
      <c r="F607" s="6" t="s">
        <v>4230</v>
      </c>
      <c r="G607" s="14" t="str">
        <f ca="1">IFERROR(__xludf.DUMMYFUNCTION("CONCATENATE(B607,(VLOOKUP(C607,CATALOGOS!$F$2:$H$6,3,FALSE)),(VLOOKUP(V607,CATALOGOS!$J$2:$K$18,2,FALSE)),""-"",TO_TEXT(A607))"),"P13LP-0606")</f>
        <v>P13LP-0606</v>
      </c>
      <c r="H607" s="15" t="str">
        <f ca="1">IFERROR(__xludf.DUMMYFUNCTION("CONCATENATE($B607,(VLOOKUP($C607,CATALOGOS!$F$2:$H$6,3,FALSE)),(VLOOKUP($V607,CATALOGOS!$J$2:$K$18,2,FALSE)),""-"",TO_TEXT($A607))"),"P13LP-0606")</f>
        <v>P13LP-0606</v>
      </c>
      <c r="I607" s="6"/>
      <c r="J607" s="6" t="s">
        <v>4231</v>
      </c>
      <c r="K607" s="6" t="s">
        <v>4232</v>
      </c>
      <c r="L607" s="6" t="s">
        <v>4233</v>
      </c>
      <c r="M607" s="6" t="s">
        <v>4234</v>
      </c>
      <c r="N607" s="17"/>
      <c r="O607" s="17"/>
      <c r="P607" s="17" t="str">
        <f t="shared" si="7"/>
        <v>OK</v>
      </c>
      <c r="Q607" s="17" t="s">
        <v>35</v>
      </c>
      <c r="R607" s="6" t="s">
        <v>35</v>
      </c>
      <c r="S607" s="17" t="s">
        <v>36</v>
      </c>
      <c r="T607" s="17" t="s">
        <v>4235</v>
      </c>
      <c r="U607" s="18" t="s">
        <v>38</v>
      </c>
      <c r="V607" s="19" t="s">
        <v>2328</v>
      </c>
      <c r="W607" s="20" t="s">
        <v>2329</v>
      </c>
      <c r="X607" s="39" t="s">
        <v>3848</v>
      </c>
      <c r="Y607" s="20"/>
      <c r="Z607" s="7"/>
      <c r="AA607" s="7"/>
      <c r="AB607" s="23"/>
      <c r="AC607" s="26"/>
    </row>
    <row r="608" spans="1:30" ht="15.75" customHeight="1">
      <c r="A608" s="10" t="s">
        <v>4236</v>
      </c>
      <c r="B608" s="10" t="s">
        <v>1469</v>
      </c>
      <c r="C608" s="52" t="s">
        <v>868</v>
      </c>
      <c r="D608" s="12"/>
      <c r="E608" s="13" t="s">
        <v>378</v>
      </c>
      <c r="F608" s="6" t="s">
        <v>1306</v>
      </c>
      <c r="G608" s="14" t="str">
        <f ca="1">IFERROR(__xludf.DUMMYFUNCTION("CONCATENATE(B608,(VLOOKUP(C608,CATALOGOS!$F$2:$H$6,3,FALSE)),(VLOOKUP(V608,CATALOGOS!$J$2:$K$18,2,FALSE)),""-"",TO_TEXT(A608))"),"P13LP-0607")</f>
        <v>P13LP-0607</v>
      </c>
      <c r="H608" s="15" t="str">
        <f ca="1">IFERROR(__xludf.DUMMYFUNCTION("CONCATENATE($B608,(VLOOKUP($C608,CATALOGOS!$F$2:$H$6,3,FALSE)),(VLOOKUP($V608,CATALOGOS!$J$2:$K$18,2,FALSE)),""-"",TO_TEXT($A608))"),"P13LP-0607")</f>
        <v>P13LP-0607</v>
      </c>
      <c r="I608" s="6"/>
      <c r="J608" s="6" t="s">
        <v>4237</v>
      </c>
      <c r="K608" s="6" t="s">
        <v>4238</v>
      </c>
      <c r="L608" s="6" t="s">
        <v>4239</v>
      </c>
      <c r="M608" s="6" t="s">
        <v>4240</v>
      </c>
      <c r="N608" s="17"/>
      <c r="O608" s="17"/>
      <c r="P608" s="17" t="str">
        <f t="shared" si="7"/>
        <v>OK</v>
      </c>
      <c r="Q608" s="17" t="s">
        <v>35</v>
      </c>
      <c r="R608" s="6" t="s">
        <v>35</v>
      </c>
      <c r="S608" s="17" t="s">
        <v>36</v>
      </c>
      <c r="T608" s="17" t="s">
        <v>4241</v>
      </c>
      <c r="U608" s="18" t="s">
        <v>38</v>
      </c>
      <c r="V608" s="19" t="s">
        <v>2328</v>
      </c>
      <c r="W608" s="20" t="s">
        <v>2329</v>
      </c>
      <c r="X608" s="39" t="s">
        <v>3848</v>
      </c>
      <c r="Y608" s="20"/>
      <c r="Z608" s="7"/>
      <c r="AA608" s="7"/>
      <c r="AB608" s="23"/>
      <c r="AC608" s="26"/>
    </row>
    <row r="609" spans="1:29" ht="15.75" customHeight="1">
      <c r="A609" s="10" t="s">
        <v>4242</v>
      </c>
      <c r="B609" s="10" t="s">
        <v>1469</v>
      </c>
      <c r="C609" s="52" t="s">
        <v>868</v>
      </c>
      <c r="D609" s="12"/>
      <c r="E609" s="13" t="s">
        <v>29</v>
      </c>
      <c r="F609" s="6" t="s">
        <v>4243</v>
      </c>
      <c r="G609" s="14" t="str">
        <f ca="1">IFERROR(__xludf.DUMMYFUNCTION("CONCATENATE(B609,(VLOOKUP(C609,CATALOGOS!$F$2:$H$6,3,FALSE)),(VLOOKUP(V609,CATALOGOS!$J$2:$K$18,2,FALSE)),""-"",TO_TEXT(A609))"),"P13LP-0608")</f>
        <v>P13LP-0608</v>
      </c>
      <c r="H609" s="15" t="str">
        <f ca="1">IFERROR(__xludf.DUMMYFUNCTION("CONCATENATE($B609,(VLOOKUP($C609,CATALOGOS!$F$2:$H$6,3,FALSE)),(VLOOKUP($V609,CATALOGOS!$J$2:$K$18,2,FALSE)),""-"",TO_TEXT($A609))"),"P13LP-0608")</f>
        <v>P13LP-0608</v>
      </c>
      <c r="I609" s="6"/>
      <c r="J609" s="6" t="s">
        <v>4244</v>
      </c>
      <c r="K609" s="6" t="s">
        <v>4245</v>
      </c>
      <c r="L609" s="6" t="s">
        <v>4246</v>
      </c>
      <c r="M609" s="6" t="s">
        <v>4247</v>
      </c>
      <c r="N609" s="17"/>
      <c r="O609" s="17"/>
      <c r="P609" s="17" t="str">
        <f t="shared" si="7"/>
        <v>OK</v>
      </c>
      <c r="Q609" s="17" t="s">
        <v>35</v>
      </c>
      <c r="R609" s="6" t="s">
        <v>35</v>
      </c>
      <c r="S609" s="17" t="s">
        <v>36</v>
      </c>
      <c r="T609" s="17" t="s">
        <v>4248</v>
      </c>
      <c r="U609" s="18" t="s">
        <v>38</v>
      </c>
      <c r="V609" s="19" t="s">
        <v>2328</v>
      </c>
      <c r="W609" s="20" t="s">
        <v>2329</v>
      </c>
      <c r="X609" s="39" t="s">
        <v>3848</v>
      </c>
      <c r="Y609" s="20"/>
      <c r="Z609" s="7"/>
      <c r="AA609" s="7"/>
      <c r="AB609" s="23"/>
      <c r="AC609" s="26"/>
    </row>
    <row r="610" spans="1:29" ht="15.75" customHeight="1">
      <c r="A610" s="10" t="s">
        <v>4249</v>
      </c>
      <c r="B610" s="10" t="s">
        <v>1469</v>
      </c>
      <c r="C610" s="52" t="s">
        <v>868</v>
      </c>
      <c r="D610" s="12"/>
      <c r="E610" s="13" t="s">
        <v>62</v>
      </c>
      <c r="F610" s="6" t="s">
        <v>4250</v>
      </c>
      <c r="G610" s="14" t="str">
        <f ca="1">IFERROR(__xludf.DUMMYFUNCTION("CONCATENATE(B610,(VLOOKUP(C610,CATALOGOS!$F$2:$H$6,3,FALSE)),(VLOOKUP(V610,CATALOGOS!$J$2:$K$18,2,FALSE)),""-"",TO_TEXT(A610))"),"P13LP-0609")</f>
        <v>P13LP-0609</v>
      </c>
      <c r="H610" s="15" t="str">
        <f ca="1">IFERROR(__xludf.DUMMYFUNCTION("CONCATENATE($B610,(VLOOKUP($C610,CATALOGOS!$F$2:$H$6,3,FALSE)),(VLOOKUP($V610,CATALOGOS!$J$2:$K$18,2,FALSE)),""-"",TO_TEXT($A610))"),"P13LP-0609")</f>
        <v>P13LP-0609</v>
      </c>
      <c r="I610" s="6"/>
      <c r="J610" s="6" t="s">
        <v>4251</v>
      </c>
      <c r="K610" s="6" t="s">
        <v>4252</v>
      </c>
      <c r="L610" s="6" t="s">
        <v>4253</v>
      </c>
      <c r="M610" s="6" t="s">
        <v>4254</v>
      </c>
      <c r="N610" s="17"/>
      <c r="O610" s="17"/>
      <c r="P610" s="17" t="str">
        <f t="shared" si="7"/>
        <v>OK</v>
      </c>
      <c r="Q610" s="17" t="s">
        <v>35</v>
      </c>
      <c r="R610" s="6" t="s">
        <v>35</v>
      </c>
      <c r="S610" s="17" t="s">
        <v>36</v>
      </c>
      <c r="T610" s="17" t="s">
        <v>4255</v>
      </c>
      <c r="U610" s="18" t="s">
        <v>38</v>
      </c>
      <c r="V610" s="19" t="s">
        <v>2328</v>
      </c>
      <c r="W610" s="20" t="s">
        <v>2329</v>
      </c>
      <c r="X610" s="39" t="s">
        <v>3848</v>
      </c>
      <c r="Y610" s="20"/>
      <c r="Z610" s="7"/>
      <c r="AA610" s="7"/>
      <c r="AB610" s="23"/>
      <c r="AC610" s="26"/>
    </row>
    <row r="611" spans="1:29" ht="15.75" customHeight="1">
      <c r="A611" s="10" t="s">
        <v>4256</v>
      </c>
      <c r="B611" s="10" t="s">
        <v>1469</v>
      </c>
      <c r="C611" s="52" t="s">
        <v>868</v>
      </c>
      <c r="D611" s="12"/>
      <c r="E611" s="13" t="s">
        <v>71</v>
      </c>
      <c r="F611" s="6" t="s">
        <v>4257</v>
      </c>
      <c r="G611" s="14" t="str">
        <f ca="1">IFERROR(__xludf.DUMMYFUNCTION("CONCATENATE(B611,(VLOOKUP(C611,CATALOGOS!$F$2:$H$6,3,FALSE)),(VLOOKUP(V611,CATALOGOS!$J$2:$K$18,2,FALSE)),""-"",TO_TEXT(A611))"),"P13LP-0610")</f>
        <v>P13LP-0610</v>
      </c>
      <c r="H611" s="15" t="str">
        <f ca="1">IFERROR(__xludf.DUMMYFUNCTION("CONCATENATE($B611,(VLOOKUP($C611,CATALOGOS!$F$2:$H$6,3,FALSE)),(VLOOKUP($V611,CATALOGOS!$J$2:$K$18,2,FALSE)),""-"",TO_TEXT($A611))"),"P13LP-0610")</f>
        <v>P13LP-0610</v>
      </c>
      <c r="I611" s="6"/>
      <c r="J611" s="6" t="s">
        <v>4258</v>
      </c>
      <c r="K611" s="6" t="s">
        <v>4259</v>
      </c>
      <c r="L611" s="6" t="s">
        <v>4260</v>
      </c>
      <c r="M611" s="6" t="s">
        <v>4261</v>
      </c>
      <c r="N611" s="17"/>
      <c r="O611" s="17"/>
      <c r="P611" s="17" t="str">
        <f t="shared" si="7"/>
        <v>OK</v>
      </c>
      <c r="Q611" s="17" t="s">
        <v>35</v>
      </c>
      <c r="R611" s="6" t="s">
        <v>35</v>
      </c>
      <c r="S611" s="17" t="s">
        <v>36</v>
      </c>
      <c r="T611" s="17" t="s">
        <v>4262</v>
      </c>
      <c r="U611" s="18" t="s">
        <v>38</v>
      </c>
      <c r="V611" s="19" t="s">
        <v>2328</v>
      </c>
      <c r="W611" s="20" t="s">
        <v>2329</v>
      </c>
      <c r="X611" s="39" t="s">
        <v>3848</v>
      </c>
      <c r="Y611" s="20"/>
      <c r="Z611" s="7"/>
      <c r="AA611" s="7"/>
      <c r="AB611" s="23"/>
      <c r="AC611" s="26"/>
    </row>
    <row r="612" spans="1:29" ht="15.75" customHeight="1">
      <c r="A612" s="10" t="s">
        <v>4263</v>
      </c>
      <c r="B612" s="10" t="s">
        <v>1469</v>
      </c>
      <c r="C612" s="52" t="s">
        <v>868</v>
      </c>
      <c r="D612" s="12"/>
      <c r="E612" s="13" t="s">
        <v>116</v>
      </c>
      <c r="F612" s="6" t="s">
        <v>4264</v>
      </c>
      <c r="G612" s="14" t="str">
        <f ca="1">IFERROR(__xludf.DUMMYFUNCTION("CONCATENATE(B612,(VLOOKUP(C612,CATALOGOS!$F$2:$H$6,3,FALSE)),(VLOOKUP(V612,CATALOGOS!$J$2:$K$18,2,FALSE)),""-"",TO_TEXT(A612))"),"P13LP-0611")</f>
        <v>P13LP-0611</v>
      </c>
      <c r="H612" s="15" t="str">
        <f ca="1">IFERROR(__xludf.DUMMYFUNCTION("CONCATENATE($B612,(VLOOKUP($C612,CATALOGOS!$F$2:$H$6,3,FALSE)),(VLOOKUP($V612,CATALOGOS!$J$2:$K$18,2,FALSE)),""-"",TO_TEXT($A612))"),"P13LP-0611")</f>
        <v>P13LP-0611</v>
      </c>
      <c r="I612" s="6"/>
      <c r="J612" s="6" t="s">
        <v>4265</v>
      </c>
      <c r="K612" s="6" t="s">
        <v>4266</v>
      </c>
      <c r="L612" s="6" t="s">
        <v>4267</v>
      </c>
      <c r="M612" s="6" t="s">
        <v>4268</v>
      </c>
      <c r="N612" s="17"/>
      <c r="O612" s="17"/>
      <c r="P612" s="17" t="str">
        <f t="shared" si="7"/>
        <v>OK</v>
      </c>
      <c r="Q612" s="17" t="s">
        <v>35</v>
      </c>
      <c r="R612" s="6" t="s">
        <v>35</v>
      </c>
      <c r="S612" s="17" t="s">
        <v>36</v>
      </c>
      <c r="T612" s="17" t="s">
        <v>4269</v>
      </c>
      <c r="U612" s="18" t="s">
        <v>38</v>
      </c>
      <c r="V612" s="19" t="s">
        <v>2328</v>
      </c>
      <c r="W612" s="20" t="s">
        <v>2329</v>
      </c>
      <c r="X612" s="39" t="s">
        <v>3848</v>
      </c>
      <c r="Y612" s="20"/>
      <c r="Z612" s="7"/>
      <c r="AA612" s="7"/>
      <c r="AB612" s="23"/>
      <c r="AC612" s="26"/>
    </row>
    <row r="613" spans="1:29" ht="15.75" customHeight="1">
      <c r="A613" s="10" t="s">
        <v>4270</v>
      </c>
      <c r="B613" s="10" t="s">
        <v>1469</v>
      </c>
      <c r="C613" s="52" t="s">
        <v>868</v>
      </c>
      <c r="D613" s="12"/>
      <c r="E613" s="13" t="s">
        <v>136</v>
      </c>
      <c r="F613" s="43" t="s">
        <v>136</v>
      </c>
      <c r="G613" s="14" t="str">
        <f ca="1">IFERROR(__xludf.DUMMYFUNCTION("CONCATENATE(B613,(VLOOKUP(C613,CATALOGOS!$F$2:$H$6,3,FALSE)),(VLOOKUP(V613,CATALOGOS!$J$2:$K$18,2,FALSE)),""-"",TO_TEXT(A613))"),"P13LP-0612")</f>
        <v>P13LP-0612</v>
      </c>
      <c r="H613" s="15" t="str">
        <f ca="1">IFERROR(__xludf.DUMMYFUNCTION("CONCATENATE($B613,(VLOOKUP($C613,CATALOGOS!$F$2:$H$6,3,FALSE)),(VLOOKUP($V613,CATALOGOS!$J$2:$K$18,2,FALSE)),""-"",TO_TEXT($A613))"),"P13LP-0612")</f>
        <v>P13LP-0612</v>
      </c>
      <c r="I613" s="6"/>
      <c r="J613" s="6" t="s">
        <v>4271</v>
      </c>
      <c r="K613" s="6" t="s">
        <v>4272</v>
      </c>
      <c r="L613" s="6" t="s">
        <v>4273</v>
      </c>
      <c r="M613" s="6" t="s">
        <v>4274</v>
      </c>
      <c r="N613" s="17"/>
      <c r="O613" s="17"/>
      <c r="P613" s="17" t="str">
        <f t="shared" si="7"/>
        <v>OK</v>
      </c>
      <c r="Q613" s="17" t="s">
        <v>703</v>
      </c>
      <c r="R613" s="6" t="s">
        <v>4275</v>
      </c>
      <c r="S613" s="17" t="s">
        <v>4276</v>
      </c>
      <c r="T613" s="10" t="s">
        <v>4277</v>
      </c>
      <c r="U613" s="18" t="s">
        <v>38</v>
      </c>
      <c r="V613" s="19" t="s">
        <v>2328</v>
      </c>
      <c r="W613" s="20" t="s">
        <v>2329</v>
      </c>
      <c r="X613" s="39" t="s">
        <v>3848</v>
      </c>
      <c r="Y613" s="20"/>
      <c r="Z613" s="7"/>
      <c r="AA613" s="7"/>
      <c r="AB613" s="23"/>
      <c r="AC613" s="26"/>
    </row>
    <row r="614" spans="1:29" ht="15.75" customHeight="1">
      <c r="A614" s="10" t="s">
        <v>4278</v>
      </c>
      <c r="B614" s="10" t="s">
        <v>1469</v>
      </c>
      <c r="C614" s="52" t="s">
        <v>868</v>
      </c>
      <c r="D614" s="12"/>
      <c r="E614" s="13" t="s">
        <v>151</v>
      </c>
      <c r="F614" s="6" t="s">
        <v>152</v>
      </c>
      <c r="G614" s="14" t="str">
        <f ca="1">IFERROR(__xludf.DUMMYFUNCTION("CONCATENATE(B614,(VLOOKUP(C614,CATALOGOS!$F$2:$H$6,3,FALSE)),(VLOOKUP(V614,CATALOGOS!$J$2:$K$18,2,FALSE)),""-"",TO_TEXT(A614))"),"P13LP-0613")</f>
        <v>P13LP-0613</v>
      </c>
      <c r="H614" s="15" t="str">
        <f ca="1">IFERROR(__xludf.DUMMYFUNCTION("CONCATENATE($B614,(VLOOKUP($C614,CATALOGOS!$F$2:$H$6,3,FALSE)),(VLOOKUP($V614,CATALOGOS!$J$2:$K$18,2,FALSE)),""-"",TO_TEXT($A614))"),"P13LP-0613")</f>
        <v>P13LP-0613</v>
      </c>
      <c r="I614" s="6"/>
      <c r="J614" s="6" t="s">
        <v>4279</v>
      </c>
      <c r="K614" s="6" t="s">
        <v>4280</v>
      </c>
      <c r="L614" s="6" t="s">
        <v>4281</v>
      </c>
      <c r="M614" s="6" t="s">
        <v>4282</v>
      </c>
      <c r="N614" s="17"/>
      <c r="O614" s="17"/>
      <c r="P614" s="17" t="str">
        <f t="shared" si="7"/>
        <v>OK</v>
      </c>
      <c r="Q614" s="17" t="s">
        <v>1220</v>
      </c>
      <c r="R614" s="6" t="s">
        <v>720</v>
      </c>
      <c r="S614" s="17" t="s">
        <v>4283</v>
      </c>
      <c r="T614" s="17" t="s">
        <v>4284</v>
      </c>
      <c r="U614" s="18" t="s">
        <v>38</v>
      </c>
      <c r="V614" s="19" t="s">
        <v>2328</v>
      </c>
      <c r="W614" s="20" t="s">
        <v>2329</v>
      </c>
      <c r="X614" s="39" t="s">
        <v>3848</v>
      </c>
      <c r="Y614" s="20" t="s">
        <v>142</v>
      </c>
      <c r="Z614" s="7"/>
      <c r="AA614" s="7"/>
      <c r="AB614" s="23"/>
      <c r="AC614" s="26"/>
    </row>
    <row r="615" spans="1:29" ht="15.75" customHeight="1">
      <c r="A615" s="10" t="s">
        <v>4285</v>
      </c>
      <c r="B615" s="10" t="s">
        <v>1469</v>
      </c>
      <c r="C615" s="52" t="s">
        <v>868</v>
      </c>
      <c r="D615" s="12"/>
      <c r="E615" s="13" t="s">
        <v>199</v>
      </c>
      <c r="F615" s="43" t="s">
        <v>1394</v>
      </c>
      <c r="G615" s="14" t="str">
        <f ca="1">IFERROR(__xludf.DUMMYFUNCTION("CONCATENATE(B615,(VLOOKUP(C615,CATALOGOS!$F$2:$H$6,3,FALSE)),(VLOOKUP(V615,CATALOGOS!$J$2:$K$18,2,FALSE)),""-"",TO_TEXT(A615))"),"P13LP-0614")</f>
        <v>P13LP-0614</v>
      </c>
      <c r="H615" s="15" t="str">
        <f ca="1">IFERROR(__xludf.DUMMYFUNCTION("CONCATENATE($B615,(VLOOKUP($C615,CATALOGOS!$F$2:$H$6,3,FALSE)),(VLOOKUP($V615,CATALOGOS!$J$2:$K$18,2,FALSE)),""-"",TO_TEXT($A615))"),"P13LP-0614")</f>
        <v>P13LP-0614</v>
      </c>
      <c r="I615" s="6"/>
      <c r="J615" s="6" t="s">
        <v>4286</v>
      </c>
      <c r="K615" s="6" t="s">
        <v>4287</v>
      </c>
      <c r="L615" s="6" t="s">
        <v>4288</v>
      </c>
      <c r="M615" s="6" t="s">
        <v>4289</v>
      </c>
      <c r="N615" s="17"/>
      <c r="O615" s="17"/>
      <c r="P615" s="17" t="str">
        <f t="shared" si="7"/>
        <v>OK</v>
      </c>
      <c r="Q615" s="17" t="s">
        <v>157</v>
      </c>
      <c r="R615" s="6">
        <v>2378</v>
      </c>
      <c r="S615" s="17" t="s">
        <v>4290</v>
      </c>
      <c r="T615" s="10" t="s">
        <v>4291</v>
      </c>
      <c r="U615" s="18" t="s">
        <v>38</v>
      </c>
      <c r="V615" s="19" t="s">
        <v>2328</v>
      </c>
      <c r="W615" s="20" t="s">
        <v>2329</v>
      </c>
      <c r="X615" s="39" t="s">
        <v>3848</v>
      </c>
      <c r="Y615" s="20"/>
      <c r="Z615" s="7"/>
      <c r="AA615" s="7"/>
      <c r="AB615" s="23"/>
      <c r="AC615" s="26"/>
    </row>
    <row r="616" spans="1:29" ht="15.75" customHeight="1">
      <c r="A616" s="10" t="s">
        <v>4292</v>
      </c>
      <c r="B616" s="10" t="s">
        <v>1469</v>
      </c>
      <c r="C616" s="52" t="s">
        <v>868</v>
      </c>
      <c r="D616" s="12"/>
      <c r="E616" s="13" t="s">
        <v>43</v>
      </c>
      <c r="F616" s="43" t="s">
        <v>43</v>
      </c>
      <c r="G616" s="14" t="str">
        <f ca="1">IFERROR(__xludf.DUMMYFUNCTION("CONCATENATE(B616,(VLOOKUP(C616,CATALOGOS!$F$2:$H$6,3,FALSE)),(VLOOKUP(V616,CATALOGOS!$J$2:$K$18,2,FALSE)),""-"",TO_TEXT(A616))"),"P13LP-0615")</f>
        <v>P13LP-0615</v>
      </c>
      <c r="H616" s="15" t="str">
        <f ca="1">IFERROR(__xludf.DUMMYFUNCTION("CONCATENATE($B616,(VLOOKUP($C616,CATALOGOS!$F$2:$H$6,3,FALSE)),(VLOOKUP($V616,CATALOGOS!$J$2:$K$18,2,FALSE)),""-"",TO_TEXT($A616))"),"P13LP-0615")</f>
        <v>P13LP-0615</v>
      </c>
      <c r="I616" s="6"/>
      <c r="J616" s="6" t="s">
        <v>4293</v>
      </c>
      <c r="K616" s="6" t="s">
        <v>4294</v>
      </c>
      <c r="L616" s="6" t="s">
        <v>4295</v>
      </c>
      <c r="M616" s="6" t="s">
        <v>4296</v>
      </c>
      <c r="N616" s="17"/>
      <c r="O616" s="17"/>
      <c r="P616" s="17" t="str">
        <f t="shared" si="7"/>
        <v>OK</v>
      </c>
      <c r="Q616" s="17" t="s">
        <v>49</v>
      </c>
      <c r="R616" s="6" t="s">
        <v>4297</v>
      </c>
      <c r="S616" s="17" t="s">
        <v>36</v>
      </c>
      <c r="T616" s="17" t="s">
        <v>4298</v>
      </c>
      <c r="U616" s="18" t="s">
        <v>38</v>
      </c>
      <c r="V616" s="19" t="s">
        <v>2328</v>
      </c>
      <c r="W616" s="20" t="s">
        <v>2329</v>
      </c>
      <c r="X616" s="39" t="s">
        <v>3848</v>
      </c>
      <c r="Y616" s="20"/>
      <c r="Z616" s="7"/>
      <c r="AA616" s="7"/>
      <c r="AB616" s="23"/>
      <c r="AC616" s="26"/>
    </row>
    <row r="617" spans="1:29" ht="15.75" customHeight="1">
      <c r="A617" s="10" t="s">
        <v>4299</v>
      </c>
      <c r="B617" s="10" t="s">
        <v>1469</v>
      </c>
      <c r="C617" s="52" t="s">
        <v>868</v>
      </c>
      <c r="D617" s="12"/>
      <c r="E617" s="13" t="s">
        <v>353</v>
      </c>
      <c r="F617" s="43" t="s">
        <v>638</v>
      </c>
      <c r="G617" s="14" t="str">
        <f ca="1">IFERROR(__xludf.DUMMYFUNCTION("CONCATENATE(B617,(VLOOKUP(C617,CATALOGOS!$F$2:$H$6,3,FALSE)),(VLOOKUP(V617,CATALOGOS!$J$2:$K$18,2,FALSE)),""-"",TO_TEXT(A617))"),"P13LP-0616")</f>
        <v>P13LP-0616</v>
      </c>
      <c r="H617" s="15" t="str">
        <f ca="1">IFERROR(__xludf.DUMMYFUNCTION("CONCATENATE($B617,(VLOOKUP($C617,CATALOGOS!$F$2:$H$6,3,FALSE)),(VLOOKUP($V617,CATALOGOS!$J$2:$K$18,2,FALSE)),""-"",TO_TEXT($A617))"),"P13LP-0616")</f>
        <v>P13LP-0616</v>
      </c>
      <c r="I617" s="6"/>
      <c r="J617" s="6" t="s">
        <v>4300</v>
      </c>
      <c r="K617" s="6" t="s">
        <v>4301</v>
      </c>
      <c r="L617" s="6" t="s">
        <v>4302</v>
      </c>
      <c r="M617" s="6" t="s">
        <v>4303</v>
      </c>
      <c r="N617" s="17"/>
      <c r="O617" s="17"/>
      <c r="P617" s="17" t="str">
        <f t="shared" si="7"/>
        <v>OK</v>
      </c>
      <c r="Q617" s="17" t="s">
        <v>359</v>
      </c>
      <c r="R617" s="6">
        <v>1200</v>
      </c>
      <c r="S617" s="17" t="s">
        <v>4304</v>
      </c>
      <c r="T617" s="17" t="s">
        <v>4305</v>
      </c>
      <c r="U617" s="18" t="s">
        <v>38</v>
      </c>
      <c r="V617" s="19" t="s">
        <v>2328</v>
      </c>
      <c r="W617" s="20" t="s">
        <v>2329</v>
      </c>
      <c r="X617" s="39" t="s">
        <v>3848</v>
      </c>
      <c r="Y617" s="20"/>
      <c r="Z617" s="7"/>
      <c r="AA617" s="7"/>
      <c r="AB617" s="23"/>
      <c r="AC617" s="26"/>
    </row>
    <row r="618" spans="1:29" ht="15.75" customHeight="1">
      <c r="A618" s="10" t="s">
        <v>4306</v>
      </c>
      <c r="B618" s="10" t="s">
        <v>1469</v>
      </c>
      <c r="C618" s="52" t="s">
        <v>868</v>
      </c>
      <c r="D618" s="12"/>
      <c r="E618" s="13" t="s">
        <v>378</v>
      </c>
      <c r="F618" s="43" t="s">
        <v>379</v>
      </c>
      <c r="G618" s="14" t="str">
        <f ca="1">IFERROR(__xludf.DUMMYFUNCTION("CONCATENATE(B618,(VLOOKUP(C618,CATALOGOS!$F$2:$H$6,3,FALSE)),(VLOOKUP(V618,CATALOGOS!$J$2:$K$18,2,FALSE)),""-"",TO_TEXT(A618))"),"P13LP-0617")</f>
        <v>P13LP-0617</v>
      </c>
      <c r="H618" s="15" t="str">
        <f ca="1">IFERROR(__xludf.DUMMYFUNCTION("CONCATENATE($B618,(VLOOKUP($C618,CATALOGOS!$F$2:$H$6,3,FALSE)),(VLOOKUP($V618,CATALOGOS!$J$2:$K$18,2,FALSE)),""-"",TO_TEXT($A618))"),"P13LP-0617")</f>
        <v>P13LP-0617</v>
      </c>
      <c r="I618" s="6"/>
      <c r="J618" s="6" t="s">
        <v>4307</v>
      </c>
      <c r="K618" s="6" t="s">
        <v>4308</v>
      </c>
      <c r="L618" s="6" t="s">
        <v>4309</v>
      </c>
      <c r="M618" s="6" t="s">
        <v>4310</v>
      </c>
      <c r="N618" s="17"/>
      <c r="O618" s="17"/>
      <c r="P618" s="17" t="str">
        <f t="shared" si="7"/>
        <v>OK</v>
      </c>
      <c r="Q618" s="17" t="s">
        <v>35</v>
      </c>
      <c r="R618" s="6" t="s">
        <v>35</v>
      </c>
      <c r="S618" s="17" t="s">
        <v>36</v>
      </c>
      <c r="T618" s="35" t="s">
        <v>4311</v>
      </c>
      <c r="U618" s="18" t="s">
        <v>38</v>
      </c>
      <c r="V618" s="19" t="s">
        <v>2328</v>
      </c>
      <c r="W618" s="20" t="s">
        <v>4312</v>
      </c>
      <c r="X618" s="39" t="s">
        <v>4313</v>
      </c>
      <c r="Y618" s="20"/>
      <c r="Z618" s="7"/>
      <c r="AA618" s="7"/>
      <c r="AB618" s="23"/>
      <c r="AC618" s="26"/>
    </row>
    <row r="619" spans="1:29" ht="15.75" customHeight="1">
      <c r="A619" s="10" t="s">
        <v>4314</v>
      </c>
      <c r="B619" s="10" t="s">
        <v>1469</v>
      </c>
      <c r="C619" s="52" t="s">
        <v>868</v>
      </c>
      <c r="D619" s="12"/>
      <c r="E619" s="13" t="s">
        <v>1240</v>
      </c>
      <c r="F619" s="43" t="s">
        <v>278</v>
      </c>
      <c r="G619" s="14" t="str">
        <f ca="1">IFERROR(__xludf.DUMMYFUNCTION("CONCATENATE(B619,(VLOOKUP(C619,CATALOGOS!$F$2:$H$6,3,FALSE)),(VLOOKUP(V619,CATALOGOS!$J$2:$K$18,2,FALSE)),""-"",TO_TEXT(A619))"),"P13LP-0618")</f>
        <v>P13LP-0618</v>
      </c>
      <c r="H619" s="15" t="str">
        <f ca="1">IFERROR(__xludf.DUMMYFUNCTION("CONCATENATE($B619,(VLOOKUP($C619,CATALOGOS!$F$2:$H$6,3,FALSE)),(VLOOKUP($V619,CATALOGOS!$J$2:$K$18,2,FALSE)),""-"",TO_TEXT($A619))"),"P13LP-0618")</f>
        <v>P13LP-0618</v>
      </c>
      <c r="I619" s="6"/>
      <c r="J619" s="6" t="s">
        <v>4315</v>
      </c>
      <c r="K619" s="6" t="s">
        <v>4316</v>
      </c>
      <c r="L619" s="6" t="s">
        <v>4317</v>
      </c>
      <c r="M619" s="6" t="s">
        <v>4318</v>
      </c>
      <c r="N619" s="17"/>
      <c r="O619" s="17"/>
      <c r="P619" s="17" t="str">
        <f t="shared" si="7"/>
        <v>OK</v>
      </c>
      <c r="Q619" s="17" t="s">
        <v>35</v>
      </c>
      <c r="R619" s="6" t="s">
        <v>35</v>
      </c>
      <c r="S619" s="17" t="s">
        <v>36</v>
      </c>
      <c r="T619" s="17" t="s">
        <v>4319</v>
      </c>
      <c r="U619" s="18" t="s">
        <v>38</v>
      </c>
      <c r="V619" s="19" t="s">
        <v>2328</v>
      </c>
      <c r="W619" s="20" t="s">
        <v>2329</v>
      </c>
      <c r="X619" s="39" t="s">
        <v>3848</v>
      </c>
      <c r="Y619" s="20"/>
      <c r="Z619" s="7"/>
      <c r="AA619" s="7"/>
      <c r="AB619" s="23"/>
      <c r="AC619" s="26"/>
    </row>
    <row r="620" spans="1:29" ht="15.75" customHeight="1">
      <c r="A620" s="10" t="s">
        <v>4320</v>
      </c>
      <c r="B620" s="10" t="s">
        <v>1469</v>
      </c>
      <c r="C620" s="52" t="s">
        <v>868</v>
      </c>
      <c r="D620" s="38"/>
      <c r="E620" s="13" t="s">
        <v>29</v>
      </c>
      <c r="F620" s="43" t="s">
        <v>1166</v>
      </c>
      <c r="G620" s="6" t="str">
        <f ca="1">IFERROR(__xludf.DUMMYFUNCTION("CONCATENATE(B620,(VLOOKUP(C620,CATALOGOS!$F$2:$H$6,3,FALSE)),(VLOOKUP(V620,CATALOGOS!$J$2:$K$18,2,FALSE)),""-"",TO_TEXT(A620))"),"P13IR-0619")</f>
        <v>P13IR-0619</v>
      </c>
      <c r="H620" s="15" t="str">
        <f ca="1">IFERROR(__xludf.DUMMYFUNCTION("CONCATENATE($B620,(VLOOKUP($C620,CATALOGOS!$F$2:$H$6,3,FALSE)),(VLOOKUP($V620,CATALOGOS!$J$2:$K$18,2,FALSE)),""-"",TO_TEXT($A620))"),"P13IR-0619")</f>
        <v>P13IR-0619</v>
      </c>
      <c r="I620" s="6"/>
      <c r="J620" s="6" t="s">
        <v>4321</v>
      </c>
      <c r="K620" s="54"/>
      <c r="L620" s="6" t="s">
        <v>4322</v>
      </c>
      <c r="M620" s="6" t="s">
        <v>4323</v>
      </c>
      <c r="N620" s="17"/>
      <c r="O620" s="17"/>
      <c r="P620" s="17" t="str">
        <f t="shared" si="7"/>
        <v>OK</v>
      </c>
      <c r="Q620" s="17" t="s">
        <v>35</v>
      </c>
      <c r="R620" s="6" t="s">
        <v>35</v>
      </c>
      <c r="S620" s="46" t="s">
        <v>36</v>
      </c>
      <c r="T620" s="17" t="s">
        <v>85</v>
      </c>
      <c r="U620" s="18" t="s">
        <v>38</v>
      </c>
      <c r="V620" s="19" t="s">
        <v>2381</v>
      </c>
      <c r="W620" s="32" t="s">
        <v>3840</v>
      </c>
      <c r="X620" s="21" t="s">
        <v>3840</v>
      </c>
      <c r="Y620" s="32"/>
      <c r="Z620" s="7"/>
      <c r="AA620" s="7"/>
      <c r="AB620" s="26"/>
      <c r="AC620" s="26"/>
    </row>
    <row r="621" spans="1:29" ht="15.75" customHeight="1">
      <c r="A621" s="10" t="s">
        <v>4324</v>
      </c>
      <c r="B621" s="10" t="s">
        <v>1469</v>
      </c>
      <c r="C621" s="52" t="s">
        <v>868</v>
      </c>
      <c r="D621" s="12"/>
      <c r="E621" s="13" t="s">
        <v>116</v>
      </c>
      <c r="F621" s="6" t="s">
        <v>117</v>
      </c>
      <c r="G621" s="6" t="str">
        <f ca="1">IFERROR(__xludf.DUMMYFUNCTION("CONCATENATE(B621,(VLOOKUP(C621,CATALOGOS!$F$2:$H$6,3,FALSE)),(VLOOKUP(V621,CATALOGOS!$J$2:$K$18,2,FALSE)),""-"",TO_TEXT(A621))"),"P13IR-0620")</f>
        <v>P13IR-0620</v>
      </c>
      <c r="H621" s="15" t="str">
        <f ca="1">IFERROR(__xludf.DUMMYFUNCTION("CONCATENATE($B621,(VLOOKUP($C621,CATALOGOS!$F$2:$H$6,3,FALSE)),(VLOOKUP($V621,CATALOGOS!$J$2:$K$18,2,FALSE)),""-"",TO_TEXT($A621))"),"P13IR-0620")</f>
        <v>P13IR-0620</v>
      </c>
      <c r="I621" s="6"/>
      <c r="J621" s="6" t="s">
        <v>4325</v>
      </c>
      <c r="K621" s="6" t="s">
        <v>4326</v>
      </c>
      <c r="L621" s="6" t="s">
        <v>4327</v>
      </c>
      <c r="M621" s="6" t="s">
        <v>4328</v>
      </c>
      <c r="N621" s="17"/>
      <c r="O621" s="17"/>
      <c r="P621" s="17" t="str">
        <f t="shared" si="7"/>
        <v>OK</v>
      </c>
      <c r="Q621" s="17" t="s">
        <v>35</v>
      </c>
      <c r="R621" s="49" t="s">
        <v>35</v>
      </c>
      <c r="S621" s="17" t="s">
        <v>36</v>
      </c>
      <c r="T621" s="17" t="s">
        <v>4329</v>
      </c>
      <c r="U621" s="18" t="s">
        <v>38</v>
      </c>
      <c r="V621" s="19" t="s">
        <v>2381</v>
      </c>
      <c r="W621" s="22" t="s">
        <v>3840</v>
      </c>
      <c r="X621" s="21" t="s">
        <v>3840</v>
      </c>
      <c r="Y621" s="22"/>
      <c r="Z621" s="7"/>
      <c r="AA621" s="7"/>
      <c r="AB621" s="23"/>
      <c r="AC621" s="26"/>
    </row>
    <row r="622" spans="1:29" ht="15.75" customHeight="1">
      <c r="A622" s="10" t="s">
        <v>4330</v>
      </c>
      <c r="B622" s="10" t="s">
        <v>1469</v>
      </c>
      <c r="C622" s="52" t="s">
        <v>868</v>
      </c>
      <c r="D622" s="12"/>
      <c r="E622" s="13" t="s">
        <v>116</v>
      </c>
      <c r="F622" s="6" t="s">
        <v>4153</v>
      </c>
      <c r="G622" s="6" t="str">
        <f ca="1">IFERROR(__xludf.DUMMYFUNCTION("CONCATENATE(B622,(VLOOKUP(C622,CATALOGOS!$F$2:$H$6,3,FALSE)),(VLOOKUP(V622,CATALOGOS!$J$2:$K$18,2,FALSE)),""-"",TO_TEXT(A622))"),"P13IR-0621")</f>
        <v>P13IR-0621</v>
      </c>
      <c r="H622" s="15" t="str">
        <f ca="1">IFERROR(__xludf.DUMMYFUNCTION("CONCATENATE($B622,(VLOOKUP($C622,CATALOGOS!$F$2:$H$6,3,FALSE)),(VLOOKUP($V622,CATALOGOS!$J$2:$K$18,2,FALSE)),""-"",TO_TEXT($A622))"),"P13IR-0621")</f>
        <v>P13IR-0621</v>
      </c>
      <c r="I622" s="6"/>
      <c r="J622" s="6" t="s">
        <v>4331</v>
      </c>
      <c r="K622" s="6" t="s">
        <v>4332</v>
      </c>
      <c r="L622" s="6" t="s">
        <v>4333</v>
      </c>
      <c r="M622" s="6" t="s">
        <v>4334</v>
      </c>
      <c r="N622" s="17"/>
      <c r="O622" s="17"/>
      <c r="P622" s="17" t="str">
        <f t="shared" si="7"/>
        <v>OK</v>
      </c>
      <c r="Q622" s="17" t="s">
        <v>35</v>
      </c>
      <c r="R622" s="6" t="s">
        <v>35</v>
      </c>
      <c r="S622" s="17" t="s">
        <v>36</v>
      </c>
      <c r="T622" s="17" t="s">
        <v>4335</v>
      </c>
      <c r="U622" s="18" t="s">
        <v>38</v>
      </c>
      <c r="V622" s="19" t="s">
        <v>2381</v>
      </c>
      <c r="W622" s="22" t="s">
        <v>3840</v>
      </c>
      <c r="X622" s="21" t="s">
        <v>3840</v>
      </c>
      <c r="Y622" s="22"/>
      <c r="Z622" s="7"/>
      <c r="AA622" s="7"/>
      <c r="AB622" s="23"/>
      <c r="AC622" s="26"/>
    </row>
    <row r="623" spans="1:29" ht="15.75" customHeight="1">
      <c r="A623" s="10" t="s">
        <v>4336</v>
      </c>
      <c r="B623" s="10" t="s">
        <v>1469</v>
      </c>
      <c r="C623" s="52" t="s">
        <v>868</v>
      </c>
      <c r="D623" s="12"/>
      <c r="E623" s="13" t="s">
        <v>1240</v>
      </c>
      <c r="F623" s="43" t="s">
        <v>278</v>
      </c>
      <c r="G623" s="6" t="str">
        <f ca="1">IFERROR(__xludf.DUMMYFUNCTION("CONCATENATE(B623,(VLOOKUP(C623,CATALOGOS!$F$2:$H$6,3,FALSE)),(VLOOKUP(V623,CATALOGOS!$J$2:$K$18,2,FALSE)),""-"",TO_TEXT(A623))"),"P13IR-0622")</f>
        <v>P13IR-0622</v>
      </c>
      <c r="H623" s="15" t="str">
        <f ca="1">IFERROR(__xludf.DUMMYFUNCTION("CONCATENATE($B623,(VLOOKUP($C623,CATALOGOS!$F$2:$H$6,3,FALSE)),(VLOOKUP($V623,CATALOGOS!$J$2:$K$18,2,FALSE)),""-"",TO_TEXT($A623))"),"P13IR-0622")</f>
        <v>P13IR-0622</v>
      </c>
      <c r="I623" s="6"/>
      <c r="J623" s="6" t="s">
        <v>4337</v>
      </c>
      <c r="K623" s="6" t="s">
        <v>4338</v>
      </c>
      <c r="L623" s="6" t="s">
        <v>4339</v>
      </c>
      <c r="M623" s="6" t="s">
        <v>4340</v>
      </c>
      <c r="N623" s="17"/>
      <c r="O623" s="17"/>
      <c r="P623" s="17" t="str">
        <f t="shared" si="7"/>
        <v>OK</v>
      </c>
      <c r="Q623" s="17" t="s">
        <v>35</v>
      </c>
      <c r="R623" s="49" t="s">
        <v>35</v>
      </c>
      <c r="S623" s="17" t="s">
        <v>36</v>
      </c>
      <c r="T623" s="17" t="s">
        <v>4341</v>
      </c>
      <c r="U623" s="18" t="s">
        <v>38</v>
      </c>
      <c r="V623" s="19" t="s">
        <v>2381</v>
      </c>
      <c r="W623" s="22" t="s">
        <v>3840</v>
      </c>
      <c r="X623" s="21" t="s">
        <v>3840</v>
      </c>
      <c r="Y623" s="22"/>
      <c r="Z623" s="7"/>
      <c r="AA623" s="7"/>
      <c r="AB623" s="23"/>
      <c r="AC623" s="26"/>
    </row>
    <row r="624" spans="1:29" ht="15.75" customHeight="1">
      <c r="A624" s="10" t="s">
        <v>4342</v>
      </c>
      <c r="B624" s="10" t="s">
        <v>1469</v>
      </c>
      <c r="C624" s="52" t="s">
        <v>868</v>
      </c>
      <c r="D624" s="12"/>
      <c r="E624" s="13" t="s">
        <v>248</v>
      </c>
      <c r="F624" s="43" t="s">
        <v>249</v>
      </c>
      <c r="G624" s="6" t="str">
        <f ca="1">IFERROR(__xludf.DUMMYFUNCTION("CONCATENATE(B624,(VLOOKUP(C624,CATALOGOS!$F$2:$H$6,3,FALSE)),(VLOOKUP(V624,CATALOGOS!$J$2:$K$18,2,FALSE)),""-"",TO_TEXT(A624))"),"P13IR-0623")</f>
        <v>P13IR-0623</v>
      </c>
      <c r="H624" s="15" t="str">
        <f ca="1">IFERROR(__xludf.DUMMYFUNCTION("CONCATENATE($B624,(VLOOKUP($C624,CATALOGOS!$F$2:$H$6,3,FALSE)),(VLOOKUP($V624,CATALOGOS!$J$2:$K$18,2,FALSE)),""-"",TO_TEXT($A624))"),"P13IR-0623")</f>
        <v>P13IR-0623</v>
      </c>
      <c r="I624" s="6"/>
      <c r="J624" s="6" t="s">
        <v>4343</v>
      </c>
      <c r="K624" s="6" t="s">
        <v>4344</v>
      </c>
      <c r="L624" s="6" t="s">
        <v>4345</v>
      </c>
      <c r="M624" s="6" t="s">
        <v>4346</v>
      </c>
      <c r="N624" s="17"/>
      <c r="O624" s="17"/>
      <c r="P624" s="17" t="str">
        <f t="shared" si="7"/>
        <v>OK</v>
      </c>
      <c r="Q624" s="17" t="s">
        <v>978</v>
      </c>
      <c r="R624" s="6" t="s">
        <v>979</v>
      </c>
      <c r="S624" s="17" t="s">
        <v>4347</v>
      </c>
      <c r="T624" s="17" t="s">
        <v>4348</v>
      </c>
      <c r="U624" s="18" t="s">
        <v>38</v>
      </c>
      <c r="V624" s="19" t="s">
        <v>2381</v>
      </c>
      <c r="W624" s="22" t="s">
        <v>3840</v>
      </c>
      <c r="X624" s="21" t="s">
        <v>3840</v>
      </c>
      <c r="Y624" s="22"/>
      <c r="Z624" s="7"/>
      <c r="AA624" s="7"/>
      <c r="AB624" s="23"/>
      <c r="AC624" s="26"/>
    </row>
    <row r="625" spans="1:30" ht="15.75" customHeight="1">
      <c r="A625" s="10" t="s">
        <v>4349</v>
      </c>
      <c r="B625" s="10" t="s">
        <v>1469</v>
      </c>
      <c r="C625" s="52" t="s">
        <v>868</v>
      </c>
      <c r="D625" s="12"/>
      <c r="E625" s="13" t="s">
        <v>199</v>
      </c>
      <c r="F625" s="6" t="s">
        <v>199</v>
      </c>
      <c r="G625" s="6" t="str">
        <f ca="1">IFERROR(__xludf.DUMMYFUNCTION("CONCATENATE(B625,(VLOOKUP(C625,CATALOGOS!$F$2:$H$6,3,FALSE)),(VLOOKUP(V625,CATALOGOS!$J$2:$K$18,2,FALSE)),""-"",TO_TEXT(A625))"),"P13IR-0624")</f>
        <v>P13IR-0624</v>
      </c>
      <c r="H625" s="15" t="str">
        <f ca="1">IFERROR(__xludf.DUMMYFUNCTION("CONCATENATE($B625,(VLOOKUP($C625,CATALOGOS!$F$2:$H$6,3,FALSE)),(VLOOKUP($V625,CATALOGOS!$J$2:$K$18,2,FALSE)),""-"",TO_TEXT($A625))"),"P13IR-0624")</f>
        <v>P13IR-0624</v>
      </c>
      <c r="I625" s="6"/>
      <c r="J625" s="6" t="s">
        <v>4350</v>
      </c>
      <c r="K625" s="6" t="s">
        <v>4351</v>
      </c>
      <c r="L625" s="37"/>
      <c r="M625" s="6" t="s">
        <v>4352</v>
      </c>
      <c r="N625" s="17"/>
      <c r="O625" s="17"/>
      <c r="P625" s="17" t="str">
        <f t="shared" si="7"/>
        <v>OK</v>
      </c>
      <c r="Q625" s="17" t="s">
        <v>273</v>
      </c>
      <c r="R625" s="6" t="s">
        <v>274</v>
      </c>
      <c r="S625" s="6">
        <v>11392903012343</v>
      </c>
      <c r="T625" s="10" t="s">
        <v>85</v>
      </c>
      <c r="U625" s="18" t="s">
        <v>38</v>
      </c>
      <c r="V625" s="19" t="s">
        <v>2381</v>
      </c>
      <c r="W625" s="22" t="s">
        <v>3840</v>
      </c>
      <c r="X625" s="21" t="s">
        <v>3840</v>
      </c>
      <c r="Y625" s="22"/>
      <c r="Z625" s="6"/>
      <c r="AA625" s="6"/>
      <c r="AB625" s="41" t="s">
        <v>92</v>
      </c>
      <c r="AC625" s="42">
        <v>44348</v>
      </c>
      <c r="AD625" s="8" t="s">
        <v>276</v>
      </c>
    </row>
    <row r="626" spans="1:30" ht="15.75" customHeight="1">
      <c r="A626" s="10" t="s">
        <v>4353</v>
      </c>
      <c r="B626" s="10" t="s">
        <v>1469</v>
      </c>
      <c r="C626" s="52" t="s">
        <v>868</v>
      </c>
      <c r="D626" s="12"/>
      <c r="E626" s="13" t="s">
        <v>151</v>
      </c>
      <c r="F626" s="6" t="s">
        <v>4113</v>
      </c>
      <c r="G626" s="6" t="str">
        <f ca="1">IFERROR(__xludf.DUMMYFUNCTION("CONCATENATE(B626,(VLOOKUP(C626,CATALOGOS!$F$2:$H$6,3,FALSE)),(VLOOKUP(V626,CATALOGOS!$J$2:$K$18,2,FALSE)),""-"",TO_TEXT(A626))"),"P13IR-0625")</f>
        <v>P13IR-0625</v>
      </c>
      <c r="H626" s="15" t="str">
        <f ca="1">IFERROR(__xludf.DUMMYFUNCTION("CONCATENATE($B626,(VLOOKUP($C626,CATALOGOS!$F$2:$H$6,3,FALSE)),(VLOOKUP($V626,CATALOGOS!$J$2:$K$18,2,FALSE)),""-"",TO_TEXT($A626))"),"P13IR-0625")</f>
        <v>P13IR-0625</v>
      </c>
      <c r="I626" s="6"/>
      <c r="J626" s="6" t="s">
        <v>4354</v>
      </c>
      <c r="K626" s="6" t="s">
        <v>4355</v>
      </c>
      <c r="L626" s="37"/>
      <c r="M626" s="6" t="s">
        <v>4356</v>
      </c>
      <c r="N626" s="17"/>
      <c r="O626" s="17"/>
      <c r="P626" s="17" t="str">
        <f t="shared" si="7"/>
        <v>OK</v>
      </c>
      <c r="Q626" s="17" t="s">
        <v>297</v>
      </c>
      <c r="R626" s="6" t="s">
        <v>298</v>
      </c>
      <c r="S626" s="6" t="s">
        <v>4357</v>
      </c>
      <c r="T626" s="10" t="s">
        <v>85</v>
      </c>
      <c r="U626" s="50" t="s">
        <v>971</v>
      </c>
      <c r="V626" s="19" t="s">
        <v>2381</v>
      </c>
      <c r="W626" s="22" t="s">
        <v>3840</v>
      </c>
      <c r="X626" s="21" t="s">
        <v>3840</v>
      </c>
      <c r="Y626" s="22"/>
      <c r="Z626" s="6"/>
      <c r="AA626" s="6"/>
      <c r="AB626" s="73" t="s">
        <v>92</v>
      </c>
      <c r="AC626" s="42">
        <v>44348</v>
      </c>
      <c r="AD626" s="8">
        <v>0</v>
      </c>
    </row>
    <row r="627" spans="1:30" ht="15.75" customHeight="1">
      <c r="A627" s="10" t="s">
        <v>4358</v>
      </c>
      <c r="B627" s="10" t="s">
        <v>1469</v>
      </c>
      <c r="C627" s="52" t="s">
        <v>868</v>
      </c>
      <c r="D627" s="38"/>
      <c r="E627" s="13" t="s">
        <v>93</v>
      </c>
      <c r="F627" s="6" t="s">
        <v>1380</v>
      </c>
      <c r="G627" s="6" t="str">
        <f ca="1">IFERROR(__xludf.DUMMYFUNCTION("CONCATENATE(B627,(VLOOKUP(C627,CATALOGOS!$F$2:$H$6,3,FALSE)),(VLOOKUP(V627,CATALOGOS!$J$2:$K$18,2,FALSE)),""-"",TO_TEXT(A627))"),"P13LP-0626")</f>
        <v>P13LP-0626</v>
      </c>
      <c r="H627" s="15" t="str">
        <f ca="1">IFERROR(__xludf.DUMMYFUNCTION("CONCATENATE($B627,(VLOOKUP($C627,CATALOGOS!$F$2:$H$6,3,FALSE)),(VLOOKUP($V627,CATALOGOS!$J$2:$K$18,2,FALSE)),""-"",TO_TEXT($A627))"),"P13LP-0626")</f>
        <v>P13LP-0626</v>
      </c>
      <c r="I627" s="6"/>
      <c r="J627" s="6" t="s">
        <v>4359</v>
      </c>
      <c r="K627" s="6" t="s">
        <v>4360</v>
      </c>
      <c r="L627" s="6" t="s">
        <v>4361</v>
      </c>
      <c r="M627" s="6" t="s">
        <v>4362</v>
      </c>
      <c r="N627" s="17"/>
      <c r="O627" s="17"/>
      <c r="P627" s="17" t="str">
        <f t="shared" si="7"/>
        <v>OK</v>
      </c>
      <c r="Q627" s="17" t="s">
        <v>35</v>
      </c>
      <c r="R627" s="6" t="s">
        <v>35</v>
      </c>
      <c r="S627" s="46" t="s">
        <v>36</v>
      </c>
      <c r="T627" s="17" t="s">
        <v>4363</v>
      </c>
      <c r="U627" s="18" t="s">
        <v>38</v>
      </c>
      <c r="V627" s="19" t="s">
        <v>2328</v>
      </c>
      <c r="W627" s="10" t="s">
        <v>4312</v>
      </c>
      <c r="X627" s="39" t="s">
        <v>4313</v>
      </c>
      <c r="Y627" s="10"/>
      <c r="Z627" s="7"/>
      <c r="AA627" s="7"/>
      <c r="AB627" s="23"/>
      <c r="AC627" s="26"/>
    </row>
    <row r="628" spans="1:30" ht="15.75" customHeight="1">
      <c r="A628" s="10" t="s">
        <v>4364</v>
      </c>
      <c r="B628" s="10" t="s">
        <v>1469</v>
      </c>
      <c r="C628" s="52" t="s">
        <v>868</v>
      </c>
      <c r="D628" s="12"/>
      <c r="E628" s="13" t="s">
        <v>93</v>
      </c>
      <c r="F628" s="6" t="s">
        <v>3893</v>
      </c>
      <c r="G628" s="6" t="str">
        <f ca="1">IFERROR(__xludf.DUMMYFUNCTION("CONCATENATE(B628,(VLOOKUP(C628,CATALOGOS!$F$2:$H$6,3,FALSE)),(VLOOKUP(V628,CATALOGOS!$J$2:$K$18,2,FALSE)),""-"",TO_TEXT(A628))"),"P13LP-0627")</f>
        <v>P13LP-0627</v>
      </c>
      <c r="H628" s="15" t="str">
        <f ca="1">IFERROR(__xludf.DUMMYFUNCTION("CONCATENATE($B628,(VLOOKUP($C628,CATALOGOS!$F$2:$H$6,3,FALSE)),(VLOOKUP($V628,CATALOGOS!$J$2:$K$18,2,FALSE)),""-"",TO_TEXT($A628))"),"P13LP-0627")</f>
        <v>P13LP-0627</v>
      </c>
      <c r="I628" s="6"/>
      <c r="J628" s="6" t="s">
        <v>4365</v>
      </c>
      <c r="K628" s="6" t="s">
        <v>4366</v>
      </c>
      <c r="L628" s="36"/>
      <c r="M628" s="6" t="s">
        <v>141</v>
      </c>
      <c r="N628" s="17"/>
      <c r="O628" s="17"/>
      <c r="P628" s="17" t="str">
        <f t="shared" si="7"/>
        <v>REPETIDO</v>
      </c>
      <c r="Q628" s="35" t="s">
        <v>35</v>
      </c>
      <c r="R628" s="6" t="s">
        <v>35</v>
      </c>
      <c r="S628" s="10" t="s">
        <v>36</v>
      </c>
      <c r="T628" s="32" t="s">
        <v>85</v>
      </c>
      <c r="U628" s="18" t="s">
        <v>38</v>
      </c>
      <c r="V628" s="19" t="s">
        <v>2328</v>
      </c>
      <c r="W628" s="10" t="s">
        <v>4312</v>
      </c>
      <c r="X628" s="39" t="s">
        <v>4313</v>
      </c>
      <c r="Y628" s="20"/>
      <c r="Z628" s="6"/>
      <c r="AA628" s="6"/>
      <c r="AB628" s="23"/>
      <c r="AC628" s="33"/>
    </row>
    <row r="629" spans="1:30" ht="15.75" customHeight="1">
      <c r="A629" s="10" t="s">
        <v>4367</v>
      </c>
      <c r="B629" s="10" t="s">
        <v>1469</v>
      </c>
      <c r="C629" s="52" t="s">
        <v>868</v>
      </c>
      <c r="D629" s="12"/>
      <c r="E629" s="13" t="s">
        <v>93</v>
      </c>
      <c r="F629" s="6" t="s">
        <v>4368</v>
      </c>
      <c r="G629" s="6" t="str">
        <f ca="1">IFERROR(__xludf.DUMMYFUNCTION("CONCATENATE(B629,(VLOOKUP(C629,CATALOGOS!$F$2:$H$6,3,FALSE)),(VLOOKUP(V629,CATALOGOS!$J$2:$K$18,2,FALSE)),""-"",TO_TEXT(A629))"),"P13IR-0628")</f>
        <v>P13IR-0628</v>
      </c>
      <c r="H629" s="15" t="str">
        <f ca="1">IFERROR(__xludf.DUMMYFUNCTION("CONCATENATE($B629,(VLOOKUP($C629,CATALOGOS!$F$2:$H$6,3,FALSE)),(VLOOKUP($V629,CATALOGOS!$J$2:$K$18,2,FALSE)),""-"",TO_TEXT($A629))"),"P13IR-0628")</f>
        <v>P13IR-0628</v>
      </c>
      <c r="I629" s="6"/>
      <c r="J629" s="6" t="s">
        <v>4369</v>
      </c>
      <c r="K629" s="6" t="s">
        <v>4370</v>
      </c>
      <c r="L629" s="6" t="s">
        <v>4371</v>
      </c>
      <c r="M629" s="6" t="s">
        <v>4372</v>
      </c>
      <c r="N629" s="17"/>
      <c r="O629" s="17"/>
      <c r="P629" s="17" t="str">
        <f t="shared" si="7"/>
        <v>OK</v>
      </c>
      <c r="Q629" s="17" t="s">
        <v>35</v>
      </c>
      <c r="R629" s="6" t="s">
        <v>35</v>
      </c>
      <c r="S629" s="17" t="s">
        <v>36</v>
      </c>
      <c r="T629" s="17" t="s">
        <v>4373</v>
      </c>
      <c r="U629" s="18" t="s">
        <v>38</v>
      </c>
      <c r="V629" s="19" t="s">
        <v>2381</v>
      </c>
      <c r="W629" s="20" t="s">
        <v>3840</v>
      </c>
      <c r="X629" s="39" t="s">
        <v>3840</v>
      </c>
      <c r="Y629" s="20"/>
      <c r="Z629" s="7"/>
      <c r="AA629" s="7"/>
      <c r="AB629" s="23"/>
      <c r="AC629" s="26"/>
    </row>
    <row r="630" spans="1:30" ht="15.75" customHeight="1">
      <c r="A630" s="10" t="s">
        <v>4374</v>
      </c>
      <c r="B630" s="10" t="s">
        <v>1469</v>
      </c>
      <c r="C630" s="52" t="s">
        <v>868</v>
      </c>
      <c r="D630" s="12"/>
      <c r="E630" s="13" t="s">
        <v>116</v>
      </c>
      <c r="F630" s="6" t="s">
        <v>4375</v>
      </c>
      <c r="G630" s="6" t="str">
        <f ca="1">IFERROR(__xludf.DUMMYFUNCTION("CONCATENATE(B630,(VLOOKUP(C630,CATALOGOS!$F$2:$H$6,3,FALSE)),(VLOOKUP(V630,CATALOGOS!$J$2:$K$18,2,FALSE)),""-"",TO_TEXT(A630))"),"P13LP-0629")</f>
        <v>P13LP-0629</v>
      </c>
      <c r="H630" s="15" t="str">
        <f ca="1">IFERROR(__xludf.DUMMYFUNCTION("CONCATENATE($B630,(VLOOKUP($C630,CATALOGOS!$F$2:$H$6,3,FALSE)),(VLOOKUP($V630,CATALOGOS!$J$2:$K$18,2,FALSE)),""-"",TO_TEXT($A630))"),"P13LP-0629")</f>
        <v>P13LP-0629</v>
      </c>
      <c r="I630" s="6"/>
      <c r="J630" s="6" t="s">
        <v>4376</v>
      </c>
      <c r="K630" s="6" t="s">
        <v>4377</v>
      </c>
      <c r="L630" s="6" t="s">
        <v>4378</v>
      </c>
      <c r="M630" s="6" t="s">
        <v>4379</v>
      </c>
      <c r="N630" s="17"/>
      <c r="O630" s="17"/>
      <c r="P630" s="17" t="str">
        <f t="shared" si="7"/>
        <v>OK</v>
      </c>
      <c r="Q630" s="17" t="s">
        <v>35</v>
      </c>
      <c r="R630" s="49" t="s">
        <v>35</v>
      </c>
      <c r="S630" s="17" t="s">
        <v>36</v>
      </c>
      <c r="T630" s="17" t="s">
        <v>4380</v>
      </c>
      <c r="U630" s="18" t="s">
        <v>38</v>
      </c>
      <c r="V630" s="19" t="s">
        <v>2328</v>
      </c>
      <c r="W630" s="10" t="s">
        <v>4312</v>
      </c>
      <c r="X630" s="39" t="s">
        <v>4313</v>
      </c>
      <c r="Y630" s="20"/>
      <c r="Z630" s="7"/>
      <c r="AA630" s="7"/>
      <c r="AB630" s="23"/>
      <c r="AC630" s="26"/>
    </row>
    <row r="631" spans="1:30" ht="15.75" customHeight="1">
      <c r="A631" s="10" t="s">
        <v>4381</v>
      </c>
      <c r="B631" s="10" t="s">
        <v>1469</v>
      </c>
      <c r="C631" s="52" t="s">
        <v>868</v>
      </c>
      <c r="D631" s="12"/>
      <c r="E631" s="13" t="s">
        <v>1240</v>
      </c>
      <c r="F631" s="43" t="s">
        <v>278</v>
      </c>
      <c r="G631" s="6" t="str">
        <f ca="1">IFERROR(__xludf.DUMMYFUNCTION("CONCATENATE(B631,(VLOOKUP(C631,CATALOGOS!$F$2:$H$6,3,FALSE)),(VLOOKUP(V631,CATALOGOS!$J$2:$K$18,2,FALSE)),""-"",TO_TEXT(A631))"),"P13LP-0630")</f>
        <v>P13LP-0630</v>
      </c>
      <c r="H631" s="15" t="str">
        <f ca="1">IFERROR(__xludf.DUMMYFUNCTION("CONCATENATE($B631,(VLOOKUP($C631,CATALOGOS!$F$2:$H$6,3,FALSE)),(VLOOKUP($V631,CATALOGOS!$J$2:$K$18,2,FALSE)),""-"",TO_TEXT($A631))"),"P13LP-0630")</f>
        <v>P13LP-0630</v>
      </c>
      <c r="I631" s="6"/>
      <c r="J631" s="6" t="s">
        <v>4382</v>
      </c>
      <c r="K631" s="6" t="s">
        <v>4383</v>
      </c>
      <c r="L631" s="6" t="s">
        <v>4384</v>
      </c>
      <c r="M631" s="6" t="s">
        <v>4385</v>
      </c>
      <c r="N631" s="17"/>
      <c r="O631" s="17"/>
      <c r="P631" s="17" t="str">
        <f t="shared" si="7"/>
        <v>OK</v>
      </c>
      <c r="Q631" s="17" t="s">
        <v>35</v>
      </c>
      <c r="R631" s="6" t="s">
        <v>35</v>
      </c>
      <c r="S631" s="17" t="s">
        <v>36</v>
      </c>
      <c r="T631" s="17" t="s">
        <v>4386</v>
      </c>
      <c r="U631" s="18" t="s">
        <v>38</v>
      </c>
      <c r="V631" s="19" t="s">
        <v>2328</v>
      </c>
      <c r="W631" s="10" t="s">
        <v>4312</v>
      </c>
      <c r="X631" s="39" t="s">
        <v>4313</v>
      </c>
      <c r="Y631" s="20"/>
      <c r="Z631" s="7"/>
      <c r="AA631" s="7"/>
      <c r="AB631" s="23"/>
      <c r="AC631" s="26"/>
    </row>
    <row r="632" spans="1:30" ht="15.75" customHeight="1">
      <c r="A632" s="10" t="s">
        <v>4387</v>
      </c>
      <c r="B632" s="10" t="s">
        <v>1469</v>
      </c>
      <c r="C632" s="52" t="s">
        <v>868</v>
      </c>
      <c r="D632" s="12"/>
      <c r="E632" s="13" t="s">
        <v>378</v>
      </c>
      <c r="F632" s="43" t="s">
        <v>379</v>
      </c>
      <c r="G632" s="14" t="str">
        <f ca="1">IFERROR(__xludf.DUMMYFUNCTION("CONCATENATE(B632,(VLOOKUP(C632,CATALOGOS!$F$2:$H$6,3,FALSE)),(VLOOKUP(V632,CATALOGOS!$J$2:$K$18,2,FALSE)),""-"",TO_TEXT(A632))"),"P13IR-0631")</f>
        <v>P13IR-0631</v>
      </c>
      <c r="H632" s="15" t="str">
        <f ca="1">IFERROR(__xludf.DUMMYFUNCTION("CONCATENATE($B632,(VLOOKUP($C632,CATALOGOS!$F$2:$H$6,3,FALSE)),(VLOOKUP($V632,CATALOGOS!$J$2:$K$18,2,FALSE)),""-"",TO_TEXT($A632))"),"P13IR-0631")</f>
        <v>P13IR-0631</v>
      </c>
      <c r="I632" s="6"/>
      <c r="J632" s="6" t="s">
        <v>4388</v>
      </c>
      <c r="K632" s="6" t="s">
        <v>4389</v>
      </c>
      <c r="L632" s="6" t="s">
        <v>4390</v>
      </c>
      <c r="M632" s="6" t="s">
        <v>4391</v>
      </c>
      <c r="N632" s="17"/>
      <c r="O632" s="17"/>
      <c r="P632" s="17" t="str">
        <f t="shared" si="7"/>
        <v>OK</v>
      </c>
      <c r="Q632" s="17" t="s">
        <v>35</v>
      </c>
      <c r="R632" s="6" t="s">
        <v>35</v>
      </c>
      <c r="S632" s="17" t="s">
        <v>36</v>
      </c>
      <c r="T632" s="17" t="s">
        <v>4392</v>
      </c>
      <c r="U632" s="18" t="s">
        <v>517</v>
      </c>
      <c r="V632" s="19" t="s">
        <v>2381</v>
      </c>
      <c r="W632" s="20" t="s">
        <v>4181</v>
      </c>
      <c r="X632" s="39" t="s">
        <v>4181</v>
      </c>
      <c r="Y632" s="20"/>
      <c r="Z632" s="7"/>
      <c r="AA632" s="7"/>
      <c r="AB632" s="23"/>
      <c r="AC632" s="26"/>
    </row>
    <row r="633" spans="1:30" ht="15.75" customHeight="1">
      <c r="A633" s="10" t="s">
        <v>4393</v>
      </c>
      <c r="B633" s="10" t="s">
        <v>1469</v>
      </c>
      <c r="C633" s="52" t="s">
        <v>868</v>
      </c>
      <c r="D633" s="12"/>
      <c r="E633" s="13" t="s">
        <v>248</v>
      </c>
      <c r="F633" s="43" t="s">
        <v>249</v>
      </c>
      <c r="G633" s="14" t="str">
        <f ca="1">IFERROR(__xludf.DUMMYFUNCTION("CONCATENATE(B633,(VLOOKUP(C633,CATALOGOS!$F$2:$H$6,3,FALSE)),(VLOOKUP(V633,CATALOGOS!$J$2:$K$18,2,FALSE)),""-"",TO_TEXT(A633))"),"P13LP-0632")</f>
        <v>P13LP-0632</v>
      </c>
      <c r="H633" s="15" t="str">
        <f ca="1">IFERROR(__xludf.DUMMYFUNCTION("CONCATENATE($B633,(VLOOKUP($C633,CATALOGOS!$F$2:$H$6,3,FALSE)),(VLOOKUP($V633,CATALOGOS!$J$2:$K$18,2,FALSE)),""-"",TO_TEXT($A633))"),"P13LP-0632")</f>
        <v>P13LP-0632</v>
      </c>
      <c r="I633" s="6"/>
      <c r="J633" s="6" t="s">
        <v>4394</v>
      </c>
      <c r="K633" s="6" t="s">
        <v>4395</v>
      </c>
      <c r="L633" s="6" t="s">
        <v>4396</v>
      </c>
      <c r="M633" s="6" t="s">
        <v>4397</v>
      </c>
      <c r="N633" s="17"/>
      <c r="O633" s="17"/>
      <c r="P633" s="17" t="str">
        <f t="shared" si="7"/>
        <v>OK</v>
      </c>
      <c r="Q633" s="17" t="s">
        <v>978</v>
      </c>
      <c r="R633" s="6" t="s">
        <v>979</v>
      </c>
      <c r="S633" s="17" t="s">
        <v>4398</v>
      </c>
      <c r="T633" s="17" t="s">
        <v>4399</v>
      </c>
      <c r="U633" s="18" t="s">
        <v>38</v>
      </c>
      <c r="V633" s="19" t="s">
        <v>2328</v>
      </c>
      <c r="W633" s="10" t="s">
        <v>4312</v>
      </c>
      <c r="X633" s="39" t="s">
        <v>4313</v>
      </c>
      <c r="Y633" s="20"/>
      <c r="Z633" s="7"/>
      <c r="AA633" s="7"/>
      <c r="AB633" s="23"/>
      <c r="AC633" s="26"/>
    </row>
    <row r="634" spans="1:30" ht="15.75" customHeight="1">
      <c r="A634" s="10" t="s">
        <v>4400</v>
      </c>
      <c r="B634" s="10" t="s">
        <v>1469</v>
      </c>
      <c r="C634" s="52" t="s">
        <v>868</v>
      </c>
      <c r="D634" s="12"/>
      <c r="E634" s="13" t="s">
        <v>199</v>
      </c>
      <c r="F634" s="6" t="s">
        <v>199</v>
      </c>
      <c r="G634" s="14" t="str">
        <f ca="1">IFERROR(__xludf.DUMMYFUNCTION("CONCATENATE(B634,(VLOOKUP(C634,CATALOGOS!$F$2:$H$6,3,FALSE)),(VLOOKUP(V634,CATALOGOS!$J$2:$K$18,2,FALSE)),""-"",TO_TEXT(A634))"),"P13LP-0633")</f>
        <v>P13LP-0633</v>
      </c>
      <c r="H634" s="15" t="str">
        <f ca="1">IFERROR(__xludf.DUMMYFUNCTION("CONCATENATE($B634,(VLOOKUP($C634,CATALOGOS!$F$2:$H$6,3,FALSE)),(VLOOKUP($V634,CATALOGOS!$J$2:$K$18,2,FALSE)),""-"",TO_TEXT($A634))"),"P13LP-0633")</f>
        <v>P13LP-0633</v>
      </c>
      <c r="I634" s="6"/>
      <c r="J634" s="6" t="s">
        <v>4401</v>
      </c>
      <c r="K634" s="6" t="s">
        <v>4402</v>
      </c>
      <c r="L634" s="37"/>
      <c r="M634" s="6" t="s">
        <v>4403</v>
      </c>
      <c r="N634" s="17"/>
      <c r="O634" s="17"/>
      <c r="P634" s="17" t="str">
        <f t="shared" si="7"/>
        <v>OK</v>
      </c>
      <c r="Q634" s="17" t="s">
        <v>273</v>
      </c>
      <c r="R634" s="6" t="s">
        <v>274</v>
      </c>
      <c r="S634" s="6">
        <v>11392903014920</v>
      </c>
      <c r="T634" s="10" t="s">
        <v>85</v>
      </c>
      <c r="U634" s="18" t="s">
        <v>38</v>
      </c>
      <c r="V634" s="19" t="s">
        <v>2328</v>
      </c>
      <c r="W634" s="10" t="s">
        <v>4312</v>
      </c>
      <c r="X634" s="39" t="s">
        <v>4313</v>
      </c>
      <c r="Y634" s="20"/>
      <c r="Z634" s="6"/>
      <c r="AA634" s="6"/>
      <c r="AB634" s="41" t="s">
        <v>275</v>
      </c>
      <c r="AC634" s="42">
        <v>44403</v>
      </c>
      <c r="AD634" s="8" t="s">
        <v>276</v>
      </c>
    </row>
    <row r="635" spans="1:30" ht="15.75" customHeight="1">
      <c r="A635" s="10" t="s">
        <v>4404</v>
      </c>
      <c r="B635" s="10" t="s">
        <v>1469</v>
      </c>
      <c r="C635" s="52" t="s">
        <v>868</v>
      </c>
      <c r="D635" s="12"/>
      <c r="E635" s="13" t="s">
        <v>151</v>
      </c>
      <c r="F635" s="6" t="s">
        <v>4113</v>
      </c>
      <c r="G635" s="14" t="str">
        <f ca="1">IFERROR(__xludf.DUMMYFUNCTION("CONCATENATE(B635,(VLOOKUP(C635,CATALOGOS!$F$2:$H$6,3,FALSE)),(VLOOKUP(V635,CATALOGOS!$J$2:$K$18,2,FALSE)),""-"",TO_TEXT(A635))"),"P13LP-0634")</f>
        <v>P13LP-0634</v>
      </c>
      <c r="H635" s="15" t="str">
        <f ca="1">IFERROR(__xludf.DUMMYFUNCTION("CONCATENATE($B635,(VLOOKUP($C635,CATALOGOS!$F$2:$H$6,3,FALSE)),(VLOOKUP($V635,CATALOGOS!$J$2:$K$18,2,FALSE)),""-"",TO_TEXT($A635))"),"P13LP-0634")</f>
        <v>P13LP-0634</v>
      </c>
      <c r="I635" s="6"/>
      <c r="J635" s="6" t="s">
        <v>4405</v>
      </c>
      <c r="K635" s="6" t="s">
        <v>4406</v>
      </c>
      <c r="L635" s="37"/>
      <c r="M635" s="6" t="s">
        <v>4407</v>
      </c>
      <c r="N635" s="17"/>
      <c r="O635" s="17"/>
      <c r="P635" s="17" t="str">
        <f t="shared" si="7"/>
        <v>OK</v>
      </c>
      <c r="Q635" s="17" t="s">
        <v>297</v>
      </c>
      <c r="R635" s="6" t="s">
        <v>298</v>
      </c>
      <c r="S635" s="6" t="s">
        <v>4408</v>
      </c>
      <c r="T635" s="10" t="s">
        <v>85</v>
      </c>
      <c r="U635" s="18" t="s">
        <v>38</v>
      </c>
      <c r="V635" s="19" t="s">
        <v>2328</v>
      </c>
      <c r="W635" s="10" t="s">
        <v>4312</v>
      </c>
      <c r="X635" s="39" t="s">
        <v>4313</v>
      </c>
      <c r="Y635" s="20"/>
      <c r="Z635" s="6"/>
      <c r="AA635" s="6"/>
      <c r="AB635" s="41" t="s">
        <v>275</v>
      </c>
      <c r="AC635" s="42">
        <v>44403</v>
      </c>
      <c r="AD635" s="8">
        <v>0</v>
      </c>
    </row>
    <row r="636" spans="1:30" ht="15.75" customHeight="1">
      <c r="A636" s="10" t="s">
        <v>4409</v>
      </c>
      <c r="B636" s="10" t="s">
        <v>4410</v>
      </c>
      <c r="C636" s="61" t="s">
        <v>4411</v>
      </c>
      <c r="D636" s="38"/>
      <c r="E636" s="13" t="s">
        <v>116</v>
      </c>
      <c r="F636" s="6" t="s">
        <v>3992</v>
      </c>
      <c r="G636" s="14" t="str">
        <f ca="1">IFERROR(__xludf.DUMMYFUNCTION("CONCATENATE(B636,(VLOOKUP(C636,CATALOGOS!$F$2:$H$6,3,FALSE)),(VLOOKUP(V636,CATALOGOS!$J$2:$K$18,2,FALSE)),""-"",TO_TEXT(A636))"),"P24CA-0635")</f>
        <v>P24CA-0635</v>
      </c>
      <c r="H636" s="15" t="str">
        <f ca="1">IFERROR(__xludf.DUMMYFUNCTION("CONCATENATE($B636,(VLOOKUP($C636,CATALOGOS!$F$2:$H$6,3,FALSE)),(VLOOKUP($V636,CATALOGOS!$J$2:$K$18,2,FALSE)),""-"",TO_TEXT($A636))"),"P24CA-0635")</f>
        <v>P24CA-0635</v>
      </c>
      <c r="I636" s="6"/>
      <c r="J636" s="6" t="s">
        <v>4412</v>
      </c>
      <c r="K636" s="6"/>
      <c r="L636" s="6" t="s">
        <v>4413</v>
      </c>
      <c r="M636" s="6" t="s">
        <v>4414</v>
      </c>
      <c r="N636" s="17"/>
      <c r="O636" s="17"/>
      <c r="P636" s="17" t="str">
        <f t="shared" si="7"/>
        <v>OK</v>
      </c>
      <c r="Q636" s="17" t="s">
        <v>35</v>
      </c>
      <c r="R636" s="6" t="s">
        <v>35</v>
      </c>
      <c r="S636" s="46" t="s">
        <v>36</v>
      </c>
      <c r="T636" s="35" t="s">
        <v>4415</v>
      </c>
      <c r="U636" s="18" t="s">
        <v>38</v>
      </c>
      <c r="V636" s="19" t="s">
        <v>4416</v>
      </c>
      <c r="W636" s="74" t="s">
        <v>4417</v>
      </c>
      <c r="X636" s="74" t="s">
        <v>4417</v>
      </c>
      <c r="Y636" s="6"/>
      <c r="Z636" s="6"/>
      <c r="AA636" s="6" t="s">
        <v>4203</v>
      </c>
      <c r="AB636" s="26"/>
      <c r="AC636" s="26"/>
    </row>
    <row r="637" spans="1:30" ht="15.75" customHeight="1">
      <c r="A637" s="10" t="s">
        <v>4418</v>
      </c>
      <c r="B637" s="10" t="s">
        <v>1469</v>
      </c>
      <c r="C637" s="52" t="s">
        <v>868</v>
      </c>
      <c r="D637" s="12"/>
      <c r="E637" s="13" t="s">
        <v>248</v>
      </c>
      <c r="F637" s="43" t="s">
        <v>248</v>
      </c>
      <c r="G637" s="14" t="str">
        <f ca="1">IFERROR(__xludf.DUMMYFUNCTION("CONCATENATE(B637,(VLOOKUP(C637,CATALOGOS!$F$2:$H$6,3,FALSE)),(VLOOKUP(V637,CATALOGOS!$J$2:$K$18,2,FALSE)),""-"",TO_TEXT(A637))"),"P13SO-0636")</f>
        <v>P13SO-0636</v>
      </c>
      <c r="H637" s="15" t="str">
        <f ca="1">IFERROR(__xludf.DUMMYFUNCTION("CONCATENATE($B637,(VLOOKUP($C637,CATALOGOS!$F$2:$H$6,3,FALSE)),(VLOOKUP($V637,CATALOGOS!$J$2:$K$18,2,FALSE)),""-"",TO_TEXT($A637))"),"P13SO-0636")</f>
        <v>P13SO-0636</v>
      </c>
      <c r="I637" s="6"/>
      <c r="J637" s="6" t="s">
        <v>4419</v>
      </c>
      <c r="K637" s="6" t="s">
        <v>4420</v>
      </c>
      <c r="L637" s="6" t="s">
        <v>4421</v>
      </c>
      <c r="M637" s="6" t="s">
        <v>4422</v>
      </c>
      <c r="N637" s="17"/>
      <c r="O637" s="17"/>
      <c r="P637" s="17" t="str">
        <f t="shared" si="7"/>
        <v>OK</v>
      </c>
      <c r="Q637" s="17" t="s">
        <v>303</v>
      </c>
      <c r="R637" s="6" t="s">
        <v>304</v>
      </c>
      <c r="S637" s="17" t="s">
        <v>4423</v>
      </c>
      <c r="T637" s="10" t="s">
        <v>4424</v>
      </c>
      <c r="U637" s="18" t="s">
        <v>38</v>
      </c>
      <c r="V637" s="19" t="s">
        <v>868</v>
      </c>
      <c r="W637" s="6" t="s">
        <v>1665</v>
      </c>
      <c r="X637" s="74" t="s">
        <v>4202</v>
      </c>
      <c r="Y637" s="6"/>
      <c r="Z637" s="6"/>
      <c r="AA637" s="6" t="s">
        <v>4203</v>
      </c>
      <c r="AB637" s="23"/>
      <c r="AC637" s="26"/>
    </row>
    <row r="638" spans="1:30" ht="15.75" customHeight="1">
      <c r="A638" s="10" t="s">
        <v>4425</v>
      </c>
      <c r="B638" s="10" t="s">
        <v>1469</v>
      </c>
      <c r="C638" s="52" t="s">
        <v>868</v>
      </c>
      <c r="D638" s="12"/>
      <c r="E638" s="13" t="s">
        <v>199</v>
      </c>
      <c r="F638" s="43" t="s">
        <v>4426</v>
      </c>
      <c r="G638" s="14" t="str">
        <f ca="1">IFERROR(__xludf.DUMMYFUNCTION("CONCATENATE(B638,(VLOOKUP(C638,CATALOGOS!$F$2:$H$6,3,FALSE)),(VLOOKUP(V638,CATALOGOS!$J$2:$K$18,2,FALSE)),""-"",TO_TEXT(A638))"),"P13LP-0637")</f>
        <v>P13LP-0637</v>
      </c>
      <c r="H638" s="15" t="str">
        <f ca="1">IFERROR(__xludf.DUMMYFUNCTION("CONCATENATE($B638,(VLOOKUP($C638,CATALOGOS!$F$2:$H$6,3,FALSE)),(VLOOKUP($V638,CATALOGOS!$J$2:$K$18,2,FALSE)),""-"",TO_TEXT($A638))"),"P13LP-0637")</f>
        <v>P13LP-0637</v>
      </c>
      <c r="I638" s="6"/>
      <c r="J638" s="6" t="s">
        <v>4427</v>
      </c>
      <c r="K638" s="6" t="s">
        <v>4428</v>
      </c>
      <c r="L638" s="6" t="s">
        <v>4429</v>
      </c>
      <c r="M638" s="6" t="s">
        <v>4430</v>
      </c>
      <c r="N638" s="17"/>
      <c r="O638" s="17"/>
      <c r="P638" s="17" t="str">
        <f t="shared" si="7"/>
        <v>OK</v>
      </c>
      <c r="Q638" s="17" t="s">
        <v>205</v>
      </c>
      <c r="R638" s="6" t="s">
        <v>794</v>
      </c>
      <c r="S638" s="17" t="s">
        <v>4431</v>
      </c>
      <c r="T638" s="10" t="s">
        <v>4432</v>
      </c>
      <c r="U638" s="18" t="s">
        <v>38</v>
      </c>
      <c r="V638" s="19" t="s">
        <v>2328</v>
      </c>
      <c r="W638" s="6" t="s">
        <v>3716</v>
      </c>
      <c r="X638" s="74" t="s">
        <v>4202</v>
      </c>
      <c r="Y638" s="6"/>
      <c r="Z638" s="6"/>
      <c r="AA638" s="6" t="s">
        <v>4203</v>
      </c>
      <c r="AB638" s="23"/>
      <c r="AC638" s="26"/>
    </row>
    <row r="639" spans="1:30" ht="15.75" customHeight="1">
      <c r="A639" s="10" t="s">
        <v>4433</v>
      </c>
      <c r="B639" s="10" t="s">
        <v>1469</v>
      </c>
      <c r="C639" s="52" t="s">
        <v>868</v>
      </c>
      <c r="D639" s="38"/>
      <c r="E639" s="13" t="s">
        <v>151</v>
      </c>
      <c r="F639" s="6" t="s">
        <v>714</v>
      </c>
      <c r="G639" s="14" t="str">
        <f ca="1">IFERROR(__xludf.DUMMYFUNCTION("CONCATENATE(B639,(VLOOKUP(C639,CATALOGOS!$F$2:$H$6,3,FALSE)),(VLOOKUP(V639,CATALOGOS!$J$2:$K$18,2,FALSE)),""-"",TO_TEXT(A639))"),"P13LP-0638")</f>
        <v>P13LP-0638</v>
      </c>
      <c r="H639" s="15" t="str">
        <f ca="1">IFERROR(__xludf.DUMMYFUNCTION("CONCATENATE($B639,(VLOOKUP($C639,CATALOGOS!$F$2:$H$6,3,FALSE)),(VLOOKUP($V639,CATALOGOS!$J$2:$K$18,2,FALSE)),""-"",TO_TEXT($A639))"),"P13LP-0638")</f>
        <v>P13LP-0638</v>
      </c>
      <c r="I639" s="6"/>
      <c r="J639" s="6" t="s">
        <v>4434</v>
      </c>
      <c r="K639" s="6" t="s">
        <v>4435</v>
      </c>
      <c r="L639" s="6" t="s">
        <v>4436</v>
      </c>
      <c r="M639" s="6" t="s">
        <v>4437</v>
      </c>
      <c r="N639" s="17"/>
      <c r="O639" s="17"/>
      <c r="P639" s="17" t="str">
        <f t="shared" si="7"/>
        <v>OK</v>
      </c>
      <c r="Q639" s="17" t="s">
        <v>1220</v>
      </c>
      <c r="R639" s="6" t="s">
        <v>720</v>
      </c>
      <c r="S639" s="46" t="s">
        <v>4438</v>
      </c>
      <c r="T639" s="17" t="s">
        <v>4439</v>
      </c>
      <c r="U639" s="18" t="s">
        <v>3282</v>
      </c>
      <c r="V639" s="19" t="s">
        <v>2328</v>
      </c>
      <c r="W639" s="6" t="s">
        <v>3716</v>
      </c>
      <c r="X639" s="74" t="s">
        <v>4202</v>
      </c>
      <c r="Y639" s="6" t="s">
        <v>142</v>
      </c>
      <c r="Z639" s="6"/>
      <c r="AA639" s="6" t="s">
        <v>4203</v>
      </c>
      <c r="AB639" s="23"/>
      <c r="AC639" s="26"/>
    </row>
    <row r="640" spans="1:30" ht="15.75" customHeight="1">
      <c r="A640" s="10" t="s">
        <v>4440</v>
      </c>
      <c r="B640" s="10" t="s">
        <v>1469</v>
      </c>
      <c r="C640" s="52" t="s">
        <v>868</v>
      </c>
      <c r="D640" s="12"/>
      <c r="E640" s="13" t="s">
        <v>93</v>
      </c>
      <c r="F640" s="6" t="s">
        <v>869</v>
      </c>
      <c r="G640" s="14" t="str">
        <f ca="1">IFERROR(__xludf.DUMMYFUNCTION("CONCATENATE(B640,(VLOOKUP(C640,CATALOGOS!$F$2:$H$6,3,FALSE)),(VLOOKUP(V640,CATALOGOS!$J$2:$K$18,2,FALSE)),""-"",TO_TEXT(A640))"),"P13IR-0639")</f>
        <v>P13IR-0639</v>
      </c>
      <c r="H640" s="15" t="str">
        <f ca="1">IFERROR(__xludf.DUMMYFUNCTION("CONCATENATE($B640,(VLOOKUP($C640,CATALOGOS!$F$2:$H$6,3,FALSE)),(VLOOKUP($V640,CATALOGOS!$J$2:$K$18,2,FALSE)),""-"",TO_TEXT($A640))"),"P13IR-0639")</f>
        <v>P13IR-0639</v>
      </c>
      <c r="I640" s="6"/>
      <c r="J640" s="6" t="s">
        <v>4441</v>
      </c>
      <c r="K640" s="6" t="s">
        <v>4442</v>
      </c>
      <c r="L640" s="6" t="s">
        <v>4443</v>
      </c>
      <c r="M640" s="6" t="s">
        <v>4444</v>
      </c>
      <c r="N640" s="17"/>
      <c r="O640" s="17"/>
      <c r="P640" s="17" t="str">
        <f t="shared" si="7"/>
        <v>OK</v>
      </c>
      <c r="Q640" s="35" t="s">
        <v>35</v>
      </c>
      <c r="R640" s="6" t="s">
        <v>35</v>
      </c>
      <c r="S640" s="17" t="s">
        <v>36</v>
      </c>
      <c r="T640" s="17" t="s">
        <v>4445</v>
      </c>
      <c r="U640" s="18" t="s">
        <v>38</v>
      </c>
      <c r="V640" s="19" t="s">
        <v>2381</v>
      </c>
      <c r="W640" s="22" t="s">
        <v>4181</v>
      </c>
      <c r="X640" s="21" t="s">
        <v>4181</v>
      </c>
      <c r="Y640" s="22"/>
      <c r="Z640" s="7"/>
      <c r="AA640" s="7"/>
      <c r="AB640" s="26"/>
      <c r="AC640" s="26"/>
    </row>
    <row r="641" spans="1:30" ht="15.75" customHeight="1">
      <c r="A641" s="10" t="s">
        <v>4446</v>
      </c>
      <c r="B641" s="10" t="s">
        <v>1469</v>
      </c>
      <c r="C641" s="52" t="s">
        <v>868</v>
      </c>
      <c r="D641" s="12"/>
      <c r="E641" s="13" t="s">
        <v>116</v>
      </c>
      <c r="F641" s="6" t="s">
        <v>4447</v>
      </c>
      <c r="G641" s="14" t="str">
        <f ca="1">IFERROR(__xludf.DUMMYFUNCTION("CONCATENATE(B641,(VLOOKUP(C641,CATALOGOS!$F$2:$H$6,3,FALSE)),(VLOOKUP(V641,CATALOGOS!$J$2:$K$18,2,FALSE)),""-"",TO_TEXT(A641))"),"P13IR-0640")</f>
        <v>P13IR-0640</v>
      </c>
      <c r="H641" s="15" t="str">
        <f ca="1">IFERROR(__xludf.DUMMYFUNCTION("CONCATENATE($B641,(VLOOKUP($C641,CATALOGOS!$F$2:$H$6,3,FALSE)),(VLOOKUP($V641,CATALOGOS!$J$2:$K$18,2,FALSE)),""-"",TO_TEXT($A641))"),"P13IR-0640")</f>
        <v>P13IR-0640</v>
      </c>
      <c r="I641" s="6"/>
      <c r="J641" s="6" t="s">
        <v>4448</v>
      </c>
      <c r="K641" s="6" t="s">
        <v>4449</v>
      </c>
      <c r="L641" s="6" t="s">
        <v>4450</v>
      </c>
      <c r="M641" s="6" t="s">
        <v>4451</v>
      </c>
      <c r="N641" s="17"/>
      <c r="O641" s="17"/>
      <c r="P641" s="17" t="str">
        <f t="shared" si="7"/>
        <v>OK</v>
      </c>
      <c r="Q641" s="17" t="s">
        <v>35</v>
      </c>
      <c r="R641" s="6" t="s">
        <v>35</v>
      </c>
      <c r="S641" s="17" t="s">
        <v>36</v>
      </c>
      <c r="T641" s="17" t="s">
        <v>4452</v>
      </c>
      <c r="U641" s="18" t="s">
        <v>38</v>
      </c>
      <c r="V641" s="19" t="s">
        <v>2381</v>
      </c>
      <c r="W641" s="22" t="s">
        <v>4181</v>
      </c>
      <c r="X641" s="21" t="s">
        <v>4181</v>
      </c>
      <c r="Y641" s="22"/>
      <c r="Z641" s="7"/>
      <c r="AA641" s="7"/>
      <c r="AB641" s="23"/>
      <c r="AC641" s="26"/>
    </row>
    <row r="642" spans="1:30" ht="15.75" customHeight="1">
      <c r="A642" s="10" t="s">
        <v>4453</v>
      </c>
      <c r="B642" s="10" t="s">
        <v>1469</v>
      </c>
      <c r="C642" s="52" t="s">
        <v>868</v>
      </c>
      <c r="D642" s="12"/>
      <c r="E642" s="13" t="s">
        <v>29</v>
      </c>
      <c r="F642" s="6" t="s">
        <v>1166</v>
      </c>
      <c r="G642" s="14" t="str">
        <f ca="1">IFERROR(__xludf.DUMMYFUNCTION("CONCATENATE(B642,(VLOOKUP(C642,CATALOGOS!$F$2:$H$6,3,FALSE)),(VLOOKUP(V642,CATALOGOS!$J$2:$K$18,2,FALSE)),""-"",TO_TEXT(A642))"),"P13IR-0641")</f>
        <v>P13IR-0641</v>
      </c>
      <c r="H642" s="15" t="str">
        <f ca="1">IFERROR(__xludf.DUMMYFUNCTION("CONCATENATE($B642,(VLOOKUP($C642,CATALOGOS!$F$2:$H$6,3,FALSE)),(VLOOKUP($V642,CATALOGOS!$J$2:$K$18,2,FALSE)),""-"",TO_TEXT($A642))"),"P13IR-0641")</f>
        <v>P13IR-0641</v>
      </c>
      <c r="I642" s="6"/>
      <c r="J642" s="6" t="s">
        <v>4454</v>
      </c>
      <c r="K642" s="6" t="s">
        <v>4455</v>
      </c>
      <c r="L642" s="6" t="s">
        <v>4456</v>
      </c>
      <c r="M642" s="6" t="s">
        <v>4457</v>
      </c>
      <c r="N642" s="17"/>
      <c r="O642" s="17"/>
      <c r="P642" s="17" t="str">
        <f t="shared" si="7"/>
        <v>OK</v>
      </c>
      <c r="Q642" s="17" t="s">
        <v>35</v>
      </c>
      <c r="R642" s="6" t="s">
        <v>35</v>
      </c>
      <c r="S642" s="17" t="s">
        <v>36</v>
      </c>
      <c r="T642" s="17" t="s">
        <v>4458</v>
      </c>
      <c r="U642" s="18" t="s">
        <v>38</v>
      </c>
      <c r="V642" s="19" t="s">
        <v>2381</v>
      </c>
      <c r="W642" s="22" t="s">
        <v>4181</v>
      </c>
      <c r="X642" s="21" t="s">
        <v>4181</v>
      </c>
      <c r="Y642" s="22"/>
      <c r="Z642" s="7"/>
      <c r="AA642" s="7"/>
      <c r="AB642" s="23"/>
      <c r="AC642" s="26"/>
    </row>
    <row r="643" spans="1:30" ht="15.75" customHeight="1">
      <c r="A643" s="10" t="s">
        <v>4459</v>
      </c>
      <c r="B643" s="10" t="s">
        <v>1469</v>
      </c>
      <c r="C643" s="52" t="s">
        <v>868</v>
      </c>
      <c r="D643" s="12"/>
      <c r="E643" s="13" t="s">
        <v>378</v>
      </c>
      <c r="F643" s="6" t="s">
        <v>1306</v>
      </c>
      <c r="G643" s="14" t="str">
        <f ca="1">IFERROR(__xludf.DUMMYFUNCTION("CONCATENATE(B643,(VLOOKUP(C643,CATALOGOS!$F$2:$H$6,3,FALSE)),(VLOOKUP(V643,CATALOGOS!$J$2:$K$18,2,FALSE)),""-"",TO_TEXT(A643))"),"P13IR-0642")</f>
        <v>P13IR-0642</v>
      </c>
      <c r="H643" s="15" t="str">
        <f ca="1">IFERROR(__xludf.DUMMYFUNCTION("CONCATENATE($B643,(VLOOKUP($C643,CATALOGOS!$F$2:$H$6,3,FALSE)),(VLOOKUP($V643,CATALOGOS!$J$2:$K$18,2,FALSE)),""-"",TO_TEXT($A643))"),"P13IR-0642")</f>
        <v>P13IR-0642</v>
      </c>
      <c r="I643" s="6"/>
      <c r="J643" s="6" t="s">
        <v>4460</v>
      </c>
      <c r="K643" s="6" t="s">
        <v>4461</v>
      </c>
      <c r="L643" s="6" t="s">
        <v>4462</v>
      </c>
      <c r="M643" s="6" t="s">
        <v>4463</v>
      </c>
      <c r="N643" s="17"/>
      <c r="O643" s="17"/>
      <c r="P643" s="17" t="str">
        <f t="shared" si="7"/>
        <v>OK</v>
      </c>
      <c r="Q643" s="17" t="s">
        <v>35</v>
      </c>
      <c r="R643" s="6" t="s">
        <v>35</v>
      </c>
      <c r="S643" s="17" t="s">
        <v>36</v>
      </c>
      <c r="T643" s="17" t="s">
        <v>4464</v>
      </c>
      <c r="U643" s="18" t="s">
        <v>38</v>
      </c>
      <c r="V643" s="19" t="s">
        <v>2381</v>
      </c>
      <c r="W643" s="22" t="s">
        <v>4181</v>
      </c>
      <c r="X643" s="21" t="s">
        <v>4181</v>
      </c>
      <c r="Y643" s="22"/>
      <c r="Z643" s="7"/>
      <c r="AA643" s="7"/>
      <c r="AB643" s="23"/>
      <c r="AC643" s="26"/>
    </row>
    <row r="644" spans="1:30" ht="15.75" customHeight="1">
      <c r="A644" s="10" t="s">
        <v>4465</v>
      </c>
      <c r="B644" s="10" t="s">
        <v>1469</v>
      </c>
      <c r="C644" s="52" t="s">
        <v>868</v>
      </c>
      <c r="D644" s="12"/>
      <c r="E644" s="13" t="s">
        <v>248</v>
      </c>
      <c r="F644" s="6" t="s">
        <v>248</v>
      </c>
      <c r="G644" s="14" t="str">
        <f ca="1">IFERROR(__xludf.DUMMYFUNCTION("CONCATENATE(B644,(VLOOKUP(C644,CATALOGOS!$F$2:$H$6,3,FALSE)),(VLOOKUP(V644,CATALOGOS!$J$2:$K$18,2,FALSE)),""-"",TO_TEXT(A644))"),"P13IR-0643")</f>
        <v>P13IR-0643</v>
      </c>
      <c r="H644" s="15" t="str">
        <f ca="1">IFERROR(__xludf.DUMMYFUNCTION("CONCATENATE($B644,(VLOOKUP($C644,CATALOGOS!$F$2:$H$6,3,FALSE)),(VLOOKUP($V644,CATALOGOS!$J$2:$K$18,2,FALSE)),""-"",TO_TEXT($A644))"),"P13IR-0643")</f>
        <v>P13IR-0643</v>
      </c>
      <c r="I644" s="6"/>
      <c r="J644" s="6"/>
      <c r="K644" s="6" t="s">
        <v>4466</v>
      </c>
      <c r="L644" s="6" t="s">
        <v>4467</v>
      </c>
      <c r="M644" s="43" t="s">
        <v>4468</v>
      </c>
      <c r="N644" s="17"/>
      <c r="O644" s="17"/>
      <c r="P644" s="17" t="str">
        <f t="shared" si="7"/>
        <v>OK</v>
      </c>
      <c r="Q644" s="17" t="s">
        <v>359</v>
      </c>
      <c r="R644" s="6">
        <v>550</v>
      </c>
      <c r="S644" s="17" t="s">
        <v>36</v>
      </c>
      <c r="T644" s="17" t="s">
        <v>4469</v>
      </c>
      <c r="U644" s="18" t="s">
        <v>38</v>
      </c>
      <c r="V644" s="19" t="s">
        <v>2381</v>
      </c>
      <c r="W644" s="22" t="s">
        <v>4181</v>
      </c>
      <c r="X644" s="21" t="s">
        <v>4181</v>
      </c>
      <c r="Y644" s="22"/>
      <c r="Z644" s="7"/>
      <c r="AA644" s="7"/>
      <c r="AB644" s="23"/>
      <c r="AC644" s="26"/>
    </row>
    <row r="645" spans="1:30" ht="15.75" customHeight="1">
      <c r="A645" s="10" t="s">
        <v>4470</v>
      </c>
      <c r="B645" s="10" t="s">
        <v>27</v>
      </c>
      <c r="C645" s="61" t="s">
        <v>28</v>
      </c>
      <c r="D645" s="12"/>
      <c r="E645" s="13" t="s">
        <v>184</v>
      </c>
      <c r="F645" s="6" t="s">
        <v>927</v>
      </c>
      <c r="G645" s="14" t="str">
        <f ca="1">IFERROR(__xludf.DUMMYFUNCTION("CONCATENATE(B645,(VLOOKUP(C645,CATALOGOS!$F$2:$H$6,3,FALSE)),(VLOOKUP(V645,CATALOGOS!$J$2:$K$18,2,FALSE)),""-"",TO_TEXT(A645))"),"P05RH-0644")</f>
        <v>P05RH-0644</v>
      </c>
      <c r="H645" s="15" t="str">
        <f ca="1">IFERROR(__xludf.DUMMYFUNCTION("CONCATENATE($B645,(VLOOKUP($C645,CATALOGOS!$F$2:$H$6,3,FALSE)),(VLOOKUP($V645,CATALOGOS!$J$2:$K$18,2,FALSE)),""-"",TO_TEXT($A645))"),"P05RH-0644")</f>
        <v>P05RH-0644</v>
      </c>
      <c r="I645" s="6"/>
      <c r="J645" s="6" t="s">
        <v>4471</v>
      </c>
      <c r="K645" s="6" t="s">
        <v>4472</v>
      </c>
      <c r="L645" s="6" t="s">
        <v>4473</v>
      </c>
      <c r="M645" s="6" t="s">
        <v>4474</v>
      </c>
      <c r="N645" s="17"/>
      <c r="O645" s="17"/>
      <c r="P645" s="17" t="str">
        <f t="shared" si="7"/>
        <v>OK</v>
      </c>
      <c r="Q645" s="17" t="s">
        <v>35</v>
      </c>
      <c r="R645" s="6" t="s">
        <v>35</v>
      </c>
      <c r="S645" s="17" t="s">
        <v>36</v>
      </c>
      <c r="T645" s="17" t="s">
        <v>4475</v>
      </c>
      <c r="U645" s="18" t="s">
        <v>38</v>
      </c>
      <c r="V645" s="19" t="s">
        <v>723</v>
      </c>
      <c r="W645" s="20" t="s">
        <v>1427</v>
      </c>
      <c r="X645" s="39" t="s">
        <v>1427</v>
      </c>
      <c r="Y645" s="20"/>
      <c r="Z645" s="7"/>
      <c r="AA645" s="7"/>
      <c r="AB645" s="23"/>
      <c r="AC645" s="26"/>
    </row>
    <row r="646" spans="1:30" ht="15.75" customHeight="1">
      <c r="A646" s="10" t="s">
        <v>4476</v>
      </c>
      <c r="B646" s="10" t="s">
        <v>1469</v>
      </c>
      <c r="C646" s="52" t="s">
        <v>868</v>
      </c>
      <c r="D646" s="12"/>
      <c r="E646" s="13" t="s">
        <v>199</v>
      </c>
      <c r="F646" s="6" t="s">
        <v>199</v>
      </c>
      <c r="G646" s="14" t="str">
        <f ca="1">IFERROR(__xludf.DUMMYFUNCTION("CONCATENATE(B646,(VLOOKUP(C646,CATALOGOS!$F$2:$H$6,3,FALSE)),(VLOOKUP(V646,CATALOGOS!$J$2:$K$18,2,FALSE)),""-"",TO_TEXT(A646))"),"P13IR-0645")</f>
        <v>P13IR-0645</v>
      </c>
      <c r="H646" s="15" t="str">
        <f ca="1">IFERROR(__xludf.DUMMYFUNCTION("CONCATENATE($B646,(VLOOKUP($C646,CATALOGOS!$F$2:$H$6,3,FALSE)),(VLOOKUP($V646,CATALOGOS!$J$2:$K$18,2,FALSE)),""-"",TO_TEXT($A646))"),"P13IR-0645")</f>
        <v>P13IR-0645</v>
      </c>
      <c r="I646" s="6"/>
      <c r="J646" s="6" t="s">
        <v>4477</v>
      </c>
      <c r="K646" s="6" t="s">
        <v>4478</v>
      </c>
      <c r="L646" s="37"/>
      <c r="M646" s="6" t="s">
        <v>4479</v>
      </c>
      <c r="N646" s="17"/>
      <c r="O646" s="17"/>
      <c r="P646" s="17" t="str">
        <f t="shared" si="7"/>
        <v>OK</v>
      </c>
      <c r="Q646" s="17" t="s">
        <v>273</v>
      </c>
      <c r="R646" s="6" t="s">
        <v>274</v>
      </c>
      <c r="S646" s="6">
        <v>11392903015273</v>
      </c>
      <c r="T646" s="10" t="s">
        <v>85</v>
      </c>
      <c r="U646" s="18" t="s">
        <v>38</v>
      </c>
      <c r="V646" s="19" t="s">
        <v>2381</v>
      </c>
      <c r="W646" s="22" t="s">
        <v>4181</v>
      </c>
      <c r="X646" s="21" t="s">
        <v>4181</v>
      </c>
      <c r="Y646" s="22"/>
      <c r="Z646" s="6"/>
      <c r="AA646" s="6"/>
      <c r="AB646" s="41" t="s">
        <v>275</v>
      </c>
      <c r="AC646" s="42">
        <v>44403</v>
      </c>
      <c r="AD646" s="8" t="s">
        <v>276</v>
      </c>
    </row>
    <row r="647" spans="1:30" ht="15.75" customHeight="1">
      <c r="A647" s="10" t="s">
        <v>4480</v>
      </c>
      <c r="B647" s="10" t="s">
        <v>1469</v>
      </c>
      <c r="C647" s="52" t="s">
        <v>868</v>
      </c>
      <c r="D647" s="38"/>
      <c r="E647" s="13" t="s">
        <v>151</v>
      </c>
      <c r="F647" s="6" t="s">
        <v>4113</v>
      </c>
      <c r="G647" s="14" t="str">
        <f ca="1">IFERROR(__xludf.DUMMYFUNCTION("CONCATENATE(B647,(VLOOKUP(C647,CATALOGOS!$F$2:$H$6,3,FALSE)),(VLOOKUP(V647,CATALOGOS!$J$2:$K$18,2,FALSE)),""-"",TO_TEXT(A647))"),"P13IR-0646")</f>
        <v>P13IR-0646</v>
      </c>
      <c r="H647" s="15" t="str">
        <f ca="1">IFERROR(__xludf.DUMMYFUNCTION("CONCATENATE($B647,(VLOOKUP($C647,CATALOGOS!$F$2:$H$6,3,FALSE)),(VLOOKUP($V647,CATALOGOS!$J$2:$K$18,2,FALSE)),""-"",TO_TEXT($A647))"),"P13IR-0646")</f>
        <v>P13IR-0646</v>
      </c>
      <c r="I647" s="6"/>
      <c r="J647" s="6" t="s">
        <v>4481</v>
      </c>
      <c r="K647" s="6" t="s">
        <v>4482</v>
      </c>
      <c r="L647" s="72"/>
      <c r="M647" s="6" t="s">
        <v>4483</v>
      </c>
      <c r="N647" s="17"/>
      <c r="O647" s="17"/>
      <c r="P647" s="17" t="str">
        <f t="shared" si="7"/>
        <v>OK</v>
      </c>
      <c r="Q647" s="17" t="s">
        <v>297</v>
      </c>
      <c r="R647" s="6" t="s">
        <v>298</v>
      </c>
      <c r="S647" s="6" t="s">
        <v>4484</v>
      </c>
      <c r="T647" s="32" t="s">
        <v>85</v>
      </c>
      <c r="U647" s="18" t="s">
        <v>38</v>
      </c>
      <c r="V647" s="19" t="s">
        <v>2381</v>
      </c>
      <c r="W647" s="32" t="s">
        <v>4181</v>
      </c>
      <c r="X647" s="21" t="s">
        <v>4181</v>
      </c>
      <c r="Y647" s="32"/>
      <c r="Z647" s="6"/>
      <c r="AA647" s="6"/>
      <c r="AB647" s="73" t="s">
        <v>275</v>
      </c>
      <c r="AC647" s="42">
        <v>44403</v>
      </c>
      <c r="AD647" s="8">
        <v>0</v>
      </c>
    </row>
    <row r="648" spans="1:30" ht="15.75" customHeight="1">
      <c r="A648" s="10" t="s">
        <v>4485</v>
      </c>
      <c r="B648" s="10" t="s">
        <v>1469</v>
      </c>
      <c r="C648" s="52" t="s">
        <v>868</v>
      </c>
      <c r="D648" s="12"/>
      <c r="E648" s="13" t="s">
        <v>93</v>
      </c>
      <c r="F648" s="6" t="s">
        <v>4486</v>
      </c>
      <c r="G648" s="6" t="str">
        <f ca="1">IFERROR(__xludf.DUMMYFUNCTION("CONCATENATE(B648,(VLOOKUP(C648,CATALOGOS!$F$2:$H$6,3,FALSE)),(VLOOKUP(V648,CATALOGOS!$J$2:$K$18,2,FALSE)),""-"",TO_TEXT(A648))"),"P13IR-0647")</f>
        <v>P13IR-0647</v>
      </c>
      <c r="H648" s="15" t="str">
        <f ca="1">IFERROR(__xludf.DUMMYFUNCTION("CONCATENATE($B648,(VLOOKUP($C648,CATALOGOS!$F$2:$H$6,3,FALSE)),(VLOOKUP($V648,CATALOGOS!$J$2:$K$18,2,FALSE)),""-"",TO_TEXT($A648))"),"P13IR-0647")</f>
        <v>P13IR-0647</v>
      </c>
      <c r="I648" s="6"/>
      <c r="J648" s="6" t="s">
        <v>4487</v>
      </c>
      <c r="K648" s="6" t="s">
        <v>4488</v>
      </c>
      <c r="L648" s="6" t="s">
        <v>4489</v>
      </c>
      <c r="M648" s="6" t="s">
        <v>4490</v>
      </c>
      <c r="N648" s="17"/>
      <c r="O648" s="17"/>
      <c r="P648" s="17" t="str">
        <f t="shared" si="7"/>
        <v>OK</v>
      </c>
      <c r="Q648" s="17" t="s">
        <v>35</v>
      </c>
      <c r="R648" s="6" t="s">
        <v>35</v>
      </c>
      <c r="S648" s="17" t="s">
        <v>36</v>
      </c>
      <c r="T648" s="17" t="s">
        <v>4491</v>
      </c>
      <c r="U648" s="18" t="s">
        <v>38</v>
      </c>
      <c r="V648" s="19" t="s">
        <v>2381</v>
      </c>
      <c r="W648" s="20" t="s">
        <v>4492</v>
      </c>
      <c r="X648" s="21" t="s">
        <v>4492</v>
      </c>
      <c r="Y648" s="22"/>
      <c r="Z648" s="7"/>
      <c r="AA648" s="7"/>
      <c r="AB648" s="23"/>
      <c r="AC648" s="26"/>
    </row>
    <row r="649" spans="1:30" ht="15.75" customHeight="1">
      <c r="A649" s="10" t="s">
        <v>4493</v>
      </c>
      <c r="B649" s="10" t="s">
        <v>1469</v>
      </c>
      <c r="C649" s="52" t="s">
        <v>868</v>
      </c>
      <c r="D649" s="12"/>
      <c r="E649" s="13" t="s">
        <v>93</v>
      </c>
      <c r="F649" s="6" t="s">
        <v>4494</v>
      </c>
      <c r="G649" s="6" t="str">
        <f ca="1">IFERROR(__xludf.DUMMYFUNCTION("CONCATENATE(B649,(VLOOKUP(C649,CATALOGOS!$F$2:$H$6,3,FALSE)),(VLOOKUP(V649,CATALOGOS!$J$2:$K$18,2,FALSE)),""-"",TO_TEXT(A649))"),"P13IR-0648")</f>
        <v>P13IR-0648</v>
      </c>
      <c r="H649" s="15" t="str">
        <f ca="1">IFERROR(__xludf.DUMMYFUNCTION("CONCATENATE($B649,(VLOOKUP($C649,CATALOGOS!$F$2:$H$6,3,FALSE)),(VLOOKUP($V649,CATALOGOS!$J$2:$K$18,2,FALSE)),""-"",TO_TEXT($A649))"),"P13IR-0648")</f>
        <v>P13IR-0648</v>
      </c>
      <c r="I649" s="6"/>
      <c r="J649" s="6" t="s">
        <v>4495</v>
      </c>
      <c r="K649" s="6" t="s">
        <v>4496</v>
      </c>
      <c r="L649" s="6" t="s">
        <v>4497</v>
      </c>
      <c r="M649" s="6" t="s">
        <v>4498</v>
      </c>
      <c r="N649" s="17"/>
      <c r="O649" s="17"/>
      <c r="P649" s="17" t="str">
        <f t="shared" si="7"/>
        <v>OK</v>
      </c>
      <c r="Q649" s="17" t="s">
        <v>35</v>
      </c>
      <c r="R649" s="6" t="s">
        <v>35</v>
      </c>
      <c r="S649" s="17" t="s">
        <v>36</v>
      </c>
      <c r="T649" s="17" t="s">
        <v>4499</v>
      </c>
      <c r="U649" s="18" t="s">
        <v>38</v>
      </c>
      <c r="V649" s="19" t="s">
        <v>2381</v>
      </c>
      <c r="W649" s="22" t="s">
        <v>4492</v>
      </c>
      <c r="X649" s="21" t="s">
        <v>4492</v>
      </c>
      <c r="Y649" s="22"/>
      <c r="Z649" s="7"/>
      <c r="AA649" s="7"/>
      <c r="AB649" s="23"/>
      <c r="AC649" s="26"/>
    </row>
    <row r="650" spans="1:30" ht="15.75" customHeight="1">
      <c r="A650" s="10" t="s">
        <v>4500</v>
      </c>
      <c r="B650" s="10" t="s">
        <v>1469</v>
      </c>
      <c r="C650" s="52" t="s">
        <v>868</v>
      </c>
      <c r="D650" s="12"/>
      <c r="E650" s="13" t="s">
        <v>29</v>
      </c>
      <c r="F650" s="6" t="s">
        <v>1166</v>
      </c>
      <c r="G650" s="6" t="str">
        <f ca="1">IFERROR(__xludf.DUMMYFUNCTION("CONCATENATE(B650,(VLOOKUP(C650,CATALOGOS!$F$2:$H$6,3,FALSE)),(VLOOKUP(V650,CATALOGOS!$J$2:$K$18,2,FALSE)),""-"",TO_TEXT(A650))"),"P13IR-0649")</f>
        <v>P13IR-0649</v>
      </c>
      <c r="H650" s="15" t="str">
        <f ca="1">IFERROR(__xludf.DUMMYFUNCTION("CONCATENATE($B650,(VLOOKUP($C650,CATALOGOS!$F$2:$H$6,3,FALSE)),(VLOOKUP($V650,CATALOGOS!$J$2:$K$18,2,FALSE)),""-"",TO_TEXT($A650))"),"P13IR-0649")</f>
        <v>P13IR-0649</v>
      </c>
      <c r="I650" s="6"/>
      <c r="J650" s="6" t="s">
        <v>4501</v>
      </c>
      <c r="K650" s="54"/>
      <c r="L650" s="6" t="s">
        <v>4502</v>
      </c>
      <c r="M650" s="6" t="s">
        <v>4503</v>
      </c>
      <c r="N650" s="17"/>
      <c r="O650" s="17"/>
      <c r="P650" s="17" t="str">
        <f t="shared" si="7"/>
        <v>OK</v>
      </c>
      <c r="Q650" s="17" t="s">
        <v>35</v>
      </c>
      <c r="R650" s="6" t="s">
        <v>35</v>
      </c>
      <c r="S650" s="17" t="s">
        <v>36</v>
      </c>
      <c r="T650" s="17" t="s">
        <v>4504</v>
      </c>
      <c r="U650" s="18" t="s">
        <v>38</v>
      </c>
      <c r="V650" s="19" t="s">
        <v>2381</v>
      </c>
      <c r="W650" s="22" t="s">
        <v>4492</v>
      </c>
      <c r="X650" s="21" t="s">
        <v>4492</v>
      </c>
      <c r="Y650" s="22"/>
      <c r="Z650" s="7"/>
      <c r="AA650" s="7"/>
      <c r="AB650" s="23"/>
      <c r="AC650" s="26"/>
    </row>
    <row r="651" spans="1:30" ht="15.75" customHeight="1">
      <c r="A651" s="10" t="s">
        <v>4505</v>
      </c>
      <c r="B651" s="10" t="s">
        <v>1469</v>
      </c>
      <c r="C651" s="52" t="s">
        <v>868</v>
      </c>
      <c r="D651" s="12"/>
      <c r="E651" s="13" t="s">
        <v>116</v>
      </c>
      <c r="F651" s="6" t="s">
        <v>4506</v>
      </c>
      <c r="G651" s="6" t="str">
        <f ca="1">IFERROR(__xludf.DUMMYFUNCTION("CONCATENATE(B651,(VLOOKUP(C651,CATALOGOS!$F$2:$H$6,3,FALSE)),(VLOOKUP(V651,CATALOGOS!$J$2:$K$18,2,FALSE)),""-"",TO_TEXT(A651))"),"P13IR-0650")</f>
        <v>P13IR-0650</v>
      </c>
      <c r="H651" s="15" t="str">
        <f ca="1">IFERROR(__xludf.DUMMYFUNCTION("CONCATENATE($B651,(VLOOKUP($C651,CATALOGOS!$F$2:$H$6,3,FALSE)),(VLOOKUP($V651,CATALOGOS!$J$2:$K$18,2,FALSE)),""-"",TO_TEXT($A651))"),"P13IR-0650")</f>
        <v>P13IR-0650</v>
      </c>
      <c r="I651" s="6"/>
      <c r="J651" s="6" t="s">
        <v>4507</v>
      </c>
      <c r="K651" s="6" t="s">
        <v>4508</v>
      </c>
      <c r="L651" s="6" t="s">
        <v>4509</v>
      </c>
      <c r="M651" s="6" t="s">
        <v>4510</v>
      </c>
      <c r="N651" s="17"/>
      <c r="O651" s="17"/>
      <c r="P651" s="17" t="str">
        <f t="shared" si="7"/>
        <v>OK</v>
      </c>
      <c r="Q651" s="17" t="s">
        <v>35</v>
      </c>
      <c r="R651" s="49" t="s">
        <v>35</v>
      </c>
      <c r="S651" s="17" t="s">
        <v>36</v>
      </c>
      <c r="T651" s="17" t="s">
        <v>4511</v>
      </c>
      <c r="U651" s="18" t="s">
        <v>38</v>
      </c>
      <c r="V651" s="19" t="s">
        <v>2381</v>
      </c>
      <c r="W651" s="22" t="s">
        <v>4492</v>
      </c>
      <c r="X651" s="21" t="s">
        <v>4492</v>
      </c>
      <c r="Y651" s="22"/>
      <c r="Z651" s="7"/>
      <c r="AA651" s="7"/>
      <c r="AB651" s="23"/>
      <c r="AC651" s="26"/>
    </row>
    <row r="652" spans="1:30" ht="15.75" customHeight="1">
      <c r="A652" s="10" t="s">
        <v>4512</v>
      </c>
      <c r="B652" s="10" t="s">
        <v>1469</v>
      </c>
      <c r="C652" s="52" t="s">
        <v>868</v>
      </c>
      <c r="D652" s="12"/>
      <c r="E652" s="13" t="s">
        <v>378</v>
      </c>
      <c r="F652" s="6" t="s">
        <v>2040</v>
      </c>
      <c r="G652" s="14" t="str">
        <f ca="1">IFERROR(__xludf.DUMMYFUNCTION("CONCATENATE(B652,(VLOOKUP(C652,CATALOGOS!$F$2:$H$6,3,FALSE)),(VLOOKUP(V652,CATALOGOS!$J$2:$K$18,2,FALSE)),""-"",TO_TEXT(A652))"),"P13IR-0651")</f>
        <v>P13IR-0651</v>
      </c>
      <c r="H652" s="15" t="str">
        <f ca="1">IFERROR(__xludf.DUMMYFUNCTION("CONCATENATE($B652,(VLOOKUP($C652,CATALOGOS!$F$2:$H$6,3,FALSE)),(VLOOKUP($V652,CATALOGOS!$J$2:$K$18,2,FALSE)),""-"",TO_TEXT($A652))"),"P13IR-0651")</f>
        <v>P13IR-0651</v>
      </c>
      <c r="I652" s="6"/>
      <c r="J652" s="6" t="s">
        <v>4513</v>
      </c>
      <c r="K652" s="6" t="s">
        <v>4514</v>
      </c>
      <c r="L652" s="6" t="s">
        <v>4515</v>
      </c>
      <c r="M652" s="6" t="s">
        <v>4516</v>
      </c>
      <c r="N652" s="17"/>
      <c r="O652" s="17"/>
      <c r="P652" s="17" t="str">
        <f t="shared" si="7"/>
        <v>OK</v>
      </c>
      <c r="Q652" s="17" t="s">
        <v>35</v>
      </c>
      <c r="R652" s="6" t="s">
        <v>35</v>
      </c>
      <c r="S652" s="17" t="s">
        <v>36</v>
      </c>
      <c r="T652" s="17" t="s">
        <v>4517</v>
      </c>
      <c r="U652" s="18" t="s">
        <v>38</v>
      </c>
      <c r="V652" s="19" t="s">
        <v>2381</v>
      </c>
      <c r="W652" s="22" t="s">
        <v>4492</v>
      </c>
      <c r="X652" s="21" t="s">
        <v>4492</v>
      </c>
      <c r="Y652" s="22"/>
      <c r="Z652" s="7"/>
      <c r="AA652" s="7"/>
      <c r="AB652" s="23"/>
      <c r="AC652" s="26"/>
    </row>
    <row r="653" spans="1:30" ht="15.75" customHeight="1">
      <c r="A653" s="10" t="s">
        <v>4518</v>
      </c>
      <c r="B653" s="10" t="s">
        <v>1469</v>
      </c>
      <c r="C653" s="52" t="s">
        <v>868</v>
      </c>
      <c r="D653" s="12"/>
      <c r="E653" s="13" t="s">
        <v>1240</v>
      </c>
      <c r="F653" s="43" t="s">
        <v>278</v>
      </c>
      <c r="G653" s="6" t="str">
        <f ca="1">IFERROR(__xludf.DUMMYFUNCTION("CONCATENATE(B653,(VLOOKUP(C653,CATALOGOS!$F$2:$H$6,3,FALSE)),(VLOOKUP(V653,CATALOGOS!$J$2:$K$18,2,FALSE)),""-"",TO_TEXT(A653))"),"P13IR-0652")</f>
        <v>P13IR-0652</v>
      </c>
      <c r="H653" s="15" t="str">
        <f ca="1">IFERROR(__xludf.DUMMYFUNCTION("CONCATENATE($B653,(VLOOKUP($C653,CATALOGOS!$F$2:$H$6,3,FALSE)),(VLOOKUP($V653,CATALOGOS!$J$2:$K$18,2,FALSE)),""-"",TO_TEXT($A653))"),"P13IR-0652")</f>
        <v>P13IR-0652</v>
      </c>
      <c r="I653" s="6"/>
      <c r="J653" s="6" t="s">
        <v>4519</v>
      </c>
      <c r="K653" s="6" t="s">
        <v>4520</v>
      </c>
      <c r="L653" s="6" t="s">
        <v>4521</v>
      </c>
      <c r="M653" s="6" t="s">
        <v>4522</v>
      </c>
      <c r="N653" s="17"/>
      <c r="O653" s="17"/>
      <c r="P653" s="17" t="str">
        <f t="shared" si="7"/>
        <v>OK</v>
      </c>
      <c r="Q653" s="17" t="s">
        <v>35</v>
      </c>
      <c r="R653" s="6" t="s">
        <v>35</v>
      </c>
      <c r="S653" s="17" t="s">
        <v>36</v>
      </c>
      <c r="T653" s="17" t="s">
        <v>4523</v>
      </c>
      <c r="U653" s="18" t="s">
        <v>38</v>
      </c>
      <c r="V653" s="19" t="s">
        <v>2381</v>
      </c>
      <c r="W653" s="22" t="s">
        <v>4492</v>
      </c>
      <c r="X653" s="21" t="s">
        <v>4492</v>
      </c>
      <c r="Y653" s="22"/>
      <c r="Z653" s="7"/>
      <c r="AA653" s="7"/>
      <c r="AB653" s="23"/>
      <c r="AC653" s="26"/>
    </row>
    <row r="654" spans="1:30" ht="15.75" customHeight="1">
      <c r="A654" s="10" t="s">
        <v>4524</v>
      </c>
      <c r="B654" s="10" t="s">
        <v>1469</v>
      </c>
      <c r="C654" s="52" t="s">
        <v>868</v>
      </c>
      <c r="D654" s="12"/>
      <c r="E654" s="13" t="s">
        <v>248</v>
      </c>
      <c r="F654" s="43" t="s">
        <v>248</v>
      </c>
      <c r="G654" s="6" t="str">
        <f ca="1">IFERROR(__xludf.DUMMYFUNCTION("CONCATENATE(B654,(VLOOKUP(C654,CATALOGOS!$F$2:$H$6,3,FALSE)),(VLOOKUP(V654,CATALOGOS!$J$2:$K$18,2,FALSE)),""-"",TO_TEXT(A654))"),"P13IR-0653")</f>
        <v>P13IR-0653</v>
      </c>
      <c r="H654" s="15" t="str">
        <f ca="1">IFERROR(__xludf.DUMMYFUNCTION("CONCATENATE($B654,(VLOOKUP($C654,CATALOGOS!$F$2:$H$6,3,FALSE)),(VLOOKUP($V654,CATALOGOS!$J$2:$K$18,2,FALSE)),""-"",TO_TEXT($A654))"),"P13IR-0653")</f>
        <v>P13IR-0653</v>
      </c>
      <c r="I654" s="6"/>
      <c r="J654" s="6" t="s">
        <v>4525</v>
      </c>
      <c r="K654" s="6" t="s">
        <v>4526</v>
      </c>
      <c r="L654" s="6" t="s">
        <v>4527</v>
      </c>
      <c r="M654" s="6" t="s">
        <v>4528</v>
      </c>
      <c r="N654" s="17"/>
      <c r="O654" s="17"/>
      <c r="P654" s="17" t="str">
        <f t="shared" si="7"/>
        <v>OK</v>
      </c>
      <c r="Q654" s="17" t="s">
        <v>978</v>
      </c>
      <c r="R654" s="6" t="s">
        <v>979</v>
      </c>
      <c r="S654" s="17" t="s">
        <v>4529</v>
      </c>
      <c r="T654" s="17" t="s">
        <v>4530</v>
      </c>
      <c r="U654" s="18" t="s">
        <v>38</v>
      </c>
      <c r="V654" s="19" t="s">
        <v>2381</v>
      </c>
      <c r="W654" s="22" t="s">
        <v>4492</v>
      </c>
      <c r="X654" s="21" t="s">
        <v>4492</v>
      </c>
      <c r="Y654" s="22"/>
      <c r="Z654" s="7"/>
      <c r="AA654" s="7"/>
      <c r="AB654" s="23"/>
      <c r="AC654" s="26"/>
    </row>
    <row r="655" spans="1:30" ht="15.75" customHeight="1">
      <c r="A655" s="10" t="s">
        <v>4531</v>
      </c>
      <c r="B655" s="10" t="s">
        <v>1469</v>
      </c>
      <c r="C655" s="52" t="s">
        <v>868</v>
      </c>
      <c r="D655" s="12"/>
      <c r="E655" s="13" t="s">
        <v>199</v>
      </c>
      <c r="F655" s="6" t="s">
        <v>199</v>
      </c>
      <c r="G655" s="6" t="str">
        <f ca="1">IFERROR(__xludf.DUMMYFUNCTION("CONCATENATE(B655,(VLOOKUP(C655,CATALOGOS!$F$2:$H$6,3,FALSE)),(VLOOKUP(V655,CATALOGOS!$J$2:$K$18,2,FALSE)),""-"",TO_TEXT(A655))"),"P13IR-0654")</f>
        <v>P13IR-0654</v>
      </c>
      <c r="H655" s="15" t="str">
        <f ca="1">IFERROR(__xludf.DUMMYFUNCTION("CONCATENATE($B655,(VLOOKUP($C655,CATALOGOS!$F$2:$H$6,3,FALSE)),(VLOOKUP($V655,CATALOGOS!$J$2:$K$18,2,FALSE)),""-"",TO_TEXT($A655))"),"P13IR-0654")</f>
        <v>P13IR-0654</v>
      </c>
      <c r="I655" s="6"/>
      <c r="J655" s="6" t="s">
        <v>4532</v>
      </c>
      <c r="K655" s="6" t="s">
        <v>4533</v>
      </c>
      <c r="L655" s="37"/>
      <c r="M655" s="6" t="s">
        <v>4534</v>
      </c>
      <c r="N655" s="17"/>
      <c r="O655" s="17"/>
      <c r="P655" s="17" t="str">
        <f t="shared" si="7"/>
        <v>OK</v>
      </c>
      <c r="Q655" s="17" t="s">
        <v>273</v>
      </c>
      <c r="R655" s="6" t="s">
        <v>274</v>
      </c>
      <c r="S655" s="6">
        <v>11392903012339</v>
      </c>
      <c r="T655" s="10" t="s">
        <v>85</v>
      </c>
      <c r="U655" s="18" t="s">
        <v>38</v>
      </c>
      <c r="V655" s="19" t="s">
        <v>2381</v>
      </c>
      <c r="W655" s="22" t="s">
        <v>4492</v>
      </c>
      <c r="X655" s="21" t="s">
        <v>4492</v>
      </c>
      <c r="Y655" s="22"/>
      <c r="Z655" s="6"/>
      <c r="AA655" s="6"/>
      <c r="AB655" s="41" t="s">
        <v>92</v>
      </c>
      <c r="AC655" s="42">
        <v>44348</v>
      </c>
      <c r="AD655" s="8" t="s">
        <v>276</v>
      </c>
    </row>
    <row r="656" spans="1:30" ht="15.75" customHeight="1">
      <c r="A656" s="10" t="s">
        <v>4535</v>
      </c>
      <c r="B656" s="10" t="s">
        <v>1469</v>
      </c>
      <c r="C656" s="52" t="s">
        <v>868</v>
      </c>
      <c r="D656" s="12"/>
      <c r="E656" s="13" t="s">
        <v>151</v>
      </c>
      <c r="F656" s="6" t="s">
        <v>4113</v>
      </c>
      <c r="G656" s="6" t="str">
        <f ca="1">IFERROR(__xludf.DUMMYFUNCTION("CONCATENATE(B656,(VLOOKUP(C656,CATALOGOS!$F$2:$H$6,3,FALSE)),(VLOOKUP(V656,CATALOGOS!$J$2:$K$18,2,FALSE)),""-"",TO_TEXT(A656))"),"P13IR-0655")</f>
        <v>P13IR-0655</v>
      </c>
      <c r="H656" s="15" t="str">
        <f ca="1">IFERROR(__xludf.DUMMYFUNCTION("CONCATENATE($B656,(VLOOKUP($C656,CATALOGOS!$F$2:$H$6,3,FALSE)),(VLOOKUP($V656,CATALOGOS!$J$2:$K$18,2,FALSE)),""-"",TO_TEXT($A656))"),"P13IR-0655")</f>
        <v>P13IR-0655</v>
      </c>
      <c r="I656" s="6"/>
      <c r="J656" s="6" t="s">
        <v>4536</v>
      </c>
      <c r="K656" s="6" t="s">
        <v>4537</v>
      </c>
      <c r="L656" s="37"/>
      <c r="M656" s="6" t="s">
        <v>4538</v>
      </c>
      <c r="N656" s="17"/>
      <c r="O656" s="17"/>
      <c r="P656" s="17" t="str">
        <f t="shared" si="7"/>
        <v>OK</v>
      </c>
      <c r="Q656" s="17" t="s">
        <v>297</v>
      </c>
      <c r="R656" s="6" t="s">
        <v>298</v>
      </c>
      <c r="S656" s="6" t="s">
        <v>4539</v>
      </c>
      <c r="T656" s="10" t="s">
        <v>85</v>
      </c>
      <c r="U656" s="18" t="s">
        <v>38</v>
      </c>
      <c r="V656" s="19" t="s">
        <v>2381</v>
      </c>
      <c r="W656" s="22" t="s">
        <v>4492</v>
      </c>
      <c r="X656" s="21" t="s">
        <v>4492</v>
      </c>
      <c r="Y656" s="22"/>
      <c r="Z656" s="6"/>
      <c r="AA656" s="6"/>
      <c r="AB656" s="41" t="s">
        <v>92</v>
      </c>
      <c r="AC656" s="42">
        <v>44348</v>
      </c>
      <c r="AD656" s="8">
        <v>0</v>
      </c>
    </row>
    <row r="657" spans="1:29" ht="15.75" customHeight="1">
      <c r="A657" s="10" t="s">
        <v>4540</v>
      </c>
      <c r="B657" s="10" t="s">
        <v>1469</v>
      </c>
      <c r="C657" s="52" t="s">
        <v>868</v>
      </c>
      <c r="D657" s="38"/>
      <c r="E657" s="13" t="s">
        <v>151</v>
      </c>
      <c r="F657" s="6" t="s">
        <v>714</v>
      </c>
      <c r="G657" s="14" t="str">
        <f ca="1">IFERROR(__xludf.DUMMYFUNCTION("CONCATENATE(B657,(VLOOKUP(C657,CATALOGOS!$F$2:$H$6,3,FALSE)),(VLOOKUP(V657,CATALOGOS!$J$2:$K$18,2,FALSE)),""-"",TO_TEXT(A657))"),"P13IR-0656")</f>
        <v>P13IR-0656</v>
      </c>
      <c r="H657" s="15" t="str">
        <f ca="1">IFERROR(__xludf.DUMMYFUNCTION("CONCATENATE($B657,(VLOOKUP($C657,CATALOGOS!$F$2:$H$6,3,FALSE)),(VLOOKUP($V657,CATALOGOS!$J$2:$K$18,2,FALSE)),""-"",TO_TEXT($A657))"),"P13IR-0656")</f>
        <v>P13IR-0656</v>
      </c>
      <c r="I657" s="6"/>
      <c r="J657" s="6" t="s">
        <v>4541</v>
      </c>
      <c r="K657" s="6" t="s">
        <v>4542</v>
      </c>
      <c r="L657" s="6" t="s">
        <v>4543</v>
      </c>
      <c r="M657" s="6" t="s">
        <v>4544</v>
      </c>
      <c r="N657" s="17"/>
      <c r="O657" s="17"/>
      <c r="P657" s="17" t="str">
        <f t="shared" si="7"/>
        <v>OK</v>
      </c>
      <c r="Q657" s="17" t="s">
        <v>1220</v>
      </c>
      <c r="R657" s="6" t="s">
        <v>720</v>
      </c>
      <c r="S657" s="46" t="s">
        <v>36</v>
      </c>
      <c r="T657" s="17" t="s">
        <v>4545</v>
      </c>
      <c r="U657" s="18" t="s">
        <v>38</v>
      </c>
      <c r="V657" s="19" t="s">
        <v>2381</v>
      </c>
      <c r="W657" s="32" t="s">
        <v>3840</v>
      </c>
      <c r="X657" s="21" t="s">
        <v>3840</v>
      </c>
      <c r="Y657" s="32"/>
      <c r="Z657" s="6"/>
      <c r="AA657" s="6"/>
      <c r="AB657" s="26"/>
      <c r="AC657" s="33"/>
    </row>
    <row r="658" spans="1:29" ht="15.75" customHeight="1">
      <c r="A658" s="10" t="s">
        <v>4546</v>
      </c>
      <c r="B658" s="10" t="s">
        <v>1469</v>
      </c>
      <c r="C658" s="52" t="s">
        <v>868</v>
      </c>
      <c r="D658" s="38"/>
      <c r="E658" s="13" t="s">
        <v>378</v>
      </c>
      <c r="F658" s="6" t="s">
        <v>379</v>
      </c>
      <c r="G658" s="6" t="str">
        <f ca="1">IFERROR(__xludf.DUMMYFUNCTION("CONCATENATE(B658,(VLOOKUP(C658,CATALOGOS!$F$2:$H$6,3,FALSE)),(VLOOKUP(V658,CATALOGOS!$J$2:$K$18,2,FALSE)),""-"",TO_TEXT(A658))"),"P13IR-0657")</f>
        <v>P13IR-0657</v>
      </c>
      <c r="H658" s="15" t="str">
        <f ca="1">IFERROR(__xludf.DUMMYFUNCTION("CONCATENATE($B658,(VLOOKUP($C658,CATALOGOS!$F$2:$H$6,3,FALSE)),(VLOOKUP($V658,CATALOGOS!$J$2:$K$18,2,FALSE)),""-"",TO_TEXT($A658))"),"P13IR-0657")</f>
        <v>P13IR-0657</v>
      </c>
      <c r="I658" s="6"/>
      <c r="J658" s="6" t="s">
        <v>4547</v>
      </c>
      <c r="K658" s="6" t="s">
        <v>4548</v>
      </c>
      <c r="L658" s="6" t="s">
        <v>4549</v>
      </c>
      <c r="M658" s="43" t="s">
        <v>4550</v>
      </c>
      <c r="N658" s="17"/>
      <c r="O658" s="17"/>
      <c r="P658" s="17" t="str">
        <f t="shared" si="7"/>
        <v>OK</v>
      </c>
      <c r="Q658" s="17" t="s">
        <v>35</v>
      </c>
      <c r="R658" s="6" t="s">
        <v>35</v>
      </c>
      <c r="S658" s="46" t="s">
        <v>36</v>
      </c>
      <c r="T658" s="17" t="s">
        <v>4551</v>
      </c>
      <c r="U658" s="18" t="s">
        <v>38</v>
      </c>
      <c r="V658" s="19" t="s">
        <v>2381</v>
      </c>
      <c r="W658" s="32" t="s">
        <v>3840</v>
      </c>
      <c r="X658" s="21" t="s">
        <v>3840</v>
      </c>
      <c r="Y658" s="32"/>
      <c r="Z658" s="36"/>
      <c r="AA658" s="36"/>
      <c r="AB658" s="26"/>
      <c r="AC658" s="33"/>
    </row>
    <row r="659" spans="1:29" ht="15.75" customHeight="1">
      <c r="A659" s="10" t="s">
        <v>4552</v>
      </c>
      <c r="B659" s="10" t="s">
        <v>1469</v>
      </c>
      <c r="C659" s="52" t="s">
        <v>868</v>
      </c>
      <c r="D659" s="38"/>
      <c r="E659" s="13" t="s">
        <v>378</v>
      </c>
      <c r="F659" s="6" t="s">
        <v>4553</v>
      </c>
      <c r="G659" s="6" t="str">
        <f ca="1">IFERROR(__xludf.DUMMYFUNCTION("CONCATENATE(B659,(VLOOKUP(C659,CATALOGOS!$F$2:$H$6,3,FALSE)),(VLOOKUP(V659,CATALOGOS!$J$2:$K$18,2,FALSE)),""-"",TO_TEXT(A659))"),"P13IR-0658")</f>
        <v>P13IR-0658</v>
      </c>
      <c r="H659" s="15" t="str">
        <f ca="1">IFERROR(__xludf.DUMMYFUNCTION("CONCATENATE($B659,(VLOOKUP($C659,CATALOGOS!$F$2:$H$6,3,FALSE)),(VLOOKUP($V659,CATALOGOS!$J$2:$K$18,2,FALSE)),""-"",TO_TEXT($A659))"),"P13IR-0658")</f>
        <v>P13IR-0658</v>
      </c>
      <c r="I659" s="6"/>
      <c r="J659" s="6" t="s">
        <v>4554</v>
      </c>
      <c r="K659" s="6" t="s">
        <v>4555</v>
      </c>
      <c r="L659" s="6" t="s">
        <v>4556</v>
      </c>
      <c r="M659" s="43" t="s">
        <v>4557</v>
      </c>
      <c r="N659" s="17"/>
      <c r="O659" s="17"/>
      <c r="P659" s="17" t="str">
        <f t="shared" si="7"/>
        <v>OK</v>
      </c>
      <c r="Q659" s="35" t="s">
        <v>35</v>
      </c>
      <c r="R659" s="6" t="s">
        <v>35</v>
      </c>
      <c r="S659" s="46" t="s">
        <v>36</v>
      </c>
      <c r="T659" s="17" t="s">
        <v>4558</v>
      </c>
      <c r="U659" s="18" t="s">
        <v>38</v>
      </c>
      <c r="V659" s="19" t="s">
        <v>2381</v>
      </c>
      <c r="W659" s="32" t="s">
        <v>4492</v>
      </c>
      <c r="X659" s="21" t="s">
        <v>4492</v>
      </c>
      <c r="Y659" s="32"/>
      <c r="Z659" s="36"/>
      <c r="AA659" s="36"/>
      <c r="AB659" s="26"/>
      <c r="AC659" s="33"/>
    </row>
    <row r="660" spans="1:29" ht="15.75" customHeight="1">
      <c r="A660" s="10" t="s">
        <v>4559</v>
      </c>
      <c r="B660" s="10" t="s">
        <v>1469</v>
      </c>
      <c r="C660" s="52" t="s">
        <v>868</v>
      </c>
      <c r="D660" s="38"/>
      <c r="E660" s="13" t="s">
        <v>184</v>
      </c>
      <c r="F660" s="6" t="s">
        <v>4560</v>
      </c>
      <c r="G660" s="6" t="str">
        <f ca="1">IFERROR(__xludf.DUMMYFUNCTION("CONCATENATE(B660,(VLOOKUP(C660,CATALOGOS!$F$2:$H$6,3,FALSE)),(VLOOKUP(V660,CATALOGOS!$J$2:$K$18,2,FALSE)),""-"",TO_TEXT(A660))"),"P13SO-0659")</f>
        <v>P13SO-0659</v>
      </c>
      <c r="H660" s="15" t="str">
        <f ca="1">IFERROR(__xludf.DUMMYFUNCTION("CONCATENATE($B660,(VLOOKUP($C660,CATALOGOS!$F$2:$H$6,3,FALSE)),(VLOOKUP($V660,CATALOGOS!$J$2:$K$18,2,FALSE)),""-"",TO_TEXT($A660))"),"P13SO-0659")</f>
        <v>P13SO-0659</v>
      </c>
      <c r="I660" s="6"/>
      <c r="J660" s="6" t="s">
        <v>4561</v>
      </c>
      <c r="K660" s="6" t="s">
        <v>4562</v>
      </c>
      <c r="L660" s="6" t="s">
        <v>4563</v>
      </c>
      <c r="M660" s="6" t="s">
        <v>4564</v>
      </c>
      <c r="N660" s="17"/>
      <c r="O660" s="17"/>
      <c r="P660" s="17" t="str">
        <f t="shared" si="7"/>
        <v>OK</v>
      </c>
      <c r="Q660" s="35" t="s">
        <v>35</v>
      </c>
      <c r="R660" s="6" t="s">
        <v>35</v>
      </c>
      <c r="S660" s="46" t="s">
        <v>36</v>
      </c>
      <c r="T660" s="17" t="s">
        <v>4565</v>
      </c>
      <c r="U660" s="18" t="s">
        <v>38</v>
      </c>
      <c r="V660" s="19" t="s">
        <v>868</v>
      </c>
      <c r="W660" s="20" t="s">
        <v>3450</v>
      </c>
      <c r="X660" s="74" t="s">
        <v>4202</v>
      </c>
      <c r="Y660" s="6"/>
      <c r="Z660" s="6"/>
      <c r="AA660" s="6" t="s">
        <v>4203</v>
      </c>
      <c r="AB660" s="26"/>
      <c r="AC660" s="33"/>
    </row>
    <row r="661" spans="1:29" ht="15.75" customHeight="1">
      <c r="A661" s="10" t="s">
        <v>4566</v>
      </c>
      <c r="B661" s="10" t="s">
        <v>27</v>
      </c>
      <c r="C661" s="52" t="s">
        <v>868</v>
      </c>
      <c r="D661" s="12"/>
      <c r="E661" s="13" t="s">
        <v>62</v>
      </c>
      <c r="F661" s="6" t="s">
        <v>4567</v>
      </c>
      <c r="G661" s="14" t="str">
        <f ca="1">IFERROR(__xludf.DUMMYFUNCTION("CONCATENATE(B661,(VLOOKUP(C661,CATALOGOS!$F$2:$H$6,3,FALSE)),(VLOOKUP(V661,CATALOGOS!$J$2:$K$18,2,FALSE)),""-"",TO_TEXT(A661))"),"P03CV-0660")</f>
        <v>P03CV-0660</v>
      </c>
      <c r="H661" s="15" t="str">
        <f ca="1">IFERROR(__xludf.DUMMYFUNCTION("CONCATENATE($B661,(VLOOKUP($C661,CATALOGOS!$F$2:$H$6,3,FALSE)),(VLOOKUP($V661,CATALOGOS!$J$2:$K$18,2,FALSE)),""-"",TO_TEXT($A661))"),"P03CV-0660")</f>
        <v>P03CV-0660</v>
      </c>
      <c r="I661" s="6"/>
      <c r="J661" s="6" t="s">
        <v>4568</v>
      </c>
      <c r="K661" s="6" t="s">
        <v>4569</v>
      </c>
      <c r="L661" s="6" t="s">
        <v>4570</v>
      </c>
      <c r="M661" s="6" t="s">
        <v>4571</v>
      </c>
      <c r="N661" s="17"/>
      <c r="O661" s="17"/>
      <c r="P661" s="17" t="str">
        <f t="shared" si="7"/>
        <v>OK</v>
      </c>
      <c r="Q661" s="17" t="s">
        <v>35</v>
      </c>
      <c r="R661" s="6" t="s">
        <v>35</v>
      </c>
      <c r="S661" s="17" t="s">
        <v>36</v>
      </c>
      <c r="T661" s="35" t="s">
        <v>4572</v>
      </c>
      <c r="U661" s="18" t="s">
        <v>38</v>
      </c>
      <c r="V661" s="19" t="s">
        <v>875</v>
      </c>
      <c r="W661" s="20" t="s">
        <v>4573</v>
      </c>
      <c r="X661" s="39" t="s">
        <v>4574</v>
      </c>
      <c r="Y661" s="20"/>
      <c r="Z661" s="36"/>
      <c r="AA661" s="36"/>
      <c r="AB661" s="23"/>
      <c r="AC661" s="33"/>
    </row>
    <row r="662" spans="1:29" ht="15.75" customHeight="1">
      <c r="A662" s="10" t="s">
        <v>4575</v>
      </c>
      <c r="B662" s="10" t="s">
        <v>27</v>
      </c>
      <c r="C662" s="52" t="s">
        <v>868</v>
      </c>
      <c r="D662" s="12"/>
      <c r="E662" s="13" t="s">
        <v>62</v>
      </c>
      <c r="F662" s="6" t="s">
        <v>4576</v>
      </c>
      <c r="G662" s="14" t="str">
        <f ca="1">IFERROR(__xludf.DUMMYFUNCTION("CONCATENATE(B662,(VLOOKUP(C662,CATALOGOS!$F$2:$H$6,3,FALSE)),(VLOOKUP(V662,CATALOGOS!$J$2:$K$18,2,FALSE)),""-"",TO_TEXT(A662))"),"P03CV-0661")</f>
        <v>P03CV-0661</v>
      </c>
      <c r="H662" s="15" t="str">
        <f ca="1">IFERROR(__xludf.DUMMYFUNCTION("CONCATENATE($B662,(VLOOKUP($C662,CATALOGOS!$F$2:$H$6,3,FALSE)),(VLOOKUP($V662,CATALOGOS!$J$2:$K$18,2,FALSE)),""-"",TO_TEXT($A662))"),"P03CV-0661")</f>
        <v>P03CV-0661</v>
      </c>
      <c r="I662" s="6"/>
      <c r="J662" s="6" t="s">
        <v>4577</v>
      </c>
      <c r="K662" s="6" t="s">
        <v>4578</v>
      </c>
      <c r="L662" s="6" t="s">
        <v>4579</v>
      </c>
      <c r="M662" s="6" t="s">
        <v>4580</v>
      </c>
      <c r="N662" s="17"/>
      <c r="O662" s="17"/>
      <c r="P662" s="17" t="str">
        <f t="shared" si="7"/>
        <v>OK</v>
      </c>
      <c r="Q662" s="17" t="s">
        <v>35</v>
      </c>
      <c r="R662" s="6" t="s">
        <v>35</v>
      </c>
      <c r="S662" s="17" t="s">
        <v>36</v>
      </c>
      <c r="T662" s="35" t="s">
        <v>4581</v>
      </c>
      <c r="U662" s="18" t="s">
        <v>100</v>
      </c>
      <c r="V662" s="19" t="s">
        <v>875</v>
      </c>
      <c r="W662" s="20" t="s">
        <v>4573</v>
      </c>
      <c r="X662" s="39" t="s">
        <v>4574</v>
      </c>
      <c r="Y662" s="20"/>
      <c r="Z662" s="36"/>
      <c r="AA662" s="36"/>
      <c r="AB662" s="23"/>
      <c r="AC662" s="33"/>
    </row>
    <row r="663" spans="1:29" ht="15.75" customHeight="1">
      <c r="A663" s="10" t="s">
        <v>4582</v>
      </c>
      <c r="B663" s="10" t="s">
        <v>27</v>
      </c>
      <c r="C663" s="52" t="s">
        <v>868</v>
      </c>
      <c r="D663" s="12"/>
      <c r="E663" s="13" t="s">
        <v>62</v>
      </c>
      <c r="F663" s="6" t="s">
        <v>4583</v>
      </c>
      <c r="G663" s="14" t="str">
        <f ca="1">IFERROR(__xludf.DUMMYFUNCTION("CONCATENATE(B663,(VLOOKUP(C663,CATALOGOS!$F$2:$H$6,3,FALSE)),(VLOOKUP(V663,CATALOGOS!$J$2:$K$18,2,FALSE)),""-"",TO_TEXT(A663))"),"P03CV-0662")</f>
        <v>P03CV-0662</v>
      </c>
      <c r="H663" s="15" t="str">
        <f ca="1">IFERROR(__xludf.DUMMYFUNCTION("CONCATENATE($B663,(VLOOKUP($C663,CATALOGOS!$F$2:$H$6,3,FALSE)),(VLOOKUP($V663,CATALOGOS!$J$2:$K$18,2,FALSE)),""-"",TO_TEXT($A663))"),"P03CV-0662")</f>
        <v>P03CV-0662</v>
      </c>
      <c r="I663" s="6"/>
      <c r="J663" s="6" t="s">
        <v>4584</v>
      </c>
      <c r="K663" s="6" t="s">
        <v>4585</v>
      </c>
      <c r="L663" s="6" t="s">
        <v>4586</v>
      </c>
      <c r="M663" s="6" t="s">
        <v>4587</v>
      </c>
      <c r="N663" s="17"/>
      <c r="O663" s="17"/>
      <c r="P663" s="17" t="str">
        <f t="shared" si="7"/>
        <v>OK</v>
      </c>
      <c r="Q663" s="17" t="s">
        <v>35</v>
      </c>
      <c r="R663" s="6" t="s">
        <v>35</v>
      </c>
      <c r="S663" s="17" t="s">
        <v>36</v>
      </c>
      <c r="T663" s="17" t="s">
        <v>4588</v>
      </c>
      <c r="U663" s="18" t="s">
        <v>38</v>
      </c>
      <c r="V663" s="19" t="s">
        <v>875</v>
      </c>
      <c r="W663" s="20" t="s">
        <v>4573</v>
      </c>
      <c r="X663" s="39" t="s">
        <v>4574</v>
      </c>
      <c r="Y663" s="20"/>
      <c r="Z663" s="36"/>
      <c r="AA663" s="36"/>
      <c r="AB663" s="23"/>
      <c r="AC663" s="33"/>
    </row>
    <row r="664" spans="1:29" ht="15.75" customHeight="1">
      <c r="A664" s="10" t="s">
        <v>4589</v>
      </c>
      <c r="B664" s="10" t="s">
        <v>27</v>
      </c>
      <c r="C664" s="52" t="s">
        <v>868</v>
      </c>
      <c r="D664" s="12"/>
      <c r="E664" s="13" t="s">
        <v>62</v>
      </c>
      <c r="F664" s="6" t="s">
        <v>4590</v>
      </c>
      <c r="G664" s="14" t="str">
        <f ca="1">IFERROR(__xludf.DUMMYFUNCTION("CONCATENATE(B664,(VLOOKUP(C664,CATALOGOS!$F$2:$H$6,3,FALSE)),(VLOOKUP(V664,CATALOGOS!$J$2:$K$18,2,FALSE)),""-"",TO_TEXT(A664))"),"P03CV-0663")</f>
        <v>P03CV-0663</v>
      </c>
      <c r="H664" s="15" t="str">
        <f ca="1">IFERROR(__xludf.DUMMYFUNCTION("CONCATENATE($B664,(VLOOKUP($C664,CATALOGOS!$F$2:$H$6,3,FALSE)),(VLOOKUP($V664,CATALOGOS!$J$2:$K$18,2,FALSE)),""-"",TO_TEXT($A664))"),"P03CV-0663")</f>
        <v>P03CV-0663</v>
      </c>
      <c r="I664" s="6"/>
      <c r="J664" s="6" t="s">
        <v>4591</v>
      </c>
      <c r="K664" s="6" t="s">
        <v>4592</v>
      </c>
      <c r="L664" s="6" t="s">
        <v>4593</v>
      </c>
      <c r="M664" s="6" t="s">
        <v>4594</v>
      </c>
      <c r="N664" s="17"/>
      <c r="O664" s="17"/>
      <c r="P664" s="17" t="str">
        <f t="shared" si="7"/>
        <v>OK</v>
      </c>
      <c r="Q664" s="17" t="s">
        <v>35</v>
      </c>
      <c r="R664" s="6" t="s">
        <v>35</v>
      </c>
      <c r="S664" s="17" t="s">
        <v>36</v>
      </c>
      <c r="T664" s="17" t="s">
        <v>4595</v>
      </c>
      <c r="U664" s="18" t="s">
        <v>38</v>
      </c>
      <c r="V664" s="19" t="s">
        <v>875</v>
      </c>
      <c r="W664" s="20" t="s">
        <v>1004</v>
      </c>
      <c r="X664" s="39" t="s">
        <v>4574</v>
      </c>
      <c r="Y664" s="20"/>
      <c r="Z664" s="36"/>
      <c r="AA664" s="36"/>
      <c r="AB664" s="23"/>
      <c r="AC664" s="33"/>
    </row>
    <row r="665" spans="1:29" ht="15.75" customHeight="1">
      <c r="A665" s="10" t="s">
        <v>4596</v>
      </c>
      <c r="B665" s="10" t="s">
        <v>27</v>
      </c>
      <c r="C665" s="52" t="s">
        <v>868</v>
      </c>
      <c r="D665" s="12"/>
      <c r="E665" s="13" t="s">
        <v>43</v>
      </c>
      <c r="F665" s="6" t="s">
        <v>4597</v>
      </c>
      <c r="G665" s="14" t="str">
        <f ca="1">IFERROR(__xludf.DUMMYFUNCTION("CONCATENATE(B665,(VLOOKUP(C665,CATALOGOS!$F$2:$H$6,3,FALSE)),(VLOOKUP(V665,CATALOGOS!$J$2:$K$18,2,FALSE)),""-"",TO_TEXT(A665))"),"P03CV-0664")</f>
        <v>P03CV-0664</v>
      </c>
      <c r="H665" s="15" t="str">
        <f ca="1">IFERROR(__xludf.DUMMYFUNCTION("CONCATENATE($B665,(VLOOKUP($C665,CATALOGOS!$F$2:$H$6,3,FALSE)),(VLOOKUP($V665,CATALOGOS!$J$2:$K$18,2,FALSE)),""-"",TO_TEXT($A665))"),"P03CV-0664")</f>
        <v>P03CV-0664</v>
      </c>
      <c r="I665" s="6"/>
      <c r="J665" s="6" t="s">
        <v>4598</v>
      </c>
      <c r="K665" s="6" t="s">
        <v>4599</v>
      </c>
      <c r="L665" s="6" t="s">
        <v>4600</v>
      </c>
      <c r="M665" s="6" t="s">
        <v>4601</v>
      </c>
      <c r="N665" s="17"/>
      <c r="O665" s="17"/>
      <c r="P665" s="17" t="str">
        <f t="shared" si="7"/>
        <v>OK</v>
      </c>
      <c r="Q665" s="17" t="s">
        <v>4602</v>
      </c>
      <c r="R665" s="6">
        <v>10187</v>
      </c>
      <c r="S665" s="17" t="s">
        <v>36</v>
      </c>
      <c r="T665" s="10" t="s">
        <v>4603</v>
      </c>
      <c r="U665" s="18" t="s">
        <v>38</v>
      </c>
      <c r="V665" s="19" t="s">
        <v>875</v>
      </c>
      <c r="W665" s="20" t="s">
        <v>4573</v>
      </c>
      <c r="X665" s="39" t="s">
        <v>4574</v>
      </c>
      <c r="Y665" s="20"/>
      <c r="Z665" s="36"/>
      <c r="AA665" s="36"/>
      <c r="AB665" s="23"/>
      <c r="AC665" s="33"/>
    </row>
    <row r="666" spans="1:29" ht="15.75" customHeight="1">
      <c r="A666" s="10" t="s">
        <v>4604</v>
      </c>
      <c r="B666" s="10" t="s">
        <v>27</v>
      </c>
      <c r="C666" s="52" t="s">
        <v>868</v>
      </c>
      <c r="D666" s="12"/>
      <c r="E666" s="13" t="s">
        <v>378</v>
      </c>
      <c r="F666" s="6" t="s">
        <v>4605</v>
      </c>
      <c r="G666" s="14" t="str">
        <f ca="1">IFERROR(__xludf.DUMMYFUNCTION("CONCATENATE(B666,(VLOOKUP(C666,CATALOGOS!$F$2:$H$6,3,FALSE)),(VLOOKUP(V666,CATALOGOS!$J$2:$K$18,2,FALSE)),""-"",TO_TEXT(A666))"),"P03CV-0665")</f>
        <v>P03CV-0665</v>
      </c>
      <c r="H666" s="15" t="str">
        <f ca="1">IFERROR(__xludf.DUMMYFUNCTION("CONCATENATE($B666,(VLOOKUP($C666,CATALOGOS!$F$2:$H$6,3,FALSE)),(VLOOKUP($V666,CATALOGOS!$J$2:$K$18,2,FALSE)),""-"",TO_TEXT($A666))"),"P03CV-0665")</f>
        <v>P03CV-0665</v>
      </c>
      <c r="I666" s="6"/>
      <c r="J666" s="6" t="s">
        <v>4606</v>
      </c>
      <c r="K666" s="6" t="s">
        <v>4607</v>
      </c>
      <c r="L666" s="6" t="s">
        <v>4608</v>
      </c>
      <c r="M666" s="6" t="s">
        <v>4609</v>
      </c>
      <c r="N666" s="17"/>
      <c r="O666" s="17"/>
      <c r="P666" s="17" t="str">
        <f t="shared" si="7"/>
        <v>OK</v>
      </c>
      <c r="Q666" s="17" t="s">
        <v>35</v>
      </c>
      <c r="R666" s="6" t="s">
        <v>35</v>
      </c>
      <c r="S666" s="17" t="s">
        <v>36</v>
      </c>
      <c r="T666" s="17" t="s">
        <v>4610</v>
      </c>
      <c r="U666" s="18" t="s">
        <v>38</v>
      </c>
      <c r="V666" s="19" t="s">
        <v>875</v>
      </c>
      <c r="W666" s="20" t="s">
        <v>1004</v>
      </c>
      <c r="X666" s="39" t="s">
        <v>1004</v>
      </c>
      <c r="Y666" s="20"/>
      <c r="Z666" s="36"/>
      <c r="AA666" s="36"/>
      <c r="AB666" s="23"/>
      <c r="AC666" s="33"/>
    </row>
    <row r="667" spans="1:29" ht="15.75" customHeight="1">
      <c r="A667" s="10" t="s">
        <v>4611</v>
      </c>
      <c r="B667" s="10" t="s">
        <v>27</v>
      </c>
      <c r="C667" s="52" t="s">
        <v>868</v>
      </c>
      <c r="D667" s="12"/>
      <c r="E667" s="13" t="s">
        <v>378</v>
      </c>
      <c r="F667" s="6" t="s">
        <v>878</v>
      </c>
      <c r="G667" s="14" t="str">
        <f ca="1">IFERROR(__xludf.DUMMYFUNCTION("CONCATENATE(B667,(VLOOKUP(C667,CATALOGOS!$F$2:$H$6,3,FALSE)),(VLOOKUP(V667,CATALOGOS!$J$2:$K$18,2,FALSE)),""-"",TO_TEXT(A667))"),"P03CV-0666")</f>
        <v>P03CV-0666</v>
      </c>
      <c r="H667" s="15" t="str">
        <f ca="1">IFERROR(__xludf.DUMMYFUNCTION("CONCATENATE($B667,(VLOOKUP($C667,CATALOGOS!$F$2:$H$6,3,FALSE)),(VLOOKUP($V667,CATALOGOS!$J$2:$K$18,2,FALSE)),""-"",TO_TEXT($A667))"),"P03CV-0666")</f>
        <v>P03CV-0666</v>
      </c>
      <c r="I667" s="6"/>
      <c r="J667" s="6" t="s">
        <v>4612</v>
      </c>
      <c r="K667" s="6" t="s">
        <v>4613</v>
      </c>
      <c r="L667" s="6" t="s">
        <v>4614</v>
      </c>
      <c r="M667" s="6" t="s">
        <v>4615</v>
      </c>
      <c r="N667" s="17"/>
      <c r="O667" s="17"/>
      <c r="P667" s="17" t="str">
        <f t="shared" si="7"/>
        <v>OK</v>
      </c>
      <c r="Q667" s="17" t="s">
        <v>35</v>
      </c>
      <c r="R667" s="6" t="s">
        <v>35</v>
      </c>
      <c r="S667" s="17" t="s">
        <v>36</v>
      </c>
      <c r="T667" s="17" t="s">
        <v>4616</v>
      </c>
      <c r="U667" s="18" t="s">
        <v>38</v>
      </c>
      <c r="V667" s="19" t="s">
        <v>875</v>
      </c>
      <c r="W667" s="20" t="s">
        <v>4573</v>
      </c>
      <c r="X667" s="39" t="s">
        <v>4574</v>
      </c>
      <c r="Y667" s="20"/>
      <c r="Z667" s="36"/>
      <c r="AA667" s="36"/>
      <c r="AB667" s="23"/>
      <c r="AC667" s="33"/>
    </row>
    <row r="668" spans="1:29" ht="15.75" customHeight="1">
      <c r="A668" s="10" t="s">
        <v>4617</v>
      </c>
      <c r="B668" s="10" t="s">
        <v>27</v>
      </c>
      <c r="C668" s="52" t="s">
        <v>868</v>
      </c>
      <c r="D668" s="12"/>
      <c r="E668" s="13" t="s">
        <v>378</v>
      </c>
      <c r="F668" s="6" t="s">
        <v>878</v>
      </c>
      <c r="G668" s="14" t="str">
        <f ca="1">IFERROR(__xludf.DUMMYFUNCTION("CONCATENATE(B668,(VLOOKUP(C668,CATALOGOS!$F$2:$H$6,3,FALSE)),(VLOOKUP(V668,CATALOGOS!$J$2:$K$18,2,FALSE)),""-"",TO_TEXT(A668))"),"P03CV-0667")</f>
        <v>P03CV-0667</v>
      </c>
      <c r="H668" s="15" t="str">
        <f ca="1">IFERROR(__xludf.DUMMYFUNCTION("CONCATENATE($B668,(VLOOKUP($C668,CATALOGOS!$F$2:$H$6,3,FALSE)),(VLOOKUP($V668,CATALOGOS!$J$2:$K$18,2,FALSE)),""-"",TO_TEXT($A668))"),"P03CV-0667")</f>
        <v>P03CV-0667</v>
      </c>
      <c r="I668" s="6"/>
      <c r="J668" s="6" t="s">
        <v>4618</v>
      </c>
      <c r="K668" s="6" t="s">
        <v>4619</v>
      </c>
      <c r="L668" s="6" t="s">
        <v>4620</v>
      </c>
      <c r="M668" s="6" t="s">
        <v>4621</v>
      </c>
      <c r="N668" s="17"/>
      <c r="O668" s="17"/>
      <c r="P668" s="17" t="str">
        <f t="shared" si="7"/>
        <v>OK</v>
      </c>
      <c r="Q668" s="17" t="s">
        <v>35</v>
      </c>
      <c r="R668" s="6" t="s">
        <v>35</v>
      </c>
      <c r="S668" s="17" t="s">
        <v>36</v>
      </c>
      <c r="T668" s="35" t="s">
        <v>4622</v>
      </c>
      <c r="U668" s="18" t="s">
        <v>38</v>
      </c>
      <c r="V668" s="19" t="s">
        <v>875</v>
      </c>
      <c r="W668" s="20" t="s">
        <v>4573</v>
      </c>
      <c r="X668" s="39" t="s">
        <v>4574</v>
      </c>
      <c r="Y668" s="20"/>
      <c r="Z668" s="36"/>
      <c r="AA668" s="36"/>
      <c r="AB668" s="23"/>
      <c r="AC668" s="33"/>
    </row>
    <row r="669" spans="1:29" ht="15.75" customHeight="1">
      <c r="A669" s="10" t="s">
        <v>4623</v>
      </c>
      <c r="B669" s="10" t="s">
        <v>27</v>
      </c>
      <c r="C669" s="52" t="s">
        <v>868</v>
      </c>
      <c r="D669" s="12"/>
      <c r="E669" s="13" t="s">
        <v>378</v>
      </c>
      <c r="F669" s="6" t="s">
        <v>878</v>
      </c>
      <c r="G669" s="14" t="str">
        <f ca="1">IFERROR(__xludf.DUMMYFUNCTION("CONCATENATE(B669,(VLOOKUP(C669,CATALOGOS!$F$2:$H$6,3,FALSE)),(VLOOKUP(V669,CATALOGOS!$J$2:$K$18,2,FALSE)),""-"",TO_TEXT(A669))"),"P03CV-0668")</f>
        <v>P03CV-0668</v>
      </c>
      <c r="H669" s="15" t="str">
        <f ca="1">IFERROR(__xludf.DUMMYFUNCTION("CONCATENATE($B669,(VLOOKUP($C669,CATALOGOS!$F$2:$H$6,3,FALSE)),(VLOOKUP($V669,CATALOGOS!$J$2:$K$18,2,FALSE)),""-"",TO_TEXT($A669))"),"P03CV-0668")</f>
        <v>P03CV-0668</v>
      </c>
      <c r="I669" s="6"/>
      <c r="J669" s="6" t="s">
        <v>4624</v>
      </c>
      <c r="K669" s="6" t="s">
        <v>4625</v>
      </c>
      <c r="L669" s="6" t="s">
        <v>4626</v>
      </c>
      <c r="M669" s="6" t="s">
        <v>4627</v>
      </c>
      <c r="N669" s="17"/>
      <c r="O669" s="17"/>
      <c r="P669" s="17" t="str">
        <f t="shared" si="7"/>
        <v>OK</v>
      </c>
      <c r="Q669" s="17" t="s">
        <v>35</v>
      </c>
      <c r="R669" s="6" t="s">
        <v>35</v>
      </c>
      <c r="S669" s="17" t="s">
        <v>36</v>
      </c>
      <c r="T669" s="35" t="s">
        <v>4628</v>
      </c>
      <c r="U669" s="18" t="s">
        <v>38</v>
      </c>
      <c r="V669" s="19" t="s">
        <v>875</v>
      </c>
      <c r="W669" s="20" t="s">
        <v>4573</v>
      </c>
      <c r="X669" s="39" t="s">
        <v>4629</v>
      </c>
      <c r="Y669" s="22"/>
      <c r="Z669" s="36"/>
      <c r="AA669" s="36"/>
      <c r="AB669" s="23"/>
      <c r="AC669" s="33"/>
    </row>
    <row r="670" spans="1:29" ht="15.75" customHeight="1">
      <c r="A670" s="10" t="s">
        <v>4630</v>
      </c>
      <c r="B670" s="10" t="s">
        <v>27</v>
      </c>
      <c r="C670" s="52" t="s">
        <v>868</v>
      </c>
      <c r="D670" s="12"/>
      <c r="E670" s="13" t="s">
        <v>62</v>
      </c>
      <c r="F670" s="6" t="s">
        <v>4631</v>
      </c>
      <c r="G670" s="14" t="str">
        <f ca="1">IFERROR(__xludf.DUMMYFUNCTION("CONCATENATE(B670,(VLOOKUP(C670,CATALOGOS!$F$2:$H$6,3,FALSE)),(VLOOKUP(V670,CATALOGOS!$J$2:$K$18,2,FALSE)),""-"",TO_TEXT(A670))"),"P03CV-0669")</f>
        <v>P03CV-0669</v>
      </c>
      <c r="H670" s="15" t="str">
        <f ca="1">IFERROR(__xludf.DUMMYFUNCTION("CONCATENATE($B670,(VLOOKUP($C670,CATALOGOS!$F$2:$H$6,3,FALSE)),(VLOOKUP($V670,CATALOGOS!$J$2:$K$18,2,FALSE)),""-"",TO_TEXT($A670))"),"P03CV-0669")</f>
        <v>P03CV-0669</v>
      </c>
      <c r="I670" s="6"/>
      <c r="J670" s="6" t="s">
        <v>4632</v>
      </c>
      <c r="K670" s="6" t="s">
        <v>4633</v>
      </c>
      <c r="L670" s="6" t="s">
        <v>4634</v>
      </c>
      <c r="M670" s="6" t="s">
        <v>4635</v>
      </c>
      <c r="N670" s="17"/>
      <c r="O670" s="17"/>
      <c r="P670" s="17" t="str">
        <f t="shared" si="7"/>
        <v>OK</v>
      </c>
      <c r="Q670" s="17" t="s">
        <v>35</v>
      </c>
      <c r="R670" s="6" t="s">
        <v>35</v>
      </c>
      <c r="S670" s="17" t="s">
        <v>36</v>
      </c>
      <c r="T670" s="35" t="s">
        <v>4636</v>
      </c>
      <c r="U670" s="18" t="s">
        <v>38</v>
      </c>
      <c r="V670" s="19" t="s">
        <v>875</v>
      </c>
      <c r="W670" s="20" t="s">
        <v>4573</v>
      </c>
      <c r="X670" s="39" t="s">
        <v>4574</v>
      </c>
      <c r="Y670" s="20"/>
      <c r="Z670" s="36"/>
      <c r="AA670" s="36"/>
      <c r="AB670" s="23"/>
      <c r="AC670" s="33"/>
    </row>
    <row r="671" spans="1:29" ht="15.75" customHeight="1">
      <c r="A671" s="10" t="s">
        <v>4637</v>
      </c>
      <c r="B671" s="10" t="s">
        <v>27</v>
      </c>
      <c r="C671" s="52" t="s">
        <v>868</v>
      </c>
      <c r="D671" s="12"/>
      <c r="E671" s="13" t="s">
        <v>116</v>
      </c>
      <c r="F671" s="6" t="s">
        <v>4638</v>
      </c>
      <c r="G671" s="14" t="str">
        <f ca="1">IFERROR(__xludf.DUMMYFUNCTION("CONCATENATE(B671,(VLOOKUP(C671,CATALOGOS!$F$2:$H$6,3,FALSE)),(VLOOKUP(V671,CATALOGOS!$J$2:$K$18,2,FALSE)),""-"",TO_TEXT(A671))"),"P03CV-0670")</f>
        <v>P03CV-0670</v>
      </c>
      <c r="H671" s="15" t="str">
        <f ca="1">IFERROR(__xludf.DUMMYFUNCTION("CONCATENATE($B671,(VLOOKUP($C671,CATALOGOS!$F$2:$H$6,3,FALSE)),(VLOOKUP($V671,CATALOGOS!$J$2:$K$18,2,FALSE)),""-"",TO_TEXT($A671))"),"P03CV-0670")</f>
        <v>P03CV-0670</v>
      </c>
      <c r="I671" s="6"/>
      <c r="J671" s="6" t="s">
        <v>4639</v>
      </c>
      <c r="K671" s="6" t="s">
        <v>4640</v>
      </c>
      <c r="L671" s="6" t="s">
        <v>4641</v>
      </c>
      <c r="M671" s="6" t="s">
        <v>4642</v>
      </c>
      <c r="N671" s="17"/>
      <c r="O671" s="17"/>
      <c r="P671" s="17" t="str">
        <f t="shared" si="7"/>
        <v>OK</v>
      </c>
      <c r="Q671" s="17" t="s">
        <v>35</v>
      </c>
      <c r="R671" s="6" t="s">
        <v>35</v>
      </c>
      <c r="S671" s="17" t="s">
        <v>36</v>
      </c>
      <c r="T671" s="35" t="s">
        <v>4643</v>
      </c>
      <c r="U671" s="18" t="s">
        <v>38</v>
      </c>
      <c r="V671" s="19" t="s">
        <v>875</v>
      </c>
      <c r="W671" s="20" t="s">
        <v>4573</v>
      </c>
      <c r="X671" s="39" t="s">
        <v>4573</v>
      </c>
      <c r="Y671" s="20"/>
      <c r="Z671" s="36"/>
      <c r="AA671" s="36"/>
      <c r="AB671" s="23"/>
      <c r="AC671" s="33"/>
    </row>
    <row r="672" spans="1:29" ht="15.75" customHeight="1">
      <c r="A672" s="10" t="s">
        <v>4644</v>
      </c>
      <c r="B672" s="10" t="s">
        <v>27</v>
      </c>
      <c r="C672" s="61" t="s">
        <v>28</v>
      </c>
      <c r="D672" s="12"/>
      <c r="E672" s="13" t="s">
        <v>93</v>
      </c>
      <c r="F672" s="6" t="s">
        <v>4645</v>
      </c>
      <c r="G672" s="64" t="str">
        <f ca="1">IFERROR(__xludf.DUMMYFUNCTION("CONCATENATE(B672,(VLOOKUP(C672,CATALOGOS!$F$2:$H$6,3,FALSE)),(VLOOKUP(V672,CATALOGOS!$J$2:$K$18,2,FALSE)),""-"",TO_TEXT(A672))"),"P05DA-0671")</f>
        <v>P05DA-0671</v>
      </c>
      <c r="H672" s="15" t="str">
        <f ca="1">IFERROR(__xludf.DUMMYFUNCTION("CONCATENATE($B672,(VLOOKUP($C672,CATALOGOS!$F$2:$H$6,3,FALSE)),(VLOOKUP($V672,CATALOGOS!$J$2:$K$18,2,FALSE)),""-"",TO_TEXT($A672))"),"P05DA-0671")</f>
        <v>P05DA-0671</v>
      </c>
      <c r="I672" s="6"/>
      <c r="J672" s="6" t="s">
        <v>4646</v>
      </c>
      <c r="K672" s="6" t="s">
        <v>4647</v>
      </c>
      <c r="L672" s="6" t="s">
        <v>4648</v>
      </c>
      <c r="M672" s="6" t="s">
        <v>4649</v>
      </c>
      <c r="N672" s="17"/>
      <c r="O672" s="17"/>
      <c r="P672" s="17" t="str">
        <f t="shared" si="7"/>
        <v>OK</v>
      </c>
      <c r="Q672" s="17" t="s">
        <v>35</v>
      </c>
      <c r="R672" s="6" t="s">
        <v>35</v>
      </c>
      <c r="S672" s="17" t="s">
        <v>36</v>
      </c>
      <c r="T672" s="17" t="s">
        <v>4650</v>
      </c>
      <c r="U672" s="18" t="s">
        <v>38</v>
      </c>
      <c r="V672" s="19" t="s">
        <v>28</v>
      </c>
      <c r="W672" s="20" t="s">
        <v>848</v>
      </c>
      <c r="X672" s="39" t="s">
        <v>4574</v>
      </c>
      <c r="Y672" s="20"/>
      <c r="Z672" s="36"/>
      <c r="AA672" s="36"/>
      <c r="AB672" s="23"/>
      <c r="AC672" s="33"/>
    </row>
    <row r="673" spans="1:30" ht="15.75" customHeight="1">
      <c r="A673" s="10" t="s">
        <v>4651</v>
      </c>
      <c r="B673" s="10" t="s">
        <v>27</v>
      </c>
      <c r="C673" s="52" t="s">
        <v>868</v>
      </c>
      <c r="D673" s="12"/>
      <c r="E673" s="13" t="s">
        <v>151</v>
      </c>
      <c r="F673" s="6" t="s">
        <v>714</v>
      </c>
      <c r="G673" s="14" t="str">
        <f ca="1">IFERROR(__xludf.DUMMYFUNCTION("CONCATENATE(B673,(VLOOKUP(C673,CATALOGOS!$F$2:$H$6,3,FALSE)),(VLOOKUP(V673,CATALOGOS!$J$2:$K$18,2,FALSE)),""-"",TO_TEXT(A673))"),"P03CV-0672")</f>
        <v>P03CV-0672</v>
      </c>
      <c r="H673" s="15" t="str">
        <f ca="1">IFERROR(__xludf.DUMMYFUNCTION("CONCATENATE($B673,(VLOOKUP($C673,CATALOGOS!$F$2:$H$6,3,FALSE)),(VLOOKUP($V673,CATALOGOS!$J$2:$K$18,2,FALSE)),""-"",TO_TEXT($A673))"),"P03CV-0672")</f>
        <v>P03CV-0672</v>
      </c>
      <c r="I673" s="6"/>
      <c r="J673" s="6" t="s">
        <v>4652</v>
      </c>
      <c r="K673" s="6" t="s">
        <v>4653</v>
      </c>
      <c r="L673" s="6" t="s">
        <v>4654</v>
      </c>
      <c r="M673" s="6" t="s">
        <v>4655</v>
      </c>
      <c r="N673" s="17"/>
      <c r="O673" s="17"/>
      <c r="P673" s="17" t="str">
        <f t="shared" si="7"/>
        <v>OK</v>
      </c>
      <c r="Q673" s="17" t="s">
        <v>157</v>
      </c>
      <c r="R673" s="6" t="s">
        <v>158</v>
      </c>
      <c r="S673" s="17" t="s">
        <v>4656</v>
      </c>
      <c r="T673" s="10" t="s">
        <v>4657</v>
      </c>
      <c r="U673" s="18" t="s">
        <v>38</v>
      </c>
      <c r="V673" s="19" t="s">
        <v>875</v>
      </c>
      <c r="W673" s="20" t="s">
        <v>4573</v>
      </c>
      <c r="X673" s="39" t="s">
        <v>4574</v>
      </c>
      <c r="Y673" s="20"/>
      <c r="Z673" s="36"/>
      <c r="AA673" s="36"/>
      <c r="AB673" s="23"/>
      <c r="AC673" s="33"/>
    </row>
    <row r="674" spans="1:30" ht="15.75" customHeight="1">
      <c r="A674" s="10" t="s">
        <v>4658</v>
      </c>
      <c r="B674" s="10" t="s">
        <v>27</v>
      </c>
      <c r="C674" s="52" t="s">
        <v>868</v>
      </c>
      <c r="D674" s="12"/>
      <c r="E674" s="13" t="s">
        <v>199</v>
      </c>
      <c r="F674" s="6" t="s">
        <v>199</v>
      </c>
      <c r="G674" s="14" t="str">
        <f ca="1">IFERROR(__xludf.DUMMYFUNCTION("CONCATENATE(B674,(VLOOKUP(C674,CATALOGOS!$F$2:$H$6,3,FALSE)),(VLOOKUP(V674,CATALOGOS!$J$2:$K$18,2,FALSE)),""-"",TO_TEXT(A674))"),"P03CV-0673")</f>
        <v>P03CV-0673</v>
      </c>
      <c r="H674" s="15" t="str">
        <f ca="1">IFERROR(__xludf.DUMMYFUNCTION("CONCATENATE($B674,(VLOOKUP($C674,CATALOGOS!$F$2:$H$6,3,FALSE)),(VLOOKUP($V674,CATALOGOS!$J$2:$K$18,2,FALSE)),""-"",TO_TEXT($A674))"),"P03CV-0673")</f>
        <v>P03CV-0673</v>
      </c>
      <c r="I674" s="6"/>
      <c r="J674" s="6" t="s">
        <v>4659</v>
      </c>
      <c r="K674" s="6" t="s">
        <v>4660</v>
      </c>
      <c r="L674" s="6" t="s">
        <v>4661</v>
      </c>
      <c r="M674" s="6" t="s">
        <v>4662</v>
      </c>
      <c r="N674" s="17"/>
      <c r="O674" s="17"/>
      <c r="P674" s="17" t="str">
        <f t="shared" si="7"/>
        <v>OK</v>
      </c>
      <c r="Q674" s="17" t="s">
        <v>157</v>
      </c>
      <c r="R674" s="6">
        <v>2378</v>
      </c>
      <c r="S674" s="17" t="s">
        <v>4663</v>
      </c>
      <c r="T674" s="10" t="s">
        <v>4664</v>
      </c>
      <c r="U674" s="18" t="s">
        <v>38</v>
      </c>
      <c r="V674" s="19" t="s">
        <v>875</v>
      </c>
      <c r="W674" s="20" t="s">
        <v>4573</v>
      </c>
      <c r="X674" s="39" t="s">
        <v>4574</v>
      </c>
      <c r="Y674" s="20"/>
      <c r="Z674" s="6"/>
      <c r="AA674" s="6"/>
      <c r="AB674" s="23"/>
      <c r="AC674" s="33"/>
    </row>
    <row r="675" spans="1:30" ht="15.75" customHeight="1">
      <c r="A675" s="10" t="s">
        <v>4665</v>
      </c>
      <c r="B675" s="10" t="s">
        <v>27</v>
      </c>
      <c r="C675" s="52" t="s">
        <v>868</v>
      </c>
      <c r="D675" s="12"/>
      <c r="E675" s="13" t="s">
        <v>248</v>
      </c>
      <c r="F675" s="6" t="s">
        <v>248</v>
      </c>
      <c r="G675" s="14" t="str">
        <f ca="1">IFERROR(__xludf.DUMMYFUNCTION("CONCATENATE(B675,(VLOOKUP(C675,CATALOGOS!$F$2:$H$6,3,FALSE)),(VLOOKUP(V675,CATALOGOS!$J$2:$K$18,2,FALSE)),""-"",TO_TEXT(A675))"),"P03CV-0674")</f>
        <v>P03CV-0674</v>
      </c>
      <c r="H675" s="15" t="str">
        <f ca="1">IFERROR(__xludf.DUMMYFUNCTION("CONCATENATE($B675,(VLOOKUP($C675,CATALOGOS!$F$2:$H$6,3,FALSE)),(VLOOKUP($V675,CATALOGOS!$J$2:$K$18,2,FALSE)),""-"",TO_TEXT($A675))"),"P03CV-0674")</f>
        <v>P03CV-0674</v>
      </c>
      <c r="I675" s="6"/>
      <c r="J675" s="6" t="s">
        <v>4666</v>
      </c>
      <c r="K675" s="6" t="s">
        <v>4667</v>
      </c>
      <c r="L675" s="37"/>
      <c r="M675" s="6" t="s">
        <v>141</v>
      </c>
      <c r="N675" s="17"/>
      <c r="O675" s="17"/>
      <c r="P675" s="17" t="str">
        <f t="shared" si="7"/>
        <v>REPETIDO</v>
      </c>
      <c r="Q675" s="17" t="s">
        <v>303</v>
      </c>
      <c r="R675" s="6" t="s">
        <v>304</v>
      </c>
      <c r="S675" s="6" t="s">
        <v>4668</v>
      </c>
      <c r="T675" s="10" t="s">
        <v>4669</v>
      </c>
      <c r="U675" s="18" t="s">
        <v>38</v>
      </c>
      <c r="V675" s="19" t="s">
        <v>875</v>
      </c>
      <c r="W675" s="20" t="s">
        <v>4573</v>
      </c>
      <c r="X675" s="39" t="s">
        <v>4574</v>
      </c>
      <c r="Y675" s="20"/>
      <c r="Z675" s="6"/>
      <c r="AA675" s="6"/>
      <c r="AB675" s="23"/>
      <c r="AC675" s="24"/>
    </row>
    <row r="676" spans="1:30" ht="15.75" customHeight="1">
      <c r="A676" s="10" t="s">
        <v>4670</v>
      </c>
      <c r="B676" s="10" t="s">
        <v>27</v>
      </c>
      <c r="C676" s="61" t="s">
        <v>28</v>
      </c>
      <c r="D676" s="12"/>
      <c r="E676" s="13" t="s">
        <v>151</v>
      </c>
      <c r="F676" s="6" t="s">
        <v>714</v>
      </c>
      <c r="G676" s="47" t="str">
        <f ca="1">IFERROR(__xludf.DUMMYFUNCTION("CONCATENATE(B676,(VLOOKUP(C676,CATALOGOS!$F$2:$H$6,3,FALSE)),(VLOOKUP(V676,CATALOGOS!$J$2:$K$18,2,FALSE)),""-"",TO_TEXT(A676))"),"P05RM-0675")</f>
        <v>P05RM-0675</v>
      </c>
      <c r="H676" s="15" t="str">
        <f ca="1">IFERROR(__xludf.DUMMYFUNCTION("CONCATENATE($B676,(VLOOKUP($C676,CATALOGOS!$F$2:$H$6,3,FALSE)),(VLOOKUP($V676,CATALOGOS!$J$2:$K$18,2,FALSE)),""-"",TO_TEXT($A676))"),"P05RM-0675")</f>
        <v>P05RM-0675</v>
      </c>
      <c r="I676" s="6"/>
      <c r="J676" s="6" t="s">
        <v>4671</v>
      </c>
      <c r="K676" s="6" t="s">
        <v>4672</v>
      </c>
      <c r="L676" s="6" t="s">
        <v>4673</v>
      </c>
      <c r="M676" s="6" t="s">
        <v>4674</v>
      </c>
      <c r="N676" s="17"/>
      <c r="O676" s="17"/>
      <c r="P676" s="17" t="str">
        <f t="shared" si="7"/>
        <v>OK</v>
      </c>
      <c r="Q676" s="17" t="s">
        <v>719</v>
      </c>
      <c r="R676" s="6" t="s">
        <v>720</v>
      </c>
      <c r="S676" s="17" t="s">
        <v>4675</v>
      </c>
      <c r="T676" s="17" t="s">
        <v>4676</v>
      </c>
      <c r="U676" s="18" t="s">
        <v>4677</v>
      </c>
      <c r="V676" s="19" t="s">
        <v>147</v>
      </c>
      <c r="W676" s="20" t="s">
        <v>385</v>
      </c>
      <c r="X676" s="39" t="s">
        <v>4574</v>
      </c>
      <c r="Y676" s="40" t="s">
        <v>261</v>
      </c>
      <c r="Z676" s="6"/>
      <c r="AA676" s="6"/>
      <c r="AB676" s="23"/>
      <c r="AC676" s="33"/>
    </row>
    <row r="677" spans="1:30" ht="15.75" customHeight="1">
      <c r="A677" s="10" t="s">
        <v>4678</v>
      </c>
      <c r="B677" s="10" t="s">
        <v>27</v>
      </c>
      <c r="C677" s="52" t="s">
        <v>868</v>
      </c>
      <c r="D677" s="12"/>
      <c r="E677" s="13" t="s">
        <v>184</v>
      </c>
      <c r="F677" s="6" t="s">
        <v>4679</v>
      </c>
      <c r="G677" s="14" t="str">
        <f ca="1">IFERROR(__xludf.DUMMYFUNCTION("CONCATENATE(B677,(VLOOKUP(C677,CATALOGOS!$F$2:$H$6,3,FALSE)),(VLOOKUP(V677,CATALOGOS!$J$2:$K$18,2,FALSE)),""-"",TO_TEXT(A677))"),"P03CV-0676")</f>
        <v>P03CV-0676</v>
      </c>
      <c r="H677" s="15" t="str">
        <f ca="1">IFERROR(__xludf.DUMMYFUNCTION("CONCATENATE($B677,(VLOOKUP($C677,CATALOGOS!$F$2:$H$6,3,FALSE)),(VLOOKUP($V677,CATALOGOS!$J$2:$K$18,2,FALSE)),""-"",TO_TEXT($A677))"),"P03CV-0676")</f>
        <v>P03CV-0676</v>
      </c>
      <c r="I677" s="6"/>
      <c r="J677" s="6" t="s">
        <v>4680</v>
      </c>
      <c r="K677" s="6" t="s">
        <v>4681</v>
      </c>
      <c r="L677" s="6" t="s">
        <v>4682</v>
      </c>
      <c r="M677" s="6" t="s">
        <v>4683</v>
      </c>
      <c r="N677" s="17"/>
      <c r="O677" s="17"/>
      <c r="P677" s="17" t="str">
        <f t="shared" si="7"/>
        <v>OK</v>
      </c>
      <c r="Q677" s="35" t="s">
        <v>4684</v>
      </c>
      <c r="R677" s="6" t="s">
        <v>35</v>
      </c>
      <c r="S677" s="17" t="s">
        <v>36</v>
      </c>
      <c r="T677" s="35" t="s">
        <v>4685</v>
      </c>
      <c r="U677" s="18" t="s">
        <v>517</v>
      </c>
      <c r="V677" s="19" t="s">
        <v>875</v>
      </c>
      <c r="W677" s="20" t="s">
        <v>4573</v>
      </c>
      <c r="X677" s="39" t="s">
        <v>4574</v>
      </c>
      <c r="Y677" s="20"/>
      <c r="Z677" s="36"/>
      <c r="AA677" s="36"/>
      <c r="AB677" s="23"/>
      <c r="AC677" s="33"/>
    </row>
    <row r="678" spans="1:30" ht="15.75" customHeight="1">
      <c r="A678" s="10" t="s">
        <v>4686</v>
      </c>
      <c r="B678" s="10" t="s">
        <v>27</v>
      </c>
      <c r="C678" s="52" t="s">
        <v>868</v>
      </c>
      <c r="D678" s="12"/>
      <c r="E678" s="13" t="s">
        <v>162</v>
      </c>
      <c r="F678" s="6" t="s">
        <v>285</v>
      </c>
      <c r="G678" s="14" t="str">
        <f ca="1">IFERROR(__xludf.DUMMYFUNCTION("CONCATENATE(B678,(VLOOKUP(C678,CATALOGOS!$F$2:$H$6,3,FALSE)),(VLOOKUP(V678,CATALOGOS!$J$2:$K$18,2,FALSE)),""-"",TO_TEXT(A678))"),"P03CV-0677")</f>
        <v>P03CV-0677</v>
      </c>
      <c r="H678" s="15" t="str">
        <f ca="1">IFERROR(__xludf.DUMMYFUNCTION("CONCATENATE($B678,(VLOOKUP($C678,CATALOGOS!$F$2:$H$6,3,FALSE)),(VLOOKUP($V678,CATALOGOS!$J$2:$K$18,2,FALSE)),""-"",TO_TEXT($A678))"),"P03CV-0677")</f>
        <v>P03CV-0677</v>
      </c>
      <c r="I678" s="6"/>
      <c r="J678" s="6" t="s">
        <v>4687</v>
      </c>
      <c r="K678" s="6" t="s">
        <v>4688</v>
      </c>
      <c r="L678" s="6" t="s">
        <v>4689</v>
      </c>
      <c r="M678" s="6" t="s">
        <v>4690</v>
      </c>
      <c r="N678" s="17"/>
      <c r="O678" s="17"/>
      <c r="P678" s="17" t="str">
        <f t="shared" si="7"/>
        <v>OK</v>
      </c>
      <c r="Q678" s="17" t="s">
        <v>168</v>
      </c>
      <c r="R678" s="6" t="s">
        <v>169</v>
      </c>
      <c r="S678" s="17" t="s">
        <v>4691</v>
      </c>
      <c r="T678" s="35" t="s">
        <v>4692</v>
      </c>
      <c r="U678" s="18" t="s">
        <v>38</v>
      </c>
      <c r="V678" s="19" t="s">
        <v>875</v>
      </c>
      <c r="W678" s="20" t="s">
        <v>4573</v>
      </c>
      <c r="X678" s="39" t="s">
        <v>4574</v>
      </c>
      <c r="Y678" s="20"/>
      <c r="Z678" s="36"/>
      <c r="AA678" s="36"/>
      <c r="AB678" s="23"/>
      <c r="AC678" s="33"/>
    </row>
    <row r="679" spans="1:30" ht="15.75" customHeight="1">
      <c r="A679" s="10" t="s">
        <v>4693</v>
      </c>
      <c r="B679" s="10" t="s">
        <v>27</v>
      </c>
      <c r="C679" s="52" t="s">
        <v>868</v>
      </c>
      <c r="D679" s="12"/>
      <c r="E679" s="13" t="s">
        <v>151</v>
      </c>
      <c r="F679" s="6" t="s">
        <v>4113</v>
      </c>
      <c r="G679" s="14" t="str">
        <f ca="1">IFERROR(__xludf.DUMMYFUNCTION("CONCATENATE(B679,(VLOOKUP(C679,CATALOGOS!$F$2:$H$6,3,FALSE)),(VLOOKUP(V679,CATALOGOS!$J$2:$K$18,2,FALSE)),""-"",TO_TEXT(A679))"),"P03CV-0678")</f>
        <v>P03CV-0678</v>
      </c>
      <c r="H679" s="15" t="str">
        <f ca="1">IFERROR(__xludf.DUMMYFUNCTION("CONCATENATE($B679,(VLOOKUP($C679,CATALOGOS!$F$2:$H$6,3,FALSE)),(VLOOKUP($V679,CATALOGOS!$J$2:$K$18,2,FALSE)),""-"",TO_TEXT($A679))"),"P03CV-0678")</f>
        <v>P03CV-0678</v>
      </c>
      <c r="I679" s="6"/>
      <c r="J679" s="6" t="s">
        <v>4694</v>
      </c>
      <c r="K679" s="6" t="s">
        <v>4695</v>
      </c>
      <c r="L679" s="36"/>
      <c r="M679" s="6" t="s">
        <v>4696</v>
      </c>
      <c r="N679" s="17"/>
      <c r="O679" s="17"/>
      <c r="P679" s="17" t="str">
        <f t="shared" si="7"/>
        <v>OK</v>
      </c>
      <c r="Q679" s="17" t="s">
        <v>297</v>
      </c>
      <c r="R679" s="6" t="s">
        <v>298</v>
      </c>
      <c r="S679" s="6" t="s">
        <v>4697</v>
      </c>
      <c r="T679" s="10" t="s">
        <v>85</v>
      </c>
      <c r="U679" s="18" t="s">
        <v>38</v>
      </c>
      <c r="V679" s="19" t="s">
        <v>875</v>
      </c>
      <c r="W679" s="22" t="s">
        <v>4629</v>
      </c>
      <c r="X679" s="21" t="s">
        <v>4629</v>
      </c>
      <c r="Y679" s="22"/>
      <c r="Z679" s="6"/>
      <c r="AA679" s="6"/>
      <c r="AB679" s="41" t="s">
        <v>92</v>
      </c>
      <c r="AC679" s="42">
        <v>44348</v>
      </c>
      <c r="AD679" s="8">
        <v>0</v>
      </c>
    </row>
    <row r="680" spans="1:30" ht="15.75" customHeight="1">
      <c r="A680" s="10" t="s">
        <v>4698</v>
      </c>
      <c r="B680" s="10" t="s">
        <v>27</v>
      </c>
      <c r="C680" s="52" t="s">
        <v>868</v>
      </c>
      <c r="D680" s="12"/>
      <c r="E680" s="13" t="s">
        <v>199</v>
      </c>
      <c r="F680" s="6" t="s">
        <v>199</v>
      </c>
      <c r="G680" s="14" t="str">
        <f ca="1">IFERROR(__xludf.DUMMYFUNCTION("CONCATENATE(B680,(VLOOKUP(C680,CATALOGOS!$F$2:$H$6,3,FALSE)),(VLOOKUP(V680,CATALOGOS!$J$2:$K$18,2,FALSE)),""-"",TO_TEXT(A680))"),"P03CV-0679")</f>
        <v>P03CV-0679</v>
      </c>
      <c r="H680" s="15" t="str">
        <f ca="1">IFERROR(__xludf.DUMMYFUNCTION("CONCATENATE($B680,(VLOOKUP($C680,CATALOGOS!$F$2:$H$6,3,FALSE)),(VLOOKUP($V680,CATALOGOS!$J$2:$K$18,2,FALSE)),""-"",TO_TEXT($A680))"),"P03CV-0679")</f>
        <v>P03CV-0679</v>
      </c>
      <c r="I680" s="6"/>
      <c r="J680" s="6" t="s">
        <v>4699</v>
      </c>
      <c r="K680" s="6" t="s">
        <v>4700</v>
      </c>
      <c r="L680" s="37"/>
      <c r="M680" s="6" t="s">
        <v>4701</v>
      </c>
      <c r="N680" s="17"/>
      <c r="O680" s="17"/>
      <c r="P680" s="17" t="str">
        <f t="shared" si="7"/>
        <v>OK</v>
      </c>
      <c r="Q680" s="17" t="s">
        <v>273</v>
      </c>
      <c r="R680" s="6" t="s">
        <v>274</v>
      </c>
      <c r="S680" s="6">
        <v>11392903014603</v>
      </c>
      <c r="T680" s="10" t="s">
        <v>85</v>
      </c>
      <c r="U680" s="18" t="s">
        <v>38</v>
      </c>
      <c r="V680" s="19" t="s">
        <v>875</v>
      </c>
      <c r="W680" s="22" t="s">
        <v>4629</v>
      </c>
      <c r="X680" s="21" t="s">
        <v>4629</v>
      </c>
      <c r="Y680" s="22"/>
      <c r="Z680" s="6"/>
      <c r="AA680" s="6"/>
      <c r="AB680" s="41" t="s">
        <v>92</v>
      </c>
      <c r="AC680" s="42">
        <v>44348</v>
      </c>
      <c r="AD680" s="8" t="s">
        <v>276</v>
      </c>
    </row>
    <row r="681" spans="1:30" ht="15.75" customHeight="1">
      <c r="A681" s="10" t="s">
        <v>4702</v>
      </c>
      <c r="B681" s="10" t="s">
        <v>27</v>
      </c>
      <c r="C681" s="52" t="s">
        <v>868</v>
      </c>
      <c r="D681" s="12"/>
      <c r="E681" s="13" t="s">
        <v>353</v>
      </c>
      <c r="F681" s="6" t="s">
        <v>354</v>
      </c>
      <c r="G681" s="47" t="str">
        <f ca="1">IFERROR(__xludf.DUMMYFUNCTION("CONCATENATE(B681,(VLOOKUP(C681,CATALOGOS!$F$2:$H$6,3,FALSE)),(VLOOKUP(V681,CATALOGOS!$J$2:$K$18,2,FALSE)),""-"",TO_TEXT(A681))"),"P03CV-0680")</f>
        <v>P03CV-0680</v>
      </c>
      <c r="H681" s="15" t="str">
        <f ca="1">IFERROR(__xludf.DUMMYFUNCTION("CONCATENATE($B681,(VLOOKUP($C681,CATALOGOS!$F$2:$H$6,3,FALSE)),(VLOOKUP($V681,CATALOGOS!$J$2:$K$18,2,FALSE)),""-"",TO_TEXT($A681))"),"P03CV-0680")</f>
        <v>P03CV-0680</v>
      </c>
      <c r="I681" s="6"/>
      <c r="J681" s="6" t="s">
        <v>4703</v>
      </c>
      <c r="K681" s="6" t="s">
        <v>4704</v>
      </c>
      <c r="L681" s="6" t="s">
        <v>4705</v>
      </c>
      <c r="M681" s="6" t="s">
        <v>4706</v>
      </c>
      <c r="N681" s="17"/>
      <c r="O681" s="17"/>
      <c r="P681" s="17" t="str">
        <f t="shared" si="7"/>
        <v>OK</v>
      </c>
      <c r="Q681" s="17" t="s">
        <v>359</v>
      </c>
      <c r="R681" s="6" t="s">
        <v>360</v>
      </c>
      <c r="S681" s="6" t="s">
        <v>4707</v>
      </c>
      <c r="T681" s="10" t="s">
        <v>4708</v>
      </c>
      <c r="U681" s="18" t="s">
        <v>38</v>
      </c>
      <c r="V681" s="19" t="s">
        <v>875</v>
      </c>
      <c r="W681" s="22" t="s">
        <v>4629</v>
      </c>
      <c r="X681" s="21" t="s">
        <v>4629</v>
      </c>
      <c r="Y681" s="22"/>
      <c r="Z681" s="36"/>
      <c r="AA681" s="36"/>
      <c r="AB681" s="23"/>
      <c r="AC681" s="33"/>
    </row>
    <row r="682" spans="1:30" ht="15.75" customHeight="1">
      <c r="A682" s="10" t="s">
        <v>4709</v>
      </c>
      <c r="B682" s="10" t="s">
        <v>27</v>
      </c>
      <c r="C682" s="52" t="s">
        <v>868</v>
      </c>
      <c r="D682" s="12"/>
      <c r="E682" s="13" t="s">
        <v>62</v>
      </c>
      <c r="F682" s="6" t="s">
        <v>4710</v>
      </c>
      <c r="G682" s="14" t="str">
        <f ca="1">IFERROR(__xludf.DUMMYFUNCTION("CONCATENATE(B682,(VLOOKUP(C682,CATALOGOS!$F$2:$H$6,3,FALSE)),(VLOOKUP(V682,CATALOGOS!$J$2:$K$18,2,FALSE)),""-"",TO_TEXT(A682))"),"P03CV-0681")</f>
        <v>P03CV-0681</v>
      </c>
      <c r="H682" s="15" t="str">
        <f ca="1">IFERROR(__xludf.DUMMYFUNCTION("CONCATENATE($B682,(VLOOKUP($C682,CATALOGOS!$F$2:$H$6,3,FALSE)),(VLOOKUP($V682,CATALOGOS!$J$2:$K$18,2,FALSE)),""-"",TO_TEXT($A682))"),"P03CV-0681")</f>
        <v>P03CV-0681</v>
      </c>
      <c r="I682" s="6"/>
      <c r="J682" s="6" t="s">
        <v>4711</v>
      </c>
      <c r="K682" s="6" t="s">
        <v>4712</v>
      </c>
      <c r="L682" s="6" t="s">
        <v>4713</v>
      </c>
      <c r="M682" s="6" t="s">
        <v>4714</v>
      </c>
      <c r="N682" s="17"/>
      <c r="O682" s="17"/>
      <c r="P682" s="17" t="str">
        <f t="shared" si="7"/>
        <v>OK</v>
      </c>
      <c r="Q682" s="17" t="s">
        <v>35</v>
      </c>
      <c r="R682" s="6" t="s">
        <v>35</v>
      </c>
      <c r="S682" s="17" t="s">
        <v>36</v>
      </c>
      <c r="T682" s="17" t="s">
        <v>4715</v>
      </c>
      <c r="U682" s="18" t="s">
        <v>100</v>
      </c>
      <c r="V682" s="19" t="s">
        <v>875</v>
      </c>
      <c r="W682" s="20" t="s">
        <v>4573</v>
      </c>
      <c r="X682" s="39" t="s">
        <v>4574</v>
      </c>
      <c r="Y682" s="20"/>
      <c r="Z682" s="36"/>
      <c r="AA682" s="36"/>
      <c r="AB682" s="23"/>
      <c r="AC682" s="33"/>
    </row>
    <row r="683" spans="1:30" ht="15.75" customHeight="1">
      <c r="A683" s="10" t="s">
        <v>4716</v>
      </c>
      <c r="B683" s="10" t="s">
        <v>27</v>
      </c>
      <c r="C683" s="52" t="s">
        <v>868</v>
      </c>
      <c r="D683" s="12"/>
      <c r="E683" s="13" t="s">
        <v>62</v>
      </c>
      <c r="F683" s="6" t="s">
        <v>4717</v>
      </c>
      <c r="G683" s="14" t="str">
        <f ca="1">IFERROR(__xludf.DUMMYFUNCTION("CONCATENATE(B683,(VLOOKUP(C683,CATALOGOS!$F$2:$H$6,3,FALSE)),(VLOOKUP(V683,CATALOGOS!$J$2:$K$18,2,FALSE)),""-"",TO_TEXT(A683))"),"P03CV-0682")</f>
        <v>P03CV-0682</v>
      </c>
      <c r="H683" s="15" t="str">
        <f ca="1">IFERROR(__xludf.DUMMYFUNCTION("CONCATENATE($B683,(VLOOKUP($C683,CATALOGOS!$F$2:$H$6,3,FALSE)),(VLOOKUP($V683,CATALOGOS!$J$2:$K$18,2,FALSE)),""-"",TO_TEXT($A683))"),"P03CV-0682")</f>
        <v>P03CV-0682</v>
      </c>
      <c r="I683" s="6"/>
      <c r="J683" s="6" t="s">
        <v>4718</v>
      </c>
      <c r="K683" s="6" t="s">
        <v>4719</v>
      </c>
      <c r="L683" s="6" t="s">
        <v>4720</v>
      </c>
      <c r="M683" s="6" t="s">
        <v>4721</v>
      </c>
      <c r="N683" s="17"/>
      <c r="O683" s="17"/>
      <c r="P683" s="17" t="str">
        <f t="shared" si="7"/>
        <v>OK</v>
      </c>
      <c r="Q683" s="17" t="s">
        <v>35</v>
      </c>
      <c r="R683" s="6" t="s">
        <v>35</v>
      </c>
      <c r="S683" s="17" t="s">
        <v>36</v>
      </c>
      <c r="T683" s="35" t="s">
        <v>4722</v>
      </c>
      <c r="U683" s="18" t="s">
        <v>517</v>
      </c>
      <c r="V683" s="19" t="s">
        <v>875</v>
      </c>
      <c r="W683" s="20" t="s">
        <v>4573</v>
      </c>
      <c r="X683" s="39" t="s">
        <v>4574</v>
      </c>
      <c r="Y683" s="20"/>
      <c r="Z683" s="36"/>
      <c r="AA683" s="36"/>
      <c r="AB683" s="23"/>
      <c r="AC683" s="33"/>
    </row>
    <row r="684" spans="1:30" ht="15.75" customHeight="1">
      <c r="A684" s="10" t="s">
        <v>4723</v>
      </c>
      <c r="B684" s="10" t="s">
        <v>27</v>
      </c>
      <c r="C684" s="52" t="s">
        <v>868</v>
      </c>
      <c r="D684" s="12"/>
      <c r="E684" s="13" t="s">
        <v>62</v>
      </c>
      <c r="F684" s="6" t="s">
        <v>4724</v>
      </c>
      <c r="G684" s="14" t="str">
        <f ca="1">IFERROR(__xludf.DUMMYFUNCTION("CONCATENATE(B684,(VLOOKUP(C684,CATALOGOS!$F$2:$H$6,3,FALSE)),(VLOOKUP(V684,CATALOGOS!$J$2:$K$18,2,FALSE)),""-"",TO_TEXT(A684))"),"P03CV-0683")</f>
        <v>P03CV-0683</v>
      </c>
      <c r="H684" s="15" t="str">
        <f ca="1">IFERROR(__xludf.DUMMYFUNCTION("CONCATENATE($B684,(VLOOKUP($C684,CATALOGOS!$F$2:$H$6,3,FALSE)),(VLOOKUP($V684,CATALOGOS!$J$2:$K$18,2,FALSE)),""-"",TO_TEXT($A684))"),"P03CV-0683")</f>
        <v>P03CV-0683</v>
      </c>
      <c r="I684" s="6"/>
      <c r="J684" s="6" t="s">
        <v>4725</v>
      </c>
      <c r="K684" s="6" t="s">
        <v>4726</v>
      </c>
      <c r="L684" s="6" t="s">
        <v>4727</v>
      </c>
      <c r="M684" s="6" t="s">
        <v>4728</v>
      </c>
      <c r="N684" s="17"/>
      <c r="O684" s="17"/>
      <c r="P684" s="17" t="str">
        <f t="shared" si="7"/>
        <v>OK</v>
      </c>
      <c r="Q684" s="17" t="s">
        <v>35</v>
      </c>
      <c r="R684" s="6" t="s">
        <v>35</v>
      </c>
      <c r="S684" s="17" t="s">
        <v>36</v>
      </c>
      <c r="T684" s="17" t="s">
        <v>4729</v>
      </c>
      <c r="U684" s="18" t="s">
        <v>38</v>
      </c>
      <c r="V684" s="19" t="s">
        <v>875</v>
      </c>
      <c r="W684" s="20" t="s">
        <v>876</v>
      </c>
      <c r="X684" s="39" t="s">
        <v>4574</v>
      </c>
      <c r="Y684" s="20"/>
      <c r="Z684" s="36"/>
      <c r="AA684" s="36"/>
      <c r="AB684" s="23"/>
      <c r="AC684" s="33"/>
    </row>
    <row r="685" spans="1:30" ht="15.75" customHeight="1">
      <c r="A685" s="10" t="s">
        <v>4730</v>
      </c>
      <c r="B685" s="10" t="s">
        <v>27</v>
      </c>
      <c r="C685" s="52" t="s">
        <v>868</v>
      </c>
      <c r="D685" s="12"/>
      <c r="E685" s="13" t="s">
        <v>62</v>
      </c>
      <c r="F685" s="6" t="s">
        <v>4731</v>
      </c>
      <c r="G685" s="14" t="str">
        <f ca="1">IFERROR(__xludf.DUMMYFUNCTION("CONCATENATE(B685,(VLOOKUP(C685,CATALOGOS!$F$2:$H$6,3,FALSE)),(VLOOKUP(V685,CATALOGOS!$J$2:$K$18,2,FALSE)),""-"",TO_TEXT(A685))"),"P03CV-0684")</f>
        <v>P03CV-0684</v>
      </c>
      <c r="H685" s="15" t="str">
        <f ca="1">IFERROR(__xludf.DUMMYFUNCTION("CONCATENATE($B685,(VLOOKUP($C685,CATALOGOS!$F$2:$H$6,3,FALSE)),(VLOOKUP($V685,CATALOGOS!$J$2:$K$18,2,FALSE)),""-"",TO_TEXT($A685))"),"P03CV-0684")</f>
        <v>P03CV-0684</v>
      </c>
      <c r="I685" s="6"/>
      <c r="J685" s="6" t="s">
        <v>4732</v>
      </c>
      <c r="K685" s="6" t="s">
        <v>4733</v>
      </c>
      <c r="L685" s="6" t="s">
        <v>4734</v>
      </c>
      <c r="M685" s="6" t="s">
        <v>4735</v>
      </c>
      <c r="N685" s="17"/>
      <c r="O685" s="17"/>
      <c r="P685" s="17" t="str">
        <f t="shared" si="7"/>
        <v>OK</v>
      </c>
      <c r="Q685" s="17" t="s">
        <v>35</v>
      </c>
      <c r="R685" s="6" t="s">
        <v>35</v>
      </c>
      <c r="S685" s="17" t="s">
        <v>36</v>
      </c>
      <c r="T685" s="17" t="s">
        <v>4736</v>
      </c>
      <c r="U685" s="18" t="s">
        <v>38</v>
      </c>
      <c r="V685" s="19" t="s">
        <v>875</v>
      </c>
      <c r="W685" s="20" t="s">
        <v>4737</v>
      </c>
      <c r="X685" s="39" t="s">
        <v>4737</v>
      </c>
      <c r="Y685" s="20"/>
      <c r="Z685" s="36"/>
      <c r="AA685" s="36"/>
      <c r="AB685" s="23"/>
      <c r="AC685" s="33"/>
    </row>
    <row r="686" spans="1:30" ht="15.75" customHeight="1">
      <c r="A686" s="10" t="s">
        <v>4738</v>
      </c>
      <c r="B686" s="10" t="s">
        <v>27</v>
      </c>
      <c r="C686" s="52" t="s">
        <v>868</v>
      </c>
      <c r="D686" s="38"/>
      <c r="E686" s="13" t="s">
        <v>62</v>
      </c>
      <c r="F686" s="6" t="s">
        <v>4739</v>
      </c>
      <c r="G686" s="14" t="str">
        <f ca="1">IFERROR(__xludf.DUMMYFUNCTION("CONCATENATE(B686,(VLOOKUP(C686,CATALOGOS!$F$2:$H$6,3,FALSE)),(VLOOKUP(V686,CATALOGOS!$J$2:$K$18,2,FALSE)),""-"",TO_TEXT(A686))"),"P03CV-0685")</f>
        <v>P03CV-0685</v>
      </c>
      <c r="H686" s="15" t="str">
        <f ca="1">IFERROR(__xludf.DUMMYFUNCTION("CONCATENATE($B686,(VLOOKUP($C686,CATALOGOS!$F$2:$H$6,3,FALSE)),(VLOOKUP($V686,CATALOGOS!$J$2:$K$18,2,FALSE)),""-"",TO_TEXT($A686))"),"P03CV-0685")</f>
        <v>P03CV-0685</v>
      </c>
      <c r="I686" s="6"/>
      <c r="J686" s="6" t="s">
        <v>4740</v>
      </c>
      <c r="K686" s="6" t="s">
        <v>4741</v>
      </c>
      <c r="L686" s="6" t="s">
        <v>4742</v>
      </c>
      <c r="M686" s="6" t="s">
        <v>4743</v>
      </c>
      <c r="N686" s="17"/>
      <c r="O686" s="17"/>
      <c r="P686" s="17" t="str">
        <f t="shared" si="7"/>
        <v>OK</v>
      </c>
      <c r="Q686" s="17" t="s">
        <v>35</v>
      </c>
      <c r="R686" s="6" t="s">
        <v>35</v>
      </c>
      <c r="S686" s="46" t="s">
        <v>36</v>
      </c>
      <c r="T686" s="17" t="s">
        <v>4744</v>
      </c>
      <c r="U686" s="18" t="s">
        <v>38</v>
      </c>
      <c r="V686" s="19" t="s">
        <v>875</v>
      </c>
      <c r="W686" s="20" t="s">
        <v>4573</v>
      </c>
      <c r="X686" s="39" t="s">
        <v>4574</v>
      </c>
      <c r="Y686" s="20"/>
      <c r="Z686" s="36"/>
      <c r="AA686" s="36"/>
      <c r="AB686" s="26"/>
      <c r="AC686" s="33"/>
    </row>
    <row r="687" spans="1:30" ht="15.75" customHeight="1">
      <c r="A687" s="10" t="s">
        <v>4745</v>
      </c>
      <c r="B687" s="10" t="s">
        <v>27</v>
      </c>
      <c r="C687" s="61" t="s">
        <v>28</v>
      </c>
      <c r="D687" s="12"/>
      <c r="E687" s="13" t="s">
        <v>378</v>
      </c>
      <c r="F687" s="6" t="s">
        <v>878</v>
      </c>
      <c r="G687" s="14" t="str">
        <f ca="1">IFERROR(__xludf.DUMMYFUNCTION("CONCATENATE(B687,(VLOOKUP(C687,CATALOGOS!$F$2:$H$6,3,FALSE)),(VLOOKUP(V687,CATALOGOS!$J$2:$K$18,2,FALSE)),""-"",TO_TEXT(A687))"),"P05DA-0686")</f>
        <v>P05DA-0686</v>
      </c>
      <c r="H687" s="15" t="str">
        <f ca="1">IFERROR(__xludf.DUMMYFUNCTION("CONCATENATE($B687,(VLOOKUP($C687,CATALOGOS!$F$2:$H$6,3,FALSE)),(VLOOKUP($V687,CATALOGOS!$J$2:$K$18,2,FALSE)),""-"",TO_TEXT($A687))"),"P05DA-0686")</f>
        <v>P05DA-0686</v>
      </c>
      <c r="I687" s="6"/>
      <c r="J687" s="6" t="s">
        <v>4746</v>
      </c>
      <c r="K687" s="6" t="s">
        <v>4747</v>
      </c>
      <c r="L687" s="6" t="s">
        <v>4748</v>
      </c>
      <c r="M687" s="6" t="s">
        <v>4749</v>
      </c>
      <c r="N687" s="17"/>
      <c r="O687" s="17"/>
      <c r="P687" s="17" t="str">
        <f t="shared" si="7"/>
        <v>OK</v>
      </c>
      <c r="Q687" s="17" t="s">
        <v>35</v>
      </c>
      <c r="R687" s="6" t="s">
        <v>35</v>
      </c>
      <c r="S687" s="17" t="s">
        <v>36</v>
      </c>
      <c r="T687" s="17" t="s">
        <v>4750</v>
      </c>
      <c r="U687" s="18" t="s">
        <v>38</v>
      </c>
      <c r="V687" s="19" t="s">
        <v>28</v>
      </c>
      <c r="W687" s="20" t="s">
        <v>39</v>
      </c>
      <c r="X687" s="39" t="s">
        <v>39</v>
      </c>
      <c r="Y687" s="20"/>
      <c r="Z687" s="6"/>
      <c r="AA687" s="6"/>
      <c r="AB687" s="23"/>
      <c r="AC687" s="33"/>
    </row>
    <row r="688" spans="1:30" ht="15.75" customHeight="1">
      <c r="A688" s="10" t="s">
        <v>4751</v>
      </c>
      <c r="B688" s="10" t="s">
        <v>27</v>
      </c>
      <c r="C688" s="61" t="s">
        <v>28</v>
      </c>
      <c r="D688" s="12"/>
      <c r="E688" s="13" t="s">
        <v>62</v>
      </c>
      <c r="F688" s="6" t="s">
        <v>4752</v>
      </c>
      <c r="G688" s="14" t="str">
        <f ca="1">IFERROR(__xludf.DUMMYFUNCTION("CONCATENATE(B688,(VLOOKUP(C688,CATALOGOS!$F$2:$H$6,3,FALSE)),(VLOOKUP(V688,CATALOGOS!$J$2:$K$18,2,FALSE)),""-"",TO_TEXT(A688))"),"P05RH-0687")</f>
        <v>P05RH-0687</v>
      </c>
      <c r="H688" s="15" t="str">
        <f ca="1">IFERROR(__xludf.DUMMYFUNCTION("CONCATENATE($B688,(VLOOKUP($C688,CATALOGOS!$F$2:$H$6,3,FALSE)),(VLOOKUP($V688,CATALOGOS!$J$2:$K$18,2,FALSE)),""-"",TO_TEXT($A688))"),"P05RH-0687")</f>
        <v>P05RH-0687</v>
      </c>
      <c r="I688" s="6"/>
      <c r="J688" s="6" t="s">
        <v>4753</v>
      </c>
      <c r="K688" s="6" t="s">
        <v>4754</v>
      </c>
      <c r="L688" s="6" t="s">
        <v>4755</v>
      </c>
      <c r="M688" s="6" t="s">
        <v>4756</v>
      </c>
      <c r="N688" s="17"/>
      <c r="O688" s="17"/>
      <c r="P688" s="17" t="str">
        <f t="shared" si="7"/>
        <v>OK</v>
      </c>
      <c r="Q688" s="17" t="s">
        <v>35</v>
      </c>
      <c r="R688" s="6" t="s">
        <v>35</v>
      </c>
      <c r="S688" s="17" t="s">
        <v>36</v>
      </c>
      <c r="T688" s="17" t="s">
        <v>4757</v>
      </c>
      <c r="U688" s="18" t="s">
        <v>38</v>
      </c>
      <c r="V688" s="19" t="s">
        <v>723</v>
      </c>
      <c r="W688" s="20" t="s">
        <v>724</v>
      </c>
      <c r="X688" s="21" t="s">
        <v>1004</v>
      </c>
      <c r="Y688" s="22"/>
      <c r="Z688" s="36"/>
      <c r="AA688" s="36"/>
      <c r="AB688" s="23"/>
      <c r="AC688" s="33"/>
    </row>
    <row r="689" spans="1:29" ht="15.75" customHeight="1">
      <c r="A689" s="10" t="s">
        <v>4758</v>
      </c>
      <c r="B689" s="10" t="s">
        <v>27</v>
      </c>
      <c r="C689" s="52" t="s">
        <v>868</v>
      </c>
      <c r="D689" s="12"/>
      <c r="E689" s="13" t="s">
        <v>93</v>
      </c>
      <c r="F689" s="6" t="s">
        <v>4759</v>
      </c>
      <c r="G689" s="14" t="str">
        <f ca="1">IFERROR(__xludf.DUMMYFUNCTION("CONCATENATE(B689,(VLOOKUP(C689,CATALOGOS!$F$2:$H$6,3,FALSE)),(VLOOKUP(V689,CATALOGOS!$J$2:$K$18,2,FALSE)),""-"",TO_TEXT(A689))"),"P03CV-0688")</f>
        <v>P03CV-0688</v>
      </c>
      <c r="H689" s="15" t="str">
        <f ca="1">IFERROR(__xludf.DUMMYFUNCTION("CONCATENATE($B689,(VLOOKUP($C689,CATALOGOS!$F$2:$H$6,3,FALSE)),(VLOOKUP($V689,CATALOGOS!$J$2:$K$18,2,FALSE)),""-"",TO_TEXT($A689))"),"P03CV-0688")</f>
        <v>P03CV-0688</v>
      </c>
      <c r="I689" s="6"/>
      <c r="J689" s="6" t="s">
        <v>4760</v>
      </c>
      <c r="K689" s="6" t="s">
        <v>4761</v>
      </c>
      <c r="L689" s="6" t="s">
        <v>4762</v>
      </c>
      <c r="M689" s="6" t="s">
        <v>4763</v>
      </c>
      <c r="N689" s="17"/>
      <c r="O689" s="17"/>
      <c r="P689" s="17" t="str">
        <f t="shared" si="7"/>
        <v>OK</v>
      </c>
      <c r="Q689" s="17" t="s">
        <v>35</v>
      </c>
      <c r="R689" s="6" t="s">
        <v>35</v>
      </c>
      <c r="S689" s="17" t="s">
        <v>36</v>
      </c>
      <c r="T689" s="35" t="s">
        <v>4764</v>
      </c>
      <c r="U689" s="18" t="s">
        <v>38</v>
      </c>
      <c r="V689" s="19" t="s">
        <v>875</v>
      </c>
      <c r="W689" s="20" t="s">
        <v>4573</v>
      </c>
      <c r="X689" s="21" t="s">
        <v>1004</v>
      </c>
      <c r="Y689" s="22"/>
      <c r="Z689" s="36"/>
      <c r="AA689" s="36"/>
      <c r="AB689" s="23"/>
      <c r="AC689" s="33"/>
    </row>
    <row r="690" spans="1:29" ht="15.75" customHeight="1">
      <c r="A690" s="10" t="s">
        <v>4765</v>
      </c>
      <c r="B690" s="10" t="s">
        <v>27</v>
      </c>
      <c r="C690" s="52" t="s">
        <v>868</v>
      </c>
      <c r="D690" s="12"/>
      <c r="E690" s="13" t="s">
        <v>43</v>
      </c>
      <c r="F690" s="6" t="s">
        <v>4766</v>
      </c>
      <c r="G690" s="14" t="str">
        <f ca="1">IFERROR(__xludf.DUMMYFUNCTION("CONCATENATE(B690,(VLOOKUP(C690,CATALOGOS!$F$2:$H$6,3,FALSE)),(VLOOKUP(V690,CATALOGOS!$J$2:$K$18,2,FALSE)),""-"",TO_TEXT(A690))"),"P03CV-0689")</f>
        <v>P03CV-0689</v>
      </c>
      <c r="H690" s="15" t="str">
        <f ca="1">IFERROR(__xludf.DUMMYFUNCTION("CONCATENATE($B690,(VLOOKUP($C690,CATALOGOS!$F$2:$H$6,3,FALSE)),(VLOOKUP($V690,CATALOGOS!$J$2:$K$18,2,FALSE)),""-"",TO_TEXT($A690))"),"P03CV-0689")</f>
        <v>P03CV-0689</v>
      </c>
      <c r="I690" s="6"/>
      <c r="J690" s="6" t="s">
        <v>4767</v>
      </c>
      <c r="K690" s="6" t="s">
        <v>4768</v>
      </c>
      <c r="L690" s="6" t="s">
        <v>4769</v>
      </c>
      <c r="M690" s="6" t="s">
        <v>4770</v>
      </c>
      <c r="N690" s="17"/>
      <c r="O690" s="17"/>
      <c r="P690" s="17" t="str">
        <f t="shared" si="7"/>
        <v>OK</v>
      </c>
      <c r="Q690" s="17" t="s">
        <v>4602</v>
      </c>
      <c r="R690" s="6">
        <v>10186</v>
      </c>
      <c r="S690" s="6" t="s">
        <v>36</v>
      </c>
      <c r="T690" s="10" t="s">
        <v>4771</v>
      </c>
      <c r="U690" s="18" t="s">
        <v>38</v>
      </c>
      <c r="V690" s="19" t="s">
        <v>875</v>
      </c>
      <c r="W690" s="22" t="s">
        <v>1004</v>
      </c>
      <c r="X690" s="21" t="s">
        <v>1004</v>
      </c>
      <c r="Y690" s="22"/>
      <c r="Z690" s="36"/>
      <c r="AA690" s="36"/>
      <c r="AB690" s="23"/>
      <c r="AC690" s="33"/>
    </row>
    <row r="691" spans="1:29" ht="15.75" customHeight="1">
      <c r="A691" s="10" t="s">
        <v>4772</v>
      </c>
      <c r="B691" s="10" t="s">
        <v>27</v>
      </c>
      <c r="C691" s="52" t="s">
        <v>868</v>
      </c>
      <c r="D691" s="12"/>
      <c r="E691" s="13" t="s">
        <v>116</v>
      </c>
      <c r="F691" s="6" t="s">
        <v>4773</v>
      </c>
      <c r="G691" s="14" t="str">
        <f ca="1">IFERROR(__xludf.DUMMYFUNCTION("CONCATENATE(B691,(VLOOKUP(C691,CATALOGOS!$F$2:$H$6,3,FALSE)),(VLOOKUP(V691,CATALOGOS!$J$2:$K$18,2,FALSE)),""-"",TO_TEXT(A691))"),"P03CV-0690")</f>
        <v>P03CV-0690</v>
      </c>
      <c r="H691" s="15" t="str">
        <f ca="1">IFERROR(__xludf.DUMMYFUNCTION("CONCATENATE($B691,(VLOOKUP($C691,CATALOGOS!$F$2:$H$6,3,FALSE)),(VLOOKUP($V691,CATALOGOS!$J$2:$K$18,2,FALSE)),""-"",TO_TEXT($A691))"),"P03CV-0690")</f>
        <v>P03CV-0690</v>
      </c>
      <c r="I691" s="6"/>
      <c r="J691" s="6" t="s">
        <v>4774</v>
      </c>
      <c r="K691" s="6" t="s">
        <v>4775</v>
      </c>
      <c r="L691" s="6" t="s">
        <v>4776</v>
      </c>
      <c r="M691" s="6" t="s">
        <v>4777</v>
      </c>
      <c r="N691" s="17"/>
      <c r="O691" s="17"/>
      <c r="P691" s="17" t="str">
        <f t="shared" si="7"/>
        <v>OK</v>
      </c>
      <c r="Q691" s="17" t="s">
        <v>35</v>
      </c>
      <c r="R691" s="6" t="s">
        <v>35</v>
      </c>
      <c r="S691" s="17" t="s">
        <v>36</v>
      </c>
      <c r="T691" s="17" t="s">
        <v>4778</v>
      </c>
      <c r="U691" s="18" t="s">
        <v>38</v>
      </c>
      <c r="V691" s="19" t="s">
        <v>875</v>
      </c>
      <c r="W691" s="22" t="s">
        <v>1004</v>
      </c>
      <c r="X691" s="21" t="s">
        <v>1004</v>
      </c>
      <c r="Y691" s="22"/>
      <c r="Z691" s="36"/>
      <c r="AA691" s="36"/>
      <c r="AB691" s="23"/>
      <c r="AC691" s="33"/>
    </row>
    <row r="692" spans="1:29" ht="15.75" customHeight="1">
      <c r="A692" s="10" t="s">
        <v>4779</v>
      </c>
      <c r="B692" s="10" t="s">
        <v>27</v>
      </c>
      <c r="C692" s="52" t="s">
        <v>868</v>
      </c>
      <c r="D692" s="12"/>
      <c r="E692" s="13" t="s">
        <v>93</v>
      </c>
      <c r="F692" s="6" t="s">
        <v>1739</v>
      </c>
      <c r="G692" s="14" t="str">
        <f ca="1">IFERROR(__xludf.DUMMYFUNCTION("CONCATENATE(B692,(VLOOKUP(C692,CATALOGOS!$F$2:$H$6,3,FALSE)),(VLOOKUP(V692,CATALOGOS!$J$2:$K$18,2,FALSE)),""-"",TO_TEXT(A692))"),"P03CV-0691")</f>
        <v>P03CV-0691</v>
      </c>
      <c r="H692" s="15" t="str">
        <f ca="1">IFERROR(__xludf.DUMMYFUNCTION("CONCATENATE($B692,(VLOOKUP($C692,CATALOGOS!$F$2:$H$6,3,FALSE)),(VLOOKUP($V692,CATALOGOS!$J$2:$K$18,2,FALSE)),""-"",TO_TEXT($A692))"),"P03CV-0691")</f>
        <v>P03CV-0691</v>
      </c>
      <c r="I692" s="6"/>
      <c r="J692" s="6" t="s">
        <v>4780</v>
      </c>
      <c r="K692" s="6" t="s">
        <v>4781</v>
      </c>
      <c r="L692" s="6" t="s">
        <v>4782</v>
      </c>
      <c r="M692" s="6" t="s">
        <v>4783</v>
      </c>
      <c r="N692" s="17"/>
      <c r="O692" s="17"/>
      <c r="P692" s="17" t="str">
        <f t="shared" si="7"/>
        <v>OK</v>
      </c>
      <c r="Q692" s="17" t="s">
        <v>35</v>
      </c>
      <c r="R692" s="6" t="s">
        <v>35</v>
      </c>
      <c r="S692" s="17" t="s">
        <v>36</v>
      </c>
      <c r="T692" s="17" t="s">
        <v>4784</v>
      </c>
      <c r="U692" s="18" t="s">
        <v>38</v>
      </c>
      <c r="V692" s="19" t="s">
        <v>875</v>
      </c>
      <c r="W692" s="22" t="s">
        <v>1004</v>
      </c>
      <c r="X692" s="21" t="s">
        <v>1004</v>
      </c>
      <c r="Y692" s="22"/>
      <c r="Z692" s="36"/>
      <c r="AA692" s="36"/>
      <c r="AB692" s="23"/>
      <c r="AC692" s="33"/>
    </row>
    <row r="693" spans="1:29" ht="15.75" customHeight="1">
      <c r="A693" s="55" t="s">
        <v>4785</v>
      </c>
      <c r="B693" s="10" t="s">
        <v>27</v>
      </c>
      <c r="C693" s="61" t="s">
        <v>28</v>
      </c>
      <c r="D693" s="12"/>
      <c r="E693" s="13" t="s">
        <v>151</v>
      </c>
      <c r="F693" s="6" t="s">
        <v>714</v>
      </c>
      <c r="G693" s="14" t="str">
        <f ca="1">IFERROR(__xludf.DUMMYFUNCTION("CONCATENATE(B693,(VLOOKUP(C693,CATALOGOS!$F$2:$H$6,3,FALSE)),(VLOOKUP(V693,CATALOGOS!$J$2:$K$18,2,FALSE)),""-"",TO_TEXT(A693))"),"P05RM-0692")</f>
        <v>P05RM-0692</v>
      </c>
      <c r="H693" s="15" t="str">
        <f ca="1">IFERROR(__xludf.DUMMYFUNCTION("CONCATENATE($B693,(VLOOKUP($C693,CATALOGOS!$F$2:$H$6,3,FALSE)),(VLOOKUP($V693,CATALOGOS!$J$2:$K$18,2,FALSE)),""-"",TO_TEXT($A693))"),"P05RM-0692")</f>
        <v>P05RM-0692</v>
      </c>
      <c r="I693" s="6"/>
      <c r="J693" s="6" t="s">
        <v>4786</v>
      </c>
      <c r="K693" s="6" t="s">
        <v>4787</v>
      </c>
      <c r="L693" s="6" t="s">
        <v>4788</v>
      </c>
      <c r="M693" s="6" t="s">
        <v>4789</v>
      </c>
      <c r="N693" s="17"/>
      <c r="O693" s="17"/>
      <c r="P693" s="17" t="str">
        <f t="shared" si="7"/>
        <v>OK</v>
      </c>
      <c r="Q693" s="17" t="s">
        <v>719</v>
      </c>
      <c r="R693" s="6" t="s">
        <v>720</v>
      </c>
      <c r="S693" s="6" t="s">
        <v>4790</v>
      </c>
      <c r="T693" s="17" t="s">
        <v>4791</v>
      </c>
      <c r="U693" s="18" t="s">
        <v>38</v>
      </c>
      <c r="V693" s="19" t="s">
        <v>147</v>
      </c>
      <c r="W693" s="20" t="s">
        <v>385</v>
      </c>
      <c r="X693" s="39" t="s">
        <v>4574</v>
      </c>
      <c r="Y693" s="20"/>
      <c r="Z693" s="36"/>
      <c r="AA693" s="36"/>
      <c r="AB693" s="23"/>
      <c r="AC693" s="33"/>
    </row>
    <row r="694" spans="1:29" ht="15.75" customHeight="1">
      <c r="A694" s="10" t="s">
        <v>4792</v>
      </c>
      <c r="B694" s="10" t="s">
        <v>27</v>
      </c>
      <c r="C694" s="61" t="s">
        <v>28</v>
      </c>
      <c r="D694" s="12"/>
      <c r="E694" s="13" t="s">
        <v>199</v>
      </c>
      <c r="F694" s="6" t="s">
        <v>199</v>
      </c>
      <c r="G694" s="14" t="str">
        <f ca="1">IFERROR(__xludf.DUMMYFUNCTION("CONCATENATE(B694,(VLOOKUP(C694,CATALOGOS!$F$2:$H$6,3,FALSE)),(VLOOKUP(V694,CATALOGOS!$J$2:$K$18,2,FALSE)),""-"",TO_TEXT(A694))"),"P05RM-0693")</f>
        <v>P05RM-0693</v>
      </c>
      <c r="H694" s="15" t="str">
        <f ca="1">IFERROR(__xludf.DUMMYFUNCTION("CONCATENATE($B694,(VLOOKUP($C694,CATALOGOS!$F$2:$H$6,3,FALSE)),(VLOOKUP($V694,CATALOGOS!$J$2:$K$18,2,FALSE)),""-"",TO_TEXT($A694))"),"P05RM-0693")</f>
        <v>P05RM-0693</v>
      </c>
      <c r="I694" s="6"/>
      <c r="J694" s="6" t="s">
        <v>4793</v>
      </c>
      <c r="K694" s="6" t="s">
        <v>4794</v>
      </c>
      <c r="L694" s="6" t="s">
        <v>4795</v>
      </c>
      <c r="M694" s="6" t="s">
        <v>4796</v>
      </c>
      <c r="N694" s="17"/>
      <c r="O694" s="17"/>
      <c r="P694" s="17" t="str">
        <f t="shared" si="7"/>
        <v>OK</v>
      </c>
      <c r="Q694" s="17" t="s">
        <v>205</v>
      </c>
      <c r="R694" s="6" t="s">
        <v>794</v>
      </c>
      <c r="S694" s="17" t="s">
        <v>4797</v>
      </c>
      <c r="T694" s="17" t="s">
        <v>4798</v>
      </c>
      <c r="U694" s="18" t="s">
        <v>100</v>
      </c>
      <c r="V694" s="19" t="s">
        <v>147</v>
      </c>
      <c r="W694" s="20" t="s">
        <v>385</v>
      </c>
      <c r="X694" s="21" t="s">
        <v>1004</v>
      </c>
      <c r="Y694" s="22"/>
      <c r="Z694" s="36"/>
      <c r="AA694" s="36"/>
      <c r="AB694" s="23"/>
      <c r="AC694" s="33"/>
    </row>
    <row r="695" spans="1:29" ht="15.75" customHeight="1">
      <c r="A695" s="10" t="s">
        <v>4799</v>
      </c>
      <c r="B695" s="10" t="s">
        <v>27</v>
      </c>
      <c r="C695" s="52" t="s">
        <v>868</v>
      </c>
      <c r="D695" s="12"/>
      <c r="E695" s="13" t="s">
        <v>1240</v>
      </c>
      <c r="F695" s="6" t="s">
        <v>278</v>
      </c>
      <c r="G695" s="14" t="str">
        <f ca="1">IFERROR(__xludf.DUMMYFUNCTION("CONCATENATE(B695,(VLOOKUP(C695,CATALOGOS!$F$2:$H$6,3,FALSE)),(VLOOKUP(V695,CATALOGOS!$J$2:$K$18,2,FALSE)),""-"",TO_TEXT(A695))"),"P03CV-0694")</f>
        <v>P03CV-0694</v>
      </c>
      <c r="H695" s="15" t="str">
        <f ca="1">IFERROR(__xludf.DUMMYFUNCTION("CONCATENATE($B695,(VLOOKUP($C695,CATALOGOS!$F$2:$H$6,3,FALSE)),(VLOOKUP($V695,CATALOGOS!$J$2:$K$18,2,FALSE)),""-"",TO_TEXT($A695))"),"P03CV-0694")</f>
        <v>P03CV-0694</v>
      </c>
      <c r="I695" s="6"/>
      <c r="J695" s="6" t="s">
        <v>4800</v>
      </c>
      <c r="K695" s="6" t="s">
        <v>4801</v>
      </c>
      <c r="L695" s="6" t="s">
        <v>4802</v>
      </c>
      <c r="M695" s="6" t="s">
        <v>4803</v>
      </c>
      <c r="N695" s="17"/>
      <c r="O695" s="17"/>
      <c r="P695" s="17" t="str">
        <f t="shared" si="7"/>
        <v>OK</v>
      </c>
      <c r="Q695" s="17" t="s">
        <v>35</v>
      </c>
      <c r="R695" s="6" t="s">
        <v>35</v>
      </c>
      <c r="S695" s="17" t="s">
        <v>36</v>
      </c>
      <c r="T695" s="17" t="s">
        <v>4804</v>
      </c>
      <c r="U695" s="18" t="s">
        <v>38</v>
      </c>
      <c r="V695" s="19" t="s">
        <v>875</v>
      </c>
      <c r="W695" s="22" t="s">
        <v>1004</v>
      </c>
      <c r="X695" s="21" t="s">
        <v>1004</v>
      </c>
      <c r="Y695" s="22"/>
      <c r="Z695" s="36"/>
      <c r="AA695" s="36"/>
      <c r="AB695" s="23"/>
      <c r="AC695" s="33"/>
    </row>
    <row r="696" spans="1:29" ht="15.75" customHeight="1">
      <c r="A696" s="10" t="s">
        <v>4805</v>
      </c>
      <c r="B696" s="10" t="s">
        <v>27</v>
      </c>
      <c r="C696" s="52" t="s">
        <v>868</v>
      </c>
      <c r="D696" s="12"/>
      <c r="E696" s="13" t="s">
        <v>248</v>
      </c>
      <c r="F696" s="6" t="s">
        <v>249</v>
      </c>
      <c r="G696" s="14" t="str">
        <f ca="1">IFERROR(__xludf.DUMMYFUNCTION("CONCATENATE(B696,(VLOOKUP(C696,CATALOGOS!$F$2:$H$6,3,FALSE)),(VLOOKUP(V696,CATALOGOS!$J$2:$K$18,2,FALSE)),""-"",TO_TEXT(A696))"),"P03CV-0695")</f>
        <v>P03CV-0695</v>
      </c>
      <c r="H696" s="15" t="str">
        <f ca="1">IFERROR(__xludf.DUMMYFUNCTION("CONCATENATE($B696,(VLOOKUP($C696,CATALOGOS!$F$2:$H$6,3,FALSE)),(VLOOKUP($V696,CATALOGOS!$J$2:$K$18,2,FALSE)),""-"",TO_TEXT($A696))"),"P03CV-0695")</f>
        <v>P03CV-0695</v>
      </c>
      <c r="I696" s="6"/>
      <c r="J696" s="6" t="s">
        <v>4806</v>
      </c>
      <c r="K696" s="6" t="s">
        <v>4807</v>
      </c>
      <c r="L696" s="6" t="s">
        <v>4808</v>
      </c>
      <c r="M696" s="6" t="s">
        <v>4809</v>
      </c>
      <c r="N696" s="17"/>
      <c r="O696" s="17"/>
      <c r="P696" s="17" t="str">
        <f t="shared" si="7"/>
        <v>OK</v>
      </c>
      <c r="Q696" s="17" t="s">
        <v>4810</v>
      </c>
      <c r="R696" s="6" t="s">
        <v>4811</v>
      </c>
      <c r="S696" s="17" t="s">
        <v>4812</v>
      </c>
      <c r="T696" s="10" t="s">
        <v>4813</v>
      </c>
      <c r="U696" s="18" t="s">
        <v>38</v>
      </c>
      <c r="V696" s="19" t="s">
        <v>875</v>
      </c>
      <c r="W696" s="22" t="s">
        <v>1004</v>
      </c>
      <c r="X696" s="21" t="s">
        <v>1004</v>
      </c>
      <c r="Y696" s="22"/>
      <c r="Z696" s="36"/>
      <c r="AA696" s="36"/>
      <c r="AB696" s="23"/>
      <c r="AC696" s="33"/>
    </row>
    <row r="697" spans="1:29" ht="15.75" customHeight="1">
      <c r="A697" s="10" t="s">
        <v>4814</v>
      </c>
      <c r="B697" s="10" t="s">
        <v>27</v>
      </c>
      <c r="C697" s="52" t="s">
        <v>868</v>
      </c>
      <c r="D697" s="38"/>
      <c r="E697" s="13" t="s">
        <v>184</v>
      </c>
      <c r="F697" s="6" t="s">
        <v>4815</v>
      </c>
      <c r="G697" s="14" t="str">
        <f ca="1">IFERROR(__xludf.DUMMYFUNCTION("CONCATENATE(B697,(VLOOKUP(C697,CATALOGOS!$F$2:$H$6,3,FALSE)),(VLOOKUP(V697,CATALOGOS!$J$2:$K$18,2,FALSE)),""-"",TO_TEXT(A697))"),"P03CV-0696")</f>
        <v>P03CV-0696</v>
      </c>
      <c r="H697" s="15" t="str">
        <f ca="1">IFERROR(__xludf.DUMMYFUNCTION("CONCATENATE($B697,(VLOOKUP($C697,CATALOGOS!$F$2:$H$6,3,FALSE)),(VLOOKUP($V697,CATALOGOS!$J$2:$K$18,2,FALSE)),""-"",TO_TEXT($A697))"),"P03CV-0696")</f>
        <v>P03CV-0696</v>
      </c>
      <c r="I697" s="6"/>
      <c r="J697" s="6" t="s">
        <v>4816</v>
      </c>
      <c r="K697" s="6" t="s">
        <v>4817</v>
      </c>
      <c r="L697" s="6" t="s">
        <v>4818</v>
      </c>
      <c r="M697" s="43" t="s">
        <v>4819</v>
      </c>
      <c r="N697" s="17"/>
      <c r="O697" s="17"/>
      <c r="P697" s="17" t="str">
        <f t="shared" si="7"/>
        <v>OK</v>
      </c>
      <c r="Q697" s="17" t="s">
        <v>35</v>
      </c>
      <c r="R697" s="6" t="s">
        <v>35</v>
      </c>
      <c r="S697" s="46" t="s">
        <v>36</v>
      </c>
      <c r="T697" s="17" t="s">
        <v>4820</v>
      </c>
      <c r="U697" s="18" t="s">
        <v>517</v>
      </c>
      <c r="V697" s="19" t="s">
        <v>875</v>
      </c>
      <c r="W697" s="22" t="s">
        <v>1004</v>
      </c>
      <c r="X697" s="21" t="s">
        <v>1004</v>
      </c>
      <c r="Y697" s="22"/>
      <c r="Z697" s="36"/>
      <c r="AA697" s="36"/>
      <c r="AB697" s="26"/>
      <c r="AC697" s="33"/>
    </row>
    <row r="698" spans="1:29" ht="15.75" customHeight="1">
      <c r="A698" s="10" t="s">
        <v>4821</v>
      </c>
      <c r="B698" s="10" t="s">
        <v>27</v>
      </c>
      <c r="C698" s="52" t="s">
        <v>868</v>
      </c>
      <c r="D698" s="12"/>
      <c r="E698" s="13" t="s">
        <v>62</v>
      </c>
      <c r="F698" s="6" t="s">
        <v>4822</v>
      </c>
      <c r="G698" s="14" t="str">
        <f ca="1">IFERROR(__xludf.DUMMYFUNCTION("CONCATENATE(B698,(VLOOKUP(C698,CATALOGOS!$F$2:$H$6,3,FALSE)),(VLOOKUP(V698,CATALOGOS!$J$2:$K$18,2,FALSE)),""-"",TO_TEXT(A698))"),"P03CV-0697")</f>
        <v>P03CV-0697</v>
      </c>
      <c r="H698" s="15" t="str">
        <f ca="1">IFERROR(__xludf.DUMMYFUNCTION("CONCATENATE($B698,(VLOOKUP($C698,CATALOGOS!$F$2:$H$6,3,FALSE)),(VLOOKUP($V698,CATALOGOS!$J$2:$K$18,2,FALSE)),""-"",TO_TEXT($A698))"),"P03CV-0697")</f>
        <v>P03CV-0697</v>
      </c>
      <c r="I698" s="6"/>
      <c r="J698" s="6" t="s">
        <v>4823</v>
      </c>
      <c r="K698" s="6" t="s">
        <v>4824</v>
      </c>
      <c r="L698" s="6" t="s">
        <v>4825</v>
      </c>
      <c r="M698" s="6" t="s">
        <v>4826</v>
      </c>
      <c r="N698" s="17"/>
      <c r="O698" s="17"/>
      <c r="P698" s="17" t="str">
        <f t="shared" si="7"/>
        <v>OK</v>
      </c>
      <c r="Q698" s="17" t="s">
        <v>35</v>
      </c>
      <c r="R698" s="6" t="s">
        <v>35</v>
      </c>
      <c r="S698" s="17" t="s">
        <v>36</v>
      </c>
      <c r="T698" s="17" t="s">
        <v>4827</v>
      </c>
      <c r="U698" s="18" t="s">
        <v>38</v>
      </c>
      <c r="V698" s="19" t="s">
        <v>875</v>
      </c>
      <c r="W698" s="20" t="s">
        <v>4629</v>
      </c>
      <c r="X698" s="39" t="s">
        <v>4629</v>
      </c>
      <c r="Y698" s="20"/>
      <c r="Z698" s="36"/>
      <c r="AA698" s="36"/>
      <c r="AB698" s="23"/>
      <c r="AC698" s="33"/>
    </row>
    <row r="699" spans="1:29" ht="15.75" customHeight="1">
      <c r="A699" s="10" t="s">
        <v>4828</v>
      </c>
      <c r="B699" s="10" t="s">
        <v>27</v>
      </c>
      <c r="C699" s="52" t="s">
        <v>868</v>
      </c>
      <c r="D699" s="12"/>
      <c r="E699" s="13" t="s">
        <v>116</v>
      </c>
      <c r="F699" s="6" t="s">
        <v>364</v>
      </c>
      <c r="G699" s="14" t="str">
        <f ca="1">IFERROR(__xludf.DUMMYFUNCTION("CONCATENATE(B699,(VLOOKUP(C699,CATALOGOS!$F$2:$H$6,3,FALSE)),(VLOOKUP(V699,CATALOGOS!$J$2:$K$18,2,FALSE)),""-"",TO_TEXT(A699))"),"P03CV-0698")</f>
        <v>P03CV-0698</v>
      </c>
      <c r="H699" s="15" t="str">
        <f ca="1">IFERROR(__xludf.DUMMYFUNCTION("CONCATENATE($B699,(VLOOKUP($C699,CATALOGOS!$F$2:$H$6,3,FALSE)),(VLOOKUP($V699,CATALOGOS!$J$2:$K$18,2,FALSE)),""-"",TO_TEXT($A699))"),"P03CV-0698")</f>
        <v>P03CV-0698</v>
      </c>
      <c r="I699" s="6"/>
      <c r="J699" s="6" t="s">
        <v>4829</v>
      </c>
      <c r="K699" s="6" t="s">
        <v>4830</v>
      </c>
      <c r="L699" s="6" t="s">
        <v>4831</v>
      </c>
      <c r="M699" s="6" t="s">
        <v>4832</v>
      </c>
      <c r="N699" s="17"/>
      <c r="O699" s="17"/>
      <c r="P699" s="17" t="str">
        <f t="shared" si="7"/>
        <v>OK</v>
      </c>
      <c r="Q699" s="17" t="s">
        <v>35</v>
      </c>
      <c r="R699" s="6" t="s">
        <v>35</v>
      </c>
      <c r="S699" s="17" t="s">
        <v>36</v>
      </c>
      <c r="T699" s="17" t="s">
        <v>4833</v>
      </c>
      <c r="U699" s="18" t="s">
        <v>38</v>
      </c>
      <c r="V699" s="19" t="s">
        <v>875</v>
      </c>
      <c r="W699" s="20" t="s">
        <v>4629</v>
      </c>
      <c r="X699" s="39" t="s">
        <v>4629</v>
      </c>
      <c r="Y699" s="20"/>
      <c r="Z699" s="36"/>
      <c r="AA699" s="36"/>
      <c r="AB699" s="23"/>
      <c r="AC699" s="33"/>
    </row>
    <row r="700" spans="1:29" ht="15.75" customHeight="1">
      <c r="A700" s="10" t="s">
        <v>4834</v>
      </c>
      <c r="B700" s="10" t="s">
        <v>27</v>
      </c>
      <c r="C700" s="52" t="s">
        <v>868</v>
      </c>
      <c r="D700" s="12"/>
      <c r="E700" s="13" t="s">
        <v>93</v>
      </c>
      <c r="F700" s="6" t="s">
        <v>1739</v>
      </c>
      <c r="G700" s="14" t="str">
        <f ca="1">IFERROR(__xludf.DUMMYFUNCTION("CONCATENATE(B700,(VLOOKUP(C700,CATALOGOS!$F$2:$H$6,3,FALSE)),(VLOOKUP(V700,CATALOGOS!$J$2:$K$18,2,FALSE)),""-"",TO_TEXT(A700))"),"P03CV-0699")</f>
        <v>P03CV-0699</v>
      </c>
      <c r="H700" s="15" t="str">
        <f ca="1">IFERROR(__xludf.DUMMYFUNCTION("CONCATENATE($B700,(VLOOKUP($C700,CATALOGOS!$F$2:$H$6,3,FALSE)),(VLOOKUP($V700,CATALOGOS!$J$2:$K$18,2,FALSE)),""-"",TO_TEXT($A700))"),"P03CV-0699")</f>
        <v>P03CV-0699</v>
      </c>
      <c r="I700" s="6"/>
      <c r="J700" s="6" t="s">
        <v>4835</v>
      </c>
      <c r="K700" s="6" t="s">
        <v>4836</v>
      </c>
      <c r="L700" s="6" t="s">
        <v>4837</v>
      </c>
      <c r="M700" s="6" t="s">
        <v>4838</v>
      </c>
      <c r="N700" s="17"/>
      <c r="O700" s="17"/>
      <c r="P700" s="17" t="str">
        <f t="shared" si="7"/>
        <v>OK</v>
      </c>
      <c r="Q700" s="17" t="s">
        <v>35</v>
      </c>
      <c r="R700" s="6" t="s">
        <v>35</v>
      </c>
      <c r="S700" s="17" t="s">
        <v>36</v>
      </c>
      <c r="T700" s="17" t="s">
        <v>4839</v>
      </c>
      <c r="U700" s="18" t="s">
        <v>38</v>
      </c>
      <c r="V700" s="19" t="s">
        <v>875</v>
      </c>
      <c r="W700" s="20" t="s">
        <v>4629</v>
      </c>
      <c r="X700" s="39" t="s">
        <v>4629</v>
      </c>
      <c r="Y700" s="20"/>
      <c r="Z700" s="36"/>
      <c r="AA700" s="36"/>
      <c r="AB700" s="23"/>
      <c r="AC700" s="33"/>
    </row>
    <row r="701" spans="1:29" ht="15.75" customHeight="1">
      <c r="A701" s="10" t="s">
        <v>4840</v>
      </c>
      <c r="B701" s="10" t="s">
        <v>27</v>
      </c>
      <c r="C701" s="52" t="s">
        <v>868</v>
      </c>
      <c r="D701" s="12"/>
      <c r="E701" s="13" t="s">
        <v>248</v>
      </c>
      <c r="F701" s="6" t="s">
        <v>249</v>
      </c>
      <c r="G701" s="14" t="str">
        <f ca="1">IFERROR(__xludf.DUMMYFUNCTION("CONCATENATE(B701,(VLOOKUP(C701,CATALOGOS!$F$2:$H$6,3,FALSE)),(VLOOKUP(V701,CATALOGOS!$J$2:$K$18,2,FALSE)),""-"",TO_TEXT(A701))"),"P03CV-0700")</f>
        <v>P03CV-0700</v>
      </c>
      <c r="H701" s="15" t="str">
        <f ca="1">IFERROR(__xludf.DUMMYFUNCTION("CONCATENATE($B701,(VLOOKUP($C701,CATALOGOS!$F$2:$H$6,3,FALSE)),(VLOOKUP($V701,CATALOGOS!$J$2:$K$18,2,FALSE)),""-"",TO_TEXT($A701))"),"P03CV-0700")</f>
        <v>P03CV-0700</v>
      </c>
      <c r="I701" s="6"/>
      <c r="J701" s="6" t="s">
        <v>4841</v>
      </c>
      <c r="K701" s="6" t="s">
        <v>4842</v>
      </c>
      <c r="L701" s="6" t="s">
        <v>4843</v>
      </c>
      <c r="M701" s="43" t="s">
        <v>4844</v>
      </c>
      <c r="N701" s="17"/>
      <c r="O701" s="17"/>
      <c r="P701" s="17" t="str">
        <f t="shared" si="7"/>
        <v>OK</v>
      </c>
      <c r="Q701" s="17" t="s">
        <v>978</v>
      </c>
      <c r="R701" s="6" t="s">
        <v>979</v>
      </c>
      <c r="S701" s="17" t="s">
        <v>4845</v>
      </c>
      <c r="T701" s="17" t="s">
        <v>4846</v>
      </c>
      <c r="U701" s="18" t="s">
        <v>38</v>
      </c>
      <c r="V701" s="19" t="s">
        <v>875</v>
      </c>
      <c r="W701" s="20" t="s">
        <v>4629</v>
      </c>
      <c r="X701" s="39" t="s">
        <v>4629</v>
      </c>
      <c r="Y701" s="20"/>
      <c r="Z701" s="36"/>
      <c r="AA701" s="36"/>
      <c r="AB701" s="23"/>
      <c r="AC701" s="33"/>
    </row>
    <row r="702" spans="1:29" ht="15.75" customHeight="1">
      <c r="A702" s="10" t="s">
        <v>4847</v>
      </c>
      <c r="B702" s="10" t="s">
        <v>27</v>
      </c>
      <c r="C702" s="52" t="s">
        <v>868</v>
      </c>
      <c r="D702" s="38"/>
      <c r="E702" s="13" t="s">
        <v>162</v>
      </c>
      <c r="F702" s="6" t="s">
        <v>285</v>
      </c>
      <c r="G702" s="14" t="str">
        <f ca="1">IFERROR(__xludf.DUMMYFUNCTION("CONCATENATE(B702,(VLOOKUP(C702,CATALOGOS!$F$2:$H$6,3,FALSE)),(VLOOKUP(V702,CATALOGOS!$J$2:$K$18,2,FALSE)),""-"",TO_TEXT(A702))"),"P03CV-0701")</f>
        <v>P03CV-0701</v>
      </c>
      <c r="H702" s="15" t="str">
        <f ca="1">IFERROR(__xludf.DUMMYFUNCTION("CONCATENATE($B702,(VLOOKUP($C702,CATALOGOS!$F$2:$H$6,3,FALSE)),(VLOOKUP($V702,CATALOGOS!$J$2:$K$18,2,FALSE)),""-"",TO_TEXT($A702))"),"P03CV-0701")</f>
        <v>P03CV-0701</v>
      </c>
      <c r="I702" s="6"/>
      <c r="J702" s="6" t="s">
        <v>4848</v>
      </c>
      <c r="K702" s="6" t="s">
        <v>4849</v>
      </c>
      <c r="L702" s="6" t="s">
        <v>4850</v>
      </c>
      <c r="M702" s="6" t="s">
        <v>4851</v>
      </c>
      <c r="N702" s="17"/>
      <c r="O702" s="17"/>
      <c r="P702" s="17" t="str">
        <f t="shared" si="7"/>
        <v>OK</v>
      </c>
      <c r="Q702" s="17" t="s">
        <v>168</v>
      </c>
      <c r="R702" s="6" t="s">
        <v>169</v>
      </c>
      <c r="S702" s="46" t="s">
        <v>4852</v>
      </c>
      <c r="T702" s="17" t="s">
        <v>4853</v>
      </c>
      <c r="U702" s="18" t="s">
        <v>549</v>
      </c>
      <c r="V702" s="19" t="s">
        <v>875</v>
      </c>
      <c r="W702" s="20" t="s">
        <v>4629</v>
      </c>
      <c r="X702" s="39" t="s">
        <v>4574</v>
      </c>
      <c r="Y702" s="20"/>
      <c r="Z702" s="36"/>
      <c r="AA702" s="36"/>
      <c r="AB702" s="26"/>
      <c r="AC702" s="33"/>
    </row>
    <row r="703" spans="1:29" ht="15.75" customHeight="1">
      <c r="A703" s="10" t="s">
        <v>4854</v>
      </c>
      <c r="B703" s="10" t="s">
        <v>27</v>
      </c>
      <c r="C703" s="52" t="s">
        <v>868</v>
      </c>
      <c r="D703" s="12"/>
      <c r="E703" s="13" t="s">
        <v>93</v>
      </c>
      <c r="F703" s="6" t="s">
        <v>4855</v>
      </c>
      <c r="G703" s="14" t="str">
        <f ca="1">IFERROR(__xludf.DUMMYFUNCTION("CONCATENATE(B703,(VLOOKUP(C703,CATALOGOS!$F$2:$H$6,3,FALSE)),(VLOOKUP(V703,CATALOGOS!$J$2:$K$18,2,FALSE)),""-"",TO_TEXT(A703))"),"P03CV-0702")</f>
        <v>P03CV-0702</v>
      </c>
      <c r="H703" s="15" t="str">
        <f ca="1">IFERROR(__xludf.DUMMYFUNCTION("CONCATENATE($B703,(VLOOKUP($C703,CATALOGOS!$F$2:$H$6,3,FALSE)),(VLOOKUP($V703,CATALOGOS!$J$2:$K$18,2,FALSE)),""-"",TO_TEXT($A703))"),"P03CV-0702")</f>
        <v>P03CV-0702</v>
      </c>
      <c r="I703" s="6"/>
      <c r="J703" s="6" t="s">
        <v>4856</v>
      </c>
      <c r="K703" s="6" t="s">
        <v>4857</v>
      </c>
      <c r="L703" s="6" t="s">
        <v>4858</v>
      </c>
      <c r="M703" s="6" t="s">
        <v>4859</v>
      </c>
      <c r="N703" s="17"/>
      <c r="O703" s="17"/>
      <c r="P703" s="17" t="str">
        <f t="shared" si="7"/>
        <v>OK</v>
      </c>
      <c r="Q703" s="17" t="s">
        <v>35</v>
      </c>
      <c r="R703" s="6" t="s">
        <v>35</v>
      </c>
      <c r="S703" s="17" t="s">
        <v>36</v>
      </c>
      <c r="T703" s="17" t="s">
        <v>4860</v>
      </c>
      <c r="U703" s="18" t="s">
        <v>38</v>
      </c>
      <c r="V703" s="19" t="s">
        <v>875</v>
      </c>
      <c r="W703" s="20" t="s">
        <v>4737</v>
      </c>
      <c r="X703" s="21" t="s">
        <v>4737</v>
      </c>
      <c r="Y703" s="22"/>
      <c r="Z703" s="36"/>
      <c r="AA703" s="36"/>
      <c r="AB703" s="23"/>
      <c r="AC703" s="33"/>
    </row>
    <row r="704" spans="1:29" ht="15.75" customHeight="1">
      <c r="A704" s="10" t="s">
        <v>4861</v>
      </c>
      <c r="B704" s="10" t="s">
        <v>27</v>
      </c>
      <c r="C704" s="52" t="s">
        <v>868</v>
      </c>
      <c r="D704" s="12"/>
      <c r="E704" s="13" t="s">
        <v>116</v>
      </c>
      <c r="F704" s="6" t="s">
        <v>1443</v>
      </c>
      <c r="G704" s="14" t="str">
        <f ca="1">IFERROR(__xludf.DUMMYFUNCTION("CONCATENATE(B704,(VLOOKUP(C704,CATALOGOS!$F$2:$H$6,3,FALSE)),(VLOOKUP(V704,CATALOGOS!$J$2:$K$18,2,FALSE)),""-"",TO_TEXT(A704))"),"P03CV-0703")</f>
        <v>P03CV-0703</v>
      </c>
      <c r="H704" s="15" t="str">
        <f ca="1">IFERROR(__xludf.DUMMYFUNCTION("CONCATENATE($B704,(VLOOKUP($C704,CATALOGOS!$F$2:$H$6,3,FALSE)),(VLOOKUP($V704,CATALOGOS!$J$2:$K$18,2,FALSE)),""-"",TO_TEXT($A704))"),"P03CV-0703")</f>
        <v>P03CV-0703</v>
      </c>
      <c r="I704" s="6"/>
      <c r="J704" s="6" t="s">
        <v>4862</v>
      </c>
      <c r="K704" s="6" t="s">
        <v>4863</v>
      </c>
      <c r="L704" s="6" t="s">
        <v>4864</v>
      </c>
      <c r="M704" s="6" t="s">
        <v>4865</v>
      </c>
      <c r="N704" s="17"/>
      <c r="O704" s="17"/>
      <c r="P704" s="17" t="str">
        <f t="shared" si="7"/>
        <v>OK</v>
      </c>
      <c r="Q704" s="17" t="s">
        <v>35</v>
      </c>
      <c r="R704" s="6" t="s">
        <v>35</v>
      </c>
      <c r="S704" s="17" t="s">
        <v>36</v>
      </c>
      <c r="T704" s="17" t="s">
        <v>4866</v>
      </c>
      <c r="U704" s="18" t="s">
        <v>38</v>
      </c>
      <c r="V704" s="19" t="s">
        <v>875</v>
      </c>
      <c r="W704" s="22" t="s">
        <v>4737</v>
      </c>
      <c r="X704" s="21" t="s">
        <v>4737</v>
      </c>
      <c r="Y704" s="22"/>
      <c r="Z704" s="36"/>
      <c r="AA704" s="36"/>
      <c r="AB704" s="23"/>
      <c r="AC704" s="33"/>
    </row>
    <row r="705" spans="1:29" ht="15.75" customHeight="1">
      <c r="A705" s="10" t="s">
        <v>4867</v>
      </c>
      <c r="B705" s="10" t="s">
        <v>27</v>
      </c>
      <c r="C705" s="52" t="s">
        <v>868</v>
      </c>
      <c r="D705" s="12"/>
      <c r="E705" s="13" t="s">
        <v>151</v>
      </c>
      <c r="F705" s="6" t="s">
        <v>714</v>
      </c>
      <c r="G705" s="14" t="str">
        <f ca="1">IFERROR(__xludf.DUMMYFUNCTION("CONCATENATE(B705,(VLOOKUP(C705,CATALOGOS!$F$2:$H$6,3,FALSE)),(VLOOKUP(V705,CATALOGOS!$J$2:$K$18,2,FALSE)),""-"",TO_TEXT(A705))"),"P03CV-0704")</f>
        <v>P03CV-0704</v>
      </c>
      <c r="H705" s="15" t="str">
        <f ca="1">IFERROR(__xludf.DUMMYFUNCTION("CONCATENATE($B705,(VLOOKUP($C705,CATALOGOS!$F$2:$H$6,3,FALSE)),(VLOOKUP($V705,CATALOGOS!$J$2:$K$18,2,FALSE)),""-"",TO_TEXT($A705))"),"P03CV-0704")</f>
        <v>P03CV-0704</v>
      </c>
      <c r="I705" s="6"/>
      <c r="J705" s="6" t="s">
        <v>4868</v>
      </c>
      <c r="K705" s="6" t="s">
        <v>4869</v>
      </c>
      <c r="L705" s="6" t="s">
        <v>4870</v>
      </c>
      <c r="M705" s="6" t="s">
        <v>4871</v>
      </c>
      <c r="N705" s="17"/>
      <c r="O705" s="17"/>
      <c r="P705" s="17" t="str">
        <f t="shared" si="7"/>
        <v>OK</v>
      </c>
      <c r="Q705" s="17" t="s">
        <v>1220</v>
      </c>
      <c r="R705" s="6" t="s">
        <v>720</v>
      </c>
      <c r="S705" s="17" t="s">
        <v>4872</v>
      </c>
      <c r="T705" s="17" t="s">
        <v>4873</v>
      </c>
      <c r="U705" s="18" t="s">
        <v>38</v>
      </c>
      <c r="V705" s="19" t="s">
        <v>875</v>
      </c>
      <c r="W705" s="22" t="s">
        <v>4737</v>
      </c>
      <c r="X705" s="21" t="s">
        <v>4737</v>
      </c>
      <c r="Y705" s="22"/>
      <c r="Z705" s="36"/>
      <c r="AA705" s="36"/>
      <c r="AB705" s="23"/>
      <c r="AC705" s="33"/>
    </row>
    <row r="706" spans="1:29" ht="15.75" customHeight="1">
      <c r="A706" s="10" t="s">
        <v>4874</v>
      </c>
      <c r="B706" s="10" t="s">
        <v>27</v>
      </c>
      <c r="C706" s="52" t="s">
        <v>868</v>
      </c>
      <c r="D706" s="12"/>
      <c r="E706" s="13" t="s">
        <v>199</v>
      </c>
      <c r="F706" s="6" t="s">
        <v>199</v>
      </c>
      <c r="G706" s="14" t="str">
        <f ca="1">IFERROR(__xludf.DUMMYFUNCTION("CONCATENATE(B706,(VLOOKUP(C706,CATALOGOS!$F$2:$H$6,3,FALSE)),(VLOOKUP(V706,CATALOGOS!$J$2:$K$18,2,FALSE)),""-"",TO_TEXT(A706))"),"P03CV-0705")</f>
        <v>P03CV-0705</v>
      </c>
      <c r="H706" s="15" t="str">
        <f ca="1">IFERROR(__xludf.DUMMYFUNCTION("CONCATENATE($B706,(VLOOKUP($C706,CATALOGOS!$F$2:$H$6,3,FALSE)),(VLOOKUP($V706,CATALOGOS!$J$2:$K$18,2,FALSE)),""-"",TO_TEXT($A706))"),"P03CV-0705")</f>
        <v>P03CV-0705</v>
      </c>
      <c r="I706" s="6"/>
      <c r="J706" s="6" t="s">
        <v>4875</v>
      </c>
      <c r="K706" s="6" t="s">
        <v>4876</v>
      </c>
      <c r="L706" s="6" t="s">
        <v>4877</v>
      </c>
      <c r="M706" s="6" t="s">
        <v>4878</v>
      </c>
      <c r="N706" s="17"/>
      <c r="O706" s="17"/>
      <c r="P706" s="17" t="str">
        <f t="shared" si="7"/>
        <v>OK</v>
      </c>
      <c r="Q706" s="17" t="s">
        <v>297</v>
      </c>
      <c r="R706" s="6" t="s">
        <v>1399</v>
      </c>
      <c r="S706" s="17" t="s">
        <v>4879</v>
      </c>
      <c r="T706" s="17" t="s">
        <v>4880</v>
      </c>
      <c r="U706" s="18" t="s">
        <v>38</v>
      </c>
      <c r="V706" s="19" t="s">
        <v>875</v>
      </c>
      <c r="W706" s="22" t="s">
        <v>4737</v>
      </c>
      <c r="X706" s="21" t="s">
        <v>4737</v>
      </c>
      <c r="Y706" s="22"/>
      <c r="Z706" s="36"/>
      <c r="AA706" s="36"/>
      <c r="AB706" s="23"/>
      <c r="AC706" s="33"/>
    </row>
    <row r="707" spans="1:29" ht="15.75" customHeight="1">
      <c r="A707" s="10" t="s">
        <v>4881</v>
      </c>
      <c r="B707" s="10" t="s">
        <v>27</v>
      </c>
      <c r="C707" s="52" t="s">
        <v>868</v>
      </c>
      <c r="D707" s="12"/>
      <c r="E707" s="13" t="s">
        <v>162</v>
      </c>
      <c r="F707" s="43" t="s">
        <v>285</v>
      </c>
      <c r="G707" s="14" t="str">
        <f ca="1">IFERROR(__xludf.DUMMYFUNCTION("CONCATENATE(B707,(VLOOKUP(C707,CATALOGOS!$F$2:$H$6,3,FALSE)),(VLOOKUP(V707,CATALOGOS!$J$2:$K$18,2,FALSE)),""-"",TO_TEXT(A707))"),"P03CV-0706")</f>
        <v>P03CV-0706</v>
      </c>
      <c r="H707" s="15" t="str">
        <f ca="1">IFERROR(__xludf.DUMMYFUNCTION("CONCATENATE($B707,(VLOOKUP($C707,CATALOGOS!$F$2:$H$6,3,FALSE)),(VLOOKUP($V707,CATALOGOS!$J$2:$K$18,2,FALSE)),""-"",TO_TEXT($A707))"),"P03CV-0706")</f>
        <v>P03CV-0706</v>
      </c>
      <c r="I707" s="6"/>
      <c r="J707" s="6" t="s">
        <v>4882</v>
      </c>
      <c r="K707" s="6" t="s">
        <v>4883</v>
      </c>
      <c r="L707" s="6" t="s">
        <v>4884</v>
      </c>
      <c r="M707" s="6" t="s">
        <v>4885</v>
      </c>
      <c r="N707" s="17"/>
      <c r="O707" s="17"/>
      <c r="P707" s="17" t="str">
        <f t="shared" si="7"/>
        <v>OK</v>
      </c>
      <c r="Q707" s="17" t="s">
        <v>663</v>
      </c>
      <c r="R707" s="6" t="s">
        <v>664</v>
      </c>
      <c r="S707" s="17" t="s">
        <v>4886</v>
      </c>
      <c r="T707" s="10" t="s">
        <v>4887</v>
      </c>
      <c r="U707" s="18" t="s">
        <v>38</v>
      </c>
      <c r="V707" s="19" t="s">
        <v>875</v>
      </c>
      <c r="W707" s="22" t="s">
        <v>4737</v>
      </c>
      <c r="X707" s="21" t="s">
        <v>4737</v>
      </c>
      <c r="Y707" s="22"/>
      <c r="Z707" s="36"/>
      <c r="AA707" s="36"/>
      <c r="AB707" s="23"/>
      <c r="AC707" s="33"/>
    </row>
    <row r="708" spans="1:29" ht="15.75" customHeight="1">
      <c r="A708" s="10" t="s">
        <v>4888</v>
      </c>
      <c r="B708" s="10" t="s">
        <v>27</v>
      </c>
      <c r="C708" s="52" t="s">
        <v>868</v>
      </c>
      <c r="D708" s="12"/>
      <c r="E708" s="13" t="s">
        <v>248</v>
      </c>
      <c r="F708" s="6" t="s">
        <v>249</v>
      </c>
      <c r="G708" s="14" t="str">
        <f ca="1">IFERROR(__xludf.DUMMYFUNCTION("CONCATENATE(B708,(VLOOKUP(C708,CATALOGOS!$F$2:$H$6,3,FALSE)),(VLOOKUP(V708,CATALOGOS!$J$2:$K$18,2,FALSE)),""-"",TO_TEXT(A708))"),"P03CV-0707")</f>
        <v>P03CV-0707</v>
      </c>
      <c r="H708" s="15" t="str">
        <f ca="1">IFERROR(__xludf.DUMMYFUNCTION("CONCATENATE($B708,(VLOOKUP($C708,CATALOGOS!$F$2:$H$6,3,FALSE)),(VLOOKUP($V708,CATALOGOS!$J$2:$K$18,2,FALSE)),""-"",TO_TEXT($A708))"),"P03CV-0707")</f>
        <v>P03CV-0707</v>
      </c>
      <c r="I708" s="6"/>
      <c r="J708" s="6" t="s">
        <v>4889</v>
      </c>
      <c r="K708" s="6" t="s">
        <v>4890</v>
      </c>
      <c r="L708" s="6" t="s">
        <v>4891</v>
      </c>
      <c r="M708" s="6" t="s">
        <v>4892</v>
      </c>
      <c r="N708" s="17"/>
      <c r="O708" s="17"/>
      <c r="P708" s="17" t="str">
        <f t="shared" si="7"/>
        <v>OK</v>
      </c>
      <c r="Q708" s="17" t="s">
        <v>978</v>
      </c>
      <c r="R708" s="6" t="s">
        <v>979</v>
      </c>
      <c r="S708" s="17" t="s">
        <v>4893</v>
      </c>
      <c r="T708" s="17" t="s">
        <v>4894</v>
      </c>
      <c r="U708" s="18" t="s">
        <v>38</v>
      </c>
      <c r="V708" s="19" t="s">
        <v>875</v>
      </c>
      <c r="W708" s="22" t="s">
        <v>4737</v>
      </c>
      <c r="X708" s="21" t="s">
        <v>4737</v>
      </c>
      <c r="Y708" s="22"/>
      <c r="Z708" s="36"/>
      <c r="AA708" s="36"/>
      <c r="AB708" s="23"/>
      <c r="AC708" s="33"/>
    </row>
    <row r="709" spans="1:29" ht="15.75" customHeight="1">
      <c r="A709" s="10" t="s">
        <v>4895</v>
      </c>
      <c r="B709" s="10" t="s">
        <v>27</v>
      </c>
      <c r="C709" s="52" t="s">
        <v>868</v>
      </c>
      <c r="D709" s="12"/>
      <c r="E709" s="13" t="s">
        <v>378</v>
      </c>
      <c r="F709" s="6" t="s">
        <v>379</v>
      </c>
      <c r="G709" s="14" t="str">
        <f ca="1">IFERROR(__xludf.DUMMYFUNCTION("CONCATENATE(B709,(VLOOKUP(C709,CATALOGOS!$F$2:$H$6,3,FALSE)),(VLOOKUP(V709,CATALOGOS!$J$2:$K$18,2,FALSE)),""-"",TO_TEXT(A709))"),"P03CV-0708")</f>
        <v>P03CV-0708</v>
      </c>
      <c r="H709" s="15" t="str">
        <f ca="1">IFERROR(__xludf.DUMMYFUNCTION("CONCATENATE($B709,(VLOOKUP($C709,CATALOGOS!$F$2:$H$6,3,FALSE)),(VLOOKUP($V709,CATALOGOS!$J$2:$K$18,2,FALSE)),""-"",TO_TEXT($A709))"),"P03CV-0708")</f>
        <v>P03CV-0708</v>
      </c>
      <c r="I709" s="6"/>
      <c r="J709" s="6" t="s">
        <v>4896</v>
      </c>
      <c r="K709" s="6" t="s">
        <v>4897</v>
      </c>
      <c r="L709" s="6" t="s">
        <v>4898</v>
      </c>
      <c r="M709" s="6" t="s">
        <v>4899</v>
      </c>
      <c r="N709" s="17"/>
      <c r="O709" s="17"/>
      <c r="P709" s="17" t="str">
        <f t="shared" si="7"/>
        <v>OK</v>
      </c>
      <c r="Q709" s="17" t="s">
        <v>35</v>
      </c>
      <c r="R709" s="6" t="s">
        <v>35</v>
      </c>
      <c r="S709" s="17" t="s">
        <v>36</v>
      </c>
      <c r="T709" s="17" t="s">
        <v>4900</v>
      </c>
      <c r="U709" s="18" t="s">
        <v>38</v>
      </c>
      <c r="V709" s="19" t="s">
        <v>875</v>
      </c>
      <c r="W709" s="22" t="s">
        <v>4737</v>
      </c>
      <c r="X709" s="21" t="s">
        <v>4737</v>
      </c>
      <c r="Y709" s="22"/>
      <c r="Z709" s="36"/>
      <c r="AA709" s="36"/>
      <c r="AB709" s="23"/>
      <c r="AC709" s="33"/>
    </row>
    <row r="710" spans="1:29" ht="15.75" customHeight="1">
      <c r="A710" s="10" t="s">
        <v>4901</v>
      </c>
      <c r="B710" s="10" t="s">
        <v>27</v>
      </c>
      <c r="C710" s="61" t="s">
        <v>28</v>
      </c>
      <c r="D710" s="12"/>
      <c r="E710" s="13" t="s">
        <v>378</v>
      </c>
      <c r="F710" s="6" t="s">
        <v>4902</v>
      </c>
      <c r="G710" s="14" t="str">
        <f ca="1">IFERROR(__xludf.DUMMYFUNCTION("CONCATENATE(B710,(VLOOKUP(C710,CATALOGOS!$F$2:$H$6,3,FALSE)),(VLOOKUP(V710,CATALOGOS!$J$2:$K$18,2,FALSE)),""-"",TO_TEXT(A710))"),"P05RM-0709")</f>
        <v>P05RM-0709</v>
      </c>
      <c r="H710" s="15" t="str">
        <f ca="1">IFERROR(__xludf.DUMMYFUNCTION("CONCATENATE($B710,(VLOOKUP($C710,CATALOGOS!$F$2:$H$6,3,FALSE)),(VLOOKUP($V710,CATALOGOS!$J$2:$K$18,2,FALSE)),""-"",TO_TEXT($A710))"),"P05RM-0709")</f>
        <v>P05RM-0709</v>
      </c>
      <c r="I710" s="6"/>
      <c r="J710" s="6" t="s">
        <v>4903</v>
      </c>
      <c r="K710" s="6" t="s">
        <v>4904</v>
      </c>
      <c r="L710" s="36"/>
      <c r="M710" s="6" t="s">
        <v>141</v>
      </c>
      <c r="N710" s="17"/>
      <c r="O710" s="17"/>
      <c r="P710" s="17" t="str">
        <f t="shared" si="7"/>
        <v>REPETIDO</v>
      </c>
      <c r="Q710" s="17" t="s">
        <v>35</v>
      </c>
      <c r="R710" s="6" t="s">
        <v>35</v>
      </c>
      <c r="S710" s="6" t="s">
        <v>36</v>
      </c>
      <c r="T710" s="10" t="s">
        <v>4905</v>
      </c>
      <c r="U710" s="18" t="s">
        <v>38</v>
      </c>
      <c r="V710" s="19" t="s">
        <v>147</v>
      </c>
      <c r="W710" s="20" t="s">
        <v>385</v>
      </c>
      <c r="X710" s="21" t="s">
        <v>4737</v>
      </c>
      <c r="Y710" s="22"/>
      <c r="Z710" s="36"/>
      <c r="AA710" s="36"/>
      <c r="AB710" s="23"/>
      <c r="AC710" s="33"/>
    </row>
    <row r="711" spans="1:29" ht="15.75" customHeight="1">
      <c r="A711" s="10" t="s">
        <v>4906</v>
      </c>
      <c r="B711" s="10" t="s">
        <v>27</v>
      </c>
      <c r="C711" s="61" t="s">
        <v>28</v>
      </c>
      <c r="D711" s="38"/>
      <c r="E711" s="13" t="s">
        <v>184</v>
      </c>
      <c r="F711" s="6" t="s">
        <v>4815</v>
      </c>
      <c r="G711" s="14" t="str">
        <f ca="1">IFERROR(__xludf.DUMMYFUNCTION("CONCATENATE(B711,(VLOOKUP(C711,CATALOGOS!$F$2:$H$6,3,FALSE)),(VLOOKUP(V711,CATALOGOS!$J$2:$K$18,2,FALSE)),""-"",TO_TEXT(A711))"),"P05RM-0710")</f>
        <v>P05RM-0710</v>
      </c>
      <c r="H711" s="15" t="str">
        <f ca="1">IFERROR(__xludf.DUMMYFUNCTION("CONCATENATE($B711,(VLOOKUP($C711,CATALOGOS!$F$2:$H$6,3,FALSE)),(VLOOKUP($V711,CATALOGOS!$J$2:$K$18,2,FALSE)),""-"",TO_TEXT($A711))"),"P05RM-0710")</f>
        <v>P05RM-0710</v>
      </c>
      <c r="I711" s="6"/>
      <c r="J711" s="6" t="s">
        <v>4907</v>
      </c>
      <c r="K711" s="6" t="s">
        <v>4908</v>
      </c>
      <c r="L711" s="6" t="s">
        <v>4909</v>
      </c>
      <c r="M711" s="43" t="s">
        <v>4910</v>
      </c>
      <c r="N711" s="17"/>
      <c r="O711" s="17"/>
      <c r="P711" s="17" t="str">
        <f t="shared" si="7"/>
        <v>OK</v>
      </c>
      <c r="Q711" s="43" t="s">
        <v>35</v>
      </c>
      <c r="R711" s="6" t="s">
        <v>35</v>
      </c>
      <c r="S711" s="46" t="s">
        <v>36</v>
      </c>
      <c r="T711" s="17" t="s">
        <v>4911</v>
      </c>
      <c r="U711" s="18" t="s">
        <v>100</v>
      </c>
      <c r="V711" s="19" t="s">
        <v>147</v>
      </c>
      <c r="W711" s="39" t="s">
        <v>385</v>
      </c>
      <c r="X711" s="21" t="s">
        <v>4629</v>
      </c>
      <c r="Y711" s="32"/>
      <c r="Z711" s="36"/>
      <c r="AA711" s="36"/>
      <c r="AB711" s="26"/>
      <c r="AC711" s="26"/>
    </row>
    <row r="712" spans="1:29" ht="15.75" customHeight="1">
      <c r="A712" s="10" t="s">
        <v>4912</v>
      </c>
      <c r="B712" s="10" t="s">
        <v>27</v>
      </c>
      <c r="C712" s="61" t="s">
        <v>28</v>
      </c>
      <c r="D712" s="12"/>
      <c r="E712" s="13" t="s">
        <v>151</v>
      </c>
      <c r="F712" s="6" t="s">
        <v>714</v>
      </c>
      <c r="G712" s="14" t="str">
        <f ca="1">IFERROR(__xludf.DUMMYFUNCTION("CONCATENATE(B712,(VLOOKUP(C712,CATALOGOS!$F$2:$H$6,3,FALSE)),(VLOOKUP(V712,CATALOGOS!$J$2:$K$18,2,FALSE)),""-"",TO_TEXT(A712))"),"P05RM-0711")</f>
        <v>P05RM-0711</v>
      </c>
      <c r="H712" s="15" t="str">
        <f ca="1">IFERROR(__xludf.DUMMYFUNCTION("CONCATENATE($B712,(VLOOKUP($C712,CATALOGOS!$F$2:$H$6,3,FALSE)),(VLOOKUP($V712,CATALOGOS!$J$2:$K$18,2,FALSE)),""-"",TO_TEXT($A712))"),"P05RM-0711")</f>
        <v>P05RM-0711</v>
      </c>
      <c r="I712" s="6"/>
      <c r="J712" s="6" t="s">
        <v>4913</v>
      </c>
      <c r="K712" s="6" t="s">
        <v>4914</v>
      </c>
      <c r="L712" s="6" t="s">
        <v>4915</v>
      </c>
      <c r="M712" s="6" t="s">
        <v>4916</v>
      </c>
      <c r="N712" s="17"/>
      <c r="O712" s="17"/>
      <c r="P712" s="17" t="str">
        <f t="shared" si="7"/>
        <v>OK</v>
      </c>
      <c r="Q712" s="17" t="s">
        <v>1220</v>
      </c>
      <c r="R712" s="6" t="s">
        <v>720</v>
      </c>
      <c r="S712" s="17" t="s">
        <v>4917</v>
      </c>
      <c r="T712" s="17" t="s">
        <v>4918</v>
      </c>
      <c r="U712" s="18" t="s">
        <v>38</v>
      </c>
      <c r="V712" s="28" t="s">
        <v>147</v>
      </c>
      <c r="W712" s="20" t="s">
        <v>385</v>
      </c>
      <c r="X712" s="21" t="s">
        <v>876</v>
      </c>
      <c r="Y712" s="22"/>
      <c r="Z712" s="36"/>
      <c r="AA712" s="36"/>
      <c r="AB712" s="23"/>
      <c r="AC712" s="33"/>
    </row>
    <row r="713" spans="1:29" ht="15.75" customHeight="1">
      <c r="A713" s="10" t="s">
        <v>4919</v>
      </c>
      <c r="B713" s="10" t="s">
        <v>27</v>
      </c>
      <c r="C713" s="61" t="s">
        <v>28</v>
      </c>
      <c r="D713" s="38"/>
      <c r="E713" s="13" t="s">
        <v>199</v>
      </c>
      <c r="F713" s="6" t="s">
        <v>199</v>
      </c>
      <c r="G713" s="14" t="str">
        <f ca="1">IFERROR(__xludf.DUMMYFUNCTION("CONCATENATE(B713,(VLOOKUP(C713,CATALOGOS!$F$2:$H$6,3,FALSE)),(VLOOKUP(V713,CATALOGOS!$J$2:$K$18,2,FALSE)),""-"",TO_TEXT(A713))"),"P05RM-0712")</f>
        <v>P05RM-0712</v>
      </c>
      <c r="H713" s="15" t="str">
        <f ca="1">IFERROR(__xludf.DUMMYFUNCTION("CONCATENATE($B713,(VLOOKUP($C713,CATALOGOS!$F$2:$H$6,3,FALSE)),(VLOOKUP($V713,CATALOGOS!$J$2:$K$18,2,FALSE)),""-"",TO_TEXT($A713))"),"P05RM-0712")</f>
        <v>P05RM-0712</v>
      </c>
      <c r="I713" s="6"/>
      <c r="J713" s="6" t="s">
        <v>4920</v>
      </c>
      <c r="K713" s="6" t="s">
        <v>4921</v>
      </c>
      <c r="L713" s="6" t="s">
        <v>4922</v>
      </c>
      <c r="M713" s="6" t="s">
        <v>4923</v>
      </c>
      <c r="N713" s="17"/>
      <c r="O713" s="17"/>
      <c r="P713" s="17" t="str">
        <f t="shared" si="7"/>
        <v>OK</v>
      </c>
      <c r="Q713" s="17" t="s">
        <v>205</v>
      </c>
      <c r="R713" s="6" t="s">
        <v>4924</v>
      </c>
      <c r="S713" s="46" t="s">
        <v>4925</v>
      </c>
      <c r="T713" s="32" t="s">
        <v>4926</v>
      </c>
      <c r="U713" s="18" t="s">
        <v>100</v>
      </c>
      <c r="V713" s="19" t="s">
        <v>147</v>
      </c>
      <c r="W713" s="20" t="s">
        <v>385</v>
      </c>
      <c r="X713" s="21" t="s">
        <v>876</v>
      </c>
      <c r="Y713" s="20" t="s">
        <v>4927</v>
      </c>
      <c r="Z713" s="36"/>
      <c r="AA713" s="36"/>
      <c r="AB713" s="26"/>
      <c r="AC713" s="33"/>
    </row>
    <row r="714" spans="1:29" ht="15.75" customHeight="1">
      <c r="A714" s="10" t="s">
        <v>4928</v>
      </c>
      <c r="B714" s="10" t="s">
        <v>474</v>
      </c>
      <c r="C714" s="19" t="s">
        <v>28</v>
      </c>
      <c r="D714" s="12"/>
      <c r="E714" s="13" t="s">
        <v>43</v>
      </c>
      <c r="F714" s="43" t="s">
        <v>4929</v>
      </c>
      <c r="G714" s="47" t="str">
        <f ca="1">IFERROR(__xludf.DUMMYFUNCTION("CONCATENATE(B714,(VLOOKUP(C714,CATALOGOS!$F$2:$H$6,3,FALSE)),(VLOOKUP(V714,CATALOGOS!$J$2:$K$18,2,FALSE)),""-"",TO_TEXT(A714))"),"P35RM-0713")</f>
        <v>P35RM-0713</v>
      </c>
      <c r="H714" s="15" t="str">
        <f ca="1">IFERROR(__xludf.DUMMYFUNCTION("CONCATENATE($B714,(VLOOKUP($C714,CATALOGOS!$F$2:$H$6,3,FALSE)),(VLOOKUP($V714,CATALOGOS!$J$2:$K$18,2,FALSE)),""-"",TO_TEXT($A714))"),"P35RM-0713")</f>
        <v>P35RM-0713</v>
      </c>
      <c r="I714" s="6"/>
      <c r="J714" s="6" t="s">
        <v>4930</v>
      </c>
      <c r="K714" s="6" t="s">
        <v>4931</v>
      </c>
      <c r="L714" s="6" t="s">
        <v>4932</v>
      </c>
      <c r="M714" s="6" t="s">
        <v>4933</v>
      </c>
      <c r="N714" s="17"/>
      <c r="O714" s="17"/>
      <c r="P714" s="17" t="str">
        <f t="shared" si="7"/>
        <v>OK</v>
      </c>
      <c r="Q714" s="17" t="s">
        <v>406</v>
      </c>
      <c r="R714" s="6" t="s">
        <v>407</v>
      </c>
      <c r="S714" s="17" t="s">
        <v>36</v>
      </c>
      <c r="T714" s="17" t="s">
        <v>4934</v>
      </c>
      <c r="U714" s="18" t="s">
        <v>100</v>
      </c>
      <c r="V714" s="19" t="s">
        <v>147</v>
      </c>
      <c r="W714" s="20" t="s">
        <v>385</v>
      </c>
      <c r="X714" s="39" t="s">
        <v>4935</v>
      </c>
      <c r="Y714" s="40" t="s">
        <v>261</v>
      </c>
      <c r="Z714" s="6"/>
      <c r="AA714" s="6"/>
      <c r="AB714" s="23"/>
      <c r="AC714" s="33"/>
    </row>
    <row r="715" spans="1:29" ht="15.75" customHeight="1">
      <c r="A715" s="10" t="s">
        <v>4936</v>
      </c>
      <c r="B715" s="10" t="s">
        <v>4410</v>
      </c>
      <c r="C715" s="19" t="s">
        <v>4411</v>
      </c>
      <c r="D715" s="12"/>
      <c r="E715" s="13" t="s">
        <v>71</v>
      </c>
      <c r="F715" s="6" t="s">
        <v>4937</v>
      </c>
      <c r="G715" s="14" t="str">
        <f ca="1">IFERROR(__xludf.DUMMYFUNCTION("CONCATENATE(B715,(VLOOKUP(C715,CATALOGOS!$F$2:$H$6,3,FALSE)),(VLOOKUP(V715,CATALOGOS!$J$2:$K$18,2,FALSE)),""-"",TO_TEXT(A715))"),"P24SJ-0714")</f>
        <v>P24SJ-0714</v>
      </c>
      <c r="H715" s="15" t="str">
        <f ca="1">IFERROR(__xludf.DUMMYFUNCTION("CONCATENATE($B715,(VLOOKUP($C715,CATALOGOS!$F$2:$H$6,3,FALSE)),(VLOOKUP($V715,CATALOGOS!$J$2:$K$18,2,FALSE)),""-"",TO_TEXT($A715))"),"P24SJ-0714")</f>
        <v>P24SJ-0714</v>
      </c>
      <c r="I715" s="6"/>
      <c r="J715" s="6" t="s">
        <v>4938</v>
      </c>
      <c r="K715" s="6" t="s">
        <v>4939</v>
      </c>
      <c r="L715" s="6" t="s">
        <v>4940</v>
      </c>
      <c r="M715" s="6" t="s">
        <v>4941</v>
      </c>
      <c r="N715" s="17"/>
      <c r="O715" s="17"/>
      <c r="P715" s="17" t="str">
        <f t="shared" si="7"/>
        <v>OK</v>
      </c>
      <c r="Q715" s="17" t="s">
        <v>35</v>
      </c>
      <c r="R715" s="6" t="s">
        <v>35</v>
      </c>
      <c r="S715" s="17" t="s">
        <v>36</v>
      </c>
      <c r="T715" s="17" t="s">
        <v>4942</v>
      </c>
      <c r="U715" s="18" t="s">
        <v>38</v>
      </c>
      <c r="V715" s="19" t="s">
        <v>4411</v>
      </c>
      <c r="W715" s="22" t="s">
        <v>4935</v>
      </c>
      <c r="X715" s="21" t="s">
        <v>4935</v>
      </c>
      <c r="Y715" s="22"/>
      <c r="Z715" s="7"/>
      <c r="AA715" s="7"/>
      <c r="AB715" s="23"/>
      <c r="AC715" s="26"/>
    </row>
    <row r="716" spans="1:29" ht="15.75" customHeight="1">
      <c r="A716" s="10" t="s">
        <v>4943</v>
      </c>
      <c r="B716" s="10" t="s">
        <v>4410</v>
      </c>
      <c r="C716" s="19" t="s">
        <v>4411</v>
      </c>
      <c r="D716" s="12"/>
      <c r="E716" s="13" t="s">
        <v>71</v>
      </c>
      <c r="F716" s="6" t="s">
        <v>4937</v>
      </c>
      <c r="G716" s="14" t="str">
        <f ca="1">IFERROR(__xludf.DUMMYFUNCTION("CONCATENATE(B716,(VLOOKUP(C716,CATALOGOS!$F$2:$H$6,3,FALSE)),(VLOOKUP(V716,CATALOGOS!$J$2:$K$18,2,FALSE)),""-"",TO_TEXT(A716))"),"P24SJ-0715")</f>
        <v>P24SJ-0715</v>
      </c>
      <c r="H716" s="15" t="str">
        <f ca="1">IFERROR(__xludf.DUMMYFUNCTION("CONCATENATE($B716,(VLOOKUP($C716,CATALOGOS!$F$2:$H$6,3,FALSE)),(VLOOKUP($V716,CATALOGOS!$J$2:$K$18,2,FALSE)),""-"",TO_TEXT($A716))"),"P24SJ-0715")</f>
        <v>P24SJ-0715</v>
      </c>
      <c r="I716" s="6"/>
      <c r="J716" s="6" t="s">
        <v>4944</v>
      </c>
      <c r="K716" s="6" t="s">
        <v>4945</v>
      </c>
      <c r="L716" s="6" t="s">
        <v>4946</v>
      </c>
      <c r="M716" s="43" t="s">
        <v>4947</v>
      </c>
      <c r="N716" s="17"/>
      <c r="O716" s="17"/>
      <c r="P716" s="17" t="str">
        <f t="shared" si="7"/>
        <v>OK</v>
      </c>
      <c r="Q716" s="17" t="s">
        <v>35</v>
      </c>
      <c r="R716" s="6" t="s">
        <v>35</v>
      </c>
      <c r="S716" s="17" t="s">
        <v>36</v>
      </c>
      <c r="T716" s="17" t="s">
        <v>4948</v>
      </c>
      <c r="U716" s="18" t="s">
        <v>38</v>
      </c>
      <c r="V716" s="19" t="s">
        <v>4411</v>
      </c>
      <c r="W716" s="22" t="s">
        <v>4935</v>
      </c>
      <c r="X716" s="21" t="s">
        <v>4935</v>
      </c>
      <c r="Y716" s="22"/>
      <c r="Z716" s="7"/>
      <c r="AA716" s="7"/>
      <c r="AB716" s="23"/>
      <c r="AC716" s="26"/>
    </row>
    <row r="717" spans="1:29" ht="15.75" customHeight="1">
      <c r="A717" s="10" t="s">
        <v>4949</v>
      </c>
      <c r="B717" s="10" t="s">
        <v>27</v>
      </c>
      <c r="C717" s="19" t="s">
        <v>28</v>
      </c>
      <c r="D717" s="12"/>
      <c r="E717" s="13" t="s">
        <v>43</v>
      </c>
      <c r="F717" s="6" t="s">
        <v>4950</v>
      </c>
      <c r="G717" s="14" t="str">
        <f ca="1">IFERROR(__xludf.DUMMYFUNCTION("CONCATENATE(B717,(VLOOKUP(C717,CATALOGOS!$F$2:$H$6,3,FALSE)),(VLOOKUP(V717,CATALOGOS!$J$2:$K$18,2,FALSE)),""-"",TO_TEXT(A717))"),"P05RM-0716")</f>
        <v>P05RM-0716</v>
      </c>
      <c r="H717" s="15" t="str">
        <f ca="1">IFERROR(__xludf.DUMMYFUNCTION("CONCATENATE($B717,(VLOOKUP($C717,CATALOGOS!$F$2:$H$6,3,FALSE)),(VLOOKUP($V717,CATALOGOS!$J$2:$K$18,2,FALSE)),""-"",TO_TEXT($A717))"),"P05RM-0716")</f>
        <v>P05RM-0716</v>
      </c>
      <c r="I717" s="6"/>
      <c r="J717" s="6" t="s">
        <v>4951</v>
      </c>
      <c r="K717" s="6" t="s">
        <v>4952</v>
      </c>
      <c r="L717" s="6" t="s">
        <v>4953</v>
      </c>
      <c r="M717" s="6" t="s">
        <v>4954</v>
      </c>
      <c r="N717" s="17"/>
      <c r="O717" s="17"/>
      <c r="P717" s="17" t="str">
        <f t="shared" si="7"/>
        <v>OK</v>
      </c>
      <c r="Q717" s="17" t="s">
        <v>2586</v>
      </c>
      <c r="R717" s="6">
        <v>37268</v>
      </c>
      <c r="S717" s="17" t="s">
        <v>36</v>
      </c>
      <c r="T717" s="10" t="s">
        <v>4955</v>
      </c>
      <c r="U717" s="18" t="s">
        <v>38</v>
      </c>
      <c r="V717" s="19" t="s">
        <v>147</v>
      </c>
      <c r="W717" s="20" t="s">
        <v>483</v>
      </c>
      <c r="X717" s="39" t="s">
        <v>484</v>
      </c>
      <c r="Y717" s="20" t="s">
        <v>4956</v>
      </c>
      <c r="Z717" s="6"/>
      <c r="AA717" s="6"/>
      <c r="AB717" s="23"/>
      <c r="AC717" s="33"/>
    </row>
    <row r="718" spans="1:29" ht="15.75" customHeight="1">
      <c r="A718" s="10" t="s">
        <v>4957</v>
      </c>
      <c r="B718" s="10" t="s">
        <v>4410</v>
      </c>
      <c r="C718" s="19" t="s">
        <v>4411</v>
      </c>
      <c r="D718" s="12"/>
      <c r="E718" s="13" t="s">
        <v>136</v>
      </c>
      <c r="F718" s="43" t="s">
        <v>689</v>
      </c>
      <c r="G718" s="59" t="str">
        <f ca="1">IFERROR(__xludf.DUMMYFUNCTION("CONCATENATE(B718,(VLOOKUP(C718,CATALOGOS!$F$2:$H$6,3,FALSE)),(VLOOKUP(V718,CATALOGOS!$J$2:$K$18,2,FALSE)),""-"",TO_TEXT(A718))"),"P24SJ-0717")</f>
        <v>P24SJ-0717</v>
      </c>
      <c r="H718" s="15" t="str">
        <f ca="1">IFERROR(__xludf.DUMMYFUNCTION("CONCATENATE($B718,(VLOOKUP($C718,CATALOGOS!$F$2:$H$6,3,FALSE)),(VLOOKUP($V718,CATALOGOS!$J$2:$K$18,2,FALSE)),""-"",TO_TEXT($A718))"),"P24SJ-0717")</f>
        <v>P24SJ-0717</v>
      </c>
      <c r="I718" s="6"/>
      <c r="J718" s="6" t="s">
        <v>4958</v>
      </c>
      <c r="K718" s="6" t="s">
        <v>4959</v>
      </c>
      <c r="L718" s="6" t="s">
        <v>4960</v>
      </c>
      <c r="M718" s="6" t="s">
        <v>4961</v>
      </c>
      <c r="N718" s="17"/>
      <c r="O718" s="17"/>
      <c r="P718" s="17" t="str">
        <f t="shared" si="7"/>
        <v>OK</v>
      </c>
      <c r="Q718" s="17" t="s">
        <v>205</v>
      </c>
      <c r="R718" s="6" t="s">
        <v>4962</v>
      </c>
      <c r="S718" s="75" t="s">
        <v>4963</v>
      </c>
      <c r="T718" s="10" t="s">
        <v>4964</v>
      </c>
      <c r="U718" s="18" t="s">
        <v>38</v>
      </c>
      <c r="V718" s="19" t="s">
        <v>4411</v>
      </c>
      <c r="W718" s="22" t="s">
        <v>4935</v>
      </c>
      <c r="X718" s="21" t="s">
        <v>4935</v>
      </c>
      <c r="Y718" s="22"/>
      <c r="Z718" s="7"/>
      <c r="AA718" s="7"/>
      <c r="AB718" s="23"/>
      <c r="AC718" s="26"/>
    </row>
    <row r="719" spans="1:29" ht="15.75" customHeight="1">
      <c r="A719" s="10" t="s">
        <v>4965</v>
      </c>
      <c r="B719" s="10" t="s">
        <v>4410</v>
      </c>
      <c r="C719" s="19" t="s">
        <v>4411</v>
      </c>
      <c r="D719" s="12"/>
      <c r="E719" s="13" t="s">
        <v>93</v>
      </c>
      <c r="F719" s="6" t="s">
        <v>4966</v>
      </c>
      <c r="G719" s="14" t="str">
        <f ca="1">IFERROR(__xludf.DUMMYFUNCTION("CONCATENATE(B719,(VLOOKUP(C719,CATALOGOS!$F$2:$H$6,3,FALSE)),(VLOOKUP(V719,CATALOGOS!$J$2:$K$18,2,FALSE)),""-"",TO_TEXT(A719))"),"P24SJ-0718")</f>
        <v>P24SJ-0718</v>
      </c>
      <c r="H719" s="15" t="str">
        <f ca="1">IFERROR(__xludf.DUMMYFUNCTION("CONCATENATE($B719,(VLOOKUP($C719,CATALOGOS!$F$2:$H$6,3,FALSE)),(VLOOKUP($V719,CATALOGOS!$J$2:$K$18,2,FALSE)),""-"",TO_TEXT($A719))"),"P24SJ-0718")</f>
        <v>P24SJ-0718</v>
      </c>
      <c r="I719" s="6"/>
      <c r="J719" s="6" t="s">
        <v>4967</v>
      </c>
      <c r="K719" s="6" t="s">
        <v>4968</v>
      </c>
      <c r="L719" s="6" t="s">
        <v>4969</v>
      </c>
      <c r="M719" s="43" t="s">
        <v>4970</v>
      </c>
      <c r="N719" s="17"/>
      <c r="O719" s="17"/>
      <c r="P719" s="17" t="str">
        <f t="shared" si="7"/>
        <v>OK</v>
      </c>
      <c r="Q719" s="17" t="s">
        <v>35</v>
      </c>
      <c r="R719" s="6" t="s">
        <v>35</v>
      </c>
      <c r="S719" s="17" t="s">
        <v>36</v>
      </c>
      <c r="T719" s="17" t="s">
        <v>4971</v>
      </c>
      <c r="U719" s="18" t="s">
        <v>38</v>
      </c>
      <c r="V719" s="19" t="s">
        <v>4411</v>
      </c>
      <c r="W719" s="22" t="s">
        <v>4935</v>
      </c>
      <c r="X719" s="21" t="s">
        <v>4935</v>
      </c>
      <c r="Y719" s="22"/>
      <c r="Z719" s="7"/>
      <c r="AA719" s="7"/>
      <c r="AB719" s="23"/>
      <c r="AC719" s="26"/>
    </row>
    <row r="720" spans="1:29" ht="15.75" customHeight="1">
      <c r="A720" s="10" t="s">
        <v>4972</v>
      </c>
      <c r="B720" s="10" t="s">
        <v>4410</v>
      </c>
      <c r="C720" s="19" t="s">
        <v>4411</v>
      </c>
      <c r="D720" s="12"/>
      <c r="E720" s="13" t="s">
        <v>378</v>
      </c>
      <c r="F720" s="6" t="s">
        <v>4973</v>
      </c>
      <c r="G720" s="14" t="str">
        <f ca="1">IFERROR(__xludf.DUMMYFUNCTION("CONCATENATE(B720,(VLOOKUP(C720,CATALOGOS!$F$2:$H$6,3,FALSE)),(VLOOKUP(V720,CATALOGOS!$J$2:$K$18,2,FALSE)),""-"",TO_TEXT(A720))"),"P24CS-0719")</f>
        <v>P24CS-0719</v>
      </c>
      <c r="H720" s="15" t="str">
        <f ca="1">IFERROR(__xludf.DUMMYFUNCTION("CONCATENATE($B720,(VLOOKUP($C720,CATALOGOS!$F$2:$H$6,3,FALSE)),(VLOOKUP($V720,CATALOGOS!$J$2:$K$18,2,FALSE)),""-"",TO_TEXT($A720))"),"P24CS-0719")</f>
        <v>P24CS-0719</v>
      </c>
      <c r="I720" s="6"/>
      <c r="J720" s="6" t="s">
        <v>4974</v>
      </c>
      <c r="K720" s="6" t="s">
        <v>4975</v>
      </c>
      <c r="L720" s="6" t="s">
        <v>4976</v>
      </c>
      <c r="M720" s="6" t="s">
        <v>4977</v>
      </c>
      <c r="N720" s="17"/>
      <c r="O720" s="17"/>
      <c r="P720" s="17" t="str">
        <f t="shared" si="7"/>
        <v>OK</v>
      </c>
      <c r="Q720" s="17" t="s">
        <v>35</v>
      </c>
      <c r="R720" s="6" t="s">
        <v>35</v>
      </c>
      <c r="S720" s="17" t="s">
        <v>36</v>
      </c>
      <c r="T720" s="17" t="s">
        <v>4978</v>
      </c>
      <c r="U720" s="18" t="s">
        <v>38</v>
      </c>
      <c r="V720" s="19" t="s">
        <v>4979</v>
      </c>
      <c r="W720" s="20" t="s">
        <v>4980</v>
      </c>
      <c r="X720" s="67" t="s">
        <v>4980</v>
      </c>
      <c r="Y720" s="68"/>
      <c r="Z720" s="76"/>
      <c r="AA720" s="76"/>
      <c r="AB720" s="23"/>
      <c r="AC720" s="26"/>
    </row>
    <row r="721" spans="1:29" ht="29.25" customHeight="1">
      <c r="A721" s="10" t="s">
        <v>4981</v>
      </c>
      <c r="B721" s="10" t="s">
        <v>4410</v>
      </c>
      <c r="C721" s="19" t="s">
        <v>4411</v>
      </c>
      <c r="D721" s="12"/>
      <c r="E721" s="13" t="s">
        <v>62</v>
      </c>
      <c r="F721" s="6" t="s">
        <v>4982</v>
      </c>
      <c r="G721" s="14" t="str">
        <f ca="1">IFERROR(__xludf.DUMMYFUNCTION("CONCATENATE(B721,(VLOOKUP(C721,CATALOGOS!$F$2:$H$6,3,FALSE)),(VLOOKUP(V721,CATALOGOS!$J$2:$K$18,2,FALSE)),""-"",TO_TEXT(A721))"),"P24SJ-0720")</f>
        <v>P24SJ-0720</v>
      </c>
      <c r="H721" s="15" t="str">
        <f ca="1">IFERROR(__xludf.DUMMYFUNCTION("CONCATENATE($B721,(VLOOKUP($C721,CATALOGOS!$F$2:$H$6,3,FALSE)),(VLOOKUP($V721,CATALOGOS!$J$2:$K$18,2,FALSE)),""-"",TO_TEXT($A721))"),"P24SJ-0720")</f>
        <v>P24SJ-0720</v>
      </c>
      <c r="I721" s="6"/>
      <c r="J721" s="6" t="s">
        <v>4983</v>
      </c>
      <c r="K721" s="6" t="s">
        <v>4984</v>
      </c>
      <c r="L721" s="6" t="s">
        <v>4985</v>
      </c>
      <c r="M721" s="6" t="s">
        <v>4986</v>
      </c>
      <c r="N721" s="17"/>
      <c r="O721" s="17"/>
      <c r="P721" s="17" t="str">
        <f t="shared" si="7"/>
        <v>OK</v>
      </c>
      <c r="Q721" s="17" t="s">
        <v>35</v>
      </c>
      <c r="R721" s="6" t="s">
        <v>35</v>
      </c>
      <c r="S721" s="17" t="s">
        <v>36</v>
      </c>
      <c r="T721" s="17" t="s">
        <v>4987</v>
      </c>
      <c r="U721" s="18" t="s">
        <v>38</v>
      </c>
      <c r="V721" s="19" t="s">
        <v>4411</v>
      </c>
      <c r="W721" s="22" t="s">
        <v>4935</v>
      </c>
      <c r="X721" s="21" t="s">
        <v>4935</v>
      </c>
      <c r="Y721" s="22"/>
      <c r="Z721" s="7"/>
      <c r="AA721" s="7"/>
      <c r="AB721" s="23"/>
      <c r="AC721" s="26"/>
    </row>
    <row r="722" spans="1:29" ht="15.75" customHeight="1">
      <c r="A722" s="10" t="s">
        <v>4988</v>
      </c>
      <c r="B722" s="10" t="s">
        <v>4410</v>
      </c>
      <c r="C722" s="19" t="s">
        <v>28</v>
      </c>
      <c r="D722" s="12"/>
      <c r="E722" s="13" t="s">
        <v>184</v>
      </c>
      <c r="F722" s="6" t="s">
        <v>4989</v>
      </c>
      <c r="G722" s="14" t="str">
        <f ca="1">IFERROR(__xludf.DUMMYFUNCTION("CONCATENATE(B722,(VLOOKUP(C722,CATALOGOS!$F$2:$H$6,3,FALSE)),(VLOOKUP(V722,CATALOGOS!$J$2:$K$18,2,FALSE)),""-"",TO_TEXT(A722))"),"P25RM-0721")</f>
        <v>P25RM-0721</v>
      </c>
      <c r="H722" s="15" t="str">
        <f ca="1">IFERROR(__xludf.DUMMYFUNCTION("CONCATENATE($B722,(VLOOKUP($C722,CATALOGOS!$F$2:$H$6,3,FALSE)),(VLOOKUP($V722,CATALOGOS!$J$2:$K$18,2,FALSE)),""-"",TO_TEXT($A722))"),"P25RM-0721")</f>
        <v>P25RM-0721</v>
      </c>
      <c r="I722" s="6"/>
      <c r="J722" s="6" t="s">
        <v>4990</v>
      </c>
      <c r="K722" s="6" t="s">
        <v>4991</v>
      </c>
      <c r="L722" s="6" t="s">
        <v>4992</v>
      </c>
      <c r="M722" s="43" t="s">
        <v>4993</v>
      </c>
      <c r="N722" s="17"/>
      <c r="O722" s="17"/>
      <c r="P722" s="17" t="str">
        <f t="shared" si="7"/>
        <v>OK</v>
      </c>
      <c r="Q722" s="17" t="s">
        <v>35</v>
      </c>
      <c r="R722" s="6" t="s">
        <v>35</v>
      </c>
      <c r="S722" s="17" t="s">
        <v>36</v>
      </c>
      <c r="T722" s="17" t="s">
        <v>4994</v>
      </c>
      <c r="U722" s="18" t="s">
        <v>38</v>
      </c>
      <c r="V722" s="19" t="s">
        <v>147</v>
      </c>
      <c r="W722" s="20" t="s">
        <v>483</v>
      </c>
      <c r="X722" s="39" t="s">
        <v>484</v>
      </c>
      <c r="Y722" s="20"/>
      <c r="Z722" s="7"/>
      <c r="AA722" s="7"/>
      <c r="AB722" s="23"/>
      <c r="AC722" s="26"/>
    </row>
    <row r="723" spans="1:29" ht="15.75" customHeight="1">
      <c r="A723" s="10" t="s">
        <v>4995</v>
      </c>
      <c r="B723" s="10" t="s">
        <v>4410</v>
      </c>
      <c r="C723" s="19" t="s">
        <v>28</v>
      </c>
      <c r="D723" s="12"/>
      <c r="E723" s="13" t="s">
        <v>184</v>
      </c>
      <c r="F723" s="6" t="s">
        <v>4989</v>
      </c>
      <c r="G723" s="14" t="str">
        <f ca="1">IFERROR(__xludf.DUMMYFUNCTION("CONCATENATE(B723,(VLOOKUP(C723,CATALOGOS!$F$2:$H$6,3,FALSE)),(VLOOKUP(V723,CATALOGOS!$J$2:$K$18,2,FALSE)),""-"",TO_TEXT(A723))"),"P25RM-0722")</f>
        <v>P25RM-0722</v>
      </c>
      <c r="H723" s="15" t="str">
        <f ca="1">IFERROR(__xludf.DUMMYFUNCTION("CONCATENATE($B723,(VLOOKUP($C723,CATALOGOS!$F$2:$H$6,3,FALSE)),(VLOOKUP($V723,CATALOGOS!$J$2:$K$18,2,FALSE)),""-"",TO_TEXT($A723))"),"P25RM-0722")</f>
        <v>P25RM-0722</v>
      </c>
      <c r="I723" s="6"/>
      <c r="J723" s="6" t="s">
        <v>4996</v>
      </c>
      <c r="K723" s="6" t="s">
        <v>4997</v>
      </c>
      <c r="L723" s="6" t="s">
        <v>4998</v>
      </c>
      <c r="M723" s="43" t="s">
        <v>4999</v>
      </c>
      <c r="N723" s="17"/>
      <c r="O723" s="17"/>
      <c r="P723" s="17" t="str">
        <f t="shared" si="7"/>
        <v>OK</v>
      </c>
      <c r="Q723" s="17" t="s">
        <v>35</v>
      </c>
      <c r="R723" s="6" t="s">
        <v>35</v>
      </c>
      <c r="S723" s="17" t="s">
        <v>36</v>
      </c>
      <c r="T723" s="17" t="s">
        <v>5000</v>
      </c>
      <c r="U723" s="18" t="s">
        <v>38</v>
      </c>
      <c r="V723" s="19" t="s">
        <v>147</v>
      </c>
      <c r="W723" s="20" t="s">
        <v>483</v>
      </c>
      <c r="X723" s="39" t="s">
        <v>484</v>
      </c>
      <c r="Y723" s="20"/>
      <c r="Z723" s="7"/>
      <c r="AA723" s="7"/>
      <c r="AB723" s="23"/>
      <c r="AC723" s="26"/>
    </row>
    <row r="724" spans="1:29" ht="15.75" customHeight="1">
      <c r="A724" s="10" t="s">
        <v>5001</v>
      </c>
      <c r="B724" s="10" t="s">
        <v>4410</v>
      </c>
      <c r="C724" s="19" t="s">
        <v>4411</v>
      </c>
      <c r="D724" s="12"/>
      <c r="E724" s="13" t="s">
        <v>93</v>
      </c>
      <c r="F724" s="6" t="s">
        <v>1380</v>
      </c>
      <c r="G724" s="14" t="str">
        <f ca="1">IFERROR(__xludf.DUMMYFUNCTION("CONCATENATE(B724,(VLOOKUP(C724,CATALOGOS!$F$2:$H$6,3,FALSE)),(VLOOKUP(V724,CATALOGOS!$J$2:$K$18,2,FALSE)),""-"",TO_TEXT(A724))"),"P24SJ-0723")</f>
        <v>P24SJ-0723</v>
      </c>
      <c r="H724" s="15" t="str">
        <f ca="1">IFERROR(__xludf.DUMMYFUNCTION("CONCATENATE($B724,(VLOOKUP($C724,CATALOGOS!$F$2:$H$6,3,FALSE)),(VLOOKUP($V724,CATALOGOS!$J$2:$K$18,2,FALSE)),""-"",TO_TEXT($A724))"),"P24SJ-0723")</f>
        <v>P24SJ-0723</v>
      </c>
      <c r="I724" s="6"/>
      <c r="J724" s="6" t="s">
        <v>5002</v>
      </c>
      <c r="K724" s="54"/>
      <c r="L724" s="6" t="s">
        <v>5003</v>
      </c>
      <c r="M724" s="6" t="s">
        <v>5004</v>
      </c>
      <c r="N724" s="17"/>
      <c r="O724" s="17"/>
      <c r="P724" s="17" t="str">
        <f t="shared" si="7"/>
        <v>OK</v>
      </c>
      <c r="Q724" s="17" t="s">
        <v>35</v>
      </c>
      <c r="R724" s="6" t="s">
        <v>35</v>
      </c>
      <c r="S724" s="17" t="s">
        <v>36</v>
      </c>
      <c r="T724" s="17" t="s">
        <v>5005</v>
      </c>
      <c r="U724" s="18" t="s">
        <v>38</v>
      </c>
      <c r="V724" s="19" t="s">
        <v>4411</v>
      </c>
      <c r="W724" s="22" t="s">
        <v>4935</v>
      </c>
      <c r="X724" s="21" t="s">
        <v>4935</v>
      </c>
      <c r="Y724" s="22"/>
      <c r="Z724" s="7"/>
      <c r="AA724" s="7"/>
      <c r="AB724" s="23"/>
      <c r="AC724" s="26"/>
    </row>
    <row r="725" spans="1:29" ht="15.75" customHeight="1">
      <c r="A725" s="10" t="s">
        <v>5006</v>
      </c>
      <c r="B725" s="10" t="s">
        <v>4410</v>
      </c>
      <c r="C725" s="19" t="s">
        <v>4411</v>
      </c>
      <c r="D725" s="12"/>
      <c r="E725" s="13" t="s">
        <v>29</v>
      </c>
      <c r="F725" s="43" t="s">
        <v>29</v>
      </c>
      <c r="G725" s="14" t="str">
        <f ca="1">IFERROR(__xludf.DUMMYFUNCTION("CONCATENATE(B725,(VLOOKUP(C725,CATALOGOS!$F$2:$H$6,3,FALSE)),(VLOOKUP(V725,CATALOGOS!$J$2:$K$18,2,FALSE)),""-"",TO_TEXT(A725))"),"P24SJ-0724")</f>
        <v>P24SJ-0724</v>
      </c>
      <c r="H725" s="15" t="str">
        <f ca="1">IFERROR(__xludf.DUMMYFUNCTION("CONCATENATE($B725,(VLOOKUP($C725,CATALOGOS!$F$2:$H$6,3,FALSE)),(VLOOKUP($V725,CATALOGOS!$J$2:$K$18,2,FALSE)),""-"",TO_TEXT($A725))"),"P24SJ-0724")</f>
        <v>P24SJ-0724</v>
      </c>
      <c r="I725" s="6"/>
      <c r="J725" s="6" t="s">
        <v>5007</v>
      </c>
      <c r="K725" s="54"/>
      <c r="L725" s="6" t="s">
        <v>5008</v>
      </c>
      <c r="M725" s="6" t="s">
        <v>5009</v>
      </c>
      <c r="N725" s="17"/>
      <c r="O725" s="17"/>
      <c r="P725" s="17" t="str">
        <f t="shared" si="7"/>
        <v>OK</v>
      </c>
      <c r="Q725" s="17" t="s">
        <v>35</v>
      </c>
      <c r="R725" s="6" t="s">
        <v>35</v>
      </c>
      <c r="S725" s="17" t="s">
        <v>36</v>
      </c>
      <c r="T725" s="17" t="s">
        <v>85</v>
      </c>
      <c r="U725" s="18" t="s">
        <v>38</v>
      </c>
      <c r="V725" s="19" t="s">
        <v>4411</v>
      </c>
      <c r="W725" s="22" t="s">
        <v>4935</v>
      </c>
      <c r="X725" s="21" t="s">
        <v>4935</v>
      </c>
      <c r="Y725" s="22"/>
      <c r="Z725" s="7"/>
      <c r="AA725" s="7"/>
      <c r="AB725" s="23"/>
      <c r="AC725" s="26"/>
    </row>
    <row r="726" spans="1:29" ht="29.25" customHeight="1">
      <c r="A726" s="10" t="s">
        <v>5010</v>
      </c>
      <c r="B726" s="10" t="s">
        <v>4410</v>
      </c>
      <c r="C726" s="19" t="s">
        <v>4411</v>
      </c>
      <c r="D726" s="12"/>
      <c r="E726" s="13" t="s">
        <v>116</v>
      </c>
      <c r="F726" s="6" t="s">
        <v>5011</v>
      </c>
      <c r="G726" s="14" t="str">
        <f ca="1">IFERROR(__xludf.DUMMYFUNCTION("CONCATENATE(B726,(VLOOKUP(C726,CATALOGOS!$F$2:$H$6,3,FALSE)),(VLOOKUP(V726,CATALOGOS!$J$2:$K$18,2,FALSE)),""-"",TO_TEXT(A726))"),"P24SJ-0725")</f>
        <v>P24SJ-0725</v>
      </c>
      <c r="H726" s="15" t="str">
        <f ca="1">IFERROR(__xludf.DUMMYFUNCTION("CONCATENATE($B726,(VLOOKUP($C726,CATALOGOS!$F$2:$H$6,3,FALSE)),(VLOOKUP($V726,CATALOGOS!$J$2:$K$18,2,FALSE)),""-"",TO_TEXT($A726))"),"P24SJ-0725")</f>
        <v>P24SJ-0725</v>
      </c>
      <c r="I726" s="6"/>
      <c r="J726" s="6" t="s">
        <v>5012</v>
      </c>
      <c r="K726" s="6" t="s">
        <v>5013</v>
      </c>
      <c r="L726" s="6" t="s">
        <v>5014</v>
      </c>
      <c r="M726" s="6" t="s">
        <v>5015</v>
      </c>
      <c r="N726" s="17"/>
      <c r="O726" s="17"/>
      <c r="P726" s="17" t="str">
        <f t="shared" si="7"/>
        <v>OK</v>
      </c>
      <c r="Q726" s="17" t="s">
        <v>35</v>
      </c>
      <c r="R726" s="6" t="s">
        <v>35</v>
      </c>
      <c r="S726" s="17" t="s">
        <v>36</v>
      </c>
      <c r="T726" s="17" t="s">
        <v>5016</v>
      </c>
      <c r="U726" s="18" t="s">
        <v>38</v>
      </c>
      <c r="V726" s="19" t="s">
        <v>4411</v>
      </c>
      <c r="W726" s="22" t="s">
        <v>4935</v>
      </c>
      <c r="X726" s="21" t="s">
        <v>4935</v>
      </c>
      <c r="Y726" s="22"/>
      <c r="Z726" s="7"/>
      <c r="AA726" s="7"/>
      <c r="AB726" s="23"/>
      <c r="AC726" s="26"/>
    </row>
    <row r="727" spans="1:29" ht="15.75" customHeight="1">
      <c r="A727" s="10" t="s">
        <v>5017</v>
      </c>
      <c r="B727" s="10" t="s">
        <v>4410</v>
      </c>
      <c r="C727" s="19" t="s">
        <v>4411</v>
      </c>
      <c r="D727" s="12"/>
      <c r="E727" s="13" t="s">
        <v>116</v>
      </c>
      <c r="F727" s="6" t="s">
        <v>4153</v>
      </c>
      <c r="G727" s="14" t="str">
        <f ca="1">IFERROR(__xludf.DUMMYFUNCTION("CONCATENATE(B727,(VLOOKUP(C727,CATALOGOS!$F$2:$H$6,3,FALSE)),(VLOOKUP(V727,CATALOGOS!$J$2:$K$18,2,FALSE)),""-"",TO_TEXT(A727))"),"P24SJ-0726")</f>
        <v>P24SJ-0726</v>
      </c>
      <c r="H727" s="15" t="str">
        <f ca="1">IFERROR(__xludf.DUMMYFUNCTION("CONCATENATE($B727,(VLOOKUP($C727,CATALOGOS!$F$2:$H$6,3,FALSE)),(VLOOKUP($V727,CATALOGOS!$J$2:$K$18,2,FALSE)),""-"",TO_TEXT($A727))"),"P24SJ-0726")</f>
        <v>P24SJ-0726</v>
      </c>
      <c r="I727" s="6"/>
      <c r="J727" s="6" t="s">
        <v>5018</v>
      </c>
      <c r="K727" s="6" t="s">
        <v>5019</v>
      </c>
      <c r="L727" s="6" t="s">
        <v>5020</v>
      </c>
      <c r="M727" s="6" t="s">
        <v>5021</v>
      </c>
      <c r="N727" s="17"/>
      <c r="O727" s="17"/>
      <c r="P727" s="17" t="str">
        <f t="shared" si="7"/>
        <v>OK</v>
      </c>
      <c r="Q727" s="17" t="s">
        <v>35</v>
      </c>
      <c r="R727" s="6" t="s">
        <v>35</v>
      </c>
      <c r="S727" s="17" t="s">
        <v>36</v>
      </c>
      <c r="T727" s="17" t="s">
        <v>5022</v>
      </c>
      <c r="U727" s="18" t="s">
        <v>38</v>
      </c>
      <c r="V727" s="19" t="s">
        <v>4411</v>
      </c>
      <c r="W727" s="22" t="s">
        <v>4935</v>
      </c>
      <c r="X727" s="21" t="s">
        <v>4935</v>
      </c>
      <c r="Y727" s="22"/>
      <c r="Z727" s="6"/>
      <c r="AA727" s="6"/>
      <c r="AB727" s="23"/>
      <c r="AC727" s="33"/>
    </row>
    <row r="728" spans="1:29" ht="15.75" customHeight="1">
      <c r="A728" s="10" t="s">
        <v>5023</v>
      </c>
      <c r="B728" s="10" t="s">
        <v>4410</v>
      </c>
      <c r="C728" s="19" t="s">
        <v>4411</v>
      </c>
      <c r="D728" s="12"/>
      <c r="E728" s="13" t="s">
        <v>162</v>
      </c>
      <c r="F728" s="43" t="s">
        <v>285</v>
      </c>
      <c r="G728" s="14" t="str">
        <f ca="1">IFERROR(__xludf.DUMMYFUNCTION("CONCATENATE(B728,(VLOOKUP(C728,CATALOGOS!$F$2:$H$6,3,FALSE)),(VLOOKUP(V728,CATALOGOS!$J$2:$K$18,2,FALSE)),""-"",TO_TEXT(A728))"),"P24SJ-0727")</f>
        <v>P24SJ-0727</v>
      </c>
      <c r="H728" s="15" t="str">
        <f ca="1">IFERROR(__xludf.DUMMYFUNCTION("CONCATENATE($B728,(VLOOKUP($C728,CATALOGOS!$F$2:$H$6,3,FALSE)),(VLOOKUP($V728,CATALOGOS!$J$2:$K$18,2,FALSE)),""-"",TO_TEXT($A728))"),"P24SJ-0727")</f>
        <v>P24SJ-0727</v>
      </c>
      <c r="I728" s="6"/>
      <c r="J728" s="6" t="s">
        <v>5024</v>
      </c>
      <c r="K728" s="6" t="s">
        <v>5025</v>
      </c>
      <c r="L728" s="6" t="s">
        <v>5026</v>
      </c>
      <c r="M728" s="6" t="s">
        <v>5027</v>
      </c>
      <c r="N728" s="17"/>
      <c r="O728" s="17"/>
      <c r="P728" s="17" t="str">
        <f t="shared" si="7"/>
        <v>OK</v>
      </c>
      <c r="Q728" s="17" t="s">
        <v>663</v>
      </c>
      <c r="R728" s="6" t="s">
        <v>664</v>
      </c>
      <c r="S728" s="17" t="s">
        <v>5028</v>
      </c>
      <c r="T728" s="17" t="s">
        <v>5029</v>
      </c>
      <c r="U728" s="18" t="s">
        <v>38</v>
      </c>
      <c r="V728" s="19" t="s">
        <v>4411</v>
      </c>
      <c r="W728" s="22" t="s">
        <v>4935</v>
      </c>
      <c r="X728" s="21" t="s">
        <v>4935</v>
      </c>
      <c r="Y728" s="22"/>
      <c r="Z728" s="7"/>
      <c r="AA728" s="7"/>
      <c r="AB728" s="23"/>
      <c r="AC728" s="26"/>
    </row>
    <row r="729" spans="1:29" ht="15.75" customHeight="1">
      <c r="A729" s="10" t="s">
        <v>5030</v>
      </c>
      <c r="B729" s="10" t="s">
        <v>4410</v>
      </c>
      <c r="C729" s="19" t="s">
        <v>28</v>
      </c>
      <c r="D729" s="12"/>
      <c r="E729" s="13" t="s">
        <v>151</v>
      </c>
      <c r="F729" s="6" t="s">
        <v>5031</v>
      </c>
      <c r="G729" s="14" t="str">
        <f ca="1">IFERROR(__xludf.DUMMYFUNCTION("CONCATENATE(B729,(VLOOKUP(C729,CATALOGOS!$F$2:$H$6,3,FALSE)),(VLOOKUP(V729,CATALOGOS!$J$2:$K$18,2,FALSE)),""-"",TO_TEXT(A729))"),"P25RM-0728")</f>
        <v>P25RM-0728</v>
      </c>
      <c r="H729" s="15" t="str">
        <f ca="1">IFERROR(__xludf.DUMMYFUNCTION("CONCATENATE($B729,(VLOOKUP($C729,CATALOGOS!$F$2:$H$6,3,FALSE)),(VLOOKUP($V729,CATALOGOS!$J$2:$K$18,2,FALSE)),""-"",TO_TEXT($A729))"),"P25RM-0728")</f>
        <v>P25RM-0728</v>
      </c>
      <c r="I729" s="6"/>
      <c r="J729" s="6" t="s">
        <v>5032</v>
      </c>
      <c r="K729" s="6" t="s">
        <v>5033</v>
      </c>
      <c r="L729" s="6" t="s">
        <v>5034</v>
      </c>
      <c r="M729" s="6" t="s">
        <v>5035</v>
      </c>
      <c r="N729" s="17"/>
      <c r="O729" s="17"/>
      <c r="P729" s="17" t="str">
        <f t="shared" si="7"/>
        <v>OK</v>
      </c>
      <c r="Q729" s="17" t="s">
        <v>5036</v>
      </c>
      <c r="R729" s="6" t="s">
        <v>5037</v>
      </c>
      <c r="S729" s="17" t="s">
        <v>5038</v>
      </c>
      <c r="T729" s="10" t="s">
        <v>5039</v>
      </c>
      <c r="U729" s="18" t="s">
        <v>38</v>
      </c>
      <c r="V729" s="19" t="s">
        <v>147</v>
      </c>
      <c r="W729" s="22" t="s">
        <v>5040</v>
      </c>
      <c r="X729" s="21" t="s">
        <v>4935</v>
      </c>
      <c r="Y729" s="20" t="s">
        <v>5041</v>
      </c>
      <c r="Z729" s="7"/>
      <c r="AA729" s="7"/>
      <c r="AB729" s="23"/>
      <c r="AC729" s="26"/>
    </row>
    <row r="730" spans="1:29" ht="15.75" customHeight="1">
      <c r="A730" s="10" t="s">
        <v>5042</v>
      </c>
      <c r="B730" s="10" t="s">
        <v>4410</v>
      </c>
      <c r="C730" s="19" t="s">
        <v>4411</v>
      </c>
      <c r="D730" s="12"/>
      <c r="E730" s="13" t="s">
        <v>199</v>
      </c>
      <c r="F730" s="6" t="s">
        <v>199</v>
      </c>
      <c r="G730" s="14" t="str">
        <f ca="1">IFERROR(__xludf.DUMMYFUNCTION("CONCATENATE(B730,(VLOOKUP(C730,CATALOGOS!$F$2:$H$6,3,FALSE)),(VLOOKUP(V730,CATALOGOS!$J$2:$K$18,2,FALSE)),""-"",TO_TEXT(A730))"),"P24SJ-0729")</f>
        <v>P24SJ-0729</v>
      </c>
      <c r="H730" s="15" t="str">
        <f ca="1">IFERROR(__xludf.DUMMYFUNCTION("CONCATENATE($B730,(VLOOKUP($C730,CATALOGOS!$F$2:$H$6,3,FALSE)),(VLOOKUP($V730,CATALOGOS!$J$2:$K$18,2,FALSE)),""-"",TO_TEXT($A730))"),"P24SJ-0729")</f>
        <v>P24SJ-0729</v>
      </c>
      <c r="I730" s="6"/>
      <c r="J730" s="6" t="s">
        <v>5043</v>
      </c>
      <c r="K730" s="6" t="s">
        <v>5044</v>
      </c>
      <c r="L730" s="6" t="s">
        <v>5045</v>
      </c>
      <c r="M730" s="6" t="s">
        <v>5046</v>
      </c>
      <c r="N730" s="17"/>
      <c r="O730" s="17"/>
      <c r="P730" s="17" t="str">
        <f t="shared" si="7"/>
        <v>OK</v>
      </c>
      <c r="Q730" s="17" t="s">
        <v>205</v>
      </c>
      <c r="R730" s="6" t="s">
        <v>5047</v>
      </c>
      <c r="S730" s="17" t="s">
        <v>5048</v>
      </c>
      <c r="T730" s="17" t="s">
        <v>5049</v>
      </c>
      <c r="U730" s="18" t="s">
        <v>38</v>
      </c>
      <c r="V730" s="19" t="s">
        <v>4411</v>
      </c>
      <c r="W730" s="22" t="s">
        <v>4935</v>
      </c>
      <c r="X730" s="21" t="s">
        <v>4935</v>
      </c>
      <c r="Y730" s="22"/>
      <c r="Z730" s="7"/>
      <c r="AA730" s="7"/>
      <c r="AB730" s="23"/>
      <c r="AC730" s="26"/>
    </row>
    <row r="731" spans="1:29" ht="15.75" customHeight="1">
      <c r="A731" s="10" t="s">
        <v>5050</v>
      </c>
      <c r="B731" s="10" t="s">
        <v>4410</v>
      </c>
      <c r="C731" s="19" t="s">
        <v>4411</v>
      </c>
      <c r="D731" s="12"/>
      <c r="E731" s="13" t="s">
        <v>210</v>
      </c>
      <c r="F731" s="43" t="s">
        <v>5051</v>
      </c>
      <c r="G731" s="14" t="str">
        <f ca="1">IFERROR(__xludf.DUMMYFUNCTION("CONCATENATE(B731,(VLOOKUP(C731,CATALOGOS!$F$2:$H$6,3,FALSE)),(VLOOKUP(V731,CATALOGOS!$J$2:$K$18,2,FALSE)),""-"",TO_TEXT(A731))"),"P24SJ-0730")</f>
        <v>P24SJ-0730</v>
      </c>
      <c r="H731" s="15" t="str">
        <f ca="1">IFERROR(__xludf.DUMMYFUNCTION("CONCATENATE($B731,(VLOOKUP($C731,CATALOGOS!$F$2:$H$6,3,FALSE)),(VLOOKUP($V731,CATALOGOS!$J$2:$K$18,2,FALSE)),""-"",TO_TEXT($A731))"),"P24SJ-0730")</f>
        <v>P24SJ-0730</v>
      </c>
      <c r="I731" s="6"/>
      <c r="J731" s="6" t="s">
        <v>5052</v>
      </c>
      <c r="K731" s="6" t="s">
        <v>5053</v>
      </c>
      <c r="L731" s="6" t="s">
        <v>5054</v>
      </c>
      <c r="M731" s="6" t="s">
        <v>5055</v>
      </c>
      <c r="N731" s="17"/>
      <c r="O731" s="17"/>
      <c r="P731" s="17" t="str">
        <f t="shared" si="7"/>
        <v>OK</v>
      </c>
      <c r="Q731" s="17" t="s">
        <v>216</v>
      </c>
      <c r="R731" s="6" t="s">
        <v>5056</v>
      </c>
      <c r="S731" s="17" t="s">
        <v>5057</v>
      </c>
      <c r="T731" s="10" t="s">
        <v>5058</v>
      </c>
      <c r="U731" s="18" t="s">
        <v>38</v>
      </c>
      <c r="V731" s="19" t="s">
        <v>4411</v>
      </c>
      <c r="W731" s="22" t="s">
        <v>4935</v>
      </c>
      <c r="X731" s="21" t="s">
        <v>4935</v>
      </c>
      <c r="Y731" s="22"/>
      <c r="Z731" s="7"/>
      <c r="AA731" s="7"/>
      <c r="AB731" s="23"/>
      <c r="AC731" s="26"/>
    </row>
    <row r="732" spans="1:29" ht="15.75" customHeight="1">
      <c r="A732" s="10" t="s">
        <v>5059</v>
      </c>
      <c r="B732" s="10" t="s">
        <v>4410</v>
      </c>
      <c r="C732" s="19" t="s">
        <v>4411</v>
      </c>
      <c r="D732" s="12"/>
      <c r="E732" s="13" t="s">
        <v>248</v>
      </c>
      <c r="F732" s="43" t="s">
        <v>248</v>
      </c>
      <c r="G732" s="14" t="str">
        <f ca="1">IFERROR(__xludf.DUMMYFUNCTION("CONCATENATE(B732,(VLOOKUP(C732,CATALOGOS!$F$2:$H$6,3,FALSE)),(VLOOKUP(V732,CATALOGOS!$J$2:$K$18,2,FALSE)),""-"",TO_TEXT(A732))"),"P24SJ-0731")</f>
        <v>P24SJ-0731</v>
      </c>
      <c r="H732" s="15" t="str">
        <f ca="1">IFERROR(__xludf.DUMMYFUNCTION("CONCATENATE($B732,(VLOOKUP($C732,CATALOGOS!$F$2:$H$6,3,FALSE)),(VLOOKUP($V732,CATALOGOS!$J$2:$K$18,2,FALSE)),""-"",TO_TEXT($A732))"),"P24SJ-0731")</f>
        <v>P24SJ-0731</v>
      </c>
      <c r="I732" s="6"/>
      <c r="J732" s="6" t="s">
        <v>5060</v>
      </c>
      <c r="K732" s="6" t="s">
        <v>5061</v>
      </c>
      <c r="L732" s="6" t="s">
        <v>5062</v>
      </c>
      <c r="M732" s="6" t="s">
        <v>5063</v>
      </c>
      <c r="N732" s="17"/>
      <c r="O732" s="17"/>
      <c r="P732" s="17" t="str">
        <f t="shared" si="7"/>
        <v>OK</v>
      </c>
      <c r="Q732" s="17" t="s">
        <v>978</v>
      </c>
      <c r="R732" s="6" t="s">
        <v>979</v>
      </c>
      <c r="S732" s="17" t="s">
        <v>5064</v>
      </c>
      <c r="T732" s="17" t="s">
        <v>5065</v>
      </c>
      <c r="U732" s="18" t="s">
        <v>38</v>
      </c>
      <c r="V732" s="19" t="s">
        <v>4411</v>
      </c>
      <c r="W732" s="22" t="s">
        <v>4935</v>
      </c>
      <c r="X732" s="21" t="s">
        <v>4935</v>
      </c>
      <c r="Y732" s="22"/>
      <c r="Z732" s="7"/>
      <c r="AA732" s="7"/>
      <c r="AB732" s="23"/>
      <c r="AC732" s="26"/>
    </row>
    <row r="733" spans="1:29" ht="15.75" customHeight="1">
      <c r="A733" s="10" t="s">
        <v>5066</v>
      </c>
      <c r="B733" s="10" t="s">
        <v>27</v>
      </c>
      <c r="C733" s="19" t="s">
        <v>28</v>
      </c>
      <c r="D733" s="38"/>
      <c r="E733" s="13" t="s">
        <v>184</v>
      </c>
      <c r="F733" s="43" t="s">
        <v>927</v>
      </c>
      <c r="G733" s="59" t="str">
        <f ca="1">IFERROR(__xludf.DUMMYFUNCTION("CONCATENATE(B733,(VLOOKUP(C733,CATALOGOS!$F$2:$H$6,3,FALSE)),(VLOOKUP(V733,CATALOGOS!$J$2:$K$18,2,FALSE)),""-"",TO_TEXT(A733))"),"P05RM-0732")</f>
        <v>P05RM-0732</v>
      </c>
      <c r="H733" s="15" t="str">
        <f ca="1">IFERROR(__xludf.DUMMYFUNCTION("CONCATENATE($B733,(VLOOKUP($C733,CATALOGOS!$F$2:$H$6,3,FALSE)),(VLOOKUP($V733,CATALOGOS!$J$2:$K$18,2,FALSE)),""-"",TO_TEXT($A733))"),"P05RM-0732")</f>
        <v>P05RM-0732</v>
      </c>
      <c r="I733" s="6"/>
      <c r="J733" s="6" t="s">
        <v>5067</v>
      </c>
      <c r="K733" s="6" t="s">
        <v>5068</v>
      </c>
      <c r="L733" s="6" t="s">
        <v>5069</v>
      </c>
      <c r="M733" s="43" t="s">
        <v>5070</v>
      </c>
      <c r="N733" s="17"/>
      <c r="O733" s="17"/>
      <c r="P733" s="17" t="str">
        <f t="shared" si="7"/>
        <v>OK</v>
      </c>
      <c r="Q733" s="17" t="s">
        <v>35</v>
      </c>
      <c r="R733" s="6" t="s">
        <v>35</v>
      </c>
      <c r="S733" s="46" t="s">
        <v>36</v>
      </c>
      <c r="T733" s="17" t="s">
        <v>5071</v>
      </c>
      <c r="U733" s="18" t="s">
        <v>549</v>
      </c>
      <c r="V733" s="19" t="s">
        <v>147</v>
      </c>
      <c r="W733" s="20" t="s">
        <v>385</v>
      </c>
      <c r="X733" s="21" t="s">
        <v>4935</v>
      </c>
      <c r="Y733" s="40" t="s">
        <v>261</v>
      </c>
      <c r="Z733" s="6"/>
      <c r="AA733" s="6" t="s">
        <v>440</v>
      </c>
      <c r="AB733" s="20" t="s">
        <v>5072</v>
      </c>
      <c r="AC733" s="26"/>
    </row>
    <row r="734" spans="1:29" ht="15.75" customHeight="1">
      <c r="A734" s="10" t="s">
        <v>5073</v>
      </c>
      <c r="B734" s="10" t="s">
        <v>4410</v>
      </c>
      <c r="C734" s="19" t="s">
        <v>4411</v>
      </c>
      <c r="D734" s="12"/>
      <c r="E734" s="13" t="s">
        <v>93</v>
      </c>
      <c r="F734" s="6" t="s">
        <v>3710</v>
      </c>
      <c r="G734" s="14" t="str">
        <f ca="1">IFERROR(__xludf.DUMMYFUNCTION("CONCATENATE(B734,(VLOOKUP(C734,CATALOGOS!$F$2:$H$6,3,FALSE)),(VLOOKUP(V734,CATALOGOS!$J$2:$K$18,2,FALSE)),""-"",TO_TEXT(A734))"),"P24SJ-0733")</f>
        <v>P24SJ-0733</v>
      </c>
      <c r="H734" s="15" t="str">
        <f ca="1">IFERROR(__xludf.DUMMYFUNCTION("CONCATENATE($B734,(VLOOKUP($C734,CATALOGOS!$F$2:$H$6,3,FALSE)),(VLOOKUP($V734,CATALOGOS!$J$2:$K$18,2,FALSE)),""-"",TO_TEXT($A734))"),"P24SJ-0733")</f>
        <v>P24SJ-0733</v>
      </c>
      <c r="I734" s="6"/>
      <c r="J734" s="6" t="s">
        <v>5074</v>
      </c>
      <c r="K734" s="6" t="s">
        <v>5075</v>
      </c>
      <c r="L734" s="6" t="s">
        <v>5076</v>
      </c>
      <c r="M734" s="6" t="s">
        <v>5077</v>
      </c>
      <c r="N734" s="17"/>
      <c r="O734" s="17"/>
      <c r="P734" s="17" t="str">
        <f t="shared" si="7"/>
        <v>OK</v>
      </c>
      <c r="Q734" s="17" t="s">
        <v>35</v>
      </c>
      <c r="R734" s="6" t="s">
        <v>35</v>
      </c>
      <c r="S734" s="17" t="s">
        <v>36</v>
      </c>
      <c r="T734" s="17" t="s">
        <v>5078</v>
      </c>
      <c r="U734" s="18" t="s">
        <v>38</v>
      </c>
      <c r="V734" s="19" t="s">
        <v>4411</v>
      </c>
      <c r="W734" s="22" t="s">
        <v>5079</v>
      </c>
      <c r="X734" s="21" t="s">
        <v>5079</v>
      </c>
      <c r="Y734" s="20" t="s">
        <v>5080</v>
      </c>
      <c r="Z734" s="6"/>
      <c r="AA734" s="6"/>
      <c r="AB734" s="23"/>
      <c r="AC734" s="33"/>
    </row>
    <row r="735" spans="1:29" ht="36.75" customHeight="1">
      <c r="A735" s="10" t="s">
        <v>5081</v>
      </c>
      <c r="B735" s="10" t="s">
        <v>4410</v>
      </c>
      <c r="C735" s="19" t="s">
        <v>4411</v>
      </c>
      <c r="D735" s="12"/>
      <c r="E735" s="13" t="s">
        <v>466</v>
      </c>
      <c r="F735" s="6" t="s">
        <v>5082</v>
      </c>
      <c r="G735" s="14" t="str">
        <f ca="1">IFERROR(__xludf.DUMMYFUNCTION("CONCATENATE(B735,(VLOOKUP(C735,CATALOGOS!$F$2:$H$6,3,FALSE)),(VLOOKUP(V735,CATALOGOS!$J$2:$K$18,2,FALSE)),""-"",TO_TEXT(A735))"),"P24SJ-0734")</f>
        <v>P24SJ-0734</v>
      </c>
      <c r="H735" s="15" t="str">
        <f ca="1">IFERROR(__xludf.DUMMYFUNCTION("CONCATENATE($B735,(VLOOKUP($C735,CATALOGOS!$F$2:$H$6,3,FALSE)),(VLOOKUP($V735,CATALOGOS!$J$2:$K$18,2,FALSE)),""-"",TO_TEXT($A735))"),"P24SJ-0734")</f>
        <v>P24SJ-0734</v>
      </c>
      <c r="I735" s="6"/>
      <c r="J735" s="6" t="s">
        <v>5083</v>
      </c>
      <c r="K735" s="6" t="s">
        <v>5084</v>
      </c>
      <c r="L735" s="6" t="s">
        <v>5085</v>
      </c>
      <c r="M735" s="6" t="s">
        <v>5086</v>
      </c>
      <c r="N735" s="17"/>
      <c r="O735" s="17"/>
      <c r="P735" s="17" t="str">
        <f t="shared" si="7"/>
        <v>OK</v>
      </c>
      <c r="Q735" s="17" t="s">
        <v>35</v>
      </c>
      <c r="R735" s="6" t="s">
        <v>35</v>
      </c>
      <c r="S735" s="17" t="s">
        <v>36</v>
      </c>
      <c r="T735" s="17" t="s">
        <v>5087</v>
      </c>
      <c r="U735" s="18" t="s">
        <v>38</v>
      </c>
      <c r="V735" s="19" t="s">
        <v>4411</v>
      </c>
      <c r="W735" s="22" t="s">
        <v>5079</v>
      </c>
      <c r="X735" s="21" t="s">
        <v>5079</v>
      </c>
      <c r="Y735" s="22"/>
      <c r="Z735" s="7"/>
      <c r="AA735" s="7"/>
      <c r="AB735" s="23"/>
      <c r="AC735" s="26"/>
    </row>
    <row r="736" spans="1:29" ht="31.5" customHeight="1">
      <c r="A736" s="10" t="s">
        <v>5088</v>
      </c>
      <c r="B736" s="10" t="s">
        <v>4410</v>
      </c>
      <c r="C736" s="19" t="s">
        <v>4411</v>
      </c>
      <c r="D736" s="12"/>
      <c r="E736" s="13" t="s">
        <v>466</v>
      </c>
      <c r="F736" s="6" t="s">
        <v>5082</v>
      </c>
      <c r="G736" s="14" t="str">
        <f ca="1">IFERROR(__xludf.DUMMYFUNCTION("CONCATENATE(B736,(VLOOKUP(C736,CATALOGOS!$F$2:$H$6,3,FALSE)),(VLOOKUP(V736,CATALOGOS!$J$2:$K$18,2,FALSE)),""-"",TO_TEXT(A736))"),"P24SJ-0735")</f>
        <v>P24SJ-0735</v>
      </c>
      <c r="H736" s="15" t="str">
        <f ca="1">IFERROR(__xludf.DUMMYFUNCTION("CONCATENATE($B736,(VLOOKUP($C736,CATALOGOS!$F$2:$H$6,3,FALSE)),(VLOOKUP($V736,CATALOGOS!$J$2:$K$18,2,FALSE)),""-"",TO_TEXT($A736))"),"P24SJ-0735")</f>
        <v>P24SJ-0735</v>
      </c>
      <c r="I736" s="6"/>
      <c r="J736" s="6" t="s">
        <v>5089</v>
      </c>
      <c r="K736" s="6" t="s">
        <v>5090</v>
      </c>
      <c r="L736" s="6" t="s">
        <v>5091</v>
      </c>
      <c r="M736" s="6" t="s">
        <v>5092</v>
      </c>
      <c r="N736" s="17"/>
      <c r="O736" s="17"/>
      <c r="P736" s="17" t="str">
        <f t="shared" si="7"/>
        <v>OK</v>
      </c>
      <c r="Q736" s="17" t="s">
        <v>35</v>
      </c>
      <c r="R736" s="6" t="s">
        <v>35</v>
      </c>
      <c r="S736" s="17" t="s">
        <v>36</v>
      </c>
      <c r="T736" s="17" t="s">
        <v>5093</v>
      </c>
      <c r="U736" s="18" t="s">
        <v>38</v>
      </c>
      <c r="V736" s="19" t="s">
        <v>4411</v>
      </c>
      <c r="W736" s="22" t="s">
        <v>5079</v>
      </c>
      <c r="X736" s="21" t="s">
        <v>5079</v>
      </c>
      <c r="Y736" s="22"/>
      <c r="Z736" s="7"/>
      <c r="AA736" s="7"/>
      <c r="AB736" s="23"/>
      <c r="AC736" s="26"/>
    </row>
    <row r="737" spans="1:30" ht="15.75" customHeight="1">
      <c r="A737" s="10" t="s">
        <v>5094</v>
      </c>
      <c r="B737" s="10" t="s">
        <v>4410</v>
      </c>
      <c r="C737" s="19" t="s">
        <v>4411</v>
      </c>
      <c r="D737" s="12"/>
      <c r="E737" s="13" t="s">
        <v>184</v>
      </c>
      <c r="F737" s="6" t="s">
        <v>4989</v>
      </c>
      <c r="G737" s="14" t="str">
        <f ca="1">IFERROR(__xludf.DUMMYFUNCTION("CONCATENATE(B737,(VLOOKUP(C737,CATALOGOS!$F$2:$H$6,3,FALSE)),(VLOOKUP(V737,CATALOGOS!$J$2:$K$18,2,FALSE)),""-"",TO_TEXT(A737))"),"P24SJ-0736")</f>
        <v>P24SJ-0736</v>
      </c>
      <c r="H737" s="15" t="str">
        <f ca="1">IFERROR(__xludf.DUMMYFUNCTION("CONCATENATE($B737,(VLOOKUP($C737,CATALOGOS!$F$2:$H$6,3,FALSE)),(VLOOKUP($V737,CATALOGOS!$J$2:$K$18,2,FALSE)),""-"",TO_TEXT($A737))"),"P24SJ-0736")</f>
        <v>P24SJ-0736</v>
      </c>
      <c r="I737" s="6"/>
      <c r="J737" s="6" t="s">
        <v>5095</v>
      </c>
      <c r="K737" s="6" t="s">
        <v>5096</v>
      </c>
      <c r="L737" s="6" t="s">
        <v>5097</v>
      </c>
      <c r="M737" s="43" t="s">
        <v>5098</v>
      </c>
      <c r="N737" s="17"/>
      <c r="O737" s="17"/>
      <c r="P737" s="17" t="str">
        <f t="shared" si="7"/>
        <v>OK</v>
      </c>
      <c r="Q737" s="17" t="s">
        <v>35</v>
      </c>
      <c r="R737" s="6" t="s">
        <v>35</v>
      </c>
      <c r="S737" s="17" t="s">
        <v>36</v>
      </c>
      <c r="T737" s="17" t="s">
        <v>5099</v>
      </c>
      <c r="U737" s="18" t="s">
        <v>38</v>
      </c>
      <c r="V737" s="19" t="s">
        <v>4411</v>
      </c>
      <c r="W737" s="22" t="s">
        <v>5079</v>
      </c>
      <c r="X737" s="21" t="s">
        <v>5079</v>
      </c>
      <c r="Y737" s="22"/>
      <c r="Z737" s="7"/>
      <c r="AA737" s="7"/>
      <c r="AB737" s="23"/>
      <c r="AC737" s="26"/>
    </row>
    <row r="738" spans="1:30" ht="15.75" customHeight="1">
      <c r="A738" s="10" t="s">
        <v>5100</v>
      </c>
      <c r="B738" s="10" t="s">
        <v>4410</v>
      </c>
      <c r="C738" s="19" t="s">
        <v>4411</v>
      </c>
      <c r="D738" s="12"/>
      <c r="E738" s="13" t="s">
        <v>184</v>
      </c>
      <c r="F738" s="6" t="s">
        <v>4989</v>
      </c>
      <c r="G738" s="14" t="str">
        <f ca="1">IFERROR(__xludf.DUMMYFUNCTION("CONCATENATE(B738,(VLOOKUP(C738,CATALOGOS!$F$2:$H$6,3,FALSE)),(VLOOKUP(V738,CATALOGOS!$J$2:$K$18,2,FALSE)),""-"",TO_TEXT(A738))"),"P24SJ-0737")</f>
        <v>P24SJ-0737</v>
      </c>
      <c r="H738" s="15" t="str">
        <f ca="1">IFERROR(__xludf.DUMMYFUNCTION("CONCATENATE($B738,(VLOOKUP($C738,CATALOGOS!$F$2:$H$6,3,FALSE)),(VLOOKUP($V738,CATALOGOS!$J$2:$K$18,2,FALSE)),""-"",TO_TEXT($A738))"),"P24SJ-0737")</f>
        <v>P24SJ-0737</v>
      </c>
      <c r="I738" s="6"/>
      <c r="J738" s="6" t="s">
        <v>5101</v>
      </c>
      <c r="K738" s="6" t="s">
        <v>5102</v>
      </c>
      <c r="L738" s="6" t="s">
        <v>5103</v>
      </c>
      <c r="M738" s="6" t="s">
        <v>5104</v>
      </c>
      <c r="N738" s="17"/>
      <c r="O738" s="17"/>
      <c r="P738" s="17" t="str">
        <f t="shared" si="7"/>
        <v>OK</v>
      </c>
      <c r="Q738" s="17" t="s">
        <v>35</v>
      </c>
      <c r="R738" s="6" t="s">
        <v>35</v>
      </c>
      <c r="S738" s="17" t="s">
        <v>36</v>
      </c>
      <c r="T738" s="17" t="s">
        <v>5105</v>
      </c>
      <c r="U738" s="18" t="s">
        <v>38</v>
      </c>
      <c r="V738" s="19" t="s">
        <v>4411</v>
      </c>
      <c r="W738" s="22" t="s">
        <v>5079</v>
      </c>
      <c r="X738" s="21" t="s">
        <v>5079</v>
      </c>
      <c r="Y738" s="22"/>
      <c r="Z738" s="6"/>
      <c r="AA738" s="6"/>
      <c r="AB738" s="23"/>
      <c r="AC738" s="33"/>
    </row>
    <row r="739" spans="1:30" ht="29.25">
      <c r="A739" s="10" t="s">
        <v>5106</v>
      </c>
      <c r="B739" s="10" t="s">
        <v>4410</v>
      </c>
      <c r="C739" s="19" t="s">
        <v>4411</v>
      </c>
      <c r="D739" s="12"/>
      <c r="E739" s="13" t="s">
        <v>466</v>
      </c>
      <c r="F739" s="6" t="s">
        <v>5082</v>
      </c>
      <c r="G739" s="14" t="str">
        <f ca="1">IFERROR(__xludf.DUMMYFUNCTION("CONCATENATE(B739,(VLOOKUP(C739,CATALOGOS!$F$2:$H$6,3,FALSE)),(VLOOKUP(V739,CATALOGOS!$J$2:$K$18,2,FALSE)),""-"",TO_TEXT(A739))"),"P24SJ-0738")</f>
        <v>P24SJ-0738</v>
      </c>
      <c r="H739" s="15" t="str">
        <f ca="1">IFERROR(__xludf.DUMMYFUNCTION("CONCATENATE($B739,(VLOOKUP($C739,CATALOGOS!$F$2:$H$6,3,FALSE)),(VLOOKUP($V739,CATALOGOS!$J$2:$K$18,2,FALSE)),""-"",TO_TEXT($A739))"),"P24SJ-0738")</f>
        <v>P24SJ-0738</v>
      </c>
      <c r="I739" s="6"/>
      <c r="J739" s="6" t="s">
        <v>5107</v>
      </c>
      <c r="K739" s="6" t="s">
        <v>5108</v>
      </c>
      <c r="L739" s="6" t="s">
        <v>5109</v>
      </c>
      <c r="M739" s="6" t="s">
        <v>5110</v>
      </c>
      <c r="N739" s="17"/>
      <c r="O739" s="17"/>
      <c r="P739" s="17" t="str">
        <f t="shared" si="7"/>
        <v>OK</v>
      </c>
      <c r="Q739" s="17" t="s">
        <v>35</v>
      </c>
      <c r="R739" s="6" t="s">
        <v>35</v>
      </c>
      <c r="S739" s="17" t="s">
        <v>36</v>
      </c>
      <c r="T739" s="17" t="s">
        <v>5111</v>
      </c>
      <c r="U739" s="18" t="s">
        <v>38</v>
      </c>
      <c r="V739" s="19" t="s">
        <v>4411</v>
      </c>
      <c r="W739" s="22" t="s">
        <v>5079</v>
      </c>
      <c r="X739" s="21" t="s">
        <v>5079</v>
      </c>
      <c r="Y739" s="22"/>
      <c r="Z739" s="7"/>
      <c r="AA739" s="7"/>
      <c r="AB739" s="23"/>
      <c r="AC739" s="26"/>
    </row>
    <row r="740" spans="1:30" ht="15.75" customHeight="1">
      <c r="A740" s="10" t="s">
        <v>5112</v>
      </c>
      <c r="B740" s="10" t="s">
        <v>4410</v>
      </c>
      <c r="C740" s="19" t="s">
        <v>28</v>
      </c>
      <c r="D740" s="12"/>
      <c r="E740" s="13" t="s">
        <v>43</v>
      </c>
      <c r="F740" s="6" t="s">
        <v>1492</v>
      </c>
      <c r="G740" s="14" t="str">
        <f ca="1">IFERROR(__xludf.DUMMYFUNCTION("CONCATENATE(B740,(VLOOKUP(C740,CATALOGOS!$F$2:$H$6,3,FALSE)),(VLOOKUP(V740,CATALOGOS!$J$2:$K$18,2,FALSE)),""-"",TO_TEXT(A740))"),"P25RM-0739")</f>
        <v>P25RM-0739</v>
      </c>
      <c r="H740" s="15" t="str">
        <f ca="1">IFERROR(__xludf.DUMMYFUNCTION("CONCATENATE($B740,(VLOOKUP($C740,CATALOGOS!$F$2:$H$6,3,FALSE)),(VLOOKUP($V740,CATALOGOS!$J$2:$K$18,2,FALSE)),""-"",TO_TEXT($A740))"),"P25RM-0739")</f>
        <v>P25RM-0739</v>
      </c>
      <c r="I740" s="6"/>
      <c r="J740" s="6" t="s">
        <v>5113</v>
      </c>
      <c r="K740" s="6" t="s">
        <v>5114</v>
      </c>
      <c r="L740" s="6" t="s">
        <v>5115</v>
      </c>
      <c r="M740" s="6" t="s">
        <v>5116</v>
      </c>
      <c r="N740" s="17"/>
      <c r="O740" s="17"/>
      <c r="P740" s="17" t="str">
        <f t="shared" si="7"/>
        <v>OK</v>
      </c>
      <c r="Q740" s="17" t="s">
        <v>406</v>
      </c>
      <c r="R740" s="6" t="s">
        <v>407</v>
      </c>
      <c r="S740" s="17" t="s">
        <v>36</v>
      </c>
      <c r="T740" s="17" t="s">
        <v>5117</v>
      </c>
      <c r="U740" s="18" t="s">
        <v>100</v>
      </c>
      <c r="V740" s="19" t="s">
        <v>147</v>
      </c>
      <c r="W740" s="20" t="s">
        <v>385</v>
      </c>
      <c r="X740" s="21" t="s">
        <v>5079</v>
      </c>
      <c r="Y740" s="40" t="s">
        <v>261</v>
      </c>
      <c r="Z740" s="6" t="s">
        <v>5041</v>
      </c>
      <c r="AA740" s="6"/>
      <c r="AB740" s="23"/>
      <c r="AC740" s="33"/>
    </row>
    <row r="741" spans="1:30" ht="15.75" customHeight="1">
      <c r="A741" s="10" t="s">
        <v>5118</v>
      </c>
      <c r="B741" s="10" t="s">
        <v>4410</v>
      </c>
      <c r="C741" s="19" t="s">
        <v>4411</v>
      </c>
      <c r="D741" s="12"/>
      <c r="E741" s="13" t="s">
        <v>93</v>
      </c>
      <c r="F741" s="6" t="s">
        <v>5119</v>
      </c>
      <c r="G741" s="14" t="str">
        <f ca="1">IFERROR(__xludf.DUMMYFUNCTION("CONCATENATE(B741,(VLOOKUP(C741,CATALOGOS!$F$2:$H$6,3,FALSE)),(VLOOKUP(V741,CATALOGOS!$J$2:$K$18,2,FALSE)),""-"",TO_TEXT(A741))"),"P24SJ-0740")</f>
        <v>P24SJ-0740</v>
      </c>
      <c r="H741" s="15" t="str">
        <f ca="1">IFERROR(__xludf.DUMMYFUNCTION("CONCATENATE($B741,(VLOOKUP($C741,CATALOGOS!$F$2:$H$6,3,FALSE)),(VLOOKUP($V741,CATALOGOS!$J$2:$K$18,2,FALSE)),""-"",TO_TEXT($A741))"),"P24SJ-0740")</f>
        <v>P24SJ-0740</v>
      </c>
      <c r="I741" s="6"/>
      <c r="J741" s="6" t="s">
        <v>5120</v>
      </c>
      <c r="K741" s="6" t="s">
        <v>5121</v>
      </c>
      <c r="L741" s="6" t="s">
        <v>5122</v>
      </c>
      <c r="M741" s="6" t="s">
        <v>5123</v>
      </c>
      <c r="N741" s="17"/>
      <c r="O741" s="17"/>
      <c r="P741" s="17" t="str">
        <f t="shared" si="7"/>
        <v>OK</v>
      </c>
      <c r="Q741" s="17" t="s">
        <v>35</v>
      </c>
      <c r="R741" s="6" t="s">
        <v>35</v>
      </c>
      <c r="S741" s="17" t="s">
        <v>36</v>
      </c>
      <c r="T741" s="17" t="s">
        <v>5124</v>
      </c>
      <c r="U741" s="18" t="s">
        <v>38</v>
      </c>
      <c r="V741" s="19" t="s">
        <v>4411</v>
      </c>
      <c r="W741" s="22" t="s">
        <v>5079</v>
      </c>
      <c r="X741" s="21" t="s">
        <v>5079</v>
      </c>
      <c r="Y741" s="22"/>
      <c r="Z741" s="7"/>
      <c r="AA741" s="7"/>
      <c r="AB741" s="23"/>
      <c r="AC741" s="26"/>
    </row>
    <row r="742" spans="1:30" ht="26.25" customHeight="1">
      <c r="A742" s="10" t="s">
        <v>5125</v>
      </c>
      <c r="B742" s="10" t="s">
        <v>4410</v>
      </c>
      <c r="C742" s="19" t="s">
        <v>4411</v>
      </c>
      <c r="D742" s="38"/>
      <c r="E742" s="13" t="s">
        <v>62</v>
      </c>
      <c r="F742" s="6" t="s">
        <v>5126</v>
      </c>
      <c r="G742" s="14" t="str">
        <f ca="1">IFERROR(__xludf.DUMMYFUNCTION("CONCATENATE(B742,(VLOOKUP(C742,CATALOGOS!$F$2:$H$6,3,FALSE)),(VLOOKUP(V742,CATALOGOS!$J$2:$K$18,2,FALSE)),""-"",TO_TEXT(A742))"),"P24SJ-0741")</f>
        <v>P24SJ-0741</v>
      </c>
      <c r="H742" s="64" t="str">
        <f ca="1">IFERROR(__xludf.DUMMYFUNCTION("CONCATENATE($B742,(VLOOKUP($C742,CATALOGOS!$F$2:$H$6,3,FALSE)),(VLOOKUP($V742,CATALOGOS!$J$2:$K$18,2,FALSE)),""-"",TO_TEXT($A742))"),"P24SJ-0741")</f>
        <v>P24SJ-0741</v>
      </c>
      <c r="I742" s="6"/>
      <c r="J742" s="6" t="s">
        <v>5127</v>
      </c>
      <c r="K742" s="6" t="s">
        <v>5128</v>
      </c>
      <c r="L742" s="6" t="s">
        <v>5129</v>
      </c>
      <c r="M742" s="6" t="s">
        <v>5130</v>
      </c>
      <c r="N742" s="17"/>
      <c r="O742" s="17"/>
      <c r="P742" s="17" t="str">
        <f t="shared" si="7"/>
        <v>OK</v>
      </c>
      <c r="Q742" s="17" t="s">
        <v>35</v>
      </c>
      <c r="R742" s="6" t="s">
        <v>35</v>
      </c>
      <c r="S742" s="46" t="s">
        <v>36</v>
      </c>
      <c r="T742" s="17" t="s">
        <v>5131</v>
      </c>
      <c r="U742" s="18" t="s">
        <v>2309</v>
      </c>
      <c r="V742" s="19" t="s">
        <v>4411</v>
      </c>
      <c r="W742" s="22" t="s">
        <v>5079</v>
      </c>
      <c r="X742" s="21" t="s">
        <v>5079</v>
      </c>
      <c r="Y742" s="77" t="s">
        <v>5132</v>
      </c>
      <c r="Z742" s="7"/>
      <c r="AA742" s="7"/>
      <c r="AB742" s="26"/>
      <c r="AC742" s="26"/>
    </row>
    <row r="743" spans="1:30" ht="15.75" customHeight="1">
      <c r="A743" s="10" t="s">
        <v>5133</v>
      </c>
      <c r="B743" s="10" t="s">
        <v>4410</v>
      </c>
      <c r="C743" s="19" t="s">
        <v>4411</v>
      </c>
      <c r="D743" s="12"/>
      <c r="E743" s="13" t="s">
        <v>93</v>
      </c>
      <c r="F743" s="6" t="s">
        <v>1380</v>
      </c>
      <c r="G743" s="14" t="str">
        <f ca="1">IFERROR(__xludf.DUMMYFUNCTION("CONCATENATE(B743,(VLOOKUP(C743,CATALOGOS!$F$2:$H$6,3,FALSE)),(VLOOKUP(V743,CATALOGOS!$J$2:$K$18,2,FALSE)),""-"",TO_TEXT(A743))"),"P24SJ-0742")</f>
        <v>P24SJ-0742</v>
      </c>
      <c r="H743" s="15" t="str">
        <f ca="1">IFERROR(__xludf.DUMMYFUNCTION("CONCATENATE($B743,(VLOOKUP($C743,CATALOGOS!$F$2:$H$6,3,FALSE)),(VLOOKUP($V743,CATALOGOS!$J$2:$K$18,2,FALSE)),""-"",TO_TEXT($A743))"),"P24SJ-0742")</f>
        <v>P24SJ-0742</v>
      </c>
      <c r="I743" s="6"/>
      <c r="J743" s="6" t="s">
        <v>5134</v>
      </c>
      <c r="K743" s="6" t="s">
        <v>5135</v>
      </c>
      <c r="L743" s="6" t="s">
        <v>5136</v>
      </c>
      <c r="M743" s="6" t="s">
        <v>5137</v>
      </c>
      <c r="N743" s="17"/>
      <c r="O743" s="17"/>
      <c r="P743" s="17" t="str">
        <f t="shared" si="7"/>
        <v>OK</v>
      </c>
      <c r="Q743" s="17" t="s">
        <v>35</v>
      </c>
      <c r="R743" s="6" t="s">
        <v>35</v>
      </c>
      <c r="S743" s="17" t="s">
        <v>36</v>
      </c>
      <c r="T743" s="17" t="s">
        <v>85</v>
      </c>
      <c r="U743" s="18" t="s">
        <v>38</v>
      </c>
      <c r="V743" s="19" t="s">
        <v>4411</v>
      </c>
      <c r="W743" s="20" t="s">
        <v>5138</v>
      </c>
      <c r="X743" s="39" t="s">
        <v>5138</v>
      </c>
      <c r="Y743" s="20"/>
      <c r="Z743" s="7"/>
      <c r="AA743" s="7"/>
      <c r="AB743" s="23"/>
      <c r="AC743" s="26"/>
    </row>
    <row r="744" spans="1:30" ht="15.75" customHeight="1">
      <c r="A744" s="10" t="s">
        <v>5139</v>
      </c>
      <c r="B744" s="10" t="s">
        <v>4410</v>
      </c>
      <c r="C744" s="19" t="s">
        <v>4411</v>
      </c>
      <c r="D744" s="12"/>
      <c r="E744" s="13" t="s">
        <v>199</v>
      </c>
      <c r="F744" s="6" t="s">
        <v>677</v>
      </c>
      <c r="G744" s="14" t="str">
        <f ca="1">IFERROR(__xludf.DUMMYFUNCTION("CONCATENATE(B744,(VLOOKUP(C744,CATALOGOS!$F$2:$H$6,3,FALSE)),(VLOOKUP(V744,CATALOGOS!$J$2:$K$18,2,FALSE)),""-"",TO_TEXT(A744))"),"P24CA-0743")</f>
        <v>P24CA-0743</v>
      </c>
      <c r="H744" s="15" t="str">
        <f ca="1">IFERROR(__xludf.DUMMYFUNCTION("CONCATENATE($B744,(VLOOKUP($C744,CATALOGOS!$F$2:$H$6,3,FALSE)),(VLOOKUP($V744,CATALOGOS!$J$2:$K$18,2,FALSE)),""-"",TO_TEXT($A744))"),"P24CA-0743")</f>
        <v>P24CA-0743</v>
      </c>
      <c r="I744" s="6"/>
      <c r="J744" s="6" t="s">
        <v>5140</v>
      </c>
      <c r="K744" s="6" t="s">
        <v>5141</v>
      </c>
      <c r="L744" s="6" t="s">
        <v>5142</v>
      </c>
      <c r="M744" s="6" t="s">
        <v>5143</v>
      </c>
      <c r="N744" s="17"/>
      <c r="O744" s="17"/>
      <c r="P744" s="17" t="str">
        <f t="shared" si="7"/>
        <v>OK</v>
      </c>
      <c r="Q744" s="17" t="s">
        <v>682</v>
      </c>
      <c r="R744" s="6" t="s">
        <v>5144</v>
      </c>
      <c r="S744" s="17" t="s">
        <v>5145</v>
      </c>
      <c r="T744" s="17" t="s">
        <v>85</v>
      </c>
      <c r="U744" s="18" t="s">
        <v>38</v>
      </c>
      <c r="V744" s="19" t="s">
        <v>4416</v>
      </c>
      <c r="W744" s="20" t="s">
        <v>4417</v>
      </c>
      <c r="X744" s="39" t="s">
        <v>5146</v>
      </c>
      <c r="Y744" s="20"/>
      <c r="Z744" s="7"/>
      <c r="AA744" s="7"/>
      <c r="AB744" s="23"/>
      <c r="AC744" s="26"/>
    </row>
    <row r="745" spans="1:30" ht="15.75" customHeight="1">
      <c r="A745" s="10" t="s">
        <v>5147</v>
      </c>
      <c r="B745" s="10" t="s">
        <v>4410</v>
      </c>
      <c r="C745" s="19" t="s">
        <v>4411</v>
      </c>
      <c r="D745" s="38"/>
      <c r="E745" s="13" t="s">
        <v>378</v>
      </c>
      <c r="F745" s="43" t="s">
        <v>379</v>
      </c>
      <c r="G745" s="14" t="str">
        <f ca="1">IFERROR(__xludf.DUMMYFUNCTION("CONCATENATE(B745,(VLOOKUP(C745,CATALOGOS!$F$2:$H$6,3,FALSE)),(VLOOKUP(V745,CATALOGOS!$J$2:$K$18,2,FALSE)),""-"",TO_TEXT(A745))"),"P24CA-0744")</f>
        <v>P24CA-0744</v>
      </c>
      <c r="H745" s="15" t="str">
        <f ca="1">IFERROR(__xludf.DUMMYFUNCTION("CONCATENATE($B745,(VLOOKUP($C745,CATALOGOS!$F$2:$H$6,3,FALSE)),(VLOOKUP($V745,CATALOGOS!$J$2:$K$18,2,FALSE)),""-"",TO_TEXT($A745))"),"P24CA-0744")</f>
        <v>P24CA-0744</v>
      </c>
      <c r="I745" s="6"/>
      <c r="J745" s="6" t="s">
        <v>5148</v>
      </c>
      <c r="K745" s="6" t="s">
        <v>5149</v>
      </c>
      <c r="L745" s="6" t="s">
        <v>5150</v>
      </c>
      <c r="M745" s="6" t="s">
        <v>5151</v>
      </c>
      <c r="N745" s="17"/>
      <c r="O745" s="17"/>
      <c r="P745" s="17" t="str">
        <f t="shared" si="7"/>
        <v>OK</v>
      </c>
      <c r="Q745" s="17" t="s">
        <v>35</v>
      </c>
      <c r="R745" s="6" t="s">
        <v>35</v>
      </c>
      <c r="S745" s="46" t="s">
        <v>36</v>
      </c>
      <c r="T745" s="17" t="s">
        <v>5152</v>
      </c>
      <c r="U745" s="18" t="s">
        <v>38</v>
      </c>
      <c r="V745" s="19" t="s">
        <v>4416</v>
      </c>
      <c r="W745" s="20" t="s">
        <v>4417</v>
      </c>
      <c r="X745" s="21" t="s">
        <v>5146</v>
      </c>
      <c r="Y745" s="20"/>
      <c r="Z745" s="7"/>
      <c r="AA745" s="7"/>
      <c r="AB745" s="26"/>
      <c r="AC745" s="26"/>
    </row>
    <row r="746" spans="1:30" ht="15.75" customHeight="1">
      <c r="A746" s="10" t="s">
        <v>5153</v>
      </c>
      <c r="B746" s="10" t="s">
        <v>4410</v>
      </c>
      <c r="C746" s="19" t="s">
        <v>4411</v>
      </c>
      <c r="D746" s="12"/>
      <c r="E746" s="13" t="s">
        <v>93</v>
      </c>
      <c r="F746" s="6" t="s">
        <v>1380</v>
      </c>
      <c r="G746" s="14" t="str">
        <f ca="1">IFERROR(__xludf.DUMMYFUNCTION("CONCATENATE(B746,(VLOOKUP(C746,CATALOGOS!$F$2:$H$6,3,FALSE)),(VLOOKUP(V746,CATALOGOS!$J$2:$K$18,2,FALSE)),""-"",TO_TEXT(A746))"),"P24SJ-0745")</f>
        <v>P24SJ-0745</v>
      </c>
      <c r="H746" s="15" t="str">
        <f ca="1">IFERROR(__xludf.DUMMYFUNCTION("CONCATENATE($B746,(VLOOKUP($C746,CATALOGOS!$F$2:$H$6,3,FALSE)),(VLOOKUP($V746,CATALOGOS!$J$2:$K$18,2,FALSE)),""-"",TO_TEXT($A746))"),"P24SJ-0745")</f>
        <v>P24SJ-0745</v>
      </c>
      <c r="I746" s="6"/>
      <c r="J746" s="6" t="s">
        <v>5154</v>
      </c>
      <c r="K746" s="6" t="s">
        <v>5155</v>
      </c>
      <c r="L746" s="6" t="s">
        <v>5156</v>
      </c>
      <c r="M746" s="6" t="s">
        <v>5157</v>
      </c>
      <c r="N746" s="17"/>
      <c r="O746" s="17"/>
      <c r="P746" s="17" t="str">
        <f t="shared" si="7"/>
        <v>OK</v>
      </c>
      <c r="Q746" s="17" t="s">
        <v>35</v>
      </c>
      <c r="R746" s="6" t="s">
        <v>35</v>
      </c>
      <c r="S746" s="17" t="s">
        <v>36</v>
      </c>
      <c r="T746" s="17" t="s">
        <v>5158</v>
      </c>
      <c r="U746" s="18" t="s">
        <v>38</v>
      </c>
      <c r="V746" s="19" t="s">
        <v>4411</v>
      </c>
      <c r="W746" s="22" t="s">
        <v>5138</v>
      </c>
      <c r="X746" s="21" t="s">
        <v>5138</v>
      </c>
      <c r="Y746" s="22"/>
      <c r="Z746" s="6"/>
      <c r="AA746" s="6"/>
      <c r="AB746" s="23"/>
      <c r="AC746" s="33"/>
    </row>
    <row r="747" spans="1:30" ht="15.75" customHeight="1">
      <c r="A747" s="10" t="s">
        <v>5159</v>
      </c>
      <c r="B747" s="10" t="s">
        <v>4410</v>
      </c>
      <c r="C747" s="19" t="s">
        <v>4411</v>
      </c>
      <c r="D747" s="12"/>
      <c r="E747" s="13" t="s">
        <v>93</v>
      </c>
      <c r="F747" s="43" t="s">
        <v>5160</v>
      </c>
      <c r="G747" s="14" t="str">
        <f ca="1">IFERROR(__xludf.DUMMYFUNCTION("CONCATENATE(B747,(VLOOKUP(C747,CATALOGOS!$F$2:$H$6,3,FALSE)),(VLOOKUP(V747,CATALOGOS!$J$2:$K$18,2,FALSE)),""-"",TO_TEXT(A747))"),"P24SJ-0746")</f>
        <v>P24SJ-0746</v>
      </c>
      <c r="H747" s="15" t="str">
        <f ca="1">IFERROR(__xludf.DUMMYFUNCTION("CONCATENATE($B747,(VLOOKUP($C747,CATALOGOS!$F$2:$H$6,3,FALSE)),(VLOOKUP($V747,CATALOGOS!$J$2:$K$18,2,FALSE)),""-"",TO_TEXT($A747))"),"P24SJ-0746")</f>
        <v>P24SJ-0746</v>
      </c>
      <c r="I747" s="6"/>
      <c r="J747" s="6" t="s">
        <v>5161</v>
      </c>
      <c r="K747" s="6" t="s">
        <v>5162</v>
      </c>
      <c r="L747" s="10" t="s">
        <v>5163</v>
      </c>
      <c r="M747" s="6" t="s">
        <v>5164</v>
      </c>
      <c r="N747" s="17"/>
      <c r="O747" s="17"/>
      <c r="P747" s="17" t="str">
        <f t="shared" si="7"/>
        <v>OK</v>
      </c>
      <c r="Q747" s="17" t="s">
        <v>35</v>
      </c>
      <c r="R747" s="6" t="s">
        <v>35</v>
      </c>
      <c r="S747" s="17" t="s">
        <v>36</v>
      </c>
      <c r="T747" s="17" t="s">
        <v>5165</v>
      </c>
      <c r="U747" s="18" t="s">
        <v>38</v>
      </c>
      <c r="V747" s="19" t="s">
        <v>4411</v>
      </c>
      <c r="W747" s="22" t="s">
        <v>5138</v>
      </c>
      <c r="X747" s="21" t="s">
        <v>5138</v>
      </c>
      <c r="Y747" s="22"/>
      <c r="Z747" s="7"/>
      <c r="AA747" s="7"/>
      <c r="AB747" s="23"/>
      <c r="AC747" s="26"/>
    </row>
    <row r="748" spans="1:30" ht="15.75" customHeight="1">
      <c r="A748" s="10" t="s">
        <v>5166</v>
      </c>
      <c r="B748" s="10" t="s">
        <v>4410</v>
      </c>
      <c r="C748" s="19" t="s">
        <v>4411</v>
      </c>
      <c r="D748" s="12"/>
      <c r="E748" s="13" t="s">
        <v>29</v>
      </c>
      <c r="F748" s="6" t="s">
        <v>5167</v>
      </c>
      <c r="G748" s="14" t="str">
        <f ca="1">IFERROR(__xludf.DUMMYFUNCTION("CONCATENATE(B748,(VLOOKUP(C748,CATALOGOS!$F$2:$H$6,3,FALSE)),(VLOOKUP(V748,CATALOGOS!$J$2:$K$18,2,FALSE)),""-"",TO_TEXT(A748))"),"P24SJ-0747")</f>
        <v>P24SJ-0747</v>
      </c>
      <c r="H748" s="15" t="str">
        <f ca="1">IFERROR(__xludf.DUMMYFUNCTION("CONCATENATE($B748,(VLOOKUP($C748,CATALOGOS!$F$2:$H$6,3,FALSE)),(VLOOKUP($V748,CATALOGOS!$J$2:$K$18,2,FALSE)),""-"",TO_TEXT($A748))"),"P24SJ-0747")</f>
        <v>P24SJ-0747</v>
      </c>
      <c r="I748" s="6"/>
      <c r="J748" s="6" t="s">
        <v>5168</v>
      </c>
      <c r="K748" s="6" t="s">
        <v>5169</v>
      </c>
      <c r="L748" s="6" t="s">
        <v>5170</v>
      </c>
      <c r="M748" s="6" t="s">
        <v>5171</v>
      </c>
      <c r="N748" s="17"/>
      <c r="O748" s="17"/>
      <c r="P748" s="17" t="str">
        <f t="shared" si="7"/>
        <v>OK</v>
      </c>
      <c r="Q748" s="17" t="s">
        <v>35</v>
      </c>
      <c r="R748" s="6" t="s">
        <v>35</v>
      </c>
      <c r="S748" s="17" t="s">
        <v>36</v>
      </c>
      <c r="T748" s="17" t="s">
        <v>5172</v>
      </c>
      <c r="U748" s="18" t="s">
        <v>38</v>
      </c>
      <c r="V748" s="19" t="s">
        <v>4411</v>
      </c>
      <c r="W748" s="22" t="s">
        <v>5138</v>
      </c>
      <c r="X748" s="21" t="s">
        <v>5138</v>
      </c>
      <c r="Y748" s="22"/>
      <c r="Z748" s="36"/>
      <c r="AA748" s="36"/>
      <c r="AB748" s="12"/>
      <c r="AC748" s="78"/>
      <c r="AD748" s="8"/>
    </row>
    <row r="749" spans="1:30" ht="15.75" customHeight="1">
      <c r="A749" s="10" t="s">
        <v>5173</v>
      </c>
      <c r="B749" s="10" t="s">
        <v>4410</v>
      </c>
      <c r="C749" s="19" t="s">
        <v>4411</v>
      </c>
      <c r="D749" s="12"/>
      <c r="E749" s="13" t="s">
        <v>162</v>
      </c>
      <c r="F749" s="43" t="s">
        <v>285</v>
      </c>
      <c r="G749" s="14" t="str">
        <f ca="1">IFERROR(__xludf.DUMMYFUNCTION("CONCATENATE(B749,(VLOOKUP(C749,CATALOGOS!$F$2:$H$6,3,FALSE)),(VLOOKUP(V749,CATALOGOS!$J$2:$K$18,2,FALSE)),""-"",TO_TEXT(A749))"),"P24SJ-0748")</f>
        <v>P24SJ-0748</v>
      </c>
      <c r="H749" s="15" t="str">
        <f ca="1">IFERROR(__xludf.DUMMYFUNCTION("CONCATENATE($B749,(VLOOKUP($C749,CATALOGOS!$F$2:$H$6,3,FALSE)),(VLOOKUP($V749,CATALOGOS!$J$2:$K$18,2,FALSE)),""-"",TO_TEXT($A749))"),"P24SJ-0748")</f>
        <v>P24SJ-0748</v>
      </c>
      <c r="I749" s="6"/>
      <c r="J749" s="6" t="s">
        <v>5174</v>
      </c>
      <c r="K749" s="6" t="s">
        <v>5175</v>
      </c>
      <c r="L749" s="6" t="s">
        <v>5176</v>
      </c>
      <c r="M749" s="6" t="s">
        <v>5177</v>
      </c>
      <c r="N749" s="17"/>
      <c r="O749" s="17"/>
      <c r="P749" s="17" t="str">
        <f t="shared" si="7"/>
        <v>OK</v>
      </c>
      <c r="Q749" s="17" t="s">
        <v>663</v>
      </c>
      <c r="R749" s="6" t="s">
        <v>664</v>
      </c>
      <c r="S749" s="17" t="s">
        <v>5178</v>
      </c>
      <c r="T749" s="10" t="s">
        <v>5179</v>
      </c>
      <c r="U749" s="18" t="s">
        <v>38</v>
      </c>
      <c r="V749" s="19" t="s">
        <v>4411</v>
      </c>
      <c r="W749" s="22" t="s">
        <v>5138</v>
      </c>
      <c r="X749" s="21" t="s">
        <v>5138</v>
      </c>
      <c r="Y749" s="22"/>
      <c r="Z749" s="7"/>
      <c r="AA749" s="7"/>
      <c r="AB749" s="23"/>
      <c r="AC749" s="26"/>
    </row>
    <row r="750" spans="1:30" ht="15.75" customHeight="1">
      <c r="A750" s="10" t="s">
        <v>5180</v>
      </c>
      <c r="B750" s="10" t="s">
        <v>4410</v>
      </c>
      <c r="C750" s="19" t="s">
        <v>4411</v>
      </c>
      <c r="D750" s="12"/>
      <c r="E750" s="13" t="s">
        <v>248</v>
      </c>
      <c r="F750" s="43" t="s">
        <v>249</v>
      </c>
      <c r="G750" s="14" t="str">
        <f ca="1">IFERROR(__xludf.DUMMYFUNCTION("CONCATENATE(B750,(VLOOKUP(C750,CATALOGOS!$F$2:$H$6,3,FALSE)),(VLOOKUP(V750,CATALOGOS!$J$2:$K$18,2,FALSE)),""-"",TO_TEXT(A750))"),"P24SJ-0749")</f>
        <v>P24SJ-0749</v>
      </c>
      <c r="H750" s="15" t="str">
        <f ca="1">IFERROR(__xludf.DUMMYFUNCTION("CONCATENATE($B750,(VLOOKUP($C750,CATALOGOS!$F$2:$H$6,3,FALSE)),(VLOOKUP($V750,CATALOGOS!$J$2:$K$18,2,FALSE)),""-"",TO_TEXT($A750))"),"P24SJ-0749")</f>
        <v>P24SJ-0749</v>
      </c>
      <c r="I750" s="6"/>
      <c r="J750" s="6" t="s">
        <v>5181</v>
      </c>
      <c r="K750" s="6" t="s">
        <v>5182</v>
      </c>
      <c r="L750" s="6" t="s">
        <v>5183</v>
      </c>
      <c r="M750" s="6" t="s">
        <v>5184</v>
      </c>
      <c r="N750" s="17"/>
      <c r="O750" s="17"/>
      <c r="P750" s="17" t="str">
        <f t="shared" si="7"/>
        <v>OK</v>
      </c>
      <c r="Q750" s="17" t="s">
        <v>978</v>
      </c>
      <c r="R750" s="6" t="s">
        <v>979</v>
      </c>
      <c r="S750" s="17" t="s">
        <v>5185</v>
      </c>
      <c r="T750" s="17" t="s">
        <v>5186</v>
      </c>
      <c r="U750" s="18" t="s">
        <v>38</v>
      </c>
      <c r="V750" s="19" t="s">
        <v>4411</v>
      </c>
      <c r="W750" s="22" t="s">
        <v>5138</v>
      </c>
      <c r="X750" s="21" t="s">
        <v>5138</v>
      </c>
      <c r="Y750" s="22"/>
      <c r="Z750" s="7"/>
      <c r="AA750" s="7"/>
      <c r="AB750" s="23"/>
      <c r="AC750" s="26"/>
    </row>
    <row r="751" spans="1:30" ht="15.75" customHeight="1">
      <c r="A751" s="10" t="s">
        <v>5187</v>
      </c>
      <c r="B751" s="10" t="s">
        <v>4410</v>
      </c>
      <c r="C751" s="19" t="s">
        <v>4411</v>
      </c>
      <c r="D751" s="12"/>
      <c r="E751" s="13" t="s">
        <v>353</v>
      </c>
      <c r="F751" s="43" t="s">
        <v>354</v>
      </c>
      <c r="G751" s="14" t="str">
        <f ca="1">IFERROR(__xludf.DUMMYFUNCTION("CONCATENATE(B751,(VLOOKUP(C751,CATALOGOS!$F$2:$H$6,3,FALSE)),(VLOOKUP(V751,CATALOGOS!$J$2:$K$18,2,FALSE)),""-"",TO_TEXT(A751))"),"P24SJ-0750")</f>
        <v>P24SJ-0750</v>
      </c>
      <c r="H751" s="15" t="str">
        <f ca="1">IFERROR(__xludf.DUMMYFUNCTION("CONCATENATE($B751,(VLOOKUP($C751,CATALOGOS!$F$2:$H$6,3,FALSE)),(VLOOKUP($V751,CATALOGOS!$J$2:$K$18,2,FALSE)),""-"",TO_TEXT($A751))"),"P24SJ-0750")</f>
        <v>P24SJ-0750</v>
      </c>
      <c r="I751" s="6"/>
      <c r="J751" s="6" t="s">
        <v>5188</v>
      </c>
      <c r="K751" s="6" t="s">
        <v>5189</v>
      </c>
      <c r="L751" s="6" t="s">
        <v>5190</v>
      </c>
      <c r="M751" s="6" t="s">
        <v>5191</v>
      </c>
      <c r="N751" s="17"/>
      <c r="O751" s="17"/>
      <c r="P751" s="17" t="str">
        <f t="shared" si="7"/>
        <v>OK</v>
      </c>
      <c r="Q751" s="17" t="s">
        <v>827</v>
      </c>
      <c r="R751" s="6" t="s">
        <v>828</v>
      </c>
      <c r="S751" s="17" t="s">
        <v>5192</v>
      </c>
      <c r="T751" s="10" t="s">
        <v>5193</v>
      </c>
      <c r="U751" s="18" t="s">
        <v>100</v>
      </c>
      <c r="V751" s="19" t="s">
        <v>4411</v>
      </c>
      <c r="W751" s="22" t="s">
        <v>5138</v>
      </c>
      <c r="X751" s="21" t="s">
        <v>5138</v>
      </c>
      <c r="Y751" s="20" t="s">
        <v>5194</v>
      </c>
      <c r="Z751" s="7"/>
      <c r="AA751" s="7"/>
      <c r="AB751" s="23"/>
      <c r="AC751" s="26"/>
    </row>
    <row r="752" spans="1:30" ht="29.25" customHeight="1">
      <c r="A752" s="10" t="s">
        <v>5195</v>
      </c>
      <c r="B752" s="10" t="s">
        <v>4410</v>
      </c>
      <c r="C752" s="19" t="s">
        <v>4411</v>
      </c>
      <c r="D752" s="12"/>
      <c r="E752" s="13" t="s">
        <v>116</v>
      </c>
      <c r="F752" s="6" t="s">
        <v>5196</v>
      </c>
      <c r="G752" s="14" t="str">
        <f ca="1">IFERROR(__xludf.DUMMYFUNCTION("CONCATENATE(B752,(VLOOKUP(C752,CATALOGOS!$F$2:$H$6,3,FALSE)),(VLOOKUP(V752,CATALOGOS!$J$2:$K$18,2,FALSE)),""-"",TO_TEXT(A752))"),"P24SJ-0751")</f>
        <v>P24SJ-0751</v>
      </c>
      <c r="H752" s="15" t="str">
        <f ca="1">IFERROR(__xludf.DUMMYFUNCTION("CONCATENATE($B752,(VLOOKUP($C752,CATALOGOS!$F$2:$H$6,3,FALSE)),(VLOOKUP($V752,CATALOGOS!$J$2:$K$18,2,FALSE)),""-"",TO_TEXT($A752))"),"P24SJ-0751")</f>
        <v>P24SJ-0751</v>
      </c>
      <c r="I752" s="6"/>
      <c r="J752" s="6" t="s">
        <v>5197</v>
      </c>
      <c r="K752" s="6" t="s">
        <v>5198</v>
      </c>
      <c r="L752" s="6" t="s">
        <v>5199</v>
      </c>
      <c r="M752" s="6" t="s">
        <v>5200</v>
      </c>
      <c r="N752" s="17"/>
      <c r="O752" s="17"/>
      <c r="P752" s="17" t="str">
        <f t="shared" si="7"/>
        <v>OK</v>
      </c>
      <c r="Q752" s="17" t="s">
        <v>35</v>
      </c>
      <c r="R752" s="6" t="s">
        <v>35</v>
      </c>
      <c r="S752" s="17" t="s">
        <v>36</v>
      </c>
      <c r="T752" s="17" t="s">
        <v>5201</v>
      </c>
      <c r="U752" s="18" t="s">
        <v>517</v>
      </c>
      <c r="V752" s="19" t="s">
        <v>4411</v>
      </c>
      <c r="W752" s="22" t="s">
        <v>5138</v>
      </c>
      <c r="X752" s="21" t="s">
        <v>5138</v>
      </c>
      <c r="Y752" s="22"/>
      <c r="Z752" s="7"/>
      <c r="AA752" s="7"/>
      <c r="AB752" s="23"/>
      <c r="AC752" s="26"/>
    </row>
    <row r="753" spans="1:29" ht="15.75" customHeight="1">
      <c r="A753" s="10" t="s">
        <v>5202</v>
      </c>
      <c r="B753" s="10" t="s">
        <v>4410</v>
      </c>
      <c r="C753" s="19" t="s">
        <v>4411</v>
      </c>
      <c r="D753" s="12"/>
      <c r="E753" s="13" t="s">
        <v>378</v>
      </c>
      <c r="F753" s="43" t="s">
        <v>5203</v>
      </c>
      <c r="G753" s="14" t="str">
        <f ca="1">IFERROR(__xludf.DUMMYFUNCTION("CONCATENATE(B753,(VLOOKUP(C753,CATALOGOS!$F$2:$H$6,3,FALSE)),(VLOOKUP(V753,CATALOGOS!$J$2:$K$18,2,FALSE)),""-"",TO_TEXT(A753))"),"P24SJ-0752")</f>
        <v>P24SJ-0752</v>
      </c>
      <c r="H753" s="15" t="str">
        <f ca="1">IFERROR(__xludf.DUMMYFUNCTION("CONCATENATE($B753,(VLOOKUP($C753,CATALOGOS!$F$2:$H$6,3,FALSE)),(VLOOKUP($V753,CATALOGOS!$J$2:$K$18,2,FALSE)),""-"",TO_TEXT($A753))"),"P24SJ-0752")</f>
        <v>P24SJ-0752</v>
      </c>
      <c r="I753" s="6"/>
      <c r="J753" s="6" t="s">
        <v>5204</v>
      </c>
      <c r="K753" s="6" t="s">
        <v>5205</v>
      </c>
      <c r="L753" s="6" t="s">
        <v>5206</v>
      </c>
      <c r="M753" s="6" t="s">
        <v>5207</v>
      </c>
      <c r="N753" s="17"/>
      <c r="O753" s="17"/>
      <c r="P753" s="17" t="str">
        <f t="shared" si="7"/>
        <v>OK</v>
      </c>
      <c r="Q753" s="17" t="s">
        <v>35</v>
      </c>
      <c r="R753" s="6" t="s">
        <v>35</v>
      </c>
      <c r="S753" s="17" t="s">
        <v>36</v>
      </c>
      <c r="T753" s="17" t="s">
        <v>5208</v>
      </c>
      <c r="U753" s="18" t="s">
        <v>517</v>
      </c>
      <c r="V753" s="19" t="s">
        <v>4411</v>
      </c>
      <c r="W753" s="22" t="s">
        <v>5138</v>
      </c>
      <c r="X753" s="21" t="s">
        <v>5138</v>
      </c>
      <c r="Y753" s="22"/>
      <c r="Z753" s="36"/>
      <c r="AA753" s="36"/>
      <c r="AB753" s="23"/>
      <c r="AC753" s="33"/>
    </row>
    <row r="754" spans="1:29" ht="15.75" customHeight="1">
      <c r="A754" s="10" t="s">
        <v>5209</v>
      </c>
      <c r="B754" s="10" t="s">
        <v>4410</v>
      </c>
      <c r="C754" s="19" t="s">
        <v>4411</v>
      </c>
      <c r="D754" s="38"/>
      <c r="E754" s="13" t="s">
        <v>199</v>
      </c>
      <c r="F754" s="6" t="s">
        <v>677</v>
      </c>
      <c r="G754" s="14" t="str">
        <f ca="1">IFERROR(__xludf.DUMMYFUNCTION("CONCATENATE(B754,(VLOOKUP(C754,CATALOGOS!$F$2:$H$6,3,FALSE)),(VLOOKUP(V754,CATALOGOS!$J$2:$K$18,2,FALSE)),""-"",TO_TEXT(A754))"),"P24SJ-0753")</f>
        <v>P24SJ-0753</v>
      </c>
      <c r="H754" s="15" t="str">
        <f ca="1">IFERROR(__xludf.DUMMYFUNCTION("CONCATENATE($B754,(VLOOKUP($C754,CATALOGOS!$F$2:$H$6,3,FALSE)),(VLOOKUP($V754,CATALOGOS!$J$2:$K$18,2,FALSE)),""-"",TO_TEXT($A754))"),"P24SJ-0753")</f>
        <v>P24SJ-0753</v>
      </c>
      <c r="I754" s="6"/>
      <c r="J754" s="6" t="s">
        <v>5210</v>
      </c>
      <c r="K754" s="6" t="s">
        <v>5211</v>
      </c>
      <c r="L754" s="6" t="s">
        <v>5212</v>
      </c>
      <c r="M754" s="6" t="s">
        <v>5213</v>
      </c>
      <c r="N754" s="17"/>
      <c r="O754" s="17"/>
      <c r="P754" s="17" t="str">
        <f t="shared" si="7"/>
        <v>OK</v>
      </c>
      <c r="Q754" s="17" t="s">
        <v>682</v>
      </c>
      <c r="R754" s="6" t="s">
        <v>5214</v>
      </c>
      <c r="S754" s="46" t="s">
        <v>5215</v>
      </c>
      <c r="T754" s="32" t="s">
        <v>85</v>
      </c>
      <c r="U754" s="18" t="s">
        <v>517</v>
      </c>
      <c r="V754" s="19" t="s">
        <v>4411</v>
      </c>
      <c r="W754" s="22" t="s">
        <v>5138</v>
      </c>
      <c r="X754" s="21" t="s">
        <v>5138</v>
      </c>
      <c r="Y754" s="22"/>
      <c r="Z754" s="6"/>
      <c r="AA754" s="6"/>
      <c r="AB754" s="26"/>
      <c r="AC754" s="33"/>
    </row>
    <row r="755" spans="1:29" ht="29.25" customHeight="1">
      <c r="A755" s="10" t="s">
        <v>5216</v>
      </c>
      <c r="B755" s="10" t="s">
        <v>4410</v>
      </c>
      <c r="C755" s="19" t="s">
        <v>4411</v>
      </c>
      <c r="D755" s="12"/>
      <c r="E755" s="13" t="s">
        <v>62</v>
      </c>
      <c r="F755" s="43" t="s">
        <v>5217</v>
      </c>
      <c r="G755" s="14" t="str">
        <f ca="1">IFERROR(__xludf.DUMMYFUNCTION("CONCATENATE(B755,(VLOOKUP(C755,CATALOGOS!$F$2:$H$6,3,FALSE)),(VLOOKUP(V755,CATALOGOS!$J$2:$K$18,2,FALSE)),""-"",TO_TEXT(A755))"),"P24SJ-0754")</f>
        <v>P24SJ-0754</v>
      </c>
      <c r="H755" s="15" t="str">
        <f ca="1">IFERROR(__xludf.DUMMYFUNCTION("CONCATENATE($B755,(VLOOKUP($C755,CATALOGOS!$F$2:$H$6,3,FALSE)),(VLOOKUP($V755,CATALOGOS!$J$2:$K$18,2,FALSE)),""-"",TO_TEXT($A755))"),"P24SJ-0754")</f>
        <v>P24SJ-0754</v>
      </c>
      <c r="I755" s="6"/>
      <c r="J755" s="6" t="s">
        <v>5218</v>
      </c>
      <c r="K755" s="6" t="s">
        <v>5219</v>
      </c>
      <c r="L755" s="6" t="s">
        <v>5220</v>
      </c>
      <c r="M755" s="6" t="s">
        <v>5221</v>
      </c>
      <c r="N755" s="17"/>
      <c r="O755" s="17"/>
      <c r="P755" s="17" t="str">
        <f t="shared" si="7"/>
        <v>OK</v>
      </c>
      <c r="Q755" s="17" t="s">
        <v>35</v>
      </c>
      <c r="R755" s="6" t="s">
        <v>35</v>
      </c>
      <c r="S755" s="17" t="s">
        <v>36</v>
      </c>
      <c r="T755" s="35" t="s">
        <v>5222</v>
      </c>
      <c r="U755" s="18" t="s">
        <v>38</v>
      </c>
      <c r="V755" s="19" t="s">
        <v>4411</v>
      </c>
      <c r="W755" s="22" t="s">
        <v>5223</v>
      </c>
      <c r="X755" s="21" t="s">
        <v>5223</v>
      </c>
      <c r="Y755" s="20"/>
      <c r="Z755" s="7"/>
      <c r="AA755" s="7"/>
      <c r="AB755" s="23"/>
      <c r="AC755" s="26"/>
    </row>
    <row r="756" spans="1:29" ht="27.75" customHeight="1">
      <c r="A756" s="10" t="s">
        <v>5224</v>
      </c>
      <c r="B756" s="10" t="s">
        <v>4410</v>
      </c>
      <c r="C756" s="19" t="s">
        <v>4411</v>
      </c>
      <c r="D756" s="12"/>
      <c r="E756" s="13" t="s">
        <v>93</v>
      </c>
      <c r="F756" s="6" t="s">
        <v>5225</v>
      </c>
      <c r="G756" s="14" t="str">
        <f ca="1">IFERROR(__xludf.DUMMYFUNCTION("CONCATENATE(B756,(VLOOKUP(C756,CATALOGOS!$F$2:$H$6,3,FALSE)),(VLOOKUP(V756,CATALOGOS!$J$2:$K$18,2,FALSE)),""-"",TO_TEXT(A756))"),"P24SJ-0755")</f>
        <v>P24SJ-0755</v>
      </c>
      <c r="H756" s="15" t="str">
        <f ca="1">IFERROR(__xludf.DUMMYFUNCTION("CONCATENATE($B756,(VLOOKUP($C756,CATALOGOS!$F$2:$H$6,3,FALSE)),(VLOOKUP($V756,CATALOGOS!$J$2:$K$18,2,FALSE)),""-"",TO_TEXT($A756))"),"P24SJ-0755")</f>
        <v>P24SJ-0755</v>
      </c>
      <c r="I756" s="6"/>
      <c r="J756" s="6" t="s">
        <v>5226</v>
      </c>
      <c r="K756" s="6" t="s">
        <v>5227</v>
      </c>
      <c r="L756" s="6" t="s">
        <v>5228</v>
      </c>
      <c r="M756" s="6" t="s">
        <v>5229</v>
      </c>
      <c r="N756" s="17"/>
      <c r="O756" s="17"/>
      <c r="P756" s="17" t="str">
        <f t="shared" si="7"/>
        <v>OK</v>
      </c>
      <c r="Q756" s="17" t="s">
        <v>35</v>
      </c>
      <c r="R756" s="6" t="s">
        <v>35</v>
      </c>
      <c r="S756" s="17" t="s">
        <v>36</v>
      </c>
      <c r="T756" s="17" t="s">
        <v>5230</v>
      </c>
      <c r="U756" s="18" t="s">
        <v>38</v>
      </c>
      <c r="V756" s="19" t="s">
        <v>4411</v>
      </c>
      <c r="W756" s="22" t="s">
        <v>5223</v>
      </c>
      <c r="X756" s="21" t="s">
        <v>5223</v>
      </c>
      <c r="Y756" s="22"/>
      <c r="Z756" s="7"/>
      <c r="AA756" s="7"/>
      <c r="AB756" s="23"/>
      <c r="AC756" s="26"/>
    </row>
    <row r="757" spans="1:29" ht="15.75" customHeight="1">
      <c r="A757" s="10" t="s">
        <v>5231</v>
      </c>
      <c r="B757" s="10" t="s">
        <v>4410</v>
      </c>
      <c r="C757" s="19" t="s">
        <v>4411</v>
      </c>
      <c r="D757" s="12"/>
      <c r="E757" s="13" t="s">
        <v>43</v>
      </c>
      <c r="F757" s="6" t="s">
        <v>5232</v>
      </c>
      <c r="G757" s="14" t="str">
        <f ca="1">IFERROR(__xludf.DUMMYFUNCTION("CONCATENATE(B757,(VLOOKUP(C757,CATALOGOS!$F$2:$H$6,3,FALSE)),(VLOOKUP(V757,CATALOGOS!$J$2:$K$18,2,FALSE)),""-"",TO_TEXT(A757))"),"P24SJ-0756")</f>
        <v>P24SJ-0756</v>
      </c>
      <c r="H757" s="15" t="str">
        <f ca="1">IFERROR(__xludf.DUMMYFUNCTION("CONCATENATE($B757,(VLOOKUP($C757,CATALOGOS!$F$2:$H$6,3,FALSE)),(VLOOKUP($V757,CATALOGOS!$J$2:$K$18,2,FALSE)),""-"",TO_TEXT($A757))"),"P24SJ-0756")</f>
        <v>P24SJ-0756</v>
      </c>
      <c r="I757" s="6"/>
      <c r="J757" s="6" t="s">
        <v>5233</v>
      </c>
      <c r="K757" s="6" t="s">
        <v>5234</v>
      </c>
      <c r="L757" s="6" t="s">
        <v>5235</v>
      </c>
      <c r="M757" s="43" t="s">
        <v>5236</v>
      </c>
      <c r="N757" s="17"/>
      <c r="O757" s="17"/>
      <c r="P757" s="17" t="str">
        <f t="shared" si="7"/>
        <v>OK</v>
      </c>
      <c r="Q757" s="17" t="s">
        <v>5237</v>
      </c>
      <c r="R757" s="6" t="s">
        <v>5238</v>
      </c>
      <c r="S757" s="17" t="s">
        <v>36</v>
      </c>
      <c r="T757" s="10" t="s">
        <v>5239</v>
      </c>
      <c r="U757" s="18" t="s">
        <v>38</v>
      </c>
      <c r="V757" s="19" t="s">
        <v>4411</v>
      </c>
      <c r="W757" s="22" t="s">
        <v>5223</v>
      </c>
      <c r="X757" s="21" t="s">
        <v>5223</v>
      </c>
      <c r="Y757" s="22"/>
      <c r="Z757" s="7"/>
      <c r="AA757" s="7"/>
      <c r="AB757" s="23"/>
      <c r="AC757" s="26"/>
    </row>
    <row r="758" spans="1:29" ht="15.75" customHeight="1">
      <c r="A758" s="10" t="s">
        <v>5240</v>
      </c>
      <c r="B758" s="10" t="s">
        <v>474</v>
      </c>
      <c r="C758" s="19" t="s">
        <v>28</v>
      </c>
      <c r="D758" s="12"/>
      <c r="E758" s="13" t="s">
        <v>184</v>
      </c>
      <c r="F758" s="6" t="s">
        <v>2677</v>
      </c>
      <c r="G758" s="14" t="str">
        <f ca="1">IFERROR(__xludf.DUMMYFUNCTION("CONCATENATE(B758,(VLOOKUP(C758,CATALOGOS!$F$2:$H$6,3,FALSE)),(VLOOKUP(V758,CATALOGOS!$J$2:$K$18,2,FALSE)),""-"",TO_TEXT(A758))"),"P35RM-0757")</f>
        <v>P35RM-0757</v>
      </c>
      <c r="H758" s="15" t="str">
        <f ca="1">IFERROR(__xludf.DUMMYFUNCTION("CONCATENATE($B758,(VLOOKUP($C758,CATALOGOS!$F$2:$H$6,3,FALSE)),(VLOOKUP($V758,CATALOGOS!$J$2:$K$18,2,FALSE)),""-"",TO_TEXT($A758))"),"P35RM-0757")</f>
        <v>P35RM-0757</v>
      </c>
      <c r="I758" s="6"/>
      <c r="J758" s="6" t="s">
        <v>5241</v>
      </c>
      <c r="K758" s="6" t="s">
        <v>5242</v>
      </c>
      <c r="L758" s="6" t="s">
        <v>5243</v>
      </c>
      <c r="M758" s="6" t="s">
        <v>5244</v>
      </c>
      <c r="N758" s="17"/>
      <c r="O758" s="17"/>
      <c r="P758" s="17" t="str">
        <f t="shared" si="7"/>
        <v>OK</v>
      </c>
      <c r="Q758" s="17" t="s">
        <v>35</v>
      </c>
      <c r="R758" s="6" t="s">
        <v>35</v>
      </c>
      <c r="S758" s="17" t="s">
        <v>36</v>
      </c>
      <c r="T758" s="17" t="s">
        <v>5245</v>
      </c>
      <c r="U758" s="18" t="s">
        <v>3282</v>
      </c>
      <c r="V758" s="19" t="s">
        <v>147</v>
      </c>
      <c r="W758" s="20" t="s">
        <v>5246</v>
      </c>
      <c r="X758" s="21" t="s">
        <v>5223</v>
      </c>
      <c r="Y758" s="40" t="s">
        <v>261</v>
      </c>
      <c r="Z758" s="6"/>
      <c r="AA758" s="6" t="s">
        <v>440</v>
      </c>
      <c r="AB758" s="23"/>
      <c r="AC758" s="26"/>
    </row>
    <row r="759" spans="1:29" ht="15.75" customHeight="1">
      <c r="A759" s="10" t="s">
        <v>5247</v>
      </c>
      <c r="B759" s="10" t="s">
        <v>4410</v>
      </c>
      <c r="C759" s="19" t="s">
        <v>4411</v>
      </c>
      <c r="D759" s="12"/>
      <c r="E759" s="13" t="s">
        <v>378</v>
      </c>
      <c r="F759" s="43" t="s">
        <v>5248</v>
      </c>
      <c r="G759" s="14" t="str">
        <f ca="1">IFERROR(__xludf.DUMMYFUNCTION("CONCATENATE(B759,(VLOOKUP(C759,CATALOGOS!$F$2:$H$6,3,FALSE)),(VLOOKUP(V759,CATALOGOS!$J$2:$K$18,2,FALSE)),""-"",TO_TEXT(A759))"),"P24SJ-0758")</f>
        <v>P24SJ-0758</v>
      </c>
      <c r="H759" s="15" t="str">
        <f ca="1">IFERROR(__xludf.DUMMYFUNCTION("CONCATENATE($B759,(VLOOKUP($C759,CATALOGOS!$F$2:$H$6,3,FALSE)),(VLOOKUP($V759,CATALOGOS!$J$2:$K$18,2,FALSE)),""-"",TO_TEXT($A759))"),"P24SJ-0758")</f>
        <v>P24SJ-0758</v>
      </c>
      <c r="I759" s="6"/>
      <c r="J759" s="6" t="s">
        <v>5249</v>
      </c>
      <c r="K759" s="6" t="s">
        <v>5250</v>
      </c>
      <c r="L759" s="6" t="s">
        <v>5251</v>
      </c>
      <c r="M759" s="6" t="s">
        <v>5252</v>
      </c>
      <c r="N759" s="17"/>
      <c r="O759" s="17"/>
      <c r="P759" s="17" t="str">
        <f t="shared" si="7"/>
        <v>OK</v>
      </c>
      <c r="Q759" s="17" t="s">
        <v>35</v>
      </c>
      <c r="R759" s="6" t="s">
        <v>35</v>
      </c>
      <c r="S759" s="17" t="s">
        <v>36</v>
      </c>
      <c r="T759" s="17" t="s">
        <v>5253</v>
      </c>
      <c r="U759" s="18" t="s">
        <v>38</v>
      </c>
      <c r="V759" s="19" t="s">
        <v>4411</v>
      </c>
      <c r="W759" s="22" t="s">
        <v>5223</v>
      </c>
      <c r="X759" s="21" t="s">
        <v>5223</v>
      </c>
      <c r="Y759" s="22"/>
      <c r="Z759" s="7"/>
      <c r="AA759" s="7"/>
      <c r="AB759" s="23"/>
      <c r="AC759" s="26"/>
    </row>
    <row r="760" spans="1:29" ht="30.75" customHeight="1">
      <c r="A760" s="10" t="s">
        <v>5254</v>
      </c>
      <c r="B760" s="10" t="s">
        <v>4410</v>
      </c>
      <c r="C760" s="19" t="s">
        <v>4411</v>
      </c>
      <c r="D760" s="12"/>
      <c r="E760" s="13" t="s">
        <v>93</v>
      </c>
      <c r="F760" s="6" t="s">
        <v>5255</v>
      </c>
      <c r="G760" s="14" t="str">
        <f ca="1">IFERROR(__xludf.DUMMYFUNCTION("CONCATENATE(B760,(VLOOKUP(C760,CATALOGOS!$F$2:$H$6,3,FALSE)),(VLOOKUP(V760,CATALOGOS!$J$2:$K$18,2,FALSE)),""-"",TO_TEXT(A760))"),"P24SJ-0759")</f>
        <v>P24SJ-0759</v>
      </c>
      <c r="H760" s="15" t="str">
        <f ca="1">IFERROR(__xludf.DUMMYFUNCTION("CONCATENATE($B760,(VLOOKUP($C760,CATALOGOS!$F$2:$H$6,3,FALSE)),(VLOOKUP($V760,CATALOGOS!$J$2:$K$18,2,FALSE)),""-"",TO_TEXT($A760))"),"P24SJ-0759")</f>
        <v>P24SJ-0759</v>
      </c>
      <c r="I760" s="6"/>
      <c r="J760" s="6" t="s">
        <v>5256</v>
      </c>
      <c r="K760" s="6" t="s">
        <v>5257</v>
      </c>
      <c r="L760" s="6" t="s">
        <v>5258</v>
      </c>
      <c r="M760" s="6" t="s">
        <v>5259</v>
      </c>
      <c r="N760" s="17"/>
      <c r="O760" s="17"/>
      <c r="P760" s="17" t="str">
        <f t="shared" si="7"/>
        <v>OK</v>
      </c>
      <c r="Q760" s="17" t="s">
        <v>35</v>
      </c>
      <c r="R760" s="6" t="s">
        <v>35</v>
      </c>
      <c r="S760" s="17" t="s">
        <v>36</v>
      </c>
      <c r="T760" s="17" t="s">
        <v>5260</v>
      </c>
      <c r="U760" s="18" t="s">
        <v>38</v>
      </c>
      <c r="V760" s="19" t="s">
        <v>4411</v>
      </c>
      <c r="W760" s="22" t="s">
        <v>5223</v>
      </c>
      <c r="X760" s="21" t="s">
        <v>5223</v>
      </c>
      <c r="Y760" s="22"/>
      <c r="Z760" s="7"/>
      <c r="AA760" s="7"/>
      <c r="AB760" s="23"/>
      <c r="AC760" s="26"/>
    </row>
    <row r="761" spans="1:29" ht="15.75" customHeight="1">
      <c r="A761" s="10" t="s">
        <v>5261</v>
      </c>
      <c r="B761" s="10" t="s">
        <v>4410</v>
      </c>
      <c r="C761" s="19" t="s">
        <v>4411</v>
      </c>
      <c r="D761" s="12"/>
      <c r="E761" s="13" t="s">
        <v>116</v>
      </c>
      <c r="F761" s="6" t="s">
        <v>5262</v>
      </c>
      <c r="G761" s="14" t="str">
        <f ca="1">IFERROR(__xludf.DUMMYFUNCTION("CONCATENATE(B761,(VLOOKUP(C761,CATALOGOS!$F$2:$H$6,3,FALSE)),(VLOOKUP(V761,CATALOGOS!$J$2:$K$18,2,FALSE)),""-"",TO_TEXT(A761))"),"P24SJ-0760")</f>
        <v>P24SJ-0760</v>
      </c>
      <c r="H761" s="15" t="str">
        <f ca="1">IFERROR(__xludf.DUMMYFUNCTION("CONCATENATE($B761,(VLOOKUP($C761,CATALOGOS!$F$2:$H$6,3,FALSE)),(VLOOKUP($V761,CATALOGOS!$J$2:$K$18,2,FALSE)),""-"",TO_TEXT($A761))"),"P24SJ-0760")</f>
        <v>P24SJ-0760</v>
      </c>
      <c r="I761" s="6"/>
      <c r="J761" s="6" t="s">
        <v>5263</v>
      </c>
      <c r="K761" s="6" t="s">
        <v>5264</v>
      </c>
      <c r="L761" s="6" t="s">
        <v>5265</v>
      </c>
      <c r="M761" s="6" t="s">
        <v>5266</v>
      </c>
      <c r="N761" s="17"/>
      <c r="O761" s="17"/>
      <c r="P761" s="17" t="str">
        <f t="shared" si="7"/>
        <v>OK</v>
      </c>
      <c r="Q761" s="17" t="s">
        <v>35</v>
      </c>
      <c r="R761" s="6" t="s">
        <v>35</v>
      </c>
      <c r="S761" s="17" t="s">
        <v>36</v>
      </c>
      <c r="T761" s="17" t="s">
        <v>5267</v>
      </c>
      <c r="U761" s="18" t="s">
        <v>38</v>
      </c>
      <c r="V761" s="19" t="s">
        <v>4411</v>
      </c>
      <c r="W761" s="22" t="s">
        <v>5223</v>
      </c>
      <c r="X761" s="21" t="s">
        <v>5223</v>
      </c>
      <c r="Y761" s="22"/>
      <c r="Z761" s="7"/>
      <c r="AA761" s="7"/>
      <c r="AB761" s="23"/>
      <c r="AC761" s="26"/>
    </row>
    <row r="762" spans="1:29" ht="15.75" customHeight="1">
      <c r="A762" s="10" t="s">
        <v>5268</v>
      </c>
      <c r="B762" s="10" t="s">
        <v>4410</v>
      </c>
      <c r="C762" s="19" t="s">
        <v>4411</v>
      </c>
      <c r="D762" s="12"/>
      <c r="E762" s="13" t="s">
        <v>248</v>
      </c>
      <c r="F762" s="43" t="s">
        <v>248</v>
      </c>
      <c r="G762" s="14" t="str">
        <f ca="1">IFERROR(__xludf.DUMMYFUNCTION("CONCATENATE(B762,(VLOOKUP(C762,CATALOGOS!$F$2:$H$6,3,FALSE)),(VLOOKUP(V762,CATALOGOS!$J$2:$K$18,2,FALSE)),""-"",TO_TEXT(A762))"),"P24SJ-0761")</f>
        <v>P24SJ-0761</v>
      </c>
      <c r="H762" s="15" t="str">
        <f ca="1">IFERROR(__xludf.DUMMYFUNCTION("CONCATENATE($B762,(VLOOKUP($C762,CATALOGOS!$F$2:$H$6,3,FALSE)),(VLOOKUP($V762,CATALOGOS!$J$2:$K$18,2,FALSE)),""-"",TO_TEXT($A762))"),"P24SJ-0761")</f>
        <v>P24SJ-0761</v>
      </c>
      <c r="I762" s="6"/>
      <c r="J762" s="6" t="s">
        <v>5269</v>
      </c>
      <c r="K762" s="6" t="s">
        <v>5270</v>
      </c>
      <c r="L762" s="6" t="s">
        <v>5271</v>
      </c>
      <c r="M762" s="6" t="s">
        <v>5272</v>
      </c>
      <c r="N762" s="17"/>
      <c r="O762" s="17"/>
      <c r="P762" s="17" t="str">
        <f t="shared" si="7"/>
        <v>OK</v>
      </c>
      <c r="Q762" s="17" t="s">
        <v>978</v>
      </c>
      <c r="R762" s="6" t="s">
        <v>979</v>
      </c>
      <c r="S762" s="17" t="s">
        <v>5273</v>
      </c>
      <c r="T762" s="17" t="s">
        <v>5274</v>
      </c>
      <c r="U762" s="18" t="s">
        <v>38</v>
      </c>
      <c r="V762" s="19" t="s">
        <v>4411</v>
      </c>
      <c r="W762" s="22" t="s">
        <v>5223</v>
      </c>
      <c r="X762" s="21" t="s">
        <v>5223</v>
      </c>
      <c r="Y762" s="22"/>
      <c r="Z762" s="7"/>
      <c r="AA762" s="7"/>
      <c r="AB762" s="23"/>
      <c r="AC762" s="26"/>
    </row>
    <row r="763" spans="1:29" ht="15.75" customHeight="1">
      <c r="A763" s="10" t="s">
        <v>5275</v>
      </c>
      <c r="B763" s="10" t="s">
        <v>27</v>
      </c>
      <c r="C763" s="19" t="s">
        <v>28</v>
      </c>
      <c r="D763" s="12"/>
      <c r="E763" s="13" t="s">
        <v>151</v>
      </c>
      <c r="F763" s="6" t="s">
        <v>2236</v>
      </c>
      <c r="G763" s="14" t="str">
        <f ca="1">IFERROR(__xludf.DUMMYFUNCTION("CONCATENATE(B763,(VLOOKUP(C763,CATALOGOS!$F$2:$H$6,3,FALSE)),(VLOOKUP(V763,CATALOGOS!$J$2:$K$18,2,FALSE)),""-"",TO_TEXT(A763))"),"P05RM-0762")</f>
        <v>P05RM-0762</v>
      </c>
      <c r="H763" s="15" t="str">
        <f ca="1">IFERROR(__xludf.DUMMYFUNCTION("CONCATENATE($B763,(VLOOKUP($C763,CATALOGOS!$F$2:$H$6,3,FALSE)),(VLOOKUP($V763,CATALOGOS!$J$2:$K$18,2,FALSE)),""-"",TO_TEXT($A763))"),"P05RM-0762")</f>
        <v>P05RM-0762</v>
      </c>
      <c r="I763" s="6"/>
      <c r="J763" s="6" t="s">
        <v>5276</v>
      </c>
      <c r="K763" s="6" t="s">
        <v>5277</v>
      </c>
      <c r="L763" s="6" t="s">
        <v>5278</v>
      </c>
      <c r="M763" s="6" t="s">
        <v>5279</v>
      </c>
      <c r="N763" s="17"/>
      <c r="O763" s="17"/>
      <c r="P763" s="17" t="str">
        <f t="shared" si="7"/>
        <v>OK</v>
      </c>
      <c r="Q763" s="17" t="s">
        <v>1220</v>
      </c>
      <c r="R763" s="6" t="s">
        <v>720</v>
      </c>
      <c r="S763" s="17" t="s">
        <v>5280</v>
      </c>
      <c r="T763" s="17" t="s">
        <v>5281</v>
      </c>
      <c r="U763" s="18" t="s">
        <v>3282</v>
      </c>
      <c r="V763" s="19" t="s">
        <v>147</v>
      </c>
      <c r="W763" s="20" t="s">
        <v>385</v>
      </c>
      <c r="X763" s="21" t="s">
        <v>5223</v>
      </c>
      <c r="Y763" s="22"/>
      <c r="Z763" s="7"/>
      <c r="AA763" s="7"/>
      <c r="AB763" s="23"/>
      <c r="AC763" s="26"/>
    </row>
    <row r="764" spans="1:29" ht="15.75" customHeight="1">
      <c r="A764" s="10" t="s">
        <v>5282</v>
      </c>
      <c r="B764" s="10" t="s">
        <v>474</v>
      </c>
      <c r="C764" s="19" t="s">
        <v>28</v>
      </c>
      <c r="D764" s="38"/>
      <c r="E764" s="13" t="s">
        <v>199</v>
      </c>
      <c r="F764" s="43" t="s">
        <v>5283</v>
      </c>
      <c r="G764" s="14" t="str">
        <f ca="1">IFERROR(__xludf.DUMMYFUNCTION("CONCATENATE(B764,(VLOOKUP(C764,CATALOGOS!$F$2:$H$6,3,FALSE)),(VLOOKUP(V764,CATALOGOS!$J$2:$K$18,2,FALSE)),""-"",TO_TEXT(A764))"),"P35RM-0763")</f>
        <v>P35RM-0763</v>
      </c>
      <c r="H764" s="15" t="str">
        <f ca="1">IFERROR(__xludf.DUMMYFUNCTION("CONCATENATE($B764,(VLOOKUP($C764,CATALOGOS!$F$2:$H$6,3,FALSE)),(VLOOKUP($V764,CATALOGOS!$J$2:$K$18,2,FALSE)),""-"",TO_TEXT($A764))"),"P35RM-0763")</f>
        <v>P35RM-0763</v>
      </c>
      <c r="I764" s="6"/>
      <c r="J764" s="6" t="s">
        <v>5284</v>
      </c>
      <c r="K764" s="6" t="s">
        <v>5285</v>
      </c>
      <c r="L764" s="6" t="s">
        <v>5286</v>
      </c>
      <c r="M764" s="6" t="s">
        <v>5287</v>
      </c>
      <c r="N764" s="17"/>
      <c r="O764" s="17"/>
      <c r="P764" s="17" t="str">
        <f t="shared" si="7"/>
        <v>OK</v>
      </c>
      <c r="Q764" s="17" t="s">
        <v>205</v>
      </c>
      <c r="R764" s="6" t="s">
        <v>794</v>
      </c>
      <c r="S764" s="46" t="s">
        <v>5288</v>
      </c>
      <c r="T764" s="17" t="s">
        <v>5289</v>
      </c>
      <c r="U764" s="18" t="s">
        <v>3282</v>
      </c>
      <c r="V764" s="19" t="s">
        <v>147</v>
      </c>
      <c r="W764" s="20" t="s">
        <v>385</v>
      </c>
      <c r="X764" s="21" t="s">
        <v>5223</v>
      </c>
      <c r="Y764" s="40" t="s">
        <v>261</v>
      </c>
      <c r="Z764" s="7"/>
      <c r="AA764" s="7"/>
      <c r="AB764" s="26"/>
      <c r="AC764" s="26"/>
    </row>
    <row r="765" spans="1:29" ht="15.75" customHeight="1">
      <c r="A765" s="10" t="s">
        <v>5290</v>
      </c>
      <c r="B765" s="10" t="s">
        <v>4410</v>
      </c>
      <c r="C765" s="19" t="s">
        <v>4411</v>
      </c>
      <c r="D765" s="12"/>
      <c r="E765" s="13" t="s">
        <v>62</v>
      </c>
      <c r="F765" s="6" t="s">
        <v>5291</v>
      </c>
      <c r="G765" s="14" t="str">
        <f ca="1">IFERROR(__xludf.DUMMYFUNCTION("CONCATENATE(B765,(VLOOKUP(C765,CATALOGOS!$F$2:$H$6,3,FALSE)),(VLOOKUP(V765,CATALOGOS!$J$2:$K$18,2,FALSE)),""-"",TO_TEXT(A765))"),"P24CS-0764")</f>
        <v>P24CS-0764</v>
      </c>
      <c r="H765" s="15" t="str">
        <f ca="1">IFERROR(__xludf.DUMMYFUNCTION("CONCATENATE($B765,(VLOOKUP($C765,CATALOGOS!$F$2:$H$6,3,FALSE)),(VLOOKUP($V765,CATALOGOS!$J$2:$K$18,2,FALSE)),""-"",TO_TEXT($A765))"),"P24CS-0764")</f>
        <v>P24CS-0764</v>
      </c>
      <c r="I765" s="6"/>
      <c r="J765" s="6" t="s">
        <v>5292</v>
      </c>
      <c r="K765" s="6" t="s">
        <v>5293</v>
      </c>
      <c r="L765" s="6" t="s">
        <v>5294</v>
      </c>
      <c r="M765" s="6" t="s">
        <v>5295</v>
      </c>
      <c r="N765" s="17"/>
      <c r="O765" s="17"/>
      <c r="P765" s="17" t="str">
        <f t="shared" si="7"/>
        <v>OK</v>
      </c>
      <c r="Q765" s="17" t="s">
        <v>35</v>
      </c>
      <c r="R765" s="6" t="s">
        <v>35</v>
      </c>
      <c r="S765" s="17" t="s">
        <v>36</v>
      </c>
      <c r="T765" s="17" t="s">
        <v>5296</v>
      </c>
      <c r="U765" s="18" t="s">
        <v>38</v>
      </c>
      <c r="V765" s="19" t="s">
        <v>4979</v>
      </c>
      <c r="W765" s="20" t="s">
        <v>4980</v>
      </c>
      <c r="X765" s="39" t="s">
        <v>4980</v>
      </c>
      <c r="Y765" s="20"/>
      <c r="Z765" s="7"/>
      <c r="AA765" s="7"/>
      <c r="AB765" s="23"/>
      <c r="AC765" s="26"/>
    </row>
    <row r="766" spans="1:29" ht="15.75" customHeight="1">
      <c r="A766" s="10" t="s">
        <v>5297</v>
      </c>
      <c r="B766" s="10" t="s">
        <v>4410</v>
      </c>
      <c r="C766" s="19" t="s">
        <v>4411</v>
      </c>
      <c r="D766" s="12"/>
      <c r="E766" s="13" t="s">
        <v>43</v>
      </c>
      <c r="F766" s="43" t="s">
        <v>5298</v>
      </c>
      <c r="G766" s="14" t="str">
        <f ca="1">IFERROR(__xludf.DUMMYFUNCTION("CONCATENATE(B766,(VLOOKUP(C766,CATALOGOS!$F$2:$H$6,3,FALSE)),(VLOOKUP(V766,CATALOGOS!$J$2:$K$18,2,FALSE)),""-"",TO_TEXT(A766))"),"P24CS-0765")</f>
        <v>P24CS-0765</v>
      </c>
      <c r="H766" s="15" t="str">
        <f ca="1">IFERROR(__xludf.DUMMYFUNCTION("CONCATENATE($B766,(VLOOKUP($C766,CATALOGOS!$F$2:$H$6,3,FALSE)),(VLOOKUP($V766,CATALOGOS!$J$2:$K$18,2,FALSE)),""-"",TO_TEXT($A766))"),"P24CS-0765")</f>
        <v>P24CS-0765</v>
      </c>
      <c r="I766" s="6"/>
      <c r="J766" s="6" t="s">
        <v>5299</v>
      </c>
      <c r="K766" s="6" t="s">
        <v>5300</v>
      </c>
      <c r="L766" s="6" t="s">
        <v>5301</v>
      </c>
      <c r="M766" s="6" t="s">
        <v>5302</v>
      </c>
      <c r="N766" s="17"/>
      <c r="O766" s="17"/>
      <c r="P766" s="17" t="str">
        <f t="shared" si="7"/>
        <v>OK</v>
      </c>
      <c r="Q766" s="17" t="s">
        <v>406</v>
      </c>
      <c r="R766" s="6" t="s">
        <v>2674</v>
      </c>
      <c r="S766" s="17" t="s">
        <v>36</v>
      </c>
      <c r="T766" s="10" t="s">
        <v>5303</v>
      </c>
      <c r="U766" s="18" t="s">
        <v>38</v>
      </c>
      <c r="V766" s="19" t="s">
        <v>4979</v>
      </c>
      <c r="W766" s="20" t="s">
        <v>4980</v>
      </c>
      <c r="X766" s="39" t="s">
        <v>4980</v>
      </c>
      <c r="Y766" s="20"/>
      <c r="Z766" s="7"/>
      <c r="AA766" s="7"/>
      <c r="AB766" s="23"/>
      <c r="AC766" s="26"/>
    </row>
    <row r="767" spans="1:29" ht="15.75" customHeight="1">
      <c r="A767" s="10" t="s">
        <v>5304</v>
      </c>
      <c r="B767" s="10" t="s">
        <v>4410</v>
      </c>
      <c r="C767" s="19" t="s">
        <v>4411</v>
      </c>
      <c r="D767" s="12"/>
      <c r="E767" s="13" t="s">
        <v>378</v>
      </c>
      <c r="F767" s="6" t="s">
        <v>1306</v>
      </c>
      <c r="G767" s="14" t="str">
        <f ca="1">IFERROR(__xludf.DUMMYFUNCTION("CONCATENATE(B767,(VLOOKUP(C767,CATALOGOS!$F$2:$H$6,3,FALSE)),(VLOOKUP(V767,CATALOGOS!$J$2:$K$18,2,FALSE)),""-"",TO_TEXT(A767))"),"P24CA-0766")</f>
        <v>P24CA-0766</v>
      </c>
      <c r="H767" s="15" t="str">
        <f ca="1">IFERROR(__xludf.DUMMYFUNCTION("CONCATENATE($B767,(VLOOKUP($C767,CATALOGOS!$F$2:$H$6,3,FALSE)),(VLOOKUP($V767,CATALOGOS!$J$2:$K$18,2,FALSE)),""-"",TO_TEXT($A767))"),"P24CA-0766")</f>
        <v>P24CA-0766</v>
      </c>
      <c r="I767" s="6"/>
      <c r="J767" s="6" t="s">
        <v>5305</v>
      </c>
      <c r="K767" s="6" t="s">
        <v>5306</v>
      </c>
      <c r="L767" s="6" t="s">
        <v>5307</v>
      </c>
      <c r="M767" s="6" t="s">
        <v>5308</v>
      </c>
      <c r="N767" s="17"/>
      <c r="O767" s="17"/>
      <c r="P767" s="17" t="str">
        <f t="shared" si="7"/>
        <v>OK</v>
      </c>
      <c r="Q767" s="17" t="s">
        <v>35</v>
      </c>
      <c r="R767" s="6" t="s">
        <v>35</v>
      </c>
      <c r="S767" s="17" t="s">
        <v>36</v>
      </c>
      <c r="T767" s="17" t="s">
        <v>5309</v>
      </c>
      <c r="U767" s="18" t="s">
        <v>38</v>
      </c>
      <c r="V767" s="19" t="s">
        <v>4416</v>
      </c>
      <c r="W767" s="20" t="s">
        <v>5310</v>
      </c>
      <c r="X767" s="39" t="s">
        <v>4980</v>
      </c>
      <c r="Y767" s="20"/>
      <c r="Z767" s="7"/>
      <c r="AA767" s="7"/>
      <c r="AB767" s="23"/>
      <c r="AC767" s="26"/>
    </row>
    <row r="768" spans="1:29" ht="15.75" customHeight="1">
      <c r="A768" s="10" t="s">
        <v>5311</v>
      </c>
      <c r="B768" s="10" t="s">
        <v>4410</v>
      </c>
      <c r="C768" s="19" t="s">
        <v>4411</v>
      </c>
      <c r="D768" s="12"/>
      <c r="E768" s="13" t="s">
        <v>378</v>
      </c>
      <c r="F768" s="6" t="s">
        <v>1306</v>
      </c>
      <c r="G768" s="14" t="str">
        <f ca="1">IFERROR(__xludf.DUMMYFUNCTION("CONCATENATE(B768,(VLOOKUP(C768,CATALOGOS!$F$2:$H$6,3,FALSE)),(VLOOKUP(V768,CATALOGOS!$J$2:$K$18,2,FALSE)),""-"",TO_TEXT(A768))"),"P24CS-0767")</f>
        <v>P24CS-0767</v>
      </c>
      <c r="H768" s="15" t="str">
        <f ca="1">IFERROR(__xludf.DUMMYFUNCTION("CONCATENATE($B768,(VLOOKUP($C768,CATALOGOS!$F$2:$H$6,3,FALSE)),(VLOOKUP($V768,CATALOGOS!$J$2:$K$18,2,FALSE)),""-"",TO_TEXT($A768))"),"P24CS-0767")</f>
        <v>P24CS-0767</v>
      </c>
      <c r="I768" s="6"/>
      <c r="J768" s="6" t="s">
        <v>5312</v>
      </c>
      <c r="K768" s="6" t="s">
        <v>5313</v>
      </c>
      <c r="L768" s="6" t="s">
        <v>5314</v>
      </c>
      <c r="M768" s="6" t="s">
        <v>5315</v>
      </c>
      <c r="N768" s="17"/>
      <c r="O768" s="17"/>
      <c r="P768" s="17" t="str">
        <f t="shared" si="7"/>
        <v>OK</v>
      </c>
      <c r="Q768" s="17" t="s">
        <v>35</v>
      </c>
      <c r="R768" s="6" t="s">
        <v>35</v>
      </c>
      <c r="S768" s="17" t="s">
        <v>36</v>
      </c>
      <c r="T768" s="17" t="s">
        <v>5316</v>
      </c>
      <c r="U768" s="18" t="s">
        <v>38</v>
      </c>
      <c r="V768" s="19" t="s">
        <v>4979</v>
      </c>
      <c r="W768" s="20" t="s">
        <v>4980</v>
      </c>
      <c r="X768" s="39" t="s">
        <v>4980</v>
      </c>
      <c r="Y768" s="20"/>
      <c r="Z768" s="7"/>
      <c r="AA768" s="7"/>
      <c r="AB768" s="23"/>
      <c r="AC768" s="26"/>
    </row>
    <row r="769" spans="1:30" ht="15.75" customHeight="1">
      <c r="A769" s="10" t="s">
        <v>5317</v>
      </c>
      <c r="B769" s="10" t="s">
        <v>1469</v>
      </c>
      <c r="C769" s="60" t="s">
        <v>1470</v>
      </c>
      <c r="D769" s="12"/>
      <c r="E769" s="13" t="s">
        <v>184</v>
      </c>
      <c r="F769" s="43" t="s">
        <v>5318</v>
      </c>
      <c r="G769" s="64" t="str">
        <f ca="1">IFERROR(__xludf.DUMMYFUNCTION("CONCATENATE(B769,(VLOOKUP(C769,CATALOGOS!$F$2:$H$6,3,FALSE)),(VLOOKUP(V769,CATALOGOS!$J$2:$K$18,2,FALSE)),""-"",TO_TEXT(A769))"),"P12PP-0768")</f>
        <v>P12PP-0768</v>
      </c>
      <c r="H769" s="15" t="str">
        <f ca="1">IFERROR(__xludf.DUMMYFUNCTION("CONCATENATE($B769,(VLOOKUP($C769,CATALOGOS!$F$2:$H$6,3,FALSE)),(VLOOKUP($V769,CATALOGOS!$J$2:$K$18,2,FALSE)),""-"",TO_TEXT($A769))"),"P12PP-0768")</f>
        <v>P12PP-0768</v>
      </c>
      <c r="I769" s="6"/>
      <c r="J769" s="6" t="s">
        <v>5319</v>
      </c>
      <c r="K769" s="6" t="s">
        <v>5320</v>
      </c>
      <c r="L769" s="6" t="s">
        <v>5321</v>
      </c>
      <c r="M769" s="6" t="s">
        <v>5322</v>
      </c>
      <c r="N769" s="17"/>
      <c r="O769" s="17"/>
      <c r="P769" s="17" t="str">
        <f t="shared" si="7"/>
        <v>OK</v>
      </c>
      <c r="Q769" s="17" t="s">
        <v>35</v>
      </c>
      <c r="R769" s="6" t="s">
        <v>35</v>
      </c>
      <c r="S769" s="17" t="s">
        <v>36</v>
      </c>
      <c r="T769" s="17" t="s">
        <v>5323</v>
      </c>
      <c r="U769" s="18" t="s">
        <v>100</v>
      </c>
      <c r="V769" s="19" t="s">
        <v>1548</v>
      </c>
      <c r="W769" s="20" t="s">
        <v>1597</v>
      </c>
      <c r="X769" s="39" t="s">
        <v>1597</v>
      </c>
      <c r="Y769" s="20"/>
      <c r="Z769" s="7"/>
      <c r="AA769" s="7"/>
      <c r="AB769" s="23"/>
      <c r="AC769" s="26"/>
    </row>
    <row r="770" spans="1:30" ht="15.75" customHeight="1">
      <c r="A770" s="10" t="s">
        <v>5324</v>
      </c>
      <c r="B770" s="10" t="s">
        <v>4410</v>
      </c>
      <c r="C770" s="19" t="s">
        <v>4411</v>
      </c>
      <c r="D770" s="12"/>
      <c r="E770" s="13" t="s">
        <v>248</v>
      </c>
      <c r="F770" s="43" t="s">
        <v>249</v>
      </c>
      <c r="G770" s="14" t="str">
        <f ca="1">IFERROR(__xludf.DUMMYFUNCTION("CONCATENATE(B770,(VLOOKUP(C770,CATALOGOS!$F$2:$H$6,3,FALSE)),(VLOOKUP(V770,CATALOGOS!$J$2:$K$18,2,FALSE)),""-"",TO_TEXT(A770))"),"P24CS-0769")</f>
        <v>P24CS-0769</v>
      </c>
      <c r="H770" s="15" t="str">
        <f ca="1">IFERROR(__xludf.DUMMYFUNCTION("CONCATENATE($B770,(VLOOKUP($C770,CATALOGOS!$F$2:$H$6,3,FALSE)),(VLOOKUP($V770,CATALOGOS!$J$2:$K$18,2,FALSE)),""-"",TO_TEXT($A770))"),"P24CS-0769")</f>
        <v>P24CS-0769</v>
      </c>
      <c r="I770" s="6"/>
      <c r="J770" s="6" t="s">
        <v>5325</v>
      </c>
      <c r="K770" s="6" t="s">
        <v>5326</v>
      </c>
      <c r="L770" s="6" t="s">
        <v>5327</v>
      </c>
      <c r="M770" s="43" t="s">
        <v>5328</v>
      </c>
      <c r="N770" s="17"/>
      <c r="O770" s="17"/>
      <c r="P770" s="17" t="str">
        <f t="shared" si="7"/>
        <v>OK</v>
      </c>
      <c r="Q770" s="17" t="s">
        <v>978</v>
      </c>
      <c r="R770" s="6" t="s">
        <v>979</v>
      </c>
      <c r="S770" s="17" t="s">
        <v>5329</v>
      </c>
      <c r="T770" s="17" t="s">
        <v>5330</v>
      </c>
      <c r="U770" s="18" t="s">
        <v>38</v>
      </c>
      <c r="V770" s="19" t="s">
        <v>4979</v>
      </c>
      <c r="W770" s="20" t="s">
        <v>4980</v>
      </c>
      <c r="X770" s="39" t="s">
        <v>4980</v>
      </c>
      <c r="Y770" s="20"/>
      <c r="Z770" s="7"/>
      <c r="AA770" s="7"/>
      <c r="AB770" s="23"/>
      <c r="AC770" s="26"/>
    </row>
    <row r="771" spans="1:30" ht="15.75" customHeight="1">
      <c r="A771" s="10" t="s">
        <v>5331</v>
      </c>
      <c r="B771" s="10" t="s">
        <v>4410</v>
      </c>
      <c r="C771" s="19" t="s">
        <v>4411</v>
      </c>
      <c r="D771" s="12"/>
      <c r="E771" s="13" t="s">
        <v>93</v>
      </c>
      <c r="F771" s="43" t="s">
        <v>5332</v>
      </c>
      <c r="G771" s="14" t="str">
        <f ca="1">IFERROR(__xludf.DUMMYFUNCTION("CONCATENATE(B771,(VLOOKUP(C771,CATALOGOS!$F$2:$H$6,3,FALSE)),(VLOOKUP(V771,CATALOGOS!$J$2:$K$18,2,FALSE)),""-"",TO_TEXT(A771))"),"P24CS-0770")</f>
        <v>P24CS-0770</v>
      </c>
      <c r="H771" s="15" t="str">
        <f ca="1">IFERROR(__xludf.DUMMYFUNCTION("CONCATENATE($B771,(VLOOKUP($C771,CATALOGOS!$F$2:$H$6,3,FALSE)),(VLOOKUP($V771,CATALOGOS!$J$2:$K$18,2,FALSE)),""-"",TO_TEXT($A771))"),"P24CS-0770")</f>
        <v>P24CS-0770</v>
      </c>
      <c r="I771" s="6"/>
      <c r="J771" s="6" t="s">
        <v>5333</v>
      </c>
      <c r="K771" s="54"/>
      <c r="L771" s="6" t="s">
        <v>5334</v>
      </c>
      <c r="M771" s="6" t="s">
        <v>141</v>
      </c>
      <c r="N771" s="17"/>
      <c r="O771" s="17"/>
      <c r="P771" s="17" t="str">
        <f t="shared" si="7"/>
        <v>REPETIDO</v>
      </c>
      <c r="Q771" s="17" t="s">
        <v>35</v>
      </c>
      <c r="R771" s="32" t="s">
        <v>35</v>
      </c>
      <c r="S771" s="17" t="s">
        <v>36</v>
      </c>
      <c r="T771" s="17" t="s">
        <v>5335</v>
      </c>
      <c r="U771" s="18" t="s">
        <v>38</v>
      </c>
      <c r="V771" s="19" t="s">
        <v>4979</v>
      </c>
      <c r="W771" s="20" t="s">
        <v>4980</v>
      </c>
      <c r="X771" s="39" t="s">
        <v>4980</v>
      </c>
      <c r="Y771" s="20"/>
      <c r="Z771" s="7"/>
      <c r="AA771" s="7"/>
      <c r="AB771" s="23"/>
      <c r="AC771" s="26"/>
    </row>
    <row r="772" spans="1:30" ht="15.75" customHeight="1">
      <c r="A772" s="10" t="s">
        <v>5336</v>
      </c>
      <c r="B772" s="10" t="s">
        <v>4410</v>
      </c>
      <c r="C772" s="19" t="s">
        <v>4411</v>
      </c>
      <c r="D772" s="12"/>
      <c r="E772" s="13" t="s">
        <v>29</v>
      </c>
      <c r="F772" s="6" t="s">
        <v>5337</v>
      </c>
      <c r="G772" s="14" t="str">
        <f ca="1">IFERROR(__xludf.DUMMYFUNCTION("CONCATENATE(B772,(VLOOKUP(C772,CATALOGOS!$F$2:$H$6,3,FALSE)),(VLOOKUP(V772,CATALOGOS!$J$2:$K$18,2,FALSE)),""-"",TO_TEXT(A772))"),"P24CS-0771")</f>
        <v>P24CS-0771</v>
      </c>
      <c r="H772" s="15" t="str">
        <f ca="1">IFERROR(__xludf.DUMMYFUNCTION("CONCATENATE($B772,(VLOOKUP($C772,CATALOGOS!$F$2:$H$6,3,FALSE)),(VLOOKUP($V772,CATALOGOS!$J$2:$K$18,2,FALSE)),""-"",TO_TEXT($A772))"),"P24CS-0771")</f>
        <v>P24CS-0771</v>
      </c>
      <c r="I772" s="6"/>
      <c r="J772" s="6" t="s">
        <v>5338</v>
      </c>
      <c r="K772" s="54"/>
      <c r="L772" s="36"/>
      <c r="M772" s="6" t="s">
        <v>141</v>
      </c>
      <c r="N772" s="17"/>
      <c r="O772" s="17"/>
      <c r="P772" s="17" t="str">
        <f t="shared" si="7"/>
        <v>REPETIDO</v>
      </c>
      <c r="Q772" s="35" t="s">
        <v>35</v>
      </c>
      <c r="R772" s="6" t="s">
        <v>35</v>
      </c>
      <c r="S772" s="10" t="s">
        <v>36</v>
      </c>
      <c r="T772" s="32" t="s">
        <v>85</v>
      </c>
      <c r="U772" s="18" t="s">
        <v>38</v>
      </c>
      <c r="V772" s="19" t="s">
        <v>4979</v>
      </c>
      <c r="W772" s="20" t="s">
        <v>4980</v>
      </c>
      <c r="X772" s="39" t="s">
        <v>4980</v>
      </c>
      <c r="Y772" s="20"/>
      <c r="Z772" s="7"/>
      <c r="AA772" s="7"/>
      <c r="AB772" s="23"/>
      <c r="AC772" s="26"/>
    </row>
    <row r="773" spans="1:30" ht="29.25">
      <c r="A773" s="10" t="s">
        <v>5339</v>
      </c>
      <c r="B773" s="10" t="s">
        <v>4410</v>
      </c>
      <c r="C773" s="19" t="s">
        <v>4411</v>
      </c>
      <c r="D773" s="12"/>
      <c r="E773" s="13" t="s">
        <v>3521</v>
      </c>
      <c r="F773" s="43" t="s">
        <v>5340</v>
      </c>
      <c r="G773" s="14" t="str">
        <f ca="1">IFERROR(__xludf.DUMMYFUNCTION("CONCATENATE(B773,(VLOOKUP(C773,CATALOGOS!$F$2:$H$6,3,FALSE)),(VLOOKUP(V773,CATALOGOS!$J$2:$K$18,2,FALSE)),""-"",TO_TEXT(A773))"),"P24CS-0772")</f>
        <v>P24CS-0772</v>
      </c>
      <c r="H773" s="15" t="str">
        <f ca="1">IFERROR(__xludf.DUMMYFUNCTION("CONCATENATE($B773,(VLOOKUP($C773,CATALOGOS!$F$2:$H$6,3,FALSE)),(VLOOKUP($V773,CATALOGOS!$J$2:$K$18,2,FALSE)),""-"",TO_TEXT($A773))"),"P24CS-0772")</f>
        <v>P24CS-0772</v>
      </c>
      <c r="I773" s="6"/>
      <c r="J773" s="6" t="s">
        <v>5341</v>
      </c>
      <c r="K773" s="10" t="s">
        <v>5342</v>
      </c>
      <c r="L773" s="6" t="s">
        <v>5343</v>
      </c>
      <c r="M773" s="6" t="s">
        <v>5344</v>
      </c>
      <c r="N773" s="17"/>
      <c r="O773" s="17"/>
      <c r="P773" s="17" t="str">
        <f t="shared" si="7"/>
        <v>OK</v>
      </c>
      <c r="Q773" s="17" t="s">
        <v>35</v>
      </c>
      <c r="R773" s="6" t="s">
        <v>35</v>
      </c>
      <c r="S773" s="17" t="s">
        <v>36</v>
      </c>
      <c r="T773" s="17" t="s">
        <v>85</v>
      </c>
      <c r="U773" s="18" t="s">
        <v>38</v>
      </c>
      <c r="V773" s="19" t="s">
        <v>4979</v>
      </c>
      <c r="W773" s="20" t="s">
        <v>4980</v>
      </c>
      <c r="X773" s="39" t="s">
        <v>4980</v>
      </c>
      <c r="Y773" s="20"/>
      <c r="Z773" s="7"/>
      <c r="AA773" s="7"/>
      <c r="AB773" s="23"/>
      <c r="AC773" s="26"/>
    </row>
    <row r="774" spans="1:30" ht="30" customHeight="1">
      <c r="A774" s="10" t="s">
        <v>5345</v>
      </c>
      <c r="B774" s="10" t="s">
        <v>4410</v>
      </c>
      <c r="C774" s="19" t="s">
        <v>4411</v>
      </c>
      <c r="D774" s="12"/>
      <c r="E774" s="13" t="s">
        <v>116</v>
      </c>
      <c r="F774" s="6" t="s">
        <v>4638</v>
      </c>
      <c r="G774" s="14" t="str">
        <f ca="1">IFERROR(__xludf.DUMMYFUNCTION("CONCATENATE(B774,(VLOOKUP(C774,CATALOGOS!$F$2:$H$6,3,FALSE)),(VLOOKUP(V774,CATALOGOS!$J$2:$K$18,2,FALSE)),""-"",TO_TEXT(A774))"),"P24CS-0773")</f>
        <v>P24CS-0773</v>
      </c>
      <c r="H774" s="15" t="str">
        <f ca="1">IFERROR(__xludf.DUMMYFUNCTION("CONCATENATE($B774,(VLOOKUP($C774,CATALOGOS!$F$2:$H$6,3,FALSE)),(VLOOKUP($V774,CATALOGOS!$J$2:$K$18,2,FALSE)),""-"",TO_TEXT($A774))"),"P24CS-0773")</f>
        <v>P24CS-0773</v>
      </c>
      <c r="I774" s="6"/>
      <c r="J774" s="6" t="s">
        <v>5346</v>
      </c>
      <c r="K774" s="6" t="s">
        <v>5347</v>
      </c>
      <c r="L774" s="6" t="s">
        <v>5348</v>
      </c>
      <c r="M774" s="6" t="s">
        <v>5349</v>
      </c>
      <c r="N774" s="17"/>
      <c r="O774" s="17"/>
      <c r="P774" s="17" t="str">
        <f t="shared" si="7"/>
        <v>OK</v>
      </c>
      <c r="Q774" s="17" t="s">
        <v>35</v>
      </c>
      <c r="R774" s="6" t="s">
        <v>35</v>
      </c>
      <c r="S774" s="17" t="s">
        <v>36</v>
      </c>
      <c r="T774" s="17" t="s">
        <v>5350</v>
      </c>
      <c r="U774" s="18" t="s">
        <v>38</v>
      </c>
      <c r="V774" s="19" t="s">
        <v>4979</v>
      </c>
      <c r="W774" s="20" t="s">
        <v>4980</v>
      </c>
      <c r="X774" s="39" t="s">
        <v>4980</v>
      </c>
      <c r="Y774" s="20"/>
      <c r="Z774" s="7"/>
      <c r="AA774" s="7"/>
      <c r="AB774" s="23"/>
      <c r="AC774" s="26"/>
    </row>
    <row r="775" spans="1:30" ht="15.75" customHeight="1">
      <c r="A775" s="10" t="s">
        <v>5351</v>
      </c>
      <c r="B775" s="10" t="s">
        <v>4410</v>
      </c>
      <c r="C775" s="19" t="s">
        <v>4411</v>
      </c>
      <c r="D775" s="12"/>
      <c r="E775" s="13" t="s">
        <v>162</v>
      </c>
      <c r="F775" s="43" t="s">
        <v>285</v>
      </c>
      <c r="G775" s="14" t="str">
        <f ca="1">IFERROR(__xludf.DUMMYFUNCTION("CONCATENATE(B775,(VLOOKUP(C775,CATALOGOS!$F$2:$H$6,3,FALSE)),(VLOOKUP(V775,CATALOGOS!$J$2:$K$18,2,FALSE)),""-"",TO_TEXT(A775))"),"P24CS-0774")</f>
        <v>P24CS-0774</v>
      </c>
      <c r="H775" s="15" t="str">
        <f ca="1">IFERROR(__xludf.DUMMYFUNCTION("CONCATENATE($B775,(VLOOKUP($C775,CATALOGOS!$F$2:$H$6,3,FALSE)),(VLOOKUP($V775,CATALOGOS!$J$2:$K$18,2,FALSE)),""-"",TO_TEXT($A775))"),"P24CS-0774")</f>
        <v>P24CS-0774</v>
      </c>
      <c r="I775" s="6"/>
      <c r="J775" s="6" t="s">
        <v>5352</v>
      </c>
      <c r="K775" s="6" t="s">
        <v>5353</v>
      </c>
      <c r="L775" s="6" t="s">
        <v>5354</v>
      </c>
      <c r="M775" s="6" t="s">
        <v>5355</v>
      </c>
      <c r="N775" s="17"/>
      <c r="O775" s="17"/>
      <c r="P775" s="17" t="str">
        <f t="shared" si="7"/>
        <v>OK</v>
      </c>
      <c r="Q775" s="17" t="s">
        <v>168</v>
      </c>
      <c r="R775" s="6" t="s">
        <v>169</v>
      </c>
      <c r="S775" s="17" t="s">
        <v>5356</v>
      </c>
      <c r="T775" s="17" t="s">
        <v>5357</v>
      </c>
      <c r="U775" s="18" t="s">
        <v>38</v>
      </c>
      <c r="V775" s="79" t="s">
        <v>4979</v>
      </c>
      <c r="W775" s="20" t="s">
        <v>4980</v>
      </c>
      <c r="X775" s="39" t="s">
        <v>4980</v>
      </c>
      <c r="Y775" s="20"/>
      <c r="Z775" s="7"/>
      <c r="AA775" s="7"/>
      <c r="AB775" s="23"/>
      <c r="AC775" s="26"/>
    </row>
    <row r="776" spans="1:30" ht="15.75" customHeight="1">
      <c r="A776" s="10" t="s">
        <v>5358</v>
      </c>
      <c r="B776" s="10" t="s">
        <v>4410</v>
      </c>
      <c r="C776" s="19" t="s">
        <v>4411</v>
      </c>
      <c r="D776" s="12"/>
      <c r="E776" s="13" t="s">
        <v>199</v>
      </c>
      <c r="F776" s="6" t="s">
        <v>199</v>
      </c>
      <c r="G776" s="14" t="str">
        <f ca="1">IFERROR(__xludf.DUMMYFUNCTION("CONCATENATE(B776,(VLOOKUP(C776,CATALOGOS!$F$2:$H$6,3,FALSE)),(VLOOKUP(V776,CATALOGOS!$J$2:$K$18,2,FALSE)),""-"",TO_TEXT(A776))"),"P24CS-0775")</f>
        <v>P24CS-0775</v>
      </c>
      <c r="H776" s="15" t="str">
        <f ca="1">IFERROR(__xludf.DUMMYFUNCTION("CONCATENATE($B776,(VLOOKUP($C776,CATALOGOS!$F$2:$H$6,3,FALSE)),(VLOOKUP($V776,CATALOGOS!$J$2:$K$18,2,FALSE)),""-"",TO_TEXT($A776))"),"P24CS-0775")</f>
        <v>P24CS-0775</v>
      </c>
      <c r="I776" s="6"/>
      <c r="J776" s="6" t="s">
        <v>5359</v>
      </c>
      <c r="K776" s="6" t="s">
        <v>5360</v>
      </c>
      <c r="L776" s="36"/>
      <c r="M776" s="6" t="s">
        <v>5361</v>
      </c>
      <c r="N776" s="17"/>
      <c r="O776" s="17"/>
      <c r="P776" s="17" t="str">
        <f t="shared" si="7"/>
        <v>OK</v>
      </c>
      <c r="Q776" s="17" t="s">
        <v>273</v>
      </c>
      <c r="R776" s="6" t="s">
        <v>274</v>
      </c>
      <c r="S776" s="6">
        <v>11392903015655</v>
      </c>
      <c r="T776" s="10" t="s">
        <v>85</v>
      </c>
      <c r="U776" s="18" t="s">
        <v>38</v>
      </c>
      <c r="V776" s="19" t="s">
        <v>4979</v>
      </c>
      <c r="W776" s="20" t="s">
        <v>4980</v>
      </c>
      <c r="X776" s="39" t="s">
        <v>4980</v>
      </c>
      <c r="Y776" s="20"/>
      <c r="Z776" s="6"/>
      <c r="AA776" s="6"/>
      <c r="AB776" s="41" t="s">
        <v>275</v>
      </c>
      <c r="AC776" s="42">
        <v>44403</v>
      </c>
      <c r="AD776" s="8">
        <v>11249</v>
      </c>
    </row>
    <row r="777" spans="1:30" ht="15.75" customHeight="1">
      <c r="A777" s="10" t="s">
        <v>5362</v>
      </c>
      <c r="B777" s="10" t="s">
        <v>4410</v>
      </c>
      <c r="C777" s="19" t="s">
        <v>4411</v>
      </c>
      <c r="D777" s="38"/>
      <c r="E777" s="13" t="s">
        <v>151</v>
      </c>
      <c r="F777" s="6" t="s">
        <v>4113</v>
      </c>
      <c r="G777" s="14" t="str">
        <f ca="1">IFERROR(__xludf.DUMMYFUNCTION("CONCATENATE(B777,(VLOOKUP(C777,CATALOGOS!$F$2:$H$6,3,FALSE)),(VLOOKUP(V777,CATALOGOS!$J$2:$K$18,2,FALSE)),""-"",TO_TEXT(A777))"),"P24CS-0776")</f>
        <v>P24CS-0776</v>
      </c>
      <c r="H777" s="15" t="str">
        <f ca="1">IFERROR(__xludf.DUMMYFUNCTION("CONCATENATE($B777,(VLOOKUP($C777,CATALOGOS!$F$2:$H$6,3,FALSE)),(VLOOKUP($V777,CATALOGOS!$J$2:$K$18,2,FALSE)),""-"",TO_TEXT($A777))"),"P24CS-0776")</f>
        <v>P24CS-0776</v>
      </c>
      <c r="I777" s="6"/>
      <c r="J777" s="6" t="s">
        <v>5363</v>
      </c>
      <c r="K777" s="6" t="s">
        <v>5364</v>
      </c>
      <c r="L777" s="36"/>
      <c r="M777" s="6" t="s">
        <v>5365</v>
      </c>
      <c r="N777" s="17"/>
      <c r="O777" s="17"/>
      <c r="P777" s="17" t="str">
        <f t="shared" si="7"/>
        <v>OK</v>
      </c>
      <c r="Q777" s="17" t="s">
        <v>297</v>
      </c>
      <c r="R777" s="6" t="s">
        <v>298</v>
      </c>
      <c r="S777" s="6" t="s">
        <v>5366</v>
      </c>
      <c r="T777" s="32" t="s">
        <v>85</v>
      </c>
      <c r="U777" s="18" t="s">
        <v>38</v>
      </c>
      <c r="V777" s="19" t="s">
        <v>4979</v>
      </c>
      <c r="W777" s="20" t="s">
        <v>4980</v>
      </c>
      <c r="X777" s="39" t="s">
        <v>4980</v>
      </c>
      <c r="Y777" s="20"/>
      <c r="Z777" s="6"/>
      <c r="AA777" s="6"/>
      <c r="AB777" s="73" t="s">
        <v>275</v>
      </c>
      <c r="AC777" s="42">
        <v>44403</v>
      </c>
      <c r="AD777" s="8">
        <v>0</v>
      </c>
    </row>
    <row r="778" spans="1:30" ht="15.75" customHeight="1">
      <c r="A778" s="10" t="s">
        <v>5367</v>
      </c>
      <c r="B778" s="10" t="s">
        <v>4410</v>
      </c>
      <c r="C778" s="19" t="s">
        <v>4411</v>
      </c>
      <c r="D778" s="12"/>
      <c r="E778" s="13" t="s">
        <v>62</v>
      </c>
      <c r="F778" s="6" t="s">
        <v>5368</v>
      </c>
      <c r="G778" s="14" t="str">
        <f ca="1">IFERROR(__xludf.DUMMYFUNCTION("CONCATENATE(B778,(VLOOKUP(C778,CATALOGOS!$F$2:$H$6,3,FALSE)),(VLOOKUP(V778,CATALOGOS!$J$2:$K$18,2,FALSE)),""-"",TO_TEXT(A778))"),"P24CS-0777")</f>
        <v>P24CS-0777</v>
      </c>
      <c r="H778" s="15" t="str">
        <f ca="1">IFERROR(__xludf.DUMMYFUNCTION("CONCATENATE($B778,(VLOOKUP($C778,CATALOGOS!$F$2:$H$6,3,FALSE)),(VLOOKUP($V778,CATALOGOS!$J$2:$K$18,2,FALSE)),""-"",TO_TEXT($A778))"),"P24CS-0777")</f>
        <v>P24CS-0777</v>
      </c>
      <c r="I778" s="6"/>
      <c r="J778" s="6" t="s">
        <v>5369</v>
      </c>
      <c r="K778" s="6" t="s">
        <v>5370</v>
      </c>
      <c r="L778" s="6" t="s">
        <v>5371</v>
      </c>
      <c r="M778" s="6" t="s">
        <v>5372</v>
      </c>
      <c r="N778" s="17"/>
      <c r="O778" s="17"/>
      <c r="P778" s="17" t="str">
        <f t="shared" si="7"/>
        <v>OK</v>
      </c>
      <c r="Q778" s="17" t="s">
        <v>35</v>
      </c>
      <c r="R778" s="6" t="s">
        <v>35</v>
      </c>
      <c r="S778" s="17" t="s">
        <v>36</v>
      </c>
      <c r="T778" s="17" t="s">
        <v>5373</v>
      </c>
      <c r="U778" s="18" t="s">
        <v>38</v>
      </c>
      <c r="V778" s="19" t="s">
        <v>4979</v>
      </c>
      <c r="W778" s="22" t="s">
        <v>5374</v>
      </c>
      <c r="X778" s="21" t="s">
        <v>5374</v>
      </c>
      <c r="Y778" s="22"/>
      <c r="Z778" s="7"/>
      <c r="AA778" s="7"/>
      <c r="AB778" s="23"/>
      <c r="AC778" s="26"/>
    </row>
    <row r="779" spans="1:30" ht="15.75" customHeight="1">
      <c r="A779" s="10" t="s">
        <v>5375</v>
      </c>
      <c r="B779" s="10" t="s">
        <v>4410</v>
      </c>
      <c r="C779" s="19" t="s">
        <v>4411</v>
      </c>
      <c r="D779" s="12"/>
      <c r="E779" s="13" t="s">
        <v>43</v>
      </c>
      <c r="F779" s="43" t="s">
        <v>885</v>
      </c>
      <c r="G779" s="14" t="str">
        <f ca="1">IFERROR(__xludf.DUMMYFUNCTION("CONCATENATE(B779,(VLOOKUP(C779,CATALOGOS!$F$2:$H$6,3,FALSE)),(VLOOKUP(V779,CATALOGOS!$J$2:$K$18,2,FALSE)),""-"",TO_TEXT(A779))"),"P24CS-0778")</f>
        <v>P24CS-0778</v>
      </c>
      <c r="H779" s="15" t="str">
        <f ca="1">IFERROR(__xludf.DUMMYFUNCTION("CONCATENATE($B779,(VLOOKUP($C779,CATALOGOS!$F$2:$H$6,3,FALSE)),(VLOOKUP($V779,CATALOGOS!$J$2:$K$18,2,FALSE)),""-"",TO_TEXT($A779))"),"P24CS-0778")</f>
        <v>P24CS-0778</v>
      </c>
      <c r="I779" s="6"/>
      <c r="J779" s="6" t="s">
        <v>5376</v>
      </c>
      <c r="K779" s="6" t="s">
        <v>5377</v>
      </c>
      <c r="L779" s="6" t="s">
        <v>5378</v>
      </c>
      <c r="M779" s="43" t="s">
        <v>5379</v>
      </c>
      <c r="N779" s="17"/>
      <c r="O779" s="17"/>
      <c r="P779" s="17" t="str">
        <f t="shared" si="7"/>
        <v>OK</v>
      </c>
      <c r="Q779" s="17" t="s">
        <v>2586</v>
      </c>
      <c r="R779" s="6" t="s">
        <v>5380</v>
      </c>
      <c r="S779" s="17" t="s">
        <v>36</v>
      </c>
      <c r="T779" s="10" t="s">
        <v>5381</v>
      </c>
      <c r="U779" s="18" t="s">
        <v>38</v>
      </c>
      <c r="V779" s="19" t="s">
        <v>4979</v>
      </c>
      <c r="W779" s="22" t="s">
        <v>5374</v>
      </c>
      <c r="X779" s="21" t="s">
        <v>5374</v>
      </c>
      <c r="Y779" s="22"/>
      <c r="Z779" s="7"/>
      <c r="AA779" s="7"/>
      <c r="AB779" s="23"/>
      <c r="AC779" s="26"/>
    </row>
    <row r="780" spans="1:30" ht="15.75" customHeight="1">
      <c r="A780" s="10" t="s">
        <v>5382</v>
      </c>
      <c r="B780" s="10" t="s">
        <v>4410</v>
      </c>
      <c r="C780" s="19" t="s">
        <v>4411</v>
      </c>
      <c r="D780" s="12"/>
      <c r="E780" s="13" t="s">
        <v>93</v>
      </c>
      <c r="F780" s="6" t="s">
        <v>5383</v>
      </c>
      <c r="G780" s="14" t="str">
        <f ca="1">IFERROR(__xludf.DUMMYFUNCTION("CONCATENATE(B780,(VLOOKUP(C780,CATALOGOS!$F$2:$H$6,3,FALSE)),(VLOOKUP(V780,CATALOGOS!$J$2:$K$18,2,FALSE)),""-"",TO_TEXT(A780))"),"P24CS-0779")</f>
        <v>P24CS-0779</v>
      </c>
      <c r="H780" s="15" t="str">
        <f ca="1">IFERROR(__xludf.DUMMYFUNCTION("CONCATENATE($B780,(VLOOKUP($C780,CATALOGOS!$F$2:$H$6,3,FALSE)),(VLOOKUP($V780,CATALOGOS!$J$2:$K$18,2,FALSE)),""-"",TO_TEXT($A780))"),"P24CS-0779")</f>
        <v>P24CS-0779</v>
      </c>
      <c r="I780" s="6"/>
      <c r="J780" s="6" t="s">
        <v>5384</v>
      </c>
      <c r="K780" s="6" t="s">
        <v>5385</v>
      </c>
      <c r="L780" s="6" t="s">
        <v>5386</v>
      </c>
      <c r="M780" s="6" t="s">
        <v>5387</v>
      </c>
      <c r="N780" s="17"/>
      <c r="O780" s="17"/>
      <c r="P780" s="17" t="str">
        <f t="shared" si="7"/>
        <v>OK</v>
      </c>
      <c r="Q780" s="17" t="s">
        <v>35</v>
      </c>
      <c r="R780" s="6" t="s">
        <v>35</v>
      </c>
      <c r="S780" s="17" t="s">
        <v>36</v>
      </c>
      <c r="T780" s="17" t="s">
        <v>5388</v>
      </c>
      <c r="U780" s="18" t="s">
        <v>38</v>
      </c>
      <c r="V780" s="19" t="s">
        <v>4979</v>
      </c>
      <c r="W780" s="22" t="s">
        <v>5374</v>
      </c>
      <c r="X780" s="21" t="s">
        <v>5374</v>
      </c>
      <c r="Y780" s="22"/>
      <c r="Z780" s="7"/>
      <c r="AA780" s="7"/>
      <c r="AB780" s="23"/>
      <c r="AC780" s="26"/>
    </row>
    <row r="781" spans="1:30" ht="15.75" customHeight="1">
      <c r="A781" s="10" t="s">
        <v>5389</v>
      </c>
      <c r="B781" s="10" t="s">
        <v>4410</v>
      </c>
      <c r="C781" s="19" t="s">
        <v>4411</v>
      </c>
      <c r="D781" s="12"/>
      <c r="E781" s="13" t="s">
        <v>62</v>
      </c>
      <c r="F781" s="6" t="s">
        <v>5368</v>
      </c>
      <c r="G781" s="14" t="str">
        <f ca="1">IFERROR(__xludf.DUMMYFUNCTION("CONCATENATE(B781,(VLOOKUP(C781,CATALOGOS!$F$2:$H$6,3,FALSE)),(VLOOKUP(V781,CATALOGOS!$J$2:$K$18,2,FALSE)),""-"",TO_TEXT(A781))"),"P24CS-0780")</f>
        <v>P24CS-0780</v>
      </c>
      <c r="H781" s="15" t="str">
        <f ca="1">IFERROR(__xludf.DUMMYFUNCTION("CONCATENATE($B781,(VLOOKUP($C781,CATALOGOS!$F$2:$H$6,3,FALSE)),(VLOOKUP($V781,CATALOGOS!$J$2:$K$18,2,FALSE)),""-"",TO_TEXT($A781))"),"P24CS-0780")</f>
        <v>P24CS-0780</v>
      </c>
      <c r="I781" s="6"/>
      <c r="J781" s="6" t="s">
        <v>5390</v>
      </c>
      <c r="K781" s="6" t="s">
        <v>5391</v>
      </c>
      <c r="L781" s="6" t="s">
        <v>5392</v>
      </c>
      <c r="M781" s="6" t="s">
        <v>5393</v>
      </c>
      <c r="N781" s="17"/>
      <c r="O781" s="17"/>
      <c r="P781" s="17" t="str">
        <f t="shared" si="7"/>
        <v>OK</v>
      </c>
      <c r="Q781" s="17" t="s">
        <v>35</v>
      </c>
      <c r="R781" s="6" t="s">
        <v>35</v>
      </c>
      <c r="S781" s="17" t="s">
        <v>36</v>
      </c>
      <c r="T781" s="17" t="s">
        <v>5394</v>
      </c>
      <c r="U781" s="18" t="s">
        <v>38</v>
      </c>
      <c r="V781" s="19" t="s">
        <v>4979</v>
      </c>
      <c r="W781" s="22" t="s">
        <v>5374</v>
      </c>
      <c r="X781" s="21" t="s">
        <v>5374</v>
      </c>
      <c r="Y781" s="22"/>
      <c r="Z781" s="7"/>
      <c r="AA781" s="7"/>
      <c r="AB781" s="23"/>
      <c r="AC781" s="26"/>
    </row>
    <row r="782" spans="1:30" ht="15.75" customHeight="1">
      <c r="A782" s="10" t="s">
        <v>5395</v>
      </c>
      <c r="B782" s="10" t="s">
        <v>4410</v>
      </c>
      <c r="C782" s="19" t="s">
        <v>4411</v>
      </c>
      <c r="D782" s="12"/>
      <c r="E782" s="13" t="s">
        <v>116</v>
      </c>
      <c r="F782" s="43" t="s">
        <v>5396</v>
      </c>
      <c r="G782" s="14" t="str">
        <f ca="1">IFERROR(__xludf.DUMMYFUNCTION("CONCATENATE(B782,(VLOOKUP(C782,CATALOGOS!$F$2:$H$6,3,FALSE)),(VLOOKUP(V782,CATALOGOS!$J$2:$K$18,2,FALSE)),""-"",TO_TEXT(A782))"),"P24CS-0781")</f>
        <v>P24CS-0781</v>
      </c>
      <c r="H782" s="15" t="str">
        <f ca="1">IFERROR(__xludf.DUMMYFUNCTION("CONCATENATE($B782,(VLOOKUP($C782,CATALOGOS!$F$2:$H$6,3,FALSE)),(VLOOKUP($V782,CATALOGOS!$J$2:$K$18,2,FALSE)),""-"",TO_TEXT($A782))"),"P24CS-0781")</f>
        <v>P24CS-0781</v>
      </c>
      <c r="I782" s="6"/>
      <c r="J782" s="6" t="s">
        <v>5397</v>
      </c>
      <c r="K782" s="6" t="s">
        <v>5398</v>
      </c>
      <c r="L782" s="6" t="s">
        <v>5399</v>
      </c>
      <c r="M782" s="6" t="s">
        <v>5400</v>
      </c>
      <c r="N782" s="17"/>
      <c r="O782" s="17"/>
      <c r="P782" s="17" t="str">
        <f t="shared" si="7"/>
        <v>OK</v>
      </c>
      <c r="Q782" s="17" t="s">
        <v>35</v>
      </c>
      <c r="R782" s="6" t="s">
        <v>35</v>
      </c>
      <c r="S782" s="17" t="s">
        <v>36</v>
      </c>
      <c r="T782" s="17" t="s">
        <v>5401</v>
      </c>
      <c r="U782" s="18" t="s">
        <v>38</v>
      </c>
      <c r="V782" s="19" t="s">
        <v>4979</v>
      </c>
      <c r="W782" s="22" t="s">
        <v>5374</v>
      </c>
      <c r="X782" s="21" t="s">
        <v>5374</v>
      </c>
      <c r="Y782" s="22"/>
      <c r="Z782" s="7"/>
      <c r="AA782" s="7"/>
      <c r="AB782" s="23"/>
      <c r="AC782" s="26"/>
    </row>
    <row r="783" spans="1:30" ht="15.75" customHeight="1">
      <c r="A783" s="10" t="s">
        <v>5402</v>
      </c>
      <c r="B783" s="10" t="s">
        <v>4410</v>
      </c>
      <c r="C783" s="19" t="s">
        <v>4411</v>
      </c>
      <c r="D783" s="12"/>
      <c r="E783" s="13" t="s">
        <v>1240</v>
      </c>
      <c r="F783" s="43" t="s">
        <v>278</v>
      </c>
      <c r="G783" s="14" t="str">
        <f ca="1">IFERROR(__xludf.DUMMYFUNCTION("CONCATENATE(B783,(VLOOKUP(C783,CATALOGOS!$F$2:$H$6,3,FALSE)),(VLOOKUP(V783,CATALOGOS!$J$2:$K$18,2,FALSE)),""-"",TO_TEXT(A783))"),"P24CS-0782")</f>
        <v>P24CS-0782</v>
      </c>
      <c r="H783" s="15" t="str">
        <f ca="1">IFERROR(__xludf.DUMMYFUNCTION("CONCATENATE($B783,(VLOOKUP($C783,CATALOGOS!$F$2:$H$6,3,FALSE)),(VLOOKUP($V783,CATALOGOS!$J$2:$K$18,2,FALSE)),""-"",TO_TEXT($A783))"),"P24CS-0782")</f>
        <v>P24CS-0782</v>
      </c>
      <c r="I783" s="6"/>
      <c r="J783" s="6" t="s">
        <v>5403</v>
      </c>
      <c r="K783" s="6" t="s">
        <v>5404</v>
      </c>
      <c r="L783" s="6" t="s">
        <v>5405</v>
      </c>
      <c r="M783" s="6" t="s">
        <v>5406</v>
      </c>
      <c r="N783" s="17"/>
      <c r="O783" s="17"/>
      <c r="P783" s="17" t="str">
        <f t="shared" si="7"/>
        <v>OK</v>
      </c>
      <c r="Q783" s="17" t="s">
        <v>35</v>
      </c>
      <c r="R783" s="6" t="s">
        <v>35</v>
      </c>
      <c r="S783" s="17" t="s">
        <v>36</v>
      </c>
      <c r="T783" s="17" t="s">
        <v>5407</v>
      </c>
      <c r="U783" s="18" t="s">
        <v>38</v>
      </c>
      <c r="V783" s="19" t="s">
        <v>4979</v>
      </c>
      <c r="W783" s="22" t="s">
        <v>5374</v>
      </c>
      <c r="X783" s="21" t="s">
        <v>5374</v>
      </c>
      <c r="Y783" s="22"/>
      <c r="Z783" s="7"/>
      <c r="AA783" s="7"/>
      <c r="AB783" s="23"/>
      <c r="AC783" s="26"/>
    </row>
    <row r="784" spans="1:30" ht="15.75" customHeight="1">
      <c r="A784" s="10" t="s">
        <v>5408</v>
      </c>
      <c r="B784" s="10" t="s">
        <v>4410</v>
      </c>
      <c r="C784" s="19" t="s">
        <v>4411</v>
      </c>
      <c r="D784" s="12"/>
      <c r="E784" s="13" t="s">
        <v>199</v>
      </c>
      <c r="F784" s="6" t="s">
        <v>199</v>
      </c>
      <c r="G784" s="14" t="str">
        <f ca="1">IFERROR(__xludf.DUMMYFUNCTION("CONCATENATE(B784,(VLOOKUP(C784,CATALOGOS!$F$2:$H$6,3,FALSE)),(VLOOKUP(V784,CATALOGOS!$J$2:$K$18,2,FALSE)),""-"",TO_TEXT(A784))"),"P24CS-0783")</f>
        <v>P24CS-0783</v>
      </c>
      <c r="H784" s="15" t="str">
        <f ca="1">IFERROR(__xludf.DUMMYFUNCTION("CONCATENATE($B784,(VLOOKUP($C784,CATALOGOS!$F$2:$H$6,3,FALSE)),(VLOOKUP($V784,CATALOGOS!$J$2:$K$18,2,FALSE)),""-"",TO_TEXT($A784))"),"P24CS-0783")</f>
        <v>P24CS-0783</v>
      </c>
      <c r="I784" s="6"/>
      <c r="J784" s="6" t="s">
        <v>5409</v>
      </c>
      <c r="K784" s="6" t="s">
        <v>5410</v>
      </c>
      <c r="L784" s="6" t="s">
        <v>5411</v>
      </c>
      <c r="M784" s="43" t="s">
        <v>5412</v>
      </c>
      <c r="N784" s="17"/>
      <c r="O784" s="17"/>
      <c r="P784" s="17" t="str">
        <f t="shared" si="7"/>
        <v>OK</v>
      </c>
      <c r="Q784" s="17" t="s">
        <v>297</v>
      </c>
      <c r="R784" s="6" t="s">
        <v>5413</v>
      </c>
      <c r="S784" s="35" t="s">
        <v>5414</v>
      </c>
      <c r="T784" s="10" t="s">
        <v>5415</v>
      </c>
      <c r="U784" s="50" t="s">
        <v>38</v>
      </c>
      <c r="V784" s="19" t="s">
        <v>4979</v>
      </c>
      <c r="W784" s="22" t="s">
        <v>5374</v>
      </c>
      <c r="X784" s="21" t="s">
        <v>5374</v>
      </c>
      <c r="Y784" s="22"/>
      <c r="Z784" s="7"/>
      <c r="AA784" s="7"/>
      <c r="AB784" s="23"/>
      <c r="AC784" s="26"/>
    </row>
    <row r="785" spans="1:29" ht="15.75" customHeight="1">
      <c r="A785" s="10" t="s">
        <v>5416</v>
      </c>
      <c r="B785" s="10" t="s">
        <v>4410</v>
      </c>
      <c r="C785" s="19" t="s">
        <v>4411</v>
      </c>
      <c r="D785" s="12"/>
      <c r="E785" s="13" t="s">
        <v>248</v>
      </c>
      <c r="F785" s="43" t="s">
        <v>249</v>
      </c>
      <c r="G785" s="14" t="str">
        <f ca="1">IFERROR(__xludf.DUMMYFUNCTION("CONCATENATE(B785,(VLOOKUP(C785,CATALOGOS!$F$2:$H$6,3,FALSE)),(VLOOKUP(V785,CATALOGOS!$J$2:$K$18,2,FALSE)),""-"",TO_TEXT(A785))"),"P24CS-0784")</f>
        <v>P24CS-0784</v>
      </c>
      <c r="H785" s="15" t="str">
        <f ca="1">IFERROR(__xludf.DUMMYFUNCTION("CONCATENATE($B785,(VLOOKUP($C785,CATALOGOS!$F$2:$H$6,3,FALSE)),(VLOOKUP($V785,CATALOGOS!$J$2:$K$18,2,FALSE)),""-"",TO_TEXT($A785))"),"P24CS-0784")</f>
        <v>P24CS-0784</v>
      </c>
      <c r="I785" s="6"/>
      <c r="J785" s="6" t="s">
        <v>5417</v>
      </c>
      <c r="K785" s="6" t="s">
        <v>5418</v>
      </c>
      <c r="L785" s="6" t="s">
        <v>5419</v>
      </c>
      <c r="M785" s="6" t="s">
        <v>5420</v>
      </c>
      <c r="N785" s="17"/>
      <c r="O785" s="17"/>
      <c r="P785" s="17" t="str">
        <f t="shared" si="7"/>
        <v>OK</v>
      </c>
      <c r="Q785" s="17" t="s">
        <v>978</v>
      </c>
      <c r="R785" s="6" t="s">
        <v>979</v>
      </c>
      <c r="S785" s="35" t="s">
        <v>5421</v>
      </c>
      <c r="T785" s="17" t="s">
        <v>5422</v>
      </c>
      <c r="U785" s="18" t="s">
        <v>38</v>
      </c>
      <c r="V785" s="19" t="s">
        <v>4979</v>
      </c>
      <c r="W785" s="22" t="s">
        <v>5374</v>
      </c>
      <c r="X785" s="21" t="s">
        <v>5374</v>
      </c>
      <c r="Y785" s="22"/>
      <c r="Z785" s="7"/>
      <c r="AA785" s="7"/>
      <c r="AB785" s="23"/>
      <c r="AC785" s="26"/>
    </row>
    <row r="786" spans="1:29" ht="15.75" customHeight="1">
      <c r="A786" s="10" t="s">
        <v>5423</v>
      </c>
      <c r="B786" s="10" t="s">
        <v>4410</v>
      </c>
      <c r="C786" s="19" t="s">
        <v>4411</v>
      </c>
      <c r="D786" s="12"/>
      <c r="E786" s="13" t="s">
        <v>151</v>
      </c>
      <c r="F786" s="6" t="s">
        <v>963</v>
      </c>
      <c r="G786" s="14" t="str">
        <f ca="1">IFERROR(__xludf.DUMMYFUNCTION("CONCATENATE(B786,(VLOOKUP(C786,CATALOGOS!$F$2:$H$6,3,FALSE)),(VLOOKUP(V786,CATALOGOS!$J$2:$K$18,2,FALSE)),""-"",TO_TEXT(A786))"),"P24CS-0785")</f>
        <v>P24CS-0785</v>
      </c>
      <c r="H786" s="15" t="str">
        <f ca="1">IFERROR(__xludf.DUMMYFUNCTION("CONCATENATE($B786,(VLOOKUP($C786,CATALOGOS!$F$2:$H$6,3,FALSE)),(VLOOKUP($V786,CATALOGOS!$J$2:$K$18,2,FALSE)),""-"",TO_TEXT($A786))"),"P24CS-0785")</f>
        <v>P24CS-0785</v>
      </c>
      <c r="I786" s="6"/>
      <c r="J786" s="6" t="s">
        <v>5424</v>
      </c>
      <c r="K786" s="6" t="s">
        <v>5425</v>
      </c>
      <c r="L786" s="6" t="s">
        <v>5426</v>
      </c>
      <c r="M786" s="6" t="s">
        <v>5427</v>
      </c>
      <c r="N786" s="17"/>
      <c r="O786" s="17"/>
      <c r="P786" s="17" t="str">
        <f t="shared" si="7"/>
        <v>OK</v>
      </c>
      <c r="Q786" s="17" t="s">
        <v>297</v>
      </c>
      <c r="R786" s="6" t="s">
        <v>1037</v>
      </c>
      <c r="S786" s="17" t="s">
        <v>5428</v>
      </c>
      <c r="T786" s="17" t="s">
        <v>5429</v>
      </c>
      <c r="U786" s="18" t="s">
        <v>38</v>
      </c>
      <c r="V786" s="19" t="s">
        <v>4979</v>
      </c>
      <c r="W786" s="22" t="s">
        <v>5374</v>
      </c>
      <c r="X786" s="21" t="s">
        <v>5374</v>
      </c>
      <c r="Y786" s="22"/>
      <c r="Z786" s="7"/>
      <c r="AA786" s="7"/>
      <c r="AB786" s="23"/>
      <c r="AC786" s="26"/>
    </row>
    <row r="787" spans="1:29" ht="15.75" customHeight="1">
      <c r="A787" s="10" t="s">
        <v>5430</v>
      </c>
      <c r="B787" s="10" t="s">
        <v>4410</v>
      </c>
      <c r="C787" s="19" t="s">
        <v>4411</v>
      </c>
      <c r="D787" s="12"/>
      <c r="E787" s="13" t="s">
        <v>378</v>
      </c>
      <c r="F787" s="6" t="s">
        <v>878</v>
      </c>
      <c r="G787" s="14" t="str">
        <f ca="1">IFERROR(__xludf.DUMMYFUNCTION("CONCATENATE(B787,(VLOOKUP(C787,CATALOGOS!$F$2:$H$6,3,FALSE)),(VLOOKUP(V787,CATALOGOS!$J$2:$K$18,2,FALSE)),""-"",TO_TEXT(A787))"),"P24CS-0786")</f>
        <v>P24CS-0786</v>
      </c>
      <c r="H787" s="15" t="str">
        <f ca="1">IFERROR(__xludf.DUMMYFUNCTION("CONCATENATE($B787,(VLOOKUP($C787,CATALOGOS!$F$2:$H$6,3,FALSE)),(VLOOKUP($V787,CATALOGOS!$J$2:$K$18,2,FALSE)),""-"",TO_TEXT($A787))"),"P24CS-0786")</f>
        <v>P24CS-0786</v>
      </c>
      <c r="I787" s="6"/>
      <c r="J787" s="6" t="s">
        <v>5431</v>
      </c>
      <c r="K787" s="6" t="s">
        <v>5432</v>
      </c>
      <c r="L787" s="36"/>
      <c r="M787" s="6" t="s">
        <v>141</v>
      </c>
      <c r="N787" s="17"/>
      <c r="O787" s="17"/>
      <c r="P787" s="17" t="str">
        <f t="shared" si="7"/>
        <v>REPETIDO</v>
      </c>
      <c r="Q787" s="17" t="s">
        <v>35</v>
      </c>
      <c r="R787" s="6" t="s">
        <v>35</v>
      </c>
      <c r="S787" s="6" t="s">
        <v>36</v>
      </c>
      <c r="T787" s="10" t="s">
        <v>5433</v>
      </c>
      <c r="U787" s="18" t="s">
        <v>38</v>
      </c>
      <c r="V787" s="19" t="s">
        <v>4979</v>
      </c>
      <c r="W787" s="22" t="s">
        <v>5374</v>
      </c>
      <c r="X787" s="21" t="s">
        <v>5374</v>
      </c>
      <c r="Y787" s="22"/>
      <c r="Z787" s="7"/>
      <c r="AA787" s="7"/>
      <c r="AB787" s="23"/>
      <c r="AC787" s="26"/>
    </row>
    <row r="788" spans="1:29" ht="15.75" customHeight="1">
      <c r="A788" s="10" t="s">
        <v>5434</v>
      </c>
      <c r="B788" s="10" t="s">
        <v>4410</v>
      </c>
      <c r="C788" s="19" t="s">
        <v>4411</v>
      </c>
      <c r="D788" s="38"/>
      <c r="E788" s="13" t="s">
        <v>378</v>
      </c>
      <c r="F788" s="43" t="s">
        <v>379</v>
      </c>
      <c r="G788" s="14" t="str">
        <f ca="1">IFERROR(__xludf.DUMMYFUNCTION("CONCATENATE(B788,(VLOOKUP(C788,CATALOGOS!$F$2:$H$6,3,FALSE)),(VLOOKUP(V788,CATALOGOS!$J$2:$K$18,2,FALSE)),""-"",TO_TEXT(A788))"),"P24CS-0787")</f>
        <v>P24CS-0787</v>
      </c>
      <c r="H788" s="15" t="str">
        <f ca="1">IFERROR(__xludf.DUMMYFUNCTION("CONCATENATE($B788,(VLOOKUP($C788,CATALOGOS!$F$2:$H$6,3,FALSE)),(VLOOKUP($V788,CATALOGOS!$J$2:$K$18,2,FALSE)),""-"",TO_TEXT($A788))"),"P24CS-0787")</f>
        <v>P24CS-0787</v>
      </c>
      <c r="I788" s="6"/>
      <c r="J788" s="6" t="s">
        <v>5435</v>
      </c>
      <c r="K788" s="6" t="s">
        <v>5436</v>
      </c>
      <c r="L788" s="6" t="s">
        <v>5437</v>
      </c>
      <c r="M788" s="6" t="s">
        <v>5438</v>
      </c>
      <c r="N788" s="17"/>
      <c r="O788" s="17"/>
      <c r="P788" s="17" t="str">
        <f t="shared" si="7"/>
        <v>OK</v>
      </c>
      <c r="Q788" s="17" t="s">
        <v>35</v>
      </c>
      <c r="R788" s="6" t="s">
        <v>35</v>
      </c>
      <c r="S788" s="46" t="s">
        <v>36</v>
      </c>
      <c r="T788" s="17" t="s">
        <v>5439</v>
      </c>
      <c r="U788" s="18" t="s">
        <v>38</v>
      </c>
      <c r="V788" s="19" t="s">
        <v>4979</v>
      </c>
      <c r="W788" s="22" t="s">
        <v>5374</v>
      </c>
      <c r="X788" s="21" t="s">
        <v>5374</v>
      </c>
      <c r="Y788" s="22"/>
      <c r="Z788" s="7"/>
      <c r="AA788" s="7"/>
      <c r="AB788" s="26"/>
      <c r="AC788" s="26"/>
    </row>
    <row r="789" spans="1:29" ht="15.75" customHeight="1">
      <c r="A789" s="10" t="s">
        <v>5440</v>
      </c>
      <c r="B789" s="10" t="s">
        <v>4410</v>
      </c>
      <c r="C789" s="19" t="s">
        <v>4411</v>
      </c>
      <c r="D789" s="12"/>
      <c r="E789" s="13" t="s">
        <v>53</v>
      </c>
      <c r="F789" s="6" t="s">
        <v>192</v>
      </c>
      <c r="G789" s="14" t="str">
        <f ca="1">IFERROR(__xludf.DUMMYFUNCTION("CONCATENATE(B789,(VLOOKUP(C789,CATALOGOS!$F$2:$H$6,3,FALSE)),(VLOOKUP(V789,CATALOGOS!$J$2:$K$18,2,FALSE)),""-"",TO_TEXT(A789))"),"P24CA-0788")</f>
        <v>P24CA-0788</v>
      </c>
      <c r="H789" s="15" t="str">
        <f ca="1">IFERROR(__xludf.DUMMYFUNCTION("CONCATENATE($B789,(VLOOKUP($C789,CATALOGOS!$F$2:$H$6,3,FALSE)),(VLOOKUP($V789,CATALOGOS!$J$2:$K$18,2,FALSE)),""-"",TO_TEXT($A789))"),"P24CA-0788")</f>
        <v>P24CA-0788</v>
      </c>
      <c r="I789" s="6"/>
      <c r="J789" s="6" t="s">
        <v>5441</v>
      </c>
      <c r="K789" s="6" t="s">
        <v>5442</v>
      </c>
      <c r="L789" s="6" t="s">
        <v>5443</v>
      </c>
      <c r="M789" s="6" t="s">
        <v>5444</v>
      </c>
      <c r="N789" s="17"/>
      <c r="O789" s="17"/>
      <c r="P789" s="17" t="str">
        <f t="shared" si="7"/>
        <v>OK</v>
      </c>
      <c r="Q789" s="17" t="s">
        <v>35</v>
      </c>
      <c r="R789" s="6" t="s">
        <v>35</v>
      </c>
      <c r="S789" s="17" t="s">
        <v>36</v>
      </c>
      <c r="T789" s="17" t="s">
        <v>5445</v>
      </c>
      <c r="U789" s="18" t="s">
        <v>38</v>
      </c>
      <c r="V789" s="19" t="s">
        <v>4416</v>
      </c>
      <c r="W789" s="22" t="s">
        <v>5310</v>
      </c>
      <c r="X789" s="21" t="s">
        <v>5310</v>
      </c>
      <c r="Y789" s="22"/>
      <c r="Z789" s="7"/>
      <c r="AA789" s="7"/>
      <c r="AB789" s="23"/>
      <c r="AC789" s="26"/>
    </row>
    <row r="790" spans="1:29" ht="15.75" customHeight="1">
      <c r="A790" s="10" t="s">
        <v>5446</v>
      </c>
      <c r="B790" s="10" t="s">
        <v>4410</v>
      </c>
      <c r="C790" s="19" t="s">
        <v>4411</v>
      </c>
      <c r="D790" s="12"/>
      <c r="E790" s="13" t="s">
        <v>62</v>
      </c>
      <c r="F790" s="6" t="s">
        <v>5447</v>
      </c>
      <c r="G790" s="14" t="str">
        <f ca="1">IFERROR(__xludf.DUMMYFUNCTION("CONCATENATE(B790,(VLOOKUP(C790,CATALOGOS!$F$2:$H$6,3,FALSE)),(VLOOKUP(V790,CATALOGOS!$J$2:$K$18,2,FALSE)),""-"",TO_TEXT(A790))"),"P24CA-0789")</f>
        <v>P24CA-0789</v>
      </c>
      <c r="H790" s="15" t="str">
        <f ca="1">IFERROR(__xludf.DUMMYFUNCTION("CONCATENATE($B790,(VLOOKUP($C790,CATALOGOS!$F$2:$H$6,3,FALSE)),(VLOOKUP($V790,CATALOGOS!$J$2:$K$18,2,FALSE)),""-"",TO_TEXT($A790))"),"P24CA-0789")</f>
        <v>P24CA-0789</v>
      </c>
      <c r="I790" s="6"/>
      <c r="J790" s="6" t="s">
        <v>5448</v>
      </c>
      <c r="K790" s="6" t="s">
        <v>5449</v>
      </c>
      <c r="L790" s="6" t="s">
        <v>5450</v>
      </c>
      <c r="M790" s="6" t="s">
        <v>5451</v>
      </c>
      <c r="N790" s="17"/>
      <c r="O790" s="17"/>
      <c r="P790" s="17" t="str">
        <f t="shared" si="7"/>
        <v>OK</v>
      </c>
      <c r="Q790" s="17" t="s">
        <v>35</v>
      </c>
      <c r="R790" s="6" t="s">
        <v>35</v>
      </c>
      <c r="S790" s="17" t="s">
        <v>36</v>
      </c>
      <c r="T790" s="17" t="s">
        <v>5452</v>
      </c>
      <c r="U790" s="18" t="s">
        <v>38</v>
      </c>
      <c r="V790" s="19" t="s">
        <v>4416</v>
      </c>
      <c r="W790" s="22" t="s">
        <v>5310</v>
      </c>
      <c r="X790" s="21" t="s">
        <v>5310</v>
      </c>
      <c r="Y790" s="22"/>
      <c r="Z790" s="7"/>
      <c r="AA790" s="7"/>
      <c r="AB790" s="23"/>
      <c r="AC790" s="26"/>
    </row>
    <row r="791" spans="1:29" ht="15.75" customHeight="1">
      <c r="A791" s="10" t="s">
        <v>5453</v>
      </c>
      <c r="B791" s="10" t="s">
        <v>4410</v>
      </c>
      <c r="C791" s="19" t="s">
        <v>4411</v>
      </c>
      <c r="D791" s="12"/>
      <c r="E791" s="13" t="s">
        <v>71</v>
      </c>
      <c r="F791" s="6" t="s">
        <v>4937</v>
      </c>
      <c r="G791" s="14" t="str">
        <f ca="1">IFERROR(__xludf.DUMMYFUNCTION("CONCATENATE(B791,(VLOOKUP(C791,CATALOGOS!$F$2:$H$6,3,FALSE)),(VLOOKUP(V791,CATALOGOS!$J$2:$K$18,2,FALSE)),""-"",TO_TEXT(A791))"),"P24CA-0790")</f>
        <v>P24CA-0790</v>
      </c>
      <c r="H791" s="15" t="str">
        <f ca="1">IFERROR(__xludf.DUMMYFUNCTION("CONCATENATE($B791,(VLOOKUP($C791,CATALOGOS!$F$2:$H$6,3,FALSE)),(VLOOKUP($V791,CATALOGOS!$J$2:$K$18,2,FALSE)),""-"",TO_TEXT($A791))"),"P24CA-0790")</f>
        <v>P24CA-0790</v>
      </c>
      <c r="I791" s="6"/>
      <c r="J791" s="6" t="s">
        <v>5454</v>
      </c>
      <c r="K791" s="6" t="s">
        <v>5455</v>
      </c>
      <c r="L791" s="6" t="s">
        <v>5456</v>
      </c>
      <c r="M791" s="6" t="s">
        <v>5457</v>
      </c>
      <c r="N791" s="17"/>
      <c r="O791" s="17"/>
      <c r="P791" s="17" t="str">
        <f t="shared" si="7"/>
        <v>OK</v>
      </c>
      <c r="Q791" s="17" t="s">
        <v>35</v>
      </c>
      <c r="R791" s="6" t="s">
        <v>35</v>
      </c>
      <c r="S791" s="17" t="s">
        <v>36</v>
      </c>
      <c r="T791" s="35" t="s">
        <v>5458</v>
      </c>
      <c r="U791" s="18" t="s">
        <v>38</v>
      </c>
      <c r="V791" s="19" t="s">
        <v>4416</v>
      </c>
      <c r="W791" s="22" t="s">
        <v>5310</v>
      </c>
      <c r="X791" s="21" t="s">
        <v>5310</v>
      </c>
      <c r="Y791" s="22"/>
      <c r="Z791" s="7"/>
      <c r="AA791" s="7"/>
      <c r="AB791" s="23"/>
      <c r="AC791" s="26"/>
    </row>
    <row r="792" spans="1:29" ht="15.75" customHeight="1">
      <c r="A792" s="10" t="s">
        <v>5459</v>
      </c>
      <c r="B792" s="10" t="s">
        <v>4410</v>
      </c>
      <c r="C792" s="19" t="s">
        <v>4411</v>
      </c>
      <c r="D792" s="12"/>
      <c r="E792" s="13" t="s">
        <v>93</v>
      </c>
      <c r="F792" s="6" t="s">
        <v>5460</v>
      </c>
      <c r="G792" s="14" t="str">
        <f ca="1">IFERROR(__xludf.DUMMYFUNCTION("CONCATENATE(B792,(VLOOKUP(C792,CATALOGOS!$F$2:$H$6,3,FALSE)),(VLOOKUP(V792,CATALOGOS!$J$2:$K$18,2,FALSE)),""-"",TO_TEXT(A792))"),"P24CA-0791")</f>
        <v>P24CA-0791</v>
      </c>
      <c r="H792" s="15" t="str">
        <f ca="1">IFERROR(__xludf.DUMMYFUNCTION("CONCATENATE($B792,(VLOOKUP($C792,CATALOGOS!$F$2:$H$6,3,FALSE)),(VLOOKUP($V792,CATALOGOS!$J$2:$K$18,2,FALSE)),""-"",TO_TEXT($A792))"),"P24CA-0791")</f>
        <v>P24CA-0791</v>
      </c>
      <c r="I792" s="6"/>
      <c r="J792" s="6" t="s">
        <v>5461</v>
      </c>
      <c r="K792" s="6" t="s">
        <v>5462</v>
      </c>
      <c r="L792" s="6" t="s">
        <v>5463</v>
      </c>
      <c r="M792" s="6" t="s">
        <v>5464</v>
      </c>
      <c r="N792" s="17"/>
      <c r="O792" s="17"/>
      <c r="P792" s="17" t="str">
        <f t="shared" si="7"/>
        <v>OK</v>
      </c>
      <c r="Q792" s="17" t="s">
        <v>35</v>
      </c>
      <c r="R792" s="6" t="s">
        <v>35</v>
      </c>
      <c r="S792" s="17" t="s">
        <v>36</v>
      </c>
      <c r="T792" s="17" t="s">
        <v>5465</v>
      </c>
      <c r="U792" s="18" t="s">
        <v>38</v>
      </c>
      <c r="V792" s="19" t="s">
        <v>4416</v>
      </c>
      <c r="W792" s="22" t="s">
        <v>5310</v>
      </c>
      <c r="X792" s="21" t="s">
        <v>5310</v>
      </c>
      <c r="Y792" s="22"/>
      <c r="Z792" s="7"/>
      <c r="AA792" s="7"/>
      <c r="AB792" s="23"/>
      <c r="AC792" s="26"/>
    </row>
    <row r="793" spans="1:29" ht="15.75" customHeight="1">
      <c r="A793" s="10" t="s">
        <v>5466</v>
      </c>
      <c r="B793" s="10" t="s">
        <v>4410</v>
      </c>
      <c r="C793" s="19" t="s">
        <v>4411</v>
      </c>
      <c r="D793" s="12"/>
      <c r="E793" s="13" t="s">
        <v>93</v>
      </c>
      <c r="F793" s="6" t="s">
        <v>5460</v>
      </c>
      <c r="G793" s="14" t="str">
        <f ca="1">IFERROR(__xludf.DUMMYFUNCTION("CONCATENATE(B793,(VLOOKUP(C793,CATALOGOS!$F$2:$H$6,3,FALSE)),(VLOOKUP(V793,CATALOGOS!$J$2:$K$18,2,FALSE)),""-"",TO_TEXT(A793))"),"P24CA-0792")</f>
        <v>P24CA-0792</v>
      </c>
      <c r="H793" s="15" t="str">
        <f ca="1">IFERROR(__xludf.DUMMYFUNCTION("CONCATENATE($B793,(VLOOKUP($C793,CATALOGOS!$F$2:$H$6,3,FALSE)),(VLOOKUP($V793,CATALOGOS!$J$2:$K$18,2,FALSE)),""-"",TO_TEXT($A793))"),"P24CA-0792")</f>
        <v>P24CA-0792</v>
      </c>
      <c r="I793" s="6"/>
      <c r="J793" s="6" t="s">
        <v>5467</v>
      </c>
      <c r="K793" s="6" t="s">
        <v>5468</v>
      </c>
      <c r="L793" s="6" t="s">
        <v>5469</v>
      </c>
      <c r="M793" s="6" t="s">
        <v>5470</v>
      </c>
      <c r="N793" s="17"/>
      <c r="O793" s="17"/>
      <c r="P793" s="17" t="str">
        <f t="shared" si="7"/>
        <v>OK</v>
      </c>
      <c r="Q793" s="17" t="s">
        <v>35</v>
      </c>
      <c r="R793" s="6" t="s">
        <v>35</v>
      </c>
      <c r="S793" s="17" t="s">
        <v>36</v>
      </c>
      <c r="T793" s="17" t="s">
        <v>5471</v>
      </c>
      <c r="U793" s="18" t="s">
        <v>38</v>
      </c>
      <c r="V793" s="19" t="s">
        <v>4416</v>
      </c>
      <c r="W793" s="22" t="s">
        <v>5310</v>
      </c>
      <c r="X793" s="21" t="s">
        <v>5310</v>
      </c>
      <c r="Y793" s="22"/>
      <c r="Z793" s="7"/>
      <c r="AA793" s="7"/>
      <c r="AB793" s="23"/>
      <c r="AC793" s="26"/>
    </row>
    <row r="794" spans="1:29" ht="15.75" customHeight="1">
      <c r="A794" s="10" t="s">
        <v>5472</v>
      </c>
      <c r="B794" s="10" t="s">
        <v>27</v>
      </c>
      <c r="C794" s="19" t="s">
        <v>28</v>
      </c>
      <c r="D794" s="12"/>
      <c r="E794" s="13" t="s">
        <v>43</v>
      </c>
      <c r="F794" s="6" t="s">
        <v>5473</v>
      </c>
      <c r="G794" s="14" t="str">
        <f ca="1">IFERROR(__xludf.DUMMYFUNCTION("CONCATENATE(B794,(VLOOKUP(C794,CATALOGOS!$F$2:$H$6,3,FALSE)),(VLOOKUP(V794,CATALOGOS!$J$2:$K$18,2,FALSE)),""-"",TO_TEXT(A794))"),"P05RM-0793")</f>
        <v>P05RM-0793</v>
      </c>
      <c r="H794" s="15" t="str">
        <f ca="1">IFERROR(__xludf.DUMMYFUNCTION("CONCATENATE($B794,(VLOOKUP($C794,CATALOGOS!$F$2:$H$6,3,FALSE)),(VLOOKUP($V794,CATALOGOS!$J$2:$K$18,2,FALSE)),""-"",TO_TEXT($A794))"),"P05RM-0793")</f>
        <v>P05RM-0793</v>
      </c>
      <c r="I794" s="6"/>
      <c r="J794" s="6" t="s">
        <v>5474</v>
      </c>
      <c r="K794" s="6" t="s">
        <v>5475</v>
      </c>
      <c r="L794" s="36"/>
      <c r="M794" s="6" t="s">
        <v>141</v>
      </c>
      <c r="N794" s="17"/>
      <c r="O794" s="17"/>
      <c r="P794" s="35" t="s">
        <v>5476</v>
      </c>
      <c r="Q794" s="35" t="s">
        <v>5477</v>
      </c>
      <c r="R794" s="6" t="s">
        <v>5478</v>
      </c>
      <c r="S794" s="6" t="s">
        <v>36</v>
      </c>
      <c r="T794" s="10" t="s">
        <v>85</v>
      </c>
      <c r="U794" s="18" t="s">
        <v>38</v>
      </c>
      <c r="V794" s="19" t="s">
        <v>147</v>
      </c>
      <c r="W794" s="20" t="s">
        <v>385</v>
      </c>
      <c r="X794" s="21" t="s">
        <v>5310</v>
      </c>
      <c r="Y794" s="40" t="s">
        <v>261</v>
      </c>
      <c r="Z794" s="6"/>
      <c r="AA794" s="6"/>
      <c r="AB794" s="23"/>
      <c r="AC794" s="33"/>
    </row>
    <row r="795" spans="1:29" ht="15.75" customHeight="1">
      <c r="A795" s="10" t="s">
        <v>5479</v>
      </c>
      <c r="B795" s="10" t="s">
        <v>4410</v>
      </c>
      <c r="C795" s="19" t="s">
        <v>4411</v>
      </c>
      <c r="D795" s="12"/>
      <c r="E795" s="13" t="s">
        <v>501</v>
      </c>
      <c r="F795" s="43" t="s">
        <v>5480</v>
      </c>
      <c r="G795" s="14" t="str">
        <f ca="1">IFERROR(__xludf.DUMMYFUNCTION("CONCATENATE(B795,(VLOOKUP(C795,CATALOGOS!$F$2:$H$6,3,FALSE)),(VLOOKUP(V795,CATALOGOS!$J$2:$K$18,2,FALSE)),""-"",TO_TEXT(A795))"),"P24CA-0794")</f>
        <v>P24CA-0794</v>
      </c>
      <c r="H795" s="15" t="str">
        <f ca="1">IFERROR(__xludf.DUMMYFUNCTION("CONCATENATE($B795,(VLOOKUP($C795,CATALOGOS!$F$2:$H$6,3,FALSE)),(VLOOKUP($V795,CATALOGOS!$J$2:$K$18,2,FALSE)),""-"",TO_TEXT($A795))"),"P24CA-0794")</f>
        <v>P24CA-0794</v>
      </c>
      <c r="I795" s="6"/>
      <c r="J795" s="6" t="s">
        <v>5481</v>
      </c>
      <c r="K795" s="6" t="s">
        <v>5482</v>
      </c>
      <c r="L795" s="6" t="s">
        <v>5483</v>
      </c>
      <c r="M795" s="6" t="s">
        <v>5484</v>
      </c>
      <c r="N795" s="17"/>
      <c r="O795" s="17"/>
      <c r="P795" s="17" t="str">
        <f t="shared" ref="P795:P997" si="8">IF(COUNTIF($M$2:$M$997,M795)&gt;1,"REPETIDO","OK")</f>
        <v>OK</v>
      </c>
      <c r="Q795" s="17" t="s">
        <v>35</v>
      </c>
      <c r="R795" s="6" t="s">
        <v>35</v>
      </c>
      <c r="S795" s="17" t="s">
        <v>36</v>
      </c>
      <c r="T795" s="17" t="s">
        <v>5485</v>
      </c>
      <c r="U795" s="18" t="s">
        <v>38</v>
      </c>
      <c r="V795" s="19" t="s">
        <v>4416</v>
      </c>
      <c r="W795" s="22" t="s">
        <v>5310</v>
      </c>
      <c r="X795" s="21" t="s">
        <v>5310</v>
      </c>
      <c r="Y795" s="22"/>
      <c r="Z795" s="7"/>
      <c r="AA795" s="7"/>
      <c r="AB795" s="23"/>
      <c r="AC795" s="26"/>
    </row>
    <row r="796" spans="1:29" ht="15.75" customHeight="1">
      <c r="A796" s="10" t="s">
        <v>5486</v>
      </c>
      <c r="B796" s="10" t="s">
        <v>4410</v>
      </c>
      <c r="C796" s="19" t="s">
        <v>4411</v>
      </c>
      <c r="D796" s="12"/>
      <c r="E796" s="13" t="s">
        <v>378</v>
      </c>
      <c r="F796" s="6" t="s">
        <v>1306</v>
      </c>
      <c r="G796" s="14" t="str">
        <f ca="1">IFERROR(__xludf.DUMMYFUNCTION("CONCATENATE(B796,(VLOOKUP(C796,CATALOGOS!$F$2:$H$6,3,FALSE)),(VLOOKUP(V796,CATALOGOS!$J$2:$K$18,2,FALSE)),""-"",TO_TEXT(A796))"),"P24CA-0795")</f>
        <v>P24CA-0795</v>
      </c>
      <c r="H796" s="15" t="str">
        <f ca="1">IFERROR(__xludf.DUMMYFUNCTION("CONCATENATE($B796,(VLOOKUP($C796,CATALOGOS!$F$2:$H$6,3,FALSE)),(VLOOKUP($V796,CATALOGOS!$J$2:$K$18,2,FALSE)),""-"",TO_TEXT($A796))"),"P24CA-0795")</f>
        <v>P24CA-0795</v>
      </c>
      <c r="I796" s="6"/>
      <c r="J796" s="6" t="s">
        <v>5487</v>
      </c>
      <c r="K796" s="6" t="s">
        <v>5488</v>
      </c>
      <c r="L796" s="6" t="s">
        <v>5489</v>
      </c>
      <c r="M796" s="6" t="s">
        <v>5490</v>
      </c>
      <c r="N796" s="17"/>
      <c r="O796" s="17"/>
      <c r="P796" s="17" t="str">
        <f t="shared" si="8"/>
        <v>OK</v>
      </c>
      <c r="Q796" s="17" t="s">
        <v>35</v>
      </c>
      <c r="R796" s="6" t="s">
        <v>35</v>
      </c>
      <c r="S796" s="17" t="s">
        <v>36</v>
      </c>
      <c r="T796" s="17" t="s">
        <v>5491</v>
      </c>
      <c r="U796" s="18" t="s">
        <v>38</v>
      </c>
      <c r="V796" s="19" t="s">
        <v>4416</v>
      </c>
      <c r="W796" s="22" t="s">
        <v>5310</v>
      </c>
      <c r="X796" s="21" t="s">
        <v>5310</v>
      </c>
      <c r="Y796" s="22"/>
      <c r="Z796" s="7"/>
      <c r="AA796" s="7"/>
      <c r="AB796" s="23"/>
      <c r="AC796" s="26"/>
    </row>
    <row r="797" spans="1:29" ht="15.75" customHeight="1">
      <c r="A797" s="10" t="s">
        <v>5492</v>
      </c>
      <c r="B797" s="10" t="s">
        <v>4410</v>
      </c>
      <c r="C797" s="19" t="s">
        <v>4411</v>
      </c>
      <c r="D797" s="12"/>
      <c r="E797" s="13" t="s">
        <v>378</v>
      </c>
      <c r="F797" s="6" t="s">
        <v>1306</v>
      </c>
      <c r="G797" s="14" t="str">
        <f ca="1">IFERROR(__xludf.DUMMYFUNCTION("CONCATENATE(B797,(VLOOKUP(C797,CATALOGOS!$F$2:$H$6,3,FALSE)),(VLOOKUP(V797,CATALOGOS!$J$2:$K$18,2,FALSE)),""-"",TO_TEXT(A797))"),"P24CA-0796")</f>
        <v>P24CA-0796</v>
      </c>
      <c r="H797" s="15" t="str">
        <f ca="1">IFERROR(__xludf.DUMMYFUNCTION("CONCATENATE($B797,(VLOOKUP($C797,CATALOGOS!$F$2:$H$6,3,FALSE)),(VLOOKUP($V797,CATALOGOS!$J$2:$K$18,2,FALSE)),""-"",TO_TEXT($A797))"),"P24CA-0796")</f>
        <v>P24CA-0796</v>
      </c>
      <c r="I797" s="6"/>
      <c r="J797" s="6" t="s">
        <v>5493</v>
      </c>
      <c r="K797" s="6" t="s">
        <v>5494</v>
      </c>
      <c r="L797" s="6" t="s">
        <v>5495</v>
      </c>
      <c r="M797" s="6" t="s">
        <v>5496</v>
      </c>
      <c r="N797" s="17"/>
      <c r="O797" s="17"/>
      <c r="P797" s="17" t="str">
        <f t="shared" si="8"/>
        <v>OK</v>
      </c>
      <c r="Q797" s="17" t="s">
        <v>35</v>
      </c>
      <c r="R797" s="6" t="s">
        <v>35</v>
      </c>
      <c r="S797" s="17" t="s">
        <v>36</v>
      </c>
      <c r="T797" s="17" t="s">
        <v>5497</v>
      </c>
      <c r="U797" s="18" t="s">
        <v>38</v>
      </c>
      <c r="V797" s="19" t="s">
        <v>4416</v>
      </c>
      <c r="W797" s="22" t="s">
        <v>5310</v>
      </c>
      <c r="X797" s="21" t="s">
        <v>5310</v>
      </c>
      <c r="Y797" s="22"/>
      <c r="Z797" s="7"/>
      <c r="AA797" s="7"/>
      <c r="AB797" s="23"/>
      <c r="AC797" s="26"/>
    </row>
    <row r="798" spans="1:29" ht="15.75" customHeight="1">
      <c r="A798" s="10" t="s">
        <v>5498</v>
      </c>
      <c r="B798" s="10" t="s">
        <v>4410</v>
      </c>
      <c r="C798" s="19" t="s">
        <v>4411</v>
      </c>
      <c r="D798" s="12"/>
      <c r="E798" s="13" t="s">
        <v>378</v>
      </c>
      <c r="F798" s="6" t="s">
        <v>5499</v>
      </c>
      <c r="G798" s="14" t="str">
        <f ca="1">IFERROR(__xludf.DUMMYFUNCTION("CONCATENATE(B798,(VLOOKUP(C798,CATALOGOS!$F$2:$H$6,3,FALSE)),(VLOOKUP(V798,CATALOGOS!$J$2:$K$18,2,FALSE)),""-"",TO_TEXT(A798))"),"P24CA-0797")</f>
        <v>P24CA-0797</v>
      </c>
      <c r="H798" s="15" t="str">
        <f ca="1">IFERROR(__xludf.DUMMYFUNCTION("CONCATENATE($B798,(VLOOKUP($C798,CATALOGOS!$F$2:$H$6,3,FALSE)),(VLOOKUP($V798,CATALOGOS!$J$2:$K$18,2,FALSE)),""-"",TO_TEXT($A798))"),"P24CA-0797")</f>
        <v>P24CA-0797</v>
      </c>
      <c r="I798" s="6"/>
      <c r="J798" s="6" t="s">
        <v>5500</v>
      </c>
      <c r="K798" s="6" t="s">
        <v>5501</v>
      </c>
      <c r="L798" s="6" t="s">
        <v>5502</v>
      </c>
      <c r="M798" s="6" t="s">
        <v>5503</v>
      </c>
      <c r="N798" s="17"/>
      <c r="O798" s="17"/>
      <c r="P798" s="17" t="str">
        <f t="shared" si="8"/>
        <v>OK</v>
      </c>
      <c r="Q798" s="17" t="s">
        <v>35</v>
      </c>
      <c r="R798" s="6" t="s">
        <v>35</v>
      </c>
      <c r="S798" s="17" t="s">
        <v>36</v>
      </c>
      <c r="T798" s="17" t="s">
        <v>5504</v>
      </c>
      <c r="U798" s="18" t="s">
        <v>38</v>
      </c>
      <c r="V798" s="19" t="s">
        <v>4416</v>
      </c>
      <c r="W798" s="22" t="s">
        <v>5310</v>
      </c>
      <c r="X798" s="21" t="s">
        <v>5310</v>
      </c>
      <c r="Y798" s="22"/>
      <c r="Z798" s="7"/>
      <c r="AA798" s="7"/>
      <c r="AB798" s="23"/>
      <c r="AC798" s="26"/>
    </row>
    <row r="799" spans="1:29" ht="15.75" customHeight="1">
      <c r="A799" s="10" t="s">
        <v>5505</v>
      </c>
      <c r="B799" s="10" t="s">
        <v>4410</v>
      </c>
      <c r="C799" s="19" t="s">
        <v>4411</v>
      </c>
      <c r="D799" s="12"/>
      <c r="E799" s="13" t="s">
        <v>116</v>
      </c>
      <c r="F799" s="43" t="s">
        <v>5506</v>
      </c>
      <c r="G799" s="14" t="str">
        <f ca="1">IFERROR(__xludf.DUMMYFUNCTION("CONCATENATE(B799,(VLOOKUP(C799,CATALOGOS!$F$2:$H$6,3,FALSE)),(VLOOKUP(V799,CATALOGOS!$J$2:$K$18,2,FALSE)),""-"",TO_TEXT(A799))"),"P24CA-0798")</f>
        <v>P24CA-0798</v>
      </c>
      <c r="H799" s="15" t="str">
        <f ca="1">IFERROR(__xludf.DUMMYFUNCTION("CONCATENATE($B799,(VLOOKUP($C799,CATALOGOS!$F$2:$H$6,3,FALSE)),(VLOOKUP($V799,CATALOGOS!$J$2:$K$18,2,FALSE)),""-"",TO_TEXT($A799))"),"P24CA-0798")</f>
        <v>P24CA-0798</v>
      </c>
      <c r="I799" s="6"/>
      <c r="J799" s="6" t="s">
        <v>5507</v>
      </c>
      <c r="K799" s="6" t="s">
        <v>5508</v>
      </c>
      <c r="L799" s="6" t="s">
        <v>5509</v>
      </c>
      <c r="M799" s="6" t="s">
        <v>5510</v>
      </c>
      <c r="N799" s="17"/>
      <c r="O799" s="17"/>
      <c r="P799" s="17" t="str">
        <f t="shared" si="8"/>
        <v>OK</v>
      </c>
      <c r="Q799" s="17" t="s">
        <v>35</v>
      </c>
      <c r="R799" s="6" t="s">
        <v>35</v>
      </c>
      <c r="S799" s="17" t="s">
        <v>36</v>
      </c>
      <c r="T799" s="17" t="s">
        <v>5511</v>
      </c>
      <c r="U799" s="18" t="s">
        <v>38</v>
      </c>
      <c r="V799" s="19" t="s">
        <v>4416</v>
      </c>
      <c r="W799" s="22" t="s">
        <v>5310</v>
      </c>
      <c r="X799" s="21" t="s">
        <v>5310</v>
      </c>
      <c r="Y799" s="22"/>
      <c r="Z799" s="7"/>
      <c r="AA799" s="7"/>
      <c r="AB799" s="23"/>
      <c r="AC799" s="26"/>
    </row>
    <row r="800" spans="1:29" ht="15.75" customHeight="1">
      <c r="A800" s="10" t="s">
        <v>5512</v>
      </c>
      <c r="B800" s="10" t="s">
        <v>4410</v>
      </c>
      <c r="C800" s="19" t="s">
        <v>4411</v>
      </c>
      <c r="D800" s="12"/>
      <c r="E800" s="13" t="s">
        <v>29</v>
      </c>
      <c r="F800" s="43" t="s">
        <v>29</v>
      </c>
      <c r="G800" s="14" t="str">
        <f ca="1">IFERROR(__xludf.DUMMYFUNCTION("CONCATENATE(B800,(VLOOKUP(C800,CATALOGOS!$F$2:$H$6,3,FALSE)),(VLOOKUP(V800,CATALOGOS!$J$2:$K$18,2,FALSE)),""-"",TO_TEXT(A800))"),"P24CA-0799")</f>
        <v>P24CA-0799</v>
      </c>
      <c r="H800" s="15" t="str">
        <f ca="1">IFERROR(__xludf.DUMMYFUNCTION("CONCATENATE($B800,(VLOOKUP($C800,CATALOGOS!$F$2:$H$6,3,FALSE)),(VLOOKUP($V800,CATALOGOS!$J$2:$K$18,2,FALSE)),""-"",TO_TEXT($A800))"),"P24CA-0799")</f>
        <v>P24CA-0799</v>
      </c>
      <c r="I800" s="6"/>
      <c r="J800" s="6" t="s">
        <v>5513</v>
      </c>
      <c r="K800" s="6" t="s">
        <v>5514</v>
      </c>
      <c r="L800" s="6" t="s">
        <v>5515</v>
      </c>
      <c r="M800" s="6" t="s">
        <v>5516</v>
      </c>
      <c r="N800" s="17"/>
      <c r="O800" s="17"/>
      <c r="P800" s="17" t="str">
        <f t="shared" si="8"/>
        <v>OK</v>
      </c>
      <c r="Q800" s="17" t="s">
        <v>35</v>
      </c>
      <c r="R800" s="6" t="s">
        <v>35</v>
      </c>
      <c r="S800" s="17" t="s">
        <v>5517</v>
      </c>
      <c r="T800" s="17" t="s">
        <v>5518</v>
      </c>
      <c r="U800" s="18" t="s">
        <v>38</v>
      </c>
      <c r="V800" s="19" t="s">
        <v>4416</v>
      </c>
      <c r="W800" s="22" t="s">
        <v>5310</v>
      </c>
      <c r="X800" s="21" t="s">
        <v>5310</v>
      </c>
      <c r="Y800" s="22"/>
      <c r="Z800" s="7"/>
      <c r="AA800" s="7"/>
      <c r="AB800" s="23"/>
      <c r="AC800" s="26"/>
    </row>
    <row r="801" spans="1:30" ht="15.75" customHeight="1">
      <c r="A801" s="10" t="s">
        <v>5519</v>
      </c>
      <c r="B801" s="10" t="s">
        <v>4410</v>
      </c>
      <c r="C801" s="19" t="s">
        <v>4411</v>
      </c>
      <c r="D801" s="12"/>
      <c r="E801" s="13" t="s">
        <v>116</v>
      </c>
      <c r="F801" s="43" t="s">
        <v>5520</v>
      </c>
      <c r="G801" s="14" t="str">
        <f ca="1">IFERROR(__xludf.DUMMYFUNCTION("CONCATENATE(B801,(VLOOKUP(C801,CATALOGOS!$F$2:$H$6,3,FALSE)),(VLOOKUP(V801,CATALOGOS!$J$2:$K$18,2,FALSE)),""-"",TO_TEXT(A801))"),"P24CA-0800")</f>
        <v>P24CA-0800</v>
      </c>
      <c r="H801" s="15" t="str">
        <f ca="1">IFERROR(__xludf.DUMMYFUNCTION("CONCATENATE($B801,(VLOOKUP($C801,CATALOGOS!$F$2:$H$6,3,FALSE)),(VLOOKUP($V801,CATALOGOS!$J$2:$K$18,2,FALSE)),""-"",TO_TEXT($A801))"),"P24CA-0800")</f>
        <v>P24CA-0800</v>
      </c>
      <c r="I801" s="6"/>
      <c r="J801" s="6" t="s">
        <v>5521</v>
      </c>
      <c r="K801" s="6" t="s">
        <v>5522</v>
      </c>
      <c r="L801" s="6" t="s">
        <v>5523</v>
      </c>
      <c r="M801" s="6" t="s">
        <v>5524</v>
      </c>
      <c r="N801" s="17"/>
      <c r="O801" s="17"/>
      <c r="P801" s="17" t="str">
        <f t="shared" si="8"/>
        <v>OK</v>
      </c>
      <c r="Q801" s="17" t="s">
        <v>35</v>
      </c>
      <c r="R801" s="6" t="s">
        <v>35</v>
      </c>
      <c r="S801" s="17" t="s">
        <v>36</v>
      </c>
      <c r="T801" s="17" t="s">
        <v>5525</v>
      </c>
      <c r="U801" s="18" t="s">
        <v>38</v>
      </c>
      <c r="V801" s="19" t="s">
        <v>4416</v>
      </c>
      <c r="W801" s="22" t="s">
        <v>5310</v>
      </c>
      <c r="X801" s="21" t="s">
        <v>5310</v>
      </c>
      <c r="Y801" s="22"/>
      <c r="Z801" s="7"/>
      <c r="AA801" s="7"/>
      <c r="AB801" s="23"/>
      <c r="AC801" s="26"/>
    </row>
    <row r="802" spans="1:30" ht="15.75" customHeight="1">
      <c r="A802" s="10" t="s">
        <v>5526</v>
      </c>
      <c r="B802" s="10" t="s">
        <v>4410</v>
      </c>
      <c r="C802" s="19" t="s">
        <v>4411</v>
      </c>
      <c r="D802" s="12"/>
      <c r="E802" s="13" t="s">
        <v>116</v>
      </c>
      <c r="F802" s="43" t="s">
        <v>5527</v>
      </c>
      <c r="G802" s="14" t="str">
        <f ca="1">IFERROR(__xludf.DUMMYFUNCTION("CONCATENATE(B802,(VLOOKUP(C802,CATALOGOS!$F$2:$H$6,3,FALSE)),(VLOOKUP(V802,CATALOGOS!$J$2:$K$18,2,FALSE)),""-"",TO_TEXT(A802))"),"P24CA-0801")</f>
        <v>P24CA-0801</v>
      </c>
      <c r="H802" s="15" t="str">
        <f ca="1">IFERROR(__xludf.DUMMYFUNCTION("CONCATENATE($B802,(VLOOKUP($C802,CATALOGOS!$F$2:$H$6,3,FALSE)),(VLOOKUP($V802,CATALOGOS!$J$2:$K$18,2,FALSE)),""-"",TO_TEXT($A802))"),"P24CA-0801")</f>
        <v>P24CA-0801</v>
      </c>
      <c r="I802" s="6"/>
      <c r="J802" s="6" t="s">
        <v>5528</v>
      </c>
      <c r="K802" s="6" t="s">
        <v>5529</v>
      </c>
      <c r="L802" s="6" t="s">
        <v>5530</v>
      </c>
      <c r="M802" s="6" t="s">
        <v>5531</v>
      </c>
      <c r="N802" s="17"/>
      <c r="O802" s="17"/>
      <c r="P802" s="17" t="str">
        <f t="shared" si="8"/>
        <v>OK</v>
      </c>
      <c r="Q802" s="17" t="s">
        <v>35</v>
      </c>
      <c r="R802" s="6" t="s">
        <v>35</v>
      </c>
      <c r="S802" s="17" t="s">
        <v>36</v>
      </c>
      <c r="T802" s="17" t="s">
        <v>5532</v>
      </c>
      <c r="U802" s="18" t="s">
        <v>38</v>
      </c>
      <c r="V802" s="19" t="s">
        <v>4416</v>
      </c>
      <c r="W802" s="22" t="s">
        <v>5310</v>
      </c>
      <c r="X802" s="21" t="s">
        <v>5310</v>
      </c>
      <c r="Y802" s="22"/>
      <c r="Z802" s="7"/>
      <c r="AA802" s="7"/>
      <c r="AB802" s="23"/>
      <c r="AC802" s="26"/>
    </row>
    <row r="803" spans="1:30" ht="15.75" customHeight="1">
      <c r="A803" s="10" t="s">
        <v>5533</v>
      </c>
      <c r="B803" s="10" t="s">
        <v>4410</v>
      </c>
      <c r="C803" s="19" t="s">
        <v>4411</v>
      </c>
      <c r="D803" s="12"/>
      <c r="E803" s="13" t="s">
        <v>43</v>
      </c>
      <c r="F803" s="43" t="s">
        <v>5232</v>
      </c>
      <c r="G803" s="14" t="str">
        <f ca="1">IFERROR(__xludf.DUMMYFUNCTION("CONCATENATE(B803,(VLOOKUP(C803,CATALOGOS!$F$2:$H$6,3,FALSE)),(VLOOKUP(V803,CATALOGOS!$J$2:$K$18,2,FALSE)),""-"",TO_TEXT(A803))"),"P24CA-0802")</f>
        <v>P24CA-0802</v>
      </c>
      <c r="H803" s="15" t="str">
        <f ca="1">IFERROR(__xludf.DUMMYFUNCTION("CONCATENATE($B803,(VLOOKUP($C803,CATALOGOS!$F$2:$H$6,3,FALSE)),(VLOOKUP($V803,CATALOGOS!$J$2:$K$18,2,FALSE)),""-"",TO_TEXT($A803))"),"P24CA-0802")</f>
        <v>P24CA-0802</v>
      </c>
      <c r="I803" s="6"/>
      <c r="J803" s="6" t="s">
        <v>5534</v>
      </c>
      <c r="K803" s="6" t="s">
        <v>5535</v>
      </c>
      <c r="L803" s="6" t="s">
        <v>5536</v>
      </c>
      <c r="M803" s="43" t="s">
        <v>5537</v>
      </c>
      <c r="N803" s="17"/>
      <c r="O803" s="17"/>
      <c r="P803" s="17" t="str">
        <f t="shared" si="8"/>
        <v>OK</v>
      </c>
      <c r="Q803" s="17" t="s">
        <v>5538</v>
      </c>
      <c r="R803" s="6" t="s">
        <v>5539</v>
      </c>
      <c r="S803" s="6" t="s">
        <v>36</v>
      </c>
      <c r="T803" s="10" t="s">
        <v>5540</v>
      </c>
      <c r="U803" s="18" t="s">
        <v>38</v>
      </c>
      <c r="V803" s="19" t="s">
        <v>4416</v>
      </c>
      <c r="W803" s="22" t="s">
        <v>5310</v>
      </c>
      <c r="X803" s="21" t="s">
        <v>5310</v>
      </c>
      <c r="Y803" s="22"/>
      <c r="Z803" s="7"/>
      <c r="AA803" s="7"/>
      <c r="AB803" s="23"/>
      <c r="AC803" s="26"/>
    </row>
    <row r="804" spans="1:30" ht="15.75" customHeight="1">
      <c r="A804" s="10" t="s">
        <v>5541</v>
      </c>
      <c r="B804" s="10" t="s">
        <v>4410</v>
      </c>
      <c r="C804" s="19" t="s">
        <v>4411</v>
      </c>
      <c r="D804" s="12"/>
      <c r="E804" s="13" t="s">
        <v>162</v>
      </c>
      <c r="F804" s="43" t="s">
        <v>285</v>
      </c>
      <c r="G804" s="14" t="str">
        <f ca="1">IFERROR(__xludf.DUMMYFUNCTION("CONCATENATE(B804,(VLOOKUP(C804,CATALOGOS!$F$2:$H$6,3,FALSE)),(VLOOKUP(V804,CATALOGOS!$J$2:$K$18,2,FALSE)),""-"",TO_TEXT(A804))"),"P24CA-0803")</f>
        <v>P24CA-0803</v>
      </c>
      <c r="H804" s="15" t="str">
        <f ca="1">IFERROR(__xludf.DUMMYFUNCTION("CONCATENATE($B804,(VLOOKUP($C804,CATALOGOS!$F$2:$H$6,3,FALSE)),(VLOOKUP($V804,CATALOGOS!$J$2:$K$18,2,FALSE)),""-"",TO_TEXT($A804))"),"P24CA-0803")</f>
        <v>P24CA-0803</v>
      </c>
      <c r="I804" s="6"/>
      <c r="J804" s="6" t="s">
        <v>5542</v>
      </c>
      <c r="K804" s="6" t="s">
        <v>5543</v>
      </c>
      <c r="L804" s="6" t="s">
        <v>5544</v>
      </c>
      <c r="M804" s="6" t="s">
        <v>5545</v>
      </c>
      <c r="N804" s="17"/>
      <c r="O804" s="17"/>
      <c r="P804" s="17" t="str">
        <f t="shared" si="8"/>
        <v>OK</v>
      </c>
      <c r="Q804" s="17" t="s">
        <v>168</v>
      </c>
      <c r="R804" s="6" t="s">
        <v>169</v>
      </c>
      <c r="S804" s="17" t="s">
        <v>5546</v>
      </c>
      <c r="T804" s="17" t="s">
        <v>5547</v>
      </c>
      <c r="U804" s="18" t="s">
        <v>38</v>
      </c>
      <c r="V804" s="19" t="s">
        <v>4416</v>
      </c>
      <c r="W804" s="22" t="s">
        <v>5310</v>
      </c>
      <c r="X804" s="21" t="s">
        <v>5310</v>
      </c>
      <c r="Y804" s="22"/>
      <c r="Z804" s="7"/>
      <c r="AA804" s="7"/>
      <c r="AB804" s="23"/>
      <c r="AC804" s="26"/>
    </row>
    <row r="805" spans="1:30" ht="15.75" customHeight="1">
      <c r="A805" s="10" t="s">
        <v>5548</v>
      </c>
      <c r="B805" s="10" t="s">
        <v>4410</v>
      </c>
      <c r="C805" s="19" t="s">
        <v>4411</v>
      </c>
      <c r="D805" s="12"/>
      <c r="E805" s="13" t="s">
        <v>248</v>
      </c>
      <c r="F805" s="43" t="s">
        <v>249</v>
      </c>
      <c r="G805" s="14" t="str">
        <f ca="1">IFERROR(__xludf.DUMMYFUNCTION("CONCATENATE(B805,(VLOOKUP(C805,CATALOGOS!$F$2:$H$6,3,FALSE)),(VLOOKUP(V805,CATALOGOS!$J$2:$K$18,2,FALSE)),""-"",TO_TEXT(A805))"),"P24CA-0804")</f>
        <v>P24CA-0804</v>
      </c>
      <c r="H805" s="15" t="str">
        <f ca="1">IFERROR(__xludf.DUMMYFUNCTION("CONCATENATE($B805,(VLOOKUP($C805,CATALOGOS!$F$2:$H$6,3,FALSE)),(VLOOKUP($V805,CATALOGOS!$J$2:$K$18,2,FALSE)),""-"",TO_TEXT($A805))"),"P24CA-0804")</f>
        <v>P24CA-0804</v>
      </c>
      <c r="I805" s="6"/>
      <c r="J805" s="6" t="s">
        <v>5549</v>
      </c>
      <c r="K805" s="6" t="s">
        <v>5550</v>
      </c>
      <c r="L805" s="6" t="s">
        <v>5551</v>
      </c>
      <c r="M805" s="6" t="s">
        <v>5552</v>
      </c>
      <c r="N805" s="17"/>
      <c r="O805" s="17"/>
      <c r="P805" s="17" t="str">
        <f t="shared" si="8"/>
        <v>OK</v>
      </c>
      <c r="Q805" s="17" t="s">
        <v>978</v>
      </c>
      <c r="R805" s="6" t="s">
        <v>979</v>
      </c>
      <c r="S805" s="17" t="s">
        <v>5553</v>
      </c>
      <c r="T805" s="17" t="s">
        <v>5554</v>
      </c>
      <c r="U805" s="18" t="s">
        <v>38</v>
      </c>
      <c r="V805" s="19" t="s">
        <v>4416</v>
      </c>
      <c r="W805" s="22" t="s">
        <v>5310</v>
      </c>
      <c r="X805" s="21" t="s">
        <v>5310</v>
      </c>
      <c r="Y805" s="22"/>
      <c r="Z805" s="7"/>
      <c r="AA805" s="7"/>
      <c r="AB805" s="23"/>
      <c r="AC805" s="26"/>
    </row>
    <row r="806" spans="1:30" ht="15.75" customHeight="1">
      <c r="A806" s="10" t="s">
        <v>5555</v>
      </c>
      <c r="B806" s="10" t="s">
        <v>4410</v>
      </c>
      <c r="C806" s="19" t="s">
        <v>4411</v>
      </c>
      <c r="D806" s="12"/>
      <c r="E806" s="13" t="s">
        <v>199</v>
      </c>
      <c r="F806" s="6" t="s">
        <v>199</v>
      </c>
      <c r="G806" s="14" t="str">
        <f ca="1">IFERROR(__xludf.DUMMYFUNCTION("CONCATENATE(B806,(VLOOKUP(C806,CATALOGOS!$F$2:$H$6,3,FALSE)),(VLOOKUP(V806,CATALOGOS!$J$2:$K$18,2,FALSE)),""-"",TO_TEXT(A806))"),"P24CA-0805")</f>
        <v>P24CA-0805</v>
      </c>
      <c r="H806" s="15" t="str">
        <f ca="1">IFERROR(__xludf.DUMMYFUNCTION("CONCATENATE($B806,(VLOOKUP($C806,CATALOGOS!$F$2:$H$6,3,FALSE)),(VLOOKUP($V806,CATALOGOS!$J$2:$K$18,2,FALSE)),""-"",TO_TEXT($A806))"),"P24CA-0805")</f>
        <v>P24CA-0805</v>
      </c>
      <c r="I806" s="6"/>
      <c r="J806" s="6" t="s">
        <v>5556</v>
      </c>
      <c r="K806" s="6" t="s">
        <v>5557</v>
      </c>
      <c r="L806" s="36"/>
      <c r="M806" s="6" t="s">
        <v>5558</v>
      </c>
      <c r="N806" s="17"/>
      <c r="O806" s="17"/>
      <c r="P806" s="17" t="str">
        <f t="shared" si="8"/>
        <v>OK</v>
      </c>
      <c r="Q806" s="17" t="s">
        <v>273</v>
      </c>
      <c r="R806" s="6" t="s">
        <v>274</v>
      </c>
      <c r="S806" s="6">
        <v>11392903014323</v>
      </c>
      <c r="T806" s="10" t="s">
        <v>5559</v>
      </c>
      <c r="U806" s="18" t="s">
        <v>38</v>
      </c>
      <c r="V806" s="19" t="s">
        <v>4416</v>
      </c>
      <c r="W806" s="22" t="s">
        <v>5310</v>
      </c>
      <c r="X806" s="21" t="s">
        <v>5310</v>
      </c>
      <c r="Y806" s="22"/>
      <c r="Z806" s="6"/>
      <c r="AA806" s="6"/>
      <c r="AB806" s="41" t="s">
        <v>92</v>
      </c>
      <c r="AC806" s="42">
        <v>44348</v>
      </c>
      <c r="AD806" s="8" t="s">
        <v>276</v>
      </c>
    </row>
    <row r="807" spans="1:30" ht="15.75" customHeight="1">
      <c r="A807" s="10" t="s">
        <v>5560</v>
      </c>
      <c r="B807" s="10" t="s">
        <v>4410</v>
      </c>
      <c r="C807" s="19" t="s">
        <v>4411</v>
      </c>
      <c r="D807" s="12"/>
      <c r="E807" s="13" t="s">
        <v>151</v>
      </c>
      <c r="F807" s="6" t="s">
        <v>4113</v>
      </c>
      <c r="G807" s="14" t="str">
        <f ca="1">IFERROR(__xludf.DUMMYFUNCTION("CONCATENATE(B807,(VLOOKUP(C807,CATALOGOS!$F$2:$H$6,3,FALSE)),(VLOOKUP(V807,CATALOGOS!$J$2:$K$18,2,FALSE)),""-"",TO_TEXT(A807))"),"P24CA-0806")</f>
        <v>P24CA-0806</v>
      </c>
      <c r="H807" s="15" t="str">
        <f ca="1">IFERROR(__xludf.DUMMYFUNCTION("CONCATENATE($B807,(VLOOKUP($C807,CATALOGOS!$F$2:$H$6,3,FALSE)),(VLOOKUP($V807,CATALOGOS!$J$2:$K$18,2,FALSE)),""-"",TO_TEXT($A807))"),"P24CA-0806")</f>
        <v>P24CA-0806</v>
      </c>
      <c r="I807" s="6"/>
      <c r="J807" s="6" t="s">
        <v>5561</v>
      </c>
      <c r="K807" s="6" t="s">
        <v>5562</v>
      </c>
      <c r="L807" s="36"/>
      <c r="M807" s="6" t="s">
        <v>5563</v>
      </c>
      <c r="N807" s="17"/>
      <c r="O807" s="17"/>
      <c r="P807" s="17" t="str">
        <f t="shared" si="8"/>
        <v>OK</v>
      </c>
      <c r="Q807" s="17" t="s">
        <v>297</v>
      </c>
      <c r="R807" s="6" t="s">
        <v>298</v>
      </c>
      <c r="S807" s="6" t="s">
        <v>5564</v>
      </c>
      <c r="T807" s="17" t="s">
        <v>5565</v>
      </c>
      <c r="U807" s="18" t="s">
        <v>38</v>
      </c>
      <c r="V807" s="19" t="s">
        <v>4416</v>
      </c>
      <c r="W807" s="22" t="s">
        <v>5310</v>
      </c>
      <c r="X807" s="21" t="s">
        <v>5310</v>
      </c>
      <c r="Y807" s="22"/>
      <c r="Z807" s="6"/>
      <c r="AA807" s="6"/>
      <c r="AB807" s="41" t="s">
        <v>92</v>
      </c>
      <c r="AC807" s="42">
        <v>44348</v>
      </c>
      <c r="AD807" s="8">
        <v>0</v>
      </c>
    </row>
    <row r="808" spans="1:30" ht="15.75" customHeight="1">
      <c r="A808" s="10" t="s">
        <v>5566</v>
      </c>
      <c r="B808" s="10" t="s">
        <v>4410</v>
      </c>
      <c r="C808" s="19" t="s">
        <v>4411</v>
      </c>
      <c r="D808" s="12"/>
      <c r="E808" s="13" t="s">
        <v>184</v>
      </c>
      <c r="F808" s="43" t="s">
        <v>5318</v>
      </c>
      <c r="G808" s="14" t="str">
        <f ca="1">IFERROR(__xludf.DUMMYFUNCTION("CONCATENATE(B808,(VLOOKUP(C808,CATALOGOS!$F$2:$H$6,3,FALSE)),(VLOOKUP(V808,CATALOGOS!$J$2:$K$18,2,FALSE)),""-"",TO_TEXT(A808))"),"P24CA-0807")</f>
        <v>P24CA-0807</v>
      </c>
      <c r="H808" s="15" t="str">
        <f ca="1">IFERROR(__xludf.DUMMYFUNCTION("CONCATENATE($B808,(VLOOKUP($C808,CATALOGOS!$F$2:$H$6,3,FALSE)),(VLOOKUP($V808,CATALOGOS!$J$2:$K$18,2,FALSE)),""-"",TO_TEXT($A808))"),"P24CA-0807")</f>
        <v>P24CA-0807</v>
      </c>
      <c r="I808" s="6"/>
      <c r="J808" s="6" t="s">
        <v>5567</v>
      </c>
      <c r="K808" s="6" t="s">
        <v>5568</v>
      </c>
      <c r="L808" s="6" t="s">
        <v>5569</v>
      </c>
      <c r="M808" s="6" t="s">
        <v>5570</v>
      </c>
      <c r="N808" s="17"/>
      <c r="O808" s="17"/>
      <c r="P808" s="17" t="str">
        <f t="shared" si="8"/>
        <v>OK</v>
      </c>
      <c r="Q808" s="17" t="s">
        <v>35</v>
      </c>
      <c r="R808" s="6" t="s">
        <v>35</v>
      </c>
      <c r="S808" s="17" t="s">
        <v>36</v>
      </c>
      <c r="T808" s="35" t="s">
        <v>85</v>
      </c>
      <c r="U808" s="18" t="s">
        <v>38</v>
      </c>
      <c r="V808" s="19" t="s">
        <v>4416</v>
      </c>
      <c r="W808" s="22" t="s">
        <v>5310</v>
      </c>
      <c r="X808" s="21" t="s">
        <v>5310</v>
      </c>
      <c r="Y808" s="22"/>
      <c r="Z808" s="7"/>
      <c r="AA808" s="7"/>
      <c r="AB808" s="23"/>
      <c r="AC808" s="26"/>
    </row>
    <row r="809" spans="1:30" ht="15.75" customHeight="1">
      <c r="A809" s="10" t="s">
        <v>5571</v>
      </c>
      <c r="B809" s="10" t="s">
        <v>4410</v>
      </c>
      <c r="C809" s="19" t="s">
        <v>4411</v>
      </c>
      <c r="D809" s="38"/>
      <c r="E809" s="13" t="s">
        <v>1275</v>
      </c>
      <c r="F809" s="43" t="s">
        <v>1275</v>
      </c>
      <c r="G809" s="14" t="str">
        <f ca="1">IFERROR(__xludf.DUMMYFUNCTION("CONCATENATE(B809,(VLOOKUP(C809,CATALOGOS!$F$2:$H$6,3,FALSE)),(VLOOKUP(V809,CATALOGOS!$J$2:$K$18,2,FALSE)),""-"",TO_TEXT(A809))"),"P24CA-0808")</f>
        <v>P24CA-0808</v>
      </c>
      <c r="H809" s="15" t="str">
        <f ca="1">IFERROR(__xludf.DUMMYFUNCTION("CONCATENATE($B809,(VLOOKUP($C809,CATALOGOS!$F$2:$H$6,3,FALSE)),(VLOOKUP($V809,CATALOGOS!$J$2:$K$18,2,FALSE)),""-"",TO_TEXT($A809))"),"P24CA-0808")</f>
        <v>P24CA-0808</v>
      </c>
      <c r="I809" s="6"/>
      <c r="J809" s="6" t="s">
        <v>5572</v>
      </c>
      <c r="K809" s="6" t="s">
        <v>5573</v>
      </c>
      <c r="L809" s="6" t="s">
        <v>5574</v>
      </c>
      <c r="M809" s="43" t="s">
        <v>141</v>
      </c>
      <c r="N809" s="17"/>
      <c r="O809" s="17"/>
      <c r="P809" s="17" t="str">
        <f t="shared" si="8"/>
        <v>REPETIDO</v>
      </c>
      <c r="Q809" s="17" t="s">
        <v>205</v>
      </c>
      <c r="R809" s="49" t="s">
        <v>5575</v>
      </c>
      <c r="S809" s="46" t="s">
        <v>5576</v>
      </c>
      <c r="T809" s="32" t="s">
        <v>5577</v>
      </c>
      <c r="U809" s="18" t="s">
        <v>38</v>
      </c>
      <c r="V809" s="79" t="s">
        <v>4416</v>
      </c>
      <c r="W809" s="22" t="s">
        <v>5310</v>
      </c>
      <c r="X809" s="21" t="s">
        <v>5310</v>
      </c>
      <c r="Y809" s="22"/>
      <c r="Z809" s="7"/>
      <c r="AA809" s="7"/>
      <c r="AB809" s="26"/>
      <c r="AC809" s="26"/>
    </row>
    <row r="810" spans="1:30" ht="31.5" customHeight="1">
      <c r="A810" s="10" t="s">
        <v>5578</v>
      </c>
      <c r="B810" s="10" t="s">
        <v>4410</v>
      </c>
      <c r="C810" s="19" t="s">
        <v>4411</v>
      </c>
      <c r="D810" s="12"/>
      <c r="E810" s="13" t="s">
        <v>62</v>
      </c>
      <c r="F810" s="6" t="s">
        <v>4982</v>
      </c>
      <c r="G810" s="14" t="str">
        <f ca="1">IFERROR(__xludf.DUMMYFUNCTION("CONCATENATE(B810,(VLOOKUP(C810,CATALOGOS!$F$2:$H$6,3,FALSE)),(VLOOKUP(V810,CATALOGOS!$J$2:$K$18,2,FALSE)),""-"",TO_TEXT(A810))"),"P24CA-0809")</f>
        <v>P24CA-0809</v>
      </c>
      <c r="H810" s="15" t="str">
        <f ca="1">IFERROR(__xludf.DUMMYFUNCTION("CONCATENATE($B810,(VLOOKUP($C810,CATALOGOS!$F$2:$H$6,3,FALSE)),(VLOOKUP($V810,CATALOGOS!$J$2:$K$18,2,FALSE)),""-"",TO_TEXT($A810))"),"P24CA-0809")</f>
        <v>P24CA-0809</v>
      </c>
      <c r="I810" s="6"/>
      <c r="J810" s="6" t="s">
        <v>5579</v>
      </c>
      <c r="K810" s="6" t="s">
        <v>5580</v>
      </c>
      <c r="L810" s="6" t="s">
        <v>5581</v>
      </c>
      <c r="M810" s="6" t="s">
        <v>5582</v>
      </c>
      <c r="N810" s="17"/>
      <c r="O810" s="17"/>
      <c r="P810" s="17" t="str">
        <f t="shared" si="8"/>
        <v>OK</v>
      </c>
      <c r="Q810" s="17" t="s">
        <v>35</v>
      </c>
      <c r="R810" s="6" t="s">
        <v>35</v>
      </c>
      <c r="S810" s="17" t="s">
        <v>36</v>
      </c>
      <c r="T810" s="17" t="s">
        <v>5583</v>
      </c>
      <c r="U810" s="18" t="s">
        <v>38</v>
      </c>
      <c r="V810" s="19" t="s">
        <v>4416</v>
      </c>
      <c r="W810" s="20" t="s">
        <v>5584</v>
      </c>
      <c r="X810" s="21" t="s">
        <v>5584</v>
      </c>
      <c r="Y810" s="22"/>
      <c r="Z810" s="7"/>
      <c r="AA810" s="7"/>
      <c r="AB810" s="23"/>
      <c r="AC810" s="26"/>
    </row>
    <row r="811" spans="1:30" ht="27.75" customHeight="1">
      <c r="A811" s="10" t="s">
        <v>5585</v>
      </c>
      <c r="B811" s="10" t="s">
        <v>4410</v>
      </c>
      <c r="C811" s="19" t="s">
        <v>4411</v>
      </c>
      <c r="D811" s="12"/>
      <c r="E811" s="13" t="s">
        <v>29</v>
      </c>
      <c r="F811" s="6" t="s">
        <v>5586</v>
      </c>
      <c r="G811" s="14" t="str">
        <f ca="1">IFERROR(__xludf.DUMMYFUNCTION("CONCATENATE(B811,(VLOOKUP(C811,CATALOGOS!$F$2:$H$6,3,FALSE)),(VLOOKUP(V811,CATALOGOS!$J$2:$K$18,2,FALSE)),""-"",TO_TEXT(A811))"),"P24CA-0810")</f>
        <v>P24CA-0810</v>
      </c>
      <c r="H811" s="15" t="str">
        <f ca="1">IFERROR(__xludf.DUMMYFUNCTION("CONCATENATE($B811,(VLOOKUP($C811,CATALOGOS!$F$2:$H$6,3,FALSE)),(VLOOKUP($V811,CATALOGOS!$J$2:$K$18,2,FALSE)),""-"",TO_TEXT($A811))"),"P24CA-0810")</f>
        <v>P24CA-0810</v>
      </c>
      <c r="I811" s="6"/>
      <c r="J811" s="6" t="s">
        <v>5587</v>
      </c>
      <c r="K811" s="6" t="s">
        <v>5588</v>
      </c>
      <c r="L811" s="6" t="s">
        <v>5589</v>
      </c>
      <c r="M811" s="6" t="s">
        <v>5590</v>
      </c>
      <c r="N811" s="17"/>
      <c r="O811" s="17"/>
      <c r="P811" s="17" t="str">
        <f t="shared" si="8"/>
        <v>OK</v>
      </c>
      <c r="Q811" s="17" t="s">
        <v>35</v>
      </c>
      <c r="R811" s="6" t="s">
        <v>35</v>
      </c>
      <c r="S811" s="17" t="s">
        <v>36</v>
      </c>
      <c r="T811" s="17" t="s">
        <v>5591</v>
      </c>
      <c r="U811" s="18" t="s">
        <v>517</v>
      </c>
      <c r="V811" s="19" t="s">
        <v>4416</v>
      </c>
      <c r="W811" s="20" t="s">
        <v>5584</v>
      </c>
      <c r="X811" s="21" t="s">
        <v>5584</v>
      </c>
      <c r="Y811" s="22"/>
      <c r="Z811" s="7"/>
      <c r="AA811" s="7"/>
      <c r="AB811" s="23"/>
      <c r="AC811" s="26"/>
    </row>
    <row r="812" spans="1:30" ht="15.75" customHeight="1">
      <c r="A812" s="10" t="s">
        <v>5592</v>
      </c>
      <c r="B812" s="10" t="s">
        <v>4410</v>
      </c>
      <c r="C812" s="19" t="s">
        <v>4411</v>
      </c>
      <c r="D812" s="12"/>
      <c r="E812" s="13" t="s">
        <v>387</v>
      </c>
      <c r="F812" s="43" t="s">
        <v>387</v>
      </c>
      <c r="G812" s="14" t="str">
        <f ca="1">IFERROR(__xludf.DUMMYFUNCTION("CONCATENATE(B812,(VLOOKUP(C812,CATALOGOS!$F$2:$H$6,3,FALSE)),(VLOOKUP(V812,CATALOGOS!$J$2:$K$18,2,FALSE)),""-"",TO_TEXT(A812))"),"P24CA-0811")</f>
        <v>P24CA-0811</v>
      </c>
      <c r="H812" s="15" t="str">
        <f ca="1">IFERROR(__xludf.DUMMYFUNCTION("CONCATENATE($B812,(VLOOKUP($C812,CATALOGOS!$F$2:$H$6,3,FALSE)),(VLOOKUP($V812,CATALOGOS!$J$2:$K$18,2,FALSE)),""-"",TO_TEXT($A812))"),"P24CA-0811")</f>
        <v>P24CA-0811</v>
      </c>
      <c r="I812" s="6"/>
      <c r="J812" s="6" t="s">
        <v>5593</v>
      </c>
      <c r="K812" s="6" t="s">
        <v>5594</v>
      </c>
      <c r="L812" s="6" t="s">
        <v>5595</v>
      </c>
      <c r="M812" s="43" t="s">
        <v>5596</v>
      </c>
      <c r="N812" s="17"/>
      <c r="O812" s="17"/>
      <c r="P812" s="17" t="str">
        <f t="shared" si="8"/>
        <v>OK</v>
      </c>
      <c r="Q812" s="17" t="s">
        <v>5597</v>
      </c>
      <c r="R812" s="6" t="s">
        <v>5598</v>
      </c>
      <c r="S812" s="17" t="s">
        <v>36</v>
      </c>
      <c r="T812" s="17" t="s">
        <v>5599</v>
      </c>
      <c r="U812" s="18" t="s">
        <v>38</v>
      </c>
      <c r="V812" s="19" t="s">
        <v>4416</v>
      </c>
      <c r="W812" s="20" t="s">
        <v>5584</v>
      </c>
      <c r="X812" s="21" t="s">
        <v>5584</v>
      </c>
      <c r="Y812" s="22"/>
      <c r="Z812" s="7"/>
      <c r="AA812" s="7"/>
      <c r="AB812" s="23"/>
      <c r="AC812" s="26"/>
    </row>
    <row r="813" spans="1:30" ht="15.75" customHeight="1">
      <c r="A813" s="10" t="s">
        <v>5600</v>
      </c>
      <c r="B813" s="10" t="s">
        <v>4410</v>
      </c>
      <c r="C813" s="19" t="s">
        <v>4411</v>
      </c>
      <c r="D813" s="12"/>
      <c r="E813" s="13" t="s">
        <v>850</v>
      </c>
      <c r="F813" s="43" t="s">
        <v>851</v>
      </c>
      <c r="G813" s="14" t="str">
        <f ca="1">IFERROR(__xludf.DUMMYFUNCTION("CONCATENATE(B813,(VLOOKUP(C813,CATALOGOS!$F$2:$H$6,3,FALSE)),(VLOOKUP(V813,CATALOGOS!$J$2:$K$18,2,FALSE)),""-"",TO_TEXT(A813))"),"P24CA-0812")</f>
        <v>P24CA-0812</v>
      </c>
      <c r="H813" s="15" t="str">
        <f ca="1">IFERROR(__xludf.DUMMYFUNCTION("CONCATENATE($B813,(VLOOKUP($C813,CATALOGOS!$F$2:$H$6,3,FALSE)),(VLOOKUP($V813,CATALOGOS!$J$2:$K$18,2,FALSE)),""-"",TO_TEXT($A813))"),"P24CA-0812")</f>
        <v>P24CA-0812</v>
      </c>
      <c r="I813" s="6"/>
      <c r="J813" s="6" t="s">
        <v>5601</v>
      </c>
      <c r="K813" s="6" t="s">
        <v>5602</v>
      </c>
      <c r="L813" s="6" t="s">
        <v>5603</v>
      </c>
      <c r="M813" s="6" t="s">
        <v>5604</v>
      </c>
      <c r="N813" s="17"/>
      <c r="O813" s="17"/>
      <c r="P813" s="17" t="str">
        <f t="shared" si="8"/>
        <v>OK</v>
      </c>
      <c r="Q813" s="17" t="s">
        <v>856</v>
      </c>
      <c r="R813" s="6" t="s">
        <v>5605</v>
      </c>
      <c r="S813" s="6" t="s">
        <v>36</v>
      </c>
      <c r="T813" s="10" t="s">
        <v>5606</v>
      </c>
      <c r="U813" s="18" t="s">
        <v>38</v>
      </c>
      <c r="V813" s="19" t="s">
        <v>4416</v>
      </c>
      <c r="W813" s="20" t="s">
        <v>5584</v>
      </c>
      <c r="X813" s="21" t="s">
        <v>5584</v>
      </c>
      <c r="Y813" s="22"/>
      <c r="Z813" s="7"/>
      <c r="AA813" s="7"/>
      <c r="AB813" s="23"/>
      <c r="AC813" s="26"/>
    </row>
    <row r="814" spans="1:30" ht="15.75" customHeight="1">
      <c r="A814" s="10" t="s">
        <v>5607</v>
      </c>
      <c r="B814" s="10" t="s">
        <v>4410</v>
      </c>
      <c r="C814" s="19" t="s">
        <v>4411</v>
      </c>
      <c r="D814" s="12"/>
      <c r="E814" s="13" t="s">
        <v>3521</v>
      </c>
      <c r="F814" s="6" t="s">
        <v>5608</v>
      </c>
      <c r="G814" s="14" t="str">
        <f ca="1">IFERROR(__xludf.DUMMYFUNCTION("CONCATENATE(B814,(VLOOKUP(C814,CATALOGOS!$F$2:$H$6,3,FALSE)),(VLOOKUP(V814,CATALOGOS!$J$2:$K$18,2,FALSE)),""-"",TO_TEXT(A814))"),"P24CA-0813")</f>
        <v>P24CA-0813</v>
      </c>
      <c r="H814" s="15" t="str">
        <f ca="1">IFERROR(__xludf.DUMMYFUNCTION("CONCATENATE($B814,(VLOOKUP($C814,CATALOGOS!$F$2:$H$6,3,FALSE)),(VLOOKUP($V814,CATALOGOS!$J$2:$K$18,2,FALSE)),""-"",TO_TEXT($A814))"),"P24CA-0813")</f>
        <v>P24CA-0813</v>
      </c>
      <c r="I814" s="6"/>
      <c r="J814" s="6" t="s">
        <v>5609</v>
      </c>
      <c r="K814" s="6" t="s">
        <v>5610</v>
      </c>
      <c r="L814" s="6" t="s">
        <v>5611</v>
      </c>
      <c r="M814" s="6" t="s">
        <v>5612</v>
      </c>
      <c r="N814" s="17"/>
      <c r="O814" s="17"/>
      <c r="P814" s="17" t="str">
        <f t="shared" si="8"/>
        <v>OK</v>
      </c>
      <c r="Q814" s="17" t="s">
        <v>35</v>
      </c>
      <c r="R814" s="6" t="s">
        <v>35</v>
      </c>
      <c r="S814" s="17" t="s">
        <v>36</v>
      </c>
      <c r="T814" s="17" t="s">
        <v>5613</v>
      </c>
      <c r="U814" s="18" t="s">
        <v>38</v>
      </c>
      <c r="V814" s="19" t="s">
        <v>4416</v>
      </c>
      <c r="W814" s="20" t="s">
        <v>5584</v>
      </c>
      <c r="X814" s="21" t="s">
        <v>5584</v>
      </c>
      <c r="Y814" s="22"/>
      <c r="Z814" s="7"/>
      <c r="AA814" s="7"/>
      <c r="AB814" s="23"/>
      <c r="AC814" s="26"/>
    </row>
    <row r="815" spans="1:30" ht="15.75" customHeight="1">
      <c r="A815" s="10" t="s">
        <v>5614</v>
      </c>
      <c r="B815" s="10" t="s">
        <v>4410</v>
      </c>
      <c r="C815" s="19" t="s">
        <v>4411</v>
      </c>
      <c r="D815" s="12"/>
      <c r="E815" s="13" t="s">
        <v>116</v>
      </c>
      <c r="F815" s="6" t="s">
        <v>5615</v>
      </c>
      <c r="G815" s="14" t="str">
        <f ca="1">IFERROR(__xludf.DUMMYFUNCTION("CONCATENATE(B815,(VLOOKUP(C815,CATALOGOS!$F$2:$H$6,3,FALSE)),(VLOOKUP(V815,CATALOGOS!$J$2:$K$18,2,FALSE)),""-"",TO_TEXT(A815))"),"P24CA-0814")</f>
        <v>P24CA-0814</v>
      </c>
      <c r="H815" s="15" t="str">
        <f ca="1">IFERROR(__xludf.DUMMYFUNCTION("CONCATENATE($B815,(VLOOKUP($C815,CATALOGOS!$F$2:$H$6,3,FALSE)),(VLOOKUP($V815,CATALOGOS!$J$2:$K$18,2,FALSE)),""-"",TO_TEXT($A815))"),"P24CA-0814")</f>
        <v>P24CA-0814</v>
      </c>
      <c r="I815" s="6"/>
      <c r="J815" s="6" t="s">
        <v>5616</v>
      </c>
      <c r="K815" s="6" t="s">
        <v>5617</v>
      </c>
      <c r="L815" s="6" t="s">
        <v>5618</v>
      </c>
      <c r="M815" s="6" t="s">
        <v>5619</v>
      </c>
      <c r="N815" s="17"/>
      <c r="O815" s="17"/>
      <c r="P815" s="17" t="str">
        <f t="shared" si="8"/>
        <v>OK</v>
      </c>
      <c r="Q815" s="17" t="s">
        <v>35</v>
      </c>
      <c r="R815" s="6" t="s">
        <v>35</v>
      </c>
      <c r="S815" s="17" t="s">
        <v>36</v>
      </c>
      <c r="T815" s="17" t="s">
        <v>5620</v>
      </c>
      <c r="U815" s="18" t="s">
        <v>100</v>
      </c>
      <c r="V815" s="19" t="s">
        <v>4416</v>
      </c>
      <c r="W815" s="20" t="s">
        <v>5584</v>
      </c>
      <c r="X815" s="21" t="s">
        <v>5584</v>
      </c>
      <c r="Y815" s="22"/>
      <c r="Z815" s="7"/>
      <c r="AA815" s="7"/>
      <c r="AB815" s="23"/>
      <c r="AC815" s="26"/>
    </row>
    <row r="816" spans="1:30" ht="15.75" customHeight="1">
      <c r="A816" s="10" t="s">
        <v>5621</v>
      </c>
      <c r="B816" s="10" t="s">
        <v>4410</v>
      </c>
      <c r="C816" s="19" t="s">
        <v>4411</v>
      </c>
      <c r="D816" s="12"/>
      <c r="E816" s="13" t="s">
        <v>378</v>
      </c>
      <c r="F816" s="6" t="s">
        <v>1306</v>
      </c>
      <c r="G816" s="14" t="str">
        <f ca="1">IFERROR(__xludf.DUMMYFUNCTION("CONCATENATE(B816,(VLOOKUP(C816,CATALOGOS!$F$2:$H$6,3,FALSE)),(VLOOKUP(V816,CATALOGOS!$J$2:$K$18,2,FALSE)),""-"",TO_TEXT(A816))"),"P24CA-0815")</f>
        <v>P24CA-0815</v>
      </c>
      <c r="H816" s="15" t="str">
        <f ca="1">IFERROR(__xludf.DUMMYFUNCTION("CONCATENATE($B816,(VLOOKUP($C816,CATALOGOS!$F$2:$H$6,3,FALSE)),(VLOOKUP($V816,CATALOGOS!$J$2:$K$18,2,FALSE)),""-"",TO_TEXT($A816))"),"P24CA-0815")</f>
        <v>P24CA-0815</v>
      </c>
      <c r="I816" s="6"/>
      <c r="J816" s="6" t="s">
        <v>5622</v>
      </c>
      <c r="K816" s="6" t="s">
        <v>5623</v>
      </c>
      <c r="L816" s="6" t="s">
        <v>5624</v>
      </c>
      <c r="M816" s="6" t="s">
        <v>5625</v>
      </c>
      <c r="N816" s="17"/>
      <c r="O816" s="17"/>
      <c r="P816" s="17" t="str">
        <f t="shared" si="8"/>
        <v>OK</v>
      </c>
      <c r="Q816" s="17" t="s">
        <v>35</v>
      </c>
      <c r="R816" s="6" t="s">
        <v>35</v>
      </c>
      <c r="S816" s="17" t="s">
        <v>36</v>
      </c>
      <c r="T816" s="17" t="s">
        <v>5626</v>
      </c>
      <c r="U816" s="18" t="s">
        <v>38</v>
      </c>
      <c r="V816" s="19" t="s">
        <v>4416</v>
      </c>
      <c r="W816" s="20" t="s">
        <v>5584</v>
      </c>
      <c r="X816" s="21" t="s">
        <v>5584</v>
      </c>
      <c r="Y816" s="22"/>
      <c r="Z816" s="7"/>
      <c r="AA816" s="7"/>
      <c r="AB816" s="23"/>
      <c r="AC816" s="26"/>
    </row>
    <row r="817" spans="1:30" ht="15.75" customHeight="1">
      <c r="A817" s="10" t="s">
        <v>5627</v>
      </c>
      <c r="B817" s="10" t="s">
        <v>4410</v>
      </c>
      <c r="C817" s="19" t="s">
        <v>4411</v>
      </c>
      <c r="D817" s="12"/>
      <c r="E817" s="13" t="s">
        <v>378</v>
      </c>
      <c r="F817" s="6" t="s">
        <v>1306</v>
      </c>
      <c r="G817" s="14" t="str">
        <f ca="1">IFERROR(__xludf.DUMMYFUNCTION("CONCATENATE(B817,(VLOOKUP(C817,CATALOGOS!$F$2:$H$6,3,FALSE)),(VLOOKUP(V817,CATALOGOS!$J$2:$K$18,2,FALSE)),""-"",TO_TEXT(A817))"),"P24CA-0816")</f>
        <v>P24CA-0816</v>
      </c>
      <c r="H817" s="15" t="str">
        <f ca="1">IFERROR(__xludf.DUMMYFUNCTION("CONCATENATE($B817,(VLOOKUP($C817,CATALOGOS!$F$2:$H$6,3,FALSE)),(VLOOKUP($V817,CATALOGOS!$J$2:$K$18,2,FALSE)),""-"",TO_TEXT($A817))"),"P24CA-0816")</f>
        <v>P24CA-0816</v>
      </c>
      <c r="I817" s="6"/>
      <c r="J817" s="6" t="s">
        <v>5628</v>
      </c>
      <c r="K817" s="6" t="s">
        <v>5629</v>
      </c>
      <c r="L817" s="6" t="s">
        <v>5630</v>
      </c>
      <c r="M817" s="6" t="s">
        <v>5631</v>
      </c>
      <c r="N817" s="17"/>
      <c r="O817" s="17"/>
      <c r="P817" s="17" t="str">
        <f t="shared" si="8"/>
        <v>OK</v>
      </c>
      <c r="Q817" s="17" t="s">
        <v>35</v>
      </c>
      <c r="R817" s="6" t="s">
        <v>35</v>
      </c>
      <c r="S817" s="17" t="s">
        <v>36</v>
      </c>
      <c r="T817" s="17" t="s">
        <v>5632</v>
      </c>
      <c r="U817" s="18" t="s">
        <v>38</v>
      </c>
      <c r="V817" s="19" t="s">
        <v>4416</v>
      </c>
      <c r="W817" s="20" t="s">
        <v>5584</v>
      </c>
      <c r="X817" s="21" t="s">
        <v>5584</v>
      </c>
      <c r="Y817" s="22"/>
      <c r="Z817" s="7"/>
      <c r="AA817" s="7"/>
      <c r="AB817" s="23"/>
      <c r="AC817" s="26"/>
    </row>
    <row r="818" spans="1:30" ht="15.75" customHeight="1">
      <c r="A818" s="10" t="s">
        <v>5633</v>
      </c>
      <c r="B818" s="10" t="s">
        <v>4410</v>
      </c>
      <c r="C818" s="19" t="s">
        <v>4411</v>
      </c>
      <c r="D818" s="12"/>
      <c r="E818" s="13" t="s">
        <v>378</v>
      </c>
      <c r="F818" s="6" t="s">
        <v>1306</v>
      </c>
      <c r="G818" s="14" t="str">
        <f ca="1">IFERROR(__xludf.DUMMYFUNCTION("CONCATENATE(B818,(VLOOKUP(C818,CATALOGOS!$F$2:$H$6,3,FALSE)),(VLOOKUP(V818,CATALOGOS!$J$2:$K$18,2,FALSE)),""-"",TO_TEXT(A818))"),"P24CA-0817")</f>
        <v>P24CA-0817</v>
      </c>
      <c r="H818" s="15" t="str">
        <f ca="1">IFERROR(__xludf.DUMMYFUNCTION("CONCATENATE($B818,(VLOOKUP($C818,CATALOGOS!$F$2:$H$6,3,FALSE)),(VLOOKUP($V818,CATALOGOS!$J$2:$K$18,2,FALSE)),""-"",TO_TEXT($A818))"),"P24CA-0817")</f>
        <v>P24CA-0817</v>
      </c>
      <c r="I818" s="6"/>
      <c r="J818" s="6" t="s">
        <v>5634</v>
      </c>
      <c r="K818" s="6" t="s">
        <v>5635</v>
      </c>
      <c r="L818" s="6" t="s">
        <v>5636</v>
      </c>
      <c r="M818" s="43" t="s">
        <v>5637</v>
      </c>
      <c r="N818" s="17"/>
      <c r="O818" s="17"/>
      <c r="P818" s="17" t="str">
        <f t="shared" si="8"/>
        <v>OK</v>
      </c>
      <c r="Q818" s="17" t="s">
        <v>35</v>
      </c>
      <c r="R818" s="6" t="s">
        <v>35</v>
      </c>
      <c r="S818" s="17" t="s">
        <v>36</v>
      </c>
      <c r="T818" s="17" t="s">
        <v>5638</v>
      </c>
      <c r="U818" s="18" t="s">
        <v>38</v>
      </c>
      <c r="V818" s="19" t="s">
        <v>4416</v>
      </c>
      <c r="W818" s="20" t="s">
        <v>5584</v>
      </c>
      <c r="X818" s="21" t="s">
        <v>5584</v>
      </c>
      <c r="Y818" s="22"/>
      <c r="Z818" s="7"/>
      <c r="AA818" s="7"/>
      <c r="AB818" s="23"/>
      <c r="AC818" s="26"/>
    </row>
    <row r="819" spans="1:30" ht="15.75" customHeight="1">
      <c r="A819" s="10" t="s">
        <v>5639</v>
      </c>
      <c r="B819" s="10" t="s">
        <v>27</v>
      </c>
      <c r="C819" s="19" t="s">
        <v>28</v>
      </c>
      <c r="D819" s="12"/>
      <c r="E819" s="13" t="s">
        <v>184</v>
      </c>
      <c r="F819" s="6" t="s">
        <v>2677</v>
      </c>
      <c r="G819" s="14" t="str">
        <f ca="1">IFERROR(__xludf.DUMMYFUNCTION("CONCATENATE(B819,(VLOOKUP(C819,CATALOGOS!$F$2:$H$6,3,FALSE)),(VLOOKUP(V819,CATALOGOS!$J$2:$K$18,2,FALSE)),""-"",TO_TEXT(A819))"),"P05RM-0818")</f>
        <v>P05RM-0818</v>
      </c>
      <c r="H819" s="15" t="str">
        <f ca="1">IFERROR(__xludf.DUMMYFUNCTION("CONCATENATE($B819,(VLOOKUP($C819,CATALOGOS!$F$2:$H$6,3,FALSE)),(VLOOKUP($V819,CATALOGOS!$J$2:$K$18,2,FALSE)),""-"",TO_TEXT($A819))"),"P05RM-0818")</f>
        <v>P05RM-0818</v>
      </c>
      <c r="I819" s="6"/>
      <c r="J819" s="6" t="s">
        <v>5640</v>
      </c>
      <c r="K819" s="6" t="s">
        <v>5641</v>
      </c>
      <c r="L819" s="6" t="s">
        <v>5642</v>
      </c>
      <c r="M819" s="6" t="s">
        <v>5643</v>
      </c>
      <c r="N819" s="17"/>
      <c r="O819" s="17"/>
      <c r="P819" s="17" t="str">
        <f t="shared" si="8"/>
        <v>OK</v>
      </c>
      <c r="Q819" s="17" t="s">
        <v>35</v>
      </c>
      <c r="R819" s="6" t="s">
        <v>35</v>
      </c>
      <c r="S819" s="17" t="s">
        <v>36</v>
      </c>
      <c r="T819" s="17" t="s">
        <v>5644</v>
      </c>
      <c r="U819" s="18" t="s">
        <v>100</v>
      </c>
      <c r="V819" s="19" t="s">
        <v>147</v>
      </c>
      <c r="W819" s="20" t="s">
        <v>686</v>
      </c>
      <c r="X819" s="21" t="s">
        <v>5584</v>
      </c>
      <c r="Y819" s="22"/>
      <c r="Z819" s="7"/>
      <c r="AA819" s="7"/>
      <c r="AB819" s="23"/>
      <c r="AC819" s="26"/>
    </row>
    <row r="820" spans="1:30" ht="15.75" customHeight="1">
      <c r="A820" s="10" t="s">
        <v>5645</v>
      </c>
      <c r="B820" s="10" t="s">
        <v>474</v>
      </c>
      <c r="C820" s="19" t="s">
        <v>28</v>
      </c>
      <c r="D820" s="12"/>
      <c r="E820" s="13" t="s">
        <v>43</v>
      </c>
      <c r="F820" s="6" t="s">
        <v>5232</v>
      </c>
      <c r="G820" s="14" t="str">
        <f ca="1">IFERROR(__xludf.DUMMYFUNCTION("CONCATENATE(B820,(VLOOKUP(C820,CATALOGOS!$F$2:$H$6,3,FALSE)),(VLOOKUP(V820,CATALOGOS!$J$2:$K$18,2,FALSE)),""-"",TO_TEXT(A820))"),"P35RM-0819")</f>
        <v>P35RM-0819</v>
      </c>
      <c r="H820" s="15" t="str">
        <f ca="1">IFERROR(__xludf.DUMMYFUNCTION("CONCATENATE($B820,(VLOOKUP($C820,CATALOGOS!$F$2:$H$6,3,FALSE)),(VLOOKUP($V820,CATALOGOS!$J$2:$K$18,2,FALSE)),""-"",TO_TEXT($A820))"),"P35RM-0819")</f>
        <v>P35RM-0819</v>
      </c>
      <c r="I820" s="6"/>
      <c r="J820" s="6" t="s">
        <v>5646</v>
      </c>
      <c r="K820" s="6" t="s">
        <v>5647</v>
      </c>
      <c r="L820" s="6" t="s">
        <v>5648</v>
      </c>
      <c r="M820" s="6" t="s">
        <v>5649</v>
      </c>
      <c r="N820" s="17"/>
      <c r="O820" s="17"/>
      <c r="P820" s="17" t="str">
        <f t="shared" si="8"/>
        <v>OK</v>
      </c>
      <c r="Q820" s="17" t="s">
        <v>5538</v>
      </c>
      <c r="R820" s="6" t="s">
        <v>5539</v>
      </c>
      <c r="S820" s="6" t="s">
        <v>36</v>
      </c>
      <c r="T820" s="10" t="s">
        <v>5650</v>
      </c>
      <c r="U820" s="18" t="s">
        <v>517</v>
      </c>
      <c r="V820" s="19" t="s">
        <v>147</v>
      </c>
      <c r="W820" s="20" t="s">
        <v>385</v>
      </c>
      <c r="X820" s="21" t="s">
        <v>5584</v>
      </c>
      <c r="Y820" s="22"/>
      <c r="Z820" s="7"/>
      <c r="AA820" s="7"/>
      <c r="AB820" s="23"/>
      <c r="AC820" s="26"/>
    </row>
    <row r="821" spans="1:30" ht="15.75" customHeight="1">
      <c r="A821" s="10" t="s">
        <v>5651</v>
      </c>
      <c r="B821" s="10" t="s">
        <v>4410</v>
      </c>
      <c r="C821" s="19" t="s">
        <v>4411</v>
      </c>
      <c r="D821" s="12"/>
      <c r="E821" s="13" t="s">
        <v>93</v>
      </c>
      <c r="F821" s="6" t="s">
        <v>5652</v>
      </c>
      <c r="G821" s="14" t="str">
        <f ca="1">IFERROR(__xludf.DUMMYFUNCTION("CONCATENATE(B821,(VLOOKUP(C821,CATALOGOS!$F$2:$H$6,3,FALSE)),(VLOOKUP(V821,CATALOGOS!$J$2:$K$18,2,FALSE)),""-"",TO_TEXT(A821))"),"P24CA-0820")</f>
        <v>P24CA-0820</v>
      </c>
      <c r="H821" s="15" t="str">
        <f ca="1">IFERROR(__xludf.DUMMYFUNCTION("CONCATENATE($B821,(VLOOKUP($C821,CATALOGOS!$F$2:$H$6,3,FALSE)),(VLOOKUP($V821,CATALOGOS!$J$2:$K$18,2,FALSE)),""-"",TO_TEXT($A821))"),"P24CA-0820")</f>
        <v>P24CA-0820</v>
      </c>
      <c r="I821" s="6"/>
      <c r="J821" s="6" t="s">
        <v>5653</v>
      </c>
      <c r="K821" s="6" t="s">
        <v>5654</v>
      </c>
      <c r="L821" s="6" t="s">
        <v>5655</v>
      </c>
      <c r="M821" s="6" t="s">
        <v>5656</v>
      </c>
      <c r="N821" s="17"/>
      <c r="O821" s="17"/>
      <c r="P821" s="17" t="str">
        <f t="shared" si="8"/>
        <v>OK</v>
      </c>
      <c r="Q821" s="17" t="s">
        <v>35</v>
      </c>
      <c r="R821" s="6" t="s">
        <v>35</v>
      </c>
      <c r="S821" s="17" t="s">
        <v>36</v>
      </c>
      <c r="T821" s="17" t="s">
        <v>5657</v>
      </c>
      <c r="U821" s="18" t="s">
        <v>38</v>
      </c>
      <c r="V821" s="19" t="s">
        <v>4416</v>
      </c>
      <c r="W821" s="20" t="s">
        <v>5584</v>
      </c>
      <c r="X821" s="21" t="s">
        <v>5584</v>
      </c>
      <c r="Y821" s="22"/>
      <c r="Z821" s="7"/>
      <c r="AA821" s="7"/>
      <c r="AB821" s="23"/>
      <c r="AC821" s="26"/>
    </row>
    <row r="822" spans="1:30" ht="15.75" customHeight="1">
      <c r="A822" s="10" t="s">
        <v>5658</v>
      </c>
      <c r="B822" s="10" t="s">
        <v>4410</v>
      </c>
      <c r="C822" s="19" t="s">
        <v>4411</v>
      </c>
      <c r="D822" s="12"/>
      <c r="E822" s="13" t="s">
        <v>162</v>
      </c>
      <c r="F822" s="43" t="s">
        <v>285</v>
      </c>
      <c r="G822" s="14" t="str">
        <f ca="1">IFERROR(__xludf.DUMMYFUNCTION("CONCATENATE(B822,(VLOOKUP(C822,CATALOGOS!$F$2:$H$6,3,FALSE)),(VLOOKUP(V822,CATALOGOS!$J$2:$K$18,2,FALSE)),""-"",TO_TEXT(A822))"),"P24CA-0821")</f>
        <v>P24CA-0821</v>
      </c>
      <c r="H822" s="15" t="str">
        <f ca="1">IFERROR(__xludf.DUMMYFUNCTION("CONCATENATE($B822,(VLOOKUP($C822,CATALOGOS!$F$2:$H$6,3,FALSE)),(VLOOKUP($V822,CATALOGOS!$J$2:$K$18,2,FALSE)),""-"",TO_TEXT($A822))"),"P24CA-0821")</f>
        <v>P24CA-0821</v>
      </c>
      <c r="I822" s="6"/>
      <c r="J822" s="6" t="s">
        <v>5659</v>
      </c>
      <c r="K822" s="6" t="s">
        <v>5660</v>
      </c>
      <c r="L822" s="6" t="s">
        <v>5661</v>
      </c>
      <c r="M822" s="6" t="s">
        <v>5662</v>
      </c>
      <c r="N822" s="17"/>
      <c r="O822" s="17"/>
      <c r="P822" s="17" t="str">
        <f t="shared" si="8"/>
        <v>OK</v>
      </c>
      <c r="Q822" s="17" t="s">
        <v>168</v>
      </c>
      <c r="R822" s="6" t="s">
        <v>169</v>
      </c>
      <c r="S822" s="17" t="s">
        <v>5663</v>
      </c>
      <c r="T822" s="17" t="s">
        <v>5664</v>
      </c>
      <c r="U822" s="18" t="s">
        <v>100</v>
      </c>
      <c r="V822" s="19" t="s">
        <v>4416</v>
      </c>
      <c r="W822" s="20" t="s">
        <v>5584</v>
      </c>
      <c r="X822" s="21" t="s">
        <v>5584</v>
      </c>
      <c r="Y822" s="22"/>
      <c r="Z822" s="7"/>
      <c r="AA822" s="7"/>
      <c r="AB822" s="23"/>
      <c r="AC822" s="26"/>
    </row>
    <row r="823" spans="1:30" ht="15.75" customHeight="1">
      <c r="A823" s="10" t="s">
        <v>5665</v>
      </c>
      <c r="B823" s="10" t="s">
        <v>4410</v>
      </c>
      <c r="C823" s="19" t="s">
        <v>4411</v>
      </c>
      <c r="D823" s="12"/>
      <c r="E823" s="13" t="s">
        <v>248</v>
      </c>
      <c r="F823" s="43" t="s">
        <v>248</v>
      </c>
      <c r="G823" s="14" t="str">
        <f ca="1">IFERROR(__xludf.DUMMYFUNCTION("CONCATENATE(B823,(VLOOKUP(C823,CATALOGOS!$F$2:$H$6,3,FALSE)),(VLOOKUP(V823,CATALOGOS!$J$2:$K$18,2,FALSE)),""-"",TO_TEXT(A823))"),"P24CA-0822")</f>
        <v>P24CA-0822</v>
      </c>
      <c r="H823" s="15" t="str">
        <f ca="1">IFERROR(__xludf.DUMMYFUNCTION("CONCATENATE($B823,(VLOOKUP($C823,CATALOGOS!$F$2:$H$6,3,FALSE)),(VLOOKUP($V823,CATALOGOS!$J$2:$K$18,2,FALSE)),""-"",TO_TEXT($A823))"),"P24CA-0822")</f>
        <v>P24CA-0822</v>
      </c>
      <c r="I823" s="6"/>
      <c r="J823" s="6" t="s">
        <v>5666</v>
      </c>
      <c r="K823" s="6" t="s">
        <v>5667</v>
      </c>
      <c r="L823" s="6" t="s">
        <v>5668</v>
      </c>
      <c r="M823" s="6" t="s">
        <v>5669</v>
      </c>
      <c r="N823" s="17"/>
      <c r="O823" s="17"/>
      <c r="P823" s="17" t="str">
        <f t="shared" si="8"/>
        <v>OK</v>
      </c>
      <c r="Q823" s="17" t="s">
        <v>978</v>
      </c>
      <c r="R823" s="6" t="s">
        <v>979</v>
      </c>
      <c r="S823" s="17" t="s">
        <v>5670</v>
      </c>
      <c r="T823" s="17" t="s">
        <v>5671</v>
      </c>
      <c r="U823" s="18" t="s">
        <v>38</v>
      </c>
      <c r="V823" s="19" t="s">
        <v>4416</v>
      </c>
      <c r="W823" s="20" t="s">
        <v>5584</v>
      </c>
      <c r="X823" s="21" t="s">
        <v>5584</v>
      </c>
      <c r="Y823" s="22"/>
      <c r="Z823" s="7"/>
      <c r="AA823" s="7"/>
      <c r="AB823" s="23"/>
      <c r="AC823" s="26"/>
    </row>
    <row r="824" spans="1:30" ht="15.75" customHeight="1">
      <c r="A824" s="10" t="s">
        <v>5672</v>
      </c>
      <c r="B824" s="10" t="s">
        <v>4410</v>
      </c>
      <c r="C824" s="19" t="s">
        <v>4411</v>
      </c>
      <c r="D824" s="12"/>
      <c r="E824" s="13" t="s">
        <v>199</v>
      </c>
      <c r="F824" s="6" t="s">
        <v>199</v>
      </c>
      <c r="G824" s="14" t="str">
        <f ca="1">IFERROR(__xludf.DUMMYFUNCTION("CONCATENATE(B824,(VLOOKUP(C824,CATALOGOS!$F$2:$H$6,3,FALSE)),(VLOOKUP(V824,CATALOGOS!$J$2:$K$18,2,FALSE)),""-"",TO_TEXT(A824))"),"P24CA-0823")</f>
        <v>P24CA-0823</v>
      </c>
      <c r="H824" s="15" t="str">
        <f ca="1">IFERROR(__xludf.DUMMYFUNCTION("CONCATENATE($B824,(VLOOKUP($C824,CATALOGOS!$F$2:$H$6,3,FALSE)),(VLOOKUP($V824,CATALOGOS!$J$2:$K$18,2,FALSE)),""-"",TO_TEXT($A824))"),"P24CA-0823")</f>
        <v>P24CA-0823</v>
      </c>
      <c r="I824" s="6"/>
      <c r="J824" s="6" t="s">
        <v>5673</v>
      </c>
      <c r="K824" s="6" t="s">
        <v>5674</v>
      </c>
      <c r="L824" s="36"/>
      <c r="M824" s="6" t="s">
        <v>5675</v>
      </c>
      <c r="N824" s="17"/>
      <c r="O824" s="17"/>
      <c r="P824" s="17" t="str">
        <f t="shared" si="8"/>
        <v>OK</v>
      </c>
      <c r="Q824" s="17" t="s">
        <v>273</v>
      </c>
      <c r="R824" s="6" t="s">
        <v>274</v>
      </c>
      <c r="S824" s="6">
        <v>11392903012333</v>
      </c>
      <c r="T824" s="10" t="s">
        <v>85</v>
      </c>
      <c r="U824" s="18" t="s">
        <v>38</v>
      </c>
      <c r="V824" s="19" t="s">
        <v>4416</v>
      </c>
      <c r="W824" s="20" t="s">
        <v>5584</v>
      </c>
      <c r="X824" s="21" t="s">
        <v>5584</v>
      </c>
      <c r="Y824" s="22"/>
      <c r="Z824" s="6"/>
      <c r="AA824" s="6"/>
      <c r="AB824" s="41" t="s">
        <v>92</v>
      </c>
      <c r="AC824" s="42">
        <v>44348</v>
      </c>
      <c r="AD824" s="8" t="s">
        <v>276</v>
      </c>
    </row>
    <row r="825" spans="1:30" ht="15.75" customHeight="1">
      <c r="A825" s="10" t="s">
        <v>5676</v>
      </c>
      <c r="B825" s="10" t="s">
        <v>4410</v>
      </c>
      <c r="C825" s="19" t="s">
        <v>4411</v>
      </c>
      <c r="D825" s="12"/>
      <c r="E825" s="13" t="s">
        <v>151</v>
      </c>
      <c r="F825" s="6" t="s">
        <v>2236</v>
      </c>
      <c r="G825" s="14" t="str">
        <f ca="1">IFERROR(__xludf.DUMMYFUNCTION("CONCATENATE(B825,(VLOOKUP(C825,CATALOGOS!$F$2:$H$6,3,FALSE)),(VLOOKUP(V825,CATALOGOS!$J$2:$K$18,2,FALSE)),""-"",TO_TEXT(A825))"),"P24CA-0824")</f>
        <v>P24CA-0824</v>
      </c>
      <c r="H825" s="15" t="str">
        <f ca="1">IFERROR(__xludf.DUMMYFUNCTION("CONCATENATE($B825,(VLOOKUP($C825,CATALOGOS!$F$2:$H$6,3,FALSE)),(VLOOKUP($V825,CATALOGOS!$J$2:$K$18,2,FALSE)),""-"",TO_TEXT($A825))"),"P24CA-0824")</f>
        <v>P24CA-0824</v>
      </c>
      <c r="I825" s="6"/>
      <c r="J825" s="6" t="s">
        <v>5677</v>
      </c>
      <c r="K825" s="6" t="s">
        <v>5678</v>
      </c>
      <c r="L825" s="6" t="s">
        <v>5679</v>
      </c>
      <c r="M825" s="6" t="s">
        <v>5680</v>
      </c>
      <c r="N825" s="17"/>
      <c r="O825" s="17"/>
      <c r="P825" s="17" t="str">
        <f t="shared" si="8"/>
        <v>OK</v>
      </c>
      <c r="Q825" s="17" t="s">
        <v>1220</v>
      </c>
      <c r="R825" s="6" t="s">
        <v>720</v>
      </c>
      <c r="S825" s="17" t="s">
        <v>5681</v>
      </c>
      <c r="T825" s="17" t="s">
        <v>5682</v>
      </c>
      <c r="U825" s="18" t="s">
        <v>38</v>
      </c>
      <c r="V825" s="19" t="s">
        <v>4416</v>
      </c>
      <c r="W825" s="20" t="s">
        <v>5584</v>
      </c>
      <c r="X825" s="21" t="s">
        <v>5584</v>
      </c>
      <c r="Y825" s="22"/>
      <c r="Z825" s="7"/>
      <c r="AA825" s="7"/>
      <c r="AB825" s="23"/>
      <c r="AC825" s="26"/>
    </row>
    <row r="826" spans="1:30" ht="15.75" customHeight="1">
      <c r="A826" s="10" t="s">
        <v>5683</v>
      </c>
      <c r="B826" s="10" t="s">
        <v>4410</v>
      </c>
      <c r="C826" s="19" t="s">
        <v>4411</v>
      </c>
      <c r="D826" s="38"/>
      <c r="E826" s="13" t="s">
        <v>151</v>
      </c>
      <c r="F826" s="6" t="s">
        <v>4113</v>
      </c>
      <c r="G826" s="14" t="str">
        <f ca="1">IFERROR(__xludf.DUMMYFUNCTION("CONCATENATE(B826,(VLOOKUP(C826,CATALOGOS!$F$2:$H$6,3,FALSE)),(VLOOKUP(V826,CATALOGOS!$J$2:$K$18,2,FALSE)),""-"",TO_TEXT(A826))"),"P24CA-0825")</f>
        <v>P24CA-0825</v>
      </c>
      <c r="H826" s="15" t="str">
        <f ca="1">IFERROR(__xludf.DUMMYFUNCTION("CONCATENATE($B826,(VLOOKUP($C826,CATALOGOS!$F$2:$H$6,3,FALSE)),(VLOOKUP($V826,CATALOGOS!$J$2:$K$18,2,FALSE)),""-"",TO_TEXT($A826))"),"P24CA-0825")</f>
        <v>P24CA-0825</v>
      </c>
      <c r="I826" s="6"/>
      <c r="J826" s="6" t="s">
        <v>5684</v>
      </c>
      <c r="K826" s="6" t="s">
        <v>5685</v>
      </c>
      <c r="L826" s="36"/>
      <c r="M826" s="6" t="s">
        <v>5686</v>
      </c>
      <c r="N826" s="17"/>
      <c r="O826" s="17"/>
      <c r="P826" s="17" t="str">
        <f t="shared" si="8"/>
        <v>OK</v>
      </c>
      <c r="Q826" s="17" t="s">
        <v>297</v>
      </c>
      <c r="R826" s="6" t="s">
        <v>298</v>
      </c>
      <c r="S826" s="6" t="s">
        <v>5687</v>
      </c>
      <c r="T826" s="32" t="s">
        <v>85</v>
      </c>
      <c r="U826" s="18" t="s">
        <v>38</v>
      </c>
      <c r="V826" s="19" t="s">
        <v>4416</v>
      </c>
      <c r="W826" s="20" t="s">
        <v>5584</v>
      </c>
      <c r="X826" s="21" t="s">
        <v>5584</v>
      </c>
      <c r="Y826" s="22"/>
      <c r="Z826" s="6"/>
      <c r="AA826" s="6"/>
      <c r="AB826" s="73" t="s">
        <v>92</v>
      </c>
      <c r="AC826" s="42">
        <v>44348</v>
      </c>
      <c r="AD826" s="8">
        <v>0</v>
      </c>
    </row>
    <row r="827" spans="1:30" ht="29.25">
      <c r="A827" s="10" t="s">
        <v>5688</v>
      </c>
      <c r="B827" s="10" t="s">
        <v>4410</v>
      </c>
      <c r="C827" s="19" t="s">
        <v>4411</v>
      </c>
      <c r="D827" s="12"/>
      <c r="E827" s="13" t="s">
        <v>501</v>
      </c>
      <c r="F827" s="6" t="s">
        <v>5689</v>
      </c>
      <c r="G827" s="14" t="str">
        <f ca="1">IFERROR(__xludf.DUMMYFUNCTION("CONCATENATE(B827,(VLOOKUP(C827,CATALOGOS!$F$2:$H$6,3,FALSE)),(VLOOKUP(V827,CATALOGOS!$J$2:$K$18,2,FALSE)),""-"",TO_TEXT(A827))"),"P24NV-0826")</f>
        <v>P24NV-0826</v>
      </c>
      <c r="H827" s="15" t="str">
        <f ca="1">IFERROR(__xludf.DUMMYFUNCTION("CONCATENATE($B827,(VLOOKUP($C827,CATALOGOS!$F$2:$H$6,3,FALSE)),(VLOOKUP($V827,CATALOGOS!$J$2:$K$18,2,FALSE)),""-"",TO_TEXT($A827))"),"P24NV-0826")</f>
        <v>P24NV-0826</v>
      </c>
      <c r="I827" s="6"/>
      <c r="J827" s="6" t="s">
        <v>5690</v>
      </c>
      <c r="K827" s="6" t="s">
        <v>5691</v>
      </c>
      <c r="L827" s="6" t="s">
        <v>5692</v>
      </c>
      <c r="M827" s="80" t="s">
        <v>5693</v>
      </c>
      <c r="N827" s="17"/>
      <c r="O827" s="17"/>
      <c r="P827" s="17" t="str">
        <f t="shared" si="8"/>
        <v>OK</v>
      </c>
      <c r="Q827" s="17" t="s">
        <v>35</v>
      </c>
      <c r="R827" s="6" t="s">
        <v>35</v>
      </c>
      <c r="S827" s="17" t="s">
        <v>36</v>
      </c>
      <c r="T827" s="17" t="s">
        <v>5694</v>
      </c>
      <c r="U827" s="18" t="s">
        <v>38</v>
      </c>
      <c r="V827" s="61" t="s">
        <v>5695</v>
      </c>
      <c r="W827" s="22" t="s">
        <v>5696</v>
      </c>
      <c r="X827" s="21" t="s">
        <v>5696</v>
      </c>
      <c r="Y827" s="22"/>
      <c r="Z827" s="7"/>
      <c r="AA827" s="7"/>
      <c r="AB827" s="23"/>
      <c r="AC827" s="26"/>
    </row>
    <row r="828" spans="1:30" ht="15.75" customHeight="1">
      <c r="A828" s="10" t="s">
        <v>5697</v>
      </c>
      <c r="B828" s="10" t="s">
        <v>4410</v>
      </c>
      <c r="C828" s="19" t="s">
        <v>4411</v>
      </c>
      <c r="D828" s="12"/>
      <c r="E828" s="13" t="s">
        <v>378</v>
      </c>
      <c r="F828" s="43" t="s">
        <v>1450</v>
      </c>
      <c r="G828" s="14" t="str">
        <f ca="1">IFERROR(__xludf.DUMMYFUNCTION("CONCATENATE(B828,(VLOOKUP(C828,CATALOGOS!$F$2:$H$6,3,FALSE)),(VLOOKUP(V828,CATALOGOS!$J$2:$K$18,2,FALSE)),""-"",TO_TEXT(A828))"),"P24NV-0827")</f>
        <v>P24NV-0827</v>
      </c>
      <c r="H828" s="15" t="str">
        <f ca="1">IFERROR(__xludf.DUMMYFUNCTION("CONCATENATE($B828,(VLOOKUP($C828,CATALOGOS!$F$2:$H$6,3,FALSE)),(VLOOKUP($V828,CATALOGOS!$J$2:$K$18,2,FALSE)),""-"",TO_TEXT($A828))"),"P24NV-0827")</f>
        <v>P24NV-0827</v>
      </c>
      <c r="I828" s="6"/>
      <c r="J828" s="6" t="s">
        <v>5698</v>
      </c>
      <c r="K828" s="6" t="s">
        <v>5699</v>
      </c>
      <c r="L828" s="6" t="s">
        <v>5700</v>
      </c>
      <c r="M828" s="6" t="s">
        <v>5701</v>
      </c>
      <c r="N828" s="17"/>
      <c r="O828" s="17"/>
      <c r="P828" s="17" t="str">
        <f t="shared" si="8"/>
        <v>OK</v>
      </c>
      <c r="Q828" s="17" t="s">
        <v>35</v>
      </c>
      <c r="R828" s="6" t="s">
        <v>35</v>
      </c>
      <c r="S828" s="17" t="s">
        <v>36</v>
      </c>
      <c r="T828" s="17" t="s">
        <v>5702</v>
      </c>
      <c r="U828" s="18" t="s">
        <v>38</v>
      </c>
      <c r="V828" s="61" t="s">
        <v>5695</v>
      </c>
      <c r="W828" s="22" t="s">
        <v>5696</v>
      </c>
      <c r="X828" s="21" t="s">
        <v>5696</v>
      </c>
      <c r="Y828" s="22"/>
      <c r="Z828" s="7"/>
      <c r="AA828" s="7"/>
      <c r="AB828" s="23"/>
      <c r="AC828" s="26"/>
    </row>
    <row r="829" spans="1:30" ht="15.75" customHeight="1">
      <c r="A829" s="10" t="s">
        <v>5703</v>
      </c>
      <c r="B829" s="10" t="s">
        <v>4410</v>
      </c>
      <c r="C829" s="19" t="s">
        <v>4411</v>
      </c>
      <c r="D829" s="12"/>
      <c r="E829" s="13" t="s">
        <v>116</v>
      </c>
      <c r="F829" s="6" t="s">
        <v>364</v>
      </c>
      <c r="G829" s="14" t="str">
        <f ca="1">IFERROR(__xludf.DUMMYFUNCTION("CONCATENATE(B829,(VLOOKUP(C829,CATALOGOS!$F$2:$H$6,3,FALSE)),(VLOOKUP(V829,CATALOGOS!$J$2:$K$18,2,FALSE)),""-"",TO_TEXT(A829))"),"P24NV-0828")</f>
        <v>P24NV-0828</v>
      </c>
      <c r="H829" s="15" t="str">
        <f ca="1">IFERROR(__xludf.DUMMYFUNCTION("CONCATENATE($B829,(VLOOKUP($C829,CATALOGOS!$F$2:$H$6,3,FALSE)),(VLOOKUP($V829,CATALOGOS!$J$2:$K$18,2,FALSE)),""-"",TO_TEXT($A829))"),"P24NV-0828")</f>
        <v>P24NV-0828</v>
      </c>
      <c r="I829" s="6"/>
      <c r="J829" s="6" t="s">
        <v>5704</v>
      </c>
      <c r="K829" s="6" t="s">
        <v>5705</v>
      </c>
      <c r="L829" s="6" t="s">
        <v>5706</v>
      </c>
      <c r="M829" s="6" t="s">
        <v>5707</v>
      </c>
      <c r="N829" s="17"/>
      <c r="O829" s="17"/>
      <c r="P829" s="17" t="str">
        <f t="shared" si="8"/>
        <v>OK</v>
      </c>
      <c r="Q829" s="17" t="s">
        <v>35</v>
      </c>
      <c r="R829" s="6" t="s">
        <v>35</v>
      </c>
      <c r="S829" s="17" t="s">
        <v>36</v>
      </c>
      <c r="T829" s="17" t="s">
        <v>5708</v>
      </c>
      <c r="U829" s="18" t="s">
        <v>38</v>
      </c>
      <c r="V829" s="61" t="s">
        <v>5695</v>
      </c>
      <c r="W829" s="22" t="s">
        <v>5696</v>
      </c>
      <c r="X829" s="21" t="s">
        <v>5696</v>
      </c>
      <c r="Y829" s="22"/>
      <c r="Z829" s="7"/>
      <c r="AA829" s="7"/>
      <c r="AB829" s="23"/>
      <c r="AC829" s="26"/>
    </row>
    <row r="830" spans="1:30" ht="15.75" customHeight="1">
      <c r="A830" s="10" t="s">
        <v>5709</v>
      </c>
      <c r="B830" s="10" t="s">
        <v>4410</v>
      </c>
      <c r="C830" s="19" t="s">
        <v>4411</v>
      </c>
      <c r="D830" s="12"/>
      <c r="E830" s="13" t="s">
        <v>248</v>
      </c>
      <c r="F830" s="43" t="s">
        <v>248</v>
      </c>
      <c r="G830" s="14" t="str">
        <f ca="1">IFERROR(__xludf.DUMMYFUNCTION("CONCATENATE(B830,(VLOOKUP(C830,CATALOGOS!$F$2:$H$6,3,FALSE)),(VLOOKUP(V830,CATALOGOS!$J$2:$K$18,2,FALSE)),""-"",TO_TEXT(A830))"),"P24NV-0829")</f>
        <v>P24NV-0829</v>
      </c>
      <c r="H830" s="15" t="str">
        <f ca="1">IFERROR(__xludf.DUMMYFUNCTION("CONCATENATE($B830,(VLOOKUP($C830,CATALOGOS!$F$2:$H$6,3,FALSE)),(VLOOKUP($V830,CATALOGOS!$J$2:$K$18,2,FALSE)),""-"",TO_TEXT($A830))"),"P24NV-0829")</f>
        <v>P24NV-0829</v>
      </c>
      <c r="I830" s="6"/>
      <c r="J830" s="6" t="s">
        <v>5710</v>
      </c>
      <c r="K830" s="6" t="s">
        <v>5711</v>
      </c>
      <c r="L830" s="6" t="s">
        <v>5712</v>
      </c>
      <c r="M830" s="6" t="s">
        <v>5713</v>
      </c>
      <c r="N830" s="17"/>
      <c r="O830" s="17"/>
      <c r="P830" s="17" t="str">
        <f t="shared" si="8"/>
        <v>OK</v>
      </c>
      <c r="Q830" s="17" t="s">
        <v>978</v>
      </c>
      <c r="R830" s="6" t="s">
        <v>979</v>
      </c>
      <c r="S830" s="17" t="s">
        <v>5714</v>
      </c>
      <c r="T830" s="17" t="s">
        <v>5715</v>
      </c>
      <c r="U830" s="18" t="s">
        <v>38</v>
      </c>
      <c r="V830" s="61" t="s">
        <v>5695</v>
      </c>
      <c r="W830" s="22" t="s">
        <v>5696</v>
      </c>
      <c r="X830" s="21" t="s">
        <v>5696</v>
      </c>
      <c r="Y830" s="22"/>
      <c r="Z830" s="7"/>
      <c r="AA830" s="7"/>
      <c r="AB830" s="23"/>
      <c r="AC830" s="26"/>
    </row>
    <row r="831" spans="1:30" ht="15.75" customHeight="1">
      <c r="A831" s="10" t="s">
        <v>5716</v>
      </c>
      <c r="B831" s="10" t="s">
        <v>4410</v>
      </c>
      <c r="C831" s="19" t="s">
        <v>4411</v>
      </c>
      <c r="D831" s="12"/>
      <c r="E831" s="13" t="s">
        <v>199</v>
      </c>
      <c r="F831" s="6" t="s">
        <v>199</v>
      </c>
      <c r="G831" s="14" t="str">
        <f ca="1">IFERROR(__xludf.DUMMYFUNCTION("CONCATENATE(B831,(VLOOKUP(C831,CATALOGOS!$F$2:$H$6,3,FALSE)),(VLOOKUP(V831,CATALOGOS!$J$2:$K$18,2,FALSE)),""-"",TO_TEXT(A831))"),"P24NV-0830")</f>
        <v>P24NV-0830</v>
      </c>
      <c r="H831" s="15" t="str">
        <f ca="1">IFERROR(__xludf.DUMMYFUNCTION("CONCATENATE($B831,(VLOOKUP($C831,CATALOGOS!$F$2:$H$6,3,FALSE)),(VLOOKUP($V831,CATALOGOS!$J$2:$K$18,2,FALSE)),""-"",TO_TEXT($A831))"),"P24NV-0830")</f>
        <v>P24NV-0830</v>
      </c>
      <c r="I831" s="6"/>
      <c r="J831" s="6" t="s">
        <v>5717</v>
      </c>
      <c r="K831" s="6" t="s">
        <v>5718</v>
      </c>
      <c r="L831" s="37"/>
      <c r="M831" s="6" t="s">
        <v>5719</v>
      </c>
      <c r="N831" s="17"/>
      <c r="O831" s="17"/>
      <c r="P831" s="17" t="str">
        <f t="shared" si="8"/>
        <v>OK</v>
      </c>
      <c r="Q831" s="17" t="s">
        <v>273</v>
      </c>
      <c r="R831" s="6" t="s">
        <v>274</v>
      </c>
      <c r="S831" s="6">
        <v>11392903012346</v>
      </c>
      <c r="T831" s="10" t="s">
        <v>85</v>
      </c>
      <c r="U831" s="18" t="s">
        <v>38</v>
      </c>
      <c r="V831" s="61" t="s">
        <v>5695</v>
      </c>
      <c r="W831" s="22" t="s">
        <v>5696</v>
      </c>
      <c r="X831" s="21" t="s">
        <v>5696</v>
      </c>
      <c r="Y831" s="22"/>
      <c r="Z831" s="6"/>
      <c r="AA831" s="6"/>
      <c r="AB831" s="41" t="s">
        <v>92</v>
      </c>
      <c r="AC831" s="42">
        <v>44348</v>
      </c>
      <c r="AD831" s="8" t="s">
        <v>276</v>
      </c>
    </row>
    <row r="832" spans="1:30" ht="15.75" customHeight="1">
      <c r="A832" s="10" t="s">
        <v>5720</v>
      </c>
      <c r="B832" s="10" t="s">
        <v>4410</v>
      </c>
      <c r="C832" s="19" t="s">
        <v>4411</v>
      </c>
      <c r="D832" s="12"/>
      <c r="E832" s="13" t="s">
        <v>151</v>
      </c>
      <c r="F832" s="6" t="s">
        <v>714</v>
      </c>
      <c r="G832" s="14" t="str">
        <f ca="1">IFERROR(__xludf.DUMMYFUNCTION("CONCATENATE(B832,(VLOOKUP(C832,CATALOGOS!$F$2:$H$6,3,FALSE)),(VLOOKUP(V832,CATALOGOS!$J$2:$K$18,2,FALSE)),""-"",TO_TEXT(A832))"),"P24NV-0831")</f>
        <v>P24NV-0831</v>
      </c>
      <c r="H832" s="15" t="str">
        <f ca="1">IFERROR(__xludf.DUMMYFUNCTION("CONCATENATE($B832,(VLOOKUP($C832,CATALOGOS!$F$2:$H$6,3,FALSE)),(VLOOKUP($V832,CATALOGOS!$J$2:$K$18,2,FALSE)),""-"",TO_TEXT($A832))"),"P24NV-0831")</f>
        <v>P24NV-0831</v>
      </c>
      <c r="I832" s="6"/>
      <c r="J832" s="6" t="s">
        <v>5721</v>
      </c>
      <c r="K832" s="6" t="s">
        <v>5722</v>
      </c>
      <c r="L832" s="37"/>
      <c r="M832" s="6" t="s">
        <v>5723</v>
      </c>
      <c r="N832" s="17"/>
      <c r="O832" s="17"/>
      <c r="P832" s="17" t="str">
        <f t="shared" si="8"/>
        <v>OK</v>
      </c>
      <c r="Q832" s="17" t="s">
        <v>297</v>
      </c>
      <c r="R832" s="6" t="s">
        <v>298</v>
      </c>
      <c r="S832" s="6" t="s">
        <v>5724</v>
      </c>
      <c r="T832" s="10" t="s">
        <v>85</v>
      </c>
      <c r="U832" s="18" t="s">
        <v>38</v>
      </c>
      <c r="V832" s="61" t="s">
        <v>5695</v>
      </c>
      <c r="W832" s="22" t="s">
        <v>5696</v>
      </c>
      <c r="X832" s="21" t="s">
        <v>5696</v>
      </c>
      <c r="Y832" s="22"/>
      <c r="Z832" s="6"/>
      <c r="AA832" s="6"/>
      <c r="AB832" s="41" t="s">
        <v>92</v>
      </c>
      <c r="AC832" s="42">
        <v>44348</v>
      </c>
      <c r="AD832" s="8">
        <v>0</v>
      </c>
    </row>
    <row r="833" spans="1:29" ht="15.75" customHeight="1">
      <c r="A833" s="10" t="s">
        <v>5725</v>
      </c>
      <c r="B833" s="10" t="s">
        <v>4410</v>
      </c>
      <c r="C833" s="19" t="s">
        <v>4411</v>
      </c>
      <c r="D833" s="38"/>
      <c r="E833" s="13" t="s">
        <v>43</v>
      </c>
      <c r="F833" s="43" t="s">
        <v>315</v>
      </c>
      <c r="G833" s="14" t="str">
        <f ca="1">IFERROR(__xludf.DUMMYFUNCTION("CONCATENATE(B833,(VLOOKUP(C833,CATALOGOS!$F$2:$H$6,3,FALSE)),(VLOOKUP(V833,CATALOGOS!$J$2:$K$18,2,FALSE)),""-"",TO_TEXT(A833))"),"P24NV-0832")</f>
        <v>P24NV-0832</v>
      </c>
      <c r="H833" s="15" t="str">
        <f ca="1">IFERROR(__xludf.DUMMYFUNCTION("CONCATENATE($B833,(VLOOKUP($C833,CATALOGOS!$F$2:$H$6,3,FALSE)),(VLOOKUP($V833,CATALOGOS!$J$2:$K$18,2,FALSE)),""-"",TO_TEXT($A833))"),"P24NV-0832")</f>
        <v>P24NV-0832</v>
      </c>
      <c r="I833" s="6"/>
      <c r="J833" s="6" t="s">
        <v>5726</v>
      </c>
      <c r="K833" s="6" t="s">
        <v>5727</v>
      </c>
      <c r="L833" s="6" t="s">
        <v>5728</v>
      </c>
      <c r="M833" s="6" t="s">
        <v>5729</v>
      </c>
      <c r="N833" s="17"/>
      <c r="O833" s="17"/>
      <c r="P833" s="17" t="str">
        <f t="shared" si="8"/>
        <v>OK</v>
      </c>
      <c r="Q833" s="17" t="s">
        <v>2586</v>
      </c>
      <c r="R833" s="6" t="s">
        <v>5730</v>
      </c>
      <c r="S833" s="46" t="s">
        <v>36</v>
      </c>
      <c r="T833" s="17" t="s">
        <v>5731</v>
      </c>
      <c r="U833" s="18" t="s">
        <v>100</v>
      </c>
      <c r="V833" s="61" t="s">
        <v>5695</v>
      </c>
      <c r="W833" s="22" t="s">
        <v>5696</v>
      </c>
      <c r="X833" s="21" t="s">
        <v>5696</v>
      </c>
      <c r="Y833" s="22"/>
      <c r="Z833" s="7"/>
      <c r="AA833" s="7"/>
      <c r="AB833" s="26"/>
      <c r="AC833" s="26"/>
    </row>
    <row r="834" spans="1:29" ht="15.75" customHeight="1">
      <c r="A834" s="10" t="s">
        <v>5732</v>
      </c>
      <c r="B834" s="10" t="s">
        <v>474</v>
      </c>
      <c r="C834" s="11" t="s">
        <v>28</v>
      </c>
      <c r="D834" s="12"/>
      <c r="E834" s="13" t="s">
        <v>93</v>
      </c>
      <c r="F834" s="6" t="s">
        <v>5733</v>
      </c>
      <c r="G834" s="6" t="str">
        <f ca="1">IFERROR(__xludf.DUMMYFUNCTION("CONCATENATE(B834,(VLOOKUP(C834,CATALOGOS!$F$2:$H$6,3,FALSE)),(VLOOKUP(V834,CATALOGOS!$J$2:$K$18,2,FALSE)),""-"",TO_TEXT(A834))"),"P35DA-0833")</f>
        <v>P35DA-0833</v>
      </c>
      <c r="H834" s="15" t="str">
        <f ca="1">IFERROR(__xludf.DUMMYFUNCTION("CONCATENATE($B834,(VLOOKUP($C834,CATALOGOS!$F$2:$H$6,3,FALSE)),(VLOOKUP($V834,CATALOGOS!$J$2:$K$18,2,FALSE)),""-"",TO_TEXT($A834))"),"P35DA-0833")</f>
        <v>P35DA-0833</v>
      </c>
      <c r="I834" s="6"/>
      <c r="J834" s="6" t="s">
        <v>5734</v>
      </c>
      <c r="K834" s="6" t="s">
        <v>5735</v>
      </c>
      <c r="L834" s="6" t="s">
        <v>5736</v>
      </c>
      <c r="M834" s="6" t="s">
        <v>5737</v>
      </c>
      <c r="N834" s="17"/>
      <c r="O834" s="17"/>
      <c r="P834" s="17" t="str">
        <f t="shared" si="8"/>
        <v>OK</v>
      </c>
      <c r="Q834" s="17" t="s">
        <v>35</v>
      </c>
      <c r="R834" s="6" t="s">
        <v>35</v>
      </c>
      <c r="S834" s="17" t="s">
        <v>36</v>
      </c>
      <c r="T834" s="17" t="s">
        <v>5738</v>
      </c>
      <c r="U834" s="18" t="s">
        <v>38</v>
      </c>
      <c r="V834" s="19" t="s">
        <v>28</v>
      </c>
      <c r="W834" s="22" t="s">
        <v>40</v>
      </c>
      <c r="X834" s="21" t="s">
        <v>40</v>
      </c>
      <c r="Y834" s="22"/>
      <c r="Z834" s="7"/>
      <c r="AA834" s="7"/>
      <c r="AB834" s="23"/>
      <c r="AC834" s="26"/>
    </row>
    <row r="835" spans="1:29" ht="15.75" customHeight="1">
      <c r="A835" s="10" t="s">
        <v>5739</v>
      </c>
      <c r="B835" s="10" t="s">
        <v>474</v>
      </c>
      <c r="C835" s="11" t="s">
        <v>28</v>
      </c>
      <c r="D835" s="12"/>
      <c r="E835" s="13" t="s">
        <v>93</v>
      </c>
      <c r="F835" s="6" t="s">
        <v>5740</v>
      </c>
      <c r="G835" s="6" t="str">
        <f ca="1">IFERROR(__xludf.DUMMYFUNCTION("CONCATENATE(B835,(VLOOKUP(C835,CATALOGOS!$F$2:$H$6,3,FALSE)),(VLOOKUP(V835,CATALOGOS!$J$2:$K$18,2,FALSE)),""-"",TO_TEXT(A835))"),"P35DA-0834")</f>
        <v>P35DA-0834</v>
      </c>
      <c r="H835" s="15" t="str">
        <f ca="1">IFERROR(__xludf.DUMMYFUNCTION("CONCATENATE($B835,(VLOOKUP($C835,CATALOGOS!$F$2:$H$6,3,FALSE)),(VLOOKUP($V835,CATALOGOS!$J$2:$K$18,2,FALSE)),""-"",TO_TEXT($A835))"),"P35DA-0834")</f>
        <v>P35DA-0834</v>
      </c>
      <c r="I835" s="6"/>
      <c r="J835" s="6" t="s">
        <v>5741</v>
      </c>
      <c r="K835" s="6" t="s">
        <v>5742</v>
      </c>
      <c r="L835" s="36"/>
      <c r="M835" s="6" t="s">
        <v>141</v>
      </c>
      <c r="N835" s="17"/>
      <c r="O835" s="17"/>
      <c r="P835" s="17" t="str">
        <f t="shared" si="8"/>
        <v>REPETIDO</v>
      </c>
      <c r="Q835" s="35" t="s">
        <v>35</v>
      </c>
      <c r="R835" s="6" t="s">
        <v>35</v>
      </c>
      <c r="S835" s="10" t="s">
        <v>36</v>
      </c>
      <c r="T835" s="32" t="s">
        <v>85</v>
      </c>
      <c r="U835" s="18" t="s">
        <v>38</v>
      </c>
      <c r="V835" s="19" t="s">
        <v>28</v>
      </c>
      <c r="W835" s="22" t="s">
        <v>40</v>
      </c>
      <c r="X835" s="21" t="s">
        <v>40</v>
      </c>
      <c r="Y835" s="22"/>
      <c r="Z835" s="7"/>
      <c r="AA835" s="7"/>
      <c r="AB835" s="23"/>
      <c r="AC835" s="26"/>
    </row>
    <row r="836" spans="1:29" ht="15.75" customHeight="1">
      <c r="A836" s="10" t="s">
        <v>5743</v>
      </c>
      <c r="B836" s="10" t="s">
        <v>474</v>
      </c>
      <c r="C836" s="11" t="s">
        <v>28</v>
      </c>
      <c r="D836" s="12"/>
      <c r="E836" s="13" t="s">
        <v>93</v>
      </c>
      <c r="F836" s="6" t="s">
        <v>5740</v>
      </c>
      <c r="G836" s="6" t="str">
        <f ca="1">IFERROR(__xludf.DUMMYFUNCTION("CONCATENATE(B836,(VLOOKUP(C836,CATALOGOS!$F$2:$H$6,3,FALSE)),(VLOOKUP(V836,CATALOGOS!$J$2:$K$18,2,FALSE)),""-"",TO_TEXT(A836))"),"P35DA-0835")</f>
        <v>P35DA-0835</v>
      </c>
      <c r="H836" s="15" t="str">
        <f ca="1">IFERROR(__xludf.DUMMYFUNCTION("CONCATENATE($B836,(VLOOKUP($C836,CATALOGOS!$F$2:$H$6,3,FALSE)),(VLOOKUP($V836,CATALOGOS!$J$2:$K$18,2,FALSE)),""-"",TO_TEXT($A836))"),"P35DA-0835")</f>
        <v>P35DA-0835</v>
      </c>
      <c r="I836" s="6"/>
      <c r="J836" s="6" t="s">
        <v>5744</v>
      </c>
      <c r="K836" s="6" t="s">
        <v>5745</v>
      </c>
      <c r="L836" s="36"/>
      <c r="M836" s="6" t="s">
        <v>141</v>
      </c>
      <c r="N836" s="17"/>
      <c r="O836" s="17"/>
      <c r="P836" s="17" t="str">
        <f t="shared" si="8"/>
        <v>REPETIDO</v>
      </c>
      <c r="Q836" s="35" t="s">
        <v>35</v>
      </c>
      <c r="R836" s="6" t="s">
        <v>35</v>
      </c>
      <c r="S836" s="10" t="s">
        <v>36</v>
      </c>
      <c r="T836" s="32" t="s">
        <v>85</v>
      </c>
      <c r="U836" s="18" t="s">
        <v>38</v>
      </c>
      <c r="V836" s="19" t="s">
        <v>28</v>
      </c>
      <c r="W836" s="22" t="s">
        <v>40</v>
      </c>
      <c r="X836" s="21" t="s">
        <v>40</v>
      </c>
      <c r="Y836" s="22"/>
      <c r="Z836" s="7"/>
      <c r="AA836" s="7"/>
      <c r="AB836" s="23"/>
      <c r="AC836" s="26"/>
    </row>
    <row r="837" spans="1:29" ht="15.75" customHeight="1">
      <c r="A837" s="10" t="s">
        <v>5746</v>
      </c>
      <c r="B837" s="10" t="s">
        <v>474</v>
      </c>
      <c r="C837" s="11" t="s">
        <v>28</v>
      </c>
      <c r="D837" s="12"/>
      <c r="E837" s="13" t="s">
        <v>93</v>
      </c>
      <c r="F837" s="6" t="s">
        <v>5740</v>
      </c>
      <c r="G837" s="6" t="str">
        <f ca="1">IFERROR(__xludf.DUMMYFUNCTION("CONCATENATE(B837,(VLOOKUP(C837,CATALOGOS!$F$2:$H$6,3,FALSE)),(VLOOKUP(V837,CATALOGOS!$J$2:$K$18,2,FALSE)),""-"",TO_TEXT(A837))"),"P35DA-0836")</f>
        <v>P35DA-0836</v>
      </c>
      <c r="H837" s="15" t="str">
        <f ca="1">IFERROR(__xludf.DUMMYFUNCTION("CONCATENATE($B837,(VLOOKUP($C837,CATALOGOS!$F$2:$H$6,3,FALSE)),(VLOOKUP($V837,CATALOGOS!$J$2:$K$18,2,FALSE)),""-"",TO_TEXT($A837))"),"P35DA-0836")</f>
        <v>P35DA-0836</v>
      </c>
      <c r="I837" s="6"/>
      <c r="J837" s="6" t="s">
        <v>5747</v>
      </c>
      <c r="K837" s="6" t="s">
        <v>5748</v>
      </c>
      <c r="L837" s="6" t="s">
        <v>5749</v>
      </c>
      <c r="M837" s="6" t="s">
        <v>5750</v>
      </c>
      <c r="N837" s="17"/>
      <c r="O837" s="17"/>
      <c r="P837" s="17" t="str">
        <f t="shared" si="8"/>
        <v>OK</v>
      </c>
      <c r="Q837" s="17" t="s">
        <v>35</v>
      </c>
      <c r="R837" s="6" t="s">
        <v>35</v>
      </c>
      <c r="S837" s="17" t="s">
        <v>36</v>
      </c>
      <c r="T837" s="17" t="s">
        <v>5751</v>
      </c>
      <c r="U837" s="18" t="s">
        <v>38</v>
      </c>
      <c r="V837" s="19" t="s">
        <v>28</v>
      </c>
      <c r="W837" s="22" t="s">
        <v>40</v>
      </c>
      <c r="X837" s="21" t="s">
        <v>40</v>
      </c>
      <c r="Y837" s="22"/>
      <c r="Z837" s="7"/>
      <c r="AA837" s="7"/>
      <c r="AB837" s="23"/>
      <c r="AC837" s="26"/>
    </row>
    <row r="838" spans="1:29" ht="15.75" customHeight="1">
      <c r="A838" s="10" t="s">
        <v>5752</v>
      </c>
      <c r="B838" s="10" t="s">
        <v>474</v>
      </c>
      <c r="C838" s="11" t="s">
        <v>28</v>
      </c>
      <c r="D838" s="12"/>
      <c r="E838" s="13" t="s">
        <v>378</v>
      </c>
      <c r="F838" s="43" t="s">
        <v>511</v>
      </c>
      <c r="G838" s="6" t="str">
        <f ca="1">IFERROR(__xludf.DUMMYFUNCTION("CONCATENATE(B838,(VLOOKUP(C838,CATALOGOS!$F$2:$H$6,3,FALSE)),(VLOOKUP(V838,CATALOGOS!$J$2:$K$18,2,FALSE)),""-"",TO_TEXT(A838))"),"P35DA-0837")</f>
        <v>P35DA-0837</v>
      </c>
      <c r="H838" s="15" t="str">
        <f ca="1">IFERROR(__xludf.DUMMYFUNCTION("CONCATENATE($B838,(VLOOKUP($C838,CATALOGOS!$F$2:$H$6,3,FALSE)),(VLOOKUP($V838,CATALOGOS!$J$2:$K$18,2,FALSE)),""-"",TO_TEXT($A838))"),"P35DA-0837")</f>
        <v>P35DA-0837</v>
      </c>
      <c r="I838" s="6"/>
      <c r="J838" s="6" t="s">
        <v>5753</v>
      </c>
      <c r="K838" s="6" t="s">
        <v>5754</v>
      </c>
      <c r="L838" s="6" t="s">
        <v>5755</v>
      </c>
      <c r="M838" s="6" t="s">
        <v>5756</v>
      </c>
      <c r="N838" s="17"/>
      <c r="O838" s="17"/>
      <c r="P838" s="17" t="str">
        <f t="shared" si="8"/>
        <v>OK</v>
      </c>
      <c r="Q838" s="17" t="s">
        <v>35</v>
      </c>
      <c r="R838" s="6" t="s">
        <v>35</v>
      </c>
      <c r="S838" s="17" t="s">
        <v>36</v>
      </c>
      <c r="T838" s="17" t="s">
        <v>5757</v>
      </c>
      <c r="U838" s="18" t="s">
        <v>517</v>
      </c>
      <c r="V838" s="19" t="s">
        <v>28</v>
      </c>
      <c r="W838" s="22" t="s">
        <v>40</v>
      </c>
      <c r="X838" s="21" t="s">
        <v>40</v>
      </c>
      <c r="Y838" s="22"/>
      <c r="Z838" s="7"/>
      <c r="AA838" s="7"/>
      <c r="AB838" s="23"/>
      <c r="AC838" s="26"/>
    </row>
    <row r="839" spans="1:29" ht="15.75" customHeight="1">
      <c r="A839" s="10" t="s">
        <v>5758</v>
      </c>
      <c r="B839" s="10" t="s">
        <v>474</v>
      </c>
      <c r="C839" s="11" t="s">
        <v>28</v>
      </c>
      <c r="D839" s="12"/>
      <c r="E839" s="13" t="s">
        <v>378</v>
      </c>
      <c r="F839" s="6" t="s">
        <v>511</v>
      </c>
      <c r="G839" s="6" t="str">
        <f ca="1">IFERROR(__xludf.DUMMYFUNCTION("CONCATENATE(B839,(VLOOKUP(C839,CATALOGOS!$F$2:$H$6,3,FALSE)),(VLOOKUP(V839,CATALOGOS!$J$2:$K$18,2,FALSE)),""-"",TO_TEXT(A839))"),"P35DA-0838")</f>
        <v>P35DA-0838</v>
      </c>
      <c r="H839" s="15" t="str">
        <f ca="1">IFERROR(__xludf.DUMMYFUNCTION("CONCATENATE($B839,(VLOOKUP($C839,CATALOGOS!$F$2:$H$6,3,FALSE)),(VLOOKUP($V839,CATALOGOS!$J$2:$K$18,2,FALSE)),""-"",TO_TEXT($A839))"),"P35DA-0838")</f>
        <v>P35DA-0838</v>
      </c>
      <c r="I839" s="6"/>
      <c r="J839" s="6" t="s">
        <v>5759</v>
      </c>
      <c r="K839" s="6" t="s">
        <v>5760</v>
      </c>
      <c r="L839" s="6" t="s">
        <v>5761</v>
      </c>
      <c r="M839" s="6" t="s">
        <v>5762</v>
      </c>
      <c r="N839" s="17"/>
      <c r="O839" s="17"/>
      <c r="P839" s="17" t="str">
        <f t="shared" si="8"/>
        <v>OK</v>
      </c>
      <c r="Q839" s="17" t="s">
        <v>35</v>
      </c>
      <c r="R839" s="6" t="s">
        <v>35</v>
      </c>
      <c r="S839" s="17" t="s">
        <v>36</v>
      </c>
      <c r="T839" s="17" t="s">
        <v>5763</v>
      </c>
      <c r="U839" s="18" t="s">
        <v>100</v>
      </c>
      <c r="V839" s="19" t="s">
        <v>28</v>
      </c>
      <c r="W839" s="22" t="s">
        <v>40</v>
      </c>
      <c r="X839" s="21" t="s">
        <v>40</v>
      </c>
      <c r="Y839" s="22"/>
      <c r="Z839" s="81"/>
      <c r="AA839" s="81"/>
      <c r="AB839" s="23"/>
      <c r="AC839" s="26"/>
    </row>
    <row r="840" spans="1:29" ht="15.75" customHeight="1">
      <c r="A840" s="10" t="s">
        <v>5764</v>
      </c>
      <c r="B840" s="10" t="s">
        <v>474</v>
      </c>
      <c r="C840" s="11" t="s">
        <v>28</v>
      </c>
      <c r="D840" s="12"/>
      <c r="E840" s="13" t="s">
        <v>80</v>
      </c>
      <c r="F840" s="6" t="s">
        <v>5765</v>
      </c>
      <c r="G840" s="6" t="str">
        <f ca="1">IFERROR(__xludf.DUMMYFUNCTION("CONCATENATE(B840,(VLOOKUP(C840,CATALOGOS!$F$2:$H$6,3,FALSE)),(VLOOKUP(V840,CATALOGOS!$J$2:$K$18,2,FALSE)),""-"",TO_TEXT(A840))"),"P35DA-0839")</f>
        <v>P35DA-0839</v>
      </c>
      <c r="H840" s="15" t="str">
        <f ca="1">IFERROR(__xludf.DUMMYFUNCTION("CONCATENATE($B840,(VLOOKUP($C840,CATALOGOS!$F$2:$H$6,3,FALSE)),(VLOOKUP($V840,CATALOGOS!$J$2:$K$18,2,FALSE)),""-"",TO_TEXT($A840))"),"P35DA-0839")</f>
        <v>P35DA-0839</v>
      </c>
      <c r="I840" s="6"/>
      <c r="J840" s="6" t="s">
        <v>5766</v>
      </c>
      <c r="K840" s="6" t="s">
        <v>5767</v>
      </c>
      <c r="L840" s="6" t="s">
        <v>5768</v>
      </c>
      <c r="M840" s="6" t="s">
        <v>5769</v>
      </c>
      <c r="N840" s="17"/>
      <c r="O840" s="17"/>
      <c r="P840" s="17" t="str">
        <f t="shared" si="8"/>
        <v>OK</v>
      </c>
      <c r="Q840" s="17" t="s">
        <v>35</v>
      </c>
      <c r="R840" s="6" t="s">
        <v>35</v>
      </c>
      <c r="S840" s="17" t="s">
        <v>36</v>
      </c>
      <c r="T840" s="17" t="s">
        <v>85</v>
      </c>
      <c r="U840" s="18" t="s">
        <v>38</v>
      </c>
      <c r="V840" s="19" t="s">
        <v>28</v>
      </c>
      <c r="W840" s="22" t="s">
        <v>40</v>
      </c>
      <c r="X840" s="21" t="s">
        <v>40</v>
      </c>
      <c r="Y840" s="22"/>
      <c r="Z840" s="6"/>
      <c r="AA840" s="6"/>
      <c r="AB840" s="23"/>
      <c r="AC840" s="7"/>
    </row>
    <row r="841" spans="1:29" ht="15.75" customHeight="1">
      <c r="A841" s="10" t="s">
        <v>5770</v>
      </c>
      <c r="B841" s="10" t="s">
        <v>474</v>
      </c>
      <c r="C841" s="11" t="s">
        <v>28</v>
      </c>
      <c r="D841" s="12"/>
      <c r="E841" s="13" t="s">
        <v>93</v>
      </c>
      <c r="F841" s="6" t="s">
        <v>5771</v>
      </c>
      <c r="G841" s="6" t="str">
        <f ca="1">IFERROR(__xludf.DUMMYFUNCTION("CONCATENATE(B841,(VLOOKUP(C841,CATALOGOS!$F$2:$H$6,3,FALSE)),(VLOOKUP(V841,CATALOGOS!$J$2:$K$18,2,FALSE)),""-"",TO_TEXT(A841))"),"P35DA-0840")</f>
        <v>P35DA-0840</v>
      </c>
      <c r="H841" s="15" t="str">
        <f ca="1">IFERROR(__xludf.DUMMYFUNCTION("CONCATENATE($B841,(VLOOKUP($C841,CATALOGOS!$F$2:$H$6,3,FALSE)),(VLOOKUP($V841,CATALOGOS!$J$2:$K$18,2,FALSE)),""-"",TO_TEXT($A841))"),"P35DA-0840")</f>
        <v>P35DA-0840</v>
      </c>
      <c r="I841" s="6"/>
      <c r="J841" s="6" t="s">
        <v>5772</v>
      </c>
      <c r="K841" s="6" t="s">
        <v>5773</v>
      </c>
      <c r="L841" s="6" t="s">
        <v>5774</v>
      </c>
      <c r="M841" s="6" t="s">
        <v>5775</v>
      </c>
      <c r="N841" s="17"/>
      <c r="O841" s="17"/>
      <c r="P841" s="17" t="str">
        <f t="shared" si="8"/>
        <v>OK</v>
      </c>
      <c r="Q841" s="17" t="s">
        <v>35</v>
      </c>
      <c r="R841" s="6" t="s">
        <v>35</v>
      </c>
      <c r="S841" s="17" t="s">
        <v>36</v>
      </c>
      <c r="T841" s="17" t="s">
        <v>5776</v>
      </c>
      <c r="U841" s="18" t="s">
        <v>38</v>
      </c>
      <c r="V841" s="19" t="s">
        <v>28</v>
      </c>
      <c r="W841" s="22" t="s">
        <v>40</v>
      </c>
      <c r="X841" s="21" t="s">
        <v>40</v>
      </c>
      <c r="Y841" s="22"/>
      <c r="Z841" s="6"/>
      <c r="AA841" s="6"/>
      <c r="AB841" s="23"/>
      <c r="AC841" s="7"/>
    </row>
    <row r="842" spans="1:29" ht="15.75" customHeight="1">
      <c r="A842" s="10" t="s">
        <v>5777</v>
      </c>
      <c r="B842" s="10" t="s">
        <v>474</v>
      </c>
      <c r="C842" s="11" t="s">
        <v>28</v>
      </c>
      <c r="D842" s="12"/>
      <c r="E842" s="13" t="s">
        <v>5778</v>
      </c>
      <c r="F842" s="43" t="s">
        <v>5779</v>
      </c>
      <c r="G842" s="6" t="str">
        <f ca="1">IFERROR(__xludf.DUMMYFUNCTION("CONCATENATE(B842,(VLOOKUP(C842,CATALOGOS!$F$2:$H$6,3,FALSE)),(VLOOKUP(V842,CATALOGOS!$J$2:$K$18,2,FALSE)),""-"",TO_TEXT(A842))"),"P35DA-0841")</f>
        <v>P35DA-0841</v>
      </c>
      <c r="H842" s="15" t="str">
        <f ca="1">IFERROR(__xludf.DUMMYFUNCTION("CONCATENATE($B842,(VLOOKUP($C842,CATALOGOS!$F$2:$H$6,3,FALSE)),(VLOOKUP($V842,CATALOGOS!$J$2:$K$18,2,FALSE)),""-"",TO_TEXT($A842))"),"P35DA-0841")</f>
        <v>P35DA-0841</v>
      </c>
      <c r="I842" s="6"/>
      <c r="J842" s="6" t="s">
        <v>5780</v>
      </c>
      <c r="K842" s="6" t="s">
        <v>5781</v>
      </c>
      <c r="L842" s="6" t="s">
        <v>5782</v>
      </c>
      <c r="M842" s="6" t="s">
        <v>5783</v>
      </c>
      <c r="N842" s="17"/>
      <c r="O842" s="17"/>
      <c r="P842" s="17" t="str">
        <f t="shared" si="8"/>
        <v>OK</v>
      </c>
      <c r="Q842" s="17" t="s">
        <v>5784</v>
      </c>
      <c r="R842" s="6" t="s">
        <v>5785</v>
      </c>
      <c r="S842" s="6" t="s">
        <v>36</v>
      </c>
      <c r="T842" s="10" t="s">
        <v>85</v>
      </c>
      <c r="U842" s="18" t="s">
        <v>38</v>
      </c>
      <c r="V842" s="19" t="s">
        <v>28</v>
      </c>
      <c r="W842" s="22" t="s">
        <v>40</v>
      </c>
      <c r="X842" s="21" t="s">
        <v>40</v>
      </c>
      <c r="Y842" s="22"/>
      <c r="Z842" s="81"/>
      <c r="AA842" s="81"/>
      <c r="AB842" s="23"/>
      <c r="AC842" s="26"/>
    </row>
    <row r="843" spans="1:29" ht="15.75" customHeight="1">
      <c r="A843" s="10" t="s">
        <v>5786</v>
      </c>
      <c r="B843" s="10" t="s">
        <v>474</v>
      </c>
      <c r="C843" s="11" t="s">
        <v>28</v>
      </c>
      <c r="D843" s="12"/>
      <c r="E843" s="13" t="s">
        <v>378</v>
      </c>
      <c r="F843" s="43" t="s">
        <v>511</v>
      </c>
      <c r="G843" s="6" t="str">
        <f ca="1">IFERROR(__xludf.DUMMYFUNCTION("CONCATENATE(B843,(VLOOKUP(C843,CATALOGOS!$F$2:$H$6,3,FALSE)),(VLOOKUP(V843,CATALOGOS!$J$2:$K$18,2,FALSE)),""-"",TO_TEXT(A843))"),"P35DA-0842")</f>
        <v>P35DA-0842</v>
      </c>
      <c r="H843" s="15" t="str">
        <f ca="1">IFERROR(__xludf.DUMMYFUNCTION("CONCATENATE($B843,(VLOOKUP($C843,CATALOGOS!$F$2:$H$6,3,FALSE)),(VLOOKUP($V843,CATALOGOS!$J$2:$K$18,2,FALSE)),""-"",TO_TEXT($A843))"),"P35DA-0842")</f>
        <v>P35DA-0842</v>
      </c>
      <c r="I843" s="6"/>
      <c r="J843" s="6" t="s">
        <v>5787</v>
      </c>
      <c r="K843" s="6" t="s">
        <v>5788</v>
      </c>
      <c r="L843" s="6" t="s">
        <v>5789</v>
      </c>
      <c r="M843" s="6" t="s">
        <v>5790</v>
      </c>
      <c r="N843" s="17"/>
      <c r="O843" s="17"/>
      <c r="P843" s="17" t="str">
        <f t="shared" si="8"/>
        <v>OK</v>
      </c>
      <c r="Q843" s="17" t="s">
        <v>35</v>
      </c>
      <c r="R843" s="6" t="s">
        <v>35</v>
      </c>
      <c r="S843" s="17" t="s">
        <v>36</v>
      </c>
      <c r="T843" s="17" t="s">
        <v>5791</v>
      </c>
      <c r="U843" s="18" t="s">
        <v>517</v>
      </c>
      <c r="V843" s="19" t="s">
        <v>28</v>
      </c>
      <c r="W843" s="22" t="s">
        <v>40</v>
      </c>
      <c r="X843" s="21" t="s">
        <v>40</v>
      </c>
      <c r="Y843" s="22"/>
      <c r="Z843" s="6"/>
      <c r="AA843" s="6"/>
      <c r="AB843" s="23"/>
      <c r="AC843" s="7"/>
    </row>
    <row r="844" spans="1:29" ht="15.75" customHeight="1">
      <c r="A844" s="10" t="s">
        <v>5792</v>
      </c>
      <c r="B844" s="10" t="s">
        <v>474</v>
      </c>
      <c r="C844" s="11" t="s">
        <v>28</v>
      </c>
      <c r="D844" s="12"/>
      <c r="E844" s="13" t="s">
        <v>378</v>
      </c>
      <c r="F844" s="43" t="s">
        <v>511</v>
      </c>
      <c r="G844" s="82" t="str">
        <f ca="1">IFERROR(__xludf.DUMMYFUNCTION("CONCATENATE(B844,(VLOOKUP(C844,CATALOGOS!$F$2:$H$6,3,FALSE)),(VLOOKUP(V844,CATALOGOS!$J$2:$K$18,2,FALSE)),""-"",TO_TEXT(A844))"),"P35RM-0843")</f>
        <v>P35RM-0843</v>
      </c>
      <c r="H844" s="15" t="str">
        <f ca="1">IFERROR(__xludf.DUMMYFUNCTION("CONCATENATE($B844,(VLOOKUP($C844,CATALOGOS!$F$2:$H$6,3,FALSE)),(VLOOKUP($V844,CATALOGOS!$J$2:$K$18,2,FALSE)),""-"",TO_TEXT($A844))"),"P35RM-0843")</f>
        <v>P35RM-0843</v>
      </c>
      <c r="I844" s="6" t="s">
        <v>5793</v>
      </c>
      <c r="J844" s="6" t="s">
        <v>5794</v>
      </c>
      <c r="K844" s="6" t="s">
        <v>5795</v>
      </c>
      <c r="L844" s="6" t="s">
        <v>5796</v>
      </c>
      <c r="M844" s="6" t="s">
        <v>5797</v>
      </c>
      <c r="N844" s="17"/>
      <c r="O844" s="17"/>
      <c r="P844" s="17" t="str">
        <f t="shared" si="8"/>
        <v>OK</v>
      </c>
      <c r="Q844" s="17" t="s">
        <v>35</v>
      </c>
      <c r="R844" s="6" t="s">
        <v>35</v>
      </c>
      <c r="S844" s="17" t="s">
        <v>36</v>
      </c>
      <c r="T844" s="17" t="s">
        <v>5798</v>
      </c>
      <c r="U844" s="18" t="s">
        <v>100</v>
      </c>
      <c r="V844" s="19" t="s">
        <v>147</v>
      </c>
      <c r="W844" s="20" t="s">
        <v>385</v>
      </c>
      <c r="X844" s="21" t="s">
        <v>40</v>
      </c>
      <c r="Y844" s="40" t="s">
        <v>261</v>
      </c>
      <c r="Z844" s="6"/>
      <c r="AA844" s="6" t="s">
        <v>440</v>
      </c>
      <c r="AB844" s="23"/>
      <c r="AC844" s="7"/>
    </row>
    <row r="845" spans="1:29" ht="15.75" customHeight="1">
      <c r="A845" s="10" t="s">
        <v>5799</v>
      </c>
      <c r="B845" s="10" t="s">
        <v>474</v>
      </c>
      <c r="C845" s="11" t="s">
        <v>28</v>
      </c>
      <c r="D845" s="12"/>
      <c r="E845" s="13" t="s">
        <v>93</v>
      </c>
      <c r="F845" s="6" t="s">
        <v>5800</v>
      </c>
      <c r="G845" s="6" t="str">
        <f ca="1">IFERROR(__xludf.DUMMYFUNCTION("CONCATENATE(B845,(VLOOKUP(C845,CATALOGOS!$F$2:$H$6,3,FALSE)),(VLOOKUP(V845,CATALOGOS!$J$2:$K$18,2,FALSE)),""-"",TO_TEXT(A845))"),"P35DA-0844")</f>
        <v>P35DA-0844</v>
      </c>
      <c r="H845" s="15" t="str">
        <f ca="1">IFERROR(__xludf.DUMMYFUNCTION("CONCATENATE($B845,(VLOOKUP($C845,CATALOGOS!$F$2:$H$6,3,FALSE)),(VLOOKUP($V845,CATALOGOS!$J$2:$K$18,2,FALSE)),""-"",TO_TEXT($A845))"),"P35DA-0844")</f>
        <v>P35DA-0844</v>
      </c>
      <c r="I845" s="6"/>
      <c r="J845" s="6" t="s">
        <v>5801</v>
      </c>
      <c r="K845" s="6" t="s">
        <v>5802</v>
      </c>
      <c r="L845" s="6" t="s">
        <v>5803</v>
      </c>
      <c r="M845" s="6" t="s">
        <v>5804</v>
      </c>
      <c r="N845" s="17"/>
      <c r="O845" s="17"/>
      <c r="P845" s="17" t="str">
        <f t="shared" si="8"/>
        <v>OK</v>
      </c>
      <c r="Q845" s="17" t="s">
        <v>35</v>
      </c>
      <c r="R845" s="6" t="s">
        <v>35</v>
      </c>
      <c r="S845" s="17" t="s">
        <v>36</v>
      </c>
      <c r="T845" s="17" t="s">
        <v>5805</v>
      </c>
      <c r="U845" s="18" t="s">
        <v>38</v>
      </c>
      <c r="V845" s="19" t="s">
        <v>28</v>
      </c>
      <c r="W845" s="22" t="s">
        <v>40</v>
      </c>
      <c r="X845" s="21" t="s">
        <v>40</v>
      </c>
      <c r="Y845" s="22"/>
      <c r="Z845" s="6"/>
      <c r="AA845" s="6"/>
      <c r="AB845" s="23"/>
      <c r="AC845" s="7"/>
    </row>
    <row r="846" spans="1:29" ht="15.75" customHeight="1">
      <c r="A846" s="10" t="s">
        <v>5806</v>
      </c>
      <c r="B846" s="10" t="s">
        <v>474</v>
      </c>
      <c r="C846" s="11" t="s">
        <v>28</v>
      </c>
      <c r="D846" s="12"/>
      <c r="E846" s="13" t="s">
        <v>93</v>
      </c>
      <c r="F846" s="6" t="s">
        <v>772</v>
      </c>
      <c r="G846" s="6" t="str">
        <f ca="1">IFERROR(__xludf.DUMMYFUNCTION("CONCATENATE(B846,(VLOOKUP(C846,CATALOGOS!$F$2:$H$6,3,FALSE)),(VLOOKUP(V846,CATALOGOS!$J$2:$K$18,2,FALSE)),""-"",TO_TEXT(A846))"),"P35DA-0845")</f>
        <v>P35DA-0845</v>
      </c>
      <c r="H846" s="15" t="str">
        <f ca="1">IFERROR(__xludf.DUMMYFUNCTION("CONCATENATE($B846,(VLOOKUP($C846,CATALOGOS!$F$2:$H$6,3,FALSE)),(VLOOKUP($V846,CATALOGOS!$J$2:$K$18,2,FALSE)),""-"",TO_TEXT($A846))"),"P35DA-0845")</f>
        <v>P35DA-0845</v>
      </c>
      <c r="I846" s="6"/>
      <c r="J846" s="6" t="s">
        <v>5807</v>
      </c>
      <c r="K846" s="6" t="s">
        <v>5808</v>
      </c>
      <c r="L846" s="6" t="s">
        <v>5809</v>
      </c>
      <c r="M846" s="6" t="s">
        <v>5810</v>
      </c>
      <c r="N846" s="17"/>
      <c r="O846" s="17"/>
      <c r="P846" s="17" t="str">
        <f t="shared" si="8"/>
        <v>OK</v>
      </c>
      <c r="Q846" s="17" t="s">
        <v>35</v>
      </c>
      <c r="R846" s="6" t="s">
        <v>35</v>
      </c>
      <c r="S846" s="17" t="s">
        <v>36</v>
      </c>
      <c r="T846" s="17" t="s">
        <v>5811</v>
      </c>
      <c r="U846" s="18" t="s">
        <v>38</v>
      </c>
      <c r="V846" s="19" t="s">
        <v>28</v>
      </c>
      <c r="W846" s="22" t="s">
        <v>40</v>
      </c>
      <c r="X846" s="21" t="s">
        <v>40</v>
      </c>
      <c r="Y846" s="22"/>
      <c r="Z846" s="6"/>
      <c r="AA846" s="6"/>
      <c r="AB846" s="23"/>
      <c r="AC846" s="7"/>
    </row>
    <row r="847" spans="1:29" ht="15.75" customHeight="1">
      <c r="A847" s="10" t="s">
        <v>5812</v>
      </c>
      <c r="B847" s="10" t="s">
        <v>474</v>
      </c>
      <c r="C847" s="11" t="s">
        <v>28</v>
      </c>
      <c r="D847" s="12"/>
      <c r="E847" s="13" t="s">
        <v>93</v>
      </c>
      <c r="F847" s="6" t="s">
        <v>5813</v>
      </c>
      <c r="G847" s="6" t="str">
        <f ca="1">IFERROR(__xludf.DUMMYFUNCTION("CONCATENATE(B847,(VLOOKUP(C847,CATALOGOS!$F$2:$H$6,3,FALSE)),(VLOOKUP(V847,CATALOGOS!$J$2:$K$18,2,FALSE)),""-"",TO_TEXT(A847))"),"P35DA-0846")</f>
        <v>P35DA-0846</v>
      </c>
      <c r="H847" s="15" t="str">
        <f ca="1">IFERROR(__xludf.DUMMYFUNCTION("CONCATENATE($B847,(VLOOKUP($C847,CATALOGOS!$F$2:$H$6,3,FALSE)),(VLOOKUP($V847,CATALOGOS!$J$2:$K$18,2,FALSE)),""-"",TO_TEXT($A847))"),"P35DA-0846")</f>
        <v>P35DA-0846</v>
      </c>
      <c r="I847" s="6"/>
      <c r="J847" s="6" t="s">
        <v>5814</v>
      </c>
      <c r="K847" s="6" t="s">
        <v>5815</v>
      </c>
      <c r="L847" s="6" t="s">
        <v>5816</v>
      </c>
      <c r="M847" s="6" t="s">
        <v>5817</v>
      </c>
      <c r="N847" s="17"/>
      <c r="O847" s="17"/>
      <c r="P847" s="17" t="str">
        <f t="shared" si="8"/>
        <v>OK</v>
      </c>
      <c r="Q847" s="17" t="s">
        <v>35</v>
      </c>
      <c r="R847" s="6" t="s">
        <v>35</v>
      </c>
      <c r="S847" s="17" t="s">
        <v>36</v>
      </c>
      <c r="T847" s="17" t="s">
        <v>5818</v>
      </c>
      <c r="U847" s="18" t="s">
        <v>38</v>
      </c>
      <c r="V847" s="19" t="s">
        <v>28</v>
      </c>
      <c r="W847" s="22" t="s">
        <v>40</v>
      </c>
      <c r="X847" s="21" t="s">
        <v>40</v>
      </c>
      <c r="Y847" s="22"/>
      <c r="Z847" s="6"/>
      <c r="AA847" s="6"/>
      <c r="AB847" s="23"/>
      <c r="AC847" s="7"/>
    </row>
    <row r="848" spans="1:29" ht="15.75" customHeight="1">
      <c r="A848" s="10" t="s">
        <v>5819</v>
      </c>
      <c r="B848" s="10" t="s">
        <v>474</v>
      </c>
      <c r="C848" s="11" t="s">
        <v>28</v>
      </c>
      <c r="D848" s="12"/>
      <c r="E848" s="13" t="s">
        <v>378</v>
      </c>
      <c r="F848" s="43" t="s">
        <v>511</v>
      </c>
      <c r="G848" s="6" t="str">
        <f ca="1">IFERROR(__xludf.DUMMYFUNCTION("CONCATENATE(B848,(VLOOKUP(C848,CATALOGOS!$F$2:$H$6,3,FALSE)),(VLOOKUP(V848,CATALOGOS!$J$2:$K$18,2,FALSE)),""-"",TO_TEXT(A848))"),"P35RM-0847")</f>
        <v>P35RM-0847</v>
      </c>
      <c r="H848" s="15" t="str">
        <f ca="1">IFERROR(__xludf.DUMMYFUNCTION("CONCATENATE($B848,(VLOOKUP($C848,CATALOGOS!$F$2:$H$6,3,FALSE)),(VLOOKUP($V848,CATALOGOS!$J$2:$K$18,2,FALSE)),""-"",TO_TEXT($A848))"),"P35RM-0847")</f>
        <v>P35RM-0847</v>
      </c>
      <c r="I848" s="6" t="s">
        <v>5793</v>
      </c>
      <c r="J848" s="6" t="s">
        <v>5820</v>
      </c>
      <c r="K848" s="6" t="s">
        <v>5821</v>
      </c>
      <c r="L848" s="6" t="s">
        <v>5822</v>
      </c>
      <c r="M848" s="6" t="s">
        <v>5823</v>
      </c>
      <c r="N848" s="17"/>
      <c r="O848" s="17"/>
      <c r="P848" s="17" t="str">
        <f t="shared" si="8"/>
        <v>OK</v>
      </c>
      <c r="Q848" s="17" t="s">
        <v>35</v>
      </c>
      <c r="R848" s="6" t="s">
        <v>35</v>
      </c>
      <c r="S848" s="17" t="s">
        <v>36</v>
      </c>
      <c r="T848" s="17" t="s">
        <v>5824</v>
      </c>
      <c r="U848" s="18" t="s">
        <v>100</v>
      </c>
      <c r="V848" s="19" t="s">
        <v>147</v>
      </c>
      <c r="W848" s="20" t="s">
        <v>385</v>
      </c>
      <c r="X848" s="21" t="s">
        <v>40</v>
      </c>
      <c r="Y848" s="40" t="s">
        <v>261</v>
      </c>
      <c r="Z848" s="81"/>
      <c r="AA848" s="81"/>
      <c r="AB848" s="23"/>
      <c r="AC848" s="26"/>
    </row>
    <row r="849" spans="1:29" ht="15.75" customHeight="1">
      <c r="A849" s="10" t="s">
        <v>5825</v>
      </c>
      <c r="B849" s="10" t="s">
        <v>474</v>
      </c>
      <c r="C849" s="11" t="s">
        <v>28</v>
      </c>
      <c r="D849" s="12"/>
      <c r="E849" s="13" t="s">
        <v>378</v>
      </c>
      <c r="F849" s="43" t="s">
        <v>511</v>
      </c>
      <c r="G849" s="6" t="str">
        <f ca="1">IFERROR(__xludf.DUMMYFUNCTION("CONCATENATE(B849,(VLOOKUP(C849,CATALOGOS!$F$2:$H$6,3,FALSE)),(VLOOKUP(V849,CATALOGOS!$J$2:$K$18,2,FALSE)),""-"",TO_TEXT(A849))"),"P35DA-0848")</f>
        <v>P35DA-0848</v>
      </c>
      <c r="H849" s="15" t="str">
        <f ca="1">IFERROR(__xludf.DUMMYFUNCTION("CONCATENATE($B849,(VLOOKUP($C849,CATALOGOS!$F$2:$H$6,3,FALSE)),(VLOOKUP($V849,CATALOGOS!$J$2:$K$18,2,FALSE)),""-"",TO_TEXT($A849))"),"P35DA-0848")</f>
        <v>P35DA-0848</v>
      </c>
      <c r="I849" s="6"/>
      <c r="J849" s="6" t="s">
        <v>5826</v>
      </c>
      <c r="K849" s="6" t="s">
        <v>5827</v>
      </c>
      <c r="L849" s="6" t="s">
        <v>5828</v>
      </c>
      <c r="M849" s="6" t="s">
        <v>5829</v>
      </c>
      <c r="N849" s="17"/>
      <c r="O849" s="17"/>
      <c r="P849" s="17" t="str">
        <f t="shared" si="8"/>
        <v>OK</v>
      </c>
      <c r="Q849" s="17" t="s">
        <v>35</v>
      </c>
      <c r="R849" s="6" t="s">
        <v>35</v>
      </c>
      <c r="S849" s="17" t="s">
        <v>36</v>
      </c>
      <c r="T849" s="17" t="s">
        <v>5830</v>
      </c>
      <c r="U849" s="18" t="s">
        <v>517</v>
      </c>
      <c r="V849" s="19" t="s">
        <v>28</v>
      </c>
      <c r="W849" s="22" t="s">
        <v>40</v>
      </c>
      <c r="X849" s="21" t="s">
        <v>40</v>
      </c>
      <c r="Y849" s="22"/>
      <c r="Z849" s="81"/>
      <c r="AA849" s="81"/>
      <c r="AB849" s="23"/>
      <c r="AC849" s="26"/>
    </row>
    <row r="850" spans="1:29" ht="15.75" customHeight="1">
      <c r="A850" s="10" t="s">
        <v>5831</v>
      </c>
      <c r="B850" s="10" t="s">
        <v>474</v>
      </c>
      <c r="C850" s="11" t="s">
        <v>28</v>
      </c>
      <c r="D850" s="12"/>
      <c r="E850" s="13" t="s">
        <v>378</v>
      </c>
      <c r="F850" s="43" t="s">
        <v>511</v>
      </c>
      <c r="G850" s="6" t="str">
        <f ca="1">IFERROR(__xludf.DUMMYFUNCTION("CONCATENATE(B850,(VLOOKUP(C850,CATALOGOS!$F$2:$H$6,3,FALSE)),(VLOOKUP(V850,CATALOGOS!$J$2:$K$18,2,FALSE)),""-"",TO_TEXT(A850))"),"P35DA-0849")</f>
        <v>P35DA-0849</v>
      </c>
      <c r="H850" s="15" t="str">
        <f ca="1">IFERROR(__xludf.DUMMYFUNCTION("CONCATENATE($B850,(VLOOKUP($C850,CATALOGOS!$F$2:$H$6,3,FALSE)),(VLOOKUP($V850,CATALOGOS!$J$2:$K$18,2,FALSE)),""-"",TO_TEXT($A850))"),"P35DA-0849")</f>
        <v>P35DA-0849</v>
      </c>
      <c r="I850" s="6"/>
      <c r="J850" s="6" t="s">
        <v>5832</v>
      </c>
      <c r="K850" s="6" t="s">
        <v>5833</v>
      </c>
      <c r="L850" s="6" t="s">
        <v>5834</v>
      </c>
      <c r="M850" s="6" t="s">
        <v>5835</v>
      </c>
      <c r="N850" s="17"/>
      <c r="O850" s="17"/>
      <c r="P850" s="17" t="str">
        <f t="shared" si="8"/>
        <v>OK</v>
      </c>
      <c r="Q850" s="17" t="s">
        <v>35</v>
      </c>
      <c r="R850" s="6" t="s">
        <v>35</v>
      </c>
      <c r="S850" s="17" t="s">
        <v>36</v>
      </c>
      <c r="T850" s="17" t="s">
        <v>5836</v>
      </c>
      <c r="U850" s="18" t="s">
        <v>517</v>
      </c>
      <c r="V850" s="19" t="s">
        <v>28</v>
      </c>
      <c r="W850" s="22" t="s">
        <v>40</v>
      </c>
      <c r="X850" s="21" t="s">
        <v>40</v>
      </c>
      <c r="Y850" s="22"/>
      <c r="Z850" s="81"/>
      <c r="AA850" s="81"/>
      <c r="AB850" s="23"/>
      <c r="AC850" s="26"/>
    </row>
    <row r="851" spans="1:29" ht="15.75" customHeight="1">
      <c r="A851" s="10" t="s">
        <v>5837</v>
      </c>
      <c r="B851" s="10" t="s">
        <v>474</v>
      </c>
      <c r="C851" s="11" t="s">
        <v>28</v>
      </c>
      <c r="D851" s="12"/>
      <c r="E851" s="13" t="s">
        <v>378</v>
      </c>
      <c r="F851" s="6" t="s">
        <v>535</v>
      </c>
      <c r="G851" s="6" t="str">
        <f ca="1">IFERROR(__xludf.DUMMYFUNCTION("CONCATENATE(B851,(VLOOKUP(C851,CATALOGOS!$F$2:$H$6,3,FALSE)),(VLOOKUP(V851,CATALOGOS!$J$2:$K$18,2,FALSE)),""-"",TO_TEXT(A851))"),"P35DA-0850")</f>
        <v>P35DA-0850</v>
      </c>
      <c r="H851" s="15" t="str">
        <f ca="1">IFERROR(__xludf.DUMMYFUNCTION("CONCATENATE($B851,(VLOOKUP($C851,CATALOGOS!$F$2:$H$6,3,FALSE)),(VLOOKUP($V851,CATALOGOS!$J$2:$K$18,2,FALSE)),""-"",TO_TEXT($A851))"),"P35DA-0850")</f>
        <v>P35DA-0850</v>
      </c>
      <c r="I851" s="6"/>
      <c r="J851" s="6" t="s">
        <v>5838</v>
      </c>
      <c r="K851" s="6" t="s">
        <v>5839</v>
      </c>
      <c r="L851" s="6" t="s">
        <v>5840</v>
      </c>
      <c r="M851" s="6" t="s">
        <v>5841</v>
      </c>
      <c r="N851" s="17"/>
      <c r="O851" s="17"/>
      <c r="P851" s="17" t="str">
        <f t="shared" si="8"/>
        <v>OK</v>
      </c>
      <c r="Q851" s="17" t="s">
        <v>35</v>
      </c>
      <c r="R851" s="6" t="s">
        <v>35</v>
      </c>
      <c r="S851" s="17" t="s">
        <v>36</v>
      </c>
      <c r="T851" s="17" t="s">
        <v>5842</v>
      </c>
      <c r="U851" s="18" t="s">
        <v>517</v>
      </c>
      <c r="V851" s="19" t="s">
        <v>28</v>
      </c>
      <c r="W851" s="22" t="s">
        <v>40</v>
      </c>
      <c r="X851" s="21" t="s">
        <v>40</v>
      </c>
      <c r="Y851" s="22"/>
      <c r="Z851" s="81"/>
      <c r="AA851" s="81"/>
      <c r="AB851" s="23"/>
      <c r="AC851" s="26"/>
    </row>
    <row r="852" spans="1:29" ht="15.75" customHeight="1">
      <c r="A852" s="10" t="s">
        <v>5843</v>
      </c>
      <c r="B852" s="10" t="s">
        <v>474</v>
      </c>
      <c r="C852" s="11" t="s">
        <v>28</v>
      </c>
      <c r="D852" s="12"/>
      <c r="E852" s="13" t="s">
        <v>378</v>
      </c>
      <c r="F852" s="43" t="s">
        <v>511</v>
      </c>
      <c r="G852" s="6" t="str">
        <f ca="1">IFERROR(__xludf.DUMMYFUNCTION("CONCATENATE(B852,(VLOOKUP(C852,CATALOGOS!$F$2:$H$6,3,FALSE)),(VLOOKUP(V852,CATALOGOS!$J$2:$K$18,2,FALSE)),""-"",TO_TEXT(A852))"),"P35DA-0851")</f>
        <v>P35DA-0851</v>
      </c>
      <c r="H852" s="15" t="str">
        <f ca="1">IFERROR(__xludf.DUMMYFUNCTION("CONCATENATE($B852,(VLOOKUP($C852,CATALOGOS!$F$2:$H$6,3,FALSE)),(VLOOKUP($V852,CATALOGOS!$J$2:$K$18,2,FALSE)),""-"",TO_TEXT($A852))"),"P35DA-0851")</f>
        <v>P35DA-0851</v>
      </c>
      <c r="I852" s="6"/>
      <c r="J852" s="6" t="s">
        <v>5844</v>
      </c>
      <c r="K852" s="6" t="s">
        <v>5845</v>
      </c>
      <c r="L852" s="6" t="s">
        <v>5846</v>
      </c>
      <c r="M852" s="6" t="s">
        <v>5847</v>
      </c>
      <c r="N852" s="17"/>
      <c r="O852" s="17"/>
      <c r="P852" s="17" t="str">
        <f t="shared" si="8"/>
        <v>OK</v>
      </c>
      <c r="Q852" s="17" t="s">
        <v>35</v>
      </c>
      <c r="R852" s="6" t="s">
        <v>35</v>
      </c>
      <c r="S852" s="17" t="s">
        <v>36</v>
      </c>
      <c r="T852" s="17" t="s">
        <v>5848</v>
      </c>
      <c r="U852" s="18" t="s">
        <v>517</v>
      </c>
      <c r="V852" s="19" t="s">
        <v>28</v>
      </c>
      <c r="W852" s="22" t="s">
        <v>40</v>
      </c>
      <c r="X852" s="21" t="s">
        <v>40</v>
      </c>
      <c r="Y852" s="22"/>
      <c r="Z852" s="81"/>
      <c r="AA852" s="81"/>
      <c r="AB852" s="23"/>
      <c r="AC852" s="26"/>
    </row>
    <row r="853" spans="1:29" ht="15.75" customHeight="1">
      <c r="A853" s="10" t="s">
        <v>5849</v>
      </c>
      <c r="B853" s="10" t="s">
        <v>27</v>
      </c>
      <c r="C853" s="11" t="s">
        <v>28</v>
      </c>
      <c r="D853" s="12"/>
      <c r="E853" s="13" t="s">
        <v>378</v>
      </c>
      <c r="F853" s="6" t="s">
        <v>511</v>
      </c>
      <c r="G853" s="6" t="str">
        <f ca="1">IFERROR(__xludf.DUMMYFUNCTION("CONCATENATE(B853,(VLOOKUP(C853,CATALOGOS!$F$2:$H$6,3,FALSE)),(VLOOKUP(V853,CATALOGOS!$J$2:$K$18,2,FALSE)),""-"",TO_TEXT(A853))"),"P05RM-0852")</f>
        <v>P05RM-0852</v>
      </c>
      <c r="H853" s="15" t="str">
        <f ca="1">IFERROR(__xludf.DUMMYFUNCTION("CONCATENATE($B853,(VLOOKUP($C853,CATALOGOS!$F$2:$H$6,3,FALSE)),(VLOOKUP($V853,CATALOGOS!$J$2:$K$18,2,FALSE)),""-"",TO_TEXT($A853))"),"P05RM-0852")</f>
        <v>P05RM-0852</v>
      </c>
      <c r="I853" s="6" t="s">
        <v>5850</v>
      </c>
      <c r="J853" s="6" t="s">
        <v>5851</v>
      </c>
      <c r="K853" s="6" t="s">
        <v>5852</v>
      </c>
      <c r="L853" s="6" t="s">
        <v>5853</v>
      </c>
      <c r="M853" s="6" t="s">
        <v>5854</v>
      </c>
      <c r="N853" s="17"/>
      <c r="O853" s="17"/>
      <c r="P853" s="17" t="str">
        <f t="shared" si="8"/>
        <v>OK</v>
      </c>
      <c r="Q853" s="17" t="s">
        <v>35</v>
      </c>
      <c r="R853" s="6" t="s">
        <v>35</v>
      </c>
      <c r="S853" s="17" t="s">
        <v>36</v>
      </c>
      <c r="T853" s="17" t="s">
        <v>5855</v>
      </c>
      <c r="U853" s="18" t="s">
        <v>517</v>
      </c>
      <c r="V853" s="19" t="s">
        <v>147</v>
      </c>
      <c r="W853" s="20" t="s">
        <v>385</v>
      </c>
      <c r="X853" s="21" t="s">
        <v>40</v>
      </c>
      <c r="Y853" s="22"/>
      <c r="Z853" s="81"/>
      <c r="AA853" s="81"/>
      <c r="AB853" s="23"/>
      <c r="AC853" s="26"/>
    </row>
    <row r="854" spans="1:29" ht="15.75" customHeight="1">
      <c r="A854" s="10" t="s">
        <v>5856</v>
      </c>
      <c r="B854" s="10" t="s">
        <v>474</v>
      </c>
      <c r="C854" s="11" t="s">
        <v>28</v>
      </c>
      <c r="D854" s="12"/>
      <c r="E854" s="13" t="s">
        <v>378</v>
      </c>
      <c r="F854" s="6" t="s">
        <v>5857</v>
      </c>
      <c r="G854" s="6" t="str">
        <f ca="1">IFERROR(__xludf.DUMMYFUNCTION("CONCATENATE(B854,(VLOOKUP(C854,CATALOGOS!$F$2:$H$6,3,FALSE)),(VLOOKUP(V854,CATALOGOS!$J$2:$K$18,2,FALSE)),""-"",TO_TEXT(A854))"),"P35DA-0853")</f>
        <v>P35DA-0853</v>
      </c>
      <c r="H854" s="15" t="str">
        <f ca="1">IFERROR(__xludf.DUMMYFUNCTION("CONCATENATE($B854,(VLOOKUP($C854,CATALOGOS!$F$2:$H$6,3,FALSE)),(VLOOKUP($V854,CATALOGOS!$J$2:$K$18,2,FALSE)),""-"",TO_TEXT($A854))"),"P35DA-0853")</f>
        <v>P35DA-0853</v>
      </c>
      <c r="I854" s="6"/>
      <c r="J854" s="6" t="s">
        <v>5858</v>
      </c>
      <c r="K854" s="6" t="s">
        <v>5859</v>
      </c>
      <c r="L854" s="6" t="s">
        <v>5860</v>
      </c>
      <c r="M854" s="6" t="s">
        <v>5861</v>
      </c>
      <c r="N854" s="17"/>
      <c r="O854" s="17"/>
      <c r="P854" s="17" t="str">
        <f t="shared" si="8"/>
        <v>OK</v>
      </c>
      <c r="Q854" s="17" t="s">
        <v>35</v>
      </c>
      <c r="R854" s="6" t="s">
        <v>35</v>
      </c>
      <c r="S854" s="17" t="s">
        <v>36</v>
      </c>
      <c r="T854" s="17" t="s">
        <v>5862</v>
      </c>
      <c r="U854" s="18" t="s">
        <v>517</v>
      </c>
      <c r="V854" s="19" t="s">
        <v>28</v>
      </c>
      <c r="W854" s="22" t="s">
        <v>40</v>
      </c>
      <c r="X854" s="21" t="s">
        <v>40</v>
      </c>
      <c r="Y854" s="22"/>
      <c r="Z854" s="81"/>
      <c r="AA854" s="81"/>
      <c r="AB854" s="23"/>
      <c r="AC854" s="26"/>
    </row>
    <row r="855" spans="1:29" ht="15.75" customHeight="1">
      <c r="A855" s="10" t="s">
        <v>5863</v>
      </c>
      <c r="B855" s="10" t="s">
        <v>474</v>
      </c>
      <c r="C855" s="11" t="s">
        <v>28</v>
      </c>
      <c r="D855" s="12"/>
      <c r="E855" s="13" t="s">
        <v>93</v>
      </c>
      <c r="F855" s="6" t="s">
        <v>5771</v>
      </c>
      <c r="G855" s="6" t="str">
        <f ca="1">IFERROR(__xludf.DUMMYFUNCTION("CONCATENATE(B855,(VLOOKUP(C855,CATALOGOS!$F$2:$H$6,3,FALSE)),(VLOOKUP(V855,CATALOGOS!$J$2:$K$18,2,FALSE)),""-"",TO_TEXT(A855))"),"P35DA-0854")</f>
        <v>P35DA-0854</v>
      </c>
      <c r="H855" s="15" t="str">
        <f ca="1">IFERROR(__xludf.DUMMYFUNCTION("CONCATENATE($B855,(VLOOKUP($C855,CATALOGOS!$F$2:$H$6,3,FALSE)),(VLOOKUP($V855,CATALOGOS!$J$2:$K$18,2,FALSE)),""-"",TO_TEXT($A855))"),"P35DA-0854")</f>
        <v>P35DA-0854</v>
      </c>
      <c r="I855" s="6"/>
      <c r="J855" s="6" t="s">
        <v>5864</v>
      </c>
      <c r="K855" s="6" t="s">
        <v>5865</v>
      </c>
      <c r="L855" s="6" t="s">
        <v>5866</v>
      </c>
      <c r="M855" s="6" t="s">
        <v>5867</v>
      </c>
      <c r="N855" s="17"/>
      <c r="O855" s="17"/>
      <c r="P855" s="17" t="str">
        <f t="shared" si="8"/>
        <v>OK</v>
      </c>
      <c r="Q855" s="17" t="s">
        <v>35</v>
      </c>
      <c r="R855" s="6" t="s">
        <v>35</v>
      </c>
      <c r="S855" s="17" t="s">
        <v>36</v>
      </c>
      <c r="T855" s="17" t="s">
        <v>5868</v>
      </c>
      <c r="U855" s="18" t="s">
        <v>38</v>
      </c>
      <c r="V855" s="19" t="s">
        <v>28</v>
      </c>
      <c r="W855" s="22" t="s">
        <v>40</v>
      </c>
      <c r="X855" s="21" t="s">
        <v>40</v>
      </c>
      <c r="Y855" s="22"/>
      <c r="Z855" s="81"/>
      <c r="AA855" s="81"/>
      <c r="AB855" s="23"/>
      <c r="AC855" s="26"/>
    </row>
    <row r="856" spans="1:29" ht="15.75" customHeight="1">
      <c r="A856" s="10" t="s">
        <v>5869</v>
      </c>
      <c r="B856" s="10" t="s">
        <v>27</v>
      </c>
      <c r="C856" s="11" t="s">
        <v>28</v>
      </c>
      <c r="D856" s="12"/>
      <c r="E856" s="13" t="s">
        <v>5778</v>
      </c>
      <c r="F856" s="43" t="s">
        <v>5870</v>
      </c>
      <c r="G856" s="6" t="str">
        <f ca="1">IFERROR(__xludf.DUMMYFUNCTION("CONCATENATE(B856,(VLOOKUP(C856,CATALOGOS!$F$2:$H$6,3,FALSE)),(VLOOKUP(V856,CATALOGOS!$J$2:$K$18,2,FALSE)),""-"",TO_TEXT(A856))"),"P05RM-0855")</f>
        <v>P05RM-0855</v>
      </c>
      <c r="H856" s="15" t="str">
        <f ca="1">IFERROR(__xludf.DUMMYFUNCTION("CONCATENATE($B856,(VLOOKUP($C856,CATALOGOS!$F$2:$H$6,3,FALSE)),(VLOOKUP($V856,CATALOGOS!$J$2:$K$18,2,FALSE)),""-"",TO_TEXT($A856))"),"P05RM-0855")</f>
        <v>P05RM-0855</v>
      </c>
      <c r="I856" s="6"/>
      <c r="J856" s="6" t="s">
        <v>5871</v>
      </c>
      <c r="K856" s="6" t="s">
        <v>5872</v>
      </c>
      <c r="L856" s="6" t="s">
        <v>5873</v>
      </c>
      <c r="M856" s="6" t="s">
        <v>5874</v>
      </c>
      <c r="N856" s="17"/>
      <c r="O856" s="17"/>
      <c r="P856" s="17" t="str">
        <f t="shared" si="8"/>
        <v>OK</v>
      </c>
      <c r="Q856" s="17" t="s">
        <v>5875</v>
      </c>
      <c r="R856" s="6" t="s">
        <v>5876</v>
      </c>
      <c r="S856" s="17" t="s">
        <v>5877</v>
      </c>
      <c r="T856" s="17" t="s">
        <v>5878</v>
      </c>
      <c r="U856" s="18" t="s">
        <v>100</v>
      </c>
      <c r="V856" s="19" t="s">
        <v>147</v>
      </c>
      <c r="W856" s="20" t="s">
        <v>385</v>
      </c>
      <c r="X856" s="21" t="s">
        <v>40</v>
      </c>
      <c r="Y856" s="22"/>
      <c r="Z856" s="81"/>
      <c r="AA856" s="81"/>
      <c r="AB856" s="23"/>
      <c r="AC856" s="26"/>
    </row>
    <row r="857" spans="1:29" ht="15.75" customHeight="1">
      <c r="A857" s="10" t="s">
        <v>5879</v>
      </c>
      <c r="B857" s="10" t="s">
        <v>474</v>
      </c>
      <c r="C857" s="11" t="s">
        <v>28</v>
      </c>
      <c r="D857" s="12"/>
      <c r="E857" s="13" t="s">
        <v>5778</v>
      </c>
      <c r="F857" s="43" t="s">
        <v>5880</v>
      </c>
      <c r="G857" s="6" t="str">
        <f ca="1">IFERROR(__xludf.DUMMYFUNCTION("CONCATENATE(B857,(VLOOKUP(C857,CATALOGOS!$F$2:$H$6,3,FALSE)),(VLOOKUP(V857,CATALOGOS!$J$2:$K$18,2,FALSE)),""-"",TO_TEXT(A857))"),"P35DA-0856")</f>
        <v>P35DA-0856</v>
      </c>
      <c r="H857" s="15" t="str">
        <f ca="1">IFERROR(__xludf.DUMMYFUNCTION("CONCATENATE($B857,(VLOOKUP($C857,CATALOGOS!$F$2:$H$6,3,FALSE)),(VLOOKUP($V857,CATALOGOS!$J$2:$K$18,2,FALSE)),""-"",TO_TEXT($A857))"),"P35DA-0856")</f>
        <v>P35DA-0856</v>
      </c>
      <c r="I857" s="6"/>
      <c r="J857" s="6" t="s">
        <v>5881</v>
      </c>
      <c r="K857" s="6" t="s">
        <v>5882</v>
      </c>
      <c r="L857" s="6" t="s">
        <v>5883</v>
      </c>
      <c r="M857" s="6" t="s">
        <v>5884</v>
      </c>
      <c r="N857" s="17"/>
      <c r="O857" s="17"/>
      <c r="P857" s="17" t="str">
        <f t="shared" si="8"/>
        <v>OK</v>
      </c>
      <c r="Q857" s="17" t="s">
        <v>5597</v>
      </c>
      <c r="R857" s="6" t="s">
        <v>5885</v>
      </c>
      <c r="S857" s="17" t="s">
        <v>5886</v>
      </c>
      <c r="T857" s="17" t="s">
        <v>5887</v>
      </c>
      <c r="U857" s="18" t="s">
        <v>38</v>
      </c>
      <c r="V857" s="19" t="s">
        <v>28</v>
      </c>
      <c r="W857" s="20" t="s">
        <v>40</v>
      </c>
      <c r="X857" s="21" t="s">
        <v>40</v>
      </c>
      <c r="Y857" s="22"/>
      <c r="Z857" s="81"/>
      <c r="AA857" s="81"/>
      <c r="AB857" s="23"/>
      <c r="AC857" s="26"/>
    </row>
    <row r="858" spans="1:29" ht="15.75" customHeight="1">
      <c r="A858" s="10" t="s">
        <v>5888</v>
      </c>
      <c r="B858" s="10" t="s">
        <v>474</v>
      </c>
      <c r="C858" s="11" t="s">
        <v>28</v>
      </c>
      <c r="D858" s="12"/>
      <c r="E858" s="13" t="s">
        <v>5889</v>
      </c>
      <c r="F858" s="43" t="s">
        <v>5889</v>
      </c>
      <c r="G858" s="6" t="str">
        <f ca="1">IFERROR(__xludf.DUMMYFUNCTION("CONCATENATE(B858,(VLOOKUP(C858,CATALOGOS!$F$2:$H$6,3,FALSE)),(VLOOKUP(V858,CATALOGOS!$J$2:$K$18,2,FALSE)),""-"",TO_TEXT(A858))"),"P35DA-0857")</f>
        <v>P35DA-0857</v>
      </c>
      <c r="H858" s="15" t="str">
        <f ca="1">IFERROR(__xludf.DUMMYFUNCTION("CONCATENATE($B858,(VLOOKUP($C858,CATALOGOS!$F$2:$H$6,3,FALSE)),(VLOOKUP($V858,CATALOGOS!$J$2:$K$18,2,FALSE)),""-"",TO_TEXT($A858))"),"P35DA-0857")</f>
        <v>P35DA-0857</v>
      </c>
      <c r="I858" s="6"/>
      <c r="J858" s="6" t="s">
        <v>5890</v>
      </c>
      <c r="K858" s="6" t="s">
        <v>5891</v>
      </c>
      <c r="L858" s="6" t="s">
        <v>5892</v>
      </c>
      <c r="M858" s="6" t="s">
        <v>141</v>
      </c>
      <c r="N858" s="17"/>
      <c r="O858" s="17"/>
      <c r="P858" s="17" t="str">
        <f t="shared" si="8"/>
        <v>REPETIDO</v>
      </c>
      <c r="Q858" s="17" t="s">
        <v>5893</v>
      </c>
      <c r="R858" s="32" t="s">
        <v>5894</v>
      </c>
      <c r="S858" s="17" t="s">
        <v>5895</v>
      </c>
      <c r="T858" s="10" t="s">
        <v>85</v>
      </c>
      <c r="U858" s="18" t="s">
        <v>38</v>
      </c>
      <c r="V858" s="19" t="s">
        <v>28</v>
      </c>
      <c r="W858" s="22" t="s">
        <v>40</v>
      </c>
      <c r="X858" s="21" t="s">
        <v>40</v>
      </c>
      <c r="Y858" s="22"/>
      <c r="Z858" s="6"/>
      <c r="AA858" s="6"/>
      <c r="AB858" s="23"/>
      <c r="AC858" s="7"/>
    </row>
    <row r="859" spans="1:29" ht="15.75" customHeight="1">
      <c r="A859" s="10" t="s">
        <v>5896</v>
      </c>
      <c r="B859" s="10" t="s">
        <v>474</v>
      </c>
      <c r="C859" s="11" t="s">
        <v>28</v>
      </c>
      <c r="D859" s="12"/>
      <c r="E859" s="13" t="s">
        <v>5897</v>
      </c>
      <c r="F859" s="43" t="s">
        <v>5897</v>
      </c>
      <c r="G859" s="6" t="str">
        <f ca="1">IFERROR(__xludf.DUMMYFUNCTION("CONCATENATE(B859,(VLOOKUP(C859,CATALOGOS!$F$2:$H$6,3,FALSE)),(VLOOKUP(V859,CATALOGOS!$J$2:$K$18,2,FALSE)),""-"",TO_TEXT(A859))"),"P35DA-0858")</f>
        <v>P35DA-0858</v>
      </c>
      <c r="H859" s="15" t="str">
        <f ca="1">IFERROR(__xludf.DUMMYFUNCTION("CONCATENATE($B859,(VLOOKUP($C859,CATALOGOS!$F$2:$H$6,3,FALSE)),(VLOOKUP($V859,CATALOGOS!$J$2:$K$18,2,FALSE)),""-"",TO_TEXT($A859))"),"P35DA-0858")</f>
        <v>P35DA-0858</v>
      </c>
      <c r="I859" s="6"/>
      <c r="J859" s="6" t="s">
        <v>5898</v>
      </c>
      <c r="K859" s="6" t="s">
        <v>5899</v>
      </c>
      <c r="L859" s="6" t="s">
        <v>5900</v>
      </c>
      <c r="M859" s="6" t="s">
        <v>141</v>
      </c>
      <c r="N859" s="17"/>
      <c r="O859" s="17"/>
      <c r="P859" s="17" t="str">
        <f t="shared" si="8"/>
        <v>REPETIDO</v>
      </c>
      <c r="Q859" s="17" t="s">
        <v>5901</v>
      </c>
      <c r="R859" s="6">
        <v>106782</v>
      </c>
      <c r="S859" s="6" t="s">
        <v>5902</v>
      </c>
      <c r="T859" s="10" t="s">
        <v>85</v>
      </c>
      <c r="U859" s="18" t="s">
        <v>38</v>
      </c>
      <c r="V859" s="19" t="s">
        <v>28</v>
      </c>
      <c r="W859" s="22" t="s">
        <v>40</v>
      </c>
      <c r="X859" s="21" t="s">
        <v>40</v>
      </c>
      <c r="Y859" s="22"/>
      <c r="Z859" s="6"/>
      <c r="AA859" s="6"/>
      <c r="AB859" s="23"/>
      <c r="AC859" s="7"/>
    </row>
    <row r="860" spans="1:29" ht="15.75" customHeight="1">
      <c r="A860" s="10" t="s">
        <v>5903</v>
      </c>
      <c r="B860" s="10" t="s">
        <v>474</v>
      </c>
      <c r="C860" s="11" t="s">
        <v>28</v>
      </c>
      <c r="D860" s="12"/>
      <c r="E860" s="13" t="s">
        <v>5904</v>
      </c>
      <c r="F860" s="43" t="s">
        <v>5905</v>
      </c>
      <c r="G860" s="6" t="str">
        <f ca="1">IFERROR(__xludf.DUMMYFUNCTION("CONCATENATE(B860,(VLOOKUP(C860,CATALOGOS!$F$2:$H$6,3,FALSE)),(VLOOKUP(V860,CATALOGOS!$J$2:$K$18,2,FALSE)),""-"",TO_TEXT(A860))"),"P35DA-0859")</f>
        <v>P35DA-0859</v>
      </c>
      <c r="H860" s="15" t="str">
        <f ca="1">IFERROR(__xludf.DUMMYFUNCTION("CONCATENATE($B860,(VLOOKUP($C860,CATALOGOS!$F$2:$H$6,3,FALSE)),(VLOOKUP($V860,CATALOGOS!$J$2:$K$18,2,FALSE)),""-"",TO_TEXT($A860))"),"P35DA-0859")</f>
        <v>P35DA-0859</v>
      </c>
      <c r="I860" s="6"/>
      <c r="J860" s="6" t="s">
        <v>5906</v>
      </c>
      <c r="K860" s="6" t="s">
        <v>5907</v>
      </c>
      <c r="L860" s="6" t="s">
        <v>5908</v>
      </c>
      <c r="M860" s="6" t="s">
        <v>5909</v>
      </c>
      <c r="N860" s="17"/>
      <c r="O860" s="17"/>
      <c r="P860" s="17" t="str">
        <f t="shared" si="8"/>
        <v>OK</v>
      </c>
      <c r="Q860" s="17" t="s">
        <v>5910</v>
      </c>
      <c r="R860" s="6" t="s">
        <v>35</v>
      </c>
      <c r="S860" s="17" t="s">
        <v>36</v>
      </c>
      <c r="T860" s="17" t="s">
        <v>5911</v>
      </c>
      <c r="U860" s="18" t="s">
        <v>38</v>
      </c>
      <c r="V860" s="19" t="s">
        <v>28</v>
      </c>
      <c r="W860" s="22" t="s">
        <v>40</v>
      </c>
      <c r="X860" s="21" t="s">
        <v>40</v>
      </c>
      <c r="Y860" s="22"/>
      <c r="Z860" s="81"/>
      <c r="AA860" s="81"/>
      <c r="AB860" s="23"/>
      <c r="AC860" s="26"/>
    </row>
    <row r="861" spans="1:29" ht="15.75" customHeight="1">
      <c r="A861" s="10" t="s">
        <v>5912</v>
      </c>
      <c r="B861" s="10" t="s">
        <v>474</v>
      </c>
      <c r="C861" s="11" t="s">
        <v>28</v>
      </c>
      <c r="D861" s="12"/>
      <c r="E861" s="13" t="s">
        <v>5913</v>
      </c>
      <c r="F861" s="6" t="s">
        <v>5913</v>
      </c>
      <c r="G861" s="6" t="str">
        <f ca="1">IFERROR(__xludf.DUMMYFUNCTION("CONCATENATE(B861,(VLOOKUP(C861,CATALOGOS!$F$2:$H$6,3,FALSE)),(VLOOKUP(V861,CATALOGOS!$J$2:$K$18,2,FALSE)),""-"",TO_TEXT(A861))"),"P35DA-0860")</f>
        <v>P35DA-0860</v>
      </c>
      <c r="H861" s="15" t="str">
        <f ca="1">IFERROR(__xludf.DUMMYFUNCTION("CONCATENATE($B861,(VLOOKUP($C861,CATALOGOS!$F$2:$H$6,3,FALSE)),(VLOOKUP($V861,CATALOGOS!$J$2:$K$18,2,FALSE)),""-"",TO_TEXT($A861))"),"P35DA-0860")</f>
        <v>P35DA-0860</v>
      </c>
      <c r="I861" s="6"/>
      <c r="J861" s="6" t="s">
        <v>5914</v>
      </c>
      <c r="K861" s="6" t="s">
        <v>5915</v>
      </c>
      <c r="L861" s="6" t="s">
        <v>5916</v>
      </c>
      <c r="M861" s="6" t="s">
        <v>5917</v>
      </c>
      <c r="N861" s="17"/>
      <c r="O861" s="17"/>
      <c r="P861" s="17" t="str">
        <f t="shared" si="8"/>
        <v>OK</v>
      </c>
      <c r="Q861" s="17" t="s">
        <v>5918</v>
      </c>
      <c r="R861" s="6" t="s">
        <v>5919</v>
      </c>
      <c r="S861" s="17" t="s">
        <v>36</v>
      </c>
      <c r="T861" s="17" t="s">
        <v>5920</v>
      </c>
      <c r="U861" s="18" t="s">
        <v>38</v>
      </c>
      <c r="V861" s="19" t="s">
        <v>28</v>
      </c>
      <c r="W861" s="22" t="s">
        <v>40</v>
      </c>
      <c r="X861" s="21" t="s">
        <v>40</v>
      </c>
      <c r="Y861" s="22"/>
      <c r="Z861" s="81"/>
      <c r="AA861" s="81"/>
      <c r="AB861" s="23"/>
      <c r="AC861" s="26"/>
    </row>
    <row r="862" spans="1:29" ht="15.75" customHeight="1">
      <c r="A862" s="10" t="s">
        <v>5921</v>
      </c>
      <c r="B862" s="10" t="s">
        <v>474</v>
      </c>
      <c r="C862" s="11" t="s">
        <v>28</v>
      </c>
      <c r="D862" s="12"/>
      <c r="E862" s="13" t="s">
        <v>565</v>
      </c>
      <c r="F862" s="43" t="s">
        <v>5922</v>
      </c>
      <c r="G862" s="6" t="str">
        <f ca="1">IFERROR(__xludf.DUMMYFUNCTION("CONCATENATE(B862,(VLOOKUP(C862,CATALOGOS!$F$2:$H$6,3,FALSE)),(VLOOKUP(V862,CATALOGOS!$J$2:$K$18,2,FALSE)),""-"",TO_TEXT(A862))"),"P35DA-0861")</f>
        <v>P35DA-0861</v>
      </c>
      <c r="H862" s="15" t="str">
        <f ca="1">IFERROR(__xludf.DUMMYFUNCTION("CONCATENATE($B862,(VLOOKUP($C862,CATALOGOS!$F$2:$H$6,3,FALSE)),(VLOOKUP($V862,CATALOGOS!$J$2:$K$18,2,FALSE)),""-"",TO_TEXT($A862))"),"P35DA-0861")</f>
        <v>P35DA-0861</v>
      </c>
      <c r="I862" s="6"/>
      <c r="J862" s="6" t="s">
        <v>5923</v>
      </c>
      <c r="K862" s="6" t="s">
        <v>5924</v>
      </c>
      <c r="L862" s="6" t="s">
        <v>5925</v>
      </c>
      <c r="M862" s="6" t="s">
        <v>5926</v>
      </c>
      <c r="N862" s="17"/>
      <c r="O862" s="17"/>
      <c r="P862" s="17" t="str">
        <f t="shared" si="8"/>
        <v>OK</v>
      </c>
      <c r="Q862" s="17" t="s">
        <v>35</v>
      </c>
      <c r="R862" s="6" t="s">
        <v>35</v>
      </c>
      <c r="S862" s="17" t="s">
        <v>36</v>
      </c>
      <c r="T862" s="17" t="s">
        <v>5927</v>
      </c>
      <c r="U862" s="18" t="s">
        <v>38</v>
      </c>
      <c r="V862" s="19" t="s">
        <v>28</v>
      </c>
      <c r="W862" s="22" t="s">
        <v>40</v>
      </c>
      <c r="X862" s="21" t="s">
        <v>40</v>
      </c>
      <c r="Y862" s="22"/>
      <c r="Z862" s="81"/>
      <c r="AA862" s="81"/>
      <c r="AB862" s="23"/>
      <c r="AC862" s="26"/>
    </row>
    <row r="863" spans="1:29" ht="15.75" customHeight="1">
      <c r="A863" s="10" t="s">
        <v>5928</v>
      </c>
      <c r="B863" s="10" t="s">
        <v>474</v>
      </c>
      <c r="C863" s="11" t="s">
        <v>28</v>
      </c>
      <c r="D863" s="12"/>
      <c r="E863" s="13" t="s">
        <v>5929</v>
      </c>
      <c r="F863" s="43" t="s">
        <v>5930</v>
      </c>
      <c r="G863" s="6" t="str">
        <f ca="1">IFERROR(__xludf.DUMMYFUNCTION("CONCATENATE(B863,(VLOOKUP(C863,CATALOGOS!$F$2:$H$6,3,FALSE)),(VLOOKUP(V863,CATALOGOS!$J$2:$K$18,2,FALSE)),""-"",TO_TEXT(A863))"),"P35DA-0862")</f>
        <v>P35DA-0862</v>
      </c>
      <c r="H863" s="15" t="str">
        <f ca="1">IFERROR(__xludf.DUMMYFUNCTION("CONCATENATE($B863,(VLOOKUP($C863,CATALOGOS!$F$2:$H$6,3,FALSE)),(VLOOKUP($V863,CATALOGOS!$J$2:$K$18,2,FALSE)),""-"",TO_TEXT($A863))"),"P35DA-0862")</f>
        <v>P35DA-0862</v>
      </c>
      <c r="I863" s="6"/>
      <c r="J863" s="6" t="s">
        <v>5931</v>
      </c>
      <c r="K863" s="6" t="s">
        <v>5932</v>
      </c>
      <c r="L863" s="6" t="s">
        <v>5933</v>
      </c>
      <c r="M863" s="6" t="s">
        <v>5934</v>
      </c>
      <c r="N863" s="17"/>
      <c r="O863" s="17"/>
      <c r="P863" s="17" t="str">
        <f t="shared" si="8"/>
        <v>OK</v>
      </c>
      <c r="Q863" s="17" t="s">
        <v>5918</v>
      </c>
      <c r="R863" s="6" t="s">
        <v>35</v>
      </c>
      <c r="S863" s="17" t="s">
        <v>5935</v>
      </c>
      <c r="T863" s="17" t="s">
        <v>5936</v>
      </c>
      <c r="U863" s="18" t="s">
        <v>38</v>
      </c>
      <c r="V863" s="19" t="s">
        <v>28</v>
      </c>
      <c r="W863" s="22" t="s">
        <v>40</v>
      </c>
      <c r="X863" s="21" t="s">
        <v>40</v>
      </c>
      <c r="Y863" s="22"/>
      <c r="Z863" s="7"/>
      <c r="AA863" s="7"/>
      <c r="AB863" s="23"/>
      <c r="AC863" s="26"/>
    </row>
    <row r="864" spans="1:29" ht="15.75" customHeight="1">
      <c r="A864" s="10" t="s">
        <v>5937</v>
      </c>
      <c r="B864" s="10" t="s">
        <v>474</v>
      </c>
      <c r="C864" s="11" t="s">
        <v>28</v>
      </c>
      <c r="D864" s="12"/>
      <c r="E864" s="13" t="s">
        <v>565</v>
      </c>
      <c r="F864" s="43" t="s">
        <v>5938</v>
      </c>
      <c r="G864" s="6" t="str">
        <f ca="1">IFERROR(__xludf.DUMMYFUNCTION("CONCATENATE(B864,(VLOOKUP(C864,CATALOGOS!$F$2:$H$6,3,FALSE)),(VLOOKUP(V864,CATALOGOS!$J$2:$K$18,2,FALSE)),""-"",TO_TEXT(A864))"),"P35DA-0863")</f>
        <v>P35DA-0863</v>
      </c>
      <c r="H864" s="15" t="str">
        <f ca="1">IFERROR(__xludf.DUMMYFUNCTION("CONCATENATE($B864,(VLOOKUP($C864,CATALOGOS!$F$2:$H$6,3,FALSE)),(VLOOKUP($V864,CATALOGOS!$J$2:$K$18,2,FALSE)),""-"",TO_TEXT($A864))"),"P35DA-0863")</f>
        <v>P35DA-0863</v>
      </c>
      <c r="I864" s="6"/>
      <c r="J864" s="6" t="s">
        <v>5939</v>
      </c>
      <c r="K864" s="6" t="s">
        <v>5940</v>
      </c>
      <c r="L864" s="6" t="s">
        <v>5941</v>
      </c>
      <c r="M864" s="6" t="s">
        <v>5942</v>
      </c>
      <c r="N864" s="17"/>
      <c r="O864" s="17"/>
      <c r="P864" s="17" t="str">
        <f t="shared" si="8"/>
        <v>OK</v>
      </c>
      <c r="Q864" s="17" t="s">
        <v>35</v>
      </c>
      <c r="R864" s="6" t="s">
        <v>35</v>
      </c>
      <c r="S864" s="17" t="s">
        <v>36</v>
      </c>
      <c r="T864" s="17" t="s">
        <v>5943</v>
      </c>
      <c r="U864" s="18" t="s">
        <v>38</v>
      </c>
      <c r="V864" s="19" t="s">
        <v>28</v>
      </c>
      <c r="W864" s="22" t="s">
        <v>40</v>
      </c>
      <c r="X864" s="21" t="s">
        <v>40</v>
      </c>
      <c r="Y864" s="22"/>
      <c r="Z864" s="7"/>
      <c r="AA864" s="7"/>
      <c r="AB864" s="23"/>
      <c r="AC864" s="26"/>
    </row>
    <row r="865" spans="1:29" ht="15.75" customHeight="1">
      <c r="A865" s="10" t="s">
        <v>5944</v>
      </c>
      <c r="B865" s="10" t="s">
        <v>474</v>
      </c>
      <c r="C865" s="11" t="s">
        <v>28</v>
      </c>
      <c r="D865" s="12"/>
      <c r="E865" s="13" t="s">
        <v>378</v>
      </c>
      <c r="F865" s="6" t="s">
        <v>5945</v>
      </c>
      <c r="G865" s="6" t="str">
        <f ca="1">IFERROR(__xludf.DUMMYFUNCTION("CONCATENATE(B865,(VLOOKUP(C865,CATALOGOS!$F$2:$H$6,3,FALSE)),(VLOOKUP(V865,CATALOGOS!$J$2:$K$18,2,FALSE)),""-"",TO_TEXT(A865))"),"P35DA-0864")</f>
        <v>P35DA-0864</v>
      </c>
      <c r="H865" s="15" t="str">
        <f ca="1">IFERROR(__xludf.DUMMYFUNCTION("CONCATENATE($B865,(VLOOKUP($C865,CATALOGOS!$F$2:$H$6,3,FALSE)),(VLOOKUP($V865,CATALOGOS!$J$2:$K$18,2,FALSE)),""-"",TO_TEXT($A865))"),"P35DA-0864")</f>
        <v>P35DA-0864</v>
      </c>
      <c r="I865" s="6"/>
      <c r="J865" s="6" t="s">
        <v>5946</v>
      </c>
      <c r="K865" s="6" t="s">
        <v>5947</v>
      </c>
      <c r="L865" s="6" t="s">
        <v>5948</v>
      </c>
      <c r="M865" s="6" t="s">
        <v>5949</v>
      </c>
      <c r="N865" s="17"/>
      <c r="O865" s="17"/>
      <c r="P865" s="17" t="str">
        <f t="shared" si="8"/>
        <v>OK</v>
      </c>
      <c r="Q865" s="17" t="s">
        <v>35</v>
      </c>
      <c r="R865" s="6" t="s">
        <v>35</v>
      </c>
      <c r="S865" s="17" t="s">
        <v>36</v>
      </c>
      <c r="T865" s="17" t="s">
        <v>5950</v>
      </c>
      <c r="U865" s="18" t="s">
        <v>38</v>
      </c>
      <c r="V865" s="19" t="s">
        <v>28</v>
      </c>
      <c r="W865" s="22" t="s">
        <v>40</v>
      </c>
      <c r="X865" s="21" t="s">
        <v>40</v>
      </c>
      <c r="Y865" s="22"/>
      <c r="Z865" s="7"/>
      <c r="AA865" s="7"/>
      <c r="AB865" s="23"/>
      <c r="AC865" s="26"/>
    </row>
    <row r="866" spans="1:29" ht="15.75" customHeight="1">
      <c r="A866" s="10" t="s">
        <v>5951</v>
      </c>
      <c r="B866" s="10" t="s">
        <v>474</v>
      </c>
      <c r="C866" s="11" t="s">
        <v>28</v>
      </c>
      <c r="D866" s="12"/>
      <c r="E866" s="68" t="s">
        <v>378</v>
      </c>
      <c r="F866" s="6" t="s">
        <v>5945</v>
      </c>
      <c r="G866" s="6" t="str">
        <f ca="1">IFERROR(__xludf.DUMMYFUNCTION("CONCATENATE(B866,(VLOOKUP(C866,CATALOGOS!$F$2:$H$6,3,FALSE)),(VLOOKUP(V866,CATALOGOS!$J$2:$K$18,2,FALSE)),""-"",TO_TEXT(A866))"),"P35DA-0865")</f>
        <v>P35DA-0865</v>
      </c>
      <c r="H866" s="15" t="str">
        <f ca="1">IFERROR(__xludf.DUMMYFUNCTION("CONCATENATE($B866,(VLOOKUP($C866,CATALOGOS!$F$2:$H$6,3,FALSE)),(VLOOKUP($V866,CATALOGOS!$J$2:$K$18,2,FALSE)),""-"",TO_TEXT($A866))"),"P35DA-0865")</f>
        <v>P35DA-0865</v>
      </c>
      <c r="I866" s="6"/>
      <c r="J866" s="6" t="s">
        <v>5952</v>
      </c>
      <c r="K866" s="6" t="s">
        <v>5953</v>
      </c>
      <c r="L866" s="6" t="s">
        <v>5954</v>
      </c>
      <c r="M866" s="6" t="s">
        <v>5955</v>
      </c>
      <c r="N866" s="17"/>
      <c r="O866" s="17"/>
      <c r="P866" s="17" t="str">
        <f t="shared" si="8"/>
        <v>OK</v>
      </c>
      <c r="Q866" s="17" t="s">
        <v>35</v>
      </c>
      <c r="R866" s="6" t="s">
        <v>35</v>
      </c>
      <c r="S866" s="17" t="s">
        <v>36</v>
      </c>
      <c r="T866" s="17" t="s">
        <v>5956</v>
      </c>
      <c r="U866" s="18" t="s">
        <v>38</v>
      </c>
      <c r="V866" s="19" t="s">
        <v>28</v>
      </c>
      <c r="W866" s="22" t="s">
        <v>40</v>
      </c>
      <c r="X866" s="21" t="s">
        <v>40</v>
      </c>
      <c r="Y866" s="22"/>
      <c r="Z866" s="7"/>
      <c r="AA866" s="7"/>
      <c r="AB866" s="23"/>
      <c r="AC866" s="26"/>
    </row>
    <row r="867" spans="1:29" ht="15.75" customHeight="1">
      <c r="A867" s="10" t="s">
        <v>5957</v>
      </c>
      <c r="B867" s="10" t="s">
        <v>474</v>
      </c>
      <c r="C867" s="11" t="s">
        <v>28</v>
      </c>
      <c r="D867" s="12"/>
      <c r="E867" s="68" t="s">
        <v>378</v>
      </c>
      <c r="F867" s="43" t="s">
        <v>5945</v>
      </c>
      <c r="G867" s="6" t="str">
        <f ca="1">IFERROR(__xludf.DUMMYFUNCTION("CONCATENATE(B867,(VLOOKUP(C867,CATALOGOS!$F$2:$H$6,3,FALSE)),(VLOOKUP(V867,CATALOGOS!$J$2:$K$18,2,FALSE)),""-"",TO_TEXT(A867))"),"P35DA-0866")</f>
        <v>P35DA-0866</v>
      </c>
      <c r="H867" s="15" t="str">
        <f ca="1">IFERROR(__xludf.DUMMYFUNCTION("CONCATENATE($B867,(VLOOKUP($C867,CATALOGOS!$F$2:$H$6,3,FALSE)),(VLOOKUP($V867,CATALOGOS!$J$2:$K$18,2,FALSE)),""-"",TO_TEXT($A867))"),"P35DA-0866")</f>
        <v>P35DA-0866</v>
      </c>
      <c r="I867" s="6"/>
      <c r="J867" s="6" t="s">
        <v>5958</v>
      </c>
      <c r="K867" s="6" t="s">
        <v>5959</v>
      </c>
      <c r="L867" s="6" t="s">
        <v>5960</v>
      </c>
      <c r="M867" s="43" t="s">
        <v>5961</v>
      </c>
      <c r="N867" s="17"/>
      <c r="O867" s="17"/>
      <c r="P867" s="17" t="str">
        <f t="shared" si="8"/>
        <v>OK</v>
      </c>
      <c r="Q867" s="17" t="s">
        <v>35</v>
      </c>
      <c r="R867" s="6" t="s">
        <v>35</v>
      </c>
      <c r="S867" s="17" t="s">
        <v>36</v>
      </c>
      <c r="T867" s="17" t="s">
        <v>5962</v>
      </c>
      <c r="U867" s="18" t="s">
        <v>38</v>
      </c>
      <c r="V867" s="19" t="s">
        <v>28</v>
      </c>
      <c r="W867" s="22" t="s">
        <v>40</v>
      </c>
      <c r="X867" s="21" t="s">
        <v>40</v>
      </c>
      <c r="Y867" s="22"/>
      <c r="Z867" s="7"/>
      <c r="AA867" s="7"/>
      <c r="AB867" s="23"/>
      <c r="AC867" s="26"/>
    </row>
    <row r="868" spans="1:29" ht="15.75" customHeight="1">
      <c r="A868" s="10" t="s">
        <v>5963</v>
      </c>
      <c r="B868" s="10" t="s">
        <v>474</v>
      </c>
      <c r="C868" s="11" t="s">
        <v>28</v>
      </c>
      <c r="D868" s="12"/>
      <c r="E868" s="68" t="s">
        <v>378</v>
      </c>
      <c r="F868" s="43" t="s">
        <v>5945</v>
      </c>
      <c r="G868" s="6" t="str">
        <f ca="1">IFERROR(__xludf.DUMMYFUNCTION("CONCATENATE(B868,(VLOOKUP(C868,CATALOGOS!$F$2:$H$6,3,FALSE)),(VLOOKUP(V868,CATALOGOS!$J$2:$K$18,2,FALSE)),""-"",TO_TEXT(A868))"),"P35DA-0867")</f>
        <v>P35DA-0867</v>
      </c>
      <c r="H868" s="15" t="str">
        <f ca="1">IFERROR(__xludf.DUMMYFUNCTION("CONCATENATE($B868,(VLOOKUP($C868,CATALOGOS!$F$2:$H$6,3,FALSE)),(VLOOKUP($V868,CATALOGOS!$J$2:$K$18,2,FALSE)),""-"",TO_TEXT($A868))"),"P35DA-0867")</f>
        <v>P35DA-0867</v>
      </c>
      <c r="I868" s="6"/>
      <c r="J868" s="6" t="s">
        <v>5964</v>
      </c>
      <c r="K868" s="6" t="s">
        <v>5965</v>
      </c>
      <c r="L868" s="6" t="s">
        <v>5966</v>
      </c>
      <c r="M868" s="43" t="s">
        <v>5967</v>
      </c>
      <c r="N868" s="17"/>
      <c r="O868" s="17"/>
      <c r="P868" s="17" t="str">
        <f t="shared" si="8"/>
        <v>OK</v>
      </c>
      <c r="Q868" s="17" t="s">
        <v>35</v>
      </c>
      <c r="R868" s="6" t="s">
        <v>35</v>
      </c>
      <c r="S868" s="17" t="s">
        <v>36</v>
      </c>
      <c r="T868" s="17" t="s">
        <v>5968</v>
      </c>
      <c r="U868" s="18" t="s">
        <v>38</v>
      </c>
      <c r="V868" s="19" t="s">
        <v>28</v>
      </c>
      <c r="W868" s="22" t="s">
        <v>40</v>
      </c>
      <c r="X868" s="21" t="s">
        <v>40</v>
      </c>
      <c r="Y868" s="22"/>
      <c r="Z868" s="7"/>
      <c r="AA868" s="7"/>
      <c r="AB868" s="23"/>
      <c r="AC868" s="26"/>
    </row>
    <row r="869" spans="1:29" ht="15.75" customHeight="1">
      <c r="A869" s="10" t="s">
        <v>5969</v>
      </c>
      <c r="B869" s="10" t="s">
        <v>474</v>
      </c>
      <c r="C869" s="11" t="s">
        <v>28</v>
      </c>
      <c r="D869" s="12"/>
      <c r="E869" s="68" t="s">
        <v>378</v>
      </c>
      <c r="F869" s="43" t="s">
        <v>5945</v>
      </c>
      <c r="G869" s="6" t="str">
        <f ca="1">IFERROR(__xludf.DUMMYFUNCTION("CONCATENATE(B869,(VLOOKUP(C869,CATALOGOS!$F$2:$H$6,3,FALSE)),(VLOOKUP(V869,CATALOGOS!$J$2:$K$18,2,FALSE)),""-"",TO_TEXT(A869))"),"P35DA-0868")</f>
        <v>P35DA-0868</v>
      </c>
      <c r="H869" s="15" t="str">
        <f ca="1">IFERROR(__xludf.DUMMYFUNCTION("CONCATENATE($B869,(VLOOKUP($C869,CATALOGOS!$F$2:$H$6,3,FALSE)),(VLOOKUP($V869,CATALOGOS!$J$2:$K$18,2,FALSE)),""-"",TO_TEXT($A869))"),"P35DA-0868")</f>
        <v>P35DA-0868</v>
      </c>
      <c r="I869" s="6"/>
      <c r="J869" s="6" t="s">
        <v>5970</v>
      </c>
      <c r="K869" s="6" t="s">
        <v>5971</v>
      </c>
      <c r="L869" s="6" t="s">
        <v>5972</v>
      </c>
      <c r="M869" s="43" t="s">
        <v>5973</v>
      </c>
      <c r="N869" s="17"/>
      <c r="O869" s="17"/>
      <c r="P869" s="17" t="str">
        <f t="shared" si="8"/>
        <v>OK</v>
      </c>
      <c r="Q869" s="17" t="s">
        <v>35</v>
      </c>
      <c r="R869" s="6" t="s">
        <v>35</v>
      </c>
      <c r="S869" s="17" t="s">
        <v>36</v>
      </c>
      <c r="T869" s="17" t="s">
        <v>5974</v>
      </c>
      <c r="U869" s="18" t="s">
        <v>38</v>
      </c>
      <c r="V869" s="19" t="s">
        <v>28</v>
      </c>
      <c r="W869" s="22" t="s">
        <v>40</v>
      </c>
      <c r="X869" s="21" t="s">
        <v>40</v>
      </c>
      <c r="Y869" s="22"/>
      <c r="Z869" s="7"/>
      <c r="AA869" s="7"/>
      <c r="AB869" s="23"/>
      <c r="AC869" s="26"/>
    </row>
    <row r="870" spans="1:29" ht="15.75" customHeight="1">
      <c r="A870" s="10" t="s">
        <v>5975</v>
      </c>
      <c r="B870" s="10" t="s">
        <v>474</v>
      </c>
      <c r="C870" s="11" t="s">
        <v>28</v>
      </c>
      <c r="D870" s="12"/>
      <c r="E870" s="68" t="s">
        <v>378</v>
      </c>
      <c r="F870" s="43" t="s">
        <v>5945</v>
      </c>
      <c r="G870" s="6" t="str">
        <f ca="1">IFERROR(__xludf.DUMMYFUNCTION("CONCATENATE(B870,(VLOOKUP(C870,CATALOGOS!$F$2:$H$6,3,FALSE)),(VLOOKUP(V870,CATALOGOS!$J$2:$K$18,2,FALSE)),""-"",TO_TEXT(A870))"),"P35DA-0869")</f>
        <v>P35DA-0869</v>
      </c>
      <c r="H870" s="15" t="str">
        <f ca="1">IFERROR(__xludf.DUMMYFUNCTION("CONCATENATE($B870,(VLOOKUP($C870,CATALOGOS!$F$2:$H$6,3,FALSE)),(VLOOKUP($V870,CATALOGOS!$J$2:$K$18,2,FALSE)),""-"",TO_TEXT($A870))"),"P35DA-0869")</f>
        <v>P35DA-0869</v>
      </c>
      <c r="I870" s="6"/>
      <c r="J870" s="6" t="s">
        <v>5976</v>
      </c>
      <c r="K870" s="6" t="s">
        <v>5977</v>
      </c>
      <c r="L870" s="6" t="s">
        <v>5978</v>
      </c>
      <c r="M870" s="43" t="s">
        <v>5979</v>
      </c>
      <c r="N870" s="17"/>
      <c r="O870" s="17"/>
      <c r="P870" s="17" t="str">
        <f t="shared" si="8"/>
        <v>OK</v>
      </c>
      <c r="Q870" s="17" t="s">
        <v>35</v>
      </c>
      <c r="R870" s="6" t="s">
        <v>35</v>
      </c>
      <c r="S870" s="17" t="s">
        <v>36</v>
      </c>
      <c r="T870" s="17" t="s">
        <v>5980</v>
      </c>
      <c r="U870" s="18" t="s">
        <v>38</v>
      </c>
      <c r="V870" s="19" t="s">
        <v>28</v>
      </c>
      <c r="W870" s="22" t="s">
        <v>40</v>
      </c>
      <c r="X870" s="21" t="s">
        <v>40</v>
      </c>
      <c r="Y870" s="22"/>
      <c r="Z870" s="7"/>
      <c r="AA870" s="7"/>
      <c r="AB870" s="23"/>
      <c r="AC870" s="26"/>
    </row>
    <row r="871" spans="1:29" ht="15.75" customHeight="1">
      <c r="A871" s="10" t="s">
        <v>5981</v>
      </c>
      <c r="B871" s="10" t="s">
        <v>474</v>
      </c>
      <c r="C871" s="11" t="s">
        <v>28</v>
      </c>
      <c r="D871" s="12"/>
      <c r="E871" s="68" t="s">
        <v>378</v>
      </c>
      <c r="F871" s="43" t="s">
        <v>5945</v>
      </c>
      <c r="G871" s="6" t="str">
        <f ca="1">IFERROR(__xludf.DUMMYFUNCTION("CONCATENATE(B871,(VLOOKUP(C871,CATALOGOS!$F$2:$H$6,3,FALSE)),(VLOOKUP(V871,CATALOGOS!$J$2:$K$18,2,FALSE)),""-"",TO_TEXT(A871))"),"P35DA-0870")</f>
        <v>P35DA-0870</v>
      </c>
      <c r="H871" s="15" t="str">
        <f ca="1">IFERROR(__xludf.DUMMYFUNCTION("CONCATENATE($B871,(VLOOKUP($C871,CATALOGOS!$F$2:$H$6,3,FALSE)),(VLOOKUP($V871,CATALOGOS!$J$2:$K$18,2,FALSE)),""-"",TO_TEXT($A871))"),"P35DA-0870")</f>
        <v>P35DA-0870</v>
      </c>
      <c r="I871" s="6"/>
      <c r="J871" s="6" t="s">
        <v>5982</v>
      </c>
      <c r="K871" s="6" t="s">
        <v>5983</v>
      </c>
      <c r="L871" s="6" t="s">
        <v>5984</v>
      </c>
      <c r="M871" s="43" t="s">
        <v>5985</v>
      </c>
      <c r="N871" s="17"/>
      <c r="O871" s="17"/>
      <c r="P871" s="17" t="str">
        <f t="shared" si="8"/>
        <v>OK</v>
      </c>
      <c r="Q871" s="17" t="s">
        <v>35</v>
      </c>
      <c r="R871" s="6" t="s">
        <v>35</v>
      </c>
      <c r="S871" s="17" t="s">
        <v>36</v>
      </c>
      <c r="T871" s="17" t="s">
        <v>5986</v>
      </c>
      <c r="U871" s="18" t="s">
        <v>38</v>
      </c>
      <c r="V871" s="19" t="s">
        <v>28</v>
      </c>
      <c r="W871" s="22" t="s">
        <v>40</v>
      </c>
      <c r="X871" s="21" t="s">
        <v>40</v>
      </c>
      <c r="Y871" s="22"/>
      <c r="Z871" s="7"/>
      <c r="AA871" s="7"/>
      <c r="AB871" s="23"/>
      <c r="AC871" s="26"/>
    </row>
    <row r="872" spans="1:29" ht="15.75" customHeight="1">
      <c r="A872" s="10" t="s">
        <v>5987</v>
      </c>
      <c r="B872" s="10" t="s">
        <v>474</v>
      </c>
      <c r="C872" s="11" t="s">
        <v>28</v>
      </c>
      <c r="D872" s="12"/>
      <c r="E872" s="68" t="s">
        <v>378</v>
      </c>
      <c r="F872" s="43" t="s">
        <v>5945</v>
      </c>
      <c r="G872" s="6" t="str">
        <f ca="1">IFERROR(__xludf.DUMMYFUNCTION("CONCATENATE(B872,(VLOOKUP(C872,CATALOGOS!$F$2:$H$6,3,FALSE)),(VLOOKUP(V872,CATALOGOS!$J$2:$K$18,2,FALSE)),""-"",TO_TEXT(A872))"),"P35DA-0871")</f>
        <v>P35DA-0871</v>
      </c>
      <c r="H872" s="15" t="str">
        <f ca="1">IFERROR(__xludf.DUMMYFUNCTION("CONCATENATE($B872,(VLOOKUP($C872,CATALOGOS!$F$2:$H$6,3,FALSE)),(VLOOKUP($V872,CATALOGOS!$J$2:$K$18,2,FALSE)),""-"",TO_TEXT($A872))"),"P35DA-0871")</f>
        <v>P35DA-0871</v>
      </c>
      <c r="I872" s="6"/>
      <c r="J872" s="6" t="s">
        <v>5988</v>
      </c>
      <c r="K872" s="6" t="s">
        <v>5989</v>
      </c>
      <c r="L872" s="6" t="s">
        <v>5990</v>
      </c>
      <c r="M872" s="43" t="s">
        <v>5991</v>
      </c>
      <c r="N872" s="17"/>
      <c r="O872" s="17"/>
      <c r="P872" s="17" t="str">
        <f t="shared" si="8"/>
        <v>OK</v>
      </c>
      <c r="Q872" s="17" t="s">
        <v>35</v>
      </c>
      <c r="R872" s="6" t="s">
        <v>35</v>
      </c>
      <c r="S872" s="17" t="s">
        <v>36</v>
      </c>
      <c r="T872" s="17" t="s">
        <v>5992</v>
      </c>
      <c r="U872" s="18" t="s">
        <v>38</v>
      </c>
      <c r="V872" s="19" t="s">
        <v>28</v>
      </c>
      <c r="W872" s="22" t="s">
        <v>40</v>
      </c>
      <c r="X872" s="21" t="s">
        <v>40</v>
      </c>
      <c r="Y872" s="22"/>
      <c r="Z872" s="7"/>
      <c r="AA872" s="7"/>
      <c r="AB872" s="23"/>
      <c r="AC872" s="26"/>
    </row>
    <row r="873" spans="1:29" ht="15.75" customHeight="1">
      <c r="A873" s="10" t="s">
        <v>5993</v>
      </c>
      <c r="B873" s="10" t="s">
        <v>474</v>
      </c>
      <c r="C873" s="11" t="s">
        <v>28</v>
      </c>
      <c r="D873" s="12"/>
      <c r="E873" s="68" t="s">
        <v>378</v>
      </c>
      <c r="F873" s="43" t="s">
        <v>5945</v>
      </c>
      <c r="G873" s="6" t="str">
        <f ca="1">IFERROR(__xludf.DUMMYFUNCTION("CONCATENATE(B873,(VLOOKUP(C873,CATALOGOS!$F$2:$H$6,3,FALSE)),(VLOOKUP(V873,CATALOGOS!$J$2:$K$18,2,FALSE)),""-"",TO_TEXT(A873))"),"P35DA-0872")</f>
        <v>P35DA-0872</v>
      </c>
      <c r="H873" s="15" t="str">
        <f ca="1">IFERROR(__xludf.DUMMYFUNCTION("CONCATENATE($B873,(VLOOKUP($C873,CATALOGOS!$F$2:$H$6,3,FALSE)),(VLOOKUP($V873,CATALOGOS!$J$2:$K$18,2,FALSE)),""-"",TO_TEXT($A873))"),"P35DA-0872")</f>
        <v>P35DA-0872</v>
      </c>
      <c r="I873" s="6"/>
      <c r="J873" s="6" t="s">
        <v>5994</v>
      </c>
      <c r="K873" s="6" t="s">
        <v>5995</v>
      </c>
      <c r="L873" s="6" t="s">
        <v>5996</v>
      </c>
      <c r="M873" s="43" t="s">
        <v>5997</v>
      </c>
      <c r="N873" s="17"/>
      <c r="O873" s="17"/>
      <c r="P873" s="17" t="str">
        <f t="shared" si="8"/>
        <v>OK</v>
      </c>
      <c r="Q873" s="17" t="s">
        <v>35</v>
      </c>
      <c r="R873" s="6" t="s">
        <v>35</v>
      </c>
      <c r="S873" s="17" t="s">
        <v>36</v>
      </c>
      <c r="T873" s="17" t="s">
        <v>5998</v>
      </c>
      <c r="U873" s="18" t="s">
        <v>38</v>
      </c>
      <c r="V873" s="19" t="s">
        <v>28</v>
      </c>
      <c r="W873" s="22" t="s">
        <v>40</v>
      </c>
      <c r="X873" s="21" t="s">
        <v>40</v>
      </c>
      <c r="Y873" s="22"/>
      <c r="Z873" s="7"/>
      <c r="AA873" s="7"/>
      <c r="AB873" s="23"/>
      <c r="AC873" s="26"/>
    </row>
    <row r="874" spans="1:29" ht="15.75" customHeight="1">
      <c r="A874" s="10" t="s">
        <v>5999</v>
      </c>
      <c r="B874" s="10" t="s">
        <v>474</v>
      </c>
      <c r="C874" s="11" t="s">
        <v>28</v>
      </c>
      <c r="D874" s="12"/>
      <c r="E874" s="68" t="s">
        <v>378</v>
      </c>
      <c r="F874" s="43" t="s">
        <v>5945</v>
      </c>
      <c r="G874" s="6" t="str">
        <f ca="1">IFERROR(__xludf.DUMMYFUNCTION("CONCATENATE(B874,(VLOOKUP(C874,CATALOGOS!$F$2:$H$6,3,FALSE)),(VLOOKUP(V874,CATALOGOS!$J$2:$K$18,2,FALSE)),""-"",TO_TEXT(A874))"),"P35DA-0873")</f>
        <v>P35DA-0873</v>
      </c>
      <c r="H874" s="15" t="str">
        <f ca="1">IFERROR(__xludf.DUMMYFUNCTION("CONCATENATE($B874,(VLOOKUP($C874,CATALOGOS!$F$2:$H$6,3,FALSE)),(VLOOKUP($V874,CATALOGOS!$J$2:$K$18,2,FALSE)),""-"",TO_TEXT($A874))"),"P35DA-0873")</f>
        <v>P35DA-0873</v>
      </c>
      <c r="I874" s="6"/>
      <c r="J874" s="6" t="s">
        <v>6000</v>
      </c>
      <c r="K874" s="6" t="s">
        <v>6001</v>
      </c>
      <c r="L874" s="6" t="s">
        <v>6002</v>
      </c>
      <c r="M874" s="43" t="s">
        <v>6003</v>
      </c>
      <c r="N874" s="17"/>
      <c r="O874" s="17"/>
      <c r="P874" s="17" t="str">
        <f t="shared" si="8"/>
        <v>OK</v>
      </c>
      <c r="Q874" s="17" t="s">
        <v>35</v>
      </c>
      <c r="R874" s="6" t="s">
        <v>35</v>
      </c>
      <c r="S874" s="17" t="s">
        <v>36</v>
      </c>
      <c r="T874" s="17" t="s">
        <v>6004</v>
      </c>
      <c r="U874" s="18" t="s">
        <v>38</v>
      </c>
      <c r="V874" s="19" t="s">
        <v>28</v>
      </c>
      <c r="W874" s="22" t="s">
        <v>40</v>
      </c>
      <c r="X874" s="21" t="s">
        <v>40</v>
      </c>
      <c r="Y874" s="22"/>
      <c r="Z874" s="7"/>
      <c r="AA874" s="7"/>
      <c r="AB874" s="23"/>
      <c r="AC874" s="26"/>
    </row>
    <row r="875" spans="1:29" ht="15.75" customHeight="1">
      <c r="A875" s="10" t="s">
        <v>6005</v>
      </c>
      <c r="B875" s="10" t="s">
        <v>474</v>
      </c>
      <c r="C875" s="11" t="s">
        <v>28</v>
      </c>
      <c r="D875" s="12"/>
      <c r="E875" s="68" t="s">
        <v>378</v>
      </c>
      <c r="F875" s="43" t="s">
        <v>5945</v>
      </c>
      <c r="G875" s="6" t="str">
        <f ca="1">IFERROR(__xludf.DUMMYFUNCTION("CONCATENATE(B875,(VLOOKUP(C875,CATALOGOS!$F$2:$H$6,3,FALSE)),(VLOOKUP(V875,CATALOGOS!$J$2:$K$18,2,FALSE)),""-"",TO_TEXT(A875))"),"P35DA-0874")</f>
        <v>P35DA-0874</v>
      </c>
      <c r="H875" s="15" t="str">
        <f ca="1">IFERROR(__xludf.DUMMYFUNCTION("CONCATENATE($B875,(VLOOKUP($C875,CATALOGOS!$F$2:$H$6,3,FALSE)),(VLOOKUP($V875,CATALOGOS!$J$2:$K$18,2,FALSE)),""-"",TO_TEXT($A875))"),"P35DA-0874")</f>
        <v>P35DA-0874</v>
      </c>
      <c r="I875" s="6"/>
      <c r="J875" s="6" t="s">
        <v>6006</v>
      </c>
      <c r="K875" s="6" t="s">
        <v>6007</v>
      </c>
      <c r="L875" s="6" t="s">
        <v>6008</v>
      </c>
      <c r="M875" s="43" t="s">
        <v>6009</v>
      </c>
      <c r="N875" s="17"/>
      <c r="O875" s="17"/>
      <c r="P875" s="17" t="str">
        <f t="shared" si="8"/>
        <v>OK</v>
      </c>
      <c r="Q875" s="17" t="s">
        <v>35</v>
      </c>
      <c r="R875" s="6" t="s">
        <v>35</v>
      </c>
      <c r="S875" s="17" t="s">
        <v>36</v>
      </c>
      <c r="T875" s="17" t="s">
        <v>6010</v>
      </c>
      <c r="U875" s="18" t="s">
        <v>38</v>
      </c>
      <c r="V875" s="19" t="s">
        <v>28</v>
      </c>
      <c r="W875" s="22" t="s">
        <v>40</v>
      </c>
      <c r="X875" s="21" t="s">
        <v>40</v>
      </c>
      <c r="Y875" s="22"/>
      <c r="Z875" s="7"/>
      <c r="AA875" s="7"/>
      <c r="AB875" s="23"/>
      <c r="AC875" s="26"/>
    </row>
    <row r="876" spans="1:29" ht="15.75" customHeight="1">
      <c r="A876" s="10" t="s">
        <v>6011</v>
      </c>
      <c r="B876" s="10" t="s">
        <v>474</v>
      </c>
      <c r="C876" s="11" t="s">
        <v>28</v>
      </c>
      <c r="D876" s="12"/>
      <c r="E876" s="68" t="s">
        <v>378</v>
      </c>
      <c r="F876" s="43" t="s">
        <v>5945</v>
      </c>
      <c r="G876" s="6" t="str">
        <f ca="1">IFERROR(__xludf.DUMMYFUNCTION("CONCATENATE(B876,(VLOOKUP(C876,CATALOGOS!$F$2:$H$6,3,FALSE)),(VLOOKUP(V876,CATALOGOS!$J$2:$K$18,2,FALSE)),""-"",TO_TEXT(A876))"),"P35DA-0875")</f>
        <v>P35DA-0875</v>
      </c>
      <c r="H876" s="15" t="str">
        <f ca="1">IFERROR(__xludf.DUMMYFUNCTION("CONCATENATE($B876,(VLOOKUP($C876,CATALOGOS!$F$2:$H$6,3,FALSE)),(VLOOKUP($V876,CATALOGOS!$J$2:$K$18,2,FALSE)),""-"",TO_TEXT($A876))"),"P35DA-0875")</f>
        <v>P35DA-0875</v>
      </c>
      <c r="I876" s="6"/>
      <c r="J876" s="6" t="s">
        <v>6012</v>
      </c>
      <c r="K876" s="6" t="s">
        <v>6013</v>
      </c>
      <c r="L876" s="6" t="s">
        <v>6014</v>
      </c>
      <c r="M876" s="43" t="s">
        <v>6015</v>
      </c>
      <c r="N876" s="17"/>
      <c r="O876" s="17"/>
      <c r="P876" s="17" t="str">
        <f t="shared" si="8"/>
        <v>OK</v>
      </c>
      <c r="Q876" s="17" t="s">
        <v>35</v>
      </c>
      <c r="R876" s="6" t="s">
        <v>35</v>
      </c>
      <c r="S876" s="17" t="s">
        <v>36</v>
      </c>
      <c r="T876" s="17" t="s">
        <v>6016</v>
      </c>
      <c r="U876" s="18" t="s">
        <v>38</v>
      </c>
      <c r="V876" s="19" t="s">
        <v>28</v>
      </c>
      <c r="W876" s="22" t="s">
        <v>40</v>
      </c>
      <c r="X876" s="21" t="s">
        <v>40</v>
      </c>
      <c r="Y876" s="22"/>
      <c r="Z876" s="7"/>
      <c r="AA876" s="7"/>
      <c r="AB876" s="23"/>
      <c r="AC876" s="26"/>
    </row>
    <row r="877" spans="1:29" ht="15.75" customHeight="1">
      <c r="A877" s="10" t="s">
        <v>6017</v>
      </c>
      <c r="B877" s="10" t="s">
        <v>474</v>
      </c>
      <c r="C877" s="11" t="s">
        <v>28</v>
      </c>
      <c r="D877" s="12"/>
      <c r="E877" s="68" t="s">
        <v>378</v>
      </c>
      <c r="F877" s="43" t="s">
        <v>5945</v>
      </c>
      <c r="G877" s="6" t="str">
        <f ca="1">IFERROR(__xludf.DUMMYFUNCTION("CONCATENATE(B877,(VLOOKUP(C877,CATALOGOS!$F$2:$H$6,3,FALSE)),(VLOOKUP(V877,CATALOGOS!$J$2:$K$18,2,FALSE)),""-"",TO_TEXT(A877))"),"P35DA-0876")</f>
        <v>P35DA-0876</v>
      </c>
      <c r="H877" s="15" t="str">
        <f ca="1">IFERROR(__xludf.DUMMYFUNCTION("CONCATENATE($B877,(VLOOKUP($C877,CATALOGOS!$F$2:$H$6,3,FALSE)),(VLOOKUP($V877,CATALOGOS!$J$2:$K$18,2,FALSE)),""-"",TO_TEXT($A877))"),"P35DA-0876")</f>
        <v>P35DA-0876</v>
      </c>
      <c r="I877" s="6"/>
      <c r="J877" s="6" t="s">
        <v>6018</v>
      </c>
      <c r="K877" s="6" t="s">
        <v>6019</v>
      </c>
      <c r="L877" s="6" t="s">
        <v>6020</v>
      </c>
      <c r="M877" s="43" t="s">
        <v>6021</v>
      </c>
      <c r="N877" s="17"/>
      <c r="O877" s="17"/>
      <c r="P877" s="17" t="str">
        <f t="shared" si="8"/>
        <v>OK</v>
      </c>
      <c r="Q877" s="17" t="s">
        <v>35</v>
      </c>
      <c r="R877" s="6" t="s">
        <v>35</v>
      </c>
      <c r="S877" s="17" t="s">
        <v>36</v>
      </c>
      <c r="T877" s="17" t="s">
        <v>6022</v>
      </c>
      <c r="U877" s="18" t="s">
        <v>38</v>
      </c>
      <c r="V877" s="19" t="s">
        <v>28</v>
      </c>
      <c r="W877" s="22" t="s">
        <v>40</v>
      </c>
      <c r="X877" s="21" t="s">
        <v>40</v>
      </c>
      <c r="Y877" s="22"/>
      <c r="Z877" s="7"/>
      <c r="AA877" s="7"/>
      <c r="AB877" s="23"/>
      <c r="AC877" s="26"/>
    </row>
    <row r="878" spans="1:29" ht="15.75" customHeight="1">
      <c r="A878" s="10" t="s">
        <v>6023</v>
      </c>
      <c r="B878" s="10" t="s">
        <v>474</v>
      </c>
      <c r="C878" s="11" t="s">
        <v>28</v>
      </c>
      <c r="D878" s="12"/>
      <c r="E878" s="68" t="s">
        <v>378</v>
      </c>
      <c r="F878" s="6" t="s">
        <v>5945</v>
      </c>
      <c r="G878" s="6" t="str">
        <f ca="1">IFERROR(__xludf.DUMMYFUNCTION("CONCATENATE(B878,(VLOOKUP(C878,CATALOGOS!$F$2:$H$6,3,FALSE)),(VLOOKUP(V878,CATALOGOS!$J$2:$K$18,2,FALSE)),""-"",TO_TEXT(A878))"),"P35DA-0877")</f>
        <v>P35DA-0877</v>
      </c>
      <c r="H878" s="15" t="str">
        <f ca="1">IFERROR(__xludf.DUMMYFUNCTION("CONCATENATE($B878,(VLOOKUP($C878,CATALOGOS!$F$2:$H$6,3,FALSE)),(VLOOKUP($V878,CATALOGOS!$J$2:$K$18,2,FALSE)),""-"",TO_TEXT($A878))"),"P35DA-0877")</f>
        <v>P35DA-0877</v>
      </c>
      <c r="I878" s="6"/>
      <c r="J878" s="6" t="s">
        <v>6024</v>
      </c>
      <c r="K878" s="6" t="s">
        <v>6025</v>
      </c>
      <c r="L878" s="6" t="s">
        <v>6026</v>
      </c>
      <c r="M878" s="6" t="s">
        <v>6027</v>
      </c>
      <c r="N878" s="17"/>
      <c r="O878" s="17"/>
      <c r="P878" s="17" t="str">
        <f t="shared" si="8"/>
        <v>OK</v>
      </c>
      <c r="Q878" s="17" t="s">
        <v>35</v>
      </c>
      <c r="R878" s="6" t="s">
        <v>35</v>
      </c>
      <c r="S878" s="6" t="s">
        <v>36</v>
      </c>
      <c r="T878" s="10" t="s">
        <v>6028</v>
      </c>
      <c r="U878" s="18" t="s">
        <v>38</v>
      </c>
      <c r="V878" s="19" t="s">
        <v>28</v>
      </c>
      <c r="W878" s="22" t="s">
        <v>40</v>
      </c>
      <c r="X878" s="21" t="s">
        <v>40</v>
      </c>
      <c r="Y878" s="22"/>
      <c r="Z878" s="7"/>
      <c r="AA878" s="7"/>
      <c r="AB878" s="23"/>
      <c r="AC878" s="26"/>
    </row>
    <row r="879" spans="1:29" ht="15.75" customHeight="1">
      <c r="A879" s="10" t="s">
        <v>6029</v>
      </c>
      <c r="B879" s="10" t="s">
        <v>474</v>
      </c>
      <c r="C879" s="11" t="s">
        <v>28</v>
      </c>
      <c r="D879" s="12"/>
      <c r="E879" s="68" t="s">
        <v>378</v>
      </c>
      <c r="F879" s="43" t="s">
        <v>5945</v>
      </c>
      <c r="G879" s="6" t="str">
        <f ca="1">IFERROR(__xludf.DUMMYFUNCTION("CONCATENATE(B879,(VLOOKUP(C879,CATALOGOS!$F$2:$H$6,3,FALSE)),(VLOOKUP(V879,CATALOGOS!$J$2:$K$18,2,FALSE)),""-"",TO_TEXT(A879))"),"P35DA-0878")</f>
        <v>P35DA-0878</v>
      </c>
      <c r="H879" s="15" t="str">
        <f ca="1">IFERROR(__xludf.DUMMYFUNCTION("CONCATENATE($B879,(VLOOKUP($C879,CATALOGOS!$F$2:$H$6,3,FALSE)),(VLOOKUP($V879,CATALOGOS!$J$2:$K$18,2,FALSE)),""-"",TO_TEXT($A879))"),"P35DA-0878")</f>
        <v>P35DA-0878</v>
      </c>
      <c r="I879" s="6"/>
      <c r="J879" s="6" t="s">
        <v>6030</v>
      </c>
      <c r="K879" s="6" t="s">
        <v>6031</v>
      </c>
      <c r="L879" s="6" t="s">
        <v>6032</v>
      </c>
      <c r="M879" s="43" t="s">
        <v>6033</v>
      </c>
      <c r="N879" s="17"/>
      <c r="O879" s="17"/>
      <c r="P879" s="17" t="str">
        <f t="shared" si="8"/>
        <v>OK</v>
      </c>
      <c r="Q879" s="17" t="s">
        <v>35</v>
      </c>
      <c r="R879" s="6" t="s">
        <v>35</v>
      </c>
      <c r="S879" s="17" t="s">
        <v>36</v>
      </c>
      <c r="T879" s="17" t="s">
        <v>6034</v>
      </c>
      <c r="U879" s="18" t="s">
        <v>38</v>
      </c>
      <c r="V879" s="19" t="s">
        <v>28</v>
      </c>
      <c r="W879" s="22" t="s">
        <v>40</v>
      </c>
      <c r="X879" s="21" t="s">
        <v>40</v>
      </c>
      <c r="Y879" s="22"/>
      <c r="Z879" s="7"/>
      <c r="AA879" s="7"/>
      <c r="AB879" s="23"/>
      <c r="AC879" s="26"/>
    </row>
    <row r="880" spans="1:29" ht="15.75" customHeight="1">
      <c r="A880" s="10" t="s">
        <v>6035</v>
      </c>
      <c r="B880" s="10" t="s">
        <v>474</v>
      </c>
      <c r="C880" s="11" t="s">
        <v>28</v>
      </c>
      <c r="D880" s="12"/>
      <c r="E880" s="68" t="s">
        <v>378</v>
      </c>
      <c r="F880" s="43" t="s">
        <v>511</v>
      </c>
      <c r="G880" s="6" t="str">
        <f ca="1">IFERROR(__xludf.DUMMYFUNCTION("CONCATENATE(B880,(VLOOKUP(C880,CATALOGOS!$F$2:$H$6,3,FALSE)),(VLOOKUP(V880,CATALOGOS!$J$2:$K$18,2,FALSE)),""-"",TO_TEXT(A880))"),"P35DA-0879")</f>
        <v>P35DA-0879</v>
      </c>
      <c r="H880" s="15" t="str">
        <f ca="1">IFERROR(__xludf.DUMMYFUNCTION("CONCATENATE($B880,(VLOOKUP($C880,CATALOGOS!$F$2:$H$6,3,FALSE)),(VLOOKUP($V880,CATALOGOS!$J$2:$K$18,2,FALSE)),""-"",TO_TEXT($A880))"),"P35DA-0879")</f>
        <v>P35DA-0879</v>
      </c>
      <c r="I880" s="6"/>
      <c r="J880" s="6" t="s">
        <v>6036</v>
      </c>
      <c r="K880" s="6" t="s">
        <v>6037</v>
      </c>
      <c r="L880" s="6" t="s">
        <v>6038</v>
      </c>
      <c r="M880" s="43" t="s">
        <v>6039</v>
      </c>
      <c r="N880" s="17"/>
      <c r="O880" s="17"/>
      <c r="P880" s="17" t="str">
        <f t="shared" si="8"/>
        <v>OK</v>
      </c>
      <c r="Q880" s="17" t="s">
        <v>35</v>
      </c>
      <c r="R880" s="6" t="s">
        <v>35</v>
      </c>
      <c r="S880" s="17" t="s">
        <v>36</v>
      </c>
      <c r="T880" s="17" t="s">
        <v>6040</v>
      </c>
      <c r="U880" s="18" t="s">
        <v>38</v>
      </c>
      <c r="V880" s="19" t="s">
        <v>28</v>
      </c>
      <c r="W880" s="22" t="s">
        <v>40</v>
      </c>
      <c r="X880" s="21" t="s">
        <v>40</v>
      </c>
      <c r="Y880" s="22"/>
      <c r="Z880" s="6"/>
      <c r="AA880" s="6" t="s">
        <v>440</v>
      </c>
      <c r="AB880" s="23"/>
      <c r="AC880" s="26"/>
    </row>
    <row r="881" spans="1:29" ht="15.75" customHeight="1">
      <c r="A881" s="10" t="s">
        <v>6041</v>
      </c>
      <c r="B881" s="10" t="s">
        <v>474</v>
      </c>
      <c r="C881" s="11" t="s">
        <v>28</v>
      </c>
      <c r="D881" s="12"/>
      <c r="E881" s="68" t="s">
        <v>378</v>
      </c>
      <c r="F881" s="43" t="s">
        <v>511</v>
      </c>
      <c r="G881" s="6" t="str">
        <f ca="1">IFERROR(__xludf.DUMMYFUNCTION("CONCATENATE(B881,(VLOOKUP(C881,CATALOGOS!$F$2:$H$6,3,FALSE)),(VLOOKUP(V881,CATALOGOS!$J$2:$K$18,2,FALSE)),""-"",TO_TEXT(A881))"),"P35RM-0880")</f>
        <v>P35RM-0880</v>
      </c>
      <c r="H881" s="15" t="str">
        <f ca="1">IFERROR(__xludf.DUMMYFUNCTION("CONCATENATE($B881,(VLOOKUP($C881,CATALOGOS!$F$2:$H$6,3,FALSE)),(VLOOKUP($V881,CATALOGOS!$J$2:$K$18,2,FALSE)),""-"",TO_TEXT($A881))"),"P35RM-0880")</f>
        <v>P35RM-0880</v>
      </c>
      <c r="I881" s="6" t="s">
        <v>5793</v>
      </c>
      <c r="J881" s="6" t="s">
        <v>6042</v>
      </c>
      <c r="K881" s="6" t="s">
        <v>6043</v>
      </c>
      <c r="L881" s="6" t="s">
        <v>6044</v>
      </c>
      <c r="M881" s="6" t="s">
        <v>6045</v>
      </c>
      <c r="N881" s="17"/>
      <c r="O881" s="17"/>
      <c r="P881" s="17" t="str">
        <f t="shared" si="8"/>
        <v>OK</v>
      </c>
      <c r="Q881" s="17" t="s">
        <v>35</v>
      </c>
      <c r="R881" s="6" t="s">
        <v>35</v>
      </c>
      <c r="S881" s="17" t="s">
        <v>36</v>
      </c>
      <c r="T881" s="17" t="s">
        <v>6046</v>
      </c>
      <c r="U881" s="18" t="s">
        <v>517</v>
      </c>
      <c r="V881" s="19" t="s">
        <v>147</v>
      </c>
      <c r="W881" s="20" t="s">
        <v>385</v>
      </c>
      <c r="X881" s="21" t="s">
        <v>40</v>
      </c>
      <c r="Y881" s="22"/>
      <c r="Z881" s="7"/>
      <c r="AA881" s="7"/>
      <c r="AB881" s="23"/>
      <c r="AC881" s="26"/>
    </row>
    <row r="882" spans="1:29" ht="15.75" customHeight="1">
      <c r="A882" s="10" t="s">
        <v>6047</v>
      </c>
      <c r="B882" s="10" t="s">
        <v>474</v>
      </c>
      <c r="C882" s="11" t="s">
        <v>28</v>
      </c>
      <c r="D882" s="38"/>
      <c r="E882" s="68" t="s">
        <v>565</v>
      </c>
      <c r="F882" s="6" t="s">
        <v>6048</v>
      </c>
      <c r="G882" s="6" t="str">
        <f ca="1">IFERROR(__xludf.DUMMYFUNCTION("CONCATENATE(B882,(VLOOKUP(C882,CATALOGOS!$F$2:$H$6,3,FALSE)),(VLOOKUP(V882,CATALOGOS!$J$2:$K$18,2,FALSE)),""-"",TO_TEXT(A882))"),"P35DA-0881")</f>
        <v>P35DA-0881</v>
      </c>
      <c r="H882" s="15" t="str">
        <f ca="1">IFERROR(__xludf.DUMMYFUNCTION("CONCATENATE($B882,(VLOOKUP($C882,CATALOGOS!$F$2:$H$6,3,FALSE)),(VLOOKUP($V882,CATALOGOS!$J$2:$K$18,2,FALSE)),""-"",TO_TEXT($A882))"),"P35DA-0881")</f>
        <v>P35DA-0881</v>
      </c>
      <c r="I882" s="6"/>
      <c r="J882" s="6" t="s">
        <v>6049</v>
      </c>
      <c r="K882" s="6" t="s">
        <v>6050</v>
      </c>
      <c r="L882" s="36"/>
      <c r="M882" s="6" t="s">
        <v>6051</v>
      </c>
      <c r="N882" s="17"/>
      <c r="O882" s="17"/>
      <c r="P882" s="17" t="str">
        <f t="shared" si="8"/>
        <v>OK</v>
      </c>
      <c r="Q882" s="17" t="s">
        <v>35</v>
      </c>
      <c r="R882" s="6" t="s">
        <v>35</v>
      </c>
      <c r="S882" s="6" t="s">
        <v>36</v>
      </c>
      <c r="T882" s="32" t="s">
        <v>6052</v>
      </c>
      <c r="U882" s="18" t="s">
        <v>38</v>
      </c>
      <c r="V882" s="19" t="s">
        <v>28</v>
      </c>
      <c r="W882" s="22" t="s">
        <v>40</v>
      </c>
      <c r="X882" s="21" t="s">
        <v>40</v>
      </c>
      <c r="Y882" s="22"/>
      <c r="Z882" s="7"/>
      <c r="AA882" s="7"/>
      <c r="AB882" s="26"/>
      <c r="AC882" s="26"/>
    </row>
    <row r="883" spans="1:29" ht="15.75" customHeight="1">
      <c r="A883" s="10" t="s">
        <v>6053</v>
      </c>
      <c r="B883" s="10" t="s">
        <v>4410</v>
      </c>
      <c r="C883" s="11" t="s">
        <v>6054</v>
      </c>
      <c r="D883" s="12"/>
      <c r="E883" s="13" t="s">
        <v>6055</v>
      </c>
      <c r="F883" s="6" t="s">
        <v>6056</v>
      </c>
      <c r="G883" s="6" t="str">
        <f ca="1">IFERROR(__xludf.DUMMYFUNCTION("CONCATENATE(B883,(VLOOKUP(C883,CATALOGOS!$F$2:$H$6,3,FALSE)),(VLOOKUP(V883,CATALOGOS!$J$2:$K$18,2,FALSE)),""-"",TO_TEXT(A883))"),"P21DG-0882")</f>
        <v>P21DG-0882</v>
      </c>
      <c r="H883" s="15" t="str">
        <f ca="1">IFERROR(__xludf.DUMMYFUNCTION("CONCATENATE($B883,(VLOOKUP($C883,CATALOGOS!$F$2:$H$6,3,FALSE)),(VLOOKUP($V883,CATALOGOS!$J$2:$K$18,2,FALSE)),""-"",TO_TEXT($A883))"),"P21DG-0882")</f>
        <v>P21DG-0882</v>
      </c>
      <c r="I883" s="6"/>
      <c r="J883" s="6" t="s">
        <v>6057</v>
      </c>
      <c r="K883" s="6" t="s">
        <v>6058</v>
      </c>
      <c r="L883" s="6" t="s">
        <v>6059</v>
      </c>
      <c r="M883" s="6" t="s">
        <v>6060</v>
      </c>
      <c r="N883" s="17"/>
      <c r="O883" s="17"/>
      <c r="P883" s="17" t="str">
        <f t="shared" si="8"/>
        <v>OK</v>
      </c>
      <c r="Q883" s="17" t="s">
        <v>35</v>
      </c>
      <c r="R883" s="6" t="s">
        <v>35</v>
      </c>
      <c r="S883" s="17" t="s">
        <v>36</v>
      </c>
      <c r="T883" s="17" t="s">
        <v>6061</v>
      </c>
      <c r="U883" s="18" t="s">
        <v>38</v>
      </c>
      <c r="V883" s="19" t="s">
        <v>6054</v>
      </c>
      <c r="W883" s="22" t="s">
        <v>6062</v>
      </c>
      <c r="X883" s="21" t="s">
        <v>6062</v>
      </c>
      <c r="Y883" s="22"/>
      <c r="Z883" s="7"/>
      <c r="AA883" s="7"/>
      <c r="AB883" s="23"/>
      <c r="AC883" s="26"/>
    </row>
    <row r="884" spans="1:29" ht="15.75" customHeight="1">
      <c r="A884" s="10" t="s">
        <v>6063</v>
      </c>
      <c r="B884" s="10" t="s">
        <v>4410</v>
      </c>
      <c r="C884" s="11" t="s">
        <v>6054</v>
      </c>
      <c r="D884" s="12"/>
      <c r="E884" s="13" t="s">
        <v>378</v>
      </c>
      <c r="F884" s="43" t="s">
        <v>6064</v>
      </c>
      <c r="G884" s="6" t="str">
        <f ca="1">IFERROR(__xludf.DUMMYFUNCTION("CONCATENATE(B884,(VLOOKUP(C884,CATALOGOS!$F$2:$H$6,3,FALSE)),(VLOOKUP(V884,CATALOGOS!$J$2:$K$18,2,FALSE)),""-"",TO_TEXT(A884))"),"P21DG-0883")</f>
        <v>P21DG-0883</v>
      </c>
      <c r="H884" s="15" t="str">
        <f ca="1">IFERROR(__xludf.DUMMYFUNCTION("CONCATENATE($B884,(VLOOKUP($C884,CATALOGOS!$F$2:$H$6,3,FALSE)),(VLOOKUP($V884,CATALOGOS!$J$2:$K$18,2,FALSE)),""-"",TO_TEXT($A884))"),"P21DG-0883")</f>
        <v>P21DG-0883</v>
      </c>
      <c r="I884" s="6"/>
      <c r="J884" s="6" t="s">
        <v>6065</v>
      </c>
      <c r="K884" s="6" t="s">
        <v>6066</v>
      </c>
      <c r="L884" s="6" t="s">
        <v>6067</v>
      </c>
      <c r="M884" s="6" t="s">
        <v>6068</v>
      </c>
      <c r="N884" s="17"/>
      <c r="O884" s="17"/>
      <c r="P884" s="17" t="str">
        <f t="shared" si="8"/>
        <v>OK</v>
      </c>
      <c r="Q884" s="17" t="s">
        <v>35</v>
      </c>
      <c r="R884" s="6" t="s">
        <v>35</v>
      </c>
      <c r="S884" s="17" t="s">
        <v>36</v>
      </c>
      <c r="T884" s="17" t="s">
        <v>6069</v>
      </c>
      <c r="U884" s="18" t="s">
        <v>38</v>
      </c>
      <c r="V884" s="19" t="s">
        <v>6054</v>
      </c>
      <c r="W884" s="22" t="s">
        <v>6062</v>
      </c>
      <c r="X884" s="21" t="s">
        <v>6062</v>
      </c>
      <c r="Y884" s="22"/>
      <c r="Z884" s="7"/>
      <c r="AA884" s="7"/>
      <c r="AB884" s="23"/>
      <c r="AC884" s="26"/>
    </row>
    <row r="885" spans="1:29" ht="15.75" customHeight="1">
      <c r="A885" s="10" t="s">
        <v>6070</v>
      </c>
      <c r="B885" s="10" t="s">
        <v>4410</v>
      </c>
      <c r="C885" s="11" t="s">
        <v>6054</v>
      </c>
      <c r="D885" s="12"/>
      <c r="E885" s="13" t="s">
        <v>116</v>
      </c>
      <c r="F885" s="6" t="s">
        <v>6071</v>
      </c>
      <c r="G885" s="6" t="str">
        <f ca="1">IFERROR(__xludf.DUMMYFUNCTION("CONCATENATE(B885,(VLOOKUP(C885,CATALOGOS!$F$2:$H$6,3,FALSE)),(VLOOKUP(V885,CATALOGOS!$J$2:$K$18,2,FALSE)),""-"",TO_TEXT(A885))"),"P21DG-0884")</f>
        <v>P21DG-0884</v>
      </c>
      <c r="H885" s="15" t="str">
        <f ca="1">IFERROR(__xludf.DUMMYFUNCTION("CONCATENATE($B885,(VLOOKUP($C885,CATALOGOS!$F$2:$H$6,3,FALSE)),(VLOOKUP($V885,CATALOGOS!$J$2:$K$18,2,FALSE)),""-"",TO_TEXT($A885))"),"P21DG-0884")</f>
        <v>P21DG-0884</v>
      </c>
      <c r="I885" s="6"/>
      <c r="J885" s="6" t="s">
        <v>6072</v>
      </c>
      <c r="K885" s="6" t="s">
        <v>6073</v>
      </c>
      <c r="L885" s="6" t="s">
        <v>6074</v>
      </c>
      <c r="M885" s="6" t="s">
        <v>6075</v>
      </c>
      <c r="N885" s="17"/>
      <c r="O885" s="17"/>
      <c r="P885" s="17" t="str">
        <f t="shared" si="8"/>
        <v>OK</v>
      </c>
      <c r="Q885" s="17" t="s">
        <v>35</v>
      </c>
      <c r="R885" s="6" t="s">
        <v>35</v>
      </c>
      <c r="S885" s="17" t="s">
        <v>36</v>
      </c>
      <c r="T885" s="17" t="s">
        <v>6076</v>
      </c>
      <c r="U885" s="18" t="s">
        <v>38</v>
      </c>
      <c r="V885" s="19" t="s">
        <v>6054</v>
      </c>
      <c r="W885" s="22" t="s">
        <v>6062</v>
      </c>
      <c r="X885" s="21" t="s">
        <v>6062</v>
      </c>
      <c r="Y885" s="22"/>
      <c r="Z885" s="7"/>
      <c r="AA885" s="7"/>
      <c r="AB885" s="23"/>
      <c r="AC885" s="26"/>
    </row>
    <row r="886" spans="1:29" ht="15.75" customHeight="1">
      <c r="A886" s="10" t="s">
        <v>6077</v>
      </c>
      <c r="B886" s="10" t="s">
        <v>4410</v>
      </c>
      <c r="C886" s="11" t="s">
        <v>6054</v>
      </c>
      <c r="D886" s="12"/>
      <c r="E886" s="13" t="s">
        <v>53</v>
      </c>
      <c r="F886" s="6" t="s">
        <v>6078</v>
      </c>
      <c r="G886" s="6" t="str">
        <f ca="1">IFERROR(__xludf.DUMMYFUNCTION("CONCATENATE(B886,(VLOOKUP(C886,CATALOGOS!$F$2:$H$6,3,FALSE)),(VLOOKUP(V886,CATALOGOS!$J$2:$K$18,2,FALSE)),""-"",TO_TEXT(A886))"),"P21DG-0885")</f>
        <v>P21DG-0885</v>
      </c>
      <c r="H886" s="15" t="str">
        <f ca="1">IFERROR(__xludf.DUMMYFUNCTION("CONCATENATE($B886,(VLOOKUP($C886,CATALOGOS!$F$2:$H$6,3,FALSE)),(VLOOKUP($V886,CATALOGOS!$J$2:$K$18,2,FALSE)),""-"",TO_TEXT($A886))"),"P21DG-0885")</f>
        <v>P21DG-0885</v>
      </c>
      <c r="I886" s="6"/>
      <c r="J886" s="6" t="s">
        <v>6079</v>
      </c>
      <c r="K886" s="6" t="s">
        <v>6080</v>
      </c>
      <c r="L886" s="6" t="s">
        <v>6081</v>
      </c>
      <c r="M886" s="6" t="s">
        <v>6082</v>
      </c>
      <c r="N886" s="17"/>
      <c r="O886" s="17"/>
      <c r="P886" s="17" t="str">
        <f t="shared" si="8"/>
        <v>OK</v>
      </c>
      <c r="Q886" s="17" t="s">
        <v>35</v>
      </c>
      <c r="R886" s="6" t="s">
        <v>35</v>
      </c>
      <c r="S886" s="17" t="s">
        <v>36</v>
      </c>
      <c r="T886" s="17" t="s">
        <v>6083</v>
      </c>
      <c r="U886" s="18" t="s">
        <v>38</v>
      </c>
      <c r="V886" s="19" t="s">
        <v>6054</v>
      </c>
      <c r="W886" s="22" t="s">
        <v>6062</v>
      </c>
      <c r="X886" s="21" t="s">
        <v>6062</v>
      </c>
      <c r="Y886" s="22"/>
      <c r="Z886" s="7"/>
      <c r="AA886" s="7"/>
      <c r="AB886" s="23"/>
      <c r="AC886" s="26"/>
    </row>
    <row r="887" spans="1:29" ht="15.75" customHeight="1">
      <c r="A887" s="10" t="s">
        <v>6084</v>
      </c>
      <c r="B887" s="10" t="s">
        <v>4410</v>
      </c>
      <c r="C887" s="11" t="s">
        <v>6054</v>
      </c>
      <c r="D887" s="12"/>
      <c r="E887" s="13" t="s">
        <v>2860</v>
      </c>
      <c r="F887" s="43" t="s">
        <v>2861</v>
      </c>
      <c r="G887" s="6" t="str">
        <f ca="1">IFERROR(__xludf.DUMMYFUNCTION("CONCATENATE(B887,(VLOOKUP(C887,CATALOGOS!$F$2:$H$6,3,FALSE)),(VLOOKUP(V887,CATALOGOS!$J$2:$K$18,2,FALSE)),""-"",TO_TEXT(A887))"),"P21DG-0886")</f>
        <v>P21DG-0886</v>
      </c>
      <c r="H887" s="15" t="str">
        <f ca="1">IFERROR(__xludf.DUMMYFUNCTION("CONCATENATE($B887,(VLOOKUP($C887,CATALOGOS!$F$2:$H$6,3,FALSE)),(VLOOKUP($V887,CATALOGOS!$J$2:$K$18,2,FALSE)),""-"",TO_TEXT($A887))"),"P21DG-0886")</f>
        <v>P21DG-0886</v>
      </c>
      <c r="I887" s="6"/>
      <c r="J887" s="6" t="s">
        <v>6085</v>
      </c>
      <c r="K887" s="6" t="s">
        <v>6086</v>
      </c>
      <c r="L887" s="6" t="s">
        <v>6087</v>
      </c>
      <c r="M887" s="6" t="s">
        <v>6088</v>
      </c>
      <c r="N887" s="17"/>
      <c r="O887" s="17"/>
      <c r="P887" s="17" t="str">
        <f t="shared" si="8"/>
        <v>OK</v>
      </c>
      <c r="Q887" s="17" t="s">
        <v>6089</v>
      </c>
      <c r="R887" s="6" t="s">
        <v>35</v>
      </c>
      <c r="S887" s="6" t="s">
        <v>36</v>
      </c>
      <c r="T887" s="17" t="s">
        <v>6090</v>
      </c>
      <c r="U887" s="18" t="s">
        <v>38</v>
      </c>
      <c r="V887" s="19" t="s">
        <v>6054</v>
      </c>
      <c r="W887" s="22" t="s">
        <v>6062</v>
      </c>
      <c r="X887" s="21" t="s">
        <v>6062</v>
      </c>
      <c r="Y887" s="22"/>
      <c r="Z887" s="7"/>
      <c r="AA887" s="7"/>
      <c r="AB887" s="23"/>
      <c r="AC887" s="26"/>
    </row>
    <row r="888" spans="1:29" ht="15.75" customHeight="1">
      <c r="A888" s="10" t="s">
        <v>6091</v>
      </c>
      <c r="B888" s="10" t="s">
        <v>4410</v>
      </c>
      <c r="C888" s="11" t="s">
        <v>6054</v>
      </c>
      <c r="D888" s="12"/>
      <c r="E888" s="13" t="s">
        <v>6092</v>
      </c>
      <c r="F888" s="43" t="s">
        <v>6093</v>
      </c>
      <c r="G888" s="6" t="str">
        <f ca="1">IFERROR(__xludf.DUMMYFUNCTION("CONCATENATE(B888,(VLOOKUP(C888,CATALOGOS!$F$2:$H$6,3,FALSE)),(VLOOKUP(V888,CATALOGOS!$J$2:$K$18,2,FALSE)),""-"",TO_TEXT(A888))"),"P21DG-0887")</f>
        <v>P21DG-0887</v>
      </c>
      <c r="H888" s="15" t="str">
        <f ca="1">IFERROR(__xludf.DUMMYFUNCTION("CONCATENATE($B888,(VLOOKUP($C888,CATALOGOS!$F$2:$H$6,3,FALSE)),(VLOOKUP($V888,CATALOGOS!$J$2:$K$18,2,FALSE)),""-"",TO_TEXT($A888))"),"P21DG-0887")</f>
        <v>P21DG-0887</v>
      </c>
      <c r="I888" s="6"/>
      <c r="J888" s="6" t="s">
        <v>6094</v>
      </c>
      <c r="K888" s="6" t="s">
        <v>6095</v>
      </c>
      <c r="L888" s="6" t="s">
        <v>6096</v>
      </c>
      <c r="M888" s="6" t="s">
        <v>6097</v>
      </c>
      <c r="N888" s="17"/>
      <c r="O888" s="17"/>
      <c r="P888" s="17" t="str">
        <f t="shared" si="8"/>
        <v>OK</v>
      </c>
      <c r="Q888" s="17" t="s">
        <v>35</v>
      </c>
      <c r="R888" s="49" t="s">
        <v>35</v>
      </c>
      <c r="S888" s="17" t="s">
        <v>36</v>
      </c>
      <c r="T888" s="17" t="s">
        <v>6098</v>
      </c>
      <c r="U888" s="18" t="s">
        <v>38</v>
      </c>
      <c r="V888" s="19" t="s">
        <v>6054</v>
      </c>
      <c r="W888" s="22" t="s">
        <v>6062</v>
      </c>
      <c r="X888" s="21" t="s">
        <v>6062</v>
      </c>
      <c r="Y888" s="22"/>
      <c r="Z888" s="7"/>
      <c r="AA888" s="7"/>
      <c r="AB888" s="23"/>
      <c r="AC888" s="26"/>
    </row>
    <row r="889" spans="1:29" ht="15.75" customHeight="1">
      <c r="A889" s="10" t="s">
        <v>6099</v>
      </c>
      <c r="B889" s="10" t="s">
        <v>4410</v>
      </c>
      <c r="C889" s="11" t="s">
        <v>6054</v>
      </c>
      <c r="D889" s="12"/>
      <c r="E889" s="13" t="s">
        <v>6100</v>
      </c>
      <c r="F889" s="6" t="s">
        <v>6101</v>
      </c>
      <c r="G889" s="6" t="str">
        <f ca="1">IFERROR(__xludf.DUMMYFUNCTION("CONCATENATE(B889,(VLOOKUP(C889,CATALOGOS!$F$2:$H$6,3,FALSE)),(VLOOKUP(V889,CATALOGOS!$J$2:$K$18,2,FALSE)),""-"",TO_TEXT(A889))"),"P21DG-0888")</f>
        <v>P21DG-0888</v>
      </c>
      <c r="H889" s="15" t="str">
        <f ca="1">IFERROR(__xludf.DUMMYFUNCTION("CONCATENATE($B889,(VLOOKUP($C889,CATALOGOS!$F$2:$H$6,3,FALSE)),(VLOOKUP($V889,CATALOGOS!$J$2:$K$18,2,FALSE)),""-"",TO_TEXT($A889))"),"P21DG-0888")</f>
        <v>P21DG-0888</v>
      </c>
      <c r="I889" s="6"/>
      <c r="J889" s="6" t="s">
        <v>6102</v>
      </c>
      <c r="K889" s="6" t="s">
        <v>6103</v>
      </c>
      <c r="L889" s="6" t="s">
        <v>6104</v>
      </c>
      <c r="M889" s="43" t="s">
        <v>6105</v>
      </c>
      <c r="N889" s="17"/>
      <c r="O889" s="17"/>
      <c r="P889" s="17" t="str">
        <f t="shared" si="8"/>
        <v>OK</v>
      </c>
      <c r="Q889" s="17" t="s">
        <v>35</v>
      </c>
      <c r="R889" s="6" t="s">
        <v>35</v>
      </c>
      <c r="S889" s="17" t="s">
        <v>36</v>
      </c>
      <c r="T889" s="17" t="s">
        <v>6106</v>
      </c>
      <c r="U889" s="18" t="s">
        <v>38</v>
      </c>
      <c r="V889" s="19" t="s">
        <v>6054</v>
      </c>
      <c r="W889" s="22" t="s">
        <v>6062</v>
      </c>
      <c r="X889" s="21" t="s">
        <v>6062</v>
      </c>
      <c r="Y889" s="22"/>
      <c r="Z889" s="7"/>
      <c r="AA889" s="7"/>
      <c r="AB889" s="23"/>
      <c r="AC889" s="26"/>
    </row>
    <row r="890" spans="1:29" ht="15.75" customHeight="1">
      <c r="A890" s="10" t="s">
        <v>6107</v>
      </c>
      <c r="B890" s="10" t="s">
        <v>4410</v>
      </c>
      <c r="C890" s="11" t="s">
        <v>6054</v>
      </c>
      <c r="D890" s="12"/>
      <c r="E890" s="13" t="s">
        <v>93</v>
      </c>
      <c r="F890" s="6" t="s">
        <v>6108</v>
      </c>
      <c r="G890" s="6" t="str">
        <f ca="1">IFERROR(__xludf.DUMMYFUNCTION("CONCATENATE(B890,(VLOOKUP(C890,CATALOGOS!$F$2:$H$6,3,FALSE)),(VLOOKUP(V890,CATALOGOS!$J$2:$K$18,2,FALSE)),""-"",TO_TEXT(A890))"),"P21DG-0889")</f>
        <v>P21DG-0889</v>
      </c>
      <c r="H890" s="15" t="str">
        <f ca="1">IFERROR(__xludf.DUMMYFUNCTION("CONCATENATE($B890,(VLOOKUP($C890,CATALOGOS!$F$2:$H$6,3,FALSE)),(VLOOKUP($V890,CATALOGOS!$J$2:$K$18,2,FALSE)),""-"",TO_TEXT($A890))"),"P21DG-0889")</f>
        <v>P21DG-0889</v>
      </c>
      <c r="I890" s="6"/>
      <c r="J890" s="6" t="s">
        <v>6109</v>
      </c>
      <c r="K890" s="6" t="s">
        <v>6110</v>
      </c>
      <c r="L890" s="6" t="s">
        <v>6111</v>
      </c>
      <c r="M890" s="6" t="s">
        <v>6112</v>
      </c>
      <c r="N890" s="17"/>
      <c r="O890" s="17"/>
      <c r="P890" s="17" t="str">
        <f t="shared" si="8"/>
        <v>OK</v>
      </c>
      <c r="Q890" s="17" t="s">
        <v>35</v>
      </c>
      <c r="R890" s="6" t="s">
        <v>35</v>
      </c>
      <c r="S890" s="17" t="s">
        <v>36</v>
      </c>
      <c r="T890" s="17" t="s">
        <v>6113</v>
      </c>
      <c r="U890" s="18" t="s">
        <v>38</v>
      </c>
      <c r="V890" s="19" t="s">
        <v>6054</v>
      </c>
      <c r="W890" s="22" t="s">
        <v>6062</v>
      </c>
      <c r="X890" s="21" t="s">
        <v>6062</v>
      </c>
      <c r="Y890" s="22"/>
      <c r="Z890" s="7"/>
      <c r="AA890" s="7"/>
      <c r="AB890" s="23"/>
      <c r="AC890" s="26"/>
    </row>
    <row r="891" spans="1:29" ht="15.75" customHeight="1">
      <c r="A891" s="10" t="s">
        <v>6114</v>
      </c>
      <c r="B891" s="10" t="s">
        <v>4410</v>
      </c>
      <c r="C891" s="11" t="s">
        <v>6054</v>
      </c>
      <c r="D891" s="12"/>
      <c r="E891" s="13" t="s">
        <v>71</v>
      </c>
      <c r="F891" s="6" t="s">
        <v>6115</v>
      </c>
      <c r="G891" s="6" t="str">
        <f ca="1">IFERROR(__xludf.DUMMYFUNCTION("CONCATENATE(B891,(VLOOKUP(C891,CATALOGOS!$F$2:$H$6,3,FALSE)),(VLOOKUP(V891,CATALOGOS!$J$2:$K$18,2,FALSE)),""-"",TO_TEXT(A891))"),"P21DG-0890")</f>
        <v>P21DG-0890</v>
      </c>
      <c r="H891" s="15" t="str">
        <f ca="1">IFERROR(__xludf.DUMMYFUNCTION("CONCATENATE($B891,(VLOOKUP($C891,CATALOGOS!$F$2:$H$6,3,FALSE)),(VLOOKUP($V891,CATALOGOS!$J$2:$K$18,2,FALSE)),""-"",TO_TEXT($A891))"),"P21DG-0890")</f>
        <v>P21DG-0890</v>
      </c>
      <c r="I891" s="6"/>
      <c r="J891" s="6" t="s">
        <v>6116</v>
      </c>
      <c r="K891" s="6" t="s">
        <v>6117</v>
      </c>
      <c r="L891" s="6" t="s">
        <v>6118</v>
      </c>
      <c r="M891" s="6" t="s">
        <v>6119</v>
      </c>
      <c r="N891" s="17"/>
      <c r="O891" s="17"/>
      <c r="P891" s="17" t="str">
        <f t="shared" si="8"/>
        <v>OK</v>
      </c>
      <c r="Q891" s="17" t="s">
        <v>35</v>
      </c>
      <c r="R891" s="49" t="s">
        <v>35</v>
      </c>
      <c r="S891" s="17" t="s">
        <v>36</v>
      </c>
      <c r="T891" s="17" t="s">
        <v>6120</v>
      </c>
      <c r="U891" s="18" t="s">
        <v>38</v>
      </c>
      <c r="V891" s="19" t="s">
        <v>6054</v>
      </c>
      <c r="W891" s="22" t="s">
        <v>6062</v>
      </c>
      <c r="X891" s="21" t="s">
        <v>6062</v>
      </c>
      <c r="Y891" s="22"/>
      <c r="Z891" s="7"/>
      <c r="AA891" s="7"/>
      <c r="AB891" s="23"/>
      <c r="AC891" s="26"/>
    </row>
    <row r="892" spans="1:29" ht="15.75" customHeight="1">
      <c r="A892" s="10" t="s">
        <v>6121</v>
      </c>
      <c r="B892" s="10" t="s">
        <v>4410</v>
      </c>
      <c r="C892" s="11" t="s">
        <v>6054</v>
      </c>
      <c r="D892" s="12"/>
      <c r="E892" s="13" t="s">
        <v>93</v>
      </c>
      <c r="F892" s="6" t="s">
        <v>6122</v>
      </c>
      <c r="G892" s="6" t="str">
        <f ca="1">IFERROR(__xludf.DUMMYFUNCTION("CONCATENATE(B892,(VLOOKUP(C892,CATALOGOS!$F$2:$H$6,3,FALSE)),(VLOOKUP(V892,CATALOGOS!$J$2:$K$18,2,FALSE)),""-"",TO_TEXT(A892))"),"P21DG-0891")</f>
        <v>P21DG-0891</v>
      </c>
      <c r="H892" s="15" t="str">
        <f ca="1">IFERROR(__xludf.DUMMYFUNCTION("CONCATENATE($B892,(VLOOKUP($C892,CATALOGOS!$F$2:$H$6,3,FALSE)),(VLOOKUP($V892,CATALOGOS!$J$2:$K$18,2,FALSE)),""-"",TO_TEXT($A892))"),"P21DG-0891")</f>
        <v>P21DG-0891</v>
      </c>
      <c r="I892" s="6"/>
      <c r="J892" s="6" t="s">
        <v>6123</v>
      </c>
      <c r="K892" s="6" t="s">
        <v>6124</v>
      </c>
      <c r="L892" s="6" t="s">
        <v>6125</v>
      </c>
      <c r="M892" s="6" t="s">
        <v>6126</v>
      </c>
      <c r="N892" s="17"/>
      <c r="O892" s="17"/>
      <c r="P892" s="17" t="str">
        <f t="shared" si="8"/>
        <v>OK</v>
      </c>
      <c r="Q892" s="17" t="s">
        <v>35</v>
      </c>
      <c r="R892" s="6" t="s">
        <v>35</v>
      </c>
      <c r="S892" s="17" t="s">
        <v>36</v>
      </c>
      <c r="T892" s="17" t="s">
        <v>6127</v>
      </c>
      <c r="U892" s="18" t="s">
        <v>38</v>
      </c>
      <c r="V892" s="19" t="s">
        <v>6054</v>
      </c>
      <c r="W892" s="22" t="s">
        <v>6062</v>
      </c>
      <c r="X892" s="21" t="s">
        <v>6062</v>
      </c>
      <c r="Y892" s="22"/>
      <c r="Z892" s="7"/>
      <c r="AA892" s="7"/>
      <c r="AB892" s="23"/>
      <c r="AC892" s="26"/>
    </row>
    <row r="893" spans="1:29" ht="15.75" customHeight="1">
      <c r="A893" s="10" t="s">
        <v>6128</v>
      </c>
      <c r="B893" s="10" t="s">
        <v>4410</v>
      </c>
      <c r="C893" s="11" t="s">
        <v>6054</v>
      </c>
      <c r="D893" s="12"/>
      <c r="E893" s="13" t="s">
        <v>6129</v>
      </c>
      <c r="F893" s="6" t="s">
        <v>6130</v>
      </c>
      <c r="G893" s="6" t="str">
        <f ca="1">IFERROR(__xludf.DUMMYFUNCTION("CONCATENATE(B893,(VLOOKUP(C893,CATALOGOS!$F$2:$H$6,3,FALSE)),(VLOOKUP(V893,CATALOGOS!$J$2:$K$18,2,FALSE)),""-"",TO_TEXT(A893))"),"P21DG-0892")</f>
        <v>P21DG-0892</v>
      </c>
      <c r="H893" s="15" t="str">
        <f ca="1">IFERROR(__xludf.DUMMYFUNCTION("CONCATENATE($B893,(VLOOKUP($C893,CATALOGOS!$F$2:$H$6,3,FALSE)),(VLOOKUP($V893,CATALOGOS!$J$2:$K$18,2,FALSE)),""-"",TO_TEXT($A893))"),"P21DG-0892")</f>
        <v>P21DG-0892</v>
      </c>
      <c r="I893" s="6"/>
      <c r="J893" s="6" t="s">
        <v>6131</v>
      </c>
      <c r="K893" s="6" t="s">
        <v>6132</v>
      </c>
      <c r="L893" s="6" t="s">
        <v>6133</v>
      </c>
      <c r="M893" s="43" t="s">
        <v>6134</v>
      </c>
      <c r="N893" s="17"/>
      <c r="O893" s="17"/>
      <c r="P893" s="17" t="str">
        <f t="shared" si="8"/>
        <v>OK</v>
      </c>
      <c r="Q893" s="17" t="s">
        <v>6135</v>
      </c>
      <c r="R893" s="6" t="s">
        <v>6136</v>
      </c>
      <c r="S893" s="17" t="s">
        <v>6137</v>
      </c>
      <c r="T893" s="10" t="s">
        <v>6138</v>
      </c>
      <c r="U893" s="18" t="s">
        <v>38</v>
      </c>
      <c r="V893" s="19" t="s">
        <v>6054</v>
      </c>
      <c r="W893" s="22" t="s">
        <v>6062</v>
      </c>
      <c r="X893" s="21" t="s">
        <v>6062</v>
      </c>
      <c r="Y893" s="22"/>
      <c r="Z893" s="7"/>
      <c r="AA893" s="7"/>
      <c r="AB893" s="23"/>
      <c r="AC893" s="26"/>
    </row>
    <row r="894" spans="1:29" ht="15.75" customHeight="1">
      <c r="A894" s="10" t="s">
        <v>6139</v>
      </c>
      <c r="B894" s="10" t="s">
        <v>4410</v>
      </c>
      <c r="C894" s="11" t="s">
        <v>6054</v>
      </c>
      <c r="D894" s="12"/>
      <c r="E894" s="13" t="s">
        <v>71</v>
      </c>
      <c r="F894" s="6" t="s">
        <v>6115</v>
      </c>
      <c r="G894" s="6" t="str">
        <f ca="1">IFERROR(__xludf.DUMMYFUNCTION("CONCATENATE(B894,(VLOOKUP(C894,CATALOGOS!$F$2:$H$6,3,FALSE)),(VLOOKUP(V894,CATALOGOS!$J$2:$K$18,2,FALSE)),""-"",TO_TEXT(A894))"),"P21DG-0893")</f>
        <v>P21DG-0893</v>
      </c>
      <c r="H894" s="15" t="str">
        <f ca="1">IFERROR(__xludf.DUMMYFUNCTION("CONCATENATE($B894,(VLOOKUP($C894,CATALOGOS!$F$2:$H$6,3,FALSE)),(VLOOKUP($V894,CATALOGOS!$J$2:$K$18,2,FALSE)),""-"",TO_TEXT($A894))"),"P21DG-0893")</f>
        <v>P21DG-0893</v>
      </c>
      <c r="I894" s="6"/>
      <c r="J894" s="6" t="s">
        <v>6140</v>
      </c>
      <c r="K894" s="6" t="s">
        <v>6141</v>
      </c>
      <c r="L894" s="6" t="s">
        <v>6142</v>
      </c>
      <c r="M894" s="6" t="s">
        <v>6143</v>
      </c>
      <c r="N894" s="17"/>
      <c r="O894" s="17"/>
      <c r="P894" s="17" t="str">
        <f t="shared" si="8"/>
        <v>OK</v>
      </c>
      <c r="Q894" s="17" t="s">
        <v>35</v>
      </c>
      <c r="R894" s="6" t="s">
        <v>35</v>
      </c>
      <c r="S894" s="17" t="s">
        <v>36</v>
      </c>
      <c r="T894" s="17" t="s">
        <v>6144</v>
      </c>
      <c r="U894" s="18" t="s">
        <v>38</v>
      </c>
      <c r="V894" s="19" t="s">
        <v>6054</v>
      </c>
      <c r="W894" s="22" t="s">
        <v>6062</v>
      </c>
      <c r="X894" s="21" t="s">
        <v>6062</v>
      </c>
      <c r="Y894" s="22"/>
      <c r="Z894" s="7"/>
      <c r="AA894" s="7"/>
      <c r="AB894" s="23"/>
      <c r="AC894" s="26"/>
    </row>
    <row r="895" spans="1:29" ht="15.75" customHeight="1">
      <c r="A895" s="10" t="s">
        <v>6145</v>
      </c>
      <c r="B895" s="10" t="s">
        <v>4410</v>
      </c>
      <c r="C895" s="11" t="s">
        <v>6054</v>
      </c>
      <c r="D895" s="12"/>
      <c r="E895" s="13" t="s">
        <v>93</v>
      </c>
      <c r="F895" s="6" t="s">
        <v>6146</v>
      </c>
      <c r="G895" s="6" t="str">
        <f ca="1">IFERROR(__xludf.DUMMYFUNCTION("CONCATENATE(B895,(VLOOKUP(C895,CATALOGOS!$F$2:$H$6,3,FALSE)),(VLOOKUP(V895,CATALOGOS!$J$2:$K$18,2,FALSE)),""-"",TO_TEXT(A895))"),"P21DG-0894")</f>
        <v>P21DG-0894</v>
      </c>
      <c r="H895" s="15" t="str">
        <f ca="1">IFERROR(__xludf.DUMMYFUNCTION("CONCATENATE($B895,(VLOOKUP($C895,CATALOGOS!$F$2:$H$6,3,FALSE)),(VLOOKUP($V895,CATALOGOS!$J$2:$K$18,2,FALSE)),""-"",TO_TEXT($A895))"),"P21DG-0894")</f>
        <v>P21DG-0894</v>
      </c>
      <c r="I895" s="6"/>
      <c r="J895" s="6" t="s">
        <v>6147</v>
      </c>
      <c r="K895" s="6" t="s">
        <v>6148</v>
      </c>
      <c r="L895" s="6" t="s">
        <v>6149</v>
      </c>
      <c r="M895" s="6" t="s">
        <v>6150</v>
      </c>
      <c r="N895" s="17"/>
      <c r="O895" s="17"/>
      <c r="P895" s="17" t="str">
        <f t="shared" si="8"/>
        <v>OK</v>
      </c>
      <c r="Q895" s="17" t="s">
        <v>35</v>
      </c>
      <c r="R895" s="6" t="s">
        <v>35</v>
      </c>
      <c r="S895" s="17" t="s">
        <v>36</v>
      </c>
      <c r="T895" s="17" t="s">
        <v>6151</v>
      </c>
      <c r="U895" s="18" t="s">
        <v>38</v>
      </c>
      <c r="V895" s="19" t="s">
        <v>6054</v>
      </c>
      <c r="W895" s="22" t="s">
        <v>6062</v>
      </c>
      <c r="X895" s="21" t="s">
        <v>6062</v>
      </c>
      <c r="Y895" s="22"/>
      <c r="Z895" s="7"/>
      <c r="AA895" s="7"/>
      <c r="AB895" s="23"/>
      <c r="AC895" s="26"/>
    </row>
    <row r="896" spans="1:29" ht="15.75" customHeight="1">
      <c r="A896" s="10" t="s">
        <v>6152</v>
      </c>
      <c r="B896" s="10" t="s">
        <v>4410</v>
      </c>
      <c r="C896" s="11" t="s">
        <v>6054</v>
      </c>
      <c r="D896" s="12"/>
      <c r="E896" s="13" t="s">
        <v>29</v>
      </c>
      <c r="F896" s="6" t="s">
        <v>6153</v>
      </c>
      <c r="G896" s="6" t="str">
        <f ca="1">IFERROR(__xludf.DUMMYFUNCTION("CONCATENATE(B896,(VLOOKUP(C896,CATALOGOS!$F$2:$H$6,3,FALSE)),(VLOOKUP(V896,CATALOGOS!$J$2:$K$18,2,FALSE)),""-"",TO_TEXT(A896))"),"P21DG-0895")</f>
        <v>P21DG-0895</v>
      </c>
      <c r="H896" s="15" t="str">
        <f ca="1">IFERROR(__xludf.DUMMYFUNCTION("CONCATENATE($B896,(VLOOKUP($C896,CATALOGOS!$F$2:$H$6,3,FALSE)),(VLOOKUP($V896,CATALOGOS!$J$2:$K$18,2,FALSE)),""-"",TO_TEXT($A896))"),"P21DG-0895")</f>
        <v>P21DG-0895</v>
      </c>
      <c r="I896" s="6"/>
      <c r="J896" s="6" t="s">
        <v>6154</v>
      </c>
      <c r="K896" s="6" t="s">
        <v>6155</v>
      </c>
      <c r="L896" s="6" t="s">
        <v>6156</v>
      </c>
      <c r="M896" s="6" t="s">
        <v>6157</v>
      </c>
      <c r="N896" s="17"/>
      <c r="O896" s="17"/>
      <c r="P896" s="17" t="str">
        <f t="shared" si="8"/>
        <v>OK</v>
      </c>
      <c r="Q896" s="17" t="s">
        <v>35</v>
      </c>
      <c r="R896" s="6" t="s">
        <v>35</v>
      </c>
      <c r="S896" s="17" t="s">
        <v>36</v>
      </c>
      <c r="T896" s="17" t="s">
        <v>6158</v>
      </c>
      <c r="U896" s="18" t="s">
        <v>38</v>
      </c>
      <c r="V896" s="19" t="s">
        <v>6054</v>
      </c>
      <c r="W896" s="22" t="s">
        <v>6062</v>
      </c>
      <c r="X896" s="21" t="s">
        <v>6062</v>
      </c>
      <c r="Y896" s="22"/>
      <c r="Z896" s="7"/>
      <c r="AA896" s="7"/>
      <c r="AB896" s="23"/>
      <c r="AC896" s="26"/>
    </row>
    <row r="897" spans="1:29" ht="15.75" customHeight="1">
      <c r="A897" s="10" t="s">
        <v>6159</v>
      </c>
      <c r="B897" s="10" t="s">
        <v>4410</v>
      </c>
      <c r="C897" s="11" t="s">
        <v>6054</v>
      </c>
      <c r="D897" s="12"/>
      <c r="E897" s="13" t="s">
        <v>93</v>
      </c>
      <c r="F897" s="6" t="s">
        <v>6160</v>
      </c>
      <c r="G897" s="6" t="str">
        <f ca="1">IFERROR(__xludf.DUMMYFUNCTION("CONCATENATE(B897,(VLOOKUP(C897,CATALOGOS!$F$2:$H$6,3,FALSE)),(VLOOKUP(V897,CATALOGOS!$J$2:$K$18,2,FALSE)),""-"",TO_TEXT(A897))"),"P21DG-0896")</f>
        <v>P21DG-0896</v>
      </c>
      <c r="H897" s="15" t="str">
        <f ca="1">IFERROR(__xludf.DUMMYFUNCTION("CONCATENATE($B897,(VLOOKUP($C897,CATALOGOS!$F$2:$H$6,3,FALSE)),(VLOOKUP($V897,CATALOGOS!$J$2:$K$18,2,FALSE)),""-"",TO_TEXT($A897))"),"P21DG-0896")</f>
        <v>P21DG-0896</v>
      </c>
      <c r="I897" s="6"/>
      <c r="J897" s="6" t="s">
        <v>6161</v>
      </c>
      <c r="K897" s="6" t="s">
        <v>6162</v>
      </c>
      <c r="L897" s="6" t="s">
        <v>6163</v>
      </c>
      <c r="M897" s="6" t="s">
        <v>6164</v>
      </c>
      <c r="N897" s="17"/>
      <c r="O897" s="17"/>
      <c r="P897" s="17" t="str">
        <f t="shared" si="8"/>
        <v>OK</v>
      </c>
      <c r="Q897" s="17" t="s">
        <v>35</v>
      </c>
      <c r="R897" s="49" t="s">
        <v>35</v>
      </c>
      <c r="S897" s="17" t="s">
        <v>36</v>
      </c>
      <c r="T897" s="17" t="s">
        <v>6165</v>
      </c>
      <c r="U897" s="18" t="s">
        <v>38</v>
      </c>
      <c r="V897" s="19" t="s">
        <v>6054</v>
      </c>
      <c r="W897" s="22" t="s">
        <v>6062</v>
      </c>
      <c r="X897" s="21" t="s">
        <v>6062</v>
      </c>
      <c r="Y897" s="22"/>
      <c r="Z897" s="7"/>
      <c r="AA897" s="7"/>
      <c r="AB897" s="23"/>
      <c r="AC897" s="26"/>
    </row>
    <row r="898" spans="1:29" ht="15.75" customHeight="1">
      <c r="A898" s="10" t="s">
        <v>6166</v>
      </c>
      <c r="B898" s="10" t="s">
        <v>4410</v>
      </c>
      <c r="C898" s="11" t="s">
        <v>6054</v>
      </c>
      <c r="D898" s="12"/>
      <c r="E898" s="13" t="s">
        <v>93</v>
      </c>
      <c r="F898" s="6" t="s">
        <v>6146</v>
      </c>
      <c r="G898" s="6" t="str">
        <f ca="1">IFERROR(__xludf.DUMMYFUNCTION("CONCATENATE(B898,(VLOOKUP(C898,CATALOGOS!$F$2:$H$6,3,FALSE)),(VLOOKUP(V898,CATALOGOS!$J$2:$K$18,2,FALSE)),""-"",TO_TEXT(A898))"),"P21DG-0897")</f>
        <v>P21DG-0897</v>
      </c>
      <c r="H898" s="15" t="str">
        <f ca="1">IFERROR(__xludf.DUMMYFUNCTION("CONCATENATE($B898,(VLOOKUP($C898,CATALOGOS!$F$2:$H$6,3,FALSE)),(VLOOKUP($V898,CATALOGOS!$J$2:$K$18,2,FALSE)),""-"",TO_TEXT($A898))"),"P21DG-0897")</f>
        <v>P21DG-0897</v>
      </c>
      <c r="I898" s="6"/>
      <c r="J898" s="6" t="s">
        <v>6167</v>
      </c>
      <c r="K898" s="6" t="s">
        <v>6168</v>
      </c>
      <c r="L898" s="6" t="s">
        <v>6169</v>
      </c>
      <c r="M898" s="6" t="s">
        <v>6170</v>
      </c>
      <c r="N898" s="17"/>
      <c r="O898" s="17"/>
      <c r="P898" s="17" t="str">
        <f t="shared" si="8"/>
        <v>OK</v>
      </c>
      <c r="Q898" s="17" t="s">
        <v>35</v>
      </c>
      <c r="R898" s="6" t="s">
        <v>35</v>
      </c>
      <c r="S898" s="17" t="s">
        <v>36</v>
      </c>
      <c r="T898" s="17" t="s">
        <v>6171</v>
      </c>
      <c r="U898" s="18" t="s">
        <v>38</v>
      </c>
      <c r="V898" s="19" t="s">
        <v>6054</v>
      </c>
      <c r="W898" s="22" t="s">
        <v>6062</v>
      </c>
      <c r="X898" s="21" t="s">
        <v>6062</v>
      </c>
      <c r="Y898" s="22"/>
      <c r="Z898" s="7"/>
      <c r="AA898" s="7"/>
      <c r="AB898" s="23"/>
      <c r="AC898" s="26"/>
    </row>
    <row r="899" spans="1:29" ht="15.75" customHeight="1">
      <c r="A899" s="10" t="s">
        <v>6172</v>
      </c>
      <c r="B899" s="10" t="s">
        <v>4410</v>
      </c>
      <c r="C899" s="11" t="s">
        <v>6054</v>
      </c>
      <c r="D899" s="12"/>
      <c r="E899" s="13" t="s">
        <v>234</v>
      </c>
      <c r="F899" s="43" t="s">
        <v>6173</v>
      </c>
      <c r="G899" s="6" t="str">
        <f ca="1">IFERROR(__xludf.DUMMYFUNCTION("CONCATENATE(B899,(VLOOKUP(C899,CATALOGOS!$F$2:$H$6,3,FALSE)),(VLOOKUP(V899,CATALOGOS!$J$2:$K$18,2,FALSE)),""-"",TO_TEXT(A899))"),"P21DG-0898")</f>
        <v>P21DG-0898</v>
      </c>
      <c r="H899" s="15" t="str">
        <f ca="1">IFERROR(__xludf.DUMMYFUNCTION("CONCATENATE($B899,(VLOOKUP($C899,CATALOGOS!$F$2:$H$6,3,FALSE)),(VLOOKUP($V899,CATALOGOS!$J$2:$K$18,2,FALSE)),""-"",TO_TEXT($A899))"),"P21DG-0898")</f>
        <v>P21DG-0898</v>
      </c>
      <c r="I899" s="6"/>
      <c r="J899" s="6" t="s">
        <v>6174</v>
      </c>
      <c r="K899" s="6" t="s">
        <v>6175</v>
      </c>
      <c r="L899" s="6" t="s">
        <v>6176</v>
      </c>
      <c r="M899" s="6" t="s">
        <v>6177</v>
      </c>
      <c r="N899" s="17"/>
      <c r="O899" s="17"/>
      <c r="P899" s="17" t="str">
        <f t="shared" si="8"/>
        <v>OK</v>
      </c>
      <c r="Q899" s="17" t="s">
        <v>35</v>
      </c>
      <c r="R899" s="6" t="s">
        <v>35</v>
      </c>
      <c r="S899" s="17" t="s">
        <v>36</v>
      </c>
      <c r="T899" s="17" t="s">
        <v>6178</v>
      </c>
      <c r="U899" s="18" t="s">
        <v>38</v>
      </c>
      <c r="V899" s="19" t="s">
        <v>6054</v>
      </c>
      <c r="W899" s="22" t="s">
        <v>6062</v>
      </c>
      <c r="X899" s="21" t="s">
        <v>6062</v>
      </c>
      <c r="Y899" s="22"/>
      <c r="Z899" s="7"/>
      <c r="AA899" s="7"/>
      <c r="AB899" s="23"/>
      <c r="AC899" s="26"/>
    </row>
    <row r="900" spans="1:29" ht="15.75" customHeight="1">
      <c r="A900" s="10" t="s">
        <v>6179</v>
      </c>
      <c r="B900" s="10" t="s">
        <v>4410</v>
      </c>
      <c r="C900" s="11" t="s">
        <v>6054</v>
      </c>
      <c r="D900" s="12"/>
      <c r="E900" s="13" t="s">
        <v>6180</v>
      </c>
      <c r="F900" s="43" t="s">
        <v>6181</v>
      </c>
      <c r="G900" s="6" t="str">
        <f ca="1">IFERROR(__xludf.DUMMYFUNCTION("CONCATENATE(B900,(VLOOKUP(C900,CATALOGOS!$F$2:$H$6,3,FALSE)),(VLOOKUP(V900,CATALOGOS!$J$2:$K$18,2,FALSE)),""-"",TO_TEXT(A900))"),"P21DG-0899")</f>
        <v>P21DG-0899</v>
      </c>
      <c r="H900" s="15" t="str">
        <f ca="1">IFERROR(__xludf.DUMMYFUNCTION("CONCATENATE($B900,(VLOOKUP($C900,CATALOGOS!$F$2:$H$6,3,FALSE)),(VLOOKUP($V900,CATALOGOS!$J$2:$K$18,2,FALSE)),""-"",TO_TEXT($A900))"),"P21DG-0899")</f>
        <v>P21DG-0899</v>
      </c>
      <c r="I900" s="6"/>
      <c r="J900" s="6" t="s">
        <v>6182</v>
      </c>
      <c r="K900" s="6" t="s">
        <v>6183</v>
      </c>
      <c r="L900" s="6" t="s">
        <v>6184</v>
      </c>
      <c r="M900" s="6" t="s">
        <v>6185</v>
      </c>
      <c r="N900" s="17"/>
      <c r="O900" s="17"/>
      <c r="P900" s="17" t="str">
        <f t="shared" si="8"/>
        <v>OK</v>
      </c>
      <c r="Q900" s="17" t="s">
        <v>35</v>
      </c>
      <c r="R900" s="6" t="s">
        <v>35</v>
      </c>
      <c r="S900" s="17" t="s">
        <v>36</v>
      </c>
      <c r="T900" s="17" t="s">
        <v>85</v>
      </c>
      <c r="U900" s="18" t="s">
        <v>38</v>
      </c>
      <c r="V900" s="19" t="s">
        <v>6054</v>
      </c>
      <c r="W900" s="22" t="s">
        <v>6062</v>
      </c>
      <c r="X900" s="21" t="s">
        <v>6062</v>
      </c>
      <c r="Y900" s="22"/>
      <c r="Z900" s="7"/>
      <c r="AA900" s="7"/>
      <c r="AB900" s="23"/>
      <c r="AC900" s="26"/>
    </row>
    <row r="901" spans="1:29" ht="15.75" customHeight="1">
      <c r="A901" s="10" t="s">
        <v>6186</v>
      </c>
      <c r="B901" s="10" t="s">
        <v>4410</v>
      </c>
      <c r="C901" s="11" t="s">
        <v>6054</v>
      </c>
      <c r="D901" s="12"/>
      <c r="E901" s="13" t="s">
        <v>6187</v>
      </c>
      <c r="F901" s="6" t="s">
        <v>6188</v>
      </c>
      <c r="G901" s="6" t="str">
        <f ca="1">IFERROR(__xludf.DUMMYFUNCTION("CONCATENATE(B901,(VLOOKUP(C901,CATALOGOS!$F$2:$H$6,3,FALSE)),(VLOOKUP(V901,CATALOGOS!$J$2:$K$18,2,FALSE)),""-"",TO_TEXT(A901))"),"P21DG-0900")</f>
        <v>P21DG-0900</v>
      </c>
      <c r="H901" s="15" t="str">
        <f ca="1">IFERROR(__xludf.DUMMYFUNCTION("CONCATENATE($B901,(VLOOKUP($C901,CATALOGOS!$F$2:$H$6,3,FALSE)),(VLOOKUP($V901,CATALOGOS!$J$2:$K$18,2,FALSE)),""-"",TO_TEXT($A901))"),"P21DG-0900")</f>
        <v>P21DG-0900</v>
      </c>
      <c r="I901" s="6"/>
      <c r="J901" s="6" t="s">
        <v>6189</v>
      </c>
      <c r="K901" s="36"/>
      <c r="L901" s="36"/>
      <c r="M901" s="6" t="s">
        <v>141</v>
      </c>
      <c r="N901" s="17"/>
      <c r="O901" s="17"/>
      <c r="P901" s="17" t="str">
        <f t="shared" si="8"/>
        <v>REPETIDO</v>
      </c>
      <c r="Q901" s="35" t="s">
        <v>35</v>
      </c>
      <c r="R901" s="6" t="s">
        <v>35</v>
      </c>
      <c r="S901" s="10" t="s">
        <v>36</v>
      </c>
      <c r="T901" s="32" t="s">
        <v>85</v>
      </c>
      <c r="U901" s="18" t="s">
        <v>38</v>
      </c>
      <c r="V901" s="19" t="s">
        <v>6054</v>
      </c>
      <c r="W901" s="22" t="s">
        <v>6062</v>
      </c>
      <c r="X901" s="21" t="s">
        <v>6062</v>
      </c>
      <c r="Y901" s="22"/>
      <c r="Z901" s="36"/>
      <c r="AA901" s="36"/>
      <c r="AB901" s="23"/>
      <c r="AC901" s="33"/>
    </row>
    <row r="902" spans="1:29" ht="15.75" customHeight="1">
      <c r="A902" s="10" t="s">
        <v>6190</v>
      </c>
      <c r="B902" s="10" t="s">
        <v>4410</v>
      </c>
      <c r="C902" s="11" t="s">
        <v>6054</v>
      </c>
      <c r="D902" s="12"/>
      <c r="E902" s="13" t="s">
        <v>93</v>
      </c>
      <c r="F902" s="6" t="s">
        <v>6191</v>
      </c>
      <c r="G902" s="6" t="str">
        <f ca="1">IFERROR(__xludf.DUMMYFUNCTION("CONCATENATE(B902,(VLOOKUP(C902,CATALOGOS!$F$2:$H$6,3,FALSE)),(VLOOKUP(V902,CATALOGOS!$J$2:$K$18,2,FALSE)),""-"",TO_TEXT(A902))"),"P21DG-0901")</f>
        <v>P21DG-0901</v>
      </c>
      <c r="H902" s="15" t="str">
        <f ca="1">IFERROR(__xludf.DUMMYFUNCTION("CONCATENATE($B902,(VLOOKUP($C902,CATALOGOS!$F$2:$H$6,3,FALSE)),(VLOOKUP($V902,CATALOGOS!$J$2:$K$18,2,FALSE)),""-"",TO_TEXT($A902))"),"P21DG-0901")</f>
        <v>P21DG-0901</v>
      </c>
      <c r="I902" s="6"/>
      <c r="J902" s="6" t="s">
        <v>6192</v>
      </c>
      <c r="K902" s="36"/>
      <c r="L902" s="36"/>
      <c r="M902" s="6" t="s">
        <v>141</v>
      </c>
      <c r="N902" s="17"/>
      <c r="O902" s="17"/>
      <c r="P902" s="17" t="str">
        <f t="shared" si="8"/>
        <v>REPETIDO</v>
      </c>
      <c r="Q902" s="35" t="s">
        <v>35</v>
      </c>
      <c r="R902" s="6" t="s">
        <v>35</v>
      </c>
      <c r="S902" s="10" t="s">
        <v>36</v>
      </c>
      <c r="T902" s="32" t="s">
        <v>85</v>
      </c>
      <c r="U902" s="18" t="s">
        <v>38</v>
      </c>
      <c r="V902" s="19" t="s">
        <v>6054</v>
      </c>
      <c r="W902" s="22" t="s">
        <v>6062</v>
      </c>
      <c r="X902" s="21" t="s">
        <v>6062</v>
      </c>
      <c r="Y902" s="22"/>
      <c r="Z902" s="36"/>
      <c r="AA902" s="36"/>
      <c r="AB902" s="23"/>
      <c r="AC902" s="33"/>
    </row>
    <row r="903" spans="1:29" ht="15.75" customHeight="1">
      <c r="A903" s="10" t="s">
        <v>6193</v>
      </c>
      <c r="B903" s="10" t="s">
        <v>4410</v>
      </c>
      <c r="C903" s="11" t="s">
        <v>6054</v>
      </c>
      <c r="D903" s="12"/>
      <c r="E903" s="13" t="s">
        <v>116</v>
      </c>
      <c r="F903" s="6" t="s">
        <v>6194</v>
      </c>
      <c r="G903" s="6" t="str">
        <f ca="1">IFERROR(__xludf.DUMMYFUNCTION("CONCATENATE(B903,(VLOOKUP(C903,CATALOGOS!$F$2:$H$6,3,FALSE)),(VLOOKUP(V903,CATALOGOS!$J$2:$K$18,2,FALSE)),""-"",TO_TEXT(A903))"),"P21DG-0902")</f>
        <v>P21DG-0902</v>
      </c>
      <c r="H903" s="15" t="str">
        <f ca="1">IFERROR(__xludf.DUMMYFUNCTION("CONCATENATE($B903,(VLOOKUP($C903,CATALOGOS!$F$2:$H$6,3,FALSE)),(VLOOKUP($V903,CATALOGOS!$J$2:$K$18,2,FALSE)),""-"",TO_TEXT($A903))"),"P21DG-0902")</f>
        <v>P21DG-0902</v>
      </c>
      <c r="I903" s="6"/>
      <c r="J903" s="6" t="s">
        <v>6195</v>
      </c>
      <c r="K903" s="6" t="s">
        <v>6196</v>
      </c>
      <c r="L903" s="6" t="s">
        <v>6197</v>
      </c>
      <c r="M903" s="6" t="s">
        <v>6198</v>
      </c>
      <c r="N903" s="17"/>
      <c r="O903" s="17"/>
      <c r="P903" s="17" t="str">
        <f t="shared" si="8"/>
        <v>OK</v>
      </c>
      <c r="Q903" s="17" t="s">
        <v>35</v>
      </c>
      <c r="R903" s="49" t="s">
        <v>35</v>
      </c>
      <c r="S903" s="17" t="s">
        <v>36</v>
      </c>
      <c r="T903" s="17" t="s">
        <v>6199</v>
      </c>
      <c r="U903" s="18" t="s">
        <v>38</v>
      </c>
      <c r="V903" s="19" t="s">
        <v>6054</v>
      </c>
      <c r="W903" s="22" t="s">
        <v>6062</v>
      </c>
      <c r="X903" s="21" t="s">
        <v>6062</v>
      </c>
      <c r="Y903" s="22"/>
      <c r="Z903" s="6"/>
      <c r="AA903" s="6"/>
      <c r="AB903" s="23"/>
      <c r="AC903" s="33"/>
    </row>
    <row r="904" spans="1:29" ht="15.75" customHeight="1">
      <c r="A904" s="10" t="s">
        <v>6200</v>
      </c>
      <c r="B904" s="10" t="s">
        <v>4410</v>
      </c>
      <c r="C904" s="11" t="s">
        <v>6054</v>
      </c>
      <c r="D904" s="12"/>
      <c r="E904" s="13" t="s">
        <v>184</v>
      </c>
      <c r="F904" s="6" t="s">
        <v>6201</v>
      </c>
      <c r="G904" s="6" t="str">
        <f ca="1">IFERROR(__xludf.DUMMYFUNCTION("CONCATENATE(B904,(VLOOKUP(C904,CATALOGOS!$F$2:$H$6,3,FALSE)),(VLOOKUP(V904,CATALOGOS!$J$2:$K$18,2,FALSE)),""-"",TO_TEXT(A904))"),"P21DG-0903")</f>
        <v>P21DG-0903</v>
      </c>
      <c r="H904" s="15" t="str">
        <f ca="1">IFERROR(__xludf.DUMMYFUNCTION("CONCATENATE($B904,(VLOOKUP($C904,CATALOGOS!$F$2:$H$6,3,FALSE)),(VLOOKUP($V904,CATALOGOS!$J$2:$K$18,2,FALSE)),""-"",TO_TEXT($A904))"),"P21DG-0903")</f>
        <v>P21DG-0903</v>
      </c>
      <c r="I904" s="6"/>
      <c r="J904" s="6" t="s">
        <v>6202</v>
      </c>
      <c r="K904" s="6" t="s">
        <v>6203</v>
      </c>
      <c r="L904" s="6" t="s">
        <v>6204</v>
      </c>
      <c r="M904" s="43" t="s">
        <v>6205</v>
      </c>
      <c r="N904" s="17"/>
      <c r="O904" s="17"/>
      <c r="P904" s="17" t="str">
        <f t="shared" si="8"/>
        <v>OK</v>
      </c>
      <c r="Q904" s="17" t="s">
        <v>35</v>
      </c>
      <c r="R904" s="6" t="s">
        <v>35</v>
      </c>
      <c r="S904" s="17" t="s">
        <v>36</v>
      </c>
      <c r="T904" s="17" t="s">
        <v>6206</v>
      </c>
      <c r="U904" s="18" t="s">
        <v>38</v>
      </c>
      <c r="V904" s="19" t="s">
        <v>6054</v>
      </c>
      <c r="W904" s="22" t="s">
        <v>6062</v>
      </c>
      <c r="X904" s="21" t="s">
        <v>6062</v>
      </c>
      <c r="Y904" s="22"/>
      <c r="Z904" s="7"/>
      <c r="AA904" s="7"/>
      <c r="AB904" s="23"/>
      <c r="AC904" s="26"/>
    </row>
    <row r="905" spans="1:29" ht="15.75" customHeight="1">
      <c r="A905" s="10" t="s">
        <v>6207</v>
      </c>
      <c r="B905" s="10" t="s">
        <v>4410</v>
      </c>
      <c r="C905" s="11" t="s">
        <v>6054</v>
      </c>
      <c r="D905" s="12"/>
      <c r="E905" s="13" t="s">
        <v>184</v>
      </c>
      <c r="F905" s="6" t="s">
        <v>6201</v>
      </c>
      <c r="G905" s="6" t="str">
        <f ca="1">IFERROR(__xludf.DUMMYFUNCTION("CONCATENATE(B905,(VLOOKUP(C905,CATALOGOS!$F$2:$H$6,3,FALSE)),(VLOOKUP(V905,CATALOGOS!$J$2:$K$18,2,FALSE)),""-"",TO_TEXT(A905))"),"P21DG-0904")</f>
        <v>P21DG-0904</v>
      </c>
      <c r="H905" s="15" t="str">
        <f ca="1">IFERROR(__xludf.DUMMYFUNCTION("CONCATENATE($B905,(VLOOKUP($C905,CATALOGOS!$F$2:$H$6,3,FALSE)),(VLOOKUP($V905,CATALOGOS!$J$2:$K$18,2,FALSE)),""-"",TO_TEXT($A905))"),"P21DG-0904")</f>
        <v>P21DG-0904</v>
      </c>
      <c r="I905" s="6"/>
      <c r="J905" s="6" t="s">
        <v>6208</v>
      </c>
      <c r="K905" s="6" t="s">
        <v>6209</v>
      </c>
      <c r="L905" s="6" t="s">
        <v>6210</v>
      </c>
      <c r="M905" s="43" t="s">
        <v>6211</v>
      </c>
      <c r="N905" s="17"/>
      <c r="O905" s="17"/>
      <c r="P905" s="17" t="str">
        <f t="shared" si="8"/>
        <v>OK</v>
      </c>
      <c r="Q905" s="17" t="s">
        <v>35</v>
      </c>
      <c r="R905" s="6" t="s">
        <v>35</v>
      </c>
      <c r="S905" s="17" t="s">
        <v>36</v>
      </c>
      <c r="T905" s="17" t="s">
        <v>6212</v>
      </c>
      <c r="U905" s="18" t="s">
        <v>38</v>
      </c>
      <c r="V905" s="19" t="s">
        <v>6054</v>
      </c>
      <c r="W905" s="22" t="s">
        <v>6062</v>
      </c>
      <c r="X905" s="21" t="s">
        <v>6062</v>
      </c>
      <c r="Y905" s="22"/>
      <c r="Z905" s="7"/>
      <c r="AA905" s="7"/>
      <c r="AB905" s="23"/>
      <c r="AC905" s="26"/>
    </row>
    <row r="906" spans="1:29" ht="15.75" customHeight="1">
      <c r="A906" s="10" t="s">
        <v>6213</v>
      </c>
      <c r="B906" s="10" t="s">
        <v>4410</v>
      </c>
      <c r="C906" s="11" t="s">
        <v>6054</v>
      </c>
      <c r="D906" s="12"/>
      <c r="E906" s="13" t="s">
        <v>184</v>
      </c>
      <c r="F906" s="6" t="s">
        <v>6201</v>
      </c>
      <c r="G906" s="6" t="str">
        <f ca="1">IFERROR(__xludf.DUMMYFUNCTION("CONCATENATE(B906,(VLOOKUP(C906,CATALOGOS!$F$2:$H$6,3,FALSE)),(VLOOKUP(V906,CATALOGOS!$J$2:$K$18,2,FALSE)),""-"",TO_TEXT(A906))"),"P21DG-0905")</f>
        <v>P21DG-0905</v>
      </c>
      <c r="H906" s="15" t="str">
        <f ca="1">IFERROR(__xludf.DUMMYFUNCTION("CONCATENATE($B906,(VLOOKUP($C906,CATALOGOS!$F$2:$H$6,3,FALSE)),(VLOOKUP($V906,CATALOGOS!$J$2:$K$18,2,FALSE)),""-"",TO_TEXT($A906))"),"P21DG-0905")</f>
        <v>P21DG-0905</v>
      </c>
      <c r="I906" s="6"/>
      <c r="J906" s="6" t="s">
        <v>6214</v>
      </c>
      <c r="K906" s="6" t="s">
        <v>6215</v>
      </c>
      <c r="L906" s="6" t="s">
        <v>6216</v>
      </c>
      <c r="M906" s="6" t="s">
        <v>6217</v>
      </c>
      <c r="N906" s="17"/>
      <c r="O906" s="17"/>
      <c r="P906" s="17" t="str">
        <f t="shared" si="8"/>
        <v>OK</v>
      </c>
      <c r="Q906" s="17" t="s">
        <v>35</v>
      </c>
      <c r="R906" s="6" t="s">
        <v>35</v>
      </c>
      <c r="S906" s="17" t="s">
        <v>36</v>
      </c>
      <c r="T906" s="17" t="s">
        <v>6218</v>
      </c>
      <c r="U906" s="18" t="s">
        <v>38</v>
      </c>
      <c r="V906" s="19" t="s">
        <v>6054</v>
      </c>
      <c r="W906" s="22" t="s">
        <v>6062</v>
      </c>
      <c r="X906" s="21" t="s">
        <v>6062</v>
      </c>
      <c r="Y906" s="22"/>
      <c r="Z906" s="7"/>
      <c r="AA906" s="7"/>
      <c r="AB906" s="23"/>
      <c r="AC906" s="26"/>
    </row>
    <row r="907" spans="1:29" ht="15.75" customHeight="1">
      <c r="A907" s="10" t="s">
        <v>6219</v>
      </c>
      <c r="B907" s="10" t="s">
        <v>4410</v>
      </c>
      <c r="C907" s="11" t="s">
        <v>6054</v>
      </c>
      <c r="D907" s="12"/>
      <c r="E907" s="13" t="s">
        <v>378</v>
      </c>
      <c r="F907" s="6" t="s">
        <v>379</v>
      </c>
      <c r="G907" s="6" t="str">
        <f ca="1">IFERROR(__xludf.DUMMYFUNCTION("CONCATENATE(B907,(VLOOKUP(C907,CATALOGOS!$F$2:$H$6,3,FALSE)),(VLOOKUP(V907,CATALOGOS!$J$2:$K$18,2,FALSE)),""-"",TO_TEXT(A907))"),"P21DG-0906")</f>
        <v>P21DG-0906</v>
      </c>
      <c r="H907" s="15" t="str">
        <f ca="1">IFERROR(__xludf.DUMMYFUNCTION("CONCATENATE($B907,(VLOOKUP($C907,CATALOGOS!$F$2:$H$6,3,FALSE)),(VLOOKUP($V907,CATALOGOS!$J$2:$K$18,2,FALSE)),""-"",TO_TEXT($A907))"),"P21DG-0906")</f>
        <v>P21DG-0906</v>
      </c>
      <c r="I907" s="6"/>
      <c r="J907" s="6" t="s">
        <v>6220</v>
      </c>
      <c r="K907" s="6" t="s">
        <v>6221</v>
      </c>
      <c r="L907" s="66" t="s">
        <v>6222</v>
      </c>
      <c r="M907" s="6" t="s">
        <v>6223</v>
      </c>
      <c r="N907" s="17"/>
      <c r="O907" s="17"/>
      <c r="P907" s="17" t="str">
        <f t="shared" si="8"/>
        <v>OK</v>
      </c>
      <c r="Q907" s="17" t="s">
        <v>35</v>
      </c>
      <c r="R907" s="6" t="s">
        <v>35</v>
      </c>
      <c r="S907" s="17" t="s">
        <v>36</v>
      </c>
      <c r="T907" s="17" t="s">
        <v>6224</v>
      </c>
      <c r="U907" s="18" t="s">
        <v>38</v>
      </c>
      <c r="V907" s="19" t="s">
        <v>6054</v>
      </c>
      <c r="W907" s="22" t="s">
        <v>6062</v>
      </c>
      <c r="X907" s="21" t="s">
        <v>6062</v>
      </c>
      <c r="Y907" s="22"/>
      <c r="Z907" s="7"/>
      <c r="AA907" s="7"/>
      <c r="AB907" s="23"/>
      <c r="AC907" s="26"/>
    </row>
    <row r="908" spans="1:29" ht="15.75" customHeight="1">
      <c r="A908" s="10" t="s">
        <v>6225</v>
      </c>
      <c r="B908" s="10" t="s">
        <v>4410</v>
      </c>
      <c r="C908" s="11" t="s">
        <v>6054</v>
      </c>
      <c r="D908" s="12"/>
      <c r="E908" s="13" t="s">
        <v>6226</v>
      </c>
      <c r="F908" s="43" t="s">
        <v>278</v>
      </c>
      <c r="G908" s="6" t="str">
        <f ca="1">IFERROR(__xludf.DUMMYFUNCTION("CONCATENATE(B908,(VLOOKUP(C908,CATALOGOS!$F$2:$H$6,3,FALSE)),(VLOOKUP(V908,CATALOGOS!$J$2:$K$18,2,FALSE)),""-"",TO_TEXT(A908))"),"P21DG-0907")</f>
        <v>P21DG-0907</v>
      </c>
      <c r="H908" s="15" t="str">
        <f ca="1">IFERROR(__xludf.DUMMYFUNCTION("CONCATENATE($B908,(VLOOKUP($C908,CATALOGOS!$F$2:$H$6,3,FALSE)),(VLOOKUP($V908,CATALOGOS!$J$2:$K$18,2,FALSE)),""-"",TO_TEXT($A908))"),"P21DG-0907")</f>
        <v>P21DG-0907</v>
      </c>
      <c r="I908" s="6"/>
      <c r="J908" s="6" t="s">
        <v>6227</v>
      </c>
      <c r="K908" s="6" t="s">
        <v>6228</v>
      </c>
      <c r="L908" s="6" t="s">
        <v>6229</v>
      </c>
      <c r="M908" s="6" t="s">
        <v>6230</v>
      </c>
      <c r="N908" s="17"/>
      <c r="O908" s="17"/>
      <c r="P908" s="17" t="str">
        <f t="shared" si="8"/>
        <v>OK</v>
      </c>
      <c r="Q908" s="17" t="s">
        <v>35</v>
      </c>
      <c r="R908" s="6" t="s">
        <v>35</v>
      </c>
      <c r="S908" s="17" t="s">
        <v>36</v>
      </c>
      <c r="T908" s="17" t="s">
        <v>6231</v>
      </c>
      <c r="U908" s="18" t="s">
        <v>38</v>
      </c>
      <c r="V908" s="19" t="s">
        <v>6054</v>
      </c>
      <c r="W908" s="22" t="s">
        <v>6062</v>
      </c>
      <c r="X908" s="21" t="s">
        <v>6062</v>
      </c>
      <c r="Y908" s="22"/>
      <c r="Z908" s="7"/>
      <c r="AA908" s="7"/>
      <c r="AB908" s="23"/>
      <c r="AC908" s="26"/>
    </row>
    <row r="909" spans="1:29" ht="15.75" customHeight="1">
      <c r="A909" s="10" t="s">
        <v>6232</v>
      </c>
      <c r="B909" s="10" t="s">
        <v>4410</v>
      </c>
      <c r="C909" s="11" t="s">
        <v>6054</v>
      </c>
      <c r="D909" s="12"/>
      <c r="E909" s="13" t="s">
        <v>93</v>
      </c>
      <c r="F909" s="6" t="s">
        <v>6233</v>
      </c>
      <c r="G909" s="6" t="str">
        <f ca="1">IFERROR(__xludf.DUMMYFUNCTION("CONCATENATE(B909,(VLOOKUP(C909,CATALOGOS!$F$2:$H$6,3,FALSE)),(VLOOKUP(V909,CATALOGOS!$J$2:$K$18,2,FALSE)),""-"",TO_TEXT(A909))"),"P21DG-0908")</f>
        <v>P21DG-0908</v>
      </c>
      <c r="H909" s="15" t="str">
        <f ca="1">IFERROR(__xludf.DUMMYFUNCTION("CONCATENATE($B909,(VLOOKUP($C909,CATALOGOS!$F$2:$H$6,3,FALSE)),(VLOOKUP($V909,CATALOGOS!$J$2:$K$18,2,FALSE)),""-"",TO_TEXT($A909))"),"P21DG-0908")</f>
        <v>P21DG-0908</v>
      </c>
      <c r="I909" s="6"/>
      <c r="J909" s="6" t="s">
        <v>6234</v>
      </c>
      <c r="K909" s="6" t="s">
        <v>6235</v>
      </c>
      <c r="L909" s="37"/>
      <c r="M909" s="6" t="s">
        <v>6236</v>
      </c>
      <c r="N909" s="17"/>
      <c r="O909" s="17"/>
      <c r="P909" s="17" t="str">
        <f t="shared" si="8"/>
        <v>OK</v>
      </c>
      <c r="Q909" s="35" t="s">
        <v>35</v>
      </c>
      <c r="R909" s="6" t="s">
        <v>35</v>
      </c>
      <c r="S909" s="10" t="s">
        <v>36</v>
      </c>
      <c r="T909" s="32" t="s">
        <v>6237</v>
      </c>
      <c r="U909" s="18" t="s">
        <v>38</v>
      </c>
      <c r="V909" s="19" t="s">
        <v>6054</v>
      </c>
      <c r="W909" s="22" t="s">
        <v>6062</v>
      </c>
      <c r="X909" s="21" t="s">
        <v>6062</v>
      </c>
      <c r="Y909" s="22"/>
      <c r="Z909" s="7"/>
      <c r="AA909" s="7"/>
      <c r="AB909" s="23"/>
      <c r="AC909" s="26"/>
    </row>
    <row r="910" spans="1:29" ht="15.75" customHeight="1">
      <c r="A910" s="10" t="s">
        <v>6238</v>
      </c>
      <c r="B910" s="10" t="s">
        <v>4410</v>
      </c>
      <c r="C910" s="11" t="s">
        <v>6054</v>
      </c>
      <c r="D910" s="12"/>
      <c r="E910" s="13" t="s">
        <v>1199</v>
      </c>
      <c r="F910" s="43" t="s">
        <v>6239</v>
      </c>
      <c r="G910" s="6" t="str">
        <f ca="1">IFERROR(__xludf.DUMMYFUNCTION("CONCATENATE(B910,(VLOOKUP(C910,CATALOGOS!$F$2:$H$6,3,FALSE)),(VLOOKUP(V910,CATALOGOS!$J$2:$K$18,2,FALSE)),""-"",TO_TEXT(A910))"),"P21DG-0909")</f>
        <v>P21DG-0909</v>
      </c>
      <c r="H910" s="15" t="str">
        <f ca="1">IFERROR(__xludf.DUMMYFUNCTION("CONCATENATE($B910,(VLOOKUP($C910,CATALOGOS!$F$2:$H$6,3,FALSE)),(VLOOKUP($V910,CATALOGOS!$J$2:$K$18,2,FALSE)),""-"",TO_TEXT($A910))"),"P21DG-0909")</f>
        <v>P21DG-0909</v>
      </c>
      <c r="I910" s="6"/>
      <c r="J910" s="6" t="s">
        <v>6240</v>
      </c>
      <c r="K910" s="6" t="s">
        <v>6241</v>
      </c>
      <c r="L910" s="6" t="s">
        <v>6242</v>
      </c>
      <c r="M910" s="6" t="s">
        <v>6243</v>
      </c>
      <c r="N910" s="17"/>
      <c r="O910" s="17"/>
      <c r="P910" s="17" t="str">
        <f t="shared" si="8"/>
        <v>OK</v>
      </c>
      <c r="Q910" s="17" t="s">
        <v>205</v>
      </c>
      <c r="R910" s="6" t="s">
        <v>6244</v>
      </c>
      <c r="S910" s="17" t="s">
        <v>6245</v>
      </c>
      <c r="T910" s="10" t="s">
        <v>6246</v>
      </c>
      <c r="U910" s="18" t="s">
        <v>38</v>
      </c>
      <c r="V910" s="19" t="s">
        <v>6054</v>
      </c>
      <c r="W910" s="22" t="s">
        <v>6062</v>
      </c>
      <c r="X910" s="21" t="s">
        <v>6062</v>
      </c>
      <c r="Y910" s="22"/>
      <c r="Z910" s="7"/>
      <c r="AA910" s="7"/>
      <c r="AB910" s="23"/>
      <c r="AC910" s="26"/>
    </row>
    <row r="911" spans="1:29" ht="15.75" customHeight="1">
      <c r="A911" s="10" t="s">
        <v>6247</v>
      </c>
      <c r="B911" s="10" t="s">
        <v>4410</v>
      </c>
      <c r="C911" s="11" t="s">
        <v>6054</v>
      </c>
      <c r="D911" s="12"/>
      <c r="E911" s="13" t="s">
        <v>248</v>
      </c>
      <c r="F911" s="43" t="s">
        <v>248</v>
      </c>
      <c r="G911" s="6" t="str">
        <f ca="1">IFERROR(__xludf.DUMMYFUNCTION("CONCATENATE(B911,(VLOOKUP(C911,CATALOGOS!$F$2:$H$6,3,FALSE)),(VLOOKUP(V911,CATALOGOS!$J$2:$K$18,2,FALSE)),""-"",TO_TEXT(A911))"),"P21DG-0910")</f>
        <v>P21DG-0910</v>
      </c>
      <c r="H911" s="15" t="str">
        <f ca="1">IFERROR(__xludf.DUMMYFUNCTION("CONCATENATE($B911,(VLOOKUP($C911,CATALOGOS!$F$2:$H$6,3,FALSE)),(VLOOKUP($V911,CATALOGOS!$J$2:$K$18,2,FALSE)),""-"",TO_TEXT($A911))"),"P21DG-0910")</f>
        <v>P21DG-0910</v>
      </c>
      <c r="I911" s="6"/>
      <c r="J911" s="6" t="s">
        <v>6248</v>
      </c>
      <c r="K911" s="6" t="s">
        <v>6249</v>
      </c>
      <c r="L911" s="6" t="s">
        <v>6250</v>
      </c>
      <c r="M911" s="6" t="s">
        <v>6251</v>
      </c>
      <c r="N911" s="17"/>
      <c r="O911" s="17"/>
      <c r="P911" s="17" t="str">
        <f t="shared" si="8"/>
        <v>OK</v>
      </c>
      <c r="Q911" s="17" t="s">
        <v>978</v>
      </c>
      <c r="R911" s="6" t="s">
        <v>979</v>
      </c>
      <c r="S911" s="17" t="s">
        <v>6252</v>
      </c>
      <c r="T911" s="17" t="s">
        <v>6253</v>
      </c>
      <c r="U911" s="18" t="s">
        <v>38</v>
      </c>
      <c r="V911" s="19" t="s">
        <v>6054</v>
      </c>
      <c r="W911" s="22" t="s">
        <v>6062</v>
      </c>
      <c r="X911" s="21" t="s">
        <v>6062</v>
      </c>
      <c r="Y911" s="22"/>
      <c r="Z911" s="7"/>
      <c r="AA911" s="7"/>
      <c r="AB911" s="23"/>
      <c r="AC911" s="26"/>
    </row>
    <row r="912" spans="1:29" ht="15.75" customHeight="1">
      <c r="A912" s="10" t="s">
        <v>6254</v>
      </c>
      <c r="B912" s="10" t="s">
        <v>4410</v>
      </c>
      <c r="C912" s="11" t="s">
        <v>6054</v>
      </c>
      <c r="D912" s="12"/>
      <c r="E912" s="13" t="s">
        <v>162</v>
      </c>
      <c r="F912" s="43" t="s">
        <v>6255</v>
      </c>
      <c r="G912" s="6" t="str">
        <f ca="1">IFERROR(__xludf.DUMMYFUNCTION("CONCATENATE(B912,(VLOOKUP(C912,CATALOGOS!$F$2:$H$6,3,FALSE)),(VLOOKUP(V912,CATALOGOS!$J$2:$K$18,2,FALSE)),""-"",TO_TEXT(A912))"),"P21DG-0911")</f>
        <v>P21DG-0911</v>
      </c>
      <c r="H912" s="15" t="str">
        <f ca="1">IFERROR(__xludf.DUMMYFUNCTION("CONCATENATE($B912,(VLOOKUP($C912,CATALOGOS!$F$2:$H$6,3,FALSE)),(VLOOKUP($V912,CATALOGOS!$J$2:$K$18,2,FALSE)),""-"",TO_TEXT($A912))"),"P21DG-0911")</f>
        <v>P21DG-0911</v>
      </c>
      <c r="I912" s="6"/>
      <c r="J912" s="6" t="s">
        <v>6256</v>
      </c>
      <c r="K912" s="6" t="s">
        <v>6257</v>
      </c>
      <c r="L912" s="6" t="s">
        <v>6258</v>
      </c>
      <c r="M912" s="6" t="s">
        <v>6259</v>
      </c>
      <c r="N912" s="17"/>
      <c r="O912" s="17"/>
      <c r="P912" s="17" t="str">
        <f t="shared" si="8"/>
        <v>OK</v>
      </c>
      <c r="Q912" s="17" t="s">
        <v>168</v>
      </c>
      <c r="R912" s="6" t="s">
        <v>169</v>
      </c>
      <c r="S912" s="17" t="s">
        <v>6260</v>
      </c>
      <c r="T912" s="17" t="s">
        <v>6261</v>
      </c>
      <c r="U912" s="18" t="s">
        <v>38</v>
      </c>
      <c r="V912" s="19" t="s">
        <v>6054</v>
      </c>
      <c r="W912" s="22" t="s">
        <v>6062</v>
      </c>
      <c r="X912" s="21" t="s">
        <v>6062</v>
      </c>
      <c r="Y912" s="22"/>
      <c r="Z912" s="7"/>
      <c r="AA912" s="7"/>
      <c r="AB912" s="23"/>
      <c r="AC912" s="26"/>
    </row>
    <row r="913" spans="1:29" ht="15.75" customHeight="1">
      <c r="A913" s="10" t="s">
        <v>6262</v>
      </c>
      <c r="B913" s="10" t="s">
        <v>1469</v>
      </c>
      <c r="C913" s="60" t="s">
        <v>1470</v>
      </c>
      <c r="D913" s="38"/>
      <c r="E913" s="13" t="s">
        <v>199</v>
      </c>
      <c r="F913" s="6" t="s">
        <v>677</v>
      </c>
      <c r="G913" s="6" t="str">
        <f ca="1">IFERROR(__xludf.DUMMYFUNCTION("CONCATENATE(B913,(VLOOKUP(C913,CATALOGOS!$F$2:$H$6,3,FALSE)),(VLOOKUP(V913,CATALOGOS!$J$2:$K$18,2,FALSE)),""-"",TO_TEXT(A913))"),"P12LP-0912")</f>
        <v>P12LP-0912</v>
      </c>
      <c r="H913" s="15" t="str">
        <f ca="1">IFERROR(__xludf.DUMMYFUNCTION("CONCATENATE($B913,(VLOOKUP($C913,CATALOGOS!$F$2:$H$6,3,FALSE)),(VLOOKUP($V913,CATALOGOS!$J$2:$K$18,2,FALSE)),""-"",TO_TEXT($A913))"),"P12LP-0912")</f>
        <v>P12LP-0912</v>
      </c>
      <c r="I913" s="6"/>
      <c r="J913" s="6" t="s">
        <v>6263</v>
      </c>
      <c r="K913" s="6" t="s">
        <v>6264</v>
      </c>
      <c r="L913" s="6" t="s">
        <v>6265</v>
      </c>
      <c r="M913" s="6" t="s">
        <v>6266</v>
      </c>
      <c r="N913" s="17"/>
      <c r="O913" s="17"/>
      <c r="P913" s="17" t="str">
        <f t="shared" si="8"/>
        <v>OK</v>
      </c>
      <c r="Q913" s="17" t="s">
        <v>682</v>
      </c>
      <c r="R913" s="6" t="s">
        <v>6267</v>
      </c>
      <c r="S913" s="46" t="s">
        <v>6268</v>
      </c>
      <c r="T913" s="32" t="s">
        <v>6269</v>
      </c>
      <c r="U913" s="18" t="s">
        <v>38</v>
      </c>
      <c r="V913" s="61" t="s">
        <v>2328</v>
      </c>
      <c r="W913" s="20" t="s">
        <v>3716</v>
      </c>
      <c r="X913" s="39" t="s">
        <v>1484</v>
      </c>
      <c r="Y913" s="20"/>
      <c r="Z913" s="7"/>
      <c r="AA913" s="7"/>
      <c r="AB913" s="26"/>
      <c r="AC913" s="26"/>
    </row>
    <row r="914" spans="1:29" ht="15.75" customHeight="1">
      <c r="A914" s="10" t="s">
        <v>6270</v>
      </c>
      <c r="B914" s="10" t="s">
        <v>4410</v>
      </c>
      <c r="C914" s="11" t="s">
        <v>6054</v>
      </c>
      <c r="D914" s="12"/>
      <c r="E914" s="13" t="s">
        <v>93</v>
      </c>
      <c r="F914" s="6" t="s">
        <v>6271</v>
      </c>
      <c r="G914" s="6" t="str">
        <f ca="1">IFERROR(__xludf.DUMMYFUNCTION("CONCATENATE(B914,(VLOOKUP(C914,CATALOGOS!$F$2:$H$6,3,FALSE)),(VLOOKUP(V914,CATALOGOS!$J$2:$K$18,2,FALSE)),""-"",TO_TEXT(A914))"),"P21DG-0913")</f>
        <v>P21DG-0913</v>
      </c>
      <c r="H914" s="15" t="str">
        <f ca="1">IFERROR(__xludf.DUMMYFUNCTION("CONCATENATE($B914,(VLOOKUP($C914,CATALOGOS!$F$2:$H$6,3,FALSE)),(VLOOKUP($V914,CATALOGOS!$J$2:$K$18,2,FALSE)),""-"",TO_TEXT($A914))"),"P21DG-0913")</f>
        <v>P21DG-0913</v>
      </c>
      <c r="I914" s="6"/>
      <c r="J914" s="6" t="s">
        <v>6272</v>
      </c>
      <c r="K914" s="6" t="s">
        <v>6273</v>
      </c>
      <c r="L914" s="6" t="s">
        <v>6274</v>
      </c>
      <c r="M914" s="6" t="s">
        <v>6275</v>
      </c>
      <c r="N914" s="17"/>
      <c r="O914" s="17"/>
      <c r="P914" s="17" t="str">
        <f t="shared" si="8"/>
        <v>OK</v>
      </c>
      <c r="Q914" s="17" t="s">
        <v>35</v>
      </c>
      <c r="R914" s="6" t="s">
        <v>35</v>
      </c>
      <c r="S914" s="17" t="s">
        <v>36</v>
      </c>
      <c r="T914" s="17" t="s">
        <v>6276</v>
      </c>
      <c r="U914" s="18" t="s">
        <v>38</v>
      </c>
      <c r="V914" s="19" t="s">
        <v>6054</v>
      </c>
      <c r="W914" s="22" t="s">
        <v>6277</v>
      </c>
      <c r="X914" s="21" t="s">
        <v>6277</v>
      </c>
      <c r="Y914" s="22"/>
      <c r="Z914" s="7"/>
      <c r="AA914" s="7"/>
      <c r="AB914" s="23"/>
      <c r="AC914" s="26"/>
    </row>
    <row r="915" spans="1:29" ht="15.75" customHeight="1">
      <c r="A915" s="10" t="s">
        <v>6278</v>
      </c>
      <c r="B915" s="10" t="s">
        <v>4410</v>
      </c>
      <c r="C915" s="11" t="s">
        <v>28</v>
      </c>
      <c r="D915" s="12"/>
      <c r="E915" s="13" t="s">
        <v>378</v>
      </c>
      <c r="F915" s="6" t="s">
        <v>6279</v>
      </c>
      <c r="G915" s="47" t="str">
        <f ca="1">IFERROR(__xludf.DUMMYFUNCTION("CONCATENATE(B915,(VLOOKUP(C915,CATALOGOS!$F$2:$H$6,3,FALSE)),(VLOOKUP(V915,CATALOGOS!$J$2:$K$18,2,FALSE)),""-"",TO_TEXT(A915))"),"P25RM-0914")</f>
        <v>P25RM-0914</v>
      </c>
      <c r="H915" s="15" t="str">
        <f ca="1">IFERROR(__xludf.DUMMYFUNCTION("CONCATENATE($B915,(VLOOKUP($C915,CATALOGOS!$F$2:$H$6,3,FALSE)),(VLOOKUP($V915,CATALOGOS!$J$2:$K$18,2,FALSE)),""-"",TO_TEXT($A915))"),"P25RM-0914")</f>
        <v>P25RM-0914</v>
      </c>
      <c r="I915" s="6"/>
      <c r="J915" s="6" t="s">
        <v>6280</v>
      </c>
      <c r="K915" s="6" t="s">
        <v>6281</v>
      </c>
      <c r="L915" s="6" t="s">
        <v>6282</v>
      </c>
      <c r="M915" s="6" t="s">
        <v>6283</v>
      </c>
      <c r="N915" s="17"/>
      <c r="O915" s="17"/>
      <c r="P915" s="17" t="str">
        <f t="shared" si="8"/>
        <v>OK</v>
      </c>
      <c r="Q915" s="17" t="s">
        <v>35</v>
      </c>
      <c r="R915" s="6" t="s">
        <v>35</v>
      </c>
      <c r="S915" s="17" t="s">
        <v>36</v>
      </c>
      <c r="T915" s="17" t="s">
        <v>6284</v>
      </c>
      <c r="U915" s="18" t="s">
        <v>3282</v>
      </c>
      <c r="V915" s="19" t="s">
        <v>147</v>
      </c>
      <c r="W915" s="20" t="s">
        <v>385</v>
      </c>
      <c r="X915" s="21" t="s">
        <v>6277</v>
      </c>
      <c r="Y915" s="40" t="s">
        <v>261</v>
      </c>
      <c r="Z915" s="6"/>
      <c r="AA915" s="6" t="s">
        <v>440</v>
      </c>
      <c r="AB915" s="23"/>
      <c r="AC915" s="26"/>
    </row>
    <row r="916" spans="1:29" ht="15.75" customHeight="1">
      <c r="A916" s="10" t="s">
        <v>6285</v>
      </c>
      <c r="B916" s="10" t="s">
        <v>27</v>
      </c>
      <c r="C916" s="63" t="s">
        <v>28</v>
      </c>
      <c r="D916" s="12"/>
      <c r="E916" s="13" t="s">
        <v>378</v>
      </c>
      <c r="F916" s="6" t="s">
        <v>6279</v>
      </c>
      <c r="G916" s="6" t="str">
        <f ca="1">IFERROR(__xludf.DUMMYFUNCTION("CONCATENATE(B916,(VLOOKUP(C916,CATALOGOS!$F$2:$H$6,3,FALSE)),(VLOOKUP(V916,CATALOGOS!$J$2:$K$18,2,FALSE)),""-"",TO_TEXT(A916))"),"P05DA-0915")</f>
        <v>P05DA-0915</v>
      </c>
      <c r="H916" s="64" t="str">
        <f ca="1">IFERROR(__xludf.DUMMYFUNCTION("CONCATENATE($B916,(VLOOKUP($C916,CATALOGOS!$F$2:$H$6,3,FALSE)),(VLOOKUP($V916,CATALOGOS!$J$2:$K$18,2,FALSE)),""-"",TO_TEXT($A916))"),"P05DA-0915")</f>
        <v>P05DA-0915</v>
      </c>
      <c r="I916" s="6"/>
      <c r="J916" s="6" t="s">
        <v>6286</v>
      </c>
      <c r="K916" s="6" t="s">
        <v>6287</v>
      </c>
      <c r="L916" s="6" t="s">
        <v>6288</v>
      </c>
      <c r="M916" s="43" t="s">
        <v>6289</v>
      </c>
      <c r="N916" s="17"/>
      <c r="O916" s="17"/>
      <c r="P916" s="17" t="str">
        <f t="shared" si="8"/>
        <v>OK</v>
      </c>
      <c r="Q916" s="17" t="s">
        <v>35</v>
      </c>
      <c r="R916" s="6" t="s">
        <v>35</v>
      </c>
      <c r="S916" s="17" t="s">
        <v>36</v>
      </c>
      <c r="T916" s="17" t="s">
        <v>6290</v>
      </c>
      <c r="U916" s="18" t="s">
        <v>38</v>
      </c>
      <c r="V916" s="19" t="s">
        <v>28</v>
      </c>
      <c r="W916" s="20" t="s">
        <v>40</v>
      </c>
      <c r="X916" s="39" t="s">
        <v>40</v>
      </c>
      <c r="Y916" s="20"/>
      <c r="Z916" s="6"/>
      <c r="AA916" s="6" t="s">
        <v>6291</v>
      </c>
      <c r="AB916" s="23"/>
      <c r="AC916" s="26"/>
    </row>
    <row r="917" spans="1:29" ht="15.75" customHeight="1">
      <c r="A917" s="10" t="s">
        <v>6292</v>
      </c>
      <c r="B917" s="10" t="s">
        <v>4410</v>
      </c>
      <c r="C917" s="11" t="s">
        <v>6054</v>
      </c>
      <c r="D917" s="12"/>
      <c r="E917" s="13" t="s">
        <v>93</v>
      </c>
      <c r="F917" s="6" t="s">
        <v>6293</v>
      </c>
      <c r="G917" s="6" t="str">
        <f ca="1">IFERROR(__xludf.DUMMYFUNCTION("CONCATENATE(B917,(VLOOKUP(C917,CATALOGOS!$F$2:$H$6,3,FALSE)),(VLOOKUP(V917,CATALOGOS!$J$2:$K$18,2,FALSE)),""-"",TO_TEXT(A917))"),"P21DG-0916")</f>
        <v>P21DG-0916</v>
      </c>
      <c r="H917" s="15" t="str">
        <f ca="1">IFERROR(__xludf.DUMMYFUNCTION("CONCATENATE($B917,(VLOOKUP($C917,CATALOGOS!$F$2:$H$6,3,FALSE)),(VLOOKUP($V917,CATALOGOS!$J$2:$K$18,2,FALSE)),""-"",TO_TEXT($A917))"),"P21DG-0916")</f>
        <v>P21DG-0916</v>
      </c>
      <c r="I917" s="6"/>
      <c r="J917" s="6" t="s">
        <v>6294</v>
      </c>
      <c r="K917" s="6" t="s">
        <v>6295</v>
      </c>
      <c r="L917" s="6" t="s">
        <v>6296</v>
      </c>
      <c r="M917" s="6" t="s">
        <v>6297</v>
      </c>
      <c r="N917" s="17"/>
      <c r="O917" s="17"/>
      <c r="P917" s="17" t="str">
        <f t="shared" si="8"/>
        <v>OK</v>
      </c>
      <c r="Q917" s="17" t="s">
        <v>35</v>
      </c>
      <c r="R917" s="6" t="s">
        <v>35</v>
      </c>
      <c r="S917" s="17" t="s">
        <v>36</v>
      </c>
      <c r="T917" s="17" t="s">
        <v>6298</v>
      </c>
      <c r="U917" s="18" t="s">
        <v>38</v>
      </c>
      <c r="V917" s="19" t="s">
        <v>6054</v>
      </c>
      <c r="W917" s="22" t="s">
        <v>6277</v>
      </c>
      <c r="X917" s="21" t="s">
        <v>6277</v>
      </c>
      <c r="Y917" s="22"/>
      <c r="Z917" s="7"/>
      <c r="AA917" s="7"/>
      <c r="AB917" s="23"/>
      <c r="AC917" s="26"/>
    </row>
    <row r="918" spans="1:29" ht="15.75" customHeight="1">
      <c r="A918" s="10" t="s">
        <v>6299</v>
      </c>
      <c r="B918" s="10" t="s">
        <v>4410</v>
      </c>
      <c r="C918" s="11" t="s">
        <v>6054</v>
      </c>
      <c r="D918" s="12"/>
      <c r="E918" s="13" t="s">
        <v>353</v>
      </c>
      <c r="F918" s="43" t="s">
        <v>6300</v>
      </c>
      <c r="G918" s="6" t="str">
        <f ca="1">IFERROR(__xludf.DUMMYFUNCTION("CONCATENATE(B918,(VLOOKUP(C918,CATALOGOS!$F$2:$H$6,3,FALSE)),(VLOOKUP(V918,CATALOGOS!$J$2:$K$18,2,FALSE)),""-"",TO_TEXT(A918))"),"P21DG-0917")</f>
        <v>P21DG-0917</v>
      </c>
      <c r="H918" s="15" t="str">
        <f ca="1">IFERROR(__xludf.DUMMYFUNCTION("CONCATENATE($B918,(VLOOKUP($C918,CATALOGOS!$F$2:$H$6,3,FALSE)),(VLOOKUP($V918,CATALOGOS!$J$2:$K$18,2,FALSE)),""-"",TO_TEXT($A918))"),"P21DG-0917")</f>
        <v>P21DG-0917</v>
      </c>
      <c r="I918" s="6"/>
      <c r="J918" s="6" t="s">
        <v>6301</v>
      </c>
      <c r="K918" s="6" t="s">
        <v>6302</v>
      </c>
      <c r="L918" s="6" t="s">
        <v>6303</v>
      </c>
      <c r="M918" s="6" t="s">
        <v>6304</v>
      </c>
      <c r="N918" s="17"/>
      <c r="O918" s="17"/>
      <c r="P918" s="17" t="str">
        <f t="shared" si="8"/>
        <v>OK</v>
      </c>
      <c r="Q918" s="17" t="s">
        <v>6305</v>
      </c>
      <c r="R918" s="6" t="s">
        <v>6306</v>
      </c>
      <c r="S918" s="17" t="s">
        <v>6307</v>
      </c>
      <c r="T918" s="10" t="s">
        <v>6308</v>
      </c>
      <c r="U918" s="18" t="s">
        <v>38</v>
      </c>
      <c r="V918" s="19" t="s">
        <v>6054</v>
      </c>
      <c r="W918" s="22" t="s">
        <v>6277</v>
      </c>
      <c r="X918" s="21" t="s">
        <v>6277</v>
      </c>
      <c r="Y918" s="22"/>
      <c r="Z918" s="7"/>
      <c r="AA918" s="7"/>
      <c r="AB918" s="23"/>
      <c r="AC918" s="26"/>
    </row>
    <row r="919" spans="1:29" ht="15.75" customHeight="1">
      <c r="A919" s="10" t="s">
        <v>6309</v>
      </c>
      <c r="B919" s="10" t="s">
        <v>4410</v>
      </c>
      <c r="C919" s="11" t="s">
        <v>6054</v>
      </c>
      <c r="D919" s="12"/>
      <c r="E919" s="13" t="s">
        <v>3521</v>
      </c>
      <c r="F919" s="6" t="s">
        <v>6310</v>
      </c>
      <c r="G919" s="6" t="str">
        <f ca="1">IFERROR(__xludf.DUMMYFUNCTION("CONCATENATE(B919,(VLOOKUP(C919,CATALOGOS!$F$2:$H$6,3,FALSE)),(VLOOKUP(V919,CATALOGOS!$J$2:$K$18,2,FALSE)),""-"",TO_TEXT(A919))"),"P21DG-0918")</f>
        <v>P21DG-0918</v>
      </c>
      <c r="H919" s="15" t="str">
        <f ca="1">IFERROR(__xludf.DUMMYFUNCTION("CONCATENATE($B919,(VLOOKUP($C919,CATALOGOS!$F$2:$H$6,3,FALSE)),(VLOOKUP($V919,CATALOGOS!$J$2:$K$18,2,FALSE)),""-"",TO_TEXT($A919))"),"P21DG-0918")</f>
        <v>P21DG-0918</v>
      </c>
      <c r="I919" s="6"/>
      <c r="J919" s="6" t="s">
        <v>6311</v>
      </c>
      <c r="K919" s="6" t="s">
        <v>6312</v>
      </c>
      <c r="L919" s="6" t="s">
        <v>6313</v>
      </c>
      <c r="M919" s="6" t="s">
        <v>6314</v>
      </c>
      <c r="N919" s="17"/>
      <c r="O919" s="17"/>
      <c r="P919" s="17" t="str">
        <f t="shared" si="8"/>
        <v>OK</v>
      </c>
      <c r="Q919" s="17" t="s">
        <v>35</v>
      </c>
      <c r="R919" s="6" t="s">
        <v>35</v>
      </c>
      <c r="S919" s="17" t="s">
        <v>36</v>
      </c>
      <c r="T919" s="17" t="s">
        <v>6315</v>
      </c>
      <c r="U919" s="18" t="s">
        <v>38</v>
      </c>
      <c r="V919" s="19" t="s">
        <v>6054</v>
      </c>
      <c r="W919" s="22" t="s">
        <v>6277</v>
      </c>
      <c r="X919" s="21" t="s">
        <v>6277</v>
      </c>
      <c r="Y919" s="22"/>
      <c r="Z919" s="7"/>
      <c r="AA919" s="7"/>
      <c r="AB919" s="23"/>
      <c r="AC919" s="26"/>
    </row>
    <row r="920" spans="1:29" ht="15.75" customHeight="1">
      <c r="A920" s="10" t="s">
        <v>6316</v>
      </c>
      <c r="B920" s="10" t="s">
        <v>4410</v>
      </c>
      <c r="C920" s="11" t="s">
        <v>6054</v>
      </c>
      <c r="D920" s="12"/>
      <c r="E920" s="13" t="s">
        <v>71</v>
      </c>
      <c r="F920" s="6" t="s">
        <v>6317</v>
      </c>
      <c r="G920" s="6" t="str">
        <f ca="1">IFERROR(__xludf.DUMMYFUNCTION("CONCATENATE(B920,(VLOOKUP(C920,CATALOGOS!$F$2:$H$6,3,FALSE)),(VLOOKUP(V920,CATALOGOS!$J$2:$K$18,2,FALSE)),""-"",TO_TEXT(A920))"),"P21DG-0919")</f>
        <v>P21DG-0919</v>
      </c>
      <c r="H920" s="15" t="str">
        <f ca="1">IFERROR(__xludf.DUMMYFUNCTION("CONCATENATE($B920,(VLOOKUP($C920,CATALOGOS!$F$2:$H$6,3,FALSE)),(VLOOKUP($V920,CATALOGOS!$J$2:$K$18,2,FALSE)),""-"",TO_TEXT($A920))"),"P21DG-0919")</f>
        <v>P21DG-0919</v>
      </c>
      <c r="I920" s="6"/>
      <c r="J920" s="6" t="s">
        <v>6318</v>
      </c>
      <c r="K920" s="6" t="s">
        <v>6319</v>
      </c>
      <c r="L920" s="6" t="s">
        <v>6320</v>
      </c>
      <c r="M920" s="6" t="s">
        <v>6321</v>
      </c>
      <c r="N920" s="17"/>
      <c r="O920" s="17"/>
      <c r="P920" s="17" t="str">
        <f t="shared" si="8"/>
        <v>OK</v>
      </c>
      <c r="Q920" s="17" t="s">
        <v>35</v>
      </c>
      <c r="R920" s="49" t="s">
        <v>35</v>
      </c>
      <c r="S920" s="17" t="s">
        <v>36</v>
      </c>
      <c r="T920" s="17" t="s">
        <v>6322</v>
      </c>
      <c r="U920" s="18" t="s">
        <v>38</v>
      </c>
      <c r="V920" s="19" t="s">
        <v>6054</v>
      </c>
      <c r="W920" s="22" t="s">
        <v>6277</v>
      </c>
      <c r="X920" s="21" t="s">
        <v>6277</v>
      </c>
      <c r="Y920" s="22"/>
      <c r="Z920" s="7"/>
      <c r="AA920" s="7"/>
      <c r="AB920" s="23"/>
      <c r="AC920" s="26"/>
    </row>
    <row r="921" spans="1:29" ht="15.75" customHeight="1">
      <c r="A921" s="10" t="s">
        <v>6323</v>
      </c>
      <c r="B921" s="10" t="s">
        <v>4410</v>
      </c>
      <c r="C921" s="11" t="s">
        <v>6054</v>
      </c>
      <c r="D921" s="12"/>
      <c r="E921" s="13" t="s">
        <v>93</v>
      </c>
      <c r="F921" s="6" t="s">
        <v>6324</v>
      </c>
      <c r="G921" s="6" t="str">
        <f ca="1">IFERROR(__xludf.DUMMYFUNCTION("CONCATENATE(B921,(VLOOKUP(C921,CATALOGOS!$F$2:$H$6,3,FALSE)),(VLOOKUP(V921,CATALOGOS!$J$2:$K$18,2,FALSE)),""-"",TO_TEXT(A921))"),"P21DG-0920")</f>
        <v>P21DG-0920</v>
      </c>
      <c r="H921" s="15" t="str">
        <f ca="1">IFERROR(__xludf.DUMMYFUNCTION("CONCATENATE($B921,(VLOOKUP($C921,CATALOGOS!$F$2:$H$6,3,FALSE)),(VLOOKUP($V921,CATALOGOS!$J$2:$K$18,2,FALSE)),""-"",TO_TEXT($A921))"),"P21DG-0920")</f>
        <v>P21DG-0920</v>
      </c>
      <c r="I921" s="6"/>
      <c r="J921" s="6" t="s">
        <v>6325</v>
      </c>
      <c r="K921" s="6" t="s">
        <v>6326</v>
      </c>
      <c r="L921" s="6" t="s">
        <v>6327</v>
      </c>
      <c r="M921" s="6" t="s">
        <v>6328</v>
      </c>
      <c r="N921" s="17"/>
      <c r="O921" s="17"/>
      <c r="P921" s="17" t="str">
        <f t="shared" si="8"/>
        <v>OK</v>
      </c>
      <c r="Q921" s="17" t="s">
        <v>35</v>
      </c>
      <c r="R921" s="6" t="s">
        <v>35</v>
      </c>
      <c r="S921" s="17" t="s">
        <v>36</v>
      </c>
      <c r="T921" s="17" t="s">
        <v>6329</v>
      </c>
      <c r="U921" s="18" t="s">
        <v>38</v>
      </c>
      <c r="V921" s="19" t="s">
        <v>6054</v>
      </c>
      <c r="W921" s="22" t="s">
        <v>6277</v>
      </c>
      <c r="X921" s="21" t="s">
        <v>6277</v>
      </c>
      <c r="Y921" s="22"/>
      <c r="Z921" s="7"/>
      <c r="AA921" s="7"/>
      <c r="AB921" s="23"/>
      <c r="AC921" s="26"/>
    </row>
    <row r="922" spans="1:29" ht="15.75" customHeight="1">
      <c r="A922" s="10" t="s">
        <v>6330</v>
      </c>
      <c r="B922" s="10" t="s">
        <v>4410</v>
      </c>
      <c r="C922" s="11" t="s">
        <v>6054</v>
      </c>
      <c r="D922" s="12"/>
      <c r="E922" s="13" t="s">
        <v>93</v>
      </c>
      <c r="F922" s="6" t="s">
        <v>6331</v>
      </c>
      <c r="G922" s="6" t="str">
        <f ca="1">IFERROR(__xludf.DUMMYFUNCTION("CONCATENATE(B922,(VLOOKUP(C922,CATALOGOS!$F$2:$H$6,3,FALSE)),(VLOOKUP(V922,CATALOGOS!$J$2:$K$18,2,FALSE)),""-"",TO_TEXT(A922))"),"P21DG-0921")</f>
        <v>P21DG-0921</v>
      </c>
      <c r="H922" s="15" t="str">
        <f ca="1">IFERROR(__xludf.DUMMYFUNCTION("CONCATENATE($B922,(VLOOKUP($C922,CATALOGOS!$F$2:$H$6,3,FALSE)),(VLOOKUP($V922,CATALOGOS!$J$2:$K$18,2,FALSE)),""-"",TO_TEXT($A922))"),"P21DG-0921")</f>
        <v>P21DG-0921</v>
      </c>
      <c r="I922" s="6"/>
      <c r="J922" s="6" t="s">
        <v>6332</v>
      </c>
      <c r="K922" s="6" t="s">
        <v>6333</v>
      </c>
      <c r="L922" s="6" t="s">
        <v>6334</v>
      </c>
      <c r="M922" s="6" t="s">
        <v>6335</v>
      </c>
      <c r="N922" s="17"/>
      <c r="O922" s="17"/>
      <c r="P922" s="17" t="str">
        <f t="shared" si="8"/>
        <v>OK</v>
      </c>
      <c r="Q922" s="17" t="s">
        <v>35</v>
      </c>
      <c r="R922" s="6" t="s">
        <v>35</v>
      </c>
      <c r="S922" s="17" t="s">
        <v>36</v>
      </c>
      <c r="T922" s="17" t="s">
        <v>6336</v>
      </c>
      <c r="U922" s="18" t="s">
        <v>38</v>
      </c>
      <c r="V922" s="19" t="s">
        <v>6054</v>
      </c>
      <c r="W922" s="22" t="s">
        <v>6277</v>
      </c>
      <c r="X922" s="21" t="s">
        <v>6277</v>
      </c>
      <c r="Y922" s="22"/>
      <c r="Z922" s="7"/>
      <c r="AA922" s="7"/>
      <c r="AB922" s="23"/>
      <c r="AC922" s="26"/>
    </row>
    <row r="923" spans="1:29" ht="15.75" customHeight="1">
      <c r="A923" s="10" t="s">
        <v>6337</v>
      </c>
      <c r="B923" s="10" t="s">
        <v>4410</v>
      </c>
      <c r="C923" s="11" t="s">
        <v>6054</v>
      </c>
      <c r="D923" s="12"/>
      <c r="E923" s="13" t="s">
        <v>6338</v>
      </c>
      <c r="F923" s="6" t="s">
        <v>6339</v>
      </c>
      <c r="G923" s="6" t="str">
        <f ca="1">IFERROR(__xludf.DUMMYFUNCTION("CONCATENATE(B923,(VLOOKUP(C923,CATALOGOS!$F$2:$H$6,3,FALSE)),(VLOOKUP(V923,CATALOGOS!$J$2:$K$18,2,FALSE)),""-"",TO_TEXT(A923))"),"P21DG-0922")</f>
        <v>P21DG-0922</v>
      </c>
      <c r="H923" s="15" t="str">
        <f ca="1">IFERROR(__xludf.DUMMYFUNCTION("CONCATENATE($B923,(VLOOKUP($C923,CATALOGOS!$F$2:$H$6,3,FALSE)),(VLOOKUP($V923,CATALOGOS!$J$2:$K$18,2,FALSE)),""-"",TO_TEXT($A923))"),"P21DG-0922")</f>
        <v>P21DG-0922</v>
      </c>
      <c r="I923" s="6"/>
      <c r="J923" s="6" t="s">
        <v>6340</v>
      </c>
      <c r="K923" s="6" t="s">
        <v>6341</v>
      </c>
      <c r="L923" s="6" t="s">
        <v>6342</v>
      </c>
      <c r="M923" s="6" t="s">
        <v>6343</v>
      </c>
      <c r="N923" s="17"/>
      <c r="O923" s="17"/>
      <c r="P923" s="17" t="str">
        <f t="shared" si="8"/>
        <v>OK</v>
      </c>
      <c r="Q923" s="17" t="s">
        <v>35</v>
      </c>
      <c r="R923" s="6" t="s">
        <v>35</v>
      </c>
      <c r="S923" s="17" t="s">
        <v>36</v>
      </c>
      <c r="T923" s="17" t="s">
        <v>85</v>
      </c>
      <c r="U923" s="18" t="s">
        <v>38</v>
      </c>
      <c r="V923" s="19" t="s">
        <v>6054</v>
      </c>
      <c r="W923" s="22" t="s">
        <v>6277</v>
      </c>
      <c r="X923" s="21" t="s">
        <v>6277</v>
      </c>
      <c r="Y923" s="22"/>
      <c r="Z923" s="7"/>
      <c r="AA923" s="7"/>
      <c r="AB923" s="23"/>
      <c r="AC923" s="26"/>
    </row>
    <row r="924" spans="1:29" ht="15.75" customHeight="1">
      <c r="A924" s="10" t="s">
        <v>6344</v>
      </c>
      <c r="B924" s="10" t="s">
        <v>4410</v>
      </c>
      <c r="C924" s="11" t="s">
        <v>6054</v>
      </c>
      <c r="D924" s="12"/>
      <c r="E924" s="13" t="s">
        <v>6345</v>
      </c>
      <c r="F924" s="6" t="s">
        <v>6346</v>
      </c>
      <c r="G924" s="6" t="str">
        <f ca="1">IFERROR(__xludf.DUMMYFUNCTION("CONCATENATE(B924,(VLOOKUP(C924,CATALOGOS!$F$2:$H$6,3,FALSE)),(VLOOKUP(V924,CATALOGOS!$J$2:$K$18,2,FALSE)),""-"",TO_TEXT(A924))"),"P21DG-0923")</f>
        <v>P21DG-0923</v>
      </c>
      <c r="H924" s="15" t="str">
        <f ca="1">IFERROR(__xludf.DUMMYFUNCTION("CONCATENATE($B924,(VLOOKUP($C924,CATALOGOS!$F$2:$H$6,3,FALSE)),(VLOOKUP($V924,CATALOGOS!$J$2:$K$18,2,FALSE)),""-"",TO_TEXT($A924))"),"P21DG-0923")</f>
        <v>P21DG-0923</v>
      </c>
      <c r="I924" s="6"/>
      <c r="J924" s="6" t="s">
        <v>6347</v>
      </c>
      <c r="K924" s="6" t="s">
        <v>6348</v>
      </c>
      <c r="L924" s="6" t="s">
        <v>6349</v>
      </c>
      <c r="M924" s="6" t="s">
        <v>6350</v>
      </c>
      <c r="N924" s="17"/>
      <c r="O924" s="17"/>
      <c r="P924" s="17" t="str">
        <f t="shared" si="8"/>
        <v>OK</v>
      </c>
      <c r="Q924" s="17" t="s">
        <v>35</v>
      </c>
      <c r="R924" s="6" t="s">
        <v>35</v>
      </c>
      <c r="S924" s="17" t="s">
        <v>36</v>
      </c>
      <c r="T924" s="17" t="s">
        <v>6351</v>
      </c>
      <c r="U924" s="18" t="s">
        <v>38</v>
      </c>
      <c r="V924" s="19" t="s">
        <v>6054</v>
      </c>
      <c r="W924" s="22" t="s">
        <v>6277</v>
      </c>
      <c r="X924" s="21" t="s">
        <v>6277</v>
      </c>
      <c r="Y924" s="22"/>
      <c r="Z924" s="7"/>
      <c r="AA924" s="7"/>
      <c r="AB924" s="23"/>
      <c r="AC924" s="26"/>
    </row>
    <row r="925" spans="1:29" ht="15.75" customHeight="1">
      <c r="A925" s="10" t="s">
        <v>6352</v>
      </c>
      <c r="B925" s="10" t="s">
        <v>4410</v>
      </c>
      <c r="C925" s="11" t="s">
        <v>6054</v>
      </c>
      <c r="D925" s="12"/>
      <c r="E925" s="13" t="s">
        <v>6353</v>
      </c>
      <c r="F925" s="43" t="s">
        <v>6354</v>
      </c>
      <c r="G925" s="6" t="str">
        <f ca="1">IFERROR(__xludf.DUMMYFUNCTION("CONCATENATE(B925,(VLOOKUP(C925,CATALOGOS!$F$2:$H$6,3,FALSE)),(VLOOKUP(V925,CATALOGOS!$J$2:$K$18,2,FALSE)),""-"",TO_TEXT(A925))"),"P21DG-0924")</f>
        <v>P21DG-0924</v>
      </c>
      <c r="H925" s="15" t="str">
        <f ca="1">IFERROR(__xludf.DUMMYFUNCTION("CONCATENATE($B925,(VLOOKUP($C925,CATALOGOS!$F$2:$H$6,3,FALSE)),(VLOOKUP($V925,CATALOGOS!$J$2:$K$18,2,FALSE)),""-"",TO_TEXT($A925))"),"P21DG-0924")</f>
        <v>P21DG-0924</v>
      </c>
      <c r="I925" s="6"/>
      <c r="J925" s="6" t="s">
        <v>6355</v>
      </c>
      <c r="K925" s="6" t="s">
        <v>6356</v>
      </c>
      <c r="L925" s="6" t="s">
        <v>6357</v>
      </c>
      <c r="M925" s="6" t="s">
        <v>6358</v>
      </c>
      <c r="N925" s="17"/>
      <c r="O925" s="17"/>
      <c r="P925" s="17" t="str">
        <f t="shared" si="8"/>
        <v>OK</v>
      </c>
      <c r="Q925" s="17" t="s">
        <v>6359</v>
      </c>
      <c r="R925" s="6" t="s">
        <v>6360</v>
      </c>
      <c r="S925" s="17" t="s">
        <v>6361</v>
      </c>
      <c r="T925" s="10" t="s">
        <v>6362</v>
      </c>
      <c r="U925" s="18" t="s">
        <v>38</v>
      </c>
      <c r="V925" s="19" t="s">
        <v>6054</v>
      </c>
      <c r="W925" s="22" t="s">
        <v>6277</v>
      </c>
      <c r="X925" s="21" t="s">
        <v>6277</v>
      </c>
      <c r="Y925" s="22"/>
      <c r="Z925" s="7"/>
      <c r="AA925" s="7"/>
      <c r="AB925" s="23"/>
      <c r="AC925" s="26"/>
    </row>
    <row r="926" spans="1:29" ht="15.75" customHeight="1">
      <c r="A926" s="10" t="s">
        <v>6363</v>
      </c>
      <c r="B926" s="10" t="s">
        <v>4410</v>
      </c>
      <c r="C926" s="11" t="s">
        <v>6054</v>
      </c>
      <c r="D926" s="12"/>
      <c r="E926" s="13" t="s">
        <v>2860</v>
      </c>
      <c r="F926" s="43" t="s">
        <v>2861</v>
      </c>
      <c r="G926" s="6" t="str">
        <f ca="1">IFERROR(__xludf.DUMMYFUNCTION("CONCATENATE(B926,(VLOOKUP(C926,CATALOGOS!$F$2:$H$6,3,FALSE)),(VLOOKUP(V926,CATALOGOS!$J$2:$K$18,2,FALSE)),""-"",TO_TEXT(A926))"),"P21DG-0925")</f>
        <v>P21DG-0925</v>
      </c>
      <c r="H926" s="15" t="str">
        <f ca="1">IFERROR(__xludf.DUMMYFUNCTION("CONCATENATE($B926,(VLOOKUP($C926,CATALOGOS!$F$2:$H$6,3,FALSE)),(VLOOKUP($V926,CATALOGOS!$J$2:$K$18,2,FALSE)),""-"",TO_TEXT($A926))"),"P21DG-0925")</f>
        <v>P21DG-0925</v>
      </c>
      <c r="I926" s="6"/>
      <c r="J926" s="6" t="s">
        <v>6364</v>
      </c>
      <c r="K926" s="6" t="s">
        <v>6365</v>
      </c>
      <c r="L926" s="6" t="s">
        <v>6366</v>
      </c>
      <c r="M926" s="6" t="s">
        <v>6367</v>
      </c>
      <c r="N926" s="17"/>
      <c r="O926" s="17"/>
      <c r="P926" s="17" t="str">
        <f t="shared" si="8"/>
        <v>OK</v>
      </c>
      <c r="Q926" s="17" t="s">
        <v>2866</v>
      </c>
      <c r="R926" s="6" t="s">
        <v>35</v>
      </c>
      <c r="S926" s="17" t="s">
        <v>36</v>
      </c>
      <c r="T926" s="17" t="s">
        <v>6368</v>
      </c>
      <c r="U926" s="18" t="s">
        <v>38</v>
      </c>
      <c r="V926" s="19" t="s">
        <v>6054</v>
      </c>
      <c r="W926" s="22" t="s">
        <v>6277</v>
      </c>
      <c r="X926" s="21" t="s">
        <v>6277</v>
      </c>
      <c r="Y926" s="22"/>
      <c r="Z926" s="7"/>
      <c r="AA926" s="7"/>
      <c r="AB926" s="23"/>
      <c r="AC926" s="26"/>
    </row>
    <row r="927" spans="1:29" ht="15.75" customHeight="1">
      <c r="A927" s="10" t="s">
        <v>6369</v>
      </c>
      <c r="B927" s="10" t="s">
        <v>4410</v>
      </c>
      <c r="C927" s="11" t="s">
        <v>6054</v>
      </c>
      <c r="D927" s="12"/>
      <c r="E927" s="13" t="s">
        <v>184</v>
      </c>
      <c r="F927" s="6" t="s">
        <v>6370</v>
      </c>
      <c r="G927" s="6" t="str">
        <f ca="1">IFERROR(__xludf.DUMMYFUNCTION("CONCATENATE(B927,(VLOOKUP(C927,CATALOGOS!$F$2:$H$6,3,FALSE)),(VLOOKUP(V927,CATALOGOS!$J$2:$K$18,2,FALSE)),""-"",TO_TEXT(A927))"),"P21DG-0926")</f>
        <v>P21DG-0926</v>
      </c>
      <c r="H927" s="15" t="str">
        <f ca="1">IFERROR(__xludf.DUMMYFUNCTION("CONCATENATE($B927,(VLOOKUP($C927,CATALOGOS!$F$2:$H$6,3,FALSE)),(VLOOKUP($V927,CATALOGOS!$J$2:$K$18,2,FALSE)),""-"",TO_TEXT($A927))"),"P21DG-0926")</f>
        <v>P21DG-0926</v>
      </c>
      <c r="I927" s="6"/>
      <c r="J927" s="6" t="s">
        <v>6371</v>
      </c>
      <c r="K927" s="6" t="s">
        <v>6372</v>
      </c>
      <c r="L927" s="6" t="s">
        <v>6373</v>
      </c>
      <c r="M927" s="6" t="s">
        <v>6374</v>
      </c>
      <c r="N927" s="17"/>
      <c r="O927" s="17"/>
      <c r="P927" s="17" t="str">
        <f t="shared" si="8"/>
        <v>OK</v>
      </c>
      <c r="Q927" s="17" t="s">
        <v>35</v>
      </c>
      <c r="R927" s="6" t="s">
        <v>35</v>
      </c>
      <c r="S927" s="17" t="s">
        <v>36</v>
      </c>
      <c r="T927" s="17" t="s">
        <v>6375</v>
      </c>
      <c r="U927" s="18" t="s">
        <v>38</v>
      </c>
      <c r="V927" s="19" t="s">
        <v>6054</v>
      </c>
      <c r="W927" s="22" t="s">
        <v>6277</v>
      </c>
      <c r="X927" s="21" t="s">
        <v>6277</v>
      </c>
      <c r="Y927" s="22"/>
      <c r="Z927" s="7"/>
      <c r="AA927" s="7"/>
      <c r="AB927" s="23"/>
      <c r="AC927" s="26"/>
    </row>
    <row r="928" spans="1:29" ht="15.75" customHeight="1">
      <c r="A928" s="10" t="s">
        <v>6376</v>
      </c>
      <c r="B928" s="10" t="s">
        <v>4410</v>
      </c>
      <c r="C928" s="11" t="s">
        <v>6054</v>
      </c>
      <c r="D928" s="12"/>
      <c r="E928" s="13" t="s">
        <v>184</v>
      </c>
      <c r="F928" s="6" t="s">
        <v>6370</v>
      </c>
      <c r="G928" s="6" t="str">
        <f ca="1">IFERROR(__xludf.DUMMYFUNCTION("CONCATENATE(B928,(VLOOKUP(C928,CATALOGOS!$F$2:$H$6,3,FALSE)),(VLOOKUP(V928,CATALOGOS!$J$2:$K$18,2,FALSE)),""-"",TO_TEXT(A928))"),"P21DG-0927")</f>
        <v>P21DG-0927</v>
      </c>
      <c r="H928" s="15" t="str">
        <f ca="1">IFERROR(__xludf.DUMMYFUNCTION("CONCATENATE($B928,(VLOOKUP($C928,CATALOGOS!$F$2:$H$6,3,FALSE)),(VLOOKUP($V928,CATALOGOS!$J$2:$K$18,2,FALSE)),""-"",TO_TEXT($A928))"),"P21DG-0927")</f>
        <v>P21DG-0927</v>
      </c>
      <c r="I928" s="6"/>
      <c r="J928" s="6" t="s">
        <v>6377</v>
      </c>
      <c r="K928" s="6" t="s">
        <v>6378</v>
      </c>
      <c r="L928" s="6" t="s">
        <v>6379</v>
      </c>
      <c r="M928" s="6" t="s">
        <v>6380</v>
      </c>
      <c r="N928" s="17"/>
      <c r="O928" s="17"/>
      <c r="P928" s="17" t="str">
        <f t="shared" si="8"/>
        <v>OK</v>
      </c>
      <c r="Q928" s="17" t="s">
        <v>35</v>
      </c>
      <c r="R928" s="6" t="s">
        <v>35</v>
      </c>
      <c r="S928" s="17" t="s">
        <v>36</v>
      </c>
      <c r="T928" s="17" t="s">
        <v>6381</v>
      </c>
      <c r="U928" s="18" t="s">
        <v>38</v>
      </c>
      <c r="V928" s="19" t="s">
        <v>6054</v>
      </c>
      <c r="W928" s="22" t="s">
        <v>6277</v>
      </c>
      <c r="X928" s="21" t="s">
        <v>6277</v>
      </c>
      <c r="Y928" s="22"/>
      <c r="Z928" s="7"/>
      <c r="AA928" s="7"/>
      <c r="AB928" s="23"/>
      <c r="AC928" s="26"/>
    </row>
    <row r="929" spans="1:29" ht="15.75" customHeight="1">
      <c r="A929" s="10" t="s">
        <v>6382</v>
      </c>
      <c r="B929" s="10" t="s">
        <v>4410</v>
      </c>
      <c r="C929" s="11" t="s">
        <v>6054</v>
      </c>
      <c r="D929" s="12"/>
      <c r="E929" s="13" t="s">
        <v>184</v>
      </c>
      <c r="F929" s="6" t="s">
        <v>6370</v>
      </c>
      <c r="G929" s="6" t="str">
        <f ca="1">IFERROR(__xludf.DUMMYFUNCTION("CONCATENATE(B929,(VLOOKUP(C929,CATALOGOS!$F$2:$H$6,3,FALSE)),(VLOOKUP(V929,CATALOGOS!$J$2:$K$18,2,FALSE)),""-"",TO_TEXT(A929))"),"P21DG-0928")</f>
        <v>P21DG-0928</v>
      </c>
      <c r="H929" s="15" t="str">
        <f ca="1">IFERROR(__xludf.DUMMYFUNCTION("CONCATENATE($B929,(VLOOKUP($C929,CATALOGOS!$F$2:$H$6,3,FALSE)),(VLOOKUP($V929,CATALOGOS!$J$2:$K$18,2,FALSE)),""-"",TO_TEXT($A929))"),"P21DG-0928")</f>
        <v>P21DG-0928</v>
      </c>
      <c r="I929" s="6"/>
      <c r="J929" s="6" t="s">
        <v>6383</v>
      </c>
      <c r="K929" s="6" t="s">
        <v>6384</v>
      </c>
      <c r="L929" s="6" t="s">
        <v>6385</v>
      </c>
      <c r="M929" s="6" t="s">
        <v>6386</v>
      </c>
      <c r="N929" s="17"/>
      <c r="O929" s="17"/>
      <c r="P929" s="17" t="str">
        <f t="shared" si="8"/>
        <v>OK</v>
      </c>
      <c r="Q929" s="17" t="s">
        <v>35</v>
      </c>
      <c r="R929" s="6" t="s">
        <v>35</v>
      </c>
      <c r="S929" s="17" t="s">
        <v>36</v>
      </c>
      <c r="T929" s="17" t="s">
        <v>6387</v>
      </c>
      <c r="U929" s="18" t="s">
        <v>38</v>
      </c>
      <c r="V929" s="19" t="s">
        <v>6054</v>
      </c>
      <c r="W929" s="22" t="s">
        <v>6277</v>
      </c>
      <c r="X929" s="21" t="s">
        <v>6277</v>
      </c>
      <c r="Y929" s="22"/>
      <c r="Z929" s="7"/>
      <c r="AA929" s="7"/>
      <c r="AB929" s="23"/>
      <c r="AC929" s="26"/>
    </row>
    <row r="930" spans="1:29" ht="15.75" customHeight="1">
      <c r="A930" s="10" t="s">
        <v>6388</v>
      </c>
      <c r="B930" s="10" t="s">
        <v>4410</v>
      </c>
      <c r="C930" s="11" t="s">
        <v>6054</v>
      </c>
      <c r="D930" s="12"/>
      <c r="E930" s="13" t="s">
        <v>184</v>
      </c>
      <c r="F930" s="6" t="s">
        <v>6370</v>
      </c>
      <c r="G930" s="6" t="str">
        <f ca="1">IFERROR(__xludf.DUMMYFUNCTION("CONCATENATE(B930,(VLOOKUP(C930,CATALOGOS!$F$2:$H$6,3,FALSE)),(VLOOKUP(V930,CATALOGOS!$J$2:$K$18,2,FALSE)),""-"",TO_TEXT(A930))"),"P21DG-0929")</f>
        <v>P21DG-0929</v>
      </c>
      <c r="H930" s="15" t="str">
        <f ca="1">IFERROR(__xludf.DUMMYFUNCTION("CONCATENATE($B930,(VLOOKUP($C930,CATALOGOS!$F$2:$H$6,3,FALSE)),(VLOOKUP($V930,CATALOGOS!$J$2:$K$18,2,FALSE)),""-"",TO_TEXT($A930))"),"P21DG-0929")</f>
        <v>P21DG-0929</v>
      </c>
      <c r="I930" s="6"/>
      <c r="J930" s="6" t="s">
        <v>6389</v>
      </c>
      <c r="K930" s="6" t="s">
        <v>6390</v>
      </c>
      <c r="L930" s="6" t="s">
        <v>6391</v>
      </c>
      <c r="M930" s="6" t="s">
        <v>6392</v>
      </c>
      <c r="N930" s="17"/>
      <c r="O930" s="17"/>
      <c r="P930" s="17" t="str">
        <f t="shared" si="8"/>
        <v>OK</v>
      </c>
      <c r="Q930" s="17" t="s">
        <v>35</v>
      </c>
      <c r="R930" s="6" t="s">
        <v>35</v>
      </c>
      <c r="S930" s="17" t="s">
        <v>36</v>
      </c>
      <c r="T930" s="17" t="s">
        <v>6393</v>
      </c>
      <c r="U930" s="18" t="s">
        <v>38</v>
      </c>
      <c r="V930" s="19" t="s">
        <v>6054</v>
      </c>
      <c r="W930" s="22" t="s">
        <v>6277</v>
      </c>
      <c r="X930" s="21" t="s">
        <v>6277</v>
      </c>
      <c r="Y930" s="22"/>
      <c r="Z930" s="7"/>
      <c r="AA930" s="7"/>
      <c r="AB930" s="23"/>
      <c r="AC930" s="26"/>
    </row>
    <row r="931" spans="1:29" ht="15.75" customHeight="1">
      <c r="A931" s="10" t="s">
        <v>6394</v>
      </c>
      <c r="B931" s="10" t="s">
        <v>4410</v>
      </c>
      <c r="C931" s="60" t="s">
        <v>4411</v>
      </c>
      <c r="D931" s="12"/>
      <c r="E931" s="13" t="s">
        <v>184</v>
      </c>
      <c r="F931" s="6" t="s">
        <v>6370</v>
      </c>
      <c r="G931" s="14" t="str">
        <f ca="1">IFERROR(__xludf.DUMMYFUNCTION("CONCATENATE(B931,(VLOOKUP(C931,CATALOGOS!$F$2:$H$6,3,FALSE)),(VLOOKUP(V931,CATALOGOS!$J$2:$K$18,2,FALSE)),""-"",TO_TEXT(A931))"),"P24SJ-0930")</f>
        <v>P24SJ-0930</v>
      </c>
      <c r="H931" s="15" t="str">
        <f ca="1">IFERROR(__xludf.DUMMYFUNCTION("CONCATENATE($B931,(VLOOKUP($C931,CATALOGOS!$F$2:$H$6,3,FALSE)),(VLOOKUP($V931,CATALOGOS!$J$2:$K$18,2,FALSE)),""-"",TO_TEXT($A931))"),"P24SJ-0930")</f>
        <v>P24SJ-0930</v>
      </c>
      <c r="I931" s="6"/>
      <c r="J931" s="6" t="s">
        <v>6395</v>
      </c>
      <c r="K931" s="6" t="s">
        <v>6396</v>
      </c>
      <c r="L931" s="6" t="s">
        <v>6397</v>
      </c>
      <c r="M931" s="6" t="s">
        <v>6398</v>
      </c>
      <c r="N931" s="17"/>
      <c r="O931" s="17"/>
      <c r="P931" s="17" t="str">
        <f t="shared" si="8"/>
        <v>OK</v>
      </c>
      <c r="Q931" s="17" t="s">
        <v>35</v>
      </c>
      <c r="R931" s="6" t="s">
        <v>35</v>
      </c>
      <c r="S931" s="17" t="s">
        <v>36</v>
      </c>
      <c r="T931" s="17" t="s">
        <v>6399</v>
      </c>
      <c r="U931" s="18" t="s">
        <v>38</v>
      </c>
      <c r="V931" s="19" t="s">
        <v>4411</v>
      </c>
      <c r="W931" s="20" t="s">
        <v>4935</v>
      </c>
      <c r="X931" s="39" t="s">
        <v>4935</v>
      </c>
      <c r="Y931" s="20"/>
      <c r="Z931" s="7"/>
      <c r="AA931" s="7"/>
      <c r="AB931" s="23"/>
      <c r="AC931" s="26"/>
    </row>
    <row r="932" spans="1:29" ht="15.75" customHeight="1">
      <c r="A932" s="10" t="s">
        <v>6400</v>
      </c>
      <c r="B932" s="10" t="s">
        <v>4410</v>
      </c>
      <c r="C932" s="11" t="s">
        <v>6054</v>
      </c>
      <c r="D932" s="12"/>
      <c r="E932" s="13" t="s">
        <v>184</v>
      </c>
      <c r="F932" s="6" t="s">
        <v>6370</v>
      </c>
      <c r="G932" s="6" t="str">
        <f ca="1">IFERROR(__xludf.DUMMYFUNCTION("CONCATENATE(B932,(VLOOKUP(C932,CATALOGOS!$F$2:$H$6,3,FALSE)),(VLOOKUP(V932,CATALOGOS!$J$2:$K$18,2,FALSE)),""-"",TO_TEXT(A932))"),"P21DG-0931")</f>
        <v>P21DG-0931</v>
      </c>
      <c r="H932" s="15" t="str">
        <f ca="1">IFERROR(__xludf.DUMMYFUNCTION("CONCATENATE($B932,(VLOOKUP($C932,CATALOGOS!$F$2:$H$6,3,FALSE)),(VLOOKUP($V932,CATALOGOS!$J$2:$K$18,2,FALSE)),""-"",TO_TEXT($A932))"),"P21DG-0931")</f>
        <v>P21DG-0931</v>
      </c>
      <c r="I932" s="6"/>
      <c r="J932" s="6" t="s">
        <v>6401</v>
      </c>
      <c r="K932" s="6" t="s">
        <v>6402</v>
      </c>
      <c r="L932" s="6" t="s">
        <v>6403</v>
      </c>
      <c r="M932" s="6" t="s">
        <v>6404</v>
      </c>
      <c r="N932" s="17"/>
      <c r="O932" s="17"/>
      <c r="P932" s="17" t="str">
        <f t="shared" si="8"/>
        <v>OK</v>
      </c>
      <c r="Q932" s="17" t="s">
        <v>35</v>
      </c>
      <c r="R932" s="6" t="s">
        <v>35</v>
      </c>
      <c r="S932" s="17" t="s">
        <v>36</v>
      </c>
      <c r="T932" s="17" t="s">
        <v>6405</v>
      </c>
      <c r="U932" s="18" t="s">
        <v>38</v>
      </c>
      <c r="V932" s="19" t="s">
        <v>6054</v>
      </c>
      <c r="W932" s="22" t="s">
        <v>6277</v>
      </c>
      <c r="X932" s="21" t="s">
        <v>6277</v>
      </c>
      <c r="Y932" s="22"/>
      <c r="Z932" s="7"/>
      <c r="AA932" s="7"/>
      <c r="AB932" s="23"/>
      <c r="AC932" s="26"/>
    </row>
    <row r="933" spans="1:29" ht="15.75" customHeight="1">
      <c r="A933" s="10" t="s">
        <v>6406</v>
      </c>
      <c r="B933" s="10" t="s">
        <v>4410</v>
      </c>
      <c r="C933" s="11" t="s">
        <v>6054</v>
      </c>
      <c r="D933" s="12"/>
      <c r="E933" s="13" t="s">
        <v>184</v>
      </c>
      <c r="F933" s="6" t="s">
        <v>6370</v>
      </c>
      <c r="G933" s="6" t="str">
        <f ca="1">IFERROR(__xludf.DUMMYFUNCTION("CONCATENATE(B933,(VLOOKUP(C933,CATALOGOS!$F$2:$H$6,3,FALSE)),(VLOOKUP(V933,CATALOGOS!$J$2:$K$18,2,FALSE)),""-"",TO_TEXT(A933))"),"P21DG-0932")</f>
        <v>P21DG-0932</v>
      </c>
      <c r="H933" s="15" t="str">
        <f ca="1">IFERROR(__xludf.DUMMYFUNCTION("CONCATENATE($B933,(VLOOKUP($C933,CATALOGOS!$F$2:$H$6,3,FALSE)),(VLOOKUP($V933,CATALOGOS!$J$2:$K$18,2,FALSE)),""-"",TO_TEXT($A933))"),"P21DG-0932")</f>
        <v>P21DG-0932</v>
      </c>
      <c r="I933" s="6"/>
      <c r="J933" s="6" t="s">
        <v>6407</v>
      </c>
      <c r="K933" s="6" t="s">
        <v>6408</v>
      </c>
      <c r="L933" s="6" t="s">
        <v>6409</v>
      </c>
      <c r="M933" s="6" t="s">
        <v>6410</v>
      </c>
      <c r="N933" s="17"/>
      <c r="O933" s="17"/>
      <c r="P933" s="17" t="str">
        <f t="shared" si="8"/>
        <v>OK</v>
      </c>
      <c r="Q933" s="17" t="s">
        <v>35</v>
      </c>
      <c r="R933" s="6" t="s">
        <v>35</v>
      </c>
      <c r="S933" s="17" t="s">
        <v>36</v>
      </c>
      <c r="T933" s="17" t="s">
        <v>6411</v>
      </c>
      <c r="U933" s="18" t="s">
        <v>38</v>
      </c>
      <c r="V933" s="19" t="s">
        <v>6054</v>
      </c>
      <c r="W933" s="22" t="s">
        <v>6277</v>
      </c>
      <c r="X933" s="21" t="s">
        <v>6277</v>
      </c>
      <c r="Y933" s="22"/>
      <c r="Z933" s="7"/>
      <c r="AA933" s="7"/>
      <c r="AB933" s="23"/>
      <c r="AC933" s="26"/>
    </row>
    <row r="934" spans="1:29" ht="15.75" customHeight="1">
      <c r="A934" s="10" t="s">
        <v>6412</v>
      </c>
      <c r="B934" s="10" t="s">
        <v>4410</v>
      </c>
      <c r="C934" s="11" t="s">
        <v>6054</v>
      </c>
      <c r="D934" s="12"/>
      <c r="E934" s="13" t="s">
        <v>184</v>
      </c>
      <c r="F934" s="6" t="s">
        <v>6370</v>
      </c>
      <c r="G934" s="6" t="str">
        <f ca="1">IFERROR(__xludf.DUMMYFUNCTION("CONCATENATE(B934,(VLOOKUP(C934,CATALOGOS!$F$2:$H$6,3,FALSE)),(VLOOKUP(V934,CATALOGOS!$J$2:$K$18,2,FALSE)),""-"",TO_TEXT(A934))"),"P21DG-0933")</f>
        <v>P21DG-0933</v>
      </c>
      <c r="H934" s="15" t="str">
        <f ca="1">IFERROR(__xludf.DUMMYFUNCTION("CONCATENATE($B934,(VLOOKUP($C934,CATALOGOS!$F$2:$H$6,3,FALSE)),(VLOOKUP($V934,CATALOGOS!$J$2:$K$18,2,FALSE)),""-"",TO_TEXT($A934))"),"P21DG-0933")</f>
        <v>P21DG-0933</v>
      </c>
      <c r="I934" s="6"/>
      <c r="J934" s="6" t="s">
        <v>6413</v>
      </c>
      <c r="K934" s="6" t="s">
        <v>6414</v>
      </c>
      <c r="L934" s="6" t="s">
        <v>6415</v>
      </c>
      <c r="M934" s="6" t="s">
        <v>6416</v>
      </c>
      <c r="N934" s="17"/>
      <c r="O934" s="17"/>
      <c r="P934" s="17" t="str">
        <f t="shared" si="8"/>
        <v>OK</v>
      </c>
      <c r="Q934" s="17" t="s">
        <v>35</v>
      </c>
      <c r="R934" s="6" t="s">
        <v>35</v>
      </c>
      <c r="S934" s="17" t="s">
        <v>36</v>
      </c>
      <c r="T934" s="17" t="s">
        <v>6417</v>
      </c>
      <c r="U934" s="18" t="s">
        <v>38</v>
      </c>
      <c r="V934" s="19" t="s">
        <v>6054</v>
      </c>
      <c r="W934" s="22" t="s">
        <v>6277</v>
      </c>
      <c r="X934" s="21" t="s">
        <v>6277</v>
      </c>
      <c r="Y934" s="22"/>
      <c r="Z934" s="7"/>
      <c r="AA934" s="7"/>
      <c r="AB934" s="23"/>
      <c r="AC934" s="26"/>
    </row>
    <row r="935" spans="1:29" ht="15.75" customHeight="1">
      <c r="A935" s="10" t="s">
        <v>6418</v>
      </c>
      <c r="B935" s="10" t="s">
        <v>4410</v>
      </c>
      <c r="C935" s="11" t="s">
        <v>6054</v>
      </c>
      <c r="D935" s="12"/>
      <c r="E935" s="13" t="s">
        <v>184</v>
      </c>
      <c r="F935" s="6" t="s">
        <v>6370</v>
      </c>
      <c r="G935" s="6" t="str">
        <f ca="1">IFERROR(__xludf.DUMMYFUNCTION("CONCATENATE(B935,(VLOOKUP(C935,CATALOGOS!$F$2:$H$6,3,FALSE)),(VLOOKUP(V935,CATALOGOS!$J$2:$K$18,2,FALSE)),""-"",TO_TEXT(A935))"),"P21DG-0934")</f>
        <v>P21DG-0934</v>
      </c>
      <c r="H935" s="15" t="str">
        <f ca="1">IFERROR(__xludf.DUMMYFUNCTION("CONCATENATE($B935,(VLOOKUP($C935,CATALOGOS!$F$2:$H$6,3,FALSE)),(VLOOKUP($V935,CATALOGOS!$J$2:$K$18,2,FALSE)),""-"",TO_TEXT($A935))"),"P21DG-0934")</f>
        <v>P21DG-0934</v>
      </c>
      <c r="I935" s="6"/>
      <c r="J935" s="6" t="s">
        <v>6419</v>
      </c>
      <c r="K935" s="6" t="s">
        <v>6420</v>
      </c>
      <c r="L935" s="6" t="s">
        <v>6421</v>
      </c>
      <c r="M935" s="6" t="s">
        <v>6422</v>
      </c>
      <c r="N935" s="17"/>
      <c r="O935" s="17"/>
      <c r="P935" s="17" t="str">
        <f t="shared" si="8"/>
        <v>OK</v>
      </c>
      <c r="Q935" s="17" t="s">
        <v>35</v>
      </c>
      <c r="R935" s="6" t="s">
        <v>35</v>
      </c>
      <c r="S935" s="17" t="s">
        <v>36</v>
      </c>
      <c r="T935" s="17" t="s">
        <v>6423</v>
      </c>
      <c r="U935" s="18" t="s">
        <v>38</v>
      </c>
      <c r="V935" s="19" t="s">
        <v>6054</v>
      </c>
      <c r="W935" s="22" t="s">
        <v>6277</v>
      </c>
      <c r="X935" s="21" t="s">
        <v>6277</v>
      </c>
      <c r="Y935" s="22"/>
      <c r="Z935" s="7"/>
      <c r="AA935" s="7"/>
      <c r="AB935" s="23"/>
      <c r="AC935" s="26"/>
    </row>
    <row r="936" spans="1:29" ht="15.75" customHeight="1">
      <c r="A936" s="10" t="s">
        <v>6424</v>
      </c>
      <c r="B936" s="10" t="s">
        <v>4410</v>
      </c>
      <c r="C936" s="11" t="s">
        <v>6054</v>
      </c>
      <c r="D936" s="12"/>
      <c r="E936" s="13" t="s">
        <v>184</v>
      </c>
      <c r="F936" s="6" t="s">
        <v>6370</v>
      </c>
      <c r="G936" s="6" t="str">
        <f ca="1">IFERROR(__xludf.DUMMYFUNCTION("CONCATENATE(B936,(VLOOKUP(C936,CATALOGOS!$F$2:$H$6,3,FALSE)),(VLOOKUP(V936,CATALOGOS!$J$2:$K$18,2,FALSE)),""-"",TO_TEXT(A936))"),"P21DG-0935")</f>
        <v>P21DG-0935</v>
      </c>
      <c r="H936" s="15" t="str">
        <f ca="1">IFERROR(__xludf.DUMMYFUNCTION("CONCATENATE($B936,(VLOOKUP($C936,CATALOGOS!$F$2:$H$6,3,FALSE)),(VLOOKUP($V936,CATALOGOS!$J$2:$K$18,2,FALSE)),""-"",TO_TEXT($A936))"),"P21DG-0935")</f>
        <v>P21DG-0935</v>
      </c>
      <c r="I936" s="6"/>
      <c r="J936" s="6" t="s">
        <v>6425</v>
      </c>
      <c r="K936" s="6" t="s">
        <v>6426</v>
      </c>
      <c r="L936" s="6" t="s">
        <v>6427</v>
      </c>
      <c r="M936" s="6" t="s">
        <v>6428</v>
      </c>
      <c r="N936" s="17"/>
      <c r="O936" s="17"/>
      <c r="P936" s="17" t="str">
        <f t="shared" si="8"/>
        <v>OK</v>
      </c>
      <c r="Q936" s="17" t="s">
        <v>35</v>
      </c>
      <c r="R936" s="6" t="s">
        <v>35</v>
      </c>
      <c r="S936" s="17" t="s">
        <v>36</v>
      </c>
      <c r="T936" s="17" t="s">
        <v>6429</v>
      </c>
      <c r="U936" s="18" t="s">
        <v>38</v>
      </c>
      <c r="V936" s="19" t="s">
        <v>6054</v>
      </c>
      <c r="W936" s="22" t="s">
        <v>6277</v>
      </c>
      <c r="X936" s="21" t="s">
        <v>6277</v>
      </c>
      <c r="Y936" s="22"/>
      <c r="Z936" s="7"/>
      <c r="AA936" s="7"/>
      <c r="AB936" s="23"/>
      <c r="AC936" s="26"/>
    </row>
    <row r="937" spans="1:29" ht="15.75" customHeight="1">
      <c r="A937" s="10" t="s">
        <v>6430</v>
      </c>
      <c r="B937" s="10" t="s">
        <v>4410</v>
      </c>
      <c r="C937" s="11" t="s">
        <v>6054</v>
      </c>
      <c r="D937" s="12"/>
      <c r="E937" s="13" t="s">
        <v>184</v>
      </c>
      <c r="F937" s="6" t="s">
        <v>6370</v>
      </c>
      <c r="G937" s="6" t="str">
        <f ca="1">IFERROR(__xludf.DUMMYFUNCTION("CONCATENATE(B937,(VLOOKUP(C937,CATALOGOS!$F$2:$H$6,3,FALSE)),(VLOOKUP(V937,CATALOGOS!$J$2:$K$18,2,FALSE)),""-"",TO_TEXT(A937))"),"P21DG-0936")</f>
        <v>P21DG-0936</v>
      </c>
      <c r="H937" s="15" t="str">
        <f ca="1">IFERROR(__xludf.DUMMYFUNCTION("CONCATENATE($B937,(VLOOKUP($C937,CATALOGOS!$F$2:$H$6,3,FALSE)),(VLOOKUP($V937,CATALOGOS!$J$2:$K$18,2,FALSE)),""-"",TO_TEXT($A937))"),"P21DG-0936")</f>
        <v>P21DG-0936</v>
      </c>
      <c r="I937" s="6"/>
      <c r="J937" s="6" t="s">
        <v>6431</v>
      </c>
      <c r="K937" s="6" t="s">
        <v>6432</v>
      </c>
      <c r="L937" s="6" t="s">
        <v>6433</v>
      </c>
      <c r="M937" s="6" t="s">
        <v>6434</v>
      </c>
      <c r="N937" s="17"/>
      <c r="O937" s="17"/>
      <c r="P937" s="17" t="str">
        <f t="shared" si="8"/>
        <v>OK</v>
      </c>
      <c r="Q937" s="17" t="s">
        <v>35</v>
      </c>
      <c r="R937" s="6" t="s">
        <v>35</v>
      </c>
      <c r="S937" s="17" t="s">
        <v>36</v>
      </c>
      <c r="T937" s="17" t="s">
        <v>6435</v>
      </c>
      <c r="U937" s="18" t="s">
        <v>38</v>
      </c>
      <c r="V937" s="19" t="s">
        <v>6054</v>
      </c>
      <c r="W937" s="22" t="s">
        <v>6277</v>
      </c>
      <c r="X937" s="21" t="s">
        <v>6277</v>
      </c>
      <c r="Y937" s="22"/>
      <c r="Z937" s="7"/>
      <c r="AA937" s="7"/>
      <c r="AB937" s="23"/>
      <c r="AC937" s="26"/>
    </row>
    <row r="938" spans="1:29" ht="15.75" customHeight="1">
      <c r="A938" s="10" t="s">
        <v>6436</v>
      </c>
      <c r="B938" s="10" t="s">
        <v>4410</v>
      </c>
      <c r="C938" s="11" t="s">
        <v>6054</v>
      </c>
      <c r="D938" s="12"/>
      <c r="E938" s="13" t="s">
        <v>184</v>
      </c>
      <c r="F938" s="6" t="s">
        <v>6370</v>
      </c>
      <c r="G938" s="6" t="str">
        <f ca="1">IFERROR(__xludf.DUMMYFUNCTION("CONCATENATE(B938,(VLOOKUP(C938,CATALOGOS!$F$2:$H$6,3,FALSE)),(VLOOKUP(V938,CATALOGOS!$J$2:$K$18,2,FALSE)),""-"",TO_TEXT(A938))"),"P21DG-0937")</f>
        <v>P21DG-0937</v>
      </c>
      <c r="H938" s="15" t="str">
        <f ca="1">IFERROR(__xludf.DUMMYFUNCTION("CONCATENATE($B938,(VLOOKUP($C938,CATALOGOS!$F$2:$H$6,3,FALSE)),(VLOOKUP($V938,CATALOGOS!$J$2:$K$18,2,FALSE)),""-"",TO_TEXT($A938))"),"P21DG-0937")</f>
        <v>P21DG-0937</v>
      </c>
      <c r="I938" s="6"/>
      <c r="J938" s="6" t="s">
        <v>6437</v>
      </c>
      <c r="K938" s="6" t="s">
        <v>6438</v>
      </c>
      <c r="L938" s="6" t="s">
        <v>6439</v>
      </c>
      <c r="M938" s="43" t="s">
        <v>6440</v>
      </c>
      <c r="N938" s="17"/>
      <c r="O938" s="17"/>
      <c r="P938" s="17" t="str">
        <f t="shared" si="8"/>
        <v>OK</v>
      </c>
      <c r="Q938" s="17" t="s">
        <v>35</v>
      </c>
      <c r="R938" s="6" t="s">
        <v>35</v>
      </c>
      <c r="S938" s="17" t="s">
        <v>36</v>
      </c>
      <c r="T938" s="17" t="s">
        <v>6441</v>
      </c>
      <c r="U938" s="18" t="s">
        <v>38</v>
      </c>
      <c r="V938" s="19" t="s">
        <v>6054</v>
      </c>
      <c r="W938" s="22" t="s">
        <v>6277</v>
      </c>
      <c r="X938" s="21" t="s">
        <v>6277</v>
      </c>
      <c r="Y938" s="22"/>
      <c r="Z938" s="7"/>
      <c r="AA938" s="7"/>
      <c r="AB938" s="23"/>
      <c r="AC938" s="26"/>
    </row>
    <row r="939" spans="1:29" ht="15.75" customHeight="1">
      <c r="A939" s="10" t="s">
        <v>6442</v>
      </c>
      <c r="B939" s="10" t="s">
        <v>4410</v>
      </c>
      <c r="C939" s="11" t="s">
        <v>6054</v>
      </c>
      <c r="D939" s="12"/>
      <c r="E939" s="13" t="s">
        <v>93</v>
      </c>
      <c r="F939" s="6" t="s">
        <v>6443</v>
      </c>
      <c r="G939" s="6" t="str">
        <f ca="1">IFERROR(__xludf.DUMMYFUNCTION("CONCATENATE(B939,(VLOOKUP(C939,CATALOGOS!$F$2:$H$6,3,FALSE)),(VLOOKUP(V939,CATALOGOS!$J$2:$K$18,2,FALSE)),""-"",TO_TEXT(A939))"),"P21DG-0938")</f>
        <v>P21DG-0938</v>
      </c>
      <c r="H939" s="15" t="str">
        <f ca="1">IFERROR(__xludf.DUMMYFUNCTION("CONCATENATE($B939,(VLOOKUP($C939,CATALOGOS!$F$2:$H$6,3,FALSE)),(VLOOKUP($V939,CATALOGOS!$J$2:$K$18,2,FALSE)),""-"",TO_TEXT($A939))"),"P21DG-0938")</f>
        <v>P21DG-0938</v>
      </c>
      <c r="I939" s="6"/>
      <c r="J939" s="6" t="s">
        <v>6444</v>
      </c>
      <c r="K939" s="6" t="s">
        <v>6445</v>
      </c>
      <c r="L939" s="6" t="s">
        <v>6446</v>
      </c>
      <c r="M939" s="6" t="s">
        <v>6447</v>
      </c>
      <c r="N939" s="17"/>
      <c r="O939" s="17"/>
      <c r="P939" s="17" t="str">
        <f t="shared" si="8"/>
        <v>OK</v>
      </c>
      <c r="Q939" s="17" t="s">
        <v>35</v>
      </c>
      <c r="R939" s="6" t="s">
        <v>35</v>
      </c>
      <c r="S939" s="17" t="s">
        <v>36</v>
      </c>
      <c r="T939" s="17" t="s">
        <v>6448</v>
      </c>
      <c r="U939" s="18" t="s">
        <v>38</v>
      </c>
      <c r="V939" s="19" t="s">
        <v>6054</v>
      </c>
      <c r="W939" s="22" t="s">
        <v>6277</v>
      </c>
      <c r="X939" s="21" t="s">
        <v>6277</v>
      </c>
      <c r="Y939" s="22"/>
      <c r="Z939" s="7"/>
      <c r="AA939" s="7"/>
      <c r="AB939" s="23"/>
      <c r="AC939" s="26"/>
    </row>
    <row r="940" spans="1:29" ht="15.75" customHeight="1">
      <c r="A940" s="10" t="s">
        <v>6449</v>
      </c>
      <c r="B940" s="10" t="s">
        <v>4410</v>
      </c>
      <c r="C940" s="11" t="s">
        <v>6054</v>
      </c>
      <c r="D940" s="12"/>
      <c r="E940" s="13" t="s">
        <v>93</v>
      </c>
      <c r="F940" s="6" t="s">
        <v>6450</v>
      </c>
      <c r="G940" s="6" t="str">
        <f ca="1">IFERROR(__xludf.DUMMYFUNCTION("CONCATENATE(B940,(VLOOKUP(C940,CATALOGOS!$F$2:$H$6,3,FALSE)),(VLOOKUP(V940,CATALOGOS!$J$2:$K$18,2,FALSE)),""-"",TO_TEXT(A940))"),"P21DG-0939")</f>
        <v>P21DG-0939</v>
      </c>
      <c r="H940" s="15" t="str">
        <f ca="1">IFERROR(__xludf.DUMMYFUNCTION("CONCATENATE($B940,(VLOOKUP($C940,CATALOGOS!$F$2:$H$6,3,FALSE)),(VLOOKUP($V940,CATALOGOS!$J$2:$K$18,2,FALSE)),""-"",TO_TEXT($A940))"),"P21DG-0939")</f>
        <v>P21DG-0939</v>
      </c>
      <c r="I940" s="6"/>
      <c r="J940" s="6" t="s">
        <v>6451</v>
      </c>
      <c r="K940" s="6" t="s">
        <v>6452</v>
      </c>
      <c r="L940" s="6" t="s">
        <v>6453</v>
      </c>
      <c r="M940" s="6" t="s">
        <v>6454</v>
      </c>
      <c r="N940" s="17"/>
      <c r="O940" s="17"/>
      <c r="P940" s="17" t="str">
        <f t="shared" si="8"/>
        <v>OK</v>
      </c>
      <c r="Q940" s="17" t="s">
        <v>35</v>
      </c>
      <c r="R940" s="6" t="s">
        <v>35</v>
      </c>
      <c r="S940" s="17" t="s">
        <v>36</v>
      </c>
      <c r="T940" s="17" t="s">
        <v>6455</v>
      </c>
      <c r="U940" s="18" t="s">
        <v>38</v>
      </c>
      <c r="V940" s="19" t="s">
        <v>6054</v>
      </c>
      <c r="W940" s="22" t="s">
        <v>6277</v>
      </c>
      <c r="X940" s="21" t="s">
        <v>6277</v>
      </c>
      <c r="Y940" s="22"/>
      <c r="Z940" s="7"/>
      <c r="AA940" s="7"/>
      <c r="AB940" s="23"/>
      <c r="AC940" s="26"/>
    </row>
    <row r="941" spans="1:29" ht="15.75" customHeight="1">
      <c r="A941" s="10" t="s">
        <v>6456</v>
      </c>
      <c r="B941" s="10" t="s">
        <v>4410</v>
      </c>
      <c r="C941" s="11" t="s">
        <v>6054</v>
      </c>
      <c r="D941" s="12"/>
      <c r="E941" s="13" t="s">
        <v>93</v>
      </c>
      <c r="F941" s="6" t="s">
        <v>6450</v>
      </c>
      <c r="G941" s="6" t="str">
        <f ca="1">IFERROR(__xludf.DUMMYFUNCTION("CONCATENATE(B941,(VLOOKUP(C941,CATALOGOS!$F$2:$H$6,3,FALSE)),(VLOOKUP(V941,CATALOGOS!$J$2:$K$18,2,FALSE)),""-"",TO_TEXT(A941))"),"P21DG-0940")</f>
        <v>P21DG-0940</v>
      </c>
      <c r="H941" s="15" t="str">
        <f ca="1">IFERROR(__xludf.DUMMYFUNCTION("CONCATENATE($B941,(VLOOKUP($C941,CATALOGOS!$F$2:$H$6,3,FALSE)),(VLOOKUP($V941,CATALOGOS!$J$2:$K$18,2,FALSE)),""-"",TO_TEXT($A941))"),"P21DG-0940")</f>
        <v>P21DG-0940</v>
      </c>
      <c r="I941" s="6"/>
      <c r="J941" s="6" t="s">
        <v>6457</v>
      </c>
      <c r="K941" s="6" t="s">
        <v>6458</v>
      </c>
      <c r="L941" s="6" t="s">
        <v>6459</v>
      </c>
      <c r="M941" s="6" t="s">
        <v>6460</v>
      </c>
      <c r="N941" s="17"/>
      <c r="O941" s="17"/>
      <c r="P941" s="17" t="str">
        <f t="shared" si="8"/>
        <v>OK</v>
      </c>
      <c r="Q941" s="17" t="s">
        <v>35</v>
      </c>
      <c r="R941" s="6" t="s">
        <v>35</v>
      </c>
      <c r="S941" s="17" t="s">
        <v>36</v>
      </c>
      <c r="T941" s="17" t="s">
        <v>6461</v>
      </c>
      <c r="U941" s="18" t="s">
        <v>38</v>
      </c>
      <c r="V941" s="19" t="s">
        <v>6054</v>
      </c>
      <c r="W941" s="22" t="s">
        <v>6277</v>
      </c>
      <c r="X941" s="21" t="s">
        <v>6277</v>
      </c>
      <c r="Y941" s="22"/>
      <c r="Z941" s="7"/>
      <c r="AA941" s="7"/>
      <c r="AB941" s="23"/>
      <c r="AC941" s="26"/>
    </row>
    <row r="942" spans="1:29" ht="15.75" customHeight="1">
      <c r="A942" s="10" t="s">
        <v>6462</v>
      </c>
      <c r="B942" s="10" t="s">
        <v>4410</v>
      </c>
      <c r="C942" s="11" t="s">
        <v>6054</v>
      </c>
      <c r="D942" s="12"/>
      <c r="E942" s="13" t="s">
        <v>93</v>
      </c>
      <c r="F942" s="6" t="s">
        <v>6443</v>
      </c>
      <c r="G942" s="6" t="str">
        <f ca="1">IFERROR(__xludf.DUMMYFUNCTION("CONCATENATE(B942,(VLOOKUP(C942,CATALOGOS!$F$2:$H$6,3,FALSE)),(VLOOKUP(V942,CATALOGOS!$J$2:$K$18,2,FALSE)),""-"",TO_TEXT(A942))"),"P21DG-0941")</f>
        <v>P21DG-0941</v>
      </c>
      <c r="H942" s="15" t="str">
        <f ca="1">IFERROR(__xludf.DUMMYFUNCTION("CONCATENATE($B942,(VLOOKUP($C942,CATALOGOS!$F$2:$H$6,3,FALSE)),(VLOOKUP($V942,CATALOGOS!$J$2:$K$18,2,FALSE)),""-"",TO_TEXT($A942))"),"P21DG-0941")</f>
        <v>P21DG-0941</v>
      </c>
      <c r="I942" s="6"/>
      <c r="J942" s="6" t="s">
        <v>6463</v>
      </c>
      <c r="K942" s="6" t="s">
        <v>6464</v>
      </c>
      <c r="L942" s="6" t="s">
        <v>6465</v>
      </c>
      <c r="M942" s="6" t="s">
        <v>6466</v>
      </c>
      <c r="N942" s="17"/>
      <c r="O942" s="17"/>
      <c r="P942" s="17" t="str">
        <f t="shared" si="8"/>
        <v>OK</v>
      </c>
      <c r="Q942" s="17" t="s">
        <v>35</v>
      </c>
      <c r="R942" s="6" t="s">
        <v>35</v>
      </c>
      <c r="S942" s="17" t="s">
        <v>36</v>
      </c>
      <c r="T942" s="17" t="s">
        <v>6467</v>
      </c>
      <c r="U942" s="18" t="s">
        <v>38</v>
      </c>
      <c r="V942" s="19" t="s">
        <v>6054</v>
      </c>
      <c r="W942" s="22" t="s">
        <v>6277</v>
      </c>
      <c r="X942" s="21" t="s">
        <v>6277</v>
      </c>
      <c r="Y942" s="22"/>
      <c r="Z942" s="7"/>
      <c r="AA942" s="7"/>
      <c r="AB942" s="23"/>
      <c r="AC942" s="26"/>
    </row>
    <row r="943" spans="1:29" ht="15.75" customHeight="1">
      <c r="A943" s="10" t="s">
        <v>6468</v>
      </c>
      <c r="B943" s="10" t="s">
        <v>4410</v>
      </c>
      <c r="C943" s="11" t="s">
        <v>6054</v>
      </c>
      <c r="D943" s="12"/>
      <c r="E943" s="13" t="s">
        <v>93</v>
      </c>
      <c r="F943" s="6" t="s">
        <v>6450</v>
      </c>
      <c r="G943" s="6" t="str">
        <f ca="1">IFERROR(__xludf.DUMMYFUNCTION("CONCATENATE(B943,(VLOOKUP(C943,CATALOGOS!$F$2:$H$6,3,FALSE)),(VLOOKUP(V943,CATALOGOS!$J$2:$K$18,2,FALSE)),""-"",TO_TEXT(A943))"),"P21DG-0942")</f>
        <v>P21DG-0942</v>
      </c>
      <c r="H943" s="15" t="str">
        <f ca="1">IFERROR(__xludf.DUMMYFUNCTION("CONCATENATE($B943,(VLOOKUP($C943,CATALOGOS!$F$2:$H$6,3,FALSE)),(VLOOKUP($V943,CATALOGOS!$J$2:$K$18,2,FALSE)),""-"",TO_TEXT($A943))"),"P21DG-0942")</f>
        <v>P21DG-0942</v>
      </c>
      <c r="I943" s="6"/>
      <c r="J943" s="6" t="s">
        <v>6469</v>
      </c>
      <c r="K943" s="6" t="s">
        <v>6470</v>
      </c>
      <c r="L943" s="6" t="s">
        <v>6471</v>
      </c>
      <c r="M943" s="6" t="s">
        <v>6472</v>
      </c>
      <c r="N943" s="17"/>
      <c r="O943" s="17"/>
      <c r="P943" s="17" t="str">
        <f t="shared" si="8"/>
        <v>OK</v>
      </c>
      <c r="Q943" s="17" t="s">
        <v>35</v>
      </c>
      <c r="R943" s="6" t="s">
        <v>35</v>
      </c>
      <c r="S943" s="17" t="s">
        <v>36</v>
      </c>
      <c r="T943" s="17" t="s">
        <v>6473</v>
      </c>
      <c r="U943" s="18" t="s">
        <v>38</v>
      </c>
      <c r="V943" s="19" t="s">
        <v>6054</v>
      </c>
      <c r="W943" s="22" t="s">
        <v>6277</v>
      </c>
      <c r="X943" s="21" t="s">
        <v>6277</v>
      </c>
      <c r="Y943" s="22"/>
      <c r="Z943" s="7"/>
      <c r="AA943" s="7"/>
      <c r="AB943" s="23"/>
      <c r="AC943" s="26"/>
    </row>
    <row r="944" spans="1:29" ht="15.75" customHeight="1">
      <c r="A944" s="10" t="s">
        <v>6474</v>
      </c>
      <c r="B944" s="10" t="s">
        <v>4410</v>
      </c>
      <c r="C944" s="11" t="s">
        <v>6054</v>
      </c>
      <c r="D944" s="12"/>
      <c r="E944" s="13" t="s">
        <v>93</v>
      </c>
      <c r="F944" s="6" t="s">
        <v>6450</v>
      </c>
      <c r="G944" s="6" t="str">
        <f ca="1">IFERROR(__xludf.DUMMYFUNCTION("CONCATENATE(B944,(VLOOKUP(C944,CATALOGOS!$F$2:$H$6,3,FALSE)),(VLOOKUP(V944,CATALOGOS!$J$2:$K$18,2,FALSE)),""-"",TO_TEXT(A944))"),"P21DG-0943")</f>
        <v>P21DG-0943</v>
      </c>
      <c r="H944" s="15" t="str">
        <f ca="1">IFERROR(__xludf.DUMMYFUNCTION("CONCATENATE($B944,(VLOOKUP($C944,CATALOGOS!$F$2:$H$6,3,FALSE)),(VLOOKUP($V944,CATALOGOS!$J$2:$K$18,2,FALSE)),""-"",TO_TEXT($A944))"),"P21DG-0943")</f>
        <v>P21DG-0943</v>
      </c>
      <c r="I944" s="6"/>
      <c r="J944" s="6" t="s">
        <v>6475</v>
      </c>
      <c r="K944" s="6" t="s">
        <v>6476</v>
      </c>
      <c r="L944" s="6" t="s">
        <v>6477</v>
      </c>
      <c r="M944" s="6" t="s">
        <v>6478</v>
      </c>
      <c r="N944" s="17"/>
      <c r="O944" s="17"/>
      <c r="P944" s="17" t="str">
        <f t="shared" si="8"/>
        <v>OK</v>
      </c>
      <c r="Q944" s="17" t="s">
        <v>35</v>
      </c>
      <c r="R944" s="6" t="s">
        <v>35</v>
      </c>
      <c r="S944" s="17" t="s">
        <v>36</v>
      </c>
      <c r="T944" s="17" t="s">
        <v>6479</v>
      </c>
      <c r="U944" s="18" t="s">
        <v>38</v>
      </c>
      <c r="V944" s="19" t="s">
        <v>6054</v>
      </c>
      <c r="W944" s="22" t="s">
        <v>6277</v>
      </c>
      <c r="X944" s="21" t="s">
        <v>6277</v>
      </c>
      <c r="Y944" s="22"/>
      <c r="Z944" s="7"/>
      <c r="AA944" s="7"/>
      <c r="AB944" s="23"/>
      <c r="AC944" s="26"/>
    </row>
    <row r="945" spans="1:29" ht="15.75" customHeight="1">
      <c r="A945" s="10" t="s">
        <v>6480</v>
      </c>
      <c r="B945" s="10" t="s">
        <v>27</v>
      </c>
      <c r="C945" s="60" t="s">
        <v>868</v>
      </c>
      <c r="D945" s="12"/>
      <c r="E945" s="13" t="s">
        <v>116</v>
      </c>
      <c r="F945" s="6" t="s">
        <v>920</v>
      </c>
      <c r="G945" s="14" t="str">
        <f ca="1">IFERROR(__xludf.DUMMYFUNCTION("CONCATENATE(B945,(VLOOKUP(C945,CATALOGOS!$F$2:$H$6,3,FALSE)),(VLOOKUP(V945,CATALOGOS!$J$2:$K$18,2,FALSE)),""-"",TO_TEXT(A945))"),"P03CV-0944")</f>
        <v>P03CV-0944</v>
      </c>
      <c r="H945" s="15" t="str">
        <f ca="1">IFERROR(__xludf.DUMMYFUNCTION("CONCATENATE($B945,(VLOOKUP($C945,CATALOGOS!$F$2:$H$6,3,FALSE)),(VLOOKUP($V945,CATALOGOS!$J$2:$K$18,2,FALSE)),""-"",TO_TEXT($A945))"),"P03CV-0944")</f>
        <v>P03CV-0944</v>
      </c>
      <c r="I945" s="6"/>
      <c r="J945" s="6" t="s">
        <v>6481</v>
      </c>
      <c r="K945" s="6" t="s">
        <v>6482</v>
      </c>
      <c r="L945" s="6" t="s">
        <v>6483</v>
      </c>
      <c r="M945" s="6" t="s">
        <v>6484</v>
      </c>
      <c r="N945" s="17"/>
      <c r="O945" s="17"/>
      <c r="P945" s="17" t="str">
        <f t="shared" si="8"/>
        <v>OK</v>
      </c>
      <c r="Q945" s="17" t="s">
        <v>35</v>
      </c>
      <c r="R945" s="6" t="s">
        <v>35</v>
      </c>
      <c r="S945" s="17" t="s">
        <v>36</v>
      </c>
      <c r="T945" s="17" t="s">
        <v>6485</v>
      </c>
      <c r="U945" s="18" t="s">
        <v>38</v>
      </c>
      <c r="V945" s="19" t="s">
        <v>875</v>
      </c>
      <c r="W945" s="20" t="s">
        <v>876</v>
      </c>
      <c r="X945" s="39" t="s">
        <v>876</v>
      </c>
      <c r="Y945" s="20"/>
      <c r="Z945" s="7"/>
      <c r="AA945" s="7"/>
      <c r="AB945" s="23"/>
      <c r="AC945" s="26"/>
    </row>
    <row r="946" spans="1:29" ht="15.75" customHeight="1">
      <c r="A946" s="10" t="s">
        <v>6486</v>
      </c>
      <c r="B946" s="10" t="s">
        <v>4410</v>
      </c>
      <c r="C946" s="11" t="s">
        <v>6054</v>
      </c>
      <c r="D946" s="12"/>
      <c r="E946" s="13" t="s">
        <v>93</v>
      </c>
      <c r="F946" s="6" t="s">
        <v>6487</v>
      </c>
      <c r="G946" s="6" t="str">
        <f ca="1">IFERROR(__xludf.DUMMYFUNCTION("CONCATENATE(B946,(VLOOKUP(C946,CATALOGOS!$F$2:$H$6,3,FALSE)),(VLOOKUP(V946,CATALOGOS!$J$2:$K$18,2,FALSE)),""-"",TO_TEXT(A946))"),"P21DG-0945")</f>
        <v>P21DG-0945</v>
      </c>
      <c r="H946" s="15" t="str">
        <f ca="1">IFERROR(__xludf.DUMMYFUNCTION("CONCATENATE($B946,(VLOOKUP($C946,CATALOGOS!$F$2:$H$6,3,FALSE)),(VLOOKUP($V946,CATALOGOS!$J$2:$K$18,2,FALSE)),""-"",TO_TEXT($A946))"),"P21DG-0945")</f>
        <v>P21DG-0945</v>
      </c>
      <c r="I946" s="6"/>
      <c r="J946" s="6" t="s">
        <v>6488</v>
      </c>
      <c r="K946" s="6" t="s">
        <v>6489</v>
      </c>
      <c r="L946" s="6" t="s">
        <v>6490</v>
      </c>
      <c r="M946" s="6" t="s">
        <v>6491</v>
      </c>
      <c r="N946" s="17"/>
      <c r="O946" s="17"/>
      <c r="P946" s="17" t="str">
        <f t="shared" si="8"/>
        <v>OK</v>
      </c>
      <c r="Q946" s="17" t="s">
        <v>35</v>
      </c>
      <c r="R946" s="6" t="s">
        <v>35</v>
      </c>
      <c r="S946" s="17" t="s">
        <v>36</v>
      </c>
      <c r="T946" s="17" t="s">
        <v>6492</v>
      </c>
      <c r="U946" s="18" t="s">
        <v>38</v>
      </c>
      <c r="V946" s="19" t="s">
        <v>6054</v>
      </c>
      <c r="W946" s="22" t="s">
        <v>6277</v>
      </c>
      <c r="X946" s="21" t="s">
        <v>6277</v>
      </c>
      <c r="Y946" s="22"/>
      <c r="Z946" s="7"/>
      <c r="AA946" s="7"/>
      <c r="AB946" s="23"/>
      <c r="AC946" s="26"/>
    </row>
    <row r="947" spans="1:29" ht="15.75" customHeight="1">
      <c r="A947" s="10" t="s">
        <v>6493</v>
      </c>
      <c r="B947" s="10" t="s">
        <v>4410</v>
      </c>
      <c r="C947" s="11" t="s">
        <v>6054</v>
      </c>
      <c r="D947" s="12"/>
      <c r="E947" s="13" t="s">
        <v>1199</v>
      </c>
      <c r="F947" s="43" t="s">
        <v>1199</v>
      </c>
      <c r="G947" s="6" t="str">
        <f ca="1">IFERROR(__xludf.DUMMYFUNCTION("CONCATENATE(B947,(VLOOKUP(C947,CATALOGOS!$F$2:$H$6,3,FALSE)),(VLOOKUP(V947,CATALOGOS!$J$2:$K$18,2,FALSE)),""-"",TO_TEXT(A947))"),"P21DG-0946")</f>
        <v>P21DG-0946</v>
      </c>
      <c r="H947" s="15" t="str">
        <f ca="1">IFERROR(__xludf.DUMMYFUNCTION("CONCATENATE($B947,(VLOOKUP($C947,CATALOGOS!$F$2:$H$6,3,FALSE)),(VLOOKUP($V947,CATALOGOS!$J$2:$K$18,2,FALSE)),""-"",TO_TEXT($A947))"),"P21DG-0946")</f>
        <v>P21DG-0946</v>
      </c>
      <c r="I947" s="6"/>
      <c r="J947" s="6" t="s">
        <v>6494</v>
      </c>
      <c r="K947" s="6" t="s">
        <v>6495</v>
      </c>
      <c r="L947" s="6" t="s">
        <v>6496</v>
      </c>
      <c r="M947" s="6" t="s">
        <v>6497</v>
      </c>
      <c r="N947" s="17"/>
      <c r="O947" s="17"/>
      <c r="P947" s="17" t="str">
        <f t="shared" si="8"/>
        <v>OK</v>
      </c>
      <c r="Q947" s="17" t="s">
        <v>205</v>
      </c>
      <c r="R947" s="6" t="s">
        <v>6498</v>
      </c>
      <c r="S947" s="17" t="s">
        <v>6499</v>
      </c>
      <c r="T947" s="17" t="s">
        <v>6500</v>
      </c>
      <c r="U947" s="18" t="s">
        <v>38</v>
      </c>
      <c r="V947" s="19" t="s">
        <v>6054</v>
      </c>
      <c r="W947" s="22" t="s">
        <v>6277</v>
      </c>
      <c r="X947" s="21" t="s">
        <v>6277</v>
      </c>
      <c r="Y947" s="22"/>
      <c r="Z947" s="7"/>
      <c r="AA947" s="7"/>
      <c r="AB947" s="23"/>
      <c r="AC947" s="26"/>
    </row>
    <row r="948" spans="1:29" ht="15.75" customHeight="1">
      <c r="A948" s="10" t="s">
        <v>6501</v>
      </c>
      <c r="B948" s="10" t="s">
        <v>1469</v>
      </c>
      <c r="C948" s="61" t="s">
        <v>1470</v>
      </c>
      <c r="D948" s="12"/>
      <c r="E948" s="13" t="s">
        <v>248</v>
      </c>
      <c r="F948" s="6" t="s">
        <v>248</v>
      </c>
      <c r="G948" s="6" t="str">
        <f ca="1">IFERROR(__xludf.DUMMYFUNCTION("CONCATENATE(B948,(VLOOKUP(C948,CATALOGOS!$F$2:$H$6,3,FALSE)),(VLOOKUP(V948,CATALOGOS!$J$2:$K$18,2,FALSE)),""-"",TO_TEXT(A948))"),"P12SI-0947")</f>
        <v>P12SI-0947</v>
      </c>
      <c r="H948" s="15" t="str">
        <f ca="1">IFERROR(__xludf.DUMMYFUNCTION("CONCATENATE($B948,(VLOOKUP($C948,CATALOGOS!$F$2:$H$6,3,FALSE)),(VLOOKUP($V948,CATALOGOS!$J$2:$K$18,2,FALSE)),""-"",TO_TEXT($A948))"),"P12SI-0947")</f>
        <v>P12SI-0947</v>
      </c>
      <c r="I948" s="6"/>
      <c r="J948" s="6" t="s">
        <v>6502</v>
      </c>
      <c r="K948" s="6" t="s">
        <v>6503</v>
      </c>
      <c r="L948" s="6" t="s">
        <v>6504</v>
      </c>
      <c r="M948" s="6" t="s">
        <v>6505</v>
      </c>
      <c r="N948" s="17"/>
      <c r="O948" s="17"/>
      <c r="P948" s="17" t="str">
        <f t="shared" si="8"/>
        <v>OK</v>
      </c>
      <c r="Q948" s="17" t="s">
        <v>6506</v>
      </c>
      <c r="R948" s="6" t="s">
        <v>6507</v>
      </c>
      <c r="S948" s="6" t="s">
        <v>6508</v>
      </c>
      <c r="T948" s="10" t="s">
        <v>6509</v>
      </c>
      <c r="U948" s="18" t="s">
        <v>38</v>
      </c>
      <c r="V948" s="61" t="s">
        <v>1483</v>
      </c>
      <c r="W948" s="20" t="s">
        <v>1484</v>
      </c>
      <c r="X948" s="39" t="s">
        <v>1484</v>
      </c>
      <c r="Y948" s="20"/>
      <c r="Z948" s="7"/>
      <c r="AA948" s="7"/>
      <c r="AB948" s="23"/>
      <c r="AC948" s="26"/>
    </row>
    <row r="949" spans="1:29" ht="15.75" customHeight="1">
      <c r="A949" s="10" t="s">
        <v>6510</v>
      </c>
      <c r="B949" s="10" t="s">
        <v>4410</v>
      </c>
      <c r="C949" s="61" t="s">
        <v>6054</v>
      </c>
      <c r="D949" s="12"/>
      <c r="E949" s="13" t="s">
        <v>162</v>
      </c>
      <c r="F949" s="6" t="s">
        <v>285</v>
      </c>
      <c r="G949" s="6" t="str">
        <f ca="1">IFERROR(__xludf.DUMMYFUNCTION("CONCATENATE(B949,(VLOOKUP(C949,CATALOGOS!$F$2:$H$6,3,FALSE)),(VLOOKUP(V949,CATALOGOS!$J$2:$K$18,2,FALSE)),""-"",TO_TEXT(A949))"),"P21DG-0948")</f>
        <v>P21DG-0948</v>
      </c>
      <c r="H949" s="15" t="str">
        <f ca="1">IFERROR(__xludf.DUMMYFUNCTION("CONCATENATE($B949,(VLOOKUP($C949,CATALOGOS!$F$2:$H$6,3,FALSE)),(VLOOKUP($V949,CATALOGOS!$J$2:$K$18,2,FALSE)),""-"",TO_TEXT($A949))"),"P21DG-0948")</f>
        <v>P21DG-0948</v>
      </c>
      <c r="I949" s="6"/>
      <c r="J949" s="6" t="s">
        <v>6511</v>
      </c>
      <c r="K949" s="6" t="s">
        <v>6512</v>
      </c>
      <c r="L949" s="6" t="s">
        <v>6513</v>
      </c>
      <c r="M949" s="6" t="s">
        <v>6514</v>
      </c>
      <c r="N949" s="17"/>
      <c r="O949" s="17"/>
      <c r="P949" s="17" t="str">
        <f t="shared" si="8"/>
        <v>OK</v>
      </c>
      <c r="Q949" s="17" t="s">
        <v>168</v>
      </c>
      <c r="R949" s="6" t="s">
        <v>169</v>
      </c>
      <c r="S949" s="17" t="s">
        <v>6515</v>
      </c>
      <c r="T949" s="10" t="s">
        <v>6516</v>
      </c>
      <c r="U949" s="18" t="s">
        <v>38</v>
      </c>
      <c r="V949" s="19" t="s">
        <v>6054</v>
      </c>
      <c r="W949" s="22" t="s">
        <v>6277</v>
      </c>
      <c r="X949" s="21" t="s">
        <v>6277</v>
      </c>
      <c r="Y949" s="22"/>
      <c r="Z949" s="7"/>
      <c r="AA949" s="7"/>
      <c r="AB949" s="23"/>
      <c r="AC949" s="26"/>
    </row>
    <row r="950" spans="1:29" ht="15.75" customHeight="1">
      <c r="A950" s="10" t="s">
        <v>6517</v>
      </c>
      <c r="B950" s="10" t="s">
        <v>4410</v>
      </c>
      <c r="C950" s="61" t="s">
        <v>6054</v>
      </c>
      <c r="D950" s="12"/>
      <c r="E950" s="13" t="s">
        <v>378</v>
      </c>
      <c r="F950" s="6" t="s">
        <v>379</v>
      </c>
      <c r="G950" s="6" t="str">
        <f ca="1">IFERROR(__xludf.DUMMYFUNCTION("CONCATENATE(B950,(VLOOKUP(C950,CATALOGOS!$F$2:$H$6,3,FALSE)),(VLOOKUP(V950,CATALOGOS!$J$2:$K$18,2,FALSE)),""-"",TO_TEXT(A950))"),"P21DG-0949")</f>
        <v>P21DG-0949</v>
      </c>
      <c r="H950" s="15" t="str">
        <f ca="1">IFERROR(__xludf.DUMMYFUNCTION("CONCATENATE($B950,(VLOOKUP($C950,CATALOGOS!$F$2:$H$6,3,FALSE)),(VLOOKUP($V950,CATALOGOS!$J$2:$K$18,2,FALSE)),""-"",TO_TEXT($A950))"),"P21DG-0949")</f>
        <v>P21DG-0949</v>
      </c>
      <c r="I950" s="6"/>
      <c r="J950" s="6" t="s">
        <v>6518</v>
      </c>
      <c r="K950" s="6" t="s">
        <v>6519</v>
      </c>
      <c r="L950" s="49" t="s">
        <v>6520</v>
      </c>
      <c r="M950" s="6" t="s">
        <v>6521</v>
      </c>
      <c r="N950" s="17"/>
      <c r="O950" s="17"/>
      <c r="P950" s="17" t="str">
        <f t="shared" si="8"/>
        <v>OK</v>
      </c>
      <c r="Q950" s="17" t="s">
        <v>35</v>
      </c>
      <c r="R950" s="6" t="s">
        <v>35</v>
      </c>
      <c r="S950" s="6" t="s">
        <v>36</v>
      </c>
      <c r="T950" s="17" t="s">
        <v>6522</v>
      </c>
      <c r="U950" s="18" t="s">
        <v>3282</v>
      </c>
      <c r="V950" s="19" t="s">
        <v>6054</v>
      </c>
      <c r="W950" s="22" t="s">
        <v>6277</v>
      </c>
      <c r="X950" s="21" t="s">
        <v>6277</v>
      </c>
      <c r="Y950" s="22"/>
      <c r="Z950" s="36"/>
      <c r="AA950" s="36"/>
      <c r="AB950" s="23"/>
      <c r="AC950" s="33"/>
    </row>
    <row r="951" spans="1:29" ht="15.75" customHeight="1">
      <c r="A951" s="10" t="s">
        <v>6523</v>
      </c>
      <c r="B951" s="10" t="s">
        <v>4410</v>
      </c>
      <c r="C951" s="61" t="s">
        <v>6054</v>
      </c>
      <c r="D951" s="12"/>
      <c r="E951" s="13" t="s">
        <v>199</v>
      </c>
      <c r="F951" s="43" t="s">
        <v>1394</v>
      </c>
      <c r="G951" s="6" t="str">
        <f ca="1">IFERROR(__xludf.DUMMYFUNCTION("CONCATENATE(B951,(VLOOKUP(C951,CATALOGOS!$F$2:$H$6,3,FALSE)),(VLOOKUP(V951,CATALOGOS!$J$2:$K$18,2,FALSE)),""-"",TO_TEXT(A951))"),"P21DG-0950")</f>
        <v>P21DG-0950</v>
      </c>
      <c r="H951" s="15" t="str">
        <f ca="1">IFERROR(__xludf.DUMMYFUNCTION("CONCATENATE($B951,(VLOOKUP($C951,CATALOGOS!$F$2:$H$6,3,FALSE)),(VLOOKUP($V951,CATALOGOS!$J$2:$K$18,2,FALSE)),""-"",TO_TEXT($A951))"),"P21DG-0950")</f>
        <v>P21DG-0950</v>
      </c>
      <c r="I951" s="6"/>
      <c r="J951" s="6" t="s">
        <v>6524</v>
      </c>
      <c r="K951" s="6" t="s">
        <v>6525</v>
      </c>
      <c r="L951" s="6" t="s">
        <v>6526</v>
      </c>
      <c r="M951" s="6" t="s">
        <v>6527</v>
      </c>
      <c r="N951" s="17"/>
      <c r="O951" s="17"/>
      <c r="P951" s="17" t="str">
        <f t="shared" si="8"/>
        <v>OK</v>
      </c>
      <c r="Q951" s="17" t="s">
        <v>157</v>
      </c>
      <c r="R951" s="6" t="s">
        <v>6528</v>
      </c>
      <c r="S951" s="17" t="s">
        <v>6529</v>
      </c>
      <c r="T951" s="10" t="s">
        <v>6530</v>
      </c>
      <c r="U951" s="18" t="s">
        <v>38</v>
      </c>
      <c r="V951" s="19" t="s">
        <v>6054</v>
      </c>
      <c r="W951" s="22" t="s">
        <v>6277</v>
      </c>
      <c r="X951" s="21" t="s">
        <v>6277</v>
      </c>
      <c r="Y951" s="22"/>
      <c r="Z951" s="7"/>
      <c r="AA951" s="7"/>
      <c r="AB951" s="23"/>
      <c r="AC951" s="26"/>
    </row>
    <row r="952" spans="1:29" ht="15.75" customHeight="1">
      <c r="A952" s="10" t="s">
        <v>6531</v>
      </c>
      <c r="B952" s="10" t="s">
        <v>4410</v>
      </c>
      <c r="C952" s="61" t="s">
        <v>6054</v>
      </c>
      <c r="D952" s="38"/>
      <c r="E952" s="13" t="s">
        <v>151</v>
      </c>
      <c r="F952" s="6" t="s">
        <v>963</v>
      </c>
      <c r="G952" s="6" t="str">
        <f ca="1">IFERROR(__xludf.DUMMYFUNCTION("CONCATENATE(B952,(VLOOKUP(C952,CATALOGOS!$F$2:$H$6,3,FALSE)),(VLOOKUP(V952,CATALOGOS!$J$2:$K$18,2,FALSE)),""-"",TO_TEXT(A952))"),"P21DG-0951")</f>
        <v>P21DG-0951</v>
      </c>
      <c r="H952" s="15" t="str">
        <f ca="1">IFERROR(__xludf.DUMMYFUNCTION("CONCATENATE($B952,(VLOOKUP($C952,CATALOGOS!$F$2:$H$6,3,FALSE)),(VLOOKUP($V952,CATALOGOS!$J$2:$K$18,2,FALSE)),""-"",TO_TEXT($A952))"),"P21DG-0951")</f>
        <v>P21DG-0951</v>
      </c>
      <c r="I952" s="6"/>
      <c r="J952" s="6" t="s">
        <v>6532</v>
      </c>
      <c r="K952" s="6" t="s">
        <v>6533</v>
      </c>
      <c r="L952" s="6" t="s">
        <v>6534</v>
      </c>
      <c r="M952" s="6" t="s">
        <v>6535</v>
      </c>
      <c r="N952" s="17"/>
      <c r="O952" s="17"/>
      <c r="P952" s="17" t="str">
        <f t="shared" si="8"/>
        <v>OK</v>
      </c>
      <c r="Q952" s="17" t="s">
        <v>703</v>
      </c>
      <c r="R952" s="6" t="s">
        <v>6536</v>
      </c>
      <c r="S952" s="46" t="s">
        <v>6537</v>
      </c>
      <c r="T952" s="17" t="s">
        <v>6538</v>
      </c>
      <c r="U952" s="18" t="s">
        <v>38</v>
      </c>
      <c r="V952" s="19" t="s">
        <v>6054</v>
      </c>
      <c r="W952" s="22" t="s">
        <v>6277</v>
      </c>
      <c r="X952" s="21" t="s">
        <v>6277</v>
      </c>
      <c r="Y952" s="22"/>
      <c r="Z952" s="7"/>
      <c r="AA952" s="7"/>
      <c r="AB952" s="26"/>
      <c r="AC952" s="26"/>
    </row>
    <row r="953" spans="1:29" ht="15.75" customHeight="1">
      <c r="A953" s="10" t="s">
        <v>6539</v>
      </c>
      <c r="B953" s="10" t="s">
        <v>4410</v>
      </c>
      <c r="C953" s="61" t="s">
        <v>6054</v>
      </c>
      <c r="D953" s="12"/>
      <c r="E953" s="13" t="s">
        <v>116</v>
      </c>
      <c r="F953" s="6" t="s">
        <v>6540</v>
      </c>
      <c r="G953" s="6" t="str">
        <f ca="1">IFERROR(__xludf.DUMMYFUNCTION("CONCATENATE(B953,(VLOOKUP(C953,CATALOGOS!$F$2:$H$6,3,FALSE)),(VLOOKUP(V953,CATALOGOS!$J$2:$K$18,2,FALSE)),""-"",TO_TEXT(A953))"),"P21DG-0952")</f>
        <v>P21DG-0952</v>
      </c>
      <c r="H953" s="15" t="str">
        <f ca="1">IFERROR(__xludf.DUMMYFUNCTION("CONCATENATE($B953,(VLOOKUP($C953,CATALOGOS!$F$2:$H$6,3,FALSE)),(VLOOKUP($V953,CATALOGOS!$J$2:$K$18,2,FALSE)),""-"",TO_TEXT($A953))"),"P21DG-0952")</f>
        <v>P21DG-0952</v>
      </c>
      <c r="I953" s="6"/>
      <c r="J953" s="6" t="s">
        <v>6541</v>
      </c>
      <c r="K953" s="6" t="s">
        <v>6542</v>
      </c>
      <c r="L953" s="6" t="s">
        <v>6543</v>
      </c>
      <c r="M953" s="6" t="s">
        <v>6544</v>
      </c>
      <c r="N953" s="17"/>
      <c r="O953" s="17"/>
      <c r="P953" s="17" t="str">
        <f t="shared" si="8"/>
        <v>OK</v>
      </c>
      <c r="Q953" s="17" t="s">
        <v>35</v>
      </c>
      <c r="R953" s="6" t="s">
        <v>35</v>
      </c>
      <c r="S953" s="17" t="s">
        <v>36</v>
      </c>
      <c r="T953" s="17" t="s">
        <v>85</v>
      </c>
      <c r="U953" s="18" t="s">
        <v>38</v>
      </c>
      <c r="V953" s="19" t="s">
        <v>6054</v>
      </c>
      <c r="W953" s="20" t="s">
        <v>6545</v>
      </c>
      <c r="X953" s="39" t="s">
        <v>6546</v>
      </c>
      <c r="Y953" s="20"/>
      <c r="Z953" s="7"/>
      <c r="AA953" s="7"/>
      <c r="AB953" s="23"/>
      <c r="AC953" s="26"/>
    </row>
    <row r="954" spans="1:29" ht="15.75" customHeight="1">
      <c r="A954" s="10" t="s">
        <v>6547</v>
      </c>
      <c r="B954" s="10" t="s">
        <v>27</v>
      </c>
      <c r="C954" s="61" t="s">
        <v>28</v>
      </c>
      <c r="D954" s="12"/>
      <c r="E954" s="13" t="s">
        <v>43</v>
      </c>
      <c r="F954" s="43" t="s">
        <v>2581</v>
      </c>
      <c r="G954" s="6" t="str">
        <f ca="1">IFERROR(__xludf.DUMMYFUNCTION("CONCATENATE(B954,(VLOOKUP(C954,CATALOGOS!$F$2:$H$6,3,FALSE)),(VLOOKUP(V954,CATALOGOS!$J$2:$K$18,2,FALSE)),""-"",TO_TEXT(A954))"),"P05RM-0953")</f>
        <v>P05RM-0953</v>
      </c>
      <c r="H954" s="15" t="str">
        <f ca="1">IFERROR(__xludf.DUMMYFUNCTION("CONCATENATE($B954,(VLOOKUP($C954,CATALOGOS!$F$2:$H$6,3,FALSE)),(VLOOKUP($V954,CATALOGOS!$J$2:$K$18,2,FALSE)),""-"",TO_TEXT($A954))"),"P05RM-0953")</f>
        <v>P05RM-0953</v>
      </c>
      <c r="I954" s="6"/>
      <c r="J954" s="6" t="s">
        <v>6548</v>
      </c>
      <c r="K954" s="6" t="s">
        <v>6549</v>
      </c>
      <c r="L954" s="6" t="s">
        <v>6550</v>
      </c>
      <c r="M954" s="6" t="s">
        <v>6551</v>
      </c>
      <c r="N954" s="17"/>
      <c r="O954" s="17"/>
      <c r="P954" s="17" t="str">
        <f t="shared" si="8"/>
        <v>OK</v>
      </c>
      <c r="Q954" s="17" t="s">
        <v>49</v>
      </c>
      <c r="R954" s="6" t="s">
        <v>35</v>
      </c>
      <c r="S954" s="17" t="s">
        <v>36</v>
      </c>
      <c r="T954" s="17" t="s">
        <v>6552</v>
      </c>
      <c r="U954" s="83" t="s">
        <v>2309</v>
      </c>
      <c r="V954" s="19" t="s">
        <v>147</v>
      </c>
      <c r="W954" s="20" t="s">
        <v>5246</v>
      </c>
      <c r="X954" s="39" t="s">
        <v>6546</v>
      </c>
      <c r="Y954" s="20"/>
      <c r="Z954" s="7"/>
      <c r="AA954" s="7"/>
      <c r="AB954" s="23"/>
      <c r="AC954" s="26"/>
    </row>
    <row r="955" spans="1:29" ht="15.75" customHeight="1">
      <c r="A955" s="10" t="s">
        <v>6553</v>
      </c>
      <c r="B955" s="10" t="s">
        <v>4410</v>
      </c>
      <c r="C955" s="61" t="s">
        <v>6054</v>
      </c>
      <c r="D955" s="12"/>
      <c r="E955" s="13" t="s">
        <v>378</v>
      </c>
      <c r="F955" s="6" t="s">
        <v>6554</v>
      </c>
      <c r="G955" s="6" t="str">
        <f ca="1">IFERROR(__xludf.DUMMYFUNCTION("CONCATENATE(B955,(VLOOKUP(C955,CATALOGOS!$F$2:$H$6,3,FALSE)),(VLOOKUP(V955,CATALOGOS!$J$2:$K$18,2,FALSE)),""-"",TO_TEXT(A955))"),"P21DG-0954")</f>
        <v>P21DG-0954</v>
      </c>
      <c r="H955" s="15" t="str">
        <f ca="1">IFERROR(__xludf.DUMMYFUNCTION("CONCATENATE($B955,(VLOOKUP($C955,CATALOGOS!$F$2:$H$6,3,FALSE)),(VLOOKUP($V955,CATALOGOS!$J$2:$K$18,2,FALSE)),""-"",TO_TEXT($A955))"),"P21DG-0954")</f>
        <v>P21DG-0954</v>
      </c>
      <c r="I955" s="6"/>
      <c r="J955" s="6" t="s">
        <v>6555</v>
      </c>
      <c r="K955" s="6" t="s">
        <v>6556</v>
      </c>
      <c r="L955" s="6" t="s">
        <v>6557</v>
      </c>
      <c r="M955" s="6" t="s">
        <v>6558</v>
      </c>
      <c r="N955" s="17"/>
      <c r="O955" s="17"/>
      <c r="P955" s="17" t="str">
        <f t="shared" si="8"/>
        <v>OK</v>
      </c>
      <c r="Q955" s="17" t="s">
        <v>35</v>
      </c>
      <c r="R955" s="6" t="s">
        <v>35</v>
      </c>
      <c r="S955" s="17" t="s">
        <v>36</v>
      </c>
      <c r="T955" s="17" t="s">
        <v>6559</v>
      </c>
      <c r="U955" s="18" t="s">
        <v>38</v>
      </c>
      <c r="V955" s="19" t="s">
        <v>6054</v>
      </c>
      <c r="W955" s="20" t="s">
        <v>6545</v>
      </c>
      <c r="X955" s="39" t="s">
        <v>6546</v>
      </c>
      <c r="Y955" s="20"/>
      <c r="Z955" s="7"/>
      <c r="AA955" s="7"/>
      <c r="AB955" s="23"/>
      <c r="AC955" s="26"/>
    </row>
    <row r="956" spans="1:29" ht="15.75" customHeight="1">
      <c r="A956" s="10" t="s">
        <v>6560</v>
      </c>
      <c r="B956" s="10" t="s">
        <v>4410</v>
      </c>
      <c r="C956" s="61" t="s">
        <v>6054</v>
      </c>
      <c r="D956" s="12"/>
      <c r="E956" s="13" t="s">
        <v>353</v>
      </c>
      <c r="F956" s="43" t="s">
        <v>638</v>
      </c>
      <c r="G956" s="6" t="str">
        <f ca="1">IFERROR(__xludf.DUMMYFUNCTION("CONCATENATE(B956,(VLOOKUP(C956,CATALOGOS!$F$2:$H$6,3,FALSE)),(VLOOKUP(V956,CATALOGOS!$J$2:$K$18,2,FALSE)),""-"",TO_TEXT(A956))"),"P21DG-0955")</f>
        <v>P21DG-0955</v>
      </c>
      <c r="H956" s="15" t="str">
        <f ca="1">IFERROR(__xludf.DUMMYFUNCTION("CONCATENATE($B956,(VLOOKUP($C956,CATALOGOS!$F$2:$H$6,3,FALSE)),(VLOOKUP($V956,CATALOGOS!$J$2:$K$18,2,FALSE)),""-"",TO_TEXT($A956))"),"P21DG-0955")</f>
        <v>P21DG-0955</v>
      </c>
      <c r="I956" s="6"/>
      <c r="J956" s="6" t="s">
        <v>6561</v>
      </c>
      <c r="K956" s="6" t="s">
        <v>6562</v>
      </c>
      <c r="L956" s="6" t="s">
        <v>6563</v>
      </c>
      <c r="M956" s="6" t="s">
        <v>6564</v>
      </c>
      <c r="N956" s="17"/>
      <c r="O956" s="17"/>
      <c r="P956" s="17" t="str">
        <f t="shared" si="8"/>
        <v>OK</v>
      </c>
      <c r="Q956" s="17" t="s">
        <v>6565</v>
      </c>
      <c r="R956" s="6" t="s">
        <v>6566</v>
      </c>
      <c r="S956" s="6" t="s">
        <v>6567</v>
      </c>
      <c r="T956" s="10" t="s">
        <v>6568</v>
      </c>
      <c r="U956" s="18" t="s">
        <v>38</v>
      </c>
      <c r="V956" s="19" t="s">
        <v>6054</v>
      </c>
      <c r="W956" s="20" t="s">
        <v>6545</v>
      </c>
      <c r="X956" s="39" t="s">
        <v>6546</v>
      </c>
      <c r="Y956" s="20"/>
      <c r="Z956" s="6"/>
      <c r="AA956" s="6"/>
      <c r="AB956" s="23"/>
      <c r="AC956" s="33"/>
    </row>
    <row r="957" spans="1:29" ht="15.75" customHeight="1">
      <c r="A957" s="10" t="s">
        <v>6569</v>
      </c>
      <c r="B957" s="10" t="s">
        <v>4410</v>
      </c>
      <c r="C957" s="61" t="s">
        <v>6054</v>
      </c>
      <c r="D957" s="12"/>
      <c r="E957" s="13" t="s">
        <v>151</v>
      </c>
      <c r="F957" s="6" t="s">
        <v>6570</v>
      </c>
      <c r="G957" s="6" t="str">
        <f ca="1">IFERROR(__xludf.DUMMYFUNCTION("CONCATENATE(B957,(VLOOKUP(C957,CATALOGOS!$F$2:$H$6,3,FALSE)),(VLOOKUP(V957,CATALOGOS!$J$2:$K$18,2,FALSE)),""-"",TO_TEXT(A957))"),"P21DG-0956")</f>
        <v>P21DG-0956</v>
      </c>
      <c r="H957" s="15" t="str">
        <f ca="1">IFERROR(__xludf.DUMMYFUNCTION("CONCATENATE($B957,(VLOOKUP($C957,CATALOGOS!$F$2:$H$6,3,FALSE)),(VLOOKUP($V957,CATALOGOS!$J$2:$K$18,2,FALSE)),""-"",TO_TEXT($A957))"),"P21DG-0956")</f>
        <v>P21DG-0956</v>
      </c>
      <c r="I957" s="6"/>
      <c r="J957" s="6" t="s">
        <v>6571</v>
      </c>
      <c r="K957" s="6" t="s">
        <v>6572</v>
      </c>
      <c r="L957" s="6" t="s">
        <v>6573</v>
      </c>
      <c r="M957" s="6" t="s">
        <v>6574</v>
      </c>
      <c r="N957" s="17"/>
      <c r="O957" s="17"/>
      <c r="P957" s="17" t="str">
        <f t="shared" si="8"/>
        <v>OK</v>
      </c>
      <c r="Q957" s="17" t="s">
        <v>6575</v>
      </c>
      <c r="R957" s="6" t="s">
        <v>6576</v>
      </c>
      <c r="S957" s="17" t="s">
        <v>6577</v>
      </c>
      <c r="T957" s="10" t="s">
        <v>6578</v>
      </c>
      <c r="U957" s="18" t="s">
        <v>38</v>
      </c>
      <c r="V957" s="19" t="s">
        <v>6054</v>
      </c>
      <c r="W957" s="20" t="s">
        <v>6545</v>
      </c>
      <c r="X957" s="39" t="s">
        <v>6546</v>
      </c>
      <c r="Y957" s="20"/>
      <c r="Z957" s="7"/>
      <c r="AA957" s="7"/>
      <c r="AB957" s="23"/>
      <c r="AC957" s="26"/>
    </row>
    <row r="958" spans="1:29" ht="15.75" customHeight="1">
      <c r="A958" s="10" t="s">
        <v>6579</v>
      </c>
      <c r="B958" s="10" t="s">
        <v>4410</v>
      </c>
      <c r="C958" s="61" t="s">
        <v>6054</v>
      </c>
      <c r="D958" s="38"/>
      <c r="E958" s="13" t="s">
        <v>199</v>
      </c>
      <c r="F958" s="6" t="s">
        <v>199</v>
      </c>
      <c r="G958" s="6" t="str">
        <f ca="1">IFERROR(__xludf.DUMMYFUNCTION("CONCATENATE(B958,(VLOOKUP(C958,CATALOGOS!$F$2:$H$6,3,FALSE)),(VLOOKUP(V958,CATALOGOS!$J$2:$K$18,2,FALSE)),""-"",TO_TEXT(A958))"),"P21DG-0957")</f>
        <v>P21DG-0957</v>
      </c>
      <c r="H958" s="15" t="str">
        <f ca="1">IFERROR(__xludf.DUMMYFUNCTION("CONCATENATE($B958,(VLOOKUP($C958,CATALOGOS!$F$2:$H$6,3,FALSE)),(VLOOKUP($V958,CATALOGOS!$J$2:$K$18,2,FALSE)),""-"",TO_TEXT($A958))"),"P21DG-0957")</f>
        <v>P21DG-0957</v>
      </c>
      <c r="I958" s="6"/>
      <c r="J958" s="6" t="s">
        <v>6580</v>
      </c>
      <c r="K958" s="6" t="s">
        <v>6581</v>
      </c>
      <c r="L958" s="6" t="s">
        <v>6582</v>
      </c>
      <c r="M958" s="6" t="s">
        <v>6583</v>
      </c>
      <c r="N958" s="17"/>
      <c r="O958" s="17"/>
      <c r="P958" s="17" t="str">
        <f t="shared" si="8"/>
        <v>OK</v>
      </c>
      <c r="Q958" s="17" t="s">
        <v>205</v>
      </c>
      <c r="R958" s="6" t="s">
        <v>794</v>
      </c>
      <c r="S958" s="46" t="s">
        <v>6584</v>
      </c>
      <c r="T958" s="17" t="s">
        <v>6585</v>
      </c>
      <c r="U958" s="18" t="s">
        <v>38</v>
      </c>
      <c r="V958" s="19" t="s">
        <v>6054</v>
      </c>
      <c r="W958" s="20" t="s">
        <v>6545</v>
      </c>
      <c r="X958" s="39" t="s">
        <v>6546</v>
      </c>
      <c r="Y958" s="20"/>
      <c r="Z958" s="7"/>
      <c r="AA958" s="7"/>
      <c r="AB958" s="26"/>
      <c r="AC958" s="26"/>
    </row>
    <row r="959" spans="1:29" ht="15.75" customHeight="1">
      <c r="A959" s="10" t="s">
        <v>6586</v>
      </c>
      <c r="B959" s="10" t="s">
        <v>4410</v>
      </c>
      <c r="C959" s="61" t="s">
        <v>6054</v>
      </c>
      <c r="D959" s="12"/>
      <c r="E959" s="13" t="s">
        <v>5904</v>
      </c>
      <c r="F959" s="6" t="s">
        <v>6587</v>
      </c>
      <c r="G959" s="6" t="str">
        <f ca="1">IFERROR(__xludf.DUMMYFUNCTION("CONCATENATE(B959,(VLOOKUP(C959,CATALOGOS!$F$2:$H$6,3,FALSE)),(VLOOKUP(V959,CATALOGOS!$J$2:$K$18,2,FALSE)),""-"",TO_TEXT(A959))"),"P21DG-0958")</f>
        <v>P21DG-0958</v>
      </c>
      <c r="H959" s="15" t="str">
        <f ca="1">IFERROR(__xludf.DUMMYFUNCTION("CONCATENATE($B959,(VLOOKUP($C959,CATALOGOS!$F$2:$H$6,3,FALSE)),(VLOOKUP($V959,CATALOGOS!$J$2:$K$18,2,FALSE)),""-"",TO_TEXT($A959))"),"P21DG-0958")</f>
        <v>P21DG-0958</v>
      </c>
      <c r="I959" s="6"/>
      <c r="J959" s="6" t="s">
        <v>6588</v>
      </c>
      <c r="K959" s="6" t="s">
        <v>6589</v>
      </c>
      <c r="L959" s="6" t="s">
        <v>6590</v>
      </c>
      <c r="M959" s="6" t="s">
        <v>6591</v>
      </c>
      <c r="N959" s="17"/>
      <c r="O959" s="17"/>
      <c r="P959" s="17" t="str">
        <f t="shared" si="8"/>
        <v>OK</v>
      </c>
      <c r="Q959" s="17" t="s">
        <v>5918</v>
      </c>
      <c r="R959" s="6" t="s">
        <v>6592</v>
      </c>
      <c r="S959" s="17" t="s">
        <v>36</v>
      </c>
      <c r="T959" s="10" t="s">
        <v>6593</v>
      </c>
      <c r="U959" s="18" t="s">
        <v>38</v>
      </c>
      <c r="V959" s="19" t="s">
        <v>6054</v>
      </c>
      <c r="W959" s="22" t="s">
        <v>6594</v>
      </c>
      <c r="X959" s="21" t="s">
        <v>6594</v>
      </c>
      <c r="Y959" s="22"/>
      <c r="Z959" s="7"/>
      <c r="AA959" s="7"/>
      <c r="AB959" s="23"/>
      <c r="AC959" s="26"/>
    </row>
    <row r="960" spans="1:29" ht="15.75" customHeight="1">
      <c r="A960" s="10" t="s">
        <v>6595</v>
      </c>
      <c r="B960" s="10" t="s">
        <v>4410</v>
      </c>
      <c r="C960" s="61" t="s">
        <v>6054</v>
      </c>
      <c r="D960" s="12"/>
      <c r="E960" s="13" t="s">
        <v>501</v>
      </c>
      <c r="F960" s="6" t="s">
        <v>6596</v>
      </c>
      <c r="G960" s="6" t="str">
        <f ca="1">IFERROR(__xludf.DUMMYFUNCTION("CONCATENATE(B960,(VLOOKUP(C960,CATALOGOS!$F$2:$H$6,3,FALSE)),(VLOOKUP(V960,CATALOGOS!$J$2:$K$18,2,FALSE)),""-"",TO_TEXT(A960))"),"P21DG-0959")</f>
        <v>P21DG-0959</v>
      </c>
      <c r="H960" s="15" t="str">
        <f ca="1">IFERROR(__xludf.DUMMYFUNCTION("CONCATENATE($B960,(VLOOKUP($C960,CATALOGOS!$F$2:$H$6,3,FALSE)),(VLOOKUP($V960,CATALOGOS!$J$2:$K$18,2,FALSE)),""-"",TO_TEXT($A960))"),"P21DG-0959")</f>
        <v>P21DG-0959</v>
      </c>
      <c r="I960" s="6"/>
      <c r="J960" s="6" t="s">
        <v>6597</v>
      </c>
      <c r="K960" s="6" t="s">
        <v>6598</v>
      </c>
      <c r="L960" s="6" t="s">
        <v>6599</v>
      </c>
      <c r="M960" s="6" t="s">
        <v>6600</v>
      </c>
      <c r="N960" s="17"/>
      <c r="O960" s="17"/>
      <c r="P960" s="17" t="str">
        <f t="shared" si="8"/>
        <v>OK</v>
      </c>
      <c r="Q960" s="17" t="s">
        <v>35</v>
      </c>
      <c r="R960" s="6" t="s">
        <v>35</v>
      </c>
      <c r="S960" s="17" t="s">
        <v>36</v>
      </c>
      <c r="T960" s="17" t="s">
        <v>6601</v>
      </c>
      <c r="U960" s="18" t="s">
        <v>38</v>
      </c>
      <c r="V960" s="19" t="s">
        <v>6054</v>
      </c>
      <c r="W960" s="22" t="s">
        <v>6594</v>
      </c>
      <c r="X960" s="21" t="s">
        <v>6594</v>
      </c>
      <c r="Y960" s="22"/>
      <c r="Z960" s="7"/>
      <c r="AA960" s="7"/>
      <c r="AB960" s="23"/>
      <c r="AC960" s="26"/>
    </row>
    <row r="961" spans="1:29" ht="15.75" customHeight="1">
      <c r="A961" s="10" t="s">
        <v>6602</v>
      </c>
      <c r="B961" s="10" t="s">
        <v>4410</v>
      </c>
      <c r="C961" s="61" t="s">
        <v>6054</v>
      </c>
      <c r="D961" s="12"/>
      <c r="E961" s="13" t="s">
        <v>378</v>
      </c>
      <c r="F961" s="6" t="s">
        <v>878</v>
      </c>
      <c r="G961" s="6" t="str">
        <f ca="1">IFERROR(__xludf.DUMMYFUNCTION("CONCATENATE(B961,(VLOOKUP(C961,CATALOGOS!$F$2:$H$6,3,FALSE)),(VLOOKUP(V961,CATALOGOS!$J$2:$K$18,2,FALSE)),""-"",TO_TEXT(A961))"),"P21DG-0960")</f>
        <v>P21DG-0960</v>
      </c>
      <c r="H961" s="15" t="str">
        <f ca="1">IFERROR(__xludf.DUMMYFUNCTION("CONCATENATE($B961,(VLOOKUP($C961,CATALOGOS!$F$2:$H$6,3,FALSE)),(VLOOKUP($V961,CATALOGOS!$J$2:$K$18,2,FALSE)),""-"",TO_TEXT($A961))"),"P21DG-0960")</f>
        <v>P21DG-0960</v>
      </c>
      <c r="I961" s="6"/>
      <c r="J961" s="6" t="s">
        <v>6603</v>
      </c>
      <c r="K961" s="6" t="s">
        <v>6604</v>
      </c>
      <c r="L961" s="6" t="s">
        <v>6605</v>
      </c>
      <c r="M961" s="6" t="s">
        <v>141</v>
      </c>
      <c r="N961" s="17"/>
      <c r="O961" s="17"/>
      <c r="P961" s="17" t="str">
        <f t="shared" si="8"/>
        <v>REPETIDO</v>
      </c>
      <c r="Q961" s="17" t="s">
        <v>35</v>
      </c>
      <c r="R961" s="32" t="s">
        <v>35</v>
      </c>
      <c r="S961" s="17" t="s">
        <v>36</v>
      </c>
      <c r="T961" s="17" t="s">
        <v>6606</v>
      </c>
      <c r="U961" s="18" t="s">
        <v>38</v>
      </c>
      <c r="V961" s="19" t="s">
        <v>6054</v>
      </c>
      <c r="W961" s="22" t="s">
        <v>6594</v>
      </c>
      <c r="X961" s="21" t="s">
        <v>6594</v>
      </c>
      <c r="Y961" s="22"/>
      <c r="Z961" s="7"/>
      <c r="AA961" s="7"/>
      <c r="AB961" s="23"/>
      <c r="AC961" s="26"/>
    </row>
    <row r="962" spans="1:29" ht="15.75" customHeight="1">
      <c r="A962" s="10" t="s">
        <v>6607</v>
      </c>
      <c r="B962" s="10" t="s">
        <v>4410</v>
      </c>
      <c r="C962" s="61" t="s">
        <v>6054</v>
      </c>
      <c r="D962" s="12"/>
      <c r="E962" s="13" t="s">
        <v>5778</v>
      </c>
      <c r="F962" s="43" t="s">
        <v>6608</v>
      </c>
      <c r="G962" s="6" t="str">
        <f ca="1">IFERROR(__xludf.DUMMYFUNCTION("CONCATENATE(B962,(VLOOKUP(C962,CATALOGOS!$F$2:$H$6,3,FALSE)),(VLOOKUP(V962,CATALOGOS!$J$2:$K$18,2,FALSE)),""-"",TO_TEXT(A962))"),"P21DG-0961")</f>
        <v>P21DG-0961</v>
      </c>
      <c r="H962" s="15" t="str">
        <f ca="1">IFERROR(__xludf.DUMMYFUNCTION("CONCATENATE($B962,(VLOOKUP($C962,CATALOGOS!$F$2:$H$6,3,FALSE)),(VLOOKUP($V962,CATALOGOS!$J$2:$K$18,2,FALSE)),""-"",TO_TEXT($A962))"),"P21DG-0961")</f>
        <v>P21DG-0961</v>
      </c>
      <c r="I962" s="6"/>
      <c r="J962" s="6" t="s">
        <v>6609</v>
      </c>
      <c r="K962" s="6" t="s">
        <v>6610</v>
      </c>
      <c r="L962" s="6" t="s">
        <v>6611</v>
      </c>
      <c r="M962" s="6" t="s">
        <v>6612</v>
      </c>
      <c r="N962" s="17"/>
      <c r="O962" s="17"/>
      <c r="P962" s="17" t="str">
        <f t="shared" si="8"/>
        <v>OK</v>
      </c>
      <c r="Q962" s="17" t="s">
        <v>4035</v>
      </c>
      <c r="R962" s="6" t="s">
        <v>6613</v>
      </c>
      <c r="S962" s="17" t="s">
        <v>6614</v>
      </c>
      <c r="T962" s="10" t="s">
        <v>6615</v>
      </c>
      <c r="U962" s="18" t="s">
        <v>38</v>
      </c>
      <c r="V962" s="19" t="s">
        <v>6054</v>
      </c>
      <c r="W962" s="22" t="s">
        <v>6594</v>
      </c>
      <c r="X962" s="21" t="s">
        <v>6594</v>
      </c>
      <c r="Y962" s="22"/>
      <c r="Z962" s="7"/>
      <c r="AA962" s="7"/>
      <c r="AB962" s="23"/>
      <c r="AC962" s="26"/>
    </row>
    <row r="963" spans="1:29" ht="15.75" customHeight="1">
      <c r="A963" s="10" t="s">
        <v>6616</v>
      </c>
      <c r="B963" s="10" t="s">
        <v>4410</v>
      </c>
      <c r="C963" s="61" t="s">
        <v>6054</v>
      </c>
      <c r="D963" s="12"/>
      <c r="E963" s="13" t="s">
        <v>93</v>
      </c>
      <c r="F963" s="6" t="s">
        <v>6617</v>
      </c>
      <c r="G963" s="6" t="str">
        <f ca="1">IFERROR(__xludf.DUMMYFUNCTION("CONCATENATE(B963,(VLOOKUP(C963,CATALOGOS!$F$2:$H$6,3,FALSE)),(VLOOKUP(V963,CATALOGOS!$J$2:$K$18,2,FALSE)),""-"",TO_TEXT(A963))"),"P21DG-0962")</f>
        <v>P21DG-0962</v>
      </c>
      <c r="H963" s="15" t="str">
        <f ca="1">IFERROR(__xludf.DUMMYFUNCTION("CONCATENATE($B963,(VLOOKUP($C963,CATALOGOS!$F$2:$H$6,3,FALSE)),(VLOOKUP($V963,CATALOGOS!$J$2:$K$18,2,FALSE)),""-"",TO_TEXT($A963))"),"P21DG-0962")</f>
        <v>P21DG-0962</v>
      </c>
      <c r="I963" s="6"/>
      <c r="J963" s="6" t="s">
        <v>6618</v>
      </c>
      <c r="K963" s="6" t="s">
        <v>6619</v>
      </c>
      <c r="L963" s="6" t="s">
        <v>6620</v>
      </c>
      <c r="M963" s="6" t="s">
        <v>6621</v>
      </c>
      <c r="N963" s="17"/>
      <c r="O963" s="17"/>
      <c r="P963" s="17" t="str">
        <f t="shared" si="8"/>
        <v>OK</v>
      </c>
      <c r="Q963" s="17" t="s">
        <v>35</v>
      </c>
      <c r="R963" s="6" t="s">
        <v>35</v>
      </c>
      <c r="S963" s="17" t="s">
        <v>36</v>
      </c>
      <c r="T963" s="17" t="s">
        <v>6622</v>
      </c>
      <c r="U963" s="18" t="s">
        <v>38</v>
      </c>
      <c r="V963" s="19" t="s">
        <v>6054</v>
      </c>
      <c r="W963" s="22" t="s">
        <v>6594</v>
      </c>
      <c r="X963" s="21" t="s">
        <v>6594</v>
      </c>
      <c r="Y963" s="22"/>
      <c r="Z963" s="7"/>
      <c r="AA963" s="7"/>
      <c r="AB963" s="23"/>
      <c r="AC963" s="26"/>
    </row>
    <row r="964" spans="1:29" ht="15.75" customHeight="1">
      <c r="A964" s="10" t="s">
        <v>6623</v>
      </c>
      <c r="B964" s="10" t="s">
        <v>4410</v>
      </c>
      <c r="C964" s="61" t="s">
        <v>6054</v>
      </c>
      <c r="D964" s="12"/>
      <c r="E964" s="13" t="s">
        <v>93</v>
      </c>
      <c r="F964" s="6" t="s">
        <v>6617</v>
      </c>
      <c r="G964" s="6" t="str">
        <f ca="1">IFERROR(__xludf.DUMMYFUNCTION("CONCATENATE(B964,(VLOOKUP(C964,CATALOGOS!$F$2:$H$6,3,FALSE)),(VLOOKUP(V964,CATALOGOS!$J$2:$K$18,2,FALSE)),""-"",TO_TEXT(A964))"),"P21DG-0963")</f>
        <v>P21DG-0963</v>
      </c>
      <c r="H964" s="15" t="str">
        <f ca="1">IFERROR(__xludf.DUMMYFUNCTION("CONCATENATE($B964,(VLOOKUP($C964,CATALOGOS!$F$2:$H$6,3,FALSE)),(VLOOKUP($V964,CATALOGOS!$J$2:$K$18,2,FALSE)),""-"",TO_TEXT($A964))"),"P21DG-0963")</f>
        <v>P21DG-0963</v>
      </c>
      <c r="I964" s="6"/>
      <c r="J964" s="6" t="s">
        <v>6624</v>
      </c>
      <c r="K964" s="6" t="s">
        <v>6625</v>
      </c>
      <c r="L964" s="6" t="s">
        <v>6626</v>
      </c>
      <c r="M964" s="6" t="s">
        <v>6627</v>
      </c>
      <c r="N964" s="17"/>
      <c r="O964" s="17"/>
      <c r="P964" s="17" t="str">
        <f t="shared" si="8"/>
        <v>OK</v>
      </c>
      <c r="Q964" s="17" t="s">
        <v>35</v>
      </c>
      <c r="R964" s="6" t="s">
        <v>35</v>
      </c>
      <c r="S964" s="17" t="s">
        <v>36</v>
      </c>
      <c r="T964" s="17" t="s">
        <v>6628</v>
      </c>
      <c r="U964" s="18" t="s">
        <v>38</v>
      </c>
      <c r="V964" s="19" t="s">
        <v>6054</v>
      </c>
      <c r="W964" s="22" t="s">
        <v>6594</v>
      </c>
      <c r="X964" s="21" t="s">
        <v>6594</v>
      </c>
      <c r="Y964" s="22"/>
      <c r="Z964" s="7"/>
      <c r="AA964" s="7"/>
      <c r="AB964" s="23"/>
      <c r="AC964" s="26"/>
    </row>
    <row r="965" spans="1:29" ht="15.75" customHeight="1">
      <c r="A965" s="10" t="s">
        <v>6629</v>
      </c>
      <c r="B965" s="10" t="s">
        <v>4410</v>
      </c>
      <c r="C965" s="61" t="s">
        <v>6054</v>
      </c>
      <c r="D965" s="12"/>
      <c r="E965" s="13" t="s">
        <v>93</v>
      </c>
      <c r="F965" s="6" t="s">
        <v>6630</v>
      </c>
      <c r="G965" s="6" t="str">
        <f ca="1">IFERROR(__xludf.DUMMYFUNCTION("CONCATENATE(B965,(VLOOKUP(C965,CATALOGOS!$F$2:$H$6,3,FALSE)),(VLOOKUP(V965,CATALOGOS!$J$2:$K$18,2,FALSE)),""-"",TO_TEXT(A965))"),"P21DG-0964")</f>
        <v>P21DG-0964</v>
      </c>
      <c r="H965" s="15" t="str">
        <f ca="1">IFERROR(__xludf.DUMMYFUNCTION("CONCATENATE($B965,(VLOOKUP($C965,CATALOGOS!$F$2:$H$6,3,FALSE)),(VLOOKUP($V965,CATALOGOS!$J$2:$K$18,2,FALSE)),""-"",TO_TEXT($A965))"),"P21DG-0964")</f>
        <v>P21DG-0964</v>
      </c>
      <c r="I965" s="6"/>
      <c r="J965" s="6" t="s">
        <v>6631</v>
      </c>
      <c r="K965" s="6" t="s">
        <v>6632</v>
      </c>
      <c r="L965" s="6" t="s">
        <v>6633</v>
      </c>
      <c r="M965" s="6" t="s">
        <v>6634</v>
      </c>
      <c r="N965" s="17"/>
      <c r="O965" s="17"/>
      <c r="P965" s="17" t="str">
        <f t="shared" si="8"/>
        <v>OK</v>
      </c>
      <c r="Q965" s="17" t="s">
        <v>35</v>
      </c>
      <c r="R965" s="6" t="s">
        <v>35</v>
      </c>
      <c r="S965" s="17" t="s">
        <v>36</v>
      </c>
      <c r="T965" s="17" t="s">
        <v>85</v>
      </c>
      <c r="U965" s="18" t="s">
        <v>38</v>
      </c>
      <c r="V965" s="19" t="s">
        <v>6054</v>
      </c>
      <c r="W965" s="22" t="s">
        <v>6594</v>
      </c>
      <c r="X965" s="21" t="s">
        <v>6594</v>
      </c>
      <c r="Y965" s="22"/>
      <c r="Z965" s="7"/>
      <c r="AA965" s="7"/>
      <c r="AB965" s="23"/>
      <c r="AC965" s="26"/>
    </row>
    <row r="966" spans="1:29" ht="15.75" customHeight="1">
      <c r="A966" s="10" t="s">
        <v>6635</v>
      </c>
      <c r="B966" s="10" t="s">
        <v>4410</v>
      </c>
      <c r="C966" s="61" t="s">
        <v>6054</v>
      </c>
      <c r="D966" s="38"/>
      <c r="E966" s="13" t="s">
        <v>387</v>
      </c>
      <c r="F966" s="43" t="s">
        <v>387</v>
      </c>
      <c r="G966" s="6" t="str">
        <f ca="1">IFERROR(__xludf.DUMMYFUNCTION("CONCATENATE(B966,(VLOOKUP(C966,CATALOGOS!$F$2:$H$6,3,FALSE)),(VLOOKUP(V966,CATALOGOS!$J$2:$K$18,2,FALSE)),""-"",TO_TEXT(A966))"),"P21DG-0965")</f>
        <v>P21DG-0965</v>
      </c>
      <c r="H966" s="15" t="str">
        <f ca="1">IFERROR(__xludf.DUMMYFUNCTION("CONCATENATE($B966,(VLOOKUP($C966,CATALOGOS!$F$2:$H$6,3,FALSE)),(VLOOKUP($V966,CATALOGOS!$J$2:$K$18,2,FALSE)),""-"",TO_TEXT($A966))"),"P21DG-0965")</f>
        <v>P21DG-0965</v>
      </c>
      <c r="I966" s="6"/>
      <c r="J966" s="6" t="s">
        <v>6636</v>
      </c>
      <c r="K966" s="6" t="s">
        <v>6637</v>
      </c>
      <c r="L966" s="6" t="s">
        <v>6638</v>
      </c>
      <c r="M966" s="43" t="s">
        <v>6639</v>
      </c>
      <c r="N966" s="17"/>
      <c r="O966" s="17"/>
      <c r="P966" s="17" t="str">
        <f t="shared" si="8"/>
        <v>OK</v>
      </c>
      <c r="Q966" s="17" t="s">
        <v>5597</v>
      </c>
      <c r="R966" s="6" t="s">
        <v>5598</v>
      </c>
      <c r="S966" s="46" t="s">
        <v>6640</v>
      </c>
      <c r="T966" s="17" t="s">
        <v>6641</v>
      </c>
      <c r="U966" s="18" t="s">
        <v>3282</v>
      </c>
      <c r="V966" s="19" t="s">
        <v>6054</v>
      </c>
      <c r="W966" s="20" t="s">
        <v>6594</v>
      </c>
      <c r="X966" s="21" t="s">
        <v>6594</v>
      </c>
      <c r="Y966" s="22"/>
      <c r="Z966" s="7"/>
      <c r="AA966" s="7"/>
      <c r="AB966" s="26"/>
      <c r="AC966" s="26"/>
    </row>
    <row r="967" spans="1:29" ht="15.75" customHeight="1">
      <c r="A967" s="10" t="s">
        <v>6642</v>
      </c>
      <c r="B967" s="10" t="s">
        <v>4410</v>
      </c>
      <c r="C967" s="61" t="s">
        <v>6054</v>
      </c>
      <c r="D967" s="12"/>
      <c r="E967" s="13" t="s">
        <v>93</v>
      </c>
      <c r="F967" s="6" t="s">
        <v>6146</v>
      </c>
      <c r="G967" s="6" t="str">
        <f ca="1">IFERROR(__xludf.DUMMYFUNCTION("CONCATENATE(B967,(VLOOKUP(C967,CATALOGOS!$F$2:$H$6,3,FALSE)),(VLOOKUP(V967,CATALOGOS!$J$2:$K$18,2,FALSE)),""-"",TO_TEXT(A967))"),"P21DG-0966")</f>
        <v>P21DG-0966</v>
      </c>
      <c r="H967" s="15" t="str">
        <f ca="1">IFERROR(__xludf.DUMMYFUNCTION("CONCATENATE($B967,(VLOOKUP($C967,CATALOGOS!$F$2:$H$6,3,FALSE)),(VLOOKUP($V967,CATALOGOS!$J$2:$K$18,2,FALSE)),""-"",TO_TEXT($A967))"),"P21DG-0966")</f>
        <v>P21DG-0966</v>
      </c>
      <c r="I967" s="6"/>
      <c r="J967" s="6" t="s">
        <v>6643</v>
      </c>
      <c r="K967" s="6" t="s">
        <v>6644</v>
      </c>
      <c r="L967" s="6" t="s">
        <v>6645</v>
      </c>
      <c r="M967" s="6" t="s">
        <v>6646</v>
      </c>
      <c r="N967" s="17"/>
      <c r="O967" s="17"/>
      <c r="P967" s="17" t="str">
        <f t="shared" si="8"/>
        <v>OK</v>
      </c>
      <c r="Q967" s="17" t="s">
        <v>35</v>
      </c>
      <c r="R967" s="6" t="s">
        <v>35</v>
      </c>
      <c r="S967" s="17" t="s">
        <v>36</v>
      </c>
      <c r="T967" s="17" t="s">
        <v>6647</v>
      </c>
      <c r="U967" s="18" t="s">
        <v>38</v>
      </c>
      <c r="V967" s="19" t="s">
        <v>6054</v>
      </c>
      <c r="W967" s="22" t="s">
        <v>6648</v>
      </c>
      <c r="X967" s="21" t="s">
        <v>6648</v>
      </c>
      <c r="Y967" s="22"/>
      <c r="Z967" s="7"/>
      <c r="AA967" s="7"/>
      <c r="AB967" s="23"/>
      <c r="AC967" s="26"/>
    </row>
    <row r="968" spans="1:29" ht="15.75" customHeight="1">
      <c r="A968" s="10" t="s">
        <v>6649</v>
      </c>
      <c r="B968" s="10" t="s">
        <v>4410</v>
      </c>
      <c r="C968" s="61" t="s">
        <v>6054</v>
      </c>
      <c r="D968" s="12"/>
      <c r="E968" s="13" t="s">
        <v>93</v>
      </c>
      <c r="F968" s="6" t="s">
        <v>6146</v>
      </c>
      <c r="G968" s="6" t="str">
        <f ca="1">IFERROR(__xludf.DUMMYFUNCTION("CONCATENATE(B968,(VLOOKUP(C968,CATALOGOS!$F$2:$H$6,3,FALSE)),(VLOOKUP(V968,CATALOGOS!$J$2:$K$18,2,FALSE)),""-"",TO_TEXT(A968))"),"P21DG-0967")</f>
        <v>P21DG-0967</v>
      </c>
      <c r="H968" s="15" t="str">
        <f ca="1">IFERROR(__xludf.DUMMYFUNCTION("CONCATENATE($B968,(VLOOKUP($C968,CATALOGOS!$F$2:$H$6,3,FALSE)),(VLOOKUP($V968,CATALOGOS!$J$2:$K$18,2,FALSE)),""-"",TO_TEXT($A968))"),"P21DG-0967")</f>
        <v>P21DG-0967</v>
      </c>
      <c r="I968" s="6"/>
      <c r="J968" s="6" t="s">
        <v>6650</v>
      </c>
      <c r="K968" s="6" t="s">
        <v>6651</v>
      </c>
      <c r="L968" s="6" t="s">
        <v>6652</v>
      </c>
      <c r="M968" s="6" t="s">
        <v>6653</v>
      </c>
      <c r="N968" s="17"/>
      <c r="O968" s="17"/>
      <c r="P968" s="17" t="str">
        <f t="shared" si="8"/>
        <v>OK</v>
      </c>
      <c r="Q968" s="17" t="s">
        <v>35</v>
      </c>
      <c r="R968" s="6" t="s">
        <v>35</v>
      </c>
      <c r="S968" s="17" t="s">
        <v>36</v>
      </c>
      <c r="T968" s="17" t="s">
        <v>6654</v>
      </c>
      <c r="U968" s="18" t="s">
        <v>38</v>
      </c>
      <c r="V968" s="19" t="s">
        <v>6054</v>
      </c>
      <c r="W968" s="22" t="s">
        <v>6648</v>
      </c>
      <c r="X968" s="21" t="s">
        <v>6648</v>
      </c>
      <c r="Y968" s="22"/>
      <c r="Z968" s="36"/>
      <c r="AA968" s="36"/>
      <c r="AB968" s="23"/>
      <c r="AC968" s="33"/>
    </row>
    <row r="969" spans="1:29" ht="15.75" customHeight="1">
      <c r="A969" s="10" t="s">
        <v>6655</v>
      </c>
      <c r="B969" s="10" t="s">
        <v>4410</v>
      </c>
      <c r="C969" s="61" t="s">
        <v>6054</v>
      </c>
      <c r="D969" s="12"/>
      <c r="E969" s="13" t="s">
        <v>93</v>
      </c>
      <c r="F969" s="6" t="s">
        <v>6656</v>
      </c>
      <c r="G969" s="6" t="str">
        <f ca="1">IFERROR(__xludf.DUMMYFUNCTION("CONCATENATE(B969,(VLOOKUP(C969,CATALOGOS!$F$2:$H$6,3,FALSE)),(VLOOKUP(V969,CATALOGOS!$J$2:$K$18,2,FALSE)),""-"",TO_TEXT(A969))"),"P21DG-0968")</f>
        <v>P21DG-0968</v>
      </c>
      <c r="H969" s="15" t="str">
        <f ca="1">IFERROR(__xludf.DUMMYFUNCTION("CONCATENATE($B969,(VLOOKUP($C969,CATALOGOS!$F$2:$H$6,3,FALSE)),(VLOOKUP($V969,CATALOGOS!$J$2:$K$18,2,FALSE)),""-"",TO_TEXT($A969))"),"P21DG-0968")</f>
        <v>P21DG-0968</v>
      </c>
      <c r="I969" s="6"/>
      <c r="J969" s="6" t="s">
        <v>6657</v>
      </c>
      <c r="K969" s="6" t="s">
        <v>6658</v>
      </c>
      <c r="L969" s="6" t="s">
        <v>6659</v>
      </c>
      <c r="M969" s="6" t="s">
        <v>6660</v>
      </c>
      <c r="N969" s="17"/>
      <c r="O969" s="17"/>
      <c r="P969" s="17" t="str">
        <f t="shared" si="8"/>
        <v>OK</v>
      </c>
      <c r="Q969" s="17" t="s">
        <v>35</v>
      </c>
      <c r="R969" s="6" t="s">
        <v>35</v>
      </c>
      <c r="S969" s="17" t="s">
        <v>36</v>
      </c>
      <c r="T969" s="17" t="s">
        <v>6661</v>
      </c>
      <c r="U969" s="18" t="s">
        <v>38</v>
      </c>
      <c r="V969" s="19" t="s">
        <v>6054</v>
      </c>
      <c r="W969" s="22" t="s">
        <v>6648</v>
      </c>
      <c r="X969" s="21" t="s">
        <v>6648</v>
      </c>
      <c r="Y969" s="22"/>
      <c r="Z969" s="7"/>
      <c r="AA969" s="7"/>
      <c r="AB969" s="23"/>
      <c r="AC969" s="26"/>
    </row>
    <row r="970" spans="1:29" ht="15.75" customHeight="1">
      <c r="A970" s="10" t="s">
        <v>6662</v>
      </c>
      <c r="B970" s="10" t="s">
        <v>4410</v>
      </c>
      <c r="C970" s="61" t="s">
        <v>6054</v>
      </c>
      <c r="D970" s="12"/>
      <c r="E970" s="13" t="s">
        <v>93</v>
      </c>
      <c r="F970" s="6" t="s">
        <v>6663</v>
      </c>
      <c r="G970" s="6" t="str">
        <f ca="1">IFERROR(__xludf.DUMMYFUNCTION("CONCATENATE(B970,(VLOOKUP(C970,CATALOGOS!$F$2:$H$6,3,FALSE)),(VLOOKUP(V970,CATALOGOS!$J$2:$K$18,2,FALSE)),""-"",TO_TEXT(A970))"),"P21DG-0969")</f>
        <v>P21DG-0969</v>
      </c>
      <c r="H970" s="15" t="str">
        <f ca="1">IFERROR(__xludf.DUMMYFUNCTION("CONCATENATE($B970,(VLOOKUP($C970,CATALOGOS!$F$2:$H$6,3,FALSE)),(VLOOKUP($V970,CATALOGOS!$J$2:$K$18,2,FALSE)),""-"",TO_TEXT($A970))"),"P21DG-0969")</f>
        <v>P21DG-0969</v>
      </c>
      <c r="I970" s="6"/>
      <c r="J970" s="6" t="s">
        <v>6664</v>
      </c>
      <c r="K970" s="6" t="s">
        <v>6665</v>
      </c>
      <c r="L970" s="6" t="s">
        <v>6666</v>
      </c>
      <c r="M970" s="6" t="s">
        <v>6667</v>
      </c>
      <c r="N970" s="17"/>
      <c r="O970" s="17"/>
      <c r="P970" s="17" t="str">
        <f t="shared" si="8"/>
        <v>OK</v>
      </c>
      <c r="Q970" s="17" t="s">
        <v>35</v>
      </c>
      <c r="R970" s="6" t="s">
        <v>35</v>
      </c>
      <c r="S970" s="17" t="s">
        <v>36</v>
      </c>
      <c r="T970" s="17" t="s">
        <v>6668</v>
      </c>
      <c r="U970" s="18" t="s">
        <v>38</v>
      </c>
      <c r="V970" s="19" t="s">
        <v>6054</v>
      </c>
      <c r="W970" s="22" t="s">
        <v>6648</v>
      </c>
      <c r="X970" s="21" t="s">
        <v>6648</v>
      </c>
      <c r="Y970" s="22"/>
      <c r="Z970" s="36"/>
      <c r="AA970" s="36"/>
      <c r="AB970" s="23"/>
      <c r="AC970" s="33"/>
    </row>
    <row r="971" spans="1:29" ht="15.75" customHeight="1">
      <c r="A971" s="10" t="s">
        <v>6669</v>
      </c>
      <c r="B971" s="10" t="s">
        <v>4410</v>
      </c>
      <c r="C971" s="61" t="s">
        <v>6054</v>
      </c>
      <c r="D971" s="12"/>
      <c r="E971" s="13" t="s">
        <v>6092</v>
      </c>
      <c r="F971" s="43" t="s">
        <v>6670</v>
      </c>
      <c r="G971" s="6" t="str">
        <f ca="1">IFERROR(__xludf.DUMMYFUNCTION("CONCATENATE(B971,(VLOOKUP(C971,CATALOGOS!$F$2:$H$6,3,FALSE)),(VLOOKUP(V971,CATALOGOS!$J$2:$K$18,2,FALSE)),""-"",TO_TEXT(A971))"),"P21DG-0970")</f>
        <v>P21DG-0970</v>
      </c>
      <c r="H971" s="15" t="str">
        <f ca="1">IFERROR(__xludf.DUMMYFUNCTION("CONCATENATE($B971,(VLOOKUP($C971,CATALOGOS!$F$2:$H$6,3,FALSE)),(VLOOKUP($V971,CATALOGOS!$J$2:$K$18,2,FALSE)),""-"",TO_TEXT($A971))"),"P21DG-0970")</f>
        <v>P21DG-0970</v>
      </c>
      <c r="I971" s="6"/>
      <c r="J971" s="6" t="s">
        <v>6671</v>
      </c>
      <c r="K971" s="6" t="s">
        <v>6672</v>
      </c>
      <c r="L971" s="6" t="s">
        <v>6673</v>
      </c>
      <c r="M971" s="6" t="s">
        <v>6674</v>
      </c>
      <c r="N971" s="17"/>
      <c r="O971" s="17"/>
      <c r="P971" s="17" t="str">
        <f t="shared" si="8"/>
        <v>OK</v>
      </c>
      <c r="Q971" s="17" t="s">
        <v>35</v>
      </c>
      <c r="R971" s="6" t="s">
        <v>35</v>
      </c>
      <c r="S971" s="17" t="s">
        <v>36</v>
      </c>
      <c r="T971" s="17" t="s">
        <v>6675</v>
      </c>
      <c r="U971" s="18" t="s">
        <v>38</v>
      </c>
      <c r="V971" s="19" t="s">
        <v>6054</v>
      </c>
      <c r="W971" s="22" t="s">
        <v>6648</v>
      </c>
      <c r="X971" s="21" t="s">
        <v>6648</v>
      </c>
      <c r="Y971" s="22"/>
      <c r="Z971" s="7"/>
      <c r="AA971" s="7"/>
      <c r="AB971" s="23"/>
      <c r="AC971" s="26"/>
    </row>
    <row r="972" spans="1:29" ht="15.75" customHeight="1">
      <c r="A972" s="10" t="s">
        <v>6676</v>
      </c>
      <c r="B972" s="10" t="s">
        <v>4410</v>
      </c>
      <c r="C972" s="61" t="s">
        <v>6054</v>
      </c>
      <c r="D972" s="38"/>
      <c r="E972" s="13" t="s">
        <v>43</v>
      </c>
      <c r="F972" s="43" t="s">
        <v>4929</v>
      </c>
      <c r="G972" s="14" t="str">
        <f ca="1">IFERROR(__xludf.DUMMYFUNCTION("CONCATENATE(B972,(VLOOKUP(C972,CATALOGOS!$F$2:$H$6,3,FALSE)),(VLOOKUP(V972,CATALOGOS!$J$2:$K$18,2,FALSE)),""-"",TO_TEXT(A972))"),"P21DG-0971")</f>
        <v>P21DG-0971</v>
      </c>
      <c r="H972" s="15" t="str">
        <f ca="1">IFERROR(__xludf.DUMMYFUNCTION("CONCATENATE($B972,(VLOOKUP($C972,CATALOGOS!$F$2:$H$6,3,FALSE)),(VLOOKUP($V972,CATALOGOS!$J$2:$K$18,2,FALSE)),""-"",TO_TEXT($A972))"),"P21DG-0971")</f>
        <v>P21DG-0971</v>
      </c>
      <c r="I972" s="6"/>
      <c r="J972" s="6" t="s">
        <v>6677</v>
      </c>
      <c r="K972" s="6" t="s">
        <v>6678</v>
      </c>
      <c r="L972" s="6" t="s">
        <v>6679</v>
      </c>
      <c r="M972" s="6" t="s">
        <v>6680</v>
      </c>
      <c r="N972" s="17"/>
      <c r="O972" s="17"/>
      <c r="P972" s="17" t="str">
        <f t="shared" si="8"/>
        <v>OK</v>
      </c>
      <c r="Q972" s="17" t="s">
        <v>406</v>
      </c>
      <c r="R972" s="6" t="s">
        <v>6681</v>
      </c>
      <c r="S972" s="46" t="s">
        <v>6682</v>
      </c>
      <c r="T972" s="17" t="s">
        <v>6683</v>
      </c>
      <c r="U972" s="18" t="s">
        <v>38</v>
      </c>
      <c r="V972" s="19" t="s">
        <v>6054</v>
      </c>
      <c r="W972" s="20" t="s">
        <v>6684</v>
      </c>
      <c r="X972" s="21" t="s">
        <v>6648</v>
      </c>
      <c r="Y972" s="22"/>
      <c r="Z972" s="7"/>
      <c r="AA972" s="7"/>
      <c r="AB972" s="26"/>
      <c r="AC972" s="26"/>
    </row>
    <row r="973" spans="1:29" ht="15.75" customHeight="1">
      <c r="A973" s="10" t="s">
        <v>6685</v>
      </c>
      <c r="B973" s="10" t="s">
        <v>4410</v>
      </c>
      <c r="C973" s="61" t="s">
        <v>6054</v>
      </c>
      <c r="D973" s="12"/>
      <c r="E973" s="13" t="s">
        <v>93</v>
      </c>
      <c r="F973" s="6" t="s">
        <v>6686</v>
      </c>
      <c r="G973" s="14" t="str">
        <f ca="1">IFERROR(__xludf.DUMMYFUNCTION("CONCATENATE(B973,(VLOOKUP(C973,CATALOGOS!$F$2:$H$6,3,FALSE)),(VLOOKUP(V973,CATALOGOS!$J$2:$K$18,2,FALSE)),""-"",TO_TEXT(A973))"),"P21DG-0972")</f>
        <v>P21DG-0972</v>
      </c>
      <c r="H973" s="15" t="str">
        <f ca="1">IFERROR(__xludf.DUMMYFUNCTION("CONCATENATE($B973,(VLOOKUP($C973,CATALOGOS!$F$2:$H$6,3,FALSE)),(VLOOKUP($V973,CATALOGOS!$J$2:$K$18,2,FALSE)),""-"",TO_TEXT($A973))"),"P21DG-0972")</f>
        <v>P21DG-0972</v>
      </c>
      <c r="I973" s="6"/>
      <c r="J973" s="6" t="s">
        <v>6687</v>
      </c>
      <c r="K973" s="6" t="s">
        <v>6688</v>
      </c>
      <c r="L973" s="6" t="s">
        <v>6689</v>
      </c>
      <c r="M973" s="6" t="s">
        <v>6690</v>
      </c>
      <c r="N973" s="17"/>
      <c r="O973" s="17"/>
      <c r="P973" s="17" t="str">
        <f t="shared" si="8"/>
        <v>OK</v>
      </c>
      <c r="Q973" s="17" t="s">
        <v>35</v>
      </c>
      <c r="R973" s="6" t="s">
        <v>35</v>
      </c>
      <c r="S973" s="17" t="s">
        <v>36</v>
      </c>
      <c r="T973" s="17" t="s">
        <v>6691</v>
      </c>
      <c r="U973" s="18" t="s">
        <v>38</v>
      </c>
      <c r="V973" s="19" t="s">
        <v>6054</v>
      </c>
      <c r="W973" s="20" t="s">
        <v>6684</v>
      </c>
      <c r="X973" s="39" t="s">
        <v>6684</v>
      </c>
      <c r="Y973" s="20"/>
      <c r="Z973" s="7"/>
      <c r="AA973" s="7"/>
      <c r="AB973" s="23"/>
      <c r="AC973" s="26"/>
    </row>
    <row r="974" spans="1:29" ht="15.75" customHeight="1">
      <c r="A974" s="10" t="s">
        <v>6692</v>
      </c>
      <c r="B974" s="10" t="s">
        <v>4410</v>
      </c>
      <c r="C974" s="61" t="s">
        <v>6054</v>
      </c>
      <c r="D974" s="12"/>
      <c r="E974" s="13" t="s">
        <v>93</v>
      </c>
      <c r="F974" s="6" t="s">
        <v>6686</v>
      </c>
      <c r="G974" s="14" t="str">
        <f ca="1">IFERROR(__xludf.DUMMYFUNCTION("CONCATENATE(B974,(VLOOKUP(C974,CATALOGOS!$F$2:$H$6,3,FALSE)),(VLOOKUP(V974,CATALOGOS!$J$2:$K$18,2,FALSE)),""-"",TO_TEXT(A974))"),"P21DG-0973")</f>
        <v>P21DG-0973</v>
      </c>
      <c r="H974" s="15" t="str">
        <f ca="1">IFERROR(__xludf.DUMMYFUNCTION("CONCATENATE($B974,(VLOOKUP($C974,CATALOGOS!$F$2:$H$6,3,FALSE)),(VLOOKUP($V974,CATALOGOS!$J$2:$K$18,2,FALSE)),""-"",TO_TEXT($A974))"),"P21DG-0973")</f>
        <v>P21DG-0973</v>
      </c>
      <c r="I974" s="6"/>
      <c r="J974" s="6" t="s">
        <v>6693</v>
      </c>
      <c r="K974" s="6" t="s">
        <v>6694</v>
      </c>
      <c r="L974" s="6" t="s">
        <v>6695</v>
      </c>
      <c r="M974" s="6" t="s">
        <v>6696</v>
      </c>
      <c r="N974" s="17"/>
      <c r="O974" s="17"/>
      <c r="P974" s="17" t="str">
        <f t="shared" si="8"/>
        <v>OK</v>
      </c>
      <c r="Q974" s="17" t="s">
        <v>35</v>
      </c>
      <c r="R974" s="6" t="s">
        <v>35</v>
      </c>
      <c r="S974" s="17" t="s">
        <v>36</v>
      </c>
      <c r="T974" s="17" t="s">
        <v>6697</v>
      </c>
      <c r="U974" s="18" t="s">
        <v>38</v>
      </c>
      <c r="V974" s="19" t="s">
        <v>6054</v>
      </c>
      <c r="W974" s="20" t="s">
        <v>6684</v>
      </c>
      <c r="X974" s="39" t="s">
        <v>6684</v>
      </c>
      <c r="Y974" s="20"/>
      <c r="Z974" s="7"/>
      <c r="AA974" s="7"/>
      <c r="AB974" s="23"/>
      <c r="AC974" s="26"/>
    </row>
    <row r="975" spans="1:29" ht="15.75" customHeight="1">
      <c r="A975" s="10" t="s">
        <v>6698</v>
      </c>
      <c r="B975" s="10" t="s">
        <v>4410</v>
      </c>
      <c r="C975" s="61" t="s">
        <v>6054</v>
      </c>
      <c r="D975" s="12"/>
      <c r="E975" s="13" t="s">
        <v>116</v>
      </c>
      <c r="F975" s="6" t="s">
        <v>6699</v>
      </c>
      <c r="G975" s="14" t="str">
        <f ca="1">IFERROR(__xludf.DUMMYFUNCTION("CONCATENATE(B975,(VLOOKUP(C975,CATALOGOS!$F$2:$H$6,3,FALSE)),(VLOOKUP(V975,CATALOGOS!$J$2:$K$18,2,FALSE)),""-"",TO_TEXT(A975))"),"P21DG-0974")</f>
        <v>P21DG-0974</v>
      </c>
      <c r="H975" s="15" t="str">
        <f ca="1">IFERROR(__xludf.DUMMYFUNCTION("CONCATENATE($B975,(VLOOKUP($C975,CATALOGOS!$F$2:$H$6,3,FALSE)),(VLOOKUP($V975,CATALOGOS!$J$2:$K$18,2,FALSE)),""-"",TO_TEXT($A975))"),"P21DG-0974")</f>
        <v>P21DG-0974</v>
      </c>
      <c r="I975" s="6"/>
      <c r="J975" s="6" t="s">
        <v>6700</v>
      </c>
      <c r="K975" s="6" t="s">
        <v>6701</v>
      </c>
      <c r="L975" s="6" t="s">
        <v>6702</v>
      </c>
      <c r="M975" s="6" t="s">
        <v>6703</v>
      </c>
      <c r="N975" s="17"/>
      <c r="O975" s="17"/>
      <c r="P975" s="17" t="str">
        <f t="shared" si="8"/>
        <v>OK</v>
      </c>
      <c r="Q975" s="17" t="s">
        <v>35</v>
      </c>
      <c r="R975" s="6" t="s">
        <v>35</v>
      </c>
      <c r="S975" s="17" t="s">
        <v>36</v>
      </c>
      <c r="T975" s="17" t="s">
        <v>6704</v>
      </c>
      <c r="U975" s="18" t="s">
        <v>38</v>
      </c>
      <c r="V975" s="19" t="s">
        <v>6054</v>
      </c>
      <c r="W975" s="20" t="s">
        <v>6684</v>
      </c>
      <c r="X975" s="39" t="s">
        <v>6684</v>
      </c>
      <c r="Y975" s="20"/>
      <c r="Z975" s="7"/>
      <c r="AA975" s="7"/>
      <c r="AB975" s="23"/>
      <c r="AC975" s="26"/>
    </row>
    <row r="976" spans="1:29" ht="15.75" customHeight="1">
      <c r="A976" s="10" t="s">
        <v>6705</v>
      </c>
      <c r="B976" s="10" t="s">
        <v>4410</v>
      </c>
      <c r="C976" s="61" t="s">
        <v>6054</v>
      </c>
      <c r="D976" s="12"/>
      <c r="E976" s="13" t="s">
        <v>62</v>
      </c>
      <c r="F976" s="6" t="s">
        <v>6706</v>
      </c>
      <c r="G976" s="14" t="str">
        <f ca="1">IFERROR(__xludf.DUMMYFUNCTION("CONCATENATE(B976,(VLOOKUP(C976,CATALOGOS!$F$2:$H$6,3,FALSE)),(VLOOKUP(V976,CATALOGOS!$J$2:$K$18,2,FALSE)),""-"",TO_TEXT(A976))"),"P21DG-0975")</f>
        <v>P21DG-0975</v>
      </c>
      <c r="H976" s="15" t="str">
        <f ca="1">IFERROR(__xludf.DUMMYFUNCTION("CONCATENATE($B976,(VLOOKUP($C976,CATALOGOS!$F$2:$H$6,3,FALSE)),(VLOOKUP($V976,CATALOGOS!$J$2:$K$18,2,FALSE)),""-"",TO_TEXT($A976))"),"P21DG-0975")</f>
        <v>P21DG-0975</v>
      </c>
      <c r="I976" s="6"/>
      <c r="J976" s="6" t="s">
        <v>6707</v>
      </c>
      <c r="K976" s="6" t="s">
        <v>6708</v>
      </c>
      <c r="L976" s="6" t="s">
        <v>6709</v>
      </c>
      <c r="M976" s="6" t="s">
        <v>6710</v>
      </c>
      <c r="N976" s="17"/>
      <c r="O976" s="17"/>
      <c r="P976" s="17" t="str">
        <f t="shared" si="8"/>
        <v>OK</v>
      </c>
      <c r="Q976" s="17" t="s">
        <v>35</v>
      </c>
      <c r="R976" s="6" t="s">
        <v>35</v>
      </c>
      <c r="S976" s="17" t="s">
        <v>36</v>
      </c>
      <c r="T976" s="17" t="s">
        <v>6711</v>
      </c>
      <c r="U976" s="18" t="s">
        <v>38</v>
      </c>
      <c r="V976" s="19" t="s">
        <v>6054</v>
      </c>
      <c r="W976" s="20" t="s">
        <v>6684</v>
      </c>
      <c r="X976" s="39" t="s">
        <v>6684</v>
      </c>
      <c r="Y976" s="20"/>
      <c r="Z976" s="7"/>
      <c r="AA976" s="7"/>
      <c r="AB976" s="23"/>
      <c r="AC976" s="26"/>
    </row>
    <row r="977" spans="1:29" ht="15.75" customHeight="1">
      <c r="A977" s="10" t="s">
        <v>6712</v>
      </c>
      <c r="B977" s="10" t="s">
        <v>4410</v>
      </c>
      <c r="C977" s="61" t="s">
        <v>28</v>
      </c>
      <c r="D977" s="12"/>
      <c r="E977" s="13" t="s">
        <v>43</v>
      </c>
      <c r="F977" s="43" t="s">
        <v>457</v>
      </c>
      <c r="G977" s="14" t="str">
        <f ca="1">IFERROR(__xludf.DUMMYFUNCTION("CONCATENATE(B977,(VLOOKUP(C977,CATALOGOS!$F$2:$H$6,3,FALSE)),(VLOOKUP(V977,CATALOGOS!$J$2:$K$18,2,FALSE)),""-"",TO_TEXT(A977))"),"P25RM-0976")</f>
        <v>P25RM-0976</v>
      </c>
      <c r="H977" s="15" t="str">
        <f ca="1">IFERROR(__xludf.DUMMYFUNCTION("CONCATENATE($B977,(VLOOKUP($C977,CATALOGOS!$F$2:$H$6,3,FALSE)),(VLOOKUP($V977,CATALOGOS!$J$2:$K$18,2,FALSE)),""-"",TO_TEXT($A977))"),"P25RM-0976")</f>
        <v>P25RM-0976</v>
      </c>
      <c r="I977" s="6"/>
      <c r="J977" s="6" t="s">
        <v>6713</v>
      </c>
      <c r="K977" s="6" t="s">
        <v>6714</v>
      </c>
      <c r="L977" s="6" t="s">
        <v>6715</v>
      </c>
      <c r="M977" s="6" t="s">
        <v>6716</v>
      </c>
      <c r="N977" s="17"/>
      <c r="O977" s="17"/>
      <c r="P977" s="17" t="str">
        <f t="shared" si="8"/>
        <v>OK</v>
      </c>
      <c r="Q977" s="17" t="s">
        <v>406</v>
      </c>
      <c r="R977" s="6" t="s">
        <v>6717</v>
      </c>
      <c r="S977" s="17" t="s">
        <v>6682</v>
      </c>
      <c r="T977" s="10" t="s">
        <v>6718</v>
      </c>
      <c r="U977" s="69" t="s">
        <v>1304</v>
      </c>
      <c r="V977" s="19" t="s">
        <v>147</v>
      </c>
      <c r="W977" s="20" t="s">
        <v>385</v>
      </c>
      <c r="X977" s="39" t="s">
        <v>6684</v>
      </c>
      <c r="Y977" s="40" t="s">
        <v>261</v>
      </c>
      <c r="Z977" s="7"/>
      <c r="AA977" s="7"/>
      <c r="AB977" s="23"/>
      <c r="AC977" s="26"/>
    </row>
    <row r="978" spans="1:29" ht="15.75" customHeight="1">
      <c r="A978" s="10" t="s">
        <v>6719</v>
      </c>
      <c r="B978" s="10" t="s">
        <v>4410</v>
      </c>
      <c r="C978" s="61" t="s">
        <v>6054</v>
      </c>
      <c r="D978" s="12"/>
      <c r="E978" s="13" t="s">
        <v>353</v>
      </c>
      <c r="F978" s="43" t="s">
        <v>354</v>
      </c>
      <c r="G978" s="14" t="str">
        <f ca="1">IFERROR(__xludf.DUMMYFUNCTION("CONCATENATE(B978,(VLOOKUP(C978,CATALOGOS!$F$2:$H$6,3,FALSE)),(VLOOKUP(V978,CATALOGOS!$J$2:$K$18,2,FALSE)),""-"",TO_TEXT(A978))"),"P21DG-0977")</f>
        <v>P21DG-0977</v>
      </c>
      <c r="H978" s="15" t="str">
        <f ca="1">IFERROR(__xludf.DUMMYFUNCTION("CONCATENATE($B978,(VLOOKUP($C978,CATALOGOS!$F$2:$H$6,3,FALSE)),(VLOOKUP($V978,CATALOGOS!$J$2:$K$18,2,FALSE)),""-"",TO_TEXT($A978))"),"P21DG-0977")</f>
        <v>P21DG-0977</v>
      </c>
      <c r="I978" s="6"/>
      <c r="J978" s="6" t="s">
        <v>6720</v>
      </c>
      <c r="K978" s="6" t="s">
        <v>6721</v>
      </c>
      <c r="L978" s="6" t="s">
        <v>6722</v>
      </c>
      <c r="M978" s="6" t="s">
        <v>6723</v>
      </c>
      <c r="N978" s="17"/>
      <c r="O978" s="17"/>
      <c r="P978" s="17" t="str">
        <f t="shared" si="8"/>
        <v>OK</v>
      </c>
      <c r="Q978" s="17" t="s">
        <v>359</v>
      </c>
      <c r="R978" s="6" t="s">
        <v>6724</v>
      </c>
      <c r="S978" s="17" t="s">
        <v>6725</v>
      </c>
      <c r="T978" s="10" t="s">
        <v>6726</v>
      </c>
      <c r="U978" s="18" t="s">
        <v>38</v>
      </c>
      <c r="V978" s="19" t="s">
        <v>6054</v>
      </c>
      <c r="W978" s="20" t="s">
        <v>6684</v>
      </c>
      <c r="X978" s="39" t="s">
        <v>6684</v>
      </c>
      <c r="Y978" s="20"/>
      <c r="Z978" s="7"/>
      <c r="AA978" s="7"/>
      <c r="AB978" s="23"/>
      <c r="AC978" s="26"/>
    </row>
    <row r="979" spans="1:29" ht="15.75" customHeight="1">
      <c r="A979" s="10" t="s">
        <v>6727</v>
      </c>
      <c r="B979" s="10" t="s">
        <v>4410</v>
      </c>
      <c r="C979" s="61" t="s">
        <v>6054</v>
      </c>
      <c r="D979" s="12"/>
      <c r="E979" s="13" t="s">
        <v>199</v>
      </c>
      <c r="F979" s="6" t="s">
        <v>199</v>
      </c>
      <c r="G979" s="14" t="str">
        <f ca="1">IFERROR(__xludf.DUMMYFUNCTION("CONCATENATE(B979,(VLOOKUP(C979,CATALOGOS!$F$2:$H$6,3,FALSE)),(VLOOKUP(V979,CATALOGOS!$J$2:$K$18,2,FALSE)),""-"",TO_TEXT(A979))"),"P21DG-0978")</f>
        <v>P21DG-0978</v>
      </c>
      <c r="H979" s="15" t="str">
        <f ca="1">IFERROR(__xludf.DUMMYFUNCTION("CONCATENATE($B979,(VLOOKUP($C979,CATALOGOS!$F$2:$H$6,3,FALSE)),(VLOOKUP($V979,CATALOGOS!$J$2:$K$18,2,FALSE)),""-"",TO_TEXT($A979))"),"P21DG-0978")</f>
        <v>P21DG-0978</v>
      </c>
      <c r="I979" s="6"/>
      <c r="J979" s="6" t="s">
        <v>6728</v>
      </c>
      <c r="K979" s="6" t="s">
        <v>6729</v>
      </c>
      <c r="L979" s="6" t="s">
        <v>6730</v>
      </c>
      <c r="M979" s="6" t="s">
        <v>141</v>
      </c>
      <c r="N979" s="17"/>
      <c r="O979" s="17"/>
      <c r="P979" s="17" t="str">
        <f t="shared" si="8"/>
        <v>REPETIDO</v>
      </c>
      <c r="Q979" s="17" t="s">
        <v>205</v>
      </c>
      <c r="R979" s="32" t="s">
        <v>794</v>
      </c>
      <c r="S979" s="17" t="s">
        <v>6731</v>
      </c>
      <c r="T979" s="17" t="s">
        <v>6732</v>
      </c>
      <c r="U979" s="18" t="s">
        <v>38</v>
      </c>
      <c r="V979" s="19" t="s">
        <v>6054</v>
      </c>
      <c r="W979" s="20" t="s">
        <v>6684</v>
      </c>
      <c r="X979" s="39" t="s">
        <v>6684</v>
      </c>
      <c r="Y979" s="20"/>
      <c r="Z979" s="7"/>
      <c r="AA979" s="7"/>
      <c r="AB979" s="23"/>
      <c r="AC979" s="26"/>
    </row>
    <row r="980" spans="1:29" ht="15.75" customHeight="1">
      <c r="A980" s="10" t="s">
        <v>6733</v>
      </c>
      <c r="B980" s="10" t="s">
        <v>4410</v>
      </c>
      <c r="C980" s="61" t="s">
        <v>6054</v>
      </c>
      <c r="D980" s="12"/>
      <c r="E980" s="13" t="s">
        <v>151</v>
      </c>
      <c r="F980" s="6" t="s">
        <v>714</v>
      </c>
      <c r="G980" s="14" t="str">
        <f ca="1">IFERROR(__xludf.DUMMYFUNCTION("CONCATENATE(B980,(VLOOKUP(C980,CATALOGOS!$F$2:$H$6,3,FALSE)),(VLOOKUP(V980,CATALOGOS!$J$2:$K$18,2,FALSE)),""-"",TO_TEXT(A980))"),"P21DG-0979")</f>
        <v>P21DG-0979</v>
      </c>
      <c r="H980" s="15" t="str">
        <f ca="1">IFERROR(__xludf.DUMMYFUNCTION("CONCATENATE($B980,(VLOOKUP($C980,CATALOGOS!$F$2:$H$6,3,FALSE)),(VLOOKUP($V980,CATALOGOS!$J$2:$K$18,2,FALSE)),""-"",TO_TEXT($A980))"),"P21DG-0979")</f>
        <v>P21DG-0979</v>
      </c>
      <c r="I980" s="6"/>
      <c r="J980" s="6" t="s">
        <v>6734</v>
      </c>
      <c r="K980" s="6" t="s">
        <v>6735</v>
      </c>
      <c r="L980" s="6" t="s">
        <v>6736</v>
      </c>
      <c r="M980" s="6" t="s">
        <v>6737</v>
      </c>
      <c r="N980" s="17"/>
      <c r="O980" s="17"/>
      <c r="P980" s="17" t="str">
        <f t="shared" si="8"/>
        <v>OK</v>
      </c>
      <c r="Q980" s="17" t="s">
        <v>1220</v>
      </c>
      <c r="R980" s="6" t="s">
        <v>720</v>
      </c>
      <c r="S980" s="17" t="s">
        <v>6738</v>
      </c>
      <c r="T980" s="17" t="s">
        <v>6739</v>
      </c>
      <c r="U980" s="18" t="s">
        <v>38</v>
      </c>
      <c r="V980" s="19" t="s">
        <v>6054</v>
      </c>
      <c r="W980" s="20" t="s">
        <v>6684</v>
      </c>
      <c r="X980" s="39" t="s">
        <v>6684</v>
      </c>
      <c r="Y980" s="20"/>
      <c r="Z980" s="7"/>
      <c r="AA980" s="7"/>
      <c r="AB980" s="23"/>
      <c r="AC980" s="26"/>
    </row>
    <row r="981" spans="1:29" ht="15.75" customHeight="1">
      <c r="A981" s="10" t="s">
        <v>6740</v>
      </c>
      <c r="B981" s="10" t="s">
        <v>4410</v>
      </c>
      <c r="C981" s="61" t="s">
        <v>6054</v>
      </c>
      <c r="D981" s="12"/>
      <c r="E981" s="13" t="s">
        <v>162</v>
      </c>
      <c r="F981" s="43" t="s">
        <v>285</v>
      </c>
      <c r="G981" s="14" t="str">
        <f ca="1">IFERROR(__xludf.DUMMYFUNCTION("CONCATENATE(B981,(VLOOKUP(C981,CATALOGOS!$F$2:$H$6,3,FALSE)),(VLOOKUP(V981,CATALOGOS!$J$2:$K$18,2,FALSE)),""-"",TO_TEXT(A981))"),"P21DG-0980")</f>
        <v>P21DG-0980</v>
      </c>
      <c r="H981" s="15" t="str">
        <f ca="1">IFERROR(__xludf.DUMMYFUNCTION("CONCATENATE($B981,(VLOOKUP($C981,CATALOGOS!$F$2:$H$6,3,FALSE)),(VLOOKUP($V981,CATALOGOS!$J$2:$K$18,2,FALSE)),""-"",TO_TEXT($A981))"),"P21DG-0980")</f>
        <v>P21DG-0980</v>
      </c>
      <c r="I981" s="6"/>
      <c r="J981" s="6" t="s">
        <v>6741</v>
      </c>
      <c r="K981" s="6" t="s">
        <v>6742</v>
      </c>
      <c r="L981" s="6" t="s">
        <v>6743</v>
      </c>
      <c r="M981" s="6" t="s">
        <v>6744</v>
      </c>
      <c r="N981" s="17"/>
      <c r="O981" s="17"/>
      <c r="P981" s="17" t="str">
        <f t="shared" si="8"/>
        <v>OK</v>
      </c>
      <c r="Q981" s="17" t="s">
        <v>663</v>
      </c>
      <c r="R981" s="6" t="s">
        <v>664</v>
      </c>
      <c r="S981" s="17" t="s">
        <v>6745</v>
      </c>
      <c r="T981" s="17" t="s">
        <v>6746</v>
      </c>
      <c r="U981" s="18" t="s">
        <v>38</v>
      </c>
      <c r="V981" s="19" t="s">
        <v>6054</v>
      </c>
      <c r="W981" s="20" t="s">
        <v>6684</v>
      </c>
      <c r="X981" s="39" t="s">
        <v>6684</v>
      </c>
      <c r="Y981" s="20"/>
      <c r="Z981" s="7"/>
      <c r="AA981" s="7"/>
      <c r="AB981" s="23"/>
      <c r="AC981" s="26"/>
    </row>
    <row r="982" spans="1:29" ht="15.75" customHeight="1">
      <c r="A982" s="10" t="s">
        <v>6747</v>
      </c>
      <c r="B982" s="10" t="s">
        <v>4410</v>
      </c>
      <c r="C982" s="61" t="s">
        <v>6054</v>
      </c>
      <c r="D982" s="12"/>
      <c r="E982" s="13" t="s">
        <v>62</v>
      </c>
      <c r="F982" s="6" t="s">
        <v>6748</v>
      </c>
      <c r="G982" s="14" t="str">
        <f ca="1">IFERROR(__xludf.DUMMYFUNCTION("CONCATENATE(B982,(VLOOKUP(C982,CATALOGOS!$F$2:$H$6,3,FALSE)),(VLOOKUP(V982,CATALOGOS!$J$2:$K$18,2,FALSE)),""-"",TO_TEXT(A982))"),"P21DG-0981")</f>
        <v>P21DG-0981</v>
      </c>
      <c r="H982" s="15" t="str">
        <f ca="1">IFERROR(__xludf.DUMMYFUNCTION("CONCATENATE($B982,(VLOOKUP($C982,CATALOGOS!$F$2:$H$6,3,FALSE)),(VLOOKUP($V982,CATALOGOS!$J$2:$K$18,2,FALSE)),""-"",TO_TEXT($A982))"),"P21DG-0981")</f>
        <v>P21DG-0981</v>
      </c>
      <c r="I982" s="6"/>
      <c r="J982" s="6" t="s">
        <v>6749</v>
      </c>
      <c r="K982" s="6" t="s">
        <v>6750</v>
      </c>
      <c r="L982" s="6" t="s">
        <v>6751</v>
      </c>
      <c r="M982" s="6" t="s">
        <v>6752</v>
      </c>
      <c r="N982" s="17"/>
      <c r="O982" s="35" t="s">
        <v>6753</v>
      </c>
      <c r="P982" s="17" t="str">
        <f t="shared" si="8"/>
        <v>OK</v>
      </c>
      <c r="Q982" s="17" t="s">
        <v>35</v>
      </c>
      <c r="R982" s="32" t="s">
        <v>35</v>
      </c>
      <c r="S982" s="17" t="s">
        <v>36</v>
      </c>
      <c r="T982" s="17" t="s">
        <v>6754</v>
      </c>
      <c r="U982" s="18" t="s">
        <v>38</v>
      </c>
      <c r="V982" s="19" t="s">
        <v>6054</v>
      </c>
      <c r="W982" s="20" t="s">
        <v>6684</v>
      </c>
      <c r="X982" s="39" t="s">
        <v>6684</v>
      </c>
      <c r="Y982" s="20"/>
      <c r="Z982" s="7"/>
      <c r="AA982" s="7"/>
      <c r="AB982" s="23"/>
      <c r="AC982" s="26"/>
    </row>
    <row r="983" spans="1:29" ht="15.75" customHeight="1">
      <c r="A983" s="10" t="s">
        <v>6755</v>
      </c>
      <c r="B983" s="10" t="s">
        <v>4410</v>
      </c>
      <c r="C983" s="61" t="s">
        <v>6054</v>
      </c>
      <c r="D983" s="12"/>
      <c r="E983" s="13" t="s">
        <v>501</v>
      </c>
      <c r="F983" s="6" t="s">
        <v>6756</v>
      </c>
      <c r="G983" s="14" t="str">
        <f ca="1">IFERROR(__xludf.DUMMYFUNCTION("CONCATENATE(B983,(VLOOKUP(C983,CATALOGOS!$F$2:$H$6,3,FALSE)),(VLOOKUP(V983,CATALOGOS!$J$2:$K$18,2,FALSE)),""-"",TO_TEXT(A983))"),"P21DG-0982")</f>
        <v>P21DG-0982</v>
      </c>
      <c r="H983" s="15" t="str">
        <f ca="1">IFERROR(__xludf.DUMMYFUNCTION("CONCATENATE($B983,(VLOOKUP($C983,CATALOGOS!$F$2:$H$6,3,FALSE)),(VLOOKUP($V983,CATALOGOS!$J$2:$K$18,2,FALSE)),""-"",TO_TEXT($A983))"),"P21DG-0982")</f>
        <v>P21DG-0982</v>
      </c>
      <c r="I983" s="6"/>
      <c r="J983" s="6" t="s">
        <v>6757</v>
      </c>
      <c r="K983" s="6" t="s">
        <v>6758</v>
      </c>
      <c r="L983" s="6" t="s">
        <v>6759</v>
      </c>
      <c r="M983" s="6" t="s">
        <v>6760</v>
      </c>
      <c r="N983" s="17"/>
      <c r="O983" s="17"/>
      <c r="P983" s="17" t="str">
        <f t="shared" si="8"/>
        <v>OK</v>
      </c>
      <c r="Q983" s="17" t="s">
        <v>35</v>
      </c>
      <c r="R983" s="6" t="s">
        <v>35</v>
      </c>
      <c r="S983" s="17" t="s">
        <v>36</v>
      </c>
      <c r="T983" s="17" t="s">
        <v>6761</v>
      </c>
      <c r="U983" s="18" t="s">
        <v>38</v>
      </c>
      <c r="V983" s="19" t="s">
        <v>6054</v>
      </c>
      <c r="W983" s="20" t="s">
        <v>6684</v>
      </c>
      <c r="X983" s="39" t="s">
        <v>6684</v>
      </c>
      <c r="Y983" s="20"/>
      <c r="Z983" s="7"/>
      <c r="AA983" s="7"/>
      <c r="AB983" s="23"/>
      <c r="AC983" s="26"/>
    </row>
    <row r="984" spans="1:29" ht="15.75" customHeight="1">
      <c r="A984" s="10" t="s">
        <v>6762</v>
      </c>
      <c r="B984" s="10" t="s">
        <v>4410</v>
      </c>
      <c r="C984" s="61" t="s">
        <v>6054</v>
      </c>
      <c r="D984" s="12"/>
      <c r="E984" s="13" t="s">
        <v>378</v>
      </c>
      <c r="F984" s="43" t="s">
        <v>6763</v>
      </c>
      <c r="G984" s="14" t="str">
        <f ca="1">IFERROR(__xludf.DUMMYFUNCTION("CONCATENATE(B984,(VLOOKUP(C984,CATALOGOS!$F$2:$H$6,3,FALSE)),(VLOOKUP(V984,CATALOGOS!$J$2:$K$18,2,FALSE)),""-"",TO_TEXT(A984))"),"P21DG-0983")</f>
        <v>P21DG-0983</v>
      </c>
      <c r="H984" s="15" t="str">
        <f ca="1">IFERROR(__xludf.DUMMYFUNCTION("CONCATENATE($B984,(VLOOKUP($C984,CATALOGOS!$F$2:$H$6,3,FALSE)),(VLOOKUP($V984,CATALOGOS!$J$2:$K$18,2,FALSE)),""-"",TO_TEXT($A984))"),"P21DG-0983")</f>
        <v>P21DG-0983</v>
      </c>
      <c r="I984" s="6"/>
      <c r="J984" s="6" t="s">
        <v>6764</v>
      </c>
      <c r="K984" s="6" t="s">
        <v>6765</v>
      </c>
      <c r="L984" s="6" t="s">
        <v>6766</v>
      </c>
      <c r="M984" s="6" t="s">
        <v>6767</v>
      </c>
      <c r="N984" s="17"/>
      <c r="O984" s="17"/>
      <c r="P984" s="17" t="str">
        <f t="shared" si="8"/>
        <v>OK</v>
      </c>
      <c r="Q984" s="17" t="s">
        <v>35</v>
      </c>
      <c r="R984" s="6" t="s">
        <v>35</v>
      </c>
      <c r="S984" s="17" t="s">
        <v>36</v>
      </c>
      <c r="T984" s="17" t="s">
        <v>6768</v>
      </c>
      <c r="U984" s="18" t="s">
        <v>38</v>
      </c>
      <c r="V984" s="19" t="s">
        <v>6054</v>
      </c>
      <c r="W984" s="20" t="s">
        <v>6684</v>
      </c>
      <c r="X984" s="39" t="s">
        <v>6684</v>
      </c>
      <c r="Y984" s="20"/>
      <c r="Z984" s="7"/>
      <c r="AA984" s="7"/>
      <c r="AB984" s="23"/>
      <c r="AC984" s="26"/>
    </row>
    <row r="985" spans="1:29" ht="15.75" customHeight="1">
      <c r="A985" s="10" t="s">
        <v>6769</v>
      </c>
      <c r="B985" s="10" t="s">
        <v>4410</v>
      </c>
      <c r="C985" s="61" t="s">
        <v>6054</v>
      </c>
      <c r="D985" s="38"/>
      <c r="E985" s="13" t="s">
        <v>378</v>
      </c>
      <c r="F985" s="6" t="s">
        <v>1306</v>
      </c>
      <c r="G985" s="14" t="str">
        <f ca="1">IFERROR(__xludf.DUMMYFUNCTION("CONCATENATE(B985,(VLOOKUP(C985,CATALOGOS!$F$2:$H$6,3,FALSE)),(VLOOKUP(V985,CATALOGOS!$J$2:$K$18,2,FALSE)),""-"",TO_TEXT(A985))"),"P21DG-0984")</f>
        <v>P21DG-0984</v>
      </c>
      <c r="H985" s="15" t="str">
        <f ca="1">IFERROR(__xludf.DUMMYFUNCTION("CONCATENATE($B985,(VLOOKUP($C985,CATALOGOS!$F$2:$H$6,3,FALSE)),(VLOOKUP($V985,CATALOGOS!$J$2:$K$18,2,FALSE)),""-"",TO_TEXT($A985))"),"P21DG-0984")</f>
        <v>P21DG-0984</v>
      </c>
      <c r="I985" s="6"/>
      <c r="J985" s="6" t="s">
        <v>6770</v>
      </c>
      <c r="K985" s="6" t="s">
        <v>6771</v>
      </c>
      <c r="L985" s="6" t="s">
        <v>6772</v>
      </c>
      <c r="M985" s="6" t="s">
        <v>6773</v>
      </c>
      <c r="N985" s="17"/>
      <c r="O985" s="17"/>
      <c r="P985" s="17" t="str">
        <f t="shared" si="8"/>
        <v>OK</v>
      </c>
      <c r="Q985" s="17" t="s">
        <v>35</v>
      </c>
      <c r="R985" s="6" t="s">
        <v>35</v>
      </c>
      <c r="S985" s="46" t="s">
        <v>36</v>
      </c>
      <c r="T985" s="17" t="s">
        <v>6774</v>
      </c>
      <c r="U985" s="18" t="s">
        <v>38</v>
      </c>
      <c r="V985" s="19" t="s">
        <v>6054</v>
      </c>
      <c r="W985" s="20" t="s">
        <v>6684</v>
      </c>
      <c r="X985" s="39" t="s">
        <v>6684</v>
      </c>
      <c r="Y985" s="20"/>
      <c r="Z985" s="7"/>
      <c r="AA985" s="7"/>
      <c r="AB985" s="26"/>
      <c r="AC985" s="26"/>
    </row>
    <row r="986" spans="1:29" ht="15.75" customHeight="1">
      <c r="A986" s="10" t="s">
        <v>6775</v>
      </c>
      <c r="B986" s="10" t="s">
        <v>27</v>
      </c>
      <c r="C986" s="61" t="s">
        <v>28</v>
      </c>
      <c r="D986" s="12"/>
      <c r="E986" s="13" t="s">
        <v>162</v>
      </c>
      <c r="F986" s="6" t="s">
        <v>162</v>
      </c>
      <c r="G986" s="6" t="str">
        <f ca="1">IFERROR(__xludf.DUMMYFUNCTION("CONCATENATE(B986,(VLOOKUP(C986,CATALOGOS!$F$2:$H$6,3,FALSE)),(VLOOKUP(V986,CATALOGOS!$J$2:$K$18,2,FALSE)),""-"",TO_TEXT(A986))"),"P05RM-0985")</f>
        <v>P05RM-0985</v>
      </c>
      <c r="H986" s="64" t="str">
        <f ca="1">IFERROR(__xludf.DUMMYFUNCTION("CONCATENATE($B986,(VLOOKUP($C986,CATALOGOS!$F$2:$H$6,3,FALSE)),(VLOOKUP($V986,CATALOGOS!$J$2:$K$18,2,FALSE)),""-"",TO_TEXT($A986))"),"P05RM-0985")</f>
        <v>P05RM-0985</v>
      </c>
      <c r="I986" s="6"/>
      <c r="J986" s="6" t="s">
        <v>6776</v>
      </c>
      <c r="K986" s="6" t="s">
        <v>6777</v>
      </c>
      <c r="L986" s="37"/>
      <c r="M986" s="6" t="s">
        <v>6778</v>
      </c>
      <c r="N986" s="17"/>
      <c r="O986" s="17"/>
      <c r="P986" s="17" t="str">
        <f t="shared" si="8"/>
        <v>OK</v>
      </c>
      <c r="Q986" s="17" t="s">
        <v>663</v>
      </c>
      <c r="R986" s="6" t="s">
        <v>6779</v>
      </c>
      <c r="S986" s="6" t="s">
        <v>6780</v>
      </c>
      <c r="T986" s="10" t="s">
        <v>85</v>
      </c>
      <c r="U986" s="18" t="s">
        <v>2309</v>
      </c>
      <c r="V986" s="19" t="s">
        <v>147</v>
      </c>
      <c r="W986" s="20" t="s">
        <v>385</v>
      </c>
      <c r="X986" s="39" t="s">
        <v>1484</v>
      </c>
      <c r="Y986" s="20"/>
      <c r="Z986" s="26"/>
      <c r="AA986" s="26"/>
      <c r="AB986" s="26"/>
      <c r="AC986" s="26"/>
    </row>
    <row r="987" spans="1:29" ht="15.75" customHeight="1">
      <c r="A987" s="10" t="s">
        <v>6781</v>
      </c>
      <c r="B987" s="10" t="s">
        <v>1469</v>
      </c>
      <c r="C987" s="61" t="s">
        <v>1470</v>
      </c>
      <c r="D987" s="12"/>
      <c r="E987" s="13" t="s">
        <v>162</v>
      </c>
      <c r="F987" s="6" t="s">
        <v>162</v>
      </c>
      <c r="G987" s="6" t="str">
        <f ca="1">IFERROR(__xludf.DUMMYFUNCTION("CONCATENATE(B987,(VLOOKUP(C987,CATALOGOS!$F$2:$H$6,3,FALSE)),(VLOOKUP(V987,CATALOGOS!$J$2:$K$18,2,FALSE)),""-"",TO_TEXT(A987))"),"P12DG-0986")</f>
        <v>P12DG-0986</v>
      </c>
      <c r="H987" s="15" t="str">
        <f ca="1">IFERROR(__xludf.DUMMYFUNCTION("CONCATENATE($B987,(VLOOKUP($C987,CATALOGOS!$F$2:$H$6,3,FALSE)),(VLOOKUP($V987,CATALOGOS!$J$2:$K$18,2,FALSE)),""-"",TO_TEXT($A987))"),"P12DG-0986")</f>
        <v>P12DG-0986</v>
      </c>
      <c r="I987" s="6"/>
      <c r="J987" s="6" t="s">
        <v>6782</v>
      </c>
      <c r="K987" s="6" t="s">
        <v>6783</v>
      </c>
      <c r="L987" s="54"/>
      <c r="M987" s="32" t="s">
        <v>6784</v>
      </c>
      <c r="N987" s="17"/>
      <c r="O987" s="17"/>
      <c r="P987" s="17" t="str">
        <f t="shared" si="8"/>
        <v>OK</v>
      </c>
      <c r="Q987" s="32" t="s">
        <v>663</v>
      </c>
      <c r="R987" s="6" t="s">
        <v>6785</v>
      </c>
      <c r="S987" s="17" t="s">
        <v>6786</v>
      </c>
      <c r="T987" s="6" t="s">
        <v>85</v>
      </c>
      <c r="U987" s="18" t="s">
        <v>38</v>
      </c>
      <c r="V987" s="19" t="s">
        <v>6054</v>
      </c>
      <c r="W987" s="20" t="s">
        <v>1484</v>
      </c>
      <c r="X987" s="39" t="s">
        <v>1484</v>
      </c>
      <c r="Y987" s="20"/>
      <c r="Z987" s="26"/>
      <c r="AA987" s="26"/>
      <c r="AB987" s="26"/>
      <c r="AC987" s="26"/>
    </row>
    <row r="988" spans="1:29" ht="15.75" customHeight="1">
      <c r="A988" s="10" t="s">
        <v>6787</v>
      </c>
      <c r="B988" s="10" t="s">
        <v>27</v>
      </c>
      <c r="C988" s="61" t="s">
        <v>28</v>
      </c>
      <c r="D988" s="12"/>
      <c r="E988" s="13" t="s">
        <v>162</v>
      </c>
      <c r="F988" s="6" t="s">
        <v>162</v>
      </c>
      <c r="G988" s="6" t="str">
        <f ca="1">IFERROR(__xludf.DUMMYFUNCTION("CONCATENATE(B988,(VLOOKUP(C988,CATALOGOS!$F$2:$H$6,3,FALSE)),(VLOOKUP(V988,CATALOGOS!$J$2:$K$18,2,FALSE)),""-"",TO_TEXT(A988))"),"P05RM-0987")</f>
        <v>P05RM-0987</v>
      </c>
      <c r="H988" s="64" t="str">
        <f ca="1">IFERROR(__xludf.DUMMYFUNCTION("CONCATENATE($B988,(VLOOKUP($C988,CATALOGOS!$F$2:$H$6,3,FALSE)),(VLOOKUP($V988,CATALOGOS!$J$2:$K$18,2,FALSE)),""-"",TO_TEXT($A988))"),"P05RM-0987")</f>
        <v>P05RM-0987</v>
      </c>
      <c r="I988" s="6"/>
      <c r="J988" s="6" t="s">
        <v>6788</v>
      </c>
      <c r="K988" s="6" t="s">
        <v>6789</v>
      </c>
      <c r="L988" s="54"/>
      <c r="M988" s="32" t="s">
        <v>6790</v>
      </c>
      <c r="N988" s="17"/>
      <c r="O988" s="17"/>
      <c r="P988" s="17" t="str">
        <f t="shared" si="8"/>
        <v>OK</v>
      </c>
      <c r="Q988" s="32" t="s">
        <v>663</v>
      </c>
      <c r="R988" s="6" t="s">
        <v>6779</v>
      </c>
      <c r="S988" s="17" t="s">
        <v>6791</v>
      </c>
      <c r="T988" s="6" t="s">
        <v>85</v>
      </c>
      <c r="U988" s="18" t="s">
        <v>2309</v>
      </c>
      <c r="V988" s="19" t="s">
        <v>147</v>
      </c>
      <c r="W988" s="20" t="s">
        <v>385</v>
      </c>
      <c r="X988" s="39" t="s">
        <v>1484</v>
      </c>
      <c r="Y988" s="20"/>
      <c r="Z988" s="26"/>
      <c r="AA988" s="26"/>
      <c r="AB988" s="26"/>
      <c r="AC988" s="26"/>
    </row>
    <row r="989" spans="1:29" ht="15.75" customHeight="1">
      <c r="A989" s="10" t="s">
        <v>6792</v>
      </c>
      <c r="B989" s="10" t="s">
        <v>1469</v>
      </c>
      <c r="C989" s="61" t="s">
        <v>1470</v>
      </c>
      <c r="D989" s="12"/>
      <c r="E989" s="13" t="s">
        <v>162</v>
      </c>
      <c r="F989" s="6" t="s">
        <v>162</v>
      </c>
      <c r="G989" s="6" t="str">
        <f ca="1">IFERROR(__xludf.DUMMYFUNCTION("CONCATENATE(B989,(VLOOKUP(C989,CATALOGOS!$F$2:$H$6,3,FALSE)),(VLOOKUP(V989,CATALOGOS!$J$2:$K$18,2,FALSE)),""-"",TO_TEXT(A989))"),"P12DG-0988")</f>
        <v>P12DG-0988</v>
      </c>
      <c r="H989" s="15" t="str">
        <f ca="1">IFERROR(__xludf.DUMMYFUNCTION("CONCATENATE($B989,(VLOOKUP($C989,CATALOGOS!$F$2:$H$6,3,FALSE)),(VLOOKUP($V989,CATALOGOS!$J$2:$K$18,2,FALSE)),""-"",TO_TEXT($A989))"),"P12DG-0988")</f>
        <v>P12DG-0988</v>
      </c>
      <c r="I989" s="6"/>
      <c r="J989" s="6" t="s">
        <v>6793</v>
      </c>
      <c r="K989" s="6" t="s">
        <v>6794</v>
      </c>
      <c r="L989" s="54"/>
      <c r="M989" s="32" t="s">
        <v>6795</v>
      </c>
      <c r="N989" s="17"/>
      <c r="O989" s="17"/>
      <c r="P989" s="17" t="str">
        <f t="shared" si="8"/>
        <v>OK</v>
      </c>
      <c r="Q989" s="32" t="s">
        <v>663</v>
      </c>
      <c r="R989" s="6" t="s">
        <v>6779</v>
      </c>
      <c r="S989" s="17" t="s">
        <v>6796</v>
      </c>
      <c r="T989" s="6" t="s">
        <v>85</v>
      </c>
      <c r="U989" s="18" t="s">
        <v>38</v>
      </c>
      <c r="V989" s="19" t="s">
        <v>6054</v>
      </c>
      <c r="W989" s="20" t="s">
        <v>1484</v>
      </c>
      <c r="X989" s="39" t="s">
        <v>1484</v>
      </c>
      <c r="Y989" s="20"/>
      <c r="Z989" s="26"/>
      <c r="AA989" s="26"/>
      <c r="AB989" s="26"/>
      <c r="AC989" s="26"/>
    </row>
    <row r="990" spans="1:29" ht="15.75" customHeight="1">
      <c r="A990" s="10" t="s">
        <v>6797</v>
      </c>
      <c r="B990" s="20" t="s">
        <v>27</v>
      </c>
      <c r="C990" s="61" t="s">
        <v>28</v>
      </c>
      <c r="D990" s="38"/>
      <c r="E990" s="13" t="s">
        <v>162</v>
      </c>
      <c r="F990" s="6" t="s">
        <v>162</v>
      </c>
      <c r="G990" s="6" t="str">
        <f ca="1">IFERROR(__xludf.DUMMYFUNCTION("CONCATENATE(B990,(VLOOKUP(C990,CATALOGOS!$F$2:$H$6,3,FALSE)),(VLOOKUP(V990,CATALOGOS!$J$2:$K$18,2,FALSE)),""-"",TO_TEXT(A990))"),"P05RM-0989")</f>
        <v>P05RM-0989</v>
      </c>
      <c r="H990" s="64" t="str">
        <f ca="1">IFERROR(__xludf.DUMMYFUNCTION("CONCATENATE($B990,(VLOOKUP($C990,CATALOGOS!$F$2:$H$6,3,FALSE)),(VLOOKUP($V990,CATALOGOS!$J$2:$K$18,2,FALSE)),""-"",TO_TEXT($A990))"),"P05RM-0989")</f>
        <v>P05RM-0989</v>
      </c>
      <c r="I990" s="6"/>
      <c r="J990" s="6" t="s">
        <v>6798</v>
      </c>
      <c r="K990" s="6" t="s">
        <v>6799</v>
      </c>
      <c r="L990" s="72"/>
      <c r="M990" s="6" t="s">
        <v>6800</v>
      </c>
      <c r="N990" s="17"/>
      <c r="O990" s="17"/>
      <c r="P990" s="17" t="str">
        <f t="shared" si="8"/>
        <v>OK</v>
      </c>
      <c r="Q990" s="17" t="s">
        <v>663</v>
      </c>
      <c r="R990" s="6" t="s">
        <v>35</v>
      </c>
      <c r="S990" s="6" t="s">
        <v>36</v>
      </c>
      <c r="T990" s="32" t="s">
        <v>85</v>
      </c>
      <c r="U990" s="18" t="s">
        <v>2309</v>
      </c>
      <c r="V990" s="19" t="s">
        <v>147</v>
      </c>
      <c r="W990" s="20" t="s">
        <v>385</v>
      </c>
      <c r="X990" s="39" t="s">
        <v>1484</v>
      </c>
      <c r="Y990" s="20"/>
      <c r="Z990" s="84"/>
      <c r="AA990" s="84"/>
      <c r="AB990" s="54"/>
      <c r="AC990" s="26"/>
    </row>
    <row r="991" spans="1:29" ht="15.75" customHeight="1">
      <c r="A991" s="10" t="s">
        <v>6801</v>
      </c>
      <c r="B991" s="10" t="s">
        <v>4410</v>
      </c>
      <c r="C991" s="61" t="s">
        <v>4411</v>
      </c>
      <c r="D991" s="12"/>
      <c r="E991" s="13" t="s">
        <v>43</v>
      </c>
      <c r="F991" s="43" t="s">
        <v>2581</v>
      </c>
      <c r="G991" s="6" t="str">
        <f ca="1">IFERROR(__xludf.DUMMYFUNCTION("CONCATENATE(B991,(VLOOKUP(C991,CATALOGOS!$F$2:$H$6,3,FALSE)),(VLOOKUP(V991,CATALOGOS!$J$2:$K$18,2,FALSE)),""-"",TO_TEXT(A991))"),"P24RM-0990")</f>
        <v>P24RM-0990</v>
      </c>
      <c r="H991" s="15" t="str">
        <f ca="1">IFERROR(__xludf.DUMMYFUNCTION("CONCATENATE($B991,(VLOOKUP($C991,CATALOGOS!$F$2:$H$6,3,FALSE)),(VLOOKUP($V991,CATALOGOS!$J$2:$K$18,2,FALSE)),""-"",TO_TEXT($A991))"),"P24RM-0990")</f>
        <v>P24RM-0990</v>
      </c>
      <c r="I991" s="6"/>
      <c r="J991" s="6" t="s">
        <v>6802</v>
      </c>
      <c r="K991" s="6" t="s">
        <v>5285</v>
      </c>
      <c r="L991" s="32" t="s">
        <v>5235</v>
      </c>
      <c r="M991" s="6" t="s">
        <v>141</v>
      </c>
      <c r="N991" s="17"/>
      <c r="O991" s="17"/>
      <c r="P991" s="17" t="str">
        <f t="shared" si="8"/>
        <v>REPETIDO</v>
      </c>
      <c r="Q991" s="17" t="s">
        <v>5237</v>
      </c>
      <c r="R991" s="32" t="s">
        <v>35</v>
      </c>
      <c r="S991" s="17" t="s">
        <v>36</v>
      </c>
      <c r="T991" s="17" t="s">
        <v>5239</v>
      </c>
      <c r="U991" s="83" t="s">
        <v>2309</v>
      </c>
      <c r="V991" s="19" t="s">
        <v>147</v>
      </c>
      <c r="W991" s="20" t="s">
        <v>5246</v>
      </c>
      <c r="X991" s="21" t="s">
        <v>4417</v>
      </c>
      <c r="Y991" s="20" t="s">
        <v>5132</v>
      </c>
      <c r="Z991" s="7"/>
      <c r="AA991" s="7"/>
      <c r="AB991" s="23"/>
      <c r="AC991" s="26"/>
    </row>
    <row r="992" spans="1:29" ht="15.75" customHeight="1">
      <c r="A992" s="10" t="s">
        <v>6803</v>
      </c>
      <c r="B992" s="10" t="s">
        <v>4410</v>
      </c>
      <c r="C992" s="61" t="s">
        <v>4411</v>
      </c>
      <c r="D992" s="12"/>
      <c r="E992" s="13" t="s">
        <v>184</v>
      </c>
      <c r="F992" s="43" t="s">
        <v>6804</v>
      </c>
      <c r="G992" s="6" t="str">
        <f ca="1">IFERROR(__xludf.DUMMYFUNCTION("CONCATENATE(B992,(VLOOKUP(C992,CATALOGOS!$F$2:$H$6,3,FALSE)),(VLOOKUP(V992,CATALOGOS!$J$2:$K$18,2,FALSE)),""-"",TO_TEXT(A992))"),"P24RM-0991")</f>
        <v>P24RM-0991</v>
      </c>
      <c r="H992" s="64" t="str">
        <f ca="1">IFERROR(__xludf.DUMMYFUNCTION("CONCATENATE($B992,(VLOOKUP($C992,CATALOGOS!$F$2:$H$6,3,FALSE)),(VLOOKUP($V992,CATALOGOS!$J$2:$K$18,2,FALSE)),""-"",TO_TEXT($A992))"),"P24RM-0991")</f>
        <v>P24RM-0991</v>
      </c>
      <c r="I992" s="6"/>
      <c r="J992" s="6" t="s">
        <v>6805</v>
      </c>
      <c r="K992" s="6" t="s">
        <v>6806</v>
      </c>
      <c r="L992" s="32" t="s">
        <v>6807</v>
      </c>
      <c r="M992" s="6" t="s">
        <v>6808</v>
      </c>
      <c r="N992" s="17"/>
      <c r="O992" s="17"/>
      <c r="P992" s="17" t="str">
        <f t="shared" si="8"/>
        <v>OK</v>
      </c>
      <c r="Q992" s="17" t="s">
        <v>35</v>
      </c>
      <c r="R992" s="6" t="s">
        <v>35</v>
      </c>
      <c r="S992" s="17" t="s">
        <v>36</v>
      </c>
      <c r="T992" s="17" t="s">
        <v>6809</v>
      </c>
      <c r="U992" s="83" t="s">
        <v>2309</v>
      </c>
      <c r="V992" s="19" t="s">
        <v>147</v>
      </c>
      <c r="W992" s="20" t="s">
        <v>5246</v>
      </c>
      <c r="X992" s="21" t="s">
        <v>4417</v>
      </c>
      <c r="Y992" s="20" t="s">
        <v>5132</v>
      </c>
      <c r="Z992" s="7"/>
      <c r="AA992" s="7"/>
      <c r="AB992" s="23"/>
      <c r="AC992" s="26"/>
    </row>
    <row r="993" spans="1:29" ht="15.75" customHeight="1">
      <c r="A993" s="10" t="s">
        <v>6810</v>
      </c>
      <c r="B993" s="10" t="s">
        <v>4410</v>
      </c>
      <c r="C993" s="61" t="s">
        <v>4411</v>
      </c>
      <c r="D993" s="12"/>
      <c r="E993" s="13" t="s">
        <v>116</v>
      </c>
      <c r="F993" s="43" t="s">
        <v>6811</v>
      </c>
      <c r="G993" s="14" t="str">
        <f ca="1">IFERROR(__xludf.DUMMYFUNCTION("CONCATENATE(B993,(VLOOKUP(C993,CATALOGOS!$F$2:$H$6,3,FALSE)),(VLOOKUP(V993,CATALOGOS!$J$2:$K$18,2,FALSE)),""-"",TO_TEXT(A993))"),"P24CA-0992")</f>
        <v>P24CA-0992</v>
      </c>
      <c r="H993" s="15" t="str">
        <f ca="1">IFERROR(__xludf.DUMMYFUNCTION("CONCATENATE($B993,(VLOOKUP($C993,CATALOGOS!$F$2:$H$6,3,FALSE)),(VLOOKUP($V993,CATALOGOS!$J$2:$K$18,2,FALSE)),""-"",TO_TEXT($A993))"),"P24CA-0992")</f>
        <v>P24CA-0992</v>
      </c>
      <c r="I993" s="6"/>
      <c r="J993" s="6" t="s">
        <v>6812</v>
      </c>
      <c r="K993" s="6" t="s">
        <v>6813</v>
      </c>
      <c r="L993" s="32" t="s">
        <v>4413</v>
      </c>
      <c r="M993" s="6" t="s">
        <v>6814</v>
      </c>
      <c r="N993" s="17"/>
      <c r="O993" s="17"/>
      <c r="P993" s="17" t="str">
        <f t="shared" si="8"/>
        <v>OK</v>
      </c>
      <c r="Q993" s="17" t="s">
        <v>35</v>
      </c>
      <c r="R993" s="6" t="s">
        <v>35</v>
      </c>
      <c r="S993" s="17" t="s">
        <v>36</v>
      </c>
      <c r="T993" s="17" t="s">
        <v>6815</v>
      </c>
      <c r="U993" s="18" t="s">
        <v>38</v>
      </c>
      <c r="V993" s="19" t="s">
        <v>4416</v>
      </c>
      <c r="W993" s="20" t="s">
        <v>4417</v>
      </c>
      <c r="X993" s="21" t="s">
        <v>4417</v>
      </c>
      <c r="Y993" s="20"/>
      <c r="Z993" s="7"/>
      <c r="AA993" s="7"/>
      <c r="AB993" s="23"/>
      <c r="AC993" s="26"/>
    </row>
    <row r="994" spans="1:29" ht="15.75" customHeight="1">
      <c r="A994" s="10" t="s">
        <v>6816</v>
      </c>
      <c r="B994" s="10" t="s">
        <v>4410</v>
      </c>
      <c r="C994" s="61" t="s">
        <v>4411</v>
      </c>
      <c r="D994" s="12"/>
      <c r="E994" s="13" t="s">
        <v>248</v>
      </c>
      <c r="F994" s="43" t="s">
        <v>249</v>
      </c>
      <c r="G994" s="14" t="str">
        <f ca="1">IFERROR(__xludf.DUMMYFUNCTION("CONCATENATE(B994,(VLOOKUP(C994,CATALOGOS!$F$2:$H$6,3,FALSE)),(VLOOKUP(V994,CATALOGOS!$J$2:$K$18,2,FALSE)),""-"",TO_TEXT(A994))"),"P24CA-0993")</f>
        <v>P24CA-0993</v>
      </c>
      <c r="H994" s="15" t="str">
        <f ca="1">IFERROR(__xludf.DUMMYFUNCTION("CONCATENATE($B994,(VLOOKUP($C994,CATALOGOS!$F$2:$H$6,3,FALSE)),(VLOOKUP($V994,CATALOGOS!$J$2:$K$18,2,FALSE)),""-"",TO_TEXT($A994))"),"P24CA-0993")</f>
        <v>P24CA-0993</v>
      </c>
      <c r="I994" s="6"/>
      <c r="J994" s="6" t="s">
        <v>6817</v>
      </c>
      <c r="K994" s="6" t="s">
        <v>6818</v>
      </c>
      <c r="L994" s="32" t="s">
        <v>6819</v>
      </c>
      <c r="M994" s="6" t="s">
        <v>6820</v>
      </c>
      <c r="N994" s="17"/>
      <c r="O994" s="17"/>
      <c r="P994" s="17" t="str">
        <f t="shared" si="8"/>
        <v>OK</v>
      </c>
      <c r="Q994" s="17" t="s">
        <v>978</v>
      </c>
      <c r="R994" s="6" t="s">
        <v>979</v>
      </c>
      <c r="S994" s="17" t="s">
        <v>36</v>
      </c>
      <c r="T994" s="17" t="s">
        <v>6821</v>
      </c>
      <c r="U994" s="18" t="s">
        <v>38</v>
      </c>
      <c r="V994" s="19" t="s">
        <v>4416</v>
      </c>
      <c r="W994" s="20" t="s">
        <v>4417</v>
      </c>
      <c r="X994" s="21" t="s">
        <v>4417</v>
      </c>
      <c r="Y994" s="20"/>
      <c r="Z994" s="7"/>
      <c r="AA994" s="7"/>
      <c r="AB994" s="23"/>
      <c r="AC994" s="26"/>
    </row>
    <row r="995" spans="1:29" ht="15.75" customHeight="1">
      <c r="A995" s="10" t="s">
        <v>6822</v>
      </c>
      <c r="B995" s="10" t="s">
        <v>4410</v>
      </c>
      <c r="C995" s="61" t="s">
        <v>4411</v>
      </c>
      <c r="D995" s="12"/>
      <c r="E995" s="13" t="s">
        <v>278</v>
      </c>
      <c r="F995" s="43" t="s">
        <v>278</v>
      </c>
      <c r="G995" s="14" t="str">
        <f ca="1">IFERROR(__xludf.DUMMYFUNCTION("CONCATENATE(B995,(VLOOKUP(C995,CATALOGOS!$F$2:$H$6,3,FALSE)),(VLOOKUP(V995,CATALOGOS!$J$2:$K$18,2,FALSE)),""-"",TO_TEXT(A995))"),"P24CA-0994")</f>
        <v>P24CA-0994</v>
      </c>
      <c r="H995" s="15" t="str">
        <f ca="1">IFERROR(__xludf.DUMMYFUNCTION("CONCATENATE($B995,(VLOOKUP($C995,CATALOGOS!$F$2:$H$6,3,FALSE)),(VLOOKUP($V995,CATALOGOS!$J$2:$K$18,2,FALSE)),""-"",TO_TEXT($A995))"),"P24CA-0994")</f>
        <v>P24CA-0994</v>
      </c>
      <c r="I995" s="6"/>
      <c r="J995" s="6" t="s">
        <v>6823</v>
      </c>
      <c r="K995" s="6" t="s">
        <v>6824</v>
      </c>
      <c r="L995" s="32" t="s">
        <v>6825</v>
      </c>
      <c r="M995" s="6" t="s">
        <v>6826</v>
      </c>
      <c r="N995" s="17"/>
      <c r="O995" s="17"/>
      <c r="P995" s="17" t="str">
        <f t="shared" si="8"/>
        <v>OK</v>
      </c>
      <c r="Q995" s="17" t="s">
        <v>35</v>
      </c>
      <c r="R995" s="6" t="s">
        <v>35</v>
      </c>
      <c r="S995" s="17" t="s">
        <v>36</v>
      </c>
      <c r="T995" s="17" t="s">
        <v>6827</v>
      </c>
      <c r="U995" s="18" t="s">
        <v>38</v>
      </c>
      <c r="V995" s="19" t="s">
        <v>4416</v>
      </c>
      <c r="W995" s="20" t="s">
        <v>4417</v>
      </c>
      <c r="X995" s="21" t="s">
        <v>4417</v>
      </c>
      <c r="Y995" s="22"/>
      <c r="Z995" s="7"/>
      <c r="AA995" s="7"/>
      <c r="AB995" s="23"/>
      <c r="AC995" s="26"/>
    </row>
    <row r="996" spans="1:29" ht="15.75" customHeight="1">
      <c r="A996" s="10" t="s">
        <v>6828</v>
      </c>
      <c r="B996" s="10" t="s">
        <v>4410</v>
      </c>
      <c r="C996" s="61" t="s">
        <v>4411</v>
      </c>
      <c r="D996" s="12"/>
      <c r="E996" s="13" t="s">
        <v>43</v>
      </c>
      <c r="F996" s="43" t="s">
        <v>2581</v>
      </c>
      <c r="G996" s="14" t="str">
        <f ca="1">IFERROR(__xludf.DUMMYFUNCTION("CONCATENATE(B996,(VLOOKUP(C996,CATALOGOS!$F$2:$H$6,3,FALSE)),(VLOOKUP(V996,CATALOGOS!$J$2:$K$18,2,FALSE)),""-"",TO_TEXT(A996))"),"P24CA-0995")</f>
        <v>P24CA-0995</v>
      </c>
      <c r="H996" s="15" t="str">
        <f ca="1">IFERROR(__xludf.DUMMYFUNCTION("CONCATENATE($B996,(VLOOKUP($C996,CATALOGOS!$F$2:$H$6,3,FALSE)),(VLOOKUP($V996,CATALOGOS!$J$2:$K$18,2,FALSE)),""-"",TO_TEXT($A996))"),"P24CA-0995")</f>
        <v>P24CA-0995</v>
      </c>
      <c r="I996" s="6"/>
      <c r="J996" s="6" t="s">
        <v>6829</v>
      </c>
      <c r="K996" s="6" t="s">
        <v>6830</v>
      </c>
      <c r="L996" s="32" t="s">
        <v>6831</v>
      </c>
      <c r="M996" s="6" t="s">
        <v>6832</v>
      </c>
      <c r="N996" s="17"/>
      <c r="O996" s="17"/>
      <c r="P996" s="17" t="str">
        <f t="shared" si="8"/>
        <v>OK</v>
      </c>
      <c r="Q996" s="17" t="s">
        <v>5237</v>
      </c>
      <c r="R996" s="6" t="s">
        <v>35</v>
      </c>
      <c r="S996" s="17" t="s">
        <v>36</v>
      </c>
      <c r="T996" s="35" t="s">
        <v>6833</v>
      </c>
      <c r="U996" s="18" t="s">
        <v>38</v>
      </c>
      <c r="V996" s="19" t="s">
        <v>4416</v>
      </c>
      <c r="W996" s="20" t="s">
        <v>4417</v>
      </c>
      <c r="X996" s="21" t="s">
        <v>4417</v>
      </c>
      <c r="Y996" s="20" t="s">
        <v>6834</v>
      </c>
      <c r="Z996" s="7"/>
      <c r="AA996" s="7"/>
      <c r="AB996" s="23"/>
      <c r="AC996" s="26"/>
    </row>
    <row r="997" spans="1:29" ht="15.75" customHeight="1">
      <c r="A997" s="10" t="s">
        <v>6835</v>
      </c>
      <c r="B997" s="20" t="s">
        <v>4410</v>
      </c>
      <c r="C997" s="61" t="s">
        <v>4411</v>
      </c>
      <c r="D997" s="38"/>
      <c r="E997" s="13" t="s">
        <v>199</v>
      </c>
      <c r="F997" s="43" t="s">
        <v>6836</v>
      </c>
      <c r="G997" s="6" t="str">
        <f ca="1">IFERROR(__xludf.DUMMYFUNCTION("CONCATENATE(B997,(VLOOKUP(C997,CATALOGOS!$F$2:$H$6,3,FALSE)),(VLOOKUP(V997,CATALOGOS!$J$2:$K$18,2,FALSE)),""-"",TO_TEXT(A997))"),"P24CA-0996")</f>
        <v>P24CA-0996</v>
      </c>
      <c r="H997" s="64" t="str">
        <f ca="1">IFERROR(__xludf.DUMMYFUNCTION("CONCATENATE($B997,(VLOOKUP($C997,CATALOGOS!$F$2:$H$6,3,FALSE)),(VLOOKUP($V997,CATALOGOS!$J$2:$K$18,2,FALSE)),""-"",TO_TEXT($A997))"),"P24CA-0996")</f>
        <v>P24CA-0996</v>
      </c>
      <c r="I997" s="6"/>
      <c r="J997" s="6" t="s">
        <v>6837</v>
      </c>
      <c r="K997" s="6" t="s">
        <v>6838</v>
      </c>
      <c r="L997" s="49" t="s">
        <v>6839</v>
      </c>
      <c r="M997" s="6" t="s">
        <v>6840</v>
      </c>
      <c r="N997" s="17"/>
      <c r="O997" s="17"/>
      <c r="P997" s="17" t="str">
        <f t="shared" si="8"/>
        <v>OK</v>
      </c>
      <c r="Q997" s="17" t="s">
        <v>682</v>
      </c>
      <c r="R997" s="6" t="s">
        <v>35</v>
      </c>
      <c r="S997" s="43" t="s">
        <v>6841</v>
      </c>
      <c r="T997" s="35" t="s">
        <v>85</v>
      </c>
      <c r="U997" s="18" t="s">
        <v>38</v>
      </c>
      <c r="V997" s="19" t="s">
        <v>4416</v>
      </c>
      <c r="W997" s="20" t="s">
        <v>4417</v>
      </c>
      <c r="X997" s="21" t="s">
        <v>4417</v>
      </c>
      <c r="Y997" s="22"/>
      <c r="Z997" s="7"/>
      <c r="AA997" s="7"/>
      <c r="AB997" s="26"/>
      <c r="AC997" s="26"/>
    </row>
    <row r="998" spans="1:29" ht="15.75" customHeight="1">
      <c r="A998" s="10" t="s">
        <v>6842</v>
      </c>
      <c r="B998" s="10" t="s">
        <v>1469</v>
      </c>
      <c r="C998" s="61" t="s">
        <v>1470</v>
      </c>
      <c r="D998" s="12"/>
      <c r="E998" s="13" t="s">
        <v>378</v>
      </c>
      <c r="F998" s="6" t="s">
        <v>379</v>
      </c>
      <c r="G998" s="6" t="str">
        <f ca="1">IFERROR(__xludf.DUMMYFUNCTION("CONCATENATE(B998,(VLOOKUP(C998,CATALOGOS!$F$2:$H$6,3,FALSE)),(VLOOKUP(V998,CATALOGOS!$J$2:$K$18,2,FALSE)),""-"",TO_TEXT(A998))"),"P12PP-0997")</f>
        <v>P12PP-0997</v>
      </c>
      <c r="H998" s="64" t="str">
        <f ca="1">IFERROR(__xludf.DUMMYFUNCTION("CONCATENATE($B998,(VLOOKUP($C998,CATALOGOS!$F$2:$H$6,3,FALSE)),(VLOOKUP($V998,CATALOGOS!$J$2:$K$18,2,FALSE)),""-"",TO_TEXT($A998))"),"P12PP-0997")</f>
        <v>P12PP-0997</v>
      </c>
      <c r="I998" s="6"/>
      <c r="J998" s="6" t="s">
        <v>6843</v>
      </c>
      <c r="K998" s="37"/>
      <c r="L998" s="37"/>
      <c r="M998" s="6" t="s">
        <v>141</v>
      </c>
      <c r="N998" s="17"/>
      <c r="O998" s="17"/>
      <c r="P998" s="17"/>
      <c r="Q998" s="35" t="s">
        <v>6844</v>
      </c>
      <c r="R998" s="10" t="s">
        <v>6845</v>
      </c>
      <c r="S998" s="10" t="s">
        <v>36</v>
      </c>
      <c r="T998" s="10" t="s">
        <v>6846</v>
      </c>
      <c r="U998" s="18" t="s">
        <v>38</v>
      </c>
      <c r="V998" s="19" t="s">
        <v>1548</v>
      </c>
      <c r="W998" s="20" t="s">
        <v>1736</v>
      </c>
      <c r="X998" s="39" t="s">
        <v>1737</v>
      </c>
      <c r="Y998" s="20"/>
      <c r="Z998" s="26"/>
      <c r="AA998" s="26"/>
      <c r="AB998" s="26"/>
      <c r="AC998" s="26"/>
    </row>
    <row r="999" spans="1:29" ht="15.75" customHeight="1">
      <c r="A999" s="10" t="s">
        <v>6847</v>
      </c>
      <c r="B999" s="10" t="s">
        <v>1469</v>
      </c>
      <c r="C999" s="61" t="s">
        <v>1470</v>
      </c>
      <c r="D999" s="12"/>
      <c r="E999" s="13" t="s">
        <v>43</v>
      </c>
      <c r="F999" s="6" t="s">
        <v>6848</v>
      </c>
      <c r="G999" s="14" t="str">
        <f ca="1">IFERROR(__xludf.DUMMYFUNCTION("CONCATENATE(B999,(VLOOKUP(C999,CATALOGOS!$F$2:$H$6,3,FALSE)),(VLOOKUP(V999,CATALOGOS!$J$2:$K$18,2,FALSE)),""-"",TO_TEXT(A999))"),"P12PL-0998")</f>
        <v>P12PL-0998</v>
      </c>
      <c r="H999" s="15" t="str">
        <f ca="1">IFERROR(__xludf.DUMMYFUNCTION("CONCATENATE($B999,(VLOOKUP($C999,CATALOGOS!$F$2:$H$6,3,FALSE)),(VLOOKUP($V999,CATALOGOS!$J$2:$K$18,2,FALSE)),""-"",TO_TEXT($A999))"),"P12PL-0998")</f>
        <v>P12PL-0998</v>
      </c>
      <c r="I999" s="6"/>
      <c r="J999" s="6" t="s">
        <v>6849</v>
      </c>
      <c r="K999" s="37"/>
      <c r="L999" s="37"/>
      <c r="M999" s="6" t="s">
        <v>141</v>
      </c>
      <c r="N999" s="17"/>
      <c r="O999" s="17"/>
      <c r="P999" s="17"/>
      <c r="Q999" s="35" t="s">
        <v>1913</v>
      </c>
      <c r="R999" s="10" t="s">
        <v>6850</v>
      </c>
      <c r="S999" s="10" t="s">
        <v>36</v>
      </c>
      <c r="T999" s="10" t="s">
        <v>85</v>
      </c>
      <c r="U999" s="18" t="s">
        <v>38</v>
      </c>
      <c r="V999" s="19" t="s">
        <v>3091</v>
      </c>
      <c r="W999" s="20" t="s">
        <v>3092</v>
      </c>
      <c r="X999" s="39" t="s">
        <v>3092</v>
      </c>
      <c r="Y999" s="20"/>
      <c r="Z999" s="26"/>
      <c r="AA999" s="26"/>
      <c r="AB999" s="26"/>
      <c r="AC999" s="26"/>
    </row>
    <row r="1000" spans="1:29" ht="15.75" customHeight="1">
      <c r="A1000" s="10" t="s">
        <v>6851</v>
      </c>
      <c r="B1000" s="10" t="s">
        <v>1469</v>
      </c>
      <c r="C1000" s="61" t="s">
        <v>1470</v>
      </c>
      <c r="D1000" s="12"/>
      <c r="E1000" s="13" t="s">
        <v>378</v>
      </c>
      <c r="F1000" s="6" t="s">
        <v>379</v>
      </c>
      <c r="G1000" s="6" t="str">
        <f ca="1">IFERROR(__xludf.DUMMYFUNCTION("CONCATENATE(B1000,(VLOOKUP(C1000,CATALOGOS!$F$2:$H$6,3,FALSE)),(VLOOKUP(V1000,CATALOGOS!$J$2:$K$18,2,FALSE)),""-"",TO_TEXT(A1000))"),"P12SI-0999")</f>
        <v>P12SI-0999</v>
      </c>
      <c r="H1000" s="15" t="str">
        <f ca="1">IFERROR(__xludf.DUMMYFUNCTION("CONCATENATE($B1000,(VLOOKUP($C1000,CATALOGOS!$F$2:$H$6,3,FALSE)),(VLOOKUP($V1000,CATALOGOS!$J$2:$K$18,2,FALSE)),""-"",TO_TEXT($A1000))"),"P12SI-0999")</f>
        <v>P12SI-0999</v>
      </c>
      <c r="I1000" s="6"/>
      <c r="J1000" s="6" t="s">
        <v>6852</v>
      </c>
      <c r="K1000" s="37"/>
      <c r="L1000" s="37"/>
      <c r="M1000" s="6" t="s">
        <v>141</v>
      </c>
      <c r="N1000" s="17"/>
      <c r="O1000" s="17"/>
      <c r="P1000" s="17"/>
      <c r="Q1000" s="35" t="s">
        <v>35</v>
      </c>
      <c r="R1000" s="10" t="s">
        <v>35</v>
      </c>
      <c r="S1000" s="10" t="s">
        <v>36</v>
      </c>
      <c r="T1000" s="10" t="s">
        <v>6853</v>
      </c>
      <c r="U1000" s="18" t="s">
        <v>38</v>
      </c>
      <c r="V1000" s="61" t="s">
        <v>1483</v>
      </c>
      <c r="W1000" s="20" t="s">
        <v>7203</v>
      </c>
      <c r="X1000" s="20" t="s">
        <v>2466</v>
      </c>
      <c r="Y1000" s="20"/>
      <c r="Z1000" s="26"/>
      <c r="AA1000" s="26"/>
      <c r="AB1000" s="26"/>
      <c r="AC1000" s="26"/>
    </row>
    <row r="1001" spans="1:29" ht="15.75" customHeight="1">
      <c r="A1001" s="10" t="s">
        <v>6854</v>
      </c>
      <c r="B1001" s="10" t="s">
        <v>1469</v>
      </c>
      <c r="C1001" s="61" t="s">
        <v>1470</v>
      </c>
      <c r="D1001" s="12"/>
      <c r="E1001" s="13" t="s">
        <v>378</v>
      </c>
      <c r="F1001" s="6" t="s">
        <v>379</v>
      </c>
      <c r="G1001" s="6" t="str">
        <f ca="1">IFERROR(__xludf.DUMMYFUNCTION("CONCATENATE(B1001,(VLOOKUP(C1001,CATALOGOS!$F$2:$H$6,3,FALSE)),(VLOOKUP(V1001,CATALOGOS!$J$2:$K$18,2,FALSE)),""-"",TO_TEXT(A1001))"),"P12SI-1000")</f>
        <v>P12SI-1000</v>
      </c>
      <c r="H1001" s="15" t="str">
        <f ca="1">IFERROR(__xludf.DUMMYFUNCTION("CONCATENATE($B1001,(VLOOKUP($C1001,CATALOGOS!$F$2:$H$6,3,FALSE)),(VLOOKUP($V1001,CATALOGOS!$J$2:$K$18,2,FALSE)),""-"",TO_TEXT($A1001))"),"P12SI-1000")</f>
        <v>P12SI-1000</v>
      </c>
      <c r="I1001" s="6"/>
      <c r="J1001" s="6" t="s">
        <v>6855</v>
      </c>
      <c r="K1001" s="37"/>
      <c r="L1001" s="37"/>
      <c r="M1001" s="6" t="s">
        <v>141</v>
      </c>
      <c r="N1001" s="17"/>
      <c r="O1001" s="17"/>
      <c r="P1001" s="17"/>
      <c r="Q1001" s="35" t="s">
        <v>35</v>
      </c>
      <c r="R1001" s="10" t="s">
        <v>35</v>
      </c>
      <c r="S1001" s="10" t="s">
        <v>36</v>
      </c>
      <c r="T1001" s="10" t="s">
        <v>6856</v>
      </c>
      <c r="U1001" s="18" t="s">
        <v>38</v>
      </c>
      <c r="V1001" s="61" t="s">
        <v>1483</v>
      </c>
      <c r="W1001" s="20" t="s">
        <v>1484</v>
      </c>
      <c r="X1001" s="39" t="s">
        <v>1484</v>
      </c>
      <c r="Y1001" s="20"/>
      <c r="Z1001" s="26"/>
      <c r="AA1001" s="26"/>
      <c r="AB1001" s="26"/>
      <c r="AC1001" s="26"/>
    </row>
    <row r="1002" spans="1:29" ht="15.75" customHeight="1">
      <c r="A1002" s="10" t="s">
        <v>6857</v>
      </c>
      <c r="B1002" s="10" t="s">
        <v>1469</v>
      </c>
      <c r="C1002" s="61" t="s">
        <v>1470</v>
      </c>
      <c r="D1002" s="12"/>
      <c r="E1002" s="13" t="s">
        <v>151</v>
      </c>
      <c r="F1002" s="6" t="s">
        <v>6858</v>
      </c>
      <c r="G1002" s="6" t="str">
        <f ca="1">IFERROR(__xludf.DUMMYFUNCTION("CONCATENATE(B1002,(VLOOKUP(C1002,CATALOGOS!$F$2:$H$6,3,FALSE)),(VLOOKUP(V1002,CATALOGOS!$J$2:$K$18,2,FALSE)),""-"",TO_TEXT(A1002))"),"P12SI-1001")</f>
        <v>P12SI-1001</v>
      </c>
      <c r="H1002" s="15" t="str">
        <f ca="1">IFERROR(__xludf.DUMMYFUNCTION("CONCATENATE($B1002,(VLOOKUP($C1002,CATALOGOS!$F$2:$H$6,3,FALSE)),(VLOOKUP($V1002,CATALOGOS!$J$2:$K$18,2,FALSE)),""-"",TO_TEXT($A1002))"),"P12SI-1001")</f>
        <v>P12SI-1001</v>
      </c>
      <c r="I1002" s="6"/>
      <c r="J1002" s="6" t="s">
        <v>6859</v>
      </c>
      <c r="K1002" s="37"/>
      <c r="L1002" s="37"/>
      <c r="M1002" s="6" t="s">
        <v>141</v>
      </c>
      <c r="N1002" s="17"/>
      <c r="O1002" s="17"/>
      <c r="P1002" s="17"/>
      <c r="Q1002" s="35" t="s">
        <v>35</v>
      </c>
      <c r="R1002" s="10" t="s">
        <v>6860</v>
      </c>
      <c r="S1002" s="10" t="s">
        <v>6861</v>
      </c>
      <c r="T1002" s="10" t="s">
        <v>6862</v>
      </c>
      <c r="U1002" s="18" t="s">
        <v>38</v>
      </c>
      <c r="V1002" s="61" t="s">
        <v>1483</v>
      </c>
      <c r="W1002" s="20" t="s">
        <v>2518</v>
      </c>
      <c r="X1002" s="39" t="s">
        <v>2533</v>
      </c>
      <c r="Y1002" s="20"/>
      <c r="Z1002" s="26"/>
      <c r="AA1002" s="26"/>
      <c r="AB1002" s="26"/>
      <c r="AC1002" s="26"/>
    </row>
    <row r="1003" spans="1:29" ht="15.75" customHeight="1">
      <c r="A1003" s="10" t="s">
        <v>6863</v>
      </c>
      <c r="B1003" s="10" t="s">
        <v>1469</v>
      </c>
      <c r="C1003" s="61" t="s">
        <v>1470</v>
      </c>
      <c r="D1003" s="12"/>
      <c r="E1003" s="13" t="s">
        <v>151</v>
      </c>
      <c r="F1003" s="6" t="s">
        <v>6858</v>
      </c>
      <c r="G1003" s="14" t="str">
        <f ca="1">IFERROR(__xludf.DUMMYFUNCTION("CONCATENATE(B1003,(VLOOKUP(C1003,CATALOGOS!$F$2:$H$6,3,FALSE)),(VLOOKUP(V1003,CATALOGOS!$J$2:$K$18,2,FALSE)),""-"",TO_TEXT(A1003))"),"P12SI-1002")</f>
        <v>P12SI-1002</v>
      </c>
      <c r="H1003" s="15" t="str">
        <f ca="1">IFERROR(__xludf.DUMMYFUNCTION("CONCATENATE($B1003,(VLOOKUP($C1003,CATALOGOS!$F$2:$H$6,3,FALSE)),(VLOOKUP($V1003,CATALOGOS!$J$2:$K$18,2,FALSE)),""-"",TO_TEXT($A1003))"),"P12SI-1002")</f>
        <v>P12SI-1002</v>
      </c>
      <c r="I1003" s="6"/>
      <c r="J1003" s="6" t="s">
        <v>6864</v>
      </c>
      <c r="K1003" s="37"/>
      <c r="L1003" s="37"/>
      <c r="M1003" s="6" t="s">
        <v>141</v>
      </c>
      <c r="N1003" s="17"/>
      <c r="O1003" s="17"/>
      <c r="P1003" s="17"/>
      <c r="Q1003" s="35" t="s">
        <v>2317</v>
      </c>
      <c r="R1003" s="10" t="s">
        <v>6860</v>
      </c>
      <c r="S1003" s="10" t="s">
        <v>6865</v>
      </c>
      <c r="T1003" s="10" t="s">
        <v>6866</v>
      </c>
      <c r="U1003" s="18" t="s">
        <v>38</v>
      </c>
      <c r="V1003" s="61" t="s">
        <v>1483</v>
      </c>
      <c r="W1003" s="20" t="s">
        <v>2337</v>
      </c>
      <c r="X1003" s="39" t="s">
        <v>3173</v>
      </c>
      <c r="Y1003" s="20"/>
      <c r="Z1003" s="26"/>
      <c r="AA1003" s="26"/>
      <c r="AB1003" s="26"/>
      <c r="AC1003" s="26"/>
    </row>
    <row r="1004" spans="1:29" ht="15.75" customHeight="1">
      <c r="A1004" s="10" t="s">
        <v>6867</v>
      </c>
      <c r="B1004" s="10" t="s">
        <v>1469</v>
      </c>
      <c r="C1004" s="61" t="s">
        <v>1470</v>
      </c>
      <c r="D1004" s="12"/>
      <c r="E1004" s="13" t="s">
        <v>378</v>
      </c>
      <c r="F1004" s="6" t="s">
        <v>379</v>
      </c>
      <c r="G1004" s="14" t="str">
        <f ca="1">IFERROR(__xludf.DUMMYFUNCTION("CONCATENATE(B1004,(VLOOKUP(C1004,CATALOGOS!$F$2:$H$6,3,FALSE)),(VLOOKUP(V1004,CATALOGOS!$J$2:$K$18,2,FALSE)),""-"",TO_TEXT(A1004))"),"P12SI-1003")</f>
        <v>P12SI-1003</v>
      </c>
      <c r="H1004" s="15" t="str">
        <f ca="1">IFERROR(__xludf.DUMMYFUNCTION("CONCATENATE($B1004,(VLOOKUP($C1004,CATALOGOS!$F$2:$H$6,3,FALSE)),(VLOOKUP($V1004,CATALOGOS!$J$2:$K$18,2,FALSE)),""-"",TO_TEXT($A1004))"),"P12SI-1003")</f>
        <v>P12SI-1003</v>
      </c>
      <c r="I1004" s="6"/>
      <c r="J1004" s="6" t="s">
        <v>6868</v>
      </c>
      <c r="K1004" s="37"/>
      <c r="L1004" s="37"/>
      <c r="M1004" s="6" t="s">
        <v>141</v>
      </c>
      <c r="N1004" s="17"/>
      <c r="O1004" s="17"/>
      <c r="P1004" s="17"/>
      <c r="Q1004" s="35" t="s">
        <v>35</v>
      </c>
      <c r="R1004" s="10" t="s">
        <v>35</v>
      </c>
      <c r="S1004" s="10" t="s">
        <v>36</v>
      </c>
      <c r="T1004" s="10" t="s">
        <v>6869</v>
      </c>
      <c r="U1004" s="18" t="s">
        <v>38</v>
      </c>
      <c r="V1004" s="61" t="s">
        <v>1483</v>
      </c>
      <c r="W1004" s="20" t="s">
        <v>2518</v>
      </c>
      <c r="X1004" s="39" t="s">
        <v>3173</v>
      </c>
      <c r="Y1004" s="20"/>
      <c r="Z1004" s="26"/>
      <c r="AA1004" s="26"/>
      <c r="AB1004" s="26"/>
      <c r="AC1004" s="26"/>
    </row>
    <row r="1005" spans="1:29" ht="15.75" customHeight="1">
      <c r="A1005" s="10" t="s">
        <v>6870</v>
      </c>
      <c r="B1005" s="10" t="s">
        <v>4410</v>
      </c>
      <c r="C1005" s="61" t="s">
        <v>4411</v>
      </c>
      <c r="D1005" s="12"/>
      <c r="E1005" s="13" t="s">
        <v>184</v>
      </c>
      <c r="F1005" s="6" t="s">
        <v>6871</v>
      </c>
      <c r="G1005" s="14" t="str">
        <f ca="1">IFERROR(__xludf.DUMMYFUNCTION("CONCATENATE(B1005,(VLOOKUP(C1005,CATALOGOS!$F$2:$H$6,3,FALSE)),(VLOOKUP(V1005,CATALOGOS!$J$2:$K$18,2,FALSE)),""-"",TO_TEXT(A1005))"),"P24SJ-1004")</f>
        <v>P24SJ-1004</v>
      </c>
      <c r="H1005" s="15" t="str">
        <f ca="1">IFERROR(__xludf.DUMMYFUNCTION("CONCATENATE($B1005,(VLOOKUP($C1005,CATALOGOS!$F$2:$H$6,3,FALSE)),(VLOOKUP($V1005,CATALOGOS!$J$2:$K$18,2,FALSE)),""-"",TO_TEXT($A1005))"),"P24SJ-1004")</f>
        <v>P24SJ-1004</v>
      </c>
      <c r="I1005" s="6"/>
      <c r="J1005" s="6" t="s">
        <v>6872</v>
      </c>
      <c r="K1005" s="37"/>
      <c r="L1005" s="37"/>
      <c r="M1005" s="6" t="s">
        <v>141</v>
      </c>
      <c r="N1005" s="17"/>
      <c r="O1005" s="17"/>
      <c r="P1005" s="17"/>
      <c r="Q1005" s="35" t="s">
        <v>35</v>
      </c>
      <c r="R1005" s="10" t="s">
        <v>35</v>
      </c>
      <c r="S1005" s="10" t="s">
        <v>36</v>
      </c>
      <c r="T1005" s="10" t="s">
        <v>6873</v>
      </c>
      <c r="U1005" s="18" t="s">
        <v>38</v>
      </c>
      <c r="V1005" s="85" t="s">
        <v>4411</v>
      </c>
      <c r="W1005" s="20" t="s">
        <v>4935</v>
      </c>
      <c r="X1005" s="39" t="s">
        <v>4935</v>
      </c>
      <c r="Y1005" s="20"/>
      <c r="Z1005" s="26"/>
      <c r="AA1005" s="26"/>
      <c r="AB1005" s="26"/>
      <c r="AC1005" s="26"/>
    </row>
    <row r="1006" spans="1:29" ht="15.75" customHeight="1">
      <c r="A1006" s="10" t="s">
        <v>6874</v>
      </c>
      <c r="B1006" s="10" t="s">
        <v>4410</v>
      </c>
      <c r="C1006" s="61" t="s">
        <v>4411</v>
      </c>
      <c r="D1006" s="12"/>
      <c r="E1006" s="13" t="s">
        <v>184</v>
      </c>
      <c r="F1006" s="6" t="s">
        <v>6871</v>
      </c>
      <c r="G1006" s="14" t="str">
        <f ca="1">IFERROR(__xludf.DUMMYFUNCTION("CONCATENATE(B1006,(VLOOKUP(C1006,CATALOGOS!$F$2:$H$6,3,FALSE)),(VLOOKUP(V1006,CATALOGOS!$J$2:$K$18,2,FALSE)),""-"",TO_TEXT(A1006))"),"P24SJ-1005")</f>
        <v>P24SJ-1005</v>
      </c>
      <c r="H1006" s="15" t="str">
        <f ca="1">IFERROR(__xludf.DUMMYFUNCTION("CONCATENATE($B1006,(VLOOKUP($C1006,CATALOGOS!$F$2:$H$6,3,FALSE)),(VLOOKUP($V1006,CATALOGOS!$J$2:$K$18,2,FALSE)),""-"",TO_TEXT($A1006))"),"P24SJ-1005")</f>
        <v>P24SJ-1005</v>
      </c>
      <c r="I1006" s="6"/>
      <c r="J1006" s="6" t="s">
        <v>6875</v>
      </c>
      <c r="K1006" s="37"/>
      <c r="L1006" s="37"/>
      <c r="M1006" s="6" t="s">
        <v>141</v>
      </c>
      <c r="N1006" s="17"/>
      <c r="O1006" s="17"/>
      <c r="P1006" s="17"/>
      <c r="Q1006" s="35" t="s">
        <v>35</v>
      </c>
      <c r="R1006" s="10" t="s">
        <v>35</v>
      </c>
      <c r="S1006" s="10" t="s">
        <v>36</v>
      </c>
      <c r="T1006" s="10" t="s">
        <v>6876</v>
      </c>
      <c r="U1006" s="18" t="s">
        <v>38</v>
      </c>
      <c r="V1006" s="85" t="s">
        <v>4411</v>
      </c>
      <c r="W1006" s="20" t="s">
        <v>4935</v>
      </c>
      <c r="X1006" s="39" t="s">
        <v>4935</v>
      </c>
      <c r="Y1006" s="20"/>
      <c r="Z1006" s="26"/>
      <c r="AA1006" s="26"/>
      <c r="AB1006" s="26"/>
      <c r="AC1006" s="26"/>
    </row>
    <row r="1007" spans="1:29" ht="15.75" customHeight="1">
      <c r="A1007" s="10" t="s">
        <v>6877</v>
      </c>
      <c r="B1007" s="10" t="s">
        <v>4410</v>
      </c>
      <c r="C1007" s="61" t="s">
        <v>4411</v>
      </c>
      <c r="D1007" s="12"/>
      <c r="E1007" s="13" t="s">
        <v>43</v>
      </c>
      <c r="F1007" s="6" t="s">
        <v>6878</v>
      </c>
      <c r="G1007" s="14" t="str">
        <f ca="1">IFERROR(__xludf.DUMMYFUNCTION("CONCATENATE(B1007,(VLOOKUP(C1007,CATALOGOS!$F$2:$H$6,3,FALSE)),(VLOOKUP(V1007,CATALOGOS!$J$2:$K$18,2,FALSE)),""-"",TO_TEXT(A1007))"),"P24SJ-1006")</f>
        <v>P24SJ-1006</v>
      </c>
      <c r="H1007" s="15" t="str">
        <f ca="1">IFERROR(__xludf.DUMMYFUNCTION("CONCATENATE($B1007,(VLOOKUP($C1007,CATALOGOS!$F$2:$H$6,3,FALSE)),(VLOOKUP($V1007,CATALOGOS!$J$2:$K$18,2,FALSE)),""-"",TO_TEXT($A1007))"),"P24SJ-1006")</f>
        <v>P24SJ-1006</v>
      </c>
      <c r="I1007" s="6"/>
      <c r="J1007" s="6" t="s">
        <v>6879</v>
      </c>
      <c r="K1007" s="37"/>
      <c r="L1007" s="37"/>
      <c r="M1007" s="6" t="s">
        <v>141</v>
      </c>
      <c r="N1007" s="17"/>
      <c r="O1007" s="17"/>
      <c r="P1007" s="17"/>
      <c r="Q1007" s="35" t="s">
        <v>49</v>
      </c>
      <c r="R1007" s="10">
        <v>3196</v>
      </c>
      <c r="S1007" s="10" t="s">
        <v>36</v>
      </c>
      <c r="T1007" s="10" t="s">
        <v>6880</v>
      </c>
      <c r="U1007" s="18" t="s">
        <v>38</v>
      </c>
      <c r="V1007" s="85" t="s">
        <v>4411</v>
      </c>
      <c r="W1007" s="20" t="s">
        <v>4935</v>
      </c>
      <c r="X1007" s="39" t="s">
        <v>4935</v>
      </c>
      <c r="Y1007" s="20"/>
      <c r="Z1007" s="26"/>
      <c r="AA1007" s="26"/>
      <c r="AB1007" s="26"/>
      <c r="AC1007" s="26"/>
    </row>
    <row r="1008" spans="1:29" ht="15.75" customHeight="1">
      <c r="A1008" s="10" t="s">
        <v>6881</v>
      </c>
      <c r="B1008" s="10" t="s">
        <v>4410</v>
      </c>
      <c r="C1008" s="61" t="s">
        <v>4411</v>
      </c>
      <c r="D1008" s="12"/>
      <c r="E1008" s="13" t="s">
        <v>321</v>
      </c>
      <c r="F1008" s="6" t="s">
        <v>6882</v>
      </c>
      <c r="G1008" s="14" t="str">
        <f ca="1">IFERROR(__xludf.DUMMYFUNCTION("CONCATENATE(B1008,(VLOOKUP(C1008,CATALOGOS!$F$2:$H$6,3,FALSE)),(VLOOKUP(V1008,CATALOGOS!$J$2:$K$18,2,FALSE)),""-"",TO_TEXT(A1008))"),"P24SJ-1007")</f>
        <v>P24SJ-1007</v>
      </c>
      <c r="H1008" s="15" t="str">
        <f ca="1">IFERROR(__xludf.DUMMYFUNCTION("CONCATENATE($B1008,(VLOOKUP($C1008,CATALOGOS!$F$2:$H$6,3,FALSE)),(VLOOKUP($V1008,CATALOGOS!$J$2:$K$18,2,FALSE)),""-"",TO_TEXT($A1008))"),"P24SJ-1007")</f>
        <v>P24SJ-1007</v>
      </c>
      <c r="I1008" s="6"/>
      <c r="J1008" s="6" t="s">
        <v>6883</v>
      </c>
      <c r="K1008" s="37"/>
      <c r="L1008" s="37"/>
      <c r="M1008" s="6" t="s">
        <v>141</v>
      </c>
      <c r="N1008" s="17"/>
      <c r="O1008" s="17"/>
      <c r="P1008" s="17"/>
      <c r="Q1008" s="35" t="s">
        <v>6884</v>
      </c>
      <c r="R1008" s="10" t="s">
        <v>6885</v>
      </c>
      <c r="S1008" s="10" t="s">
        <v>36</v>
      </c>
      <c r="T1008" s="10" t="s">
        <v>85</v>
      </c>
      <c r="U1008" s="18" t="s">
        <v>517</v>
      </c>
      <c r="V1008" s="85" t="s">
        <v>4411</v>
      </c>
      <c r="W1008" s="20" t="s">
        <v>5138</v>
      </c>
      <c r="X1008" s="39" t="s">
        <v>5138</v>
      </c>
      <c r="Y1008" s="20"/>
      <c r="Z1008" s="26"/>
      <c r="AA1008" s="26"/>
      <c r="AB1008" s="26"/>
      <c r="AC1008" s="26"/>
    </row>
    <row r="1009" spans="1:29" ht="15.75" customHeight="1">
      <c r="A1009" s="10" t="s">
        <v>6886</v>
      </c>
      <c r="B1009" s="10" t="s">
        <v>4410</v>
      </c>
      <c r="C1009" s="61" t="s">
        <v>4411</v>
      </c>
      <c r="D1009" s="12"/>
      <c r="E1009" s="13" t="s">
        <v>184</v>
      </c>
      <c r="F1009" s="6" t="s">
        <v>927</v>
      </c>
      <c r="G1009" s="14" t="str">
        <f ca="1">IFERROR(__xludf.DUMMYFUNCTION("CONCATENATE(B1009,(VLOOKUP(C1009,CATALOGOS!$F$2:$H$6,3,FALSE)),(VLOOKUP(V1009,CATALOGOS!$J$2:$K$18,2,FALSE)),""-"",TO_TEXT(A1009))"),"P24SJ-1008")</f>
        <v>P24SJ-1008</v>
      </c>
      <c r="H1009" s="15" t="str">
        <f ca="1">IFERROR(__xludf.DUMMYFUNCTION("CONCATENATE($B1009,(VLOOKUP($C1009,CATALOGOS!$F$2:$H$6,3,FALSE)),(VLOOKUP($V1009,CATALOGOS!$J$2:$K$18,2,FALSE)),""-"",TO_TEXT($A1009))"),"P24SJ-1008")</f>
        <v>P24SJ-1008</v>
      </c>
      <c r="I1009" s="6"/>
      <c r="J1009" s="6" t="s">
        <v>6887</v>
      </c>
      <c r="K1009" s="37"/>
      <c r="L1009" s="37"/>
      <c r="M1009" s="6" t="s">
        <v>141</v>
      </c>
      <c r="N1009" s="17"/>
      <c r="O1009" s="17"/>
      <c r="P1009" s="17"/>
      <c r="Q1009" s="35" t="s">
        <v>35</v>
      </c>
      <c r="R1009" s="10" t="s">
        <v>35</v>
      </c>
      <c r="S1009" s="10" t="s">
        <v>36</v>
      </c>
      <c r="T1009" s="10" t="s">
        <v>6888</v>
      </c>
      <c r="U1009" s="18" t="s">
        <v>38</v>
      </c>
      <c r="V1009" s="85" t="s">
        <v>4411</v>
      </c>
      <c r="W1009" s="20" t="s">
        <v>5223</v>
      </c>
      <c r="X1009" s="39" t="s">
        <v>5223</v>
      </c>
      <c r="Y1009" s="20"/>
      <c r="Z1009" s="26"/>
      <c r="AA1009" s="26"/>
      <c r="AB1009" s="26"/>
      <c r="AC1009" s="26"/>
    </row>
    <row r="1010" spans="1:29" ht="15.75" customHeight="1">
      <c r="A1010" s="10" t="s">
        <v>6889</v>
      </c>
      <c r="B1010" s="10" t="s">
        <v>4410</v>
      </c>
      <c r="C1010" s="61" t="s">
        <v>4411</v>
      </c>
      <c r="D1010" s="12"/>
      <c r="E1010" s="13" t="s">
        <v>210</v>
      </c>
      <c r="F1010" s="6" t="s">
        <v>210</v>
      </c>
      <c r="G1010" s="14" t="str">
        <f ca="1">IFERROR(__xludf.DUMMYFUNCTION("CONCATENATE(B1010,(VLOOKUP(C1010,CATALOGOS!$F$2:$H$6,3,FALSE)),(VLOOKUP(V1010,CATALOGOS!$J$2:$K$18,2,FALSE)),""-"",TO_TEXT(A1010))"),"P24NV-1009")</f>
        <v>P24NV-1009</v>
      </c>
      <c r="H1010" s="15" t="str">
        <f ca="1">IFERROR(__xludf.DUMMYFUNCTION("CONCATENATE($B1010,(VLOOKUP($C1010,CATALOGOS!$F$2:$H$6,3,FALSE)),(VLOOKUP($V1010,CATALOGOS!$J$2:$K$18,2,FALSE)),""-"",TO_TEXT($A1010))"),"P24NV-1009")</f>
        <v>P24NV-1009</v>
      </c>
      <c r="I1010" s="6"/>
      <c r="J1010" s="6" t="s">
        <v>6890</v>
      </c>
      <c r="K1010" s="37"/>
      <c r="L1010" s="37"/>
      <c r="M1010" s="6" t="s">
        <v>141</v>
      </c>
      <c r="N1010" s="17"/>
      <c r="O1010" s="17"/>
      <c r="P1010" s="17"/>
      <c r="Q1010" s="35" t="s">
        <v>216</v>
      </c>
      <c r="R1010" s="10" t="s">
        <v>6891</v>
      </c>
      <c r="S1010" s="10" t="s">
        <v>6892</v>
      </c>
      <c r="T1010" s="10" t="s">
        <v>6893</v>
      </c>
      <c r="U1010" s="18" t="s">
        <v>38</v>
      </c>
      <c r="V1010" s="61" t="s">
        <v>5695</v>
      </c>
      <c r="W1010" s="20" t="s">
        <v>5696</v>
      </c>
      <c r="X1010" s="39" t="s">
        <v>5696</v>
      </c>
      <c r="Y1010" s="20"/>
      <c r="Z1010" s="26"/>
      <c r="AA1010" s="26"/>
      <c r="AB1010" s="26"/>
      <c r="AC1010" s="26"/>
    </row>
    <row r="1011" spans="1:29" ht="15.75" customHeight="1">
      <c r="A1011" s="10" t="s">
        <v>6894</v>
      </c>
      <c r="B1011" s="10" t="s">
        <v>27</v>
      </c>
      <c r="C1011" s="61" t="s">
        <v>28</v>
      </c>
      <c r="D1011" s="12"/>
      <c r="E1011" s="13" t="s">
        <v>2311</v>
      </c>
      <c r="F1011" s="6" t="s">
        <v>6895</v>
      </c>
      <c r="G1011" s="6" t="str">
        <f ca="1">IFERROR(__xludf.DUMMYFUNCTION("CONCATENATE(B1011,(VLOOKUP(C1011,CATALOGOS!$F$2:$H$6,3,FALSE)),(VLOOKUP(V1011,CATALOGOS!$J$2:$K$18,2,FALSE)),""-"",TO_TEXT(A1011))"),"P05RM-1010")</f>
        <v>P05RM-1010</v>
      </c>
      <c r="H1011" s="15" t="str">
        <f ca="1">IFERROR(__xludf.DUMMYFUNCTION("CONCATENATE($B1011,(VLOOKUP($C1011,CATALOGOS!$F$2:$H$6,3,FALSE)),(VLOOKUP($V1011,CATALOGOS!$J$2:$K$18,2,FALSE)),""-"",TO_TEXT($A1011))"),"P05RM-1010")</f>
        <v>P05RM-1010</v>
      </c>
      <c r="I1011" s="6"/>
      <c r="J1011" s="6" t="s">
        <v>6896</v>
      </c>
      <c r="K1011" s="37"/>
      <c r="L1011" s="37"/>
      <c r="M1011" s="6" t="s">
        <v>141</v>
      </c>
      <c r="N1011" s="17"/>
      <c r="O1011" s="17"/>
      <c r="P1011" s="17"/>
      <c r="Q1011" s="35" t="s">
        <v>682</v>
      </c>
      <c r="R1011" s="10" t="s">
        <v>6897</v>
      </c>
      <c r="S1011" s="10" t="s">
        <v>6898</v>
      </c>
      <c r="T1011" s="10" t="s">
        <v>6899</v>
      </c>
      <c r="U1011" s="18" t="s">
        <v>38</v>
      </c>
      <c r="V1011" s="61" t="s">
        <v>147</v>
      </c>
      <c r="W1011" s="20" t="s">
        <v>385</v>
      </c>
      <c r="X1011" s="39" t="s">
        <v>5696</v>
      </c>
      <c r="Y1011" s="20"/>
      <c r="Z1011" s="26"/>
      <c r="AA1011" s="26"/>
      <c r="AB1011" s="26"/>
      <c r="AC1011" s="26"/>
    </row>
    <row r="1012" spans="1:29" ht="15.75" customHeight="1">
      <c r="A1012" s="10" t="s">
        <v>6900</v>
      </c>
      <c r="B1012" s="10" t="s">
        <v>4410</v>
      </c>
      <c r="C1012" s="61" t="s">
        <v>4411</v>
      </c>
      <c r="D1012" s="12"/>
      <c r="E1012" s="13" t="s">
        <v>184</v>
      </c>
      <c r="F1012" s="6" t="s">
        <v>6901</v>
      </c>
      <c r="G1012" s="14" t="str">
        <f ca="1">IFERROR(__xludf.DUMMYFUNCTION("CONCATENATE(B1012,(VLOOKUP(C1012,CATALOGOS!$F$2:$H$6,3,FALSE)),(VLOOKUP(V1012,CATALOGOS!$J$2:$K$18,2,FALSE)),""-"",TO_TEXT(A1012))"),"P24CS-1011")</f>
        <v>P24CS-1011</v>
      </c>
      <c r="H1012" s="15" t="str">
        <f ca="1">IFERROR(__xludf.DUMMYFUNCTION("CONCATENATE($B1012,(VLOOKUP($C1012,CATALOGOS!$F$2:$H$6,3,FALSE)),(VLOOKUP($V1012,CATALOGOS!$J$2:$K$18,2,FALSE)),""-"",TO_TEXT($A1012))"),"P24CS-1011")</f>
        <v>P24CS-1011</v>
      </c>
      <c r="I1012" s="6"/>
      <c r="J1012" s="6" t="s">
        <v>6902</v>
      </c>
      <c r="K1012" s="37"/>
      <c r="L1012" s="37"/>
      <c r="M1012" s="6" t="s">
        <v>141</v>
      </c>
      <c r="N1012" s="17"/>
      <c r="O1012" s="17"/>
      <c r="P1012" s="17"/>
      <c r="Q1012" s="35" t="s">
        <v>35</v>
      </c>
      <c r="R1012" s="10" t="s">
        <v>35</v>
      </c>
      <c r="S1012" s="10" t="s">
        <v>36</v>
      </c>
      <c r="T1012" s="10" t="s">
        <v>6903</v>
      </c>
      <c r="U1012" s="18" t="s">
        <v>38</v>
      </c>
      <c r="V1012" s="85" t="s">
        <v>4979</v>
      </c>
      <c r="W1012" s="20" t="s">
        <v>4980</v>
      </c>
      <c r="X1012" s="39" t="s">
        <v>4980</v>
      </c>
      <c r="Y1012" s="20"/>
      <c r="Z1012" s="26"/>
      <c r="AA1012" s="26"/>
      <c r="AB1012" s="26"/>
      <c r="AC1012" s="26"/>
    </row>
    <row r="1013" spans="1:29" ht="15.75" customHeight="1">
      <c r="A1013" s="10" t="s">
        <v>6904</v>
      </c>
      <c r="B1013" s="10" t="s">
        <v>1469</v>
      </c>
      <c r="C1013" s="61" t="s">
        <v>1470</v>
      </c>
      <c r="D1013" s="12"/>
      <c r="E1013" s="13" t="s">
        <v>2502</v>
      </c>
      <c r="F1013" s="6" t="s">
        <v>6905</v>
      </c>
      <c r="G1013" s="14" t="str">
        <f ca="1">IFERROR(__xludf.DUMMYFUNCTION("CONCATENATE(B1013,(VLOOKUP(C1013,CATALOGOS!$F$2:$H$6,3,FALSE)),(VLOOKUP(V1013,CATALOGOS!$J$2:$K$18,2,FALSE)),""-"",TO_TEXT(A1013))"),"P12SI-1012")</f>
        <v>P12SI-1012</v>
      </c>
      <c r="H1013" s="15" t="str">
        <f ca="1">IFERROR(__xludf.DUMMYFUNCTION("CONCATENATE($B1013,(VLOOKUP($C1013,CATALOGOS!$F$2:$H$6,3,FALSE)),(VLOOKUP($V1013,CATALOGOS!$J$2:$K$18,2,FALSE)),""-"",TO_TEXT($A1013))"),"P12SI-1012")</f>
        <v>P12SI-1012</v>
      </c>
      <c r="I1013" s="6"/>
      <c r="J1013" s="6" t="s">
        <v>6906</v>
      </c>
      <c r="K1013" s="37"/>
      <c r="L1013" s="37"/>
      <c r="M1013" s="6" t="s">
        <v>141</v>
      </c>
      <c r="N1013" s="17"/>
      <c r="O1013" s="17"/>
      <c r="P1013" s="17"/>
      <c r="Q1013" s="35" t="s">
        <v>179</v>
      </c>
      <c r="R1013" s="10" t="s">
        <v>6907</v>
      </c>
      <c r="S1013" s="10" t="s">
        <v>6908</v>
      </c>
      <c r="T1013" s="10" t="s">
        <v>6909</v>
      </c>
      <c r="U1013" s="18" t="s">
        <v>38</v>
      </c>
      <c r="V1013" s="61" t="s">
        <v>1483</v>
      </c>
      <c r="W1013" s="20" t="s">
        <v>1484</v>
      </c>
      <c r="X1013" s="39" t="s">
        <v>1484</v>
      </c>
      <c r="Y1013" s="20"/>
      <c r="Z1013" s="26"/>
      <c r="AA1013" s="26"/>
      <c r="AB1013" s="26"/>
      <c r="AC1013" s="26"/>
    </row>
    <row r="1014" spans="1:29" ht="15.75" customHeight="1">
      <c r="A1014" s="10" t="s">
        <v>6910</v>
      </c>
      <c r="B1014" s="86" t="s">
        <v>474</v>
      </c>
      <c r="C1014" s="86" t="s">
        <v>28</v>
      </c>
      <c r="E1014" s="86" t="s">
        <v>378</v>
      </c>
      <c r="F1014" s="86" t="s">
        <v>535</v>
      </c>
      <c r="G1014" s="14" t="str">
        <f ca="1">IFERROR(__xludf.DUMMYFUNCTION("CONCATENATE(B1014,(VLOOKUP(C1014,CATALOGOS!$F$2:$H$6,3,FALSE)),(VLOOKUP(V1014,CATALOGOS!$J$2:$K$18,2,FALSE)),""-"",TO_TEXT(A1014))"),"P35DA-1013")</f>
        <v>P35DA-1013</v>
      </c>
      <c r="H1014" s="15" t="str">
        <f ca="1">IFERROR(__xludf.DUMMYFUNCTION("CONCATENATE($B1014,(VLOOKUP($C1014,CATALOGOS!$F$2:$H$6,3,FALSE)),(VLOOKUP($V1014,CATALOGOS!$J$2:$K$18,2,FALSE)),""-"",TO_TEXT($A1014))"),"P35DA-1013")</f>
        <v>P35DA-1013</v>
      </c>
      <c r="I1014" s="6"/>
      <c r="J1014" s="6" t="s">
        <v>6911</v>
      </c>
      <c r="M1014" s="86" t="s">
        <v>141</v>
      </c>
      <c r="Q1014" s="86" t="s">
        <v>35</v>
      </c>
      <c r="R1014" s="86" t="s">
        <v>35</v>
      </c>
      <c r="S1014" s="86" t="s">
        <v>36</v>
      </c>
      <c r="T1014" s="86" t="s">
        <v>85</v>
      </c>
      <c r="U1014" s="86" t="s">
        <v>517</v>
      </c>
      <c r="V1014" s="86" t="s">
        <v>28</v>
      </c>
      <c r="W1014" s="86" t="s">
        <v>40</v>
      </c>
      <c r="X1014" s="87" t="s">
        <v>40</v>
      </c>
      <c r="Y1014" s="86"/>
      <c r="Z1014" s="26"/>
      <c r="AA1014" s="26"/>
      <c r="AB1014" s="26"/>
      <c r="AC1014" s="26"/>
    </row>
    <row r="1015" spans="1:29" ht="15.75" customHeight="1">
      <c r="A1015" s="10" t="s">
        <v>6912</v>
      </c>
      <c r="B1015" s="10" t="s">
        <v>27</v>
      </c>
      <c r="C1015" s="10" t="s">
        <v>28</v>
      </c>
      <c r="D1015" s="12"/>
      <c r="E1015" s="13" t="s">
        <v>62</v>
      </c>
      <c r="F1015" s="6" t="s">
        <v>6913</v>
      </c>
      <c r="G1015" s="14" t="str">
        <f ca="1">IFERROR(__xludf.DUMMYFUNCTION("CONCATENATE(B1015,(VLOOKUP(C1015,CATALOGOS!$F$2:$H$6,3,FALSE)),(VLOOKUP(V1015,CATALOGOS!$J$2:$K$18,2,FALSE)),""-"",TO_TEXT(A1015))"),"P05RM-1014")</f>
        <v>P05RM-1014</v>
      </c>
      <c r="H1015" s="15" t="str">
        <f ca="1">IFERROR(__xludf.DUMMYFUNCTION("CONCATENATE($B1015,(VLOOKUP($C1015,CATALOGOS!$F$2:$H$6,3,FALSE)),(VLOOKUP($V1015,CATALOGOS!$J$2:$K$18,2,FALSE)),""-"",TO_TEXT($A1015))"),"P05RM-1014")</f>
        <v>P05RM-1014</v>
      </c>
      <c r="I1015" s="6"/>
      <c r="J1015" s="6" t="s">
        <v>6914</v>
      </c>
      <c r="K1015" s="37"/>
      <c r="L1015" s="37"/>
      <c r="M1015" s="6" t="s">
        <v>141</v>
      </c>
      <c r="N1015" s="17"/>
      <c r="O1015" s="17"/>
      <c r="P1015" s="17"/>
      <c r="Q1015" s="35" t="s">
        <v>35</v>
      </c>
      <c r="R1015" s="10" t="s">
        <v>35</v>
      </c>
      <c r="S1015" s="10" t="s">
        <v>36</v>
      </c>
      <c r="T1015" s="10" t="s">
        <v>85</v>
      </c>
      <c r="U1015" s="18" t="s">
        <v>38</v>
      </c>
      <c r="V1015" s="85" t="s">
        <v>147</v>
      </c>
      <c r="W1015" s="20" t="s">
        <v>492</v>
      </c>
      <c r="X1015" s="39" t="s">
        <v>493</v>
      </c>
      <c r="Y1015" s="20"/>
      <c r="Z1015" s="26"/>
      <c r="AA1015" s="26"/>
      <c r="AB1015" s="26"/>
      <c r="AC1015" s="26"/>
    </row>
    <row r="1016" spans="1:29" ht="15.75" customHeight="1">
      <c r="A1016" s="55" t="s">
        <v>6915</v>
      </c>
      <c r="B1016" s="10" t="s">
        <v>27</v>
      </c>
      <c r="C1016" s="10" t="s">
        <v>1470</v>
      </c>
      <c r="D1016" s="12"/>
      <c r="E1016" s="13" t="s">
        <v>6916</v>
      </c>
      <c r="F1016" s="88" t="s">
        <v>6917</v>
      </c>
      <c r="G1016" s="14" t="str">
        <f ca="1">IFERROR(__xludf.DUMMYFUNCTION("CONCATENATE(B1016,(VLOOKUP(C1016,CATALOGOS!$F$2:$H$6,3,FALSE)),(VLOOKUP(V1016,CATALOGOS!$J$2:$K$18,2,FALSE)),""-"",TO_TEXT(A1016))"),"P02PP-1015")</f>
        <v>P02PP-1015</v>
      </c>
      <c r="H1016" s="15" t="str">
        <f ca="1">IFERROR(__xludf.DUMMYFUNCTION("CONCATENATE($B1016,(VLOOKUP($C1016,CATALOGOS!$F$2:$H$6,3,FALSE)),(VLOOKUP($V1016,CATALOGOS!$J$2:$K$18,2,FALSE)),""-"",TO_TEXT($A1016))"),"P02PP-1015")</f>
        <v>P02PP-1015</v>
      </c>
      <c r="I1016" s="6"/>
      <c r="J1016" s="6"/>
      <c r="K1016" s="37"/>
      <c r="L1016" s="37"/>
      <c r="M1016" s="6" t="s">
        <v>141</v>
      </c>
      <c r="N1016" s="17"/>
      <c r="O1016" s="17"/>
      <c r="P1016" s="17"/>
      <c r="Q1016" s="35" t="s">
        <v>6918</v>
      </c>
      <c r="R1016" s="10" t="s">
        <v>6919</v>
      </c>
      <c r="S1016" s="10">
        <v>41480</v>
      </c>
      <c r="T1016" s="10" t="s">
        <v>6920</v>
      </c>
      <c r="U1016" s="89" t="s">
        <v>38</v>
      </c>
      <c r="V1016" s="85" t="s">
        <v>1548</v>
      </c>
      <c r="W1016" s="20" t="s">
        <v>1983</v>
      </c>
      <c r="X1016" s="39"/>
      <c r="Y1016" s="90"/>
      <c r="Z1016" s="26"/>
      <c r="AA1016" s="26"/>
      <c r="AB1016" s="26"/>
      <c r="AC1016" s="26"/>
    </row>
    <row r="1017" spans="1:29" ht="15.75" customHeight="1">
      <c r="A1017" s="55" t="s">
        <v>6921</v>
      </c>
      <c r="B1017" s="10" t="s">
        <v>27</v>
      </c>
      <c r="C1017" s="10" t="s">
        <v>1470</v>
      </c>
      <c r="D1017" s="12"/>
      <c r="E1017" s="13" t="s">
        <v>6916</v>
      </c>
      <c r="F1017" s="88" t="s">
        <v>6922</v>
      </c>
      <c r="G1017" s="14" t="str">
        <f ca="1">IFERROR(__xludf.DUMMYFUNCTION("CONCATENATE(B1017,(VLOOKUP(C1017,CATALOGOS!$F$2:$H$6,3,FALSE)),(VLOOKUP(V1017,CATALOGOS!$J$2:$K$18,2,FALSE)),""-"",TO_TEXT(A1017))"),"P02PP-1016")</f>
        <v>P02PP-1016</v>
      </c>
      <c r="H1017" s="15" t="str">
        <f ca="1">IFERROR(__xludf.DUMMYFUNCTION("CONCATENATE($B1017,(VLOOKUP($C1017,CATALOGOS!$F$2:$H$6,3,FALSE)),(VLOOKUP($V1017,CATALOGOS!$J$2:$K$18,2,FALSE)),""-"",TO_TEXT($A1017))"),"P02PP-1016")</f>
        <v>P02PP-1016</v>
      </c>
      <c r="I1017" s="6"/>
      <c r="J1017" s="6"/>
      <c r="K1017" s="37"/>
      <c r="L1017" s="37"/>
      <c r="M1017" s="6" t="s">
        <v>141</v>
      </c>
      <c r="N1017" s="17"/>
      <c r="O1017" s="17"/>
      <c r="P1017" s="17"/>
      <c r="Q1017" s="35" t="s">
        <v>6923</v>
      </c>
      <c r="R1017" s="10" t="s">
        <v>6924</v>
      </c>
      <c r="S1017" s="10" t="s">
        <v>6925</v>
      </c>
      <c r="T1017" s="91" t="s">
        <v>6926</v>
      </c>
      <c r="U1017" s="89" t="s">
        <v>38</v>
      </c>
      <c r="V1017" s="85" t="s">
        <v>1548</v>
      </c>
      <c r="W1017" s="20" t="s">
        <v>1983</v>
      </c>
      <c r="X1017" s="39"/>
      <c r="Y1017" s="90"/>
      <c r="Z1017" s="26"/>
      <c r="AA1017" s="26"/>
      <c r="AB1017" s="26"/>
      <c r="AC1017" s="26"/>
    </row>
    <row r="1018" spans="1:29" ht="15.75" customHeight="1">
      <c r="A1018" s="55" t="s">
        <v>6927</v>
      </c>
      <c r="B1018" s="10" t="s">
        <v>27</v>
      </c>
      <c r="C1018" s="10" t="s">
        <v>1470</v>
      </c>
      <c r="D1018" s="12"/>
      <c r="E1018" s="13" t="s">
        <v>6928</v>
      </c>
      <c r="F1018" s="88" t="s">
        <v>6929</v>
      </c>
      <c r="G1018" s="14" t="str">
        <f ca="1">IFERROR(__xludf.DUMMYFUNCTION("CONCATENATE(B1018,(VLOOKUP(C1018,CATALOGOS!$F$2:$H$6,3,FALSE)),(VLOOKUP(V1018,CATALOGOS!$J$2:$K$18,2,FALSE)),""-"",TO_TEXT(A1018))"),"P02PP-1017")</f>
        <v>P02PP-1017</v>
      </c>
      <c r="H1018" s="15" t="str">
        <f ca="1">IFERROR(__xludf.DUMMYFUNCTION("CONCATENATE($B1018,(VLOOKUP($C1018,CATALOGOS!$F$2:$H$6,3,FALSE)),(VLOOKUP($V1018,CATALOGOS!$J$2:$K$18,2,FALSE)),""-"",TO_TEXT($A1018))"),"P02PP-1017")</f>
        <v>P02PP-1017</v>
      </c>
      <c r="I1018" s="6"/>
      <c r="J1018" s="6"/>
      <c r="K1018" s="37"/>
      <c r="L1018" s="37"/>
      <c r="M1018" s="6" t="s">
        <v>141</v>
      </c>
      <c r="N1018" s="17"/>
      <c r="O1018" s="17"/>
      <c r="P1018" s="17"/>
      <c r="Q1018" s="35" t="s">
        <v>6930</v>
      </c>
      <c r="R1018" s="10" t="s">
        <v>6931</v>
      </c>
      <c r="S1018" s="10">
        <v>264105</v>
      </c>
      <c r="T1018" s="10" t="s">
        <v>6932</v>
      </c>
      <c r="U1018" s="89" t="s">
        <v>38</v>
      </c>
      <c r="V1018" s="85" t="s">
        <v>1548</v>
      </c>
      <c r="W1018" s="20" t="s">
        <v>1983</v>
      </c>
      <c r="X1018" s="39"/>
      <c r="Y1018" s="90"/>
      <c r="Z1018" s="26"/>
      <c r="AA1018" s="26"/>
      <c r="AB1018" s="26"/>
      <c r="AC1018" s="26"/>
    </row>
    <row r="1019" spans="1:29" ht="15.75" customHeight="1">
      <c r="A1019" s="55" t="s">
        <v>6933</v>
      </c>
      <c r="B1019" s="10" t="s">
        <v>27</v>
      </c>
      <c r="C1019" s="10" t="s">
        <v>868</v>
      </c>
      <c r="D1019" s="12"/>
      <c r="E1019" s="13" t="s">
        <v>199</v>
      </c>
      <c r="F1019" s="88" t="s">
        <v>199</v>
      </c>
      <c r="G1019" s="14" t="str">
        <f ca="1">IFERROR(__xludf.DUMMYFUNCTION("CONCATENATE(B1019,(VLOOKUP(C1019,CATALOGOS!$F$2:$H$6,3,FALSE)),(VLOOKUP(V1019,CATALOGOS!$J$2:$K$18,2,FALSE)),""-"",TO_TEXT(A1019))"),"P03CV-1018")</f>
        <v>P03CV-1018</v>
      </c>
      <c r="H1019" s="15" t="str">
        <f ca="1">IFERROR(__xludf.DUMMYFUNCTION("CONCATENATE($B1019,(VLOOKUP($C1019,CATALOGOS!$F$2:$H$6,3,FALSE)),(VLOOKUP($V1019,CATALOGOS!$J$2:$K$18,2,FALSE)),""-"",TO_TEXT($A1019))"),"P03CV-1018")</f>
        <v>P03CV-1018</v>
      </c>
      <c r="I1019" s="6"/>
      <c r="J1019" s="6"/>
      <c r="K1019" s="37"/>
      <c r="L1019" s="37"/>
      <c r="M1019" s="81"/>
      <c r="N1019" s="17"/>
      <c r="O1019" s="17"/>
      <c r="P1019" s="17"/>
      <c r="Q1019" s="35" t="s">
        <v>2748</v>
      </c>
      <c r="R1019" s="10" t="s">
        <v>6934</v>
      </c>
      <c r="S1019" s="10" t="s">
        <v>6935</v>
      </c>
      <c r="T1019" s="10" t="s">
        <v>6936</v>
      </c>
      <c r="U1019" s="89" t="s">
        <v>38</v>
      </c>
      <c r="V1019" s="85" t="s">
        <v>875</v>
      </c>
      <c r="W1019" s="20" t="s">
        <v>1004</v>
      </c>
      <c r="X1019" s="92"/>
      <c r="Y1019" s="90"/>
      <c r="Z1019" s="26"/>
      <c r="AA1019" s="26"/>
      <c r="AB1019" s="26"/>
      <c r="AC1019" s="26"/>
    </row>
    <row r="1020" spans="1:29" ht="15.75" customHeight="1">
      <c r="A1020" s="55" t="s">
        <v>6937</v>
      </c>
      <c r="B1020" s="10" t="s">
        <v>27</v>
      </c>
      <c r="C1020" s="10" t="s">
        <v>868</v>
      </c>
      <c r="D1020" s="12"/>
      <c r="E1020" s="13" t="s">
        <v>151</v>
      </c>
      <c r="F1020" s="88" t="s">
        <v>6938</v>
      </c>
      <c r="G1020" s="14" t="str">
        <f ca="1">IFERROR(__xludf.DUMMYFUNCTION("CONCATENATE(B1020,(VLOOKUP(C1020,CATALOGOS!$F$2:$H$6,3,FALSE)),(VLOOKUP(V1020,CATALOGOS!$J$2:$K$18,2,FALSE)),""-"",TO_TEXT(A1020))"),"P03CV-1019")</f>
        <v>P03CV-1019</v>
      </c>
      <c r="H1020" s="15" t="str">
        <f ca="1">IFERROR(__xludf.DUMMYFUNCTION("CONCATENATE($B1020,(VLOOKUP($C1020,CATALOGOS!$F$2:$H$6,3,FALSE)),(VLOOKUP($V1020,CATALOGOS!$J$2:$K$18,2,FALSE)),""-"",TO_TEXT($A1020))"),"P03CV-1019")</f>
        <v>P03CV-1019</v>
      </c>
      <c r="I1020" s="6"/>
      <c r="J1020" s="6"/>
      <c r="K1020" s="37"/>
      <c r="L1020" s="37"/>
      <c r="M1020" s="81"/>
      <c r="N1020" s="17"/>
      <c r="O1020" s="17"/>
      <c r="P1020" s="17"/>
      <c r="Q1020" s="35" t="s">
        <v>2748</v>
      </c>
      <c r="R1020" s="10" t="s">
        <v>6939</v>
      </c>
      <c r="S1020" s="10" t="s">
        <v>6940</v>
      </c>
      <c r="T1020" s="10" t="s">
        <v>6941</v>
      </c>
      <c r="U1020" s="89" t="s">
        <v>38</v>
      </c>
      <c r="V1020" s="85" t="s">
        <v>875</v>
      </c>
      <c r="W1020" s="20" t="s">
        <v>1004</v>
      </c>
      <c r="X1020" s="92"/>
      <c r="Y1020" s="90"/>
      <c r="Z1020" s="26"/>
      <c r="AA1020" s="26"/>
      <c r="AB1020" s="26"/>
      <c r="AC1020" s="26"/>
    </row>
    <row r="1021" spans="1:29" ht="15.75" customHeight="1">
      <c r="A1021" s="55" t="s">
        <v>6942</v>
      </c>
      <c r="B1021" s="10" t="s">
        <v>27</v>
      </c>
      <c r="C1021" s="10" t="s">
        <v>868</v>
      </c>
      <c r="D1021" s="12"/>
      <c r="E1021" s="13" t="s">
        <v>199</v>
      </c>
      <c r="F1021" s="88" t="s">
        <v>199</v>
      </c>
      <c r="G1021" s="14" t="str">
        <f ca="1">IFERROR(__xludf.DUMMYFUNCTION("CONCATENATE(B1021,(VLOOKUP(C1021,CATALOGOS!$F$2:$H$6,3,FALSE)),(VLOOKUP(V1021,CATALOGOS!$J$2:$K$18,2,FALSE)),""-"",TO_TEXT(A1021))"),"P03CV-1020")</f>
        <v>P03CV-1020</v>
      </c>
      <c r="H1021" s="15" t="str">
        <f ca="1">IFERROR(__xludf.DUMMYFUNCTION("CONCATENATE($B1021,(VLOOKUP($C1021,CATALOGOS!$F$2:$H$6,3,FALSE)),(VLOOKUP($V1021,CATALOGOS!$J$2:$K$18,2,FALSE)),""-"",TO_TEXT($A1021))"),"P03CV-1020")</f>
        <v>P03CV-1020</v>
      </c>
      <c r="I1021" s="6"/>
      <c r="J1021" s="6"/>
      <c r="K1021" s="37"/>
      <c r="L1021" s="37"/>
      <c r="M1021" s="81"/>
      <c r="N1021" s="17"/>
      <c r="O1021" s="17"/>
      <c r="P1021" s="17"/>
      <c r="Q1021" s="35" t="s">
        <v>2748</v>
      </c>
      <c r="R1021" s="10" t="s">
        <v>6934</v>
      </c>
      <c r="S1021" s="10" t="s">
        <v>6943</v>
      </c>
      <c r="T1021" s="10" t="s">
        <v>6944</v>
      </c>
      <c r="U1021" s="89" t="s">
        <v>38</v>
      </c>
      <c r="V1021" s="85" t="s">
        <v>875</v>
      </c>
      <c r="W1021" s="20" t="s">
        <v>876</v>
      </c>
      <c r="X1021" s="92"/>
      <c r="Y1021" s="90"/>
      <c r="Z1021" s="26"/>
      <c r="AA1021" s="26"/>
      <c r="AB1021" s="26"/>
      <c r="AC1021" s="26"/>
    </row>
    <row r="1022" spans="1:29" ht="15.75" customHeight="1">
      <c r="A1022" s="55" t="s">
        <v>6945</v>
      </c>
      <c r="B1022" s="10" t="s">
        <v>27</v>
      </c>
      <c r="C1022" s="10" t="s">
        <v>868</v>
      </c>
      <c r="D1022" s="12"/>
      <c r="E1022" s="13" t="s">
        <v>151</v>
      </c>
      <c r="F1022" s="88" t="s">
        <v>6938</v>
      </c>
      <c r="G1022" s="14" t="str">
        <f ca="1">IFERROR(__xludf.DUMMYFUNCTION("CONCATENATE(B1022,(VLOOKUP(C1022,CATALOGOS!$F$2:$H$6,3,FALSE)),(VLOOKUP(V1022,CATALOGOS!$J$2:$K$18,2,FALSE)),""-"",TO_TEXT(A1022))"),"P03CV-1021")</f>
        <v>P03CV-1021</v>
      </c>
      <c r="H1022" s="15" t="str">
        <f ca="1">IFERROR(__xludf.DUMMYFUNCTION("CONCATENATE($B1022,(VLOOKUP($C1022,CATALOGOS!$F$2:$H$6,3,FALSE)),(VLOOKUP($V1022,CATALOGOS!$J$2:$K$18,2,FALSE)),""-"",TO_TEXT($A1022))"),"P03CV-1021")</f>
        <v>P03CV-1021</v>
      </c>
      <c r="I1022" s="6"/>
      <c r="J1022" s="6"/>
      <c r="K1022" s="37"/>
      <c r="L1022" s="37"/>
      <c r="M1022" s="81"/>
      <c r="N1022" s="17"/>
      <c r="O1022" s="17"/>
      <c r="P1022" s="17"/>
      <c r="Q1022" s="35" t="s">
        <v>2748</v>
      </c>
      <c r="R1022" s="10" t="s">
        <v>6939</v>
      </c>
      <c r="S1022" s="10" t="s">
        <v>6946</v>
      </c>
      <c r="T1022" s="10" t="s">
        <v>6947</v>
      </c>
      <c r="U1022" s="89" t="s">
        <v>38</v>
      </c>
      <c r="V1022" s="85" t="s">
        <v>875</v>
      </c>
      <c r="W1022" s="20" t="s">
        <v>876</v>
      </c>
      <c r="X1022" s="92"/>
      <c r="Y1022" s="90"/>
      <c r="Z1022" s="26"/>
      <c r="AA1022" s="26"/>
      <c r="AB1022" s="26"/>
      <c r="AC1022" s="26"/>
    </row>
    <row r="1023" spans="1:29" ht="15.75" customHeight="1">
      <c r="A1023" s="55" t="s">
        <v>6948</v>
      </c>
      <c r="B1023" s="10" t="s">
        <v>1469</v>
      </c>
      <c r="C1023" s="10" t="s">
        <v>868</v>
      </c>
      <c r="D1023" s="12"/>
      <c r="E1023" s="13" t="s">
        <v>199</v>
      </c>
      <c r="F1023" s="88" t="s">
        <v>199</v>
      </c>
      <c r="G1023" s="14" t="str">
        <f ca="1">IFERROR(__xludf.DUMMYFUNCTION("CONCATENATE(B1023,(VLOOKUP(C1023,CATALOGOS!$F$2:$H$6,3,FALSE)),(VLOOKUP(V1023,CATALOGOS!$J$2:$K$18,2,FALSE)),""-"",TO_TEXT(A1023))"),"P13LP-1022")</f>
        <v>P13LP-1022</v>
      </c>
      <c r="H1023" s="15" t="str">
        <f ca="1">IFERROR(__xludf.DUMMYFUNCTION("CONCATENATE($B1023,(VLOOKUP($C1023,CATALOGOS!$F$2:$H$6,3,FALSE)),(VLOOKUP($V1023,CATALOGOS!$J$2:$K$18,2,FALSE)),""-"",TO_TEXT($A1023))"),"P13LP-1022")</f>
        <v>P13LP-1022</v>
      </c>
      <c r="I1023" s="6"/>
      <c r="J1023" s="6"/>
      <c r="K1023" s="37"/>
      <c r="L1023" s="37"/>
      <c r="M1023" s="81"/>
      <c r="N1023" s="17"/>
      <c r="O1023" s="17"/>
      <c r="P1023" s="17"/>
      <c r="Q1023" s="35" t="s">
        <v>2748</v>
      </c>
      <c r="R1023" s="10" t="s">
        <v>6934</v>
      </c>
      <c r="S1023" s="10" t="s">
        <v>6949</v>
      </c>
      <c r="T1023" s="10" t="s">
        <v>6950</v>
      </c>
      <c r="U1023" s="89" t="s">
        <v>38</v>
      </c>
      <c r="V1023" s="85" t="s">
        <v>2328</v>
      </c>
      <c r="W1023" s="20" t="s">
        <v>3984</v>
      </c>
      <c r="X1023" s="92"/>
      <c r="Y1023" s="90"/>
      <c r="Z1023" s="26"/>
      <c r="AA1023" s="26"/>
      <c r="AB1023" s="26"/>
      <c r="AC1023" s="26"/>
    </row>
    <row r="1024" spans="1:29" ht="15.75" customHeight="1">
      <c r="A1024" s="10" t="s">
        <v>6951</v>
      </c>
      <c r="B1024" s="10" t="s">
        <v>1469</v>
      </c>
      <c r="C1024" s="10" t="s">
        <v>868</v>
      </c>
      <c r="D1024" s="12"/>
      <c r="E1024" s="13" t="s">
        <v>151</v>
      </c>
      <c r="F1024" s="88" t="s">
        <v>6938</v>
      </c>
      <c r="G1024" s="14" t="str">
        <f ca="1">IFERROR(__xludf.DUMMYFUNCTION("CONCATENATE(B1024,(VLOOKUP(C1024,CATALOGOS!$F$2:$H$6,3,FALSE)),(VLOOKUP(V1024,CATALOGOS!$J$2:$K$18,2,FALSE)),""-"",TO_TEXT(A1024))"),"P13LP-1023")</f>
        <v>P13LP-1023</v>
      </c>
      <c r="H1024" s="15" t="str">
        <f ca="1">IFERROR(__xludf.DUMMYFUNCTION("CONCATENATE($B1024,(VLOOKUP($C1024,CATALOGOS!$F$2:$H$6,3,FALSE)),(VLOOKUP($V1024,CATALOGOS!$J$2:$K$18,2,FALSE)),""-"",TO_TEXT($A1024))"),"P13LP-1023")</f>
        <v>P13LP-1023</v>
      </c>
      <c r="I1024" s="6"/>
      <c r="J1024" s="6"/>
      <c r="K1024" s="37"/>
      <c r="L1024" s="37"/>
      <c r="M1024" s="81"/>
      <c r="N1024" s="17"/>
      <c r="O1024" s="17"/>
      <c r="P1024" s="17"/>
      <c r="Q1024" s="35" t="s">
        <v>2748</v>
      </c>
      <c r="R1024" s="10" t="s">
        <v>6939</v>
      </c>
      <c r="S1024" s="10" t="s">
        <v>6952</v>
      </c>
      <c r="T1024" s="10" t="s">
        <v>6953</v>
      </c>
      <c r="U1024" s="89" t="s">
        <v>38</v>
      </c>
      <c r="V1024" s="85" t="s">
        <v>2328</v>
      </c>
      <c r="W1024" s="20" t="s">
        <v>3984</v>
      </c>
      <c r="X1024" s="92"/>
      <c r="Y1024" s="90"/>
      <c r="Z1024" s="26"/>
      <c r="AA1024" s="26"/>
      <c r="AB1024" s="26"/>
      <c r="AC1024" s="26"/>
    </row>
    <row r="1025" spans="1:30" ht="15.75" customHeight="1">
      <c r="A1025" s="10" t="s">
        <v>6954</v>
      </c>
      <c r="B1025" s="10" t="s">
        <v>4410</v>
      </c>
      <c r="C1025" s="10" t="s">
        <v>4411</v>
      </c>
      <c r="D1025" s="12"/>
      <c r="E1025" s="13" t="s">
        <v>199</v>
      </c>
      <c r="F1025" s="88" t="s">
        <v>199</v>
      </c>
      <c r="G1025" s="14" t="str">
        <f ca="1">IFERROR(__xludf.DUMMYFUNCTION("CONCATENATE(B1025,(VLOOKUP(C1025,CATALOGOS!$F$2:$H$6,3,FALSE)),(VLOOKUP(V1025,CATALOGOS!$J$2:$K$18,2,FALSE)),""-"",TO_TEXT(A1025))"),"P24SJ-1024")</f>
        <v>P24SJ-1024</v>
      </c>
      <c r="H1025" s="15" t="str">
        <f ca="1">IFERROR(__xludf.DUMMYFUNCTION("CONCATENATE($B1025,(VLOOKUP($C1025,CATALOGOS!$F$2:$H$6,3,FALSE)),(VLOOKUP($V1025,CATALOGOS!$J$2:$K$18,2,FALSE)),""-"",TO_TEXT($A1025))"),"P24SJ-1024")</f>
        <v>P24SJ-1024</v>
      </c>
      <c r="I1025" s="6"/>
      <c r="J1025" s="6"/>
      <c r="K1025" s="37"/>
      <c r="L1025" s="37"/>
      <c r="M1025" s="81"/>
      <c r="N1025" s="17"/>
      <c r="O1025" s="17"/>
      <c r="P1025" s="17"/>
      <c r="Q1025" s="35" t="s">
        <v>2748</v>
      </c>
      <c r="R1025" s="10" t="s">
        <v>6934</v>
      </c>
      <c r="S1025" s="10" t="s">
        <v>6955</v>
      </c>
      <c r="T1025" s="10" t="s">
        <v>6956</v>
      </c>
      <c r="U1025" s="89" t="s">
        <v>38</v>
      </c>
      <c r="V1025" s="85" t="s">
        <v>4411</v>
      </c>
      <c r="W1025" s="20" t="s">
        <v>5223</v>
      </c>
      <c r="X1025" s="92"/>
      <c r="Y1025" s="90"/>
      <c r="Z1025" s="26"/>
      <c r="AA1025" s="26"/>
      <c r="AB1025" s="26"/>
      <c r="AC1025" s="26"/>
    </row>
    <row r="1026" spans="1:30" ht="15.75" customHeight="1">
      <c r="A1026" s="10" t="s">
        <v>6957</v>
      </c>
      <c r="B1026" s="10" t="s">
        <v>4410</v>
      </c>
      <c r="C1026" s="10" t="s">
        <v>4411</v>
      </c>
      <c r="D1026" s="12"/>
      <c r="E1026" s="13" t="s">
        <v>151</v>
      </c>
      <c r="F1026" s="88" t="s">
        <v>6938</v>
      </c>
      <c r="G1026" s="14" t="str">
        <f ca="1">IFERROR(__xludf.DUMMYFUNCTION("CONCATENATE(B1026,(VLOOKUP(C1026,CATALOGOS!$F$2:$H$6,3,FALSE)),(VLOOKUP(V1026,CATALOGOS!$J$2:$K$18,2,FALSE)),""-"",TO_TEXT(A1026))"),"P24SJ-1025")</f>
        <v>P24SJ-1025</v>
      </c>
      <c r="H1026" s="15" t="str">
        <f ca="1">IFERROR(__xludf.DUMMYFUNCTION("CONCATENATE($B1026,(VLOOKUP($C1026,CATALOGOS!$F$2:$H$6,3,FALSE)),(VLOOKUP($V1026,CATALOGOS!$J$2:$K$18,2,FALSE)),""-"",TO_TEXT($A1026))"),"P24SJ-1025")</f>
        <v>P24SJ-1025</v>
      </c>
      <c r="I1026" s="6"/>
      <c r="J1026" s="6"/>
      <c r="K1026" s="37"/>
      <c r="L1026" s="37"/>
      <c r="M1026" s="81"/>
      <c r="N1026" s="17"/>
      <c r="O1026" s="17"/>
      <c r="P1026" s="17"/>
      <c r="Q1026" s="35" t="s">
        <v>2748</v>
      </c>
      <c r="R1026" s="10" t="s">
        <v>6939</v>
      </c>
      <c r="S1026" s="10" t="s">
        <v>6958</v>
      </c>
      <c r="T1026" s="10" t="s">
        <v>6959</v>
      </c>
      <c r="U1026" s="89" t="s">
        <v>38</v>
      </c>
      <c r="V1026" s="85" t="s">
        <v>4411</v>
      </c>
      <c r="W1026" s="20" t="s">
        <v>5223</v>
      </c>
      <c r="X1026" s="92"/>
      <c r="Y1026" s="90"/>
      <c r="Z1026" s="26"/>
      <c r="AA1026" s="26"/>
      <c r="AB1026" s="26"/>
      <c r="AC1026" s="26"/>
    </row>
    <row r="1027" spans="1:30" ht="15.75" customHeight="1">
      <c r="A1027" s="10" t="s">
        <v>6960</v>
      </c>
      <c r="B1027" s="10" t="s">
        <v>1469</v>
      </c>
      <c r="C1027" s="10" t="s">
        <v>1470</v>
      </c>
      <c r="D1027" s="12"/>
      <c r="E1027" s="13" t="s">
        <v>2743</v>
      </c>
      <c r="F1027" s="6" t="s">
        <v>2743</v>
      </c>
      <c r="G1027" s="14" t="str">
        <f ca="1">IFERROR(__xludf.DUMMYFUNCTION("CONCATENATE(B1027,(VLOOKUP(C1027,CATALOGOS!$F$2:$H$6,3,FALSE)),(VLOOKUP(V1027,CATALOGOS!$J$2:$K$18,2,FALSE)),""-"",TO_TEXT(A1027))"),"P12SI-1026")</f>
        <v>P12SI-1026</v>
      </c>
      <c r="H1027" s="64" t="str">
        <f ca="1">IFERROR(__xludf.DUMMYFUNCTION("CONCATENATE($B1027,(VLOOKUP($C1027,CATALOGOS!$F$2:$H$6,3,FALSE)),(VLOOKUP($V1027,CATALOGOS!$J$2:$K$18,2,FALSE)),""-"",TO_TEXT($A1027))"),"P12SI-1026")</f>
        <v>P12SI-1026</v>
      </c>
      <c r="I1027" s="6"/>
      <c r="J1027" s="6"/>
      <c r="K1027" s="37"/>
      <c r="L1027" s="37"/>
      <c r="M1027" s="81"/>
      <c r="N1027" s="17"/>
      <c r="O1027" s="17"/>
      <c r="P1027" s="17"/>
      <c r="Q1027" s="35" t="s">
        <v>205</v>
      </c>
      <c r="R1027" s="10" t="s">
        <v>6961</v>
      </c>
      <c r="S1027" s="10" t="s">
        <v>6962</v>
      </c>
      <c r="T1027" s="10" t="s">
        <v>85</v>
      </c>
      <c r="U1027" s="89" t="s">
        <v>38</v>
      </c>
      <c r="V1027" s="85" t="s">
        <v>1483</v>
      </c>
      <c r="W1027" s="20" t="s">
        <v>1484</v>
      </c>
      <c r="X1027" s="92"/>
      <c r="Y1027" s="90"/>
      <c r="Z1027" s="26"/>
      <c r="AA1027" s="26"/>
      <c r="AB1027" s="26"/>
      <c r="AC1027" s="26"/>
    </row>
    <row r="1028" spans="1:30" ht="15.75" customHeight="1">
      <c r="A1028" s="10" t="s">
        <v>6963</v>
      </c>
      <c r="B1028" s="10" t="s">
        <v>27</v>
      </c>
      <c r="C1028" s="10" t="s">
        <v>6054</v>
      </c>
      <c r="D1028" s="12"/>
      <c r="E1028" s="13" t="s">
        <v>6964</v>
      </c>
      <c r="F1028" s="6" t="s">
        <v>6965</v>
      </c>
      <c r="G1028" s="14" t="str">
        <f ca="1">IFERROR(__xludf.DUMMYFUNCTION("CONCATENATE(B1028,(VLOOKUP(C1028,CATALOGOS!$F$2:$H$6,3,FALSE)),(VLOOKUP(V1028,CATALOGOS!$J$2:$K$18,2,FALSE)),""-"",TO_TEXT(A1028))"),"P01DG-1027")</f>
        <v>P01DG-1027</v>
      </c>
      <c r="H1028" s="15" t="str">
        <f ca="1">IFERROR(__xludf.DUMMYFUNCTION("CONCATENATE($B1028,(VLOOKUP($C1028,CATALOGOS!$F$2:$H$6,3,FALSE)),(VLOOKUP($V1028,CATALOGOS!$J$2:$K$18,2,FALSE)),""-"",TO_TEXT($A1028))"),"P01DG-1027")</f>
        <v>P01DG-1027</v>
      </c>
      <c r="I1028" s="6"/>
      <c r="J1028" s="6"/>
      <c r="K1028" s="37"/>
      <c r="L1028" s="37"/>
      <c r="M1028" s="86" t="s">
        <v>6966</v>
      </c>
      <c r="N1028" s="17"/>
      <c r="O1028" s="35" t="s">
        <v>6967</v>
      </c>
      <c r="P1028" s="17"/>
      <c r="Q1028" s="35" t="s">
        <v>6968</v>
      </c>
      <c r="R1028" s="10" t="s">
        <v>6969</v>
      </c>
      <c r="S1028" s="10" t="s">
        <v>6970</v>
      </c>
      <c r="T1028" s="10" t="s">
        <v>6971</v>
      </c>
      <c r="U1028" s="89" t="s">
        <v>100</v>
      </c>
      <c r="V1028" s="85" t="s">
        <v>6054</v>
      </c>
      <c r="W1028" s="20" t="s">
        <v>6062</v>
      </c>
      <c r="X1028" s="92"/>
      <c r="Y1028" s="90"/>
      <c r="Z1028" s="26"/>
      <c r="AA1028" s="26"/>
      <c r="AB1028" s="26"/>
      <c r="AC1028" s="26"/>
    </row>
    <row r="1029" spans="1:30" ht="15.75" customHeight="1">
      <c r="A1029" s="10" t="s">
        <v>6972</v>
      </c>
      <c r="B1029" s="10" t="s">
        <v>27</v>
      </c>
      <c r="C1029" s="10" t="s">
        <v>6054</v>
      </c>
      <c r="D1029" s="12"/>
      <c r="E1029" s="13" t="s">
        <v>6964</v>
      </c>
      <c r="F1029" s="6" t="s">
        <v>6973</v>
      </c>
      <c r="G1029" s="14" t="str">
        <f ca="1">IFERROR(__xludf.DUMMYFUNCTION("CONCATENATE(B1029,(VLOOKUP(C1029,CATALOGOS!$F$2:$H$6,3,FALSE)),(VLOOKUP(V1029,CATALOGOS!$J$2:$K$18,2,FALSE)),""-"",TO_TEXT(A1029))"),"P01DG-1028")</f>
        <v>P01DG-1028</v>
      </c>
      <c r="H1029" s="15" t="str">
        <f ca="1">IFERROR(__xludf.DUMMYFUNCTION("CONCATENATE($B1029,(VLOOKUP($C1029,CATALOGOS!$F$2:$H$6,3,FALSE)),(VLOOKUP($V1029,CATALOGOS!$J$2:$K$18,2,FALSE)),""-"",TO_TEXT($A1029))"),"P01DG-1028")</f>
        <v>P01DG-1028</v>
      </c>
      <c r="I1029" s="6"/>
      <c r="J1029" s="6"/>
      <c r="K1029" s="37"/>
      <c r="L1029" s="37"/>
      <c r="M1029" s="86" t="s">
        <v>6974</v>
      </c>
      <c r="N1029" s="17"/>
      <c r="O1029" s="35" t="s">
        <v>6975</v>
      </c>
      <c r="P1029" s="17"/>
      <c r="Q1029" s="35" t="s">
        <v>6976</v>
      </c>
      <c r="R1029" s="10" t="s">
        <v>6977</v>
      </c>
      <c r="S1029" s="10" t="s">
        <v>6978</v>
      </c>
      <c r="T1029" s="10" t="s">
        <v>6979</v>
      </c>
      <c r="U1029" s="89" t="s">
        <v>6980</v>
      </c>
      <c r="V1029" s="85" t="s">
        <v>6054</v>
      </c>
      <c r="W1029" s="20" t="s">
        <v>6062</v>
      </c>
      <c r="X1029" s="92"/>
      <c r="Y1029" s="90"/>
      <c r="Z1029" s="26"/>
      <c r="AA1029" s="26"/>
      <c r="AB1029" s="26"/>
      <c r="AC1029" s="26"/>
    </row>
    <row r="1030" spans="1:30" ht="15.75" customHeight="1">
      <c r="A1030" s="10" t="s">
        <v>6981</v>
      </c>
      <c r="B1030" s="10" t="s">
        <v>27</v>
      </c>
      <c r="C1030" s="10" t="s">
        <v>6054</v>
      </c>
      <c r="D1030" s="12"/>
      <c r="E1030" s="13" t="s">
        <v>6964</v>
      </c>
      <c r="F1030" s="6" t="s">
        <v>6982</v>
      </c>
      <c r="G1030" s="14" t="str">
        <f ca="1">IFERROR(__xludf.DUMMYFUNCTION("CONCATENATE(B1030,(VLOOKUP(C1030,CATALOGOS!$F$2:$H$6,3,FALSE)),(VLOOKUP(V1030,CATALOGOS!$J$2:$K$18,2,FALSE)),""-"",TO_TEXT(A1030))"),"P01DG-1029")</f>
        <v>P01DG-1029</v>
      </c>
      <c r="H1030" s="15" t="str">
        <f ca="1">IFERROR(__xludf.DUMMYFUNCTION("CONCATENATE($B1030,(VLOOKUP($C1030,CATALOGOS!$F$2:$H$6,3,FALSE)),(VLOOKUP($V1030,CATALOGOS!$J$2:$K$18,2,FALSE)),""-"",TO_TEXT($A1030))"),"P01DG-1029")</f>
        <v>P01DG-1029</v>
      </c>
      <c r="I1030" s="6"/>
      <c r="J1030" s="6"/>
      <c r="K1030" s="37"/>
      <c r="L1030" s="37"/>
      <c r="M1030" s="86" t="s">
        <v>6983</v>
      </c>
      <c r="N1030" s="17"/>
      <c r="O1030" s="35" t="s">
        <v>6984</v>
      </c>
      <c r="P1030" s="17"/>
      <c r="Q1030" s="35" t="s">
        <v>6985</v>
      </c>
      <c r="R1030" s="10" t="s">
        <v>6986</v>
      </c>
      <c r="S1030" s="10" t="s">
        <v>6987</v>
      </c>
      <c r="T1030" s="10" t="s">
        <v>6988</v>
      </c>
      <c r="U1030" s="89" t="s">
        <v>6980</v>
      </c>
      <c r="V1030" s="85" t="s">
        <v>6054</v>
      </c>
      <c r="W1030" s="20" t="s">
        <v>6062</v>
      </c>
      <c r="X1030" s="92"/>
      <c r="Y1030" s="90"/>
      <c r="Z1030" s="26"/>
      <c r="AA1030" s="26"/>
      <c r="AB1030" s="26"/>
      <c r="AC1030" s="26"/>
    </row>
    <row r="1031" spans="1:30" ht="15.75" customHeight="1">
      <c r="A1031" s="10" t="s">
        <v>6989</v>
      </c>
      <c r="B1031" s="10" t="s">
        <v>27</v>
      </c>
      <c r="C1031" s="10" t="s">
        <v>28</v>
      </c>
      <c r="D1031" s="12"/>
      <c r="E1031" s="13" t="s">
        <v>6964</v>
      </c>
      <c r="F1031" s="6" t="s">
        <v>6990</v>
      </c>
      <c r="G1031" s="14" t="str">
        <f ca="1">IFERROR(__xludf.DUMMYFUNCTION("CONCATENATE(B1031,(VLOOKUP(C1031,CATALOGOS!$F$2:$H$6,3,FALSE)),(VLOOKUP(V1031,CATALOGOS!$J$2:$K$18,2,FALSE)),""-"",TO_TEXT(A1031))"),"P05DA-1030")</f>
        <v>P05DA-1030</v>
      </c>
      <c r="H1031" s="15" t="str">
        <f ca="1">IFERROR(__xludf.DUMMYFUNCTION("CONCATENATE($B1031,(VLOOKUP($C1031,CATALOGOS!$F$2:$H$6,3,FALSE)),(VLOOKUP($V1031,CATALOGOS!$J$2:$K$18,2,FALSE)),""-"",TO_TEXT($A1031))"),"P05DA-1030")</f>
        <v>P05DA-1030</v>
      </c>
      <c r="I1031" s="6"/>
      <c r="J1031" s="6"/>
      <c r="K1031" s="37"/>
      <c r="L1031" s="37"/>
      <c r="M1031" s="86" t="s">
        <v>6991</v>
      </c>
      <c r="N1031" s="17"/>
      <c r="O1031" s="35" t="s">
        <v>6992</v>
      </c>
      <c r="P1031" s="17"/>
      <c r="Q1031" s="35" t="s">
        <v>6993</v>
      </c>
      <c r="R1031" s="10" t="s">
        <v>6994</v>
      </c>
      <c r="S1031" s="10" t="s">
        <v>6995</v>
      </c>
      <c r="T1031" s="10" t="s">
        <v>6996</v>
      </c>
      <c r="U1031" s="89" t="s">
        <v>517</v>
      </c>
      <c r="V1031" s="85" t="s">
        <v>28</v>
      </c>
      <c r="W1031" s="20" t="s">
        <v>40</v>
      </c>
      <c r="X1031" s="92"/>
      <c r="Y1031" s="90"/>
      <c r="Z1031" s="26"/>
      <c r="AA1031" s="26"/>
      <c r="AB1031" s="26"/>
      <c r="AC1031" s="26"/>
    </row>
    <row r="1032" spans="1:30" ht="15.75" customHeight="1">
      <c r="A1032" s="10" t="s">
        <v>6997</v>
      </c>
      <c r="B1032" s="10" t="s">
        <v>27</v>
      </c>
      <c r="C1032" s="10" t="s">
        <v>28</v>
      </c>
      <c r="D1032" s="12"/>
      <c r="E1032" s="13" t="s">
        <v>6964</v>
      </c>
      <c r="F1032" s="6" t="s">
        <v>6998</v>
      </c>
      <c r="G1032" s="14" t="str">
        <f ca="1">IFERROR(__xludf.DUMMYFUNCTION("CONCATENATE(B1032,(VLOOKUP(C1032,CATALOGOS!$F$2:$H$6,3,FALSE)),(VLOOKUP(V1032,CATALOGOS!$J$2:$K$18,2,FALSE)),""-"",TO_TEXT(A1032))"),"P05DA-1031")</f>
        <v>P05DA-1031</v>
      </c>
      <c r="H1032" s="15" t="str">
        <f ca="1">IFERROR(__xludf.DUMMYFUNCTION("CONCATENATE($B1032,(VLOOKUP($C1032,CATALOGOS!$F$2:$H$6,3,FALSE)),(VLOOKUP($V1032,CATALOGOS!$J$2:$K$18,2,FALSE)),""-"",TO_TEXT($A1032))"),"P05DA-1031")</f>
        <v>P05DA-1031</v>
      </c>
      <c r="I1032" s="6"/>
      <c r="J1032" s="6"/>
      <c r="K1032" s="37"/>
      <c r="L1032" s="37"/>
      <c r="M1032" s="86" t="s">
        <v>6999</v>
      </c>
      <c r="N1032" s="17"/>
      <c r="O1032" s="35" t="s">
        <v>7000</v>
      </c>
      <c r="P1032" s="17"/>
      <c r="Q1032" s="35" t="s">
        <v>7001</v>
      </c>
      <c r="R1032" s="10" t="s">
        <v>7002</v>
      </c>
      <c r="S1032" s="10" t="s">
        <v>7003</v>
      </c>
      <c r="T1032" s="10" t="s">
        <v>7004</v>
      </c>
      <c r="U1032" s="89" t="s">
        <v>6980</v>
      </c>
      <c r="V1032" s="85" t="s">
        <v>28</v>
      </c>
      <c r="W1032" s="20" t="s">
        <v>40</v>
      </c>
      <c r="X1032" s="92"/>
      <c r="Y1032" s="90"/>
      <c r="Z1032" s="26"/>
      <c r="AA1032" s="26"/>
      <c r="AB1032" s="26"/>
      <c r="AC1032" s="26"/>
    </row>
    <row r="1033" spans="1:30" ht="15.75" customHeight="1">
      <c r="A1033" s="93">
        <v>1032</v>
      </c>
      <c r="B1033" s="94" t="s">
        <v>1469</v>
      </c>
      <c r="C1033" s="94" t="s">
        <v>1470</v>
      </c>
      <c r="D1033" s="95"/>
      <c r="E1033" s="96" t="s">
        <v>7005</v>
      </c>
      <c r="F1033" s="97" t="s">
        <v>7006</v>
      </c>
      <c r="G1033" s="14" t="str">
        <f ca="1">IFERROR(__xludf.DUMMYFUNCTION("CONCATENATE(B1033,(VLOOKUP(C1033,CATALOGOS!$F$2:$H$6,3,FALSE)),(VLOOKUP(V1033,CATALOGOS!$J$2:$K$18,2,FALSE)),""-"",TO_TEXT(A1033))"),"P12PL-1032")</f>
        <v>P12PL-1032</v>
      </c>
      <c r="H1033" s="15" t="str">
        <f ca="1">IFERROR(__xludf.DUMMYFUNCTION("CONCATENATE($B1033,(VLOOKUP($C1033,CATALOGOS!$F$2:$H$6,3,FALSE)),(VLOOKUP($V1033,CATALOGOS!$J$2:$K$18,2,FALSE)),""-"",TO_TEXT($A1033))"),"P12PL-1032")</f>
        <v>P12PL-1032</v>
      </c>
      <c r="I1033" s="6"/>
      <c r="J1033" s="6"/>
      <c r="K1033" s="10"/>
      <c r="L1033" s="37"/>
      <c r="M1033" s="81"/>
      <c r="N1033" s="17"/>
      <c r="O1033" s="35"/>
      <c r="P1033" s="17"/>
      <c r="Q1033" s="98" t="s">
        <v>2748</v>
      </c>
      <c r="R1033" s="94" t="s">
        <v>7007</v>
      </c>
      <c r="S1033" s="94" t="s">
        <v>36</v>
      </c>
      <c r="T1033" s="80" t="s">
        <v>85</v>
      </c>
      <c r="U1033" s="99" t="s">
        <v>38</v>
      </c>
      <c r="V1033" s="100" t="s">
        <v>3091</v>
      </c>
      <c r="W1033" s="101" t="s">
        <v>3151</v>
      </c>
      <c r="X1033" s="92"/>
      <c r="Y1033" s="90"/>
      <c r="Z1033" s="26"/>
      <c r="AA1033" s="26"/>
      <c r="AB1033" s="102"/>
      <c r="AC1033" s="102"/>
    </row>
    <row r="1034" spans="1:30" ht="15.75" customHeight="1">
      <c r="A1034" s="93">
        <v>1033</v>
      </c>
      <c r="B1034" s="94" t="s">
        <v>4410</v>
      </c>
      <c r="C1034" s="94" t="s">
        <v>6054</v>
      </c>
      <c r="D1034" s="95"/>
      <c r="E1034" s="96" t="s">
        <v>151</v>
      </c>
      <c r="F1034" s="97" t="s">
        <v>7008</v>
      </c>
      <c r="G1034" s="14" t="str">
        <f ca="1">IFERROR(__xludf.DUMMYFUNCTION("CONCATENATE(B1034,(VLOOKUP(C1034,CATALOGOS!$F$2:$H$6,3,FALSE)),(VLOOKUP(V1034,CATALOGOS!$J$2:$K$18,2,FALSE)),""-"",TO_TEXT(A1034))"),"P21DG-1033")</f>
        <v>P21DG-1033</v>
      </c>
      <c r="H1034" s="15" t="str">
        <f ca="1">IFERROR(__xludf.DUMMYFUNCTION("CONCATENATE($B1034,(VLOOKUP($C1034,CATALOGOS!$F$2:$H$6,3,FALSE)),(VLOOKUP($V1034,CATALOGOS!$J$2:$K$18,2,FALSE)),""-"",TO_TEXT($A1034))"),"P21DG-1033")</f>
        <v>P21DG-1033</v>
      </c>
      <c r="I1034" s="6"/>
      <c r="J1034" s="6"/>
      <c r="K1034" s="37"/>
      <c r="L1034" s="37"/>
      <c r="M1034" s="81"/>
      <c r="N1034" s="17"/>
      <c r="O1034" s="17"/>
      <c r="P1034" s="17"/>
      <c r="Q1034" s="98" t="s">
        <v>2748</v>
      </c>
      <c r="R1034" s="94" t="s">
        <v>7009</v>
      </c>
      <c r="S1034" s="94" t="s">
        <v>7010</v>
      </c>
      <c r="T1034" s="103" t="s">
        <v>7011</v>
      </c>
      <c r="U1034" s="99" t="s">
        <v>38</v>
      </c>
      <c r="V1034" s="100" t="s">
        <v>6054</v>
      </c>
      <c r="W1034" s="101" t="s">
        <v>6062</v>
      </c>
      <c r="X1034" s="92"/>
      <c r="Y1034" s="90"/>
      <c r="Z1034" s="26"/>
      <c r="AA1034" s="26"/>
      <c r="AB1034" s="104"/>
      <c r="AC1034" s="105"/>
    </row>
    <row r="1035" spans="1:30" ht="15.75" customHeight="1">
      <c r="A1035" s="93">
        <v>1034</v>
      </c>
      <c r="B1035" s="94" t="s">
        <v>27</v>
      </c>
      <c r="C1035" s="94" t="s">
        <v>28</v>
      </c>
      <c r="D1035" s="95"/>
      <c r="E1035" s="96" t="s">
        <v>6608</v>
      </c>
      <c r="F1035" s="97" t="s">
        <v>7012</v>
      </c>
      <c r="G1035" s="14" t="str">
        <f ca="1">IFERROR(__xludf.DUMMYFUNCTION("CONCATENATE(B1035,(VLOOKUP(C1035,CATALOGOS!$F$2:$H$6,3,FALSE)),(VLOOKUP(V1035,CATALOGOS!$J$2:$K$18,2,FALSE)),""-"",TO_TEXT(A1035))"),"P05DA-1034")</f>
        <v>P05DA-1034</v>
      </c>
      <c r="H1035" s="15" t="str">
        <f ca="1">IFERROR(__xludf.DUMMYFUNCTION("CONCATENATE($B1035,(VLOOKUP($C1035,CATALOGOS!$F$2:$H$6,3,FALSE)),(VLOOKUP($V1035,CATALOGOS!$J$2:$K$18,2,FALSE)),""-"",TO_TEXT($A1035))"),"P05DA-1034")</f>
        <v>P05DA-1034</v>
      </c>
      <c r="I1035" s="6"/>
      <c r="J1035" s="6"/>
      <c r="K1035" s="37"/>
      <c r="L1035" s="37"/>
      <c r="M1035" s="81"/>
      <c r="N1035" s="17"/>
      <c r="O1035" s="17"/>
      <c r="P1035" s="17"/>
      <c r="Q1035" s="98" t="s">
        <v>7013</v>
      </c>
      <c r="R1035" s="91" t="s">
        <v>7014</v>
      </c>
      <c r="S1035" s="91" t="s">
        <v>7015</v>
      </c>
      <c r="T1035" s="91" t="s">
        <v>7016</v>
      </c>
      <c r="U1035" s="99" t="s">
        <v>38</v>
      </c>
      <c r="V1035" s="100" t="s">
        <v>28</v>
      </c>
      <c r="W1035" s="101" t="s">
        <v>40</v>
      </c>
      <c r="X1035" s="92"/>
      <c r="Y1035" s="90"/>
      <c r="Z1035" s="26"/>
      <c r="AA1035" s="26"/>
      <c r="AB1035" s="104" t="s">
        <v>7017</v>
      </c>
      <c r="AC1035" s="106">
        <v>45266</v>
      </c>
    </row>
    <row r="1036" spans="1:30" ht="15.75" customHeight="1">
      <c r="A1036" s="93">
        <v>1035</v>
      </c>
      <c r="B1036" s="94" t="s">
        <v>474</v>
      </c>
      <c r="C1036" s="94" t="s">
        <v>28</v>
      </c>
      <c r="D1036" s="95"/>
      <c r="E1036" s="96" t="s">
        <v>6608</v>
      </c>
      <c r="F1036" s="97" t="s">
        <v>7012</v>
      </c>
      <c r="G1036" s="14" t="str">
        <f ca="1">IFERROR(__xludf.DUMMYFUNCTION("CONCATENATE(B1036,(VLOOKUP(C1036,CATALOGOS!$F$2:$H$6,3,FALSE)),(VLOOKUP(V1036,CATALOGOS!$J$2:$K$18,2,FALSE)),""-"",TO_TEXT(A1036))"),"P35DA-1035")</f>
        <v>P35DA-1035</v>
      </c>
      <c r="H1036" s="15" t="str">
        <f ca="1">IFERROR(__xludf.DUMMYFUNCTION("CONCATENATE($B1036,(VLOOKUP($C1036,CATALOGOS!$F$2:$H$6,3,FALSE)),(VLOOKUP($V1036,CATALOGOS!$J$2:$K$18,2,FALSE)),""-"",TO_TEXT($A1036))"),"P35DA-1035")</f>
        <v>P35DA-1035</v>
      </c>
      <c r="I1036" s="6"/>
      <c r="J1036" s="6"/>
      <c r="K1036" s="37"/>
      <c r="L1036" s="37"/>
      <c r="M1036" s="81"/>
      <c r="N1036" s="17"/>
      <c r="O1036" s="17"/>
      <c r="P1036" s="17"/>
      <c r="Q1036" s="98" t="s">
        <v>7013</v>
      </c>
      <c r="R1036" s="91" t="s">
        <v>7014</v>
      </c>
      <c r="S1036" s="91" t="s">
        <v>7018</v>
      </c>
      <c r="T1036" s="91" t="s">
        <v>7019</v>
      </c>
      <c r="U1036" s="99" t="s">
        <v>38</v>
      </c>
      <c r="V1036" s="100" t="s">
        <v>28</v>
      </c>
      <c r="W1036" s="101" t="s">
        <v>40</v>
      </c>
      <c r="X1036" s="92"/>
      <c r="Y1036" s="90"/>
      <c r="Z1036" s="26"/>
      <c r="AA1036" s="26"/>
      <c r="AB1036" s="104" t="s">
        <v>7017</v>
      </c>
      <c r="AC1036" s="106">
        <v>45266</v>
      </c>
      <c r="AD1036" s="86" t="s">
        <v>7020</v>
      </c>
    </row>
    <row r="1037" spans="1:30" ht="15.75" customHeight="1">
      <c r="A1037" s="93">
        <v>1036</v>
      </c>
      <c r="B1037" s="94" t="s">
        <v>27</v>
      </c>
      <c r="C1037" s="94" t="s">
        <v>28</v>
      </c>
      <c r="D1037" s="95"/>
      <c r="E1037" s="96" t="s">
        <v>7204</v>
      </c>
      <c r="F1037" s="97" t="s">
        <v>7022</v>
      </c>
      <c r="G1037" s="14" t="str">
        <f ca="1">IFERROR(__xludf.DUMMYFUNCTION("CONCATENATE(B1037,(VLOOKUP(C1037,CATALOGOS!$F$2:$H$6,3,FALSE)),(VLOOKUP(V1037,CATALOGOS!$J$2:$K$18,2,FALSE)),""-"",TO_TEXT(A1037))"),"P05RH-1036")</f>
        <v>P05RH-1036</v>
      </c>
      <c r="H1037" s="15" t="str">
        <f ca="1">IFERROR(__xludf.DUMMYFUNCTION("CONCATENATE($B1037,(VLOOKUP($C1037,CATALOGOS!$F$2:$H$6,3,FALSE)),(VLOOKUP($V1037,CATALOGOS!$J$2:$K$18,2,FALSE)),""-"",TO_TEXT($A1037))"),"P05RH-1036")</f>
        <v>P05RH-1036</v>
      </c>
      <c r="I1037" s="6"/>
      <c r="J1037" s="6"/>
      <c r="K1037" s="37"/>
      <c r="L1037" s="37"/>
      <c r="M1037" s="81"/>
      <c r="N1037" s="17"/>
      <c r="O1037" s="35"/>
      <c r="P1037" s="17"/>
      <c r="Q1037" s="98" t="s">
        <v>2403</v>
      </c>
      <c r="R1037" s="91" t="s">
        <v>7023</v>
      </c>
      <c r="S1037" s="91" t="s">
        <v>7024</v>
      </c>
      <c r="T1037" s="91" t="s">
        <v>7025</v>
      </c>
      <c r="U1037" s="99" t="s">
        <v>38</v>
      </c>
      <c r="V1037" s="100" t="s">
        <v>723</v>
      </c>
      <c r="W1037" s="101" t="s">
        <v>7026</v>
      </c>
      <c r="X1037" s="92"/>
      <c r="Y1037" s="90"/>
      <c r="Z1037" s="26"/>
      <c r="AA1037" s="26"/>
      <c r="AB1037" s="104" t="s">
        <v>7027</v>
      </c>
      <c r="AC1037" s="107">
        <v>45273</v>
      </c>
    </row>
    <row r="1038" spans="1:30" ht="15.75" customHeight="1">
      <c r="A1038" s="93">
        <v>1037</v>
      </c>
      <c r="B1038" s="94" t="s">
        <v>27</v>
      </c>
      <c r="C1038" s="94" t="s">
        <v>28</v>
      </c>
      <c r="D1038" s="95"/>
      <c r="E1038" s="96" t="s">
        <v>7005</v>
      </c>
      <c r="F1038" s="97" t="s">
        <v>7028</v>
      </c>
      <c r="G1038" s="14" t="str">
        <f ca="1">IFERROR(__xludf.DUMMYFUNCTION("CONCATENATE(B1038,(VLOOKUP(C1038,CATALOGOS!$F$2:$H$6,3,FALSE)),(VLOOKUP(V1038,CATALOGOS!$J$2:$K$18,2,FALSE)),""-"",TO_TEXT(A1038))"),"P05RH-1037")</f>
        <v>P05RH-1037</v>
      </c>
      <c r="H1038" s="15" t="str">
        <f ca="1">IFERROR(__xludf.DUMMYFUNCTION("CONCATENATE($B1038,(VLOOKUP($C1038,CATALOGOS!$F$2:$H$6,3,FALSE)),(VLOOKUP($V1038,CATALOGOS!$J$2:$K$18,2,FALSE)),""-"",TO_TEXT($A1038))"),"P05RH-1037")</f>
        <v>P05RH-1037</v>
      </c>
      <c r="I1038" s="6"/>
      <c r="J1038" s="6"/>
      <c r="K1038" s="37"/>
      <c r="L1038" s="37"/>
      <c r="M1038" s="81"/>
      <c r="N1038" s="17"/>
      <c r="O1038" s="17"/>
      <c r="P1038" s="17"/>
      <c r="Q1038" s="98" t="s">
        <v>2748</v>
      </c>
      <c r="R1038" s="91" t="s">
        <v>7029</v>
      </c>
      <c r="S1038" s="91" t="s">
        <v>7030</v>
      </c>
      <c r="T1038" s="91" t="s">
        <v>7031</v>
      </c>
      <c r="U1038" s="99" t="s">
        <v>38</v>
      </c>
      <c r="V1038" s="100" t="s">
        <v>723</v>
      </c>
      <c r="W1038" s="101" t="s">
        <v>7026</v>
      </c>
      <c r="X1038" s="92"/>
      <c r="Y1038" s="90"/>
      <c r="Z1038" s="26"/>
      <c r="AA1038" s="26"/>
      <c r="AB1038" s="104" t="s">
        <v>7032</v>
      </c>
      <c r="AC1038" s="107">
        <v>45273</v>
      </c>
    </row>
    <row r="1039" spans="1:30" ht="15.75" customHeight="1">
      <c r="A1039" s="93">
        <v>1038</v>
      </c>
      <c r="B1039" s="94" t="s">
        <v>1469</v>
      </c>
      <c r="C1039" s="94" t="s">
        <v>1470</v>
      </c>
      <c r="D1039" s="95"/>
      <c r="E1039" s="96" t="s">
        <v>7033</v>
      </c>
      <c r="F1039" s="97" t="s">
        <v>7034</v>
      </c>
      <c r="G1039" s="14" t="str">
        <f ca="1">IFERROR(__xludf.DUMMYFUNCTION("CONCATENATE(B1039,(VLOOKUP(C1039,CATALOGOS!$F$2:$H$6,3,FALSE)),(VLOOKUP(V1039,CATALOGOS!$J$2:$K$18,2,FALSE)),""-"",TO_TEXT(A1039))"),"P12SI-1038")</f>
        <v>P12SI-1038</v>
      </c>
      <c r="H1039" s="15" t="str">
        <f ca="1">IFERROR(__xludf.DUMMYFUNCTION("CONCATENATE($B1039,(VLOOKUP($C1039,CATALOGOS!$F$2:$H$6,3,FALSE)),(VLOOKUP($V1039,CATALOGOS!$J$2:$K$18,2,FALSE)),""-"",TO_TEXT($A1039))"),"P12SI-1038")</f>
        <v>P12SI-1038</v>
      </c>
      <c r="I1039" s="6"/>
      <c r="J1039" s="6"/>
      <c r="K1039" s="37"/>
      <c r="L1039" s="37"/>
      <c r="M1039" s="81"/>
      <c r="N1039" s="17"/>
      <c r="O1039" s="35"/>
      <c r="P1039" s="17"/>
      <c r="Q1039" s="98" t="s">
        <v>216</v>
      </c>
      <c r="R1039" s="91" t="s">
        <v>7035</v>
      </c>
      <c r="S1039" s="91" t="s">
        <v>7036</v>
      </c>
      <c r="T1039" s="91" t="s">
        <v>7037</v>
      </c>
      <c r="U1039" s="99" t="s">
        <v>38</v>
      </c>
      <c r="V1039" s="100" t="s">
        <v>1483</v>
      </c>
      <c r="W1039" s="101" t="s">
        <v>1484</v>
      </c>
      <c r="X1039" s="92"/>
      <c r="Y1039" s="90"/>
      <c r="Z1039" s="26"/>
      <c r="AA1039" s="26"/>
      <c r="AB1039" s="101" t="s">
        <v>7038</v>
      </c>
      <c r="AC1039" s="107">
        <v>45273</v>
      </c>
    </row>
    <row r="1040" spans="1:30" ht="15.75" customHeight="1">
      <c r="A1040" s="93">
        <v>1039</v>
      </c>
      <c r="B1040" s="94" t="s">
        <v>1469</v>
      </c>
      <c r="C1040" s="94" t="s">
        <v>1470</v>
      </c>
      <c r="D1040" s="95"/>
      <c r="E1040" s="96" t="s">
        <v>248</v>
      </c>
      <c r="F1040" s="97" t="s">
        <v>7039</v>
      </c>
      <c r="G1040" s="14" t="str">
        <f ca="1">IFERROR(__xludf.DUMMYFUNCTION("CONCATENATE(B1040,(VLOOKUP(C1040,CATALOGOS!$F$2:$H$6,3,FALSE)),(VLOOKUP(V1040,CATALOGOS!$J$2:$K$18,2,FALSE)),""-"",TO_TEXT(A1040))"),"P12SI-1039")</f>
        <v>P12SI-1039</v>
      </c>
      <c r="H1040" s="15" t="str">
        <f ca="1">IFERROR(__xludf.DUMMYFUNCTION("CONCATENATE($B1040,(VLOOKUP($C1040,CATALOGOS!$F$2:$H$6,3,FALSE)),(VLOOKUP($V1040,CATALOGOS!$J$2:$K$18,2,FALSE)),""-"",TO_TEXT($A1040))"),"P12SI-1039")</f>
        <v>P12SI-1039</v>
      </c>
      <c r="I1040" s="6"/>
      <c r="J1040" s="6"/>
      <c r="K1040" s="37"/>
      <c r="L1040" s="37"/>
      <c r="M1040" s="81"/>
      <c r="N1040" s="17"/>
      <c r="O1040" s="35"/>
      <c r="P1040" s="17"/>
      <c r="Q1040" s="98" t="s">
        <v>7040</v>
      </c>
      <c r="R1040" s="94" t="s">
        <v>7041</v>
      </c>
      <c r="S1040" s="91" t="s">
        <v>7042</v>
      </c>
      <c r="T1040" s="91" t="s">
        <v>7043</v>
      </c>
      <c r="U1040" s="99" t="s">
        <v>38</v>
      </c>
      <c r="V1040" s="100" t="s">
        <v>1483</v>
      </c>
      <c r="W1040" s="101" t="s">
        <v>1484</v>
      </c>
      <c r="X1040" s="92"/>
      <c r="Y1040" s="90"/>
      <c r="Z1040" s="26"/>
      <c r="AA1040" s="26"/>
      <c r="AB1040" s="104" t="s">
        <v>7038</v>
      </c>
      <c r="AC1040" s="107">
        <v>45273</v>
      </c>
    </row>
    <row r="1041" spans="1:30" ht="15.75" customHeight="1">
      <c r="A1041" s="93">
        <v>1040</v>
      </c>
      <c r="B1041" s="94" t="s">
        <v>4410</v>
      </c>
      <c r="C1041" s="94" t="s">
        <v>6054</v>
      </c>
      <c r="D1041" s="95"/>
      <c r="E1041" s="96" t="s">
        <v>7044</v>
      </c>
      <c r="F1041" s="97" t="s">
        <v>7045</v>
      </c>
      <c r="G1041" s="14" t="str">
        <f ca="1">IFERROR(__xludf.DUMMYFUNCTION("CONCATENATE(B1041,(VLOOKUP(C1041,CATALOGOS!$F$2:$H$6,3,FALSE)),(VLOOKUP(V1041,CATALOGOS!$J$2:$K$18,2,FALSE)),""-"",TO_TEXT(A1041))"),"P21DG-1040")</f>
        <v>P21DG-1040</v>
      </c>
      <c r="H1041" s="15" t="str">
        <f ca="1">IFERROR(__xludf.DUMMYFUNCTION("CONCATENATE($B1041,(VLOOKUP($C1041,CATALOGOS!$F$2:$H$6,3,FALSE)),(VLOOKUP($V1041,CATALOGOS!$J$2:$K$18,2,FALSE)),""-"",TO_TEXT($A1041))"),"P21DG-1040")</f>
        <v>P21DG-1040</v>
      </c>
      <c r="I1041" s="6"/>
      <c r="J1041" s="6"/>
      <c r="K1041" s="37"/>
      <c r="L1041" s="37"/>
      <c r="M1041" s="81"/>
      <c r="N1041" s="17"/>
      <c r="O1041" s="35"/>
      <c r="P1041" s="17"/>
      <c r="Q1041" s="98" t="s">
        <v>7046</v>
      </c>
      <c r="R1041" s="91" t="s">
        <v>7047</v>
      </c>
      <c r="S1041" s="91" t="s">
        <v>7048</v>
      </c>
      <c r="T1041" s="91" t="s">
        <v>7049</v>
      </c>
      <c r="U1041" s="99" t="s">
        <v>38</v>
      </c>
      <c r="V1041" s="100" t="s">
        <v>6054</v>
      </c>
      <c r="W1041" s="101" t="s">
        <v>6062</v>
      </c>
      <c r="X1041" s="92"/>
      <c r="Y1041" s="90"/>
      <c r="Z1041" s="26"/>
      <c r="AA1041" s="26"/>
      <c r="AB1041" s="104" t="s">
        <v>7050</v>
      </c>
      <c r="AC1041" s="107">
        <v>45273</v>
      </c>
    </row>
    <row r="1042" spans="1:30" ht="15.75" customHeight="1">
      <c r="A1042" s="93">
        <v>1041</v>
      </c>
      <c r="B1042" s="94" t="s">
        <v>1469</v>
      </c>
      <c r="C1042" s="94" t="s">
        <v>1470</v>
      </c>
      <c r="D1042" s="95"/>
      <c r="E1042" s="96" t="s">
        <v>7051</v>
      </c>
      <c r="F1042" s="97" t="s">
        <v>7052</v>
      </c>
      <c r="G1042" s="14" t="str">
        <f ca="1">IFERROR(__xludf.DUMMYFUNCTION("CONCATENATE(B1042,(VLOOKUP(C1042,CATALOGOS!$F$2:$H$6,3,FALSE)),(VLOOKUP(V1042,CATALOGOS!$J$2:$K$18,2,FALSE)),""-"",TO_TEXT(A1042))"),"P12SI-1041")</f>
        <v>P12SI-1041</v>
      </c>
      <c r="H1042" s="15" t="str">
        <f ca="1">IFERROR(__xludf.DUMMYFUNCTION("CONCATENATE($B1042,(VLOOKUP($C1042,CATALOGOS!$F$2:$H$6,3,FALSE)),(VLOOKUP($V1042,CATALOGOS!$J$2:$K$18,2,FALSE)),""-"",TO_TEXT($A1042))"),"P12SI-1041")</f>
        <v>P12SI-1041</v>
      </c>
      <c r="I1042" s="6"/>
      <c r="J1042" s="6"/>
      <c r="K1042" s="37"/>
      <c r="L1042" s="37"/>
      <c r="M1042" s="81"/>
      <c r="N1042" s="17"/>
      <c r="O1042" s="17"/>
      <c r="P1042" s="17"/>
      <c r="Q1042" s="98" t="s">
        <v>3069</v>
      </c>
      <c r="R1042" s="94" t="s">
        <v>7053</v>
      </c>
      <c r="S1042" s="94" t="s">
        <v>7054</v>
      </c>
      <c r="T1042" s="103" t="s">
        <v>7055</v>
      </c>
      <c r="U1042" s="99" t="s">
        <v>38</v>
      </c>
      <c r="V1042" s="100" t="s">
        <v>1483</v>
      </c>
      <c r="W1042" s="101" t="s">
        <v>1484</v>
      </c>
      <c r="X1042" s="92"/>
      <c r="Y1042" s="90"/>
      <c r="Z1042" s="26"/>
      <c r="AA1042" s="26"/>
      <c r="AB1042" s="104" t="s">
        <v>7056</v>
      </c>
      <c r="AC1042" s="107">
        <v>45273</v>
      </c>
    </row>
    <row r="1043" spans="1:30" ht="15.75" customHeight="1">
      <c r="A1043" s="93">
        <v>1042</v>
      </c>
      <c r="B1043" s="94" t="s">
        <v>27</v>
      </c>
      <c r="C1043" s="94" t="s">
        <v>28</v>
      </c>
      <c r="D1043" s="95"/>
      <c r="E1043" s="96" t="s">
        <v>2352</v>
      </c>
      <c r="F1043" s="97" t="s">
        <v>7057</v>
      </c>
      <c r="G1043" s="14" t="str">
        <f ca="1">IFERROR(__xludf.DUMMYFUNCTION("CONCATENATE(B1043,(VLOOKUP(C1043,CATALOGOS!$F$2:$H$6,3,FALSE)),(VLOOKUP(V1043,CATALOGOS!$J$2:$K$18,2,FALSE)),""-"",TO_TEXT(A1043))"),"P05RH-1042")</f>
        <v>P05RH-1042</v>
      </c>
      <c r="H1043" s="15" t="str">
        <f ca="1">IFERROR(__xludf.DUMMYFUNCTION("CONCATENATE($B1043,(VLOOKUP($C1043,CATALOGOS!$F$2:$H$6,3,FALSE)),(VLOOKUP($V1043,CATALOGOS!$J$2:$K$18,2,FALSE)),""-"",TO_TEXT($A1043))"),"P05RH-1042")</f>
        <v>P05RH-1042</v>
      </c>
      <c r="I1043" s="6"/>
      <c r="J1043" s="36"/>
      <c r="K1043" s="37"/>
      <c r="L1043" s="37"/>
      <c r="M1043" s="81"/>
      <c r="N1043" s="108"/>
      <c r="O1043" s="108"/>
      <c r="P1043" s="108"/>
      <c r="Q1043" s="109" t="s">
        <v>2599</v>
      </c>
      <c r="R1043" s="91" t="s">
        <v>7058</v>
      </c>
      <c r="S1043" s="91" t="s">
        <v>7059</v>
      </c>
      <c r="T1043" s="91" t="s">
        <v>7060</v>
      </c>
      <c r="U1043" s="99" t="s">
        <v>38</v>
      </c>
      <c r="V1043" s="110" t="s">
        <v>723</v>
      </c>
      <c r="W1043" s="101" t="s">
        <v>724</v>
      </c>
      <c r="X1043" s="92"/>
      <c r="Y1043" s="90"/>
      <c r="Z1043" s="26"/>
      <c r="AA1043" s="26"/>
      <c r="AB1043" s="104" t="s">
        <v>7061</v>
      </c>
      <c r="AC1043" s="106">
        <v>45075</v>
      </c>
    </row>
    <row r="1044" spans="1:30" ht="15.75" customHeight="1">
      <c r="A1044" s="93">
        <v>1043</v>
      </c>
      <c r="B1044" s="94" t="s">
        <v>1469</v>
      </c>
      <c r="C1044" s="94" t="s">
        <v>868</v>
      </c>
      <c r="D1044" s="95"/>
      <c r="E1044" s="96" t="s">
        <v>7062</v>
      </c>
      <c r="F1044" s="97" t="s">
        <v>7063</v>
      </c>
      <c r="G1044" s="14" t="str">
        <f ca="1">IFERROR(__xludf.DUMMYFUNCTION("CONCATENATE(B1044,(VLOOKUP(C1044,CATALOGOS!$F$2:$H$6,3,FALSE)),(VLOOKUP(V1044,CATALOGOS!$J$2:$K$18,2,FALSE)),""-"",TO_TEXT(A1044))"),"P13SO-1043")</f>
        <v>P13SO-1043</v>
      </c>
      <c r="H1044" s="15" t="str">
        <f ca="1">IFERROR(__xludf.DUMMYFUNCTION("CONCATENATE($B1044,(VLOOKUP($C1044,CATALOGOS!$F$2:$H$6,3,FALSE)),(VLOOKUP($V1044,CATALOGOS!$J$2:$K$18,2,FALSE)),""-"",TO_TEXT($A1044))"),"P13SO-1043")</f>
        <v>P13SO-1043</v>
      </c>
      <c r="I1044" s="6"/>
      <c r="J1044" s="36"/>
      <c r="K1044" s="37"/>
      <c r="L1044" s="37"/>
      <c r="M1044" s="81"/>
      <c r="N1044" s="108"/>
      <c r="O1044" s="108"/>
      <c r="P1044" s="108"/>
      <c r="Q1044" s="98" t="s">
        <v>2748</v>
      </c>
      <c r="R1044" s="94" t="s">
        <v>7064</v>
      </c>
      <c r="S1044" s="111" t="s">
        <v>7065</v>
      </c>
      <c r="T1044" s="91" t="s">
        <v>7066</v>
      </c>
      <c r="U1044" s="99" t="s">
        <v>38</v>
      </c>
      <c r="V1044" s="110" t="s">
        <v>868</v>
      </c>
      <c r="W1044" s="20" t="s">
        <v>3450</v>
      </c>
      <c r="X1044" s="92"/>
      <c r="Y1044" s="90"/>
      <c r="Z1044" s="26"/>
      <c r="AA1044" s="26"/>
      <c r="AB1044" s="104" t="s">
        <v>7067</v>
      </c>
      <c r="AC1044" s="112">
        <v>45075</v>
      </c>
    </row>
    <row r="1045" spans="1:30" ht="15.75" customHeight="1">
      <c r="A1045" s="113">
        <v>1044</v>
      </c>
      <c r="B1045" s="94" t="s">
        <v>1469</v>
      </c>
      <c r="C1045" s="94" t="s">
        <v>868</v>
      </c>
      <c r="D1045" s="95"/>
      <c r="E1045" s="96" t="s">
        <v>378</v>
      </c>
      <c r="F1045" s="114" t="s">
        <v>7068</v>
      </c>
      <c r="G1045" s="14" t="str">
        <f ca="1">IFERROR(__xludf.DUMMYFUNCTION("CONCATENATE(B1045,(VLOOKUP(C1045,CATALOGOS!$F$2:$H$6,3,FALSE)),(VLOOKUP(V1045,CATALOGOS!$J$2:$K$18,2,FALSE)),""-"",TO_TEXT(A1045))"),"P13SO-1044")</f>
        <v>P13SO-1044</v>
      </c>
      <c r="H1045" s="15" t="str">
        <f ca="1">IFERROR(__xludf.DUMMYFUNCTION("CONCATENATE($B1045,(VLOOKUP($C1045,CATALOGOS!$F$2:$H$6,3,FALSE)),(VLOOKUP($V1045,CATALOGOS!$J$2:$K$18,2,FALSE)),""-"",TO_TEXT($A1045))"),"P13SO-1044")</f>
        <v>P13SO-1044</v>
      </c>
      <c r="I1045" s="6"/>
      <c r="J1045" s="36"/>
      <c r="K1045" s="37"/>
      <c r="L1045" s="37"/>
      <c r="M1045" s="81"/>
      <c r="N1045" s="108"/>
      <c r="O1045" s="108"/>
      <c r="P1045" s="108"/>
      <c r="Q1045" s="98" t="s">
        <v>35</v>
      </c>
      <c r="R1045" s="94" t="s">
        <v>7069</v>
      </c>
      <c r="S1045" s="91" t="s">
        <v>36</v>
      </c>
      <c r="T1045" s="91" t="s">
        <v>7070</v>
      </c>
      <c r="U1045" s="99" t="s">
        <v>38</v>
      </c>
      <c r="V1045" s="110" t="s">
        <v>868</v>
      </c>
      <c r="W1045" s="101" t="s">
        <v>3450</v>
      </c>
      <c r="X1045" s="92"/>
      <c r="Y1045" s="90"/>
      <c r="Z1045" s="26"/>
      <c r="AA1045" s="26"/>
      <c r="AB1045" s="104" t="s">
        <v>7071</v>
      </c>
      <c r="AC1045" s="112">
        <v>45114</v>
      </c>
    </row>
    <row r="1046" spans="1:30" ht="15.75" customHeight="1">
      <c r="A1046" s="113">
        <v>1045</v>
      </c>
      <c r="B1046" s="94" t="s">
        <v>1469</v>
      </c>
      <c r="C1046" s="94" t="s">
        <v>868</v>
      </c>
      <c r="D1046" s="95"/>
      <c r="E1046" s="96" t="s">
        <v>378</v>
      </c>
      <c r="F1046" s="114" t="s">
        <v>7068</v>
      </c>
      <c r="G1046" s="14" t="str">
        <f ca="1">IFERROR(__xludf.DUMMYFUNCTION("CONCATENATE(B1046,(VLOOKUP(C1046,CATALOGOS!$F$2:$H$6,3,FALSE)),(VLOOKUP(V1046,CATALOGOS!$J$2:$K$18,2,FALSE)),""-"",TO_TEXT(A1046))"),"P13SO-1045")</f>
        <v>P13SO-1045</v>
      </c>
      <c r="H1046" s="15" t="str">
        <f ca="1">IFERROR(__xludf.DUMMYFUNCTION("CONCATENATE($B1046,(VLOOKUP($C1046,CATALOGOS!$F$2:$H$6,3,FALSE)),(VLOOKUP($V1046,CATALOGOS!$J$2:$K$18,2,FALSE)),""-"",TO_TEXT($A1046))"),"P13SO-1045")</f>
        <v>P13SO-1045</v>
      </c>
      <c r="I1046" s="6"/>
      <c r="J1046" s="36"/>
      <c r="K1046" s="37"/>
      <c r="L1046" s="37"/>
      <c r="M1046" s="81"/>
      <c r="N1046" s="108"/>
      <c r="O1046" s="108"/>
      <c r="P1046" s="108"/>
      <c r="Q1046" s="98" t="s">
        <v>35</v>
      </c>
      <c r="R1046" s="91" t="s">
        <v>7069</v>
      </c>
      <c r="S1046" s="91" t="s">
        <v>36</v>
      </c>
      <c r="T1046" s="91" t="s">
        <v>7072</v>
      </c>
      <c r="U1046" s="99" t="s">
        <v>38</v>
      </c>
      <c r="V1046" s="110" t="s">
        <v>868</v>
      </c>
      <c r="W1046" s="101" t="s">
        <v>3450</v>
      </c>
      <c r="X1046" s="92"/>
      <c r="Y1046" s="90"/>
      <c r="Z1046" s="26"/>
      <c r="AA1046" s="26"/>
      <c r="AB1046" s="104" t="s">
        <v>7071</v>
      </c>
      <c r="AC1046" s="112">
        <v>45114</v>
      </c>
    </row>
    <row r="1047" spans="1:30" ht="15.75" customHeight="1">
      <c r="A1047" s="93">
        <v>1046</v>
      </c>
      <c r="B1047" s="94" t="s">
        <v>4410</v>
      </c>
      <c r="C1047" s="94" t="s">
        <v>4411</v>
      </c>
      <c r="D1047" s="95"/>
      <c r="E1047" s="96" t="s">
        <v>151</v>
      </c>
      <c r="F1047" s="97" t="s">
        <v>7073</v>
      </c>
      <c r="G1047" s="14" t="str">
        <f ca="1">IFERROR(__xludf.DUMMYFUNCTION("CONCATENATE(B1047,(VLOOKUP(C1047,CATALOGOS!$F$2:$H$6,3,FALSE)),(VLOOKUP(V1047,CATALOGOS!$J$2:$K$18,2,FALSE)),""-"",TO_TEXT(A1047))"),"P24SJ-1046")</f>
        <v>P24SJ-1046</v>
      </c>
      <c r="H1047" s="15" t="str">
        <f ca="1">IFERROR(__xludf.DUMMYFUNCTION("CONCATENATE($B1047,(VLOOKUP($C1047,CATALOGOS!$F$2:$H$6,3,FALSE)),(VLOOKUP($V1047,CATALOGOS!$J$2:$K$18,2,FALSE)),""-"",TO_TEXT($A1047))"),"P24SJ-1046")</f>
        <v>P24SJ-1046</v>
      </c>
      <c r="I1047" s="6"/>
      <c r="J1047" s="36"/>
      <c r="K1047" s="37"/>
      <c r="L1047" s="37"/>
      <c r="M1047" s="81"/>
      <c r="N1047" s="108"/>
      <c r="O1047" s="108"/>
      <c r="P1047" s="108"/>
      <c r="Q1047" s="98" t="s">
        <v>2317</v>
      </c>
      <c r="R1047" s="94" t="s">
        <v>7074</v>
      </c>
      <c r="S1047" s="91" t="s">
        <v>7075</v>
      </c>
      <c r="T1047" s="91" t="s">
        <v>7076</v>
      </c>
      <c r="U1047" s="99" t="s">
        <v>38</v>
      </c>
      <c r="V1047" s="110" t="s">
        <v>4411</v>
      </c>
      <c r="W1047" s="101" t="s">
        <v>4935</v>
      </c>
      <c r="X1047" s="92"/>
      <c r="Y1047" s="90"/>
      <c r="Z1047" s="26"/>
      <c r="AA1047" s="26"/>
      <c r="AB1047" s="104" t="s">
        <v>7077</v>
      </c>
      <c r="AC1047" s="112">
        <v>45166</v>
      </c>
    </row>
    <row r="1048" spans="1:30" ht="15.75" customHeight="1">
      <c r="A1048" s="93">
        <v>1047</v>
      </c>
      <c r="B1048" s="94" t="s">
        <v>1469</v>
      </c>
      <c r="C1048" s="94" t="s">
        <v>868</v>
      </c>
      <c r="D1048" s="95"/>
      <c r="E1048" s="96" t="s">
        <v>7005</v>
      </c>
      <c r="F1048" s="97" t="s">
        <v>7078</v>
      </c>
      <c r="G1048" s="14" t="str">
        <f ca="1">IFERROR(__xludf.DUMMYFUNCTION("CONCATENATE(B1048,(VLOOKUP(C1048,CATALOGOS!$F$2:$H$6,3,FALSE)),(VLOOKUP(V1048,CATALOGOS!$J$2:$K$18,2,FALSE)),""-"",TO_TEXT(A1048))"),"P13SO-1047")</f>
        <v>P13SO-1047</v>
      </c>
      <c r="H1048" s="15" t="str">
        <f ca="1">IFERROR(__xludf.DUMMYFUNCTION("CONCATENATE($B1048,(VLOOKUP($C1048,CATALOGOS!$F$2:$H$6,3,FALSE)),(VLOOKUP($V1048,CATALOGOS!$J$2:$K$18,2,FALSE)),""-"",TO_TEXT($A1048))"),"P13SO-1047")</f>
        <v>P13SO-1047</v>
      </c>
      <c r="I1048" s="6"/>
      <c r="J1048" s="36"/>
      <c r="K1048" s="37"/>
      <c r="L1048" s="37"/>
      <c r="M1048" s="81"/>
      <c r="N1048" s="108"/>
      <c r="O1048" s="108"/>
      <c r="P1048" s="108"/>
      <c r="Q1048" s="98" t="s">
        <v>2748</v>
      </c>
      <c r="R1048" s="91" t="s">
        <v>7079</v>
      </c>
      <c r="S1048" s="115" t="s">
        <v>7080</v>
      </c>
      <c r="T1048" s="91" t="s">
        <v>7081</v>
      </c>
      <c r="U1048" s="99" t="s">
        <v>38</v>
      </c>
      <c r="V1048" s="110" t="s">
        <v>868</v>
      </c>
      <c r="W1048" s="20" t="s">
        <v>3840</v>
      </c>
      <c r="X1048" s="92"/>
      <c r="Y1048" s="90"/>
      <c r="Z1048" s="26"/>
      <c r="AA1048" s="26"/>
      <c r="AB1048" s="104" t="s">
        <v>7082</v>
      </c>
      <c r="AC1048" s="112">
        <v>45175</v>
      </c>
    </row>
    <row r="1049" spans="1:30" ht="15.75" customHeight="1">
      <c r="A1049" s="93">
        <v>1048</v>
      </c>
      <c r="B1049" s="94" t="s">
        <v>1469</v>
      </c>
      <c r="C1049" s="94" t="s">
        <v>868</v>
      </c>
      <c r="D1049" s="95"/>
      <c r="E1049" s="96" t="s">
        <v>1275</v>
      </c>
      <c r="F1049" s="97" t="s">
        <v>7083</v>
      </c>
      <c r="G1049" s="14" t="str">
        <f ca="1">IFERROR(__xludf.DUMMYFUNCTION("CONCATENATE(B1049,(VLOOKUP(C1049,CATALOGOS!$F$2:$H$6,3,FALSE)),(VLOOKUP(V1049,CATALOGOS!$J$2:$K$18,2,FALSE)),""-"",TO_TEXT(A1049))"),"P13SO-1048")</f>
        <v>P13SO-1048</v>
      </c>
      <c r="H1049" s="15" t="str">
        <f ca="1">IFERROR(__xludf.DUMMYFUNCTION("CONCATENATE($B1049,(VLOOKUP($C1049,CATALOGOS!$F$2:$H$6,3,FALSE)),(VLOOKUP($V1049,CATALOGOS!$J$2:$K$18,2,FALSE)),""-"",TO_TEXT($A1049))"),"P13SO-1048")</f>
        <v>P13SO-1048</v>
      </c>
      <c r="I1049" s="6"/>
      <c r="J1049" s="36"/>
      <c r="K1049" s="37"/>
      <c r="L1049" s="37"/>
      <c r="M1049" s="81"/>
      <c r="N1049" s="108"/>
      <c r="O1049" s="108"/>
      <c r="P1049" s="108"/>
      <c r="Q1049" s="98" t="s">
        <v>2748</v>
      </c>
      <c r="R1049" s="91" t="s">
        <v>7084</v>
      </c>
      <c r="S1049" s="91" t="s">
        <v>7085</v>
      </c>
      <c r="T1049" s="91" t="s">
        <v>7086</v>
      </c>
      <c r="U1049" s="99" t="s">
        <v>38</v>
      </c>
      <c r="V1049" s="110" t="s">
        <v>868</v>
      </c>
      <c r="W1049" s="20" t="s">
        <v>3450</v>
      </c>
      <c r="X1049" s="92"/>
      <c r="Y1049" s="90"/>
      <c r="Z1049" s="26"/>
      <c r="AA1049" s="26"/>
      <c r="AB1049" s="104" t="s">
        <v>7082</v>
      </c>
      <c r="AC1049" s="112">
        <v>45175</v>
      </c>
    </row>
    <row r="1050" spans="1:30" ht="15.75" customHeight="1">
      <c r="A1050" s="93">
        <v>1049</v>
      </c>
      <c r="B1050" s="94" t="s">
        <v>1469</v>
      </c>
      <c r="C1050" s="94" t="s">
        <v>1470</v>
      </c>
      <c r="D1050" s="95"/>
      <c r="E1050" s="96" t="s">
        <v>184</v>
      </c>
      <c r="F1050" s="97" t="s">
        <v>7087</v>
      </c>
      <c r="G1050" s="15" t="str">
        <f ca="1">IFERROR(__xludf.DUMMYFUNCTION("CONCATENATE(B1050,(VLOOKUP(C1050,CATALOGOS!$F$2:$H$6,3,FALSE)),(VLOOKUP(V1050,CATALOGOS!$J$2:$K$18,2,FALSE)),""-"",TO_TEXT(A1050))"),"P12PP-1049")</f>
        <v>P12PP-1049</v>
      </c>
      <c r="H1050" s="15" t="str">
        <f ca="1">IFERROR(__xludf.DUMMYFUNCTION("CONCATENATE($B1050,(VLOOKUP($C1050,CATALOGOS!$F$2:$H$6,3,FALSE)),(VLOOKUP($V1050,CATALOGOS!$J$2:$K$18,2,FALSE)),""-"",TO_TEXT($A1050))"),"P12PP-1049")</f>
        <v>P12PP-1049</v>
      </c>
      <c r="I1050" s="6"/>
      <c r="J1050" s="36"/>
      <c r="K1050" s="37"/>
      <c r="L1050" s="37"/>
      <c r="M1050" s="81"/>
      <c r="N1050" s="108"/>
      <c r="O1050" s="108"/>
      <c r="P1050" s="108"/>
      <c r="Q1050" s="98" t="s">
        <v>7088</v>
      </c>
      <c r="R1050" s="94" t="s">
        <v>7089</v>
      </c>
      <c r="S1050" s="17" t="s">
        <v>36</v>
      </c>
      <c r="T1050" s="91" t="s">
        <v>7090</v>
      </c>
      <c r="U1050" s="18" t="s">
        <v>38</v>
      </c>
      <c r="V1050" s="110" t="s">
        <v>1548</v>
      </c>
      <c r="W1050" s="20" t="s">
        <v>687</v>
      </c>
      <c r="X1050" s="39" t="s">
        <v>1672</v>
      </c>
      <c r="Y1050" s="90"/>
      <c r="Z1050" s="26"/>
      <c r="AA1050" s="26"/>
      <c r="AB1050" s="104" t="s">
        <v>7091</v>
      </c>
      <c r="AC1050" s="101" t="s">
        <v>7092</v>
      </c>
    </row>
    <row r="1051" spans="1:30" ht="15.75" customHeight="1">
      <c r="A1051" s="93">
        <v>1050</v>
      </c>
      <c r="B1051" s="94" t="s">
        <v>4410</v>
      </c>
      <c r="C1051" s="94" t="s">
        <v>4411</v>
      </c>
      <c r="D1051" s="95"/>
      <c r="E1051" s="96" t="s">
        <v>184</v>
      </c>
      <c r="F1051" s="97" t="s">
        <v>7087</v>
      </c>
      <c r="G1051" s="14" t="str">
        <f ca="1">IFERROR(__xludf.DUMMYFUNCTION("CONCATENATE(B1051,(VLOOKUP(C1051,CATALOGOS!$F$2:$H$6,3,FALSE)),(VLOOKUP(V1051,CATALOGOS!$J$2:$K$18,2,FALSE)),""-"",TO_TEXT(A1051))"),"P24CA-1050")</f>
        <v>P24CA-1050</v>
      </c>
      <c r="H1051" s="15" t="str">
        <f ca="1">IFERROR(__xludf.DUMMYFUNCTION("CONCATENATE($B1051,(VLOOKUP($C1051,CATALOGOS!$F$2:$H$6,3,FALSE)),(VLOOKUP($V1051,CATALOGOS!$J$2:$K$18,2,FALSE)),""-"",TO_TEXT($A1051))"),"P24CA-1050")</f>
        <v>P24CA-1050</v>
      </c>
      <c r="I1051" s="6"/>
      <c r="J1051" s="36"/>
      <c r="K1051" s="37"/>
      <c r="L1051" s="37"/>
      <c r="M1051" s="81"/>
      <c r="N1051" s="108"/>
      <c r="O1051" s="108"/>
      <c r="P1051" s="108"/>
      <c r="Q1051" s="98" t="s">
        <v>7088</v>
      </c>
      <c r="R1051" s="94" t="s">
        <v>7089</v>
      </c>
      <c r="S1051" s="94" t="s">
        <v>7093</v>
      </c>
      <c r="T1051" s="91" t="s">
        <v>7094</v>
      </c>
      <c r="U1051" s="99" t="s">
        <v>38</v>
      </c>
      <c r="V1051" s="110" t="s">
        <v>4416</v>
      </c>
      <c r="W1051" s="101" t="s">
        <v>5584</v>
      </c>
      <c r="X1051" s="92"/>
      <c r="Y1051" s="90"/>
      <c r="Z1051" s="26"/>
      <c r="AA1051" s="26"/>
      <c r="AB1051" s="104" t="s">
        <v>7091</v>
      </c>
      <c r="AC1051" s="106">
        <v>45159</v>
      </c>
    </row>
    <row r="1052" spans="1:30" ht="15.75" customHeight="1">
      <c r="A1052" s="93">
        <v>1051</v>
      </c>
      <c r="B1052" s="94" t="s">
        <v>27</v>
      </c>
      <c r="C1052" s="94" t="s">
        <v>868</v>
      </c>
      <c r="D1052" s="95"/>
      <c r="E1052" s="96" t="s">
        <v>378</v>
      </c>
      <c r="F1052" s="97" t="s">
        <v>7095</v>
      </c>
      <c r="G1052" s="14" t="str">
        <f ca="1">IFERROR(__xludf.DUMMYFUNCTION("CONCATENATE(B1052,(VLOOKUP(C1052,CATALOGOS!$F$2:$H$6,3,FALSE)),(VLOOKUP(V1052,CATALOGOS!$J$2:$K$18,2,FALSE)),""-"",TO_TEXT(A1052))"),"P03CV-1051")</f>
        <v>P03CV-1051</v>
      </c>
      <c r="H1052" s="15" t="str">
        <f ca="1">IFERROR(__xludf.DUMMYFUNCTION("CONCATENATE($B1052,(VLOOKUP($C1052,CATALOGOS!$F$2:$H$6,3,FALSE)),(VLOOKUP($V1052,CATALOGOS!$J$2:$K$18,2,FALSE)),""-"",TO_TEXT($A1052))"),"P03CV-1051")</f>
        <v>P03CV-1051</v>
      </c>
      <c r="I1052" s="6"/>
      <c r="J1052" s="36"/>
      <c r="K1052" s="37"/>
      <c r="L1052" s="37"/>
      <c r="M1052" s="81"/>
      <c r="N1052" s="108"/>
      <c r="O1052" s="108"/>
      <c r="P1052" s="108"/>
      <c r="Q1052" s="98" t="s">
        <v>4684</v>
      </c>
      <c r="R1052" s="94" t="s">
        <v>7096</v>
      </c>
      <c r="S1052" s="94" t="s">
        <v>7093</v>
      </c>
      <c r="T1052" s="91" t="s">
        <v>7097</v>
      </c>
      <c r="U1052" s="99" t="s">
        <v>38</v>
      </c>
      <c r="V1052" s="110" t="s">
        <v>875</v>
      </c>
      <c r="W1052" s="20" t="s">
        <v>4573</v>
      </c>
      <c r="X1052" s="92"/>
      <c r="Y1052" s="90"/>
      <c r="Z1052" s="26"/>
      <c r="AA1052" s="26"/>
      <c r="AB1052" s="104" t="s">
        <v>7098</v>
      </c>
      <c r="AC1052" s="112">
        <v>45167</v>
      </c>
    </row>
    <row r="1053" spans="1:30" ht="15.75" customHeight="1">
      <c r="A1053" s="93">
        <v>1052</v>
      </c>
      <c r="B1053" s="94" t="s">
        <v>1469</v>
      </c>
      <c r="C1053" s="94" t="s">
        <v>868</v>
      </c>
      <c r="D1053" s="95"/>
      <c r="E1053" s="96" t="s">
        <v>378</v>
      </c>
      <c r="F1053" s="97" t="s">
        <v>7095</v>
      </c>
      <c r="G1053" s="14" t="str">
        <f ca="1">IFERROR(__xludf.DUMMYFUNCTION("CONCATENATE(B1053,(VLOOKUP(C1053,CATALOGOS!$F$2:$H$6,3,FALSE)),(VLOOKUP(V1053,CATALOGOS!$J$2:$K$18,2,FALSE)),""-"",TO_TEXT(A1053))"),"P13SO-1052")</f>
        <v>P13SO-1052</v>
      </c>
      <c r="H1053" s="64" t="str">
        <f ca="1">IFERROR(__xludf.DUMMYFUNCTION("CONCATENATE($B1053,(VLOOKUP($C1053,CATALOGOS!$F$2:$H$6,3,FALSE)),(VLOOKUP($V1053,CATALOGOS!$J$2:$K$18,2,FALSE)),""-"",TO_TEXT($A1053))"),"P13SO-1052")</f>
        <v>P13SO-1052</v>
      </c>
      <c r="I1053" s="6"/>
      <c r="J1053" s="36"/>
      <c r="K1053" s="37"/>
      <c r="L1053" s="37"/>
      <c r="M1053" s="81"/>
      <c r="N1053" s="108"/>
      <c r="O1053" s="108"/>
      <c r="P1053" s="108"/>
      <c r="Q1053" s="98" t="s">
        <v>4684</v>
      </c>
      <c r="R1053" s="94" t="s">
        <v>7096</v>
      </c>
      <c r="S1053" s="94" t="s">
        <v>7093</v>
      </c>
      <c r="T1053" s="91" t="s">
        <v>7099</v>
      </c>
      <c r="U1053" s="99" t="s">
        <v>38</v>
      </c>
      <c r="V1053" s="110" t="s">
        <v>868</v>
      </c>
      <c r="W1053" s="20" t="s">
        <v>1665</v>
      </c>
      <c r="X1053" s="92"/>
      <c r="Y1053" s="90"/>
      <c r="Z1053" s="26"/>
      <c r="AA1053" s="26"/>
      <c r="AB1053" s="101" t="s">
        <v>7098</v>
      </c>
      <c r="AC1053" s="112">
        <v>45167</v>
      </c>
    </row>
    <row r="1054" spans="1:30" ht="15.75" customHeight="1">
      <c r="A1054" s="93">
        <v>1053</v>
      </c>
      <c r="B1054" s="94" t="s">
        <v>1469</v>
      </c>
      <c r="C1054" s="94" t="s">
        <v>1470</v>
      </c>
      <c r="D1054" s="95"/>
      <c r="E1054" s="96" t="s">
        <v>378</v>
      </c>
      <c r="F1054" s="97" t="s">
        <v>7095</v>
      </c>
      <c r="G1054" s="15" t="str">
        <f ca="1">IFERROR(__xludf.DUMMYFUNCTION("CONCATENATE(B1054,(VLOOKUP(C1054,CATALOGOS!$F$2:$H$6,3,FALSE)),(VLOOKUP(V1054,CATALOGOS!$J$2:$K$18,2,FALSE)),""-"",TO_TEXT(A1054))"),"P12ST-1053")</f>
        <v>P12ST-1053</v>
      </c>
      <c r="H1054" s="15" t="str">
        <f ca="1">IFERROR(__xludf.DUMMYFUNCTION("CONCATENATE($B1054,(VLOOKUP($C1054,CATALOGOS!$F$2:$H$6,3,FALSE)),(VLOOKUP($V1054,CATALOGOS!$J$2:$K$18,2,FALSE)),""-"",TO_TEXT($A1054))"),"P12ST-1053")</f>
        <v>P12ST-1053</v>
      </c>
      <c r="I1054" s="6"/>
      <c r="J1054" s="36"/>
      <c r="K1054" s="37"/>
      <c r="L1054" s="37"/>
      <c r="M1054" s="81"/>
      <c r="N1054" s="108"/>
      <c r="O1054" s="108"/>
      <c r="P1054" s="108"/>
      <c r="Q1054" s="98" t="s">
        <v>4684</v>
      </c>
      <c r="R1054" s="94" t="s">
        <v>7096</v>
      </c>
      <c r="S1054" s="94" t="s">
        <v>7093</v>
      </c>
      <c r="T1054" s="91" t="s">
        <v>7100</v>
      </c>
      <c r="U1054" s="99" t="s">
        <v>38</v>
      </c>
      <c r="V1054" s="110" t="s">
        <v>1470</v>
      </c>
      <c r="W1054" s="101" t="s">
        <v>1477</v>
      </c>
      <c r="X1054" s="92"/>
      <c r="Y1054" s="90"/>
      <c r="Z1054" s="26"/>
      <c r="AA1054" s="26"/>
      <c r="AB1054" s="104" t="s">
        <v>7101</v>
      </c>
      <c r="AC1054" s="112">
        <v>45195</v>
      </c>
    </row>
    <row r="1055" spans="1:30" ht="15.75" customHeight="1">
      <c r="A1055" s="93">
        <v>1054</v>
      </c>
      <c r="B1055" s="94" t="s">
        <v>1469</v>
      </c>
      <c r="C1055" s="94" t="s">
        <v>1470</v>
      </c>
      <c r="D1055" s="95"/>
      <c r="E1055" s="116" t="s">
        <v>378</v>
      </c>
      <c r="F1055" s="117" t="s">
        <v>7095</v>
      </c>
      <c r="G1055" s="15" t="str">
        <f ca="1">IFERROR(__xludf.DUMMYFUNCTION("CONCATENATE(B1055,(VLOOKUP(C1055,CATALOGOS!$F$2:$H$6,3,FALSE)),(VLOOKUP(V1055,CATALOGOS!$J$2:$K$18,2,FALSE)),""-"",TO_TEXT(A1055))"),"P12ST-1054")</f>
        <v>P12ST-1054</v>
      </c>
      <c r="H1055" s="15" t="str">
        <f ca="1">IFERROR(__xludf.DUMMYFUNCTION("CONCATENATE($B1055,(VLOOKUP($C1055,CATALOGOS!$F$2:$H$6,3,FALSE)),(VLOOKUP($V1055,CATALOGOS!$J$2:$K$18,2,FALSE)),""-"",TO_TEXT($A1055))"),"P12ST-1054")</f>
        <v>P12ST-1054</v>
      </c>
      <c r="I1055" s="6"/>
      <c r="J1055" s="36"/>
      <c r="K1055" s="37"/>
      <c r="L1055" s="37"/>
      <c r="M1055" s="81"/>
      <c r="N1055" s="108"/>
      <c r="O1055" s="108"/>
      <c r="P1055" s="108"/>
      <c r="Q1055" s="98" t="s">
        <v>4684</v>
      </c>
      <c r="R1055" s="94" t="s">
        <v>7096</v>
      </c>
      <c r="S1055" s="94" t="s">
        <v>7093</v>
      </c>
      <c r="T1055" s="91" t="s">
        <v>7102</v>
      </c>
      <c r="U1055" s="99" t="s">
        <v>38</v>
      </c>
      <c r="V1055" s="110" t="s">
        <v>1470</v>
      </c>
      <c r="W1055" s="101" t="s">
        <v>1477</v>
      </c>
      <c r="X1055" s="92"/>
      <c r="Y1055" s="90"/>
      <c r="Z1055" s="26"/>
      <c r="AA1055" s="26"/>
      <c r="AB1055" s="101" t="s">
        <v>7101</v>
      </c>
      <c r="AC1055" s="112">
        <v>45195</v>
      </c>
    </row>
    <row r="1056" spans="1:30" ht="15.75" customHeight="1">
      <c r="A1056" s="93">
        <v>1055</v>
      </c>
      <c r="B1056" s="94" t="s">
        <v>27</v>
      </c>
      <c r="C1056" s="94" t="s">
        <v>28</v>
      </c>
      <c r="D1056" s="95"/>
      <c r="E1056" s="96" t="s">
        <v>184</v>
      </c>
      <c r="F1056" s="97" t="s">
        <v>7087</v>
      </c>
      <c r="G1056" s="15" t="str">
        <f ca="1">IFERROR(__xludf.DUMMYFUNCTION("CONCATENATE(B1056,(VLOOKUP(C1056,CATALOGOS!$F$2:$H$6,3,FALSE)),(VLOOKUP(V1056,CATALOGOS!$J$2:$K$18,2,FALSE)),""-"",TO_TEXT(A1056))"),"P05DA-1055")</f>
        <v>P05DA-1055</v>
      </c>
      <c r="H1056" s="15" t="str">
        <f ca="1">IFERROR(__xludf.DUMMYFUNCTION("CONCATENATE($B1056,(VLOOKUP($C1056,CATALOGOS!$F$2:$H$6,3,FALSE)),(VLOOKUP($V1056,CATALOGOS!$J$2:$K$18,2,FALSE)),""-"",TO_TEXT($A1056))"),"P05DA-1055")</f>
        <v>P05DA-1055</v>
      </c>
      <c r="I1056" s="6"/>
      <c r="J1056" s="36"/>
      <c r="K1056" s="37"/>
      <c r="L1056" s="37"/>
      <c r="M1056" s="81"/>
      <c r="N1056" s="108"/>
      <c r="O1056" s="108"/>
      <c r="P1056" s="108"/>
      <c r="Q1056" s="98" t="s">
        <v>7088</v>
      </c>
      <c r="R1056" s="94" t="s">
        <v>7089</v>
      </c>
      <c r="S1056" s="94" t="s">
        <v>7093</v>
      </c>
      <c r="T1056" s="118" t="s">
        <v>7103</v>
      </c>
      <c r="U1056" s="99" t="s">
        <v>38</v>
      </c>
      <c r="V1056" s="110" t="s">
        <v>28</v>
      </c>
      <c r="W1056" s="101" t="s">
        <v>332</v>
      </c>
      <c r="X1056" s="92"/>
      <c r="Y1056" s="90"/>
      <c r="Z1056" s="26"/>
      <c r="AA1056" s="26"/>
      <c r="AB1056" s="104" t="s">
        <v>7104</v>
      </c>
      <c r="AC1056" s="112">
        <v>45224</v>
      </c>
      <c r="AD1056" s="86" t="s">
        <v>7020</v>
      </c>
    </row>
    <row r="1057" spans="1:29" ht="15.75" customHeight="1">
      <c r="A1057" s="93">
        <v>1056</v>
      </c>
      <c r="B1057" s="94" t="s">
        <v>27</v>
      </c>
      <c r="C1057" s="94" t="s">
        <v>1470</v>
      </c>
      <c r="D1057" s="95"/>
      <c r="E1057" s="96" t="s">
        <v>151</v>
      </c>
      <c r="F1057" s="97" t="s">
        <v>7105</v>
      </c>
      <c r="G1057" s="15" t="str">
        <f ca="1">IFERROR(__xludf.DUMMYFUNCTION("CONCATENATE(B1057,(VLOOKUP(C1057,CATALOGOS!$F$2:$H$6,3,FALSE)),(VLOOKUP(V1057,CATALOGOS!$J$2:$K$18,2,FALSE)),""-"",TO_TEXT(A1057))"),"P02PP-1056")</f>
        <v>P02PP-1056</v>
      </c>
      <c r="H1057" s="15" t="str">
        <f ca="1">IFERROR(__xludf.DUMMYFUNCTION("CONCATENATE($B1057,(VLOOKUP($C1057,CATALOGOS!$F$2:$H$6,3,FALSE)),(VLOOKUP($V1057,CATALOGOS!$J$2:$K$18,2,FALSE)),""-"",TO_TEXT($A1057))"),"P02PP-1056")</f>
        <v>P02PP-1056</v>
      </c>
      <c r="I1057" s="6"/>
      <c r="J1057" s="36"/>
      <c r="K1057" s="37"/>
      <c r="L1057" s="37"/>
      <c r="M1057" s="81"/>
      <c r="N1057" s="108"/>
      <c r="O1057" s="108"/>
      <c r="P1057" s="108"/>
      <c r="Q1057" s="98" t="s">
        <v>2748</v>
      </c>
      <c r="R1057" s="94" t="s">
        <v>7009</v>
      </c>
      <c r="S1057" s="94" t="s">
        <v>7106</v>
      </c>
      <c r="T1057" s="91" t="s">
        <v>7107</v>
      </c>
      <c r="U1057" s="99" t="s">
        <v>38</v>
      </c>
      <c r="V1057" s="110" t="s">
        <v>1548</v>
      </c>
      <c r="W1057" s="101" t="s">
        <v>2052</v>
      </c>
      <c r="X1057" s="92"/>
      <c r="Y1057" s="90"/>
      <c r="Z1057" s="26"/>
      <c r="AA1057" s="26"/>
      <c r="AB1057" s="104" t="s">
        <v>7104</v>
      </c>
      <c r="AC1057" s="112">
        <v>45224</v>
      </c>
    </row>
    <row r="1058" spans="1:29" ht="15.75" customHeight="1">
      <c r="A1058" s="93">
        <v>1057</v>
      </c>
      <c r="B1058" s="94" t="s">
        <v>27</v>
      </c>
      <c r="C1058" s="94" t="s">
        <v>1470</v>
      </c>
      <c r="D1058" s="95"/>
      <c r="E1058" s="96" t="s">
        <v>199</v>
      </c>
      <c r="F1058" s="97" t="s">
        <v>7108</v>
      </c>
      <c r="G1058" s="15" t="str">
        <f ca="1">IFERROR(__xludf.DUMMYFUNCTION("CONCATENATE(B1058,(VLOOKUP(C1058,CATALOGOS!$F$2:$H$6,3,FALSE)),(VLOOKUP(V1058,CATALOGOS!$J$2:$K$18,2,FALSE)),""-"",TO_TEXT(A1058))"),"P02PP-1057")</f>
        <v>P02PP-1057</v>
      </c>
      <c r="H1058" s="15" t="str">
        <f ca="1">IFERROR(__xludf.DUMMYFUNCTION("CONCATENATE($B1058,(VLOOKUP($C1058,CATALOGOS!$F$2:$H$6,3,FALSE)),(VLOOKUP($V1058,CATALOGOS!$J$2:$K$18,2,FALSE)),""-"",TO_TEXT($A1058))"),"P02PP-1057")</f>
        <v>P02PP-1057</v>
      </c>
      <c r="I1058" s="6"/>
      <c r="J1058" s="36"/>
      <c r="K1058" s="37"/>
      <c r="L1058" s="37"/>
      <c r="M1058" s="81"/>
      <c r="N1058" s="108"/>
      <c r="O1058" s="108"/>
      <c r="P1058" s="108"/>
      <c r="Q1058" s="98" t="s">
        <v>2748</v>
      </c>
      <c r="R1058" s="94" t="s">
        <v>6934</v>
      </c>
      <c r="S1058" s="94" t="s">
        <v>7109</v>
      </c>
      <c r="T1058" s="91" t="s">
        <v>7110</v>
      </c>
      <c r="U1058" s="99" t="s">
        <v>38</v>
      </c>
      <c r="V1058" s="110" t="s">
        <v>1548</v>
      </c>
      <c r="W1058" s="101" t="s">
        <v>2052</v>
      </c>
      <c r="X1058" s="92"/>
      <c r="Y1058" s="90"/>
      <c r="Z1058" s="26"/>
      <c r="AA1058" s="26"/>
      <c r="AB1058" s="104" t="s">
        <v>7104</v>
      </c>
      <c r="AC1058" s="105">
        <v>45224</v>
      </c>
    </row>
    <row r="1059" spans="1:29" ht="15.75" customHeight="1">
      <c r="A1059" s="93">
        <v>1058</v>
      </c>
      <c r="B1059" s="94" t="s">
        <v>1469</v>
      </c>
      <c r="C1059" s="94" t="s">
        <v>868</v>
      </c>
      <c r="D1059" s="95"/>
      <c r="E1059" s="96" t="s">
        <v>378</v>
      </c>
      <c r="F1059" s="97" t="s">
        <v>7095</v>
      </c>
      <c r="G1059" s="6" t="str">
        <f ca="1">IFERROR(__xludf.DUMMYFUNCTION("CONCATENATE(B1059,(VLOOKUP(C1059,CATALOGOS!$F$2:$H$6,3,FALSE)),(VLOOKUP(V1059,CATALOGOS!$J$2:$K$18,2,FALSE)),""-"",TO_TEXT(A1059))"),"P13SO-1058")</f>
        <v>P13SO-1058</v>
      </c>
      <c r="H1059" s="15" t="str">
        <f ca="1">IFERROR(__xludf.DUMMYFUNCTION("CONCATENATE($B1059,(VLOOKUP($C1059,CATALOGOS!$F$2:$H$6,3,FALSE)),(VLOOKUP($V1059,CATALOGOS!$J$2:$K$18,2,FALSE)),""-"",TO_TEXT($A1059))"),"P13SO-1058")</f>
        <v>P13SO-1058</v>
      </c>
      <c r="I1059" s="6"/>
      <c r="J1059" s="36"/>
      <c r="K1059" s="37"/>
      <c r="L1059" s="37"/>
      <c r="M1059" s="81"/>
      <c r="N1059" s="108"/>
      <c r="O1059" s="108"/>
      <c r="P1059" s="108"/>
      <c r="Q1059" s="98" t="s">
        <v>4684</v>
      </c>
      <c r="R1059" s="94" t="s">
        <v>7096</v>
      </c>
      <c r="S1059" s="94" t="s">
        <v>36</v>
      </c>
      <c r="T1059" s="91" t="s">
        <v>7111</v>
      </c>
      <c r="U1059" s="99" t="s">
        <v>38</v>
      </c>
      <c r="V1059" s="110" t="s">
        <v>868</v>
      </c>
      <c r="W1059" s="101" t="s">
        <v>3450</v>
      </c>
      <c r="X1059" s="92"/>
      <c r="Y1059" s="90"/>
      <c r="Z1059" s="26"/>
      <c r="AA1059" s="26"/>
      <c r="AB1059" s="104" t="s">
        <v>7098</v>
      </c>
      <c r="AC1059" s="105">
        <v>45167</v>
      </c>
    </row>
    <row r="1060" spans="1:29" ht="15.75" customHeight="1">
      <c r="A1060" s="93">
        <v>1059</v>
      </c>
      <c r="B1060" s="94" t="s">
        <v>27</v>
      </c>
      <c r="C1060" s="94" t="s">
        <v>1470</v>
      </c>
      <c r="D1060" s="95"/>
      <c r="E1060" s="96" t="s">
        <v>184</v>
      </c>
      <c r="F1060" s="97" t="s">
        <v>7112</v>
      </c>
      <c r="G1060" s="14" t="str">
        <f ca="1">IFERROR(__xludf.DUMMYFUNCTION("CONCATENATE(B1060,(VLOOKUP(C1060,CATALOGOS!$F$2:$H$6,3,FALSE)),(VLOOKUP(V1060,CATALOGOS!$J$2:$K$18,2,FALSE)),""-"",TO_TEXT(A1060))"),"P02PP-1059")</f>
        <v>P02PP-1059</v>
      </c>
      <c r="H1060" s="64" t="str">
        <f ca="1">IFERROR(__xludf.DUMMYFUNCTION("CONCATENATE($B1060,(VLOOKUP($C1060,CATALOGOS!$F$2:$H$6,3,FALSE)),(VLOOKUP($V1060,CATALOGOS!$J$2:$K$18,2,FALSE)),""-"",TO_TEXT($A1060))"),"P02PP-1059")</f>
        <v>P02PP-1059</v>
      </c>
      <c r="I1060" s="6"/>
      <c r="J1060" s="36"/>
      <c r="K1060" s="37"/>
      <c r="L1060" s="37"/>
      <c r="M1060" s="81"/>
      <c r="N1060" s="108"/>
      <c r="O1060" s="108"/>
      <c r="P1060" s="108"/>
      <c r="Q1060" s="98" t="s">
        <v>7088</v>
      </c>
      <c r="R1060" s="94" t="s">
        <v>7113</v>
      </c>
      <c r="S1060" s="94" t="s">
        <v>7093</v>
      </c>
      <c r="T1060" s="118" t="s">
        <v>7114</v>
      </c>
      <c r="U1060" s="99" t="s">
        <v>38</v>
      </c>
      <c r="V1060" s="110" t="s">
        <v>1548</v>
      </c>
      <c r="W1060" s="20" t="s">
        <v>1983</v>
      </c>
      <c r="X1060" s="92"/>
      <c r="Y1060" s="90"/>
      <c r="Z1060" s="26"/>
      <c r="AA1060" s="26"/>
      <c r="AB1060" s="104" t="s">
        <v>7098</v>
      </c>
      <c r="AC1060" s="112">
        <v>45167</v>
      </c>
    </row>
    <row r="1061" spans="1:29" ht="15.75" customHeight="1">
      <c r="A1061" s="93">
        <v>1060</v>
      </c>
      <c r="B1061" s="94" t="s">
        <v>1469</v>
      </c>
      <c r="C1061" s="94" t="s">
        <v>868</v>
      </c>
      <c r="D1061" s="95"/>
      <c r="E1061" s="96" t="s">
        <v>151</v>
      </c>
      <c r="F1061" s="97" t="s">
        <v>7115</v>
      </c>
      <c r="G1061" s="14" t="str">
        <f ca="1">IFERROR(__xludf.DUMMYFUNCTION("CONCATENATE(B1061,(VLOOKUP(C1061,CATALOGOS!$F$2:$H$6,3,FALSE)),(VLOOKUP(V1061,CATALOGOS!$J$2:$K$18,2,FALSE)),""-"",TO_TEXT(A1061))"),"P13LP-1060")</f>
        <v>P13LP-1060</v>
      </c>
      <c r="H1061" s="15" t="str">
        <f ca="1">IFERROR(__xludf.DUMMYFUNCTION("CONCATENATE($B1061,(VLOOKUP($C1061,CATALOGOS!$F$2:$H$6,3,FALSE)),(VLOOKUP($V1061,CATALOGOS!$J$2:$K$18,2,FALSE)),""-"",TO_TEXT($A1061))"),"P13LP-1060")</f>
        <v>P13LP-1060</v>
      </c>
      <c r="I1061" s="6"/>
      <c r="J1061" s="36"/>
      <c r="K1061" s="37"/>
      <c r="L1061" s="37"/>
      <c r="M1061" s="81"/>
      <c r="N1061" s="108"/>
      <c r="O1061" s="108"/>
      <c r="P1061" s="108"/>
      <c r="Q1061" s="98" t="s">
        <v>2748</v>
      </c>
      <c r="R1061" s="94" t="s">
        <v>6939</v>
      </c>
      <c r="S1061" s="94" t="s">
        <v>7116</v>
      </c>
      <c r="T1061" s="91" t="s">
        <v>7117</v>
      </c>
      <c r="U1061" s="99" t="s">
        <v>38</v>
      </c>
      <c r="V1061" s="110" t="s">
        <v>2328</v>
      </c>
      <c r="W1061" s="101" t="s">
        <v>2329</v>
      </c>
      <c r="X1061" s="92"/>
      <c r="Y1061" s="20"/>
      <c r="Z1061" s="26"/>
      <c r="AA1061" s="26"/>
      <c r="AB1061" s="104" t="s">
        <v>7101</v>
      </c>
      <c r="AC1061" s="112">
        <v>45195</v>
      </c>
    </row>
    <row r="1062" spans="1:29" ht="15.75" customHeight="1">
      <c r="A1062" s="94">
        <v>1061</v>
      </c>
      <c r="B1062" s="94" t="s">
        <v>1469</v>
      </c>
      <c r="C1062" s="94" t="s">
        <v>1470</v>
      </c>
      <c r="D1062" s="95"/>
      <c r="E1062" s="96" t="s">
        <v>199</v>
      </c>
      <c r="F1062" s="97" t="s">
        <v>7118</v>
      </c>
      <c r="G1062" s="15" t="str">
        <f ca="1">IFERROR(__xludf.DUMMYFUNCTION("CONCATENATE(B1062,(VLOOKUP(C1062,CATALOGOS!$F$2:$H$6,3,FALSE)),(VLOOKUP(V1062,CATALOGOS!$J$2:$K$18,2,FALSE)),""-"",TO_TEXT(A1062))"),"P12PP-1061")</f>
        <v>P12PP-1061</v>
      </c>
      <c r="H1062" s="15" t="str">
        <f ca="1">IFERROR(__xludf.DUMMYFUNCTION("CONCATENATE($B1062,(VLOOKUP($C1062,CATALOGOS!$F$2:$H$6,3,FALSE)),(VLOOKUP($V1062,CATALOGOS!$J$2:$K$18,2,FALSE)),""-"",TO_TEXT($A1062))"),"P12PP-1061")</f>
        <v>P12PP-1061</v>
      </c>
      <c r="I1062" s="6"/>
      <c r="J1062" s="36"/>
      <c r="K1062" s="37"/>
      <c r="L1062" s="37"/>
      <c r="M1062" s="81"/>
      <c r="N1062" s="108"/>
      <c r="O1062" s="108"/>
      <c r="P1062" s="108"/>
      <c r="Q1062" s="98" t="s">
        <v>2748</v>
      </c>
      <c r="R1062" s="94" t="s">
        <v>7119</v>
      </c>
      <c r="S1062" s="94" t="s">
        <v>7120</v>
      </c>
      <c r="T1062" s="35" t="s">
        <v>7121</v>
      </c>
      <c r="U1062" s="99" t="s">
        <v>38</v>
      </c>
      <c r="V1062" s="110" t="s">
        <v>1548</v>
      </c>
      <c r="W1062" s="101" t="s">
        <v>1890</v>
      </c>
      <c r="X1062" s="92"/>
      <c r="Y1062" s="20"/>
      <c r="Z1062" s="26"/>
      <c r="AA1062" s="26"/>
      <c r="AB1062" s="104" t="s">
        <v>7101</v>
      </c>
      <c r="AC1062" s="112">
        <v>45195</v>
      </c>
    </row>
    <row r="1063" spans="1:29" ht="15.75" customHeight="1">
      <c r="A1063" s="94">
        <v>1062</v>
      </c>
      <c r="B1063" s="94" t="s">
        <v>27</v>
      </c>
      <c r="C1063" s="94" t="s">
        <v>28</v>
      </c>
      <c r="D1063" s="95"/>
      <c r="E1063" s="96" t="s">
        <v>184</v>
      </c>
      <c r="F1063" s="97" t="s">
        <v>7122</v>
      </c>
      <c r="G1063" s="15" t="str">
        <f ca="1">IFERROR(__xludf.DUMMYFUNCTION("CONCATENATE(B1063,(VLOOKUP(C1063,CATALOGOS!$F$2:$H$6,3,FALSE)),(VLOOKUP(V1063,CATALOGOS!$J$2:$K$18,2,FALSE)),""-"",TO_TEXT(A1063))"),"P05DA-1062")</f>
        <v>P05DA-1062</v>
      </c>
      <c r="H1063" s="15" t="str">
        <f ca="1">IFERROR(__xludf.DUMMYFUNCTION("CONCATENATE($B1063,(VLOOKUP($C1063,CATALOGOS!$F$2:$H$6,3,FALSE)),(VLOOKUP($V1063,CATALOGOS!$J$2:$K$18,2,FALSE)),""-"",TO_TEXT($A1063))"),"P05DA-1062")</f>
        <v>P05DA-1062</v>
      </c>
      <c r="I1063" s="36"/>
      <c r="J1063" s="36"/>
      <c r="K1063" s="37"/>
      <c r="L1063" s="37"/>
      <c r="M1063" s="81"/>
      <c r="N1063" s="108"/>
      <c r="O1063" s="108"/>
      <c r="P1063" s="108"/>
      <c r="Q1063" s="35" t="s">
        <v>7088</v>
      </c>
      <c r="R1063" s="10" t="s">
        <v>7123</v>
      </c>
      <c r="S1063" s="10" t="s">
        <v>36</v>
      </c>
      <c r="T1063" s="91" t="s">
        <v>7124</v>
      </c>
      <c r="U1063" s="99" t="s">
        <v>38</v>
      </c>
      <c r="V1063" s="19" t="s">
        <v>28</v>
      </c>
      <c r="W1063" s="20" t="s">
        <v>39</v>
      </c>
      <c r="X1063" s="92"/>
      <c r="Y1063" s="90"/>
      <c r="Z1063" s="26"/>
      <c r="AA1063" s="26"/>
      <c r="AB1063" s="22" t="s">
        <v>7104</v>
      </c>
      <c r="AC1063" s="119">
        <v>45224</v>
      </c>
    </row>
    <row r="1064" spans="1:29" ht="15.75" customHeight="1">
      <c r="A1064" s="94">
        <v>1063</v>
      </c>
      <c r="B1064" s="94" t="s">
        <v>27</v>
      </c>
      <c r="C1064" s="94" t="s">
        <v>868</v>
      </c>
      <c r="D1064" s="95"/>
      <c r="E1064" s="96" t="s">
        <v>184</v>
      </c>
      <c r="F1064" s="97" t="s">
        <v>7125</v>
      </c>
      <c r="G1064" s="15" t="str">
        <f ca="1">IFERROR(__xludf.DUMMYFUNCTION("CONCATENATE(B1064,(VLOOKUP(C1064,CATALOGOS!$F$2:$H$6,3,FALSE)),(VLOOKUP(V1064,CATALOGOS!$J$2:$K$18,2,FALSE)),""-"",TO_TEXT(A1064))"),"P03CV-1063")</f>
        <v>P03CV-1063</v>
      </c>
      <c r="H1064" s="15" t="str">
        <f ca="1">IFERROR(__xludf.DUMMYFUNCTION("CONCATENATE($B1064,(VLOOKUP($C1064,CATALOGOS!$F$2:$H$6,3,FALSE)),(VLOOKUP($V1064,CATALOGOS!$J$2:$K$18,2,FALSE)),""-"",TO_TEXT($A1064))"),"P03CV-1063")</f>
        <v>P03CV-1063</v>
      </c>
      <c r="I1064" s="36"/>
      <c r="J1064" s="36"/>
      <c r="K1064" s="37"/>
      <c r="L1064" s="37"/>
      <c r="M1064" s="81"/>
      <c r="N1064" s="108"/>
      <c r="O1064" s="108"/>
      <c r="P1064" s="108"/>
      <c r="Q1064" s="35" t="s">
        <v>7088</v>
      </c>
      <c r="R1064" s="10" t="s">
        <v>7123</v>
      </c>
      <c r="S1064" s="10" t="s">
        <v>36</v>
      </c>
      <c r="T1064" s="91" t="s">
        <v>7126</v>
      </c>
      <c r="U1064" s="99" t="s">
        <v>38</v>
      </c>
      <c r="V1064" s="19" t="s">
        <v>875</v>
      </c>
      <c r="W1064" s="20" t="s">
        <v>876</v>
      </c>
      <c r="X1064" s="92"/>
      <c r="Y1064" s="90"/>
      <c r="Z1064" s="26"/>
      <c r="AA1064" s="26"/>
      <c r="AB1064" s="22" t="s">
        <v>7104</v>
      </c>
      <c r="AC1064" s="119" t="s">
        <v>7127</v>
      </c>
    </row>
    <row r="1065" spans="1:29" ht="15.75" customHeight="1">
      <c r="A1065" s="94">
        <v>1064</v>
      </c>
      <c r="B1065" s="94" t="s">
        <v>1469</v>
      </c>
      <c r="C1065" s="94" t="s">
        <v>868</v>
      </c>
      <c r="D1065" s="95"/>
      <c r="E1065" s="96" t="s">
        <v>378</v>
      </c>
      <c r="F1065" s="114" t="s">
        <v>7068</v>
      </c>
      <c r="G1065" s="6" t="str">
        <f ca="1">IFERROR(__xludf.DUMMYFUNCTION("CONCATENATE(B1065,(VLOOKUP(C1065,CATALOGOS!$F$2:$H$6,3,FALSE)),(VLOOKUP(V1065,CATALOGOS!$J$2:$K$18,2,FALSE)),""-"",TO_TEXT(A1065))"),"P13SO-1064")</f>
        <v>P13SO-1064</v>
      </c>
      <c r="H1065" s="6" t="str">
        <f ca="1">IFERROR(__xludf.DUMMYFUNCTION("CONCATENATE($B1065,(VLOOKUP($C1065,CATALOGOS!$F$2:$H$6,3,FALSE)),(VLOOKUP($V1065,CATALOGOS!$J$2:$K$18,2,FALSE)),""-"",TO_TEXT($A1065))"),"P13SO-1064")</f>
        <v>P13SO-1064</v>
      </c>
      <c r="I1065" s="36"/>
      <c r="J1065" s="36"/>
      <c r="K1065" s="37"/>
      <c r="L1065" s="37"/>
      <c r="M1065" s="81"/>
      <c r="N1065" s="108"/>
      <c r="O1065" s="108"/>
      <c r="P1065" s="108"/>
      <c r="Q1065" s="35" t="s">
        <v>35</v>
      </c>
      <c r="R1065" s="10" t="s">
        <v>7069</v>
      </c>
      <c r="S1065" s="10" t="s">
        <v>36</v>
      </c>
      <c r="T1065" s="91" t="s">
        <v>7128</v>
      </c>
      <c r="U1065" s="99" t="s">
        <v>38</v>
      </c>
      <c r="V1065" s="19" t="s">
        <v>868</v>
      </c>
      <c r="W1065" s="20" t="s">
        <v>3450</v>
      </c>
      <c r="X1065" s="92"/>
      <c r="Y1065" s="90"/>
      <c r="Z1065" s="26"/>
      <c r="AA1065" s="26"/>
      <c r="AB1065" s="22" t="s">
        <v>7098</v>
      </c>
      <c r="AC1065" s="120">
        <v>45167</v>
      </c>
    </row>
    <row r="1066" spans="1:29" ht="15.75" customHeight="1">
      <c r="A1066" s="94">
        <v>1065</v>
      </c>
      <c r="B1066" s="94" t="s">
        <v>1469</v>
      </c>
      <c r="C1066" s="94" t="s">
        <v>868</v>
      </c>
      <c r="D1066" s="95"/>
      <c r="E1066" s="96" t="s">
        <v>378</v>
      </c>
      <c r="F1066" s="114" t="s">
        <v>7068</v>
      </c>
      <c r="G1066" s="14" t="str">
        <f ca="1">IFERROR(__xludf.DUMMYFUNCTION("CONCATENATE(B1066,(VLOOKUP(C1066,CATALOGOS!$F$2:$H$6,3,FALSE)),(VLOOKUP(V1066,CATALOGOS!$J$2:$K$18,2,FALSE)),""-"",TO_TEXT(A1066))"),"P13SO-1065")</f>
        <v>P13SO-1065</v>
      </c>
      <c r="H1066" s="6" t="str">
        <f ca="1">IFERROR(__xludf.DUMMYFUNCTION("CONCATENATE($B1066,(VLOOKUP($C1066,CATALOGOS!$F$2:$H$6,3,FALSE)),(VLOOKUP($V1066,CATALOGOS!$J$2:$K$18,2,FALSE)),""-"",TO_TEXT($A1066))"),"P13SO-1065")</f>
        <v>P13SO-1065</v>
      </c>
      <c r="I1066" s="36"/>
      <c r="J1066" s="36"/>
      <c r="K1066" s="37"/>
      <c r="L1066" s="37"/>
      <c r="M1066" s="81"/>
      <c r="N1066" s="108"/>
      <c r="O1066" s="108"/>
      <c r="P1066" s="108"/>
      <c r="Q1066" s="35" t="s">
        <v>35</v>
      </c>
      <c r="R1066" s="10" t="s">
        <v>7069</v>
      </c>
      <c r="S1066" s="10" t="s">
        <v>36</v>
      </c>
      <c r="T1066" s="91" t="s">
        <v>7129</v>
      </c>
      <c r="U1066" s="99" t="s">
        <v>38</v>
      </c>
      <c r="V1066" s="19" t="s">
        <v>868</v>
      </c>
      <c r="W1066" s="20" t="s">
        <v>3450</v>
      </c>
      <c r="X1066" s="92"/>
      <c r="Y1066" s="90"/>
      <c r="Z1066" s="26"/>
      <c r="AA1066" s="26"/>
      <c r="AB1066" s="22" t="s">
        <v>7098</v>
      </c>
      <c r="AC1066" s="120">
        <v>45167</v>
      </c>
    </row>
    <row r="1067" spans="1:29" ht="15.75" customHeight="1">
      <c r="A1067" s="94">
        <v>1066</v>
      </c>
      <c r="B1067" s="94" t="s">
        <v>1469</v>
      </c>
      <c r="C1067" s="94" t="s">
        <v>1470</v>
      </c>
      <c r="D1067" s="95"/>
      <c r="E1067" s="96" t="s">
        <v>378</v>
      </c>
      <c r="F1067" s="97" t="s">
        <v>7112</v>
      </c>
      <c r="G1067" s="15" t="str">
        <f ca="1">IFERROR(__xludf.DUMMYFUNCTION("CONCATENATE(B1067,(VLOOKUP(C1067,CATALOGOS!$F$2:$H$6,3,FALSE)),(VLOOKUP(V1067,CATALOGOS!$J$2:$K$18,2,FALSE)),""-"",TO_TEXT(A1067))"),"P12ST-1066")</f>
        <v>P12ST-1066</v>
      </c>
      <c r="H1067" s="15" t="str">
        <f ca="1">IFERROR(__xludf.DUMMYFUNCTION("CONCATENATE($B1067,(VLOOKUP($C1067,CATALOGOS!$F$2:$H$6,3,FALSE)),(VLOOKUP($V1067,CATALOGOS!$J$2:$K$18,2,FALSE)),""-"",TO_TEXT($A1067))"),"P12ST-1066")</f>
        <v>P12ST-1066</v>
      </c>
      <c r="I1067" s="36"/>
      <c r="J1067" s="36"/>
      <c r="K1067" s="37"/>
      <c r="L1067" s="37"/>
      <c r="M1067" s="81"/>
      <c r="N1067" s="108"/>
      <c r="O1067" s="108"/>
      <c r="P1067" s="108"/>
      <c r="Q1067" s="35" t="s">
        <v>4684</v>
      </c>
      <c r="R1067" s="10" t="s">
        <v>7096</v>
      </c>
      <c r="S1067" s="10" t="s">
        <v>36</v>
      </c>
      <c r="T1067" s="91" t="s">
        <v>7130</v>
      </c>
      <c r="U1067" s="99" t="s">
        <v>38</v>
      </c>
      <c r="V1067" s="19" t="s">
        <v>1470</v>
      </c>
      <c r="W1067" s="20" t="s">
        <v>1477</v>
      </c>
      <c r="X1067" s="92"/>
      <c r="Y1067" s="90"/>
      <c r="Z1067" s="26"/>
      <c r="AA1067" s="26"/>
      <c r="AB1067" s="121" t="s">
        <v>7101</v>
      </c>
      <c r="AC1067" s="120">
        <v>45195</v>
      </c>
    </row>
    <row r="1068" spans="1:29" ht="15.75" customHeight="1">
      <c r="A1068" s="94">
        <v>1067</v>
      </c>
      <c r="B1068" s="94" t="s">
        <v>1469</v>
      </c>
      <c r="C1068" s="94" t="s">
        <v>868</v>
      </c>
      <c r="D1068" s="95"/>
      <c r="E1068" s="96" t="s">
        <v>378</v>
      </c>
      <c r="F1068" s="114" t="s">
        <v>7068</v>
      </c>
      <c r="G1068" s="14" t="str">
        <f ca="1">IFERROR(__xludf.DUMMYFUNCTION("CONCATENATE(B1068,(VLOOKUP(C1068,CATALOGOS!$F$2:$H$6,3,FALSE)),(VLOOKUP(V1068,CATALOGOS!$J$2:$K$18,2,FALSE)),""-"",TO_TEXT(A1068))"),"P13SO-1067")</f>
        <v>P13SO-1067</v>
      </c>
      <c r="H1068" s="6" t="str">
        <f ca="1">IFERROR(__xludf.DUMMYFUNCTION("CONCATENATE($B1068,(VLOOKUP($C1068,CATALOGOS!$F$2:$H$6,3,FALSE)),(VLOOKUP($V1068,CATALOGOS!$J$2:$K$18,2,FALSE)),""-"",TO_TEXT($A1068))"),"P13SO-1067")</f>
        <v>P13SO-1067</v>
      </c>
      <c r="I1068" s="36"/>
      <c r="J1068" s="36"/>
      <c r="K1068" s="37"/>
      <c r="L1068" s="37"/>
      <c r="M1068" s="81"/>
      <c r="N1068" s="108"/>
      <c r="O1068" s="108"/>
      <c r="P1068" s="108"/>
      <c r="Q1068" s="35" t="s">
        <v>35</v>
      </c>
      <c r="R1068" s="10" t="s">
        <v>7069</v>
      </c>
      <c r="S1068" s="10" t="s">
        <v>36</v>
      </c>
      <c r="T1068" s="91" t="s">
        <v>7131</v>
      </c>
      <c r="U1068" s="99" t="s">
        <v>38</v>
      </c>
      <c r="V1068" s="19" t="s">
        <v>868</v>
      </c>
      <c r="W1068" s="20" t="s">
        <v>3450</v>
      </c>
      <c r="X1068" s="92"/>
      <c r="Y1068" s="20" t="s">
        <v>7132</v>
      </c>
      <c r="Z1068" s="26"/>
      <c r="AA1068" s="26"/>
      <c r="AB1068" s="22" t="s">
        <v>7101</v>
      </c>
      <c r="AC1068" s="120">
        <v>45195</v>
      </c>
    </row>
    <row r="1069" spans="1:29" ht="15.75" customHeight="1">
      <c r="A1069" s="94">
        <v>1068</v>
      </c>
      <c r="B1069" s="94" t="s">
        <v>1469</v>
      </c>
      <c r="C1069" s="94" t="s">
        <v>868</v>
      </c>
      <c r="D1069" s="95"/>
      <c r="E1069" s="96" t="s">
        <v>184</v>
      </c>
      <c r="F1069" s="114" t="s">
        <v>7133</v>
      </c>
      <c r="G1069" s="14" t="str">
        <f ca="1">IFERROR(__xludf.DUMMYFUNCTION("CONCATENATE(B1069,(VLOOKUP(C1069,CATALOGOS!$F$2:$H$6,3,FALSE)),(VLOOKUP(V1069,CATALOGOS!$J$2:$K$18,2,FALSE)),""-"",TO_TEXT(A1069))"),"P13IR-1068")</f>
        <v>P13IR-1068</v>
      </c>
      <c r="H1069" s="6" t="str">
        <f ca="1">IFERROR(__xludf.DUMMYFUNCTION("CONCATENATE($B1069,(VLOOKUP($C1069,CATALOGOS!$F$2:$H$6,3,FALSE)),(VLOOKUP($V1069,CATALOGOS!$J$2:$K$18,2,FALSE)),""-"",TO_TEXT($A1069))"),"P13IR-1068")</f>
        <v>P13IR-1068</v>
      </c>
      <c r="I1069" s="36"/>
      <c r="J1069" s="36"/>
      <c r="K1069" s="37"/>
      <c r="L1069" s="37"/>
      <c r="M1069" s="81"/>
      <c r="N1069" s="108"/>
      <c r="O1069" s="108"/>
      <c r="P1069" s="108"/>
      <c r="Q1069" s="35" t="s">
        <v>7088</v>
      </c>
      <c r="R1069" s="10" t="s">
        <v>7134</v>
      </c>
      <c r="S1069" s="10" t="s">
        <v>36</v>
      </c>
      <c r="T1069" s="91" t="s">
        <v>7135</v>
      </c>
      <c r="U1069" s="99" t="s">
        <v>38</v>
      </c>
      <c r="V1069" s="19" t="s">
        <v>2381</v>
      </c>
      <c r="W1069" s="20" t="s">
        <v>493</v>
      </c>
      <c r="X1069" s="92"/>
      <c r="Y1069" s="90"/>
      <c r="Z1069" s="26"/>
      <c r="AA1069" s="26"/>
      <c r="AB1069" s="22" t="s">
        <v>7136</v>
      </c>
      <c r="AC1069" s="120">
        <v>45030</v>
      </c>
    </row>
    <row r="1070" spans="1:29" ht="15.75" customHeight="1">
      <c r="A1070" s="94">
        <v>1069</v>
      </c>
      <c r="B1070" s="94" t="s">
        <v>1469</v>
      </c>
      <c r="C1070" s="94" t="s">
        <v>1470</v>
      </c>
      <c r="D1070" s="95"/>
      <c r="E1070" s="96" t="s">
        <v>501</v>
      </c>
      <c r="F1070" s="114" t="s">
        <v>7137</v>
      </c>
      <c r="G1070" s="14" t="str">
        <f ca="1">IFERROR(__xludf.DUMMYFUNCTION("CONCATENATE(B1070,(VLOOKUP(C1070,CATALOGOS!$F$2:$H$6,3,FALSE)),(VLOOKUP(V1070,CATALOGOS!$J$2:$K$18,2,FALSE)),""-"",TO_TEXT(A1070))"),"P12CT-1069")</f>
        <v>P12CT-1069</v>
      </c>
      <c r="H1070" s="6" t="str">
        <f ca="1">IFERROR(__xludf.DUMMYFUNCTION("CONCATENATE($B1070,(VLOOKUP($C1070,CATALOGOS!$F$2:$H$6,3,FALSE)),(VLOOKUP($V1070,CATALOGOS!$J$2:$K$18,2,FALSE)),""-"",TO_TEXT($A1070))"),"P12CT-1069")</f>
        <v>P12CT-1069</v>
      </c>
      <c r="I1070" s="36"/>
      <c r="J1070" s="36"/>
      <c r="K1070" s="37"/>
      <c r="L1070" s="37"/>
      <c r="M1070" s="81"/>
      <c r="N1070" s="108"/>
      <c r="O1070" s="108"/>
      <c r="P1070" s="108"/>
      <c r="Q1070" s="35" t="s">
        <v>35</v>
      </c>
      <c r="R1070" s="10" t="s">
        <v>35</v>
      </c>
      <c r="S1070" s="10" t="s">
        <v>36</v>
      </c>
      <c r="T1070" s="122" t="s">
        <v>85</v>
      </c>
      <c r="U1070" s="99" t="s">
        <v>38</v>
      </c>
      <c r="V1070" s="19" t="s">
        <v>2884</v>
      </c>
      <c r="W1070" s="20" t="s">
        <v>3247</v>
      </c>
      <c r="X1070" s="92"/>
      <c r="Y1070" s="90"/>
      <c r="Z1070" s="26"/>
      <c r="AA1070" s="26"/>
      <c r="AB1070" s="22" t="s">
        <v>7136</v>
      </c>
      <c r="AC1070" s="120">
        <v>45030</v>
      </c>
    </row>
    <row r="1071" spans="1:29" ht="15.75" customHeight="1">
      <c r="A1071" s="94">
        <v>1070</v>
      </c>
      <c r="B1071" s="10" t="s">
        <v>1469</v>
      </c>
      <c r="C1071" s="10" t="s">
        <v>868</v>
      </c>
      <c r="D1071" s="12"/>
      <c r="E1071" s="13" t="s">
        <v>501</v>
      </c>
      <c r="F1071" s="6" t="s">
        <v>7138</v>
      </c>
      <c r="G1071" s="15" t="str">
        <f ca="1">IFERROR(__xludf.DUMMYFUNCTION("CONCATENATE(B1071,(VLOOKUP(C1071,CATALOGOS!$F$2:$H$6,3,FALSE)),(VLOOKUP(V1071,CATALOGOS!$J$2:$K$18,2,FALSE)),""-"",TO_TEXT(A1071))"),"P13SO-1070")</f>
        <v>P13SO-1070</v>
      </c>
      <c r="H1071" s="15" t="str">
        <f ca="1">IFERROR(__xludf.DUMMYFUNCTION("CONCATENATE($B1071,(VLOOKUP($C1071,CATALOGOS!$F$2:$H$6,3,FALSE)),(VLOOKUP($V1071,CATALOGOS!$J$2:$K$18,2,FALSE)),""-"",TO_TEXT($A1071))"),"P13SO-1070")</f>
        <v>P13SO-1070</v>
      </c>
      <c r="I1071" s="36"/>
      <c r="J1071" s="36"/>
      <c r="K1071" s="37"/>
      <c r="L1071" s="37"/>
      <c r="M1071" s="81"/>
      <c r="N1071" s="108"/>
      <c r="O1071" s="108"/>
      <c r="P1071" s="108"/>
      <c r="Q1071" s="35" t="s">
        <v>35</v>
      </c>
      <c r="R1071" s="10" t="s">
        <v>35</v>
      </c>
      <c r="S1071" s="10" t="s">
        <v>36</v>
      </c>
      <c r="T1071" s="122" t="s">
        <v>85</v>
      </c>
      <c r="U1071" s="99" t="s">
        <v>38</v>
      </c>
      <c r="V1071" s="19" t="s">
        <v>868</v>
      </c>
      <c r="W1071" s="20" t="s">
        <v>3450</v>
      </c>
      <c r="X1071" s="92"/>
      <c r="Y1071" s="90"/>
      <c r="Z1071" s="26"/>
      <c r="AA1071" s="26"/>
      <c r="AB1071" s="22" t="s">
        <v>7136</v>
      </c>
      <c r="AC1071" s="120">
        <v>45030</v>
      </c>
    </row>
    <row r="1072" spans="1:29" ht="15.75" customHeight="1">
      <c r="A1072" s="94">
        <v>1071</v>
      </c>
      <c r="B1072" s="10" t="s">
        <v>1469</v>
      </c>
      <c r="C1072" s="10" t="s">
        <v>868</v>
      </c>
      <c r="D1072" s="12"/>
      <c r="E1072" s="13" t="s">
        <v>501</v>
      </c>
      <c r="F1072" s="6" t="s">
        <v>7138</v>
      </c>
      <c r="G1072" s="6" t="str">
        <f ca="1">IFERROR(__xludf.DUMMYFUNCTION("CONCATENATE(B1072,(VLOOKUP(C1072,CATALOGOS!$F$2:$H$6,3,FALSE)),(VLOOKUP(V1072,CATALOGOS!$J$2:$K$18,2,FALSE)),""-"",TO_TEXT(A1072))"),"P13SO-1071")</f>
        <v>P13SO-1071</v>
      </c>
      <c r="H1072" s="6" t="str">
        <f ca="1">IFERROR(__xludf.DUMMYFUNCTION("CONCATENATE($B1072,(VLOOKUP($C1072,CATALOGOS!$F$2:$H$6,3,FALSE)),(VLOOKUP($V1072,CATALOGOS!$J$2:$K$18,2,FALSE)),""-"",TO_TEXT($A1072))"),"P13SO-1071")</f>
        <v>P13SO-1071</v>
      </c>
      <c r="I1072" s="36"/>
      <c r="J1072" s="36"/>
      <c r="K1072" s="37"/>
      <c r="L1072" s="37"/>
      <c r="M1072" s="81"/>
      <c r="N1072" s="108"/>
      <c r="O1072" s="108"/>
      <c r="P1072" s="108"/>
      <c r="Q1072" s="35" t="s">
        <v>35</v>
      </c>
      <c r="R1072" s="10" t="s">
        <v>35</v>
      </c>
      <c r="S1072" s="10" t="s">
        <v>36</v>
      </c>
      <c r="T1072" s="122" t="s">
        <v>85</v>
      </c>
      <c r="U1072" s="99" t="s">
        <v>38</v>
      </c>
      <c r="V1072" s="19" t="s">
        <v>868</v>
      </c>
      <c r="W1072" s="20" t="s">
        <v>3450</v>
      </c>
      <c r="X1072" s="92"/>
      <c r="Y1072" s="90"/>
      <c r="Z1072" s="26"/>
      <c r="AA1072" s="20" t="s">
        <v>7139</v>
      </c>
      <c r="AB1072" s="22" t="s">
        <v>7140</v>
      </c>
      <c r="AC1072" s="120">
        <v>45189</v>
      </c>
    </row>
    <row r="1073" spans="1:29" ht="15.75" customHeight="1">
      <c r="A1073" s="94">
        <v>1072</v>
      </c>
      <c r="B1073" s="10" t="s">
        <v>27</v>
      </c>
      <c r="C1073" s="10" t="s">
        <v>1470</v>
      </c>
      <c r="D1073" s="12"/>
      <c r="E1073" s="13" t="s">
        <v>43</v>
      </c>
      <c r="F1073" s="88" t="s">
        <v>7141</v>
      </c>
      <c r="G1073" s="15" t="str">
        <f ca="1">IFERROR(__xludf.DUMMYFUNCTION("CONCATENATE(B1073,(VLOOKUP(C1073,CATALOGOS!$F$2:$H$6,3,FALSE)),(VLOOKUP(V1073,CATALOGOS!$J$2:$K$18,2,FALSE)),""-"",TO_TEXT(A1073))"),"P02PP-1072")</f>
        <v>P02PP-1072</v>
      </c>
      <c r="H1073" s="15" t="str">
        <f ca="1">IFERROR(__xludf.DUMMYFUNCTION("CONCATENATE($B1073,(VLOOKUP($C1073,CATALOGOS!$F$2:$H$6,3,FALSE)),(VLOOKUP($V1073,CATALOGOS!$J$2:$K$18,2,FALSE)),""-"",TO_TEXT($A1073))"),"P02PP-1072")</f>
        <v>P02PP-1072</v>
      </c>
      <c r="I1073" s="36"/>
      <c r="J1073" s="36"/>
      <c r="K1073" s="37"/>
      <c r="L1073" s="37"/>
      <c r="M1073" s="81"/>
      <c r="N1073" s="108"/>
      <c r="O1073" s="108"/>
      <c r="P1073" s="108"/>
      <c r="Q1073" s="35" t="s">
        <v>5477</v>
      </c>
      <c r="R1073" s="10" t="s">
        <v>35</v>
      </c>
      <c r="S1073" s="10" t="s">
        <v>36</v>
      </c>
      <c r="T1073" s="122" t="s">
        <v>7142</v>
      </c>
      <c r="U1073" s="99" t="s">
        <v>38</v>
      </c>
      <c r="V1073" s="19" t="s">
        <v>1548</v>
      </c>
      <c r="W1073" s="20" t="s">
        <v>1983</v>
      </c>
      <c r="X1073" s="92"/>
      <c r="Y1073" s="90"/>
      <c r="Z1073" s="26"/>
      <c r="AA1073" s="26"/>
      <c r="AB1073" s="22" t="s">
        <v>7143</v>
      </c>
      <c r="AC1073" s="123">
        <v>45159</v>
      </c>
    </row>
    <row r="1074" spans="1:29" ht="15.75" customHeight="1">
      <c r="A1074" s="94">
        <v>1073</v>
      </c>
      <c r="B1074" s="10" t="s">
        <v>1469</v>
      </c>
      <c r="C1074" s="10" t="s">
        <v>1470</v>
      </c>
      <c r="D1074" s="12"/>
      <c r="E1074" s="13" t="s">
        <v>7144</v>
      </c>
      <c r="F1074" s="88" t="s">
        <v>7145</v>
      </c>
      <c r="G1074" s="15" t="str">
        <f ca="1">IFERROR(__xludf.DUMMYFUNCTION("CONCATENATE(B1074,(VLOOKUP(C1074,CATALOGOS!$F$2:$H$6,3,FALSE)),(VLOOKUP(V1074,CATALOGOS!$J$2:$K$18,2,FALSE)),""-"",TO_TEXT(A1074))"),"P12SI-1073")</f>
        <v>P12SI-1073</v>
      </c>
      <c r="H1074" s="15" t="str">
        <f ca="1">IFERROR(__xludf.DUMMYFUNCTION("CONCATENATE($B1074,(VLOOKUP($C1074,CATALOGOS!$F$2:$H$6,3,FALSE)),(VLOOKUP($V1074,CATALOGOS!$J$2:$K$18,2,FALSE)),""-"",TO_TEXT($A1074))"),"P12SI-1073")</f>
        <v>P12SI-1073</v>
      </c>
      <c r="I1074" s="36"/>
      <c r="J1074" s="36"/>
      <c r="K1074" s="37"/>
      <c r="L1074" s="37"/>
      <c r="M1074" s="81"/>
      <c r="N1074" s="108"/>
      <c r="O1074" s="108"/>
      <c r="P1074" s="108"/>
      <c r="Q1074" s="35" t="s">
        <v>2866</v>
      </c>
      <c r="R1074" s="10" t="s">
        <v>7146</v>
      </c>
      <c r="S1074" s="10" t="s">
        <v>7147</v>
      </c>
      <c r="T1074" s="122" t="s">
        <v>7148</v>
      </c>
      <c r="U1074" s="99" t="s">
        <v>38</v>
      </c>
      <c r="V1074" s="19" t="s">
        <v>1483</v>
      </c>
      <c r="W1074" s="20" t="s">
        <v>1484</v>
      </c>
      <c r="X1074" s="92"/>
      <c r="Y1074" s="90"/>
      <c r="Z1074" s="26"/>
      <c r="AA1074" s="26"/>
      <c r="AB1074" s="22" t="s">
        <v>7140</v>
      </c>
      <c r="AC1074" s="120">
        <v>45189</v>
      </c>
    </row>
    <row r="1075" spans="1:29" ht="15.75" customHeight="1">
      <c r="A1075" s="94">
        <v>1074</v>
      </c>
      <c r="B1075" s="10" t="s">
        <v>1469</v>
      </c>
      <c r="C1075" s="10" t="s">
        <v>1470</v>
      </c>
      <c r="D1075" s="12"/>
      <c r="E1075" s="13" t="s">
        <v>151</v>
      </c>
      <c r="F1075" s="88" t="s">
        <v>7149</v>
      </c>
      <c r="G1075" s="15" t="str">
        <f ca="1">IFERROR(__xludf.DUMMYFUNCTION("CONCATENATE(B1075,(VLOOKUP(C1075,CATALOGOS!$F$2:$H$6,3,FALSE)),(VLOOKUP(V1075,CATALOGOS!$J$2:$K$18,2,FALSE)),""-"",TO_TEXT(A1075))"),"P12PL-1074")</f>
        <v>P12PL-1074</v>
      </c>
      <c r="H1075" s="15" t="str">
        <f ca="1">IFERROR(__xludf.DUMMYFUNCTION("CONCATENATE($B1075,(VLOOKUP($C1075,CATALOGOS!$F$2:$H$6,3,FALSE)),(VLOOKUP($V1075,CATALOGOS!$J$2:$K$18,2,FALSE)),""-"",TO_TEXT($A1075))"),"P12PL-1074")</f>
        <v>P12PL-1074</v>
      </c>
      <c r="I1075" s="36"/>
      <c r="J1075" s="36"/>
      <c r="K1075" s="37"/>
      <c r="L1075" s="37"/>
      <c r="M1075" s="81"/>
      <c r="N1075" s="108"/>
      <c r="O1075" s="108"/>
      <c r="P1075" s="108"/>
      <c r="Q1075" s="35" t="s">
        <v>2748</v>
      </c>
      <c r="R1075" s="10" t="s">
        <v>7009</v>
      </c>
      <c r="S1075" s="32" t="s">
        <v>7150</v>
      </c>
      <c r="T1075" s="122" t="s">
        <v>7151</v>
      </c>
      <c r="U1075" s="99" t="s">
        <v>38</v>
      </c>
      <c r="V1075" s="19" t="s">
        <v>3091</v>
      </c>
      <c r="W1075" s="20" t="s">
        <v>3151</v>
      </c>
      <c r="X1075" s="92"/>
      <c r="Y1075" s="90"/>
      <c r="Z1075" s="26"/>
      <c r="AA1075" s="26"/>
      <c r="AB1075" s="22" t="s">
        <v>7152</v>
      </c>
      <c r="AC1075" s="120">
        <v>45054</v>
      </c>
    </row>
    <row r="1076" spans="1:29" ht="15.75" customHeight="1">
      <c r="A1076" s="94">
        <v>1075</v>
      </c>
      <c r="B1076" s="10" t="s">
        <v>1469</v>
      </c>
      <c r="C1076" s="10" t="s">
        <v>1470</v>
      </c>
      <c r="D1076" s="12"/>
      <c r="E1076" s="13" t="s">
        <v>199</v>
      </c>
      <c r="F1076" s="88" t="s">
        <v>7153</v>
      </c>
      <c r="G1076" s="15" t="str">
        <f ca="1">IFERROR(__xludf.DUMMYFUNCTION("CONCATENATE(B1076,(VLOOKUP(C1076,CATALOGOS!$F$2:$H$6,3,FALSE)),(VLOOKUP(V1076,CATALOGOS!$J$2:$K$18,2,FALSE)),""-"",TO_TEXT(A1076))"),"P12PL-1075")</f>
        <v>P12PL-1075</v>
      </c>
      <c r="H1076" s="15" t="str">
        <f ca="1">IFERROR(__xludf.DUMMYFUNCTION("CONCATENATE($B1076,(VLOOKUP($C1076,CATALOGOS!$F$2:$H$6,3,FALSE)),(VLOOKUP($V1076,CATALOGOS!$J$2:$K$18,2,FALSE)),""-"",TO_TEXT($A1076))"),"P12PL-1075")</f>
        <v>P12PL-1075</v>
      </c>
      <c r="I1076" s="36"/>
      <c r="J1076" s="36"/>
      <c r="K1076" s="37"/>
      <c r="L1076" s="37"/>
      <c r="M1076" s="81"/>
      <c r="N1076" s="108"/>
      <c r="O1076" s="108"/>
      <c r="P1076" s="108"/>
      <c r="Q1076" s="35" t="s">
        <v>2748</v>
      </c>
      <c r="R1076" s="32" t="s">
        <v>7154</v>
      </c>
      <c r="S1076" s="32" t="s">
        <v>7155</v>
      </c>
      <c r="T1076" s="122" t="s">
        <v>7156</v>
      </c>
      <c r="U1076" s="99" t="s">
        <v>38</v>
      </c>
      <c r="V1076" s="19" t="s">
        <v>3091</v>
      </c>
      <c r="W1076" s="20" t="s">
        <v>3151</v>
      </c>
      <c r="X1076" s="92"/>
      <c r="Y1076" s="90"/>
      <c r="Z1076" s="26"/>
      <c r="AA1076" s="26"/>
      <c r="AB1076" s="22" t="s">
        <v>7152</v>
      </c>
      <c r="AC1076" s="120">
        <v>45054</v>
      </c>
    </row>
    <row r="1077" spans="1:29" ht="15.75" customHeight="1">
      <c r="A1077" s="94">
        <v>1076</v>
      </c>
      <c r="B1077" s="10" t="s">
        <v>1469</v>
      </c>
      <c r="C1077" s="10" t="s">
        <v>1470</v>
      </c>
      <c r="D1077" s="12"/>
      <c r="E1077" s="13" t="s">
        <v>151</v>
      </c>
      <c r="F1077" s="88" t="s">
        <v>7149</v>
      </c>
      <c r="G1077" s="15" t="str">
        <f ca="1">IFERROR(__xludf.DUMMYFUNCTION("CONCATENATE(B1077,(VLOOKUP(C1077,CATALOGOS!$F$2:$H$6,3,FALSE)),(VLOOKUP(V1077,CATALOGOS!$J$2:$K$18,2,FALSE)),""-"",TO_TEXT(A1077))"),"P12ST-1076")</f>
        <v>P12ST-1076</v>
      </c>
      <c r="H1077" s="15" t="str">
        <f ca="1">IFERROR(__xludf.DUMMYFUNCTION("CONCATENATE($B1077,(VLOOKUP($C1077,CATALOGOS!$F$2:$H$6,3,FALSE)),(VLOOKUP($V1077,CATALOGOS!$J$2:$K$18,2,FALSE)),""-"",TO_TEXT($A1077))"),"P12ST-1076")</f>
        <v>P12ST-1076</v>
      </c>
      <c r="I1077" s="36"/>
      <c r="J1077" s="36"/>
      <c r="K1077" s="37"/>
      <c r="L1077" s="37"/>
      <c r="M1077" s="81"/>
      <c r="N1077" s="108"/>
      <c r="O1077" s="108"/>
      <c r="P1077" s="108"/>
      <c r="Q1077" s="35" t="s">
        <v>2748</v>
      </c>
      <c r="R1077" s="10" t="s">
        <v>7009</v>
      </c>
      <c r="S1077" s="10" t="s">
        <v>7157</v>
      </c>
      <c r="T1077" s="122" t="s">
        <v>7158</v>
      </c>
      <c r="U1077" s="99" t="s">
        <v>38</v>
      </c>
      <c r="V1077" s="19" t="s">
        <v>1470</v>
      </c>
      <c r="W1077" s="20" t="s">
        <v>1477</v>
      </c>
      <c r="X1077" s="92"/>
      <c r="Y1077" s="90"/>
      <c r="Z1077" s="26"/>
      <c r="AA1077" s="26"/>
      <c r="AB1077" s="22" t="s">
        <v>7152</v>
      </c>
      <c r="AC1077" s="120">
        <v>45054</v>
      </c>
    </row>
    <row r="1078" spans="1:29" ht="15.75" customHeight="1">
      <c r="A1078" s="94">
        <v>1077</v>
      </c>
      <c r="B1078" s="10" t="s">
        <v>4410</v>
      </c>
      <c r="C1078" s="10" t="s">
        <v>6054</v>
      </c>
      <c r="D1078" s="12"/>
      <c r="E1078" s="13" t="s">
        <v>199</v>
      </c>
      <c r="F1078" s="88" t="s">
        <v>7153</v>
      </c>
      <c r="G1078" s="14" t="str">
        <f ca="1">IFERROR(__xludf.DUMMYFUNCTION("CONCATENATE(B1078,(VLOOKUP(C1078,CATALOGOS!$F$2:$H$6,3,FALSE)),(VLOOKUP(V1078,CATALOGOS!$J$2:$K$18,2,FALSE)),""-"",TO_TEXT(A1078))"),"P21DG-1077")</f>
        <v>P21DG-1077</v>
      </c>
      <c r="H1078" s="15" t="str">
        <f ca="1">IFERROR(__xludf.DUMMYFUNCTION("CONCATENATE($B1078,(VLOOKUP($C1078,CATALOGOS!$F$2:$H$6,3,FALSE)),(VLOOKUP($V1078,CATALOGOS!$J$2:$K$18,2,FALSE)),""-"",TO_TEXT($A1078))"),"P21DG-1077")</f>
        <v>P21DG-1077</v>
      </c>
      <c r="I1078" s="36"/>
      <c r="J1078" s="36"/>
      <c r="K1078" s="37"/>
      <c r="L1078" s="37"/>
      <c r="M1078" s="81"/>
      <c r="N1078" s="108"/>
      <c r="O1078" s="108"/>
      <c r="P1078" s="108"/>
      <c r="Q1078" s="35" t="s">
        <v>2748</v>
      </c>
      <c r="R1078" s="10" t="s">
        <v>7159</v>
      </c>
      <c r="S1078" s="10" t="s">
        <v>7160</v>
      </c>
      <c r="T1078" s="122" t="s">
        <v>7161</v>
      </c>
      <c r="U1078" s="20" t="s">
        <v>38</v>
      </c>
      <c r="V1078" s="19" t="s">
        <v>6054</v>
      </c>
      <c r="W1078" s="20" t="s">
        <v>6062</v>
      </c>
      <c r="X1078" s="39" t="s">
        <v>6062</v>
      </c>
      <c r="Y1078" s="90"/>
      <c r="Z1078" s="26"/>
      <c r="AA1078" s="26"/>
      <c r="AB1078" s="26"/>
      <c r="AC1078" s="26"/>
    </row>
    <row r="1079" spans="1:29" ht="15.75" customHeight="1">
      <c r="A1079" s="124">
        <v>1078</v>
      </c>
      <c r="B1079" s="10" t="s">
        <v>1469</v>
      </c>
      <c r="C1079" s="10" t="s">
        <v>868</v>
      </c>
      <c r="D1079" s="12"/>
      <c r="E1079" s="13" t="s">
        <v>501</v>
      </c>
      <c r="F1079" s="6" t="s">
        <v>7162</v>
      </c>
      <c r="G1079" s="14" t="s">
        <v>7163</v>
      </c>
      <c r="H1079" s="6" t="s">
        <v>7163</v>
      </c>
      <c r="I1079" s="36"/>
      <c r="J1079" s="36"/>
      <c r="K1079" s="37"/>
      <c r="L1079" s="37"/>
      <c r="M1079" s="81"/>
      <c r="N1079" s="108"/>
      <c r="O1079" s="108"/>
      <c r="P1079" s="108"/>
      <c r="Q1079" s="35" t="s">
        <v>4684</v>
      </c>
      <c r="R1079" s="10" t="s">
        <v>35</v>
      </c>
      <c r="S1079" s="10" t="s">
        <v>36</v>
      </c>
      <c r="T1079" s="10" t="s">
        <v>85</v>
      </c>
      <c r="U1079" s="20" t="s">
        <v>38</v>
      </c>
      <c r="V1079" s="19" t="s">
        <v>868</v>
      </c>
      <c r="W1079" s="20" t="s">
        <v>3450</v>
      </c>
      <c r="X1079" s="92"/>
      <c r="Y1079" s="90"/>
      <c r="Z1079" s="26"/>
      <c r="AA1079" s="26"/>
      <c r="AB1079" s="26"/>
      <c r="AC1079" s="26"/>
    </row>
    <row r="1080" spans="1:29" ht="15.75" customHeight="1">
      <c r="A1080" s="94">
        <v>1079</v>
      </c>
      <c r="B1080" s="10" t="s">
        <v>1469</v>
      </c>
      <c r="C1080" s="10" t="s">
        <v>1470</v>
      </c>
      <c r="D1080" s="12"/>
      <c r="E1080" s="13" t="s">
        <v>7164</v>
      </c>
      <c r="F1080" s="88" t="s">
        <v>7105</v>
      </c>
      <c r="G1080" s="15" t="str">
        <f ca="1">IFERROR(__xludf.DUMMYFUNCTION("CONCATENATE(B1080,(VLOOKUP(C1080,CATALOGOS!$F$2:$H$6,3,FALSE)),(VLOOKUP(V1080,CATALOGOS!$J$2:$K$18,2,FALSE)),""-"",TO_TEXT(A1080))"),"P12PP-1079")</f>
        <v>P12PP-1079</v>
      </c>
      <c r="H1080" s="15" t="str">
        <f ca="1">IFERROR(__xludf.DUMMYFUNCTION("CONCATENATE($B1080,(VLOOKUP($C1080,CATALOGOS!$F$2:$H$6,3,FALSE)),(VLOOKUP($V1080,CATALOGOS!$J$2:$K$18,2,FALSE)),""-"",TO_TEXT($A1080))"),"P12PP-1079")</f>
        <v>P12PP-1079</v>
      </c>
      <c r="I1080" s="36"/>
      <c r="J1080" s="36"/>
      <c r="K1080" s="37"/>
      <c r="L1080" s="37"/>
      <c r="M1080" s="81"/>
      <c r="N1080" s="108"/>
      <c r="O1080" s="108"/>
      <c r="P1080" s="108"/>
      <c r="Q1080" s="35" t="s">
        <v>2748</v>
      </c>
      <c r="R1080" s="10" t="s">
        <v>6939</v>
      </c>
      <c r="S1080" s="10" t="s">
        <v>7165</v>
      </c>
      <c r="T1080" s="10" t="s">
        <v>7166</v>
      </c>
      <c r="U1080" s="20" t="s">
        <v>38</v>
      </c>
      <c r="V1080" s="19" t="s">
        <v>1548</v>
      </c>
      <c r="W1080" s="20" t="s">
        <v>1890</v>
      </c>
      <c r="X1080" s="92"/>
      <c r="Y1080" s="90"/>
      <c r="Z1080" s="26"/>
      <c r="AA1080" s="26"/>
      <c r="AB1080" s="26"/>
      <c r="AC1080" s="26"/>
    </row>
    <row r="1081" spans="1:29" ht="15.75" customHeight="1">
      <c r="A1081" s="94">
        <v>1080</v>
      </c>
      <c r="B1081" s="10" t="s">
        <v>1469</v>
      </c>
      <c r="C1081" s="10" t="s">
        <v>1470</v>
      </c>
      <c r="D1081" s="12"/>
      <c r="E1081" s="13" t="s">
        <v>151</v>
      </c>
      <c r="F1081" s="88" t="s">
        <v>7167</v>
      </c>
      <c r="G1081" s="14" t="str">
        <f ca="1">IFERROR(__xludf.DUMMYFUNCTION("CONCATENATE(B1081,(VLOOKUP(C1081,CATALOGOS!$F$2:$H$6,3,FALSE)),(VLOOKUP(V1081,CATALOGOS!$J$2:$K$18,2,FALSE)),""-"",TO_TEXT(A1081))"),"P12SI-1080")</f>
        <v>P12SI-1080</v>
      </c>
      <c r="H1081" s="15" t="str">
        <f ca="1">IFERROR(__xludf.DUMMYFUNCTION("CONCATENATE($B1081,(VLOOKUP($C1081,CATALOGOS!$F$2:$H$6,3,FALSE)),(VLOOKUP($V1081,CATALOGOS!$J$2:$K$18,2,FALSE)),""-"",TO_TEXT($A1081))"),"P12SI-1080")</f>
        <v>P12SI-1080</v>
      </c>
      <c r="I1081" s="36"/>
      <c r="J1081" s="36"/>
      <c r="K1081" s="37"/>
      <c r="L1081" s="37"/>
      <c r="M1081" s="81"/>
      <c r="N1081" s="108"/>
      <c r="O1081" s="108"/>
      <c r="P1081" s="108"/>
      <c r="Q1081" s="35" t="s">
        <v>2748</v>
      </c>
      <c r="R1081" s="10" t="s">
        <v>6939</v>
      </c>
      <c r="S1081" s="10" t="s">
        <v>7106</v>
      </c>
      <c r="T1081" s="10" t="s">
        <v>7168</v>
      </c>
      <c r="U1081" s="20" t="s">
        <v>38</v>
      </c>
      <c r="V1081" s="19" t="s">
        <v>1483</v>
      </c>
      <c r="W1081" s="20" t="s">
        <v>7203</v>
      </c>
      <c r="X1081" s="20" t="s">
        <v>2466</v>
      </c>
      <c r="Y1081" s="90"/>
      <c r="Z1081" s="26"/>
      <c r="AA1081" s="26"/>
      <c r="AB1081" s="26"/>
      <c r="AC1081" s="26"/>
    </row>
    <row r="1082" spans="1:29" ht="15.75" customHeight="1">
      <c r="A1082" s="94">
        <v>1081</v>
      </c>
      <c r="B1082" s="10" t="s">
        <v>1469</v>
      </c>
      <c r="C1082" s="10" t="s">
        <v>1470</v>
      </c>
      <c r="D1082" s="125"/>
      <c r="E1082" s="126" t="s">
        <v>199</v>
      </c>
      <c r="F1082" s="127" t="s">
        <v>7108</v>
      </c>
      <c r="G1082" s="14" t="str">
        <f ca="1">IFERROR(__xludf.DUMMYFUNCTION("CONCATENATE(B1082,(VLOOKUP(C1082,CATALOGOS!$F$2:$H$6,3,FALSE)),(VLOOKUP(V1082,CATALOGOS!$J$2:$K$18,2,FALSE)),""-"",TO_TEXT(A1082))"),"P12SI-1081")</f>
        <v>P12SI-1081</v>
      </c>
      <c r="H1082" s="15" t="str">
        <f ca="1">IFERROR(__xludf.DUMMYFUNCTION("CONCATENATE($B1082,(VLOOKUP($C1082,CATALOGOS!$F$2:$H$6,3,FALSE)),(VLOOKUP($V1082,CATALOGOS!$J$2:$K$18,2,FALSE)),""-"",TO_TEXT($A1082))"),"P12SI-1081")</f>
        <v>P12SI-1081</v>
      </c>
      <c r="I1082" s="128"/>
      <c r="J1082" s="128"/>
      <c r="K1082" s="129"/>
      <c r="L1082" s="129"/>
      <c r="M1082" s="129"/>
      <c r="N1082" s="129"/>
      <c r="O1082" s="129"/>
      <c r="P1082" s="129"/>
      <c r="Q1082" s="128" t="s">
        <v>2748</v>
      </c>
      <c r="R1082" s="125" t="s">
        <v>7154</v>
      </c>
      <c r="S1082" s="125" t="s">
        <v>7169</v>
      </c>
      <c r="T1082" s="130" t="s">
        <v>7170</v>
      </c>
      <c r="U1082" s="125" t="s">
        <v>38</v>
      </c>
      <c r="V1082" s="19" t="s">
        <v>1483</v>
      </c>
      <c r="W1082" s="20" t="s">
        <v>7203</v>
      </c>
      <c r="X1082" s="20" t="s">
        <v>2466</v>
      </c>
      <c r="Y1082" s="132"/>
      <c r="Z1082" s="26"/>
      <c r="AA1082" s="26"/>
    </row>
    <row r="1083" spans="1:29" ht="15.75" customHeight="1">
      <c r="A1083" s="94">
        <v>1082</v>
      </c>
      <c r="B1083" s="10" t="s">
        <v>1469</v>
      </c>
      <c r="C1083" s="10" t="s">
        <v>868</v>
      </c>
      <c r="D1083" s="125"/>
      <c r="E1083" s="126" t="s">
        <v>501</v>
      </c>
      <c r="F1083" s="6" t="s">
        <v>7138</v>
      </c>
      <c r="G1083" s="14" t="str">
        <f ca="1">IFERROR(__xludf.DUMMYFUNCTION("CONCATENATE(B1083,(VLOOKUP(C1083,CATALOGOS!$F$2:$H$6,3,FALSE)),(VLOOKUP(V1083,CATALOGOS!$J$2:$K$18,2,FALSE)),""-"",TO_TEXT(A1083))"),"P13SO-1082")</f>
        <v>P13SO-1082</v>
      </c>
      <c r="H1083" s="6" t="str">
        <f ca="1">IFERROR(__xludf.DUMMYFUNCTION("CONCATENATE($B1083,(VLOOKUP($C1083,CATALOGOS!$F$2:$H$6,3,FALSE)),(VLOOKUP($V1083,CATALOGOS!$J$2:$K$18,2,FALSE)),""-"",TO_TEXT($A1083))"),"P13SO-1082")</f>
        <v>P13SO-1082</v>
      </c>
      <c r="I1083" s="128"/>
      <c r="J1083" s="128"/>
      <c r="K1083" s="129"/>
      <c r="L1083" s="129"/>
      <c r="M1083" s="129"/>
      <c r="N1083" s="129"/>
      <c r="O1083" s="129"/>
      <c r="P1083" s="129"/>
      <c r="Q1083" s="35" t="s">
        <v>35</v>
      </c>
      <c r="R1083" s="35" t="s">
        <v>35</v>
      </c>
      <c r="S1083" s="125" t="s">
        <v>36</v>
      </c>
      <c r="T1083" s="130" t="s">
        <v>85</v>
      </c>
      <c r="U1083" s="125" t="s">
        <v>38</v>
      </c>
      <c r="V1083" s="19" t="s">
        <v>868</v>
      </c>
      <c r="W1083" s="125" t="s">
        <v>3450</v>
      </c>
      <c r="X1083" s="133"/>
      <c r="Y1083" s="132"/>
      <c r="Z1083" s="26"/>
      <c r="AA1083" s="26"/>
    </row>
    <row r="1084" spans="1:29" ht="15.75" customHeight="1">
      <c r="A1084" s="94">
        <v>1083</v>
      </c>
      <c r="B1084" s="10" t="s">
        <v>1469</v>
      </c>
      <c r="C1084" s="10" t="s">
        <v>868</v>
      </c>
      <c r="D1084" s="125"/>
      <c r="E1084" s="126" t="s">
        <v>501</v>
      </c>
      <c r="F1084" s="6" t="s">
        <v>7138</v>
      </c>
      <c r="G1084" s="14" t="str">
        <f ca="1">IFERROR(__xludf.DUMMYFUNCTION("CONCATENATE(B1084,(VLOOKUP(C1084,CATALOGOS!$F$2:$H$6,3,FALSE)),(VLOOKUP(V1084,CATALOGOS!$J$2:$K$18,2,FALSE)),""-"",TO_TEXT(A1084))"),"P13SO-1083")</f>
        <v>P13SO-1083</v>
      </c>
      <c r="H1084" s="6" t="str">
        <f ca="1">IFERROR(__xludf.DUMMYFUNCTION("CONCATENATE($B1084,(VLOOKUP($C1084,CATALOGOS!$F$2:$H$6,3,FALSE)),(VLOOKUP($V1084,CATALOGOS!$J$2:$K$18,2,FALSE)),""-"",TO_TEXT($A1084))"),"P13SO-1083")</f>
        <v>P13SO-1083</v>
      </c>
      <c r="I1084" s="128"/>
      <c r="J1084" s="128"/>
      <c r="K1084" s="129"/>
      <c r="L1084" s="129"/>
      <c r="M1084" s="129"/>
      <c r="N1084" s="129"/>
      <c r="O1084" s="129"/>
      <c r="P1084" s="129"/>
      <c r="Q1084" s="35" t="s">
        <v>35</v>
      </c>
      <c r="R1084" s="35" t="s">
        <v>35</v>
      </c>
      <c r="S1084" s="125" t="s">
        <v>36</v>
      </c>
      <c r="T1084" s="130" t="s">
        <v>85</v>
      </c>
      <c r="U1084" s="125" t="s">
        <v>38</v>
      </c>
      <c r="V1084" s="19" t="s">
        <v>868</v>
      </c>
      <c r="W1084" s="125" t="s">
        <v>3450</v>
      </c>
      <c r="X1084" s="133"/>
      <c r="Y1084" s="132"/>
      <c r="Z1084" s="26"/>
      <c r="AA1084" s="26"/>
    </row>
    <row r="1085" spans="1:29" ht="15.75" customHeight="1">
      <c r="A1085" s="94">
        <v>1084</v>
      </c>
      <c r="B1085" s="10" t="s">
        <v>1469</v>
      </c>
      <c r="C1085" s="10" t="s">
        <v>868</v>
      </c>
      <c r="D1085" s="125"/>
      <c r="E1085" s="126" t="s">
        <v>501</v>
      </c>
      <c r="F1085" s="6" t="s">
        <v>7138</v>
      </c>
      <c r="G1085" s="14" t="str">
        <f ca="1">IFERROR(__xludf.DUMMYFUNCTION("CONCATENATE(B1085,(VLOOKUP(C1085,CATALOGOS!$F$2:$H$6,3,FALSE)),(VLOOKUP(V1085,CATALOGOS!$J$2:$K$18,2,FALSE)),""-"",TO_TEXT(A1085))"),"P13SO-1084")</f>
        <v>P13SO-1084</v>
      </c>
      <c r="H1085" s="6" t="str">
        <f ca="1">IFERROR(__xludf.DUMMYFUNCTION("CONCATENATE($B1085,(VLOOKUP($C1085,CATALOGOS!$F$2:$H$6,3,FALSE)),(VLOOKUP($V1085,CATALOGOS!$J$2:$K$18,2,FALSE)),""-"",TO_TEXT($A1085))"),"P13SO-1084")</f>
        <v>P13SO-1084</v>
      </c>
      <c r="I1085" s="128"/>
      <c r="J1085" s="128"/>
      <c r="K1085" s="129"/>
      <c r="L1085" s="129"/>
      <c r="M1085" s="129"/>
      <c r="N1085" s="129"/>
      <c r="O1085" s="129"/>
      <c r="P1085" s="129"/>
      <c r="Q1085" s="35" t="s">
        <v>35</v>
      </c>
      <c r="R1085" s="35" t="s">
        <v>35</v>
      </c>
      <c r="S1085" s="125" t="s">
        <v>36</v>
      </c>
      <c r="T1085" s="130" t="s">
        <v>85</v>
      </c>
      <c r="U1085" s="125" t="s">
        <v>38</v>
      </c>
      <c r="V1085" s="19" t="s">
        <v>868</v>
      </c>
      <c r="W1085" s="125" t="s">
        <v>3450</v>
      </c>
      <c r="X1085" s="133"/>
      <c r="Y1085" s="132"/>
      <c r="Z1085" s="26"/>
      <c r="AA1085" s="26"/>
    </row>
    <row r="1086" spans="1:29" ht="15.75" customHeight="1">
      <c r="A1086" s="94">
        <v>1085</v>
      </c>
      <c r="B1086" s="10" t="s">
        <v>1469</v>
      </c>
      <c r="C1086" s="10" t="s">
        <v>868</v>
      </c>
      <c r="D1086" s="125"/>
      <c r="E1086" s="126" t="s">
        <v>501</v>
      </c>
      <c r="F1086" s="6" t="s">
        <v>7138</v>
      </c>
      <c r="G1086" s="14" t="str">
        <f ca="1">IFERROR(__xludf.DUMMYFUNCTION("CONCATENATE(B1086,(VLOOKUP(C1086,CATALOGOS!$F$2:$H$6,3,FALSE)),(VLOOKUP(V1086,CATALOGOS!$J$2:$K$18,2,FALSE)),""-"",TO_TEXT(A1086))"),"P13SO-1085")</f>
        <v>P13SO-1085</v>
      </c>
      <c r="H1086" s="6" t="str">
        <f ca="1">IFERROR(__xludf.DUMMYFUNCTION("CONCATENATE($B1086,(VLOOKUP($C1086,CATALOGOS!$F$2:$H$6,3,FALSE)),(VLOOKUP($V1086,CATALOGOS!$J$2:$K$18,2,FALSE)),""-"",TO_TEXT($A1086))"),"P13SO-1085")</f>
        <v>P13SO-1085</v>
      </c>
      <c r="I1086" s="128"/>
      <c r="J1086" s="128"/>
      <c r="K1086" s="129"/>
      <c r="L1086" s="129"/>
      <c r="M1086" s="129"/>
      <c r="N1086" s="129"/>
      <c r="O1086" s="129"/>
      <c r="P1086" s="129"/>
      <c r="Q1086" s="35" t="s">
        <v>35</v>
      </c>
      <c r="R1086" s="35" t="s">
        <v>35</v>
      </c>
      <c r="S1086" s="125" t="s">
        <v>36</v>
      </c>
      <c r="T1086" s="130" t="s">
        <v>85</v>
      </c>
      <c r="U1086" s="125" t="s">
        <v>38</v>
      </c>
      <c r="V1086" s="19" t="s">
        <v>868</v>
      </c>
      <c r="W1086" s="125" t="s">
        <v>3450</v>
      </c>
      <c r="X1086" s="133"/>
      <c r="Y1086" s="132"/>
      <c r="Z1086" s="26"/>
      <c r="AA1086" s="26"/>
    </row>
    <row r="1087" spans="1:29" ht="15.75" customHeight="1">
      <c r="A1087" s="94">
        <v>1086</v>
      </c>
      <c r="B1087" s="10" t="s">
        <v>1469</v>
      </c>
      <c r="C1087" s="10" t="s">
        <v>868</v>
      </c>
      <c r="D1087" s="125"/>
      <c r="E1087" s="126" t="s">
        <v>501</v>
      </c>
      <c r="F1087" s="6" t="s">
        <v>7138</v>
      </c>
      <c r="G1087" s="14" t="str">
        <f ca="1">IFERROR(__xludf.DUMMYFUNCTION("CONCATENATE(B1087,(VLOOKUP(C1087,CATALOGOS!$F$2:$H$6,3,FALSE)),(VLOOKUP(V1087,CATALOGOS!$J$2:$K$18,2,FALSE)),""-"",TO_TEXT(A1087))"),"P13SO-1086")</f>
        <v>P13SO-1086</v>
      </c>
      <c r="H1087" s="6" t="str">
        <f ca="1">IFERROR(__xludf.DUMMYFUNCTION("CONCATENATE($B1087,(VLOOKUP($C1087,CATALOGOS!$F$2:$H$6,3,FALSE)),(VLOOKUP($V1087,CATALOGOS!$J$2:$K$18,2,FALSE)),""-"",TO_TEXT($A1087))"),"P13SO-1086")</f>
        <v>P13SO-1086</v>
      </c>
      <c r="I1087" s="128"/>
      <c r="J1087" s="128"/>
      <c r="K1087" s="129"/>
      <c r="L1087" s="129"/>
      <c r="M1087" s="129"/>
      <c r="N1087" s="129"/>
      <c r="O1087" s="129"/>
      <c r="P1087" s="129"/>
      <c r="Q1087" s="35" t="s">
        <v>35</v>
      </c>
      <c r="R1087" s="35" t="s">
        <v>35</v>
      </c>
      <c r="S1087" s="125" t="s">
        <v>36</v>
      </c>
      <c r="T1087" s="130" t="s">
        <v>85</v>
      </c>
      <c r="U1087" s="125" t="s">
        <v>38</v>
      </c>
      <c r="V1087" s="19" t="s">
        <v>868</v>
      </c>
      <c r="W1087" s="125" t="s">
        <v>3450</v>
      </c>
      <c r="X1087" s="133"/>
      <c r="Y1087" s="132"/>
      <c r="Z1087" s="26"/>
      <c r="AA1087" s="26"/>
    </row>
    <row r="1088" spans="1:29" ht="15.75" customHeight="1">
      <c r="A1088" s="94">
        <v>1087</v>
      </c>
      <c r="B1088" s="10" t="s">
        <v>1469</v>
      </c>
      <c r="C1088" s="10" t="s">
        <v>868</v>
      </c>
      <c r="D1088" s="125"/>
      <c r="E1088" s="126" t="s">
        <v>2060</v>
      </c>
      <c r="F1088" s="128" t="s">
        <v>7171</v>
      </c>
      <c r="G1088" s="14" t="str">
        <f ca="1">IFERROR(__xludf.DUMMYFUNCTION("CONCATENATE(B1088,(VLOOKUP(C1088,CATALOGOS!$F$2:$H$6,3,FALSE)),(VLOOKUP(V1088,CATALOGOS!$J$2:$K$18,2,FALSE)),""-"",TO_TEXT(A1088))"),"P13SO-1087")</f>
        <v>P13SO-1087</v>
      </c>
      <c r="H1088" s="6" t="str">
        <f ca="1">IFERROR(__xludf.DUMMYFUNCTION("CONCATENATE($B1088,(VLOOKUP($C1088,CATALOGOS!$F$2:$H$6,3,FALSE)),(VLOOKUP($V1088,CATALOGOS!$J$2:$K$18,2,FALSE)),""-"",TO_TEXT($A1088))"),"P13SO-1087")</f>
        <v>P13SO-1087</v>
      </c>
      <c r="I1088" s="128"/>
      <c r="J1088" s="128"/>
      <c r="K1088" s="129"/>
      <c r="L1088" s="129"/>
      <c r="M1088" s="129"/>
      <c r="N1088" s="129"/>
      <c r="O1088" s="129"/>
      <c r="P1088" s="129"/>
      <c r="Q1088" s="35" t="s">
        <v>35</v>
      </c>
      <c r="R1088" s="35" t="s">
        <v>35</v>
      </c>
      <c r="S1088" s="125" t="s">
        <v>36</v>
      </c>
      <c r="T1088" s="130" t="s">
        <v>85</v>
      </c>
      <c r="U1088" s="125" t="s">
        <v>38</v>
      </c>
      <c r="V1088" s="19" t="s">
        <v>868</v>
      </c>
      <c r="W1088" s="125" t="s">
        <v>3450</v>
      </c>
      <c r="X1088" s="133"/>
      <c r="Y1088" s="132"/>
      <c r="Z1088" s="26"/>
      <c r="AA1088" s="26"/>
    </row>
    <row r="1089" spans="1:27" ht="15.75" customHeight="1">
      <c r="A1089" s="94">
        <v>1088</v>
      </c>
      <c r="B1089" s="10" t="s">
        <v>1469</v>
      </c>
      <c r="C1089" s="10" t="s">
        <v>868</v>
      </c>
      <c r="D1089" s="125"/>
      <c r="E1089" s="126" t="s">
        <v>2060</v>
      </c>
      <c r="F1089" s="128" t="s">
        <v>7171</v>
      </c>
      <c r="G1089" s="14" t="str">
        <f ca="1">IFERROR(__xludf.DUMMYFUNCTION("CONCATENATE(B1089,(VLOOKUP(C1089,CATALOGOS!$F$2:$H$6,3,FALSE)),(VLOOKUP(V1089,CATALOGOS!$J$2:$K$18,2,FALSE)),""-"",TO_TEXT(A1089))"),"P13SO-1088")</f>
        <v>P13SO-1088</v>
      </c>
      <c r="H1089" s="6" t="str">
        <f ca="1">IFERROR(__xludf.DUMMYFUNCTION("CONCATENATE($B1089,(VLOOKUP($C1089,CATALOGOS!$F$2:$H$6,3,FALSE)),(VLOOKUP($V1089,CATALOGOS!$J$2:$K$18,2,FALSE)),""-"",TO_TEXT($A1089))"),"P13SO-1088")</f>
        <v>P13SO-1088</v>
      </c>
      <c r="I1089" s="128"/>
      <c r="J1089" s="128"/>
      <c r="K1089" s="129"/>
      <c r="L1089" s="129"/>
      <c r="M1089" s="129"/>
      <c r="N1089" s="129"/>
      <c r="O1089" s="129"/>
      <c r="P1089" s="129"/>
      <c r="Q1089" s="35" t="s">
        <v>35</v>
      </c>
      <c r="R1089" s="35" t="s">
        <v>35</v>
      </c>
      <c r="S1089" s="125" t="s">
        <v>36</v>
      </c>
      <c r="T1089" s="130" t="s">
        <v>85</v>
      </c>
      <c r="U1089" s="125" t="s">
        <v>38</v>
      </c>
      <c r="V1089" s="19" t="s">
        <v>868</v>
      </c>
      <c r="W1089" s="125" t="s">
        <v>3450</v>
      </c>
      <c r="X1089" s="133"/>
      <c r="Y1089" s="132"/>
      <c r="Z1089" s="26"/>
      <c r="AA1089" s="26"/>
    </row>
    <row r="1090" spans="1:27" ht="15.75" customHeight="1">
      <c r="A1090" s="94">
        <v>1089</v>
      </c>
      <c r="B1090" s="10" t="s">
        <v>27</v>
      </c>
      <c r="C1090" s="10" t="s">
        <v>28</v>
      </c>
      <c r="D1090" s="125"/>
      <c r="E1090" s="126" t="s">
        <v>7172</v>
      </c>
      <c r="F1090" s="128" t="s">
        <v>7173</v>
      </c>
      <c r="G1090" s="14" t="str">
        <f ca="1">IFERROR(__xludf.DUMMYFUNCTION("CONCATENATE(B1090,(VLOOKUP(C1090,CATALOGOS!$F$2:$H$6,3,FALSE)),(VLOOKUP(V1090,CATALOGOS!$J$2:$K$18,2,FALSE)),""-"",TO_TEXT(A1090))"),"P05DA-1089")</f>
        <v>P05DA-1089</v>
      </c>
      <c r="H1090" s="6" t="str">
        <f ca="1">IFERROR(__xludf.DUMMYFUNCTION("CONCATENATE($B1090,(VLOOKUP($C1090,CATALOGOS!$F$2:$H$6,3,FALSE)),(VLOOKUP($V1090,CATALOGOS!$J$2:$K$18,2,FALSE)),""-"",TO_TEXT($A1090))"),"P05DA-1089")</f>
        <v>P05DA-1089</v>
      </c>
      <c r="I1090" s="128"/>
      <c r="J1090" s="128"/>
      <c r="K1090" s="129"/>
      <c r="L1090" s="129"/>
      <c r="M1090" s="129"/>
      <c r="N1090" s="129"/>
      <c r="O1090" s="129"/>
      <c r="P1090" s="129"/>
      <c r="Q1090" s="128" t="s">
        <v>2599</v>
      </c>
      <c r="R1090" s="125" t="s">
        <v>7174</v>
      </c>
      <c r="S1090" s="125" t="s">
        <v>36</v>
      </c>
      <c r="T1090" s="130" t="s">
        <v>85</v>
      </c>
      <c r="U1090" s="125" t="s">
        <v>38</v>
      </c>
      <c r="V1090" s="19" t="s">
        <v>28</v>
      </c>
      <c r="W1090" s="125" t="s">
        <v>392</v>
      </c>
      <c r="X1090" s="133"/>
      <c r="Y1090" s="132"/>
      <c r="Z1090" s="26"/>
      <c r="AA1090" s="26"/>
    </row>
    <row r="1091" spans="1:27" ht="15.75" customHeight="1">
      <c r="A1091" s="94">
        <v>1090</v>
      </c>
      <c r="B1091" s="10" t="s">
        <v>1469</v>
      </c>
      <c r="C1091" s="10" t="s">
        <v>868</v>
      </c>
      <c r="D1091" s="125"/>
      <c r="E1091" s="126" t="s">
        <v>2311</v>
      </c>
      <c r="F1091" s="128" t="s">
        <v>7175</v>
      </c>
      <c r="G1091" s="14" t="str">
        <f ca="1">IFERROR(__xludf.DUMMYFUNCTION("CONCATENATE(B1091,(VLOOKUP(C1091,CATALOGOS!$F$2:$H$6,3,FALSE)),(VLOOKUP(V1091,CATALOGOS!$J$2:$K$18,2,FALSE)),""-"",TO_TEXT(A1091))"),"P13SO-1090")</f>
        <v>P13SO-1090</v>
      </c>
      <c r="H1091" s="6" t="str">
        <f ca="1">IFERROR(__xludf.DUMMYFUNCTION("CONCATENATE($B1091,(VLOOKUP($C1091,CATALOGOS!$F$2:$H$6,3,FALSE)),(VLOOKUP($V1091,CATALOGOS!$J$2:$K$18,2,FALSE)),""-"",TO_TEXT($A1091))"),"P13SO-1090")</f>
        <v>P13SO-1090</v>
      </c>
      <c r="I1091" s="128"/>
      <c r="J1091" s="128"/>
      <c r="K1091" s="129"/>
      <c r="L1091" s="129"/>
      <c r="M1091" s="129"/>
      <c r="N1091" s="129"/>
      <c r="O1091" s="129"/>
      <c r="P1091" s="129"/>
      <c r="Q1091" s="128" t="s">
        <v>7176</v>
      </c>
      <c r="R1091" s="125" t="s">
        <v>7177</v>
      </c>
      <c r="S1091" s="125" t="s">
        <v>36</v>
      </c>
      <c r="T1091" s="130" t="s">
        <v>85</v>
      </c>
      <c r="U1091" s="125" t="s">
        <v>38</v>
      </c>
      <c r="V1091" s="19" t="s">
        <v>868</v>
      </c>
      <c r="W1091" s="125" t="s">
        <v>3450</v>
      </c>
      <c r="X1091" s="133"/>
      <c r="Y1091" s="132"/>
      <c r="Z1091" s="26"/>
      <c r="AA1091" s="26"/>
    </row>
    <row r="1092" spans="1:27" ht="15.75" customHeight="1">
      <c r="A1092" s="94">
        <v>1091</v>
      </c>
      <c r="B1092" s="10" t="s">
        <v>4410</v>
      </c>
      <c r="C1092" s="10" t="s">
        <v>4411</v>
      </c>
      <c r="D1092" s="125"/>
      <c r="E1092" s="126" t="s">
        <v>43</v>
      </c>
      <c r="F1092" s="128" t="s">
        <v>5473</v>
      </c>
      <c r="G1092" s="14" t="str">
        <f ca="1">IFERROR(__xludf.DUMMYFUNCTION("CONCATENATE(B1092,(VLOOKUP(C1092,CATALOGOS!$F$2:$H$6,3,FALSE)),(VLOOKUP(V1092,CATALOGOS!$J$2:$K$18,2,FALSE)),""-"",TO_TEXT(A1092))"),"P24CA-1091")</f>
        <v>P24CA-1091</v>
      </c>
      <c r="H1092" s="64" t="str">
        <f ca="1">IFERROR(__xludf.DUMMYFUNCTION("CONCATENATE($B1092,(VLOOKUP($C1092,CATALOGOS!$F$2:$H$6,3,FALSE)),(VLOOKUP($V1092,CATALOGOS!$J$2:$K$18,2,FALSE)),""-"",TO_TEXT($A1092))"),"P24CA-1091")</f>
        <v>P24CA-1091</v>
      </c>
      <c r="I1092" s="128"/>
      <c r="J1092" s="128"/>
      <c r="K1092" s="129"/>
      <c r="L1092" s="129"/>
      <c r="M1092" s="129"/>
      <c r="N1092" s="129"/>
      <c r="O1092" s="129"/>
      <c r="P1092" s="129"/>
      <c r="Q1092" s="128" t="s">
        <v>5477</v>
      </c>
      <c r="R1092" s="125" t="s">
        <v>7205</v>
      </c>
      <c r="S1092" s="125" t="s">
        <v>36</v>
      </c>
      <c r="T1092" s="135" t="s">
        <v>7206</v>
      </c>
      <c r="U1092" s="134" t="s">
        <v>38</v>
      </c>
      <c r="V1092" s="19" t="s">
        <v>4416</v>
      </c>
      <c r="W1092" s="131" t="s">
        <v>5584</v>
      </c>
      <c r="X1092" s="133"/>
      <c r="Y1092" s="132"/>
    </row>
    <row r="1093" spans="1:27" ht="15.75" customHeight="1">
      <c r="A1093" s="94">
        <v>1092</v>
      </c>
      <c r="B1093" s="10" t="s">
        <v>4410</v>
      </c>
      <c r="C1093" s="10" t="s">
        <v>4411</v>
      </c>
      <c r="D1093" s="125"/>
      <c r="E1093" s="126" t="s">
        <v>43</v>
      </c>
      <c r="F1093" s="128" t="s">
        <v>5473</v>
      </c>
      <c r="G1093" s="14" t="str">
        <f ca="1">IFERROR(__xludf.DUMMYFUNCTION("CONCATENATE(B1093,(VLOOKUP(C1093,CATALOGOS!$F$2:$H$6,3,FALSE)),(VLOOKUP(V1093,CATALOGOS!$J$2:$K$18,2,FALSE)),""-"",TO_TEXT(A1093))"),"P24CA-1092")</f>
        <v>P24CA-1092</v>
      </c>
      <c r="H1093" s="64" t="str">
        <f ca="1">IFERROR(__xludf.DUMMYFUNCTION("CONCATENATE($B1093,(VLOOKUP($C1093,CATALOGOS!$F$2:$H$6,3,FALSE)),(VLOOKUP($V1093,CATALOGOS!$J$2:$K$18,2,FALSE)),""-"",TO_TEXT($A1093))"),"P24CA-1092")</f>
        <v>P24CA-1092</v>
      </c>
      <c r="I1093" s="128"/>
      <c r="J1093" s="128"/>
      <c r="K1093" s="129"/>
      <c r="L1093" s="129"/>
      <c r="M1093" s="129"/>
      <c r="N1093" s="129"/>
      <c r="O1093" s="129"/>
      <c r="P1093" s="129"/>
      <c r="Q1093" s="128" t="s">
        <v>5477</v>
      </c>
      <c r="R1093" s="125" t="s">
        <v>35</v>
      </c>
      <c r="S1093" s="125" t="s">
        <v>36</v>
      </c>
      <c r="T1093" s="130" t="s">
        <v>85</v>
      </c>
      <c r="U1093" s="125" t="s">
        <v>38</v>
      </c>
      <c r="V1093" s="19" t="s">
        <v>4416</v>
      </c>
      <c r="W1093" s="125" t="s">
        <v>5310</v>
      </c>
      <c r="X1093" s="133"/>
      <c r="Y1093" s="132"/>
    </row>
    <row r="1094" spans="1:27" ht="15.75" customHeight="1">
      <c r="A1094" s="94">
        <v>1093</v>
      </c>
      <c r="B1094" s="10" t="s">
        <v>1469</v>
      </c>
      <c r="C1094" s="10" t="s">
        <v>1470</v>
      </c>
      <c r="D1094" s="125"/>
      <c r="E1094" s="126" t="s">
        <v>378</v>
      </c>
      <c r="F1094" s="128" t="s">
        <v>7178</v>
      </c>
      <c r="G1094" s="14" t="str">
        <f ca="1">IFERROR(__xludf.DUMMYFUNCTION("CONCATENATE(B1094,(VLOOKUP(C1094,CATALOGOS!$F$2:$H$6,3,FALSE)),(VLOOKUP(V1094,CATALOGOS!$J$2:$K$18,2,FALSE)),""-"",TO_TEXT(A1094))"),"P12CT-1093")</f>
        <v>P12CT-1093</v>
      </c>
      <c r="H1094" s="6" t="str">
        <f ca="1">IFERROR(__xludf.DUMMYFUNCTION("CONCATENATE($B1094,(VLOOKUP($C1094,CATALOGOS!$F$2:$H$6,3,FALSE)),(VLOOKUP($V1094,CATALOGOS!$J$2:$K$18,2,FALSE)),""-"",TO_TEXT($A1094))"),"P12CT-1093")</f>
        <v>P12CT-1093</v>
      </c>
      <c r="I1094" s="128"/>
      <c r="J1094" s="128"/>
      <c r="K1094" s="129"/>
      <c r="L1094" s="129"/>
      <c r="M1094" s="129"/>
      <c r="N1094" s="129"/>
      <c r="O1094" s="129"/>
      <c r="P1094" s="129"/>
      <c r="Q1094" s="128" t="s">
        <v>7088</v>
      </c>
      <c r="R1094" s="125" t="s">
        <v>7089</v>
      </c>
      <c r="S1094" s="125" t="s">
        <v>36</v>
      </c>
      <c r="T1094" s="130" t="s">
        <v>85</v>
      </c>
      <c r="U1094" s="125" t="s">
        <v>38</v>
      </c>
      <c r="V1094" s="19" t="s">
        <v>2884</v>
      </c>
      <c r="W1094" s="125" t="s">
        <v>3247</v>
      </c>
      <c r="X1094" s="133"/>
      <c r="Y1094" s="132"/>
    </row>
    <row r="1095" spans="1:27" ht="15.75" customHeight="1">
      <c r="A1095" s="94">
        <v>1094</v>
      </c>
      <c r="B1095" s="10" t="s">
        <v>4410</v>
      </c>
      <c r="C1095" s="10" t="s">
        <v>4411</v>
      </c>
      <c r="D1095" s="125"/>
      <c r="E1095" s="126" t="s">
        <v>378</v>
      </c>
      <c r="F1095" s="128" t="s">
        <v>7178</v>
      </c>
      <c r="G1095" s="14" t="str">
        <f ca="1">IFERROR(__xludf.DUMMYFUNCTION("CONCATENATE(B1095,(VLOOKUP(C1095,CATALOGOS!$F$2:$H$6,3,FALSE)),(VLOOKUP(V1095,CATALOGOS!$J$2:$K$18,2,FALSE)),""-"",TO_TEXT(A1095))"),"P24SJ-1094")</f>
        <v>P24SJ-1094</v>
      </c>
      <c r="H1095" s="6" t="str">
        <f ca="1">IFERROR(__xludf.DUMMYFUNCTION("CONCATENATE($B1095,(VLOOKUP($C1095,CATALOGOS!$F$2:$H$6,3,FALSE)),(VLOOKUP($V1095,CATALOGOS!$J$2:$K$18,2,FALSE)),""-"",TO_TEXT($A1095))"),"P24SJ-1094")</f>
        <v>P24SJ-1094</v>
      </c>
      <c r="I1095" s="128"/>
      <c r="J1095" s="128"/>
      <c r="K1095" s="129"/>
      <c r="L1095" s="129"/>
      <c r="M1095" s="129"/>
      <c r="N1095" s="129"/>
      <c r="O1095" s="129"/>
      <c r="P1095" s="129"/>
      <c r="Q1095" s="128" t="s">
        <v>7088</v>
      </c>
      <c r="R1095" s="125" t="s">
        <v>7179</v>
      </c>
      <c r="S1095" s="125" t="s">
        <v>36</v>
      </c>
      <c r="T1095" s="130" t="s">
        <v>85</v>
      </c>
      <c r="U1095" s="125" t="s">
        <v>38</v>
      </c>
      <c r="V1095" s="19" t="s">
        <v>4411</v>
      </c>
      <c r="W1095" s="125" t="s">
        <v>5138</v>
      </c>
      <c r="X1095" s="133"/>
      <c r="Y1095" s="132"/>
    </row>
    <row r="1096" spans="1:27" ht="15.75" customHeight="1">
      <c r="A1096" s="94">
        <v>1095</v>
      </c>
      <c r="B1096" s="10" t="s">
        <v>27</v>
      </c>
      <c r="C1096" s="10" t="s">
        <v>6054</v>
      </c>
      <c r="D1096" s="125"/>
      <c r="E1096" s="126" t="s">
        <v>6964</v>
      </c>
      <c r="F1096" s="128" t="s">
        <v>7180</v>
      </c>
      <c r="G1096" s="14" t="str">
        <f ca="1">IFERROR(__xludf.DUMMYFUNCTION("CONCATENATE(B1096,(VLOOKUP(C1096,CATALOGOS!$F$2:$H$6,3,FALSE)),(VLOOKUP(V1096,CATALOGOS!$J$2:$K$18,2,FALSE)),""-"",TO_TEXT(A1096))"),"P01DG-1095")</f>
        <v>P01DG-1095</v>
      </c>
      <c r="H1096" s="6" t="str">
        <f ca="1">IFERROR(__xludf.DUMMYFUNCTION("CONCATENATE($B1096,(VLOOKUP($C1096,CATALOGOS!$F$2:$H$6,3,FALSE)),(VLOOKUP($V1096,CATALOGOS!$J$2:$K$18,2,FALSE)),""-"",TO_TEXT($A1096))"),"P01DG-1095")</f>
        <v>P01DG-1095</v>
      </c>
      <c r="I1096" s="128"/>
      <c r="J1096" s="128"/>
      <c r="K1096" s="129"/>
      <c r="L1096" s="129"/>
      <c r="M1096" s="129"/>
      <c r="N1096" s="129"/>
      <c r="O1096" s="129"/>
      <c r="P1096" s="129"/>
      <c r="Q1096" s="128" t="s">
        <v>6985</v>
      </c>
      <c r="R1096" s="125" t="s">
        <v>7181</v>
      </c>
      <c r="S1096" s="125" t="s">
        <v>7182</v>
      </c>
      <c r="T1096" s="130" t="s">
        <v>7183</v>
      </c>
      <c r="U1096" s="125" t="s">
        <v>517</v>
      </c>
      <c r="V1096" s="19" t="s">
        <v>6054</v>
      </c>
      <c r="W1096" s="125" t="s">
        <v>6062</v>
      </c>
      <c r="X1096" s="133"/>
      <c r="Y1096" s="132"/>
    </row>
    <row r="1097" spans="1:27" ht="15.75" customHeight="1">
      <c r="A1097" s="94">
        <v>1096</v>
      </c>
      <c r="B1097" s="10" t="s">
        <v>27</v>
      </c>
      <c r="C1097" s="10" t="s">
        <v>28</v>
      </c>
      <c r="D1097" s="125"/>
      <c r="E1097" s="126" t="s">
        <v>6964</v>
      </c>
      <c r="F1097" s="128" t="s">
        <v>6982</v>
      </c>
      <c r="G1097" s="14" t="str">
        <f ca="1">IFERROR(__xludf.DUMMYFUNCTION("CONCATENATE(B1097,(VLOOKUP(C1097,CATALOGOS!$F$2:$H$6,3,FALSE)),(VLOOKUP(V1097,CATALOGOS!$J$2:$K$18,2,FALSE)),""-"",TO_TEXT(A1097))"),"P05DA-1096")</f>
        <v>P05DA-1096</v>
      </c>
      <c r="H1097" s="6" t="str">
        <f ca="1">IFERROR(__xludf.DUMMYFUNCTION("CONCATENATE($B1097,(VLOOKUP($C1097,CATALOGOS!$F$2:$H$6,3,FALSE)),(VLOOKUP($V1097,CATALOGOS!$J$2:$K$18,2,FALSE)),""-"",TO_TEXT($A1097))"),"P05DA-1096")</f>
        <v>P05DA-1096</v>
      </c>
      <c r="I1097" s="128"/>
      <c r="J1097" s="128"/>
      <c r="K1097" s="129"/>
      <c r="L1097" s="129"/>
      <c r="M1097" s="129"/>
      <c r="N1097" s="129"/>
      <c r="O1097" s="129"/>
      <c r="P1097" s="129"/>
      <c r="Q1097" s="128" t="s">
        <v>7184</v>
      </c>
      <c r="R1097" s="125" t="s">
        <v>7185</v>
      </c>
      <c r="S1097" s="125" t="s">
        <v>7186</v>
      </c>
      <c r="T1097" s="130" t="s">
        <v>7183</v>
      </c>
      <c r="U1097" s="125" t="s">
        <v>38</v>
      </c>
      <c r="V1097" s="19" t="s">
        <v>28</v>
      </c>
      <c r="W1097" s="125" t="s">
        <v>40</v>
      </c>
      <c r="X1097" s="133"/>
      <c r="Y1097" s="132"/>
    </row>
    <row r="1098" spans="1:27" ht="15.75" customHeight="1">
      <c r="A1098" s="94">
        <v>1097</v>
      </c>
      <c r="B1098" s="10" t="s">
        <v>27</v>
      </c>
      <c r="C1098" s="10" t="s">
        <v>6054</v>
      </c>
      <c r="D1098" s="125"/>
      <c r="E1098" s="126" t="s">
        <v>6964</v>
      </c>
      <c r="F1098" s="128" t="s">
        <v>6982</v>
      </c>
      <c r="G1098" s="14" t="str">
        <f ca="1">IFERROR(__xludf.DUMMYFUNCTION("CONCATENATE(B1098,(VLOOKUP(C1098,CATALOGOS!$F$2:$H$6,3,FALSE)),(VLOOKUP(V1098,CATALOGOS!$J$2:$K$18,2,FALSE)),""-"",TO_TEXT(A1098))"),"P01DG-1097")</f>
        <v>P01DG-1097</v>
      </c>
      <c r="H1098" s="6" t="str">
        <f ca="1">IFERROR(__xludf.DUMMYFUNCTION("CONCATENATE($B1098,(VLOOKUP($C1098,CATALOGOS!$F$2:$H$6,3,FALSE)),(VLOOKUP($V1098,CATALOGOS!$J$2:$K$18,2,FALSE)),""-"",TO_TEXT($A1098))"),"P01DG-1097")</f>
        <v>P01DG-1097</v>
      </c>
      <c r="I1098" s="128"/>
      <c r="J1098" s="128"/>
      <c r="K1098" s="129"/>
      <c r="L1098" s="129"/>
      <c r="M1098" s="129"/>
      <c r="N1098" s="129"/>
      <c r="O1098" s="129"/>
      <c r="P1098" s="129"/>
      <c r="Q1098" s="128" t="s">
        <v>6985</v>
      </c>
      <c r="R1098" s="125" t="s">
        <v>7187</v>
      </c>
      <c r="S1098" s="125" t="s">
        <v>7188</v>
      </c>
      <c r="T1098" s="130" t="s">
        <v>7183</v>
      </c>
      <c r="U1098" s="125" t="s">
        <v>38</v>
      </c>
      <c r="V1098" s="19" t="s">
        <v>6054</v>
      </c>
      <c r="W1098" s="125" t="s">
        <v>6062</v>
      </c>
      <c r="X1098" s="133"/>
      <c r="Y1098" s="132"/>
    </row>
    <row r="1099" spans="1:27" ht="15.75" customHeight="1">
      <c r="A1099" s="94">
        <v>1098</v>
      </c>
      <c r="B1099" s="10" t="s">
        <v>27</v>
      </c>
      <c r="C1099" s="10" t="s">
        <v>6054</v>
      </c>
      <c r="D1099" s="125"/>
      <c r="E1099" s="126" t="s">
        <v>6964</v>
      </c>
      <c r="F1099" s="128" t="s">
        <v>7189</v>
      </c>
      <c r="G1099" s="14" t="str">
        <f ca="1">IFERROR(__xludf.DUMMYFUNCTION("CONCATENATE(B1099,(VLOOKUP(C1099,CATALOGOS!$F$2:$H$6,3,FALSE)),(VLOOKUP(V1099,CATALOGOS!$J$2:$K$18,2,FALSE)),""-"",TO_TEXT(A1099))"),"P01DG-1098")</f>
        <v>P01DG-1098</v>
      </c>
      <c r="H1099" s="6" t="str">
        <f ca="1">IFERROR(__xludf.DUMMYFUNCTION("CONCATENATE($B1099,(VLOOKUP($C1099,CATALOGOS!$F$2:$H$6,3,FALSE)),(VLOOKUP($V1099,CATALOGOS!$J$2:$K$18,2,FALSE)),""-"",TO_TEXT($A1099))"),"P01DG-1098")</f>
        <v>P01DG-1098</v>
      </c>
      <c r="I1099" s="128"/>
      <c r="J1099" s="128"/>
      <c r="K1099" s="129"/>
      <c r="L1099" s="129"/>
      <c r="M1099" s="129"/>
      <c r="N1099" s="129"/>
      <c r="O1099" s="129"/>
      <c r="P1099" s="129"/>
      <c r="Q1099" s="128" t="s">
        <v>6985</v>
      </c>
      <c r="R1099" s="125" t="s">
        <v>7190</v>
      </c>
      <c r="S1099" s="125" t="s">
        <v>7191</v>
      </c>
      <c r="T1099" s="130" t="s">
        <v>7183</v>
      </c>
      <c r="U1099" s="125" t="s">
        <v>7192</v>
      </c>
      <c r="V1099" s="19" t="s">
        <v>6054</v>
      </c>
      <c r="W1099" s="125" t="s">
        <v>6062</v>
      </c>
      <c r="X1099" s="133"/>
      <c r="Y1099" s="132"/>
    </row>
    <row r="1100" spans="1:27" ht="15.75" customHeight="1">
      <c r="A1100" s="94">
        <v>1099</v>
      </c>
      <c r="B1100" s="10" t="s">
        <v>27</v>
      </c>
      <c r="C1100" s="10" t="s">
        <v>6054</v>
      </c>
      <c r="D1100" s="125"/>
      <c r="E1100" s="126" t="s">
        <v>6964</v>
      </c>
      <c r="F1100" s="128" t="s">
        <v>6982</v>
      </c>
      <c r="G1100" s="14" t="str">
        <f ca="1">IFERROR(__xludf.DUMMYFUNCTION("CONCATENATE(B1100,(VLOOKUP(C1100,CATALOGOS!$F$2:$H$6,3,FALSE)),(VLOOKUP(V1100,CATALOGOS!$J$2:$K$18,2,FALSE)),""-"",TO_TEXT(A1100))"),"P01DG-1099")</f>
        <v>P01DG-1099</v>
      </c>
      <c r="H1100" s="6" t="str">
        <f ca="1">IFERROR(__xludf.DUMMYFUNCTION("CONCATENATE($B1100,(VLOOKUP($C1100,CATALOGOS!$F$2:$H$6,3,FALSE)),(VLOOKUP($V1100,CATALOGOS!$J$2:$K$18,2,FALSE)),""-"",TO_TEXT($A1100))"),"P01DG-1099")</f>
        <v>P01DG-1099</v>
      </c>
      <c r="I1100" s="128"/>
      <c r="J1100" s="128"/>
      <c r="K1100" s="129"/>
      <c r="L1100" s="129"/>
      <c r="M1100" s="129"/>
      <c r="N1100" s="129"/>
      <c r="O1100" s="129"/>
      <c r="P1100" s="129"/>
      <c r="Q1100" s="128" t="s">
        <v>6985</v>
      </c>
      <c r="R1100" s="125" t="s">
        <v>7193</v>
      </c>
      <c r="S1100" s="125" t="s">
        <v>7194</v>
      </c>
      <c r="T1100" s="130" t="s">
        <v>7183</v>
      </c>
      <c r="U1100" s="125" t="s">
        <v>38</v>
      </c>
      <c r="V1100" s="19" t="s">
        <v>6054</v>
      </c>
      <c r="W1100" s="125" t="s">
        <v>6062</v>
      </c>
      <c r="X1100" s="133"/>
      <c r="Y1100" s="132"/>
    </row>
    <row r="1101" spans="1:27" ht="15.75" customHeight="1">
      <c r="A1101" s="94">
        <v>1100</v>
      </c>
      <c r="B1101" s="10" t="s">
        <v>27</v>
      </c>
      <c r="C1101" s="10" t="s">
        <v>28</v>
      </c>
      <c r="D1101" s="125"/>
      <c r="E1101" s="126" t="s">
        <v>6964</v>
      </c>
      <c r="F1101" s="128" t="s">
        <v>6982</v>
      </c>
      <c r="G1101" s="14" t="str">
        <f ca="1">IFERROR(__xludf.DUMMYFUNCTION("CONCATENATE(B1101,(VLOOKUP(C1101,CATALOGOS!$F$2:$H$6,3,FALSE)),(VLOOKUP(V1101,CATALOGOS!$J$2:$K$18,2,FALSE)),""-"",TO_TEXT(A1101))"),"P05DA-1100")</f>
        <v>P05DA-1100</v>
      </c>
      <c r="H1101" s="6" t="str">
        <f ca="1">IFERROR(__xludf.DUMMYFUNCTION("CONCATENATE($B1101,(VLOOKUP($C1101,CATALOGOS!$F$2:$H$6,3,FALSE)),(VLOOKUP($V1101,CATALOGOS!$J$2:$K$18,2,FALSE)),""-"",TO_TEXT($A1101))"),"P05DA-1100")</f>
        <v>P05DA-1100</v>
      </c>
      <c r="I1101" s="128"/>
      <c r="J1101" s="128"/>
      <c r="K1101" s="129"/>
      <c r="L1101" s="129"/>
      <c r="M1101" s="129"/>
      <c r="N1101" s="129"/>
      <c r="O1101" s="129"/>
      <c r="P1101" s="129"/>
      <c r="Q1101" s="128" t="s">
        <v>7195</v>
      </c>
      <c r="R1101" s="125" t="s">
        <v>7196</v>
      </c>
      <c r="S1101" s="125" t="s">
        <v>7197</v>
      </c>
      <c r="T1101" s="130" t="s">
        <v>7183</v>
      </c>
      <c r="U1101" s="125" t="s">
        <v>38</v>
      </c>
      <c r="V1101" s="19" t="s">
        <v>28</v>
      </c>
      <c r="W1101" s="125" t="s">
        <v>40</v>
      </c>
      <c r="X1101" s="133"/>
      <c r="Y1101" s="132"/>
    </row>
    <row r="1102" spans="1:27" ht="15.75" customHeight="1">
      <c r="A1102" s="94">
        <v>1101</v>
      </c>
      <c r="B1102" s="10" t="s">
        <v>27</v>
      </c>
      <c r="C1102" s="10" t="s">
        <v>28</v>
      </c>
      <c r="D1102" s="125"/>
      <c r="E1102" s="126" t="s">
        <v>6964</v>
      </c>
      <c r="F1102" s="128" t="s">
        <v>7198</v>
      </c>
      <c r="G1102" s="14" t="str">
        <f ca="1">IFERROR(__xludf.DUMMYFUNCTION("CONCATENATE(B1102,(VLOOKUP(C1102,CATALOGOS!$F$2:$H$6,3,FALSE)),(VLOOKUP(V1102,CATALOGOS!$J$2:$K$18,2,FALSE)),""-"",TO_TEXT(A1102))"),"P05DA-1101")</f>
        <v>P05DA-1101</v>
      </c>
      <c r="H1102" s="6" t="str">
        <f ca="1">IFERROR(__xludf.DUMMYFUNCTION("CONCATENATE($B1102,(VLOOKUP($C1102,CATALOGOS!$F$2:$H$6,3,FALSE)),(VLOOKUP($V1102,CATALOGOS!$J$2:$K$18,2,FALSE)),""-"",TO_TEXT($A1102))"),"P05DA-1101")</f>
        <v>P05DA-1101</v>
      </c>
      <c r="I1102" s="128"/>
      <c r="J1102" s="128"/>
      <c r="K1102" s="129"/>
      <c r="L1102" s="129"/>
      <c r="M1102" s="129"/>
      <c r="N1102" s="129"/>
      <c r="O1102" s="129"/>
      <c r="P1102" s="129"/>
      <c r="Q1102" s="128" t="s">
        <v>7195</v>
      </c>
      <c r="R1102" s="125" t="s">
        <v>7196</v>
      </c>
      <c r="S1102" s="125" t="s">
        <v>7199</v>
      </c>
      <c r="T1102" s="130" t="s">
        <v>7183</v>
      </c>
      <c r="U1102" s="125" t="s">
        <v>38</v>
      </c>
      <c r="V1102" s="19" t="s">
        <v>28</v>
      </c>
      <c r="W1102" s="125" t="s">
        <v>40</v>
      </c>
      <c r="X1102" s="133"/>
      <c r="Y1102" s="132"/>
    </row>
    <row r="1103" spans="1:27" ht="15.75" customHeight="1">
      <c r="A1103" s="94">
        <v>1102</v>
      </c>
      <c r="B1103" s="10" t="s">
        <v>1469</v>
      </c>
      <c r="C1103" s="10" t="s">
        <v>1470</v>
      </c>
      <c r="D1103" s="125"/>
      <c r="E1103" s="126" t="s">
        <v>7144</v>
      </c>
      <c r="F1103" s="128" t="s">
        <v>7144</v>
      </c>
      <c r="G1103" s="14" t="str">
        <f ca="1">IFERROR(__xludf.DUMMYFUNCTION("CONCATENATE(B1103,(VLOOKUP(C1103,CATALOGOS!$F$2:$H$6,3,FALSE)),(VLOOKUP(V1103,CATALOGOS!$J$2:$K$18,2,FALSE)),""-"",TO_TEXT(A1103))"),"P12SI-1102")</f>
        <v>P12SI-1102</v>
      </c>
      <c r="H1103" s="6" t="str">
        <f ca="1">IFERROR(__xludf.DUMMYFUNCTION("CONCATENATE($B1103,(VLOOKUP($C1103,CATALOGOS!$F$2:$H$6,3,FALSE)),(VLOOKUP($V1103,CATALOGOS!$J$2:$K$18,2,FALSE)),""-"",TO_TEXT($A1103))"),"P12SI-1102")</f>
        <v>P12SI-1102</v>
      </c>
      <c r="I1103" s="128"/>
      <c r="J1103" s="128"/>
      <c r="K1103" s="129"/>
      <c r="L1103" s="129"/>
      <c r="M1103" s="129"/>
      <c r="N1103" s="129"/>
      <c r="O1103" s="129"/>
      <c r="P1103" s="129"/>
      <c r="Q1103" s="128" t="s">
        <v>5918</v>
      </c>
      <c r="R1103" s="125" t="s">
        <v>7200</v>
      </c>
      <c r="S1103" s="125" t="s">
        <v>7201</v>
      </c>
      <c r="T1103" s="135" t="s">
        <v>85</v>
      </c>
      <c r="U1103" s="125" t="s">
        <v>38</v>
      </c>
      <c r="V1103" s="11" t="s">
        <v>1483</v>
      </c>
      <c r="W1103" s="125" t="s">
        <v>1484</v>
      </c>
      <c r="X1103" s="133"/>
      <c r="Y1103" s="132"/>
    </row>
    <row r="1104" spans="1:27" ht="15.75" customHeight="1">
      <c r="A1104" s="94">
        <v>1103</v>
      </c>
      <c r="B1104" s="10" t="s">
        <v>1469</v>
      </c>
      <c r="C1104" s="39" t="s">
        <v>1470</v>
      </c>
      <c r="D1104" s="125"/>
      <c r="E1104" s="126" t="s">
        <v>53</v>
      </c>
      <c r="F1104" s="128" t="s">
        <v>7207</v>
      </c>
      <c r="G1104" s="14" t="str">
        <f ca="1">IFERROR(__xludf.DUMMYFUNCTION("CONCATENATE(B1104,(VLOOKUP(C1104,CATALOGOS!$F$2:$H$6,3,FALSE)),(VLOOKUP(V1104,CATALOGOS!$J$2:$K$18,2,FALSE)),""-"",TO_TEXT(A1104))"),"P12ST-1103")</f>
        <v>P12ST-1103</v>
      </c>
      <c r="H1104" s="6" t="str">
        <f ca="1">IFERROR(__xludf.DUMMYFUNCTION("CONCATENATE($B1104,(VLOOKUP($C1104,CATALOGOS!$F$2:$H$6,3,FALSE)),(VLOOKUP($V1104,CATALOGOS!$J$2:$K$18,2,FALSE)),""-"",TO_TEXT($A1104))"),"P12ST-1103")</f>
        <v>P12ST-1103</v>
      </c>
      <c r="I1104" s="128"/>
      <c r="J1104" s="128"/>
      <c r="K1104" s="129"/>
      <c r="L1104" s="129"/>
      <c r="M1104" s="129"/>
      <c r="N1104" s="129"/>
      <c r="O1104" s="129"/>
      <c r="P1104" s="129"/>
      <c r="Q1104" s="128" t="s">
        <v>7208</v>
      </c>
      <c r="R1104" s="125" t="s">
        <v>35</v>
      </c>
      <c r="S1104" s="125" t="s">
        <v>90</v>
      </c>
      <c r="T1104" s="135" t="s">
        <v>7209</v>
      </c>
      <c r="U1104" s="18" t="s">
        <v>38</v>
      </c>
      <c r="V1104" s="11" t="s">
        <v>1470</v>
      </c>
      <c r="W1104" s="131" t="s">
        <v>3247</v>
      </c>
      <c r="X1104" s="133"/>
      <c r="Y1104" s="132"/>
    </row>
    <row r="1105" spans="1:31" ht="15.75" customHeight="1">
      <c r="A1105" s="94">
        <v>1104</v>
      </c>
      <c r="B1105" s="10" t="s">
        <v>1469</v>
      </c>
      <c r="C1105" s="10" t="s">
        <v>1470</v>
      </c>
      <c r="D1105" s="125"/>
      <c r="E1105" s="126" t="s">
        <v>2860</v>
      </c>
      <c r="F1105" s="128" t="s">
        <v>2861</v>
      </c>
      <c r="G1105" s="14" t="str">
        <f ca="1">IFERROR(__xludf.DUMMYFUNCTION("CONCATENATE(B1105,(VLOOKUP(C1105,CATALOGOS!$F$2:$H$6,3,FALSE)),(VLOOKUP(V1105,CATALOGOS!$J$2:$K$18,2,FALSE)),""-"",TO_TEXT(A1105))"),"P12SJ-1104")</f>
        <v>P12SJ-1104</v>
      </c>
      <c r="H1105" s="6" t="str">
        <f ca="1">IFERROR(__xludf.DUMMYFUNCTION("CONCATENATE($B1105,(VLOOKUP($C1105,CATALOGOS!$F$2:$H$6,3,FALSE)),(VLOOKUP($V1105,CATALOGOS!$J$2:$K$18,2,FALSE)),""-"",TO_TEXT($A1105))"),"P12SJ-1104")</f>
        <v>P12SJ-1104</v>
      </c>
      <c r="I1105" s="128"/>
      <c r="J1105" s="128"/>
      <c r="K1105" s="129"/>
      <c r="L1105" s="129"/>
      <c r="M1105" s="129"/>
      <c r="N1105" s="129"/>
      <c r="O1105" s="129"/>
      <c r="P1105" s="129"/>
      <c r="Q1105" s="128" t="s">
        <v>5918</v>
      </c>
      <c r="R1105" s="125" t="s">
        <v>7210</v>
      </c>
      <c r="S1105" s="125" t="s">
        <v>90</v>
      </c>
      <c r="T1105" s="135" t="s">
        <v>7211</v>
      </c>
      <c r="U1105" s="125" t="s">
        <v>38</v>
      </c>
      <c r="V1105" s="11" t="s">
        <v>4411</v>
      </c>
      <c r="W1105" s="131" t="s">
        <v>1484</v>
      </c>
      <c r="X1105" s="133"/>
      <c r="Y1105" s="132"/>
    </row>
    <row r="1106" spans="1:31" ht="15.75" customHeight="1">
      <c r="A1106" s="137">
        <v>1105</v>
      </c>
      <c r="B1106" s="138"/>
      <c r="C1106" s="138"/>
      <c r="D1106" s="139"/>
      <c r="E1106" s="140"/>
      <c r="F1106" s="141"/>
      <c r="G1106" s="142"/>
      <c r="H1106" s="142"/>
      <c r="I1106" s="141"/>
      <c r="J1106" s="141"/>
      <c r="K1106" s="143"/>
      <c r="L1106" s="143"/>
      <c r="M1106" s="143"/>
      <c r="N1106" s="143"/>
      <c r="O1106" s="143"/>
      <c r="P1106" s="143"/>
      <c r="Q1106" s="141"/>
      <c r="R1106" s="139"/>
      <c r="S1106" s="139"/>
      <c r="T1106" s="144"/>
      <c r="U1106" s="145"/>
      <c r="V1106" s="146"/>
      <c r="W1106" s="147"/>
      <c r="X1106" s="148"/>
      <c r="Y1106" s="149"/>
      <c r="Z1106" s="150"/>
      <c r="AA1106" s="150"/>
      <c r="AB1106" s="150"/>
      <c r="AC1106" s="150"/>
      <c r="AD1106" s="150"/>
      <c r="AE1106" s="150"/>
    </row>
    <row r="1107" spans="1:31" ht="15.75" customHeight="1">
      <c r="A1107" s="94">
        <v>1106</v>
      </c>
      <c r="B1107" s="10" t="s">
        <v>1469</v>
      </c>
      <c r="C1107" s="10" t="s">
        <v>4411</v>
      </c>
      <c r="D1107" s="125"/>
      <c r="E1107" s="126" t="s">
        <v>43</v>
      </c>
      <c r="F1107" s="128" t="s">
        <v>1850</v>
      </c>
      <c r="G1107" s="14" t="str">
        <f ca="1">IFERROR(__xludf.DUMMYFUNCTION("CONCATENATE(B1107,(VLOOKUP(C1107,CATALOGOS!$F$2:$H$6,3,FALSE)),(VLOOKUP(V1107,CATALOGOS!$J$2:$K$18,2,FALSE)),""-"",TO_TEXT(A1107))"),"P14CA-1106")</f>
        <v>P14CA-1106</v>
      </c>
      <c r="H1107" s="6" t="str">
        <f ca="1">IFERROR(__xludf.DUMMYFUNCTION("CONCATENATE($B1107,(VLOOKUP($C1107,CATALOGOS!$F$2:$H$6,3,FALSE)),(VLOOKUP($V1107,CATALOGOS!$J$2:$K$18,2,FALSE)),""-"",TO_TEXT($A1107))"),"P14CA-1106")</f>
        <v>P14CA-1106</v>
      </c>
      <c r="I1107" s="128"/>
      <c r="J1107" s="128"/>
      <c r="K1107" s="129"/>
      <c r="L1107" s="129"/>
      <c r="M1107" s="129"/>
      <c r="N1107" s="129"/>
      <c r="O1107" s="129"/>
      <c r="P1107" s="129"/>
      <c r="Q1107" s="128" t="s">
        <v>5477</v>
      </c>
      <c r="R1107" s="125" t="s">
        <v>7205</v>
      </c>
      <c r="S1107" s="125" t="s">
        <v>90</v>
      </c>
      <c r="T1107" s="135" t="s">
        <v>7212</v>
      </c>
      <c r="U1107" s="125" t="s">
        <v>38</v>
      </c>
      <c r="V1107" s="11" t="s">
        <v>4416</v>
      </c>
      <c r="W1107" s="125" t="s">
        <v>5310</v>
      </c>
      <c r="X1107" s="133"/>
      <c r="Y1107" s="132"/>
    </row>
    <row r="1108" spans="1:31" ht="15.75" customHeight="1">
      <c r="A1108" s="94">
        <v>1107</v>
      </c>
      <c r="B1108" s="10" t="s">
        <v>27</v>
      </c>
      <c r="C1108" s="10" t="s">
        <v>868</v>
      </c>
      <c r="D1108" s="125"/>
      <c r="E1108" s="126" t="s">
        <v>184</v>
      </c>
      <c r="F1108" s="128" t="s">
        <v>3842</v>
      </c>
      <c r="G1108" s="14" t="str">
        <f ca="1">IFERROR(__xludf.DUMMYFUNCTION("CONCATENATE(B1108,(VLOOKUP(C1108,CATALOGOS!$F$2:$H$6,3,FALSE)),(VLOOKUP(V1108,CATALOGOS!$J$2:$K$18,2,FALSE)),""-"",TO_TEXT(A1108))"),"P03CV-1107")</f>
        <v>P03CV-1107</v>
      </c>
      <c r="H1108" s="6" t="str">
        <f ca="1">IFERROR(__xludf.DUMMYFUNCTION("CONCATENATE($B1108,(VLOOKUP($C1108,CATALOGOS!$F$2:$H$6,3,FALSE)),(VLOOKUP($V1108,CATALOGOS!$J$2:$K$18,2,FALSE)),""-"",TO_TEXT($A1108))"),"P03CV-1107")</f>
        <v>P03CV-1107</v>
      </c>
      <c r="I1108" s="128"/>
      <c r="J1108" s="128"/>
      <c r="K1108" s="129"/>
      <c r="L1108" s="129"/>
      <c r="M1108" s="129"/>
      <c r="N1108" s="129"/>
      <c r="O1108" s="129"/>
      <c r="P1108" s="129"/>
      <c r="Q1108" s="128" t="s">
        <v>7088</v>
      </c>
      <c r="R1108" s="125" t="s">
        <v>7123</v>
      </c>
      <c r="S1108" s="125" t="s">
        <v>90</v>
      </c>
      <c r="T1108" s="135" t="s">
        <v>7213</v>
      </c>
      <c r="U1108" s="125" t="s">
        <v>38</v>
      </c>
      <c r="V1108" s="11" t="s">
        <v>875</v>
      </c>
      <c r="W1108" s="131" t="s">
        <v>4629</v>
      </c>
      <c r="X1108" s="133"/>
      <c r="Y1108" s="132"/>
    </row>
    <row r="1109" spans="1:31" ht="15.75" customHeight="1">
      <c r="A1109" s="94">
        <v>1108</v>
      </c>
      <c r="B1109" s="10" t="s">
        <v>1469</v>
      </c>
      <c r="C1109" s="10" t="s">
        <v>1470</v>
      </c>
      <c r="D1109" s="125"/>
      <c r="E1109" s="126" t="s">
        <v>278</v>
      </c>
      <c r="F1109" s="128" t="s">
        <v>278</v>
      </c>
      <c r="G1109" s="14" t="str">
        <f ca="1">IFERROR(__xludf.DUMMYFUNCTION("CONCATENATE(B1109,(VLOOKUP(C1109,CATALOGOS!$F$2:$H$6,3,FALSE)),(VLOOKUP(V1109,CATALOGOS!$J$2:$K$18,2,FALSE)),""-"",TO_TEXT(A1109))"),"P12PL-1108")</f>
        <v>P12PL-1108</v>
      </c>
      <c r="H1109" s="6" t="str">
        <f ca="1">IFERROR(__xludf.DUMMYFUNCTION("CONCATENATE($B1109,(VLOOKUP($C1109,CATALOGOS!$F$2:$H$6,3,FALSE)),(VLOOKUP($V1109,CATALOGOS!$J$2:$K$18,2,FALSE)),""-"",TO_TEXT($A1109))"),"P12PL-1108")</f>
        <v>P12PL-1108</v>
      </c>
      <c r="I1109" s="128"/>
      <c r="J1109" s="128"/>
      <c r="K1109" s="129"/>
      <c r="L1109" s="129"/>
      <c r="M1109" s="129"/>
      <c r="N1109" s="129"/>
      <c r="O1109" s="129"/>
      <c r="P1109" s="129"/>
      <c r="Q1109" s="128" t="s">
        <v>90</v>
      </c>
      <c r="R1109" s="125" t="s">
        <v>90</v>
      </c>
      <c r="S1109" s="125" t="s">
        <v>90</v>
      </c>
      <c r="T1109" s="135" t="s">
        <v>7214</v>
      </c>
      <c r="U1109" s="125" t="s">
        <v>38</v>
      </c>
      <c r="V1109" s="11" t="s">
        <v>3091</v>
      </c>
      <c r="W1109" s="125" t="s">
        <v>3151</v>
      </c>
      <c r="X1109" s="133"/>
      <c r="Y1109" s="132"/>
    </row>
    <row r="1110" spans="1:31" ht="15.75" customHeight="1">
      <c r="A1110" s="94">
        <v>1109</v>
      </c>
      <c r="B1110" s="10" t="s">
        <v>27</v>
      </c>
      <c r="C1110" s="151" t="s">
        <v>28</v>
      </c>
      <c r="D1110" s="125"/>
      <c r="E1110" s="126" t="s">
        <v>7215</v>
      </c>
      <c r="F1110" s="128" t="s">
        <v>7216</v>
      </c>
      <c r="G1110" s="14" t="str">
        <f ca="1">IFERROR(__xludf.DUMMYFUNCTION("CONCATENATE(B1110,(VLOOKUP(C1110,CATALOGOS!$F$2:$H$6,3,FALSE)),(VLOOKUP(V1110,CATALOGOS!$J$2:$K$18,2,FALSE)),""-"",TO_TEXT(A1110))"),"P05RM-1109")</f>
        <v>P05RM-1109</v>
      </c>
      <c r="H1110" s="6" t="str">
        <f ca="1">IFERROR(__xludf.DUMMYFUNCTION("CONCATENATE($B1110,(VLOOKUP($C1110,CATALOGOS!$F$2:$H$6,3,FALSE)),(VLOOKUP($V1110,CATALOGOS!$J$2:$K$18,2,FALSE)),""-"",TO_TEXT($A1110))"),"P05RM-1109")</f>
        <v>P05RM-1109</v>
      </c>
      <c r="I1110" s="128"/>
      <c r="J1110" s="128"/>
      <c r="K1110" s="129"/>
      <c r="L1110" s="129"/>
      <c r="M1110" s="129"/>
      <c r="N1110" s="129"/>
      <c r="O1110" s="129"/>
      <c r="P1110" s="129"/>
      <c r="Q1110" s="128" t="s">
        <v>7217</v>
      </c>
      <c r="R1110" s="125" t="s">
        <v>7218</v>
      </c>
      <c r="S1110" s="125">
        <v>748107448</v>
      </c>
      <c r="T1110" s="135" t="s">
        <v>7219</v>
      </c>
      <c r="U1110" s="125" t="s">
        <v>100</v>
      </c>
      <c r="V1110" s="11" t="s">
        <v>147</v>
      </c>
      <c r="W1110" s="125" t="s">
        <v>385</v>
      </c>
      <c r="X1110" s="39" t="s">
        <v>4574</v>
      </c>
      <c r="Y1110" s="132"/>
    </row>
    <row r="1111" spans="1:31" ht="15.75" customHeight="1">
      <c r="A1111" s="94">
        <v>1110</v>
      </c>
      <c r="B1111" s="10" t="s">
        <v>27</v>
      </c>
      <c r="C1111" s="151" t="s">
        <v>28</v>
      </c>
      <c r="D1111" s="125"/>
      <c r="E1111" s="126" t="s">
        <v>7215</v>
      </c>
      <c r="F1111" s="128" t="s">
        <v>7216</v>
      </c>
      <c r="G1111" s="14" t="str">
        <f ca="1">IFERROR(__xludf.DUMMYFUNCTION("CONCATENATE(B1111,(VLOOKUP(C1111,CATALOGOS!$F$2:$H$6,3,FALSE)),(VLOOKUP(V1111,CATALOGOS!$J$2:$K$18,2,FALSE)),""-"",TO_TEXT(A1111))"),"P05RM-1110")</f>
        <v>P05RM-1110</v>
      </c>
      <c r="H1111" s="6" t="str">
        <f ca="1">IFERROR(__xludf.DUMMYFUNCTION("CONCATENATE($B1111,(VLOOKUP($C1111,CATALOGOS!$F$2:$H$6,3,FALSE)),(VLOOKUP($V1111,CATALOGOS!$J$2:$K$18,2,FALSE)),""-"",TO_TEXT($A1111))"),"P05RM-1110")</f>
        <v>P05RM-1110</v>
      </c>
      <c r="I1111" s="128"/>
      <c r="J1111" s="128"/>
      <c r="K1111" s="129"/>
      <c r="L1111" s="129"/>
      <c r="M1111" s="129"/>
      <c r="N1111" s="129"/>
      <c r="O1111" s="129"/>
      <c r="P1111" s="129"/>
      <c r="Q1111" s="128" t="s">
        <v>7217</v>
      </c>
      <c r="R1111" s="125" t="s">
        <v>7220</v>
      </c>
      <c r="S1111" s="125">
        <v>733247505</v>
      </c>
      <c r="T1111" s="135" t="s">
        <v>7221</v>
      </c>
      <c r="U1111" s="125" t="s">
        <v>100</v>
      </c>
      <c r="V1111" s="11" t="s">
        <v>147</v>
      </c>
      <c r="W1111" s="125" t="s">
        <v>385</v>
      </c>
      <c r="X1111" s="131" t="s">
        <v>4574</v>
      </c>
      <c r="Y1111" s="132"/>
    </row>
    <row r="1112" spans="1:31" ht="15.75" customHeight="1">
      <c r="A1112" s="94">
        <v>1111</v>
      </c>
      <c r="B1112" s="10" t="s">
        <v>27</v>
      </c>
      <c r="C1112" s="10" t="s">
        <v>28</v>
      </c>
      <c r="D1112" s="125"/>
      <c r="E1112" s="126" t="s">
        <v>7021</v>
      </c>
      <c r="F1112" s="128" t="s">
        <v>7022</v>
      </c>
      <c r="G1112" s="14" t="str">
        <f ca="1">IFERROR(__xludf.DUMMYFUNCTION("CONCATENATE(B1112,(VLOOKUP(C1112,CATALOGOS!$F$2:$H$6,3,FALSE)),(VLOOKUP(V1112,CATALOGOS!$J$2:$K$18,2,FALSE)),""-"",TO_TEXT(A1112))"),"P05RM-1111")</f>
        <v>P05RM-1111</v>
      </c>
      <c r="H1112" s="6" t="str">
        <f ca="1">IFERROR(__xludf.DUMMYFUNCTION("CONCATENATE($B1112,(VLOOKUP($C1112,CATALOGOS!$F$2:$H$6,3,FALSE)),(VLOOKUP($V1112,CATALOGOS!$J$2:$K$18,2,FALSE)),""-"",TO_TEXT($A1112))"),"P05RM-1111")</f>
        <v>P05RM-1111</v>
      </c>
      <c r="I1112" s="128"/>
      <c r="J1112" s="128"/>
      <c r="K1112" s="129"/>
      <c r="L1112" s="129"/>
      <c r="M1112" s="129"/>
      <c r="N1112" s="129"/>
      <c r="O1112" s="129"/>
      <c r="P1112" s="129"/>
      <c r="Q1112" s="129"/>
      <c r="R1112" s="132"/>
      <c r="S1112" s="132"/>
      <c r="T1112" s="135" t="s">
        <v>7222</v>
      </c>
      <c r="U1112" s="125" t="s">
        <v>517</v>
      </c>
      <c r="V1112" s="11" t="s">
        <v>147</v>
      </c>
      <c r="W1112" s="125" t="s">
        <v>385</v>
      </c>
      <c r="X1112" s="133"/>
      <c r="Y1112" s="132"/>
    </row>
    <row r="1113" spans="1:31" ht="15.75" customHeight="1">
      <c r="A1113" s="94">
        <v>1112</v>
      </c>
      <c r="B1113" s="10" t="s">
        <v>27</v>
      </c>
      <c r="C1113" s="10" t="s">
        <v>28</v>
      </c>
      <c r="D1113" s="125"/>
      <c r="E1113" s="126" t="s">
        <v>7223</v>
      </c>
      <c r="F1113" s="128" t="s">
        <v>7224</v>
      </c>
      <c r="G1113" s="14" t="str">
        <f ca="1">IFERROR(__xludf.DUMMYFUNCTION("CONCATENATE(B1113,(VLOOKUP(C1113,CATALOGOS!$F$2:$H$6,3,FALSE)),(VLOOKUP(V1113,CATALOGOS!$J$2:$K$18,2,FALSE)),""-"",TO_TEXT(A1113))"),"P05DA-1112")</f>
        <v>P05DA-1112</v>
      </c>
      <c r="H1113" s="6" t="str">
        <f ca="1">IFERROR(__xludf.DUMMYFUNCTION("CONCATENATE($B1113,(VLOOKUP($C1113,CATALOGOS!$F$2:$H$6,3,FALSE)),(VLOOKUP($V1113,CATALOGOS!$J$2:$K$18,2,FALSE)),""-"",TO_TEXT($A1113))"),"P05DA-1112")</f>
        <v>P05DA-1112</v>
      </c>
      <c r="I1113" s="128"/>
      <c r="J1113" s="128"/>
      <c r="K1113" s="129"/>
      <c r="L1113" s="129"/>
      <c r="M1113" s="129"/>
      <c r="N1113" s="129"/>
      <c r="O1113" s="129"/>
      <c r="P1113" s="129"/>
      <c r="Q1113" s="128" t="s">
        <v>205</v>
      </c>
      <c r="R1113" s="125" t="s">
        <v>7225</v>
      </c>
      <c r="S1113" s="125" t="s">
        <v>7226</v>
      </c>
      <c r="T1113" s="135" t="s">
        <v>7227</v>
      </c>
      <c r="U1113" s="125" t="s">
        <v>38</v>
      </c>
      <c r="V1113" s="11" t="s">
        <v>28</v>
      </c>
      <c r="W1113" s="125" t="s">
        <v>40</v>
      </c>
      <c r="X1113" s="133"/>
      <c r="Y1113" s="132"/>
    </row>
    <row r="1114" spans="1:31" ht="15.75" customHeight="1">
      <c r="A1114" s="94">
        <v>1113</v>
      </c>
      <c r="B1114" s="10" t="s">
        <v>474</v>
      </c>
      <c r="C1114" s="151" t="s">
        <v>4411</v>
      </c>
      <c r="D1114" s="125"/>
      <c r="E1114" s="126" t="s">
        <v>43</v>
      </c>
      <c r="F1114" s="128" t="s">
        <v>43</v>
      </c>
      <c r="G1114" s="14" t="str">
        <f ca="1">IFERROR(__xludf.DUMMYFUNCTION("CONCATENATE(B1114,(VLOOKUP(C1114,CATALOGOS!$F$2:$H$6,3,FALSE)),(VLOOKUP(V1114,CATALOGOS!$J$2:$K$18,2,FALSE)),""-"",TO_TEXT(A1114))"),"P34NV-1113")</f>
        <v>P34NV-1113</v>
      </c>
      <c r="H1114" s="6" t="str">
        <f ca="1">IFERROR(__xludf.DUMMYFUNCTION("CONCATENATE($B1114,(VLOOKUP($C1114,CATALOGOS!$F$2:$H$6,3,FALSE)),(VLOOKUP($V1114,CATALOGOS!$J$2:$K$18,2,FALSE)),""-"",TO_TEXT($A1114))"),"P34NV-1113")</f>
        <v>P34NV-1113</v>
      </c>
      <c r="I1114" s="128"/>
      <c r="J1114" s="128"/>
      <c r="K1114" s="129"/>
      <c r="L1114" s="129"/>
      <c r="M1114" s="129"/>
      <c r="N1114" s="129"/>
      <c r="O1114" s="129"/>
      <c r="P1114" s="129"/>
      <c r="Q1114" s="128" t="s">
        <v>2586</v>
      </c>
      <c r="R1114" s="125" t="s">
        <v>35</v>
      </c>
      <c r="S1114" s="125" t="s">
        <v>36</v>
      </c>
      <c r="T1114" s="135" t="s">
        <v>7228</v>
      </c>
      <c r="U1114" s="125" t="s">
        <v>38</v>
      </c>
      <c r="V1114" s="11" t="s">
        <v>5695</v>
      </c>
      <c r="W1114" s="20" t="s">
        <v>5696</v>
      </c>
      <c r="X1114" s="133"/>
      <c r="Y1114" s="132"/>
    </row>
    <row r="1115" spans="1:31" ht="15.75" customHeight="1">
      <c r="A1115" s="94">
        <v>1114</v>
      </c>
      <c r="B1115" s="10" t="s">
        <v>474</v>
      </c>
      <c r="C1115" s="151" t="s">
        <v>4411</v>
      </c>
      <c r="D1115" s="125"/>
      <c r="E1115" s="126" t="s">
        <v>43</v>
      </c>
      <c r="F1115" s="128" t="s">
        <v>43</v>
      </c>
      <c r="G1115" s="14" t="str">
        <f ca="1">IFERROR(__xludf.DUMMYFUNCTION("CONCATENATE(B1115,(VLOOKUP(C1115,CATALOGOS!$F$2:$H$6,3,FALSE)),(VLOOKUP(V1115,CATALOGOS!$J$2:$K$18,2,FALSE)),""-"",TO_TEXT(A1115))"),"P34CA-1114")</f>
        <v>P34CA-1114</v>
      </c>
      <c r="H1115" s="6" t="str">
        <f ca="1">IFERROR(__xludf.DUMMYFUNCTION("CONCATENATE($B1115,(VLOOKUP($C1115,CATALOGOS!$F$2:$H$6,3,FALSE)),(VLOOKUP($V1115,CATALOGOS!$J$2:$K$18,2,FALSE)),""-"",TO_TEXT($A1115))"),"P34CA-1114")</f>
        <v>P34CA-1114</v>
      </c>
      <c r="I1115" s="128"/>
      <c r="J1115" s="128"/>
      <c r="K1115" s="129"/>
      <c r="L1115" s="129"/>
      <c r="M1115" s="129"/>
      <c r="N1115" s="129"/>
      <c r="O1115" s="129"/>
      <c r="P1115" s="129"/>
      <c r="Q1115" s="128" t="s">
        <v>7229</v>
      </c>
      <c r="R1115" s="125" t="s">
        <v>7230</v>
      </c>
      <c r="S1115" s="125" t="s">
        <v>36</v>
      </c>
      <c r="T1115" s="135" t="s">
        <v>7231</v>
      </c>
      <c r="U1115" s="18" t="s">
        <v>38</v>
      </c>
      <c r="V1115" s="11" t="s">
        <v>4416</v>
      </c>
      <c r="W1115" s="131" t="s">
        <v>5584</v>
      </c>
      <c r="X1115" s="133"/>
      <c r="Y1115" s="132"/>
    </row>
    <row r="1116" spans="1:31" ht="15.75" customHeight="1">
      <c r="A1116" s="94">
        <v>1115</v>
      </c>
      <c r="B1116" s="10" t="s">
        <v>27</v>
      </c>
      <c r="C1116" s="151" t="s">
        <v>868</v>
      </c>
      <c r="D1116" s="125"/>
      <c r="E1116" s="126" t="s">
        <v>43</v>
      </c>
      <c r="F1116" s="128" t="s">
        <v>43</v>
      </c>
      <c r="G1116" s="14" t="str">
        <f ca="1">IFERROR(__xludf.DUMMYFUNCTION("CONCATENATE(B1116,(VLOOKUP(C1116,CATALOGOS!$F$2:$H$6,3,FALSE)),(VLOOKUP(V1116,CATALOGOS!$J$2:$K$18,2,FALSE)),""-"",TO_TEXT(A1116))"),"P03CV-1115")</f>
        <v>P03CV-1115</v>
      </c>
      <c r="H1116" s="6" t="str">
        <f ca="1">IFERROR(__xludf.DUMMYFUNCTION("CONCATENATE($B1116,(VLOOKUP($C1116,CATALOGOS!$F$2:$H$6,3,FALSE)),(VLOOKUP($V1116,CATALOGOS!$J$2:$K$18,2,FALSE)),""-"",TO_TEXT($A1116))"),"P03CV-1115")</f>
        <v>P03CV-1115</v>
      </c>
      <c r="I1116" s="128"/>
      <c r="J1116" s="128"/>
      <c r="K1116" s="129"/>
      <c r="L1116" s="129"/>
      <c r="M1116" s="129"/>
      <c r="N1116" s="129"/>
      <c r="O1116" s="129"/>
      <c r="P1116" s="129"/>
      <c r="Q1116" s="128" t="s">
        <v>2586</v>
      </c>
      <c r="R1116" s="125" t="s">
        <v>35</v>
      </c>
      <c r="S1116" s="125" t="s">
        <v>36</v>
      </c>
      <c r="T1116" s="135" t="s">
        <v>7232</v>
      </c>
      <c r="U1116" s="125" t="s">
        <v>38</v>
      </c>
      <c r="V1116" s="11" t="s">
        <v>875</v>
      </c>
      <c r="W1116" s="125" t="s">
        <v>4573</v>
      </c>
      <c r="X1116" s="133"/>
      <c r="Y1116" s="132"/>
    </row>
    <row r="1117" spans="1:31" ht="15.75" customHeight="1">
      <c r="A1117" s="94">
        <v>1116</v>
      </c>
      <c r="B1117" s="12"/>
      <c r="C1117" s="12"/>
      <c r="D1117" s="125"/>
      <c r="E1117" s="126"/>
      <c r="F1117" s="128"/>
      <c r="G1117" s="14" t="str">
        <f ca="1">IFERROR(__xludf.DUMMYFUNCTION("CONCATENATE(B1117,(VLOOKUP(C1117,CATALOGOS!$F$2:$H$6,3,FALSE)),(VLOOKUP(V1117,CATALOGOS!$J$2:$K$18,2,FALSE)),""-"",TO_TEXT(A1117))"),"#N/A")</f>
        <v>#N/A</v>
      </c>
      <c r="H1117" s="6" t="str">
        <f ca="1">IFERROR(__xludf.DUMMYFUNCTION("CONCATENATE($B1117,(VLOOKUP($C1117,CATALOGOS!$F$2:$H$6,3,FALSE)),(VLOOKUP($V1117,CATALOGOS!$J$2:$K$18,2,FALSE)),""-"",TO_TEXT($A1117))"),"#N/A")</f>
        <v>#N/A</v>
      </c>
      <c r="I1117" s="128"/>
      <c r="J1117" s="128"/>
      <c r="K1117" s="129"/>
      <c r="L1117" s="129"/>
      <c r="M1117" s="129"/>
      <c r="N1117" s="129"/>
      <c r="O1117" s="129"/>
      <c r="P1117" s="129"/>
      <c r="Q1117" s="129"/>
      <c r="R1117" s="132"/>
      <c r="S1117" s="132"/>
      <c r="T1117" s="135"/>
      <c r="U1117" s="132"/>
      <c r="V1117" s="129"/>
      <c r="W1117" s="132"/>
      <c r="X1117" s="133"/>
      <c r="Y1117" s="132"/>
    </row>
    <row r="1118" spans="1:31" ht="15.75" customHeight="1">
      <c r="A1118" s="94">
        <v>1117</v>
      </c>
      <c r="B1118" s="12"/>
      <c r="C1118" s="12"/>
      <c r="D1118" s="125"/>
      <c r="E1118" s="126"/>
      <c r="F1118" s="128"/>
      <c r="G1118" s="14" t="str">
        <f ca="1">IFERROR(__xludf.DUMMYFUNCTION("CONCATENATE(B1118,(VLOOKUP(C1118,CATALOGOS!$F$2:$H$6,3,FALSE)),(VLOOKUP(V1118,CATALOGOS!$J$2:$K$18,2,FALSE)),""-"",TO_TEXT(A1118))"),"#N/A")</f>
        <v>#N/A</v>
      </c>
      <c r="H1118" s="6" t="str">
        <f ca="1">IFERROR(__xludf.DUMMYFUNCTION("CONCATENATE($B1118,(VLOOKUP($C1118,CATALOGOS!$F$2:$H$6,3,FALSE)),(VLOOKUP($V1118,CATALOGOS!$J$2:$K$18,2,FALSE)),""-"",TO_TEXT($A1118))"),"#N/A")</f>
        <v>#N/A</v>
      </c>
      <c r="I1118" s="128"/>
      <c r="J1118" s="128"/>
      <c r="K1118" s="129"/>
      <c r="L1118" s="129"/>
      <c r="M1118" s="129"/>
      <c r="N1118" s="129"/>
      <c r="O1118" s="129"/>
      <c r="P1118" s="129"/>
      <c r="Q1118" s="129"/>
      <c r="R1118" s="132"/>
      <c r="S1118" s="132"/>
      <c r="T1118" s="135"/>
      <c r="U1118" s="132"/>
      <c r="V1118" s="129"/>
      <c r="W1118" s="132"/>
      <c r="X1118" s="133"/>
      <c r="Y1118" s="132"/>
    </row>
    <row r="1119" spans="1:31" ht="15.75" customHeight="1">
      <c r="A1119" s="94">
        <v>1118</v>
      </c>
      <c r="B1119" s="12"/>
      <c r="C1119" s="12"/>
      <c r="D1119" s="125"/>
      <c r="E1119" s="126"/>
      <c r="F1119" s="128"/>
      <c r="G1119" s="14" t="str">
        <f ca="1">IFERROR(__xludf.DUMMYFUNCTION("CONCATENATE(B1119,(VLOOKUP(C1119,CATALOGOS!$F$2:$H$6,3,FALSE)),(VLOOKUP(V1119,CATALOGOS!$J$2:$K$18,2,FALSE)),""-"",TO_TEXT(A1119))"),"#N/A")</f>
        <v>#N/A</v>
      </c>
      <c r="H1119" s="6" t="str">
        <f ca="1">IFERROR(__xludf.DUMMYFUNCTION("CONCATENATE($B1119,(VLOOKUP($C1119,CATALOGOS!$F$2:$H$6,3,FALSE)),(VLOOKUP($V1119,CATALOGOS!$J$2:$K$18,2,FALSE)),""-"",TO_TEXT($A1119))"),"#N/A")</f>
        <v>#N/A</v>
      </c>
      <c r="I1119" s="128"/>
      <c r="J1119" s="128"/>
      <c r="K1119" s="129"/>
      <c r="L1119" s="129"/>
      <c r="M1119" s="129"/>
      <c r="N1119" s="129"/>
      <c r="O1119" s="129"/>
      <c r="P1119" s="129"/>
      <c r="Q1119" s="129"/>
      <c r="R1119" s="132"/>
      <c r="S1119" s="132"/>
      <c r="T1119" s="135"/>
      <c r="U1119" s="132"/>
      <c r="V1119" s="129"/>
      <c r="W1119" s="132"/>
      <c r="X1119" s="133"/>
      <c r="Y1119" s="132"/>
    </row>
    <row r="1120" spans="1:31" ht="15.75" customHeight="1">
      <c r="A1120" s="94">
        <v>1119</v>
      </c>
      <c r="B1120" s="12"/>
      <c r="C1120" s="12"/>
      <c r="D1120" s="125"/>
      <c r="E1120" s="126"/>
      <c r="F1120" s="128"/>
      <c r="G1120" s="14" t="str">
        <f ca="1">IFERROR(__xludf.DUMMYFUNCTION("CONCATENATE(B1120,(VLOOKUP(C1120,CATALOGOS!$F$2:$H$6,3,FALSE)),(VLOOKUP(V1120,CATALOGOS!$J$2:$K$18,2,FALSE)),""-"",TO_TEXT(A1120))"),"#N/A")</f>
        <v>#N/A</v>
      </c>
      <c r="H1120" s="6" t="str">
        <f ca="1">IFERROR(__xludf.DUMMYFUNCTION("CONCATENATE($B1120,(VLOOKUP($C1120,CATALOGOS!$F$2:$H$6,3,FALSE)),(VLOOKUP($V1120,CATALOGOS!$J$2:$K$18,2,FALSE)),""-"",TO_TEXT($A1120))"),"#N/A")</f>
        <v>#N/A</v>
      </c>
      <c r="I1120" s="128"/>
      <c r="J1120" s="128"/>
      <c r="K1120" s="129"/>
      <c r="L1120" s="129"/>
      <c r="M1120" s="129"/>
      <c r="N1120" s="129"/>
      <c r="O1120" s="129"/>
      <c r="P1120" s="129"/>
      <c r="Q1120" s="129"/>
      <c r="R1120" s="132"/>
      <c r="S1120" s="132"/>
      <c r="T1120" s="135"/>
      <c r="U1120" s="132"/>
      <c r="V1120" s="129"/>
      <c r="W1120" s="132"/>
      <c r="X1120" s="133"/>
      <c r="Y1120" s="132"/>
    </row>
    <row r="1121" spans="1:25" ht="15.75" customHeight="1">
      <c r="A1121" s="94">
        <v>1120</v>
      </c>
      <c r="B1121" s="12"/>
      <c r="C1121" s="12"/>
      <c r="D1121" s="125"/>
      <c r="E1121" s="126"/>
      <c r="F1121" s="128"/>
      <c r="G1121" s="14" t="str">
        <f ca="1">IFERROR(__xludf.DUMMYFUNCTION("CONCATENATE(B1121,(VLOOKUP(C1121,CATALOGOS!$F$2:$H$6,3,FALSE)),(VLOOKUP(V1121,CATALOGOS!$J$2:$K$18,2,FALSE)),""-"",TO_TEXT(A1121))"),"#N/A")</f>
        <v>#N/A</v>
      </c>
      <c r="H1121" s="6" t="str">
        <f ca="1">IFERROR(__xludf.DUMMYFUNCTION("CONCATENATE($B1121,(VLOOKUP($C1121,CATALOGOS!$F$2:$H$6,3,FALSE)),(VLOOKUP($V1121,CATALOGOS!$J$2:$K$18,2,FALSE)),""-"",TO_TEXT($A1121))"),"#N/A")</f>
        <v>#N/A</v>
      </c>
      <c r="I1121" s="128"/>
      <c r="J1121" s="128"/>
      <c r="K1121" s="129"/>
      <c r="L1121" s="129"/>
      <c r="M1121" s="129"/>
      <c r="N1121" s="129"/>
      <c r="O1121" s="129"/>
      <c r="P1121" s="129"/>
      <c r="Q1121" s="129"/>
      <c r="R1121" s="132"/>
      <c r="S1121" s="132"/>
      <c r="T1121" s="135"/>
      <c r="U1121" s="132"/>
      <c r="V1121" s="129"/>
      <c r="W1121" s="132"/>
      <c r="X1121" s="133"/>
      <c r="Y1121" s="132"/>
    </row>
    <row r="1122" spans="1:25" ht="15.75" customHeight="1">
      <c r="A1122" s="94">
        <v>1121</v>
      </c>
      <c r="B1122" s="12"/>
      <c r="C1122" s="12"/>
      <c r="D1122" s="125"/>
      <c r="E1122" s="126"/>
      <c r="F1122" s="128"/>
      <c r="G1122" s="14" t="str">
        <f ca="1">IFERROR(__xludf.DUMMYFUNCTION("CONCATENATE(B1122,(VLOOKUP(C1122,CATALOGOS!$F$2:$H$6,3,FALSE)),(VLOOKUP(V1122,CATALOGOS!$J$2:$K$18,2,FALSE)),""-"",TO_TEXT(A1122))"),"#N/A")</f>
        <v>#N/A</v>
      </c>
      <c r="H1122" s="6" t="str">
        <f ca="1">IFERROR(__xludf.DUMMYFUNCTION("CONCATENATE($B1122,(VLOOKUP($C1122,CATALOGOS!$F$2:$H$6,3,FALSE)),(VLOOKUP($V1122,CATALOGOS!$J$2:$K$18,2,FALSE)),""-"",TO_TEXT($A1122))"),"#N/A")</f>
        <v>#N/A</v>
      </c>
      <c r="I1122" s="128"/>
      <c r="J1122" s="128"/>
      <c r="K1122" s="129"/>
      <c r="L1122" s="129"/>
      <c r="M1122" s="129"/>
      <c r="N1122" s="129"/>
      <c r="O1122" s="129"/>
      <c r="P1122" s="129"/>
      <c r="Q1122" s="129"/>
      <c r="R1122" s="132"/>
      <c r="S1122" s="132"/>
      <c r="T1122" s="135"/>
      <c r="U1122" s="132"/>
      <c r="V1122" s="129"/>
      <c r="W1122" s="132"/>
      <c r="X1122" s="133"/>
      <c r="Y1122" s="132"/>
    </row>
    <row r="1123" spans="1:25" ht="15.75" customHeight="1">
      <c r="A1123" s="125"/>
      <c r="B1123" s="125"/>
      <c r="C1123" s="125"/>
      <c r="D1123" s="125"/>
      <c r="E1123" s="126"/>
      <c r="F1123" s="128"/>
      <c r="G1123" s="128"/>
      <c r="H1123" s="128"/>
      <c r="I1123" s="128"/>
      <c r="J1123" s="128"/>
      <c r="K1123" s="129"/>
      <c r="L1123" s="129"/>
      <c r="M1123" s="129"/>
      <c r="N1123" s="129"/>
      <c r="O1123" s="129"/>
      <c r="P1123" s="129"/>
      <c r="Q1123" s="129"/>
      <c r="R1123" s="132"/>
      <c r="S1123" s="132"/>
      <c r="T1123" s="135"/>
      <c r="U1123" s="132"/>
      <c r="V1123" s="129"/>
      <c r="W1123" s="20"/>
      <c r="X1123" s="133"/>
      <c r="Y1123" s="132"/>
    </row>
    <row r="1124" spans="1:25" ht="15.75" customHeight="1">
      <c r="A1124" s="125"/>
      <c r="B1124" s="125"/>
      <c r="C1124" s="125"/>
      <c r="D1124" s="125"/>
      <c r="E1124" s="126"/>
      <c r="F1124" s="128"/>
      <c r="G1124" s="128"/>
      <c r="H1124" s="128"/>
      <c r="I1124" s="128"/>
      <c r="J1124" s="128"/>
      <c r="K1124" s="129"/>
      <c r="L1124" s="129"/>
      <c r="M1124" s="129"/>
      <c r="N1124" s="129"/>
      <c r="O1124" s="129"/>
      <c r="P1124" s="129"/>
      <c r="Q1124" s="129"/>
      <c r="R1124" s="132"/>
      <c r="S1124" s="132"/>
      <c r="T1124" s="135"/>
      <c r="U1124" s="132"/>
      <c r="V1124" s="129"/>
      <c r="W1124" s="132"/>
      <c r="X1124" s="133"/>
      <c r="Y1124" s="132"/>
    </row>
    <row r="1125" spans="1:25" ht="15.75" customHeight="1">
      <c r="A1125" s="125"/>
      <c r="B1125" s="125"/>
      <c r="C1125" s="125"/>
      <c r="D1125" s="125"/>
      <c r="E1125" s="126"/>
      <c r="F1125" s="128"/>
      <c r="G1125" s="128"/>
      <c r="H1125" s="128"/>
      <c r="I1125" s="128"/>
      <c r="J1125" s="128"/>
      <c r="K1125" s="129"/>
      <c r="L1125" s="129"/>
      <c r="M1125" s="129"/>
      <c r="N1125" s="129"/>
      <c r="O1125" s="129"/>
      <c r="P1125" s="129"/>
      <c r="Q1125" s="129"/>
      <c r="R1125" s="132"/>
      <c r="S1125" s="132"/>
      <c r="T1125" s="135"/>
      <c r="U1125" s="132"/>
      <c r="V1125" s="129"/>
      <c r="W1125" s="132"/>
      <c r="X1125" s="133"/>
      <c r="Y1125" s="132"/>
    </row>
    <row r="1126" spans="1:25" ht="15.75" customHeight="1">
      <c r="A1126" s="125"/>
      <c r="B1126" s="125"/>
      <c r="C1126" s="125"/>
      <c r="D1126" s="125"/>
      <c r="E1126" s="126"/>
      <c r="F1126" s="128"/>
      <c r="G1126" s="128"/>
      <c r="H1126" s="128"/>
      <c r="I1126" s="128"/>
      <c r="J1126" s="128"/>
      <c r="K1126" s="129"/>
      <c r="L1126" s="129"/>
      <c r="M1126" s="129"/>
      <c r="N1126" s="129"/>
      <c r="O1126" s="129"/>
      <c r="P1126" s="129"/>
      <c r="Q1126" s="129"/>
      <c r="R1126" s="132"/>
      <c r="S1126" s="132"/>
      <c r="T1126" s="135"/>
      <c r="U1126" s="132"/>
      <c r="V1126" s="129"/>
      <c r="W1126" s="132"/>
      <c r="X1126" s="133"/>
      <c r="Y1126" s="132"/>
    </row>
    <row r="1127" spans="1:25" ht="15.75" customHeight="1">
      <c r="A1127" s="125"/>
      <c r="B1127" s="125"/>
      <c r="C1127" s="125"/>
      <c r="D1127" s="125"/>
      <c r="E1127" s="126"/>
      <c r="F1127" s="128"/>
      <c r="G1127" s="128"/>
      <c r="H1127" s="128"/>
      <c r="I1127" s="128"/>
      <c r="J1127" s="128"/>
      <c r="K1127" s="129"/>
      <c r="L1127" s="129"/>
      <c r="M1127" s="129"/>
      <c r="N1127" s="129"/>
      <c r="O1127" s="129"/>
      <c r="P1127" s="129"/>
      <c r="Q1127" s="129"/>
      <c r="R1127" s="132"/>
      <c r="S1127" s="132"/>
      <c r="T1127" s="135"/>
      <c r="U1127" s="132"/>
      <c r="V1127" s="129"/>
      <c r="W1127" s="132"/>
      <c r="X1127" s="133"/>
      <c r="Y1127" s="132"/>
    </row>
    <row r="1128" spans="1:25" ht="15.75" customHeight="1">
      <c r="A1128" s="125"/>
      <c r="B1128" s="125"/>
      <c r="C1128" s="125"/>
      <c r="D1128" s="125"/>
      <c r="E1128" s="126"/>
      <c r="F1128" s="128"/>
      <c r="G1128" s="128"/>
      <c r="H1128" s="128"/>
      <c r="I1128" s="128"/>
      <c r="J1128" s="128"/>
      <c r="K1128" s="129"/>
      <c r="L1128" s="129"/>
      <c r="M1128" s="129"/>
      <c r="N1128" s="129"/>
      <c r="O1128" s="129"/>
      <c r="P1128" s="129"/>
      <c r="Q1128" s="129"/>
      <c r="R1128" s="132"/>
      <c r="S1128" s="132"/>
      <c r="T1128" s="135"/>
      <c r="U1128" s="132"/>
      <c r="V1128" s="129"/>
      <c r="W1128" s="132"/>
      <c r="X1128" s="133"/>
      <c r="Y1128" s="132"/>
    </row>
    <row r="1129" spans="1:25" ht="15.75" customHeight="1">
      <c r="A1129" s="125"/>
      <c r="B1129" s="125"/>
      <c r="C1129" s="125"/>
      <c r="D1129" s="125"/>
      <c r="E1129" s="126"/>
      <c r="F1129" s="128"/>
      <c r="G1129" s="128"/>
      <c r="H1129" s="128"/>
      <c r="I1129" s="128"/>
      <c r="J1129" s="128"/>
      <c r="K1129" s="129"/>
      <c r="L1129" s="129"/>
      <c r="M1129" s="129"/>
      <c r="N1129" s="129"/>
      <c r="O1129" s="129"/>
      <c r="P1129" s="129"/>
      <c r="Q1129" s="129"/>
      <c r="R1129" s="132"/>
      <c r="S1129" s="132"/>
      <c r="T1129" s="135"/>
      <c r="U1129" s="132"/>
      <c r="V1129" s="129"/>
      <c r="W1129" s="132"/>
      <c r="X1129" s="133"/>
      <c r="Y1129" s="132"/>
    </row>
    <row r="1130" spans="1:25" ht="15.75" customHeight="1">
      <c r="A1130" s="125"/>
      <c r="B1130" s="125"/>
      <c r="C1130" s="125"/>
      <c r="D1130" s="125"/>
      <c r="E1130" s="126"/>
      <c r="F1130" s="128"/>
      <c r="G1130" s="128"/>
      <c r="H1130" s="128"/>
      <c r="I1130" s="128"/>
      <c r="J1130" s="128"/>
      <c r="K1130" s="129"/>
      <c r="L1130" s="129"/>
      <c r="M1130" s="129"/>
      <c r="N1130" s="129"/>
      <c r="O1130" s="129"/>
      <c r="P1130" s="129"/>
      <c r="Q1130" s="129"/>
      <c r="R1130" s="132"/>
      <c r="S1130" s="132"/>
      <c r="T1130" s="135"/>
      <c r="U1130" s="132"/>
      <c r="V1130" s="129"/>
      <c r="W1130" s="132"/>
      <c r="X1130" s="133"/>
      <c r="Y1130" s="132"/>
    </row>
    <row r="1131" spans="1:25" ht="15.75" customHeight="1">
      <c r="A1131" s="125"/>
      <c r="B1131" s="125"/>
      <c r="C1131" s="125"/>
      <c r="D1131" s="125"/>
      <c r="E1131" s="126"/>
      <c r="F1131" s="128"/>
      <c r="G1131" s="128"/>
      <c r="H1131" s="128"/>
      <c r="I1131" s="128"/>
      <c r="J1131" s="128"/>
      <c r="K1131" s="129"/>
      <c r="L1131" s="129"/>
      <c r="M1131" s="129"/>
      <c r="N1131" s="129"/>
      <c r="O1131" s="129"/>
      <c r="P1131" s="129"/>
      <c r="Q1131" s="129"/>
      <c r="R1131" s="132"/>
      <c r="S1131" s="132"/>
      <c r="T1131" s="135"/>
      <c r="U1131" s="132"/>
      <c r="V1131" s="129"/>
      <c r="W1131" s="132"/>
      <c r="X1131" s="133"/>
      <c r="Y1131" s="132"/>
    </row>
    <row r="1132" spans="1:25" ht="15.75" customHeight="1">
      <c r="A1132" s="125"/>
      <c r="B1132" s="125"/>
      <c r="C1132" s="125"/>
      <c r="D1132" s="125"/>
      <c r="E1132" s="126"/>
      <c r="F1132" s="128"/>
      <c r="G1132" s="128"/>
      <c r="H1132" s="128"/>
      <c r="I1132" s="128"/>
      <c r="J1132" s="128"/>
      <c r="K1132" s="129"/>
      <c r="L1132" s="129"/>
      <c r="M1132" s="129"/>
      <c r="N1132" s="129"/>
      <c r="O1132" s="129"/>
      <c r="P1132" s="129"/>
      <c r="Q1132" s="129"/>
      <c r="R1132" s="132"/>
      <c r="S1132" s="132"/>
      <c r="T1132" s="135"/>
      <c r="U1132" s="132"/>
      <c r="V1132" s="129"/>
      <c r="W1132" s="132"/>
      <c r="X1132" s="133"/>
      <c r="Y1132" s="132"/>
    </row>
    <row r="1133" spans="1:25" ht="15.75" customHeight="1">
      <c r="A1133" s="125"/>
      <c r="B1133" s="125"/>
      <c r="C1133" s="125"/>
      <c r="D1133" s="125"/>
      <c r="E1133" s="126"/>
      <c r="F1133" s="128"/>
      <c r="G1133" s="128"/>
      <c r="H1133" s="128"/>
      <c r="I1133" s="128"/>
      <c r="J1133" s="128"/>
      <c r="K1133" s="129"/>
      <c r="L1133" s="129"/>
      <c r="M1133" s="129"/>
      <c r="N1133" s="129"/>
      <c r="O1133" s="129"/>
      <c r="P1133" s="129"/>
      <c r="Q1133" s="129"/>
      <c r="R1133" s="132"/>
      <c r="S1133" s="132"/>
      <c r="T1133" s="135"/>
      <c r="U1133" s="125" t="s">
        <v>7202</v>
      </c>
      <c r="V1133" s="129"/>
      <c r="W1133" s="132"/>
      <c r="X1133" s="133"/>
      <c r="Y1133" s="132"/>
    </row>
    <row r="1134" spans="1:25" ht="15.75" customHeight="1">
      <c r="A1134" s="125"/>
      <c r="B1134" s="125"/>
      <c r="C1134" s="125"/>
      <c r="D1134" s="125"/>
      <c r="E1134" s="126"/>
      <c r="F1134" s="128"/>
      <c r="G1134" s="128"/>
      <c r="H1134" s="128"/>
      <c r="I1134" s="128"/>
      <c r="J1134" s="128"/>
      <c r="K1134" s="129"/>
      <c r="L1134" s="129"/>
      <c r="M1134" s="129"/>
      <c r="N1134" s="129"/>
      <c r="O1134" s="129"/>
      <c r="P1134" s="129"/>
      <c r="Q1134" s="129"/>
      <c r="R1134" s="132"/>
      <c r="S1134" s="132"/>
      <c r="T1134" s="135"/>
      <c r="U1134" s="132"/>
      <c r="V1134" s="129"/>
      <c r="W1134" s="132"/>
      <c r="X1134" s="133"/>
      <c r="Y1134" s="132"/>
    </row>
    <row r="1135" spans="1:25" ht="15.75" customHeight="1">
      <c r="A1135" s="125"/>
      <c r="B1135" s="125"/>
      <c r="C1135" s="125"/>
      <c r="D1135" s="125"/>
      <c r="E1135" s="126"/>
      <c r="F1135" s="128"/>
      <c r="G1135" s="128"/>
      <c r="H1135" s="128"/>
      <c r="I1135" s="128"/>
      <c r="J1135" s="128"/>
      <c r="K1135" s="129"/>
      <c r="L1135" s="129"/>
      <c r="M1135" s="129"/>
      <c r="N1135" s="129"/>
      <c r="O1135" s="129"/>
      <c r="P1135" s="129"/>
      <c r="Q1135" s="129"/>
      <c r="R1135" s="132"/>
      <c r="S1135" s="132"/>
      <c r="T1135" s="135"/>
      <c r="U1135" s="132"/>
      <c r="V1135" s="129"/>
      <c r="W1135" s="132"/>
      <c r="X1135" s="133"/>
      <c r="Y1135" s="132"/>
    </row>
    <row r="1136" spans="1:25" ht="15.75" customHeight="1">
      <c r="A1136" s="125"/>
      <c r="B1136" s="125"/>
      <c r="C1136" s="125"/>
      <c r="D1136" s="125"/>
      <c r="E1136" s="126"/>
      <c r="F1136" s="128"/>
      <c r="G1136" s="128"/>
      <c r="H1136" s="128"/>
      <c r="I1136" s="128"/>
      <c r="J1136" s="128"/>
      <c r="K1136" s="129"/>
      <c r="L1136" s="129"/>
      <c r="M1136" s="129"/>
      <c r="N1136" s="129"/>
      <c r="O1136" s="129"/>
      <c r="P1136" s="129"/>
      <c r="Q1136" s="129"/>
      <c r="R1136" s="132"/>
      <c r="S1136" s="132"/>
      <c r="T1136" s="135"/>
      <c r="U1136" s="132"/>
      <c r="V1136" s="129"/>
      <c r="W1136" s="132"/>
      <c r="X1136" s="133"/>
      <c r="Y1136" s="132"/>
    </row>
    <row r="1137" spans="1:25" ht="15.75" customHeight="1">
      <c r="A1137" s="125"/>
      <c r="B1137" s="125"/>
      <c r="C1137" s="125"/>
      <c r="D1137" s="125"/>
      <c r="E1137" s="126"/>
      <c r="F1137" s="128"/>
      <c r="G1137" s="128"/>
      <c r="H1137" s="128"/>
      <c r="I1137" s="128"/>
      <c r="J1137" s="128"/>
      <c r="K1137" s="129"/>
      <c r="L1137" s="129"/>
      <c r="M1137" s="129"/>
      <c r="N1137" s="129"/>
      <c r="O1137" s="129"/>
      <c r="P1137" s="129"/>
      <c r="Q1137" s="129"/>
      <c r="R1137" s="132"/>
      <c r="S1137" s="132"/>
      <c r="T1137" s="135"/>
      <c r="U1137" s="132"/>
      <c r="V1137" s="129"/>
      <c r="W1137" s="132"/>
      <c r="X1137" s="133"/>
      <c r="Y1137" s="132"/>
    </row>
    <row r="1138" spans="1:25" ht="15.75" customHeight="1">
      <c r="A1138" s="125"/>
      <c r="B1138" s="125"/>
      <c r="C1138" s="125"/>
      <c r="D1138" s="125"/>
      <c r="E1138" s="126"/>
      <c r="F1138" s="128"/>
      <c r="G1138" s="128"/>
      <c r="H1138" s="128"/>
      <c r="I1138" s="128"/>
      <c r="J1138" s="128"/>
      <c r="K1138" s="129"/>
      <c r="L1138" s="129"/>
      <c r="M1138" s="129"/>
      <c r="N1138" s="129"/>
      <c r="O1138" s="129"/>
      <c r="P1138" s="129"/>
      <c r="Q1138" s="129"/>
      <c r="R1138" s="132"/>
      <c r="S1138" s="132"/>
      <c r="T1138" s="135"/>
      <c r="U1138" s="132"/>
      <c r="V1138" s="129"/>
      <c r="W1138" s="132"/>
      <c r="X1138" s="133"/>
      <c r="Y1138" s="132"/>
    </row>
    <row r="1139" spans="1:25" ht="15.75" customHeight="1">
      <c r="A1139" s="125"/>
      <c r="B1139" s="125"/>
      <c r="C1139" s="125"/>
      <c r="D1139" s="125"/>
      <c r="E1139" s="126"/>
      <c r="F1139" s="128"/>
      <c r="G1139" s="128"/>
      <c r="H1139" s="128"/>
      <c r="I1139" s="128"/>
      <c r="J1139" s="128"/>
      <c r="K1139" s="129"/>
      <c r="L1139" s="129"/>
      <c r="M1139" s="129"/>
      <c r="N1139" s="129"/>
      <c r="O1139" s="129"/>
      <c r="P1139" s="129"/>
      <c r="Q1139" s="129"/>
      <c r="R1139" s="132"/>
      <c r="S1139" s="132"/>
      <c r="T1139" s="135"/>
      <c r="U1139" s="132"/>
      <c r="V1139" s="129"/>
      <c r="W1139" s="132"/>
      <c r="X1139" s="133"/>
      <c r="Y1139" s="132"/>
    </row>
    <row r="1140" spans="1:25" ht="15.75" customHeight="1">
      <c r="A1140" s="125"/>
      <c r="B1140" s="125"/>
      <c r="C1140" s="125"/>
      <c r="D1140" s="125"/>
      <c r="E1140" s="126"/>
      <c r="F1140" s="128"/>
      <c r="G1140" s="128"/>
      <c r="H1140" s="128"/>
      <c r="I1140" s="128"/>
      <c r="J1140" s="128"/>
      <c r="K1140" s="129"/>
      <c r="L1140" s="129"/>
      <c r="M1140" s="129"/>
      <c r="N1140" s="129"/>
      <c r="O1140" s="129"/>
      <c r="P1140" s="129"/>
      <c r="Q1140" s="129"/>
      <c r="R1140" s="132"/>
      <c r="S1140" s="132"/>
      <c r="T1140" s="135"/>
      <c r="U1140" s="132"/>
      <c r="V1140" s="129"/>
      <c r="W1140" s="132"/>
      <c r="X1140" s="133"/>
      <c r="Y1140" s="132"/>
    </row>
    <row r="1141" spans="1:25" ht="15.75" customHeight="1">
      <c r="A1141" s="125"/>
      <c r="B1141" s="125"/>
      <c r="C1141" s="125"/>
      <c r="D1141" s="125"/>
      <c r="E1141" s="126"/>
      <c r="F1141" s="128"/>
      <c r="G1141" s="128"/>
      <c r="H1141" s="128"/>
      <c r="I1141" s="128"/>
      <c r="J1141" s="128"/>
      <c r="K1141" s="129"/>
      <c r="L1141" s="129"/>
      <c r="M1141" s="129"/>
      <c r="N1141" s="129"/>
      <c r="O1141" s="129"/>
      <c r="P1141" s="129"/>
      <c r="Q1141" s="129"/>
      <c r="R1141" s="132"/>
      <c r="S1141" s="132"/>
      <c r="T1141" s="135"/>
      <c r="U1141" s="132"/>
      <c r="V1141" s="129"/>
      <c r="W1141" s="132"/>
      <c r="X1141" s="133"/>
      <c r="Y1141" s="132"/>
    </row>
    <row r="1142" spans="1:25" ht="15.75" customHeight="1">
      <c r="A1142" s="125"/>
      <c r="B1142" s="125"/>
      <c r="C1142" s="125"/>
      <c r="D1142" s="125"/>
      <c r="E1142" s="126"/>
      <c r="F1142" s="128"/>
      <c r="G1142" s="128"/>
      <c r="H1142" s="128"/>
      <c r="I1142" s="128"/>
      <c r="J1142" s="128"/>
      <c r="K1142" s="129"/>
      <c r="L1142" s="129"/>
      <c r="M1142" s="129"/>
      <c r="N1142" s="129"/>
      <c r="O1142" s="129"/>
      <c r="P1142" s="129"/>
      <c r="Q1142" s="129"/>
      <c r="R1142" s="132"/>
      <c r="S1142" s="132"/>
      <c r="T1142" s="135"/>
      <c r="U1142" s="132"/>
      <c r="V1142" s="129"/>
      <c r="W1142" s="132"/>
      <c r="X1142" s="133"/>
      <c r="Y1142" s="132"/>
    </row>
    <row r="1143" spans="1:25" ht="15.75" customHeight="1">
      <c r="A1143" s="125"/>
      <c r="B1143" s="125"/>
      <c r="C1143" s="125"/>
      <c r="D1143" s="125"/>
      <c r="E1143" s="126"/>
      <c r="F1143" s="128"/>
      <c r="G1143" s="128"/>
      <c r="H1143" s="128"/>
      <c r="I1143" s="128"/>
      <c r="J1143" s="128"/>
      <c r="K1143" s="129"/>
      <c r="L1143" s="129"/>
      <c r="M1143" s="129"/>
      <c r="N1143" s="129"/>
      <c r="O1143" s="129"/>
      <c r="P1143" s="129"/>
      <c r="Q1143" s="129"/>
      <c r="R1143" s="132"/>
      <c r="S1143" s="132"/>
      <c r="T1143" s="135"/>
      <c r="U1143" s="132"/>
      <c r="V1143" s="129"/>
      <c r="W1143" s="132"/>
      <c r="X1143" s="133"/>
      <c r="Y1143" s="132"/>
    </row>
    <row r="1144" spans="1:25" ht="15.75" customHeight="1">
      <c r="A1144" s="125"/>
      <c r="B1144" s="125"/>
      <c r="C1144" s="125"/>
      <c r="D1144" s="125"/>
      <c r="E1144" s="126"/>
      <c r="F1144" s="128"/>
      <c r="G1144" s="128"/>
      <c r="H1144" s="128"/>
      <c r="I1144" s="128"/>
      <c r="J1144" s="128"/>
      <c r="K1144" s="129"/>
      <c r="L1144" s="129"/>
      <c r="M1144" s="129"/>
      <c r="N1144" s="129"/>
      <c r="O1144" s="129"/>
      <c r="P1144" s="129"/>
      <c r="Q1144" s="129"/>
      <c r="R1144" s="132"/>
      <c r="S1144" s="132"/>
      <c r="T1144" s="135"/>
      <c r="U1144" s="132"/>
      <c r="V1144" s="129"/>
      <c r="W1144" s="132"/>
      <c r="X1144" s="133"/>
      <c r="Y1144" s="132"/>
    </row>
    <row r="1145" spans="1:25" ht="15.75" customHeight="1">
      <c r="A1145" s="125"/>
      <c r="B1145" s="125"/>
      <c r="C1145" s="125"/>
      <c r="D1145" s="125"/>
      <c r="E1145" s="126"/>
      <c r="F1145" s="128"/>
      <c r="G1145" s="128"/>
      <c r="H1145" s="128"/>
      <c r="I1145" s="128"/>
      <c r="J1145" s="128"/>
      <c r="K1145" s="129"/>
      <c r="L1145" s="129"/>
      <c r="M1145" s="129"/>
      <c r="N1145" s="129"/>
      <c r="O1145" s="129"/>
      <c r="P1145" s="129"/>
      <c r="Q1145" s="129"/>
      <c r="R1145" s="132"/>
      <c r="S1145" s="132"/>
      <c r="T1145" s="135"/>
      <c r="U1145" s="132"/>
      <c r="V1145" s="129"/>
      <c r="W1145" s="132"/>
      <c r="X1145" s="133"/>
      <c r="Y1145" s="132"/>
    </row>
    <row r="1146" spans="1:25" ht="15.75" customHeight="1">
      <c r="A1146" s="125"/>
      <c r="B1146" s="125"/>
      <c r="C1146" s="125"/>
      <c r="D1146" s="125"/>
      <c r="E1146" s="126"/>
      <c r="F1146" s="128"/>
      <c r="G1146" s="128"/>
      <c r="H1146" s="128"/>
      <c r="I1146" s="128"/>
      <c r="J1146" s="128"/>
      <c r="K1146" s="129"/>
      <c r="L1146" s="129"/>
      <c r="M1146" s="129"/>
      <c r="N1146" s="129"/>
      <c r="O1146" s="129"/>
      <c r="P1146" s="129"/>
      <c r="Q1146" s="129"/>
      <c r="R1146" s="132"/>
      <c r="S1146" s="132"/>
      <c r="T1146" s="135"/>
      <c r="U1146" s="132"/>
      <c r="V1146" s="129"/>
      <c r="W1146" s="132"/>
      <c r="X1146" s="133"/>
      <c r="Y1146" s="132"/>
    </row>
    <row r="1147" spans="1:25" ht="15.75" customHeight="1">
      <c r="A1147" s="125"/>
      <c r="B1147" s="125"/>
      <c r="C1147" s="125"/>
      <c r="D1147" s="125"/>
      <c r="E1147" s="126"/>
      <c r="F1147" s="128"/>
      <c r="G1147" s="128"/>
      <c r="H1147" s="128"/>
      <c r="I1147" s="128"/>
      <c r="J1147" s="128"/>
      <c r="K1147" s="129"/>
      <c r="L1147" s="129"/>
      <c r="M1147" s="129"/>
      <c r="N1147" s="129"/>
      <c r="O1147" s="129"/>
      <c r="P1147" s="129"/>
      <c r="Q1147" s="129"/>
      <c r="R1147" s="132"/>
      <c r="S1147" s="132"/>
      <c r="T1147" s="135"/>
      <c r="U1147" s="132"/>
      <c r="V1147" s="129"/>
      <c r="W1147" s="132"/>
      <c r="X1147" s="133"/>
      <c r="Y1147" s="132"/>
    </row>
    <row r="1148" spans="1:25" ht="15.75" customHeight="1">
      <c r="A1148" s="125"/>
      <c r="B1148" s="125"/>
      <c r="C1148" s="125"/>
      <c r="D1148" s="125"/>
      <c r="E1148" s="126"/>
      <c r="F1148" s="128"/>
      <c r="G1148" s="128"/>
      <c r="H1148" s="128"/>
      <c r="I1148" s="128"/>
      <c r="J1148" s="128"/>
      <c r="K1148" s="129"/>
      <c r="L1148" s="129"/>
      <c r="M1148" s="129"/>
      <c r="N1148" s="129"/>
      <c r="O1148" s="129"/>
      <c r="P1148" s="129"/>
      <c r="Q1148" s="129"/>
      <c r="R1148" s="132"/>
      <c r="S1148" s="132"/>
      <c r="T1148" s="135"/>
      <c r="U1148" s="132"/>
      <c r="V1148" s="129"/>
      <c r="W1148" s="132"/>
      <c r="X1148" s="133"/>
      <c r="Y1148" s="132"/>
    </row>
    <row r="1149" spans="1:25" ht="15.75" customHeight="1">
      <c r="A1149" s="125"/>
      <c r="B1149" s="125"/>
      <c r="C1149" s="125"/>
      <c r="D1149" s="125"/>
      <c r="E1149" s="126"/>
      <c r="F1149" s="128"/>
      <c r="G1149" s="128"/>
      <c r="H1149" s="128"/>
      <c r="I1149" s="128"/>
      <c r="J1149" s="128"/>
      <c r="K1149" s="129"/>
      <c r="L1149" s="129"/>
      <c r="M1149" s="129"/>
      <c r="N1149" s="129"/>
      <c r="O1149" s="129"/>
      <c r="P1149" s="129"/>
      <c r="Q1149" s="129"/>
      <c r="R1149" s="132"/>
      <c r="S1149" s="132"/>
      <c r="T1149" s="135"/>
      <c r="U1149" s="132"/>
      <c r="V1149" s="129"/>
      <c r="W1149" s="132"/>
      <c r="X1149" s="133"/>
      <c r="Y1149" s="132"/>
    </row>
    <row r="1150" spans="1:25" ht="15.75" customHeight="1">
      <c r="A1150" s="125"/>
      <c r="B1150" s="125"/>
      <c r="C1150" s="125"/>
      <c r="D1150" s="125"/>
      <c r="E1150" s="126"/>
      <c r="F1150" s="128"/>
      <c r="G1150" s="128"/>
      <c r="H1150" s="128"/>
      <c r="I1150" s="128"/>
      <c r="J1150" s="128"/>
      <c r="K1150" s="129"/>
      <c r="L1150" s="129"/>
      <c r="M1150" s="129"/>
      <c r="N1150" s="129"/>
      <c r="O1150" s="129"/>
      <c r="P1150" s="129"/>
      <c r="Q1150" s="129"/>
      <c r="R1150" s="132"/>
      <c r="S1150" s="132"/>
      <c r="T1150" s="135"/>
      <c r="U1150" s="132"/>
      <c r="V1150" s="129"/>
      <c r="W1150" s="132"/>
      <c r="X1150" s="133"/>
      <c r="Y1150" s="132"/>
    </row>
    <row r="1151" spans="1:25" ht="15.75" customHeight="1">
      <c r="A1151" s="125"/>
      <c r="B1151" s="125"/>
      <c r="C1151" s="125"/>
      <c r="D1151" s="125"/>
      <c r="E1151" s="126"/>
      <c r="F1151" s="128"/>
      <c r="G1151" s="128"/>
      <c r="H1151" s="128"/>
      <c r="I1151" s="128"/>
      <c r="J1151" s="128"/>
      <c r="K1151" s="129"/>
      <c r="L1151" s="129"/>
      <c r="M1151" s="129"/>
      <c r="N1151" s="129"/>
      <c r="O1151" s="129"/>
      <c r="P1151" s="129"/>
      <c r="Q1151" s="129"/>
      <c r="R1151" s="132"/>
      <c r="S1151" s="132"/>
      <c r="T1151" s="135"/>
      <c r="U1151" s="132"/>
      <c r="V1151" s="129"/>
      <c r="W1151" s="132"/>
      <c r="X1151" s="133"/>
      <c r="Y1151" s="132"/>
    </row>
    <row r="1152" spans="1:25" ht="15.75" customHeight="1">
      <c r="A1152" s="125"/>
      <c r="B1152" s="125"/>
      <c r="C1152" s="125"/>
      <c r="D1152" s="125"/>
      <c r="E1152" s="126"/>
      <c r="F1152" s="128"/>
      <c r="G1152" s="128"/>
      <c r="H1152" s="128"/>
      <c r="I1152" s="128"/>
      <c r="J1152" s="128"/>
      <c r="K1152" s="129"/>
      <c r="L1152" s="129"/>
      <c r="M1152" s="129"/>
      <c r="N1152" s="129"/>
      <c r="O1152" s="129"/>
      <c r="P1152" s="129"/>
      <c r="Q1152" s="129"/>
      <c r="R1152" s="132"/>
      <c r="S1152" s="132"/>
      <c r="T1152" s="135"/>
      <c r="U1152" s="132"/>
      <c r="V1152" s="129"/>
      <c r="W1152" s="132"/>
      <c r="X1152" s="133"/>
      <c r="Y1152" s="132"/>
    </row>
    <row r="1153" spans="1:25" ht="15.75" customHeight="1">
      <c r="A1153" s="125"/>
      <c r="B1153" s="125"/>
      <c r="C1153" s="125"/>
      <c r="D1153" s="125"/>
      <c r="E1153" s="126"/>
      <c r="F1153" s="128"/>
      <c r="G1153" s="128"/>
      <c r="H1153" s="128"/>
      <c r="I1153" s="128"/>
      <c r="J1153" s="128"/>
      <c r="K1153" s="129"/>
      <c r="L1153" s="129"/>
      <c r="M1153" s="129"/>
      <c r="N1153" s="129"/>
      <c r="O1153" s="129"/>
      <c r="P1153" s="129"/>
      <c r="Q1153" s="129"/>
      <c r="R1153" s="132"/>
      <c r="S1153" s="132"/>
      <c r="T1153" s="135"/>
      <c r="U1153" s="132"/>
      <c r="V1153" s="129"/>
      <c r="W1153" s="132"/>
      <c r="X1153" s="133"/>
      <c r="Y1153" s="132"/>
    </row>
    <row r="1154" spans="1:25" ht="15.75" customHeight="1">
      <c r="A1154" s="125"/>
      <c r="B1154" s="125"/>
      <c r="C1154" s="125"/>
      <c r="D1154" s="125"/>
      <c r="E1154" s="126"/>
      <c r="F1154" s="128"/>
      <c r="G1154" s="128"/>
      <c r="H1154" s="128"/>
      <c r="I1154" s="128"/>
      <c r="J1154" s="128"/>
      <c r="K1154" s="129"/>
      <c r="L1154" s="129"/>
      <c r="M1154" s="129"/>
      <c r="N1154" s="129"/>
      <c r="O1154" s="129"/>
      <c r="P1154" s="129"/>
      <c r="Q1154" s="129"/>
      <c r="R1154" s="132"/>
      <c r="S1154" s="132"/>
      <c r="T1154" s="135"/>
      <c r="U1154" s="132"/>
      <c r="V1154" s="129"/>
      <c r="W1154" s="132"/>
      <c r="X1154" s="133"/>
      <c r="Y1154" s="132"/>
    </row>
    <row r="1155" spans="1:25" ht="15.75" customHeight="1">
      <c r="A1155" s="125"/>
      <c r="B1155" s="125"/>
      <c r="C1155" s="125"/>
      <c r="D1155" s="125"/>
      <c r="E1155" s="126"/>
      <c r="F1155" s="128"/>
      <c r="G1155" s="128"/>
      <c r="H1155" s="128"/>
      <c r="I1155" s="128"/>
      <c r="J1155" s="128"/>
      <c r="K1155" s="129"/>
      <c r="L1155" s="129"/>
      <c r="M1155" s="129"/>
      <c r="N1155" s="129"/>
      <c r="O1155" s="129"/>
      <c r="P1155" s="129"/>
      <c r="Q1155" s="129"/>
      <c r="R1155" s="132"/>
      <c r="S1155" s="132"/>
      <c r="T1155" s="135"/>
      <c r="U1155" s="132"/>
      <c r="V1155" s="129"/>
      <c r="W1155" s="132"/>
      <c r="X1155" s="133"/>
      <c r="Y1155" s="132"/>
    </row>
    <row r="1156" spans="1:25" ht="15.75" customHeight="1">
      <c r="A1156" s="125"/>
      <c r="B1156" s="125"/>
      <c r="C1156" s="125"/>
      <c r="D1156" s="125"/>
      <c r="E1156" s="126"/>
      <c r="F1156" s="128"/>
      <c r="G1156" s="128"/>
      <c r="H1156" s="128"/>
      <c r="I1156" s="128"/>
      <c r="J1156" s="128"/>
      <c r="K1156" s="129"/>
      <c r="L1156" s="129"/>
      <c r="M1156" s="129"/>
      <c r="N1156" s="129"/>
      <c r="O1156" s="129"/>
      <c r="P1156" s="129"/>
      <c r="Q1156" s="129"/>
      <c r="R1156" s="132"/>
      <c r="S1156" s="132"/>
      <c r="T1156" s="135"/>
      <c r="U1156" s="132"/>
      <c r="V1156" s="129"/>
      <c r="W1156" s="132"/>
      <c r="X1156" s="133"/>
      <c r="Y1156" s="132"/>
    </row>
    <row r="1157" spans="1:25" ht="15.75" customHeight="1">
      <c r="A1157" s="125"/>
      <c r="B1157" s="125"/>
      <c r="C1157" s="125"/>
      <c r="D1157" s="125"/>
      <c r="E1157" s="126"/>
      <c r="F1157" s="128"/>
      <c r="G1157" s="128"/>
      <c r="H1157" s="128"/>
      <c r="I1157" s="128"/>
      <c r="J1157" s="128"/>
      <c r="K1157" s="129"/>
      <c r="L1157" s="129"/>
      <c r="M1157" s="129"/>
      <c r="N1157" s="129"/>
      <c r="O1157" s="129"/>
      <c r="P1157" s="129"/>
      <c r="Q1157" s="129"/>
      <c r="R1157" s="132"/>
      <c r="S1157" s="132"/>
      <c r="T1157" s="135"/>
      <c r="U1157" s="132"/>
      <c r="V1157" s="129"/>
      <c r="W1157" s="132"/>
      <c r="X1157" s="133"/>
      <c r="Y1157" s="132"/>
    </row>
    <row r="1158" spans="1:25" ht="15.75" customHeight="1">
      <c r="A1158" s="125"/>
      <c r="B1158" s="125"/>
      <c r="C1158" s="125"/>
      <c r="D1158" s="125"/>
      <c r="E1158" s="126"/>
      <c r="F1158" s="128"/>
      <c r="G1158" s="128"/>
      <c r="H1158" s="128"/>
      <c r="I1158" s="128"/>
      <c r="J1158" s="128"/>
      <c r="K1158" s="129"/>
      <c r="L1158" s="129"/>
      <c r="M1158" s="129"/>
      <c r="N1158" s="129"/>
      <c r="O1158" s="129"/>
      <c r="P1158" s="129"/>
      <c r="Q1158" s="129"/>
      <c r="R1158" s="132"/>
      <c r="S1158" s="132"/>
      <c r="T1158" s="135"/>
      <c r="U1158" s="132"/>
      <c r="V1158" s="129"/>
      <c r="W1158" s="132"/>
      <c r="X1158" s="133"/>
      <c r="Y1158" s="132"/>
    </row>
    <row r="1159" spans="1:25" ht="15.75" customHeight="1">
      <c r="A1159" s="125"/>
      <c r="B1159" s="125"/>
      <c r="C1159" s="125"/>
      <c r="D1159" s="125"/>
      <c r="E1159" s="126"/>
      <c r="F1159" s="128"/>
      <c r="G1159" s="128"/>
      <c r="H1159" s="128"/>
      <c r="I1159" s="128"/>
      <c r="J1159" s="128"/>
      <c r="K1159" s="129"/>
      <c r="L1159" s="129"/>
      <c r="M1159" s="129"/>
      <c r="N1159" s="129"/>
      <c r="O1159" s="129"/>
      <c r="P1159" s="129"/>
      <c r="Q1159" s="129"/>
      <c r="R1159" s="132"/>
      <c r="S1159" s="132"/>
      <c r="T1159" s="135"/>
      <c r="U1159" s="132"/>
      <c r="V1159" s="129"/>
      <c r="W1159" s="132"/>
      <c r="X1159" s="133"/>
      <c r="Y1159" s="132"/>
    </row>
    <row r="1160" spans="1:25" ht="15.75" customHeight="1">
      <c r="A1160" s="125"/>
      <c r="B1160" s="125"/>
      <c r="C1160" s="125"/>
      <c r="D1160" s="125"/>
      <c r="E1160" s="126"/>
      <c r="F1160" s="128"/>
      <c r="G1160" s="128"/>
      <c r="H1160" s="128"/>
      <c r="I1160" s="128"/>
      <c r="J1160" s="128"/>
      <c r="K1160" s="129"/>
      <c r="L1160" s="129"/>
      <c r="M1160" s="129"/>
      <c r="N1160" s="129"/>
      <c r="O1160" s="129"/>
      <c r="P1160" s="129"/>
      <c r="Q1160" s="129"/>
      <c r="R1160" s="132"/>
      <c r="S1160" s="132"/>
      <c r="T1160" s="135"/>
      <c r="U1160" s="132"/>
      <c r="V1160" s="129"/>
      <c r="W1160" s="132"/>
      <c r="X1160" s="133"/>
      <c r="Y1160" s="132"/>
    </row>
    <row r="1161" spans="1:25" ht="15.75" customHeight="1">
      <c r="A1161" s="125"/>
      <c r="B1161" s="125"/>
      <c r="C1161" s="125"/>
      <c r="D1161" s="125"/>
      <c r="E1161" s="126"/>
      <c r="F1161" s="128"/>
      <c r="G1161" s="128"/>
      <c r="H1161" s="128"/>
      <c r="I1161" s="128"/>
      <c r="J1161" s="128"/>
      <c r="K1161" s="129"/>
      <c r="L1161" s="129"/>
      <c r="M1161" s="129"/>
      <c r="N1161" s="129"/>
      <c r="O1161" s="129"/>
      <c r="P1161" s="129"/>
      <c r="Q1161" s="129"/>
      <c r="R1161" s="132"/>
      <c r="S1161" s="132"/>
      <c r="T1161" s="135"/>
      <c r="U1161" s="132"/>
      <c r="V1161" s="129"/>
      <c r="W1161" s="132"/>
      <c r="X1161" s="133"/>
      <c r="Y1161" s="132"/>
    </row>
    <row r="1162" spans="1:25" ht="15.75" customHeight="1">
      <c r="A1162" s="125"/>
      <c r="B1162" s="125"/>
      <c r="C1162" s="125"/>
      <c r="D1162" s="125"/>
      <c r="E1162" s="126"/>
      <c r="F1162" s="128"/>
      <c r="G1162" s="128"/>
      <c r="H1162" s="128"/>
      <c r="I1162" s="128"/>
      <c r="J1162" s="128"/>
      <c r="K1162" s="129"/>
      <c r="L1162" s="129"/>
      <c r="M1162" s="129"/>
      <c r="N1162" s="129"/>
      <c r="O1162" s="129"/>
      <c r="P1162" s="129"/>
      <c r="Q1162" s="129"/>
      <c r="R1162" s="132"/>
      <c r="S1162" s="132"/>
      <c r="T1162" s="135"/>
      <c r="U1162" s="132"/>
      <c r="V1162" s="129"/>
      <c r="W1162" s="132"/>
      <c r="X1162" s="133"/>
      <c r="Y1162" s="132"/>
    </row>
    <row r="1163" spans="1:25" ht="15.75" customHeight="1">
      <c r="A1163" s="125"/>
      <c r="B1163" s="125"/>
      <c r="C1163" s="125"/>
      <c r="D1163" s="125"/>
      <c r="E1163" s="126"/>
      <c r="F1163" s="128"/>
      <c r="G1163" s="128"/>
      <c r="H1163" s="128"/>
      <c r="I1163" s="128"/>
      <c r="J1163" s="128"/>
      <c r="K1163" s="129"/>
      <c r="L1163" s="129"/>
      <c r="M1163" s="129"/>
      <c r="N1163" s="129"/>
      <c r="O1163" s="129"/>
      <c r="P1163" s="129"/>
      <c r="Q1163" s="129"/>
      <c r="R1163" s="132"/>
      <c r="S1163" s="132"/>
      <c r="T1163" s="135"/>
      <c r="U1163" s="132"/>
      <c r="V1163" s="129"/>
      <c r="W1163" s="132"/>
      <c r="X1163" s="133"/>
      <c r="Y1163" s="132"/>
    </row>
    <row r="1164" spans="1:25" ht="15.75" customHeight="1">
      <c r="A1164" s="125"/>
      <c r="B1164" s="125"/>
      <c r="C1164" s="125"/>
      <c r="D1164" s="125"/>
      <c r="E1164" s="126"/>
      <c r="F1164" s="128"/>
      <c r="G1164" s="128"/>
      <c r="H1164" s="128"/>
      <c r="I1164" s="128"/>
      <c r="J1164" s="128"/>
      <c r="K1164" s="129"/>
      <c r="L1164" s="129"/>
      <c r="M1164" s="129"/>
      <c r="N1164" s="129"/>
      <c r="O1164" s="129"/>
      <c r="P1164" s="129"/>
      <c r="Q1164" s="129"/>
      <c r="R1164" s="132"/>
      <c r="S1164" s="132"/>
      <c r="T1164" s="135"/>
      <c r="U1164" s="132"/>
      <c r="V1164" s="129"/>
      <c r="W1164" s="132"/>
      <c r="X1164" s="133"/>
      <c r="Y1164" s="132"/>
    </row>
    <row r="1165" spans="1:25" ht="15.75" customHeight="1">
      <c r="A1165" s="125"/>
      <c r="B1165" s="125"/>
      <c r="C1165" s="125"/>
      <c r="D1165" s="125"/>
      <c r="E1165" s="126"/>
      <c r="F1165" s="128"/>
      <c r="G1165" s="128"/>
      <c r="H1165" s="128"/>
      <c r="I1165" s="128"/>
      <c r="J1165" s="128"/>
      <c r="K1165" s="129"/>
      <c r="L1165" s="129"/>
      <c r="M1165" s="129"/>
      <c r="N1165" s="129"/>
      <c r="O1165" s="129"/>
      <c r="P1165" s="129"/>
      <c r="Q1165" s="129"/>
      <c r="R1165" s="132"/>
      <c r="S1165" s="132"/>
      <c r="T1165" s="135"/>
      <c r="U1165" s="132"/>
      <c r="V1165" s="129"/>
      <c r="W1165" s="132"/>
      <c r="X1165" s="133"/>
      <c r="Y1165" s="132"/>
    </row>
    <row r="1166" spans="1:25" ht="15.75" customHeight="1">
      <c r="A1166" s="125"/>
      <c r="B1166" s="125"/>
      <c r="C1166" s="125"/>
      <c r="D1166" s="125"/>
      <c r="E1166" s="126"/>
      <c r="F1166" s="128"/>
      <c r="G1166" s="128"/>
      <c r="H1166" s="128"/>
      <c r="I1166" s="128"/>
      <c r="J1166" s="128"/>
      <c r="K1166" s="129"/>
      <c r="L1166" s="129"/>
      <c r="M1166" s="129"/>
      <c r="N1166" s="129"/>
      <c r="O1166" s="129"/>
      <c r="P1166" s="129"/>
      <c r="Q1166" s="129"/>
      <c r="R1166" s="132"/>
      <c r="S1166" s="132"/>
      <c r="T1166" s="135"/>
      <c r="U1166" s="132"/>
      <c r="V1166" s="129"/>
      <c r="W1166" s="132"/>
      <c r="X1166" s="133"/>
      <c r="Y1166" s="132"/>
    </row>
    <row r="1167" spans="1:25" ht="15.75" customHeight="1">
      <c r="A1167" s="125"/>
      <c r="B1167" s="125"/>
      <c r="C1167" s="125"/>
      <c r="D1167" s="125"/>
      <c r="E1167" s="126"/>
      <c r="F1167" s="128"/>
      <c r="G1167" s="128"/>
      <c r="H1167" s="128"/>
      <c r="I1167" s="128"/>
      <c r="J1167" s="128"/>
      <c r="K1167" s="129"/>
      <c r="L1167" s="129"/>
      <c r="M1167" s="129"/>
      <c r="N1167" s="129"/>
      <c r="O1167" s="129"/>
      <c r="P1167" s="129"/>
      <c r="Q1167" s="129"/>
      <c r="R1167" s="132"/>
      <c r="S1167" s="132"/>
      <c r="T1167" s="135"/>
      <c r="U1167" s="132"/>
      <c r="V1167" s="129"/>
      <c r="W1167" s="132"/>
      <c r="X1167" s="133"/>
      <c r="Y1167" s="132"/>
    </row>
    <row r="1168" spans="1:25" ht="15.75" customHeight="1">
      <c r="A1168" s="125"/>
      <c r="B1168" s="125"/>
      <c r="C1168" s="125"/>
      <c r="D1168" s="125"/>
      <c r="E1168" s="126"/>
      <c r="F1168" s="128"/>
      <c r="G1168" s="128"/>
      <c r="H1168" s="128"/>
      <c r="I1168" s="128"/>
      <c r="J1168" s="128"/>
      <c r="K1168" s="129"/>
      <c r="L1168" s="129"/>
      <c r="M1168" s="129"/>
      <c r="N1168" s="129"/>
      <c r="O1168" s="129"/>
      <c r="P1168" s="129"/>
      <c r="Q1168" s="129"/>
      <c r="R1168" s="132"/>
      <c r="S1168" s="132"/>
      <c r="T1168" s="135"/>
      <c r="U1168" s="132"/>
      <c r="V1168" s="129"/>
      <c r="W1168" s="132"/>
      <c r="X1168" s="133"/>
      <c r="Y1168" s="132"/>
    </row>
    <row r="1169" spans="1:25" ht="15.75" customHeight="1">
      <c r="A1169" s="125"/>
      <c r="B1169" s="125"/>
      <c r="C1169" s="125"/>
      <c r="D1169" s="125"/>
      <c r="E1169" s="126"/>
      <c r="F1169" s="128"/>
      <c r="G1169" s="128"/>
      <c r="H1169" s="128"/>
      <c r="I1169" s="128"/>
      <c r="J1169" s="128"/>
      <c r="K1169" s="129"/>
      <c r="L1169" s="129"/>
      <c r="M1169" s="129"/>
      <c r="N1169" s="129"/>
      <c r="O1169" s="129"/>
      <c r="P1169" s="129"/>
      <c r="Q1169" s="129"/>
      <c r="R1169" s="132"/>
      <c r="S1169" s="132"/>
      <c r="T1169" s="135"/>
      <c r="U1169" s="132"/>
      <c r="V1169" s="129"/>
      <c r="W1169" s="132"/>
      <c r="X1169" s="133"/>
      <c r="Y1169" s="132"/>
    </row>
    <row r="1170" spans="1:25" ht="15.75" customHeight="1">
      <c r="A1170" s="125"/>
      <c r="B1170" s="125"/>
      <c r="C1170" s="125"/>
      <c r="D1170" s="125"/>
      <c r="E1170" s="126"/>
      <c r="F1170" s="128"/>
      <c r="G1170" s="128"/>
      <c r="H1170" s="128"/>
      <c r="I1170" s="128"/>
      <c r="J1170" s="128"/>
      <c r="K1170" s="129"/>
      <c r="L1170" s="129"/>
      <c r="M1170" s="129"/>
      <c r="N1170" s="129"/>
      <c r="O1170" s="129"/>
      <c r="P1170" s="129"/>
      <c r="Q1170" s="129"/>
      <c r="R1170" s="132"/>
      <c r="S1170" s="132"/>
      <c r="T1170" s="135"/>
      <c r="U1170" s="132"/>
      <c r="V1170" s="129"/>
      <c r="W1170" s="132"/>
      <c r="X1170" s="133"/>
      <c r="Y1170" s="132"/>
    </row>
    <row r="1171" spans="1:25" ht="15.75" customHeight="1">
      <c r="A1171" s="125"/>
      <c r="B1171" s="125"/>
      <c r="C1171" s="125"/>
      <c r="D1171" s="125"/>
      <c r="E1171" s="126"/>
      <c r="F1171" s="128"/>
      <c r="G1171" s="128"/>
      <c r="H1171" s="128"/>
      <c r="I1171" s="128"/>
      <c r="J1171" s="128"/>
      <c r="K1171" s="129"/>
      <c r="L1171" s="129"/>
      <c r="M1171" s="129"/>
      <c r="N1171" s="129"/>
      <c r="O1171" s="129"/>
      <c r="P1171" s="129"/>
      <c r="Q1171" s="129"/>
      <c r="R1171" s="132"/>
      <c r="S1171" s="132"/>
      <c r="T1171" s="135"/>
      <c r="U1171" s="132"/>
      <c r="V1171" s="129"/>
      <c r="W1171" s="132"/>
      <c r="X1171" s="133"/>
      <c r="Y1171" s="132"/>
    </row>
    <row r="1172" spans="1:25" ht="15.75" customHeight="1">
      <c r="A1172" s="125"/>
      <c r="B1172" s="125"/>
      <c r="C1172" s="125"/>
      <c r="D1172" s="125"/>
      <c r="E1172" s="126"/>
      <c r="F1172" s="128"/>
      <c r="G1172" s="128"/>
      <c r="H1172" s="128"/>
      <c r="I1172" s="128"/>
      <c r="J1172" s="128"/>
      <c r="K1172" s="129"/>
      <c r="L1172" s="129"/>
      <c r="M1172" s="129"/>
      <c r="N1172" s="129"/>
      <c r="O1172" s="129"/>
      <c r="P1172" s="129"/>
      <c r="Q1172" s="129"/>
      <c r="R1172" s="132"/>
      <c r="S1172" s="132"/>
      <c r="T1172" s="135"/>
      <c r="U1172" s="132"/>
      <c r="V1172" s="129"/>
      <c r="W1172" s="132"/>
      <c r="X1172" s="133"/>
      <c r="Y1172" s="132"/>
    </row>
    <row r="1173" spans="1:25" ht="15.75" customHeight="1">
      <c r="A1173" s="125"/>
      <c r="B1173" s="125"/>
      <c r="C1173" s="125"/>
      <c r="D1173" s="125"/>
      <c r="E1173" s="126"/>
      <c r="F1173" s="128"/>
      <c r="G1173" s="128"/>
      <c r="H1173" s="128"/>
      <c r="I1173" s="128"/>
      <c r="J1173" s="128"/>
      <c r="K1173" s="129"/>
      <c r="L1173" s="129"/>
      <c r="M1173" s="129"/>
      <c r="N1173" s="129"/>
      <c r="O1173" s="129"/>
      <c r="P1173" s="129"/>
      <c r="Q1173" s="129"/>
      <c r="R1173" s="132"/>
      <c r="S1173" s="132"/>
      <c r="T1173" s="135"/>
      <c r="U1173" s="132"/>
      <c r="V1173" s="129"/>
      <c r="W1173" s="132"/>
      <c r="X1173" s="133"/>
      <c r="Y1173" s="132"/>
    </row>
    <row r="1174" spans="1:25" ht="15.75" customHeight="1">
      <c r="A1174" s="125"/>
      <c r="B1174" s="125"/>
      <c r="C1174" s="125"/>
      <c r="D1174" s="125"/>
      <c r="E1174" s="126"/>
      <c r="F1174" s="128"/>
      <c r="G1174" s="128"/>
      <c r="H1174" s="128"/>
      <c r="I1174" s="128"/>
      <c r="J1174" s="128"/>
      <c r="K1174" s="129"/>
      <c r="L1174" s="129"/>
      <c r="M1174" s="129"/>
      <c r="N1174" s="129"/>
      <c r="O1174" s="129"/>
      <c r="P1174" s="129"/>
      <c r="Q1174" s="129"/>
      <c r="R1174" s="132"/>
      <c r="S1174" s="132"/>
      <c r="T1174" s="135"/>
      <c r="U1174" s="132"/>
      <c r="V1174" s="129"/>
      <c r="W1174" s="132"/>
      <c r="X1174" s="133"/>
      <c r="Y1174" s="132"/>
    </row>
    <row r="1175" spans="1:25" ht="15.75" customHeight="1">
      <c r="A1175" s="125"/>
      <c r="B1175" s="125"/>
      <c r="C1175" s="125"/>
      <c r="D1175" s="125"/>
      <c r="E1175" s="126"/>
      <c r="F1175" s="128"/>
      <c r="G1175" s="128"/>
      <c r="H1175" s="128"/>
      <c r="I1175" s="128"/>
      <c r="J1175" s="128"/>
      <c r="K1175" s="129"/>
      <c r="L1175" s="129"/>
      <c r="M1175" s="129"/>
      <c r="N1175" s="129"/>
      <c r="O1175" s="129"/>
      <c r="P1175" s="129"/>
      <c r="Q1175" s="129"/>
      <c r="R1175" s="132"/>
      <c r="S1175" s="132"/>
      <c r="T1175" s="135"/>
      <c r="U1175" s="132"/>
      <c r="V1175" s="129"/>
      <c r="W1175" s="132"/>
      <c r="X1175" s="133"/>
      <c r="Y1175" s="132"/>
    </row>
    <row r="1176" spans="1:25" ht="15.75" customHeight="1">
      <c r="A1176" s="125"/>
      <c r="B1176" s="125"/>
      <c r="C1176" s="125"/>
      <c r="D1176" s="125"/>
      <c r="E1176" s="126"/>
      <c r="F1176" s="128"/>
      <c r="G1176" s="128"/>
      <c r="H1176" s="128"/>
      <c r="I1176" s="128"/>
      <c r="J1176" s="128"/>
      <c r="K1176" s="129"/>
      <c r="L1176" s="129"/>
      <c r="M1176" s="129"/>
      <c r="N1176" s="129"/>
      <c r="O1176" s="129"/>
      <c r="P1176" s="129"/>
      <c r="Q1176" s="129"/>
      <c r="R1176" s="132"/>
      <c r="S1176" s="132"/>
      <c r="T1176" s="135"/>
      <c r="U1176" s="132"/>
      <c r="V1176" s="129"/>
      <c r="W1176" s="132"/>
      <c r="X1176" s="133"/>
      <c r="Y1176" s="132"/>
    </row>
    <row r="1177" spans="1:25" ht="15.75" customHeight="1">
      <c r="A1177" s="125"/>
      <c r="B1177" s="125"/>
      <c r="C1177" s="125"/>
      <c r="D1177" s="125"/>
      <c r="E1177" s="126"/>
      <c r="F1177" s="128"/>
      <c r="G1177" s="128"/>
      <c r="H1177" s="128"/>
      <c r="I1177" s="128"/>
      <c r="J1177" s="128"/>
      <c r="K1177" s="129"/>
      <c r="L1177" s="129"/>
      <c r="M1177" s="129"/>
      <c r="N1177" s="129"/>
      <c r="O1177" s="129"/>
      <c r="P1177" s="129"/>
      <c r="Q1177" s="129"/>
      <c r="R1177" s="132"/>
      <c r="S1177" s="132"/>
      <c r="T1177" s="135"/>
      <c r="U1177" s="132"/>
      <c r="V1177" s="129"/>
      <c r="W1177" s="132"/>
      <c r="X1177" s="133"/>
      <c r="Y1177" s="132"/>
    </row>
    <row r="1178" spans="1:25" ht="15.75" customHeight="1">
      <c r="A1178" s="125"/>
      <c r="B1178" s="125"/>
      <c r="C1178" s="125"/>
      <c r="D1178" s="125"/>
      <c r="E1178" s="126"/>
      <c r="F1178" s="128"/>
      <c r="G1178" s="128"/>
      <c r="H1178" s="128"/>
      <c r="I1178" s="128"/>
      <c r="J1178" s="128"/>
      <c r="K1178" s="129"/>
      <c r="L1178" s="129"/>
      <c r="M1178" s="129"/>
      <c r="N1178" s="129"/>
      <c r="O1178" s="129"/>
      <c r="P1178" s="129"/>
      <c r="Q1178" s="129"/>
      <c r="R1178" s="132"/>
      <c r="S1178" s="132"/>
      <c r="T1178" s="135"/>
      <c r="U1178" s="132"/>
      <c r="V1178" s="129"/>
      <c r="W1178" s="132"/>
      <c r="X1178" s="133"/>
      <c r="Y1178" s="132"/>
    </row>
    <row r="1179" spans="1:25" ht="15.75" customHeight="1">
      <c r="A1179" s="125"/>
      <c r="B1179" s="125"/>
      <c r="C1179" s="125"/>
      <c r="D1179" s="125"/>
      <c r="E1179" s="126"/>
      <c r="F1179" s="128"/>
      <c r="G1179" s="128"/>
      <c r="H1179" s="128"/>
      <c r="I1179" s="128"/>
      <c r="J1179" s="128"/>
      <c r="K1179" s="129"/>
      <c r="L1179" s="129"/>
      <c r="M1179" s="129"/>
      <c r="N1179" s="129"/>
      <c r="O1179" s="129"/>
      <c r="P1179" s="129"/>
      <c r="Q1179" s="129"/>
      <c r="R1179" s="132"/>
      <c r="S1179" s="132"/>
      <c r="T1179" s="135"/>
      <c r="U1179" s="132"/>
      <c r="V1179" s="129"/>
      <c r="W1179" s="132"/>
      <c r="X1179" s="133"/>
      <c r="Y1179" s="132"/>
    </row>
    <row r="1180" spans="1:25" ht="15.75" customHeight="1">
      <c r="A1180" s="125"/>
      <c r="B1180" s="125"/>
      <c r="C1180" s="125"/>
      <c r="D1180" s="125"/>
      <c r="E1180" s="126"/>
      <c r="F1180" s="128"/>
      <c r="G1180" s="128"/>
      <c r="H1180" s="128"/>
      <c r="I1180" s="128"/>
      <c r="J1180" s="128"/>
      <c r="K1180" s="129"/>
      <c r="L1180" s="129"/>
      <c r="M1180" s="129"/>
      <c r="N1180" s="129"/>
      <c r="O1180" s="129"/>
      <c r="P1180" s="129"/>
      <c r="Q1180" s="129"/>
      <c r="R1180" s="132"/>
      <c r="S1180" s="132"/>
      <c r="T1180" s="135"/>
      <c r="U1180" s="132"/>
      <c r="V1180" s="129"/>
      <c r="W1180" s="132"/>
      <c r="X1180" s="133"/>
      <c r="Y1180" s="132"/>
    </row>
    <row r="1181" spans="1:25" ht="15.75" customHeight="1">
      <c r="A1181" s="125"/>
      <c r="B1181" s="125"/>
      <c r="C1181" s="125"/>
      <c r="D1181" s="125"/>
      <c r="E1181" s="126"/>
      <c r="F1181" s="128"/>
      <c r="G1181" s="128"/>
      <c r="H1181" s="128"/>
      <c r="I1181" s="128"/>
      <c r="J1181" s="128"/>
      <c r="K1181" s="129"/>
      <c r="L1181" s="129"/>
      <c r="M1181" s="129"/>
      <c r="N1181" s="129"/>
      <c r="O1181" s="129"/>
      <c r="P1181" s="129"/>
      <c r="Q1181" s="129"/>
      <c r="R1181" s="132"/>
      <c r="S1181" s="132"/>
      <c r="T1181" s="135"/>
      <c r="U1181" s="132"/>
      <c r="V1181" s="129"/>
      <c r="W1181" s="132"/>
      <c r="X1181" s="133"/>
      <c r="Y1181" s="132"/>
    </row>
    <row r="1182" spans="1:25" ht="15.75" customHeight="1">
      <c r="A1182" s="125"/>
      <c r="B1182" s="125"/>
      <c r="C1182" s="125"/>
      <c r="D1182" s="125"/>
      <c r="E1182" s="126"/>
      <c r="F1182" s="128"/>
      <c r="G1182" s="128"/>
      <c r="H1182" s="128"/>
      <c r="I1182" s="128"/>
      <c r="J1182" s="128"/>
      <c r="K1182" s="129"/>
      <c r="L1182" s="129"/>
      <c r="M1182" s="129"/>
      <c r="N1182" s="129"/>
      <c r="O1182" s="129"/>
      <c r="P1182" s="129"/>
      <c r="Q1182" s="129"/>
      <c r="R1182" s="132"/>
      <c r="S1182" s="132"/>
      <c r="T1182" s="135"/>
      <c r="U1182" s="132"/>
      <c r="V1182" s="129"/>
      <c r="W1182" s="132"/>
      <c r="X1182" s="133"/>
      <c r="Y1182" s="132"/>
    </row>
    <row r="1183" spans="1:25" ht="15.75" customHeight="1">
      <c r="A1183" s="125"/>
      <c r="B1183" s="125"/>
      <c r="C1183" s="125"/>
      <c r="D1183" s="125"/>
      <c r="E1183" s="126"/>
      <c r="F1183" s="128"/>
      <c r="G1183" s="128"/>
      <c r="H1183" s="128"/>
      <c r="I1183" s="128"/>
      <c r="J1183" s="128"/>
      <c r="K1183" s="129"/>
      <c r="L1183" s="129"/>
      <c r="M1183" s="129"/>
      <c r="N1183" s="129"/>
      <c r="O1183" s="129"/>
      <c r="P1183" s="129"/>
      <c r="Q1183" s="129"/>
      <c r="R1183" s="132"/>
      <c r="S1183" s="132"/>
      <c r="T1183" s="135"/>
      <c r="U1183" s="132"/>
      <c r="V1183" s="129"/>
      <c r="W1183" s="132"/>
      <c r="X1183" s="133"/>
      <c r="Y1183" s="132"/>
    </row>
    <row r="1184" spans="1:25" ht="15.75" customHeight="1">
      <c r="A1184" s="125"/>
      <c r="B1184" s="125"/>
      <c r="C1184" s="125"/>
      <c r="D1184" s="125"/>
      <c r="E1184" s="126"/>
      <c r="F1184" s="128"/>
      <c r="G1184" s="128"/>
      <c r="H1184" s="128"/>
      <c r="I1184" s="128"/>
      <c r="J1184" s="128"/>
      <c r="K1184" s="129"/>
      <c r="L1184" s="129"/>
      <c r="M1184" s="129"/>
      <c r="N1184" s="129"/>
      <c r="O1184" s="129"/>
      <c r="P1184" s="129"/>
      <c r="Q1184" s="129"/>
      <c r="R1184" s="132"/>
      <c r="S1184" s="132"/>
      <c r="T1184" s="135"/>
      <c r="U1184" s="132"/>
      <c r="V1184" s="129"/>
      <c r="W1184" s="132"/>
      <c r="X1184" s="133"/>
      <c r="Y1184" s="132"/>
    </row>
    <row r="1185" spans="1:25" ht="15.75" customHeight="1">
      <c r="A1185" s="125"/>
      <c r="B1185" s="125"/>
      <c r="C1185" s="125"/>
      <c r="D1185" s="125"/>
      <c r="E1185" s="126"/>
      <c r="F1185" s="128"/>
      <c r="G1185" s="128"/>
      <c r="H1185" s="128"/>
      <c r="I1185" s="128"/>
      <c r="J1185" s="128"/>
      <c r="K1185" s="129"/>
      <c r="L1185" s="129"/>
      <c r="M1185" s="129"/>
      <c r="N1185" s="129"/>
      <c r="O1185" s="129"/>
      <c r="P1185" s="129"/>
      <c r="Q1185" s="129"/>
      <c r="R1185" s="132"/>
      <c r="S1185" s="132"/>
      <c r="T1185" s="135"/>
      <c r="U1185" s="132"/>
      <c r="V1185" s="129"/>
      <c r="W1185" s="132"/>
      <c r="X1185" s="133"/>
      <c r="Y1185" s="132"/>
    </row>
    <row r="1186" spans="1:25" ht="15.75" customHeight="1">
      <c r="A1186" s="125"/>
      <c r="B1186" s="125"/>
      <c r="C1186" s="125"/>
      <c r="D1186" s="125"/>
      <c r="E1186" s="126"/>
      <c r="F1186" s="128"/>
      <c r="G1186" s="128"/>
      <c r="H1186" s="128"/>
      <c r="I1186" s="128"/>
      <c r="J1186" s="128"/>
      <c r="K1186" s="129"/>
      <c r="L1186" s="129"/>
      <c r="M1186" s="129"/>
      <c r="N1186" s="129"/>
      <c r="O1186" s="129"/>
      <c r="P1186" s="129"/>
      <c r="Q1186" s="129"/>
      <c r="R1186" s="132"/>
      <c r="S1186" s="132"/>
      <c r="T1186" s="135"/>
      <c r="U1186" s="132"/>
      <c r="V1186" s="129"/>
      <c r="W1186" s="132"/>
      <c r="X1186" s="133"/>
      <c r="Y1186" s="132"/>
    </row>
    <row r="1187" spans="1:25" ht="15.75" customHeight="1">
      <c r="A1187" s="125"/>
      <c r="B1187" s="125"/>
      <c r="C1187" s="125"/>
      <c r="D1187" s="125"/>
      <c r="E1187" s="126"/>
      <c r="F1187" s="128"/>
      <c r="G1187" s="128"/>
      <c r="H1187" s="128"/>
      <c r="I1187" s="128"/>
      <c r="J1187" s="128"/>
      <c r="K1187" s="129"/>
      <c r="L1187" s="129"/>
      <c r="M1187" s="129"/>
      <c r="N1187" s="129"/>
      <c r="O1187" s="129"/>
      <c r="P1187" s="129"/>
      <c r="Q1187" s="129"/>
      <c r="R1187" s="132"/>
      <c r="S1187" s="132"/>
      <c r="T1187" s="135"/>
      <c r="U1187" s="132"/>
      <c r="V1187" s="129"/>
      <c r="W1187" s="132"/>
      <c r="X1187" s="133"/>
      <c r="Y1187" s="132"/>
    </row>
    <row r="1188" spans="1:25" ht="15.75" customHeight="1">
      <c r="A1188" s="125"/>
      <c r="B1188" s="125"/>
      <c r="C1188" s="125"/>
      <c r="D1188" s="125"/>
      <c r="E1188" s="126"/>
      <c r="F1188" s="128"/>
      <c r="G1188" s="128"/>
      <c r="H1188" s="128"/>
      <c r="I1188" s="128"/>
      <c r="J1188" s="128"/>
      <c r="K1188" s="129"/>
      <c r="L1188" s="129"/>
      <c r="M1188" s="129"/>
      <c r="N1188" s="129"/>
      <c r="O1188" s="129"/>
      <c r="P1188" s="129"/>
      <c r="Q1188" s="129"/>
      <c r="R1188" s="132"/>
      <c r="S1188" s="132"/>
      <c r="T1188" s="135"/>
      <c r="U1188" s="132"/>
      <c r="V1188" s="129"/>
      <c r="W1188" s="132"/>
      <c r="X1188" s="133"/>
      <c r="Y1188" s="132"/>
    </row>
    <row r="1189" spans="1:25" ht="15.75" customHeight="1">
      <c r="A1189" s="125"/>
      <c r="B1189" s="125"/>
      <c r="C1189" s="125"/>
      <c r="D1189" s="125"/>
      <c r="E1189" s="126"/>
      <c r="F1189" s="128"/>
      <c r="G1189" s="128"/>
      <c r="H1189" s="128"/>
      <c r="I1189" s="128"/>
      <c r="J1189" s="128"/>
      <c r="K1189" s="129"/>
      <c r="L1189" s="129"/>
      <c r="M1189" s="129"/>
      <c r="N1189" s="129"/>
      <c r="O1189" s="129"/>
      <c r="P1189" s="129"/>
      <c r="Q1189" s="129"/>
      <c r="R1189" s="132"/>
      <c r="S1189" s="132"/>
      <c r="T1189" s="135"/>
      <c r="U1189" s="132"/>
      <c r="V1189" s="129"/>
      <c r="W1189" s="132"/>
      <c r="X1189" s="133"/>
      <c r="Y1189" s="132"/>
    </row>
    <row r="1190" spans="1:25" ht="15.75" customHeight="1">
      <c r="A1190" s="125"/>
      <c r="B1190" s="125"/>
      <c r="C1190" s="125"/>
      <c r="D1190" s="125"/>
      <c r="E1190" s="126"/>
      <c r="F1190" s="128"/>
      <c r="G1190" s="128"/>
      <c r="H1190" s="128"/>
      <c r="I1190" s="128"/>
      <c r="J1190" s="128"/>
      <c r="K1190" s="129"/>
      <c r="L1190" s="129"/>
      <c r="M1190" s="129"/>
      <c r="N1190" s="129"/>
      <c r="O1190" s="129"/>
      <c r="P1190" s="129"/>
      <c r="Q1190" s="129"/>
      <c r="R1190" s="132"/>
      <c r="S1190" s="132"/>
      <c r="T1190" s="135"/>
      <c r="U1190" s="132"/>
      <c r="V1190" s="129"/>
      <c r="W1190" s="132"/>
      <c r="X1190" s="133"/>
      <c r="Y1190" s="132"/>
    </row>
    <row r="1191" spans="1:25" ht="15.75" customHeight="1">
      <c r="A1191" s="125"/>
      <c r="B1191" s="125"/>
      <c r="C1191" s="125"/>
      <c r="D1191" s="125"/>
      <c r="E1191" s="126"/>
      <c r="F1191" s="128"/>
      <c r="G1191" s="128"/>
      <c r="H1191" s="128"/>
      <c r="I1191" s="128"/>
      <c r="J1191" s="128"/>
      <c r="K1191" s="129"/>
      <c r="L1191" s="129"/>
      <c r="M1191" s="129"/>
      <c r="N1191" s="129"/>
      <c r="O1191" s="129"/>
      <c r="P1191" s="129"/>
      <c r="Q1191" s="129"/>
      <c r="R1191" s="132"/>
      <c r="S1191" s="132"/>
      <c r="T1191" s="135"/>
      <c r="U1191" s="132"/>
      <c r="V1191" s="129"/>
      <c r="W1191" s="132"/>
      <c r="X1191" s="133"/>
      <c r="Y1191" s="132"/>
    </row>
    <row r="1192" spans="1:25" ht="15.75" customHeight="1">
      <c r="A1192" s="125"/>
      <c r="B1192" s="125"/>
      <c r="C1192" s="125"/>
      <c r="D1192" s="125"/>
      <c r="E1192" s="126"/>
      <c r="F1192" s="128"/>
      <c r="G1192" s="128"/>
      <c r="H1192" s="128"/>
      <c r="I1192" s="128"/>
      <c r="J1192" s="128"/>
      <c r="K1192" s="129"/>
      <c r="L1192" s="129"/>
      <c r="M1192" s="129"/>
      <c r="N1192" s="129"/>
      <c r="O1192" s="129"/>
      <c r="P1192" s="129"/>
      <c r="Q1192" s="129"/>
      <c r="R1192" s="132"/>
      <c r="S1192" s="132"/>
      <c r="T1192" s="135"/>
      <c r="U1192" s="132"/>
      <c r="V1192" s="129"/>
      <c r="W1192" s="132"/>
      <c r="X1192" s="133"/>
      <c r="Y1192" s="132"/>
    </row>
    <row r="1193" spans="1:25" ht="15.75" customHeight="1">
      <c r="A1193" s="125"/>
      <c r="B1193" s="125"/>
      <c r="C1193" s="125"/>
      <c r="D1193" s="125"/>
      <c r="E1193" s="126"/>
      <c r="F1193" s="128"/>
      <c r="G1193" s="128"/>
      <c r="H1193" s="128"/>
      <c r="I1193" s="128"/>
      <c r="J1193" s="128"/>
      <c r="K1193" s="129"/>
      <c r="L1193" s="129"/>
      <c r="M1193" s="129"/>
      <c r="N1193" s="129"/>
      <c r="O1193" s="129"/>
      <c r="P1193" s="129"/>
      <c r="Q1193" s="129"/>
      <c r="R1193" s="132"/>
      <c r="S1193" s="132"/>
      <c r="T1193" s="135"/>
      <c r="U1193" s="132"/>
      <c r="V1193" s="129"/>
      <c r="W1193" s="132"/>
      <c r="X1193" s="133"/>
      <c r="Y1193" s="132"/>
    </row>
    <row r="1194" spans="1:25" ht="15.75" customHeight="1">
      <c r="A1194" s="125"/>
      <c r="B1194" s="125"/>
      <c r="C1194" s="125"/>
      <c r="D1194" s="125"/>
      <c r="E1194" s="126"/>
      <c r="F1194" s="128"/>
      <c r="G1194" s="128"/>
      <c r="H1194" s="128"/>
      <c r="I1194" s="128"/>
      <c r="J1194" s="128"/>
      <c r="K1194" s="129"/>
      <c r="L1194" s="129"/>
      <c r="M1194" s="129"/>
      <c r="N1194" s="129"/>
      <c r="O1194" s="129"/>
      <c r="P1194" s="129"/>
      <c r="Q1194" s="129"/>
      <c r="R1194" s="132"/>
      <c r="S1194" s="132"/>
      <c r="T1194" s="135"/>
      <c r="U1194" s="132"/>
      <c r="V1194" s="129"/>
      <c r="W1194" s="132"/>
      <c r="X1194" s="133"/>
      <c r="Y1194" s="132"/>
    </row>
    <row r="1195" spans="1:25" ht="15.75" customHeight="1">
      <c r="A1195" s="125"/>
      <c r="B1195" s="125"/>
      <c r="C1195" s="125"/>
      <c r="D1195" s="125"/>
      <c r="E1195" s="126"/>
      <c r="F1195" s="128"/>
      <c r="G1195" s="128"/>
      <c r="H1195" s="128"/>
      <c r="I1195" s="128"/>
      <c r="J1195" s="128"/>
      <c r="K1195" s="129"/>
      <c r="L1195" s="129"/>
      <c r="M1195" s="129"/>
      <c r="N1195" s="129"/>
      <c r="O1195" s="129"/>
      <c r="P1195" s="129"/>
      <c r="Q1195" s="129"/>
      <c r="R1195" s="132"/>
      <c r="S1195" s="132"/>
      <c r="T1195" s="135"/>
      <c r="U1195" s="132"/>
      <c r="V1195" s="129"/>
      <c r="W1195" s="132"/>
      <c r="X1195" s="133"/>
      <c r="Y1195" s="132"/>
    </row>
    <row r="1196" spans="1:25" ht="15.75" customHeight="1">
      <c r="A1196" s="125"/>
      <c r="B1196" s="125"/>
      <c r="C1196" s="125"/>
      <c r="D1196" s="125"/>
      <c r="E1196" s="126"/>
      <c r="F1196" s="128"/>
      <c r="G1196" s="128"/>
      <c r="H1196" s="128"/>
      <c r="I1196" s="128"/>
      <c r="J1196" s="128"/>
      <c r="K1196" s="129"/>
      <c r="L1196" s="129"/>
      <c r="M1196" s="129"/>
      <c r="N1196" s="129"/>
      <c r="O1196" s="129"/>
      <c r="P1196" s="129"/>
      <c r="Q1196" s="129"/>
      <c r="R1196" s="132"/>
      <c r="S1196" s="132"/>
      <c r="T1196" s="135"/>
      <c r="U1196" s="132"/>
      <c r="V1196" s="129"/>
      <c r="W1196" s="132"/>
      <c r="X1196" s="133"/>
      <c r="Y1196" s="132"/>
    </row>
    <row r="1197" spans="1:25" ht="15.75" customHeight="1">
      <c r="A1197" s="125"/>
      <c r="B1197" s="125"/>
      <c r="C1197" s="125"/>
      <c r="D1197" s="125"/>
      <c r="E1197" s="126"/>
      <c r="F1197" s="128"/>
      <c r="G1197" s="128"/>
      <c r="H1197" s="128"/>
      <c r="I1197" s="128"/>
      <c r="J1197" s="128"/>
      <c r="K1197" s="129"/>
      <c r="L1197" s="129"/>
      <c r="M1197" s="129"/>
      <c r="N1197" s="129"/>
      <c r="O1197" s="129"/>
      <c r="P1197" s="129"/>
      <c r="Q1197" s="129"/>
      <c r="R1197" s="132"/>
      <c r="S1197" s="132"/>
      <c r="T1197" s="135"/>
      <c r="U1197" s="132"/>
      <c r="V1197" s="129"/>
      <c r="W1197" s="132"/>
      <c r="X1197" s="133"/>
      <c r="Y1197" s="132"/>
    </row>
    <row r="1198" spans="1:25" ht="15.75" customHeight="1">
      <c r="A1198" s="125"/>
      <c r="B1198" s="125"/>
      <c r="C1198" s="125"/>
      <c r="D1198" s="125"/>
      <c r="E1198" s="126"/>
      <c r="F1198" s="128"/>
      <c r="G1198" s="128"/>
      <c r="H1198" s="128"/>
      <c r="I1198" s="128"/>
      <c r="J1198" s="128"/>
      <c r="K1198" s="129"/>
      <c r="L1198" s="129"/>
      <c r="M1198" s="129"/>
      <c r="N1198" s="129"/>
      <c r="O1198" s="129"/>
      <c r="P1198" s="129"/>
      <c r="Q1198" s="129"/>
      <c r="R1198" s="132"/>
      <c r="S1198" s="132"/>
      <c r="T1198" s="135"/>
      <c r="U1198" s="132"/>
      <c r="V1198" s="129"/>
      <c r="W1198" s="132"/>
      <c r="X1198" s="133"/>
      <c r="Y1198" s="132"/>
    </row>
    <row r="1199" spans="1:25" ht="15.75" customHeight="1">
      <c r="A1199" s="125"/>
      <c r="B1199" s="125"/>
      <c r="C1199" s="125"/>
      <c r="D1199" s="125"/>
      <c r="E1199" s="126"/>
      <c r="F1199" s="128"/>
      <c r="G1199" s="128"/>
      <c r="H1199" s="128"/>
      <c r="I1199" s="128"/>
      <c r="J1199" s="128"/>
      <c r="K1199" s="129"/>
      <c r="L1199" s="129"/>
      <c r="M1199" s="129"/>
      <c r="N1199" s="129"/>
      <c r="O1199" s="129"/>
      <c r="P1199" s="129"/>
      <c r="Q1199" s="129"/>
      <c r="R1199" s="132"/>
      <c r="S1199" s="132"/>
      <c r="T1199" s="135"/>
      <c r="U1199" s="132"/>
      <c r="V1199" s="129"/>
      <c r="W1199" s="132"/>
      <c r="X1199" s="133"/>
      <c r="Y1199" s="132"/>
    </row>
    <row r="1200" spans="1:25" ht="15.75" customHeight="1">
      <c r="A1200" s="125"/>
      <c r="B1200" s="125"/>
      <c r="C1200" s="125"/>
      <c r="D1200" s="125"/>
      <c r="E1200" s="126"/>
      <c r="F1200" s="128"/>
      <c r="G1200" s="128"/>
      <c r="H1200" s="128"/>
      <c r="I1200" s="128"/>
      <c r="J1200" s="128"/>
      <c r="K1200" s="129"/>
      <c r="L1200" s="129"/>
      <c r="M1200" s="129"/>
      <c r="N1200" s="129"/>
      <c r="O1200" s="129"/>
      <c r="P1200" s="129"/>
      <c r="Q1200" s="129"/>
      <c r="R1200" s="132"/>
      <c r="S1200" s="132"/>
      <c r="T1200" s="135"/>
      <c r="U1200" s="132"/>
      <c r="V1200" s="129"/>
      <c r="W1200" s="132"/>
      <c r="X1200" s="133"/>
      <c r="Y1200" s="132"/>
    </row>
    <row r="1201" spans="1:25" ht="15.75" customHeight="1">
      <c r="A1201" s="125"/>
      <c r="B1201" s="125"/>
      <c r="C1201" s="125"/>
      <c r="D1201" s="125"/>
      <c r="E1201" s="126"/>
      <c r="F1201" s="128"/>
      <c r="G1201" s="128"/>
      <c r="H1201" s="128"/>
      <c r="I1201" s="128"/>
      <c r="J1201" s="128"/>
      <c r="K1201" s="129"/>
      <c r="L1201" s="129"/>
      <c r="M1201" s="129"/>
      <c r="N1201" s="129"/>
      <c r="O1201" s="129"/>
      <c r="P1201" s="129"/>
      <c r="Q1201" s="129"/>
      <c r="R1201" s="132"/>
      <c r="S1201" s="132"/>
      <c r="T1201" s="135"/>
      <c r="U1201" s="132"/>
      <c r="V1201" s="129"/>
      <c r="W1201" s="132"/>
      <c r="X1201" s="133"/>
      <c r="Y1201" s="132"/>
    </row>
    <row r="1202" spans="1:25" ht="15.75" customHeight="1">
      <c r="A1202" s="125"/>
      <c r="B1202" s="125"/>
      <c r="C1202" s="125"/>
      <c r="D1202" s="125"/>
      <c r="E1202" s="126"/>
      <c r="F1202" s="128"/>
      <c r="G1202" s="128"/>
      <c r="H1202" s="128"/>
      <c r="I1202" s="128"/>
      <c r="J1202" s="128"/>
      <c r="K1202" s="129"/>
      <c r="L1202" s="129"/>
      <c r="M1202" s="129"/>
      <c r="N1202" s="129"/>
      <c r="O1202" s="129"/>
      <c r="P1202" s="129"/>
      <c r="Q1202" s="129"/>
      <c r="R1202" s="132"/>
      <c r="S1202" s="132"/>
      <c r="T1202" s="135"/>
      <c r="U1202" s="132"/>
      <c r="V1202" s="129"/>
      <c r="W1202" s="132"/>
      <c r="X1202" s="133"/>
      <c r="Y1202" s="132"/>
    </row>
    <row r="1203" spans="1:25" ht="15.75" customHeight="1">
      <c r="A1203" s="125"/>
      <c r="B1203" s="125"/>
      <c r="C1203" s="125"/>
      <c r="D1203" s="125"/>
      <c r="E1203" s="126"/>
      <c r="F1203" s="128"/>
      <c r="G1203" s="128"/>
      <c r="H1203" s="128"/>
      <c r="I1203" s="128"/>
      <c r="J1203" s="128"/>
      <c r="K1203" s="129"/>
      <c r="L1203" s="129"/>
      <c r="M1203" s="129"/>
      <c r="N1203" s="129"/>
      <c r="O1203" s="129"/>
      <c r="P1203" s="129"/>
      <c r="Q1203" s="129"/>
      <c r="R1203" s="132"/>
      <c r="S1203" s="132"/>
      <c r="T1203" s="135"/>
      <c r="U1203" s="132"/>
      <c r="V1203" s="129"/>
      <c r="W1203" s="132"/>
      <c r="X1203" s="133"/>
      <c r="Y1203" s="132"/>
    </row>
    <row r="1204" spans="1:25" ht="15.75" customHeight="1">
      <c r="A1204" s="125"/>
      <c r="B1204" s="125"/>
      <c r="C1204" s="125"/>
      <c r="D1204" s="125"/>
      <c r="E1204" s="126"/>
      <c r="F1204" s="128"/>
      <c r="G1204" s="128"/>
      <c r="H1204" s="128"/>
      <c r="I1204" s="128"/>
      <c r="J1204" s="128"/>
      <c r="K1204" s="129"/>
      <c r="L1204" s="129"/>
      <c r="M1204" s="129"/>
      <c r="N1204" s="129"/>
      <c r="O1204" s="129"/>
      <c r="P1204" s="129"/>
      <c r="Q1204" s="129"/>
      <c r="R1204" s="132"/>
      <c r="S1204" s="132"/>
      <c r="T1204" s="135"/>
      <c r="U1204" s="132"/>
      <c r="V1204" s="129"/>
      <c r="W1204" s="132"/>
      <c r="X1204" s="133"/>
      <c r="Y1204" s="132"/>
    </row>
    <row r="1205" spans="1:25" ht="15.75" customHeight="1">
      <c r="A1205" s="125"/>
      <c r="B1205" s="125"/>
      <c r="C1205" s="125"/>
      <c r="D1205" s="125"/>
      <c r="E1205" s="126"/>
      <c r="F1205" s="128"/>
      <c r="G1205" s="128"/>
      <c r="H1205" s="128"/>
      <c r="I1205" s="128"/>
      <c r="J1205" s="128"/>
      <c r="K1205" s="129"/>
      <c r="L1205" s="129"/>
      <c r="M1205" s="129"/>
      <c r="N1205" s="129"/>
      <c r="O1205" s="129"/>
      <c r="P1205" s="129"/>
      <c r="Q1205" s="129"/>
      <c r="R1205" s="132"/>
      <c r="S1205" s="132"/>
      <c r="T1205" s="135"/>
      <c r="U1205" s="132"/>
      <c r="V1205" s="129"/>
      <c r="W1205" s="132"/>
      <c r="X1205" s="133"/>
      <c r="Y1205" s="132"/>
    </row>
    <row r="1206" spans="1:25" ht="15.75" customHeight="1">
      <c r="A1206" s="125"/>
      <c r="B1206" s="125"/>
      <c r="C1206" s="125"/>
      <c r="D1206" s="125"/>
      <c r="E1206" s="126"/>
      <c r="F1206" s="128"/>
      <c r="G1206" s="128"/>
      <c r="H1206" s="128"/>
      <c r="I1206" s="128"/>
      <c r="J1206" s="128"/>
      <c r="K1206" s="129"/>
      <c r="L1206" s="129"/>
      <c r="M1206" s="129"/>
      <c r="N1206" s="129"/>
      <c r="O1206" s="129"/>
      <c r="P1206" s="129"/>
      <c r="Q1206" s="129"/>
      <c r="R1206" s="132"/>
      <c r="S1206" s="132"/>
      <c r="T1206" s="135"/>
      <c r="U1206" s="132"/>
      <c r="V1206" s="129"/>
      <c r="W1206" s="132"/>
      <c r="X1206" s="133"/>
      <c r="Y1206" s="132"/>
    </row>
    <row r="1207" spans="1:25" ht="15.75" customHeight="1">
      <c r="A1207" s="125"/>
      <c r="B1207" s="125"/>
      <c r="C1207" s="125"/>
      <c r="D1207" s="125"/>
      <c r="E1207" s="126"/>
      <c r="F1207" s="128"/>
      <c r="G1207" s="128"/>
      <c r="H1207" s="128"/>
      <c r="I1207" s="128"/>
      <c r="J1207" s="128"/>
      <c r="K1207" s="129"/>
      <c r="L1207" s="129"/>
      <c r="M1207" s="129"/>
      <c r="N1207" s="129"/>
      <c r="O1207" s="129"/>
      <c r="P1207" s="129"/>
      <c r="Q1207" s="129"/>
      <c r="R1207" s="132"/>
      <c r="S1207" s="132"/>
      <c r="T1207" s="135"/>
      <c r="U1207" s="132"/>
      <c r="V1207" s="129"/>
      <c r="W1207" s="132"/>
      <c r="X1207" s="133"/>
      <c r="Y1207" s="132"/>
    </row>
    <row r="1208" spans="1:25" ht="15.75" customHeight="1">
      <c r="A1208" s="125"/>
      <c r="B1208" s="125"/>
      <c r="C1208" s="125"/>
      <c r="D1208" s="125"/>
      <c r="E1208" s="126"/>
      <c r="F1208" s="128"/>
      <c r="G1208" s="128"/>
      <c r="H1208" s="128"/>
      <c r="I1208" s="128"/>
      <c r="J1208" s="128"/>
      <c r="K1208" s="129"/>
      <c r="L1208" s="129"/>
      <c r="M1208" s="129"/>
      <c r="N1208" s="129"/>
      <c r="O1208" s="129"/>
      <c r="P1208" s="129"/>
      <c r="Q1208" s="129"/>
      <c r="R1208" s="132"/>
      <c r="S1208" s="132"/>
      <c r="T1208" s="135"/>
      <c r="U1208" s="132"/>
      <c r="V1208" s="129"/>
      <c r="W1208" s="132"/>
      <c r="X1208" s="133"/>
      <c r="Y1208" s="132"/>
    </row>
    <row r="1209" spans="1:25" ht="15.75" customHeight="1">
      <c r="A1209" s="125"/>
      <c r="B1209" s="125"/>
      <c r="C1209" s="125"/>
      <c r="D1209" s="125"/>
      <c r="E1209" s="126"/>
      <c r="F1209" s="128"/>
      <c r="G1209" s="128"/>
      <c r="H1209" s="128"/>
      <c r="I1209" s="128"/>
      <c r="J1209" s="128"/>
      <c r="K1209" s="129"/>
      <c r="L1209" s="129"/>
      <c r="M1209" s="129"/>
      <c r="N1209" s="129"/>
      <c r="O1209" s="129"/>
      <c r="P1209" s="129"/>
      <c r="Q1209" s="129"/>
      <c r="R1209" s="132"/>
      <c r="S1209" s="132"/>
      <c r="T1209" s="135"/>
      <c r="U1209" s="132"/>
      <c r="V1209" s="129"/>
      <c r="W1209" s="132"/>
      <c r="X1209" s="133"/>
      <c r="Y1209" s="132"/>
    </row>
    <row r="1210" spans="1:25" ht="15.75" customHeight="1">
      <c r="A1210" s="125"/>
      <c r="B1210" s="125"/>
      <c r="C1210" s="125"/>
      <c r="D1210" s="125"/>
      <c r="E1210" s="126"/>
      <c r="F1210" s="128"/>
      <c r="G1210" s="128"/>
      <c r="H1210" s="128"/>
      <c r="I1210" s="128"/>
      <c r="J1210" s="128"/>
      <c r="K1210" s="129"/>
      <c r="L1210" s="129"/>
      <c r="M1210" s="129"/>
      <c r="N1210" s="129"/>
      <c r="O1210" s="129"/>
      <c r="P1210" s="129"/>
      <c r="Q1210" s="129"/>
      <c r="R1210" s="132"/>
      <c r="S1210" s="132"/>
      <c r="T1210" s="135"/>
      <c r="U1210" s="132"/>
      <c r="V1210" s="129"/>
      <c r="W1210" s="132"/>
      <c r="X1210" s="133"/>
      <c r="Y1210" s="132"/>
    </row>
    <row r="1211" spans="1:25" ht="15.75" customHeight="1">
      <c r="A1211" s="125"/>
      <c r="B1211" s="125"/>
      <c r="C1211" s="125"/>
      <c r="D1211" s="125"/>
      <c r="E1211" s="126"/>
      <c r="F1211" s="128"/>
      <c r="G1211" s="128"/>
      <c r="H1211" s="128"/>
      <c r="I1211" s="128"/>
      <c r="J1211" s="128"/>
      <c r="K1211" s="129"/>
      <c r="L1211" s="129"/>
      <c r="M1211" s="129"/>
      <c r="N1211" s="129"/>
      <c r="O1211" s="129"/>
      <c r="P1211" s="129"/>
      <c r="Q1211" s="129"/>
      <c r="R1211" s="132"/>
      <c r="S1211" s="132"/>
      <c r="T1211" s="135"/>
      <c r="U1211" s="132"/>
      <c r="V1211" s="129"/>
      <c r="W1211" s="132"/>
      <c r="X1211" s="133"/>
      <c r="Y1211" s="132"/>
    </row>
    <row r="1212" spans="1:25" ht="15.75" customHeight="1">
      <c r="A1212" s="125"/>
      <c r="B1212" s="125"/>
      <c r="C1212" s="125"/>
      <c r="D1212" s="125"/>
      <c r="E1212" s="126"/>
      <c r="F1212" s="128"/>
      <c r="G1212" s="128"/>
      <c r="H1212" s="128"/>
      <c r="I1212" s="128"/>
      <c r="J1212" s="128"/>
      <c r="K1212" s="129"/>
      <c r="L1212" s="129"/>
      <c r="M1212" s="129"/>
      <c r="N1212" s="129"/>
      <c r="O1212" s="129"/>
      <c r="P1212" s="129"/>
      <c r="Q1212" s="129"/>
      <c r="R1212" s="132"/>
      <c r="S1212" s="132"/>
      <c r="T1212" s="135"/>
      <c r="U1212" s="132"/>
      <c r="V1212" s="129"/>
      <c r="W1212" s="132"/>
      <c r="X1212" s="133"/>
      <c r="Y1212" s="132"/>
    </row>
    <row r="1213" spans="1:25" ht="15.75" customHeight="1">
      <c r="A1213" s="125"/>
      <c r="B1213" s="125"/>
      <c r="C1213" s="125"/>
      <c r="D1213" s="125"/>
      <c r="E1213" s="126"/>
      <c r="F1213" s="128"/>
      <c r="G1213" s="128"/>
      <c r="H1213" s="128"/>
      <c r="I1213" s="128"/>
      <c r="J1213" s="128"/>
      <c r="K1213" s="129"/>
      <c r="L1213" s="129"/>
      <c r="M1213" s="129"/>
      <c r="N1213" s="129"/>
      <c r="O1213" s="129"/>
      <c r="P1213" s="129"/>
      <c r="Q1213" s="129"/>
      <c r="R1213" s="132"/>
      <c r="S1213" s="132"/>
      <c r="T1213" s="135"/>
      <c r="U1213" s="132"/>
      <c r="V1213" s="129"/>
      <c r="W1213" s="132"/>
      <c r="X1213" s="133"/>
      <c r="Y1213" s="132"/>
    </row>
    <row r="1214" spans="1:25" ht="15.75" customHeight="1">
      <c r="A1214" s="125"/>
      <c r="B1214" s="125"/>
      <c r="C1214" s="125"/>
      <c r="D1214" s="125"/>
      <c r="E1214" s="126"/>
      <c r="F1214" s="128"/>
      <c r="G1214" s="128"/>
      <c r="H1214" s="128"/>
      <c r="I1214" s="128"/>
      <c r="J1214" s="128"/>
      <c r="K1214" s="129"/>
      <c r="L1214" s="129"/>
      <c r="M1214" s="129"/>
      <c r="N1214" s="129"/>
      <c r="O1214" s="129"/>
      <c r="P1214" s="129"/>
      <c r="Q1214" s="129"/>
      <c r="R1214" s="132"/>
      <c r="S1214" s="132"/>
      <c r="T1214" s="135"/>
      <c r="U1214" s="132"/>
      <c r="V1214" s="129"/>
      <c r="W1214" s="132"/>
      <c r="X1214" s="133"/>
      <c r="Y1214" s="132"/>
    </row>
    <row r="1215" spans="1:25" ht="15.75" customHeight="1">
      <c r="A1215" s="125"/>
      <c r="B1215" s="125"/>
      <c r="C1215" s="125"/>
      <c r="D1215" s="125"/>
      <c r="E1215" s="126"/>
      <c r="F1215" s="128"/>
      <c r="G1215" s="128"/>
      <c r="H1215" s="128"/>
      <c r="I1215" s="128"/>
      <c r="J1215" s="128"/>
      <c r="K1215" s="129"/>
      <c r="L1215" s="129"/>
      <c r="M1215" s="129"/>
      <c r="N1215" s="129"/>
      <c r="O1215" s="129"/>
      <c r="P1215" s="129"/>
      <c r="Q1215" s="129"/>
      <c r="R1215" s="132"/>
      <c r="S1215" s="132"/>
      <c r="T1215" s="135"/>
      <c r="U1215" s="132"/>
      <c r="V1215" s="129"/>
      <c r="W1215" s="132"/>
      <c r="X1215" s="133"/>
      <c r="Y1215" s="132"/>
    </row>
    <row r="1216" spans="1:25" ht="15.75" customHeight="1">
      <c r="A1216" s="125"/>
      <c r="B1216" s="125"/>
      <c r="C1216" s="125"/>
      <c r="D1216" s="125"/>
      <c r="E1216" s="126"/>
      <c r="F1216" s="128"/>
      <c r="G1216" s="128"/>
      <c r="H1216" s="128"/>
      <c r="I1216" s="128"/>
      <c r="J1216" s="128"/>
      <c r="K1216" s="129"/>
      <c r="L1216" s="129"/>
      <c r="M1216" s="129"/>
      <c r="N1216" s="129"/>
      <c r="O1216" s="129"/>
      <c r="P1216" s="129"/>
      <c r="Q1216" s="129"/>
      <c r="R1216" s="132"/>
      <c r="S1216" s="132"/>
      <c r="T1216" s="135"/>
      <c r="U1216" s="132"/>
      <c r="V1216" s="129"/>
      <c r="W1216" s="132"/>
      <c r="X1216" s="133"/>
      <c r="Y1216" s="132"/>
    </row>
    <row r="1217" spans="1:25" ht="15.75" customHeight="1">
      <c r="A1217" s="125"/>
      <c r="B1217" s="125"/>
      <c r="C1217" s="125"/>
      <c r="D1217" s="125"/>
      <c r="E1217" s="126"/>
      <c r="F1217" s="128"/>
      <c r="G1217" s="128"/>
      <c r="H1217" s="128"/>
      <c r="I1217" s="128"/>
      <c r="J1217" s="128"/>
      <c r="K1217" s="129"/>
      <c r="L1217" s="129"/>
      <c r="M1217" s="129"/>
      <c r="N1217" s="129"/>
      <c r="O1217" s="129"/>
      <c r="P1217" s="129"/>
      <c r="Q1217" s="129"/>
      <c r="R1217" s="132"/>
      <c r="S1217" s="132"/>
      <c r="T1217" s="135"/>
      <c r="U1217" s="132"/>
      <c r="V1217" s="129"/>
      <c r="W1217" s="132"/>
      <c r="X1217" s="133"/>
      <c r="Y1217" s="132"/>
    </row>
    <row r="1218" spans="1:25" ht="15.75" customHeight="1">
      <c r="A1218" s="125"/>
      <c r="B1218" s="125"/>
      <c r="C1218" s="125"/>
      <c r="D1218" s="125"/>
      <c r="E1218" s="126"/>
      <c r="F1218" s="128"/>
      <c r="G1218" s="128"/>
      <c r="H1218" s="128"/>
      <c r="I1218" s="128"/>
      <c r="J1218" s="128"/>
      <c r="K1218" s="129"/>
      <c r="L1218" s="129"/>
      <c r="M1218" s="129"/>
      <c r="N1218" s="129"/>
      <c r="O1218" s="129"/>
      <c r="P1218" s="129"/>
      <c r="Q1218" s="129"/>
      <c r="R1218" s="132"/>
      <c r="S1218" s="132"/>
      <c r="T1218" s="135"/>
      <c r="U1218" s="132"/>
      <c r="V1218" s="129"/>
      <c r="W1218" s="132"/>
      <c r="X1218" s="133"/>
      <c r="Y1218" s="132"/>
    </row>
    <row r="1219" spans="1:25" ht="15.75" customHeight="1">
      <c r="A1219" s="125"/>
      <c r="B1219" s="125"/>
      <c r="C1219" s="125"/>
      <c r="D1219" s="125"/>
      <c r="E1219" s="126"/>
      <c r="F1219" s="128"/>
      <c r="G1219" s="128"/>
      <c r="H1219" s="128"/>
      <c r="I1219" s="128"/>
      <c r="J1219" s="128"/>
      <c r="K1219" s="129"/>
      <c r="L1219" s="129"/>
      <c r="M1219" s="129"/>
      <c r="N1219" s="129"/>
      <c r="O1219" s="129"/>
      <c r="P1219" s="129"/>
      <c r="Q1219" s="129"/>
      <c r="R1219" s="132"/>
      <c r="S1219" s="132"/>
      <c r="T1219" s="135"/>
      <c r="U1219" s="132"/>
      <c r="V1219" s="129"/>
      <c r="W1219" s="132"/>
      <c r="X1219" s="133"/>
      <c r="Y1219" s="132"/>
    </row>
    <row r="1220" spans="1:25" ht="15.75" customHeight="1">
      <c r="A1220" s="125"/>
      <c r="B1220" s="125"/>
      <c r="C1220" s="125"/>
      <c r="D1220" s="125"/>
      <c r="E1220" s="126"/>
      <c r="F1220" s="128"/>
      <c r="G1220" s="128"/>
      <c r="H1220" s="128"/>
      <c r="I1220" s="128"/>
      <c r="J1220" s="128"/>
      <c r="K1220" s="129"/>
      <c r="L1220" s="129"/>
      <c r="M1220" s="129"/>
      <c r="N1220" s="129"/>
      <c r="O1220" s="129"/>
      <c r="P1220" s="129"/>
      <c r="Q1220" s="129"/>
      <c r="R1220" s="132"/>
      <c r="S1220" s="132"/>
      <c r="T1220" s="135"/>
      <c r="U1220" s="132"/>
      <c r="V1220" s="129"/>
      <c r="W1220" s="132"/>
      <c r="X1220" s="133"/>
      <c r="Y1220" s="132"/>
    </row>
    <row r="1221" spans="1:25" ht="15.75" customHeight="1">
      <c r="A1221" s="125"/>
      <c r="B1221" s="125"/>
      <c r="C1221" s="125"/>
      <c r="D1221" s="125"/>
      <c r="E1221" s="126"/>
      <c r="F1221" s="128"/>
      <c r="G1221" s="128"/>
      <c r="H1221" s="128"/>
      <c r="I1221" s="128"/>
      <c r="J1221" s="128"/>
      <c r="K1221" s="129"/>
      <c r="L1221" s="129"/>
      <c r="M1221" s="129"/>
      <c r="N1221" s="129"/>
      <c r="O1221" s="129"/>
      <c r="P1221" s="129"/>
      <c r="Q1221" s="129"/>
      <c r="R1221" s="132"/>
      <c r="S1221" s="132"/>
      <c r="T1221" s="135"/>
      <c r="U1221" s="132"/>
      <c r="V1221" s="129"/>
      <c r="W1221" s="132"/>
      <c r="X1221" s="133"/>
      <c r="Y1221" s="132"/>
    </row>
    <row r="1222" spans="1:25" ht="15.75" customHeight="1">
      <c r="A1222" s="125"/>
      <c r="B1222" s="125"/>
      <c r="C1222" s="125"/>
      <c r="D1222" s="125"/>
      <c r="E1222" s="126"/>
      <c r="F1222" s="128"/>
      <c r="G1222" s="128"/>
      <c r="H1222" s="128"/>
      <c r="I1222" s="128"/>
      <c r="J1222" s="128"/>
      <c r="K1222" s="129"/>
      <c r="L1222" s="129"/>
      <c r="M1222" s="129"/>
      <c r="N1222" s="129"/>
      <c r="O1222" s="129"/>
      <c r="P1222" s="129"/>
      <c r="Q1222" s="129"/>
      <c r="R1222" s="132"/>
      <c r="S1222" s="132"/>
      <c r="T1222" s="135"/>
      <c r="U1222" s="132"/>
      <c r="V1222" s="129"/>
      <c r="W1222" s="132"/>
      <c r="X1222" s="133"/>
      <c r="Y1222" s="132"/>
    </row>
    <row r="1223" spans="1:25" ht="15.75" customHeight="1">
      <c r="A1223" s="125"/>
      <c r="B1223" s="125"/>
      <c r="C1223" s="125"/>
      <c r="D1223" s="125"/>
      <c r="E1223" s="126"/>
      <c r="F1223" s="128"/>
      <c r="G1223" s="128"/>
      <c r="H1223" s="128"/>
      <c r="I1223" s="128"/>
      <c r="J1223" s="128"/>
      <c r="K1223" s="129"/>
      <c r="L1223" s="129"/>
      <c r="M1223" s="129"/>
      <c r="N1223" s="129"/>
      <c r="O1223" s="129"/>
      <c r="P1223" s="129"/>
      <c r="Q1223" s="129"/>
      <c r="R1223" s="132"/>
      <c r="S1223" s="132"/>
      <c r="T1223" s="135"/>
      <c r="U1223" s="132"/>
      <c r="V1223" s="129"/>
      <c r="W1223" s="132"/>
      <c r="X1223" s="133"/>
      <c r="Y1223" s="132"/>
    </row>
    <row r="1224" spans="1:25" ht="15.75" customHeight="1">
      <c r="A1224" s="125"/>
      <c r="B1224" s="125"/>
      <c r="C1224" s="125"/>
      <c r="D1224" s="125"/>
      <c r="E1224" s="126"/>
      <c r="F1224" s="128"/>
      <c r="G1224" s="128"/>
      <c r="H1224" s="128"/>
      <c r="I1224" s="128"/>
      <c r="J1224" s="128"/>
      <c r="K1224" s="129"/>
      <c r="L1224" s="129"/>
      <c r="M1224" s="129"/>
      <c r="N1224" s="129"/>
      <c r="O1224" s="129"/>
      <c r="P1224" s="129"/>
      <c r="Q1224" s="129"/>
      <c r="R1224" s="132"/>
      <c r="S1224" s="132"/>
      <c r="T1224" s="135"/>
      <c r="U1224" s="132"/>
      <c r="V1224" s="129"/>
      <c r="W1224" s="132"/>
      <c r="X1224" s="133"/>
      <c r="Y1224" s="132"/>
    </row>
    <row r="1225" spans="1:25" ht="15.75" customHeight="1">
      <c r="A1225" s="125"/>
      <c r="B1225" s="125"/>
      <c r="C1225" s="125"/>
      <c r="D1225" s="125"/>
      <c r="E1225" s="126"/>
      <c r="F1225" s="128"/>
      <c r="G1225" s="128"/>
      <c r="H1225" s="128"/>
      <c r="I1225" s="128"/>
      <c r="J1225" s="128"/>
      <c r="K1225" s="129"/>
      <c r="L1225" s="129"/>
      <c r="M1225" s="129"/>
      <c r="N1225" s="129"/>
      <c r="O1225" s="129"/>
      <c r="P1225" s="129"/>
      <c r="Q1225" s="129"/>
      <c r="R1225" s="132"/>
      <c r="S1225" s="132"/>
      <c r="T1225" s="135"/>
      <c r="U1225" s="132"/>
      <c r="V1225" s="129"/>
      <c r="W1225" s="132"/>
      <c r="X1225" s="133"/>
      <c r="Y1225" s="132"/>
    </row>
    <row r="1226" spans="1:25" ht="15.75" customHeight="1">
      <c r="A1226" s="125"/>
      <c r="B1226" s="125"/>
      <c r="C1226" s="125"/>
      <c r="D1226" s="125"/>
      <c r="E1226" s="126"/>
      <c r="F1226" s="128"/>
      <c r="G1226" s="128"/>
      <c r="H1226" s="128"/>
      <c r="I1226" s="128"/>
      <c r="J1226" s="128"/>
      <c r="K1226" s="129"/>
      <c r="L1226" s="129"/>
      <c r="M1226" s="129"/>
      <c r="N1226" s="129"/>
      <c r="O1226" s="129"/>
      <c r="P1226" s="129"/>
      <c r="Q1226" s="129"/>
      <c r="R1226" s="132"/>
      <c r="S1226" s="132"/>
      <c r="T1226" s="135"/>
      <c r="U1226" s="132"/>
      <c r="V1226" s="129"/>
      <c r="W1226" s="132"/>
      <c r="X1226" s="133"/>
      <c r="Y1226" s="132"/>
    </row>
    <row r="1227" spans="1:25" ht="15.75" customHeight="1">
      <c r="A1227" s="125"/>
      <c r="B1227" s="125"/>
      <c r="C1227" s="125"/>
      <c r="D1227" s="125"/>
      <c r="E1227" s="126"/>
      <c r="F1227" s="128"/>
      <c r="G1227" s="128"/>
      <c r="H1227" s="128"/>
      <c r="I1227" s="128"/>
      <c r="J1227" s="128"/>
      <c r="K1227" s="129"/>
      <c r="L1227" s="129"/>
      <c r="M1227" s="129"/>
      <c r="N1227" s="129"/>
      <c r="O1227" s="129"/>
      <c r="P1227" s="129"/>
      <c r="Q1227" s="129"/>
      <c r="R1227" s="132"/>
      <c r="S1227" s="132"/>
      <c r="T1227" s="135"/>
      <c r="U1227" s="132"/>
      <c r="V1227" s="129"/>
      <c r="W1227" s="132"/>
      <c r="X1227" s="133"/>
      <c r="Y1227" s="132"/>
    </row>
    <row r="1228" spans="1:25" ht="15.75" customHeight="1">
      <c r="A1228" s="125"/>
      <c r="B1228" s="125"/>
      <c r="C1228" s="125"/>
      <c r="D1228" s="125"/>
      <c r="E1228" s="126"/>
      <c r="F1228" s="128"/>
      <c r="G1228" s="128"/>
      <c r="H1228" s="128"/>
      <c r="I1228" s="128"/>
      <c r="J1228" s="128"/>
      <c r="K1228" s="129"/>
      <c r="L1228" s="129"/>
      <c r="M1228" s="129"/>
      <c r="N1228" s="129"/>
      <c r="O1228" s="129"/>
      <c r="P1228" s="129"/>
      <c r="Q1228" s="129"/>
      <c r="R1228" s="132"/>
      <c r="S1228" s="132"/>
      <c r="T1228" s="135"/>
      <c r="U1228" s="132"/>
      <c r="V1228" s="129"/>
      <c r="W1228" s="132"/>
      <c r="X1228" s="133"/>
      <c r="Y1228" s="132"/>
    </row>
    <row r="1229" spans="1:25" ht="15.75" customHeight="1">
      <c r="A1229" s="125"/>
      <c r="B1229" s="125"/>
      <c r="C1229" s="125"/>
      <c r="D1229" s="125"/>
      <c r="E1229" s="126"/>
      <c r="F1229" s="128"/>
      <c r="G1229" s="128"/>
      <c r="H1229" s="128"/>
      <c r="I1229" s="128"/>
      <c r="J1229" s="128"/>
      <c r="K1229" s="129"/>
      <c r="L1229" s="129"/>
      <c r="M1229" s="129"/>
      <c r="N1229" s="129"/>
      <c r="O1229" s="129"/>
      <c r="P1229" s="129"/>
      <c r="Q1229" s="129"/>
      <c r="R1229" s="132"/>
      <c r="S1229" s="132"/>
      <c r="T1229" s="135"/>
      <c r="U1229" s="132"/>
      <c r="V1229" s="129"/>
      <c r="W1229" s="132"/>
      <c r="X1229" s="133"/>
      <c r="Y1229" s="132"/>
    </row>
    <row r="1230" spans="1:25" ht="15.75" customHeight="1">
      <c r="A1230" s="125"/>
      <c r="B1230" s="125"/>
      <c r="C1230" s="125"/>
      <c r="D1230" s="125"/>
      <c r="E1230" s="126"/>
      <c r="F1230" s="128"/>
      <c r="G1230" s="128"/>
      <c r="H1230" s="128"/>
      <c r="I1230" s="128"/>
      <c r="J1230" s="128"/>
      <c r="K1230" s="129"/>
      <c r="L1230" s="129"/>
      <c r="M1230" s="129"/>
      <c r="N1230" s="129"/>
      <c r="O1230" s="129"/>
      <c r="P1230" s="129"/>
      <c r="Q1230" s="129"/>
      <c r="R1230" s="132"/>
      <c r="S1230" s="132"/>
      <c r="T1230" s="135"/>
      <c r="U1230" s="132"/>
      <c r="V1230" s="129"/>
      <c r="W1230" s="132"/>
      <c r="X1230" s="133"/>
      <c r="Y1230" s="132"/>
    </row>
    <row r="1231" spans="1:25" ht="15.75" customHeight="1">
      <c r="A1231" s="125"/>
      <c r="B1231" s="125"/>
      <c r="C1231" s="125"/>
      <c r="D1231" s="125"/>
      <c r="E1231" s="126"/>
      <c r="F1231" s="128"/>
      <c r="G1231" s="128"/>
      <c r="H1231" s="128"/>
      <c r="I1231" s="128"/>
      <c r="J1231" s="128"/>
      <c r="K1231" s="129"/>
      <c r="L1231" s="129"/>
      <c r="M1231" s="129"/>
      <c r="N1231" s="129"/>
      <c r="O1231" s="129"/>
      <c r="P1231" s="129"/>
      <c r="Q1231" s="129"/>
      <c r="R1231" s="132"/>
      <c r="S1231" s="132"/>
      <c r="T1231" s="135"/>
      <c r="U1231" s="132"/>
      <c r="V1231" s="129"/>
      <c r="W1231" s="132"/>
      <c r="X1231" s="133"/>
      <c r="Y1231" s="132"/>
    </row>
    <row r="1232" spans="1:25" ht="15.75" customHeight="1">
      <c r="A1232" s="125"/>
      <c r="B1232" s="125"/>
      <c r="C1232" s="125"/>
      <c r="D1232" s="125"/>
      <c r="E1232" s="126"/>
      <c r="F1232" s="128"/>
      <c r="G1232" s="128"/>
      <c r="H1232" s="128"/>
      <c r="I1232" s="128"/>
      <c r="J1232" s="128"/>
      <c r="K1232" s="129"/>
      <c r="L1232" s="129"/>
      <c r="M1232" s="129"/>
      <c r="N1232" s="129"/>
      <c r="O1232" s="129"/>
      <c r="P1232" s="129"/>
      <c r="Q1232" s="129"/>
      <c r="R1232" s="132"/>
      <c r="S1232" s="132"/>
      <c r="T1232" s="135"/>
      <c r="U1232" s="132"/>
      <c r="V1232" s="129"/>
      <c r="W1232" s="132"/>
      <c r="X1232" s="133"/>
      <c r="Y1232" s="132"/>
    </row>
    <row r="1233" spans="1:25" ht="15.75" customHeight="1">
      <c r="A1233" s="125"/>
      <c r="B1233" s="125"/>
      <c r="C1233" s="125"/>
      <c r="D1233" s="125"/>
      <c r="E1233" s="126"/>
      <c r="F1233" s="128"/>
      <c r="G1233" s="128"/>
      <c r="H1233" s="128"/>
      <c r="I1233" s="128"/>
      <c r="J1233" s="128"/>
      <c r="K1233" s="129"/>
      <c r="L1233" s="129"/>
      <c r="M1233" s="129"/>
      <c r="N1233" s="129"/>
      <c r="O1233" s="129"/>
      <c r="P1233" s="129"/>
      <c r="Q1233" s="129"/>
      <c r="R1233" s="132"/>
      <c r="S1233" s="132"/>
      <c r="T1233" s="135"/>
      <c r="U1233" s="132"/>
      <c r="V1233" s="129"/>
      <c r="W1233" s="132"/>
      <c r="X1233" s="133"/>
      <c r="Y1233" s="132"/>
    </row>
    <row r="1234" spans="1:25" ht="15.75" customHeight="1">
      <c r="A1234" s="125"/>
      <c r="B1234" s="125"/>
      <c r="C1234" s="125"/>
      <c r="D1234" s="125"/>
      <c r="E1234" s="126"/>
      <c r="F1234" s="128"/>
      <c r="G1234" s="128"/>
      <c r="H1234" s="128"/>
      <c r="I1234" s="128"/>
      <c r="J1234" s="128"/>
      <c r="K1234" s="129"/>
      <c r="L1234" s="129"/>
      <c r="M1234" s="129"/>
      <c r="N1234" s="129"/>
      <c r="O1234" s="129"/>
      <c r="P1234" s="129"/>
      <c r="Q1234" s="129"/>
      <c r="R1234" s="132"/>
      <c r="S1234" s="132"/>
      <c r="T1234" s="135"/>
      <c r="U1234" s="132"/>
      <c r="V1234" s="129"/>
      <c r="W1234" s="132"/>
      <c r="X1234" s="133"/>
      <c r="Y1234" s="132"/>
    </row>
    <row r="1235" spans="1:25" ht="15.75" customHeight="1">
      <c r="A1235" s="125"/>
      <c r="B1235" s="125"/>
      <c r="C1235" s="125"/>
      <c r="D1235" s="125"/>
      <c r="E1235" s="126"/>
      <c r="F1235" s="128"/>
      <c r="G1235" s="128"/>
      <c r="H1235" s="128"/>
      <c r="I1235" s="128"/>
      <c r="J1235" s="128"/>
      <c r="K1235" s="129"/>
      <c r="L1235" s="129"/>
      <c r="M1235" s="129"/>
      <c r="N1235" s="129"/>
      <c r="O1235" s="129"/>
      <c r="P1235" s="129"/>
      <c r="Q1235" s="129"/>
      <c r="R1235" s="132"/>
      <c r="S1235" s="132"/>
      <c r="T1235" s="135"/>
      <c r="U1235" s="132"/>
      <c r="V1235" s="129"/>
      <c r="W1235" s="132"/>
      <c r="X1235" s="133"/>
      <c r="Y1235" s="132"/>
    </row>
    <row r="1236" spans="1:25" ht="15.75" customHeight="1">
      <c r="A1236" s="125"/>
      <c r="B1236" s="125"/>
      <c r="C1236" s="125"/>
      <c r="D1236" s="125"/>
      <c r="E1236" s="126"/>
      <c r="F1236" s="128"/>
      <c r="G1236" s="128"/>
      <c r="H1236" s="128"/>
      <c r="I1236" s="128"/>
      <c r="J1236" s="128"/>
      <c r="K1236" s="129"/>
      <c r="L1236" s="129"/>
      <c r="M1236" s="129"/>
      <c r="N1236" s="129"/>
      <c r="O1236" s="129"/>
      <c r="P1236" s="129"/>
      <c r="Q1236" s="129"/>
      <c r="R1236" s="132"/>
      <c r="S1236" s="132"/>
      <c r="T1236" s="135"/>
      <c r="U1236" s="132"/>
      <c r="V1236" s="129"/>
      <c r="W1236" s="132"/>
      <c r="X1236" s="133"/>
      <c r="Y1236" s="132"/>
    </row>
    <row r="1237" spans="1:25" ht="15.75" customHeight="1">
      <c r="A1237" s="125"/>
      <c r="B1237" s="125"/>
      <c r="C1237" s="125"/>
      <c r="D1237" s="125"/>
      <c r="E1237" s="126"/>
      <c r="F1237" s="128"/>
      <c r="G1237" s="128"/>
      <c r="H1237" s="128"/>
      <c r="I1237" s="128"/>
      <c r="J1237" s="128"/>
      <c r="K1237" s="129"/>
      <c r="L1237" s="129"/>
      <c r="M1237" s="129"/>
      <c r="N1237" s="129"/>
      <c r="O1237" s="129"/>
      <c r="P1237" s="129"/>
      <c r="Q1237" s="129"/>
      <c r="R1237" s="132"/>
      <c r="S1237" s="132"/>
      <c r="T1237" s="135"/>
      <c r="U1237" s="132"/>
      <c r="V1237" s="129"/>
      <c r="W1237" s="132"/>
      <c r="X1237" s="133"/>
      <c r="Y1237" s="132"/>
    </row>
    <row r="1238" spans="1:25" ht="15.75" customHeight="1">
      <c r="A1238" s="125"/>
      <c r="B1238" s="125"/>
      <c r="C1238" s="125"/>
      <c r="D1238" s="125"/>
      <c r="E1238" s="126"/>
      <c r="F1238" s="128"/>
      <c r="G1238" s="128"/>
      <c r="H1238" s="128"/>
      <c r="I1238" s="128"/>
      <c r="J1238" s="128"/>
      <c r="K1238" s="129"/>
      <c r="L1238" s="129"/>
      <c r="M1238" s="129"/>
      <c r="N1238" s="129"/>
      <c r="O1238" s="129"/>
      <c r="P1238" s="129"/>
      <c r="Q1238" s="129"/>
      <c r="R1238" s="132"/>
      <c r="S1238" s="132"/>
      <c r="T1238" s="135"/>
      <c r="U1238" s="132"/>
      <c r="V1238" s="129"/>
      <c r="W1238" s="132"/>
      <c r="X1238" s="133"/>
      <c r="Y1238" s="132"/>
    </row>
    <row r="1239" spans="1:25" ht="15.75" customHeight="1">
      <c r="A1239" s="125"/>
      <c r="B1239" s="125"/>
      <c r="C1239" s="125"/>
      <c r="D1239" s="125"/>
      <c r="E1239" s="126"/>
      <c r="F1239" s="128"/>
      <c r="G1239" s="128"/>
      <c r="H1239" s="128"/>
      <c r="I1239" s="128"/>
      <c r="J1239" s="128"/>
      <c r="K1239" s="129"/>
      <c r="L1239" s="129"/>
      <c r="M1239" s="129"/>
      <c r="N1239" s="129"/>
      <c r="O1239" s="129"/>
      <c r="P1239" s="129"/>
      <c r="Q1239" s="129"/>
      <c r="R1239" s="132"/>
      <c r="S1239" s="132"/>
      <c r="T1239" s="135"/>
      <c r="U1239" s="132"/>
      <c r="V1239" s="129"/>
      <c r="W1239" s="132"/>
      <c r="X1239" s="133"/>
      <c r="Y1239" s="132"/>
    </row>
    <row r="1240" spans="1:25" ht="15.75" customHeight="1">
      <c r="A1240" s="125"/>
      <c r="B1240" s="125"/>
      <c r="C1240" s="125"/>
      <c r="D1240" s="125"/>
      <c r="E1240" s="126"/>
      <c r="F1240" s="128"/>
      <c r="G1240" s="128"/>
      <c r="H1240" s="128"/>
      <c r="I1240" s="128"/>
      <c r="J1240" s="128"/>
      <c r="K1240" s="129"/>
      <c r="L1240" s="129"/>
      <c r="M1240" s="129"/>
      <c r="N1240" s="129"/>
      <c r="O1240" s="129"/>
      <c r="P1240" s="129"/>
      <c r="Q1240" s="129"/>
      <c r="R1240" s="132"/>
      <c r="S1240" s="132"/>
      <c r="T1240" s="135"/>
      <c r="U1240" s="132"/>
      <c r="V1240" s="129"/>
      <c r="W1240" s="132"/>
      <c r="X1240" s="133"/>
      <c r="Y1240" s="132"/>
    </row>
    <row r="1241" spans="1:25" ht="15.75" customHeight="1">
      <c r="A1241" s="125"/>
      <c r="B1241" s="125"/>
      <c r="C1241" s="125"/>
      <c r="D1241" s="125"/>
      <c r="E1241" s="126"/>
      <c r="F1241" s="128"/>
      <c r="G1241" s="128"/>
      <c r="H1241" s="128"/>
      <c r="I1241" s="128"/>
      <c r="J1241" s="128"/>
      <c r="K1241" s="129"/>
      <c r="L1241" s="129"/>
      <c r="M1241" s="129"/>
      <c r="N1241" s="129"/>
      <c r="O1241" s="129"/>
      <c r="P1241" s="129"/>
      <c r="Q1241" s="129"/>
      <c r="R1241" s="132"/>
      <c r="S1241" s="132"/>
      <c r="T1241" s="135"/>
      <c r="U1241" s="132"/>
      <c r="V1241" s="129"/>
      <c r="W1241" s="132"/>
      <c r="X1241" s="133"/>
      <c r="Y1241" s="132"/>
    </row>
    <row r="1242" spans="1:25" ht="15.75" customHeight="1">
      <c r="A1242" s="125"/>
      <c r="B1242" s="125"/>
      <c r="C1242" s="125"/>
      <c r="D1242" s="125"/>
      <c r="E1242" s="126"/>
      <c r="F1242" s="128"/>
      <c r="G1242" s="128"/>
      <c r="H1242" s="128"/>
      <c r="I1242" s="128"/>
      <c r="J1242" s="128"/>
      <c r="K1242" s="129"/>
      <c r="L1242" s="129"/>
      <c r="M1242" s="129"/>
      <c r="N1242" s="129"/>
      <c r="O1242" s="129"/>
      <c r="P1242" s="129"/>
      <c r="Q1242" s="129"/>
      <c r="R1242" s="132"/>
      <c r="S1242" s="132"/>
      <c r="T1242" s="135"/>
      <c r="U1242" s="132"/>
      <c r="V1242" s="129"/>
      <c r="W1242" s="132"/>
      <c r="X1242" s="133"/>
      <c r="Y1242" s="132"/>
    </row>
    <row r="1243" spans="1:25" ht="15.75" customHeight="1">
      <c r="A1243" s="125"/>
      <c r="B1243" s="125"/>
      <c r="C1243" s="125"/>
      <c r="D1243" s="125"/>
      <c r="E1243" s="126"/>
      <c r="F1243" s="128"/>
      <c r="G1243" s="128"/>
      <c r="H1243" s="128"/>
      <c r="I1243" s="128"/>
      <c r="J1243" s="128"/>
      <c r="K1243" s="129"/>
      <c r="L1243" s="129"/>
      <c r="M1243" s="129"/>
      <c r="N1243" s="129"/>
      <c r="O1243" s="129"/>
      <c r="P1243" s="129"/>
      <c r="Q1243" s="129"/>
      <c r="R1243" s="132"/>
      <c r="S1243" s="132"/>
      <c r="T1243" s="135"/>
      <c r="U1243" s="132"/>
      <c r="V1243" s="129"/>
      <c r="W1243" s="132"/>
      <c r="X1243" s="133"/>
      <c r="Y1243" s="132"/>
    </row>
    <row r="1244" spans="1:25" ht="15.75" customHeight="1">
      <c r="A1244" s="125"/>
      <c r="B1244" s="125"/>
      <c r="C1244" s="125"/>
      <c r="D1244" s="125"/>
      <c r="E1244" s="126"/>
      <c r="F1244" s="128"/>
      <c r="G1244" s="128"/>
      <c r="H1244" s="128"/>
      <c r="I1244" s="128"/>
      <c r="J1244" s="128"/>
      <c r="K1244" s="129"/>
      <c r="L1244" s="129"/>
      <c r="M1244" s="129"/>
      <c r="N1244" s="129"/>
      <c r="O1244" s="129"/>
      <c r="P1244" s="129"/>
      <c r="Q1244" s="129"/>
      <c r="R1244" s="132"/>
      <c r="S1244" s="132"/>
      <c r="T1244" s="135"/>
      <c r="U1244" s="132"/>
      <c r="V1244" s="129"/>
      <c r="W1244" s="132"/>
      <c r="X1244" s="133"/>
      <c r="Y1244" s="132"/>
    </row>
    <row r="1245" spans="1:25" ht="15.75" customHeight="1">
      <c r="A1245" s="125"/>
      <c r="B1245" s="125"/>
      <c r="C1245" s="125"/>
      <c r="D1245" s="125"/>
      <c r="E1245" s="126"/>
      <c r="F1245" s="128"/>
      <c r="G1245" s="128"/>
      <c r="H1245" s="128"/>
      <c r="I1245" s="128"/>
      <c r="J1245" s="128"/>
      <c r="K1245" s="129"/>
      <c r="L1245" s="129"/>
      <c r="M1245" s="129"/>
      <c r="N1245" s="129"/>
      <c r="O1245" s="129"/>
      <c r="P1245" s="129"/>
      <c r="Q1245" s="129"/>
      <c r="R1245" s="132"/>
      <c r="S1245" s="132"/>
      <c r="T1245" s="135"/>
      <c r="U1245" s="132"/>
      <c r="V1245" s="129"/>
      <c r="W1245" s="132"/>
      <c r="X1245" s="133"/>
      <c r="Y1245" s="132"/>
    </row>
    <row r="1246" spans="1:25" ht="15.75" customHeight="1">
      <c r="A1246" s="125"/>
      <c r="B1246" s="125"/>
      <c r="C1246" s="125"/>
      <c r="D1246" s="125"/>
      <c r="E1246" s="126"/>
      <c r="F1246" s="128"/>
      <c r="G1246" s="128"/>
      <c r="H1246" s="128"/>
      <c r="I1246" s="128"/>
      <c r="J1246" s="128"/>
      <c r="K1246" s="129"/>
      <c r="L1246" s="129"/>
      <c r="M1246" s="129"/>
      <c r="N1246" s="129"/>
      <c r="O1246" s="129"/>
      <c r="P1246" s="129"/>
      <c r="Q1246" s="129"/>
      <c r="R1246" s="132"/>
      <c r="S1246" s="132"/>
      <c r="T1246" s="135"/>
      <c r="U1246" s="132"/>
      <c r="V1246" s="129"/>
      <c r="W1246" s="132"/>
      <c r="X1246" s="133"/>
      <c r="Y1246" s="132"/>
    </row>
    <row r="1247" spans="1:25" ht="15.75" customHeight="1">
      <c r="A1247" s="125"/>
      <c r="B1247" s="125"/>
      <c r="C1247" s="125"/>
      <c r="D1247" s="125"/>
      <c r="E1247" s="126"/>
      <c r="F1247" s="128"/>
      <c r="G1247" s="128"/>
      <c r="H1247" s="128"/>
      <c r="I1247" s="128"/>
      <c r="J1247" s="128"/>
      <c r="K1247" s="129"/>
      <c r="L1247" s="129"/>
      <c r="M1247" s="129"/>
      <c r="N1247" s="129"/>
      <c r="O1247" s="129"/>
      <c r="P1247" s="129"/>
      <c r="Q1247" s="129"/>
      <c r="R1247" s="132"/>
      <c r="S1247" s="132"/>
      <c r="T1247" s="135"/>
      <c r="U1247" s="132"/>
      <c r="V1247" s="129"/>
      <c r="W1247" s="132"/>
      <c r="X1247" s="133"/>
      <c r="Y1247" s="132"/>
    </row>
    <row r="1248" spans="1:25" ht="15.75" customHeight="1">
      <c r="A1248" s="125"/>
      <c r="B1248" s="125"/>
      <c r="C1248" s="125"/>
      <c r="D1248" s="125"/>
      <c r="E1248" s="126"/>
      <c r="F1248" s="128"/>
      <c r="G1248" s="128"/>
      <c r="H1248" s="128"/>
      <c r="I1248" s="128"/>
      <c r="J1248" s="128"/>
      <c r="K1248" s="129"/>
      <c r="L1248" s="129"/>
      <c r="M1248" s="129"/>
      <c r="N1248" s="129"/>
      <c r="O1248" s="129"/>
      <c r="P1248" s="129"/>
      <c r="Q1248" s="129"/>
      <c r="R1248" s="132"/>
      <c r="S1248" s="132"/>
      <c r="T1248" s="135"/>
      <c r="U1248" s="132"/>
      <c r="V1248" s="129"/>
      <c r="W1248" s="132"/>
      <c r="X1248" s="133"/>
      <c r="Y1248" s="132"/>
    </row>
    <row r="1249" spans="1:25" ht="15.75" customHeight="1">
      <c r="A1249" s="125"/>
      <c r="B1249" s="125"/>
      <c r="C1249" s="125"/>
      <c r="D1249" s="125"/>
      <c r="E1249" s="126"/>
      <c r="F1249" s="128"/>
      <c r="G1249" s="128"/>
      <c r="H1249" s="128"/>
      <c r="I1249" s="128"/>
      <c r="J1249" s="128"/>
      <c r="K1249" s="129"/>
      <c r="L1249" s="129"/>
      <c r="M1249" s="129"/>
      <c r="N1249" s="129"/>
      <c r="O1249" s="129"/>
      <c r="P1249" s="129"/>
      <c r="Q1249" s="129"/>
      <c r="R1249" s="132"/>
      <c r="S1249" s="132"/>
      <c r="T1249" s="135"/>
      <c r="U1249" s="132"/>
      <c r="V1249" s="129"/>
      <c r="W1249" s="132"/>
      <c r="X1249" s="133"/>
      <c r="Y1249" s="132"/>
    </row>
    <row r="1250" spans="1:25" ht="15.75" customHeight="1">
      <c r="A1250" s="125"/>
      <c r="B1250" s="125"/>
      <c r="C1250" s="125"/>
      <c r="D1250" s="125"/>
      <c r="E1250" s="126"/>
      <c r="F1250" s="128"/>
      <c r="G1250" s="128"/>
      <c r="H1250" s="128"/>
      <c r="I1250" s="128"/>
      <c r="J1250" s="128"/>
      <c r="K1250" s="129"/>
      <c r="L1250" s="129"/>
      <c r="M1250" s="129"/>
      <c r="N1250" s="129"/>
      <c r="O1250" s="129"/>
      <c r="P1250" s="129"/>
      <c r="Q1250" s="129"/>
      <c r="R1250" s="132"/>
      <c r="S1250" s="132"/>
      <c r="T1250" s="135"/>
      <c r="U1250" s="132"/>
      <c r="V1250" s="129"/>
      <c r="W1250" s="132"/>
      <c r="X1250" s="133"/>
      <c r="Y1250" s="132"/>
    </row>
    <row r="1251" spans="1:25" ht="15.75" customHeight="1">
      <c r="A1251" s="125"/>
      <c r="B1251" s="125"/>
      <c r="C1251" s="125"/>
      <c r="D1251" s="125"/>
      <c r="E1251" s="126"/>
      <c r="F1251" s="128"/>
      <c r="G1251" s="128"/>
      <c r="H1251" s="128"/>
      <c r="I1251" s="128"/>
      <c r="J1251" s="128"/>
      <c r="K1251" s="129"/>
      <c r="L1251" s="129"/>
      <c r="M1251" s="129"/>
      <c r="N1251" s="129"/>
      <c r="O1251" s="129"/>
      <c r="P1251" s="129"/>
      <c r="Q1251" s="129"/>
      <c r="R1251" s="132"/>
      <c r="S1251" s="132"/>
      <c r="T1251" s="135"/>
      <c r="U1251" s="132"/>
      <c r="V1251" s="129"/>
      <c r="W1251" s="132"/>
      <c r="X1251" s="133"/>
      <c r="Y1251" s="132"/>
    </row>
    <row r="1252" spans="1:25" ht="15.75" customHeight="1">
      <c r="A1252" s="125"/>
      <c r="B1252" s="125"/>
      <c r="C1252" s="125"/>
      <c r="D1252" s="125"/>
      <c r="E1252" s="126"/>
      <c r="F1252" s="128"/>
      <c r="G1252" s="128"/>
      <c r="H1252" s="128"/>
      <c r="I1252" s="128"/>
      <c r="J1252" s="128"/>
      <c r="K1252" s="129"/>
      <c r="L1252" s="129"/>
      <c r="M1252" s="129"/>
      <c r="N1252" s="129"/>
      <c r="O1252" s="129"/>
      <c r="P1252" s="129"/>
      <c r="Q1252" s="129"/>
      <c r="R1252" s="132"/>
      <c r="S1252" s="132"/>
      <c r="T1252" s="135"/>
      <c r="U1252" s="132"/>
      <c r="V1252" s="129"/>
      <c r="W1252" s="132"/>
      <c r="X1252" s="133"/>
      <c r="Y1252" s="132"/>
    </row>
    <row r="1253" spans="1:25" ht="15.75" customHeight="1">
      <c r="A1253" s="125"/>
      <c r="B1253" s="125"/>
      <c r="C1253" s="125"/>
      <c r="D1253" s="125"/>
      <c r="E1253" s="126"/>
      <c r="F1253" s="128"/>
      <c r="G1253" s="128"/>
      <c r="H1253" s="128"/>
      <c r="I1253" s="128"/>
      <c r="J1253" s="128"/>
      <c r="K1253" s="129"/>
      <c r="L1253" s="129"/>
      <c r="M1253" s="129"/>
      <c r="N1253" s="129"/>
      <c r="O1253" s="129"/>
      <c r="P1253" s="129"/>
      <c r="Q1253" s="129"/>
      <c r="R1253" s="132"/>
      <c r="S1253" s="132"/>
      <c r="T1253" s="135"/>
      <c r="U1253" s="132"/>
      <c r="V1253" s="129"/>
      <c r="W1253" s="132"/>
      <c r="X1253" s="133"/>
      <c r="Y1253" s="132"/>
    </row>
    <row r="1254" spans="1:25" ht="15.75" customHeight="1">
      <c r="A1254" s="125"/>
      <c r="B1254" s="125"/>
      <c r="C1254" s="125"/>
      <c r="D1254" s="125"/>
      <c r="E1254" s="126"/>
      <c r="F1254" s="128"/>
      <c r="G1254" s="128"/>
      <c r="H1254" s="128"/>
      <c r="I1254" s="128"/>
      <c r="J1254" s="128"/>
      <c r="K1254" s="129"/>
      <c r="L1254" s="129"/>
      <c r="M1254" s="129"/>
      <c r="N1254" s="129"/>
      <c r="O1254" s="129"/>
      <c r="P1254" s="129"/>
      <c r="Q1254" s="129"/>
      <c r="R1254" s="132"/>
      <c r="S1254" s="132"/>
      <c r="T1254" s="135"/>
      <c r="U1254" s="132"/>
      <c r="V1254" s="129"/>
      <c r="W1254" s="132"/>
      <c r="X1254" s="133"/>
      <c r="Y1254" s="132"/>
    </row>
    <row r="1255" spans="1:25" ht="15.75" customHeight="1">
      <c r="A1255" s="125"/>
      <c r="B1255" s="125"/>
      <c r="C1255" s="125"/>
      <c r="D1255" s="125"/>
      <c r="E1255" s="126"/>
      <c r="F1255" s="128"/>
      <c r="G1255" s="128"/>
      <c r="H1255" s="128"/>
      <c r="I1255" s="128"/>
      <c r="J1255" s="128"/>
      <c r="K1255" s="129"/>
      <c r="L1255" s="129"/>
      <c r="M1255" s="129"/>
      <c r="N1255" s="129"/>
      <c r="O1255" s="129"/>
      <c r="P1255" s="129"/>
      <c r="Q1255" s="129"/>
      <c r="R1255" s="132"/>
      <c r="S1255" s="132"/>
      <c r="T1255" s="135"/>
      <c r="U1255" s="132"/>
      <c r="V1255" s="129"/>
      <c r="W1255" s="132"/>
      <c r="X1255" s="133"/>
      <c r="Y1255" s="132"/>
    </row>
    <row r="1256" spans="1:25" ht="15.75" customHeight="1">
      <c r="A1256" s="125"/>
      <c r="B1256" s="125"/>
      <c r="C1256" s="125"/>
      <c r="D1256" s="125"/>
      <c r="E1256" s="126"/>
      <c r="F1256" s="128"/>
      <c r="G1256" s="128"/>
      <c r="H1256" s="128"/>
      <c r="I1256" s="128"/>
      <c r="J1256" s="128"/>
      <c r="K1256" s="129"/>
      <c r="L1256" s="129"/>
      <c r="M1256" s="129"/>
      <c r="N1256" s="129"/>
      <c r="O1256" s="129"/>
      <c r="P1256" s="129"/>
      <c r="Q1256" s="129"/>
      <c r="R1256" s="132"/>
      <c r="S1256" s="132"/>
      <c r="T1256" s="135"/>
      <c r="U1256" s="132"/>
      <c r="V1256" s="129"/>
      <c r="W1256" s="132"/>
      <c r="X1256" s="133"/>
      <c r="Y1256" s="132"/>
    </row>
    <row r="1257" spans="1:25" ht="15.75" customHeight="1">
      <c r="A1257" s="125"/>
      <c r="B1257" s="125"/>
      <c r="C1257" s="125"/>
      <c r="D1257" s="125"/>
      <c r="E1257" s="126"/>
      <c r="F1257" s="128"/>
      <c r="G1257" s="128"/>
      <c r="H1257" s="128"/>
      <c r="I1257" s="128"/>
      <c r="J1257" s="128"/>
      <c r="K1257" s="129"/>
      <c r="L1257" s="129"/>
      <c r="M1257" s="129"/>
      <c r="N1257" s="129"/>
      <c r="O1257" s="129"/>
      <c r="P1257" s="129"/>
      <c r="Q1257" s="129"/>
      <c r="R1257" s="132"/>
      <c r="S1257" s="132"/>
      <c r="T1257" s="135"/>
      <c r="U1257" s="132"/>
      <c r="V1257" s="129"/>
      <c r="W1257" s="132"/>
      <c r="X1257" s="133"/>
      <c r="Y1257" s="132"/>
    </row>
    <row r="1258" spans="1:25" ht="15.75" customHeight="1">
      <c r="A1258" s="125"/>
      <c r="B1258" s="125"/>
      <c r="C1258" s="125"/>
      <c r="D1258" s="125"/>
      <c r="E1258" s="126"/>
      <c r="F1258" s="128"/>
      <c r="G1258" s="128"/>
      <c r="H1258" s="128"/>
      <c r="I1258" s="128"/>
      <c r="J1258" s="128"/>
      <c r="K1258" s="129"/>
      <c r="L1258" s="129"/>
      <c r="M1258" s="129"/>
      <c r="N1258" s="129"/>
      <c r="O1258" s="129"/>
      <c r="P1258" s="129"/>
      <c r="Q1258" s="129"/>
      <c r="R1258" s="132"/>
      <c r="S1258" s="132"/>
      <c r="T1258" s="135"/>
      <c r="U1258" s="132"/>
      <c r="V1258" s="129"/>
      <c r="W1258" s="132"/>
      <c r="X1258" s="133"/>
      <c r="Y1258" s="132"/>
    </row>
    <row r="1259" spans="1:25" ht="15.75" customHeight="1">
      <c r="A1259" s="125"/>
      <c r="B1259" s="125"/>
      <c r="C1259" s="125"/>
      <c r="D1259" s="125"/>
      <c r="E1259" s="126"/>
      <c r="F1259" s="128"/>
      <c r="G1259" s="128"/>
      <c r="H1259" s="128"/>
      <c r="I1259" s="128"/>
      <c r="J1259" s="128"/>
      <c r="K1259" s="129"/>
      <c r="L1259" s="129"/>
      <c r="M1259" s="129"/>
      <c r="N1259" s="129"/>
      <c r="O1259" s="129"/>
      <c r="P1259" s="129"/>
      <c r="Q1259" s="129"/>
      <c r="R1259" s="132"/>
      <c r="S1259" s="132"/>
      <c r="T1259" s="135"/>
      <c r="U1259" s="132"/>
      <c r="V1259" s="129"/>
      <c r="W1259" s="132"/>
      <c r="X1259" s="133"/>
      <c r="Y1259" s="132"/>
    </row>
    <row r="1260" spans="1:25" ht="15.75" customHeight="1">
      <c r="A1260" s="125"/>
      <c r="B1260" s="125"/>
      <c r="C1260" s="125"/>
      <c r="D1260" s="125"/>
      <c r="E1260" s="126"/>
      <c r="F1260" s="128"/>
      <c r="G1260" s="128"/>
      <c r="H1260" s="128"/>
      <c r="I1260" s="128"/>
      <c r="J1260" s="128"/>
      <c r="K1260" s="129"/>
      <c r="L1260" s="129"/>
      <c r="M1260" s="129"/>
      <c r="N1260" s="129"/>
      <c r="O1260" s="129"/>
      <c r="P1260" s="129"/>
      <c r="Q1260" s="129"/>
      <c r="R1260" s="132"/>
      <c r="S1260" s="132"/>
      <c r="T1260" s="135"/>
      <c r="U1260" s="132"/>
      <c r="V1260" s="129"/>
      <c r="W1260" s="132"/>
      <c r="X1260" s="133"/>
      <c r="Y1260" s="132"/>
    </row>
    <row r="1261" spans="1:25" ht="15.75" customHeight="1">
      <c r="A1261" s="125"/>
      <c r="B1261" s="125"/>
      <c r="C1261" s="125"/>
      <c r="D1261" s="125"/>
      <c r="E1261" s="126"/>
      <c r="F1261" s="128"/>
      <c r="G1261" s="128"/>
      <c r="H1261" s="128"/>
      <c r="I1261" s="128"/>
      <c r="J1261" s="128"/>
      <c r="K1261" s="129"/>
      <c r="L1261" s="129"/>
      <c r="M1261" s="129"/>
      <c r="N1261" s="129"/>
      <c r="O1261" s="129"/>
      <c r="P1261" s="129"/>
      <c r="Q1261" s="129"/>
      <c r="R1261" s="132"/>
      <c r="S1261" s="132"/>
      <c r="T1261" s="135"/>
      <c r="U1261" s="132"/>
      <c r="V1261" s="129"/>
      <c r="W1261" s="132"/>
      <c r="X1261" s="133"/>
      <c r="Y1261" s="132"/>
    </row>
    <row r="1262" spans="1:25" ht="15.75" customHeight="1">
      <c r="A1262" s="125"/>
      <c r="B1262" s="125"/>
      <c r="C1262" s="125"/>
      <c r="D1262" s="125"/>
      <c r="E1262" s="126"/>
      <c r="F1262" s="128"/>
      <c r="G1262" s="128"/>
      <c r="H1262" s="128"/>
      <c r="I1262" s="128"/>
      <c r="J1262" s="128"/>
      <c r="K1262" s="129"/>
      <c r="L1262" s="129"/>
      <c r="M1262" s="129"/>
      <c r="N1262" s="129"/>
      <c r="O1262" s="129"/>
      <c r="P1262" s="129"/>
      <c r="Q1262" s="129"/>
      <c r="R1262" s="132"/>
      <c r="S1262" s="132"/>
      <c r="T1262" s="135"/>
      <c r="U1262" s="132"/>
      <c r="V1262" s="129"/>
      <c r="W1262" s="132"/>
      <c r="X1262" s="133"/>
      <c r="Y1262" s="132"/>
    </row>
    <row r="1263" spans="1:25" ht="15.75" customHeight="1">
      <c r="A1263" s="125"/>
      <c r="B1263" s="125"/>
      <c r="C1263" s="125"/>
      <c r="D1263" s="125"/>
      <c r="E1263" s="126"/>
      <c r="F1263" s="128"/>
      <c r="G1263" s="128"/>
      <c r="H1263" s="128"/>
      <c r="I1263" s="128"/>
      <c r="J1263" s="128"/>
      <c r="K1263" s="129"/>
      <c r="L1263" s="129"/>
      <c r="M1263" s="129"/>
      <c r="N1263" s="129"/>
      <c r="O1263" s="129"/>
      <c r="P1263" s="129"/>
      <c r="Q1263" s="129"/>
      <c r="R1263" s="132"/>
      <c r="S1263" s="132"/>
      <c r="T1263" s="135"/>
      <c r="U1263" s="132"/>
      <c r="V1263" s="129"/>
      <c r="W1263" s="132"/>
      <c r="X1263" s="133"/>
      <c r="Y1263" s="132"/>
    </row>
    <row r="1264" spans="1:25" ht="15.75" customHeight="1">
      <c r="A1264" s="125"/>
      <c r="B1264" s="125"/>
      <c r="C1264" s="125"/>
      <c r="D1264" s="125"/>
      <c r="E1264" s="126"/>
      <c r="F1264" s="128"/>
      <c r="G1264" s="128"/>
      <c r="H1264" s="128"/>
      <c r="I1264" s="128"/>
      <c r="J1264" s="128"/>
      <c r="K1264" s="129"/>
      <c r="L1264" s="129"/>
      <c r="M1264" s="129"/>
      <c r="N1264" s="129"/>
      <c r="O1264" s="129"/>
      <c r="P1264" s="129"/>
      <c r="Q1264" s="129"/>
      <c r="R1264" s="132"/>
      <c r="S1264" s="132"/>
      <c r="T1264" s="135"/>
      <c r="U1264" s="132"/>
      <c r="V1264" s="129"/>
      <c r="W1264" s="132"/>
      <c r="X1264" s="133"/>
      <c r="Y1264" s="132"/>
    </row>
    <row r="1265" spans="1:25" ht="15.75" customHeight="1">
      <c r="A1265" s="125"/>
      <c r="B1265" s="125"/>
      <c r="C1265" s="125"/>
      <c r="D1265" s="125"/>
      <c r="E1265" s="126"/>
      <c r="F1265" s="128"/>
      <c r="G1265" s="128"/>
      <c r="H1265" s="128"/>
      <c r="I1265" s="128"/>
      <c r="J1265" s="128"/>
      <c r="K1265" s="129"/>
      <c r="L1265" s="129"/>
      <c r="M1265" s="129"/>
      <c r="N1265" s="129"/>
      <c r="O1265" s="129"/>
      <c r="P1265" s="129"/>
      <c r="Q1265" s="129"/>
      <c r="R1265" s="132"/>
      <c r="S1265" s="132"/>
      <c r="T1265" s="135"/>
      <c r="U1265" s="132"/>
      <c r="V1265" s="129"/>
      <c r="W1265" s="132"/>
      <c r="X1265" s="133"/>
      <c r="Y1265" s="132"/>
    </row>
    <row r="1266" spans="1:25" ht="15.75" customHeight="1">
      <c r="A1266" s="125"/>
      <c r="B1266" s="125"/>
      <c r="C1266" s="125"/>
      <c r="D1266" s="125"/>
      <c r="E1266" s="126"/>
      <c r="F1266" s="128"/>
      <c r="G1266" s="128"/>
      <c r="H1266" s="128"/>
      <c r="I1266" s="128"/>
      <c r="J1266" s="128"/>
      <c r="K1266" s="129"/>
      <c r="L1266" s="129"/>
      <c r="M1266" s="129"/>
      <c r="N1266" s="129"/>
      <c r="O1266" s="129"/>
      <c r="P1266" s="129"/>
      <c r="Q1266" s="129"/>
      <c r="R1266" s="132"/>
      <c r="S1266" s="132"/>
      <c r="T1266" s="135"/>
      <c r="U1266" s="132"/>
      <c r="V1266" s="129"/>
      <c r="W1266" s="132"/>
      <c r="X1266" s="133"/>
      <c r="Y1266" s="132"/>
    </row>
    <row r="1267" spans="1:25" ht="15.75" customHeight="1">
      <c r="A1267" s="125"/>
      <c r="B1267" s="125"/>
      <c r="C1267" s="125"/>
      <c r="D1267" s="125"/>
      <c r="E1267" s="126"/>
      <c r="F1267" s="128"/>
      <c r="G1267" s="128"/>
      <c r="H1267" s="128"/>
      <c r="I1267" s="128"/>
      <c r="J1267" s="128"/>
      <c r="K1267" s="129"/>
      <c r="L1267" s="129"/>
      <c r="M1267" s="129"/>
      <c r="N1267" s="129"/>
      <c r="O1267" s="129"/>
      <c r="P1267" s="129"/>
      <c r="Q1267" s="129"/>
      <c r="R1267" s="132"/>
      <c r="S1267" s="132"/>
      <c r="T1267" s="135"/>
      <c r="U1267" s="132"/>
      <c r="V1267" s="129"/>
      <c r="W1267" s="132"/>
      <c r="X1267" s="133"/>
      <c r="Y1267" s="132"/>
    </row>
    <row r="1268" spans="1:25" ht="15.75" customHeight="1">
      <c r="A1268" s="125"/>
      <c r="B1268" s="125"/>
      <c r="C1268" s="125"/>
      <c r="D1268" s="125"/>
      <c r="E1268" s="126"/>
      <c r="F1268" s="128"/>
      <c r="G1268" s="128"/>
      <c r="H1268" s="128"/>
      <c r="I1268" s="128"/>
      <c r="J1268" s="128"/>
      <c r="K1268" s="129"/>
      <c r="L1268" s="129"/>
      <c r="M1268" s="129"/>
      <c r="N1268" s="129"/>
      <c r="O1268" s="129"/>
      <c r="P1268" s="129"/>
      <c r="Q1268" s="129"/>
      <c r="R1268" s="132"/>
      <c r="S1268" s="132"/>
      <c r="T1268" s="135"/>
      <c r="U1268" s="132"/>
      <c r="V1268" s="129"/>
      <c r="W1268" s="132"/>
      <c r="X1268" s="133"/>
      <c r="Y1268" s="132"/>
    </row>
    <row r="1269" spans="1:25" ht="15.75" customHeight="1">
      <c r="A1269" s="125"/>
      <c r="B1269" s="125"/>
      <c r="C1269" s="125"/>
      <c r="D1269" s="125"/>
      <c r="E1269" s="126"/>
      <c r="F1269" s="128"/>
      <c r="G1269" s="128"/>
      <c r="H1269" s="128"/>
      <c r="I1269" s="128"/>
      <c r="J1269" s="128"/>
      <c r="K1269" s="129"/>
      <c r="L1269" s="129"/>
      <c r="M1269" s="129"/>
      <c r="N1269" s="129"/>
      <c r="O1269" s="129"/>
      <c r="P1269" s="129"/>
      <c r="Q1269" s="129"/>
      <c r="R1269" s="132"/>
      <c r="S1269" s="132"/>
      <c r="T1269" s="135"/>
      <c r="U1269" s="132"/>
      <c r="V1269" s="129"/>
      <c r="W1269" s="132"/>
      <c r="X1269" s="133"/>
      <c r="Y1269" s="132"/>
    </row>
    <row r="1270" spans="1:25" ht="15.75" customHeight="1">
      <c r="A1270" s="125"/>
      <c r="B1270" s="125"/>
      <c r="C1270" s="125"/>
      <c r="D1270" s="125"/>
      <c r="E1270" s="126"/>
      <c r="F1270" s="128"/>
      <c r="G1270" s="128"/>
      <c r="H1270" s="128"/>
      <c r="I1270" s="128"/>
      <c r="J1270" s="128"/>
      <c r="K1270" s="129"/>
      <c r="L1270" s="129"/>
      <c r="M1270" s="129"/>
      <c r="N1270" s="129"/>
      <c r="O1270" s="129"/>
      <c r="P1270" s="129"/>
      <c r="Q1270" s="129"/>
      <c r="R1270" s="132"/>
      <c r="S1270" s="132"/>
      <c r="T1270" s="135"/>
      <c r="U1270" s="132"/>
      <c r="V1270" s="129"/>
      <c r="W1270" s="132"/>
      <c r="X1270" s="133"/>
      <c r="Y1270" s="132"/>
    </row>
    <row r="1271" spans="1:25" ht="15.75" customHeight="1">
      <c r="A1271" s="125"/>
      <c r="B1271" s="125"/>
      <c r="C1271" s="125"/>
      <c r="D1271" s="125"/>
      <c r="E1271" s="126"/>
      <c r="F1271" s="128"/>
      <c r="G1271" s="128"/>
      <c r="H1271" s="128"/>
      <c r="I1271" s="128"/>
      <c r="J1271" s="128"/>
      <c r="K1271" s="129"/>
      <c r="L1271" s="129"/>
      <c r="M1271" s="129"/>
      <c r="N1271" s="129"/>
      <c r="O1271" s="129"/>
      <c r="P1271" s="129"/>
      <c r="Q1271" s="129"/>
      <c r="R1271" s="132"/>
      <c r="S1271" s="132"/>
      <c r="T1271" s="135"/>
      <c r="U1271" s="132"/>
      <c r="V1271" s="129"/>
      <c r="W1271" s="132"/>
      <c r="X1271" s="133"/>
      <c r="Y1271" s="132"/>
    </row>
    <row r="1272" spans="1:25" ht="15.75" customHeight="1">
      <c r="A1272" s="125"/>
      <c r="B1272" s="125"/>
      <c r="C1272" s="125"/>
      <c r="D1272" s="125"/>
      <c r="E1272" s="126"/>
      <c r="F1272" s="128"/>
      <c r="G1272" s="128"/>
      <c r="H1272" s="128"/>
      <c r="I1272" s="128"/>
      <c r="J1272" s="128"/>
      <c r="K1272" s="129"/>
      <c r="L1272" s="129"/>
      <c r="M1272" s="129"/>
      <c r="N1272" s="129"/>
      <c r="O1272" s="129"/>
      <c r="P1272" s="129"/>
      <c r="Q1272" s="129"/>
      <c r="R1272" s="132"/>
      <c r="S1272" s="132"/>
      <c r="T1272" s="135"/>
      <c r="U1272" s="132"/>
      <c r="V1272" s="129"/>
      <c r="W1272" s="132"/>
      <c r="X1272" s="133"/>
      <c r="Y1272" s="132"/>
    </row>
    <row r="1273" spans="1:25" ht="15.75" customHeight="1">
      <c r="A1273" s="125"/>
      <c r="B1273" s="125"/>
      <c r="C1273" s="125"/>
      <c r="D1273" s="125"/>
      <c r="E1273" s="126"/>
      <c r="F1273" s="128"/>
      <c r="G1273" s="128"/>
      <c r="H1273" s="128"/>
      <c r="I1273" s="128"/>
      <c r="J1273" s="128"/>
      <c r="K1273" s="129"/>
      <c r="L1273" s="129"/>
      <c r="M1273" s="129"/>
      <c r="N1273" s="129"/>
      <c r="O1273" s="129"/>
      <c r="P1273" s="129"/>
      <c r="Q1273" s="129"/>
      <c r="R1273" s="132"/>
      <c r="S1273" s="132"/>
      <c r="T1273" s="135"/>
      <c r="U1273" s="132"/>
      <c r="V1273" s="129"/>
      <c r="W1273" s="132"/>
      <c r="X1273" s="133"/>
      <c r="Y1273" s="132"/>
    </row>
    <row r="1274" spans="1:25" ht="15.75" customHeight="1">
      <c r="A1274" s="125"/>
      <c r="B1274" s="125"/>
      <c r="C1274" s="125"/>
      <c r="D1274" s="125"/>
      <c r="E1274" s="126"/>
      <c r="F1274" s="128"/>
      <c r="G1274" s="128"/>
      <c r="H1274" s="128"/>
      <c r="I1274" s="128"/>
      <c r="J1274" s="128"/>
      <c r="K1274" s="129"/>
      <c r="L1274" s="129"/>
      <c r="M1274" s="129"/>
      <c r="N1274" s="129"/>
      <c r="O1274" s="129"/>
      <c r="P1274" s="129"/>
      <c r="Q1274" s="129"/>
      <c r="R1274" s="132"/>
      <c r="S1274" s="132"/>
      <c r="T1274" s="135"/>
      <c r="U1274" s="132"/>
      <c r="V1274" s="129"/>
      <c r="W1274" s="132"/>
      <c r="X1274" s="133"/>
      <c r="Y1274" s="132"/>
    </row>
    <row r="1275" spans="1:25" ht="15.75" customHeight="1">
      <c r="A1275" s="125"/>
      <c r="B1275" s="125"/>
      <c r="C1275" s="125"/>
      <c r="D1275" s="125"/>
      <c r="E1275" s="126"/>
      <c r="F1275" s="128"/>
      <c r="G1275" s="128"/>
      <c r="H1275" s="128"/>
      <c r="I1275" s="128"/>
      <c r="J1275" s="128"/>
      <c r="K1275" s="129"/>
      <c r="L1275" s="129"/>
      <c r="M1275" s="129"/>
      <c r="N1275" s="129"/>
      <c r="O1275" s="129"/>
      <c r="P1275" s="129"/>
      <c r="Q1275" s="129"/>
      <c r="R1275" s="132"/>
      <c r="S1275" s="132"/>
      <c r="T1275" s="135"/>
      <c r="U1275" s="132"/>
      <c r="V1275" s="129"/>
      <c r="W1275" s="132"/>
      <c r="X1275" s="133"/>
      <c r="Y1275" s="132"/>
    </row>
    <row r="1276" spans="1:25" ht="15.75" customHeight="1">
      <c r="A1276" s="125"/>
      <c r="B1276" s="125"/>
      <c r="C1276" s="125"/>
      <c r="D1276" s="125"/>
      <c r="E1276" s="126"/>
      <c r="F1276" s="128"/>
      <c r="G1276" s="128"/>
      <c r="H1276" s="128"/>
      <c r="I1276" s="128"/>
      <c r="J1276" s="128"/>
      <c r="K1276" s="129"/>
      <c r="L1276" s="129"/>
      <c r="M1276" s="129"/>
      <c r="N1276" s="129"/>
      <c r="O1276" s="129"/>
      <c r="P1276" s="129"/>
      <c r="Q1276" s="129"/>
      <c r="R1276" s="132"/>
      <c r="S1276" s="132"/>
      <c r="T1276" s="135"/>
      <c r="U1276" s="132"/>
      <c r="V1276" s="129"/>
      <c r="W1276" s="132"/>
      <c r="X1276" s="133"/>
      <c r="Y1276" s="132"/>
    </row>
    <row r="1277" spans="1:25" ht="15.75" customHeight="1">
      <c r="A1277" s="125"/>
      <c r="B1277" s="125"/>
      <c r="C1277" s="125"/>
      <c r="D1277" s="125"/>
      <c r="E1277" s="126"/>
      <c r="F1277" s="128"/>
      <c r="G1277" s="128"/>
      <c r="H1277" s="128"/>
      <c r="I1277" s="128"/>
      <c r="J1277" s="128"/>
      <c r="K1277" s="129"/>
      <c r="L1277" s="129"/>
      <c r="M1277" s="129"/>
      <c r="N1277" s="129"/>
      <c r="O1277" s="129"/>
      <c r="P1277" s="129"/>
      <c r="Q1277" s="129"/>
      <c r="R1277" s="132"/>
      <c r="S1277" s="132"/>
      <c r="T1277" s="135"/>
      <c r="U1277" s="132"/>
      <c r="V1277" s="129"/>
      <c r="W1277" s="132"/>
      <c r="X1277" s="133"/>
      <c r="Y1277" s="132"/>
    </row>
    <row r="1278" spans="1:25" ht="15.75" customHeight="1">
      <c r="A1278" s="125"/>
      <c r="B1278" s="125"/>
      <c r="C1278" s="125"/>
      <c r="D1278" s="125"/>
      <c r="E1278" s="126"/>
      <c r="F1278" s="128"/>
      <c r="G1278" s="128"/>
      <c r="H1278" s="128"/>
      <c r="I1278" s="128"/>
      <c r="J1278" s="128"/>
      <c r="K1278" s="129"/>
      <c r="L1278" s="129"/>
      <c r="M1278" s="129"/>
      <c r="N1278" s="129"/>
      <c r="O1278" s="129"/>
      <c r="P1278" s="129"/>
      <c r="Q1278" s="129"/>
      <c r="R1278" s="132"/>
      <c r="S1278" s="132"/>
      <c r="T1278" s="135"/>
      <c r="U1278" s="132"/>
      <c r="V1278" s="129"/>
      <c r="W1278" s="132"/>
      <c r="X1278" s="133"/>
      <c r="Y1278" s="132"/>
    </row>
    <row r="1279" spans="1:25" ht="15.75" customHeight="1">
      <c r="A1279" s="125"/>
      <c r="B1279" s="125"/>
      <c r="C1279" s="125"/>
      <c r="D1279" s="125"/>
      <c r="E1279" s="126"/>
      <c r="F1279" s="128"/>
      <c r="G1279" s="128"/>
      <c r="H1279" s="128"/>
      <c r="I1279" s="128"/>
      <c r="J1279" s="128"/>
      <c r="K1279" s="129"/>
      <c r="L1279" s="129"/>
      <c r="M1279" s="129"/>
      <c r="N1279" s="129"/>
      <c r="O1279" s="129"/>
      <c r="P1279" s="129"/>
      <c r="Q1279" s="129"/>
      <c r="R1279" s="132"/>
      <c r="S1279" s="132"/>
      <c r="T1279" s="135"/>
      <c r="U1279" s="132"/>
      <c r="V1279" s="129"/>
      <c r="W1279" s="132"/>
      <c r="X1279" s="133"/>
      <c r="Y1279" s="132"/>
    </row>
    <row r="1280" spans="1:25" ht="15.75" customHeight="1">
      <c r="A1280" s="125"/>
      <c r="B1280" s="125"/>
      <c r="C1280" s="125"/>
      <c r="D1280" s="125"/>
      <c r="E1280" s="126"/>
      <c r="F1280" s="128"/>
      <c r="G1280" s="128"/>
      <c r="H1280" s="128"/>
      <c r="I1280" s="128"/>
      <c r="J1280" s="128"/>
      <c r="K1280" s="129"/>
      <c r="L1280" s="129"/>
      <c r="M1280" s="129"/>
      <c r="N1280" s="129"/>
      <c r="O1280" s="129"/>
      <c r="P1280" s="129"/>
      <c r="Q1280" s="129"/>
      <c r="R1280" s="132"/>
      <c r="S1280" s="132"/>
      <c r="T1280" s="135"/>
      <c r="U1280" s="132"/>
      <c r="V1280" s="129"/>
      <c r="W1280" s="132"/>
      <c r="X1280" s="133"/>
      <c r="Y1280" s="132"/>
    </row>
    <row r="1281" spans="1:25" ht="15.75" customHeight="1">
      <c r="A1281" s="125"/>
      <c r="B1281" s="125"/>
      <c r="C1281" s="125"/>
      <c r="D1281" s="125"/>
      <c r="E1281" s="126"/>
      <c r="F1281" s="128"/>
      <c r="G1281" s="128"/>
      <c r="H1281" s="128"/>
      <c r="I1281" s="128"/>
      <c r="J1281" s="128"/>
      <c r="K1281" s="129"/>
      <c r="L1281" s="129"/>
      <c r="M1281" s="129"/>
      <c r="N1281" s="129"/>
      <c r="O1281" s="129"/>
      <c r="P1281" s="129"/>
      <c r="Q1281" s="129"/>
      <c r="R1281" s="132"/>
      <c r="S1281" s="132"/>
      <c r="T1281" s="135"/>
      <c r="U1281" s="132"/>
      <c r="V1281" s="129"/>
      <c r="W1281" s="132"/>
      <c r="X1281" s="133"/>
      <c r="Y1281" s="132"/>
    </row>
    <row r="1282" spans="1:25" ht="15.75" customHeight="1">
      <c r="A1282" s="125"/>
      <c r="B1282" s="125"/>
      <c r="C1282" s="125"/>
      <c r="D1282" s="125"/>
      <c r="E1282" s="126"/>
      <c r="F1282" s="128"/>
      <c r="G1282" s="128"/>
      <c r="H1282" s="128"/>
      <c r="I1282" s="128"/>
      <c r="J1282" s="128"/>
      <c r="K1282" s="129"/>
      <c r="L1282" s="129"/>
      <c r="M1282" s="129"/>
      <c r="N1282" s="129"/>
      <c r="O1282" s="129"/>
      <c r="P1282" s="129"/>
      <c r="Q1282" s="129"/>
      <c r="R1282" s="132"/>
      <c r="S1282" s="132"/>
      <c r="T1282" s="135"/>
      <c r="U1282" s="132"/>
      <c r="V1282" s="129"/>
      <c r="W1282" s="132"/>
      <c r="X1282" s="133"/>
      <c r="Y1282" s="132"/>
    </row>
    <row r="1283" spans="1:25" ht="15.75" customHeight="1">
      <c r="A1283" s="125"/>
      <c r="B1283" s="125"/>
      <c r="C1283" s="125"/>
      <c r="D1283" s="125"/>
      <c r="E1283" s="126"/>
      <c r="F1283" s="128"/>
      <c r="G1283" s="128"/>
      <c r="H1283" s="128"/>
      <c r="I1283" s="128"/>
      <c r="J1283" s="128"/>
      <c r="K1283" s="129"/>
      <c r="L1283" s="129"/>
      <c r="M1283" s="129"/>
      <c r="N1283" s="129"/>
      <c r="O1283" s="129"/>
      <c r="P1283" s="129"/>
      <c r="Q1283" s="129"/>
      <c r="R1283" s="132"/>
      <c r="S1283" s="132"/>
      <c r="T1283" s="135"/>
      <c r="U1283" s="132"/>
      <c r="V1283" s="129"/>
      <c r="W1283" s="132"/>
      <c r="X1283" s="133"/>
      <c r="Y1283" s="132"/>
    </row>
    <row r="1284" spans="1:25" ht="15.75" customHeight="1">
      <c r="A1284" s="125"/>
      <c r="B1284" s="125"/>
      <c r="C1284" s="125"/>
      <c r="D1284" s="125"/>
      <c r="E1284" s="126"/>
      <c r="F1284" s="128"/>
      <c r="G1284" s="128"/>
      <c r="H1284" s="128"/>
      <c r="I1284" s="128"/>
      <c r="J1284" s="128"/>
      <c r="K1284" s="129"/>
      <c r="L1284" s="129"/>
      <c r="M1284" s="129"/>
      <c r="N1284" s="129"/>
      <c r="O1284" s="129"/>
      <c r="P1284" s="129"/>
      <c r="Q1284" s="129"/>
      <c r="R1284" s="132"/>
      <c r="S1284" s="132"/>
      <c r="T1284" s="135"/>
      <c r="U1284" s="132"/>
      <c r="V1284" s="129"/>
      <c r="W1284" s="132"/>
      <c r="X1284" s="133"/>
      <c r="Y1284" s="132"/>
    </row>
    <row r="1285" spans="1:25" ht="15.75" customHeight="1">
      <c r="A1285" s="125"/>
      <c r="B1285" s="125"/>
      <c r="C1285" s="125"/>
      <c r="D1285" s="125"/>
      <c r="E1285" s="126"/>
      <c r="F1285" s="128"/>
      <c r="G1285" s="128"/>
      <c r="H1285" s="128"/>
      <c r="I1285" s="128"/>
      <c r="J1285" s="128"/>
      <c r="K1285" s="129"/>
      <c r="L1285" s="129"/>
      <c r="M1285" s="129"/>
      <c r="N1285" s="129"/>
      <c r="O1285" s="129"/>
      <c r="P1285" s="129"/>
      <c r="Q1285" s="129"/>
      <c r="R1285" s="132"/>
      <c r="S1285" s="132"/>
      <c r="T1285" s="135"/>
      <c r="U1285" s="132"/>
      <c r="V1285" s="129"/>
      <c r="W1285" s="132"/>
      <c r="X1285" s="133"/>
      <c r="Y1285" s="132"/>
    </row>
    <row r="1286" spans="1:25" ht="15.75" customHeight="1">
      <c r="A1286" s="125"/>
      <c r="B1286" s="125"/>
      <c r="C1286" s="125"/>
      <c r="D1286" s="125"/>
      <c r="E1286" s="126"/>
      <c r="F1286" s="128"/>
      <c r="G1286" s="128"/>
      <c r="H1286" s="128"/>
      <c r="I1286" s="128"/>
      <c r="J1286" s="128"/>
      <c r="K1286" s="129"/>
      <c r="L1286" s="129"/>
      <c r="M1286" s="129"/>
      <c r="N1286" s="129"/>
      <c r="O1286" s="129"/>
      <c r="P1286" s="129"/>
      <c r="Q1286" s="129"/>
      <c r="R1286" s="132"/>
      <c r="S1286" s="132"/>
      <c r="T1286" s="135"/>
      <c r="U1286" s="132"/>
      <c r="V1286" s="129"/>
      <c r="W1286" s="132"/>
      <c r="X1286" s="133"/>
      <c r="Y1286" s="132"/>
    </row>
    <row r="1287" spans="1:25" ht="15.75" customHeight="1">
      <c r="A1287" s="125"/>
      <c r="B1287" s="125"/>
      <c r="C1287" s="125"/>
      <c r="D1287" s="125"/>
      <c r="E1287" s="126"/>
      <c r="F1287" s="128"/>
      <c r="G1287" s="128"/>
      <c r="H1287" s="128"/>
      <c r="I1287" s="128"/>
      <c r="J1287" s="128"/>
      <c r="K1287" s="129"/>
      <c r="L1287" s="129"/>
      <c r="M1287" s="129"/>
      <c r="N1287" s="129"/>
      <c r="O1287" s="129"/>
      <c r="P1287" s="129"/>
      <c r="Q1287" s="129"/>
      <c r="R1287" s="132"/>
      <c r="S1287" s="132"/>
      <c r="T1287" s="135"/>
      <c r="U1287" s="132"/>
      <c r="V1287" s="129"/>
      <c r="W1287" s="132"/>
      <c r="X1287" s="133"/>
      <c r="Y1287" s="132"/>
    </row>
    <row r="1288" spans="1:25" ht="15.75" customHeight="1">
      <c r="A1288" s="125"/>
      <c r="B1288" s="125"/>
      <c r="C1288" s="125"/>
      <c r="D1288" s="125"/>
      <c r="E1288" s="126"/>
      <c r="F1288" s="128"/>
      <c r="G1288" s="128"/>
      <c r="H1288" s="128"/>
      <c r="I1288" s="128"/>
      <c r="J1288" s="128"/>
      <c r="K1288" s="129"/>
      <c r="L1288" s="129"/>
      <c r="M1288" s="129"/>
      <c r="N1288" s="129"/>
      <c r="O1288" s="129"/>
      <c r="P1288" s="129"/>
      <c r="Q1288" s="129"/>
      <c r="R1288" s="132"/>
      <c r="S1288" s="132"/>
      <c r="T1288" s="135"/>
      <c r="U1288" s="132"/>
      <c r="V1288" s="129"/>
      <c r="W1288" s="132"/>
      <c r="X1288" s="133"/>
      <c r="Y1288" s="132"/>
    </row>
    <row r="1289" spans="1:25" ht="15.75" customHeight="1">
      <c r="A1289" s="125"/>
      <c r="B1289" s="125"/>
      <c r="C1289" s="125"/>
      <c r="D1289" s="125"/>
      <c r="E1289" s="126"/>
      <c r="F1289" s="128"/>
      <c r="G1289" s="128"/>
      <c r="H1289" s="128"/>
      <c r="I1289" s="128"/>
      <c r="J1289" s="128"/>
      <c r="K1289" s="129"/>
      <c r="L1289" s="129"/>
      <c r="M1289" s="129"/>
      <c r="N1289" s="129"/>
      <c r="O1289" s="129"/>
      <c r="P1289" s="129"/>
      <c r="Q1289" s="129"/>
      <c r="R1289" s="132"/>
      <c r="S1289" s="132"/>
      <c r="T1289" s="135"/>
      <c r="U1289" s="132"/>
      <c r="V1289" s="129"/>
      <c r="W1289" s="132"/>
      <c r="X1289" s="133"/>
      <c r="Y1289" s="132"/>
    </row>
    <row r="1290" spans="1:25" ht="15.75" customHeight="1">
      <c r="A1290" s="125"/>
      <c r="B1290" s="125"/>
      <c r="C1290" s="125"/>
      <c r="D1290" s="125"/>
      <c r="E1290" s="126"/>
      <c r="F1290" s="128"/>
      <c r="G1290" s="128"/>
      <c r="H1290" s="128"/>
      <c r="I1290" s="128"/>
      <c r="J1290" s="128"/>
      <c r="K1290" s="129"/>
      <c r="L1290" s="129"/>
      <c r="M1290" s="129"/>
      <c r="N1290" s="129"/>
      <c r="O1290" s="129"/>
      <c r="P1290" s="129"/>
      <c r="Q1290" s="129"/>
      <c r="R1290" s="132"/>
      <c r="S1290" s="132"/>
      <c r="T1290" s="135"/>
      <c r="U1290" s="132"/>
      <c r="V1290" s="129"/>
      <c r="W1290" s="132"/>
      <c r="X1290" s="133"/>
      <c r="Y1290" s="132"/>
    </row>
    <row r="1291" spans="1:25" ht="15.75" customHeight="1">
      <c r="A1291" s="125"/>
      <c r="B1291" s="125"/>
      <c r="C1291" s="125"/>
      <c r="D1291" s="125"/>
      <c r="E1291" s="126"/>
      <c r="F1291" s="128"/>
      <c r="G1291" s="128"/>
      <c r="H1291" s="128"/>
      <c r="I1291" s="128"/>
      <c r="J1291" s="128"/>
      <c r="K1291" s="129"/>
      <c r="L1291" s="129"/>
      <c r="M1291" s="129"/>
      <c r="N1291" s="129"/>
      <c r="O1291" s="129"/>
      <c r="P1291" s="129"/>
      <c r="Q1291" s="129"/>
      <c r="R1291" s="132"/>
      <c r="S1291" s="132"/>
      <c r="T1291" s="135"/>
      <c r="U1291" s="132"/>
      <c r="V1291" s="129"/>
      <c r="W1291" s="132"/>
      <c r="X1291" s="133"/>
      <c r="Y1291" s="132"/>
    </row>
    <row r="1292" spans="1:25" ht="15.75" customHeight="1">
      <c r="A1292" s="125"/>
      <c r="B1292" s="125"/>
      <c r="C1292" s="125"/>
      <c r="D1292" s="125"/>
      <c r="E1292" s="126"/>
      <c r="F1292" s="128"/>
      <c r="G1292" s="128"/>
      <c r="H1292" s="128"/>
      <c r="I1292" s="128"/>
      <c r="J1292" s="128"/>
      <c r="K1292" s="129"/>
      <c r="L1292" s="129"/>
      <c r="M1292" s="129"/>
      <c r="N1292" s="129"/>
      <c r="O1292" s="129"/>
      <c r="P1292" s="129"/>
      <c r="Q1292" s="129"/>
      <c r="R1292" s="132"/>
      <c r="S1292" s="132"/>
      <c r="T1292" s="135"/>
      <c r="U1292" s="132"/>
      <c r="V1292" s="129"/>
      <c r="W1292" s="132"/>
      <c r="X1292" s="133"/>
      <c r="Y1292" s="132"/>
    </row>
    <row r="1293" spans="1:25" ht="15.75" customHeight="1">
      <c r="A1293" s="125"/>
      <c r="B1293" s="125"/>
      <c r="C1293" s="125"/>
      <c r="D1293" s="125"/>
      <c r="E1293" s="126"/>
      <c r="F1293" s="128"/>
      <c r="G1293" s="128"/>
      <c r="H1293" s="128"/>
      <c r="I1293" s="128"/>
      <c r="J1293" s="128"/>
      <c r="K1293" s="129"/>
      <c r="L1293" s="129"/>
      <c r="M1293" s="129"/>
      <c r="N1293" s="129"/>
      <c r="O1293" s="129"/>
      <c r="P1293" s="129"/>
      <c r="Q1293" s="129"/>
      <c r="R1293" s="132"/>
      <c r="S1293" s="132"/>
      <c r="T1293" s="135"/>
      <c r="U1293" s="132"/>
      <c r="V1293" s="129"/>
      <c r="W1293" s="132"/>
      <c r="X1293" s="133"/>
      <c r="Y1293" s="132"/>
    </row>
    <row r="1294" spans="1:25" ht="15.75" customHeight="1">
      <c r="A1294" s="125"/>
      <c r="B1294" s="125"/>
      <c r="C1294" s="125"/>
      <c r="D1294" s="125"/>
      <c r="E1294" s="126"/>
      <c r="F1294" s="128"/>
      <c r="G1294" s="128"/>
      <c r="H1294" s="128"/>
      <c r="I1294" s="128"/>
      <c r="J1294" s="128"/>
      <c r="K1294" s="129"/>
      <c r="L1294" s="129"/>
      <c r="M1294" s="129"/>
      <c r="N1294" s="129"/>
      <c r="O1294" s="129"/>
      <c r="P1294" s="129"/>
      <c r="Q1294" s="129"/>
      <c r="R1294" s="132"/>
      <c r="S1294" s="132"/>
      <c r="T1294" s="135"/>
      <c r="U1294" s="132"/>
      <c r="V1294" s="129"/>
      <c r="W1294" s="132"/>
      <c r="X1294" s="133"/>
      <c r="Y1294" s="132"/>
    </row>
    <row r="1295" spans="1:25" ht="15.75" customHeight="1">
      <c r="A1295" s="125"/>
      <c r="B1295" s="125"/>
      <c r="C1295" s="125"/>
      <c r="D1295" s="125"/>
      <c r="E1295" s="126"/>
      <c r="F1295" s="128"/>
      <c r="G1295" s="128"/>
      <c r="H1295" s="128"/>
      <c r="I1295" s="128"/>
      <c r="J1295" s="128"/>
      <c r="K1295" s="129"/>
      <c r="L1295" s="129"/>
      <c r="M1295" s="129"/>
      <c r="N1295" s="129"/>
      <c r="O1295" s="129"/>
      <c r="P1295" s="129"/>
      <c r="Q1295" s="129"/>
      <c r="R1295" s="132"/>
      <c r="S1295" s="132"/>
      <c r="T1295" s="135"/>
      <c r="U1295" s="132"/>
      <c r="V1295" s="129"/>
      <c r="W1295" s="132"/>
      <c r="X1295" s="133"/>
      <c r="Y1295" s="132"/>
    </row>
    <row r="1296" spans="1:25" ht="15.75" customHeight="1">
      <c r="A1296" s="125"/>
      <c r="B1296" s="125"/>
      <c r="C1296" s="125"/>
      <c r="D1296" s="125"/>
      <c r="E1296" s="126"/>
      <c r="F1296" s="128"/>
      <c r="G1296" s="128"/>
      <c r="H1296" s="128"/>
      <c r="I1296" s="128"/>
      <c r="J1296" s="128"/>
      <c r="K1296" s="129"/>
      <c r="L1296" s="129"/>
      <c r="M1296" s="129"/>
      <c r="N1296" s="129"/>
      <c r="O1296" s="129"/>
      <c r="P1296" s="129"/>
      <c r="Q1296" s="129"/>
      <c r="R1296" s="132"/>
      <c r="S1296" s="132"/>
      <c r="T1296" s="135"/>
      <c r="U1296" s="132"/>
      <c r="V1296" s="129"/>
      <c r="W1296" s="132"/>
      <c r="X1296" s="133"/>
      <c r="Y1296" s="132"/>
    </row>
    <row r="1297" spans="1:25" ht="15.75" customHeight="1">
      <c r="A1297" s="125"/>
      <c r="B1297" s="125"/>
      <c r="C1297" s="125"/>
      <c r="D1297" s="125"/>
      <c r="E1297" s="126"/>
      <c r="F1297" s="128"/>
      <c r="G1297" s="128"/>
      <c r="H1297" s="128"/>
      <c r="I1297" s="128"/>
      <c r="J1297" s="128"/>
      <c r="K1297" s="129"/>
      <c r="L1297" s="129"/>
      <c r="M1297" s="129"/>
      <c r="N1297" s="129"/>
      <c r="O1297" s="129"/>
      <c r="P1297" s="129"/>
      <c r="Q1297" s="129"/>
      <c r="R1297" s="132"/>
      <c r="S1297" s="132"/>
      <c r="T1297" s="135"/>
      <c r="U1297" s="132"/>
      <c r="V1297" s="129"/>
      <c r="W1297" s="132"/>
      <c r="X1297" s="133"/>
      <c r="Y1297" s="132"/>
    </row>
    <row r="1298" spans="1:25" ht="15.75" customHeight="1">
      <c r="A1298" s="125"/>
      <c r="B1298" s="125"/>
      <c r="C1298" s="125"/>
      <c r="D1298" s="125"/>
      <c r="E1298" s="126"/>
      <c r="F1298" s="128"/>
      <c r="G1298" s="128"/>
      <c r="H1298" s="128"/>
      <c r="I1298" s="128"/>
      <c r="J1298" s="128"/>
      <c r="K1298" s="129"/>
      <c r="L1298" s="129"/>
      <c r="M1298" s="129"/>
      <c r="N1298" s="129"/>
      <c r="O1298" s="129"/>
      <c r="P1298" s="129"/>
      <c r="Q1298" s="129"/>
      <c r="R1298" s="132"/>
      <c r="S1298" s="132"/>
      <c r="T1298" s="135"/>
      <c r="U1298" s="132"/>
      <c r="V1298" s="129"/>
      <c r="W1298" s="132"/>
      <c r="X1298" s="133"/>
      <c r="Y1298" s="132"/>
    </row>
    <row r="1299" spans="1:25" ht="15.75" customHeight="1">
      <c r="A1299" s="125"/>
      <c r="B1299" s="125"/>
      <c r="C1299" s="125"/>
      <c r="D1299" s="125"/>
      <c r="E1299" s="126"/>
      <c r="F1299" s="128"/>
      <c r="G1299" s="128"/>
      <c r="H1299" s="128"/>
      <c r="I1299" s="128"/>
      <c r="J1299" s="128"/>
      <c r="K1299" s="129"/>
      <c r="L1299" s="129"/>
      <c r="M1299" s="129"/>
      <c r="N1299" s="129"/>
      <c r="O1299" s="129"/>
      <c r="P1299" s="129"/>
      <c r="Q1299" s="129"/>
      <c r="R1299" s="132"/>
      <c r="S1299" s="132"/>
      <c r="T1299" s="135"/>
      <c r="U1299" s="132"/>
      <c r="V1299" s="129"/>
      <c r="W1299" s="132"/>
      <c r="X1299" s="133"/>
      <c r="Y1299" s="132"/>
    </row>
    <row r="1300" spans="1:25" ht="15.75" customHeight="1">
      <c r="A1300" s="125"/>
      <c r="B1300" s="125"/>
      <c r="C1300" s="125"/>
      <c r="D1300" s="125"/>
      <c r="E1300" s="126"/>
      <c r="F1300" s="128"/>
      <c r="G1300" s="128"/>
      <c r="H1300" s="128"/>
      <c r="I1300" s="128"/>
      <c r="J1300" s="128"/>
      <c r="K1300" s="129"/>
      <c r="L1300" s="129"/>
      <c r="M1300" s="129"/>
      <c r="N1300" s="129"/>
      <c r="O1300" s="129"/>
      <c r="P1300" s="129"/>
      <c r="Q1300" s="129"/>
      <c r="R1300" s="132"/>
      <c r="S1300" s="132"/>
      <c r="T1300" s="135"/>
      <c r="U1300" s="132"/>
      <c r="V1300" s="129"/>
      <c r="W1300" s="132"/>
      <c r="X1300" s="133"/>
      <c r="Y1300" s="132"/>
    </row>
    <row r="1301" spans="1:25" ht="15.75" customHeight="1">
      <c r="A1301" s="125"/>
      <c r="B1301" s="125"/>
      <c r="C1301" s="125"/>
      <c r="D1301" s="125"/>
      <c r="E1301" s="126"/>
      <c r="F1301" s="128"/>
      <c r="G1301" s="128"/>
      <c r="H1301" s="128"/>
      <c r="I1301" s="128"/>
      <c r="J1301" s="128"/>
      <c r="K1301" s="129"/>
      <c r="L1301" s="129"/>
      <c r="M1301" s="129"/>
      <c r="N1301" s="129"/>
      <c r="O1301" s="129"/>
      <c r="P1301" s="129"/>
      <c r="Q1301" s="129"/>
      <c r="R1301" s="132"/>
      <c r="S1301" s="132"/>
      <c r="T1301" s="135"/>
      <c r="U1301" s="132"/>
      <c r="V1301" s="129"/>
      <c r="W1301" s="132"/>
      <c r="X1301" s="133"/>
      <c r="Y1301" s="132"/>
    </row>
    <row r="1302" spans="1:25" ht="15.75" customHeight="1">
      <c r="A1302" s="125"/>
      <c r="B1302" s="125"/>
      <c r="C1302" s="125"/>
      <c r="D1302" s="125"/>
      <c r="E1302" s="126"/>
      <c r="F1302" s="128"/>
      <c r="G1302" s="128"/>
      <c r="H1302" s="128"/>
      <c r="I1302" s="128"/>
      <c r="J1302" s="128"/>
      <c r="K1302" s="129"/>
      <c r="L1302" s="129"/>
      <c r="M1302" s="129"/>
      <c r="N1302" s="129"/>
      <c r="O1302" s="129"/>
      <c r="P1302" s="129"/>
      <c r="Q1302" s="129"/>
      <c r="R1302" s="132"/>
      <c r="S1302" s="132"/>
      <c r="T1302" s="135"/>
      <c r="U1302" s="132"/>
      <c r="V1302" s="129"/>
      <c r="W1302" s="132"/>
      <c r="X1302" s="133"/>
      <c r="Y1302" s="132"/>
    </row>
    <row r="1303" spans="1:25" ht="15.75" customHeight="1">
      <c r="A1303" s="125"/>
      <c r="B1303" s="125"/>
      <c r="C1303" s="125"/>
      <c r="D1303" s="125"/>
      <c r="E1303" s="126"/>
      <c r="F1303" s="128"/>
      <c r="G1303" s="128"/>
      <c r="H1303" s="128"/>
      <c r="I1303" s="128"/>
      <c r="J1303" s="128"/>
      <c r="K1303" s="129"/>
      <c r="L1303" s="129"/>
      <c r="M1303" s="129"/>
      <c r="N1303" s="129"/>
      <c r="O1303" s="129"/>
      <c r="P1303" s="129"/>
      <c r="Q1303" s="129"/>
      <c r="R1303" s="132"/>
      <c r="S1303" s="132"/>
      <c r="T1303" s="135"/>
      <c r="U1303" s="132"/>
      <c r="V1303" s="129"/>
      <c r="W1303" s="132"/>
      <c r="X1303" s="133"/>
      <c r="Y1303" s="132"/>
    </row>
    <row r="1304" spans="1:25" ht="15.75" customHeight="1">
      <c r="A1304" s="125"/>
      <c r="B1304" s="125"/>
      <c r="C1304" s="125"/>
      <c r="D1304" s="125"/>
      <c r="E1304" s="126"/>
      <c r="F1304" s="128"/>
      <c r="G1304" s="128"/>
      <c r="H1304" s="128"/>
      <c r="I1304" s="128"/>
      <c r="J1304" s="128"/>
      <c r="K1304" s="129"/>
      <c r="L1304" s="129"/>
      <c r="M1304" s="129"/>
      <c r="N1304" s="129"/>
      <c r="O1304" s="129"/>
      <c r="P1304" s="129"/>
      <c r="Q1304" s="129"/>
      <c r="R1304" s="132"/>
      <c r="S1304" s="132"/>
      <c r="T1304" s="135"/>
      <c r="U1304" s="132"/>
      <c r="V1304" s="129"/>
      <c r="W1304" s="132"/>
      <c r="X1304" s="133"/>
      <c r="Y1304" s="132"/>
    </row>
    <row r="1305" spans="1:25" ht="15.75" customHeight="1">
      <c r="A1305" s="125"/>
      <c r="B1305" s="125"/>
      <c r="C1305" s="125"/>
      <c r="D1305" s="125"/>
      <c r="E1305" s="126"/>
      <c r="F1305" s="128"/>
      <c r="G1305" s="128"/>
      <c r="H1305" s="128"/>
      <c r="I1305" s="128"/>
      <c r="J1305" s="128"/>
      <c r="K1305" s="129"/>
      <c r="L1305" s="129"/>
      <c r="M1305" s="129"/>
      <c r="N1305" s="129"/>
      <c r="O1305" s="129"/>
      <c r="P1305" s="129"/>
      <c r="Q1305" s="129"/>
      <c r="R1305" s="132"/>
      <c r="S1305" s="132"/>
      <c r="T1305" s="135"/>
      <c r="U1305" s="132"/>
      <c r="V1305" s="129"/>
      <c r="W1305" s="132"/>
      <c r="X1305" s="133"/>
      <c r="Y1305" s="132"/>
    </row>
    <row r="1306" spans="1:25" ht="15.75" customHeight="1">
      <c r="A1306" s="125"/>
      <c r="B1306" s="125"/>
      <c r="C1306" s="125"/>
      <c r="D1306" s="125"/>
      <c r="E1306" s="126"/>
      <c r="F1306" s="128"/>
      <c r="G1306" s="128"/>
      <c r="H1306" s="128"/>
      <c r="I1306" s="128"/>
      <c r="J1306" s="128"/>
      <c r="K1306" s="129"/>
      <c r="L1306" s="129"/>
      <c r="M1306" s="129"/>
      <c r="N1306" s="129"/>
      <c r="O1306" s="129"/>
      <c r="P1306" s="129"/>
      <c r="Q1306" s="129"/>
      <c r="R1306" s="132"/>
      <c r="S1306" s="132"/>
      <c r="T1306" s="135"/>
      <c r="U1306" s="132"/>
      <c r="V1306" s="129"/>
      <c r="W1306" s="132"/>
      <c r="X1306" s="133"/>
      <c r="Y1306" s="132"/>
    </row>
    <row r="1307" spans="1:25" ht="15.75" customHeight="1">
      <c r="A1307" s="125"/>
      <c r="B1307" s="125"/>
      <c r="C1307" s="125"/>
      <c r="D1307" s="125"/>
      <c r="E1307" s="126"/>
      <c r="F1307" s="128"/>
      <c r="G1307" s="128"/>
      <c r="H1307" s="128"/>
      <c r="I1307" s="128"/>
      <c r="J1307" s="128"/>
      <c r="K1307" s="129"/>
      <c r="L1307" s="129"/>
      <c r="M1307" s="129"/>
      <c r="N1307" s="129"/>
      <c r="O1307" s="129"/>
      <c r="P1307" s="129"/>
      <c r="Q1307" s="129"/>
      <c r="R1307" s="132"/>
      <c r="S1307" s="132"/>
      <c r="T1307" s="135"/>
      <c r="U1307" s="132"/>
      <c r="V1307" s="129"/>
      <c r="W1307" s="132"/>
      <c r="X1307" s="133"/>
      <c r="Y1307" s="132"/>
    </row>
    <row r="1308" spans="1:25" ht="15.75" customHeight="1">
      <c r="A1308" s="125"/>
      <c r="B1308" s="125"/>
      <c r="C1308" s="125"/>
      <c r="D1308" s="125"/>
      <c r="E1308" s="126"/>
      <c r="F1308" s="128"/>
      <c r="G1308" s="128"/>
      <c r="H1308" s="128"/>
      <c r="I1308" s="128"/>
      <c r="J1308" s="128"/>
      <c r="K1308" s="129"/>
      <c r="L1308" s="129"/>
      <c r="M1308" s="129"/>
      <c r="N1308" s="129"/>
      <c r="O1308" s="129"/>
      <c r="P1308" s="129"/>
      <c r="Q1308" s="129"/>
      <c r="R1308" s="132"/>
      <c r="S1308" s="132"/>
      <c r="T1308" s="135"/>
      <c r="U1308" s="132"/>
      <c r="V1308" s="129"/>
      <c r="W1308" s="132"/>
      <c r="X1308" s="133"/>
      <c r="Y1308" s="132"/>
    </row>
    <row r="1309" spans="1:25" ht="15.75" customHeight="1">
      <c r="A1309" s="125"/>
      <c r="B1309" s="125"/>
      <c r="C1309" s="125"/>
      <c r="D1309" s="125"/>
      <c r="E1309" s="126"/>
      <c r="F1309" s="128"/>
      <c r="G1309" s="128"/>
      <c r="H1309" s="128"/>
      <c r="I1309" s="128"/>
      <c r="J1309" s="128"/>
      <c r="K1309" s="129"/>
      <c r="L1309" s="129"/>
      <c r="M1309" s="129"/>
      <c r="N1309" s="129"/>
      <c r="O1309" s="129"/>
      <c r="P1309" s="129"/>
      <c r="Q1309" s="129"/>
      <c r="R1309" s="132"/>
      <c r="S1309" s="132"/>
      <c r="T1309" s="135"/>
      <c r="U1309" s="132"/>
      <c r="V1309" s="129"/>
      <c r="W1309" s="132"/>
      <c r="X1309" s="133"/>
      <c r="Y1309" s="132"/>
    </row>
    <row r="1310" spans="1:25" ht="15.75" customHeight="1">
      <c r="A1310" s="125"/>
      <c r="B1310" s="125"/>
      <c r="C1310" s="125"/>
      <c r="D1310" s="125"/>
      <c r="E1310" s="126"/>
      <c r="F1310" s="128"/>
      <c r="G1310" s="128"/>
      <c r="H1310" s="128"/>
      <c r="I1310" s="128"/>
      <c r="J1310" s="128"/>
      <c r="K1310" s="129"/>
      <c r="L1310" s="129"/>
      <c r="M1310" s="129"/>
      <c r="N1310" s="129"/>
      <c r="O1310" s="129"/>
      <c r="P1310" s="129"/>
      <c r="Q1310" s="129"/>
      <c r="R1310" s="132"/>
      <c r="S1310" s="132"/>
      <c r="T1310" s="135"/>
      <c r="U1310" s="132"/>
      <c r="V1310" s="129"/>
      <c r="W1310" s="132"/>
      <c r="X1310" s="133"/>
      <c r="Y1310" s="132"/>
    </row>
    <row r="1311" spans="1:25" ht="15.75" customHeight="1">
      <c r="A1311" s="125"/>
      <c r="B1311" s="125"/>
      <c r="C1311" s="125"/>
      <c r="D1311" s="125"/>
      <c r="E1311" s="126"/>
      <c r="F1311" s="128"/>
      <c r="G1311" s="128"/>
      <c r="H1311" s="128"/>
      <c r="I1311" s="128"/>
      <c r="J1311" s="128"/>
      <c r="K1311" s="129"/>
      <c r="L1311" s="129"/>
      <c r="M1311" s="129"/>
      <c r="N1311" s="129"/>
      <c r="O1311" s="129"/>
      <c r="P1311" s="129"/>
      <c r="Q1311" s="129"/>
      <c r="R1311" s="132"/>
      <c r="S1311" s="132"/>
      <c r="T1311" s="135"/>
      <c r="U1311" s="132"/>
      <c r="V1311" s="129"/>
      <c r="W1311" s="132"/>
      <c r="X1311" s="133"/>
      <c r="Y1311" s="132"/>
    </row>
    <row r="1312" spans="1:25" ht="15.75" customHeight="1">
      <c r="A1312" s="125"/>
      <c r="B1312" s="125"/>
      <c r="C1312" s="125"/>
      <c r="D1312" s="125"/>
      <c r="E1312" s="126"/>
      <c r="F1312" s="128"/>
      <c r="G1312" s="128"/>
      <c r="H1312" s="128"/>
      <c r="I1312" s="128"/>
      <c r="J1312" s="128"/>
      <c r="K1312" s="129"/>
      <c r="L1312" s="129"/>
      <c r="M1312" s="129"/>
      <c r="N1312" s="129"/>
      <c r="O1312" s="129"/>
      <c r="P1312" s="129"/>
      <c r="Q1312" s="129"/>
      <c r="R1312" s="132"/>
      <c r="S1312" s="132"/>
      <c r="T1312" s="135"/>
      <c r="U1312" s="132"/>
      <c r="V1312" s="129"/>
      <c r="W1312" s="132"/>
      <c r="X1312" s="133"/>
      <c r="Y1312" s="132"/>
    </row>
    <row r="1313" spans="1:25" ht="15.75" customHeight="1">
      <c r="A1313" s="125"/>
      <c r="B1313" s="125"/>
      <c r="C1313" s="125"/>
      <c r="D1313" s="125"/>
      <c r="E1313" s="126"/>
      <c r="F1313" s="128"/>
      <c r="G1313" s="128"/>
      <c r="H1313" s="128"/>
      <c r="I1313" s="128"/>
      <c r="J1313" s="128"/>
      <c r="K1313" s="129"/>
      <c r="L1313" s="129"/>
      <c r="M1313" s="129"/>
      <c r="N1313" s="129"/>
      <c r="O1313" s="129"/>
      <c r="P1313" s="129"/>
      <c r="Q1313" s="129"/>
      <c r="R1313" s="132"/>
      <c r="S1313" s="132"/>
      <c r="T1313" s="135"/>
      <c r="U1313" s="132"/>
      <c r="V1313" s="129"/>
      <c r="W1313" s="132"/>
      <c r="X1313" s="133"/>
      <c r="Y1313" s="132"/>
    </row>
    <row r="1314" spans="1:25" ht="15.75" customHeight="1">
      <c r="A1314" s="125"/>
      <c r="B1314" s="125"/>
      <c r="C1314" s="125"/>
      <c r="D1314" s="125"/>
      <c r="E1314" s="126"/>
      <c r="F1314" s="128"/>
      <c r="G1314" s="128"/>
      <c r="H1314" s="128"/>
      <c r="I1314" s="128"/>
      <c r="J1314" s="128"/>
      <c r="K1314" s="129"/>
      <c r="L1314" s="129"/>
      <c r="M1314" s="129"/>
      <c r="N1314" s="129"/>
      <c r="O1314" s="129"/>
      <c r="P1314" s="129"/>
      <c r="Q1314" s="129"/>
      <c r="R1314" s="132"/>
      <c r="S1314" s="132"/>
      <c r="T1314" s="135"/>
      <c r="U1314" s="132"/>
      <c r="V1314" s="129"/>
      <c r="W1314" s="132"/>
      <c r="X1314" s="133"/>
      <c r="Y1314" s="132"/>
    </row>
    <row r="1315" spans="1:25" ht="15.75" customHeight="1">
      <c r="A1315" s="125"/>
      <c r="B1315" s="125"/>
      <c r="C1315" s="125"/>
      <c r="D1315" s="125"/>
      <c r="E1315" s="126"/>
      <c r="F1315" s="128"/>
      <c r="G1315" s="128"/>
      <c r="H1315" s="128"/>
      <c r="I1315" s="128"/>
      <c r="J1315" s="128"/>
      <c r="K1315" s="129"/>
      <c r="L1315" s="129"/>
      <c r="M1315" s="129"/>
      <c r="N1315" s="129"/>
      <c r="O1315" s="129"/>
      <c r="P1315" s="129"/>
      <c r="Q1315" s="129"/>
      <c r="R1315" s="132"/>
      <c r="S1315" s="132"/>
      <c r="T1315" s="135"/>
      <c r="U1315" s="132"/>
      <c r="V1315" s="129"/>
      <c r="W1315" s="132"/>
      <c r="X1315" s="133"/>
      <c r="Y1315" s="132"/>
    </row>
    <row r="1316" spans="1:25" ht="15.75" customHeight="1">
      <c r="A1316" s="125"/>
      <c r="B1316" s="125"/>
      <c r="C1316" s="125"/>
      <c r="D1316" s="125"/>
      <c r="E1316" s="126"/>
      <c r="F1316" s="128"/>
      <c r="G1316" s="128"/>
      <c r="H1316" s="128"/>
      <c r="I1316" s="128"/>
      <c r="J1316" s="128"/>
      <c r="K1316" s="129"/>
      <c r="L1316" s="129"/>
      <c r="M1316" s="129"/>
      <c r="N1316" s="129"/>
      <c r="O1316" s="129"/>
      <c r="P1316" s="129"/>
      <c r="Q1316" s="129"/>
      <c r="R1316" s="132"/>
      <c r="S1316" s="132"/>
      <c r="T1316" s="135"/>
      <c r="U1316" s="132"/>
      <c r="V1316" s="129"/>
      <c r="W1316" s="132"/>
      <c r="X1316" s="133"/>
      <c r="Y1316" s="132"/>
    </row>
    <row r="1317" spans="1:25" ht="15.75" customHeight="1">
      <c r="A1317" s="125"/>
      <c r="B1317" s="125"/>
      <c r="C1317" s="125"/>
      <c r="D1317" s="125"/>
      <c r="E1317" s="126"/>
      <c r="F1317" s="128"/>
      <c r="G1317" s="128"/>
      <c r="H1317" s="128"/>
      <c r="I1317" s="128"/>
      <c r="J1317" s="128"/>
      <c r="K1317" s="129"/>
      <c r="L1317" s="129"/>
      <c r="M1317" s="129"/>
      <c r="N1317" s="129"/>
      <c r="O1317" s="129"/>
      <c r="P1317" s="129"/>
      <c r="Q1317" s="129"/>
      <c r="R1317" s="132"/>
      <c r="S1317" s="132"/>
      <c r="T1317" s="135"/>
      <c r="U1317" s="132"/>
      <c r="V1317" s="129"/>
      <c r="W1317" s="132"/>
      <c r="X1317" s="133"/>
      <c r="Y1317" s="132"/>
    </row>
    <row r="1318" spans="1:25" ht="15.75" customHeight="1">
      <c r="A1318" s="125"/>
      <c r="B1318" s="125"/>
      <c r="C1318" s="125"/>
      <c r="D1318" s="125"/>
      <c r="E1318" s="126"/>
      <c r="F1318" s="128"/>
      <c r="G1318" s="128"/>
      <c r="H1318" s="128"/>
      <c r="I1318" s="128"/>
      <c r="J1318" s="128"/>
      <c r="K1318" s="129"/>
      <c r="L1318" s="129"/>
      <c r="M1318" s="129"/>
      <c r="N1318" s="129"/>
      <c r="O1318" s="129"/>
      <c r="P1318" s="129"/>
      <c r="Q1318" s="129"/>
      <c r="R1318" s="132"/>
      <c r="S1318" s="132"/>
      <c r="T1318" s="135"/>
      <c r="U1318" s="132"/>
      <c r="V1318" s="129"/>
      <c r="W1318" s="132"/>
      <c r="X1318" s="133"/>
      <c r="Y1318" s="132"/>
    </row>
    <row r="1319" spans="1:25" ht="15.75" customHeight="1">
      <c r="A1319" s="125"/>
      <c r="B1319" s="125"/>
      <c r="C1319" s="125"/>
      <c r="D1319" s="125"/>
      <c r="E1319" s="126"/>
      <c r="F1319" s="128"/>
      <c r="G1319" s="128"/>
      <c r="H1319" s="128"/>
      <c r="I1319" s="128"/>
      <c r="J1319" s="128"/>
      <c r="K1319" s="129"/>
      <c r="L1319" s="129"/>
      <c r="M1319" s="129"/>
      <c r="N1319" s="129"/>
      <c r="O1319" s="129"/>
      <c r="P1319" s="129"/>
      <c r="Q1319" s="129"/>
      <c r="R1319" s="132"/>
      <c r="S1319" s="132"/>
      <c r="T1319" s="135"/>
      <c r="U1319" s="132"/>
      <c r="V1319" s="129"/>
      <c r="W1319" s="132"/>
      <c r="X1319" s="133"/>
      <c r="Y1319" s="132"/>
    </row>
    <row r="1320" spans="1:25" ht="15.75" customHeight="1">
      <c r="A1320" s="125"/>
      <c r="B1320" s="125"/>
      <c r="C1320" s="125"/>
      <c r="D1320" s="125"/>
      <c r="E1320" s="126"/>
      <c r="F1320" s="128"/>
      <c r="G1320" s="128"/>
      <c r="H1320" s="128"/>
      <c r="I1320" s="128"/>
      <c r="J1320" s="128"/>
      <c r="K1320" s="129"/>
      <c r="L1320" s="129"/>
      <c r="M1320" s="129"/>
      <c r="N1320" s="129"/>
      <c r="O1320" s="129"/>
      <c r="P1320" s="129"/>
      <c r="Q1320" s="129"/>
      <c r="R1320" s="132"/>
      <c r="S1320" s="132"/>
      <c r="T1320" s="135"/>
      <c r="U1320" s="132"/>
      <c r="V1320" s="129"/>
      <c r="W1320" s="132"/>
      <c r="X1320" s="133"/>
      <c r="Y1320" s="132"/>
    </row>
    <row r="1321" spans="1:25" ht="15.75" customHeight="1">
      <c r="A1321" s="125"/>
      <c r="B1321" s="125"/>
      <c r="C1321" s="125"/>
      <c r="D1321" s="125"/>
      <c r="E1321" s="126"/>
      <c r="F1321" s="128"/>
      <c r="G1321" s="128"/>
      <c r="H1321" s="128"/>
      <c r="I1321" s="128"/>
      <c r="J1321" s="128"/>
      <c r="K1321" s="129"/>
      <c r="L1321" s="129"/>
      <c r="M1321" s="129"/>
      <c r="N1321" s="129"/>
      <c r="O1321" s="129"/>
      <c r="P1321" s="129"/>
      <c r="Q1321" s="129"/>
      <c r="R1321" s="132"/>
      <c r="S1321" s="132"/>
      <c r="T1321" s="135"/>
      <c r="U1321" s="132"/>
      <c r="V1321" s="129"/>
      <c r="W1321" s="132"/>
      <c r="X1321" s="133"/>
      <c r="Y1321" s="132"/>
    </row>
    <row r="1322" spans="1:25" ht="15.75" customHeight="1">
      <c r="A1322" s="125"/>
      <c r="B1322" s="125"/>
      <c r="C1322" s="125"/>
      <c r="D1322" s="125"/>
      <c r="E1322" s="126"/>
      <c r="F1322" s="128"/>
      <c r="G1322" s="128"/>
      <c r="H1322" s="128"/>
      <c r="I1322" s="128"/>
      <c r="J1322" s="128"/>
      <c r="K1322" s="129"/>
      <c r="L1322" s="129"/>
      <c r="M1322" s="129"/>
      <c r="N1322" s="129"/>
      <c r="O1322" s="129"/>
      <c r="P1322" s="129"/>
      <c r="Q1322" s="129"/>
      <c r="R1322" s="132"/>
      <c r="S1322" s="132"/>
      <c r="T1322" s="135"/>
      <c r="U1322" s="132"/>
      <c r="V1322" s="129"/>
      <c r="W1322" s="132"/>
      <c r="X1322" s="133"/>
      <c r="Y1322" s="132"/>
    </row>
    <row r="1323" spans="1:25" ht="15.75" customHeight="1">
      <c r="A1323" s="125"/>
      <c r="B1323" s="125"/>
      <c r="C1323" s="125"/>
      <c r="D1323" s="125"/>
      <c r="E1323" s="126"/>
      <c r="F1323" s="128"/>
      <c r="G1323" s="128"/>
      <c r="H1323" s="128"/>
      <c r="I1323" s="128"/>
      <c r="J1323" s="128"/>
      <c r="K1323" s="129"/>
      <c r="L1323" s="129"/>
      <c r="M1323" s="129"/>
      <c r="N1323" s="129"/>
      <c r="O1323" s="129"/>
      <c r="P1323" s="129"/>
      <c r="Q1323" s="129"/>
      <c r="R1323" s="132"/>
      <c r="S1323" s="132"/>
      <c r="T1323" s="135"/>
      <c r="U1323" s="132"/>
      <c r="V1323" s="129"/>
      <c r="W1323" s="132"/>
      <c r="X1323" s="133"/>
      <c r="Y1323" s="132"/>
    </row>
    <row r="1324" spans="1:25" ht="15.75" customHeight="1">
      <c r="A1324" s="125"/>
      <c r="B1324" s="125"/>
      <c r="C1324" s="125"/>
      <c r="D1324" s="125"/>
      <c r="E1324" s="126"/>
      <c r="F1324" s="128"/>
      <c r="G1324" s="128"/>
      <c r="H1324" s="128"/>
      <c r="I1324" s="128"/>
      <c r="J1324" s="128"/>
      <c r="K1324" s="129"/>
      <c r="L1324" s="129"/>
      <c r="M1324" s="129"/>
      <c r="N1324" s="129"/>
      <c r="O1324" s="129"/>
      <c r="P1324" s="129"/>
      <c r="Q1324" s="129"/>
      <c r="R1324" s="132"/>
      <c r="S1324" s="132"/>
      <c r="T1324" s="135"/>
      <c r="U1324" s="132"/>
      <c r="V1324" s="129"/>
      <c r="W1324" s="132"/>
      <c r="X1324" s="133"/>
      <c r="Y1324" s="132"/>
    </row>
    <row r="1325" spans="1:25" ht="15.75" customHeight="1">
      <c r="A1325" s="125"/>
      <c r="B1325" s="125"/>
      <c r="C1325" s="125"/>
      <c r="D1325" s="125"/>
      <c r="E1325" s="126"/>
      <c r="F1325" s="128"/>
      <c r="G1325" s="128"/>
      <c r="H1325" s="128"/>
      <c r="I1325" s="128"/>
      <c r="J1325" s="128"/>
      <c r="K1325" s="129"/>
      <c r="L1325" s="129"/>
      <c r="M1325" s="129"/>
      <c r="N1325" s="129"/>
      <c r="O1325" s="129"/>
      <c r="P1325" s="129"/>
      <c r="Q1325" s="129"/>
      <c r="R1325" s="132"/>
      <c r="S1325" s="132"/>
      <c r="T1325" s="135"/>
      <c r="U1325" s="132"/>
      <c r="V1325" s="129"/>
      <c r="W1325" s="132"/>
      <c r="X1325" s="133"/>
      <c r="Y1325" s="132"/>
    </row>
    <row r="1326" spans="1:25" ht="15.75" customHeight="1">
      <c r="A1326" s="125"/>
      <c r="B1326" s="125"/>
      <c r="C1326" s="125"/>
      <c r="D1326" s="125"/>
      <c r="E1326" s="126"/>
      <c r="F1326" s="128"/>
      <c r="G1326" s="128"/>
      <c r="H1326" s="128"/>
      <c r="I1326" s="128"/>
      <c r="J1326" s="128"/>
      <c r="K1326" s="129"/>
      <c r="L1326" s="129"/>
      <c r="M1326" s="129"/>
      <c r="N1326" s="129"/>
      <c r="O1326" s="129"/>
      <c r="P1326" s="129"/>
      <c r="Q1326" s="129"/>
      <c r="R1326" s="132"/>
      <c r="S1326" s="132"/>
      <c r="T1326" s="135"/>
      <c r="U1326" s="132"/>
      <c r="V1326" s="129"/>
      <c r="W1326" s="132"/>
      <c r="X1326" s="133"/>
      <c r="Y1326" s="132"/>
    </row>
    <row r="1327" spans="1:25" ht="15.75" customHeight="1">
      <c r="A1327" s="125"/>
      <c r="B1327" s="125"/>
      <c r="C1327" s="125"/>
      <c r="D1327" s="125"/>
      <c r="E1327" s="126"/>
      <c r="F1327" s="128"/>
      <c r="G1327" s="128"/>
      <c r="H1327" s="128"/>
      <c r="I1327" s="128"/>
      <c r="J1327" s="128"/>
      <c r="K1327" s="129"/>
      <c r="L1327" s="129"/>
      <c r="M1327" s="129"/>
      <c r="N1327" s="129"/>
      <c r="O1327" s="129"/>
      <c r="P1327" s="129"/>
      <c r="Q1327" s="129"/>
      <c r="R1327" s="132"/>
      <c r="S1327" s="132"/>
      <c r="T1327" s="135"/>
      <c r="U1327" s="132"/>
      <c r="V1327" s="129"/>
      <c r="W1327" s="132"/>
      <c r="X1327" s="133"/>
      <c r="Y1327" s="132"/>
    </row>
    <row r="1328" spans="1:25" ht="15.75" customHeight="1">
      <c r="A1328" s="125"/>
      <c r="B1328" s="125"/>
      <c r="C1328" s="125"/>
      <c r="D1328" s="125"/>
      <c r="E1328" s="126"/>
      <c r="F1328" s="128"/>
      <c r="G1328" s="128"/>
      <c r="H1328" s="128"/>
      <c r="I1328" s="128"/>
      <c r="J1328" s="128"/>
      <c r="K1328" s="129"/>
      <c r="L1328" s="129"/>
      <c r="M1328" s="129"/>
      <c r="N1328" s="129"/>
      <c r="O1328" s="129"/>
      <c r="P1328" s="129"/>
      <c r="Q1328" s="129"/>
      <c r="R1328" s="132"/>
      <c r="S1328" s="132"/>
      <c r="T1328" s="135"/>
      <c r="U1328" s="132"/>
      <c r="V1328" s="129"/>
      <c r="W1328" s="132"/>
      <c r="X1328" s="133"/>
      <c r="Y1328" s="132"/>
    </row>
    <row r="1329" spans="1:25" ht="15.75" customHeight="1">
      <c r="A1329" s="125"/>
      <c r="B1329" s="125"/>
      <c r="C1329" s="125"/>
      <c r="D1329" s="125"/>
      <c r="E1329" s="126"/>
      <c r="F1329" s="128"/>
      <c r="G1329" s="128"/>
      <c r="H1329" s="128"/>
      <c r="I1329" s="128"/>
      <c r="J1329" s="128"/>
      <c r="K1329" s="129"/>
      <c r="L1329" s="129"/>
      <c r="M1329" s="129"/>
      <c r="N1329" s="129"/>
      <c r="O1329" s="129"/>
      <c r="P1329" s="129"/>
      <c r="Q1329" s="129"/>
      <c r="R1329" s="132"/>
      <c r="S1329" s="132"/>
      <c r="T1329" s="135"/>
      <c r="U1329" s="132"/>
      <c r="V1329" s="129"/>
      <c r="W1329" s="132"/>
      <c r="X1329" s="133"/>
      <c r="Y1329" s="132"/>
    </row>
    <row r="1330" spans="1:25" ht="15.75" customHeight="1">
      <c r="A1330" s="125"/>
      <c r="B1330" s="125"/>
      <c r="C1330" s="125"/>
      <c r="D1330" s="125"/>
      <c r="E1330" s="126"/>
      <c r="F1330" s="128"/>
      <c r="G1330" s="128"/>
      <c r="H1330" s="128"/>
      <c r="I1330" s="128"/>
      <c r="J1330" s="128"/>
      <c r="K1330" s="129"/>
      <c r="L1330" s="129"/>
      <c r="M1330" s="129"/>
      <c r="N1330" s="129"/>
      <c r="O1330" s="129"/>
      <c r="P1330" s="129"/>
      <c r="Q1330" s="129"/>
      <c r="R1330" s="132"/>
      <c r="S1330" s="132"/>
      <c r="T1330" s="135"/>
      <c r="U1330" s="132"/>
      <c r="V1330" s="129"/>
      <c r="W1330" s="132"/>
      <c r="X1330" s="133"/>
      <c r="Y1330" s="132"/>
    </row>
    <row r="1331" spans="1:25" ht="15.75" customHeight="1">
      <c r="A1331" s="125"/>
      <c r="B1331" s="125"/>
      <c r="C1331" s="125"/>
      <c r="D1331" s="125"/>
      <c r="E1331" s="126"/>
      <c r="F1331" s="128"/>
      <c r="G1331" s="128"/>
      <c r="H1331" s="128"/>
      <c r="I1331" s="128"/>
      <c r="J1331" s="128"/>
      <c r="K1331" s="129"/>
      <c r="L1331" s="129"/>
      <c r="M1331" s="129"/>
      <c r="N1331" s="129"/>
      <c r="O1331" s="129"/>
      <c r="P1331" s="129"/>
      <c r="Q1331" s="129"/>
      <c r="R1331" s="132"/>
      <c r="S1331" s="132"/>
      <c r="T1331" s="135"/>
      <c r="U1331" s="132"/>
      <c r="V1331" s="129"/>
      <c r="W1331" s="132"/>
      <c r="X1331" s="133"/>
      <c r="Y1331" s="132"/>
    </row>
    <row r="1332" spans="1:25" ht="15.75" customHeight="1">
      <c r="A1332" s="125"/>
      <c r="B1332" s="125"/>
      <c r="C1332" s="125"/>
      <c r="D1332" s="125"/>
      <c r="E1332" s="126"/>
      <c r="F1332" s="128"/>
      <c r="G1332" s="128"/>
      <c r="H1332" s="128"/>
      <c r="I1332" s="128"/>
      <c r="J1332" s="128"/>
      <c r="K1332" s="129"/>
      <c r="L1332" s="129"/>
      <c r="M1332" s="129"/>
      <c r="N1332" s="129"/>
      <c r="O1332" s="129"/>
      <c r="P1332" s="129"/>
      <c r="Q1332" s="129"/>
      <c r="R1332" s="132"/>
      <c r="S1332" s="132"/>
      <c r="T1332" s="135"/>
      <c r="U1332" s="132"/>
      <c r="V1332" s="129"/>
      <c r="W1332" s="132"/>
      <c r="X1332" s="133"/>
      <c r="Y1332" s="132"/>
    </row>
    <row r="1333" spans="1:25" ht="15.75" customHeight="1">
      <c r="A1333" s="125"/>
      <c r="B1333" s="125"/>
      <c r="C1333" s="125"/>
      <c r="D1333" s="125"/>
      <c r="E1333" s="126"/>
      <c r="F1333" s="128"/>
      <c r="G1333" s="128"/>
      <c r="H1333" s="128"/>
      <c r="I1333" s="128"/>
      <c r="J1333" s="128"/>
      <c r="K1333" s="129"/>
      <c r="L1333" s="129"/>
      <c r="M1333" s="129"/>
      <c r="N1333" s="129"/>
      <c r="O1333" s="129"/>
      <c r="P1333" s="129"/>
      <c r="Q1333" s="129"/>
      <c r="R1333" s="132"/>
      <c r="S1333" s="132"/>
      <c r="T1333" s="135"/>
      <c r="U1333" s="132"/>
      <c r="V1333" s="129"/>
      <c r="W1333" s="132"/>
      <c r="X1333" s="133"/>
      <c r="Y1333" s="132"/>
    </row>
    <row r="1334" spans="1:25" ht="15.75" customHeight="1">
      <c r="A1334" s="125"/>
      <c r="B1334" s="125"/>
      <c r="C1334" s="125"/>
      <c r="D1334" s="125"/>
      <c r="E1334" s="126"/>
      <c r="F1334" s="128"/>
      <c r="G1334" s="128"/>
      <c r="H1334" s="128"/>
      <c r="I1334" s="128"/>
      <c r="J1334" s="128"/>
      <c r="K1334" s="129"/>
      <c r="L1334" s="129"/>
      <c r="M1334" s="129"/>
      <c r="N1334" s="129"/>
      <c r="O1334" s="129"/>
      <c r="P1334" s="129"/>
      <c r="Q1334" s="129"/>
      <c r="R1334" s="132"/>
      <c r="S1334" s="132"/>
      <c r="T1334" s="135"/>
      <c r="U1334" s="132"/>
      <c r="V1334" s="129"/>
      <c r="W1334" s="132"/>
      <c r="X1334" s="133"/>
      <c r="Y1334" s="132"/>
    </row>
    <row r="1335" spans="1:25" ht="15.75" customHeight="1">
      <c r="A1335" s="125"/>
      <c r="B1335" s="125"/>
      <c r="C1335" s="125"/>
      <c r="D1335" s="125"/>
      <c r="E1335" s="126"/>
      <c r="F1335" s="128"/>
      <c r="G1335" s="128"/>
      <c r="H1335" s="128"/>
      <c r="I1335" s="128"/>
      <c r="J1335" s="128"/>
      <c r="K1335" s="129"/>
      <c r="L1335" s="129"/>
      <c r="M1335" s="129"/>
      <c r="N1335" s="129"/>
      <c r="O1335" s="129"/>
      <c r="P1335" s="129"/>
      <c r="Q1335" s="129"/>
      <c r="R1335" s="132"/>
      <c r="S1335" s="132"/>
      <c r="T1335" s="135"/>
      <c r="U1335" s="132"/>
      <c r="V1335" s="129"/>
      <c r="W1335" s="132"/>
      <c r="X1335" s="133"/>
      <c r="Y1335" s="132"/>
    </row>
    <row r="1336" spans="1:25" ht="15.75" customHeight="1">
      <c r="A1336" s="125"/>
      <c r="B1336" s="125"/>
      <c r="C1336" s="125"/>
      <c r="D1336" s="125"/>
      <c r="E1336" s="126"/>
      <c r="F1336" s="128"/>
      <c r="G1336" s="128"/>
      <c r="H1336" s="128"/>
      <c r="I1336" s="128"/>
      <c r="J1336" s="128"/>
      <c r="K1336" s="129"/>
      <c r="L1336" s="129"/>
      <c r="M1336" s="129"/>
      <c r="N1336" s="129"/>
      <c r="O1336" s="129"/>
      <c r="P1336" s="129"/>
      <c r="Q1336" s="129"/>
      <c r="R1336" s="132"/>
      <c r="S1336" s="132"/>
      <c r="T1336" s="135"/>
      <c r="U1336" s="132"/>
      <c r="V1336" s="129"/>
      <c r="W1336" s="132"/>
      <c r="X1336" s="133"/>
      <c r="Y1336" s="132"/>
    </row>
    <row r="1337" spans="1:25" ht="15.75" customHeight="1">
      <c r="A1337" s="125"/>
      <c r="B1337" s="125"/>
      <c r="C1337" s="125"/>
      <c r="D1337" s="125"/>
      <c r="E1337" s="126"/>
      <c r="F1337" s="128"/>
      <c r="G1337" s="128"/>
      <c r="H1337" s="128"/>
      <c r="I1337" s="128"/>
      <c r="J1337" s="128"/>
      <c r="K1337" s="129"/>
      <c r="L1337" s="129"/>
      <c r="M1337" s="129"/>
      <c r="N1337" s="129"/>
      <c r="O1337" s="129"/>
      <c r="P1337" s="129"/>
      <c r="Q1337" s="129"/>
      <c r="R1337" s="132"/>
      <c r="S1337" s="132"/>
      <c r="T1337" s="135"/>
      <c r="U1337" s="132"/>
      <c r="V1337" s="129"/>
      <c r="W1337" s="132"/>
      <c r="X1337" s="133"/>
      <c r="Y1337" s="132"/>
    </row>
    <row r="1338" spans="1:25" ht="15.75" customHeight="1">
      <c r="A1338" s="125"/>
      <c r="B1338" s="125"/>
      <c r="C1338" s="125"/>
      <c r="D1338" s="125"/>
      <c r="E1338" s="126"/>
      <c r="F1338" s="128"/>
      <c r="G1338" s="128"/>
      <c r="H1338" s="128"/>
      <c r="I1338" s="128"/>
      <c r="J1338" s="128"/>
      <c r="K1338" s="129"/>
      <c r="L1338" s="129"/>
      <c r="M1338" s="129"/>
      <c r="N1338" s="129"/>
      <c r="O1338" s="129"/>
      <c r="P1338" s="129"/>
      <c r="Q1338" s="129"/>
      <c r="R1338" s="132"/>
      <c r="S1338" s="132"/>
      <c r="T1338" s="135"/>
      <c r="U1338" s="132"/>
      <c r="V1338" s="129"/>
      <c r="W1338" s="132"/>
      <c r="X1338" s="133"/>
      <c r="Y1338" s="132"/>
    </row>
    <row r="1339" spans="1:25" ht="15.75" customHeight="1">
      <c r="A1339" s="125"/>
      <c r="B1339" s="125"/>
      <c r="C1339" s="125"/>
      <c r="D1339" s="125"/>
      <c r="E1339" s="126"/>
      <c r="F1339" s="128"/>
      <c r="G1339" s="128"/>
      <c r="H1339" s="128"/>
      <c r="I1339" s="128"/>
      <c r="J1339" s="128"/>
      <c r="K1339" s="129"/>
      <c r="L1339" s="129"/>
      <c r="M1339" s="129"/>
      <c r="N1339" s="129"/>
      <c r="O1339" s="129"/>
      <c r="P1339" s="129"/>
      <c r="Q1339" s="129"/>
      <c r="R1339" s="132"/>
      <c r="S1339" s="132"/>
      <c r="T1339" s="135"/>
      <c r="U1339" s="132"/>
      <c r="V1339" s="129"/>
      <c r="W1339" s="132"/>
      <c r="X1339" s="133"/>
      <c r="Y1339" s="132"/>
    </row>
    <row r="1340" spans="1:25" ht="15.75" customHeight="1">
      <c r="A1340" s="125"/>
      <c r="B1340" s="125"/>
      <c r="C1340" s="125"/>
      <c r="D1340" s="125"/>
      <c r="E1340" s="126"/>
      <c r="F1340" s="128"/>
      <c r="G1340" s="128"/>
      <c r="H1340" s="128"/>
      <c r="I1340" s="128"/>
      <c r="J1340" s="128"/>
      <c r="K1340" s="129"/>
      <c r="L1340" s="129"/>
      <c r="M1340" s="129"/>
      <c r="N1340" s="129"/>
      <c r="O1340" s="129"/>
      <c r="P1340" s="129"/>
      <c r="Q1340" s="129"/>
      <c r="R1340" s="132"/>
      <c r="S1340" s="132"/>
      <c r="T1340" s="135"/>
      <c r="U1340" s="132"/>
      <c r="V1340" s="129"/>
      <c r="W1340" s="132"/>
      <c r="X1340" s="133"/>
      <c r="Y1340" s="132"/>
    </row>
    <row r="1341" spans="1:25" ht="15.75" customHeight="1">
      <c r="A1341" s="125"/>
      <c r="B1341" s="125"/>
      <c r="C1341" s="125"/>
      <c r="D1341" s="125"/>
      <c r="E1341" s="126"/>
      <c r="F1341" s="128"/>
      <c r="G1341" s="128"/>
      <c r="H1341" s="128"/>
      <c r="I1341" s="128"/>
      <c r="J1341" s="128"/>
      <c r="K1341" s="129"/>
      <c r="L1341" s="129"/>
      <c r="M1341" s="129"/>
      <c r="N1341" s="129"/>
      <c r="O1341" s="129"/>
      <c r="P1341" s="129"/>
      <c r="Q1341" s="129"/>
      <c r="R1341" s="132"/>
      <c r="S1341" s="132"/>
      <c r="T1341" s="135"/>
      <c r="U1341" s="132"/>
      <c r="V1341" s="129"/>
      <c r="W1341" s="132"/>
      <c r="X1341" s="133"/>
      <c r="Y1341" s="132"/>
    </row>
    <row r="1342" spans="1:25" ht="15.75" customHeight="1">
      <c r="A1342" s="125"/>
      <c r="B1342" s="125"/>
      <c r="C1342" s="125"/>
      <c r="D1342" s="125"/>
      <c r="E1342" s="126"/>
      <c r="F1342" s="128"/>
      <c r="G1342" s="128"/>
      <c r="H1342" s="128"/>
      <c r="I1342" s="128"/>
      <c r="J1342" s="128"/>
      <c r="K1342" s="129"/>
      <c r="L1342" s="129"/>
      <c r="M1342" s="129"/>
      <c r="N1342" s="129"/>
      <c r="O1342" s="129"/>
      <c r="P1342" s="129"/>
      <c r="Q1342" s="129"/>
      <c r="R1342" s="132"/>
      <c r="S1342" s="132"/>
      <c r="T1342" s="135"/>
      <c r="U1342" s="132"/>
      <c r="V1342" s="129"/>
      <c r="W1342" s="132"/>
      <c r="X1342" s="133"/>
      <c r="Y1342" s="132"/>
    </row>
    <row r="1343" spans="1:25" ht="15.75" customHeight="1">
      <c r="A1343" s="125"/>
      <c r="B1343" s="125"/>
      <c r="C1343" s="125"/>
      <c r="D1343" s="125"/>
      <c r="E1343" s="126"/>
      <c r="F1343" s="128"/>
      <c r="G1343" s="128"/>
      <c r="H1343" s="128"/>
      <c r="I1343" s="128"/>
      <c r="J1343" s="128"/>
      <c r="K1343" s="129"/>
      <c r="L1343" s="129"/>
      <c r="M1343" s="129"/>
      <c r="N1343" s="129"/>
      <c r="O1343" s="129"/>
      <c r="P1343" s="129"/>
      <c r="Q1343" s="129"/>
      <c r="R1343" s="132"/>
      <c r="S1343" s="132"/>
      <c r="T1343" s="135"/>
      <c r="U1343" s="132"/>
      <c r="V1343" s="129"/>
      <c r="W1343" s="132"/>
      <c r="X1343" s="133"/>
      <c r="Y1343" s="132"/>
    </row>
    <row r="1344" spans="1:25" ht="15.75" customHeight="1">
      <c r="A1344" s="125"/>
      <c r="B1344" s="125"/>
      <c r="C1344" s="125"/>
      <c r="D1344" s="125"/>
      <c r="E1344" s="126"/>
      <c r="F1344" s="128"/>
      <c r="G1344" s="128"/>
      <c r="H1344" s="128"/>
      <c r="I1344" s="128"/>
      <c r="J1344" s="128"/>
      <c r="K1344" s="129"/>
      <c r="L1344" s="129"/>
      <c r="M1344" s="129"/>
      <c r="N1344" s="129"/>
      <c r="O1344" s="129"/>
      <c r="P1344" s="129"/>
      <c r="Q1344" s="129"/>
      <c r="R1344" s="132"/>
      <c r="S1344" s="132"/>
      <c r="T1344" s="135"/>
      <c r="U1344" s="132"/>
      <c r="V1344" s="129"/>
      <c r="W1344" s="132"/>
      <c r="X1344" s="133"/>
      <c r="Y1344" s="132"/>
    </row>
    <row r="1345" spans="1:25" ht="15.75" customHeight="1">
      <c r="A1345" s="125"/>
      <c r="B1345" s="125"/>
      <c r="C1345" s="125"/>
      <c r="D1345" s="125"/>
      <c r="E1345" s="126"/>
      <c r="F1345" s="128"/>
      <c r="G1345" s="128"/>
      <c r="H1345" s="128"/>
      <c r="I1345" s="128"/>
      <c r="J1345" s="128"/>
      <c r="K1345" s="129"/>
      <c r="L1345" s="129"/>
      <c r="M1345" s="129"/>
      <c r="N1345" s="129"/>
      <c r="O1345" s="129"/>
      <c r="P1345" s="129"/>
      <c r="Q1345" s="129"/>
      <c r="R1345" s="132"/>
      <c r="S1345" s="132"/>
      <c r="T1345" s="135"/>
      <c r="U1345" s="132"/>
      <c r="V1345" s="129"/>
      <c r="W1345" s="132"/>
      <c r="X1345" s="133"/>
      <c r="Y1345" s="132"/>
    </row>
    <row r="1346" spans="1:25" ht="15.75" customHeight="1">
      <c r="A1346" s="125"/>
      <c r="B1346" s="125"/>
      <c r="C1346" s="125"/>
      <c r="D1346" s="125"/>
      <c r="E1346" s="126"/>
      <c r="F1346" s="128"/>
      <c r="G1346" s="128"/>
      <c r="H1346" s="128"/>
      <c r="I1346" s="128"/>
      <c r="J1346" s="128"/>
      <c r="K1346" s="129"/>
      <c r="L1346" s="129"/>
      <c r="M1346" s="129"/>
      <c r="N1346" s="129"/>
      <c r="O1346" s="129"/>
      <c r="P1346" s="129"/>
      <c r="Q1346" s="129"/>
      <c r="R1346" s="132"/>
      <c r="S1346" s="132"/>
      <c r="T1346" s="135"/>
      <c r="U1346" s="132"/>
      <c r="V1346" s="129"/>
      <c r="W1346" s="132"/>
      <c r="X1346" s="133"/>
      <c r="Y1346" s="132"/>
    </row>
    <row r="1347" spans="1:25" ht="15.75" customHeight="1">
      <c r="A1347" s="125"/>
      <c r="B1347" s="125"/>
      <c r="C1347" s="125"/>
      <c r="D1347" s="125"/>
      <c r="E1347" s="126"/>
      <c r="F1347" s="128"/>
      <c r="G1347" s="128"/>
      <c r="H1347" s="128"/>
      <c r="I1347" s="128"/>
      <c r="J1347" s="128"/>
      <c r="K1347" s="129"/>
      <c r="L1347" s="129"/>
      <c r="M1347" s="129"/>
      <c r="N1347" s="129"/>
      <c r="O1347" s="129"/>
      <c r="P1347" s="129"/>
      <c r="Q1347" s="129"/>
      <c r="R1347" s="132"/>
      <c r="S1347" s="132"/>
      <c r="T1347" s="135"/>
      <c r="U1347" s="132"/>
      <c r="V1347" s="129"/>
      <c r="W1347" s="132"/>
      <c r="X1347" s="133"/>
      <c r="Y1347" s="132"/>
    </row>
    <row r="1348" spans="1:25" ht="15.75" customHeight="1">
      <c r="A1348" s="125"/>
      <c r="B1348" s="125"/>
      <c r="C1348" s="125"/>
      <c r="D1348" s="125"/>
      <c r="E1348" s="126"/>
      <c r="F1348" s="128"/>
      <c r="G1348" s="128"/>
      <c r="H1348" s="128"/>
      <c r="I1348" s="128"/>
      <c r="J1348" s="128"/>
      <c r="K1348" s="129"/>
      <c r="L1348" s="129"/>
      <c r="M1348" s="129"/>
      <c r="N1348" s="129"/>
      <c r="O1348" s="129"/>
      <c r="P1348" s="129"/>
      <c r="Q1348" s="129"/>
      <c r="R1348" s="132"/>
      <c r="S1348" s="132"/>
      <c r="T1348" s="135"/>
      <c r="U1348" s="132"/>
      <c r="V1348" s="129"/>
      <c r="W1348" s="132"/>
      <c r="X1348" s="133"/>
      <c r="Y1348" s="132"/>
    </row>
    <row r="1349" spans="1:25" ht="15.75" customHeight="1">
      <c r="A1349" s="125"/>
      <c r="B1349" s="125"/>
      <c r="C1349" s="125"/>
      <c r="D1349" s="125"/>
      <c r="E1349" s="126"/>
      <c r="F1349" s="128"/>
      <c r="G1349" s="128"/>
      <c r="H1349" s="128"/>
      <c r="I1349" s="128"/>
      <c r="J1349" s="128"/>
      <c r="K1349" s="129"/>
      <c r="L1349" s="129"/>
      <c r="M1349" s="129"/>
      <c r="N1349" s="129"/>
      <c r="O1349" s="129"/>
      <c r="P1349" s="129"/>
      <c r="Q1349" s="129"/>
      <c r="R1349" s="132"/>
      <c r="S1349" s="132"/>
      <c r="T1349" s="135"/>
      <c r="U1349" s="132"/>
      <c r="V1349" s="129"/>
      <c r="W1349" s="132"/>
      <c r="X1349" s="133"/>
      <c r="Y1349" s="132"/>
    </row>
    <row r="1350" spans="1:25" ht="15.75" customHeight="1">
      <c r="A1350" s="125"/>
      <c r="B1350" s="125"/>
      <c r="C1350" s="125"/>
      <c r="D1350" s="125"/>
      <c r="E1350" s="126"/>
      <c r="F1350" s="128"/>
      <c r="G1350" s="128"/>
      <c r="H1350" s="128"/>
      <c r="I1350" s="128"/>
      <c r="J1350" s="128"/>
      <c r="K1350" s="129"/>
      <c r="L1350" s="129"/>
      <c r="M1350" s="129"/>
      <c r="N1350" s="129"/>
      <c r="O1350" s="129"/>
      <c r="P1350" s="129"/>
      <c r="Q1350" s="129"/>
      <c r="R1350" s="132"/>
      <c r="S1350" s="132"/>
      <c r="T1350" s="135"/>
      <c r="U1350" s="132"/>
      <c r="V1350" s="129"/>
      <c r="W1350" s="132"/>
      <c r="X1350" s="133"/>
      <c r="Y1350" s="132"/>
    </row>
    <row r="1351" spans="1:25" ht="15.75" customHeight="1">
      <c r="A1351" s="125"/>
      <c r="B1351" s="125"/>
      <c r="C1351" s="125"/>
      <c r="D1351" s="125"/>
      <c r="E1351" s="126"/>
      <c r="F1351" s="128"/>
      <c r="G1351" s="128"/>
      <c r="H1351" s="128"/>
      <c r="I1351" s="128"/>
      <c r="J1351" s="128"/>
      <c r="K1351" s="129"/>
      <c r="L1351" s="129"/>
      <c r="M1351" s="129"/>
      <c r="N1351" s="129"/>
      <c r="O1351" s="129"/>
      <c r="P1351" s="129"/>
      <c r="Q1351" s="129"/>
      <c r="R1351" s="132"/>
      <c r="S1351" s="132"/>
      <c r="T1351" s="135"/>
      <c r="U1351" s="132"/>
      <c r="V1351" s="129"/>
      <c r="W1351" s="132"/>
      <c r="X1351" s="133"/>
      <c r="Y1351" s="132"/>
    </row>
    <row r="1352" spans="1:25" ht="15.75" customHeight="1">
      <c r="A1352" s="125"/>
      <c r="B1352" s="125"/>
      <c r="C1352" s="125"/>
      <c r="D1352" s="125"/>
      <c r="E1352" s="126"/>
      <c r="F1352" s="128"/>
      <c r="G1352" s="128"/>
      <c r="H1352" s="128"/>
      <c r="I1352" s="128"/>
      <c r="J1352" s="128"/>
      <c r="K1352" s="129"/>
      <c r="L1352" s="129"/>
      <c r="M1352" s="129"/>
      <c r="N1352" s="129"/>
      <c r="O1352" s="129"/>
      <c r="P1352" s="129"/>
      <c r="Q1352" s="129"/>
      <c r="R1352" s="132"/>
      <c r="S1352" s="132"/>
      <c r="T1352" s="135"/>
      <c r="U1352" s="132"/>
      <c r="V1352" s="129"/>
      <c r="W1352" s="132"/>
      <c r="X1352" s="133"/>
      <c r="Y1352" s="132"/>
    </row>
    <row r="1353" spans="1:25" ht="15.75" customHeight="1">
      <c r="A1353" s="125"/>
      <c r="B1353" s="125"/>
      <c r="C1353" s="125"/>
      <c r="D1353" s="125"/>
      <c r="E1353" s="126"/>
      <c r="F1353" s="128"/>
      <c r="G1353" s="128"/>
      <c r="H1353" s="128"/>
      <c r="I1353" s="128"/>
      <c r="J1353" s="128"/>
      <c r="K1353" s="129"/>
      <c r="L1353" s="129"/>
      <c r="M1353" s="129"/>
      <c r="N1353" s="129"/>
      <c r="O1353" s="129"/>
      <c r="P1353" s="129"/>
      <c r="Q1353" s="129"/>
      <c r="R1353" s="132"/>
      <c r="S1353" s="132"/>
      <c r="T1353" s="135"/>
      <c r="U1353" s="132"/>
      <c r="V1353" s="129"/>
      <c r="W1353" s="132"/>
      <c r="X1353" s="133"/>
      <c r="Y1353" s="132"/>
    </row>
    <row r="1354" spans="1:25" ht="15.75" customHeight="1">
      <c r="A1354" s="125"/>
      <c r="B1354" s="125"/>
      <c r="C1354" s="125"/>
      <c r="D1354" s="125"/>
      <c r="E1354" s="126"/>
      <c r="F1354" s="128"/>
      <c r="G1354" s="128"/>
      <c r="H1354" s="128"/>
      <c r="I1354" s="128"/>
      <c r="J1354" s="128"/>
      <c r="K1354" s="129"/>
      <c r="L1354" s="129"/>
      <c r="M1354" s="129"/>
      <c r="N1354" s="129"/>
      <c r="O1354" s="129"/>
      <c r="P1354" s="129"/>
      <c r="Q1354" s="129"/>
      <c r="R1354" s="132"/>
      <c r="S1354" s="132"/>
      <c r="T1354" s="135"/>
      <c r="U1354" s="132"/>
      <c r="V1354" s="129"/>
      <c r="W1354" s="132"/>
      <c r="X1354" s="133"/>
      <c r="Y1354" s="132"/>
    </row>
    <row r="1355" spans="1:25" ht="15.75" customHeight="1">
      <c r="A1355" s="125"/>
      <c r="B1355" s="125"/>
      <c r="C1355" s="125"/>
      <c r="D1355" s="125"/>
      <c r="E1355" s="126"/>
      <c r="F1355" s="128"/>
      <c r="G1355" s="128"/>
      <c r="H1355" s="128"/>
      <c r="I1355" s="128"/>
      <c r="J1355" s="128"/>
      <c r="K1355" s="129"/>
      <c r="L1355" s="129"/>
      <c r="M1355" s="129"/>
      <c r="N1355" s="129"/>
      <c r="O1355" s="129"/>
      <c r="P1355" s="129"/>
      <c r="Q1355" s="129"/>
      <c r="R1355" s="132"/>
      <c r="S1355" s="132"/>
      <c r="T1355" s="135"/>
      <c r="U1355" s="132"/>
      <c r="V1355" s="129"/>
      <c r="W1355" s="132"/>
      <c r="X1355" s="133"/>
      <c r="Y1355" s="132"/>
    </row>
    <row r="1356" spans="1:25" ht="15.75" customHeight="1">
      <c r="A1356" s="125"/>
      <c r="B1356" s="125"/>
      <c r="C1356" s="125"/>
      <c r="D1356" s="125"/>
      <c r="E1356" s="126"/>
      <c r="F1356" s="128"/>
      <c r="G1356" s="128"/>
      <c r="H1356" s="128"/>
      <c r="I1356" s="128"/>
      <c r="J1356" s="128"/>
      <c r="K1356" s="129"/>
      <c r="L1356" s="129"/>
      <c r="M1356" s="129"/>
      <c r="N1356" s="129"/>
      <c r="O1356" s="129"/>
      <c r="P1356" s="129"/>
      <c r="Q1356" s="129"/>
      <c r="R1356" s="132"/>
      <c r="S1356" s="132"/>
      <c r="T1356" s="135"/>
      <c r="U1356" s="132"/>
      <c r="V1356" s="129"/>
      <c r="W1356" s="132"/>
      <c r="X1356" s="133"/>
      <c r="Y1356" s="132"/>
    </row>
    <row r="1357" spans="1:25" ht="15.75" customHeight="1">
      <c r="A1357" s="125"/>
      <c r="B1357" s="125"/>
      <c r="C1357" s="125"/>
      <c r="D1357" s="125"/>
      <c r="E1357" s="126"/>
      <c r="F1357" s="128"/>
      <c r="G1357" s="128"/>
      <c r="H1357" s="128"/>
      <c r="I1357" s="128"/>
      <c r="J1357" s="128"/>
      <c r="K1357" s="129"/>
      <c r="L1357" s="129"/>
      <c r="M1357" s="129"/>
      <c r="N1357" s="129"/>
      <c r="O1357" s="129"/>
      <c r="P1357" s="129"/>
      <c r="Q1357" s="129"/>
      <c r="R1357" s="132"/>
      <c r="S1357" s="132"/>
      <c r="T1357" s="135"/>
      <c r="U1357" s="132"/>
      <c r="V1357" s="129"/>
      <c r="W1357" s="132"/>
      <c r="X1357" s="133"/>
      <c r="Y1357" s="132"/>
    </row>
    <row r="1358" spans="1:25" ht="15.75" customHeight="1">
      <c r="A1358" s="125"/>
      <c r="B1358" s="125"/>
      <c r="C1358" s="125"/>
      <c r="D1358" s="125"/>
      <c r="E1358" s="126"/>
      <c r="F1358" s="128"/>
      <c r="G1358" s="128"/>
      <c r="H1358" s="128"/>
      <c r="I1358" s="128"/>
      <c r="J1358" s="128"/>
      <c r="K1358" s="129"/>
      <c r="L1358" s="129"/>
      <c r="M1358" s="129"/>
      <c r="N1358" s="129"/>
      <c r="O1358" s="129"/>
      <c r="P1358" s="129"/>
      <c r="Q1358" s="129"/>
      <c r="R1358" s="132"/>
      <c r="S1358" s="132"/>
      <c r="T1358" s="135"/>
      <c r="U1358" s="132"/>
      <c r="V1358" s="129"/>
      <c r="W1358" s="132"/>
      <c r="X1358" s="133"/>
      <c r="Y1358" s="132"/>
    </row>
    <row r="1359" spans="1:25" ht="15.75" customHeight="1">
      <c r="A1359" s="125"/>
      <c r="B1359" s="125"/>
      <c r="C1359" s="125"/>
      <c r="D1359" s="125"/>
      <c r="E1359" s="126"/>
      <c r="F1359" s="128"/>
      <c r="G1359" s="128"/>
      <c r="H1359" s="128"/>
      <c r="I1359" s="128"/>
      <c r="J1359" s="128"/>
      <c r="K1359" s="129"/>
      <c r="L1359" s="129"/>
      <c r="M1359" s="129"/>
      <c r="N1359" s="129"/>
      <c r="O1359" s="129"/>
      <c r="P1359" s="129"/>
      <c r="Q1359" s="129"/>
      <c r="R1359" s="132"/>
      <c r="S1359" s="132"/>
      <c r="T1359" s="135"/>
      <c r="U1359" s="132"/>
      <c r="V1359" s="129"/>
      <c r="W1359" s="132"/>
      <c r="X1359" s="133"/>
      <c r="Y1359" s="132"/>
    </row>
    <row r="1360" spans="1:25" ht="15.75" customHeight="1">
      <c r="A1360" s="125"/>
      <c r="B1360" s="125"/>
      <c r="C1360" s="125"/>
      <c r="D1360" s="125"/>
      <c r="E1360" s="126"/>
      <c r="F1360" s="128"/>
      <c r="G1360" s="128"/>
      <c r="H1360" s="128"/>
      <c r="I1360" s="128"/>
      <c r="J1360" s="128"/>
      <c r="K1360" s="129"/>
      <c r="L1360" s="129"/>
      <c r="M1360" s="129"/>
      <c r="N1360" s="129"/>
      <c r="O1360" s="129"/>
      <c r="P1360" s="129"/>
      <c r="Q1360" s="129"/>
      <c r="R1360" s="132"/>
      <c r="S1360" s="132"/>
      <c r="T1360" s="135"/>
      <c r="U1360" s="132"/>
      <c r="V1360" s="129"/>
      <c r="W1360" s="132"/>
      <c r="X1360" s="133"/>
      <c r="Y1360" s="132"/>
    </row>
    <row r="1361" spans="1:25" ht="15.75" customHeight="1">
      <c r="A1361" s="125"/>
      <c r="B1361" s="125"/>
      <c r="C1361" s="125"/>
      <c r="D1361" s="125"/>
      <c r="E1361" s="126"/>
      <c r="F1361" s="128"/>
      <c r="G1361" s="128"/>
      <c r="H1361" s="128"/>
      <c r="I1361" s="128"/>
      <c r="J1361" s="128"/>
      <c r="K1361" s="129"/>
      <c r="L1361" s="129"/>
      <c r="M1361" s="129"/>
      <c r="N1361" s="129"/>
      <c r="O1361" s="129"/>
      <c r="P1361" s="129"/>
      <c r="Q1361" s="129"/>
      <c r="R1361" s="132"/>
      <c r="S1361" s="132"/>
      <c r="T1361" s="135"/>
      <c r="U1361" s="132"/>
      <c r="V1361" s="129"/>
      <c r="W1361" s="132"/>
      <c r="X1361" s="133"/>
      <c r="Y1361" s="132"/>
    </row>
    <row r="1362" spans="1:25" ht="15.75" customHeight="1">
      <c r="A1362" s="125"/>
      <c r="B1362" s="125"/>
      <c r="C1362" s="125"/>
      <c r="D1362" s="125"/>
      <c r="E1362" s="126"/>
      <c r="F1362" s="128"/>
      <c r="G1362" s="128"/>
      <c r="H1362" s="128"/>
      <c r="I1362" s="128"/>
      <c r="J1362" s="128"/>
      <c r="K1362" s="129"/>
      <c r="L1362" s="129"/>
      <c r="M1362" s="129"/>
      <c r="N1362" s="129"/>
      <c r="O1362" s="129"/>
      <c r="P1362" s="129"/>
      <c r="Q1362" s="129"/>
      <c r="R1362" s="132"/>
      <c r="S1362" s="132"/>
      <c r="T1362" s="135"/>
      <c r="U1362" s="132"/>
      <c r="V1362" s="129"/>
      <c r="W1362" s="132"/>
      <c r="X1362" s="133"/>
      <c r="Y1362" s="132"/>
    </row>
    <row r="1363" spans="1:25" ht="15.75" customHeight="1">
      <c r="A1363" s="125"/>
      <c r="B1363" s="125"/>
      <c r="C1363" s="125"/>
      <c r="D1363" s="125"/>
      <c r="E1363" s="126"/>
      <c r="F1363" s="128"/>
      <c r="G1363" s="128"/>
      <c r="H1363" s="128"/>
      <c r="I1363" s="128"/>
      <c r="J1363" s="128"/>
      <c r="K1363" s="129"/>
      <c r="L1363" s="129"/>
      <c r="M1363" s="129"/>
      <c r="N1363" s="129"/>
      <c r="O1363" s="129"/>
      <c r="P1363" s="129"/>
      <c r="Q1363" s="129"/>
      <c r="R1363" s="132"/>
      <c r="S1363" s="132"/>
      <c r="T1363" s="135"/>
      <c r="U1363" s="132"/>
      <c r="V1363" s="129"/>
      <c r="W1363" s="132"/>
      <c r="X1363" s="133"/>
      <c r="Y1363" s="132"/>
    </row>
    <row r="1364" spans="1:25" ht="15.75" customHeight="1">
      <c r="A1364" s="125"/>
      <c r="B1364" s="125"/>
      <c r="C1364" s="125"/>
      <c r="D1364" s="125"/>
      <c r="E1364" s="126"/>
      <c r="F1364" s="128"/>
      <c r="G1364" s="128"/>
      <c r="H1364" s="128"/>
      <c r="I1364" s="128"/>
      <c r="J1364" s="128"/>
      <c r="K1364" s="129"/>
      <c r="L1364" s="129"/>
      <c r="M1364" s="129"/>
      <c r="N1364" s="129"/>
      <c r="O1364" s="129"/>
      <c r="P1364" s="129"/>
      <c r="Q1364" s="129"/>
      <c r="R1364" s="132"/>
      <c r="S1364" s="132"/>
      <c r="T1364" s="135"/>
      <c r="U1364" s="132"/>
      <c r="V1364" s="129"/>
      <c r="W1364" s="132"/>
      <c r="X1364" s="133"/>
      <c r="Y1364" s="132"/>
    </row>
    <row r="1365" spans="1:25" ht="15.75" customHeight="1">
      <c r="A1365" s="125"/>
      <c r="B1365" s="125"/>
      <c r="C1365" s="125"/>
      <c r="D1365" s="125"/>
      <c r="E1365" s="126"/>
      <c r="F1365" s="128"/>
      <c r="G1365" s="128"/>
      <c r="H1365" s="128"/>
      <c r="I1365" s="128"/>
      <c r="J1365" s="128"/>
      <c r="K1365" s="129"/>
      <c r="L1365" s="129"/>
      <c r="M1365" s="129"/>
      <c r="N1365" s="129"/>
      <c r="O1365" s="129"/>
      <c r="P1365" s="129"/>
      <c r="Q1365" s="129"/>
      <c r="R1365" s="132"/>
      <c r="S1365" s="132"/>
      <c r="T1365" s="135"/>
      <c r="U1365" s="132"/>
      <c r="V1365" s="129"/>
      <c r="W1365" s="132"/>
      <c r="X1365" s="133"/>
      <c r="Y1365" s="132"/>
    </row>
    <row r="1366" spans="1:25" ht="15.75" customHeight="1">
      <c r="A1366" s="125"/>
      <c r="B1366" s="125"/>
      <c r="C1366" s="125"/>
      <c r="D1366" s="125"/>
      <c r="E1366" s="126"/>
      <c r="F1366" s="128"/>
      <c r="G1366" s="128"/>
      <c r="H1366" s="128"/>
      <c r="I1366" s="128"/>
      <c r="J1366" s="128"/>
      <c r="K1366" s="129"/>
      <c r="L1366" s="129"/>
      <c r="M1366" s="129"/>
      <c r="N1366" s="129"/>
      <c r="O1366" s="129"/>
      <c r="P1366" s="129"/>
      <c r="Q1366" s="129"/>
      <c r="R1366" s="132"/>
      <c r="S1366" s="132"/>
      <c r="T1366" s="135"/>
      <c r="U1366" s="132"/>
      <c r="V1366" s="129"/>
      <c r="W1366" s="132"/>
      <c r="X1366" s="133"/>
      <c r="Y1366" s="132"/>
    </row>
    <row r="1367" spans="1:25" ht="15.75" customHeight="1">
      <c r="A1367" s="125"/>
      <c r="B1367" s="125"/>
      <c r="C1367" s="125"/>
      <c r="D1367" s="125"/>
      <c r="E1367" s="126"/>
      <c r="F1367" s="128"/>
      <c r="G1367" s="128"/>
      <c r="H1367" s="128"/>
      <c r="I1367" s="128"/>
      <c r="J1367" s="128"/>
      <c r="K1367" s="129"/>
      <c r="L1367" s="129"/>
      <c r="M1367" s="129"/>
      <c r="N1367" s="129"/>
      <c r="O1367" s="129"/>
      <c r="P1367" s="129"/>
      <c r="Q1367" s="129"/>
      <c r="R1367" s="132"/>
      <c r="S1367" s="132"/>
      <c r="T1367" s="135"/>
      <c r="U1367" s="132"/>
      <c r="V1367" s="129"/>
      <c r="W1367" s="132"/>
      <c r="X1367" s="133"/>
      <c r="Y1367" s="132"/>
    </row>
    <row r="1368" spans="1:25" ht="15.75" customHeight="1">
      <c r="A1368" s="125"/>
      <c r="B1368" s="125"/>
      <c r="C1368" s="125"/>
      <c r="D1368" s="125"/>
      <c r="E1368" s="126"/>
      <c r="F1368" s="128"/>
      <c r="G1368" s="128"/>
      <c r="H1368" s="128"/>
      <c r="I1368" s="128"/>
      <c r="J1368" s="128"/>
      <c r="K1368" s="129"/>
      <c r="L1368" s="129"/>
      <c r="M1368" s="129"/>
      <c r="N1368" s="129"/>
      <c r="O1368" s="129"/>
      <c r="P1368" s="129"/>
      <c r="Q1368" s="129"/>
      <c r="R1368" s="132"/>
      <c r="S1368" s="132"/>
      <c r="T1368" s="135"/>
      <c r="U1368" s="132"/>
      <c r="V1368" s="129"/>
      <c r="W1368" s="132"/>
      <c r="X1368" s="133"/>
      <c r="Y1368" s="132"/>
    </row>
    <row r="1369" spans="1:25" ht="15.75" customHeight="1">
      <c r="A1369" s="125"/>
      <c r="B1369" s="125"/>
      <c r="C1369" s="125"/>
      <c r="D1369" s="125"/>
      <c r="E1369" s="126"/>
      <c r="F1369" s="128"/>
      <c r="G1369" s="128"/>
      <c r="H1369" s="128"/>
      <c r="I1369" s="128"/>
      <c r="J1369" s="128"/>
      <c r="K1369" s="129"/>
      <c r="L1369" s="129"/>
      <c r="M1369" s="129"/>
      <c r="N1369" s="129"/>
      <c r="O1369" s="129"/>
      <c r="P1369" s="129"/>
      <c r="Q1369" s="129"/>
      <c r="R1369" s="132"/>
      <c r="S1369" s="132"/>
      <c r="T1369" s="135"/>
      <c r="U1369" s="132"/>
      <c r="V1369" s="129"/>
      <c r="W1369" s="132"/>
      <c r="X1369" s="133"/>
      <c r="Y1369" s="132"/>
    </row>
    <row r="1370" spans="1:25" ht="15.75" customHeight="1">
      <c r="A1370" s="125"/>
      <c r="B1370" s="125"/>
      <c r="C1370" s="125"/>
      <c r="D1370" s="125"/>
      <c r="E1370" s="126"/>
      <c r="F1370" s="128"/>
      <c r="G1370" s="128"/>
      <c r="H1370" s="128"/>
      <c r="I1370" s="128"/>
      <c r="J1370" s="128"/>
      <c r="K1370" s="129"/>
      <c r="L1370" s="129"/>
      <c r="M1370" s="129"/>
      <c r="N1370" s="129"/>
      <c r="O1370" s="129"/>
      <c r="P1370" s="129"/>
      <c r="Q1370" s="129"/>
      <c r="R1370" s="132"/>
      <c r="S1370" s="132"/>
      <c r="T1370" s="135"/>
      <c r="U1370" s="132"/>
      <c r="V1370" s="129"/>
      <c r="W1370" s="132"/>
      <c r="X1370" s="133"/>
      <c r="Y1370" s="132"/>
    </row>
    <row r="1371" spans="1:25" ht="15.75" customHeight="1">
      <c r="A1371" s="125"/>
      <c r="B1371" s="125"/>
      <c r="C1371" s="125"/>
      <c r="D1371" s="125"/>
      <c r="E1371" s="126"/>
      <c r="F1371" s="128"/>
      <c r="G1371" s="128"/>
      <c r="H1371" s="128"/>
      <c r="I1371" s="128"/>
      <c r="J1371" s="128"/>
      <c r="K1371" s="129"/>
      <c r="L1371" s="129"/>
      <c r="M1371" s="129"/>
      <c r="N1371" s="129"/>
      <c r="O1371" s="129"/>
      <c r="P1371" s="129"/>
      <c r="Q1371" s="129"/>
      <c r="R1371" s="132"/>
      <c r="S1371" s="132"/>
      <c r="T1371" s="135"/>
      <c r="U1371" s="132"/>
      <c r="V1371" s="129"/>
      <c r="W1371" s="132"/>
      <c r="X1371" s="133"/>
      <c r="Y1371" s="132"/>
    </row>
    <row r="1372" spans="1:25" ht="15.75" customHeight="1">
      <c r="A1372" s="125"/>
      <c r="B1372" s="125"/>
      <c r="C1372" s="125"/>
      <c r="D1372" s="125"/>
      <c r="E1372" s="126"/>
      <c r="F1372" s="128"/>
      <c r="G1372" s="128"/>
      <c r="H1372" s="128"/>
      <c r="I1372" s="128"/>
      <c r="J1372" s="128"/>
      <c r="K1372" s="129"/>
      <c r="L1372" s="129"/>
      <c r="M1372" s="129"/>
      <c r="N1372" s="129"/>
      <c r="O1372" s="129"/>
      <c r="P1372" s="129"/>
      <c r="Q1372" s="129"/>
      <c r="R1372" s="132"/>
      <c r="S1372" s="132"/>
      <c r="T1372" s="135"/>
      <c r="U1372" s="132"/>
      <c r="V1372" s="129"/>
      <c r="W1372" s="132"/>
      <c r="X1372" s="133"/>
      <c r="Y1372" s="132"/>
    </row>
    <row r="1373" spans="1:25" ht="15.75" customHeight="1">
      <c r="A1373" s="125"/>
      <c r="B1373" s="125"/>
      <c r="C1373" s="125"/>
      <c r="D1373" s="125"/>
      <c r="E1373" s="126"/>
      <c r="F1373" s="128"/>
      <c r="G1373" s="128"/>
      <c r="H1373" s="128"/>
      <c r="I1373" s="128"/>
      <c r="J1373" s="128"/>
      <c r="K1373" s="129"/>
      <c r="L1373" s="129"/>
      <c r="M1373" s="129"/>
      <c r="N1373" s="129"/>
      <c r="O1373" s="129"/>
      <c r="P1373" s="129"/>
      <c r="Q1373" s="129"/>
      <c r="R1373" s="132"/>
      <c r="S1373" s="132"/>
      <c r="T1373" s="135"/>
      <c r="U1373" s="132"/>
      <c r="V1373" s="129"/>
      <c r="W1373" s="132"/>
      <c r="X1373" s="133"/>
      <c r="Y1373" s="132"/>
    </row>
    <row r="1374" spans="1:25" ht="15.75" customHeight="1">
      <c r="A1374" s="125"/>
      <c r="B1374" s="125"/>
      <c r="C1374" s="125"/>
      <c r="D1374" s="125"/>
      <c r="E1374" s="126"/>
      <c r="F1374" s="128"/>
      <c r="G1374" s="128"/>
      <c r="H1374" s="128"/>
      <c r="I1374" s="128"/>
      <c r="J1374" s="128"/>
      <c r="K1374" s="129"/>
      <c r="L1374" s="129"/>
      <c r="M1374" s="129"/>
      <c r="N1374" s="129"/>
      <c r="O1374" s="129"/>
      <c r="P1374" s="129"/>
      <c r="Q1374" s="129"/>
      <c r="R1374" s="132"/>
      <c r="S1374" s="132"/>
      <c r="T1374" s="135"/>
      <c r="U1374" s="132"/>
      <c r="V1374" s="129"/>
      <c r="W1374" s="132"/>
      <c r="X1374" s="133"/>
      <c r="Y1374" s="132"/>
    </row>
    <row r="1375" spans="1:25" ht="15.75" customHeight="1">
      <c r="A1375" s="125"/>
      <c r="B1375" s="125"/>
      <c r="C1375" s="125"/>
      <c r="D1375" s="125"/>
      <c r="E1375" s="126"/>
      <c r="F1375" s="128"/>
      <c r="G1375" s="128"/>
      <c r="H1375" s="128"/>
      <c r="I1375" s="128"/>
      <c r="J1375" s="128"/>
      <c r="K1375" s="129"/>
      <c r="L1375" s="129"/>
      <c r="M1375" s="129"/>
      <c r="N1375" s="129"/>
      <c r="O1375" s="129"/>
      <c r="P1375" s="129"/>
      <c r="Q1375" s="129"/>
      <c r="R1375" s="132"/>
      <c r="S1375" s="132"/>
      <c r="T1375" s="135"/>
      <c r="U1375" s="132"/>
      <c r="V1375" s="129"/>
      <c r="W1375" s="132"/>
      <c r="X1375" s="133"/>
      <c r="Y1375" s="132"/>
    </row>
    <row r="1376" spans="1:25" ht="15.75" customHeight="1">
      <c r="A1376" s="125"/>
      <c r="B1376" s="125"/>
      <c r="C1376" s="125"/>
      <c r="D1376" s="125"/>
      <c r="E1376" s="126"/>
      <c r="F1376" s="128"/>
      <c r="G1376" s="128"/>
      <c r="H1376" s="128"/>
      <c r="I1376" s="128"/>
      <c r="J1376" s="128"/>
      <c r="K1376" s="129"/>
      <c r="L1376" s="129"/>
      <c r="M1376" s="129"/>
      <c r="N1376" s="129"/>
      <c r="O1376" s="129"/>
      <c r="P1376" s="129"/>
      <c r="Q1376" s="129"/>
      <c r="R1376" s="132"/>
      <c r="S1376" s="132"/>
      <c r="T1376" s="135"/>
      <c r="U1376" s="132"/>
      <c r="V1376" s="129"/>
      <c r="W1376" s="132"/>
      <c r="X1376" s="133"/>
      <c r="Y1376" s="132"/>
    </row>
    <row r="1377" spans="1:25" ht="15.75" customHeight="1">
      <c r="A1377" s="125"/>
      <c r="B1377" s="125"/>
      <c r="C1377" s="125"/>
      <c r="D1377" s="125"/>
      <c r="E1377" s="126"/>
      <c r="F1377" s="128"/>
      <c r="G1377" s="128"/>
      <c r="H1377" s="128"/>
      <c r="I1377" s="128"/>
      <c r="J1377" s="128"/>
      <c r="K1377" s="129"/>
      <c r="L1377" s="129"/>
      <c r="M1377" s="129"/>
      <c r="N1377" s="129"/>
      <c r="O1377" s="129"/>
      <c r="P1377" s="129"/>
      <c r="Q1377" s="129"/>
      <c r="R1377" s="132"/>
      <c r="S1377" s="132"/>
      <c r="T1377" s="135"/>
      <c r="U1377" s="132"/>
      <c r="V1377" s="129"/>
      <c r="W1377" s="132"/>
      <c r="X1377" s="133"/>
      <c r="Y1377" s="132"/>
    </row>
    <row r="1378" spans="1:25" ht="15.75" customHeight="1">
      <c r="A1378" s="125"/>
      <c r="B1378" s="125"/>
      <c r="C1378" s="125"/>
      <c r="D1378" s="125"/>
      <c r="E1378" s="126"/>
      <c r="F1378" s="128"/>
      <c r="G1378" s="128"/>
      <c r="H1378" s="128"/>
      <c r="I1378" s="128"/>
      <c r="J1378" s="128"/>
      <c r="K1378" s="129"/>
      <c r="L1378" s="129"/>
      <c r="M1378" s="129"/>
      <c r="N1378" s="129"/>
      <c r="O1378" s="129"/>
      <c r="P1378" s="129"/>
      <c r="Q1378" s="129"/>
      <c r="R1378" s="132"/>
      <c r="S1378" s="132"/>
      <c r="T1378" s="135"/>
      <c r="U1378" s="132"/>
      <c r="V1378" s="129"/>
      <c r="W1378" s="132"/>
      <c r="X1378" s="133"/>
      <c r="Y1378" s="132"/>
    </row>
    <row r="1379" spans="1:25" ht="15.75" customHeight="1">
      <c r="A1379" s="125"/>
      <c r="B1379" s="125"/>
      <c r="C1379" s="125"/>
      <c r="D1379" s="125"/>
      <c r="E1379" s="126"/>
      <c r="F1379" s="128"/>
      <c r="G1379" s="128"/>
      <c r="H1379" s="128"/>
      <c r="I1379" s="128"/>
      <c r="J1379" s="128"/>
      <c r="K1379" s="129"/>
      <c r="L1379" s="129"/>
      <c r="M1379" s="129"/>
      <c r="N1379" s="129"/>
      <c r="O1379" s="129"/>
      <c r="P1379" s="129"/>
      <c r="Q1379" s="129"/>
      <c r="R1379" s="132"/>
      <c r="S1379" s="132"/>
      <c r="T1379" s="135"/>
      <c r="U1379" s="132"/>
      <c r="V1379" s="129"/>
      <c r="W1379" s="132"/>
      <c r="X1379" s="133"/>
      <c r="Y1379" s="132"/>
    </row>
    <row r="1380" spans="1:25" ht="15.75" customHeight="1">
      <c r="A1380" s="125"/>
      <c r="B1380" s="125"/>
      <c r="C1380" s="125"/>
      <c r="D1380" s="125"/>
      <c r="E1380" s="126"/>
      <c r="F1380" s="128"/>
      <c r="G1380" s="128"/>
      <c r="H1380" s="128"/>
      <c r="I1380" s="128"/>
      <c r="J1380" s="128"/>
      <c r="K1380" s="129"/>
      <c r="L1380" s="129"/>
      <c r="M1380" s="129"/>
      <c r="N1380" s="129"/>
      <c r="O1380" s="129"/>
      <c r="P1380" s="129"/>
      <c r="Q1380" s="129"/>
      <c r="R1380" s="132"/>
      <c r="S1380" s="132"/>
      <c r="T1380" s="135"/>
      <c r="U1380" s="132"/>
      <c r="V1380" s="129"/>
      <c r="W1380" s="132"/>
      <c r="X1380" s="133"/>
      <c r="Y1380" s="132"/>
    </row>
    <row r="1381" spans="1:25" ht="15.75" customHeight="1">
      <c r="A1381" s="125"/>
      <c r="B1381" s="125"/>
      <c r="C1381" s="125"/>
      <c r="D1381" s="125"/>
      <c r="E1381" s="126"/>
      <c r="F1381" s="128"/>
      <c r="G1381" s="128"/>
      <c r="H1381" s="128"/>
      <c r="I1381" s="128"/>
      <c r="J1381" s="128"/>
      <c r="K1381" s="129"/>
      <c r="L1381" s="129"/>
      <c r="M1381" s="129"/>
      <c r="N1381" s="129"/>
      <c r="O1381" s="129"/>
      <c r="P1381" s="129"/>
      <c r="Q1381" s="129"/>
      <c r="R1381" s="132"/>
      <c r="S1381" s="132"/>
      <c r="T1381" s="135"/>
      <c r="U1381" s="132"/>
      <c r="V1381" s="129"/>
      <c r="W1381" s="132"/>
      <c r="X1381" s="133"/>
      <c r="Y1381" s="132"/>
    </row>
    <row r="1382" spans="1:25" ht="15.75" customHeight="1">
      <c r="A1382" s="125"/>
      <c r="B1382" s="125"/>
      <c r="C1382" s="125"/>
      <c r="D1382" s="125"/>
      <c r="E1382" s="126"/>
      <c r="F1382" s="128"/>
      <c r="G1382" s="128"/>
      <c r="H1382" s="128"/>
      <c r="I1382" s="128"/>
      <c r="J1382" s="128"/>
      <c r="K1382" s="129"/>
      <c r="L1382" s="129"/>
      <c r="M1382" s="129"/>
      <c r="N1382" s="129"/>
      <c r="O1382" s="129"/>
      <c r="P1382" s="129"/>
      <c r="Q1382" s="129"/>
      <c r="R1382" s="132"/>
      <c r="S1382" s="132"/>
      <c r="T1382" s="135"/>
      <c r="U1382" s="132"/>
      <c r="V1382" s="129"/>
      <c r="W1382" s="132"/>
      <c r="X1382" s="133"/>
      <c r="Y1382" s="132"/>
    </row>
    <row r="1383" spans="1:25" ht="15.75" customHeight="1">
      <c r="A1383" s="125"/>
      <c r="B1383" s="125"/>
      <c r="C1383" s="125"/>
      <c r="D1383" s="125"/>
      <c r="E1383" s="126"/>
      <c r="F1383" s="128"/>
      <c r="G1383" s="128"/>
      <c r="H1383" s="128"/>
      <c r="I1383" s="128"/>
      <c r="J1383" s="128"/>
      <c r="K1383" s="129"/>
      <c r="L1383" s="129"/>
      <c r="M1383" s="129"/>
      <c r="N1383" s="129"/>
      <c r="O1383" s="129"/>
      <c r="P1383" s="129"/>
      <c r="Q1383" s="129"/>
      <c r="R1383" s="132"/>
      <c r="S1383" s="132"/>
      <c r="T1383" s="135"/>
      <c r="U1383" s="132"/>
      <c r="V1383" s="129"/>
      <c r="W1383" s="132"/>
      <c r="X1383" s="133"/>
      <c r="Y1383" s="132"/>
    </row>
    <row r="1384" spans="1:25" ht="15.75" customHeight="1">
      <c r="A1384" s="125"/>
      <c r="B1384" s="125"/>
      <c r="C1384" s="125"/>
      <c r="D1384" s="125"/>
      <c r="E1384" s="126"/>
      <c r="F1384" s="128"/>
      <c r="G1384" s="128"/>
      <c r="H1384" s="128"/>
      <c r="I1384" s="128"/>
      <c r="J1384" s="128"/>
      <c r="K1384" s="129"/>
      <c r="L1384" s="129"/>
      <c r="M1384" s="129"/>
      <c r="N1384" s="129"/>
      <c r="O1384" s="129"/>
      <c r="P1384" s="129"/>
      <c r="Q1384" s="129"/>
      <c r="R1384" s="132"/>
      <c r="S1384" s="132"/>
      <c r="T1384" s="135"/>
      <c r="U1384" s="132"/>
      <c r="V1384" s="129"/>
      <c r="W1384" s="132"/>
      <c r="X1384" s="133"/>
      <c r="Y1384" s="132"/>
    </row>
    <row r="1385" spans="1:25" ht="15.75" customHeight="1">
      <c r="A1385" s="125"/>
      <c r="B1385" s="125"/>
      <c r="C1385" s="125"/>
      <c r="D1385" s="125"/>
      <c r="E1385" s="126"/>
      <c r="F1385" s="128"/>
      <c r="G1385" s="128"/>
      <c r="H1385" s="128"/>
      <c r="I1385" s="128"/>
      <c r="J1385" s="128"/>
      <c r="K1385" s="129"/>
      <c r="L1385" s="129"/>
      <c r="M1385" s="129"/>
      <c r="N1385" s="129"/>
      <c r="O1385" s="129"/>
      <c r="P1385" s="129"/>
      <c r="Q1385" s="129"/>
      <c r="R1385" s="132"/>
      <c r="S1385" s="132"/>
      <c r="T1385" s="135"/>
      <c r="U1385" s="132"/>
      <c r="V1385" s="129"/>
      <c r="W1385" s="132"/>
      <c r="X1385" s="133"/>
      <c r="Y1385" s="132"/>
    </row>
    <row r="1386" spans="1:25" ht="15.75" customHeight="1">
      <c r="A1386" s="125"/>
      <c r="B1386" s="125"/>
      <c r="C1386" s="125"/>
      <c r="D1386" s="125"/>
      <c r="E1386" s="126"/>
      <c r="F1386" s="128"/>
      <c r="G1386" s="128"/>
      <c r="H1386" s="128"/>
      <c r="I1386" s="128"/>
      <c r="J1386" s="128"/>
      <c r="K1386" s="129"/>
      <c r="L1386" s="129"/>
      <c r="M1386" s="129"/>
      <c r="N1386" s="129"/>
      <c r="O1386" s="129"/>
      <c r="P1386" s="129"/>
      <c r="Q1386" s="129"/>
      <c r="R1386" s="132"/>
      <c r="S1386" s="132"/>
      <c r="T1386" s="135"/>
      <c r="U1386" s="132"/>
      <c r="V1386" s="129"/>
      <c r="W1386" s="132"/>
      <c r="X1386" s="133"/>
      <c r="Y1386" s="132"/>
    </row>
    <row r="1387" spans="1:25" ht="15.75" customHeight="1">
      <c r="A1387" s="125"/>
      <c r="B1387" s="125"/>
      <c r="C1387" s="125"/>
      <c r="D1387" s="125"/>
      <c r="E1387" s="126"/>
      <c r="F1387" s="128"/>
      <c r="G1387" s="128"/>
      <c r="H1387" s="128"/>
      <c r="I1387" s="128"/>
      <c r="J1387" s="128"/>
      <c r="K1387" s="129"/>
      <c r="L1387" s="129"/>
      <c r="M1387" s="129"/>
      <c r="N1387" s="129"/>
      <c r="O1387" s="129"/>
      <c r="P1387" s="129"/>
      <c r="Q1387" s="129"/>
      <c r="R1387" s="132"/>
      <c r="S1387" s="132"/>
      <c r="T1387" s="135"/>
      <c r="U1387" s="132"/>
      <c r="V1387" s="129"/>
      <c r="W1387" s="132"/>
      <c r="X1387" s="133"/>
      <c r="Y1387" s="132"/>
    </row>
    <row r="1388" spans="1:25" ht="15.75" customHeight="1">
      <c r="A1388" s="125"/>
      <c r="B1388" s="125"/>
      <c r="C1388" s="125"/>
      <c r="D1388" s="125"/>
      <c r="E1388" s="126"/>
      <c r="F1388" s="128"/>
      <c r="G1388" s="128"/>
      <c r="H1388" s="128"/>
      <c r="I1388" s="128"/>
      <c r="J1388" s="128"/>
      <c r="K1388" s="129"/>
      <c r="L1388" s="129"/>
      <c r="M1388" s="129"/>
      <c r="N1388" s="129"/>
      <c r="O1388" s="129"/>
      <c r="P1388" s="129"/>
      <c r="Q1388" s="129"/>
      <c r="R1388" s="132"/>
      <c r="S1388" s="132"/>
      <c r="T1388" s="135"/>
      <c r="U1388" s="132"/>
      <c r="V1388" s="129"/>
      <c r="W1388" s="132"/>
      <c r="X1388" s="133"/>
      <c r="Y1388" s="132"/>
    </row>
    <row r="1389" spans="1:25" ht="15.75" customHeight="1">
      <c r="A1389" s="125"/>
      <c r="B1389" s="125"/>
      <c r="C1389" s="125"/>
      <c r="D1389" s="125"/>
      <c r="E1389" s="126"/>
      <c r="F1389" s="128"/>
      <c r="G1389" s="128"/>
      <c r="H1389" s="128"/>
      <c r="I1389" s="128"/>
      <c r="J1389" s="128"/>
      <c r="K1389" s="129"/>
      <c r="L1389" s="129"/>
      <c r="M1389" s="129"/>
      <c r="N1389" s="129"/>
      <c r="O1389" s="129"/>
      <c r="P1389" s="129"/>
      <c r="Q1389" s="129"/>
      <c r="R1389" s="132"/>
      <c r="S1389" s="132"/>
      <c r="T1389" s="135"/>
      <c r="U1389" s="132"/>
      <c r="V1389" s="129"/>
      <c r="W1389" s="132"/>
      <c r="X1389" s="133"/>
      <c r="Y1389" s="132"/>
    </row>
    <row r="1390" spans="1:25" ht="15.75" customHeight="1">
      <c r="A1390" s="125"/>
      <c r="B1390" s="125"/>
      <c r="C1390" s="125"/>
      <c r="D1390" s="125"/>
      <c r="E1390" s="126"/>
      <c r="F1390" s="128"/>
      <c r="G1390" s="128"/>
      <c r="H1390" s="128"/>
      <c r="I1390" s="128"/>
      <c r="J1390" s="128"/>
      <c r="K1390" s="129"/>
      <c r="L1390" s="129"/>
      <c r="M1390" s="129"/>
      <c r="N1390" s="129"/>
      <c r="O1390" s="129"/>
      <c r="P1390" s="129"/>
      <c r="Q1390" s="129"/>
      <c r="R1390" s="132"/>
      <c r="S1390" s="132"/>
      <c r="T1390" s="135"/>
      <c r="U1390" s="132"/>
      <c r="V1390" s="129"/>
      <c r="W1390" s="132"/>
      <c r="X1390" s="133"/>
      <c r="Y1390" s="132"/>
    </row>
    <row r="1391" spans="1:25" ht="15.75" customHeight="1">
      <c r="A1391" s="125"/>
      <c r="B1391" s="125"/>
      <c r="C1391" s="125"/>
      <c r="D1391" s="125"/>
      <c r="E1391" s="126"/>
      <c r="F1391" s="128"/>
      <c r="G1391" s="128"/>
      <c r="H1391" s="128"/>
      <c r="I1391" s="128"/>
      <c r="J1391" s="128"/>
      <c r="K1391" s="129"/>
      <c r="L1391" s="129"/>
      <c r="M1391" s="129"/>
      <c r="N1391" s="129"/>
      <c r="O1391" s="129"/>
      <c r="P1391" s="129"/>
      <c r="Q1391" s="129"/>
      <c r="R1391" s="132"/>
      <c r="S1391" s="132"/>
      <c r="T1391" s="135"/>
      <c r="U1391" s="132"/>
      <c r="V1391" s="129"/>
      <c r="W1391" s="132"/>
      <c r="X1391" s="133"/>
      <c r="Y1391" s="132"/>
    </row>
    <row r="1392" spans="1:25" ht="15.75" customHeight="1">
      <c r="A1392" s="125"/>
      <c r="B1392" s="125"/>
      <c r="C1392" s="125"/>
      <c r="D1392" s="125"/>
      <c r="E1392" s="126"/>
      <c r="F1392" s="128"/>
      <c r="G1392" s="128"/>
      <c r="H1392" s="128"/>
      <c r="I1392" s="128"/>
      <c r="J1392" s="128"/>
      <c r="K1392" s="129"/>
      <c r="L1392" s="129"/>
      <c r="M1392" s="129"/>
      <c r="N1392" s="129"/>
      <c r="O1392" s="129"/>
      <c r="P1392" s="129"/>
      <c r="Q1392" s="129"/>
      <c r="R1392" s="132"/>
      <c r="S1392" s="132"/>
      <c r="T1392" s="135"/>
      <c r="U1392" s="132"/>
      <c r="V1392" s="129"/>
      <c r="W1392" s="132"/>
      <c r="X1392" s="133"/>
      <c r="Y1392" s="132"/>
    </row>
    <row r="1393" spans="1:25" ht="15.75" customHeight="1">
      <c r="A1393" s="125"/>
      <c r="B1393" s="125"/>
      <c r="C1393" s="125"/>
      <c r="D1393" s="125"/>
      <c r="E1393" s="126"/>
      <c r="F1393" s="128"/>
      <c r="G1393" s="128"/>
      <c r="H1393" s="128"/>
      <c r="I1393" s="128"/>
      <c r="J1393" s="128"/>
      <c r="K1393" s="129"/>
      <c r="L1393" s="129"/>
      <c r="M1393" s="129"/>
      <c r="N1393" s="129"/>
      <c r="O1393" s="129"/>
      <c r="P1393" s="129"/>
      <c r="Q1393" s="129"/>
      <c r="R1393" s="132"/>
      <c r="S1393" s="132"/>
      <c r="T1393" s="135"/>
      <c r="U1393" s="132"/>
      <c r="V1393" s="129"/>
      <c r="W1393" s="132"/>
      <c r="X1393" s="133"/>
      <c r="Y1393" s="132"/>
    </row>
    <row r="1394" spans="1:25" ht="15.75" customHeight="1">
      <c r="A1394" s="125"/>
      <c r="B1394" s="125"/>
      <c r="C1394" s="125"/>
      <c r="D1394" s="125"/>
      <c r="E1394" s="126"/>
      <c r="F1394" s="128"/>
      <c r="G1394" s="128"/>
      <c r="H1394" s="128"/>
      <c r="I1394" s="128"/>
      <c r="J1394" s="128"/>
      <c r="K1394" s="129"/>
      <c r="L1394" s="129"/>
      <c r="M1394" s="129"/>
      <c r="N1394" s="129"/>
      <c r="O1394" s="129"/>
      <c r="P1394" s="129"/>
      <c r="Q1394" s="129"/>
      <c r="R1394" s="132"/>
      <c r="S1394" s="132"/>
      <c r="T1394" s="135"/>
      <c r="U1394" s="132"/>
      <c r="V1394" s="129"/>
      <c r="W1394" s="132"/>
      <c r="X1394" s="133"/>
      <c r="Y1394" s="132"/>
    </row>
    <row r="1395" spans="1:25" ht="15.75" customHeight="1">
      <c r="A1395" s="125"/>
      <c r="B1395" s="125"/>
      <c r="C1395" s="125"/>
      <c r="D1395" s="125"/>
      <c r="E1395" s="126"/>
      <c r="F1395" s="128"/>
      <c r="G1395" s="128"/>
      <c r="H1395" s="128"/>
      <c r="I1395" s="128"/>
      <c r="J1395" s="128"/>
      <c r="K1395" s="129"/>
      <c r="L1395" s="129"/>
      <c r="M1395" s="129"/>
      <c r="N1395" s="129"/>
      <c r="O1395" s="129"/>
      <c r="P1395" s="129"/>
      <c r="Q1395" s="129"/>
      <c r="R1395" s="132"/>
      <c r="S1395" s="132"/>
      <c r="T1395" s="135"/>
      <c r="U1395" s="132"/>
      <c r="V1395" s="129"/>
      <c r="W1395" s="132"/>
      <c r="X1395" s="133"/>
      <c r="Y1395" s="132"/>
    </row>
    <row r="1396" spans="1:25" ht="15.75" customHeight="1">
      <c r="A1396" s="125"/>
      <c r="B1396" s="125"/>
      <c r="C1396" s="125"/>
      <c r="D1396" s="125"/>
      <c r="E1396" s="126"/>
      <c r="F1396" s="128"/>
      <c r="G1396" s="128"/>
      <c r="H1396" s="128"/>
      <c r="I1396" s="128"/>
      <c r="J1396" s="128"/>
      <c r="K1396" s="129"/>
      <c r="L1396" s="129"/>
      <c r="M1396" s="129"/>
      <c r="N1396" s="129"/>
      <c r="O1396" s="129"/>
      <c r="P1396" s="129"/>
      <c r="Q1396" s="129"/>
      <c r="R1396" s="132"/>
      <c r="S1396" s="132"/>
      <c r="T1396" s="135"/>
      <c r="U1396" s="132"/>
      <c r="V1396" s="129"/>
      <c r="W1396" s="132"/>
      <c r="X1396" s="133"/>
      <c r="Y1396" s="132"/>
    </row>
    <row r="1397" spans="1:25" ht="15.75" customHeight="1">
      <c r="A1397" s="125"/>
      <c r="B1397" s="125"/>
      <c r="C1397" s="125"/>
      <c r="D1397" s="125"/>
      <c r="E1397" s="126"/>
      <c r="F1397" s="128"/>
      <c r="G1397" s="128"/>
      <c r="H1397" s="128"/>
      <c r="I1397" s="128"/>
      <c r="J1397" s="128"/>
      <c r="K1397" s="129"/>
      <c r="L1397" s="129"/>
      <c r="M1397" s="129"/>
      <c r="N1397" s="129"/>
      <c r="O1397" s="129"/>
      <c r="P1397" s="129"/>
      <c r="Q1397" s="129"/>
      <c r="R1397" s="132"/>
      <c r="S1397" s="132"/>
      <c r="T1397" s="135"/>
      <c r="U1397" s="132"/>
      <c r="V1397" s="129"/>
      <c r="W1397" s="132"/>
      <c r="X1397" s="133"/>
      <c r="Y1397" s="132"/>
    </row>
    <row r="1398" spans="1:25" ht="15.75" customHeight="1">
      <c r="A1398" s="125"/>
      <c r="B1398" s="125"/>
      <c r="C1398" s="125"/>
      <c r="D1398" s="125"/>
      <c r="E1398" s="126"/>
      <c r="F1398" s="128"/>
      <c r="G1398" s="128"/>
      <c r="H1398" s="128"/>
      <c r="I1398" s="128"/>
      <c r="J1398" s="128"/>
      <c r="K1398" s="129"/>
      <c r="L1398" s="129"/>
      <c r="M1398" s="129"/>
      <c r="N1398" s="129"/>
      <c r="O1398" s="129"/>
      <c r="P1398" s="129"/>
      <c r="Q1398" s="129"/>
      <c r="R1398" s="132"/>
      <c r="S1398" s="132"/>
      <c r="T1398" s="135"/>
      <c r="U1398" s="132"/>
      <c r="V1398" s="129"/>
      <c r="W1398" s="132"/>
      <c r="X1398" s="133"/>
      <c r="Y1398" s="132"/>
    </row>
    <row r="1399" spans="1:25" ht="15.75" customHeight="1">
      <c r="A1399" s="125"/>
      <c r="B1399" s="125"/>
      <c r="C1399" s="125"/>
      <c r="D1399" s="125"/>
      <c r="E1399" s="126"/>
      <c r="F1399" s="128"/>
      <c r="G1399" s="128"/>
      <c r="H1399" s="128"/>
      <c r="I1399" s="128"/>
      <c r="J1399" s="128"/>
      <c r="K1399" s="129"/>
      <c r="L1399" s="129"/>
      <c r="M1399" s="129"/>
      <c r="N1399" s="129"/>
      <c r="O1399" s="129"/>
      <c r="P1399" s="129"/>
      <c r="Q1399" s="129"/>
      <c r="R1399" s="132"/>
      <c r="S1399" s="132"/>
      <c r="T1399" s="135"/>
      <c r="U1399" s="132"/>
      <c r="V1399" s="129"/>
      <c r="W1399" s="132"/>
      <c r="X1399" s="133"/>
      <c r="Y1399" s="132"/>
    </row>
    <row r="1400" spans="1:25" ht="15.75" customHeight="1">
      <c r="A1400" s="125"/>
      <c r="B1400" s="125"/>
      <c r="C1400" s="125"/>
      <c r="D1400" s="125"/>
      <c r="E1400" s="126"/>
      <c r="F1400" s="128"/>
      <c r="G1400" s="128"/>
      <c r="H1400" s="128"/>
      <c r="I1400" s="128"/>
      <c r="J1400" s="128"/>
      <c r="K1400" s="129"/>
      <c r="L1400" s="129"/>
      <c r="M1400" s="129"/>
      <c r="N1400" s="129"/>
      <c r="O1400" s="129"/>
      <c r="P1400" s="129"/>
      <c r="Q1400" s="129"/>
      <c r="R1400" s="132"/>
      <c r="S1400" s="132"/>
      <c r="T1400" s="135"/>
      <c r="U1400" s="132"/>
      <c r="V1400" s="129"/>
      <c r="W1400" s="132"/>
      <c r="X1400" s="133"/>
      <c r="Y1400" s="132"/>
    </row>
    <row r="1401" spans="1:25" ht="15.75" customHeight="1">
      <c r="A1401" s="125"/>
      <c r="B1401" s="125"/>
      <c r="C1401" s="125"/>
      <c r="D1401" s="125"/>
      <c r="E1401" s="126"/>
      <c r="F1401" s="128"/>
      <c r="G1401" s="128"/>
      <c r="H1401" s="128"/>
      <c r="I1401" s="128"/>
      <c r="J1401" s="128"/>
      <c r="K1401" s="129"/>
      <c r="L1401" s="129"/>
      <c r="M1401" s="129"/>
      <c r="N1401" s="129"/>
      <c r="O1401" s="129"/>
      <c r="P1401" s="129"/>
      <c r="Q1401" s="129"/>
      <c r="R1401" s="132"/>
      <c r="S1401" s="132"/>
      <c r="T1401" s="135"/>
      <c r="U1401" s="132"/>
      <c r="V1401" s="129"/>
      <c r="W1401" s="132"/>
      <c r="X1401" s="133"/>
      <c r="Y1401" s="132"/>
    </row>
    <row r="1402" spans="1:25" ht="15.75" customHeight="1">
      <c r="A1402" s="125"/>
      <c r="B1402" s="125"/>
      <c r="C1402" s="125"/>
      <c r="D1402" s="125"/>
      <c r="E1402" s="126"/>
      <c r="F1402" s="128"/>
      <c r="G1402" s="128"/>
      <c r="H1402" s="128"/>
      <c r="I1402" s="128"/>
      <c r="J1402" s="128"/>
      <c r="K1402" s="129"/>
      <c r="L1402" s="129"/>
      <c r="M1402" s="129"/>
      <c r="N1402" s="129"/>
      <c r="O1402" s="129"/>
      <c r="P1402" s="129"/>
      <c r="Q1402" s="129"/>
      <c r="R1402" s="132"/>
      <c r="S1402" s="132"/>
      <c r="T1402" s="135"/>
      <c r="U1402" s="132"/>
      <c r="V1402" s="129"/>
      <c r="W1402" s="132"/>
      <c r="X1402" s="133"/>
      <c r="Y1402" s="132"/>
    </row>
    <row r="1403" spans="1:25" ht="15.75" customHeight="1">
      <c r="A1403" s="125"/>
      <c r="B1403" s="125"/>
      <c r="C1403" s="125"/>
      <c r="D1403" s="125"/>
      <c r="E1403" s="126"/>
      <c r="F1403" s="128"/>
      <c r="G1403" s="128"/>
      <c r="H1403" s="128"/>
      <c r="I1403" s="128"/>
      <c r="J1403" s="128"/>
      <c r="K1403" s="129"/>
      <c r="L1403" s="129"/>
      <c r="M1403" s="129"/>
      <c r="N1403" s="129"/>
      <c r="O1403" s="129"/>
      <c r="P1403" s="129"/>
      <c r="Q1403" s="129"/>
      <c r="R1403" s="132"/>
      <c r="S1403" s="132"/>
      <c r="T1403" s="135"/>
      <c r="U1403" s="132"/>
      <c r="V1403" s="129"/>
      <c r="W1403" s="132"/>
      <c r="X1403" s="133"/>
      <c r="Y1403" s="132"/>
    </row>
    <row r="1404" spans="1:25" ht="15.75" customHeight="1">
      <c r="A1404" s="125"/>
      <c r="B1404" s="125"/>
      <c r="C1404" s="125"/>
      <c r="D1404" s="125"/>
      <c r="E1404" s="126"/>
      <c r="F1404" s="128"/>
      <c r="G1404" s="128"/>
      <c r="H1404" s="128"/>
      <c r="I1404" s="128"/>
      <c r="J1404" s="128"/>
      <c r="K1404" s="129"/>
      <c r="L1404" s="129"/>
      <c r="M1404" s="129"/>
      <c r="N1404" s="129"/>
      <c r="O1404" s="129"/>
      <c r="P1404" s="129"/>
      <c r="Q1404" s="129"/>
      <c r="R1404" s="132"/>
      <c r="S1404" s="132"/>
      <c r="T1404" s="135"/>
      <c r="U1404" s="132"/>
      <c r="V1404" s="129"/>
      <c r="W1404" s="132"/>
      <c r="X1404" s="133"/>
      <c r="Y1404" s="132"/>
    </row>
    <row r="1405" spans="1:25" ht="15.75" customHeight="1">
      <c r="A1405" s="125"/>
      <c r="B1405" s="125"/>
      <c r="C1405" s="125"/>
      <c r="D1405" s="125"/>
      <c r="E1405" s="126"/>
      <c r="F1405" s="128"/>
      <c r="G1405" s="128"/>
      <c r="H1405" s="128"/>
      <c r="I1405" s="128"/>
      <c r="J1405" s="128"/>
      <c r="K1405" s="129"/>
      <c r="L1405" s="129"/>
      <c r="M1405" s="129"/>
      <c r="N1405" s="129"/>
      <c r="O1405" s="129"/>
      <c r="P1405" s="129"/>
      <c r="Q1405" s="129"/>
      <c r="R1405" s="132"/>
      <c r="S1405" s="132"/>
      <c r="T1405" s="135"/>
      <c r="U1405" s="132"/>
      <c r="V1405" s="129"/>
      <c r="W1405" s="132"/>
      <c r="X1405" s="133"/>
      <c r="Y1405" s="132"/>
    </row>
    <row r="1406" spans="1:25" ht="15.75" customHeight="1">
      <c r="A1406" s="125"/>
      <c r="B1406" s="125"/>
      <c r="C1406" s="125"/>
      <c r="D1406" s="125"/>
      <c r="E1406" s="126"/>
      <c r="F1406" s="128"/>
      <c r="G1406" s="128"/>
      <c r="H1406" s="128"/>
      <c r="I1406" s="128"/>
      <c r="J1406" s="128"/>
      <c r="K1406" s="129"/>
      <c r="L1406" s="129"/>
      <c r="M1406" s="129"/>
      <c r="N1406" s="129"/>
      <c r="O1406" s="129"/>
      <c r="P1406" s="129"/>
      <c r="Q1406" s="129"/>
      <c r="R1406" s="132"/>
      <c r="S1406" s="132"/>
      <c r="T1406" s="135"/>
      <c r="U1406" s="132"/>
      <c r="V1406" s="129"/>
      <c r="W1406" s="132"/>
      <c r="X1406" s="133"/>
      <c r="Y1406" s="132"/>
    </row>
    <row r="1407" spans="1:25" ht="15.75" customHeight="1">
      <c r="A1407" s="125"/>
      <c r="B1407" s="125"/>
      <c r="C1407" s="125"/>
      <c r="D1407" s="125"/>
      <c r="E1407" s="126"/>
      <c r="F1407" s="128"/>
      <c r="G1407" s="128"/>
      <c r="H1407" s="128"/>
      <c r="I1407" s="128"/>
      <c r="J1407" s="128"/>
      <c r="K1407" s="129"/>
      <c r="L1407" s="129"/>
      <c r="M1407" s="129"/>
      <c r="N1407" s="129"/>
      <c r="O1407" s="129"/>
      <c r="P1407" s="129"/>
      <c r="Q1407" s="129"/>
      <c r="R1407" s="132"/>
      <c r="S1407" s="132"/>
      <c r="T1407" s="135"/>
      <c r="U1407" s="132"/>
      <c r="V1407" s="129"/>
      <c r="W1407" s="132"/>
      <c r="X1407" s="133"/>
      <c r="Y1407" s="132"/>
    </row>
    <row r="1408" spans="1:25" ht="15.75" customHeight="1">
      <c r="A1408" s="125"/>
      <c r="B1408" s="125"/>
      <c r="C1408" s="125"/>
      <c r="D1408" s="125"/>
      <c r="E1408" s="126"/>
      <c r="F1408" s="128"/>
      <c r="G1408" s="128"/>
      <c r="H1408" s="128"/>
      <c r="I1408" s="128"/>
      <c r="J1408" s="128"/>
      <c r="K1408" s="129"/>
      <c r="L1408" s="129"/>
      <c r="M1408" s="129"/>
      <c r="N1408" s="129"/>
      <c r="O1408" s="129"/>
      <c r="P1408" s="129"/>
      <c r="Q1408" s="129"/>
      <c r="R1408" s="132"/>
      <c r="S1408" s="132"/>
      <c r="T1408" s="135"/>
      <c r="U1408" s="132"/>
      <c r="V1408" s="129"/>
      <c r="W1408" s="132"/>
      <c r="X1408" s="133"/>
      <c r="Y1408" s="132"/>
    </row>
    <row r="1409" spans="1:25" ht="15.75" customHeight="1">
      <c r="A1409" s="125"/>
      <c r="B1409" s="125"/>
      <c r="C1409" s="125"/>
      <c r="D1409" s="125"/>
      <c r="E1409" s="126"/>
      <c r="F1409" s="128"/>
      <c r="G1409" s="128"/>
      <c r="H1409" s="128"/>
      <c r="I1409" s="128"/>
      <c r="J1409" s="128"/>
      <c r="K1409" s="129"/>
      <c r="L1409" s="129"/>
      <c r="M1409" s="129"/>
      <c r="N1409" s="129"/>
      <c r="O1409" s="129"/>
      <c r="P1409" s="129"/>
      <c r="Q1409" s="129"/>
      <c r="R1409" s="132"/>
      <c r="S1409" s="132"/>
      <c r="T1409" s="135"/>
      <c r="U1409" s="132"/>
      <c r="V1409" s="129"/>
      <c r="W1409" s="132"/>
      <c r="X1409" s="133"/>
      <c r="Y1409" s="132"/>
    </row>
    <row r="1410" spans="1:25" ht="15.75" customHeight="1">
      <c r="A1410" s="125"/>
      <c r="B1410" s="125"/>
      <c r="C1410" s="125"/>
      <c r="D1410" s="125"/>
      <c r="E1410" s="126"/>
      <c r="F1410" s="128"/>
      <c r="G1410" s="128"/>
      <c r="H1410" s="128"/>
      <c r="I1410" s="128"/>
      <c r="J1410" s="128"/>
      <c r="K1410" s="129"/>
      <c r="L1410" s="129"/>
      <c r="M1410" s="129"/>
      <c r="N1410" s="129"/>
      <c r="O1410" s="129"/>
      <c r="P1410" s="129"/>
      <c r="Q1410" s="129"/>
      <c r="R1410" s="132"/>
      <c r="S1410" s="132"/>
      <c r="T1410" s="135"/>
      <c r="U1410" s="132"/>
      <c r="V1410" s="129"/>
      <c r="W1410" s="132"/>
      <c r="X1410" s="133"/>
      <c r="Y1410" s="132"/>
    </row>
    <row r="1411" spans="1:25" ht="15.75" customHeight="1">
      <c r="A1411" s="125"/>
      <c r="B1411" s="125"/>
      <c r="C1411" s="125"/>
      <c r="D1411" s="125"/>
      <c r="E1411" s="126"/>
      <c r="F1411" s="128"/>
      <c r="G1411" s="128"/>
      <c r="H1411" s="128"/>
      <c r="I1411" s="128"/>
      <c r="J1411" s="128"/>
      <c r="K1411" s="129"/>
      <c r="L1411" s="129"/>
      <c r="M1411" s="129"/>
      <c r="N1411" s="129"/>
      <c r="O1411" s="129"/>
      <c r="P1411" s="129"/>
      <c r="Q1411" s="129"/>
      <c r="R1411" s="132"/>
      <c r="S1411" s="132"/>
      <c r="T1411" s="135"/>
      <c r="U1411" s="132"/>
      <c r="V1411" s="129"/>
      <c r="W1411" s="132"/>
      <c r="X1411" s="133"/>
      <c r="Y1411" s="132"/>
    </row>
    <row r="1412" spans="1:25" ht="15.75" customHeight="1">
      <c r="A1412" s="125"/>
      <c r="B1412" s="125"/>
      <c r="C1412" s="125"/>
      <c r="D1412" s="125"/>
      <c r="E1412" s="126"/>
      <c r="F1412" s="128"/>
      <c r="G1412" s="128"/>
      <c r="H1412" s="128"/>
      <c r="I1412" s="128"/>
      <c r="J1412" s="128"/>
      <c r="K1412" s="129"/>
      <c r="L1412" s="129"/>
      <c r="M1412" s="129"/>
      <c r="N1412" s="129"/>
      <c r="O1412" s="129"/>
      <c r="P1412" s="129"/>
      <c r="Q1412" s="129"/>
      <c r="R1412" s="132"/>
      <c r="S1412" s="132"/>
      <c r="T1412" s="135"/>
      <c r="U1412" s="132"/>
      <c r="V1412" s="129"/>
      <c r="W1412" s="132"/>
      <c r="X1412" s="133"/>
      <c r="Y1412" s="132"/>
    </row>
    <row r="1413" spans="1:25" ht="15.75" customHeight="1">
      <c r="A1413" s="125"/>
      <c r="B1413" s="125"/>
      <c r="C1413" s="125"/>
      <c r="D1413" s="125"/>
      <c r="E1413" s="126"/>
      <c r="F1413" s="128"/>
      <c r="G1413" s="128"/>
      <c r="H1413" s="128"/>
      <c r="I1413" s="128"/>
      <c r="J1413" s="128"/>
      <c r="K1413" s="129"/>
      <c r="L1413" s="129"/>
      <c r="M1413" s="129"/>
      <c r="N1413" s="129"/>
      <c r="O1413" s="129"/>
      <c r="P1413" s="129"/>
      <c r="Q1413" s="129"/>
      <c r="R1413" s="132"/>
      <c r="S1413" s="132"/>
      <c r="T1413" s="135"/>
      <c r="U1413" s="132"/>
      <c r="V1413" s="129"/>
      <c r="W1413" s="132"/>
      <c r="X1413" s="133"/>
      <c r="Y1413" s="132"/>
    </row>
    <row r="1414" spans="1:25" ht="15.75" customHeight="1">
      <c r="A1414" s="125"/>
      <c r="B1414" s="125"/>
      <c r="C1414" s="125"/>
      <c r="D1414" s="125"/>
      <c r="E1414" s="126"/>
      <c r="F1414" s="128"/>
      <c r="G1414" s="128"/>
      <c r="H1414" s="128"/>
      <c r="I1414" s="128"/>
      <c r="J1414" s="128"/>
      <c r="K1414" s="129"/>
      <c r="L1414" s="129"/>
      <c r="M1414" s="129"/>
      <c r="N1414" s="129"/>
      <c r="O1414" s="129"/>
      <c r="P1414" s="129"/>
      <c r="Q1414" s="129"/>
      <c r="R1414" s="132"/>
      <c r="S1414" s="132"/>
      <c r="T1414" s="135"/>
      <c r="U1414" s="132"/>
      <c r="V1414" s="129"/>
      <c r="W1414" s="132"/>
      <c r="X1414" s="133"/>
      <c r="Y1414" s="132"/>
    </row>
    <row r="1415" spans="1:25" ht="15.75" customHeight="1">
      <c r="A1415" s="125"/>
      <c r="B1415" s="125"/>
      <c r="C1415" s="125"/>
      <c r="D1415" s="125"/>
      <c r="E1415" s="126"/>
      <c r="F1415" s="128"/>
      <c r="G1415" s="128"/>
      <c r="H1415" s="128"/>
      <c r="I1415" s="128"/>
      <c r="J1415" s="128"/>
      <c r="K1415" s="129"/>
      <c r="L1415" s="129"/>
      <c r="M1415" s="129"/>
      <c r="N1415" s="129"/>
      <c r="O1415" s="129"/>
      <c r="P1415" s="129"/>
      <c r="Q1415" s="129"/>
      <c r="R1415" s="132"/>
      <c r="S1415" s="132"/>
      <c r="T1415" s="135"/>
      <c r="U1415" s="132"/>
      <c r="V1415" s="129"/>
      <c r="W1415" s="132"/>
      <c r="X1415" s="133"/>
      <c r="Y1415" s="132"/>
    </row>
    <row r="1416" spans="1:25" ht="15.75" customHeight="1">
      <c r="A1416" s="125"/>
      <c r="B1416" s="125"/>
      <c r="C1416" s="125"/>
      <c r="D1416" s="125"/>
      <c r="E1416" s="126"/>
      <c r="F1416" s="128"/>
      <c r="G1416" s="128"/>
      <c r="H1416" s="128"/>
      <c r="I1416" s="128"/>
      <c r="J1416" s="128"/>
      <c r="K1416" s="129"/>
      <c r="L1416" s="129"/>
      <c r="M1416" s="129"/>
      <c r="N1416" s="129"/>
      <c r="O1416" s="129"/>
      <c r="P1416" s="129"/>
      <c r="Q1416" s="129"/>
      <c r="R1416" s="132"/>
      <c r="S1416" s="132"/>
      <c r="T1416" s="135"/>
      <c r="U1416" s="132"/>
      <c r="V1416" s="129"/>
      <c r="W1416" s="132"/>
      <c r="X1416" s="133"/>
      <c r="Y1416" s="132"/>
    </row>
    <row r="1417" spans="1:25" ht="15.75" customHeight="1">
      <c r="A1417" s="125"/>
      <c r="B1417" s="125"/>
      <c r="C1417" s="125"/>
      <c r="D1417" s="125"/>
      <c r="E1417" s="126"/>
      <c r="F1417" s="128"/>
      <c r="G1417" s="128"/>
      <c r="H1417" s="128"/>
      <c r="I1417" s="128"/>
      <c r="J1417" s="128"/>
      <c r="K1417" s="129"/>
      <c r="L1417" s="129"/>
      <c r="M1417" s="129"/>
      <c r="N1417" s="129"/>
      <c r="O1417" s="129"/>
      <c r="P1417" s="129"/>
      <c r="Q1417" s="129"/>
      <c r="R1417" s="132"/>
      <c r="S1417" s="132"/>
      <c r="T1417" s="135"/>
      <c r="U1417" s="132"/>
      <c r="V1417" s="129"/>
      <c r="W1417" s="132"/>
      <c r="X1417" s="133"/>
      <c r="Y1417" s="132"/>
    </row>
    <row r="1418" spans="1:25" ht="15.75" customHeight="1">
      <c r="A1418" s="125"/>
      <c r="B1418" s="125"/>
      <c r="C1418" s="125"/>
      <c r="D1418" s="125"/>
      <c r="E1418" s="126"/>
      <c r="F1418" s="128"/>
      <c r="G1418" s="128"/>
      <c r="H1418" s="128"/>
      <c r="I1418" s="128"/>
      <c r="J1418" s="128"/>
      <c r="K1418" s="129"/>
      <c r="L1418" s="129"/>
      <c r="M1418" s="129"/>
      <c r="N1418" s="129"/>
      <c r="O1418" s="129"/>
      <c r="P1418" s="129"/>
      <c r="Q1418" s="129"/>
      <c r="R1418" s="132"/>
      <c r="S1418" s="132"/>
      <c r="T1418" s="135"/>
      <c r="U1418" s="132"/>
      <c r="V1418" s="129"/>
      <c r="W1418" s="132"/>
      <c r="X1418" s="133"/>
      <c r="Y1418" s="132"/>
    </row>
    <row r="1419" spans="1:25" ht="15.75" customHeight="1">
      <c r="A1419" s="125"/>
      <c r="B1419" s="125"/>
      <c r="C1419" s="125"/>
      <c r="D1419" s="125"/>
      <c r="E1419" s="126"/>
      <c r="F1419" s="128"/>
      <c r="G1419" s="128"/>
      <c r="H1419" s="128"/>
      <c r="I1419" s="128"/>
      <c r="J1419" s="128"/>
      <c r="K1419" s="129"/>
      <c r="L1419" s="129"/>
      <c r="M1419" s="129"/>
      <c r="N1419" s="129"/>
      <c r="O1419" s="129"/>
      <c r="P1419" s="129"/>
      <c r="Q1419" s="129"/>
      <c r="R1419" s="132"/>
      <c r="S1419" s="132"/>
      <c r="T1419" s="135"/>
      <c r="U1419" s="132"/>
      <c r="V1419" s="129"/>
      <c r="W1419" s="132"/>
      <c r="X1419" s="133"/>
      <c r="Y1419" s="132"/>
    </row>
    <row r="1420" spans="1:25" ht="15.75" customHeight="1">
      <c r="A1420" s="125"/>
      <c r="B1420" s="125"/>
      <c r="C1420" s="125"/>
      <c r="D1420" s="125"/>
      <c r="E1420" s="126"/>
      <c r="F1420" s="128"/>
      <c r="G1420" s="128"/>
      <c r="H1420" s="128"/>
      <c r="I1420" s="128"/>
      <c r="J1420" s="128"/>
      <c r="K1420" s="129"/>
      <c r="L1420" s="129"/>
      <c r="M1420" s="129"/>
      <c r="N1420" s="129"/>
      <c r="O1420" s="129"/>
      <c r="P1420" s="129"/>
      <c r="Q1420" s="129"/>
      <c r="R1420" s="132"/>
      <c r="S1420" s="132"/>
      <c r="T1420" s="135"/>
      <c r="U1420" s="132"/>
      <c r="V1420" s="129"/>
      <c r="W1420" s="132"/>
      <c r="X1420" s="133"/>
      <c r="Y1420" s="132"/>
    </row>
    <row r="1421" spans="1:25" ht="15.75" customHeight="1">
      <c r="A1421" s="125"/>
      <c r="B1421" s="125"/>
      <c r="C1421" s="125"/>
      <c r="D1421" s="125"/>
      <c r="E1421" s="126"/>
      <c r="F1421" s="128"/>
      <c r="G1421" s="128"/>
      <c r="H1421" s="128"/>
      <c r="I1421" s="128"/>
      <c r="J1421" s="128"/>
      <c r="K1421" s="129"/>
      <c r="L1421" s="129"/>
      <c r="M1421" s="129"/>
      <c r="N1421" s="129"/>
      <c r="O1421" s="129"/>
      <c r="P1421" s="129"/>
      <c r="Q1421" s="129"/>
      <c r="R1421" s="132"/>
      <c r="S1421" s="132"/>
      <c r="T1421" s="135"/>
      <c r="U1421" s="132"/>
      <c r="V1421" s="129"/>
      <c r="W1421" s="132"/>
      <c r="X1421" s="133"/>
      <c r="Y1421" s="132"/>
    </row>
    <row r="1422" spans="1:25" ht="15.75" customHeight="1">
      <c r="A1422" s="125"/>
      <c r="B1422" s="125"/>
      <c r="C1422" s="125"/>
      <c r="D1422" s="125"/>
      <c r="E1422" s="126"/>
      <c r="F1422" s="128"/>
      <c r="G1422" s="128"/>
      <c r="H1422" s="128"/>
      <c r="I1422" s="128"/>
      <c r="J1422" s="128"/>
      <c r="K1422" s="129"/>
      <c r="L1422" s="129"/>
      <c r="M1422" s="129"/>
      <c r="N1422" s="129"/>
      <c r="O1422" s="129"/>
      <c r="P1422" s="129"/>
      <c r="Q1422" s="129"/>
      <c r="R1422" s="132"/>
      <c r="S1422" s="132"/>
      <c r="T1422" s="135"/>
      <c r="U1422" s="132"/>
      <c r="V1422" s="129"/>
      <c r="W1422" s="132"/>
      <c r="X1422" s="133"/>
      <c r="Y1422" s="132"/>
    </row>
    <row r="1423" spans="1:25" ht="15.75" customHeight="1">
      <c r="A1423" s="125"/>
      <c r="B1423" s="125"/>
      <c r="C1423" s="125"/>
      <c r="D1423" s="125"/>
      <c r="E1423" s="126"/>
      <c r="F1423" s="128"/>
      <c r="G1423" s="128"/>
      <c r="H1423" s="128"/>
      <c r="I1423" s="128"/>
      <c r="J1423" s="128"/>
      <c r="K1423" s="129"/>
      <c r="L1423" s="129"/>
      <c r="M1423" s="129"/>
      <c r="N1423" s="129"/>
      <c r="O1423" s="129"/>
      <c r="P1423" s="129"/>
      <c r="Q1423" s="129"/>
      <c r="R1423" s="132"/>
      <c r="S1423" s="132"/>
      <c r="T1423" s="135"/>
      <c r="U1423" s="132"/>
      <c r="V1423" s="129"/>
      <c r="W1423" s="132"/>
      <c r="X1423" s="133"/>
      <c r="Y1423" s="132"/>
    </row>
    <row r="1424" spans="1:25" ht="15.75" customHeight="1">
      <c r="A1424" s="125"/>
      <c r="B1424" s="125"/>
      <c r="C1424" s="125"/>
      <c r="D1424" s="125"/>
      <c r="E1424" s="126"/>
      <c r="F1424" s="128"/>
      <c r="G1424" s="128"/>
      <c r="H1424" s="128"/>
      <c r="I1424" s="128"/>
      <c r="J1424" s="128"/>
      <c r="K1424" s="129"/>
      <c r="L1424" s="129"/>
      <c r="M1424" s="129"/>
      <c r="N1424" s="129"/>
      <c r="O1424" s="129"/>
      <c r="P1424" s="129"/>
      <c r="Q1424" s="129"/>
      <c r="R1424" s="132"/>
      <c r="S1424" s="132"/>
      <c r="T1424" s="135"/>
      <c r="U1424" s="132"/>
      <c r="V1424" s="129"/>
      <c r="W1424" s="132"/>
      <c r="X1424" s="133"/>
      <c r="Y1424" s="132"/>
    </row>
    <row r="1425" spans="1:25" ht="15.75" customHeight="1">
      <c r="A1425" s="125"/>
      <c r="B1425" s="125"/>
      <c r="C1425" s="125"/>
      <c r="D1425" s="125"/>
      <c r="E1425" s="126"/>
      <c r="F1425" s="128"/>
      <c r="G1425" s="128"/>
      <c r="H1425" s="128"/>
      <c r="I1425" s="128"/>
      <c r="J1425" s="128"/>
      <c r="K1425" s="129"/>
      <c r="L1425" s="129"/>
      <c r="M1425" s="129"/>
      <c r="N1425" s="129"/>
      <c r="O1425" s="129"/>
      <c r="P1425" s="129"/>
      <c r="Q1425" s="129"/>
      <c r="R1425" s="132"/>
      <c r="S1425" s="132"/>
      <c r="T1425" s="135"/>
      <c r="U1425" s="132"/>
      <c r="V1425" s="129"/>
      <c r="W1425" s="132"/>
      <c r="X1425" s="133"/>
      <c r="Y1425" s="132"/>
    </row>
    <row r="1426" spans="1:25" ht="15.75" customHeight="1">
      <c r="A1426" s="125"/>
      <c r="B1426" s="125"/>
      <c r="C1426" s="125"/>
      <c r="D1426" s="125"/>
      <c r="E1426" s="126"/>
      <c r="F1426" s="128"/>
      <c r="G1426" s="128"/>
      <c r="H1426" s="128"/>
      <c r="I1426" s="128"/>
      <c r="J1426" s="128"/>
      <c r="K1426" s="129"/>
      <c r="L1426" s="129"/>
      <c r="M1426" s="129"/>
      <c r="N1426" s="129"/>
      <c r="O1426" s="129"/>
      <c r="P1426" s="129"/>
      <c r="Q1426" s="129"/>
      <c r="R1426" s="132"/>
      <c r="S1426" s="132"/>
      <c r="T1426" s="135"/>
      <c r="U1426" s="132"/>
      <c r="V1426" s="129"/>
      <c r="W1426" s="132"/>
      <c r="X1426" s="133"/>
      <c r="Y1426" s="132"/>
    </row>
    <row r="1427" spans="1:25" ht="15.75" customHeight="1">
      <c r="A1427" s="125"/>
      <c r="B1427" s="125"/>
      <c r="C1427" s="125"/>
      <c r="D1427" s="125"/>
      <c r="E1427" s="126"/>
      <c r="F1427" s="128"/>
      <c r="G1427" s="128"/>
      <c r="H1427" s="128"/>
      <c r="I1427" s="128"/>
      <c r="J1427" s="128"/>
      <c r="K1427" s="129"/>
      <c r="L1427" s="129"/>
      <c r="M1427" s="129"/>
      <c r="N1427" s="129"/>
      <c r="O1427" s="129"/>
      <c r="P1427" s="129"/>
      <c r="Q1427" s="129"/>
      <c r="R1427" s="132"/>
      <c r="S1427" s="132"/>
      <c r="T1427" s="135"/>
      <c r="U1427" s="132"/>
      <c r="V1427" s="129"/>
      <c r="W1427" s="132"/>
      <c r="X1427" s="133"/>
      <c r="Y1427" s="132"/>
    </row>
    <row r="1428" spans="1:25" ht="15.75" customHeight="1">
      <c r="A1428" s="125"/>
      <c r="B1428" s="125"/>
      <c r="C1428" s="125"/>
      <c r="D1428" s="125"/>
      <c r="E1428" s="126"/>
      <c r="F1428" s="128"/>
      <c r="G1428" s="128"/>
      <c r="H1428" s="128"/>
      <c r="I1428" s="128"/>
      <c r="J1428" s="128"/>
      <c r="K1428" s="129"/>
      <c r="L1428" s="129"/>
      <c r="M1428" s="129"/>
      <c r="N1428" s="129"/>
      <c r="O1428" s="129"/>
      <c r="P1428" s="129"/>
      <c r="Q1428" s="129"/>
      <c r="R1428" s="132"/>
      <c r="S1428" s="132"/>
      <c r="T1428" s="135"/>
      <c r="U1428" s="132"/>
      <c r="V1428" s="129"/>
      <c r="W1428" s="132"/>
      <c r="X1428" s="133"/>
      <c r="Y1428" s="132"/>
    </row>
    <row r="1429" spans="1:25" ht="15.75" customHeight="1">
      <c r="A1429" s="125"/>
      <c r="B1429" s="125"/>
      <c r="C1429" s="125"/>
      <c r="D1429" s="125"/>
      <c r="E1429" s="126"/>
      <c r="F1429" s="128"/>
      <c r="G1429" s="128"/>
      <c r="H1429" s="128"/>
      <c r="I1429" s="128"/>
      <c r="J1429" s="128"/>
      <c r="K1429" s="129"/>
      <c r="L1429" s="129"/>
      <c r="M1429" s="129"/>
      <c r="N1429" s="129"/>
      <c r="O1429" s="129"/>
      <c r="P1429" s="129"/>
      <c r="Q1429" s="129"/>
      <c r="R1429" s="132"/>
      <c r="S1429" s="132"/>
      <c r="T1429" s="135"/>
      <c r="U1429" s="132"/>
      <c r="V1429" s="129"/>
      <c r="W1429" s="132"/>
      <c r="X1429" s="133"/>
      <c r="Y1429" s="132"/>
    </row>
    <row r="1430" spans="1:25" ht="15.75" customHeight="1">
      <c r="A1430" s="125"/>
      <c r="B1430" s="125"/>
      <c r="C1430" s="125"/>
      <c r="D1430" s="125"/>
      <c r="E1430" s="126"/>
      <c r="F1430" s="128"/>
      <c r="G1430" s="128"/>
      <c r="H1430" s="128"/>
      <c r="I1430" s="128"/>
      <c r="J1430" s="128"/>
      <c r="K1430" s="129"/>
      <c r="L1430" s="129"/>
      <c r="M1430" s="129"/>
      <c r="N1430" s="129"/>
      <c r="O1430" s="129"/>
      <c r="P1430" s="129"/>
      <c r="Q1430" s="129"/>
      <c r="R1430" s="132"/>
      <c r="S1430" s="132"/>
      <c r="T1430" s="135"/>
      <c r="U1430" s="132"/>
      <c r="V1430" s="129"/>
      <c r="W1430" s="132"/>
      <c r="X1430" s="133"/>
      <c r="Y1430" s="132"/>
    </row>
    <row r="1431" spans="1:25" ht="15.75" customHeight="1">
      <c r="A1431" s="125"/>
      <c r="B1431" s="125"/>
      <c r="C1431" s="125"/>
      <c r="D1431" s="125"/>
      <c r="E1431" s="126"/>
      <c r="F1431" s="128"/>
      <c r="G1431" s="128"/>
      <c r="H1431" s="128"/>
      <c r="I1431" s="128"/>
      <c r="J1431" s="128"/>
      <c r="K1431" s="129"/>
      <c r="L1431" s="129"/>
      <c r="M1431" s="129"/>
      <c r="N1431" s="129"/>
      <c r="O1431" s="129"/>
      <c r="P1431" s="129"/>
      <c r="Q1431" s="129"/>
      <c r="R1431" s="132"/>
      <c r="S1431" s="132"/>
      <c r="T1431" s="135"/>
      <c r="U1431" s="132"/>
      <c r="V1431" s="129"/>
      <c r="W1431" s="132"/>
      <c r="X1431" s="133"/>
      <c r="Y1431" s="132"/>
    </row>
    <row r="1432" spans="1:25" ht="15.75" customHeight="1">
      <c r="A1432" s="125"/>
      <c r="B1432" s="125"/>
      <c r="C1432" s="125"/>
      <c r="D1432" s="125"/>
      <c r="E1432" s="126"/>
      <c r="F1432" s="128"/>
      <c r="G1432" s="128"/>
      <c r="H1432" s="128"/>
      <c r="I1432" s="128"/>
      <c r="J1432" s="128"/>
      <c r="K1432" s="129"/>
      <c r="L1432" s="129"/>
      <c r="M1432" s="129"/>
      <c r="N1432" s="129"/>
      <c r="O1432" s="129"/>
      <c r="P1432" s="129"/>
      <c r="Q1432" s="129"/>
      <c r="R1432" s="132"/>
      <c r="S1432" s="132"/>
      <c r="T1432" s="135"/>
      <c r="U1432" s="132"/>
      <c r="V1432" s="129"/>
      <c r="W1432" s="132"/>
      <c r="X1432" s="133"/>
      <c r="Y1432" s="132"/>
    </row>
    <row r="1433" spans="1:25" ht="15.75" customHeight="1">
      <c r="A1433" s="125"/>
      <c r="B1433" s="125"/>
      <c r="C1433" s="125"/>
      <c r="D1433" s="125"/>
      <c r="E1433" s="126"/>
      <c r="F1433" s="128"/>
      <c r="G1433" s="128"/>
      <c r="H1433" s="128"/>
      <c r="I1433" s="128"/>
      <c r="J1433" s="128"/>
      <c r="K1433" s="129"/>
      <c r="L1433" s="129"/>
      <c r="M1433" s="129"/>
      <c r="N1433" s="129"/>
      <c r="O1433" s="129"/>
      <c r="P1433" s="129"/>
      <c r="Q1433" s="129"/>
      <c r="R1433" s="132"/>
      <c r="S1433" s="132"/>
      <c r="T1433" s="135"/>
      <c r="U1433" s="132"/>
      <c r="V1433" s="129"/>
      <c r="W1433" s="132"/>
      <c r="X1433" s="133"/>
      <c r="Y1433" s="132"/>
    </row>
    <row r="1434" spans="1:25" ht="15.75" customHeight="1">
      <c r="A1434" s="125"/>
      <c r="B1434" s="125"/>
      <c r="C1434" s="125"/>
      <c r="D1434" s="125"/>
      <c r="E1434" s="126"/>
      <c r="F1434" s="128"/>
      <c r="G1434" s="128"/>
      <c r="H1434" s="128"/>
      <c r="I1434" s="128"/>
      <c r="J1434" s="128"/>
      <c r="K1434" s="129"/>
      <c r="L1434" s="129"/>
      <c r="M1434" s="129"/>
      <c r="N1434" s="129"/>
      <c r="O1434" s="129"/>
      <c r="P1434" s="129"/>
      <c r="Q1434" s="129"/>
      <c r="R1434" s="132"/>
      <c r="S1434" s="132"/>
      <c r="T1434" s="135"/>
      <c r="U1434" s="132"/>
      <c r="V1434" s="129"/>
      <c r="W1434" s="132"/>
      <c r="X1434" s="133"/>
      <c r="Y1434" s="132"/>
    </row>
    <row r="1435" spans="1:25" ht="15.75" customHeight="1">
      <c r="A1435" s="125"/>
      <c r="B1435" s="125"/>
      <c r="C1435" s="125"/>
      <c r="D1435" s="125"/>
      <c r="E1435" s="126"/>
      <c r="F1435" s="128"/>
      <c r="G1435" s="128"/>
      <c r="H1435" s="128"/>
      <c r="I1435" s="128"/>
      <c r="J1435" s="128"/>
      <c r="K1435" s="129"/>
      <c r="L1435" s="129"/>
      <c r="M1435" s="129"/>
      <c r="N1435" s="129"/>
      <c r="O1435" s="129"/>
      <c r="P1435" s="129"/>
      <c r="Q1435" s="129"/>
      <c r="R1435" s="132"/>
      <c r="S1435" s="132"/>
      <c r="T1435" s="135"/>
      <c r="U1435" s="132"/>
      <c r="V1435" s="129"/>
      <c r="W1435" s="132"/>
      <c r="X1435" s="133"/>
      <c r="Y1435" s="132"/>
    </row>
    <row r="1436" spans="1:25" ht="15.75" customHeight="1">
      <c r="A1436" s="125"/>
      <c r="B1436" s="125"/>
      <c r="C1436" s="125"/>
      <c r="D1436" s="125"/>
      <c r="E1436" s="126"/>
      <c r="F1436" s="128"/>
      <c r="G1436" s="128"/>
      <c r="H1436" s="128"/>
      <c r="I1436" s="128"/>
      <c r="J1436" s="128"/>
      <c r="K1436" s="129"/>
      <c r="L1436" s="129"/>
      <c r="M1436" s="129"/>
      <c r="N1436" s="129"/>
      <c r="O1436" s="129"/>
      <c r="P1436" s="129"/>
      <c r="Q1436" s="129"/>
      <c r="R1436" s="132"/>
      <c r="S1436" s="132"/>
      <c r="T1436" s="135"/>
      <c r="U1436" s="132"/>
      <c r="V1436" s="129"/>
      <c r="W1436" s="132"/>
      <c r="X1436" s="133"/>
      <c r="Y1436" s="132"/>
    </row>
    <row r="1437" spans="1:25" ht="15.75" customHeight="1">
      <c r="A1437" s="125"/>
      <c r="B1437" s="125"/>
      <c r="C1437" s="125"/>
      <c r="D1437" s="125"/>
      <c r="E1437" s="126"/>
      <c r="F1437" s="128"/>
      <c r="G1437" s="128"/>
      <c r="H1437" s="128"/>
      <c r="I1437" s="128"/>
      <c r="J1437" s="128"/>
      <c r="K1437" s="129"/>
      <c r="L1437" s="129"/>
      <c r="M1437" s="129"/>
      <c r="N1437" s="129"/>
      <c r="O1437" s="129"/>
      <c r="P1437" s="129"/>
      <c r="Q1437" s="129"/>
      <c r="R1437" s="132"/>
      <c r="S1437" s="132"/>
      <c r="T1437" s="135"/>
      <c r="U1437" s="132"/>
      <c r="V1437" s="129"/>
      <c r="W1437" s="132"/>
      <c r="X1437" s="133"/>
      <c r="Y1437" s="132"/>
    </row>
    <row r="1438" spans="1:25" ht="15.75" customHeight="1">
      <c r="A1438" s="125"/>
      <c r="B1438" s="125"/>
      <c r="C1438" s="125"/>
      <c r="D1438" s="125"/>
      <c r="E1438" s="126"/>
      <c r="F1438" s="128"/>
      <c r="G1438" s="128"/>
      <c r="H1438" s="128"/>
      <c r="I1438" s="128"/>
      <c r="J1438" s="128"/>
      <c r="K1438" s="129"/>
      <c r="L1438" s="129"/>
      <c r="M1438" s="129"/>
      <c r="N1438" s="129"/>
      <c r="O1438" s="129"/>
      <c r="P1438" s="129"/>
      <c r="Q1438" s="129"/>
      <c r="R1438" s="132"/>
      <c r="S1438" s="132"/>
      <c r="T1438" s="135"/>
      <c r="U1438" s="132"/>
      <c r="V1438" s="129"/>
      <c r="W1438" s="132"/>
      <c r="X1438" s="133"/>
      <c r="Y1438" s="132"/>
    </row>
    <row r="1439" spans="1:25" ht="15.75" customHeight="1">
      <c r="A1439" s="125"/>
      <c r="B1439" s="125"/>
      <c r="C1439" s="125"/>
      <c r="D1439" s="125"/>
      <c r="E1439" s="126"/>
      <c r="F1439" s="128"/>
      <c r="G1439" s="128"/>
      <c r="H1439" s="128"/>
      <c r="I1439" s="128"/>
      <c r="J1439" s="128"/>
      <c r="K1439" s="129"/>
      <c r="L1439" s="129"/>
      <c r="M1439" s="129"/>
      <c r="N1439" s="129"/>
      <c r="O1439" s="129"/>
      <c r="P1439" s="129"/>
      <c r="Q1439" s="129"/>
      <c r="R1439" s="132"/>
      <c r="S1439" s="132"/>
      <c r="T1439" s="135"/>
      <c r="U1439" s="132"/>
      <c r="V1439" s="129"/>
      <c r="W1439" s="132"/>
      <c r="X1439" s="133"/>
      <c r="Y1439" s="132"/>
    </row>
    <row r="1440" spans="1:25" ht="15.75" customHeight="1">
      <c r="A1440" s="125"/>
      <c r="B1440" s="125"/>
      <c r="C1440" s="125"/>
      <c r="D1440" s="125"/>
      <c r="E1440" s="126"/>
      <c r="F1440" s="128"/>
      <c r="G1440" s="128"/>
      <c r="H1440" s="128"/>
      <c r="I1440" s="128"/>
      <c r="J1440" s="128"/>
      <c r="K1440" s="129"/>
      <c r="L1440" s="129"/>
      <c r="M1440" s="129"/>
      <c r="N1440" s="129"/>
      <c r="O1440" s="129"/>
      <c r="P1440" s="129"/>
      <c r="Q1440" s="129"/>
      <c r="R1440" s="132"/>
      <c r="S1440" s="132"/>
      <c r="T1440" s="135"/>
      <c r="U1440" s="132"/>
      <c r="V1440" s="129"/>
      <c r="W1440" s="132"/>
      <c r="X1440" s="133"/>
      <c r="Y1440" s="132"/>
    </row>
    <row r="1441" spans="1:25" ht="15.75" customHeight="1">
      <c r="A1441" s="125"/>
      <c r="B1441" s="125"/>
      <c r="C1441" s="125"/>
      <c r="D1441" s="125"/>
      <c r="E1441" s="126"/>
      <c r="F1441" s="128"/>
      <c r="G1441" s="128"/>
      <c r="H1441" s="128"/>
      <c r="I1441" s="128"/>
      <c r="J1441" s="128"/>
      <c r="K1441" s="129"/>
      <c r="L1441" s="129"/>
      <c r="M1441" s="129"/>
      <c r="N1441" s="129"/>
      <c r="O1441" s="129"/>
      <c r="P1441" s="129"/>
      <c r="Q1441" s="129"/>
      <c r="R1441" s="132"/>
      <c r="S1441" s="132"/>
      <c r="T1441" s="135"/>
      <c r="U1441" s="132"/>
      <c r="V1441" s="129"/>
      <c r="W1441" s="132"/>
      <c r="X1441" s="133"/>
      <c r="Y1441" s="132"/>
    </row>
    <row r="1442" spans="1:25" ht="15.75" customHeight="1">
      <c r="A1442" s="125"/>
      <c r="B1442" s="125"/>
      <c r="C1442" s="125"/>
      <c r="D1442" s="125"/>
      <c r="E1442" s="126"/>
      <c r="F1442" s="128"/>
      <c r="G1442" s="128"/>
      <c r="H1442" s="128"/>
      <c r="I1442" s="128"/>
      <c r="J1442" s="128"/>
      <c r="K1442" s="129"/>
      <c r="L1442" s="129"/>
      <c r="M1442" s="129"/>
      <c r="N1442" s="129"/>
      <c r="O1442" s="129"/>
      <c r="P1442" s="129"/>
      <c r="Q1442" s="129"/>
      <c r="R1442" s="132"/>
      <c r="S1442" s="132"/>
      <c r="T1442" s="135"/>
      <c r="U1442" s="132"/>
      <c r="V1442" s="129"/>
      <c r="W1442" s="132"/>
      <c r="X1442" s="133"/>
      <c r="Y1442" s="132"/>
    </row>
    <row r="1443" spans="1:25" ht="15.75" customHeight="1">
      <c r="A1443" s="125"/>
      <c r="B1443" s="125"/>
      <c r="C1443" s="125"/>
      <c r="D1443" s="125"/>
      <c r="E1443" s="126"/>
      <c r="F1443" s="128"/>
      <c r="G1443" s="128"/>
      <c r="H1443" s="128"/>
      <c r="I1443" s="128"/>
      <c r="J1443" s="128"/>
      <c r="K1443" s="129"/>
      <c r="L1443" s="129"/>
      <c r="M1443" s="129"/>
      <c r="N1443" s="129"/>
      <c r="O1443" s="129"/>
      <c r="P1443" s="129"/>
      <c r="Q1443" s="129"/>
      <c r="R1443" s="132"/>
      <c r="S1443" s="132"/>
      <c r="T1443" s="135"/>
      <c r="U1443" s="132"/>
      <c r="V1443" s="129"/>
      <c r="W1443" s="132"/>
      <c r="X1443" s="133"/>
      <c r="Y1443" s="132"/>
    </row>
    <row r="1444" spans="1:25" ht="15.75" customHeight="1">
      <c r="A1444" s="125"/>
      <c r="B1444" s="125"/>
      <c r="C1444" s="125"/>
      <c r="D1444" s="125"/>
      <c r="E1444" s="126"/>
      <c r="F1444" s="128"/>
      <c r="G1444" s="128"/>
      <c r="H1444" s="128"/>
      <c r="I1444" s="128"/>
      <c r="J1444" s="128"/>
      <c r="K1444" s="129"/>
      <c r="L1444" s="129"/>
      <c r="M1444" s="129"/>
      <c r="N1444" s="129"/>
      <c r="O1444" s="129"/>
      <c r="P1444" s="129"/>
      <c r="Q1444" s="129"/>
      <c r="R1444" s="132"/>
      <c r="S1444" s="132"/>
      <c r="T1444" s="135"/>
      <c r="U1444" s="132"/>
      <c r="V1444" s="129"/>
      <c r="W1444" s="132"/>
      <c r="X1444" s="133"/>
      <c r="Y1444" s="132"/>
    </row>
    <row r="1445" spans="1:25" ht="15.75" customHeight="1">
      <c r="A1445" s="125"/>
      <c r="B1445" s="125"/>
      <c r="C1445" s="125"/>
      <c r="D1445" s="125"/>
      <c r="E1445" s="126"/>
      <c r="F1445" s="128"/>
      <c r="G1445" s="128"/>
      <c r="H1445" s="128"/>
      <c r="I1445" s="128"/>
      <c r="J1445" s="128"/>
      <c r="K1445" s="129"/>
      <c r="L1445" s="129"/>
      <c r="M1445" s="129"/>
      <c r="N1445" s="129"/>
      <c r="O1445" s="129"/>
      <c r="P1445" s="129"/>
      <c r="Q1445" s="129"/>
      <c r="R1445" s="132"/>
      <c r="S1445" s="132"/>
      <c r="T1445" s="135"/>
      <c r="U1445" s="132"/>
      <c r="V1445" s="129"/>
      <c r="W1445" s="132"/>
      <c r="X1445" s="133"/>
      <c r="Y1445" s="132"/>
    </row>
    <row r="1446" spans="1:25" ht="15.75" customHeight="1">
      <c r="A1446" s="125"/>
      <c r="B1446" s="125"/>
      <c r="C1446" s="125"/>
      <c r="D1446" s="125"/>
      <c r="E1446" s="126"/>
      <c r="F1446" s="128"/>
      <c r="G1446" s="128"/>
      <c r="H1446" s="128"/>
      <c r="I1446" s="128"/>
      <c r="J1446" s="128"/>
      <c r="K1446" s="129"/>
      <c r="L1446" s="129"/>
      <c r="M1446" s="129"/>
      <c r="N1446" s="129"/>
      <c r="O1446" s="129"/>
      <c r="P1446" s="129"/>
      <c r="Q1446" s="129"/>
      <c r="R1446" s="132"/>
      <c r="S1446" s="132"/>
      <c r="T1446" s="135"/>
      <c r="U1446" s="132"/>
      <c r="V1446" s="129"/>
      <c r="W1446" s="132"/>
      <c r="X1446" s="133"/>
      <c r="Y1446" s="132"/>
    </row>
    <row r="1447" spans="1:25" ht="15.75" customHeight="1">
      <c r="A1447" s="125"/>
      <c r="B1447" s="125"/>
      <c r="C1447" s="125"/>
      <c r="D1447" s="125"/>
      <c r="E1447" s="126"/>
      <c r="F1447" s="128"/>
      <c r="G1447" s="128"/>
      <c r="H1447" s="128"/>
      <c r="I1447" s="128"/>
      <c r="J1447" s="128"/>
      <c r="K1447" s="129"/>
      <c r="L1447" s="129"/>
      <c r="M1447" s="129"/>
      <c r="N1447" s="129"/>
      <c r="O1447" s="129"/>
      <c r="P1447" s="129"/>
      <c r="Q1447" s="129"/>
      <c r="R1447" s="132"/>
      <c r="S1447" s="132"/>
      <c r="T1447" s="135"/>
      <c r="U1447" s="132"/>
      <c r="V1447" s="129"/>
      <c r="W1447" s="132"/>
      <c r="X1447" s="133"/>
      <c r="Y1447" s="132"/>
    </row>
    <row r="1448" spans="1:25" ht="15.75" customHeight="1">
      <c r="A1448" s="125"/>
      <c r="B1448" s="125"/>
      <c r="C1448" s="125"/>
      <c r="D1448" s="125"/>
      <c r="E1448" s="126"/>
      <c r="F1448" s="128"/>
      <c r="G1448" s="128"/>
      <c r="H1448" s="128"/>
      <c r="I1448" s="128"/>
      <c r="J1448" s="128"/>
      <c r="K1448" s="129"/>
      <c r="L1448" s="129"/>
      <c r="M1448" s="129"/>
      <c r="N1448" s="129"/>
      <c r="O1448" s="129"/>
      <c r="P1448" s="129"/>
      <c r="Q1448" s="129"/>
      <c r="R1448" s="132"/>
      <c r="S1448" s="132"/>
      <c r="T1448" s="135"/>
      <c r="U1448" s="132"/>
      <c r="V1448" s="129"/>
      <c r="W1448" s="132"/>
      <c r="X1448" s="133"/>
      <c r="Y1448" s="132"/>
    </row>
    <row r="1449" spans="1:25" ht="15.75" customHeight="1">
      <c r="A1449" s="125"/>
      <c r="B1449" s="125"/>
      <c r="C1449" s="125"/>
      <c r="D1449" s="125"/>
      <c r="E1449" s="126"/>
      <c r="F1449" s="128"/>
      <c r="G1449" s="128"/>
      <c r="H1449" s="128"/>
      <c r="I1449" s="128"/>
      <c r="J1449" s="128"/>
      <c r="K1449" s="129"/>
      <c r="L1449" s="129"/>
      <c r="M1449" s="129"/>
      <c r="N1449" s="129"/>
      <c r="O1449" s="129"/>
      <c r="P1449" s="129"/>
      <c r="Q1449" s="129"/>
      <c r="R1449" s="132"/>
      <c r="S1449" s="132"/>
      <c r="T1449" s="135"/>
      <c r="U1449" s="132"/>
      <c r="V1449" s="129"/>
      <c r="W1449" s="132"/>
      <c r="X1449" s="133"/>
      <c r="Y1449" s="132"/>
    </row>
    <row r="1450" spans="1:25" ht="15.75" customHeight="1">
      <c r="A1450" s="125"/>
      <c r="B1450" s="125"/>
      <c r="C1450" s="125"/>
      <c r="D1450" s="125"/>
      <c r="E1450" s="126"/>
      <c r="F1450" s="128"/>
      <c r="G1450" s="128"/>
      <c r="H1450" s="128"/>
      <c r="I1450" s="128"/>
      <c r="J1450" s="128"/>
      <c r="K1450" s="129"/>
      <c r="L1450" s="129"/>
      <c r="M1450" s="129"/>
      <c r="N1450" s="129"/>
      <c r="O1450" s="129"/>
      <c r="P1450" s="129"/>
      <c r="Q1450" s="129"/>
      <c r="R1450" s="132"/>
      <c r="S1450" s="132"/>
      <c r="T1450" s="135"/>
      <c r="U1450" s="132"/>
      <c r="V1450" s="129"/>
      <c r="W1450" s="132"/>
      <c r="X1450" s="133"/>
      <c r="Y1450" s="132"/>
    </row>
    <row r="1451" spans="1:25" ht="15.75" customHeight="1">
      <c r="A1451" s="125"/>
      <c r="B1451" s="125"/>
      <c r="C1451" s="125"/>
      <c r="D1451" s="125"/>
      <c r="E1451" s="126"/>
      <c r="F1451" s="128"/>
      <c r="G1451" s="128"/>
      <c r="H1451" s="128"/>
      <c r="I1451" s="128"/>
      <c r="J1451" s="128"/>
      <c r="K1451" s="129"/>
      <c r="L1451" s="129"/>
      <c r="M1451" s="129"/>
      <c r="N1451" s="129"/>
      <c r="O1451" s="129"/>
      <c r="P1451" s="129"/>
      <c r="Q1451" s="129"/>
      <c r="R1451" s="132"/>
      <c r="S1451" s="132"/>
      <c r="T1451" s="135"/>
      <c r="U1451" s="132"/>
      <c r="V1451" s="129"/>
      <c r="W1451" s="132"/>
      <c r="X1451" s="133"/>
      <c r="Y1451" s="132"/>
    </row>
    <row r="1452" spans="1:25" ht="15.75" customHeight="1">
      <c r="A1452" s="125"/>
      <c r="B1452" s="125"/>
      <c r="C1452" s="125"/>
      <c r="D1452" s="125"/>
      <c r="E1452" s="126"/>
      <c r="F1452" s="128"/>
      <c r="G1452" s="128"/>
      <c r="H1452" s="128"/>
      <c r="I1452" s="128"/>
      <c r="J1452" s="128"/>
      <c r="K1452" s="129"/>
      <c r="L1452" s="129"/>
      <c r="M1452" s="129"/>
      <c r="N1452" s="129"/>
      <c r="O1452" s="129"/>
      <c r="P1452" s="129"/>
      <c r="Q1452" s="129"/>
      <c r="R1452" s="132"/>
      <c r="S1452" s="132"/>
      <c r="T1452" s="135"/>
      <c r="U1452" s="132"/>
      <c r="V1452" s="129"/>
      <c r="W1452" s="132"/>
      <c r="X1452" s="133"/>
      <c r="Y1452" s="132"/>
    </row>
    <row r="1453" spans="1:25" ht="15.75" customHeight="1">
      <c r="A1453" s="125"/>
      <c r="B1453" s="125"/>
      <c r="C1453" s="125"/>
      <c r="D1453" s="125"/>
      <c r="E1453" s="126"/>
      <c r="F1453" s="128"/>
      <c r="G1453" s="128"/>
      <c r="H1453" s="128"/>
      <c r="I1453" s="128"/>
      <c r="J1453" s="128"/>
      <c r="K1453" s="129"/>
      <c r="L1453" s="129"/>
      <c r="M1453" s="129"/>
      <c r="N1453" s="129"/>
      <c r="O1453" s="129"/>
      <c r="P1453" s="129"/>
      <c r="Q1453" s="129"/>
      <c r="R1453" s="132"/>
      <c r="S1453" s="132"/>
      <c r="T1453" s="135"/>
      <c r="U1453" s="132"/>
      <c r="V1453" s="129"/>
      <c r="W1453" s="132"/>
      <c r="X1453" s="133"/>
      <c r="Y1453" s="132"/>
    </row>
    <row r="1454" spans="1:25" ht="15.75" customHeight="1">
      <c r="A1454" s="125"/>
      <c r="B1454" s="125"/>
      <c r="C1454" s="125"/>
      <c r="D1454" s="125"/>
      <c r="E1454" s="126"/>
      <c r="F1454" s="128"/>
      <c r="G1454" s="128"/>
      <c r="H1454" s="128"/>
      <c r="I1454" s="128"/>
      <c r="J1454" s="128"/>
      <c r="K1454" s="129"/>
      <c r="L1454" s="129"/>
      <c r="M1454" s="129"/>
      <c r="N1454" s="129"/>
      <c r="O1454" s="129"/>
      <c r="P1454" s="129"/>
      <c r="Q1454" s="129"/>
      <c r="R1454" s="132"/>
      <c r="S1454" s="132"/>
      <c r="T1454" s="135"/>
      <c r="U1454" s="132"/>
      <c r="V1454" s="129"/>
      <c r="W1454" s="132"/>
      <c r="X1454" s="133"/>
      <c r="Y1454" s="132"/>
    </row>
    <row r="1455" spans="1:25" ht="15.75" customHeight="1">
      <c r="A1455" s="125"/>
      <c r="B1455" s="125"/>
      <c r="C1455" s="125"/>
      <c r="D1455" s="125"/>
      <c r="E1455" s="126"/>
      <c r="F1455" s="128"/>
      <c r="G1455" s="128"/>
      <c r="H1455" s="128"/>
      <c r="I1455" s="128"/>
      <c r="J1455" s="128"/>
      <c r="K1455" s="129"/>
      <c r="L1455" s="129"/>
      <c r="M1455" s="129"/>
      <c r="N1455" s="129"/>
      <c r="O1455" s="129"/>
      <c r="P1455" s="129"/>
      <c r="Q1455" s="129"/>
      <c r="R1455" s="132"/>
      <c r="S1455" s="132"/>
      <c r="T1455" s="135"/>
      <c r="U1455" s="132"/>
      <c r="V1455" s="129"/>
      <c r="W1455" s="132"/>
      <c r="X1455" s="133"/>
      <c r="Y1455" s="132"/>
    </row>
    <row r="1456" spans="1:25" ht="15.75" customHeight="1">
      <c r="A1456" s="125"/>
      <c r="B1456" s="125"/>
      <c r="C1456" s="125"/>
      <c r="D1456" s="125"/>
      <c r="E1456" s="126"/>
      <c r="F1456" s="128"/>
      <c r="G1456" s="128"/>
      <c r="H1456" s="128"/>
      <c r="I1456" s="128"/>
      <c r="J1456" s="128"/>
      <c r="K1456" s="129"/>
      <c r="L1456" s="129"/>
      <c r="M1456" s="129"/>
      <c r="N1456" s="129"/>
      <c r="O1456" s="129"/>
      <c r="P1456" s="129"/>
      <c r="Q1456" s="129"/>
      <c r="R1456" s="132"/>
      <c r="S1456" s="132"/>
      <c r="T1456" s="135"/>
      <c r="U1456" s="132"/>
      <c r="V1456" s="129"/>
      <c r="W1456" s="132"/>
      <c r="X1456" s="133"/>
      <c r="Y1456" s="132"/>
    </row>
    <row r="1457" spans="1:25" ht="15.75" customHeight="1">
      <c r="A1457" s="125"/>
      <c r="B1457" s="125"/>
      <c r="C1457" s="125"/>
      <c r="D1457" s="125"/>
      <c r="E1457" s="126"/>
      <c r="F1457" s="128"/>
      <c r="G1457" s="128"/>
      <c r="H1457" s="128"/>
      <c r="I1457" s="128"/>
      <c r="J1457" s="128"/>
      <c r="K1457" s="129"/>
      <c r="L1457" s="129"/>
      <c r="M1457" s="129"/>
      <c r="N1457" s="129"/>
      <c r="O1457" s="129"/>
      <c r="P1457" s="129"/>
      <c r="Q1457" s="129"/>
      <c r="R1457" s="132"/>
      <c r="S1457" s="132"/>
      <c r="T1457" s="135"/>
      <c r="U1457" s="132"/>
      <c r="V1457" s="129"/>
      <c r="W1457" s="132"/>
      <c r="X1457" s="133"/>
      <c r="Y1457" s="132"/>
    </row>
    <row r="1458" spans="1:25" ht="15.75" customHeight="1">
      <c r="A1458" s="125"/>
      <c r="B1458" s="125"/>
      <c r="C1458" s="125"/>
      <c r="D1458" s="125"/>
      <c r="E1458" s="126"/>
      <c r="F1458" s="128"/>
      <c r="G1458" s="128"/>
      <c r="H1458" s="128"/>
      <c r="I1458" s="128"/>
      <c r="J1458" s="128"/>
      <c r="K1458" s="129"/>
      <c r="L1458" s="129"/>
      <c r="M1458" s="129"/>
      <c r="N1458" s="129"/>
      <c r="O1458" s="129"/>
      <c r="P1458" s="129"/>
      <c r="Q1458" s="129"/>
      <c r="R1458" s="132"/>
      <c r="S1458" s="132"/>
      <c r="T1458" s="135"/>
      <c r="U1458" s="132"/>
      <c r="V1458" s="129"/>
      <c r="W1458" s="132"/>
      <c r="X1458" s="133"/>
      <c r="Y1458" s="132"/>
    </row>
    <row r="1459" spans="1:25" ht="15.75" customHeight="1">
      <c r="A1459" s="125"/>
      <c r="B1459" s="125"/>
      <c r="C1459" s="125"/>
      <c r="D1459" s="125"/>
      <c r="E1459" s="126"/>
      <c r="F1459" s="128"/>
      <c r="G1459" s="128"/>
      <c r="H1459" s="128"/>
      <c r="I1459" s="128"/>
      <c r="J1459" s="128"/>
      <c r="K1459" s="129"/>
      <c r="L1459" s="129"/>
      <c r="M1459" s="129"/>
      <c r="N1459" s="129"/>
      <c r="O1459" s="129"/>
      <c r="P1459" s="129"/>
      <c r="Q1459" s="129"/>
      <c r="R1459" s="132"/>
      <c r="S1459" s="132"/>
      <c r="T1459" s="135"/>
      <c r="U1459" s="132"/>
      <c r="V1459" s="129"/>
      <c r="W1459" s="132"/>
      <c r="X1459" s="133"/>
      <c r="Y1459" s="132"/>
    </row>
    <row r="1460" spans="1:25" ht="15.75" customHeight="1">
      <c r="A1460" s="125"/>
      <c r="B1460" s="125"/>
      <c r="C1460" s="125"/>
      <c r="D1460" s="125"/>
      <c r="E1460" s="126"/>
      <c r="F1460" s="128"/>
      <c r="G1460" s="128"/>
      <c r="H1460" s="128"/>
      <c r="I1460" s="128"/>
      <c r="J1460" s="128"/>
      <c r="K1460" s="129"/>
      <c r="L1460" s="129"/>
      <c r="M1460" s="129"/>
      <c r="N1460" s="129"/>
      <c r="O1460" s="129"/>
      <c r="P1460" s="129"/>
      <c r="Q1460" s="129"/>
      <c r="R1460" s="132"/>
      <c r="S1460" s="132"/>
      <c r="T1460" s="135"/>
      <c r="U1460" s="132"/>
      <c r="V1460" s="129"/>
      <c r="W1460" s="132"/>
      <c r="X1460" s="133"/>
      <c r="Y1460" s="132"/>
    </row>
    <row r="1461" spans="1:25" ht="15.75" customHeight="1">
      <c r="A1461" s="125"/>
      <c r="B1461" s="125"/>
      <c r="C1461" s="125"/>
      <c r="D1461" s="125"/>
      <c r="E1461" s="126"/>
      <c r="F1461" s="128"/>
      <c r="G1461" s="128"/>
      <c r="H1461" s="128"/>
      <c r="I1461" s="128"/>
      <c r="J1461" s="128"/>
      <c r="K1461" s="129"/>
      <c r="L1461" s="129"/>
      <c r="M1461" s="129"/>
      <c r="N1461" s="129"/>
      <c r="O1461" s="129"/>
      <c r="P1461" s="129"/>
      <c r="Q1461" s="129"/>
      <c r="R1461" s="132"/>
      <c r="S1461" s="132"/>
      <c r="T1461" s="135"/>
      <c r="U1461" s="132"/>
      <c r="V1461" s="129"/>
      <c r="W1461" s="132"/>
      <c r="X1461" s="133"/>
      <c r="Y1461" s="132"/>
    </row>
    <row r="1462" spans="1:25" ht="15.75" customHeight="1">
      <c r="A1462" s="125"/>
      <c r="B1462" s="125"/>
      <c r="C1462" s="125"/>
      <c r="D1462" s="125"/>
      <c r="E1462" s="126"/>
      <c r="F1462" s="128"/>
      <c r="G1462" s="128"/>
      <c r="H1462" s="128"/>
      <c r="I1462" s="128"/>
      <c r="J1462" s="128"/>
      <c r="K1462" s="129"/>
      <c r="L1462" s="129"/>
      <c r="M1462" s="129"/>
      <c r="N1462" s="129"/>
      <c r="O1462" s="129"/>
      <c r="P1462" s="129"/>
      <c r="Q1462" s="129"/>
      <c r="R1462" s="132"/>
      <c r="S1462" s="132"/>
      <c r="T1462" s="135"/>
      <c r="U1462" s="132"/>
      <c r="V1462" s="129"/>
      <c r="W1462" s="132"/>
      <c r="X1462" s="133"/>
      <c r="Y1462" s="132"/>
    </row>
    <row r="1463" spans="1:25" ht="15.75" customHeight="1">
      <c r="A1463" s="125"/>
      <c r="B1463" s="125"/>
      <c r="C1463" s="125"/>
      <c r="D1463" s="125"/>
      <c r="E1463" s="126"/>
      <c r="F1463" s="128"/>
      <c r="G1463" s="128"/>
      <c r="H1463" s="128"/>
      <c r="I1463" s="128"/>
      <c r="J1463" s="128"/>
      <c r="K1463" s="129"/>
      <c r="L1463" s="129"/>
      <c r="M1463" s="129"/>
      <c r="N1463" s="129"/>
      <c r="O1463" s="129"/>
      <c r="P1463" s="129"/>
      <c r="Q1463" s="129"/>
      <c r="R1463" s="132"/>
      <c r="S1463" s="132"/>
      <c r="T1463" s="135"/>
      <c r="U1463" s="132"/>
      <c r="V1463" s="129"/>
      <c r="W1463" s="132"/>
      <c r="X1463" s="133"/>
      <c r="Y1463" s="132"/>
    </row>
    <row r="1464" spans="1:25" ht="15.75" customHeight="1">
      <c r="A1464" s="125"/>
      <c r="B1464" s="125"/>
      <c r="C1464" s="125"/>
      <c r="D1464" s="125"/>
      <c r="E1464" s="126"/>
      <c r="F1464" s="128"/>
      <c r="G1464" s="128"/>
      <c r="H1464" s="128"/>
      <c r="I1464" s="128"/>
      <c r="J1464" s="128"/>
      <c r="K1464" s="129"/>
      <c r="L1464" s="129"/>
      <c r="M1464" s="129"/>
      <c r="N1464" s="129"/>
      <c r="O1464" s="129"/>
      <c r="P1464" s="129"/>
      <c r="Q1464" s="129"/>
      <c r="R1464" s="132"/>
      <c r="S1464" s="132"/>
      <c r="T1464" s="135"/>
      <c r="U1464" s="132"/>
      <c r="V1464" s="129"/>
      <c r="W1464" s="132"/>
      <c r="X1464" s="133"/>
      <c r="Y1464" s="132"/>
    </row>
    <row r="1465" spans="1:25" ht="15.75" customHeight="1">
      <c r="A1465" s="125"/>
      <c r="B1465" s="125"/>
      <c r="C1465" s="125"/>
      <c r="D1465" s="125"/>
      <c r="E1465" s="126"/>
      <c r="F1465" s="128"/>
      <c r="G1465" s="128"/>
      <c r="H1465" s="128"/>
      <c r="I1465" s="128"/>
      <c r="J1465" s="128"/>
      <c r="K1465" s="129"/>
      <c r="L1465" s="129"/>
      <c r="M1465" s="129"/>
      <c r="N1465" s="129"/>
      <c r="O1465" s="129"/>
      <c r="P1465" s="129"/>
      <c r="Q1465" s="129"/>
      <c r="R1465" s="132"/>
      <c r="S1465" s="132"/>
      <c r="T1465" s="135"/>
      <c r="U1465" s="132"/>
      <c r="V1465" s="129"/>
      <c r="W1465" s="132"/>
      <c r="X1465" s="133"/>
      <c r="Y1465" s="132"/>
    </row>
    <row r="1466" spans="1:25" ht="15.75" customHeight="1">
      <c r="A1466" s="125"/>
      <c r="B1466" s="125"/>
      <c r="C1466" s="125"/>
      <c r="D1466" s="125"/>
      <c r="E1466" s="126"/>
      <c r="F1466" s="128"/>
      <c r="G1466" s="128"/>
      <c r="H1466" s="128"/>
      <c r="I1466" s="128"/>
      <c r="J1466" s="128"/>
      <c r="K1466" s="129"/>
      <c r="L1466" s="129"/>
      <c r="M1466" s="129"/>
      <c r="N1466" s="129"/>
      <c r="O1466" s="129"/>
      <c r="P1466" s="129"/>
      <c r="Q1466" s="129"/>
      <c r="R1466" s="132"/>
      <c r="S1466" s="132"/>
      <c r="T1466" s="135"/>
      <c r="U1466" s="132"/>
      <c r="V1466" s="129"/>
      <c r="W1466" s="132"/>
      <c r="X1466" s="133"/>
      <c r="Y1466" s="132"/>
    </row>
    <row r="1467" spans="1:25" ht="15.75" customHeight="1">
      <c r="A1467" s="125"/>
      <c r="B1467" s="125"/>
      <c r="C1467" s="125"/>
      <c r="D1467" s="125"/>
      <c r="E1467" s="126"/>
      <c r="F1467" s="128"/>
      <c r="G1467" s="128"/>
      <c r="H1467" s="128"/>
      <c r="I1467" s="128"/>
      <c r="J1467" s="128"/>
      <c r="K1467" s="129"/>
      <c r="L1467" s="129"/>
      <c r="M1467" s="129"/>
      <c r="N1467" s="129"/>
      <c r="O1467" s="129"/>
      <c r="P1467" s="129"/>
      <c r="Q1467" s="129"/>
      <c r="R1467" s="132"/>
      <c r="S1467" s="132"/>
      <c r="T1467" s="135"/>
      <c r="U1467" s="132"/>
      <c r="V1467" s="129"/>
      <c r="W1467" s="132"/>
      <c r="X1467" s="133"/>
      <c r="Y1467" s="132"/>
    </row>
    <row r="1468" spans="1:25" ht="15.75" customHeight="1">
      <c r="A1468" s="125"/>
      <c r="B1468" s="125"/>
      <c r="C1468" s="125"/>
      <c r="D1468" s="125"/>
      <c r="E1468" s="126"/>
      <c r="F1468" s="128"/>
      <c r="G1468" s="128"/>
      <c r="H1468" s="128"/>
      <c r="I1468" s="128"/>
      <c r="J1468" s="128"/>
      <c r="K1468" s="129"/>
      <c r="L1468" s="129"/>
      <c r="M1468" s="129"/>
      <c r="N1468" s="129"/>
      <c r="O1468" s="129"/>
      <c r="P1468" s="129"/>
      <c r="Q1468" s="129"/>
      <c r="R1468" s="132"/>
      <c r="S1468" s="132"/>
      <c r="T1468" s="135"/>
      <c r="U1468" s="132"/>
      <c r="V1468" s="129"/>
      <c r="W1468" s="132"/>
      <c r="X1468" s="133"/>
      <c r="Y1468" s="132"/>
    </row>
    <row r="1469" spans="1:25" ht="15.75" customHeight="1">
      <c r="A1469" s="125"/>
      <c r="B1469" s="125"/>
      <c r="C1469" s="125"/>
      <c r="D1469" s="125"/>
      <c r="E1469" s="126"/>
      <c r="F1469" s="128"/>
      <c r="G1469" s="128"/>
      <c r="H1469" s="128"/>
      <c r="I1469" s="128"/>
      <c r="J1469" s="128"/>
      <c r="K1469" s="129"/>
      <c r="L1469" s="129"/>
      <c r="M1469" s="129"/>
      <c r="N1469" s="129"/>
      <c r="O1469" s="129"/>
      <c r="P1469" s="129"/>
      <c r="Q1469" s="129"/>
      <c r="R1469" s="132"/>
      <c r="S1469" s="132"/>
      <c r="T1469" s="135"/>
      <c r="U1469" s="132"/>
      <c r="V1469" s="129"/>
      <c r="W1469" s="132"/>
      <c r="X1469" s="133"/>
      <c r="Y1469" s="132"/>
    </row>
    <row r="1470" spans="1:25" ht="15.75" customHeight="1">
      <c r="A1470" s="125"/>
      <c r="B1470" s="125"/>
      <c r="C1470" s="125"/>
      <c r="D1470" s="125"/>
      <c r="E1470" s="126"/>
      <c r="F1470" s="128"/>
      <c r="G1470" s="128"/>
      <c r="H1470" s="128"/>
      <c r="I1470" s="128"/>
      <c r="J1470" s="128"/>
      <c r="K1470" s="129"/>
      <c r="L1470" s="129"/>
      <c r="M1470" s="129"/>
      <c r="N1470" s="129"/>
      <c r="O1470" s="129"/>
      <c r="P1470" s="129"/>
      <c r="Q1470" s="129"/>
      <c r="R1470" s="132"/>
      <c r="S1470" s="132"/>
      <c r="T1470" s="135"/>
      <c r="U1470" s="132"/>
      <c r="V1470" s="129"/>
      <c r="W1470" s="132"/>
      <c r="X1470" s="133"/>
      <c r="Y1470" s="132"/>
    </row>
    <row r="1471" spans="1:25" ht="15.75" customHeight="1">
      <c r="A1471" s="125"/>
      <c r="B1471" s="125"/>
      <c r="C1471" s="125"/>
      <c r="D1471" s="125"/>
      <c r="E1471" s="126"/>
      <c r="F1471" s="128"/>
      <c r="G1471" s="128"/>
      <c r="H1471" s="128"/>
      <c r="I1471" s="128"/>
      <c r="J1471" s="128"/>
      <c r="K1471" s="129"/>
      <c r="L1471" s="129"/>
      <c r="M1471" s="129"/>
      <c r="N1471" s="129"/>
      <c r="O1471" s="129"/>
      <c r="P1471" s="129"/>
      <c r="Q1471" s="129"/>
      <c r="R1471" s="132"/>
      <c r="S1471" s="132"/>
      <c r="T1471" s="135"/>
      <c r="U1471" s="132"/>
      <c r="V1471" s="129"/>
      <c r="W1471" s="132"/>
      <c r="X1471" s="133"/>
      <c r="Y1471" s="132"/>
    </row>
    <row r="1472" spans="1:25" ht="15.75" customHeight="1">
      <c r="A1472" s="125"/>
      <c r="B1472" s="125"/>
      <c r="C1472" s="125"/>
      <c r="D1472" s="125"/>
      <c r="E1472" s="126"/>
      <c r="F1472" s="128"/>
      <c r="G1472" s="128"/>
      <c r="H1472" s="128"/>
      <c r="I1472" s="128"/>
      <c r="J1472" s="128"/>
      <c r="K1472" s="129"/>
      <c r="L1472" s="129"/>
      <c r="M1472" s="129"/>
      <c r="N1472" s="129"/>
      <c r="O1472" s="129"/>
      <c r="P1472" s="129"/>
      <c r="Q1472" s="129"/>
      <c r="R1472" s="132"/>
      <c r="S1472" s="132"/>
      <c r="T1472" s="135"/>
      <c r="U1472" s="132"/>
      <c r="V1472" s="129"/>
      <c r="W1472" s="132"/>
      <c r="X1472" s="133"/>
      <c r="Y1472" s="132"/>
    </row>
    <row r="1473" spans="1:25" ht="15.75" customHeight="1">
      <c r="A1473" s="125"/>
      <c r="B1473" s="125"/>
      <c r="C1473" s="125"/>
      <c r="D1473" s="125"/>
      <c r="E1473" s="126"/>
      <c r="F1473" s="128"/>
      <c r="G1473" s="128"/>
      <c r="H1473" s="128"/>
      <c r="I1473" s="128"/>
      <c r="J1473" s="128"/>
      <c r="K1473" s="129"/>
      <c r="L1473" s="129"/>
      <c r="M1473" s="129"/>
      <c r="N1473" s="129"/>
      <c r="O1473" s="129"/>
      <c r="P1473" s="129"/>
      <c r="Q1473" s="129"/>
      <c r="R1473" s="132"/>
      <c r="S1473" s="132"/>
      <c r="T1473" s="135"/>
      <c r="U1473" s="132"/>
      <c r="V1473" s="129"/>
      <c r="W1473" s="132"/>
      <c r="X1473" s="133"/>
      <c r="Y1473" s="132"/>
    </row>
    <row r="1474" spans="1:25" ht="15.75" customHeight="1">
      <c r="A1474" s="125"/>
      <c r="B1474" s="125"/>
      <c r="C1474" s="125"/>
      <c r="D1474" s="125"/>
      <c r="E1474" s="126"/>
      <c r="F1474" s="128"/>
      <c r="G1474" s="128"/>
      <c r="H1474" s="128"/>
      <c r="I1474" s="128"/>
      <c r="J1474" s="128"/>
      <c r="K1474" s="129"/>
      <c r="L1474" s="129"/>
      <c r="M1474" s="129"/>
      <c r="N1474" s="129"/>
      <c r="O1474" s="129"/>
      <c r="P1474" s="129"/>
      <c r="Q1474" s="129"/>
      <c r="R1474" s="132"/>
      <c r="S1474" s="132"/>
      <c r="T1474" s="135"/>
      <c r="U1474" s="132"/>
      <c r="V1474" s="129"/>
      <c r="W1474" s="132"/>
      <c r="X1474" s="133"/>
      <c r="Y1474" s="132"/>
    </row>
    <row r="1475" spans="1:25" ht="15.75" customHeight="1">
      <c r="A1475" s="125"/>
      <c r="B1475" s="125"/>
      <c r="C1475" s="125"/>
      <c r="D1475" s="125"/>
      <c r="E1475" s="126"/>
      <c r="F1475" s="128"/>
      <c r="G1475" s="128"/>
      <c r="H1475" s="128"/>
      <c r="I1475" s="128"/>
      <c r="J1475" s="128"/>
      <c r="K1475" s="129"/>
      <c r="L1475" s="129"/>
      <c r="M1475" s="129"/>
      <c r="N1475" s="129"/>
      <c r="O1475" s="129"/>
      <c r="P1475" s="129"/>
      <c r="Q1475" s="129"/>
      <c r="R1475" s="132"/>
      <c r="S1475" s="132"/>
      <c r="T1475" s="135"/>
      <c r="U1475" s="132"/>
      <c r="V1475" s="129"/>
      <c r="W1475" s="132"/>
      <c r="X1475" s="133"/>
      <c r="Y1475" s="132"/>
    </row>
    <row r="1476" spans="1:25" ht="15.75" customHeight="1">
      <c r="A1476" s="125"/>
      <c r="B1476" s="125"/>
      <c r="C1476" s="125"/>
      <c r="D1476" s="125"/>
      <c r="E1476" s="126"/>
      <c r="F1476" s="128"/>
      <c r="G1476" s="128"/>
      <c r="H1476" s="128"/>
      <c r="I1476" s="128"/>
      <c r="J1476" s="128"/>
      <c r="K1476" s="129"/>
      <c r="L1476" s="129"/>
      <c r="M1476" s="129"/>
      <c r="N1476" s="129"/>
      <c r="O1476" s="129"/>
      <c r="P1476" s="129"/>
      <c r="Q1476" s="129"/>
      <c r="R1476" s="132"/>
      <c r="S1476" s="132"/>
      <c r="T1476" s="135"/>
      <c r="U1476" s="132"/>
      <c r="V1476" s="129"/>
      <c r="W1476" s="132"/>
      <c r="X1476" s="133"/>
      <c r="Y1476" s="132"/>
    </row>
    <row r="1477" spans="1:25" ht="15.75" customHeight="1">
      <c r="A1477" s="125"/>
      <c r="B1477" s="125"/>
      <c r="C1477" s="125"/>
      <c r="D1477" s="125"/>
      <c r="E1477" s="126"/>
      <c r="F1477" s="128"/>
      <c r="G1477" s="128"/>
      <c r="H1477" s="128"/>
      <c r="I1477" s="128"/>
      <c r="J1477" s="128"/>
      <c r="K1477" s="129"/>
      <c r="L1477" s="129"/>
      <c r="M1477" s="129"/>
      <c r="N1477" s="129"/>
      <c r="O1477" s="129"/>
      <c r="P1477" s="129"/>
      <c r="Q1477" s="129"/>
      <c r="R1477" s="132"/>
      <c r="S1477" s="132"/>
      <c r="T1477" s="135"/>
      <c r="U1477" s="132"/>
      <c r="V1477" s="129"/>
      <c r="W1477" s="132"/>
      <c r="X1477" s="133"/>
      <c r="Y1477" s="132"/>
    </row>
    <row r="1478" spans="1:25" ht="15.75" customHeight="1">
      <c r="A1478" s="125"/>
      <c r="B1478" s="125"/>
      <c r="C1478" s="125"/>
      <c r="D1478" s="125"/>
      <c r="E1478" s="126"/>
      <c r="F1478" s="128"/>
      <c r="G1478" s="128"/>
      <c r="H1478" s="128"/>
      <c r="I1478" s="128"/>
      <c r="J1478" s="128"/>
      <c r="K1478" s="129"/>
      <c r="L1478" s="129"/>
      <c r="M1478" s="129"/>
      <c r="N1478" s="129"/>
      <c r="O1478" s="129"/>
      <c r="P1478" s="129"/>
      <c r="Q1478" s="129"/>
      <c r="R1478" s="132"/>
      <c r="S1478" s="132"/>
      <c r="T1478" s="135"/>
      <c r="U1478" s="132"/>
      <c r="V1478" s="129"/>
      <c r="W1478" s="132"/>
      <c r="X1478" s="133"/>
      <c r="Y1478" s="132"/>
    </row>
    <row r="1479" spans="1:25" ht="15.75" customHeight="1">
      <c r="A1479" s="125"/>
      <c r="B1479" s="125"/>
      <c r="C1479" s="125"/>
      <c r="D1479" s="125"/>
      <c r="E1479" s="126"/>
      <c r="F1479" s="128"/>
      <c r="G1479" s="128"/>
      <c r="H1479" s="128"/>
      <c r="I1479" s="128"/>
      <c r="J1479" s="128"/>
      <c r="K1479" s="129"/>
      <c r="L1479" s="129"/>
      <c r="M1479" s="129"/>
      <c r="N1479" s="129"/>
      <c r="O1479" s="129"/>
      <c r="P1479" s="129"/>
      <c r="Q1479" s="129"/>
      <c r="R1479" s="132"/>
      <c r="S1479" s="132"/>
      <c r="T1479" s="135"/>
      <c r="U1479" s="132"/>
      <c r="V1479" s="129"/>
      <c r="W1479" s="132"/>
      <c r="X1479" s="133"/>
      <c r="Y1479" s="132"/>
    </row>
    <row r="1480" spans="1:25" ht="15.75" customHeight="1">
      <c r="A1480" s="125"/>
      <c r="B1480" s="125"/>
      <c r="C1480" s="125"/>
      <c r="D1480" s="125"/>
      <c r="E1480" s="126"/>
      <c r="F1480" s="128"/>
      <c r="G1480" s="128"/>
      <c r="H1480" s="128"/>
      <c r="I1480" s="128"/>
      <c r="J1480" s="128"/>
      <c r="K1480" s="129"/>
      <c r="L1480" s="129"/>
      <c r="M1480" s="129"/>
      <c r="N1480" s="129"/>
      <c r="O1480" s="129"/>
      <c r="P1480" s="129"/>
      <c r="Q1480" s="129"/>
      <c r="R1480" s="132"/>
      <c r="S1480" s="132"/>
      <c r="T1480" s="135"/>
      <c r="U1480" s="132"/>
      <c r="V1480" s="129"/>
      <c r="W1480" s="132"/>
      <c r="X1480" s="133"/>
      <c r="Y1480" s="132"/>
    </row>
    <row r="1481" spans="1:25" ht="15.75" customHeight="1">
      <c r="A1481" s="125"/>
      <c r="B1481" s="125"/>
      <c r="C1481" s="125"/>
      <c r="D1481" s="125"/>
      <c r="E1481" s="126"/>
      <c r="F1481" s="128"/>
      <c r="G1481" s="128"/>
      <c r="H1481" s="128"/>
      <c r="I1481" s="128"/>
      <c r="J1481" s="128"/>
      <c r="K1481" s="129"/>
      <c r="L1481" s="129"/>
      <c r="M1481" s="129"/>
      <c r="N1481" s="129"/>
      <c r="O1481" s="129"/>
      <c r="P1481" s="129"/>
      <c r="Q1481" s="129"/>
      <c r="R1481" s="132"/>
      <c r="S1481" s="132"/>
      <c r="T1481" s="135"/>
      <c r="U1481" s="132"/>
      <c r="V1481" s="129"/>
      <c r="W1481" s="132"/>
      <c r="X1481" s="133"/>
      <c r="Y1481" s="132"/>
    </row>
  </sheetData>
  <autoFilter ref="A1:AE1122"/>
  <customSheetViews>
    <customSheetView guid="{448E872C-185B-42E9-9393-93457B29FC18}" filter="1" showAutoFilter="1">
      <pageMargins left="0.7" right="0.7" top="0.75" bottom="0.75" header="0.3" footer="0.3"/>
      <autoFilter ref="A1:AE1122"/>
    </customSheetView>
    <customSheetView guid="{647C8B18-C7F0-4707-B0C0-38457E97BAD2}" filter="1" showAutoFilter="1">
      <pageMargins left="0.7" right="0.7" top="0.75" bottom="0.75" header="0.3" footer="0.3"/>
      <autoFilter ref="A1:AE1122"/>
    </customSheetView>
  </customSheetViews>
  <dataValidations count="3">
    <dataValidation type="list" allowBlank="1" sqref="C2:C1122">
      <formula1>#REF!</formula1>
    </dataValidation>
    <dataValidation type="list" allowBlank="1" sqref="V2:V1116">
      <formula1>#REF!</formula1>
    </dataValidation>
    <dataValidation type="list" allowBlank="1" sqref="B2:B1122">
      <formula1>#REF!</formula1>
    </dataValidation>
  </dataValidations>
  <pageMargins left="0.25" right="0.25" top="0.75" bottom="0.75" header="0" footer="0"/>
  <pageSetup paperSize="7" scale="40" orientation="landscape"/>
  <headerFooter>
    <oddHeader>&amp;CSUBDIRECCION TÉCNICA</oddHeader>
  </headerFooter>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016"/>
  <sheetViews>
    <sheetView workbookViewId="0"/>
  </sheetViews>
  <sheetFormatPr baseColWidth="10" defaultColWidth="12.5703125" defaultRowHeight="15.75" customHeight="1"/>
  <cols>
    <col min="3" max="3" width="29.42578125" customWidth="1"/>
  </cols>
  <sheetData>
    <row r="1" spans="1:7">
      <c r="A1" s="86"/>
      <c r="B1" s="86"/>
      <c r="C1" s="86"/>
      <c r="D1" s="86"/>
      <c r="E1" s="86"/>
      <c r="F1" s="86"/>
    </row>
    <row r="2" spans="1:7">
      <c r="A2" s="86">
        <v>1</v>
      </c>
      <c r="B2" s="86" t="s">
        <v>6752</v>
      </c>
      <c r="C2" s="86" t="s">
        <v>9323</v>
      </c>
      <c r="D2" s="86" t="s">
        <v>35</v>
      </c>
      <c r="E2" s="86" t="s">
        <v>35</v>
      </c>
      <c r="F2" s="86" t="s">
        <v>36</v>
      </c>
      <c r="G2" s="86">
        <v>1</v>
      </c>
    </row>
    <row r="3" spans="1:7">
      <c r="A3" s="86">
        <v>2</v>
      </c>
      <c r="B3" s="86" t="s">
        <v>6710</v>
      </c>
      <c r="C3" s="86" t="s">
        <v>9323</v>
      </c>
      <c r="D3" s="86" t="s">
        <v>35</v>
      </c>
      <c r="E3" s="86" t="s">
        <v>35</v>
      </c>
      <c r="F3" s="86" t="s">
        <v>36</v>
      </c>
      <c r="G3" s="86">
        <v>1</v>
      </c>
    </row>
    <row r="4" spans="1:7">
      <c r="A4" s="86">
        <v>3</v>
      </c>
      <c r="B4" s="86" t="s">
        <v>4986</v>
      </c>
      <c r="C4" s="86" t="s">
        <v>9323</v>
      </c>
      <c r="D4" s="86" t="s">
        <v>35</v>
      </c>
      <c r="E4" s="86" t="s">
        <v>35</v>
      </c>
      <c r="F4" s="86" t="s">
        <v>36</v>
      </c>
      <c r="G4" s="86">
        <v>1</v>
      </c>
    </row>
    <row r="5" spans="1:7">
      <c r="A5" s="86">
        <v>4</v>
      </c>
      <c r="B5" s="86" t="s">
        <v>5221</v>
      </c>
      <c r="C5" s="86" t="s">
        <v>9323</v>
      </c>
      <c r="D5" s="86" t="s">
        <v>35</v>
      </c>
      <c r="E5" s="86" t="s">
        <v>35</v>
      </c>
      <c r="F5" s="86" t="s">
        <v>36</v>
      </c>
      <c r="G5" s="86">
        <v>1</v>
      </c>
    </row>
    <row r="6" spans="1:7">
      <c r="A6" s="86">
        <v>5</v>
      </c>
      <c r="B6" s="86" t="s">
        <v>5130</v>
      </c>
      <c r="C6" s="86" t="s">
        <v>9323</v>
      </c>
      <c r="D6" s="86" t="s">
        <v>35</v>
      </c>
      <c r="E6" s="86" t="s">
        <v>35</v>
      </c>
      <c r="F6" s="86" t="s">
        <v>36</v>
      </c>
      <c r="G6" s="86">
        <v>1</v>
      </c>
    </row>
    <row r="7" spans="1:7">
      <c r="A7" s="86">
        <v>6</v>
      </c>
      <c r="B7" s="86" t="s">
        <v>84</v>
      </c>
      <c r="C7" s="86" t="s">
        <v>9323</v>
      </c>
      <c r="D7" s="86" t="s">
        <v>35</v>
      </c>
      <c r="E7" s="86" t="s">
        <v>35</v>
      </c>
      <c r="F7" s="86" t="s">
        <v>36</v>
      </c>
      <c r="G7" s="86">
        <v>1</v>
      </c>
    </row>
    <row r="8" spans="1:7">
      <c r="A8" s="86">
        <v>7</v>
      </c>
      <c r="B8" s="86" t="s">
        <v>5451</v>
      </c>
      <c r="C8" s="86" t="s">
        <v>9323</v>
      </c>
      <c r="D8" s="86" t="s">
        <v>35</v>
      </c>
      <c r="E8" s="86" t="s">
        <v>35</v>
      </c>
      <c r="F8" s="86" t="s">
        <v>36</v>
      </c>
      <c r="G8" s="86">
        <v>1</v>
      </c>
    </row>
    <row r="9" spans="1:7">
      <c r="A9" s="86">
        <v>8</v>
      </c>
      <c r="B9" s="86" t="s">
        <v>5582</v>
      </c>
      <c r="C9" s="86" t="s">
        <v>9323</v>
      </c>
      <c r="D9" s="86" t="s">
        <v>35</v>
      </c>
      <c r="E9" s="86" t="s">
        <v>35</v>
      </c>
      <c r="F9" s="86" t="s">
        <v>36</v>
      </c>
      <c r="G9" s="86">
        <v>1</v>
      </c>
    </row>
    <row r="10" spans="1:7">
      <c r="A10" s="86">
        <v>9</v>
      </c>
      <c r="B10" s="86" t="s">
        <v>5372</v>
      </c>
      <c r="C10" s="86" t="s">
        <v>9323</v>
      </c>
      <c r="D10" s="86" t="s">
        <v>35</v>
      </c>
      <c r="E10" s="86" t="s">
        <v>35</v>
      </c>
      <c r="F10" s="86" t="s">
        <v>36</v>
      </c>
      <c r="G10" s="86">
        <v>1</v>
      </c>
    </row>
    <row r="11" spans="1:7">
      <c r="A11" s="86">
        <v>10</v>
      </c>
      <c r="B11" s="86" t="s">
        <v>5393</v>
      </c>
      <c r="C11" s="86" t="s">
        <v>9323</v>
      </c>
      <c r="D11" s="86" t="s">
        <v>35</v>
      </c>
      <c r="E11" s="86" t="s">
        <v>35</v>
      </c>
      <c r="F11" s="86" t="s">
        <v>36</v>
      </c>
      <c r="G11" s="86">
        <v>1</v>
      </c>
    </row>
    <row r="12" spans="1:7">
      <c r="A12" s="86">
        <v>11</v>
      </c>
      <c r="B12" s="86" t="s">
        <v>5295</v>
      </c>
      <c r="C12" s="86" t="s">
        <v>9323</v>
      </c>
      <c r="D12" s="86" t="s">
        <v>35</v>
      </c>
      <c r="E12" s="86" t="s">
        <v>35</v>
      </c>
      <c r="F12" s="86" t="s">
        <v>36</v>
      </c>
      <c r="G12" s="86">
        <v>1</v>
      </c>
    </row>
    <row r="13" spans="1:7">
      <c r="A13" s="86">
        <v>12</v>
      </c>
      <c r="B13" s="86" t="s">
        <v>3707</v>
      </c>
      <c r="C13" s="86" t="s">
        <v>9323</v>
      </c>
      <c r="D13" s="86" t="s">
        <v>35</v>
      </c>
      <c r="E13" s="86" t="s">
        <v>35</v>
      </c>
      <c r="F13" s="86" t="s">
        <v>36</v>
      </c>
      <c r="G13" s="86">
        <v>1</v>
      </c>
    </row>
    <row r="14" spans="1:7">
      <c r="A14" s="86">
        <v>13</v>
      </c>
      <c r="B14" s="86" t="s">
        <v>3741</v>
      </c>
      <c r="C14" s="86" t="s">
        <v>9323</v>
      </c>
      <c r="D14" s="86" t="s">
        <v>35</v>
      </c>
      <c r="E14" s="86" t="s">
        <v>35</v>
      </c>
      <c r="F14" s="86" t="s">
        <v>36</v>
      </c>
      <c r="G14" s="86">
        <v>1</v>
      </c>
    </row>
    <row r="15" spans="1:7">
      <c r="A15" s="86">
        <v>14</v>
      </c>
      <c r="B15" s="86" t="s">
        <v>3734</v>
      </c>
      <c r="C15" s="86" t="s">
        <v>9323</v>
      </c>
      <c r="D15" s="86" t="s">
        <v>35</v>
      </c>
      <c r="E15" s="86" t="s">
        <v>35</v>
      </c>
      <c r="F15" s="86" t="s">
        <v>36</v>
      </c>
      <c r="G15" s="86">
        <v>1</v>
      </c>
    </row>
    <row r="16" spans="1:7">
      <c r="A16" s="86">
        <v>15</v>
      </c>
      <c r="B16" s="86" t="s">
        <v>3266</v>
      </c>
      <c r="C16" s="86" t="s">
        <v>9323</v>
      </c>
      <c r="D16" s="86" t="s">
        <v>35</v>
      </c>
      <c r="E16" s="86" t="s">
        <v>35</v>
      </c>
      <c r="F16" s="86" t="s">
        <v>36</v>
      </c>
      <c r="G16" s="86">
        <v>1</v>
      </c>
    </row>
    <row r="17" spans="1:7">
      <c r="A17" s="86">
        <v>16</v>
      </c>
      <c r="B17" s="86" t="s">
        <v>4254</v>
      </c>
      <c r="C17" s="86" t="s">
        <v>9323</v>
      </c>
      <c r="D17" s="86" t="s">
        <v>35</v>
      </c>
      <c r="E17" s="86" t="s">
        <v>35</v>
      </c>
      <c r="F17" s="86" t="s">
        <v>36</v>
      </c>
      <c r="G17" s="86">
        <v>1</v>
      </c>
    </row>
    <row r="18" spans="1:7">
      <c r="A18" s="86">
        <v>17</v>
      </c>
      <c r="B18" s="86" t="s">
        <v>3136</v>
      </c>
      <c r="C18" s="86" t="s">
        <v>9323</v>
      </c>
      <c r="D18" s="86" t="s">
        <v>35</v>
      </c>
      <c r="E18" s="86" t="s">
        <v>35</v>
      </c>
      <c r="F18" s="86" t="s">
        <v>36</v>
      </c>
      <c r="G18" s="86">
        <v>1</v>
      </c>
    </row>
    <row r="19" spans="1:7">
      <c r="A19" s="86">
        <v>18</v>
      </c>
      <c r="B19" s="86" t="s">
        <v>1720</v>
      </c>
      <c r="C19" s="86" t="s">
        <v>9323</v>
      </c>
      <c r="D19" s="86" t="s">
        <v>35</v>
      </c>
      <c r="E19" s="86" t="s">
        <v>35</v>
      </c>
      <c r="F19" s="86" t="s">
        <v>36</v>
      </c>
      <c r="G19" s="86">
        <v>1</v>
      </c>
    </row>
    <row r="20" spans="1:7">
      <c r="A20" s="86">
        <v>19</v>
      </c>
      <c r="B20" s="86" t="s">
        <v>3910</v>
      </c>
      <c r="C20" s="86" t="s">
        <v>9323</v>
      </c>
      <c r="D20" s="86" t="s">
        <v>35</v>
      </c>
      <c r="E20" s="86" t="s">
        <v>35</v>
      </c>
      <c r="F20" s="86" t="s">
        <v>36</v>
      </c>
      <c r="G20" s="86">
        <v>1</v>
      </c>
    </row>
    <row r="21" spans="1:7">
      <c r="A21" s="86">
        <v>20</v>
      </c>
      <c r="B21" s="86" t="s">
        <v>350</v>
      </c>
      <c r="C21" s="86" t="s">
        <v>9323</v>
      </c>
      <c r="D21" s="86" t="s">
        <v>35</v>
      </c>
      <c r="E21" s="86" t="s">
        <v>35</v>
      </c>
      <c r="F21" s="86" t="s">
        <v>36</v>
      </c>
      <c r="G21" s="86">
        <v>1</v>
      </c>
    </row>
    <row r="22" spans="1:7">
      <c r="A22" s="86">
        <v>21</v>
      </c>
      <c r="B22" s="86" t="s">
        <v>4756</v>
      </c>
      <c r="C22" s="86" t="s">
        <v>9323</v>
      </c>
      <c r="D22" s="86" t="s">
        <v>35</v>
      </c>
      <c r="E22" s="86" t="s">
        <v>35</v>
      </c>
      <c r="F22" s="86" t="s">
        <v>36</v>
      </c>
      <c r="G22" s="86">
        <v>1</v>
      </c>
    </row>
    <row r="23" spans="1:7">
      <c r="A23" s="86">
        <v>22</v>
      </c>
      <c r="B23" s="86" t="s">
        <v>1264</v>
      </c>
      <c r="C23" s="86" t="s">
        <v>9323</v>
      </c>
      <c r="D23" s="86" t="s">
        <v>35</v>
      </c>
      <c r="E23" s="86" t="s">
        <v>35</v>
      </c>
      <c r="F23" s="86" t="s">
        <v>36</v>
      </c>
      <c r="G23" s="86">
        <v>1</v>
      </c>
    </row>
    <row r="24" spans="1:7">
      <c r="A24" s="86">
        <v>23</v>
      </c>
      <c r="B24" s="86" t="s">
        <v>1162</v>
      </c>
      <c r="C24" s="86" t="s">
        <v>9323</v>
      </c>
      <c r="D24" s="86" t="s">
        <v>35</v>
      </c>
      <c r="E24" s="86" t="s">
        <v>35</v>
      </c>
      <c r="F24" s="86" t="s">
        <v>36</v>
      </c>
      <c r="G24" s="86">
        <v>1</v>
      </c>
    </row>
    <row r="25" spans="1:7">
      <c r="A25" s="86">
        <v>24</v>
      </c>
      <c r="B25" s="86" t="s">
        <v>67</v>
      </c>
      <c r="C25" s="86" t="s">
        <v>9323</v>
      </c>
      <c r="D25" s="86" t="s">
        <v>35</v>
      </c>
      <c r="E25" s="86" t="s">
        <v>35</v>
      </c>
      <c r="F25" s="86" t="s">
        <v>36</v>
      </c>
      <c r="G25" s="86">
        <v>1</v>
      </c>
    </row>
    <row r="26" spans="1:7">
      <c r="A26" s="86">
        <v>25</v>
      </c>
      <c r="B26" s="86" t="s">
        <v>107</v>
      </c>
      <c r="C26" s="86" t="s">
        <v>9323</v>
      </c>
      <c r="D26" s="86" t="s">
        <v>35</v>
      </c>
      <c r="E26" s="86" t="s">
        <v>35</v>
      </c>
      <c r="F26" s="86" t="s">
        <v>36</v>
      </c>
      <c r="G26" s="86">
        <v>1</v>
      </c>
    </row>
    <row r="27" spans="1:7">
      <c r="A27" s="86">
        <v>26</v>
      </c>
      <c r="B27" s="86" t="s">
        <v>4735</v>
      </c>
      <c r="C27" s="86" t="s">
        <v>9323</v>
      </c>
      <c r="D27" s="86" t="s">
        <v>35</v>
      </c>
      <c r="E27" s="86" t="s">
        <v>35</v>
      </c>
      <c r="F27" s="86" t="s">
        <v>36</v>
      </c>
      <c r="G27" s="86">
        <v>1</v>
      </c>
    </row>
    <row r="28" spans="1:7">
      <c r="A28" s="86">
        <v>27</v>
      </c>
      <c r="B28" s="86" t="s">
        <v>4743</v>
      </c>
      <c r="C28" s="86" t="s">
        <v>9323</v>
      </c>
      <c r="D28" s="86" t="s">
        <v>35</v>
      </c>
      <c r="E28" s="86" t="s">
        <v>35</v>
      </c>
      <c r="F28" s="86" t="s">
        <v>36</v>
      </c>
      <c r="G28" s="86">
        <v>1</v>
      </c>
    </row>
    <row r="29" spans="1:7">
      <c r="A29" s="86">
        <v>28</v>
      </c>
      <c r="B29" s="86" t="s">
        <v>4571</v>
      </c>
      <c r="C29" s="86" t="s">
        <v>9323</v>
      </c>
      <c r="D29" s="86" t="s">
        <v>35</v>
      </c>
      <c r="E29" s="86" t="s">
        <v>35</v>
      </c>
      <c r="F29" s="86" t="s">
        <v>36</v>
      </c>
      <c r="G29" s="86">
        <v>1</v>
      </c>
    </row>
    <row r="30" spans="1:7">
      <c r="A30" s="86">
        <v>29</v>
      </c>
      <c r="B30" s="86" t="s">
        <v>4580</v>
      </c>
      <c r="C30" s="86" t="s">
        <v>9323</v>
      </c>
      <c r="D30" s="86" t="s">
        <v>35</v>
      </c>
      <c r="E30" s="86" t="s">
        <v>35</v>
      </c>
      <c r="F30" s="86" t="s">
        <v>36</v>
      </c>
      <c r="G30" s="86">
        <v>1</v>
      </c>
    </row>
    <row r="31" spans="1:7">
      <c r="A31" s="86">
        <v>30</v>
      </c>
      <c r="B31" s="86" t="s">
        <v>4587</v>
      </c>
      <c r="C31" s="86" t="s">
        <v>9323</v>
      </c>
      <c r="D31" s="86" t="s">
        <v>35</v>
      </c>
      <c r="E31" s="86" t="s">
        <v>35</v>
      </c>
      <c r="F31" s="86" t="s">
        <v>36</v>
      </c>
      <c r="G31" s="86">
        <v>1</v>
      </c>
    </row>
    <row r="32" spans="1:7">
      <c r="A32" s="86">
        <v>31</v>
      </c>
      <c r="B32" s="86" t="s">
        <v>4594</v>
      </c>
      <c r="C32" s="86" t="s">
        <v>9323</v>
      </c>
      <c r="D32" s="86" t="s">
        <v>35</v>
      </c>
      <c r="E32" s="86" t="s">
        <v>35</v>
      </c>
      <c r="F32" s="86" t="s">
        <v>36</v>
      </c>
      <c r="G32" s="86">
        <v>1</v>
      </c>
    </row>
    <row r="33" spans="1:7">
      <c r="A33" s="86">
        <v>32</v>
      </c>
      <c r="B33" s="86" t="s">
        <v>4714</v>
      </c>
      <c r="C33" s="86" t="s">
        <v>9323</v>
      </c>
      <c r="D33" s="86" t="s">
        <v>35</v>
      </c>
      <c r="E33" s="86" t="s">
        <v>35</v>
      </c>
      <c r="F33" s="86" t="s">
        <v>36</v>
      </c>
      <c r="G33" s="86">
        <v>1</v>
      </c>
    </row>
    <row r="34" spans="1:7">
      <c r="A34" s="86">
        <v>33</v>
      </c>
      <c r="B34" s="86" t="s">
        <v>4721</v>
      </c>
      <c r="C34" s="86" t="s">
        <v>9323</v>
      </c>
      <c r="D34" s="86" t="s">
        <v>35</v>
      </c>
      <c r="E34" s="86" t="s">
        <v>35</v>
      </c>
      <c r="F34" s="86" t="s">
        <v>36</v>
      </c>
      <c r="G34" s="86">
        <v>1</v>
      </c>
    </row>
    <row r="35" spans="1:7">
      <c r="A35" s="86">
        <v>34</v>
      </c>
      <c r="B35" s="86" t="s">
        <v>4728</v>
      </c>
      <c r="C35" s="86" t="s">
        <v>9323</v>
      </c>
      <c r="D35" s="86" t="s">
        <v>35</v>
      </c>
      <c r="E35" s="86" t="s">
        <v>35</v>
      </c>
      <c r="F35" s="86" t="s">
        <v>36</v>
      </c>
      <c r="G35" s="86">
        <v>1</v>
      </c>
    </row>
    <row r="36" spans="1:7">
      <c r="A36" s="86">
        <v>35</v>
      </c>
      <c r="B36" s="86" t="s">
        <v>2212</v>
      </c>
      <c r="C36" s="86" t="s">
        <v>9323</v>
      </c>
      <c r="D36" s="86" t="s">
        <v>35</v>
      </c>
      <c r="E36" s="86" t="s">
        <v>35</v>
      </c>
      <c r="F36" s="86" t="s">
        <v>36</v>
      </c>
      <c r="G36" s="86">
        <v>1</v>
      </c>
    </row>
    <row r="37" spans="1:7">
      <c r="A37" s="86">
        <v>36</v>
      </c>
      <c r="B37" s="86" t="s">
        <v>589</v>
      </c>
      <c r="C37" s="86" t="s">
        <v>9323</v>
      </c>
      <c r="D37" s="86" t="s">
        <v>35</v>
      </c>
      <c r="E37" s="86" t="s">
        <v>35</v>
      </c>
      <c r="F37" s="86" t="s">
        <v>36</v>
      </c>
      <c r="G37" s="86">
        <v>1</v>
      </c>
    </row>
    <row r="38" spans="1:7">
      <c r="A38" s="86">
        <v>37</v>
      </c>
      <c r="B38" s="86" t="s">
        <v>430</v>
      </c>
      <c r="C38" s="86" t="s">
        <v>425</v>
      </c>
      <c r="D38" s="86" t="s">
        <v>35</v>
      </c>
      <c r="E38" s="86" t="s">
        <v>35</v>
      </c>
      <c r="F38" s="86" t="s">
        <v>36</v>
      </c>
      <c r="G38" s="86">
        <v>1</v>
      </c>
    </row>
    <row r="39" spans="1:7">
      <c r="A39" s="86">
        <v>38</v>
      </c>
      <c r="B39" s="86" t="s">
        <v>498</v>
      </c>
      <c r="C39" s="86" t="s">
        <v>425</v>
      </c>
      <c r="D39" s="86" t="s">
        <v>35</v>
      </c>
      <c r="E39" s="86" t="s">
        <v>35</v>
      </c>
      <c r="F39" s="86" t="s">
        <v>36</v>
      </c>
      <c r="G39" s="86">
        <v>1</v>
      </c>
    </row>
    <row r="40" spans="1:7">
      <c r="A40" s="86">
        <v>39</v>
      </c>
      <c r="B40" s="86" t="s">
        <v>2057</v>
      </c>
      <c r="C40" s="86" t="s">
        <v>9324</v>
      </c>
      <c r="D40" s="86" t="s">
        <v>35</v>
      </c>
      <c r="E40" s="86" t="s">
        <v>35</v>
      </c>
      <c r="F40" s="86" t="s">
        <v>36</v>
      </c>
      <c r="G40" s="86">
        <v>1</v>
      </c>
    </row>
    <row r="41" spans="1:7">
      <c r="A41" s="86">
        <v>40</v>
      </c>
      <c r="B41" s="86" t="s">
        <v>2050</v>
      </c>
      <c r="C41" s="86" t="s">
        <v>9324</v>
      </c>
      <c r="D41" s="86" t="s">
        <v>35</v>
      </c>
      <c r="E41" s="86" t="s">
        <v>35</v>
      </c>
      <c r="F41" s="86" t="s">
        <v>36</v>
      </c>
      <c r="G41" s="86">
        <v>1</v>
      </c>
    </row>
    <row r="42" spans="1:7">
      <c r="A42" s="86">
        <v>41</v>
      </c>
      <c r="B42" s="86" t="s">
        <v>2065</v>
      </c>
      <c r="C42" s="86" t="s">
        <v>9324</v>
      </c>
      <c r="D42" s="86" t="s">
        <v>35</v>
      </c>
      <c r="E42" s="86" t="s">
        <v>35</v>
      </c>
      <c r="F42" s="86" t="s">
        <v>36</v>
      </c>
      <c r="G42" s="86">
        <v>1</v>
      </c>
    </row>
    <row r="43" spans="1:7">
      <c r="A43" s="86">
        <v>42</v>
      </c>
      <c r="B43" s="86" t="s">
        <v>2071</v>
      </c>
      <c r="C43" s="86" t="s">
        <v>9324</v>
      </c>
      <c r="D43" s="86" t="s">
        <v>35</v>
      </c>
      <c r="E43" s="86" t="s">
        <v>35</v>
      </c>
      <c r="F43" s="86" t="s">
        <v>36</v>
      </c>
      <c r="G43" s="86">
        <v>1</v>
      </c>
    </row>
    <row r="44" spans="1:7">
      <c r="A44" s="86">
        <v>43</v>
      </c>
      <c r="B44" s="86" t="s">
        <v>2083</v>
      </c>
      <c r="C44" s="86" t="s">
        <v>9324</v>
      </c>
      <c r="D44" s="86" t="s">
        <v>35</v>
      </c>
      <c r="E44" s="86" t="s">
        <v>35</v>
      </c>
      <c r="F44" s="86" t="s">
        <v>36</v>
      </c>
      <c r="G44" s="86">
        <v>1</v>
      </c>
    </row>
    <row r="45" spans="1:7">
      <c r="A45" s="86">
        <v>44</v>
      </c>
      <c r="B45" s="86" t="s">
        <v>2077</v>
      </c>
      <c r="C45" s="86" t="s">
        <v>9324</v>
      </c>
      <c r="D45" s="86" t="s">
        <v>35</v>
      </c>
      <c r="E45" s="86" t="s">
        <v>35</v>
      </c>
      <c r="F45" s="86" t="s">
        <v>36</v>
      </c>
      <c r="G45" s="86">
        <v>1</v>
      </c>
    </row>
    <row r="46" spans="1:7">
      <c r="A46" s="86">
        <v>45</v>
      </c>
      <c r="B46" s="86" t="s">
        <v>2096</v>
      </c>
      <c r="C46" s="86" t="s">
        <v>9324</v>
      </c>
      <c r="D46" s="86" t="s">
        <v>35</v>
      </c>
      <c r="E46" s="86" t="s">
        <v>35</v>
      </c>
      <c r="F46" s="86" t="s">
        <v>36</v>
      </c>
      <c r="G46" s="86">
        <v>1</v>
      </c>
    </row>
    <row r="47" spans="1:7">
      <c r="A47" s="86">
        <v>46</v>
      </c>
      <c r="B47" s="86" t="s">
        <v>2102</v>
      </c>
      <c r="C47" s="86" t="s">
        <v>9324</v>
      </c>
      <c r="D47" s="86" t="s">
        <v>35</v>
      </c>
      <c r="E47" s="86" t="s">
        <v>35</v>
      </c>
      <c r="F47" s="86" t="s">
        <v>36</v>
      </c>
      <c r="G47" s="86">
        <v>1</v>
      </c>
    </row>
    <row r="48" spans="1:7">
      <c r="A48" s="86">
        <v>47</v>
      </c>
      <c r="B48" s="86" t="s">
        <v>2132</v>
      </c>
      <c r="C48" s="86" t="s">
        <v>9324</v>
      </c>
      <c r="D48" s="86" t="s">
        <v>35</v>
      </c>
      <c r="E48" s="86" t="s">
        <v>35</v>
      </c>
      <c r="F48" s="86" t="s">
        <v>36</v>
      </c>
      <c r="G48" s="86">
        <v>1</v>
      </c>
    </row>
    <row r="49" spans="1:7">
      <c r="A49" s="86">
        <v>48</v>
      </c>
      <c r="B49" s="86" t="s">
        <v>2120</v>
      </c>
      <c r="C49" s="86" t="s">
        <v>9324</v>
      </c>
      <c r="D49" s="86" t="s">
        <v>35</v>
      </c>
      <c r="E49" s="86" t="s">
        <v>35</v>
      </c>
      <c r="F49" s="86" t="s">
        <v>36</v>
      </c>
      <c r="G49" s="86">
        <v>1</v>
      </c>
    </row>
    <row r="50" spans="1:7">
      <c r="A50" s="86">
        <v>49</v>
      </c>
      <c r="B50" s="86" t="s">
        <v>2138</v>
      </c>
      <c r="C50" s="86" t="s">
        <v>9324</v>
      </c>
      <c r="D50" s="86" t="s">
        <v>35</v>
      </c>
      <c r="E50" s="86" t="s">
        <v>35</v>
      </c>
      <c r="F50" s="86" t="s">
        <v>36</v>
      </c>
      <c r="G50" s="86">
        <v>1</v>
      </c>
    </row>
    <row r="51" spans="1:7">
      <c r="A51" s="86">
        <v>50</v>
      </c>
      <c r="B51" s="86" t="s">
        <v>2089</v>
      </c>
      <c r="C51" s="86" t="s">
        <v>9324</v>
      </c>
      <c r="D51" s="86" t="s">
        <v>35</v>
      </c>
      <c r="E51" s="86" t="s">
        <v>35</v>
      </c>
      <c r="F51" s="86" t="s">
        <v>36</v>
      </c>
      <c r="G51" s="86">
        <v>1</v>
      </c>
    </row>
    <row r="52" spans="1:7">
      <c r="A52" s="86">
        <v>51</v>
      </c>
      <c r="B52" s="86" t="s">
        <v>2108</v>
      </c>
      <c r="C52" s="86" t="s">
        <v>9324</v>
      </c>
      <c r="D52" s="86" t="s">
        <v>35</v>
      </c>
      <c r="E52" s="86" t="s">
        <v>35</v>
      </c>
      <c r="F52" s="86" t="s">
        <v>36</v>
      </c>
      <c r="G52" s="86">
        <v>1</v>
      </c>
    </row>
    <row r="53" spans="1:7">
      <c r="A53" s="86">
        <v>52</v>
      </c>
      <c r="B53" s="86" t="s">
        <v>2156</v>
      </c>
      <c r="C53" s="86" t="s">
        <v>9324</v>
      </c>
      <c r="D53" s="86" t="s">
        <v>35</v>
      </c>
      <c r="E53" s="86" t="s">
        <v>35</v>
      </c>
      <c r="F53" s="86" t="s">
        <v>36</v>
      </c>
      <c r="G53" s="86">
        <v>1</v>
      </c>
    </row>
    <row r="54" spans="1:7">
      <c r="A54" s="86">
        <v>53</v>
      </c>
      <c r="B54" s="86" t="s">
        <v>2114</v>
      </c>
      <c r="C54" s="86" t="s">
        <v>9324</v>
      </c>
      <c r="D54" s="86" t="s">
        <v>35</v>
      </c>
      <c r="E54" s="86" t="s">
        <v>35</v>
      </c>
      <c r="F54" s="86" t="s">
        <v>36</v>
      </c>
      <c r="G54" s="86">
        <v>1</v>
      </c>
    </row>
    <row r="55" spans="1:7">
      <c r="A55" s="86">
        <v>54</v>
      </c>
      <c r="B55" s="86" t="s">
        <v>2126</v>
      </c>
      <c r="C55" s="86" t="s">
        <v>9324</v>
      </c>
      <c r="D55" s="86" t="s">
        <v>35</v>
      </c>
      <c r="E55" s="86" t="s">
        <v>35</v>
      </c>
      <c r="F55" s="86" t="s">
        <v>36</v>
      </c>
      <c r="G55" s="86">
        <v>1</v>
      </c>
    </row>
    <row r="56" spans="1:7">
      <c r="A56" s="86">
        <v>55</v>
      </c>
      <c r="B56" s="86" t="s">
        <v>2174</v>
      </c>
      <c r="C56" s="86" t="s">
        <v>9324</v>
      </c>
      <c r="D56" s="86" t="s">
        <v>35</v>
      </c>
      <c r="E56" s="86" t="s">
        <v>35</v>
      </c>
      <c r="F56" s="86" t="s">
        <v>36</v>
      </c>
      <c r="G56" s="86">
        <v>1</v>
      </c>
    </row>
    <row r="57" spans="1:7">
      <c r="A57" s="86">
        <v>56</v>
      </c>
      <c r="B57" s="86" t="s">
        <v>2180</v>
      </c>
      <c r="C57" s="86" t="s">
        <v>9324</v>
      </c>
      <c r="D57" s="86" t="s">
        <v>35</v>
      </c>
      <c r="E57" s="86" t="s">
        <v>35</v>
      </c>
      <c r="F57" s="86" t="s">
        <v>36</v>
      </c>
      <c r="G57" s="86">
        <v>1</v>
      </c>
    </row>
    <row r="58" spans="1:7">
      <c r="A58" s="86">
        <v>57</v>
      </c>
      <c r="B58" s="86" t="s">
        <v>2186</v>
      </c>
      <c r="C58" s="86" t="s">
        <v>9324</v>
      </c>
      <c r="D58" s="86" t="s">
        <v>35</v>
      </c>
      <c r="E58" s="86" t="s">
        <v>35</v>
      </c>
      <c r="F58" s="86" t="s">
        <v>36</v>
      </c>
      <c r="G58" s="86">
        <v>1</v>
      </c>
    </row>
    <row r="59" spans="1:7">
      <c r="A59" s="86">
        <v>58</v>
      </c>
      <c r="B59" s="86" t="s">
        <v>2162</v>
      </c>
      <c r="C59" s="86" t="s">
        <v>9324</v>
      </c>
      <c r="D59" s="86" t="s">
        <v>35</v>
      </c>
      <c r="E59" s="86" t="s">
        <v>35</v>
      </c>
      <c r="F59" s="86" t="s">
        <v>36</v>
      </c>
      <c r="G59" s="86">
        <v>1</v>
      </c>
    </row>
    <row r="60" spans="1:7">
      <c r="A60" s="86">
        <v>59</v>
      </c>
      <c r="B60" s="86" t="s">
        <v>2168</v>
      </c>
      <c r="C60" s="86" t="s">
        <v>9324</v>
      </c>
      <c r="D60" s="86" t="s">
        <v>35</v>
      </c>
      <c r="E60" s="86" t="s">
        <v>35</v>
      </c>
      <c r="F60" s="86" t="s">
        <v>36</v>
      </c>
      <c r="G60" s="86">
        <v>1</v>
      </c>
    </row>
    <row r="61" spans="1:7">
      <c r="A61" s="86">
        <v>60</v>
      </c>
      <c r="B61" s="86" t="s">
        <v>2144</v>
      </c>
      <c r="C61" s="86" t="s">
        <v>9324</v>
      </c>
      <c r="D61" s="86" t="s">
        <v>35</v>
      </c>
      <c r="E61" s="86" t="s">
        <v>35</v>
      </c>
      <c r="F61" s="86" t="s">
        <v>36</v>
      </c>
      <c r="G61" s="86">
        <v>1</v>
      </c>
    </row>
    <row r="62" spans="1:7">
      <c r="A62" s="86">
        <v>61</v>
      </c>
      <c r="B62" s="86" t="s">
        <v>2192</v>
      </c>
      <c r="C62" s="86" t="s">
        <v>9324</v>
      </c>
      <c r="D62" s="86" t="s">
        <v>35</v>
      </c>
      <c r="E62" s="86" t="s">
        <v>35</v>
      </c>
      <c r="F62" s="86" t="s">
        <v>36</v>
      </c>
      <c r="G62" s="86">
        <v>1</v>
      </c>
    </row>
    <row r="63" spans="1:7">
      <c r="A63" s="86">
        <v>62</v>
      </c>
      <c r="B63" s="86" t="s">
        <v>2150</v>
      </c>
      <c r="C63" s="86" t="s">
        <v>9324</v>
      </c>
      <c r="D63" s="86" t="s">
        <v>35</v>
      </c>
      <c r="E63" s="86" t="s">
        <v>35</v>
      </c>
      <c r="F63" s="86" t="s">
        <v>36</v>
      </c>
      <c r="G63" s="86">
        <v>1</v>
      </c>
    </row>
    <row r="64" spans="1:7">
      <c r="A64" s="86">
        <v>63</v>
      </c>
      <c r="B64" s="86" t="s">
        <v>2198</v>
      </c>
      <c r="C64" s="86" t="s">
        <v>9324</v>
      </c>
      <c r="D64" s="86" t="s">
        <v>35</v>
      </c>
      <c r="E64" s="86" t="s">
        <v>35</v>
      </c>
      <c r="F64" s="86" t="s">
        <v>36</v>
      </c>
      <c r="G64" s="86">
        <v>1</v>
      </c>
    </row>
    <row r="65" spans="1:7">
      <c r="A65" s="86">
        <v>64</v>
      </c>
      <c r="B65" s="86" t="s">
        <v>1052</v>
      </c>
      <c r="C65" s="86" t="s">
        <v>9324</v>
      </c>
      <c r="D65" s="86" t="s">
        <v>35</v>
      </c>
      <c r="E65" s="86" t="s">
        <v>35</v>
      </c>
      <c r="F65" s="86" t="s">
        <v>36</v>
      </c>
      <c r="G65" s="86">
        <v>1</v>
      </c>
    </row>
    <row r="66" spans="1:7">
      <c r="A66" s="86">
        <v>65</v>
      </c>
      <c r="B66" s="86" t="s">
        <v>3273</v>
      </c>
      <c r="C66" s="86" t="s">
        <v>9324</v>
      </c>
      <c r="D66" s="86" t="s">
        <v>35</v>
      </c>
      <c r="E66" s="86" t="s">
        <v>35</v>
      </c>
      <c r="F66" s="86" t="s">
        <v>36</v>
      </c>
      <c r="G66" s="86">
        <v>1</v>
      </c>
    </row>
    <row r="67" spans="1:7">
      <c r="A67" s="86">
        <v>66</v>
      </c>
      <c r="B67" s="86" t="s">
        <v>3695</v>
      </c>
      <c r="C67" s="86" t="s">
        <v>9324</v>
      </c>
      <c r="D67" s="86" t="s">
        <v>35</v>
      </c>
      <c r="E67" s="86" t="s">
        <v>35</v>
      </c>
      <c r="F67" s="86" t="s">
        <v>36</v>
      </c>
      <c r="G67" s="86">
        <v>1</v>
      </c>
    </row>
    <row r="68" spans="1:7">
      <c r="A68" s="86">
        <v>67</v>
      </c>
      <c r="B68" s="86" t="s">
        <v>3621</v>
      </c>
      <c r="C68" s="86" t="s">
        <v>9324</v>
      </c>
      <c r="D68" s="86" t="s">
        <v>35</v>
      </c>
      <c r="E68" s="86" t="s">
        <v>35</v>
      </c>
      <c r="F68" s="86" t="s">
        <v>36</v>
      </c>
      <c r="G68" s="86">
        <v>1</v>
      </c>
    </row>
    <row r="69" spans="1:7">
      <c r="A69" s="86">
        <v>68</v>
      </c>
      <c r="B69" s="86" t="s">
        <v>3701</v>
      </c>
      <c r="C69" s="86" t="s">
        <v>9324</v>
      </c>
      <c r="D69" s="86" t="s">
        <v>35</v>
      </c>
      <c r="E69" s="86" t="s">
        <v>35</v>
      </c>
      <c r="F69" s="86" t="s">
        <v>36</v>
      </c>
      <c r="G69" s="86">
        <v>1</v>
      </c>
    </row>
    <row r="70" spans="1:7">
      <c r="A70" s="86">
        <v>69</v>
      </c>
      <c r="B70" s="86" t="s">
        <v>3628</v>
      </c>
      <c r="C70" s="86" t="s">
        <v>9324</v>
      </c>
      <c r="D70" s="86" t="s">
        <v>35</v>
      </c>
      <c r="E70" s="86" t="s">
        <v>35</v>
      </c>
      <c r="F70" s="86" t="s">
        <v>36</v>
      </c>
      <c r="G70" s="86">
        <v>1</v>
      </c>
    </row>
    <row r="71" spans="1:7">
      <c r="A71" s="86">
        <v>70</v>
      </c>
      <c r="B71" s="86" t="s">
        <v>3653</v>
      </c>
      <c r="C71" s="86" t="s">
        <v>9324</v>
      </c>
      <c r="D71" s="86" t="s">
        <v>35</v>
      </c>
      <c r="E71" s="86" t="s">
        <v>35</v>
      </c>
      <c r="F71" s="86" t="s">
        <v>36</v>
      </c>
      <c r="G71" s="86">
        <v>1</v>
      </c>
    </row>
    <row r="72" spans="1:7">
      <c r="A72" s="86">
        <v>71</v>
      </c>
      <c r="B72" s="86" t="s">
        <v>3641</v>
      </c>
      <c r="C72" s="86" t="s">
        <v>9324</v>
      </c>
      <c r="D72" s="86" t="s">
        <v>35</v>
      </c>
      <c r="E72" s="86" t="s">
        <v>35</v>
      </c>
      <c r="F72" s="86" t="s">
        <v>36</v>
      </c>
      <c r="G72" s="86">
        <v>1</v>
      </c>
    </row>
    <row r="73" spans="1:7">
      <c r="A73" s="86">
        <v>72</v>
      </c>
      <c r="B73" s="86" t="s">
        <v>3689</v>
      </c>
      <c r="C73" s="86" t="s">
        <v>9324</v>
      </c>
      <c r="D73" s="86" t="s">
        <v>35</v>
      </c>
      <c r="E73" s="86" t="s">
        <v>35</v>
      </c>
      <c r="F73" s="86" t="s">
        <v>36</v>
      </c>
      <c r="G73" s="86">
        <v>1</v>
      </c>
    </row>
    <row r="74" spans="1:7">
      <c r="A74" s="86">
        <v>73</v>
      </c>
      <c r="B74" s="86" t="s">
        <v>3671</v>
      </c>
      <c r="C74" s="86" t="s">
        <v>9324</v>
      </c>
      <c r="D74" s="86" t="s">
        <v>35</v>
      </c>
      <c r="E74" s="86" t="s">
        <v>35</v>
      </c>
      <c r="F74" s="86" t="s">
        <v>36</v>
      </c>
      <c r="G74" s="86">
        <v>1</v>
      </c>
    </row>
    <row r="75" spans="1:7">
      <c r="A75" s="86">
        <v>74</v>
      </c>
      <c r="B75" s="86" t="s">
        <v>3545</v>
      </c>
      <c r="C75" s="86" t="s">
        <v>9325</v>
      </c>
      <c r="D75" s="86" t="s">
        <v>35</v>
      </c>
      <c r="E75" s="86" t="s">
        <v>35</v>
      </c>
      <c r="F75" s="86" t="s">
        <v>36</v>
      </c>
      <c r="G75" s="86">
        <v>1</v>
      </c>
    </row>
    <row r="76" spans="1:7">
      <c r="A76" s="86">
        <v>75</v>
      </c>
      <c r="B76" s="86" t="s">
        <v>4318</v>
      </c>
      <c r="C76" s="86" t="s">
        <v>9325</v>
      </c>
      <c r="D76" s="86" t="s">
        <v>35</v>
      </c>
      <c r="E76" s="86" t="s">
        <v>35</v>
      </c>
      <c r="F76" s="86" t="s">
        <v>36</v>
      </c>
      <c r="G76" s="86">
        <v>1</v>
      </c>
    </row>
    <row r="77" spans="1:7">
      <c r="A77" s="86">
        <v>76</v>
      </c>
      <c r="B77" s="86" t="s">
        <v>5406</v>
      </c>
      <c r="C77" s="86" t="s">
        <v>9325</v>
      </c>
      <c r="D77" s="86" t="s">
        <v>35</v>
      </c>
      <c r="E77" s="86" t="s">
        <v>35</v>
      </c>
      <c r="F77" s="86" t="s">
        <v>36</v>
      </c>
      <c r="G77" s="86">
        <v>1</v>
      </c>
    </row>
    <row r="78" spans="1:7">
      <c r="A78" s="86">
        <v>77</v>
      </c>
      <c r="B78" s="86" t="s">
        <v>3770</v>
      </c>
      <c r="C78" s="86" t="s">
        <v>9325</v>
      </c>
      <c r="D78" s="86" t="s">
        <v>35</v>
      </c>
      <c r="E78" s="86" t="s">
        <v>35</v>
      </c>
      <c r="F78" s="86" t="s">
        <v>36</v>
      </c>
      <c r="G78" s="86">
        <v>1</v>
      </c>
    </row>
    <row r="79" spans="1:7">
      <c r="A79" s="86">
        <v>78</v>
      </c>
      <c r="B79" s="86" t="s">
        <v>3213</v>
      </c>
      <c r="C79" s="86" t="s">
        <v>9325</v>
      </c>
      <c r="D79" s="86" t="s">
        <v>35</v>
      </c>
      <c r="E79" s="86" t="s">
        <v>35</v>
      </c>
      <c r="F79" s="86" t="s">
        <v>36</v>
      </c>
      <c r="G79" s="86">
        <v>1</v>
      </c>
    </row>
    <row r="80" spans="1:7">
      <c r="A80" s="86">
        <v>79</v>
      </c>
      <c r="B80" s="86" t="s">
        <v>3575</v>
      </c>
      <c r="C80" s="86" t="s">
        <v>9325</v>
      </c>
      <c r="D80" s="86" t="s">
        <v>35</v>
      </c>
      <c r="E80" s="86" t="s">
        <v>35</v>
      </c>
      <c r="F80" s="86" t="s">
        <v>36</v>
      </c>
      <c r="G80" s="86">
        <v>1</v>
      </c>
    </row>
    <row r="81" spans="1:7">
      <c r="A81" s="86">
        <v>80</v>
      </c>
      <c r="B81" s="86" t="s">
        <v>4172</v>
      </c>
      <c r="C81" s="86" t="s">
        <v>9325</v>
      </c>
      <c r="D81" s="86" t="s">
        <v>35</v>
      </c>
      <c r="E81" s="86" t="s">
        <v>35</v>
      </c>
      <c r="F81" s="86" t="s">
        <v>36</v>
      </c>
      <c r="G81" s="86">
        <v>1</v>
      </c>
    </row>
    <row r="82" spans="1:7">
      <c r="A82" s="86">
        <v>81</v>
      </c>
      <c r="B82" s="86" t="s">
        <v>3395</v>
      </c>
      <c r="C82" s="86" t="s">
        <v>9325</v>
      </c>
      <c r="D82" s="86" t="s">
        <v>35</v>
      </c>
      <c r="E82" s="86" t="s">
        <v>35</v>
      </c>
      <c r="F82" s="86" t="s">
        <v>36</v>
      </c>
      <c r="G82" s="86">
        <v>1</v>
      </c>
    </row>
    <row r="83" spans="1:7">
      <c r="A83" s="86">
        <v>82</v>
      </c>
      <c r="B83" s="86" t="s">
        <v>4385</v>
      </c>
      <c r="C83" s="86" t="s">
        <v>9325</v>
      </c>
      <c r="D83" s="86" t="s">
        <v>35</v>
      </c>
      <c r="E83" s="86" t="s">
        <v>35</v>
      </c>
      <c r="F83" s="86" t="s">
        <v>36</v>
      </c>
      <c r="G83" s="86">
        <v>1</v>
      </c>
    </row>
    <row r="84" spans="1:7">
      <c r="A84" s="86">
        <v>83</v>
      </c>
      <c r="B84" s="86" t="s">
        <v>4340</v>
      </c>
      <c r="C84" s="86" t="s">
        <v>9325</v>
      </c>
      <c r="D84" s="86" t="s">
        <v>35</v>
      </c>
      <c r="E84" s="86" t="s">
        <v>35</v>
      </c>
      <c r="F84" s="86" t="s">
        <v>36</v>
      </c>
      <c r="G84" s="86">
        <v>1</v>
      </c>
    </row>
    <row r="85" spans="1:7">
      <c r="A85" s="86">
        <v>84</v>
      </c>
      <c r="B85" s="86" t="s">
        <v>4522</v>
      </c>
      <c r="C85" s="86" t="s">
        <v>9325</v>
      </c>
      <c r="D85" s="86" t="s">
        <v>35</v>
      </c>
      <c r="E85" s="86" t="s">
        <v>35</v>
      </c>
      <c r="F85" s="86" t="s">
        <v>36</v>
      </c>
      <c r="G85" s="86">
        <v>1</v>
      </c>
    </row>
    <row r="86" spans="1:7">
      <c r="A86" s="86">
        <v>85</v>
      </c>
      <c r="B86" s="86" t="s">
        <v>4110</v>
      </c>
      <c r="C86" s="86" t="s">
        <v>9325</v>
      </c>
      <c r="D86" s="86" t="s">
        <v>35</v>
      </c>
      <c r="E86" s="86" t="s">
        <v>35</v>
      </c>
      <c r="F86" s="86" t="s">
        <v>36</v>
      </c>
      <c r="G86" s="86">
        <v>1</v>
      </c>
    </row>
    <row r="87" spans="1:7">
      <c r="A87" s="86">
        <v>86</v>
      </c>
      <c r="B87" s="86" t="s">
        <v>4029</v>
      </c>
      <c r="C87" s="86" t="s">
        <v>9325</v>
      </c>
      <c r="D87" s="86" t="s">
        <v>35</v>
      </c>
      <c r="E87" s="86" t="s">
        <v>35</v>
      </c>
      <c r="F87" s="86" t="s">
        <v>36</v>
      </c>
      <c r="G87" s="86">
        <v>1</v>
      </c>
    </row>
    <row r="88" spans="1:7">
      <c r="A88" s="86">
        <v>87</v>
      </c>
      <c r="B88" s="86" t="s">
        <v>3423</v>
      </c>
      <c r="C88" s="86" t="s">
        <v>9325</v>
      </c>
      <c r="D88" s="86" t="s">
        <v>35</v>
      </c>
      <c r="E88" s="86" t="s">
        <v>35</v>
      </c>
      <c r="F88" s="86" t="s">
        <v>36</v>
      </c>
      <c r="G88" s="86">
        <v>1</v>
      </c>
    </row>
    <row r="89" spans="1:7">
      <c r="A89" s="86">
        <v>88</v>
      </c>
      <c r="B89" s="86" t="s">
        <v>1947</v>
      </c>
      <c r="C89" s="86" t="s">
        <v>9325</v>
      </c>
      <c r="D89" s="86" t="s">
        <v>35</v>
      </c>
      <c r="E89" s="86" t="s">
        <v>35</v>
      </c>
      <c r="F89" s="86" t="s">
        <v>36</v>
      </c>
      <c r="G89" s="86">
        <v>1</v>
      </c>
    </row>
    <row r="90" spans="1:7">
      <c r="A90" s="86">
        <v>89</v>
      </c>
      <c r="B90" s="86" t="s">
        <v>3934</v>
      </c>
      <c r="C90" s="86" t="s">
        <v>9325</v>
      </c>
      <c r="D90" s="86" t="s">
        <v>35</v>
      </c>
      <c r="E90" s="86" t="s">
        <v>35</v>
      </c>
      <c r="F90" s="86" t="s">
        <v>36</v>
      </c>
      <c r="G90" s="86">
        <v>1</v>
      </c>
    </row>
    <row r="91" spans="1:7">
      <c r="A91" s="86">
        <v>90</v>
      </c>
      <c r="B91" s="86" t="s">
        <v>1640</v>
      </c>
      <c r="C91" s="86" t="s">
        <v>9325</v>
      </c>
      <c r="D91" s="86" t="s">
        <v>35</v>
      </c>
      <c r="E91" s="86" t="s">
        <v>35</v>
      </c>
      <c r="F91" s="86" t="s">
        <v>36</v>
      </c>
      <c r="G91" s="86">
        <v>1</v>
      </c>
    </row>
    <row r="92" spans="1:7">
      <c r="A92" s="86">
        <v>91</v>
      </c>
      <c r="B92" s="86" t="s">
        <v>1776</v>
      </c>
      <c r="C92" s="86" t="s">
        <v>9325</v>
      </c>
      <c r="D92" s="86" t="s">
        <v>35</v>
      </c>
      <c r="E92" s="86" t="s">
        <v>35</v>
      </c>
      <c r="F92" s="86" t="s">
        <v>36</v>
      </c>
      <c r="G92" s="86">
        <v>1</v>
      </c>
    </row>
    <row r="93" spans="1:7">
      <c r="A93" s="86">
        <v>92</v>
      </c>
      <c r="B93" s="86" t="s">
        <v>9326</v>
      </c>
      <c r="C93" s="86" t="s">
        <v>9325</v>
      </c>
      <c r="D93" s="86" t="s">
        <v>35</v>
      </c>
      <c r="E93" s="86" t="s">
        <v>35</v>
      </c>
      <c r="F93" s="86" t="s">
        <v>36</v>
      </c>
      <c r="G93" s="86">
        <v>1</v>
      </c>
    </row>
    <row r="94" spans="1:7">
      <c r="A94" s="86">
        <v>93</v>
      </c>
      <c r="B94" s="86" t="s">
        <v>6826</v>
      </c>
      <c r="C94" s="86" t="s">
        <v>9325</v>
      </c>
      <c r="D94" s="86" t="s">
        <v>35</v>
      </c>
      <c r="E94" s="86" t="s">
        <v>35</v>
      </c>
      <c r="F94" s="86" t="s">
        <v>36</v>
      </c>
      <c r="G94" s="86">
        <v>1</v>
      </c>
    </row>
    <row r="95" spans="1:7">
      <c r="A95" s="86">
        <v>94</v>
      </c>
      <c r="B95" s="86" t="s">
        <v>6230</v>
      </c>
      <c r="C95" s="86" t="s">
        <v>9325</v>
      </c>
      <c r="D95" s="86" t="s">
        <v>35</v>
      </c>
      <c r="E95" s="86" t="s">
        <v>35</v>
      </c>
      <c r="F95" s="86" t="s">
        <v>36</v>
      </c>
      <c r="G95" s="86">
        <v>1</v>
      </c>
    </row>
    <row r="96" spans="1:7">
      <c r="A96" s="86">
        <v>95</v>
      </c>
      <c r="B96" s="86" t="s">
        <v>5942</v>
      </c>
      <c r="C96" s="86" t="s">
        <v>9325</v>
      </c>
      <c r="D96" s="86" t="s">
        <v>35</v>
      </c>
      <c r="E96" s="86" t="s">
        <v>35</v>
      </c>
      <c r="F96" s="86" t="s">
        <v>36</v>
      </c>
      <c r="G96" s="86">
        <v>1</v>
      </c>
    </row>
    <row r="97" spans="1:7">
      <c r="A97" s="86">
        <v>96</v>
      </c>
      <c r="B97" s="86" t="s">
        <v>5926</v>
      </c>
      <c r="C97" s="86" t="s">
        <v>9325</v>
      </c>
      <c r="D97" s="86" t="s">
        <v>35</v>
      </c>
      <c r="E97" s="86" t="s">
        <v>35</v>
      </c>
      <c r="F97" s="86" t="s">
        <v>36</v>
      </c>
      <c r="G97" s="86">
        <v>1</v>
      </c>
    </row>
    <row r="98" spans="1:7">
      <c r="A98" s="86">
        <v>97</v>
      </c>
      <c r="B98" s="86" t="s">
        <v>282</v>
      </c>
      <c r="C98" s="86" t="s">
        <v>9325</v>
      </c>
      <c r="D98" s="86" t="s">
        <v>35</v>
      </c>
      <c r="E98" s="86" t="s">
        <v>35</v>
      </c>
      <c r="F98" s="86" t="s">
        <v>36</v>
      </c>
      <c r="G98" s="86">
        <v>1</v>
      </c>
    </row>
    <row r="99" spans="1:7">
      <c r="A99" s="86">
        <v>98</v>
      </c>
      <c r="B99" s="86" t="s">
        <v>1377</v>
      </c>
      <c r="C99" s="86" t="s">
        <v>9325</v>
      </c>
      <c r="D99" s="86" t="s">
        <v>35</v>
      </c>
      <c r="E99" s="86" t="s">
        <v>35</v>
      </c>
      <c r="F99" s="86" t="s">
        <v>36</v>
      </c>
      <c r="G99" s="86">
        <v>1</v>
      </c>
    </row>
    <row r="100" spans="1:7">
      <c r="A100" s="86">
        <v>99</v>
      </c>
      <c r="B100" s="86" t="s">
        <v>1244</v>
      </c>
      <c r="C100" s="86" t="s">
        <v>9325</v>
      </c>
      <c r="D100" s="86" t="s">
        <v>35</v>
      </c>
      <c r="E100" s="86" t="s">
        <v>9327</v>
      </c>
      <c r="F100" s="86" t="s">
        <v>36</v>
      </c>
      <c r="G100" s="86">
        <v>1</v>
      </c>
    </row>
    <row r="101" spans="1:7">
      <c r="A101" s="86">
        <v>100</v>
      </c>
      <c r="B101" s="86" t="s">
        <v>1651</v>
      </c>
      <c r="C101" s="86" t="s">
        <v>9325</v>
      </c>
      <c r="D101" s="86" t="s">
        <v>35</v>
      </c>
      <c r="E101" s="86" t="s">
        <v>35</v>
      </c>
      <c r="F101" s="86" t="s">
        <v>36</v>
      </c>
      <c r="G101" s="86">
        <v>1</v>
      </c>
    </row>
    <row r="102" spans="1:7">
      <c r="A102" s="86">
        <v>101</v>
      </c>
      <c r="B102" s="86" t="s">
        <v>5009</v>
      </c>
      <c r="C102" s="86" t="s">
        <v>29</v>
      </c>
      <c r="D102" s="86" t="s">
        <v>35</v>
      </c>
      <c r="E102" s="86" t="s">
        <v>35</v>
      </c>
      <c r="F102" s="86" t="s">
        <v>36</v>
      </c>
      <c r="G102" s="86">
        <v>1</v>
      </c>
    </row>
    <row r="103" spans="1:7">
      <c r="A103" s="86">
        <v>102</v>
      </c>
      <c r="B103" s="86" t="s">
        <v>1170</v>
      </c>
      <c r="C103" s="86" t="s">
        <v>29</v>
      </c>
      <c r="D103" s="86" t="s">
        <v>35</v>
      </c>
      <c r="E103" s="86" t="s">
        <v>35</v>
      </c>
      <c r="F103" s="86" t="s">
        <v>36</v>
      </c>
      <c r="G103" s="86">
        <v>1</v>
      </c>
    </row>
    <row r="104" spans="1:7">
      <c r="A104" s="86">
        <v>103</v>
      </c>
      <c r="B104" s="86" t="s">
        <v>34</v>
      </c>
      <c r="C104" s="86" t="s">
        <v>29</v>
      </c>
      <c r="D104" s="86" t="s">
        <v>35</v>
      </c>
      <c r="E104" s="86" t="s">
        <v>35</v>
      </c>
      <c r="F104" s="86" t="s">
        <v>36</v>
      </c>
      <c r="G104" s="86">
        <v>1</v>
      </c>
    </row>
    <row r="105" spans="1:7">
      <c r="A105" s="86">
        <v>104</v>
      </c>
      <c r="B105" s="86" t="s">
        <v>5590</v>
      </c>
      <c r="C105" s="86" t="s">
        <v>29</v>
      </c>
      <c r="D105" s="86" t="s">
        <v>35</v>
      </c>
      <c r="E105" s="86" t="s">
        <v>35</v>
      </c>
      <c r="F105" s="86" t="s">
        <v>36</v>
      </c>
      <c r="G105" s="86">
        <v>1</v>
      </c>
    </row>
    <row r="106" spans="1:7">
      <c r="A106" s="86">
        <v>105</v>
      </c>
      <c r="B106" s="86" t="s">
        <v>5516</v>
      </c>
      <c r="C106" s="86" t="s">
        <v>29</v>
      </c>
      <c r="D106" s="86" t="s">
        <v>35</v>
      </c>
      <c r="E106" s="86" t="s">
        <v>35</v>
      </c>
      <c r="F106" s="86" t="s">
        <v>5517</v>
      </c>
      <c r="G106" s="86">
        <v>1</v>
      </c>
    </row>
    <row r="107" spans="1:7">
      <c r="A107" s="86">
        <v>106</v>
      </c>
      <c r="B107" s="86" t="s">
        <v>5171</v>
      </c>
      <c r="C107" s="86" t="s">
        <v>29</v>
      </c>
      <c r="D107" s="86" t="s">
        <v>35</v>
      </c>
      <c r="E107" s="86" t="s">
        <v>35</v>
      </c>
      <c r="F107" s="86" t="s">
        <v>36</v>
      </c>
      <c r="G107" s="86">
        <v>1</v>
      </c>
    </row>
    <row r="108" spans="1:7">
      <c r="A108" s="86">
        <v>107</v>
      </c>
      <c r="B108" s="86" t="s">
        <v>6157</v>
      </c>
      <c r="C108" s="86" t="s">
        <v>29</v>
      </c>
      <c r="D108" s="86" t="s">
        <v>35</v>
      </c>
      <c r="E108" s="86" t="s">
        <v>35</v>
      </c>
      <c r="F108" s="86" t="s">
        <v>36</v>
      </c>
      <c r="G108" s="86">
        <v>1</v>
      </c>
    </row>
    <row r="109" spans="1:7">
      <c r="A109" s="86">
        <v>108</v>
      </c>
      <c r="B109" s="86" t="s">
        <v>1655</v>
      </c>
      <c r="C109" s="86" t="s">
        <v>29</v>
      </c>
      <c r="D109" s="86" t="s">
        <v>35</v>
      </c>
      <c r="E109" s="86" t="s">
        <v>35</v>
      </c>
      <c r="F109" s="86" t="s">
        <v>36</v>
      </c>
      <c r="G109" s="86">
        <v>1</v>
      </c>
    </row>
    <row r="110" spans="1:7">
      <c r="A110" s="86">
        <v>109</v>
      </c>
      <c r="B110" s="86" t="s">
        <v>3915</v>
      </c>
      <c r="C110" s="86" t="s">
        <v>29</v>
      </c>
      <c r="D110" s="86" t="s">
        <v>35</v>
      </c>
      <c r="E110" s="86" t="s">
        <v>35</v>
      </c>
      <c r="F110" s="86" t="s">
        <v>36</v>
      </c>
      <c r="G110" s="86">
        <v>1</v>
      </c>
    </row>
    <row r="111" spans="1:7">
      <c r="A111" s="86">
        <v>110</v>
      </c>
      <c r="B111" s="86" t="s">
        <v>4055</v>
      </c>
      <c r="C111" s="86" t="s">
        <v>29</v>
      </c>
      <c r="D111" s="86" t="s">
        <v>35</v>
      </c>
      <c r="E111" s="86" t="s">
        <v>35</v>
      </c>
      <c r="F111" s="86" t="s">
        <v>36</v>
      </c>
      <c r="G111" s="86">
        <v>1</v>
      </c>
    </row>
    <row r="112" spans="1:7">
      <c r="A112" s="86">
        <v>111</v>
      </c>
      <c r="B112" s="86" t="s">
        <v>4323</v>
      </c>
      <c r="C112" s="86" t="s">
        <v>29</v>
      </c>
      <c r="D112" s="86" t="s">
        <v>35</v>
      </c>
      <c r="E112" s="86" t="s">
        <v>35</v>
      </c>
      <c r="F112" s="86" t="s">
        <v>36</v>
      </c>
      <c r="G112" s="86">
        <v>1</v>
      </c>
    </row>
    <row r="113" spans="1:7">
      <c r="A113" s="86">
        <v>112</v>
      </c>
      <c r="B113" s="86" t="s">
        <v>4130</v>
      </c>
      <c r="C113" s="86" t="s">
        <v>29</v>
      </c>
      <c r="D113" s="86" t="s">
        <v>35</v>
      </c>
      <c r="E113" s="86" t="s">
        <v>35</v>
      </c>
      <c r="F113" s="86" t="s">
        <v>36</v>
      </c>
      <c r="G113" s="86">
        <v>1</v>
      </c>
    </row>
    <row r="114" spans="1:7">
      <c r="A114" s="86">
        <v>113</v>
      </c>
      <c r="B114" s="86" t="s">
        <v>1475</v>
      </c>
      <c r="C114" s="86" t="s">
        <v>29</v>
      </c>
      <c r="D114" s="86" t="s">
        <v>35</v>
      </c>
      <c r="E114" s="86" t="s">
        <v>35</v>
      </c>
      <c r="F114" s="86" t="s">
        <v>36</v>
      </c>
      <c r="G114" s="86">
        <v>1</v>
      </c>
    </row>
    <row r="115" spans="1:7">
      <c r="A115" s="86">
        <v>114</v>
      </c>
      <c r="B115" s="86" t="s">
        <v>4457</v>
      </c>
      <c r="C115" s="86" t="s">
        <v>29</v>
      </c>
      <c r="D115" s="86" t="s">
        <v>35</v>
      </c>
      <c r="E115" s="86" t="s">
        <v>35</v>
      </c>
      <c r="F115" s="86" t="s">
        <v>36</v>
      </c>
      <c r="G115" s="86">
        <v>1</v>
      </c>
    </row>
    <row r="116" spans="1:7">
      <c r="A116" s="86">
        <v>115</v>
      </c>
      <c r="B116" s="86" t="s">
        <v>4503</v>
      </c>
      <c r="C116" s="86" t="s">
        <v>29</v>
      </c>
      <c r="D116" s="86" t="s">
        <v>35</v>
      </c>
      <c r="E116" s="86" t="s">
        <v>35</v>
      </c>
      <c r="F116" s="86" t="s">
        <v>36</v>
      </c>
      <c r="G116" s="86">
        <v>1</v>
      </c>
    </row>
    <row r="117" spans="1:7">
      <c r="A117" s="86">
        <v>116</v>
      </c>
      <c r="B117" s="86" t="s">
        <v>3518</v>
      </c>
      <c r="C117" s="86" t="s">
        <v>29</v>
      </c>
      <c r="D117" s="86" t="s">
        <v>35</v>
      </c>
      <c r="E117" s="86" t="s">
        <v>35</v>
      </c>
      <c r="F117" s="86" t="s">
        <v>36</v>
      </c>
      <c r="G117" s="86">
        <v>1</v>
      </c>
    </row>
    <row r="118" spans="1:7">
      <c r="A118" s="86">
        <v>117</v>
      </c>
      <c r="B118" s="86" t="s">
        <v>3607</v>
      </c>
      <c r="C118" s="86" t="s">
        <v>29</v>
      </c>
      <c r="D118" s="86" t="s">
        <v>35</v>
      </c>
      <c r="E118" s="86" t="s">
        <v>35</v>
      </c>
      <c r="F118" s="86" t="s">
        <v>36</v>
      </c>
      <c r="G118" s="86">
        <v>1</v>
      </c>
    </row>
    <row r="119" spans="1:7">
      <c r="A119" s="86">
        <v>118</v>
      </c>
      <c r="B119" s="86" t="s">
        <v>4510</v>
      </c>
      <c r="C119" s="86" t="s">
        <v>116</v>
      </c>
      <c r="D119" s="86" t="s">
        <v>35</v>
      </c>
      <c r="E119" s="86" t="s">
        <v>35</v>
      </c>
      <c r="F119" s="86" t="s">
        <v>36</v>
      </c>
      <c r="G119" s="86">
        <v>1</v>
      </c>
    </row>
    <row r="120" spans="1:7">
      <c r="A120" s="86">
        <v>119</v>
      </c>
      <c r="B120" s="86" t="s">
        <v>3532</v>
      </c>
      <c r="C120" s="86" t="s">
        <v>116</v>
      </c>
      <c r="D120" s="86" t="s">
        <v>35</v>
      </c>
      <c r="E120" s="86" t="s">
        <v>35</v>
      </c>
      <c r="F120" s="86" t="s">
        <v>36</v>
      </c>
      <c r="G120" s="86">
        <v>1</v>
      </c>
    </row>
    <row r="121" spans="1:7">
      <c r="A121" s="86">
        <v>120</v>
      </c>
      <c r="B121" s="86" t="s">
        <v>3194</v>
      </c>
      <c r="C121" s="86" t="s">
        <v>116</v>
      </c>
      <c r="D121" s="86" t="s">
        <v>35</v>
      </c>
      <c r="E121" s="86" t="s">
        <v>35</v>
      </c>
      <c r="F121" s="86" t="s">
        <v>36</v>
      </c>
      <c r="G121" s="86">
        <v>1</v>
      </c>
    </row>
    <row r="122" spans="1:7">
      <c r="A122" s="86">
        <v>121</v>
      </c>
      <c r="B122" s="86" t="s">
        <v>3764</v>
      </c>
      <c r="C122" s="86" t="s">
        <v>116</v>
      </c>
      <c r="D122" s="86" t="s">
        <v>35</v>
      </c>
      <c r="E122" s="86" t="s">
        <v>35</v>
      </c>
      <c r="F122" s="86" t="s">
        <v>36</v>
      </c>
      <c r="G122" s="86">
        <v>1</v>
      </c>
    </row>
    <row r="123" spans="1:7">
      <c r="A123" s="86">
        <v>122</v>
      </c>
      <c r="B123" s="86" t="s">
        <v>5400</v>
      </c>
      <c r="C123" s="86" t="s">
        <v>116</v>
      </c>
      <c r="D123" s="86" t="s">
        <v>35</v>
      </c>
      <c r="E123" s="86" t="s">
        <v>35</v>
      </c>
      <c r="F123" s="86" t="s">
        <v>36</v>
      </c>
      <c r="G123" s="86">
        <v>1</v>
      </c>
    </row>
    <row r="124" spans="1:7">
      <c r="A124" s="86">
        <v>123</v>
      </c>
      <c r="B124" s="86" t="s">
        <v>5349</v>
      </c>
      <c r="C124" s="86" t="s">
        <v>116</v>
      </c>
      <c r="D124" s="86" t="s">
        <v>35</v>
      </c>
      <c r="E124" s="86" t="s">
        <v>35</v>
      </c>
      <c r="F124" s="86" t="s">
        <v>36</v>
      </c>
      <c r="G124" s="86">
        <v>1</v>
      </c>
    </row>
    <row r="125" spans="1:7">
      <c r="A125" s="86">
        <v>124</v>
      </c>
      <c r="B125" s="86" t="s">
        <v>3727</v>
      </c>
      <c r="C125" s="86" t="s">
        <v>116</v>
      </c>
      <c r="D125" s="86" t="s">
        <v>35</v>
      </c>
      <c r="E125" s="86" t="s">
        <v>35</v>
      </c>
      <c r="F125" s="86" t="s">
        <v>36</v>
      </c>
      <c r="G125" s="86">
        <v>1</v>
      </c>
    </row>
    <row r="126" spans="1:7">
      <c r="A126" s="86">
        <v>125</v>
      </c>
      <c r="B126" s="86" t="s">
        <v>1502</v>
      </c>
      <c r="C126" s="86" t="s">
        <v>116</v>
      </c>
      <c r="D126" s="86" t="s">
        <v>35</v>
      </c>
      <c r="E126" s="86" t="s">
        <v>35</v>
      </c>
      <c r="F126" s="86" t="s">
        <v>36</v>
      </c>
      <c r="G126" s="86">
        <v>1</v>
      </c>
    </row>
    <row r="127" spans="1:7">
      <c r="A127" s="86">
        <v>126</v>
      </c>
      <c r="B127" s="86" t="s">
        <v>1518</v>
      </c>
      <c r="C127" s="86" t="s">
        <v>116</v>
      </c>
      <c r="D127" s="86" t="s">
        <v>35</v>
      </c>
      <c r="E127" s="86" t="s">
        <v>35</v>
      </c>
      <c r="F127" s="86" t="s">
        <v>36</v>
      </c>
      <c r="G127" s="86">
        <v>1</v>
      </c>
    </row>
    <row r="128" spans="1:7">
      <c r="A128" s="86">
        <v>127</v>
      </c>
      <c r="B128" s="86" t="s">
        <v>2450</v>
      </c>
      <c r="C128" s="86" t="s">
        <v>116</v>
      </c>
      <c r="D128" s="86" t="s">
        <v>35</v>
      </c>
      <c r="E128" s="86" t="s">
        <v>35</v>
      </c>
      <c r="F128" s="86" t="s">
        <v>36</v>
      </c>
      <c r="G128" s="86">
        <v>1</v>
      </c>
    </row>
    <row r="129" spans="1:7">
      <c r="A129" s="86">
        <v>128</v>
      </c>
      <c r="B129" s="86" t="s">
        <v>4268</v>
      </c>
      <c r="C129" s="86" t="s">
        <v>116</v>
      </c>
      <c r="D129" s="86" t="s">
        <v>35</v>
      </c>
      <c r="E129" s="86" t="s">
        <v>35</v>
      </c>
      <c r="F129" s="86" t="s">
        <v>36</v>
      </c>
      <c r="G129" s="86">
        <v>1</v>
      </c>
    </row>
    <row r="130" spans="1:7">
      <c r="A130" s="86">
        <v>129</v>
      </c>
      <c r="B130" s="86" t="s">
        <v>3105</v>
      </c>
      <c r="C130" s="86" t="s">
        <v>116</v>
      </c>
      <c r="D130" s="86" t="s">
        <v>35</v>
      </c>
      <c r="E130" s="86" t="s">
        <v>35</v>
      </c>
      <c r="F130" s="86" t="s">
        <v>36</v>
      </c>
      <c r="G130" s="86">
        <v>1</v>
      </c>
    </row>
    <row r="131" spans="1:7">
      <c r="A131" s="86">
        <v>130</v>
      </c>
      <c r="B131" s="86" t="s">
        <v>4157</v>
      </c>
      <c r="C131" s="86" t="s">
        <v>116</v>
      </c>
      <c r="D131" s="86" t="s">
        <v>35</v>
      </c>
      <c r="E131" s="86" t="s">
        <v>35</v>
      </c>
      <c r="F131" s="86" t="s">
        <v>36</v>
      </c>
      <c r="G131" s="86">
        <v>1</v>
      </c>
    </row>
    <row r="132" spans="1:7">
      <c r="A132" s="86">
        <v>131</v>
      </c>
      <c r="B132" s="86" t="s">
        <v>4379</v>
      </c>
      <c r="C132" s="86" t="s">
        <v>116</v>
      </c>
      <c r="D132" s="86" t="s">
        <v>35</v>
      </c>
      <c r="E132" s="86" t="s">
        <v>35</v>
      </c>
      <c r="F132" s="86" t="s">
        <v>36</v>
      </c>
      <c r="G132" s="86">
        <v>1</v>
      </c>
    </row>
    <row r="133" spans="1:7">
      <c r="A133" s="86">
        <v>132</v>
      </c>
      <c r="B133" s="86" t="s">
        <v>4062</v>
      </c>
      <c r="C133" s="86" t="s">
        <v>116</v>
      </c>
      <c r="D133" s="86" t="s">
        <v>35</v>
      </c>
      <c r="E133" s="86" t="s">
        <v>35</v>
      </c>
      <c r="F133" s="86" t="s">
        <v>36</v>
      </c>
      <c r="G133" s="86">
        <v>1</v>
      </c>
    </row>
    <row r="134" spans="1:7">
      <c r="A134" s="86">
        <v>133</v>
      </c>
      <c r="B134" s="86" t="s">
        <v>3989</v>
      </c>
      <c r="C134" s="86" t="s">
        <v>116</v>
      </c>
      <c r="D134" s="86" t="s">
        <v>35</v>
      </c>
      <c r="E134" s="86" t="s">
        <v>35</v>
      </c>
      <c r="F134" s="86" t="s">
        <v>36</v>
      </c>
      <c r="G134" s="86">
        <v>1</v>
      </c>
    </row>
    <row r="135" spans="1:7">
      <c r="A135" s="86">
        <v>134</v>
      </c>
      <c r="B135" s="86" t="s">
        <v>4328</v>
      </c>
      <c r="C135" s="86" t="s">
        <v>116</v>
      </c>
      <c r="D135" s="86" t="s">
        <v>35</v>
      </c>
      <c r="E135" s="86" t="s">
        <v>35</v>
      </c>
      <c r="F135" s="86" t="s">
        <v>36</v>
      </c>
      <c r="G135" s="86">
        <v>1</v>
      </c>
    </row>
    <row r="136" spans="1:7">
      <c r="A136" s="86">
        <v>135</v>
      </c>
      <c r="B136" s="86" t="s">
        <v>4334</v>
      </c>
      <c r="C136" s="86" t="s">
        <v>116</v>
      </c>
      <c r="D136" s="86" t="s">
        <v>35</v>
      </c>
      <c r="E136" s="86" t="s">
        <v>35</v>
      </c>
      <c r="F136" s="86" t="s">
        <v>36</v>
      </c>
      <c r="G136" s="86">
        <v>1</v>
      </c>
    </row>
    <row r="137" spans="1:7">
      <c r="A137" s="86">
        <v>136</v>
      </c>
      <c r="B137" s="86" t="s">
        <v>3927</v>
      </c>
      <c r="C137" s="86" t="s">
        <v>116</v>
      </c>
      <c r="D137" s="86" t="s">
        <v>35</v>
      </c>
      <c r="E137" s="86" t="s">
        <v>35</v>
      </c>
      <c r="F137" s="86" t="s">
        <v>36</v>
      </c>
      <c r="G137" s="86">
        <v>1</v>
      </c>
    </row>
    <row r="138" spans="1:7">
      <c r="A138" s="86">
        <v>137</v>
      </c>
      <c r="B138" s="86" t="s">
        <v>368</v>
      </c>
      <c r="C138" s="86" t="s">
        <v>116</v>
      </c>
      <c r="D138" s="86" t="s">
        <v>35</v>
      </c>
      <c r="E138" s="86" t="s">
        <v>35</v>
      </c>
      <c r="F138" s="86" t="s">
        <v>36</v>
      </c>
      <c r="G138" s="86">
        <v>1</v>
      </c>
    </row>
    <row r="139" spans="1:7">
      <c r="A139" s="86">
        <v>138</v>
      </c>
      <c r="B139" s="86" t="s">
        <v>3429</v>
      </c>
      <c r="C139" s="86" t="s">
        <v>116</v>
      </c>
      <c r="D139" s="86" t="s">
        <v>35</v>
      </c>
      <c r="E139" s="86" t="s">
        <v>35</v>
      </c>
      <c r="F139" s="86" t="s">
        <v>36</v>
      </c>
      <c r="G139" s="86">
        <v>1</v>
      </c>
    </row>
    <row r="140" spans="1:7">
      <c r="A140" s="86">
        <v>139</v>
      </c>
      <c r="B140" s="86" t="s">
        <v>3348</v>
      </c>
      <c r="C140" s="86" t="s">
        <v>116</v>
      </c>
      <c r="D140" s="86" t="s">
        <v>35</v>
      </c>
      <c r="E140" s="86" t="s">
        <v>35</v>
      </c>
      <c r="F140" s="86" t="s">
        <v>36</v>
      </c>
      <c r="G140" s="86">
        <v>1</v>
      </c>
    </row>
    <row r="141" spans="1:7">
      <c r="A141" s="86">
        <v>140</v>
      </c>
      <c r="B141" s="86" t="s">
        <v>4777</v>
      </c>
      <c r="C141" s="86" t="s">
        <v>116</v>
      </c>
      <c r="D141" s="86" t="s">
        <v>35</v>
      </c>
      <c r="E141" s="86" t="s">
        <v>35</v>
      </c>
      <c r="F141" s="86" t="s">
        <v>36</v>
      </c>
      <c r="G141" s="86">
        <v>1</v>
      </c>
    </row>
    <row r="142" spans="1:7">
      <c r="A142" s="86">
        <v>141</v>
      </c>
      <c r="B142" s="86" t="s">
        <v>3171</v>
      </c>
      <c r="C142" s="86" t="s">
        <v>116</v>
      </c>
      <c r="D142" s="86" t="s">
        <v>35</v>
      </c>
      <c r="E142" s="86" t="s">
        <v>35</v>
      </c>
      <c r="F142" s="86" t="s">
        <v>36</v>
      </c>
      <c r="G142" s="86">
        <v>1</v>
      </c>
    </row>
    <row r="143" spans="1:7">
      <c r="A143" s="86">
        <v>142</v>
      </c>
      <c r="B143" s="86" t="s">
        <v>4832</v>
      </c>
      <c r="C143" s="86" t="s">
        <v>116</v>
      </c>
      <c r="D143" s="86" t="s">
        <v>35</v>
      </c>
      <c r="E143" s="86" t="s">
        <v>35</v>
      </c>
      <c r="F143" s="86" t="s">
        <v>36</v>
      </c>
      <c r="G143" s="86">
        <v>1</v>
      </c>
    </row>
    <row r="144" spans="1:7">
      <c r="A144" s="86">
        <v>143</v>
      </c>
      <c r="B144" s="86" t="s">
        <v>1391</v>
      </c>
      <c r="C144" s="86" t="s">
        <v>116</v>
      </c>
      <c r="D144" s="86" t="s">
        <v>35</v>
      </c>
      <c r="E144" s="86" t="s">
        <v>35</v>
      </c>
      <c r="F144" s="86" t="s">
        <v>36</v>
      </c>
      <c r="G144" s="86">
        <v>1</v>
      </c>
    </row>
    <row r="145" spans="1:7">
      <c r="A145" s="86">
        <v>144</v>
      </c>
      <c r="B145" s="86" t="s">
        <v>4865</v>
      </c>
      <c r="C145" s="86" t="s">
        <v>116</v>
      </c>
      <c r="D145" s="86" t="s">
        <v>35</v>
      </c>
      <c r="E145" s="86" t="s">
        <v>35</v>
      </c>
      <c r="F145" s="86" t="s">
        <v>36</v>
      </c>
      <c r="G145" s="86">
        <v>1</v>
      </c>
    </row>
    <row r="146" spans="1:7">
      <c r="A146" s="86">
        <v>145</v>
      </c>
      <c r="B146" s="86" t="s">
        <v>1316</v>
      </c>
      <c r="C146" s="86" t="s">
        <v>116</v>
      </c>
      <c r="D146" s="86" t="s">
        <v>35</v>
      </c>
      <c r="E146" s="86" t="s">
        <v>35</v>
      </c>
      <c r="F146" s="86" t="s">
        <v>36</v>
      </c>
      <c r="G146" s="86">
        <v>1</v>
      </c>
    </row>
    <row r="147" spans="1:7">
      <c r="A147" s="86">
        <v>146</v>
      </c>
      <c r="B147" s="86" t="s">
        <v>1734</v>
      </c>
      <c r="C147" s="86" t="s">
        <v>116</v>
      </c>
      <c r="D147" s="86" t="s">
        <v>35</v>
      </c>
      <c r="E147" s="86" t="s">
        <v>35</v>
      </c>
      <c r="F147" s="86" t="s">
        <v>36</v>
      </c>
      <c r="G147" s="86">
        <v>1</v>
      </c>
    </row>
    <row r="148" spans="1:7">
      <c r="A148" s="86">
        <v>147</v>
      </c>
      <c r="B148" s="86" t="s">
        <v>1764</v>
      </c>
      <c r="C148" s="86" t="s">
        <v>116</v>
      </c>
      <c r="D148" s="86" t="s">
        <v>35</v>
      </c>
      <c r="E148" s="86" t="s">
        <v>35</v>
      </c>
      <c r="F148" s="86" t="s">
        <v>36</v>
      </c>
      <c r="G148" s="86">
        <v>1</v>
      </c>
    </row>
    <row r="149" spans="1:7">
      <c r="A149" s="86">
        <v>148</v>
      </c>
      <c r="B149" s="86" t="s">
        <v>1906</v>
      </c>
      <c r="C149" s="86" t="s">
        <v>116</v>
      </c>
      <c r="D149" s="86" t="s">
        <v>35</v>
      </c>
      <c r="E149" s="86" t="s">
        <v>35</v>
      </c>
      <c r="F149" s="86" t="s">
        <v>36</v>
      </c>
      <c r="G149" s="86">
        <v>1</v>
      </c>
    </row>
    <row r="150" spans="1:7">
      <c r="A150" s="86">
        <v>149</v>
      </c>
      <c r="B150" s="86" t="s">
        <v>1841</v>
      </c>
      <c r="C150" s="86" t="s">
        <v>116</v>
      </c>
      <c r="D150" s="86" t="s">
        <v>35</v>
      </c>
      <c r="E150" s="86" t="s">
        <v>35</v>
      </c>
      <c r="F150" s="86" t="s">
        <v>36</v>
      </c>
      <c r="G150" s="86">
        <v>1</v>
      </c>
    </row>
    <row r="151" spans="1:7">
      <c r="A151" s="86">
        <v>150</v>
      </c>
      <c r="B151" s="86" t="s">
        <v>2457</v>
      </c>
      <c r="C151" s="86" t="s">
        <v>116</v>
      </c>
      <c r="D151" s="86" t="s">
        <v>35</v>
      </c>
      <c r="E151" s="86" t="s">
        <v>35</v>
      </c>
      <c r="F151" s="86" t="s">
        <v>36</v>
      </c>
      <c r="G151" s="86">
        <v>1</v>
      </c>
    </row>
    <row r="152" spans="1:7">
      <c r="A152" s="86">
        <v>151</v>
      </c>
      <c r="B152" s="86" t="s">
        <v>1646</v>
      </c>
      <c r="C152" s="86" t="s">
        <v>116</v>
      </c>
      <c r="D152" s="86" t="s">
        <v>35</v>
      </c>
      <c r="E152" s="86" t="s">
        <v>35</v>
      </c>
      <c r="F152" s="86" t="s">
        <v>36</v>
      </c>
      <c r="G152" s="86">
        <v>1</v>
      </c>
    </row>
    <row r="153" spans="1:7">
      <c r="A153" s="86">
        <v>152</v>
      </c>
      <c r="B153" s="86" t="s">
        <v>2666</v>
      </c>
      <c r="C153" s="86" t="s">
        <v>116</v>
      </c>
      <c r="D153" s="86" t="s">
        <v>35</v>
      </c>
      <c r="E153" s="86" t="s">
        <v>35</v>
      </c>
      <c r="F153" s="86" t="s">
        <v>36</v>
      </c>
      <c r="G153" s="86">
        <v>1</v>
      </c>
    </row>
    <row r="154" spans="1:7">
      <c r="A154" s="86">
        <v>153</v>
      </c>
      <c r="B154" s="86" t="s">
        <v>2550</v>
      </c>
      <c r="C154" s="86" t="s">
        <v>116</v>
      </c>
      <c r="D154" s="86" t="s">
        <v>35</v>
      </c>
      <c r="E154" s="86" t="s">
        <v>35</v>
      </c>
      <c r="F154" s="86" t="s">
        <v>36</v>
      </c>
      <c r="G154" s="86">
        <v>1</v>
      </c>
    </row>
    <row r="155" spans="1:7">
      <c r="A155" s="86">
        <v>154</v>
      </c>
      <c r="B155" s="86" t="s">
        <v>6667</v>
      </c>
      <c r="C155" s="86" t="s">
        <v>116</v>
      </c>
      <c r="D155" s="86" t="s">
        <v>35</v>
      </c>
      <c r="E155" s="86" t="s">
        <v>35</v>
      </c>
      <c r="F155" s="86" t="s">
        <v>36</v>
      </c>
      <c r="G155" s="86">
        <v>1</v>
      </c>
    </row>
    <row r="156" spans="1:7">
      <c r="A156" s="86">
        <v>155</v>
      </c>
      <c r="B156" s="86" t="s">
        <v>6164</v>
      </c>
      <c r="C156" s="86" t="s">
        <v>116</v>
      </c>
      <c r="D156" s="86" t="s">
        <v>35</v>
      </c>
      <c r="E156" s="86" t="s">
        <v>35</v>
      </c>
      <c r="F156" s="86" t="s">
        <v>36</v>
      </c>
      <c r="G156" s="86">
        <v>1</v>
      </c>
    </row>
    <row r="157" spans="1:7">
      <c r="A157" s="86">
        <v>156</v>
      </c>
      <c r="B157" s="86" t="s">
        <v>5200</v>
      </c>
      <c r="C157" s="86" t="s">
        <v>116</v>
      </c>
      <c r="D157" s="86" t="s">
        <v>35</v>
      </c>
      <c r="E157" s="86" t="s">
        <v>35</v>
      </c>
      <c r="F157" s="86" t="s">
        <v>36</v>
      </c>
      <c r="G157" s="86">
        <v>1</v>
      </c>
    </row>
    <row r="158" spans="1:7">
      <c r="A158" s="86">
        <v>157</v>
      </c>
      <c r="B158" s="86" t="s">
        <v>5707</v>
      </c>
      <c r="C158" s="86" t="s">
        <v>116</v>
      </c>
      <c r="D158" s="86" t="s">
        <v>35</v>
      </c>
      <c r="E158" s="86" t="s">
        <v>35</v>
      </c>
      <c r="F158" s="86" t="s">
        <v>36</v>
      </c>
      <c r="G158" s="86">
        <v>1</v>
      </c>
    </row>
    <row r="159" spans="1:7">
      <c r="A159" s="86">
        <v>158</v>
      </c>
      <c r="B159" s="86" t="s">
        <v>5015</v>
      </c>
      <c r="C159" s="86" t="s">
        <v>116</v>
      </c>
      <c r="D159" s="86" t="s">
        <v>35</v>
      </c>
      <c r="E159" s="86" t="s">
        <v>35</v>
      </c>
      <c r="F159" s="86" t="s">
        <v>36</v>
      </c>
      <c r="G159" s="86">
        <v>1</v>
      </c>
    </row>
    <row r="160" spans="1:7">
      <c r="A160" s="86">
        <v>159</v>
      </c>
      <c r="B160" s="86" t="s">
        <v>5137</v>
      </c>
      <c r="C160" s="86" t="s">
        <v>116</v>
      </c>
      <c r="D160" s="86" t="s">
        <v>35</v>
      </c>
      <c r="E160" s="86" t="s">
        <v>35</v>
      </c>
      <c r="F160" s="86" t="s">
        <v>36</v>
      </c>
      <c r="G160" s="86">
        <v>1</v>
      </c>
    </row>
    <row r="161" spans="1:7">
      <c r="A161" s="86">
        <v>160</v>
      </c>
      <c r="B161" s="86" t="s">
        <v>5531</v>
      </c>
      <c r="C161" s="86" t="s">
        <v>116</v>
      </c>
      <c r="D161" s="86" t="s">
        <v>35</v>
      </c>
      <c r="E161" s="86" t="s">
        <v>35</v>
      </c>
      <c r="F161" s="86" t="s">
        <v>36</v>
      </c>
      <c r="G161" s="86">
        <v>1</v>
      </c>
    </row>
    <row r="162" spans="1:7">
      <c r="A162" s="86">
        <v>161</v>
      </c>
      <c r="B162" s="86" t="s">
        <v>5266</v>
      </c>
      <c r="C162" s="86" t="s">
        <v>116</v>
      </c>
      <c r="D162" s="86" t="s">
        <v>35</v>
      </c>
      <c r="E162" s="86" t="s">
        <v>35</v>
      </c>
      <c r="F162" s="86" t="s">
        <v>36</v>
      </c>
      <c r="G162" s="86">
        <v>1</v>
      </c>
    </row>
    <row r="163" spans="1:7">
      <c r="A163" s="86">
        <v>162</v>
      </c>
      <c r="B163" s="86" t="s">
        <v>5510</v>
      </c>
      <c r="C163" s="86" t="s">
        <v>116</v>
      </c>
      <c r="D163" s="86" t="s">
        <v>35</v>
      </c>
      <c r="E163" s="86" t="s">
        <v>35</v>
      </c>
      <c r="F163" s="86" t="s">
        <v>36</v>
      </c>
      <c r="G163" s="86">
        <v>1</v>
      </c>
    </row>
    <row r="164" spans="1:7">
      <c r="A164" s="86">
        <v>163</v>
      </c>
      <c r="B164" s="86" t="s">
        <v>6814</v>
      </c>
      <c r="C164" s="86" t="s">
        <v>116</v>
      </c>
      <c r="D164" s="86" t="s">
        <v>35</v>
      </c>
      <c r="E164" s="86" t="s">
        <v>35</v>
      </c>
      <c r="F164" s="86" t="s">
        <v>36</v>
      </c>
      <c r="G164" s="86">
        <v>1</v>
      </c>
    </row>
    <row r="165" spans="1:7">
      <c r="A165" s="86">
        <v>164</v>
      </c>
      <c r="B165" s="86" t="s">
        <v>5619</v>
      </c>
      <c r="C165" s="86" t="s">
        <v>116</v>
      </c>
      <c r="D165" s="86" t="s">
        <v>35</v>
      </c>
      <c r="E165" s="86" t="s">
        <v>35</v>
      </c>
      <c r="F165" s="86" t="s">
        <v>36</v>
      </c>
      <c r="G165" s="86">
        <v>1</v>
      </c>
    </row>
    <row r="166" spans="1:7">
      <c r="A166" s="86">
        <v>165</v>
      </c>
      <c r="B166" s="86" t="s">
        <v>6198</v>
      </c>
      <c r="C166" s="86" t="s">
        <v>116</v>
      </c>
      <c r="D166" s="86" t="s">
        <v>35</v>
      </c>
      <c r="E166" s="86" t="s">
        <v>35</v>
      </c>
      <c r="F166" s="86" t="s">
        <v>36</v>
      </c>
      <c r="G166" s="86">
        <v>1</v>
      </c>
    </row>
    <row r="167" spans="1:7">
      <c r="A167" s="86">
        <v>166</v>
      </c>
      <c r="B167" s="86" t="s">
        <v>6075</v>
      </c>
      <c r="C167" s="86" t="s">
        <v>116</v>
      </c>
      <c r="D167" s="86" t="s">
        <v>35</v>
      </c>
      <c r="E167" s="86" t="s">
        <v>35</v>
      </c>
      <c r="F167" s="86" t="s">
        <v>36</v>
      </c>
      <c r="G167" s="86">
        <v>1</v>
      </c>
    </row>
    <row r="168" spans="1:7">
      <c r="A168" s="86">
        <v>167</v>
      </c>
      <c r="B168" s="86" t="s">
        <v>6484</v>
      </c>
      <c r="C168" s="86" t="s">
        <v>116</v>
      </c>
      <c r="D168" s="86" t="s">
        <v>35</v>
      </c>
      <c r="E168" s="86" t="s">
        <v>35</v>
      </c>
      <c r="F168" s="86" t="s">
        <v>36</v>
      </c>
      <c r="G168" s="86">
        <v>1</v>
      </c>
    </row>
    <row r="169" spans="1:7">
      <c r="A169" s="86">
        <v>168</v>
      </c>
      <c r="B169" s="86" t="s">
        <v>6703</v>
      </c>
      <c r="C169" s="86" t="s">
        <v>116</v>
      </c>
      <c r="D169" s="86" t="s">
        <v>35</v>
      </c>
      <c r="E169" s="86" t="s">
        <v>35</v>
      </c>
      <c r="F169" s="86" t="s">
        <v>36</v>
      </c>
      <c r="G169" s="86">
        <v>1</v>
      </c>
    </row>
    <row r="170" spans="1:7">
      <c r="A170" s="86">
        <v>169</v>
      </c>
      <c r="B170" s="86" t="s">
        <v>6696</v>
      </c>
      <c r="C170" s="86" t="s">
        <v>116</v>
      </c>
      <c r="D170" s="86" t="s">
        <v>35</v>
      </c>
      <c r="E170" s="86" t="s">
        <v>35</v>
      </c>
      <c r="F170" s="86" t="s">
        <v>36</v>
      </c>
      <c r="G170" s="86">
        <v>1</v>
      </c>
    </row>
    <row r="171" spans="1:7">
      <c r="A171" s="86">
        <v>170</v>
      </c>
      <c r="B171" s="86" t="s">
        <v>6544</v>
      </c>
      <c r="C171" s="86" t="s">
        <v>116</v>
      </c>
      <c r="D171" s="86" t="s">
        <v>35</v>
      </c>
      <c r="E171" s="86" t="s">
        <v>35</v>
      </c>
      <c r="F171" s="86" t="s">
        <v>36</v>
      </c>
      <c r="G171" s="86">
        <v>1</v>
      </c>
    </row>
    <row r="172" spans="1:7">
      <c r="A172" s="86">
        <v>171</v>
      </c>
      <c r="B172" s="86" t="s">
        <v>267</v>
      </c>
      <c r="C172" s="86" t="s">
        <v>116</v>
      </c>
      <c r="D172" s="86" t="s">
        <v>35</v>
      </c>
      <c r="E172" s="86" t="s">
        <v>35</v>
      </c>
      <c r="F172" s="86" t="s">
        <v>36</v>
      </c>
      <c r="G172" s="86">
        <v>1</v>
      </c>
    </row>
    <row r="173" spans="1:7">
      <c r="A173" s="86">
        <v>172</v>
      </c>
      <c r="B173" s="86" t="s">
        <v>1447</v>
      </c>
      <c r="C173" s="86" t="s">
        <v>116</v>
      </c>
      <c r="D173" s="86" t="s">
        <v>35</v>
      </c>
      <c r="E173" s="86" t="s">
        <v>35</v>
      </c>
      <c r="F173" s="86" t="s">
        <v>36</v>
      </c>
      <c r="G173" s="86">
        <v>1</v>
      </c>
    </row>
    <row r="174" spans="1:7">
      <c r="A174" s="86">
        <v>173</v>
      </c>
      <c r="B174" s="86" t="s">
        <v>1384</v>
      </c>
      <c r="C174" s="86" t="s">
        <v>116</v>
      </c>
      <c r="D174" s="86" t="s">
        <v>35</v>
      </c>
      <c r="E174" s="86" t="s">
        <v>35</v>
      </c>
      <c r="F174" s="86" t="s">
        <v>36</v>
      </c>
      <c r="G174" s="86">
        <v>1</v>
      </c>
    </row>
    <row r="175" spans="1:7">
      <c r="A175" s="86">
        <v>174</v>
      </c>
      <c r="B175" s="86" t="s">
        <v>120</v>
      </c>
      <c r="C175" s="86" t="s">
        <v>116</v>
      </c>
      <c r="D175" s="86" t="s">
        <v>35</v>
      </c>
      <c r="E175" s="86" t="s">
        <v>35</v>
      </c>
      <c r="F175" s="86" t="s">
        <v>36</v>
      </c>
      <c r="G175" s="86">
        <v>1</v>
      </c>
    </row>
    <row r="176" spans="1:7">
      <c r="A176" s="86">
        <v>175</v>
      </c>
      <c r="B176" s="86" t="s">
        <v>133</v>
      </c>
      <c r="C176" s="86" t="s">
        <v>116</v>
      </c>
      <c r="D176" s="86" t="s">
        <v>35</v>
      </c>
      <c r="E176" s="86" t="s">
        <v>35</v>
      </c>
      <c r="F176" s="86" t="s">
        <v>36</v>
      </c>
      <c r="G176" s="86">
        <v>1</v>
      </c>
    </row>
    <row r="177" spans="1:7">
      <c r="A177" s="86">
        <v>176</v>
      </c>
      <c r="B177" s="86" t="s">
        <v>924</v>
      </c>
      <c r="C177" s="86" t="s">
        <v>116</v>
      </c>
      <c r="D177" s="86" t="s">
        <v>35</v>
      </c>
      <c r="E177" s="86" t="s">
        <v>35</v>
      </c>
      <c r="F177" s="86" t="s">
        <v>36</v>
      </c>
      <c r="G177" s="86">
        <v>1</v>
      </c>
    </row>
    <row r="178" spans="1:7">
      <c r="A178" s="86">
        <v>177</v>
      </c>
      <c r="B178" s="86" t="s">
        <v>1016</v>
      </c>
      <c r="C178" s="86" t="s">
        <v>116</v>
      </c>
      <c r="D178" s="86" t="s">
        <v>35</v>
      </c>
      <c r="E178" s="86" t="s">
        <v>35</v>
      </c>
      <c r="F178" s="86" t="s">
        <v>36</v>
      </c>
      <c r="G178" s="86">
        <v>1</v>
      </c>
    </row>
    <row r="179" spans="1:7">
      <c r="A179" s="86">
        <v>178</v>
      </c>
      <c r="B179" s="86" t="s">
        <v>1183</v>
      </c>
      <c r="C179" s="86" t="s">
        <v>116</v>
      </c>
      <c r="D179" s="86" t="s">
        <v>35</v>
      </c>
      <c r="E179" s="86" t="s">
        <v>35</v>
      </c>
      <c r="F179" s="86" t="s">
        <v>36</v>
      </c>
      <c r="G179" s="86">
        <v>1</v>
      </c>
    </row>
    <row r="180" spans="1:7">
      <c r="A180" s="86">
        <v>179</v>
      </c>
      <c r="B180" s="86" t="s">
        <v>4642</v>
      </c>
      <c r="C180" s="86" t="s">
        <v>116</v>
      </c>
      <c r="D180" s="86" t="s">
        <v>35</v>
      </c>
      <c r="E180" s="86" t="s">
        <v>35</v>
      </c>
      <c r="F180" s="86" t="s">
        <v>36</v>
      </c>
      <c r="G180" s="86">
        <v>1</v>
      </c>
    </row>
    <row r="181" spans="1:7">
      <c r="A181" s="86">
        <v>180</v>
      </c>
      <c r="B181" s="86" t="s">
        <v>5021</v>
      </c>
      <c r="C181" s="86" t="s">
        <v>116</v>
      </c>
      <c r="D181" s="86" t="s">
        <v>35</v>
      </c>
      <c r="E181" s="86" t="s">
        <v>35</v>
      </c>
      <c r="F181" s="86" t="s">
        <v>36</v>
      </c>
      <c r="G181" s="86">
        <v>1</v>
      </c>
    </row>
    <row r="182" spans="1:7">
      <c r="A182" s="86">
        <v>181</v>
      </c>
      <c r="B182" s="86" t="s">
        <v>4451</v>
      </c>
      <c r="C182" s="86" t="s">
        <v>116</v>
      </c>
      <c r="D182" s="86" t="s">
        <v>35</v>
      </c>
      <c r="E182" s="86" t="s">
        <v>35</v>
      </c>
      <c r="F182" s="86" t="s">
        <v>36</v>
      </c>
      <c r="G182" s="86">
        <v>1</v>
      </c>
    </row>
    <row r="183" spans="1:7">
      <c r="A183" s="86">
        <v>182</v>
      </c>
      <c r="B183" s="86" t="s">
        <v>4444</v>
      </c>
      <c r="C183" s="86" t="s">
        <v>116</v>
      </c>
      <c r="D183" s="86" t="s">
        <v>35</v>
      </c>
      <c r="E183" s="86" t="s">
        <v>35</v>
      </c>
      <c r="F183" s="86" t="s">
        <v>36</v>
      </c>
      <c r="G183" s="86">
        <v>1</v>
      </c>
    </row>
    <row r="184" spans="1:7">
      <c r="A184" s="86">
        <v>183</v>
      </c>
      <c r="B184" s="86" t="s">
        <v>2985</v>
      </c>
      <c r="C184" s="86" t="s">
        <v>116</v>
      </c>
      <c r="D184" s="86" t="s">
        <v>35</v>
      </c>
      <c r="E184" s="86" t="s">
        <v>35</v>
      </c>
      <c r="F184" s="86" t="s">
        <v>36</v>
      </c>
      <c r="G184" s="86">
        <v>1</v>
      </c>
    </row>
    <row r="185" spans="1:7">
      <c r="A185" s="86">
        <v>184</v>
      </c>
      <c r="B185" s="86" t="s">
        <v>873</v>
      </c>
      <c r="C185" s="86" t="s">
        <v>116</v>
      </c>
      <c r="D185" s="86" t="s">
        <v>35</v>
      </c>
      <c r="E185" s="86" t="s">
        <v>35</v>
      </c>
      <c r="F185" s="86" t="s">
        <v>36</v>
      </c>
      <c r="G185" s="86">
        <v>1</v>
      </c>
    </row>
    <row r="186" spans="1:7">
      <c r="A186" s="86">
        <v>185</v>
      </c>
      <c r="B186" s="86" t="s">
        <v>2002</v>
      </c>
      <c r="C186" s="86" t="s">
        <v>116</v>
      </c>
      <c r="D186" s="86" t="s">
        <v>35</v>
      </c>
      <c r="E186" s="86" t="s">
        <v>35</v>
      </c>
      <c r="F186" s="86" t="s">
        <v>36</v>
      </c>
      <c r="G186" s="86">
        <v>1</v>
      </c>
    </row>
    <row r="187" spans="1:7">
      <c r="A187" s="86">
        <v>186</v>
      </c>
      <c r="B187" s="86" t="s">
        <v>603</v>
      </c>
      <c r="C187" s="86" t="s">
        <v>116</v>
      </c>
      <c r="D187" s="86" t="s">
        <v>35</v>
      </c>
      <c r="E187" s="86" t="s">
        <v>35</v>
      </c>
      <c r="F187" s="86" t="s">
        <v>36</v>
      </c>
      <c r="G187" s="86">
        <v>1</v>
      </c>
    </row>
    <row r="188" spans="1:7">
      <c r="A188" s="86">
        <v>187</v>
      </c>
      <c r="B188" s="86" t="s">
        <v>3920</v>
      </c>
      <c r="C188" s="86" t="s">
        <v>116</v>
      </c>
      <c r="D188" s="86" t="s">
        <v>35</v>
      </c>
      <c r="E188" s="86" t="s">
        <v>35</v>
      </c>
      <c r="F188" s="86" t="s">
        <v>36</v>
      </c>
      <c r="G188" s="86">
        <v>1</v>
      </c>
    </row>
    <row r="189" spans="1:7">
      <c r="A189" s="86">
        <v>188</v>
      </c>
      <c r="B189" s="86" t="s">
        <v>6097</v>
      </c>
      <c r="C189" s="86" t="s">
        <v>6092</v>
      </c>
      <c r="D189" s="86" t="s">
        <v>35</v>
      </c>
      <c r="E189" s="86" t="s">
        <v>35</v>
      </c>
      <c r="F189" s="86" t="s">
        <v>36</v>
      </c>
      <c r="G189" s="86">
        <v>1</v>
      </c>
    </row>
    <row r="190" spans="1:7">
      <c r="A190" s="86">
        <v>189</v>
      </c>
      <c r="B190" s="86" t="s">
        <v>6674</v>
      </c>
      <c r="C190" s="86" t="s">
        <v>6092</v>
      </c>
      <c r="D190" s="86" t="s">
        <v>35</v>
      </c>
      <c r="E190" s="86" t="s">
        <v>35</v>
      </c>
      <c r="F190" s="86" t="s">
        <v>36</v>
      </c>
      <c r="G190" s="86">
        <v>1</v>
      </c>
    </row>
    <row r="191" spans="1:7">
      <c r="A191" s="86">
        <v>190</v>
      </c>
      <c r="B191" s="86" t="s">
        <v>4247</v>
      </c>
      <c r="C191" s="86" t="s">
        <v>71</v>
      </c>
      <c r="D191" s="86" t="s">
        <v>35</v>
      </c>
      <c r="E191" s="86" t="s">
        <v>35</v>
      </c>
      <c r="F191" s="86" t="s">
        <v>36</v>
      </c>
      <c r="G191" s="86">
        <v>1</v>
      </c>
    </row>
    <row r="192" spans="1:7">
      <c r="A192" s="86">
        <v>191</v>
      </c>
      <c r="B192" s="86" t="s">
        <v>5457</v>
      </c>
      <c r="C192" s="86" t="s">
        <v>9328</v>
      </c>
      <c r="D192" s="86" t="s">
        <v>35</v>
      </c>
      <c r="E192" s="86" t="s">
        <v>35</v>
      </c>
      <c r="F192" s="86" t="s">
        <v>36</v>
      </c>
      <c r="G192" s="86">
        <v>1</v>
      </c>
    </row>
    <row r="193" spans="1:7">
      <c r="A193" s="86">
        <v>192</v>
      </c>
      <c r="B193" s="86" t="s">
        <v>76</v>
      </c>
      <c r="C193" s="86" t="s">
        <v>9328</v>
      </c>
      <c r="D193" s="86" t="s">
        <v>35</v>
      </c>
      <c r="E193" s="86" t="s">
        <v>35</v>
      </c>
      <c r="F193" s="86" t="s">
        <v>36</v>
      </c>
      <c r="G193" s="86">
        <v>1</v>
      </c>
    </row>
    <row r="194" spans="1:7">
      <c r="A194" s="86">
        <v>193</v>
      </c>
      <c r="B194" s="86" t="s">
        <v>6119</v>
      </c>
      <c r="C194" s="86" t="s">
        <v>9328</v>
      </c>
      <c r="D194" s="86" t="s">
        <v>35</v>
      </c>
      <c r="E194" s="86" t="s">
        <v>35</v>
      </c>
      <c r="F194" s="86" t="s">
        <v>36</v>
      </c>
      <c r="G194" s="86">
        <v>1</v>
      </c>
    </row>
    <row r="195" spans="1:7">
      <c r="A195" s="86">
        <v>194</v>
      </c>
      <c r="B195" s="86" t="s">
        <v>6143</v>
      </c>
      <c r="C195" s="86" t="s">
        <v>9328</v>
      </c>
      <c r="D195" s="86" t="s">
        <v>35</v>
      </c>
      <c r="E195" s="86" t="s">
        <v>35</v>
      </c>
      <c r="F195" s="86" t="s">
        <v>36</v>
      </c>
      <c r="G195" s="86">
        <v>1</v>
      </c>
    </row>
    <row r="196" spans="1:7">
      <c r="A196" s="86">
        <v>195</v>
      </c>
      <c r="B196" s="86" t="s">
        <v>6321</v>
      </c>
      <c r="C196" s="86" t="s">
        <v>9328</v>
      </c>
      <c r="D196" s="86" t="s">
        <v>35</v>
      </c>
      <c r="E196" s="86" t="s">
        <v>35</v>
      </c>
      <c r="F196" s="86" t="s">
        <v>36</v>
      </c>
      <c r="G196" s="86">
        <v>1</v>
      </c>
    </row>
    <row r="197" spans="1:7">
      <c r="A197" s="86">
        <v>196</v>
      </c>
      <c r="B197" s="86" t="s">
        <v>9329</v>
      </c>
      <c r="C197" s="86" t="s">
        <v>9328</v>
      </c>
      <c r="D197" s="86" t="s">
        <v>35</v>
      </c>
      <c r="E197" s="86" t="s">
        <v>35</v>
      </c>
      <c r="F197" s="86" t="s">
        <v>36</v>
      </c>
      <c r="G197" s="86">
        <v>1</v>
      </c>
    </row>
    <row r="198" spans="1:7">
      <c r="A198" s="86">
        <v>197</v>
      </c>
      <c r="B198" s="86" t="s">
        <v>4941</v>
      </c>
      <c r="C198" s="86" t="s">
        <v>9328</v>
      </c>
      <c r="D198" s="86" t="s">
        <v>35</v>
      </c>
      <c r="E198" s="86" t="s">
        <v>35</v>
      </c>
      <c r="F198" s="86" t="s">
        <v>36</v>
      </c>
      <c r="G198" s="86">
        <v>1</v>
      </c>
    </row>
    <row r="199" spans="1:7">
      <c r="A199" s="86">
        <v>198</v>
      </c>
      <c r="B199" s="86" t="s">
        <v>4947</v>
      </c>
      <c r="C199" s="86" t="s">
        <v>9328</v>
      </c>
      <c r="D199" s="86" t="s">
        <v>35</v>
      </c>
      <c r="E199" s="86" t="s">
        <v>35</v>
      </c>
      <c r="F199" s="86" t="s">
        <v>36</v>
      </c>
      <c r="G199" s="86">
        <v>1</v>
      </c>
    </row>
    <row r="200" spans="1:7">
      <c r="A200" s="86">
        <v>199</v>
      </c>
      <c r="B200" s="86" t="s">
        <v>4003</v>
      </c>
      <c r="C200" s="86" t="s">
        <v>9328</v>
      </c>
      <c r="D200" s="86" t="s">
        <v>35</v>
      </c>
      <c r="E200" s="86" t="s">
        <v>35</v>
      </c>
      <c r="F200" s="86" t="s">
        <v>36</v>
      </c>
      <c r="G200" s="86">
        <v>1</v>
      </c>
    </row>
    <row r="201" spans="1:7">
      <c r="A201" s="86">
        <v>200</v>
      </c>
      <c r="B201" s="86" t="s">
        <v>4261</v>
      </c>
      <c r="C201" s="86" t="s">
        <v>9328</v>
      </c>
      <c r="D201" s="86" t="s">
        <v>35</v>
      </c>
      <c r="E201" s="86" t="s">
        <v>35</v>
      </c>
      <c r="F201" s="86" t="s">
        <v>36</v>
      </c>
      <c r="G201" s="86">
        <v>1</v>
      </c>
    </row>
    <row r="202" spans="1:7">
      <c r="A202" s="86">
        <v>201</v>
      </c>
      <c r="B202" s="86" t="s">
        <v>1507</v>
      </c>
      <c r="C202" s="86" t="s">
        <v>9328</v>
      </c>
      <c r="D202" s="86" t="s">
        <v>35</v>
      </c>
      <c r="E202" s="86" t="s">
        <v>35</v>
      </c>
      <c r="F202" s="86" t="s">
        <v>36</v>
      </c>
      <c r="G202" s="86">
        <v>1</v>
      </c>
    </row>
    <row r="203" spans="1:7">
      <c r="A203" s="86">
        <v>202</v>
      </c>
      <c r="B203" s="86" t="s">
        <v>4635</v>
      </c>
      <c r="C203" s="86" t="s">
        <v>80</v>
      </c>
      <c r="D203" s="86" t="s">
        <v>35</v>
      </c>
      <c r="E203" s="86" t="s">
        <v>35</v>
      </c>
      <c r="F203" s="86" t="s">
        <v>36</v>
      </c>
      <c r="G203" s="86">
        <v>1</v>
      </c>
    </row>
    <row r="204" spans="1:7">
      <c r="A204" s="86">
        <v>203</v>
      </c>
      <c r="B204" s="86" t="s">
        <v>986</v>
      </c>
      <c r="C204" s="86" t="s">
        <v>93</v>
      </c>
      <c r="D204" s="86" t="s">
        <v>35</v>
      </c>
      <c r="E204" s="86" t="s">
        <v>35</v>
      </c>
      <c r="F204" s="86" t="s">
        <v>36</v>
      </c>
      <c r="G204" s="86">
        <v>1</v>
      </c>
    </row>
    <row r="205" spans="1:7">
      <c r="A205" s="86">
        <v>204</v>
      </c>
      <c r="B205" s="86" t="s">
        <v>126</v>
      </c>
      <c r="C205" s="86" t="s">
        <v>93</v>
      </c>
      <c r="D205" s="86" t="s">
        <v>35</v>
      </c>
      <c r="E205" s="86" t="s">
        <v>35</v>
      </c>
      <c r="F205" s="86" t="s">
        <v>36</v>
      </c>
      <c r="G205" s="86">
        <v>1</v>
      </c>
    </row>
    <row r="206" spans="1:7">
      <c r="A206" s="86">
        <v>205</v>
      </c>
      <c r="B206" s="86" t="s">
        <v>398</v>
      </c>
      <c r="C206" s="86" t="s">
        <v>93</v>
      </c>
      <c r="D206" s="86" t="s">
        <v>35</v>
      </c>
      <c r="E206" s="86" t="s">
        <v>35</v>
      </c>
      <c r="F206" s="86" t="s">
        <v>36</v>
      </c>
      <c r="G206" s="86">
        <v>1</v>
      </c>
    </row>
    <row r="207" spans="1:7">
      <c r="A207" s="86">
        <v>206</v>
      </c>
      <c r="B207" s="86" t="s">
        <v>9330</v>
      </c>
      <c r="C207" s="86" t="s">
        <v>93</v>
      </c>
      <c r="D207" s="86" t="s">
        <v>35</v>
      </c>
      <c r="E207" s="86" t="s">
        <v>35</v>
      </c>
      <c r="F207" s="86" t="s">
        <v>36</v>
      </c>
      <c r="G207" s="86">
        <v>1</v>
      </c>
    </row>
    <row r="208" spans="1:7">
      <c r="A208" s="86">
        <v>207</v>
      </c>
      <c r="B208" s="86" t="s">
        <v>4649</v>
      </c>
      <c r="C208" s="86" t="s">
        <v>93</v>
      </c>
      <c r="D208" s="86" t="s">
        <v>35</v>
      </c>
      <c r="E208" s="86" t="s">
        <v>35</v>
      </c>
      <c r="F208" s="86" t="s">
        <v>36</v>
      </c>
      <c r="G208" s="86">
        <v>1</v>
      </c>
    </row>
    <row r="209" spans="1:7">
      <c r="A209" s="86">
        <v>208</v>
      </c>
      <c r="B209" s="86" t="s">
        <v>446</v>
      </c>
      <c r="C209" s="86" t="s">
        <v>93</v>
      </c>
      <c r="D209" s="86" t="s">
        <v>35</v>
      </c>
      <c r="E209" s="86" t="s">
        <v>35</v>
      </c>
      <c r="F209" s="86" t="s">
        <v>36</v>
      </c>
      <c r="G209" s="86">
        <v>1</v>
      </c>
    </row>
    <row r="210" spans="1:7">
      <c r="A210" s="86">
        <v>209</v>
      </c>
      <c r="B210" s="86" t="s">
        <v>5867</v>
      </c>
      <c r="C210" s="86" t="s">
        <v>93</v>
      </c>
      <c r="D210" s="86" t="s">
        <v>35</v>
      </c>
      <c r="E210" s="86" t="s">
        <v>35</v>
      </c>
      <c r="F210" s="86" t="s">
        <v>36</v>
      </c>
      <c r="G210" s="86">
        <v>1</v>
      </c>
    </row>
    <row r="211" spans="1:7">
      <c r="A211" s="86">
        <v>210</v>
      </c>
      <c r="B211" s="86" t="s">
        <v>5804</v>
      </c>
      <c r="C211" s="86" t="s">
        <v>93</v>
      </c>
      <c r="D211" s="86" t="s">
        <v>35</v>
      </c>
      <c r="E211" s="86" t="s">
        <v>35</v>
      </c>
      <c r="F211" s="86" t="s">
        <v>36</v>
      </c>
      <c r="G211" s="86">
        <v>1</v>
      </c>
    </row>
    <row r="212" spans="1:7">
      <c r="A212" s="86">
        <v>211</v>
      </c>
      <c r="B212" s="86" t="s">
        <v>5810</v>
      </c>
      <c r="C212" s="86" t="s">
        <v>93</v>
      </c>
      <c r="D212" s="86" t="s">
        <v>35</v>
      </c>
      <c r="E212" s="86" t="s">
        <v>35</v>
      </c>
      <c r="F212" s="86" t="s">
        <v>36</v>
      </c>
      <c r="G212" s="86">
        <v>1</v>
      </c>
    </row>
    <row r="213" spans="1:7">
      <c r="A213" s="86">
        <v>212</v>
      </c>
      <c r="B213" s="86" t="s">
        <v>532</v>
      </c>
      <c r="C213" s="86" t="s">
        <v>93</v>
      </c>
      <c r="D213" s="86" t="s">
        <v>35</v>
      </c>
      <c r="E213" s="86" t="s">
        <v>35</v>
      </c>
      <c r="F213" s="86" t="s">
        <v>36</v>
      </c>
      <c r="G213" s="86">
        <v>1</v>
      </c>
    </row>
    <row r="214" spans="1:7">
      <c r="A214" s="86">
        <v>213</v>
      </c>
      <c r="B214" s="86" t="s">
        <v>1176</v>
      </c>
      <c r="C214" s="86" t="s">
        <v>93</v>
      </c>
      <c r="D214" s="86" t="s">
        <v>35</v>
      </c>
      <c r="E214" s="86" t="s">
        <v>35</v>
      </c>
      <c r="F214" s="86" t="s">
        <v>36</v>
      </c>
      <c r="G214" s="86">
        <v>1</v>
      </c>
    </row>
    <row r="215" spans="1:7">
      <c r="A215" s="86">
        <v>214</v>
      </c>
      <c r="B215" s="86" t="s">
        <v>5775</v>
      </c>
      <c r="C215" s="86" t="s">
        <v>93</v>
      </c>
      <c r="D215" s="86" t="s">
        <v>35</v>
      </c>
      <c r="E215" s="86" t="s">
        <v>35</v>
      </c>
      <c r="F215" s="86" t="s">
        <v>36</v>
      </c>
      <c r="G215" s="86">
        <v>1</v>
      </c>
    </row>
    <row r="216" spans="1:7">
      <c r="A216" s="86">
        <v>215</v>
      </c>
      <c r="B216" s="86" t="s">
        <v>5817</v>
      </c>
      <c r="C216" s="86" t="s">
        <v>93</v>
      </c>
      <c r="D216" s="86" t="s">
        <v>35</v>
      </c>
      <c r="E216" s="86" t="s">
        <v>35</v>
      </c>
      <c r="F216" s="86" t="s">
        <v>36</v>
      </c>
      <c r="G216" s="86">
        <v>1</v>
      </c>
    </row>
    <row r="217" spans="1:7">
      <c r="A217" s="86">
        <v>216</v>
      </c>
      <c r="B217" s="86" t="s">
        <v>5750</v>
      </c>
      <c r="C217" s="86" t="s">
        <v>93</v>
      </c>
      <c r="D217" s="86" t="s">
        <v>35</v>
      </c>
      <c r="E217" s="86" t="s">
        <v>35</v>
      </c>
      <c r="F217" s="86" t="s">
        <v>36</v>
      </c>
      <c r="G217" s="86">
        <v>1</v>
      </c>
    </row>
    <row r="218" spans="1:7">
      <c r="A218" s="86">
        <v>217</v>
      </c>
      <c r="B218" s="86" t="s">
        <v>5123</v>
      </c>
      <c r="C218" s="86" t="s">
        <v>93</v>
      </c>
      <c r="D218" s="86" t="s">
        <v>35</v>
      </c>
      <c r="E218" s="86" t="s">
        <v>35</v>
      </c>
      <c r="F218" s="86" t="s">
        <v>36</v>
      </c>
      <c r="G218" s="86">
        <v>1</v>
      </c>
    </row>
    <row r="219" spans="1:7">
      <c r="A219" s="86">
        <v>218</v>
      </c>
      <c r="B219" s="86" t="s">
        <v>2226</v>
      </c>
      <c r="C219" s="86" t="s">
        <v>93</v>
      </c>
      <c r="D219" s="86" t="s">
        <v>35</v>
      </c>
      <c r="E219" s="86" t="s">
        <v>35</v>
      </c>
      <c r="F219" s="86" t="s">
        <v>36</v>
      </c>
      <c r="G219" s="86">
        <v>1</v>
      </c>
    </row>
    <row r="220" spans="1:7">
      <c r="A220" s="86">
        <v>219</v>
      </c>
      <c r="B220" s="86" t="s">
        <v>596</v>
      </c>
      <c r="C220" s="86" t="s">
        <v>93</v>
      </c>
      <c r="D220" s="86" t="s">
        <v>35</v>
      </c>
      <c r="E220" s="86" t="s">
        <v>35</v>
      </c>
      <c r="F220" s="86" t="s">
        <v>36</v>
      </c>
      <c r="G220" s="86">
        <v>1</v>
      </c>
    </row>
    <row r="221" spans="1:7">
      <c r="A221" s="86">
        <v>220</v>
      </c>
      <c r="B221" s="86" t="s">
        <v>2219</v>
      </c>
      <c r="C221" s="86" t="s">
        <v>93</v>
      </c>
      <c r="D221" s="86" t="s">
        <v>35</v>
      </c>
      <c r="E221" s="86" t="s">
        <v>35</v>
      </c>
      <c r="F221" s="86" t="s">
        <v>36</v>
      </c>
      <c r="G221" s="86">
        <v>1</v>
      </c>
    </row>
    <row r="222" spans="1:7">
      <c r="A222" s="86">
        <v>221</v>
      </c>
      <c r="B222" s="86" t="s">
        <v>98</v>
      </c>
      <c r="C222" s="86" t="s">
        <v>93</v>
      </c>
      <c r="D222" s="86" t="s">
        <v>35</v>
      </c>
      <c r="E222" s="86" t="s">
        <v>35</v>
      </c>
      <c r="F222" s="86" t="s">
        <v>36</v>
      </c>
      <c r="G222" s="86">
        <v>1</v>
      </c>
    </row>
    <row r="223" spans="1:7">
      <c r="A223" s="86">
        <v>222</v>
      </c>
      <c r="B223" s="86" t="s">
        <v>312</v>
      </c>
      <c r="C223" s="86" t="s">
        <v>93</v>
      </c>
      <c r="D223" s="86" t="s">
        <v>35</v>
      </c>
      <c r="E223" s="86" t="s">
        <v>35</v>
      </c>
      <c r="F223" s="86" t="s">
        <v>36</v>
      </c>
      <c r="G223" s="86">
        <v>1</v>
      </c>
    </row>
    <row r="224" spans="1:7">
      <c r="A224" s="86">
        <v>223</v>
      </c>
      <c r="B224" s="86" t="s">
        <v>9331</v>
      </c>
      <c r="C224" s="86" t="s">
        <v>93</v>
      </c>
      <c r="D224" s="86" t="s">
        <v>35</v>
      </c>
      <c r="E224" s="86" t="s">
        <v>35</v>
      </c>
      <c r="F224" s="86" t="s">
        <v>36</v>
      </c>
      <c r="G224" s="86">
        <v>1</v>
      </c>
    </row>
    <row r="225" spans="1:7">
      <c r="A225" s="86">
        <v>224</v>
      </c>
      <c r="B225" s="86" t="s">
        <v>547</v>
      </c>
      <c r="C225" s="86" t="s">
        <v>93</v>
      </c>
      <c r="D225" s="86" t="s">
        <v>35</v>
      </c>
      <c r="E225" s="86" t="s">
        <v>35</v>
      </c>
      <c r="F225" s="86" t="s">
        <v>36</v>
      </c>
      <c r="G225" s="86">
        <v>1</v>
      </c>
    </row>
    <row r="226" spans="1:7">
      <c r="A226" s="86">
        <v>225</v>
      </c>
      <c r="B226" s="86" t="s">
        <v>5737</v>
      </c>
      <c r="C226" s="86" t="s">
        <v>93</v>
      </c>
      <c r="D226" s="86" t="s">
        <v>35</v>
      </c>
      <c r="E226" s="86" t="s">
        <v>35</v>
      </c>
      <c r="F226" s="86" t="s">
        <v>36</v>
      </c>
      <c r="G226" s="86">
        <v>1</v>
      </c>
    </row>
    <row r="227" spans="1:7">
      <c r="A227" s="86">
        <v>226</v>
      </c>
      <c r="B227" s="86" t="s">
        <v>490</v>
      </c>
      <c r="C227" s="86" t="s">
        <v>93</v>
      </c>
      <c r="D227" s="86" t="s">
        <v>35</v>
      </c>
      <c r="E227" s="86" t="s">
        <v>35</v>
      </c>
      <c r="F227" s="86" t="s">
        <v>36</v>
      </c>
      <c r="G227" s="86">
        <v>1</v>
      </c>
    </row>
    <row r="228" spans="1:7">
      <c r="A228" s="86">
        <v>227</v>
      </c>
      <c r="B228" s="86" t="s">
        <v>9332</v>
      </c>
      <c r="C228" s="86" t="s">
        <v>93</v>
      </c>
      <c r="D228" s="86" t="s">
        <v>35</v>
      </c>
      <c r="E228" s="86" t="s">
        <v>35</v>
      </c>
      <c r="F228" s="86" t="s">
        <v>36</v>
      </c>
      <c r="G228" s="86">
        <v>1</v>
      </c>
    </row>
    <row r="229" spans="1:7">
      <c r="A229" s="86">
        <v>228</v>
      </c>
      <c r="B229" s="86" t="s">
        <v>755</v>
      </c>
      <c r="C229" s="86" t="s">
        <v>93</v>
      </c>
      <c r="D229" s="86" t="s">
        <v>35</v>
      </c>
      <c r="E229" s="86" t="s">
        <v>35</v>
      </c>
      <c r="F229" s="86" t="s">
        <v>36</v>
      </c>
      <c r="G229" s="86">
        <v>1</v>
      </c>
    </row>
    <row r="230" spans="1:7">
      <c r="A230" s="86">
        <v>229</v>
      </c>
      <c r="B230" s="86" t="s">
        <v>2296</v>
      </c>
      <c r="C230" s="86" t="s">
        <v>93</v>
      </c>
      <c r="D230" s="86" t="s">
        <v>35</v>
      </c>
      <c r="E230" s="86" t="s">
        <v>35</v>
      </c>
      <c r="F230" s="86" t="s">
        <v>36</v>
      </c>
      <c r="G230" s="86">
        <v>1</v>
      </c>
    </row>
    <row r="231" spans="1:7">
      <c r="A231" s="86">
        <v>230</v>
      </c>
      <c r="B231" s="86" t="s">
        <v>2326</v>
      </c>
      <c r="C231" s="86" t="s">
        <v>93</v>
      </c>
      <c r="D231" s="86" t="s">
        <v>35</v>
      </c>
      <c r="E231" s="86" t="s">
        <v>35</v>
      </c>
      <c r="F231" s="86" t="s">
        <v>36</v>
      </c>
      <c r="G231" s="86">
        <v>1</v>
      </c>
    </row>
    <row r="232" spans="1:7">
      <c r="A232" s="86">
        <v>231</v>
      </c>
      <c r="B232" s="86" t="s">
        <v>865</v>
      </c>
      <c r="C232" s="86" t="s">
        <v>93</v>
      </c>
      <c r="D232" s="86" t="s">
        <v>35</v>
      </c>
      <c r="E232" s="86" t="s">
        <v>35</v>
      </c>
      <c r="F232" s="86" t="s">
        <v>36</v>
      </c>
      <c r="G232" s="86">
        <v>1</v>
      </c>
    </row>
    <row r="233" spans="1:7">
      <c r="A233" s="86">
        <v>232</v>
      </c>
      <c r="B233" s="86" t="s">
        <v>1513</v>
      </c>
      <c r="C233" s="86" t="s">
        <v>93</v>
      </c>
      <c r="D233" s="86" t="s">
        <v>35</v>
      </c>
      <c r="E233" s="86" t="s">
        <v>35</v>
      </c>
      <c r="F233" s="86" t="s">
        <v>36</v>
      </c>
      <c r="G233" s="86">
        <v>1</v>
      </c>
    </row>
    <row r="234" spans="1:7">
      <c r="A234" s="86">
        <v>233</v>
      </c>
      <c r="B234" s="86" t="s">
        <v>2464</v>
      </c>
      <c r="C234" s="86" t="s">
        <v>93</v>
      </c>
      <c r="D234" s="86" t="s">
        <v>35</v>
      </c>
      <c r="E234" s="86" t="s">
        <v>35</v>
      </c>
      <c r="F234" s="86" t="s">
        <v>36</v>
      </c>
      <c r="G234" s="86">
        <v>1</v>
      </c>
    </row>
    <row r="235" spans="1:7">
      <c r="A235" s="86">
        <v>234</v>
      </c>
      <c r="B235" s="86" t="s">
        <v>4234</v>
      </c>
      <c r="C235" s="86" t="s">
        <v>93</v>
      </c>
      <c r="D235" s="86" t="s">
        <v>35</v>
      </c>
      <c r="E235" s="86" t="s">
        <v>35</v>
      </c>
      <c r="F235" s="86" t="s">
        <v>36</v>
      </c>
      <c r="G235" s="86">
        <v>1</v>
      </c>
    </row>
    <row r="236" spans="1:7">
      <c r="A236" s="86">
        <v>235</v>
      </c>
      <c r="B236" s="86" t="s">
        <v>4137</v>
      </c>
      <c r="C236" s="86" t="s">
        <v>93</v>
      </c>
      <c r="D236" s="86" t="s">
        <v>35</v>
      </c>
      <c r="E236" s="86" t="s">
        <v>35</v>
      </c>
      <c r="F236" s="86" t="s">
        <v>36</v>
      </c>
      <c r="G236" s="86">
        <v>1</v>
      </c>
    </row>
    <row r="237" spans="1:7">
      <c r="A237" s="86">
        <v>236</v>
      </c>
      <c r="B237" s="86" t="s">
        <v>4362</v>
      </c>
      <c r="C237" s="86" t="s">
        <v>93</v>
      </c>
      <c r="D237" s="86" t="s">
        <v>35</v>
      </c>
      <c r="E237" s="86" t="s">
        <v>35</v>
      </c>
      <c r="F237" s="86" t="s">
        <v>36</v>
      </c>
      <c r="G237" s="86">
        <v>1</v>
      </c>
    </row>
    <row r="238" spans="1:7">
      <c r="A238" s="86">
        <v>237</v>
      </c>
      <c r="B238" s="86" t="s">
        <v>4194</v>
      </c>
      <c r="C238" s="86" t="s">
        <v>93</v>
      </c>
      <c r="D238" s="86" t="s">
        <v>35</v>
      </c>
      <c r="E238" s="86" t="s">
        <v>35</v>
      </c>
      <c r="F238" s="86" t="s">
        <v>36</v>
      </c>
      <c r="G238" s="86">
        <v>1</v>
      </c>
    </row>
    <row r="239" spans="1:7">
      <c r="A239" s="86">
        <v>238</v>
      </c>
      <c r="B239" s="86" t="s">
        <v>4372</v>
      </c>
      <c r="C239" s="86" t="s">
        <v>93</v>
      </c>
      <c r="D239" s="86" t="s">
        <v>35</v>
      </c>
      <c r="E239" s="86" t="s">
        <v>35</v>
      </c>
      <c r="F239" s="86" t="s">
        <v>36</v>
      </c>
      <c r="G239" s="86">
        <v>1</v>
      </c>
    </row>
    <row r="240" spans="1:7">
      <c r="A240" s="86">
        <v>239</v>
      </c>
      <c r="B240" s="86" t="s">
        <v>4123</v>
      </c>
      <c r="C240" s="86" t="s">
        <v>93</v>
      </c>
      <c r="D240" s="86" t="s">
        <v>35</v>
      </c>
      <c r="E240" s="86" t="s">
        <v>35</v>
      </c>
      <c r="F240" s="86" t="s">
        <v>36</v>
      </c>
      <c r="G240" s="86">
        <v>1</v>
      </c>
    </row>
    <row r="241" spans="1:7">
      <c r="A241" s="86">
        <v>240</v>
      </c>
      <c r="B241" s="86" t="s">
        <v>3982</v>
      </c>
      <c r="C241" s="86" t="s">
        <v>93</v>
      </c>
      <c r="D241" s="86" t="s">
        <v>35</v>
      </c>
      <c r="E241" s="86" t="s">
        <v>35</v>
      </c>
      <c r="F241" s="86" t="s">
        <v>36</v>
      </c>
      <c r="G241" s="86">
        <v>1</v>
      </c>
    </row>
    <row r="242" spans="1:7">
      <c r="A242" s="86">
        <v>241</v>
      </c>
      <c r="B242" s="86" t="s">
        <v>3996</v>
      </c>
      <c r="C242" s="86" t="s">
        <v>93</v>
      </c>
      <c r="D242" s="86" t="s">
        <v>35</v>
      </c>
      <c r="E242" s="86" t="s">
        <v>35</v>
      </c>
      <c r="F242" s="86" t="s">
        <v>36</v>
      </c>
      <c r="G242" s="86">
        <v>1</v>
      </c>
    </row>
    <row r="243" spans="1:7">
      <c r="A243" s="86">
        <v>242</v>
      </c>
      <c r="B243" s="86" t="s">
        <v>747</v>
      </c>
      <c r="C243" s="86" t="s">
        <v>93</v>
      </c>
      <c r="D243" s="86" t="s">
        <v>35</v>
      </c>
      <c r="E243" s="86" t="s">
        <v>35</v>
      </c>
      <c r="F243" s="86" t="s">
        <v>36</v>
      </c>
      <c r="G243" s="86">
        <v>1</v>
      </c>
    </row>
    <row r="244" spans="1:7">
      <c r="A244" s="86">
        <v>243</v>
      </c>
      <c r="B244" s="86" t="s">
        <v>4081</v>
      </c>
      <c r="C244" s="86" t="s">
        <v>93</v>
      </c>
      <c r="D244" s="86" t="s">
        <v>35</v>
      </c>
      <c r="E244" s="86" t="s">
        <v>35</v>
      </c>
      <c r="F244" s="86" t="s">
        <v>36</v>
      </c>
      <c r="G244" s="86">
        <v>1</v>
      </c>
    </row>
    <row r="245" spans="1:7">
      <c r="A245" s="86">
        <v>244</v>
      </c>
      <c r="B245" s="86" t="s">
        <v>4490</v>
      </c>
      <c r="C245" s="86" t="s">
        <v>93</v>
      </c>
      <c r="D245" s="86" t="s">
        <v>35</v>
      </c>
      <c r="E245" s="86" t="s">
        <v>35</v>
      </c>
      <c r="F245" s="86" t="s">
        <v>36</v>
      </c>
      <c r="G245" s="86">
        <v>1</v>
      </c>
    </row>
    <row r="246" spans="1:7">
      <c r="A246" s="86">
        <v>245</v>
      </c>
      <c r="B246" s="86" t="s">
        <v>4069</v>
      </c>
      <c r="C246" s="86" t="s">
        <v>93</v>
      </c>
      <c r="D246" s="86" t="s">
        <v>35</v>
      </c>
      <c r="E246" s="86" t="s">
        <v>35</v>
      </c>
      <c r="F246" s="86" t="s">
        <v>36</v>
      </c>
      <c r="G246" s="86">
        <v>1</v>
      </c>
    </row>
    <row r="247" spans="1:7">
      <c r="A247" s="86">
        <v>246</v>
      </c>
      <c r="B247" s="86" t="s">
        <v>5344</v>
      </c>
      <c r="C247" s="86" t="s">
        <v>93</v>
      </c>
      <c r="D247" s="86" t="s">
        <v>35</v>
      </c>
      <c r="E247" s="86" t="s">
        <v>35</v>
      </c>
      <c r="F247" s="86" t="s">
        <v>36</v>
      </c>
      <c r="G247" s="86">
        <v>1</v>
      </c>
    </row>
    <row r="248" spans="1:7">
      <c r="A248" s="86">
        <v>247</v>
      </c>
      <c r="B248" s="86" t="s">
        <v>3748</v>
      </c>
      <c r="C248" s="86" t="s">
        <v>93</v>
      </c>
      <c r="D248" s="86" t="s">
        <v>35</v>
      </c>
      <c r="E248" s="86" t="s">
        <v>35</v>
      </c>
      <c r="F248" s="86" t="s">
        <v>36</v>
      </c>
      <c r="G248" s="86">
        <v>1</v>
      </c>
    </row>
    <row r="249" spans="1:7">
      <c r="A249" s="86">
        <v>248</v>
      </c>
      <c r="B249" s="86" t="s">
        <v>5387</v>
      </c>
      <c r="C249" s="86" t="s">
        <v>93</v>
      </c>
      <c r="D249" s="86" t="s">
        <v>35</v>
      </c>
      <c r="E249" s="86" t="s">
        <v>35</v>
      </c>
      <c r="F249" s="86" t="s">
        <v>36</v>
      </c>
      <c r="G249" s="86">
        <v>1</v>
      </c>
    </row>
    <row r="250" spans="1:7">
      <c r="A250" s="86">
        <v>249</v>
      </c>
      <c r="B250" s="86" t="s">
        <v>3188</v>
      </c>
      <c r="C250" s="86" t="s">
        <v>93</v>
      </c>
      <c r="D250" s="86" t="s">
        <v>35</v>
      </c>
      <c r="E250" s="86" t="s">
        <v>35</v>
      </c>
      <c r="F250" s="86" t="s">
        <v>36</v>
      </c>
      <c r="G250" s="86">
        <v>1</v>
      </c>
    </row>
    <row r="251" spans="1:7">
      <c r="A251" s="86">
        <v>250</v>
      </c>
      <c r="B251" s="86" t="s">
        <v>3525</v>
      </c>
      <c r="C251" s="86" t="s">
        <v>93</v>
      </c>
      <c r="D251" s="86" t="s">
        <v>35</v>
      </c>
      <c r="E251" s="86" t="s">
        <v>35</v>
      </c>
      <c r="F251" s="86" t="s">
        <v>36</v>
      </c>
      <c r="G251" s="86">
        <v>1</v>
      </c>
    </row>
    <row r="252" spans="1:7">
      <c r="A252" s="86">
        <v>251</v>
      </c>
      <c r="B252" s="86" t="s">
        <v>3470</v>
      </c>
      <c r="C252" s="86" t="s">
        <v>93</v>
      </c>
      <c r="D252" s="86" t="s">
        <v>35</v>
      </c>
      <c r="E252" s="86" t="s">
        <v>35</v>
      </c>
      <c r="F252" s="86" t="s">
        <v>36</v>
      </c>
      <c r="G252" s="86">
        <v>1</v>
      </c>
    </row>
    <row r="253" spans="1:7">
      <c r="A253" s="86">
        <v>252</v>
      </c>
      <c r="B253" s="86" t="s">
        <v>3831</v>
      </c>
      <c r="C253" s="86" t="s">
        <v>93</v>
      </c>
      <c r="D253" s="86" t="s">
        <v>35</v>
      </c>
      <c r="E253" s="86" t="s">
        <v>35</v>
      </c>
      <c r="F253" s="86" t="s">
        <v>36</v>
      </c>
      <c r="G253" s="86">
        <v>1</v>
      </c>
    </row>
    <row r="254" spans="1:7">
      <c r="A254" s="86">
        <v>253</v>
      </c>
      <c r="B254" s="86" t="s">
        <v>3600</v>
      </c>
      <c r="C254" s="86" t="s">
        <v>93</v>
      </c>
      <c r="D254" s="86" t="s">
        <v>35</v>
      </c>
      <c r="E254" s="86" t="s">
        <v>35</v>
      </c>
      <c r="F254" s="86" t="s">
        <v>36</v>
      </c>
      <c r="G254" s="86">
        <v>1</v>
      </c>
    </row>
    <row r="255" spans="1:7">
      <c r="A255" s="86">
        <v>254</v>
      </c>
      <c r="B255" s="86" t="s">
        <v>3513</v>
      </c>
      <c r="C255" s="86" t="s">
        <v>93</v>
      </c>
      <c r="D255" s="86" t="s">
        <v>35</v>
      </c>
      <c r="E255" s="86" t="s">
        <v>35</v>
      </c>
      <c r="F255" s="86" t="s">
        <v>36</v>
      </c>
      <c r="G255" s="86">
        <v>1</v>
      </c>
    </row>
    <row r="256" spans="1:7">
      <c r="A256" s="86">
        <v>255</v>
      </c>
      <c r="B256" s="86" t="s">
        <v>3714</v>
      </c>
      <c r="C256" s="86" t="s">
        <v>93</v>
      </c>
      <c r="D256" s="86" t="s">
        <v>35</v>
      </c>
      <c r="E256" s="86" t="s">
        <v>35</v>
      </c>
      <c r="F256" s="86" t="s">
        <v>36</v>
      </c>
      <c r="G256" s="86">
        <v>1</v>
      </c>
    </row>
    <row r="257" spans="1:7">
      <c r="A257" s="86">
        <v>256</v>
      </c>
      <c r="B257" s="86" t="s">
        <v>4498</v>
      </c>
      <c r="C257" s="86" t="s">
        <v>93</v>
      </c>
      <c r="D257" s="86" t="s">
        <v>35</v>
      </c>
      <c r="E257" s="86" t="s">
        <v>35</v>
      </c>
      <c r="F257" s="86" t="s">
        <v>36</v>
      </c>
      <c r="G257" s="86">
        <v>1</v>
      </c>
    </row>
    <row r="258" spans="1:7">
      <c r="A258" s="86">
        <v>257</v>
      </c>
      <c r="B258" s="86" t="s">
        <v>3838</v>
      </c>
      <c r="C258" s="86" t="s">
        <v>93</v>
      </c>
      <c r="D258" s="86" t="s">
        <v>35</v>
      </c>
      <c r="E258" s="86" t="s">
        <v>35</v>
      </c>
      <c r="F258" s="86" t="s">
        <v>36</v>
      </c>
      <c r="G258" s="86">
        <v>1</v>
      </c>
    </row>
    <row r="259" spans="1:7">
      <c r="A259" s="86">
        <v>258</v>
      </c>
      <c r="B259" s="86" t="s">
        <v>762</v>
      </c>
      <c r="C259" s="86" t="s">
        <v>93</v>
      </c>
      <c r="D259" s="86" t="s">
        <v>35</v>
      </c>
      <c r="E259" s="86" t="s">
        <v>35</v>
      </c>
      <c r="F259" s="86" t="s">
        <v>36</v>
      </c>
      <c r="G259" s="86">
        <v>1</v>
      </c>
    </row>
    <row r="260" spans="1:7">
      <c r="A260" s="86">
        <v>259</v>
      </c>
      <c r="B260" s="86" t="s">
        <v>1700</v>
      </c>
      <c r="C260" s="86" t="s">
        <v>93</v>
      </c>
      <c r="D260" s="86" t="s">
        <v>35</v>
      </c>
      <c r="E260" s="86" t="s">
        <v>35</v>
      </c>
      <c r="F260" s="86" t="s">
        <v>36</v>
      </c>
      <c r="G260" s="86">
        <v>1</v>
      </c>
    </row>
    <row r="261" spans="1:7">
      <c r="A261" s="86">
        <v>260</v>
      </c>
      <c r="B261" s="86" t="s">
        <v>2531</v>
      </c>
      <c r="C261" s="86" t="s">
        <v>93</v>
      </c>
      <c r="D261" s="86" t="s">
        <v>35</v>
      </c>
      <c r="E261" s="86" t="s">
        <v>35</v>
      </c>
      <c r="F261" s="86" t="s">
        <v>36</v>
      </c>
      <c r="G261" s="86">
        <v>1</v>
      </c>
    </row>
    <row r="262" spans="1:7">
      <c r="A262" s="86">
        <v>261</v>
      </c>
      <c r="B262" s="86" t="s">
        <v>2335</v>
      </c>
      <c r="C262" s="86" t="s">
        <v>93</v>
      </c>
      <c r="D262" s="86" t="s">
        <v>35</v>
      </c>
      <c r="E262" s="86" t="s">
        <v>35</v>
      </c>
      <c r="F262" s="86" t="s">
        <v>36</v>
      </c>
      <c r="G262" s="86">
        <v>1</v>
      </c>
    </row>
    <row r="263" spans="1:7">
      <c r="A263" s="86">
        <v>262</v>
      </c>
      <c r="B263" s="86" t="s">
        <v>2387</v>
      </c>
      <c r="C263" s="86" t="s">
        <v>93</v>
      </c>
      <c r="D263" s="86" t="s">
        <v>35</v>
      </c>
      <c r="E263" s="86" t="s">
        <v>35</v>
      </c>
      <c r="F263" s="86" t="s">
        <v>36</v>
      </c>
      <c r="G263" s="86">
        <v>1</v>
      </c>
    </row>
    <row r="264" spans="1:7">
      <c r="A264" s="86">
        <v>263</v>
      </c>
      <c r="B264" s="86" t="s">
        <v>1835</v>
      </c>
      <c r="C264" s="86" t="s">
        <v>93</v>
      </c>
      <c r="D264" s="86" t="s">
        <v>35</v>
      </c>
      <c r="E264" s="86" t="s">
        <v>35</v>
      </c>
      <c r="F264" s="86" t="s">
        <v>36</v>
      </c>
      <c r="G264" s="86">
        <v>1</v>
      </c>
    </row>
    <row r="265" spans="1:7">
      <c r="A265" s="86">
        <v>264</v>
      </c>
      <c r="B265" s="86" t="s">
        <v>1847</v>
      </c>
      <c r="C265" s="86" t="s">
        <v>93</v>
      </c>
      <c r="D265" s="86" t="s">
        <v>35</v>
      </c>
      <c r="E265" s="86" t="s">
        <v>35</v>
      </c>
      <c r="F265" s="86" t="s">
        <v>36</v>
      </c>
      <c r="G265" s="86">
        <v>1</v>
      </c>
    </row>
    <row r="266" spans="1:7">
      <c r="A266" s="86">
        <v>265</v>
      </c>
      <c r="B266" s="86" t="s">
        <v>1743</v>
      </c>
      <c r="C266" s="86" t="s">
        <v>93</v>
      </c>
      <c r="D266" s="86" t="s">
        <v>35</v>
      </c>
      <c r="E266" s="86" t="s">
        <v>35</v>
      </c>
      <c r="F266" s="86" t="s">
        <v>36</v>
      </c>
      <c r="G266" s="86">
        <v>1</v>
      </c>
    </row>
    <row r="267" spans="1:7">
      <c r="A267" s="86">
        <v>266</v>
      </c>
      <c r="B267" s="86" t="s">
        <v>1770</v>
      </c>
      <c r="C267" s="86" t="s">
        <v>93</v>
      </c>
      <c r="D267" s="86" t="s">
        <v>35</v>
      </c>
      <c r="E267" s="86" t="s">
        <v>35</v>
      </c>
      <c r="F267" s="86" t="s">
        <v>36</v>
      </c>
      <c r="G267" s="86">
        <v>1</v>
      </c>
    </row>
    <row r="268" spans="1:7">
      <c r="A268" s="86">
        <v>267</v>
      </c>
      <c r="B268" s="86" t="s">
        <v>375</v>
      </c>
      <c r="C268" s="86" t="s">
        <v>93</v>
      </c>
      <c r="D268" s="86" t="s">
        <v>35</v>
      </c>
      <c r="E268" s="86" t="s">
        <v>35</v>
      </c>
      <c r="F268" s="86" t="s">
        <v>36</v>
      </c>
      <c r="G268" s="86">
        <v>1</v>
      </c>
    </row>
    <row r="269" spans="1:7">
      <c r="A269" s="86">
        <v>268</v>
      </c>
      <c r="B269" s="86" t="s">
        <v>4859</v>
      </c>
      <c r="C269" s="86" t="s">
        <v>93</v>
      </c>
      <c r="D269" s="86" t="s">
        <v>35</v>
      </c>
      <c r="E269" s="86" t="s">
        <v>35</v>
      </c>
      <c r="F269" s="86" t="s">
        <v>36</v>
      </c>
      <c r="G269" s="86">
        <v>1</v>
      </c>
    </row>
    <row r="270" spans="1:7">
      <c r="A270" s="86">
        <v>269</v>
      </c>
      <c r="B270" s="86" t="s">
        <v>4838</v>
      </c>
      <c r="C270" s="86" t="s">
        <v>93</v>
      </c>
      <c r="D270" s="86" t="s">
        <v>35</v>
      </c>
      <c r="E270" s="86" t="s">
        <v>35</v>
      </c>
      <c r="F270" s="86" t="s">
        <v>36</v>
      </c>
      <c r="G270" s="86">
        <v>1</v>
      </c>
    </row>
    <row r="271" spans="1:7">
      <c r="A271" s="86">
        <v>270</v>
      </c>
      <c r="B271" s="86" t="s">
        <v>1289</v>
      </c>
      <c r="C271" s="86" t="s">
        <v>93</v>
      </c>
      <c r="D271" s="86" t="s">
        <v>35</v>
      </c>
      <c r="E271" s="86" t="s">
        <v>35</v>
      </c>
      <c r="F271" s="86" t="s">
        <v>36</v>
      </c>
      <c r="G271" s="86">
        <v>1</v>
      </c>
    </row>
    <row r="272" spans="1:7">
      <c r="A272" s="86">
        <v>271</v>
      </c>
      <c r="B272" s="86" t="s">
        <v>4763</v>
      </c>
      <c r="C272" s="86" t="s">
        <v>93</v>
      </c>
      <c r="D272" s="86" t="s">
        <v>35</v>
      </c>
      <c r="E272" s="86" t="s">
        <v>35</v>
      </c>
      <c r="F272" s="86" t="s">
        <v>36</v>
      </c>
      <c r="G272" s="86">
        <v>1</v>
      </c>
    </row>
    <row r="273" spans="1:7">
      <c r="A273" s="86">
        <v>272</v>
      </c>
      <c r="B273" s="86" t="s">
        <v>4783</v>
      </c>
      <c r="C273" s="86" t="s">
        <v>93</v>
      </c>
      <c r="D273" s="86" t="s">
        <v>35</v>
      </c>
      <c r="E273" s="86" t="s">
        <v>35</v>
      </c>
      <c r="F273" s="86" t="s">
        <v>36</v>
      </c>
      <c r="G273" s="86">
        <v>1</v>
      </c>
    </row>
    <row r="274" spans="1:7">
      <c r="A274" s="86">
        <v>273</v>
      </c>
      <c r="B274" s="86" t="s">
        <v>3341</v>
      </c>
      <c r="C274" s="86" t="s">
        <v>93</v>
      </c>
      <c r="D274" s="86" t="s">
        <v>35</v>
      </c>
      <c r="E274" s="86" t="s">
        <v>35</v>
      </c>
      <c r="F274" s="86" t="s">
        <v>36</v>
      </c>
      <c r="G274" s="86">
        <v>1</v>
      </c>
    </row>
    <row r="275" spans="1:7">
      <c r="A275" s="86">
        <v>274</v>
      </c>
      <c r="B275" s="86" t="s">
        <v>3890</v>
      </c>
      <c r="C275" s="86" t="s">
        <v>93</v>
      </c>
      <c r="D275" s="86" t="s">
        <v>35</v>
      </c>
      <c r="E275" s="86" t="s">
        <v>35</v>
      </c>
      <c r="F275" s="86" t="s">
        <v>36</v>
      </c>
      <c r="G275" s="86">
        <v>1</v>
      </c>
    </row>
    <row r="276" spans="1:7">
      <c r="A276" s="86">
        <v>275</v>
      </c>
      <c r="B276" s="86" t="s">
        <v>3859</v>
      </c>
      <c r="C276" s="86" t="s">
        <v>93</v>
      </c>
      <c r="D276" s="86" t="s">
        <v>35</v>
      </c>
      <c r="E276" s="86" t="s">
        <v>35</v>
      </c>
      <c r="F276" s="86" t="s">
        <v>36</v>
      </c>
      <c r="G276" s="86">
        <v>1</v>
      </c>
    </row>
    <row r="277" spans="1:7">
      <c r="A277" s="86">
        <v>276</v>
      </c>
      <c r="B277" s="86" t="s">
        <v>1900</v>
      </c>
      <c r="C277" s="86" t="s">
        <v>93</v>
      </c>
      <c r="D277" s="86" t="s">
        <v>35</v>
      </c>
      <c r="E277" s="86" t="s">
        <v>35</v>
      </c>
      <c r="F277" s="86" t="s">
        <v>36</v>
      </c>
      <c r="G277" s="86">
        <v>1</v>
      </c>
    </row>
    <row r="278" spans="1:7">
      <c r="A278" s="86">
        <v>277</v>
      </c>
      <c r="B278" s="86" t="s">
        <v>3897</v>
      </c>
      <c r="C278" s="86" t="s">
        <v>93</v>
      </c>
      <c r="D278" s="86" t="s">
        <v>35</v>
      </c>
      <c r="E278" s="86" t="s">
        <v>35</v>
      </c>
      <c r="F278" s="86" t="s">
        <v>36</v>
      </c>
      <c r="G278" s="86">
        <v>1</v>
      </c>
    </row>
    <row r="279" spans="1:7">
      <c r="A279" s="86">
        <v>278</v>
      </c>
      <c r="B279" s="86" t="s">
        <v>3259</v>
      </c>
      <c r="C279" s="86" t="s">
        <v>93</v>
      </c>
      <c r="D279" s="86" t="s">
        <v>35</v>
      </c>
      <c r="E279" s="86" t="s">
        <v>35</v>
      </c>
      <c r="F279" s="86" t="s">
        <v>36</v>
      </c>
      <c r="G279" s="86">
        <v>1</v>
      </c>
    </row>
    <row r="280" spans="1:7">
      <c r="A280" s="86">
        <v>279</v>
      </c>
      <c r="B280" s="86" t="s">
        <v>3301</v>
      </c>
      <c r="C280" s="86" t="s">
        <v>93</v>
      </c>
      <c r="D280" s="86" t="s">
        <v>35</v>
      </c>
      <c r="E280" s="86" t="s">
        <v>35</v>
      </c>
      <c r="F280" s="86" t="s">
        <v>36</v>
      </c>
      <c r="G280" s="86">
        <v>1</v>
      </c>
    </row>
    <row r="281" spans="1:7">
      <c r="A281" s="86">
        <v>280</v>
      </c>
      <c r="B281" s="86" t="s">
        <v>3308</v>
      </c>
      <c r="C281" s="86" t="s">
        <v>93</v>
      </c>
      <c r="D281" s="86" t="s">
        <v>35</v>
      </c>
      <c r="E281" s="86" t="s">
        <v>35</v>
      </c>
      <c r="F281" s="86" t="s">
        <v>36</v>
      </c>
      <c r="G281" s="86">
        <v>1</v>
      </c>
    </row>
    <row r="282" spans="1:7">
      <c r="A282" s="86">
        <v>281</v>
      </c>
      <c r="B282" s="86" t="s">
        <v>5004</v>
      </c>
      <c r="C282" s="86" t="s">
        <v>93</v>
      </c>
      <c r="D282" s="86" t="s">
        <v>35</v>
      </c>
      <c r="E282" s="86" t="s">
        <v>35</v>
      </c>
      <c r="F282" s="86" t="s">
        <v>36</v>
      </c>
      <c r="G282" s="86">
        <v>1</v>
      </c>
    </row>
    <row r="283" spans="1:7">
      <c r="A283" s="86">
        <v>282</v>
      </c>
      <c r="B283" s="86" t="s">
        <v>5077</v>
      </c>
      <c r="C283" s="86" t="s">
        <v>93</v>
      </c>
      <c r="D283" s="86" t="s">
        <v>35</v>
      </c>
      <c r="E283" s="86" t="s">
        <v>35</v>
      </c>
      <c r="F283" s="86" t="s">
        <v>36</v>
      </c>
      <c r="G283" s="86">
        <v>1</v>
      </c>
    </row>
    <row r="284" spans="1:7">
      <c r="A284" s="86">
        <v>283</v>
      </c>
      <c r="B284" s="86" t="s">
        <v>5470</v>
      </c>
      <c r="C284" s="86" t="s">
        <v>93</v>
      </c>
      <c r="D284" s="86" t="s">
        <v>35</v>
      </c>
      <c r="E284" s="86" t="s">
        <v>35</v>
      </c>
      <c r="F284" s="86" t="s">
        <v>36</v>
      </c>
      <c r="G284" s="86">
        <v>1</v>
      </c>
    </row>
    <row r="285" spans="1:7">
      <c r="A285" s="86">
        <v>284</v>
      </c>
      <c r="B285" s="86" t="s">
        <v>5464</v>
      </c>
      <c r="C285" s="86" t="s">
        <v>93</v>
      </c>
      <c r="D285" s="86" t="s">
        <v>35</v>
      </c>
      <c r="E285" s="86" t="s">
        <v>35</v>
      </c>
      <c r="F285" s="86" t="s">
        <v>36</v>
      </c>
      <c r="G285" s="86">
        <v>1</v>
      </c>
    </row>
    <row r="286" spans="1:7">
      <c r="A286" s="86">
        <v>285</v>
      </c>
      <c r="B286" s="86" t="s">
        <v>5157</v>
      </c>
      <c r="C286" s="86" t="s">
        <v>93</v>
      </c>
      <c r="D286" s="86" t="s">
        <v>35</v>
      </c>
      <c r="E286" s="86" t="s">
        <v>35</v>
      </c>
      <c r="F286" s="86" t="s">
        <v>36</v>
      </c>
      <c r="G286" s="86">
        <v>1</v>
      </c>
    </row>
    <row r="287" spans="1:7">
      <c r="A287" s="86">
        <v>286</v>
      </c>
      <c r="B287" s="86" t="s">
        <v>4970</v>
      </c>
      <c r="C287" s="86" t="s">
        <v>93</v>
      </c>
      <c r="D287" s="86" t="s">
        <v>35</v>
      </c>
      <c r="E287" s="86" t="s">
        <v>35</v>
      </c>
      <c r="F287" s="86" t="s">
        <v>36</v>
      </c>
      <c r="G287" s="86">
        <v>1</v>
      </c>
    </row>
    <row r="288" spans="1:7">
      <c r="A288" s="86">
        <v>287</v>
      </c>
      <c r="B288" s="86" t="s">
        <v>5656</v>
      </c>
      <c r="C288" s="86" t="s">
        <v>93</v>
      </c>
      <c r="D288" s="86" t="s">
        <v>35</v>
      </c>
      <c r="E288" s="86" t="s">
        <v>35</v>
      </c>
      <c r="F288" s="86" t="s">
        <v>36</v>
      </c>
      <c r="G288" s="86">
        <v>1</v>
      </c>
    </row>
    <row r="289" spans="1:7">
      <c r="A289" s="86">
        <v>288</v>
      </c>
      <c r="B289" s="86" t="s">
        <v>650</v>
      </c>
      <c r="C289" s="86" t="s">
        <v>93</v>
      </c>
      <c r="D289" s="86" t="s">
        <v>35</v>
      </c>
      <c r="E289" s="86" t="s">
        <v>35</v>
      </c>
      <c r="F289" s="86" t="s">
        <v>36</v>
      </c>
      <c r="G289" s="86">
        <v>1</v>
      </c>
    </row>
    <row r="290" spans="1:7">
      <c r="A290" s="86">
        <v>289</v>
      </c>
      <c r="B290" s="86" t="s">
        <v>5612</v>
      </c>
      <c r="C290" s="86" t="s">
        <v>93</v>
      </c>
      <c r="D290" s="86" t="s">
        <v>35</v>
      </c>
      <c r="E290" s="86" t="s">
        <v>35</v>
      </c>
      <c r="F290" s="86" t="s">
        <v>36</v>
      </c>
      <c r="G290" s="86">
        <v>1</v>
      </c>
    </row>
    <row r="291" spans="1:7">
      <c r="A291" s="86">
        <v>290</v>
      </c>
      <c r="B291" s="86" t="s">
        <v>5164</v>
      </c>
      <c r="C291" s="86" t="s">
        <v>93</v>
      </c>
      <c r="D291" s="86" t="s">
        <v>35</v>
      </c>
      <c r="E291" s="86" t="s">
        <v>35</v>
      </c>
      <c r="F291" s="86" t="s">
        <v>36</v>
      </c>
      <c r="G291" s="86">
        <v>1</v>
      </c>
    </row>
    <row r="292" spans="1:7">
      <c r="A292" s="86">
        <v>291</v>
      </c>
      <c r="B292" s="86" t="s">
        <v>5524</v>
      </c>
      <c r="C292" s="86" t="s">
        <v>93</v>
      </c>
      <c r="D292" s="86" t="s">
        <v>35</v>
      </c>
      <c r="E292" s="86" t="s">
        <v>35</v>
      </c>
      <c r="F292" s="86" t="s">
        <v>36</v>
      </c>
      <c r="G292" s="86">
        <v>1</v>
      </c>
    </row>
    <row r="293" spans="1:7">
      <c r="A293" s="86">
        <v>292</v>
      </c>
      <c r="B293" s="86" t="s">
        <v>5259</v>
      </c>
      <c r="C293" s="86" t="s">
        <v>93</v>
      </c>
      <c r="D293" s="86" t="s">
        <v>35</v>
      </c>
      <c r="E293" s="86" t="s">
        <v>35</v>
      </c>
      <c r="F293" s="86" t="s">
        <v>36</v>
      </c>
      <c r="G293" s="86">
        <v>1</v>
      </c>
    </row>
    <row r="294" spans="1:7">
      <c r="A294" s="86">
        <v>293</v>
      </c>
      <c r="B294" s="86" t="s">
        <v>5229</v>
      </c>
      <c r="C294" s="86" t="s">
        <v>93</v>
      </c>
      <c r="D294" s="86" t="s">
        <v>35</v>
      </c>
      <c r="E294" s="86" t="s">
        <v>35</v>
      </c>
      <c r="F294" s="86" t="s">
        <v>36</v>
      </c>
      <c r="G294" s="86">
        <v>1</v>
      </c>
    </row>
    <row r="295" spans="1:7">
      <c r="A295" s="86">
        <v>294</v>
      </c>
      <c r="B295" s="86" t="s">
        <v>6314</v>
      </c>
      <c r="C295" s="86" t="s">
        <v>93</v>
      </c>
      <c r="D295" s="86" t="s">
        <v>35</v>
      </c>
      <c r="E295" s="86" t="s">
        <v>35</v>
      </c>
      <c r="F295" s="86" t="s">
        <v>36</v>
      </c>
      <c r="G295" s="86">
        <v>1</v>
      </c>
    </row>
    <row r="296" spans="1:7">
      <c r="A296" s="86">
        <v>295</v>
      </c>
      <c r="B296" s="86" t="s">
        <v>6275</v>
      </c>
      <c r="C296" s="86" t="s">
        <v>93</v>
      </c>
      <c r="D296" s="86" t="s">
        <v>35</v>
      </c>
      <c r="E296" s="86" t="s">
        <v>35</v>
      </c>
      <c r="F296" s="86" t="s">
        <v>36</v>
      </c>
      <c r="G296" s="86">
        <v>1</v>
      </c>
    </row>
    <row r="297" spans="1:7">
      <c r="A297" s="86">
        <v>296</v>
      </c>
      <c r="B297" s="86" t="s">
        <v>6478</v>
      </c>
      <c r="C297" s="86" t="s">
        <v>93</v>
      </c>
      <c r="D297" s="86" t="s">
        <v>35</v>
      </c>
      <c r="E297" s="86" t="s">
        <v>35</v>
      </c>
      <c r="F297" s="86" t="s">
        <v>36</v>
      </c>
      <c r="G297" s="86">
        <v>1</v>
      </c>
    </row>
    <row r="298" spans="1:7">
      <c r="A298" s="86">
        <v>297</v>
      </c>
      <c r="B298" s="86" t="s">
        <v>6328</v>
      </c>
      <c r="C298" s="86" t="s">
        <v>93</v>
      </c>
      <c r="D298" s="86" t="s">
        <v>35</v>
      </c>
      <c r="E298" s="86" t="s">
        <v>35</v>
      </c>
      <c r="F298" s="86" t="s">
        <v>36</v>
      </c>
      <c r="G298" s="86">
        <v>1</v>
      </c>
    </row>
    <row r="299" spans="1:7">
      <c r="A299" s="86">
        <v>298</v>
      </c>
      <c r="B299" s="86" t="s">
        <v>6335</v>
      </c>
      <c r="C299" s="86" t="s">
        <v>93</v>
      </c>
      <c r="D299" s="86" t="s">
        <v>35</v>
      </c>
      <c r="E299" s="86" t="s">
        <v>35</v>
      </c>
      <c r="F299" s="86" t="s">
        <v>36</v>
      </c>
      <c r="G299" s="86">
        <v>1</v>
      </c>
    </row>
    <row r="300" spans="1:7">
      <c r="A300" s="86">
        <v>299</v>
      </c>
      <c r="B300" s="86" t="s">
        <v>6236</v>
      </c>
      <c r="C300" s="86" t="s">
        <v>93</v>
      </c>
      <c r="D300" s="86" t="s">
        <v>35</v>
      </c>
      <c r="E300" s="86" t="s">
        <v>35</v>
      </c>
      <c r="F300" s="86" t="s">
        <v>36</v>
      </c>
      <c r="G300" s="86">
        <v>1</v>
      </c>
    </row>
    <row r="301" spans="1:7">
      <c r="A301" s="86">
        <v>300</v>
      </c>
      <c r="B301" s="86" t="s">
        <v>9333</v>
      </c>
      <c r="C301" s="86" t="s">
        <v>93</v>
      </c>
      <c r="D301" s="86" t="s">
        <v>35</v>
      </c>
      <c r="E301" s="86" t="s">
        <v>35</v>
      </c>
      <c r="F301" s="86" t="s">
        <v>36</v>
      </c>
      <c r="G301" s="86">
        <v>1</v>
      </c>
    </row>
    <row r="302" spans="1:7">
      <c r="A302" s="86">
        <v>301</v>
      </c>
      <c r="B302" s="86" t="s">
        <v>6112</v>
      </c>
      <c r="C302" s="86" t="s">
        <v>93</v>
      </c>
      <c r="D302" s="86" t="s">
        <v>35</v>
      </c>
      <c r="E302" s="86" t="s">
        <v>35</v>
      </c>
      <c r="F302" s="86" t="s">
        <v>36</v>
      </c>
      <c r="G302" s="86">
        <v>1</v>
      </c>
    </row>
    <row r="303" spans="1:7">
      <c r="A303" s="86">
        <v>302</v>
      </c>
      <c r="B303" s="86" t="s">
        <v>6660</v>
      </c>
      <c r="C303" s="86" t="s">
        <v>93</v>
      </c>
      <c r="D303" s="86" t="s">
        <v>35</v>
      </c>
      <c r="E303" s="86" t="s">
        <v>35</v>
      </c>
      <c r="F303" s="86" t="s">
        <v>36</v>
      </c>
      <c r="G303" s="86">
        <v>1</v>
      </c>
    </row>
    <row r="304" spans="1:7">
      <c r="A304" s="86">
        <v>303</v>
      </c>
      <c r="B304" s="86" t="s">
        <v>6621</v>
      </c>
      <c r="C304" s="86" t="s">
        <v>93</v>
      </c>
      <c r="D304" s="86" t="s">
        <v>35</v>
      </c>
      <c r="E304" s="86" t="s">
        <v>35</v>
      </c>
      <c r="F304" s="86" t="s">
        <v>36</v>
      </c>
      <c r="G304" s="86">
        <v>1</v>
      </c>
    </row>
    <row r="305" spans="1:7">
      <c r="A305" s="86">
        <v>304</v>
      </c>
      <c r="B305" s="86" t="s">
        <v>6627</v>
      </c>
      <c r="C305" s="86" t="s">
        <v>93</v>
      </c>
      <c r="D305" s="86" t="s">
        <v>35</v>
      </c>
      <c r="E305" s="86" t="s">
        <v>35</v>
      </c>
      <c r="F305" s="86" t="s">
        <v>36</v>
      </c>
      <c r="G305" s="86">
        <v>1</v>
      </c>
    </row>
    <row r="306" spans="1:7">
      <c r="A306" s="86">
        <v>305</v>
      </c>
      <c r="B306" s="86" t="s">
        <v>6653</v>
      </c>
      <c r="C306" s="86" t="s">
        <v>93</v>
      </c>
      <c r="D306" s="86" t="s">
        <v>35</v>
      </c>
      <c r="E306" s="86" t="s">
        <v>35</v>
      </c>
      <c r="F306" s="86" t="s">
        <v>36</v>
      </c>
      <c r="G306" s="86">
        <v>1</v>
      </c>
    </row>
    <row r="307" spans="1:7">
      <c r="A307" s="86">
        <v>306</v>
      </c>
      <c r="B307" s="86" t="s">
        <v>6634</v>
      </c>
      <c r="C307" s="86" t="s">
        <v>93</v>
      </c>
      <c r="D307" s="86" t="s">
        <v>35</v>
      </c>
      <c r="E307" s="86" t="s">
        <v>35</v>
      </c>
      <c r="F307" s="86" t="s">
        <v>36</v>
      </c>
      <c r="G307" s="86">
        <v>1</v>
      </c>
    </row>
    <row r="308" spans="1:7">
      <c r="A308" s="86">
        <v>307</v>
      </c>
      <c r="B308" s="86" t="s">
        <v>6297</v>
      </c>
      <c r="C308" s="86" t="s">
        <v>93</v>
      </c>
      <c r="D308" s="86" t="s">
        <v>35</v>
      </c>
      <c r="E308" s="86" t="s">
        <v>35</v>
      </c>
      <c r="F308" s="86" t="s">
        <v>36</v>
      </c>
      <c r="G308" s="86">
        <v>1</v>
      </c>
    </row>
    <row r="309" spans="1:7">
      <c r="A309" s="86">
        <v>308</v>
      </c>
      <c r="B309" s="86" t="s">
        <v>6460</v>
      </c>
      <c r="C309" s="86" t="s">
        <v>93</v>
      </c>
      <c r="D309" s="86" t="s">
        <v>35</v>
      </c>
      <c r="E309" s="86" t="s">
        <v>35</v>
      </c>
      <c r="F309" s="86" t="s">
        <v>36</v>
      </c>
      <c r="G309" s="86">
        <v>1</v>
      </c>
    </row>
    <row r="310" spans="1:7">
      <c r="A310" s="86">
        <v>309</v>
      </c>
      <c r="B310" s="86" t="s">
        <v>6491</v>
      </c>
      <c r="C310" s="86" t="s">
        <v>93</v>
      </c>
      <c r="D310" s="86" t="s">
        <v>35</v>
      </c>
      <c r="E310" s="86" t="s">
        <v>35</v>
      </c>
      <c r="F310" s="86" t="s">
        <v>36</v>
      </c>
      <c r="G310" s="86">
        <v>1</v>
      </c>
    </row>
    <row r="311" spans="1:7">
      <c r="A311" s="86">
        <v>310</v>
      </c>
      <c r="B311" s="86" t="s">
        <v>6447</v>
      </c>
      <c r="C311" s="86" t="s">
        <v>93</v>
      </c>
      <c r="D311" s="86" t="s">
        <v>35</v>
      </c>
      <c r="E311" s="86" t="s">
        <v>35</v>
      </c>
      <c r="F311" s="86" t="s">
        <v>36</v>
      </c>
      <c r="G311" s="86">
        <v>1</v>
      </c>
    </row>
    <row r="312" spans="1:7">
      <c r="A312" s="86">
        <v>311</v>
      </c>
      <c r="B312" s="86" t="s">
        <v>6466</v>
      </c>
      <c r="C312" s="86" t="s">
        <v>93</v>
      </c>
      <c r="D312" s="86" t="s">
        <v>35</v>
      </c>
      <c r="E312" s="86" t="s">
        <v>35</v>
      </c>
      <c r="F312" s="86" t="s">
        <v>36</v>
      </c>
      <c r="G312" s="86">
        <v>1</v>
      </c>
    </row>
    <row r="313" spans="1:7">
      <c r="A313" s="86">
        <v>312</v>
      </c>
      <c r="B313" s="86" t="s">
        <v>6454</v>
      </c>
      <c r="C313" s="86" t="s">
        <v>93</v>
      </c>
      <c r="D313" s="86" t="s">
        <v>35</v>
      </c>
      <c r="E313" s="86" t="s">
        <v>35</v>
      </c>
      <c r="F313" s="86" t="s">
        <v>36</v>
      </c>
      <c r="G313" s="86">
        <v>1</v>
      </c>
    </row>
    <row r="314" spans="1:7">
      <c r="A314" s="86">
        <v>313</v>
      </c>
      <c r="B314" s="86" t="s">
        <v>6472</v>
      </c>
      <c r="C314" s="86" t="s">
        <v>93</v>
      </c>
      <c r="D314" s="86" t="s">
        <v>35</v>
      </c>
      <c r="E314" s="86" t="s">
        <v>35</v>
      </c>
      <c r="F314" s="86" t="s">
        <v>36</v>
      </c>
      <c r="G314" s="86">
        <v>1</v>
      </c>
    </row>
    <row r="315" spans="1:7">
      <c r="A315" s="86">
        <v>314</v>
      </c>
      <c r="B315" s="86" t="s">
        <v>6690</v>
      </c>
      <c r="C315" s="86" t="s">
        <v>93</v>
      </c>
      <c r="D315" s="86" t="s">
        <v>35</v>
      </c>
      <c r="E315" s="86" t="s">
        <v>35</v>
      </c>
      <c r="F315" s="86" t="s">
        <v>36</v>
      </c>
      <c r="G315" s="86">
        <v>1</v>
      </c>
    </row>
    <row r="316" spans="1:7">
      <c r="A316" s="86">
        <v>315</v>
      </c>
      <c r="B316" s="86" t="s">
        <v>6126</v>
      </c>
      <c r="C316" s="86" t="s">
        <v>93</v>
      </c>
      <c r="D316" s="86" t="s">
        <v>35</v>
      </c>
      <c r="E316" s="86" t="s">
        <v>35</v>
      </c>
      <c r="F316" s="86" t="s">
        <v>36</v>
      </c>
      <c r="G316" s="86">
        <v>1</v>
      </c>
    </row>
    <row r="317" spans="1:7">
      <c r="A317" s="86">
        <v>316</v>
      </c>
      <c r="B317" s="86" t="s">
        <v>6150</v>
      </c>
      <c r="C317" s="86" t="s">
        <v>93</v>
      </c>
      <c r="D317" s="86" t="s">
        <v>35</v>
      </c>
      <c r="E317" s="86" t="s">
        <v>35</v>
      </c>
      <c r="F317" s="86" t="s">
        <v>36</v>
      </c>
      <c r="G317" s="86">
        <v>1</v>
      </c>
    </row>
    <row r="318" spans="1:7">
      <c r="A318" s="86">
        <v>317</v>
      </c>
      <c r="B318" s="86" t="s">
        <v>6170</v>
      </c>
      <c r="C318" s="86" t="s">
        <v>93</v>
      </c>
      <c r="D318" s="86" t="s">
        <v>35</v>
      </c>
      <c r="E318" s="86" t="s">
        <v>35</v>
      </c>
      <c r="F318" s="86" t="s">
        <v>36</v>
      </c>
      <c r="G318" s="86">
        <v>1</v>
      </c>
    </row>
    <row r="319" spans="1:7">
      <c r="A319" s="86">
        <v>318</v>
      </c>
      <c r="B319" s="86" t="s">
        <v>6185</v>
      </c>
      <c r="C319" s="86" t="s">
        <v>9334</v>
      </c>
      <c r="D319" s="86" t="s">
        <v>35</v>
      </c>
      <c r="E319" s="86" t="s">
        <v>35</v>
      </c>
      <c r="F319" s="86" t="s">
        <v>36</v>
      </c>
      <c r="G319" s="86">
        <v>1</v>
      </c>
    </row>
    <row r="320" spans="1:7">
      <c r="A320" s="86">
        <v>319</v>
      </c>
      <c r="B320" s="86" t="s">
        <v>6760</v>
      </c>
      <c r="C320" s="86" t="s">
        <v>9335</v>
      </c>
      <c r="D320" s="86" t="s">
        <v>35</v>
      </c>
      <c r="E320" s="86" t="s">
        <v>35</v>
      </c>
      <c r="F320" s="86" t="s">
        <v>36</v>
      </c>
      <c r="G320" s="86">
        <v>1</v>
      </c>
    </row>
    <row r="321" spans="1:7">
      <c r="A321" s="86">
        <v>320</v>
      </c>
      <c r="B321" s="86" t="s">
        <v>6600</v>
      </c>
      <c r="C321" s="86" t="s">
        <v>9335</v>
      </c>
      <c r="D321" s="86" t="s">
        <v>35</v>
      </c>
      <c r="E321" s="86" t="s">
        <v>35</v>
      </c>
      <c r="F321" s="86" t="s">
        <v>36</v>
      </c>
      <c r="G321" s="86">
        <v>1</v>
      </c>
    </row>
    <row r="322" spans="1:7">
      <c r="A322" s="86">
        <v>321</v>
      </c>
      <c r="B322" s="86" t="s">
        <v>5693</v>
      </c>
      <c r="C322" s="86" t="s">
        <v>9335</v>
      </c>
      <c r="D322" s="86" t="s">
        <v>35</v>
      </c>
      <c r="E322" s="86" t="s">
        <v>35</v>
      </c>
      <c r="F322" s="86" t="s">
        <v>36</v>
      </c>
      <c r="G322" s="86">
        <v>1</v>
      </c>
    </row>
    <row r="323" spans="1:7">
      <c r="A323" s="86">
        <v>322</v>
      </c>
      <c r="B323" s="86" t="s">
        <v>3245</v>
      </c>
      <c r="C323" s="86" t="s">
        <v>9335</v>
      </c>
      <c r="D323" s="86" t="s">
        <v>35</v>
      </c>
      <c r="E323" s="86" t="s">
        <v>35</v>
      </c>
      <c r="F323" s="86" t="s">
        <v>36</v>
      </c>
      <c r="G323" s="86">
        <v>1</v>
      </c>
    </row>
    <row r="324" spans="1:7">
      <c r="A324" s="86">
        <v>323</v>
      </c>
      <c r="B324" s="86" t="s">
        <v>3289</v>
      </c>
      <c r="C324" s="86" t="s">
        <v>9335</v>
      </c>
      <c r="D324" s="86" t="s">
        <v>35</v>
      </c>
      <c r="E324" s="86" t="s">
        <v>35</v>
      </c>
      <c r="F324" s="86" t="s">
        <v>36</v>
      </c>
      <c r="G324" s="86">
        <v>1</v>
      </c>
    </row>
    <row r="325" spans="1:7">
      <c r="A325" s="86">
        <v>324</v>
      </c>
      <c r="B325" s="86" t="s">
        <v>3335</v>
      </c>
      <c r="C325" s="86" t="s">
        <v>9335</v>
      </c>
      <c r="D325" s="86" t="s">
        <v>35</v>
      </c>
      <c r="E325" s="86" t="s">
        <v>35</v>
      </c>
      <c r="F325" s="86" t="s">
        <v>36</v>
      </c>
      <c r="G325" s="86">
        <v>1</v>
      </c>
    </row>
    <row r="326" spans="1:7">
      <c r="A326" s="86">
        <v>325</v>
      </c>
      <c r="B326" s="86" t="s">
        <v>1595</v>
      </c>
      <c r="C326" s="86" t="s">
        <v>9335</v>
      </c>
      <c r="D326" s="86" t="s">
        <v>35</v>
      </c>
      <c r="E326" s="86" t="s">
        <v>35</v>
      </c>
      <c r="F326" s="86" t="s">
        <v>36</v>
      </c>
      <c r="G326" s="86">
        <v>1</v>
      </c>
    </row>
    <row r="327" spans="1:7">
      <c r="A327" s="86">
        <v>326</v>
      </c>
      <c r="B327" s="86" t="s">
        <v>3448</v>
      </c>
      <c r="C327" s="86" t="s">
        <v>9335</v>
      </c>
      <c r="D327" s="86" t="s">
        <v>35</v>
      </c>
      <c r="E327" s="86" t="s">
        <v>35</v>
      </c>
      <c r="F327" s="86" t="s">
        <v>36</v>
      </c>
      <c r="G327" s="86">
        <v>1</v>
      </c>
    </row>
    <row r="328" spans="1:7">
      <c r="A328" s="86">
        <v>327</v>
      </c>
      <c r="B328" s="86" t="s">
        <v>3129</v>
      </c>
      <c r="C328" s="86" t="s">
        <v>9335</v>
      </c>
      <c r="D328" s="86" t="s">
        <v>35</v>
      </c>
      <c r="E328" s="86" t="s">
        <v>35</v>
      </c>
      <c r="F328" s="86" t="s">
        <v>36</v>
      </c>
      <c r="G328" s="86">
        <v>1</v>
      </c>
    </row>
    <row r="329" spans="1:7">
      <c r="A329" s="86">
        <v>328</v>
      </c>
      <c r="B329" s="86" t="s">
        <v>2956</v>
      </c>
      <c r="C329" s="86" t="s">
        <v>9335</v>
      </c>
      <c r="D329" s="86" t="s">
        <v>35</v>
      </c>
      <c r="E329" s="86" t="s">
        <v>35</v>
      </c>
      <c r="F329" s="86" t="s">
        <v>36</v>
      </c>
      <c r="G329" s="86">
        <v>1</v>
      </c>
    </row>
    <row r="330" spans="1:7">
      <c r="A330" s="86">
        <v>329</v>
      </c>
      <c r="B330" s="86" t="s">
        <v>1058</v>
      </c>
      <c r="C330" s="86" t="s">
        <v>9335</v>
      </c>
      <c r="D330" s="86" t="s">
        <v>35</v>
      </c>
      <c r="E330" s="86" t="s">
        <v>35</v>
      </c>
      <c r="F330" s="86" t="s">
        <v>36</v>
      </c>
      <c r="G330" s="86">
        <v>1</v>
      </c>
    </row>
    <row r="331" spans="1:7">
      <c r="A331" s="86">
        <v>330</v>
      </c>
      <c r="B331" s="86" t="s">
        <v>9336</v>
      </c>
      <c r="C331" s="86" t="s">
        <v>9335</v>
      </c>
      <c r="D331" s="86" t="s">
        <v>35</v>
      </c>
      <c r="E331" s="86" t="s">
        <v>35</v>
      </c>
      <c r="F331" s="86" t="s">
        <v>36</v>
      </c>
      <c r="G331" s="86">
        <v>1</v>
      </c>
    </row>
    <row r="332" spans="1:7">
      <c r="A332" s="86">
        <v>331</v>
      </c>
      <c r="B332" s="86" t="s">
        <v>5484</v>
      </c>
      <c r="C332" s="86" t="s">
        <v>9335</v>
      </c>
      <c r="D332" s="86" t="s">
        <v>35</v>
      </c>
      <c r="E332" s="86" t="s">
        <v>35</v>
      </c>
      <c r="F332" s="86" t="s">
        <v>9337</v>
      </c>
      <c r="G332" s="86">
        <v>1</v>
      </c>
    </row>
    <row r="333" spans="1:7">
      <c r="A333" s="86">
        <v>332</v>
      </c>
      <c r="B333" s="86" t="s">
        <v>1070</v>
      </c>
      <c r="C333" s="86" t="s">
        <v>9335</v>
      </c>
      <c r="D333" s="86" t="s">
        <v>35</v>
      </c>
      <c r="E333" s="86" t="s">
        <v>35</v>
      </c>
      <c r="F333" s="86" t="s">
        <v>36</v>
      </c>
      <c r="G333" s="86">
        <v>1</v>
      </c>
    </row>
    <row r="334" spans="1:7">
      <c r="A334" s="86">
        <v>333</v>
      </c>
      <c r="B334" s="86" t="s">
        <v>9338</v>
      </c>
      <c r="C334" s="86" t="s">
        <v>9335</v>
      </c>
      <c r="D334" s="86" t="s">
        <v>35</v>
      </c>
      <c r="E334" s="86" t="s">
        <v>35</v>
      </c>
      <c r="F334" s="86" t="s">
        <v>36</v>
      </c>
      <c r="G334" s="86">
        <v>1</v>
      </c>
    </row>
    <row r="335" spans="1:7">
      <c r="A335" s="86">
        <v>334</v>
      </c>
      <c r="B335" s="86" t="s">
        <v>2289</v>
      </c>
      <c r="C335" s="86" t="s">
        <v>9335</v>
      </c>
      <c r="D335" s="86" t="s">
        <v>35</v>
      </c>
      <c r="E335" s="86" t="s">
        <v>35</v>
      </c>
      <c r="F335" s="86" t="s">
        <v>36</v>
      </c>
      <c r="G335" s="86">
        <v>1</v>
      </c>
    </row>
    <row r="336" spans="1:7">
      <c r="A336" s="86">
        <v>335</v>
      </c>
      <c r="B336" s="86" t="s">
        <v>576</v>
      </c>
      <c r="C336" s="86" t="s">
        <v>9335</v>
      </c>
      <c r="D336" s="86" t="s">
        <v>35</v>
      </c>
      <c r="E336" s="86" t="s">
        <v>35</v>
      </c>
      <c r="F336" s="86" t="s">
        <v>36</v>
      </c>
      <c r="G336" s="86">
        <v>1</v>
      </c>
    </row>
    <row r="337" spans="1:7">
      <c r="A337" s="86">
        <v>336</v>
      </c>
      <c r="B337" s="86" t="s">
        <v>583</v>
      </c>
      <c r="C337" s="86" t="s">
        <v>9335</v>
      </c>
      <c r="D337" s="86" t="s">
        <v>35</v>
      </c>
      <c r="E337" s="86" t="s">
        <v>35</v>
      </c>
      <c r="F337" s="86" t="s">
        <v>36</v>
      </c>
      <c r="G337" s="86">
        <v>1</v>
      </c>
    </row>
    <row r="338" spans="1:7">
      <c r="A338" s="86">
        <v>337</v>
      </c>
      <c r="B338" s="86" t="s">
        <v>5769</v>
      </c>
      <c r="C338" s="86" t="s">
        <v>9335</v>
      </c>
      <c r="D338" s="86" t="s">
        <v>35</v>
      </c>
      <c r="E338" s="86" t="s">
        <v>35</v>
      </c>
      <c r="F338" s="86" t="s">
        <v>36</v>
      </c>
      <c r="G338" s="86">
        <v>1</v>
      </c>
    </row>
    <row r="339" spans="1:7">
      <c r="A339" s="86">
        <v>338</v>
      </c>
      <c r="B339" s="86" t="s">
        <v>4826</v>
      </c>
      <c r="C339" s="86" t="s">
        <v>9335</v>
      </c>
      <c r="D339" s="86" t="s">
        <v>35</v>
      </c>
      <c r="E339" s="86" t="s">
        <v>35</v>
      </c>
      <c r="F339" s="86" t="s">
        <v>36</v>
      </c>
      <c r="G339" s="86">
        <v>1</v>
      </c>
    </row>
    <row r="340" spans="1:7">
      <c r="A340" s="86">
        <v>339</v>
      </c>
      <c r="B340" s="86" t="s">
        <v>1257</v>
      </c>
      <c r="C340" s="86" t="s">
        <v>9335</v>
      </c>
      <c r="D340" s="86" t="s">
        <v>35</v>
      </c>
      <c r="E340" s="86" t="s">
        <v>35</v>
      </c>
      <c r="F340" s="86" t="s">
        <v>36</v>
      </c>
      <c r="G340" s="86">
        <v>1</v>
      </c>
    </row>
    <row r="341" spans="1:7">
      <c r="A341" s="86">
        <v>340</v>
      </c>
      <c r="B341" s="86" t="s">
        <v>506</v>
      </c>
      <c r="C341" s="86" t="s">
        <v>9335</v>
      </c>
      <c r="D341" s="86" t="s">
        <v>35</v>
      </c>
      <c r="E341" s="86" t="s">
        <v>35</v>
      </c>
      <c r="F341" s="86" t="s">
        <v>36</v>
      </c>
      <c r="G341" s="86">
        <v>1</v>
      </c>
    </row>
    <row r="342" spans="1:7">
      <c r="A342" s="86">
        <v>341</v>
      </c>
      <c r="B342" s="86" t="s">
        <v>787</v>
      </c>
      <c r="C342" s="86" t="s">
        <v>9335</v>
      </c>
      <c r="D342" s="86" t="s">
        <v>35</v>
      </c>
      <c r="E342" s="86" t="s">
        <v>35</v>
      </c>
      <c r="F342" s="86" t="s">
        <v>36</v>
      </c>
      <c r="G342" s="86">
        <v>1</v>
      </c>
    </row>
    <row r="343" spans="1:7">
      <c r="A343" s="86">
        <v>342</v>
      </c>
      <c r="B343" s="86" t="s">
        <v>1082</v>
      </c>
      <c r="C343" s="86" t="s">
        <v>9335</v>
      </c>
      <c r="D343" s="86" t="s">
        <v>35</v>
      </c>
      <c r="E343" s="86" t="s">
        <v>35</v>
      </c>
      <c r="F343" s="86" t="s">
        <v>36</v>
      </c>
      <c r="G343" s="86">
        <v>1</v>
      </c>
    </row>
    <row r="344" spans="1:7">
      <c r="A344" s="86">
        <v>343</v>
      </c>
      <c r="B344" s="86" t="s">
        <v>1076</v>
      </c>
      <c r="C344" s="86" t="s">
        <v>9335</v>
      </c>
      <c r="D344" s="86" t="s">
        <v>35</v>
      </c>
      <c r="E344" s="86" t="s">
        <v>35</v>
      </c>
      <c r="F344" s="86" t="s">
        <v>36</v>
      </c>
      <c r="G344" s="86">
        <v>1</v>
      </c>
    </row>
    <row r="345" spans="1:7">
      <c r="A345" s="86">
        <v>344</v>
      </c>
      <c r="B345" s="86" t="s">
        <v>1981</v>
      </c>
      <c r="C345" s="86" t="s">
        <v>9335</v>
      </c>
      <c r="D345" s="86" t="s">
        <v>35</v>
      </c>
      <c r="E345" s="86" t="s">
        <v>35</v>
      </c>
      <c r="F345" s="86" t="s">
        <v>36</v>
      </c>
      <c r="G345" s="86">
        <v>1</v>
      </c>
    </row>
    <row r="346" spans="1:7">
      <c r="A346" s="86">
        <v>345</v>
      </c>
      <c r="B346" s="86" t="s">
        <v>8430</v>
      </c>
      <c r="C346" s="86" t="s">
        <v>9335</v>
      </c>
      <c r="D346" s="86" t="s">
        <v>35</v>
      </c>
      <c r="E346" s="86" t="s">
        <v>35</v>
      </c>
      <c r="F346" s="86" t="s">
        <v>36</v>
      </c>
      <c r="G346" s="86">
        <v>1</v>
      </c>
    </row>
    <row r="347" spans="1:7">
      <c r="A347" s="86">
        <v>346</v>
      </c>
      <c r="B347" s="86" t="s">
        <v>239</v>
      </c>
      <c r="C347" s="86" t="s">
        <v>234</v>
      </c>
      <c r="D347" s="86" t="s">
        <v>35</v>
      </c>
      <c r="E347" s="86" t="s">
        <v>35</v>
      </c>
      <c r="F347" s="86" t="s">
        <v>36</v>
      </c>
      <c r="G347" s="86">
        <v>1</v>
      </c>
    </row>
    <row r="348" spans="1:7">
      <c r="A348" s="86">
        <v>347</v>
      </c>
      <c r="B348" s="86" t="s">
        <v>3328</v>
      </c>
      <c r="C348" s="86" t="s">
        <v>234</v>
      </c>
      <c r="D348" s="86" t="s">
        <v>35</v>
      </c>
      <c r="E348" s="86" t="s">
        <v>35</v>
      </c>
      <c r="F348" s="86" t="s">
        <v>36</v>
      </c>
      <c r="G348" s="86">
        <v>1</v>
      </c>
    </row>
    <row r="349" spans="1:7">
      <c r="A349" s="86">
        <v>348</v>
      </c>
      <c r="B349" s="86" t="s">
        <v>6177</v>
      </c>
      <c r="C349" s="86" t="s">
        <v>234</v>
      </c>
      <c r="D349" s="86" t="s">
        <v>35</v>
      </c>
      <c r="E349" s="86" t="s">
        <v>35</v>
      </c>
      <c r="F349" s="86" t="s">
        <v>36</v>
      </c>
      <c r="G349" s="86">
        <v>1</v>
      </c>
    </row>
    <row r="350" spans="1:7">
      <c r="A350" s="86">
        <v>349</v>
      </c>
      <c r="B350" s="86" t="s">
        <v>5110</v>
      </c>
      <c r="C350" s="86" t="s">
        <v>466</v>
      </c>
      <c r="D350" s="86" t="s">
        <v>35</v>
      </c>
      <c r="E350" s="86" t="s">
        <v>35</v>
      </c>
      <c r="F350" s="86" t="s">
        <v>36</v>
      </c>
      <c r="G350" s="86">
        <v>1</v>
      </c>
    </row>
    <row r="351" spans="1:7">
      <c r="A351" s="86">
        <v>350</v>
      </c>
      <c r="B351" s="86" t="s">
        <v>5092</v>
      </c>
      <c r="C351" s="86" t="s">
        <v>466</v>
      </c>
      <c r="D351" s="86" t="s">
        <v>35</v>
      </c>
      <c r="E351" s="86" t="s">
        <v>35</v>
      </c>
      <c r="F351" s="86" t="s">
        <v>36</v>
      </c>
      <c r="G351" s="86">
        <v>1</v>
      </c>
    </row>
    <row r="352" spans="1:7">
      <c r="A352" s="86">
        <v>351</v>
      </c>
      <c r="B352" s="86" t="s">
        <v>5086</v>
      </c>
      <c r="C352" s="86" t="s">
        <v>466</v>
      </c>
      <c r="D352" s="86" t="s">
        <v>35</v>
      </c>
      <c r="E352" s="86" t="s">
        <v>35</v>
      </c>
      <c r="F352" s="86" t="s">
        <v>36</v>
      </c>
      <c r="G352" s="86">
        <v>1</v>
      </c>
    </row>
    <row r="353" spans="1:7">
      <c r="A353" s="86">
        <v>352</v>
      </c>
      <c r="B353" s="86" t="s">
        <v>471</v>
      </c>
      <c r="C353" s="86" t="s">
        <v>466</v>
      </c>
      <c r="D353" s="86" t="s">
        <v>35</v>
      </c>
      <c r="E353" s="86" t="s">
        <v>35</v>
      </c>
      <c r="F353" s="86" t="s">
        <v>36</v>
      </c>
      <c r="G353" s="86">
        <v>1</v>
      </c>
    </row>
    <row r="354" spans="1:7">
      <c r="A354" s="86">
        <v>353</v>
      </c>
      <c r="B354" s="86" t="s">
        <v>555</v>
      </c>
      <c r="C354" s="86" t="s">
        <v>466</v>
      </c>
      <c r="D354" s="86" t="s">
        <v>35</v>
      </c>
      <c r="E354" s="86" t="s">
        <v>35</v>
      </c>
      <c r="F354" s="86" t="s">
        <v>36</v>
      </c>
      <c r="G354" s="86">
        <v>1</v>
      </c>
    </row>
    <row r="355" spans="1:7">
      <c r="A355" s="86">
        <v>354</v>
      </c>
      <c r="B355" s="86" t="s">
        <v>6283</v>
      </c>
      <c r="C355" s="86" t="s">
        <v>378</v>
      </c>
      <c r="D355" s="86" t="s">
        <v>35</v>
      </c>
      <c r="E355" s="86" t="s">
        <v>35</v>
      </c>
      <c r="F355" s="86" t="s">
        <v>36</v>
      </c>
      <c r="G355" s="86">
        <v>1</v>
      </c>
    </row>
    <row r="356" spans="1:7">
      <c r="A356" s="86">
        <v>355</v>
      </c>
      <c r="B356" s="86" t="s">
        <v>2205</v>
      </c>
      <c r="C356" s="86" t="s">
        <v>378</v>
      </c>
      <c r="D356" s="86" t="s">
        <v>35</v>
      </c>
      <c r="E356" s="86" t="s">
        <v>35</v>
      </c>
      <c r="F356" s="86" t="s">
        <v>36</v>
      </c>
      <c r="G356" s="86">
        <v>1</v>
      </c>
    </row>
    <row r="357" spans="1:7">
      <c r="A357" s="86">
        <v>356</v>
      </c>
      <c r="B357" s="86" t="s">
        <v>610</v>
      </c>
      <c r="C357" s="86" t="s">
        <v>378</v>
      </c>
      <c r="D357" s="86" t="s">
        <v>35</v>
      </c>
      <c r="E357" s="86" t="s">
        <v>35</v>
      </c>
      <c r="F357" s="86" t="s">
        <v>36</v>
      </c>
      <c r="G357" s="86">
        <v>1</v>
      </c>
    </row>
    <row r="358" spans="1:7">
      <c r="A358" s="86">
        <v>357</v>
      </c>
      <c r="B358" s="86" t="s">
        <v>616</v>
      </c>
      <c r="C358" s="86" t="s">
        <v>378</v>
      </c>
      <c r="D358" s="86" t="s">
        <v>35</v>
      </c>
      <c r="E358" s="86" t="s">
        <v>35</v>
      </c>
      <c r="F358" s="86" t="s">
        <v>36</v>
      </c>
      <c r="G358" s="86">
        <v>1</v>
      </c>
    </row>
    <row r="359" spans="1:7">
      <c r="A359" s="86">
        <v>358</v>
      </c>
      <c r="B359" s="86" t="s">
        <v>5762</v>
      </c>
      <c r="C359" s="86" t="s">
        <v>378</v>
      </c>
      <c r="D359" s="86" t="s">
        <v>35</v>
      </c>
      <c r="E359" s="86" t="s">
        <v>35</v>
      </c>
      <c r="F359" s="86" t="s">
        <v>36</v>
      </c>
      <c r="G359" s="86">
        <v>1</v>
      </c>
    </row>
    <row r="360" spans="1:7">
      <c r="A360" s="86">
        <v>359</v>
      </c>
      <c r="B360" s="86" t="s">
        <v>5854</v>
      </c>
      <c r="C360" s="86" t="s">
        <v>378</v>
      </c>
      <c r="D360" s="86" t="s">
        <v>35</v>
      </c>
      <c r="E360" s="86" t="s">
        <v>35</v>
      </c>
      <c r="F360" s="86" t="s">
        <v>36</v>
      </c>
      <c r="G360" s="86">
        <v>1</v>
      </c>
    </row>
    <row r="361" spans="1:7">
      <c r="A361" s="86">
        <v>360</v>
      </c>
      <c r="B361" s="86" t="s">
        <v>3149</v>
      </c>
      <c r="C361" s="86" t="s">
        <v>378</v>
      </c>
      <c r="D361" s="86" t="s">
        <v>35</v>
      </c>
      <c r="E361" s="86" t="s">
        <v>35</v>
      </c>
      <c r="F361" s="86" t="s">
        <v>36</v>
      </c>
      <c r="G361" s="86">
        <v>1</v>
      </c>
    </row>
    <row r="362" spans="1:7">
      <c r="A362" s="86">
        <v>361</v>
      </c>
      <c r="B362" s="86" t="s">
        <v>2484</v>
      </c>
      <c r="C362" s="86" t="s">
        <v>378</v>
      </c>
      <c r="D362" s="86" t="s">
        <v>35</v>
      </c>
      <c r="E362" s="86" t="s">
        <v>35</v>
      </c>
      <c r="F362" s="86" t="s">
        <v>36</v>
      </c>
      <c r="G362" s="86">
        <v>1</v>
      </c>
    </row>
    <row r="363" spans="1:7">
      <c r="A363" s="86">
        <v>362</v>
      </c>
      <c r="B363" s="86" t="s">
        <v>6003</v>
      </c>
      <c r="C363" s="86" t="s">
        <v>378</v>
      </c>
      <c r="D363" s="86" t="s">
        <v>35</v>
      </c>
      <c r="E363" s="86" t="s">
        <v>35</v>
      </c>
      <c r="F363" s="86" t="s">
        <v>36</v>
      </c>
      <c r="G363" s="86">
        <v>1</v>
      </c>
    </row>
    <row r="364" spans="1:7">
      <c r="A364" s="86">
        <v>363</v>
      </c>
      <c r="B364" s="86" t="s">
        <v>6045</v>
      </c>
      <c r="C364" s="86" t="s">
        <v>378</v>
      </c>
      <c r="D364" s="86" t="s">
        <v>35</v>
      </c>
      <c r="E364" s="86" t="s">
        <v>35</v>
      </c>
      <c r="F364" s="86" t="s">
        <v>36</v>
      </c>
      <c r="G364" s="86">
        <v>1</v>
      </c>
    </row>
    <row r="365" spans="1:7">
      <c r="A365" s="86">
        <v>364</v>
      </c>
      <c r="B365" s="86" t="s">
        <v>6009</v>
      </c>
      <c r="C365" s="86" t="s">
        <v>378</v>
      </c>
      <c r="D365" s="86" t="s">
        <v>35</v>
      </c>
      <c r="E365" s="86" t="s">
        <v>35</v>
      </c>
      <c r="F365" s="86" t="s">
        <v>36</v>
      </c>
      <c r="G365" s="86">
        <v>1</v>
      </c>
    </row>
    <row r="366" spans="1:7">
      <c r="A366" s="86">
        <v>365</v>
      </c>
      <c r="B366" s="86" t="s">
        <v>4187</v>
      </c>
      <c r="C366" s="86" t="s">
        <v>378</v>
      </c>
      <c r="D366" s="86" t="s">
        <v>35</v>
      </c>
      <c r="E366" s="86" t="s">
        <v>35</v>
      </c>
      <c r="F366" s="86" t="s">
        <v>36</v>
      </c>
      <c r="G366" s="86">
        <v>1</v>
      </c>
    </row>
    <row r="367" spans="1:7">
      <c r="A367" s="86">
        <v>366</v>
      </c>
      <c r="B367" s="86" t="s">
        <v>4516</v>
      </c>
      <c r="C367" s="86" t="s">
        <v>378</v>
      </c>
      <c r="D367" s="86" t="s">
        <v>35</v>
      </c>
      <c r="E367" s="86" t="s">
        <v>35</v>
      </c>
      <c r="F367" s="86" t="s">
        <v>36</v>
      </c>
      <c r="G367" s="86">
        <v>1</v>
      </c>
    </row>
    <row r="368" spans="1:7">
      <c r="A368" s="86">
        <v>367</v>
      </c>
      <c r="B368" s="86" t="s">
        <v>1482</v>
      </c>
      <c r="C368" s="86" t="s">
        <v>378</v>
      </c>
      <c r="D368" s="86" t="s">
        <v>35</v>
      </c>
      <c r="E368" s="86" t="s">
        <v>35</v>
      </c>
      <c r="F368" s="86" t="s">
        <v>36</v>
      </c>
      <c r="G368" s="86">
        <v>1</v>
      </c>
    </row>
    <row r="369" spans="1:7">
      <c r="A369" s="86">
        <v>368</v>
      </c>
      <c r="B369" s="86" t="s">
        <v>2044</v>
      </c>
      <c r="C369" s="86" t="s">
        <v>378</v>
      </c>
      <c r="D369" s="86" t="s">
        <v>35</v>
      </c>
      <c r="E369" s="86" t="s">
        <v>35</v>
      </c>
      <c r="F369" s="86" t="s">
        <v>36</v>
      </c>
      <c r="G369" s="86">
        <v>1</v>
      </c>
    </row>
    <row r="370" spans="1:7">
      <c r="A370" s="86">
        <v>369</v>
      </c>
      <c r="B370" s="86" t="s">
        <v>4179</v>
      </c>
      <c r="C370" s="86" t="s">
        <v>378</v>
      </c>
      <c r="D370" s="86" t="s">
        <v>35</v>
      </c>
      <c r="E370" s="86" t="s">
        <v>35</v>
      </c>
      <c r="F370" s="86" t="s">
        <v>36</v>
      </c>
      <c r="G370" s="86">
        <v>1</v>
      </c>
    </row>
    <row r="371" spans="1:7">
      <c r="A371" s="86">
        <v>370</v>
      </c>
      <c r="B371" s="86" t="s">
        <v>438</v>
      </c>
      <c r="C371" s="86" t="s">
        <v>378</v>
      </c>
      <c r="D371" s="86" t="s">
        <v>5784</v>
      </c>
      <c r="E371" s="86" t="s">
        <v>35</v>
      </c>
      <c r="F371" s="86" t="s">
        <v>36</v>
      </c>
      <c r="G371" s="86">
        <v>1</v>
      </c>
    </row>
    <row r="372" spans="1:7">
      <c r="A372" s="86">
        <v>371</v>
      </c>
      <c r="B372" s="86" t="s">
        <v>5841</v>
      </c>
      <c r="C372" s="86" t="s">
        <v>378</v>
      </c>
      <c r="D372" s="86" t="s">
        <v>35</v>
      </c>
      <c r="E372" s="86" t="s">
        <v>35</v>
      </c>
      <c r="F372" s="86" t="s">
        <v>36</v>
      </c>
      <c r="G372" s="86">
        <v>1</v>
      </c>
    </row>
    <row r="373" spans="1:7">
      <c r="A373" s="86">
        <v>372</v>
      </c>
      <c r="B373" s="86" t="s">
        <v>515</v>
      </c>
      <c r="C373" s="86" t="s">
        <v>378</v>
      </c>
      <c r="D373" s="86" t="s">
        <v>35</v>
      </c>
      <c r="E373" s="86" t="s">
        <v>35</v>
      </c>
      <c r="F373" s="86" t="s">
        <v>36</v>
      </c>
      <c r="G373" s="86">
        <v>1</v>
      </c>
    </row>
    <row r="374" spans="1:7">
      <c r="A374" s="86">
        <v>373</v>
      </c>
      <c r="B374" s="86" t="s">
        <v>5861</v>
      </c>
      <c r="C374" s="86" t="s">
        <v>378</v>
      </c>
      <c r="D374" s="86" t="s">
        <v>35</v>
      </c>
      <c r="E374" s="86" t="s">
        <v>35</v>
      </c>
      <c r="F374" s="86" t="s">
        <v>36</v>
      </c>
      <c r="G374" s="86">
        <v>1</v>
      </c>
    </row>
    <row r="375" spans="1:7">
      <c r="A375" s="86">
        <v>374</v>
      </c>
      <c r="B375" s="86" t="s">
        <v>524</v>
      </c>
      <c r="C375" s="86" t="s">
        <v>378</v>
      </c>
      <c r="D375" s="86" t="s">
        <v>35</v>
      </c>
      <c r="E375" s="86" t="s">
        <v>35</v>
      </c>
      <c r="F375" s="86" t="s">
        <v>36</v>
      </c>
      <c r="G375" s="86">
        <v>1</v>
      </c>
    </row>
    <row r="376" spans="1:7">
      <c r="A376" s="86">
        <v>375</v>
      </c>
      <c r="B376" s="86" t="s">
        <v>6015</v>
      </c>
      <c r="C376" s="86" t="s">
        <v>378</v>
      </c>
      <c r="D376" s="86" t="s">
        <v>35</v>
      </c>
      <c r="E376" s="86" t="s">
        <v>35</v>
      </c>
      <c r="F376" s="86" t="s">
        <v>36</v>
      </c>
      <c r="G376" s="86">
        <v>1</v>
      </c>
    </row>
    <row r="377" spans="1:7">
      <c r="A377" s="86">
        <v>376</v>
      </c>
      <c r="B377" s="86" t="s">
        <v>6033</v>
      </c>
      <c r="C377" s="86" t="s">
        <v>378</v>
      </c>
      <c r="D377" s="86" t="s">
        <v>35</v>
      </c>
      <c r="E377" s="86" t="s">
        <v>35</v>
      </c>
      <c r="F377" s="86" t="s">
        <v>36</v>
      </c>
      <c r="G377" s="86">
        <v>1</v>
      </c>
    </row>
    <row r="378" spans="1:7">
      <c r="A378" s="86">
        <v>377</v>
      </c>
      <c r="B378" s="86" t="s">
        <v>6021</v>
      </c>
      <c r="C378" s="86" t="s">
        <v>378</v>
      </c>
      <c r="D378" s="86" t="s">
        <v>35</v>
      </c>
      <c r="E378" s="86" t="s">
        <v>35</v>
      </c>
      <c r="F378" s="86" t="s">
        <v>36</v>
      </c>
      <c r="G378" s="86">
        <v>1</v>
      </c>
    </row>
    <row r="379" spans="1:7">
      <c r="A379" s="86">
        <v>378</v>
      </c>
      <c r="B379" s="86" t="s">
        <v>6027</v>
      </c>
      <c r="C379" s="86" t="s">
        <v>378</v>
      </c>
      <c r="D379" s="86" t="s">
        <v>35</v>
      </c>
      <c r="E379" s="86" t="s">
        <v>35</v>
      </c>
      <c r="F379" s="86" t="s">
        <v>36</v>
      </c>
      <c r="G379" s="86">
        <v>1</v>
      </c>
    </row>
    <row r="380" spans="1:7">
      <c r="A380" s="86">
        <v>379</v>
      </c>
      <c r="B380" s="86" t="s">
        <v>5949</v>
      </c>
      <c r="C380" s="86" t="s">
        <v>378</v>
      </c>
      <c r="D380" s="86" t="s">
        <v>35</v>
      </c>
      <c r="E380" s="86" t="s">
        <v>35</v>
      </c>
      <c r="F380" s="86" t="s">
        <v>36</v>
      </c>
      <c r="G380" s="86">
        <v>1</v>
      </c>
    </row>
    <row r="381" spans="1:7">
      <c r="A381" s="86">
        <v>380</v>
      </c>
      <c r="B381" s="86" t="s">
        <v>5955</v>
      </c>
      <c r="C381" s="86" t="s">
        <v>378</v>
      </c>
      <c r="D381" s="86" t="s">
        <v>35</v>
      </c>
      <c r="E381" s="86" t="s">
        <v>35</v>
      </c>
      <c r="F381" s="86" t="s">
        <v>36</v>
      </c>
      <c r="G381" s="86">
        <v>1</v>
      </c>
    </row>
    <row r="382" spans="1:7">
      <c r="A382" s="86">
        <v>381</v>
      </c>
      <c r="B382" s="86" t="s">
        <v>539</v>
      </c>
      <c r="C382" s="86" t="s">
        <v>378</v>
      </c>
      <c r="D382" s="86" t="s">
        <v>35</v>
      </c>
      <c r="E382" s="86" t="s">
        <v>35</v>
      </c>
      <c r="F382" s="86" t="s">
        <v>36</v>
      </c>
      <c r="G382" s="86">
        <v>1</v>
      </c>
    </row>
    <row r="383" spans="1:7">
      <c r="A383" s="86">
        <v>382</v>
      </c>
      <c r="B383" s="86" t="s">
        <v>1310</v>
      </c>
      <c r="C383" s="86" t="s">
        <v>378</v>
      </c>
      <c r="D383" s="86" t="s">
        <v>35</v>
      </c>
      <c r="E383" s="86" t="s">
        <v>35</v>
      </c>
      <c r="F383" s="86" t="s">
        <v>36</v>
      </c>
      <c r="G383" s="86">
        <v>1</v>
      </c>
    </row>
    <row r="384" spans="1:7">
      <c r="A384" s="86">
        <v>383</v>
      </c>
      <c r="B384" s="86" t="s">
        <v>1190</v>
      </c>
      <c r="C384" s="86" t="s">
        <v>378</v>
      </c>
      <c r="D384" s="86" t="s">
        <v>35</v>
      </c>
      <c r="E384" s="86" t="s">
        <v>35</v>
      </c>
      <c r="F384" s="86" t="s">
        <v>36</v>
      </c>
      <c r="G384" s="86">
        <v>1</v>
      </c>
    </row>
    <row r="385" spans="1:7">
      <c r="A385" s="86">
        <v>384</v>
      </c>
      <c r="B385" s="86" t="s">
        <v>1196</v>
      </c>
      <c r="C385" s="86" t="s">
        <v>378</v>
      </c>
      <c r="D385" s="86" t="s">
        <v>35</v>
      </c>
      <c r="E385" s="86" t="s">
        <v>35</v>
      </c>
      <c r="F385" s="86" t="s">
        <v>36</v>
      </c>
      <c r="G385" s="86">
        <v>1</v>
      </c>
    </row>
    <row r="386" spans="1:7">
      <c r="A386" s="86">
        <v>385</v>
      </c>
      <c r="B386" s="86" t="s">
        <v>1250</v>
      </c>
      <c r="C386" s="86" t="s">
        <v>378</v>
      </c>
      <c r="D386" s="86" t="s">
        <v>35</v>
      </c>
      <c r="E386" s="86" t="s">
        <v>35</v>
      </c>
      <c r="F386" s="86" t="s">
        <v>36</v>
      </c>
      <c r="G386" s="86">
        <v>1</v>
      </c>
    </row>
    <row r="387" spans="1:7">
      <c r="A387" s="86">
        <v>386</v>
      </c>
      <c r="B387" s="86" t="s">
        <v>5797</v>
      </c>
      <c r="C387" s="86" t="s">
        <v>378</v>
      </c>
      <c r="D387" s="86" t="s">
        <v>35</v>
      </c>
      <c r="E387" s="86" t="s">
        <v>35</v>
      </c>
      <c r="F387" s="86" t="s">
        <v>36</v>
      </c>
      <c r="G387" s="86">
        <v>1</v>
      </c>
    </row>
    <row r="388" spans="1:7">
      <c r="A388" s="86">
        <v>387</v>
      </c>
      <c r="B388" s="86" t="s">
        <v>5756</v>
      </c>
      <c r="C388" s="86" t="s">
        <v>378</v>
      </c>
      <c r="D388" s="86" t="s">
        <v>35</v>
      </c>
      <c r="E388" s="86" t="s">
        <v>35</v>
      </c>
      <c r="F388" s="86" t="s">
        <v>36</v>
      </c>
      <c r="G388" s="86">
        <v>1</v>
      </c>
    </row>
    <row r="389" spans="1:7">
      <c r="A389" s="86">
        <v>388</v>
      </c>
      <c r="B389" s="86" t="s">
        <v>5835</v>
      </c>
      <c r="C389" s="86" t="s">
        <v>378</v>
      </c>
      <c r="D389" s="86" t="s">
        <v>35</v>
      </c>
      <c r="E389" s="86" t="s">
        <v>35</v>
      </c>
      <c r="F389" s="86" t="s">
        <v>36</v>
      </c>
      <c r="G389" s="86">
        <v>1</v>
      </c>
    </row>
    <row r="390" spans="1:7">
      <c r="A390" s="86">
        <v>389</v>
      </c>
      <c r="B390" s="86" t="s">
        <v>5790</v>
      </c>
      <c r="C390" s="86" t="s">
        <v>378</v>
      </c>
      <c r="D390" s="86" t="s">
        <v>35</v>
      </c>
      <c r="E390" s="86" t="s">
        <v>35</v>
      </c>
      <c r="F390" s="86" t="s">
        <v>36</v>
      </c>
      <c r="G390" s="86">
        <v>1</v>
      </c>
    </row>
    <row r="391" spans="1:7">
      <c r="A391" s="86">
        <v>390</v>
      </c>
      <c r="B391" s="86" t="s">
        <v>5829</v>
      </c>
      <c r="C391" s="86" t="s">
        <v>378</v>
      </c>
      <c r="D391" s="86" t="s">
        <v>35</v>
      </c>
      <c r="E391" s="86" t="s">
        <v>35</v>
      </c>
      <c r="F391" s="86" t="s">
        <v>36</v>
      </c>
      <c r="G391" s="86">
        <v>1</v>
      </c>
    </row>
    <row r="392" spans="1:7">
      <c r="A392" s="86">
        <v>391</v>
      </c>
      <c r="B392" s="86" t="s">
        <v>6039</v>
      </c>
      <c r="C392" s="86" t="s">
        <v>378</v>
      </c>
      <c r="D392" s="86" t="s">
        <v>35</v>
      </c>
      <c r="E392" s="86" t="s">
        <v>35</v>
      </c>
      <c r="F392" s="86" t="s">
        <v>36</v>
      </c>
      <c r="G392" s="86">
        <v>1</v>
      </c>
    </row>
    <row r="393" spans="1:7">
      <c r="A393" s="86">
        <v>392</v>
      </c>
      <c r="B393" s="86" t="s">
        <v>5823</v>
      </c>
      <c r="C393" s="86" t="s">
        <v>378</v>
      </c>
      <c r="D393" s="86" t="s">
        <v>35</v>
      </c>
      <c r="E393" s="86" t="s">
        <v>35</v>
      </c>
      <c r="F393" s="86" t="s">
        <v>36</v>
      </c>
      <c r="G393" s="86">
        <v>1</v>
      </c>
    </row>
    <row r="394" spans="1:7">
      <c r="A394" s="86">
        <v>393</v>
      </c>
      <c r="B394" s="86" t="s">
        <v>5847</v>
      </c>
      <c r="C394" s="86" t="s">
        <v>378</v>
      </c>
      <c r="D394" s="86" t="s">
        <v>35</v>
      </c>
      <c r="E394" s="86" t="s">
        <v>35</v>
      </c>
      <c r="F394" s="86" t="s">
        <v>36</v>
      </c>
      <c r="G394" s="86">
        <v>1</v>
      </c>
    </row>
    <row r="395" spans="1:7">
      <c r="A395" s="86">
        <v>394</v>
      </c>
      <c r="B395" s="86" t="s">
        <v>1364</v>
      </c>
      <c r="C395" s="86" t="s">
        <v>378</v>
      </c>
      <c r="D395" s="86" t="s">
        <v>35</v>
      </c>
      <c r="E395" s="86" t="s">
        <v>35</v>
      </c>
      <c r="F395" s="86" t="s">
        <v>36</v>
      </c>
      <c r="G395" s="86">
        <v>1</v>
      </c>
    </row>
    <row r="396" spans="1:7">
      <c r="A396" s="86">
        <v>395</v>
      </c>
      <c r="B396" s="86" t="s">
        <v>1010</v>
      </c>
      <c r="C396" s="86" t="s">
        <v>378</v>
      </c>
      <c r="D396" s="86" t="s">
        <v>35</v>
      </c>
      <c r="E396" s="86" t="s">
        <v>35</v>
      </c>
      <c r="F396" s="86" t="s">
        <v>36</v>
      </c>
      <c r="G396" s="86">
        <v>1</v>
      </c>
    </row>
    <row r="397" spans="1:7">
      <c r="A397" s="86">
        <v>396</v>
      </c>
      <c r="B397" s="86" t="s">
        <v>4621</v>
      </c>
      <c r="C397" s="86" t="s">
        <v>378</v>
      </c>
      <c r="D397" s="86" t="s">
        <v>35</v>
      </c>
      <c r="E397" s="86" t="s">
        <v>35</v>
      </c>
      <c r="F397" s="86" t="s">
        <v>36</v>
      </c>
      <c r="G397" s="86">
        <v>1</v>
      </c>
    </row>
    <row r="398" spans="1:7">
      <c r="A398" s="86">
        <v>397</v>
      </c>
      <c r="B398" s="86" t="s">
        <v>4627</v>
      </c>
      <c r="C398" s="86" t="s">
        <v>378</v>
      </c>
      <c r="D398" s="86" t="s">
        <v>35</v>
      </c>
      <c r="E398" s="86" t="s">
        <v>35</v>
      </c>
      <c r="F398" s="86" t="s">
        <v>36</v>
      </c>
      <c r="G398" s="86">
        <v>1</v>
      </c>
    </row>
    <row r="399" spans="1:7">
      <c r="A399" s="86">
        <v>398</v>
      </c>
      <c r="B399" s="86" t="s">
        <v>5961</v>
      </c>
      <c r="C399" s="86" t="s">
        <v>378</v>
      </c>
      <c r="D399" s="86" t="s">
        <v>35</v>
      </c>
      <c r="E399" s="86" t="s">
        <v>35</v>
      </c>
      <c r="F399" s="86" t="s">
        <v>36</v>
      </c>
      <c r="G399" s="86">
        <v>1</v>
      </c>
    </row>
    <row r="400" spans="1:7">
      <c r="A400" s="86">
        <v>399</v>
      </c>
      <c r="B400" s="86" t="s">
        <v>5967</v>
      </c>
      <c r="C400" s="86" t="s">
        <v>378</v>
      </c>
      <c r="D400" s="86" t="s">
        <v>35</v>
      </c>
      <c r="E400" s="86" t="s">
        <v>35</v>
      </c>
      <c r="F400" s="86" t="s">
        <v>36</v>
      </c>
      <c r="G400" s="86">
        <v>1</v>
      </c>
    </row>
    <row r="401" spans="1:7">
      <c r="A401" s="86">
        <v>400</v>
      </c>
      <c r="B401" s="86" t="s">
        <v>5973</v>
      </c>
      <c r="C401" s="86" t="s">
        <v>378</v>
      </c>
      <c r="D401" s="86" t="s">
        <v>35</v>
      </c>
      <c r="E401" s="86" t="s">
        <v>35</v>
      </c>
      <c r="F401" s="86" t="s">
        <v>36</v>
      </c>
      <c r="G401" s="86">
        <v>1</v>
      </c>
    </row>
    <row r="402" spans="1:7">
      <c r="A402" s="86">
        <v>401</v>
      </c>
      <c r="B402" s="86" t="s">
        <v>5979</v>
      </c>
      <c r="C402" s="86" t="s">
        <v>378</v>
      </c>
      <c r="D402" s="86" t="s">
        <v>35</v>
      </c>
      <c r="E402" s="86" t="s">
        <v>35</v>
      </c>
      <c r="F402" s="86" t="s">
        <v>36</v>
      </c>
      <c r="G402" s="86">
        <v>0</v>
      </c>
    </row>
    <row r="403" spans="1:7">
      <c r="A403" s="86">
        <v>402</v>
      </c>
      <c r="B403" s="86" t="s">
        <v>5985</v>
      </c>
      <c r="C403" s="86" t="s">
        <v>378</v>
      </c>
      <c r="D403" s="86" t="s">
        <v>35</v>
      </c>
      <c r="E403" s="86" t="s">
        <v>35</v>
      </c>
      <c r="F403" s="86" t="s">
        <v>36</v>
      </c>
      <c r="G403" s="86">
        <v>1</v>
      </c>
    </row>
    <row r="404" spans="1:7">
      <c r="A404" s="86">
        <v>403</v>
      </c>
      <c r="B404" s="86" t="s">
        <v>5991</v>
      </c>
      <c r="C404" s="86" t="s">
        <v>378</v>
      </c>
      <c r="D404" s="86" t="s">
        <v>35</v>
      </c>
      <c r="E404" s="86" t="s">
        <v>35</v>
      </c>
      <c r="F404" s="86" t="s">
        <v>36</v>
      </c>
      <c r="G404" s="86">
        <v>1</v>
      </c>
    </row>
    <row r="405" spans="1:7">
      <c r="A405" s="86">
        <v>404</v>
      </c>
      <c r="B405" s="86" t="s">
        <v>5997</v>
      </c>
      <c r="C405" s="86" t="s">
        <v>378</v>
      </c>
      <c r="D405" s="86" t="s">
        <v>35</v>
      </c>
      <c r="E405" s="86" t="s">
        <v>35</v>
      </c>
      <c r="F405" s="86" t="s">
        <v>36</v>
      </c>
      <c r="G405" s="86">
        <v>1</v>
      </c>
    </row>
    <row r="406" spans="1:7">
      <c r="A406" s="86">
        <v>405</v>
      </c>
      <c r="B406" s="86" t="s">
        <v>960</v>
      </c>
      <c r="C406" s="86" t="s">
        <v>378</v>
      </c>
      <c r="D406" s="86" t="s">
        <v>35</v>
      </c>
      <c r="E406" s="86" t="s">
        <v>35</v>
      </c>
      <c r="F406" s="86" t="s">
        <v>36</v>
      </c>
      <c r="G406" s="86">
        <v>1</v>
      </c>
    </row>
    <row r="407" spans="1:7">
      <c r="A407" s="86">
        <v>406</v>
      </c>
      <c r="B407" s="86" t="s">
        <v>5151</v>
      </c>
      <c r="C407" s="86" t="s">
        <v>378</v>
      </c>
      <c r="D407" s="86" t="s">
        <v>35</v>
      </c>
      <c r="E407" s="86" t="s">
        <v>35</v>
      </c>
      <c r="F407" s="86" t="s">
        <v>36</v>
      </c>
      <c r="G407" s="86">
        <v>1</v>
      </c>
    </row>
    <row r="408" spans="1:7">
      <c r="A408" s="86">
        <v>407</v>
      </c>
      <c r="B408" s="86" t="s">
        <v>6223</v>
      </c>
      <c r="C408" s="86" t="s">
        <v>378</v>
      </c>
      <c r="D408" s="86" t="s">
        <v>35</v>
      </c>
      <c r="E408" s="86" t="s">
        <v>35</v>
      </c>
      <c r="F408" s="86" t="s">
        <v>36</v>
      </c>
      <c r="G408" s="86">
        <v>1</v>
      </c>
    </row>
    <row r="409" spans="1:7">
      <c r="A409" s="86">
        <v>408</v>
      </c>
      <c r="B409" s="86" t="s">
        <v>6767</v>
      </c>
      <c r="C409" s="86" t="s">
        <v>378</v>
      </c>
      <c r="D409" s="86" t="s">
        <v>35</v>
      </c>
      <c r="E409" s="86" t="s">
        <v>35</v>
      </c>
      <c r="F409" s="86" t="s">
        <v>36</v>
      </c>
      <c r="G409" s="86">
        <v>1</v>
      </c>
    </row>
    <row r="410" spans="1:7">
      <c r="A410" s="86">
        <v>409</v>
      </c>
      <c r="B410" s="86" t="s">
        <v>6558</v>
      </c>
      <c r="C410" s="86" t="s">
        <v>378</v>
      </c>
      <c r="D410" s="86" t="s">
        <v>35</v>
      </c>
      <c r="E410" s="86" t="s">
        <v>35</v>
      </c>
      <c r="F410" s="86" t="s">
        <v>36</v>
      </c>
      <c r="G410" s="86">
        <v>1</v>
      </c>
    </row>
    <row r="411" spans="1:7">
      <c r="A411" s="86">
        <v>410</v>
      </c>
      <c r="B411" s="86" t="s">
        <v>6289</v>
      </c>
      <c r="C411" s="86" t="s">
        <v>378</v>
      </c>
      <c r="D411" s="86" t="s">
        <v>35</v>
      </c>
      <c r="E411" s="86" t="s">
        <v>35</v>
      </c>
      <c r="F411" s="86" t="s">
        <v>36</v>
      </c>
      <c r="G411" s="86">
        <v>1</v>
      </c>
    </row>
    <row r="412" spans="1:7">
      <c r="A412" s="86">
        <v>411</v>
      </c>
      <c r="B412" s="86" t="s">
        <v>6521</v>
      </c>
      <c r="C412" s="86" t="s">
        <v>378</v>
      </c>
      <c r="D412" s="86" t="s">
        <v>35</v>
      </c>
      <c r="E412" s="86" t="s">
        <v>35</v>
      </c>
      <c r="F412" s="86" t="s">
        <v>36</v>
      </c>
      <c r="G412" s="86">
        <v>1</v>
      </c>
    </row>
    <row r="413" spans="1:7">
      <c r="A413" s="86">
        <v>412</v>
      </c>
      <c r="B413" s="86" t="s">
        <v>9339</v>
      </c>
      <c r="C413" s="86" t="s">
        <v>378</v>
      </c>
      <c r="D413" s="86" t="s">
        <v>35</v>
      </c>
      <c r="E413" s="86" t="s">
        <v>35</v>
      </c>
      <c r="F413" s="86" t="s">
        <v>36</v>
      </c>
      <c r="G413" s="86">
        <v>1</v>
      </c>
    </row>
    <row r="414" spans="1:7">
      <c r="A414" s="86">
        <v>413</v>
      </c>
      <c r="B414" s="86" t="s">
        <v>5496</v>
      </c>
      <c r="C414" s="86" t="s">
        <v>378</v>
      </c>
      <c r="D414" s="86" t="s">
        <v>35</v>
      </c>
      <c r="E414" s="86" t="s">
        <v>35</v>
      </c>
      <c r="F414" s="86" t="s">
        <v>36</v>
      </c>
      <c r="G414" s="86">
        <v>1</v>
      </c>
    </row>
    <row r="415" spans="1:7">
      <c r="A415" s="86">
        <v>414</v>
      </c>
      <c r="B415" s="86" t="s">
        <v>5701</v>
      </c>
      <c r="C415" s="86" t="s">
        <v>378</v>
      </c>
      <c r="D415" s="86" t="s">
        <v>35</v>
      </c>
      <c r="E415" s="86" t="s">
        <v>35</v>
      </c>
      <c r="F415" s="86" t="s">
        <v>36</v>
      </c>
      <c r="G415" s="86">
        <v>1</v>
      </c>
    </row>
    <row r="416" spans="1:7">
      <c r="A416" s="86">
        <v>415</v>
      </c>
      <c r="B416" s="86" t="s">
        <v>5207</v>
      </c>
      <c r="C416" s="86" t="s">
        <v>378</v>
      </c>
      <c r="D416" s="86" t="s">
        <v>35</v>
      </c>
      <c r="E416" s="86" t="s">
        <v>35</v>
      </c>
      <c r="F416" s="86" t="s">
        <v>36</v>
      </c>
      <c r="G416" s="86">
        <v>1</v>
      </c>
    </row>
    <row r="417" spans="1:7">
      <c r="A417" s="86">
        <v>416</v>
      </c>
      <c r="B417" s="86" t="s">
        <v>5637</v>
      </c>
      <c r="C417" s="86" t="s">
        <v>378</v>
      </c>
      <c r="D417" s="86" t="s">
        <v>35</v>
      </c>
      <c r="E417" s="86" t="s">
        <v>35</v>
      </c>
      <c r="F417" s="86" t="s">
        <v>36</v>
      </c>
      <c r="G417" s="86">
        <v>1</v>
      </c>
    </row>
    <row r="418" spans="1:7">
      <c r="A418" s="86">
        <v>417</v>
      </c>
      <c r="B418" s="86" t="s">
        <v>4977</v>
      </c>
      <c r="C418" s="86" t="s">
        <v>378</v>
      </c>
      <c r="D418" s="86" t="s">
        <v>35</v>
      </c>
      <c r="E418" s="86" t="s">
        <v>35</v>
      </c>
      <c r="F418" s="86" t="s">
        <v>36</v>
      </c>
      <c r="G418" s="86">
        <v>1</v>
      </c>
    </row>
    <row r="419" spans="1:7">
      <c r="A419" s="86">
        <v>418</v>
      </c>
      <c r="B419" s="86" t="s">
        <v>5244</v>
      </c>
      <c r="C419" s="86" t="s">
        <v>378</v>
      </c>
      <c r="D419" s="86" t="s">
        <v>35</v>
      </c>
      <c r="E419" s="86" t="s">
        <v>35</v>
      </c>
      <c r="F419" s="86" t="s">
        <v>36</v>
      </c>
      <c r="G419" s="86">
        <v>1</v>
      </c>
    </row>
    <row r="420" spans="1:7">
      <c r="A420" s="86">
        <v>419</v>
      </c>
      <c r="B420" s="86" t="s">
        <v>5503</v>
      </c>
      <c r="C420" s="86" t="s">
        <v>378</v>
      </c>
      <c r="D420" s="86" t="s">
        <v>35</v>
      </c>
      <c r="E420" s="86" t="s">
        <v>35</v>
      </c>
      <c r="F420" s="86" t="s">
        <v>36</v>
      </c>
      <c r="G420" s="86">
        <v>1</v>
      </c>
    </row>
    <row r="421" spans="1:7">
      <c r="A421" s="86">
        <v>420</v>
      </c>
      <c r="B421" s="86" t="s">
        <v>5490</v>
      </c>
      <c r="C421" s="86" t="s">
        <v>378</v>
      </c>
      <c r="D421" s="86" t="s">
        <v>35</v>
      </c>
      <c r="E421" s="86" t="s">
        <v>35</v>
      </c>
      <c r="F421" s="86" t="s">
        <v>36</v>
      </c>
      <c r="G421" s="86">
        <v>1</v>
      </c>
    </row>
    <row r="422" spans="1:7">
      <c r="A422" s="86">
        <v>421</v>
      </c>
      <c r="B422" s="86" t="s">
        <v>5625</v>
      </c>
      <c r="C422" s="86" t="s">
        <v>378</v>
      </c>
      <c r="D422" s="86" t="s">
        <v>35</v>
      </c>
      <c r="E422" s="86" t="s">
        <v>35</v>
      </c>
      <c r="F422" s="86" t="s">
        <v>36</v>
      </c>
      <c r="G422" s="86">
        <v>1</v>
      </c>
    </row>
    <row r="423" spans="1:7">
      <c r="A423" s="86">
        <v>422</v>
      </c>
      <c r="B423" s="86" t="s">
        <v>5631</v>
      </c>
      <c r="C423" s="86" t="s">
        <v>378</v>
      </c>
      <c r="D423" s="86" t="s">
        <v>35</v>
      </c>
      <c r="E423" s="86" t="s">
        <v>35</v>
      </c>
      <c r="F423" s="86" t="s">
        <v>36</v>
      </c>
      <c r="G423" s="86">
        <v>1</v>
      </c>
    </row>
    <row r="424" spans="1:7">
      <c r="A424" s="86">
        <v>423</v>
      </c>
      <c r="B424" s="86" t="s">
        <v>5252</v>
      </c>
      <c r="C424" s="86" t="s">
        <v>378</v>
      </c>
      <c r="D424" s="86" t="s">
        <v>35</v>
      </c>
      <c r="E424" s="86" t="s">
        <v>35</v>
      </c>
      <c r="F424" s="86" t="s">
        <v>36</v>
      </c>
      <c r="G424" s="86">
        <v>1</v>
      </c>
    </row>
    <row r="425" spans="1:7">
      <c r="A425" s="86">
        <v>424</v>
      </c>
      <c r="B425" s="86" t="s">
        <v>3295</v>
      </c>
      <c r="C425" s="86" t="s">
        <v>378</v>
      </c>
      <c r="D425" s="86" t="s">
        <v>35</v>
      </c>
      <c r="E425" s="86" t="s">
        <v>35</v>
      </c>
      <c r="F425" s="86" t="s">
        <v>36</v>
      </c>
      <c r="G425" s="86">
        <v>1</v>
      </c>
    </row>
    <row r="426" spans="1:7">
      <c r="A426" s="86">
        <v>425</v>
      </c>
      <c r="B426" s="86" t="s">
        <v>882</v>
      </c>
      <c r="C426" s="86" t="s">
        <v>378</v>
      </c>
      <c r="D426" s="86" t="s">
        <v>35</v>
      </c>
      <c r="E426" s="86" t="s">
        <v>35</v>
      </c>
      <c r="F426" s="86" t="s">
        <v>36</v>
      </c>
      <c r="G426" s="86">
        <v>1</v>
      </c>
    </row>
    <row r="427" spans="1:7">
      <c r="A427" s="86">
        <v>426</v>
      </c>
      <c r="B427" s="86" t="s">
        <v>1420</v>
      </c>
      <c r="C427" s="86" t="s">
        <v>378</v>
      </c>
      <c r="D427" s="86" t="s">
        <v>35</v>
      </c>
      <c r="E427" s="86" t="s">
        <v>35</v>
      </c>
      <c r="F427" s="86" t="s">
        <v>36</v>
      </c>
      <c r="G427" s="86">
        <v>1</v>
      </c>
    </row>
    <row r="428" spans="1:7">
      <c r="A428" s="86">
        <v>427</v>
      </c>
      <c r="B428" s="86" t="s">
        <v>4609</v>
      </c>
      <c r="C428" s="86" t="s">
        <v>378</v>
      </c>
      <c r="D428" s="86" t="s">
        <v>35</v>
      </c>
      <c r="E428" s="86" t="s">
        <v>35</v>
      </c>
      <c r="F428" s="86" t="s">
        <v>36</v>
      </c>
      <c r="G428" s="86">
        <v>1</v>
      </c>
    </row>
    <row r="429" spans="1:7">
      <c r="A429" s="86">
        <v>428</v>
      </c>
      <c r="B429" s="86" t="s">
        <v>383</v>
      </c>
      <c r="C429" s="86" t="s">
        <v>378</v>
      </c>
      <c r="D429" s="86" t="s">
        <v>35</v>
      </c>
      <c r="E429" s="86" t="s">
        <v>35</v>
      </c>
      <c r="F429" s="86" t="s">
        <v>36</v>
      </c>
      <c r="G429" s="86">
        <v>1</v>
      </c>
    </row>
    <row r="430" spans="1:7">
      <c r="A430" s="86">
        <v>429</v>
      </c>
      <c r="B430" s="86" t="s">
        <v>4749</v>
      </c>
      <c r="C430" s="86" t="s">
        <v>378</v>
      </c>
      <c r="D430" s="86" t="s">
        <v>35</v>
      </c>
      <c r="E430" s="86" t="s">
        <v>35</v>
      </c>
      <c r="F430" s="86" t="s">
        <v>36</v>
      </c>
      <c r="G430" s="86">
        <v>1</v>
      </c>
    </row>
    <row r="431" spans="1:7">
      <c r="A431" s="86">
        <v>430</v>
      </c>
      <c r="B431" s="86" t="s">
        <v>4899</v>
      </c>
      <c r="C431" s="86" t="s">
        <v>378</v>
      </c>
      <c r="D431" s="86" t="s">
        <v>35</v>
      </c>
      <c r="E431" s="86" t="s">
        <v>35</v>
      </c>
      <c r="F431" s="86" t="s">
        <v>36</v>
      </c>
      <c r="G431" s="86">
        <v>1</v>
      </c>
    </row>
    <row r="432" spans="1:7">
      <c r="A432" s="86">
        <v>431</v>
      </c>
      <c r="B432" s="86" t="s">
        <v>4615</v>
      </c>
      <c r="C432" s="86" t="s">
        <v>378</v>
      </c>
      <c r="D432" s="86" t="s">
        <v>35</v>
      </c>
      <c r="E432" s="86" t="s">
        <v>35</v>
      </c>
      <c r="F432" s="86" t="s">
        <v>36</v>
      </c>
      <c r="G432" s="86">
        <v>1</v>
      </c>
    </row>
    <row r="433" spans="1:7">
      <c r="A433" s="86">
        <v>432</v>
      </c>
      <c r="B433" s="86" t="s">
        <v>1707</v>
      </c>
      <c r="C433" s="86" t="s">
        <v>378</v>
      </c>
      <c r="D433" s="86" t="s">
        <v>35</v>
      </c>
      <c r="E433" s="86" t="s">
        <v>35</v>
      </c>
      <c r="F433" s="86" t="s">
        <v>36</v>
      </c>
      <c r="G433" s="86">
        <v>1</v>
      </c>
    </row>
    <row r="434" spans="1:7">
      <c r="A434" s="86">
        <v>433</v>
      </c>
      <c r="B434" s="86" t="s">
        <v>1713</v>
      </c>
      <c r="C434" s="86" t="s">
        <v>378</v>
      </c>
      <c r="D434" s="86" t="s">
        <v>35</v>
      </c>
      <c r="E434" s="86" t="s">
        <v>35</v>
      </c>
      <c r="F434" s="86" t="s">
        <v>36</v>
      </c>
      <c r="G434" s="86">
        <v>1</v>
      </c>
    </row>
    <row r="435" spans="1:7">
      <c r="A435" s="86">
        <v>434</v>
      </c>
      <c r="B435" s="86" t="s">
        <v>1678</v>
      </c>
      <c r="C435" s="86" t="s">
        <v>378</v>
      </c>
      <c r="D435" s="86" t="s">
        <v>35</v>
      </c>
      <c r="E435" s="86" t="s">
        <v>35</v>
      </c>
      <c r="F435" s="86" t="s">
        <v>36</v>
      </c>
      <c r="G435" s="86">
        <v>1</v>
      </c>
    </row>
    <row r="436" spans="1:7">
      <c r="A436" s="86">
        <v>435</v>
      </c>
      <c r="B436" s="86" t="s">
        <v>1800</v>
      </c>
      <c r="C436" s="86" t="s">
        <v>378</v>
      </c>
      <c r="D436" s="86" t="s">
        <v>35</v>
      </c>
      <c r="E436" s="86" t="s">
        <v>35</v>
      </c>
      <c r="F436" s="86" t="s">
        <v>36</v>
      </c>
      <c r="G436" s="86">
        <v>1</v>
      </c>
    </row>
    <row r="437" spans="1:7">
      <c r="A437" s="86">
        <v>436</v>
      </c>
      <c r="B437" s="86" t="s">
        <v>1670</v>
      </c>
      <c r="C437" s="86" t="s">
        <v>378</v>
      </c>
      <c r="D437" s="86" t="s">
        <v>35</v>
      </c>
      <c r="E437" s="86" t="s">
        <v>35</v>
      </c>
      <c r="F437" s="86" t="s">
        <v>36</v>
      </c>
      <c r="G437" s="86">
        <v>1</v>
      </c>
    </row>
    <row r="438" spans="1:7">
      <c r="A438" s="86">
        <v>437</v>
      </c>
      <c r="B438" s="86" t="s">
        <v>1805</v>
      </c>
      <c r="C438" s="86" t="s">
        <v>378</v>
      </c>
      <c r="D438" s="86" t="s">
        <v>35</v>
      </c>
      <c r="E438" s="86" t="s">
        <v>35</v>
      </c>
      <c r="F438" s="86" t="s">
        <v>36</v>
      </c>
      <c r="G438" s="86">
        <v>1</v>
      </c>
    </row>
    <row r="439" spans="1:7">
      <c r="A439" s="86">
        <v>438</v>
      </c>
      <c r="B439" s="86" t="s">
        <v>1817</v>
      </c>
      <c r="C439" s="86" t="s">
        <v>378</v>
      </c>
      <c r="D439" s="86" t="s">
        <v>35</v>
      </c>
      <c r="E439" s="86" t="s">
        <v>35</v>
      </c>
      <c r="F439" s="86" t="s">
        <v>36</v>
      </c>
      <c r="G439" s="86">
        <v>1</v>
      </c>
    </row>
    <row r="440" spans="1:7">
      <c r="A440" s="86">
        <v>439</v>
      </c>
      <c r="B440" s="86" t="s">
        <v>1811</v>
      </c>
      <c r="C440" s="86" t="s">
        <v>378</v>
      </c>
      <c r="D440" s="86" t="s">
        <v>35</v>
      </c>
      <c r="E440" s="86" t="s">
        <v>35</v>
      </c>
      <c r="F440" s="86" t="s">
        <v>36</v>
      </c>
      <c r="G440" s="86">
        <v>1</v>
      </c>
    </row>
    <row r="441" spans="1:7">
      <c r="A441" s="86">
        <v>440</v>
      </c>
      <c r="B441" s="86" t="s">
        <v>1895</v>
      </c>
      <c r="C441" s="86" t="s">
        <v>378</v>
      </c>
      <c r="D441" s="86" t="s">
        <v>35</v>
      </c>
      <c r="E441" s="86" t="s">
        <v>35</v>
      </c>
      <c r="F441" s="86" t="s">
        <v>36</v>
      </c>
      <c r="G441" s="86">
        <v>1</v>
      </c>
    </row>
    <row r="442" spans="1:7">
      <c r="A442" s="86">
        <v>441</v>
      </c>
      <c r="B442" s="86" t="s">
        <v>1889</v>
      </c>
      <c r="C442" s="86" t="s">
        <v>378</v>
      </c>
      <c r="D442" s="86" t="s">
        <v>35</v>
      </c>
      <c r="E442" s="86" t="s">
        <v>35</v>
      </c>
      <c r="F442" s="86" t="s">
        <v>36</v>
      </c>
      <c r="G442" s="86">
        <v>1</v>
      </c>
    </row>
    <row r="443" spans="1:7">
      <c r="A443" s="86">
        <v>442</v>
      </c>
      <c r="B443" s="86" t="s">
        <v>9340</v>
      </c>
      <c r="C443" s="86" t="s">
        <v>378</v>
      </c>
      <c r="D443" s="86" t="s">
        <v>35</v>
      </c>
      <c r="E443" s="86" t="s">
        <v>35</v>
      </c>
      <c r="F443" s="86" t="s">
        <v>36</v>
      </c>
      <c r="G443" s="86">
        <v>1</v>
      </c>
    </row>
    <row r="444" spans="1:7">
      <c r="A444" s="86">
        <v>443</v>
      </c>
      <c r="B444" s="86" t="s">
        <v>3876</v>
      </c>
      <c r="C444" s="86" t="s">
        <v>378</v>
      </c>
      <c r="D444" s="86" t="s">
        <v>35</v>
      </c>
      <c r="E444" s="86" t="s">
        <v>35</v>
      </c>
      <c r="F444" s="86" t="s">
        <v>36</v>
      </c>
      <c r="G444" s="86">
        <v>1</v>
      </c>
    </row>
    <row r="445" spans="1:7">
      <c r="A445" s="86">
        <v>444</v>
      </c>
      <c r="B445" s="86" t="s">
        <v>4310</v>
      </c>
      <c r="C445" s="86" t="s">
        <v>378</v>
      </c>
      <c r="D445" s="86" t="s">
        <v>35</v>
      </c>
      <c r="E445" s="86" t="s">
        <v>35</v>
      </c>
      <c r="F445" s="86" t="s">
        <v>36</v>
      </c>
      <c r="G445" s="86">
        <v>1</v>
      </c>
    </row>
    <row r="446" spans="1:7">
      <c r="A446" s="86">
        <v>445</v>
      </c>
      <c r="B446" s="86" t="s">
        <v>1454</v>
      </c>
      <c r="C446" s="86" t="s">
        <v>378</v>
      </c>
      <c r="D446" s="86" t="s">
        <v>35</v>
      </c>
      <c r="E446" s="86" t="s">
        <v>35</v>
      </c>
      <c r="F446" s="86" t="s">
        <v>36</v>
      </c>
      <c r="G446" s="86">
        <v>1</v>
      </c>
    </row>
    <row r="447" spans="1:7">
      <c r="A447" s="86">
        <v>446</v>
      </c>
      <c r="B447" s="86" t="s">
        <v>1823</v>
      </c>
      <c r="C447" s="86" t="s">
        <v>378</v>
      </c>
      <c r="D447" s="86" t="s">
        <v>35</v>
      </c>
      <c r="E447" s="86" t="s">
        <v>35</v>
      </c>
      <c r="F447" s="86" t="s">
        <v>36</v>
      </c>
      <c r="G447" s="86">
        <v>1</v>
      </c>
    </row>
    <row r="448" spans="1:7">
      <c r="A448" s="86">
        <v>447</v>
      </c>
      <c r="B448" s="86" t="s">
        <v>1829</v>
      </c>
      <c r="C448" s="86" t="s">
        <v>378</v>
      </c>
      <c r="D448" s="86" t="s">
        <v>35</v>
      </c>
      <c r="E448" s="86" t="s">
        <v>35</v>
      </c>
      <c r="F448" s="86" t="s">
        <v>36</v>
      </c>
      <c r="G448" s="86">
        <v>1</v>
      </c>
    </row>
    <row r="449" spans="1:7">
      <c r="A449" s="86">
        <v>448</v>
      </c>
      <c r="B449" s="86" t="s">
        <v>1883</v>
      </c>
      <c r="C449" s="86" t="s">
        <v>378</v>
      </c>
      <c r="D449" s="86" t="s">
        <v>35</v>
      </c>
      <c r="E449" s="86" t="s">
        <v>35</v>
      </c>
      <c r="F449" s="86" t="s">
        <v>36</v>
      </c>
      <c r="G449" s="86">
        <v>1</v>
      </c>
    </row>
    <row r="450" spans="1:7">
      <c r="A450" s="86">
        <v>449</v>
      </c>
      <c r="B450" s="86" t="s">
        <v>2471</v>
      </c>
      <c r="C450" s="86" t="s">
        <v>378</v>
      </c>
      <c r="D450" s="86" t="s">
        <v>35</v>
      </c>
      <c r="E450" s="86" t="s">
        <v>35</v>
      </c>
      <c r="F450" s="86" t="s">
        <v>36</v>
      </c>
      <c r="G450" s="86">
        <v>1</v>
      </c>
    </row>
    <row r="451" spans="1:7">
      <c r="A451" s="86">
        <v>450</v>
      </c>
      <c r="B451" s="86" t="s">
        <v>1460</v>
      </c>
      <c r="C451" s="86" t="s">
        <v>378</v>
      </c>
      <c r="D451" s="86" t="s">
        <v>35</v>
      </c>
      <c r="E451" s="86" t="s">
        <v>35</v>
      </c>
      <c r="F451" s="86" t="s">
        <v>36</v>
      </c>
      <c r="G451" s="86">
        <v>1</v>
      </c>
    </row>
    <row r="452" spans="1:7">
      <c r="A452" s="86">
        <v>451</v>
      </c>
      <c r="B452" s="86" t="s">
        <v>3122</v>
      </c>
      <c r="C452" s="86" t="s">
        <v>378</v>
      </c>
      <c r="D452" s="86" t="s">
        <v>35</v>
      </c>
      <c r="E452" s="86" t="s">
        <v>35</v>
      </c>
      <c r="F452" s="86" t="s">
        <v>36</v>
      </c>
      <c r="G452" s="86">
        <v>1</v>
      </c>
    </row>
    <row r="453" spans="1:7">
      <c r="A453" s="86">
        <v>452</v>
      </c>
      <c r="B453" s="86" t="s">
        <v>3226</v>
      </c>
      <c r="C453" s="86" t="s">
        <v>378</v>
      </c>
      <c r="D453" s="86" t="s">
        <v>35</v>
      </c>
      <c r="E453" s="86" t="s">
        <v>35</v>
      </c>
      <c r="F453" s="86" t="s">
        <v>36</v>
      </c>
      <c r="G453" s="86">
        <v>1</v>
      </c>
    </row>
    <row r="454" spans="1:7">
      <c r="A454" s="86">
        <v>453</v>
      </c>
      <c r="B454" s="86" t="s">
        <v>3116</v>
      </c>
      <c r="C454" s="86" t="s">
        <v>378</v>
      </c>
      <c r="D454" s="86" t="s">
        <v>35</v>
      </c>
      <c r="E454" s="86" t="s">
        <v>35</v>
      </c>
      <c r="F454" s="86" t="s">
        <v>36</v>
      </c>
      <c r="G454" s="86">
        <v>1</v>
      </c>
    </row>
    <row r="455" spans="1:7">
      <c r="A455" s="86">
        <v>454</v>
      </c>
      <c r="B455" s="86" t="s">
        <v>6773</v>
      </c>
      <c r="C455" s="86" t="s">
        <v>378</v>
      </c>
      <c r="D455" s="86" t="s">
        <v>35</v>
      </c>
      <c r="E455" s="86" t="s">
        <v>35</v>
      </c>
      <c r="F455" s="86" t="s">
        <v>36</v>
      </c>
      <c r="G455" s="86">
        <v>1</v>
      </c>
    </row>
    <row r="456" spans="1:7">
      <c r="A456" s="86">
        <v>455</v>
      </c>
      <c r="B456" s="86" t="s">
        <v>4087</v>
      </c>
      <c r="C456" s="86" t="s">
        <v>378</v>
      </c>
      <c r="D456" s="86" t="s">
        <v>35</v>
      </c>
      <c r="E456" s="86" t="s">
        <v>35</v>
      </c>
      <c r="F456" s="86" t="s">
        <v>36</v>
      </c>
      <c r="G456" s="86">
        <v>1</v>
      </c>
    </row>
    <row r="457" spans="1:7">
      <c r="A457" s="86">
        <v>456</v>
      </c>
      <c r="B457" s="86" t="s">
        <v>4042</v>
      </c>
      <c r="C457" s="86" t="s">
        <v>378</v>
      </c>
      <c r="D457" s="86" t="s">
        <v>35</v>
      </c>
      <c r="E457" s="86" t="s">
        <v>35</v>
      </c>
      <c r="F457" s="86" t="s">
        <v>36</v>
      </c>
      <c r="G457" s="86">
        <v>1</v>
      </c>
    </row>
    <row r="458" spans="1:7">
      <c r="A458" s="86">
        <v>457</v>
      </c>
      <c r="B458" s="86" t="s">
        <v>4550</v>
      </c>
      <c r="C458" s="86" t="s">
        <v>378</v>
      </c>
      <c r="D458" s="86" t="s">
        <v>35</v>
      </c>
      <c r="E458" s="86" t="s">
        <v>35</v>
      </c>
      <c r="F458" s="86" t="s">
        <v>36</v>
      </c>
      <c r="G458" s="86">
        <v>1</v>
      </c>
    </row>
    <row r="459" spans="1:7">
      <c r="A459" s="86">
        <v>458</v>
      </c>
      <c r="B459" s="86" t="s">
        <v>4391</v>
      </c>
      <c r="C459" s="86" t="s">
        <v>378</v>
      </c>
      <c r="D459" s="86" t="s">
        <v>35</v>
      </c>
      <c r="E459" s="86" t="s">
        <v>35</v>
      </c>
      <c r="F459" s="86" t="s">
        <v>36</v>
      </c>
      <c r="G459" s="86">
        <v>1</v>
      </c>
    </row>
    <row r="460" spans="1:7">
      <c r="A460" s="86">
        <v>459</v>
      </c>
      <c r="B460" s="86" t="s">
        <v>4143</v>
      </c>
      <c r="C460" s="86" t="s">
        <v>378</v>
      </c>
      <c r="D460" s="86" t="s">
        <v>35</v>
      </c>
      <c r="E460" s="86" t="s">
        <v>35</v>
      </c>
      <c r="F460" s="86" t="s">
        <v>36</v>
      </c>
      <c r="G460" s="86">
        <v>1</v>
      </c>
    </row>
    <row r="461" spans="1:7">
      <c r="A461" s="86">
        <v>460</v>
      </c>
      <c r="B461" s="86" t="s">
        <v>3501</v>
      </c>
      <c r="C461" s="86" t="s">
        <v>378</v>
      </c>
      <c r="D461" s="86" t="s">
        <v>35</v>
      </c>
      <c r="E461" s="86" t="s">
        <v>35</v>
      </c>
      <c r="F461" s="86" t="s">
        <v>36</v>
      </c>
      <c r="G461" s="86">
        <v>1</v>
      </c>
    </row>
    <row r="462" spans="1:7">
      <c r="A462" s="86">
        <v>461</v>
      </c>
      <c r="B462" s="86" t="s">
        <v>3784</v>
      </c>
      <c r="C462" s="86" t="s">
        <v>378</v>
      </c>
      <c r="D462" s="86" t="s">
        <v>35</v>
      </c>
      <c r="E462" s="86" t="s">
        <v>35</v>
      </c>
      <c r="F462" s="86" t="s">
        <v>36</v>
      </c>
      <c r="G462" s="86">
        <v>1</v>
      </c>
    </row>
    <row r="463" spans="1:7">
      <c r="A463" s="86">
        <v>462</v>
      </c>
      <c r="B463" s="86" t="s">
        <v>3495</v>
      </c>
      <c r="C463" s="86" t="s">
        <v>378</v>
      </c>
      <c r="D463" s="86" t="s">
        <v>35</v>
      </c>
      <c r="E463" s="86" t="s">
        <v>35</v>
      </c>
      <c r="F463" s="86" t="s">
        <v>36</v>
      </c>
      <c r="G463" s="86">
        <v>1</v>
      </c>
    </row>
    <row r="464" spans="1:7">
      <c r="A464" s="86">
        <v>463</v>
      </c>
      <c r="B464" s="86" t="s">
        <v>3490</v>
      </c>
      <c r="C464" s="86" t="s">
        <v>378</v>
      </c>
      <c r="D464" s="86" t="s">
        <v>35</v>
      </c>
      <c r="E464" s="86" t="s">
        <v>35</v>
      </c>
      <c r="F464" s="86" t="s">
        <v>36</v>
      </c>
      <c r="G464" s="86">
        <v>1</v>
      </c>
    </row>
    <row r="465" spans="1:7">
      <c r="A465" s="86">
        <v>464</v>
      </c>
      <c r="B465" s="86" t="s">
        <v>3507</v>
      </c>
      <c r="C465" s="86" t="s">
        <v>378</v>
      </c>
      <c r="D465" s="86" t="s">
        <v>35</v>
      </c>
      <c r="E465" s="86" t="s">
        <v>35</v>
      </c>
      <c r="F465" s="86" t="s">
        <v>36</v>
      </c>
      <c r="G465" s="86">
        <v>1</v>
      </c>
    </row>
    <row r="466" spans="1:7">
      <c r="A466" s="86">
        <v>465</v>
      </c>
      <c r="B466" s="86" t="s">
        <v>3484</v>
      </c>
      <c r="C466" s="86" t="s">
        <v>378</v>
      </c>
      <c r="D466" s="86" t="s">
        <v>35</v>
      </c>
      <c r="E466" s="86" t="s">
        <v>35</v>
      </c>
      <c r="F466" s="86" t="s">
        <v>36</v>
      </c>
      <c r="G466" s="86">
        <v>1</v>
      </c>
    </row>
    <row r="467" spans="1:7">
      <c r="A467" s="86">
        <v>466</v>
      </c>
      <c r="B467" s="86" t="s">
        <v>3790</v>
      </c>
      <c r="C467" s="86" t="s">
        <v>378</v>
      </c>
      <c r="D467" s="86" t="s">
        <v>35</v>
      </c>
      <c r="E467" s="86" t="s">
        <v>35</v>
      </c>
      <c r="F467" s="86" t="s">
        <v>36</v>
      </c>
      <c r="G467" s="86">
        <v>1</v>
      </c>
    </row>
    <row r="468" spans="1:7">
      <c r="A468" s="86">
        <v>467</v>
      </c>
      <c r="B468" s="86" t="s">
        <v>5438</v>
      </c>
      <c r="C468" s="86" t="s">
        <v>378</v>
      </c>
      <c r="D468" s="86" t="s">
        <v>35</v>
      </c>
      <c r="E468" s="86" t="s">
        <v>35</v>
      </c>
      <c r="F468" s="86" t="s">
        <v>36</v>
      </c>
      <c r="G468" s="86">
        <v>1</v>
      </c>
    </row>
    <row r="469" spans="1:7">
      <c r="A469" s="86">
        <v>468</v>
      </c>
      <c r="B469" s="86" t="s">
        <v>5315</v>
      </c>
      <c r="C469" s="86" t="s">
        <v>378</v>
      </c>
      <c r="D469" s="86" t="s">
        <v>35</v>
      </c>
      <c r="E469" s="86" t="s">
        <v>35</v>
      </c>
      <c r="F469" s="86" t="s">
        <v>36</v>
      </c>
      <c r="G469" s="86">
        <v>1</v>
      </c>
    </row>
    <row r="470" spans="1:7">
      <c r="A470" s="86">
        <v>469</v>
      </c>
      <c r="B470" s="86" t="s">
        <v>5308</v>
      </c>
      <c r="C470" s="86" t="s">
        <v>378</v>
      </c>
      <c r="D470" s="86" t="s">
        <v>35</v>
      </c>
      <c r="E470" s="86" t="s">
        <v>35</v>
      </c>
      <c r="F470" s="86" t="s">
        <v>36</v>
      </c>
      <c r="G470" s="86">
        <v>1</v>
      </c>
    </row>
    <row r="471" spans="1:7">
      <c r="A471" s="86">
        <v>470</v>
      </c>
      <c r="B471" s="86" t="s">
        <v>3614</v>
      </c>
      <c r="C471" s="86" t="s">
        <v>378</v>
      </c>
      <c r="D471" s="86" t="s">
        <v>35</v>
      </c>
      <c r="E471" s="86" t="s">
        <v>35</v>
      </c>
      <c r="F471" s="86" t="s">
        <v>36</v>
      </c>
      <c r="G471" s="86">
        <v>1</v>
      </c>
    </row>
    <row r="472" spans="1:7">
      <c r="A472" s="86">
        <v>471</v>
      </c>
      <c r="B472" s="86" t="s">
        <v>1295</v>
      </c>
      <c r="C472" s="86" t="s">
        <v>378</v>
      </c>
      <c r="D472" s="86" t="s">
        <v>35</v>
      </c>
      <c r="E472" s="86" t="s">
        <v>35</v>
      </c>
      <c r="F472" s="86" t="s">
        <v>36</v>
      </c>
      <c r="G472" s="86">
        <v>1</v>
      </c>
    </row>
    <row r="473" spans="1:7">
      <c r="A473" s="86">
        <v>472</v>
      </c>
      <c r="B473" s="86" t="s">
        <v>4463</v>
      </c>
      <c r="C473" s="86" t="s">
        <v>378</v>
      </c>
      <c r="D473" s="86" t="s">
        <v>35</v>
      </c>
      <c r="E473" s="86" t="s">
        <v>35</v>
      </c>
      <c r="F473" s="86" t="s">
        <v>36</v>
      </c>
      <c r="G473" s="86">
        <v>1</v>
      </c>
    </row>
    <row r="474" spans="1:7">
      <c r="A474" s="86">
        <v>473</v>
      </c>
      <c r="B474" s="86" t="s">
        <v>4474</v>
      </c>
      <c r="C474" s="86" t="s">
        <v>378</v>
      </c>
      <c r="D474" s="86" t="s">
        <v>35</v>
      </c>
      <c r="E474" s="86" t="s">
        <v>35</v>
      </c>
      <c r="F474" s="86" t="s">
        <v>36</v>
      </c>
      <c r="G474" s="86">
        <v>1</v>
      </c>
    </row>
    <row r="475" spans="1:7">
      <c r="A475" s="86">
        <v>474</v>
      </c>
      <c r="B475" s="86" t="s">
        <v>4557</v>
      </c>
      <c r="C475" s="86" t="s">
        <v>378</v>
      </c>
      <c r="D475" s="86" t="s">
        <v>35</v>
      </c>
      <c r="E475" s="86" t="s">
        <v>35</v>
      </c>
      <c r="F475" s="86" t="s">
        <v>36</v>
      </c>
      <c r="G475" s="86">
        <v>1</v>
      </c>
    </row>
    <row r="476" spans="1:7">
      <c r="A476" s="86">
        <v>475</v>
      </c>
      <c r="B476" s="86" t="s">
        <v>4075</v>
      </c>
      <c r="C476" s="86" t="s">
        <v>378</v>
      </c>
      <c r="D476" s="86" t="s">
        <v>35</v>
      </c>
      <c r="E476" s="86" t="s">
        <v>35</v>
      </c>
      <c r="F476" s="86" t="s">
        <v>36</v>
      </c>
      <c r="G476" s="86">
        <v>1</v>
      </c>
    </row>
    <row r="477" spans="1:7">
      <c r="A477" s="86">
        <v>476</v>
      </c>
      <c r="B477" s="86" t="s">
        <v>4240</v>
      </c>
      <c r="C477" s="86" t="s">
        <v>378</v>
      </c>
      <c r="D477" s="86" t="s">
        <v>35</v>
      </c>
      <c r="E477" s="86" t="s">
        <v>35</v>
      </c>
      <c r="F477" s="86" t="s">
        <v>36</v>
      </c>
      <c r="G477" s="86">
        <v>1</v>
      </c>
    </row>
    <row r="478" spans="1:7">
      <c r="A478" s="86">
        <v>477</v>
      </c>
      <c r="B478" s="86" t="s">
        <v>6068</v>
      </c>
      <c r="C478" s="86" t="s">
        <v>9341</v>
      </c>
      <c r="D478" s="86" t="s">
        <v>35</v>
      </c>
      <c r="E478" s="86" t="s">
        <v>35</v>
      </c>
      <c r="F478" s="86" t="s">
        <v>36</v>
      </c>
      <c r="G478" s="86">
        <v>1</v>
      </c>
    </row>
    <row r="479" spans="1:7">
      <c r="A479" s="86">
        <v>478</v>
      </c>
      <c r="B479" s="86" t="s">
        <v>9342</v>
      </c>
      <c r="C479" s="86" t="s">
        <v>9343</v>
      </c>
      <c r="G479" s="86">
        <v>980.01</v>
      </c>
    </row>
    <row r="480" spans="1:7">
      <c r="A480" s="86">
        <v>479</v>
      </c>
      <c r="B480" s="86" t="s">
        <v>9344</v>
      </c>
      <c r="C480" s="86" t="s">
        <v>9343</v>
      </c>
      <c r="G480" s="86">
        <v>980.01</v>
      </c>
    </row>
    <row r="481" spans="1:7">
      <c r="A481" s="86">
        <v>480</v>
      </c>
      <c r="B481" s="86" t="s">
        <v>9345</v>
      </c>
      <c r="C481" s="86" t="s">
        <v>9343</v>
      </c>
      <c r="G481" s="86">
        <v>1150</v>
      </c>
    </row>
    <row r="482" spans="1:7">
      <c r="A482" s="86">
        <v>481</v>
      </c>
      <c r="B482" s="86" t="s">
        <v>9346</v>
      </c>
      <c r="C482" s="86" t="s">
        <v>9343</v>
      </c>
      <c r="G482" s="86">
        <v>1150</v>
      </c>
    </row>
    <row r="483" spans="1:7">
      <c r="A483" s="86">
        <v>482</v>
      </c>
      <c r="B483" s="86" t="s">
        <v>1022</v>
      </c>
      <c r="C483" s="86" t="s">
        <v>184</v>
      </c>
      <c r="D483" s="86" t="s">
        <v>35</v>
      </c>
      <c r="E483" s="86" t="s">
        <v>35</v>
      </c>
      <c r="F483" s="86" t="s">
        <v>36</v>
      </c>
      <c r="G483" s="86">
        <v>1</v>
      </c>
    </row>
    <row r="484" spans="1:7">
      <c r="A484" s="86">
        <v>483</v>
      </c>
      <c r="B484" s="86" t="s">
        <v>4683</v>
      </c>
      <c r="C484" s="86" t="s">
        <v>184</v>
      </c>
      <c r="D484" s="86" t="s">
        <v>35</v>
      </c>
      <c r="E484" s="86" t="s">
        <v>35</v>
      </c>
      <c r="F484" s="86" t="s">
        <v>36</v>
      </c>
      <c r="G484" s="86">
        <v>1</v>
      </c>
    </row>
    <row r="485" spans="1:7">
      <c r="A485" s="86">
        <v>484</v>
      </c>
      <c r="B485" s="86" t="s">
        <v>189</v>
      </c>
      <c r="C485" s="86" t="s">
        <v>184</v>
      </c>
      <c r="D485" s="86" t="s">
        <v>35</v>
      </c>
      <c r="E485" s="86" t="s">
        <v>35</v>
      </c>
      <c r="F485" s="86" t="s">
        <v>36</v>
      </c>
      <c r="G485" s="86">
        <v>1</v>
      </c>
    </row>
    <row r="486" spans="1:7">
      <c r="A486" s="86">
        <v>485</v>
      </c>
      <c r="B486" s="86" t="s">
        <v>931</v>
      </c>
      <c r="C486" s="86" t="s">
        <v>184</v>
      </c>
      <c r="D486" s="86" t="s">
        <v>35</v>
      </c>
      <c r="E486" s="86" t="s">
        <v>35</v>
      </c>
      <c r="F486" s="86" t="s">
        <v>36</v>
      </c>
      <c r="G486" s="86">
        <v>1</v>
      </c>
    </row>
    <row r="487" spans="1:7">
      <c r="A487" s="86">
        <v>486</v>
      </c>
      <c r="B487" s="86" t="s">
        <v>225</v>
      </c>
      <c r="C487" s="86" t="s">
        <v>184</v>
      </c>
      <c r="D487" s="86" t="s">
        <v>35</v>
      </c>
      <c r="E487" s="86" t="s">
        <v>35</v>
      </c>
      <c r="F487" s="86" t="s">
        <v>36</v>
      </c>
      <c r="G487" s="86">
        <v>1</v>
      </c>
    </row>
    <row r="488" spans="1:7">
      <c r="A488" s="86">
        <v>487</v>
      </c>
      <c r="B488" s="86" t="s">
        <v>231</v>
      </c>
      <c r="C488" s="86" t="s">
        <v>184</v>
      </c>
      <c r="D488" s="86" t="s">
        <v>35</v>
      </c>
      <c r="E488" s="86" t="s">
        <v>35</v>
      </c>
      <c r="F488" s="86" t="s">
        <v>36</v>
      </c>
      <c r="G488" s="86">
        <v>1</v>
      </c>
    </row>
    <row r="489" spans="1:7">
      <c r="A489" s="86">
        <v>488</v>
      </c>
      <c r="B489" s="86" t="s">
        <v>258</v>
      </c>
      <c r="C489" s="86" t="s">
        <v>184</v>
      </c>
      <c r="D489" s="86" t="s">
        <v>35</v>
      </c>
      <c r="E489" s="86" t="s">
        <v>35</v>
      </c>
      <c r="F489" s="86" t="s">
        <v>36</v>
      </c>
      <c r="G489" s="86">
        <v>1</v>
      </c>
    </row>
    <row r="490" spans="1:7">
      <c r="A490" s="86">
        <v>489</v>
      </c>
      <c r="B490" s="86" t="s">
        <v>453</v>
      </c>
      <c r="C490" s="86" t="s">
        <v>184</v>
      </c>
      <c r="D490" s="86" t="s">
        <v>35</v>
      </c>
      <c r="E490" s="86" t="s">
        <v>35</v>
      </c>
      <c r="F490" s="86" t="s">
        <v>36</v>
      </c>
      <c r="G490" s="86">
        <v>1</v>
      </c>
    </row>
    <row r="491" spans="1:7">
      <c r="A491" s="86">
        <v>490</v>
      </c>
      <c r="B491" s="86" t="s">
        <v>2477</v>
      </c>
      <c r="C491" s="86" t="s">
        <v>184</v>
      </c>
      <c r="D491" s="86" t="s">
        <v>35</v>
      </c>
      <c r="E491" s="86" t="s">
        <v>35</v>
      </c>
      <c r="F491" s="86" t="s">
        <v>36</v>
      </c>
      <c r="G491" s="86">
        <v>1</v>
      </c>
    </row>
    <row r="492" spans="1:7">
      <c r="A492" s="86">
        <v>491</v>
      </c>
      <c r="B492" s="86" t="s">
        <v>2681</v>
      </c>
      <c r="C492" s="86" t="s">
        <v>184</v>
      </c>
      <c r="D492" s="86" t="s">
        <v>35</v>
      </c>
      <c r="E492" s="86" t="s">
        <v>35</v>
      </c>
      <c r="F492" s="86" t="s">
        <v>36</v>
      </c>
      <c r="G492" s="86">
        <v>1</v>
      </c>
    </row>
    <row r="493" spans="1:7">
      <c r="A493" s="86">
        <v>492</v>
      </c>
      <c r="B493" s="86" t="s">
        <v>9347</v>
      </c>
      <c r="C493" s="86" t="s">
        <v>184</v>
      </c>
      <c r="D493" s="86" t="s">
        <v>35</v>
      </c>
      <c r="E493" s="86" t="s">
        <v>35</v>
      </c>
      <c r="F493" s="86" t="s">
        <v>36</v>
      </c>
      <c r="G493" s="86">
        <v>1</v>
      </c>
    </row>
    <row r="494" spans="1:7">
      <c r="A494" s="86">
        <v>493</v>
      </c>
      <c r="B494" s="86" t="s">
        <v>1996</v>
      </c>
      <c r="C494" s="86" t="s">
        <v>184</v>
      </c>
      <c r="D494" s="86" t="s">
        <v>35</v>
      </c>
      <c r="E494" s="86" t="s">
        <v>35</v>
      </c>
      <c r="F494" s="86" t="s">
        <v>36</v>
      </c>
      <c r="G494" s="86">
        <v>1</v>
      </c>
    </row>
    <row r="495" spans="1:7">
      <c r="A495" s="86">
        <v>494</v>
      </c>
      <c r="B495" s="86" t="s">
        <v>2233</v>
      </c>
      <c r="C495" s="86" t="s">
        <v>184</v>
      </c>
      <c r="D495" s="86" t="s">
        <v>35</v>
      </c>
      <c r="E495" s="86" t="s">
        <v>35</v>
      </c>
      <c r="F495" s="86" t="s">
        <v>36</v>
      </c>
      <c r="G495" s="86">
        <v>1</v>
      </c>
    </row>
    <row r="496" spans="1:7">
      <c r="A496" s="86">
        <v>495</v>
      </c>
      <c r="B496" s="86" t="s">
        <v>4564</v>
      </c>
      <c r="C496" s="86" t="s">
        <v>184</v>
      </c>
      <c r="D496" s="86" t="s">
        <v>35</v>
      </c>
      <c r="E496" s="86" t="s">
        <v>35</v>
      </c>
      <c r="F496" s="86" t="s">
        <v>36</v>
      </c>
      <c r="G496" s="86">
        <v>1</v>
      </c>
    </row>
    <row r="497" spans="1:7">
      <c r="A497" s="86">
        <v>496</v>
      </c>
      <c r="B497" s="86" t="s">
        <v>657</v>
      </c>
      <c r="C497" s="86" t="s">
        <v>184</v>
      </c>
      <c r="D497" s="86" t="s">
        <v>35</v>
      </c>
      <c r="E497" s="86" t="s">
        <v>35</v>
      </c>
      <c r="F497" s="86" t="s">
        <v>36</v>
      </c>
      <c r="G497" s="86">
        <v>1</v>
      </c>
    </row>
    <row r="498" spans="1:7">
      <c r="A498" s="86">
        <v>497</v>
      </c>
      <c r="B498" s="86" t="s">
        <v>6205</v>
      </c>
      <c r="C498" s="86" t="s">
        <v>184</v>
      </c>
      <c r="D498" s="86" t="s">
        <v>35</v>
      </c>
      <c r="E498" s="86" t="s">
        <v>35</v>
      </c>
      <c r="F498" s="86" t="s">
        <v>36</v>
      </c>
      <c r="G498" s="86">
        <v>1</v>
      </c>
    </row>
    <row r="499" spans="1:7">
      <c r="A499" s="86">
        <v>498</v>
      </c>
      <c r="B499" s="86" t="s">
        <v>6211</v>
      </c>
      <c r="C499" s="86" t="s">
        <v>184</v>
      </c>
      <c r="D499" s="86" t="s">
        <v>35</v>
      </c>
      <c r="E499" s="86" t="s">
        <v>35</v>
      </c>
      <c r="F499" s="86" t="s">
        <v>36</v>
      </c>
      <c r="G499" s="86">
        <v>1</v>
      </c>
    </row>
    <row r="500" spans="1:7">
      <c r="A500" s="86">
        <v>499</v>
      </c>
      <c r="B500" s="86" t="s">
        <v>6217</v>
      </c>
      <c r="C500" s="86" t="s">
        <v>184</v>
      </c>
      <c r="D500" s="86" t="s">
        <v>35</v>
      </c>
      <c r="E500" s="86" t="s">
        <v>35</v>
      </c>
      <c r="F500" s="86" t="s">
        <v>36</v>
      </c>
      <c r="G500" s="86">
        <v>1</v>
      </c>
    </row>
    <row r="501" spans="1:7">
      <c r="A501" s="86">
        <v>500</v>
      </c>
      <c r="B501" s="86" t="s">
        <v>6422</v>
      </c>
      <c r="C501" s="86" t="s">
        <v>184</v>
      </c>
      <c r="D501" s="86" t="s">
        <v>35</v>
      </c>
      <c r="E501" s="86" t="s">
        <v>35</v>
      </c>
      <c r="F501" s="86" t="s">
        <v>36</v>
      </c>
      <c r="G501" s="86">
        <v>1</v>
      </c>
    </row>
    <row r="502" spans="1:7">
      <c r="A502" s="86">
        <v>501</v>
      </c>
      <c r="B502" s="86" t="s">
        <v>6404</v>
      </c>
      <c r="C502" s="86" t="s">
        <v>184</v>
      </c>
      <c r="D502" s="86" t="s">
        <v>35</v>
      </c>
      <c r="E502" s="86" t="s">
        <v>35</v>
      </c>
      <c r="F502" s="86" t="s">
        <v>36</v>
      </c>
      <c r="G502" s="86">
        <v>1</v>
      </c>
    </row>
    <row r="503" spans="1:7">
      <c r="A503" s="86">
        <v>502</v>
      </c>
      <c r="B503" s="86" t="s">
        <v>6392</v>
      </c>
      <c r="C503" s="86" t="s">
        <v>184</v>
      </c>
      <c r="D503" s="86" t="s">
        <v>35</v>
      </c>
      <c r="E503" s="86" t="s">
        <v>35</v>
      </c>
      <c r="F503" s="86" t="s">
        <v>36</v>
      </c>
      <c r="G503" s="86">
        <v>1</v>
      </c>
    </row>
    <row r="504" spans="1:7">
      <c r="A504" s="86">
        <v>503</v>
      </c>
      <c r="B504" s="86" t="s">
        <v>6410</v>
      </c>
      <c r="C504" s="86" t="s">
        <v>184</v>
      </c>
      <c r="D504" s="86" t="s">
        <v>35</v>
      </c>
      <c r="E504" s="86" t="s">
        <v>35</v>
      </c>
      <c r="F504" s="86" t="s">
        <v>36</v>
      </c>
      <c r="G504" s="86">
        <v>1</v>
      </c>
    </row>
    <row r="505" spans="1:7">
      <c r="A505" s="86">
        <v>504</v>
      </c>
      <c r="B505" s="86" t="s">
        <v>6380</v>
      </c>
      <c r="C505" s="86" t="s">
        <v>184</v>
      </c>
      <c r="D505" s="86" t="s">
        <v>35</v>
      </c>
      <c r="E505" s="86" t="s">
        <v>35</v>
      </c>
      <c r="F505" s="86" t="s">
        <v>36</v>
      </c>
      <c r="G505" s="86">
        <v>1</v>
      </c>
    </row>
    <row r="506" spans="1:7">
      <c r="A506" s="86">
        <v>505</v>
      </c>
      <c r="B506" s="86" t="s">
        <v>6416</v>
      </c>
      <c r="C506" s="86" t="s">
        <v>184</v>
      </c>
      <c r="D506" s="86" t="s">
        <v>35</v>
      </c>
      <c r="E506" s="86" t="s">
        <v>35</v>
      </c>
      <c r="F506" s="86" t="s">
        <v>36</v>
      </c>
      <c r="G506" s="86">
        <v>1</v>
      </c>
    </row>
    <row r="507" spans="1:7">
      <c r="A507" s="86">
        <v>506</v>
      </c>
      <c r="B507" s="86" t="s">
        <v>6374</v>
      </c>
      <c r="C507" s="86" t="s">
        <v>184</v>
      </c>
      <c r="D507" s="86" t="s">
        <v>35</v>
      </c>
      <c r="E507" s="86" t="s">
        <v>35</v>
      </c>
      <c r="F507" s="86" t="s">
        <v>36</v>
      </c>
      <c r="G507" s="86">
        <v>1</v>
      </c>
    </row>
    <row r="508" spans="1:7">
      <c r="A508" s="86">
        <v>507</v>
      </c>
      <c r="B508" s="86" t="s">
        <v>6386</v>
      </c>
      <c r="C508" s="86" t="s">
        <v>184</v>
      </c>
      <c r="D508" s="86" t="s">
        <v>35</v>
      </c>
      <c r="E508" s="86" t="s">
        <v>35</v>
      </c>
      <c r="F508" s="86" t="s">
        <v>36</v>
      </c>
      <c r="G508" s="86">
        <v>1</v>
      </c>
    </row>
    <row r="509" spans="1:7">
      <c r="A509" s="86">
        <v>508</v>
      </c>
      <c r="B509" s="86" t="s">
        <v>6398</v>
      </c>
      <c r="C509" s="86" t="s">
        <v>184</v>
      </c>
      <c r="D509" s="86" t="s">
        <v>35</v>
      </c>
      <c r="E509" s="86" t="s">
        <v>35</v>
      </c>
      <c r="F509" s="86" t="s">
        <v>36</v>
      </c>
      <c r="G509" s="86">
        <v>1</v>
      </c>
    </row>
    <row r="510" spans="1:7">
      <c r="A510" s="86">
        <v>509</v>
      </c>
      <c r="B510" s="86" t="s">
        <v>6440</v>
      </c>
      <c r="C510" s="86" t="s">
        <v>184</v>
      </c>
      <c r="D510" s="86" t="s">
        <v>35</v>
      </c>
      <c r="E510" s="86" t="s">
        <v>35</v>
      </c>
      <c r="F510" s="86" t="s">
        <v>36</v>
      </c>
      <c r="G510" s="86">
        <v>1</v>
      </c>
    </row>
    <row r="511" spans="1:7">
      <c r="A511" s="86">
        <v>510</v>
      </c>
      <c r="B511" s="86" t="s">
        <v>6434</v>
      </c>
      <c r="C511" s="86" t="s">
        <v>184</v>
      </c>
      <c r="D511" s="86" t="s">
        <v>35</v>
      </c>
      <c r="E511" s="86" t="s">
        <v>35</v>
      </c>
      <c r="F511" s="86" t="s">
        <v>36</v>
      </c>
      <c r="G511" s="86">
        <v>1</v>
      </c>
    </row>
    <row r="512" spans="1:7">
      <c r="A512" s="86">
        <v>511</v>
      </c>
      <c r="B512" s="86" t="s">
        <v>6428</v>
      </c>
      <c r="C512" s="86" t="s">
        <v>184</v>
      </c>
      <c r="D512" s="86" t="s">
        <v>35</v>
      </c>
      <c r="E512" s="86" t="s">
        <v>35</v>
      </c>
      <c r="F512" s="86" t="s">
        <v>36</v>
      </c>
      <c r="G512" s="86">
        <v>1</v>
      </c>
    </row>
    <row r="513" spans="1:7">
      <c r="A513" s="86">
        <v>512</v>
      </c>
      <c r="B513" s="86" t="s">
        <v>3883</v>
      </c>
      <c r="C513" s="86" t="s">
        <v>184</v>
      </c>
      <c r="D513" s="86" t="s">
        <v>35</v>
      </c>
      <c r="E513" s="86" t="s">
        <v>35</v>
      </c>
      <c r="F513" s="86" t="s">
        <v>36</v>
      </c>
      <c r="G513" s="86">
        <v>1</v>
      </c>
    </row>
    <row r="514" spans="1:7">
      <c r="A514" s="86">
        <v>513</v>
      </c>
      <c r="B514" s="86" t="s">
        <v>5643</v>
      </c>
      <c r="C514" s="86" t="s">
        <v>184</v>
      </c>
      <c r="D514" s="86" t="s">
        <v>35</v>
      </c>
      <c r="E514" s="86" t="s">
        <v>35</v>
      </c>
      <c r="F514" s="86" t="s">
        <v>36</v>
      </c>
      <c r="G514" s="86">
        <v>1</v>
      </c>
    </row>
    <row r="515" spans="1:7">
      <c r="A515" s="86">
        <v>514</v>
      </c>
      <c r="B515" s="86" t="s">
        <v>5570</v>
      </c>
      <c r="C515" s="86" t="s">
        <v>184</v>
      </c>
      <c r="D515" s="86" t="s">
        <v>35</v>
      </c>
      <c r="E515" s="86" t="s">
        <v>35</v>
      </c>
      <c r="F515" s="86" t="s">
        <v>36</v>
      </c>
      <c r="G515" s="86">
        <v>1</v>
      </c>
    </row>
    <row r="516" spans="1:7">
      <c r="A516" s="86">
        <v>515</v>
      </c>
      <c r="B516" s="86" t="s">
        <v>6808</v>
      </c>
      <c r="C516" s="86" t="s">
        <v>184</v>
      </c>
      <c r="D516" s="86" t="s">
        <v>35</v>
      </c>
      <c r="E516" s="86" t="s">
        <v>35</v>
      </c>
      <c r="F516" s="86" t="s">
        <v>36</v>
      </c>
      <c r="G516" s="86">
        <v>1</v>
      </c>
    </row>
    <row r="517" spans="1:7">
      <c r="A517" s="86">
        <v>516</v>
      </c>
      <c r="B517" s="86" t="s">
        <v>4999</v>
      </c>
      <c r="C517" s="86" t="s">
        <v>184</v>
      </c>
      <c r="D517" s="86" t="s">
        <v>35</v>
      </c>
      <c r="E517" s="86" t="s">
        <v>35</v>
      </c>
      <c r="F517" s="86" t="s">
        <v>36</v>
      </c>
      <c r="G517" s="86">
        <v>1</v>
      </c>
    </row>
    <row r="518" spans="1:7">
      <c r="A518" s="86">
        <v>517</v>
      </c>
      <c r="B518" s="86" t="s">
        <v>4993</v>
      </c>
      <c r="C518" s="86" t="s">
        <v>184</v>
      </c>
      <c r="D518" s="86" t="s">
        <v>35</v>
      </c>
      <c r="E518" s="86" t="s">
        <v>35</v>
      </c>
      <c r="F518" s="86" t="s">
        <v>36</v>
      </c>
      <c r="G518" s="86">
        <v>1</v>
      </c>
    </row>
    <row r="519" spans="1:7">
      <c r="A519" s="86">
        <v>518</v>
      </c>
      <c r="B519" s="86" t="s">
        <v>5070</v>
      </c>
      <c r="C519" s="86" t="s">
        <v>184</v>
      </c>
      <c r="D519" s="86" t="s">
        <v>35</v>
      </c>
      <c r="E519" s="86" t="s">
        <v>35</v>
      </c>
      <c r="F519" s="86" t="s">
        <v>36</v>
      </c>
      <c r="G519" s="86">
        <v>1</v>
      </c>
    </row>
    <row r="520" spans="1:7">
      <c r="A520" s="86">
        <v>519</v>
      </c>
      <c r="B520" s="86" t="s">
        <v>5098</v>
      </c>
      <c r="C520" s="86" t="s">
        <v>184</v>
      </c>
      <c r="D520" s="86" t="s">
        <v>35</v>
      </c>
      <c r="E520" s="86" t="s">
        <v>35</v>
      </c>
      <c r="F520" s="86" t="s">
        <v>36</v>
      </c>
      <c r="G520" s="86">
        <v>1</v>
      </c>
    </row>
    <row r="521" spans="1:7">
      <c r="A521" s="86">
        <v>520</v>
      </c>
      <c r="B521" s="86" t="s">
        <v>5104</v>
      </c>
      <c r="C521" s="86" t="s">
        <v>184</v>
      </c>
      <c r="D521" s="86" t="s">
        <v>35</v>
      </c>
      <c r="E521" s="86" t="s">
        <v>35</v>
      </c>
      <c r="F521" s="86" t="s">
        <v>36</v>
      </c>
      <c r="G521" s="86">
        <v>1</v>
      </c>
    </row>
    <row r="522" spans="1:7">
      <c r="A522" s="86">
        <v>521</v>
      </c>
      <c r="B522" s="86" t="s">
        <v>3539</v>
      </c>
      <c r="C522" s="86" t="s">
        <v>184</v>
      </c>
      <c r="D522" s="86" t="s">
        <v>35</v>
      </c>
      <c r="E522" s="86" t="s">
        <v>35</v>
      </c>
      <c r="F522" s="86" t="s">
        <v>36</v>
      </c>
      <c r="G522" s="86">
        <v>1</v>
      </c>
    </row>
    <row r="523" spans="1:7">
      <c r="A523" s="86">
        <v>522</v>
      </c>
      <c r="B523" s="86" t="s">
        <v>3846</v>
      </c>
      <c r="C523" s="86" t="s">
        <v>184</v>
      </c>
      <c r="D523" s="86" t="s">
        <v>35</v>
      </c>
      <c r="E523" s="86" t="s">
        <v>35</v>
      </c>
      <c r="F523" s="86" t="s">
        <v>36</v>
      </c>
      <c r="G523" s="86">
        <v>1</v>
      </c>
    </row>
    <row r="524" spans="1:7">
      <c r="A524" s="86">
        <v>523</v>
      </c>
      <c r="B524" s="86" t="s">
        <v>5322</v>
      </c>
      <c r="C524" s="86" t="s">
        <v>184</v>
      </c>
      <c r="D524" s="86" t="s">
        <v>35</v>
      </c>
      <c r="E524" s="86" t="s">
        <v>35</v>
      </c>
      <c r="F524" s="86" t="s">
        <v>36</v>
      </c>
      <c r="G524" s="86">
        <v>1</v>
      </c>
    </row>
    <row r="525" spans="1:7">
      <c r="A525" s="86">
        <v>524</v>
      </c>
      <c r="B525" s="86" t="s">
        <v>3477</v>
      </c>
      <c r="C525" s="86" t="s">
        <v>184</v>
      </c>
      <c r="D525" s="86" t="s">
        <v>35</v>
      </c>
      <c r="E525" s="86" t="s">
        <v>35</v>
      </c>
      <c r="F525" s="86" t="s">
        <v>36</v>
      </c>
      <c r="G525" s="86">
        <v>1</v>
      </c>
    </row>
    <row r="526" spans="1:7">
      <c r="A526" s="86">
        <v>525</v>
      </c>
      <c r="B526" s="86" t="s">
        <v>9348</v>
      </c>
      <c r="C526" s="86" t="s">
        <v>184</v>
      </c>
      <c r="D526" s="86" t="s">
        <v>35</v>
      </c>
      <c r="E526" s="86" t="s">
        <v>35</v>
      </c>
      <c r="F526" s="86" t="s">
        <v>36</v>
      </c>
      <c r="G526" s="86">
        <v>1</v>
      </c>
    </row>
    <row r="527" spans="1:7">
      <c r="A527" s="86">
        <v>526</v>
      </c>
      <c r="B527" s="86" t="s">
        <v>3111</v>
      </c>
      <c r="C527" s="86" t="s">
        <v>184</v>
      </c>
      <c r="D527" s="86" t="s">
        <v>35</v>
      </c>
      <c r="E527" s="86" t="s">
        <v>35</v>
      </c>
      <c r="F527" s="86" t="s">
        <v>36</v>
      </c>
      <c r="G527" s="86">
        <v>1</v>
      </c>
    </row>
    <row r="528" spans="1:7">
      <c r="A528" s="86">
        <v>527</v>
      </c>
      <c r="B528" s="86" t="s">
        <v>1525</v>
      </c>
      <c r="C528" s="86" t="s">
        <v>184</v>
      </c>
      <c r="D528" s="86" t="s">
        <v>35</v>
      </c>
      <c r="E528" s="86" t="s">
        <v>35</v>
      </c>
      <c r="F528" s="86" t="s">
        <v>36</v>
      </c>
      <c r="G528" s="86">
        <v>1</v>
      </c>
    </row>
    <row r="529" spans="1:7">
      <c r="A529" s="86">
        <v>528</v>
      </c>
      <c r="B529" s="86" t="s">
        <v>1565</v>
      </c>
      <c r="C529" s="86" t="s">
        <v>184</v>
      </c>
      <c r="D529" s="86" t="s">
        <v>35</v>
      </c>
      <c r="E529" s="86" t="s">
        <v>35</v>
      </c>
      <c r="F529" s="86" t="s">
        <v>36</v>
      </c>
      <c r="G529" s="86">
        <v>1</v>
      </c>
    </row>
    <row r="530" spans="1:7">
      <c r="A530" s="86">
        <v>529</v>
      </c>
      <c r="B530" s="86" t="s">
        <v>1571</v>
      </c>
      <c r="C530" s="86" t="s">
        <v>184</v>
      </c>
      <c r="D530" s="86" t="s">
        <v>35</v>
      </c>
      <c r="E530" s="86" t="s">
        <v>35</v>
      </c>
      <c r="F530" s="86" t="s">
        <v>36</v>
      </c>
      <c r="G530" s="86">
        <v>1</v>
      </c>
    </row>
    <row r="531" spans="1:7">
      <c r="A531" s="86">
        <v>530</v>
      </c>
      <c r="B531" s="86" t="s">
        <v>2491</v>
      </c>
      <c r="C531" s="86" t="s">
        <v>184</v>
      </c>
      <c r="D531" s="86" t="s">
        <v>35</v>
      </c>
      <c r="E531" s="86" t="s">
        <v>35</v>
      </c>
      <c r="F531" s="86" t="s">
        <v>36</v>
      </c>
      <c r="G531" s="86">
        <v>1</v>
      </c>
    </row>
    <row r="532" spans="1:7">
      <c r="A532" s="86">
        <v>531</v>
      </c>
      <c r="B532" s="86" t="s">
        <v>1962</v>
      </c>
      <c r="C532" s="86" t="s">
        <v>184</v>
      </c>
      <c r="D532" s="86" t="s">
        <v>35</v>
      </c>
      <c r="E532" s="86" t="s">
        <v>35</v>
      </c>
      <c r="F532" s="86" t="s">
        <v>36</v>
      </c>
      <c r="G532" s="86">
        <v>1</v>
      </c>
    </row>
    <row r="533" spans="1:7">
      <c r="A533" s="86">
        <v>532</v>
      </c>
      <c r="B533" s="86" t="s">
        <v>1968</v>
      </c>
      <c r="C533" s="86" t="s">
        <v>184</v>
      </c>
      <c r="D533" s="86" t="s">
        <v>35</v>
      </c>
      <c r="E533" s="86" t="s">
        <v>35</v>
      </c>
      <c r="F533" s="86" t="s">
        <v>36</v>
      </c>
      <c r="G533" s="86">
        <v>1</v>
      </c>
    </row>
    <row r="534" spans="1:7">
      <c r="A534" s="86">
        <v>533</v>
      </c>
      <c r="B534" s="86" t="s">
        <v>3233</v>
      </c>
      <c r="C534" s="86" t="s">
        <v>184</v>
      </c>
      <c r="D534" s="86" t="s">
        <v>35</v>
      </c>
      <c r="E534" s="86" t="s">
        <v>35</v>
      </c>
      <c r="F534" s="86" t="s">
        <v>36</v>
      </c>
      <c r="G534" s="86">
        <v>1</v>
      </c>
    </row>
    <row r="535" spans="1:7">
      <c r="A535" s="86">
        <v>534</v>
      </c>
      <c r="B535" s="86" t="s">
        <v>2659</v>
      </c>
      <c r="C535" s="86" t="s">
        <v>184</v>
      </c>
      <c r="D535" s="86" t="s">
        <v>35</v>
      </c>
      <c r="E535" s="86" t="s">
        <v>35</v>
      </c>
      <c r="F535" s="86" t="s">
        <v>36</v>
      </c>
      <c r="G535" s="86">
        <v>1</v>
      </c>
    </row>
    <row r="536" spans="1:7">
      <c r="A536" s="86">
        <v>535</v>
      </c>
      <c r="B536" s="86" t="s">
        <v>1663</v>
      </c>
      <c r="C536" s="86" t="s">
        <v>184</v>
      </c>
      <c r="D536" s="86" t="s">
        <v>35</v>
      </c>
      <c r="E536" s="86" t="s">
        <v>35</v>
      </c>
      <c r="F536" s="86" t="s">
        <v>36</v>
      </c>
      <c r="G536" s="86">
        <v>1</v>
      </c>
    </row>
    <row r="537" spans="1:7">
      <c r="A537" s="86">
        <v>536</v>
      </c>
      <c r="B537" s="86" t="s">
        <v>2593</v>
      </c>
      <c r="C537" s="86" t="s">
        <v>184</v>
      </c>
      <c r="D537" s="86" t="s">
        <v>35</v>
      </c>
      <c r="E537" s="86" t="s">
        <v>35</v>
      </c>
      <c r="F537" s="86" t="s">
        <v>36</v>
      </c>
      <c r="G537" s="86">
        <v>1</v>
      </c>
    </row>
    <row r="538" spans="1:7">
      <c r="A538" s="86">
        <v>537</v>
      </c>
      <c r="B538" s="86" t="s">
        <v>4910</v>
      </c>
      <c r="C538" s="86" t="s">
        <v>184</v>
      </c>
      <c r="D538" s="86" t="s">
        <v>35</v>
      </c>
      <c r="E538" s="86" t="s">
        <v>35</v>
      </c>
      <c r="F538" s="86" t="s">
        <v>36</v>
      </c>
      <c r="G538" s="86">
        <v>1</v>
      </c>
    </row>
    <row r="539" spans="1:7">
      <c r="A539" s="86">
        <v>538</v>
      </c>
      <c r="B539" s="86" t="s">
        <v>4819</v>
      </c>
      <c r="C539" s="86" t="s">
        <v>184</v>
      </c>
      <c r="D539" s="86" t="s">
        <v>35</v>
      </c>
      <c r="E539" s="86" t="s">
        <v>35</v>
      </c>
      <c r="F539" s="86" t="s">
        <v>36</v>
      </c>
      <c r="G539" s="86">
        <v>1</v>
      </c>
    </row>
    <row r="540" spans="1:7">
      <c r="A540" s="86">
        <v>539</v>
      </c>
      <c r="B540" s="86" t="s">
        <v>9349</v>
      </c>
      <c r="C540" s="86" t="s">
        <v>184</v>
      </c>
      <c r="D540" s="86" t="s">
        <v>35</v>
      </c>
      <c r="E540" s="86" t="s">
        <v>35</v>
      </c>
      <c r="F540" s="86" t="s">
        <v>36</v>
      </c>
      <c r="G540" s="86">
        <v>1</v>
      </c>
    </row>
    <row r="541" spans="1:7">
      <c r="A541" s="86">
        <v>540</v>
      </c>
      <c r="B541" s="86" t="s">
        <v>3441</v>
      </c>
      <c r="C541" s="86" t="s">
        <v>184</v>
      </c>
      <c r="D541" s="86" t="s">
        <v>35</v>
      </c>
      <c r="E541" s="86" t="s">
        <v>35</v>
      </c>
      <c r="F541" s="86" t="s">
        <v>36</v>
      </c>
      <c r="G541" s="86">
        <v>1</v>
      </c>
    </row>
    <row r="542" spans="1:7">
      <c r="A542" s="86">
        <v>541</v>
      </c>
      <c r="B542" s="86" t="s">
        <v>3321</v>
      </c>
      <c r="C542" s="86" t="s">
        <v>184</v>
      </c>
      <c r="D542" s="86" t="s">
        <v>35</v>
      </c>
      <c r="E542" s="86" t="s">
        <v>35</v>
      </c>
      <c r="F542" s="86" t="s">
        <v>36</v>
      </c>
      <c r="G542" s="86">
        <v>1</v>
      </c>
    </row>
    <row r="543" spans="1:7">
      <c r="A543" s="86">
        <v>542</v>
      </c>
      <c r="B543" s="86" t="s">
        <v>3315</v>
      </c>
      <c r="C543" s="86" t="s">
        <v>184</v>
      </c>
      <c r="D543" s="86" t="s">
        <v>35</v>
      </c>
      <c r="E543" s="86" t="s">
        <v>35</v>
      </c>
      <c r="F543" s="86" t="s">
        <v>36</v>
      </c>
      <c r="G543" s="86">
        <v>1</v>
      </c>
    </row>
    <row r="544" spans="1:7">
      <c r="A544" s="86">
        <v>543</v>
      </c>
      <c r="B544" s="86" t="s">
        <v>3946</v>
      </c>
      <c r="C544" s="86" t="s">
        <v>184</v>
      </c>
      <c r="D544" s="86" t="s">
        <v>35</v>
      </c>
      <c r="E544" s="86" t="s">
        <v>35</v>
      </c>
      <c r="F544" s="86" t="s">
        <v>36</v>
      </c>
      <c r="G544" s="86">
        <v>1</v>
      </c>
    </row>
    <row r="545" spans="1:8">
      <c r="A545" s="86">
        <v>544</v>
      </c>
      <c r="B545" s="86" t="s">
        <v>9350</v>
      </c>
      <c r="C545" s="86" t="s">
        <v>9351</v>
      </c>
      <c r="G545" s="86">
        <v>2648.37</v>
      </c>
    </row>
    <row r="546" spans="1:8">
      <c r="A546" s="86">
        <v>545</v>
      </c>
      <c r="B546" s="86" t="s">
        <v>9352</v>
      </c>
      <c r="C546" s="86" t="s">
        <v>9353</v>
      </c>
      <c r="G546" s="86">
        <v>2616.2399999999998</v>
      </c>
    </row>
    <row r="547" spans="1:8">
      <c r="A547" s="86">
        <v>546</v>
      </c>
      <c r="B547" s="86" t="s">
        <v>9354</v>
      </c>
      <c r="C547" s="86" t="s">
        <v>9353</v>
      </c>
      <c r="G547" s="86">
        <v>2616.2399999999998</v>
      </c>
    </row>
    <row r="548" spans="1:8">
      <c r="A548" s="86">
        <v>547</v>
      </c>
      <c r="B548" s="86" t="s">
        <v>9355</v>
      </c>
      <c r="C548" s="86" t="s">
        <v>9353</v>
      </c>
      <c r="G548" s="86">
        <v>2616.2399999999998</v>
      </c>
    </row>
    <row r="549" spans="1:8">
      <c r="A549" s="86">
        <v>548</v>
      </c>
      <c r="B549" s="86" t="s">
        <v>9356</v>
      </c>
      <c r="C549" s="86" t="s">
        <v>9353</v>
      </c>
      <c r="G549" s="86">
        <v>2616.2399999999998</v>
      </c>
    </row>
    <row r="550" spans="1:8">
      <c r="A550" s="86">
        <v>549</v>
      </c>
      <c r="B550" s="86" t="s">
        <v>9357</v>
      </c>
      <c r="C550" s="86" t="s">
        <v>9353</v>
      </c>
      <c r="G550" s="86">
        <v>2532</v>
      </c>
    </row>
    <row r="551" spans="1:8">
      <c r="A551" s="86">
        <v>550</v>
      </c>
      <c r="B551" s="86" t="s">
        <v>9358</v>
      </c>
      <c r="C551" s="86" t="s">
        <v>9353</v>
      </c>
      <c r="G551" s="86">
        <v>2532</v>
      </c>
    </row>
    <row r="552" spans="1:8">
      <c r="A552" s="86">
        <v>551</v>
      </c>
      <c r="B552" s="86" t="s">
        <v>9359</v>
      </c>
      <c r="C552" s="86" t="s">
        <v>9353</v>
      </c>
      <c r="G552" s="86">
        <v>2616.2399999999998</v>
      </c>
    </row>
    <row r="553" spans="1:8">
      <c r="A553" s="86">
        <v>552</v>
      </c>
      <c r="B553" s="86" t="s">
        <v>9360</v>
      </c>
      <c r="C553" s="86" t="s">
        <v>9361</v>
      </c>
      <c r="G553" s="86">
        <v>2052.04</v>
      </c>
      <c r="H553" s="220"/>
    </row>
    <row r="554" spans="1:8">
      <c r="A554" s="86">
        <v>553</v>
      </c>
      <c r="B554" s="86" t="s">
        <v>9362</v>
      </c>
      <c r="C554" s="86" t="s">
        <v>9361</v>
      </c>
      <c r="G554" s="86">
        <v>2052.04</v>
      </c>
      <c r="H554" s="220"/>
    </row>
    <row r="555" spans="1:8">
      <c r="A555" s="86">
        <v>554</v>
      </c>
      <c r="B555" s="86" t="s">
        <v>9363</v>
      </c>
      <c r="C555" s="86" t="s">
        <v>9364</v>
      </c>
      <c r="G555" s="86">
        <v>2349</v>
      </c>
    </row>
    <row r="556" spans="1:8">
      <c r="A556" s="86">
        <v>555</v>
      </c>
      <c r="B556" s="86" t="s">
        <v>9365</v>
      </c>
      <c r="C556" s="86" t="s">
        <v>9364</v>
      </c>
      <c r="G556" s="86">
        <v>2349</v>
      </c>
    </row>
    <row r="557" spans="1:8">
      <c r="A557" s="86">
        <v>556</v>
      </c>
      <c r="B557" s="86" t="s">
        <v>9366</v>
      </c>
      <c r="C557" s="86" t="s">
        <v>9367</v>
      </c>
      <c r="G557" s="86">
        <v>5896.79</v>
      </c>
    </row>
    <row r="558" spans="1:8">
      <c r="A558" s="86">
        <v>557</v>
      </c>
      <c r="B558" s="86" t="s">
        <v>9368</v>
      </c>
      <c r="C558" s="86" t="s">
        <v>9369</v>
      </c>
      <c r="G558" s="86">
        <v>600.9</v>
      </c>
    </row>
    <row r="559" spans="1:8">
      <c r="A559" s="86">
        <v>558</v>
      </c>
      <c r="B559" s="86" t="s">
        <v>6060</v>
      </c>
      <c r="C559" s="86" t="s">
        <v>9370</v>
      </c>
      <c r="D559" s="86" t="s">
        <v>35</v>
      </c>
      <c r="E559" s="86" t="s">
        <v>35</v>
      </c>
      <c r="F559" s="86" t="s">
        <v>36</v>
      </c>
      <c r="G559" s="86">
        <v>1</v>
      </c>
    </row>
    <row r="560" spans="1:8">
      <c r="A560" s="86">
        <v>559</v>
      </c>
      <c r="B560" s="86" t="s">
        <v>113</v>
      </c>
      <c r="C560" s="86" t="s">
        <v>9325</v>
      </c>
      <c r="D560" s="86" t="s">
        <v>35</v>
      </c>
      <c r="E560" s="86" t="s">
        <v>35</v>
      </c>
      <c r="F560" s="86" t="s">
        <v>36</v>
      </c>
      <c r="G560" s="86">
        <v>1</v>
      </c>
    </row>
    <row r="561" spans="1:7">
      <c r="A561" s="86">
        <v>560</v>
      </c>
      <c r="B561" s="86" t="s">
        <v>6051</v>
      </c>
      <c r="C561" s="86" t="s">
        <v>9325</v>
      </c>
      <c r="D561" s="86" t="s">
        <v>35</v>
      </c>
      <c r="E561" s="86" t="s">
        <v>9371</v>
      </c>
      <c r="F561" s="86" t="s">
        <v>36</v>
      </c>
      <c r="G561" s="86">
        <v>1</v>
      </c>
    </row>
    <row r="562" spans="1:7">
      <c r="A562" s="86">
        <v>561</v>
      </c>
      <c r="B562" s="86" t="s">
        <v>5917</v>
      </c>
      <c r="C562" s="86" t="s">
        <v>9325</v>
      </c>
      <c r="D562" s="86" t="s">
        <v>5918</v>
      </c>
      <c r="E562" s="86" t="s">
        <v>5919</v>
      </c>
      <c r="F562" s="86" t="s">
        <v>36</v>
      </c>
      <c r="G562" s="86">
        <v>1</v>
      </c>
    </row>
    <row r="563" spans="1:7">
      <c r="A563" s="86">
        <v>562</v>
      </c>
      <c r="B563" s="86" t="s">
        <v>9372</v>
      </c>
      <c r="C563" s="86" t="s">
        <v>9325</v>
      </c>
      <c r="D563" s="86" t="s">
        <v>35</v>
      </c>
      <c r="E563" s="86" t="s">
        <v>35</v>
      </c>
      <c r="F563" s="86" t="s">
        <v>36</v>
      </c>
      <c r="G563" s="86">
        <v>1</v>
      </c>
    </row>
    <row r="564" spans="1:7">
      <c r="A564" s="86">
        <v>563</v>
      </c>
      <c r="B564" s="86" t="s">
        <v>2564</v>
      </c>
      <c r="C564" s="86" t="s">
        <v>9325</v>
      </c>
      <c r="D564" s="86" t="s">
        <v>35</v>
      </c>
      <c r="E564" s="86" t="s">
        <v>35</v>
      </c>
      <c r="F564" s="86" t="s">
        <v>36</v>
      </c>
      <c r="G564" s="86">
        <v>1</v>
      </c>
    </row>
    <row r="565" spans="1:7">
      <c r="A565" s="86">
        <v>564</v>
      </c>
      <c r="B565" s="86" t="s">
        <v>3940</v>
      </c>
      <c r="C565" s="86" t="s">
        <v>9325</v>
      </c>
      <c r="D565" s="86" t="s">
        <v>35</v>
      </c>
      <c r="E565" s="86" t="s">
        <v>35</v>
      </c>
      <c r="F565" s="86" t="s">
        <v>36</v>
      </c>
      <c r="G565" s="86">
        <v>1</v>
      </c>
    </row>
    <row r="566" spans="1:7">
      <c r="A566" s="86">
        <v>565</v>
      </c>
      <c r="B566" s="86" t="s">
        <v>1344</v>
      </c>
      <c r="C566" s="86" t="s">
        <v>9325</v>
      </c>
      <c r="D566" s="86" t="s">
        <v>35</v>
      </c>
      <c r="E566" s="86" t="s">
        <v>35</v>
      </c>
      <c r="F566" s="86" t="s">
        <v>36</v>
      </c>
      <c r="G566" s="86">
        <v>1</v>
      </c>
    </row>
    <row r="567" spans="1:7">
      <c r="A567" s="86">
        <v>566</v>
      </c>
      <c r="B567" s="86" t="s">
        <v>4803</v>
      </c>
      <c r="C567" s="86" t="s">
        <v>9325</v>
      </c>
      <c r="D567" s="86" t="s">
        <v>35</v>
      </c>
      <c r="E567" s="86" t="s">
        <v>35</v>
      </c>
      <c r="F567" s="86" t="s">
        <v>36</v>
      </c>
      <c r="G567" s="86">
        <v>1</v>
      </c>
    </row>
    <row r="568" spans="1:7">
      <c r="A568" s="86">
        <v>567</v>
      </c>
      <c r="B568" s="86" t="s">
        <v>5934</v>
      </c>
      <c r="C568" s="86" t="s">
        <v>5929</v>
      </c>
      <c r="D568" s="86" t="s">
        <v>5918</v>
      </c>
      <c r="E568" s="86" t="s">
        <v>35</v>
      </c>
      <c r="F568" s="86" t="s">
        <v>5935</v>
      </c>
      <c r="G568" s="86">
        <v>1</v>
      </c>
    </row>
    <row r="569" spans="1:7">
      <c r="A569" s="86">
        <v>568</v>
      </c>
      <c r="B569" s="86" t="s">
        <v>5884</v>
      </c>
      <c r="C569" s="86" t="s">
        <v>5778</v>
      </c>
      <c r="D569" s="86" t="s">
        <v>5597</v>
      </c>
      <c r="E569" s="86" t="s">
        <v>5885</v>
      </c>
      <c r="F569" s="86" t="s">
        <v>36</v>
      </c>
      <c r="G569" s="86">
        <v>758</v>
      </c>
    </row>
    <row r="570" spans="1:7">
      <c r="A570" s="86">
        <v>569</v>
      </c>
      <c r="B570" s="86" t="s">
        <v>5783</v>
      </c>
      <c r="C570" s="86" t="s">
        <v>5778</v>
      </c>
      <c r="D570" s="86" t="s">
        <v>35</v>
      </c>
      <c r="E570" s="86" t="s">
        <v>35</v>
      </c>
      <c r="F570" s="86" t="s">
        <v>36</v>
      </c>
      <c r="G570" s="86">
        <v>1</v>
      </c>
    </row>
    <row r="571" spans="1:7">
      <c r="A571" s="86">
        <v>570</v>
      </c>
      <c r="B571" s="86" t="s">
        <v>1583</v>
      </c>
      <c r="C571" s="86" t="s">
        <v>93</v>
      </c>
      <c r="D571" s="86" t="s">
        <v>35</v>
      </c>
      <c r="E571" s="86" t="s">
        <v>35</v>
      </c>
      <c r="F571" s="86" t="s">
        <v>36</v>
      </c>
      <c r="G571" s="86">
        <v>0</v>
      </c>
    </row>
    <row r="572" spans="1:7">
      <c r="A572" s="86">
        <v>571</v>
      </c>
      <c r="B572" s="86" t="s">
        <v>4414</v>
      </c>
      <c r="C572" s="86" t="s">
        <v>93</v>
      </c>
      <c r="D572" s="86" t="s">
        <v>35</v>
      </c>
      <c r="E572" s="86" t="s">
        <v>35</v>
      </c>
      <c r="F572" s="86" t="s">
        <v>36</v>
      </c>
      <c r="G572" s="86">
        <v>1</v>
      </c>
    </row>
    <row r="573" spans="1:7">
      <c r="A573" s="86">
        <v>572</v>
      </c>
      <c r="B573" s="86" t="s">
        <v>4200</v>
      </c>
      <c r="C573" s="86" t="s">
        <v>93</v>
      </c>
      <c r="D573" s="86" t="s">
        <v>35</v>
      </c>
      <c r="E573" s="86" t="s">
        <v>35</v>
      </c>
      <c r="F573" s="86" t="s">
        <v>36</v>
      </c>
      <c r="G573" s="86">
        <v>1</v>
      </c>
    </row>
    <row r="574" spans="1:7">
      <c r="A574" s="86">
        <v>573</v>
      </c>
      <c r="B574" s="86" t="s">
        <v>776</v>
      </c>
      <c r="C574" s="86" t="s">
        <v>93</v>
      </c>
      <c r="D574" s="86" t="s">
        <v>35</v>
      </c>
      <c r="E574" s="86" t="s">
        <v>35</v>
      </c>
      <c r="F574" s="86" t="s">
        <v>36</v>
      </c>
      <c r="G574" s="86">
        <v>1</v>
      </c>
    </row>
    <row r="575" spans="1:7">
      <c r="A575" s="86">
        <v>574</v>
      </c>
      <c r="B575" s="86" t="s">
        <v>6646</v>
      </c>
      <c r="C575" s="86" t="s">
        <v>93</v>
      </c>
      <c r="D575" s="86" t="s">
        <v>35</v>
      </c>
      <c r="E575" s="86" t="s">
        <v>35</v>
      </c>
      <c r="F575" s="86" t="s">
        <v>36</v>
      </c>
      <c r="G575" s="86">
        <v>1</v>
      </c>
    </row>
    <row r="576" spans="1:7">
      <c r="A576" s="86">
        <v>575</v>
      </c>
      <c r="B576" s="86" t="s">
        <v>9373</v>
      </c>
      <c r="C576" s="86" t="s">
        <v>93</v>
      </c>
      <c r="D576" s="86" t="s">
        <v>35</v>
      </c>
      <c r="E576" s="86" t="s">
        <v>35</v>
      </c>
      <c r="F576" s="86" t="s">
        <v>36</v>
      </c>
      <c r="G576" s="86">
        <v>1</v>
      </c>
    </row>
    <row r="577" spans="1:7">
      <c r="A577" s="86">
        <v>576</v>
      </c>
      <c r="B577" s="86" t="s">
        <v>9374</v>
      </c>
      <c r="C577" s="86" t="s">
        <v>93</v>
      </c>
      <c r="D577" s="86" t="s">
        <v>35</v>
      </c>
      <c r="E577" s="86" t="s">
        <v>35</v>
      </c>
      <c r="F577" s="86" t="s">
        <v>36</v>
      </c>
      <c r="G577" s="86">
        <v>1</v>
      </c>
    </row>
    <row r="578" spans="1:7">
      <c r="A578" s="86">
        <v>577</v>
      </c>
      <c r="B578" s="86" t="s">
        <v>769</v>
      </c>
      <c r="C578" s="86" t="s">
        <v>93</v>
      </c>
      <c r="D578" s="86" t="s">
        <v>35</v>
      </c>
      <c r="E578" s="86" t="s">
        <v>35</v>
      </c>
      <c r="F578" s="86" t="s">
        <v>36</v>
      </c>
      <c r="G578" s="86">
        <v>1</v>
      </c>
    </row>
    <row r="579" spans="1:7">
      <c r="A579" s="86">
        <v>578</v>
      </c>
      <c r="B579" s="86" t="s">
        <v>1088</v>
      </c>
      <c r="C579" s="86" t="s">
        <v>9375</v>
      </c>
      <c r="D579" s="86" t="s">
        <v>35</v>
      </c>
      <c r="E579" s="86" t="s">
        <v>35</v>
      </c>
      <c r="F579" s="86" t="s">
        <v>36</v>
      </c>
      <c r="G579" s="86">
        <v>1</v>
      </c>
    </row>
    <row r="580" spans="1:7">
      <c r="A580" s="86">
        <v>579</v>
      </c>
      <c r="B580" s="86" t="s">
        <v>730</v>
      </c>
      <c r="C580" s="86" t="s">
        <v>9375</v>
      </c>
      <c r="D580" s="86" t="s">
        <v>35</v>
      </c>
      <c r="E580" s="86" t="s">
        <v>35</v>
      </c>
      <c r="F580" s="86" t="s">
        <v>36</v>
      </c>
      <c r="G580" s="86">
        <v>1</v>
      </c>
    </row>
    <row r="581" spans="1:7">
      <c r="A581" s="86">
        <v>580</v>
      </c>
      <c r="B581" s="86" t="s">
        <v>3635</v>
      </c>
      <c r="C581" s="86" t="s">
        <v>9375</v>
      </c>
      <c r="D581" s="86" t="s">
        <v>35</v>
      </c>
      <c r="E581" s="86" t="s">
        <v>35</v>
      </c>
      <c r="F581" s="86" t="s">
        <v>36</v>
      </c>
      <c r="G581" s="86">
        <v>1</v>
      </c>
    </row>
    <row r="582" spans="1:7">
      <c r="A582" s="86">
        <v>581</v>
      </c>
      <c r="B582" s="86" t="s">
        <v>3659</v>
      </c>
      <c r="C582" s="86" t="s">
        <v>9375</v>
      </c>
      <c r="D582" s="86" t="s">
        <v>35</v>
      </c>
      <c r="E582" s="86" t="s">
        <v>35</v>
      </c>
      <c r="F582" s="86" t="s">
        <v>36</v>
      </c>
      <c r="G582" s="86">
        <v>1</v>
      </c>
    </row>
    <row r="583" spans="1:7">
      <c r="A583" s="86">
        <v>582</v>
      </c>
      <c r="B583" s="86" t="s">
        <v>3665</v>
      </c>
      <c r="C583" s="86" t="s">
        <v>9375</v>
      </c>
      <c r="D583" s="86" t="s">
        <v>35</v>
      </c>
      <c r="E583" s="86" t="s">
        <v>35</v>
      </c>
      <c r="F583" s="86" t="s">
        <v>36</v>
      </c>
      <c r="G583" s="86">
        <v>1</v>
      </c>
    </row>
    <row r="584" spans="1:7">
      <c r="A584" s="86">
        <v>583</v>
      </c>
      <c r="B584" s="86" t="s">
        <v>3647</v>
      </c>
      <c r="C584" s="86" t="s">
        <v>9375</v>
      </c>
      <c r="D584" s="86" t="s">
        <v>35</v>
      </c>
      <c r="E584" s="86" t="s">
        <v>35</v>
      </c>
      <c r="F584" s="86" t="s">
        <v>36</v>
      </c>
      <c r="G584" s="86">
        <v>1</v>
      </c>
    </row>
    <row r="585" spans="1:7">
      <c r="A585" s="86">
        <v>584</v>
      </c>
      <c r="B585" s="86" t="s">
        <v>3680</v>
      </c>
      <c r="C585" s="86" t="s">
        <v>9375</v>
      </c>
      <c r="D585" s="86" t="s">
        <v>35</v>
      </c>
      <c r="E585" s="86" t="s">
        <v>35</v>
      </c>
      <c r="F585" s="86" t="s">
        <v>36</v>
      </c>
      <c r="G585" s="86">
        <v>1</v>
      </c>
    </row>
    <row r="586" spans="1:7">
      <c r="A586" s="86">
        <v>585</v>
      </c>
      <c r="B586" s="86" t="s">
        <v>6639</v>
      </c>
      <c r="C586" s="86" t="s">
        <v>9375</v>
      </c>
      <c r="D586" s="86" t="s">
        <v>5597</v>
      </c>
      <c r="E586" s="86" t="s">
        <v>5598</v>
      </c>
      <c r="F586" s="86" t="s">
        <v>36</v>
      </c>
      <c r="G586" s="86">
        <v>686.72</v>
      </c>
    </row>
    <row r="587" spans="1:7">
      <c r="A587" s="86">
        <v>586</v>
      </c>
      <c r="B587" s="86" t="s">
        <v>5596</v>
      </c>
      <c r="C587" s="86" t="s">
        <v>9375</v>
      </c>
      <c r="D587" s="86" t="s">
        <v>5597</v>
      </c>
      <c r="E587" s="86" t="s">
        <v>5598</v>
      </c>
      <c r="F587" s="86" t="s">
        <v>36</v>
      </c>
      <c r="G587" s="86">
        <v>686.72</v>
      </c>
    </row>
    <row r="588" spans="1:7">
      <c r="A588" s="86">
        <v>587</v>
      </c>
      <c r="B588" s="86" t="s">
        <v>570</v>
      </c>
      <c r="C588" s="86" t="s">
        <v>9375</v>
      </c>
      <c r="D588" s="86" t="s">
        <v>35</v>
      </c>
      <c r="E588" s="86" t="s">
        <v>35</v>
      </c>
      <c r="F588" s="86" t="s">
        <v>36</v>
      </c>
      <c r="G588" s="86">
        <v>1</v>
      </c>
    </row>
    <row r="589" spans="1:7">
      <c r="A589" s="86">
        <v>588</v>
      </c>
      <c r="B589" s="86" t="s">
        <v>178</v>
      </c>
      <c r="C589" s="86" t="s">
        <v>9375</v>
      </c>
      <c r="D589" s="86" t="s">
        <v>179</v>
      </c>
      <c r="E589" s="86" t="s">
        <v>35</v>
      </c>
      <c r="F589" s="86" t="s">
        <v>9376</v>
      </c>
      <c r="G589" s="86">
        <v>2190</v>
      </c>
    </row>
    <row r="590" spans="1:7">
      <c r="A590" s="86">
        <v>589</v>
      </c>
      <c r="B590" s="86" t="s">
        <v>5909</v>
      </c>
      <c r="C590" s="86" t="s">
        <v>9375</v>
      </c>
      <c r="D590" s="86" t="s">
        <v>5910</v>
      </c>
      <c r="E590" s="86" t="s">
        <v>35</v>
      </c>
      <c r="F590" s="86" t="s">
        <v>36</v>
      </c>
      <c r="G590" s="86">
        <v>1</v>
      </c>
    </row>
    <row r="591" spans="1:7">
      <c r="A591" s="86">
        <v>590</v>
      </c>
      <c r="B591" s="86" t="s">
        <v>6591</v>
      </c>
      <c r="C591" s="86" t="s">
        <v>9375</v>
      </c>
      <c r="D591" s="86" t="s">
        <v>5918</v>
      </c>
      <c r="E591" s="86" t="s">
        <v>35</v>
      </c>
      <c r="F591" s="86" t="s">
        <v>36</v>
      </c>
      <c r="G591" s="86">
        <v>1</v>
      </c>
    </row>
    <row r="592" spans="1:7">
      <c r="A592" s="86">
        <v>591</v>
      </c>
      <c r="B592" s="86" t="s">
        <v>9377</v>
      </c>
      <c r="C592" s="86" t="s">
        <v>9378</v>
      </c>
      <c r="D592" s="86" t="s">
        <v>205</v>
      </c>
      <c r="E592" s="86" t="s">
        <v>9379</v>
      </c>
      <c r="F592" s="86" t="s">
        <v>36</v>
      </c>
      <c r="G592" s="86">
        <v>1</v>
      </c>
    </row>
    <row r="593" spans="1:7">
      <c r="A593" s="86">
        <v>592</v>
      </c>
      <c r="B593" s="86" t="s">
        <v>6583</v>
      </c>
      <c r="C593" s="86" t="s">
        <v>9378</v>
      </c>
      <c r="D593" s="86" t="s">
        <v>205</v>
      </c>
      <c r="E593" s="86" t="s">
        <v>35</v>
      </c>
      <c r="F593" s="86" t="s">
        <v>36</v>
      </c>
      <c r="G593" s="86">
        <v>1</v>
      </c>
    </row>
    <row r="594" spans="1:7">
      <c r="A594" s="86">
        <v>593</v>
      </c>
      <c r="B594" s="86" t="s">
        <v>6266</v>
      </c>
      <c r="C594" s="86" t="s">
        <v>9378</v>
      </c>
      <c r="D594" s="86" t="s">
        <v>682</v>
      </c>
      <c r="E594" s="86" t="s">
        <v>9380</v>
      </c>
      <c r="F594" s="86" t="s">
        <v>9381</v>
      </c>
      <c r="G594" s="86">
        <v>6994</v>
      </c>
    </row>
    <row r="595" spans="1:7">
      <c r="A595" s="86">
        <v>594</v>
      </c>
      <c r="B595" s="86" t="s">
        <v>6527</v>
      </c>
      <c r="C595" s="86" t="s">
        <v>9378</v>
      </c>
      <c r="D595" s="86" t="s">
        <v>157</v>
      </c>
      <c r="E595" s="86" t="s">
        <v>9382</v>
      </c>
      <c r="F595" s="86">
        <v>307860</v>
      </c>
      <c r="G595" s="86">
        <v>8450</v>
      </c>
    </row>
    <row r="596" spans="1:7">
      <c r="A596" s="86">
        <v>595</v>
      </c>
      <c r="B596" s="86" t="s">
        <v>5213</v>
      </c>
      <c r="C596" s="86" t="s">
        <v>9378</v>
      </c>
      <c r="D596" s="86" t="s">
        <v>682</v>
      </c>
      <c r="E596" s="86" t="s">
        <v>9380</v>
      </c>
      <c r="F596" s="86" t="s">
        <v>36</v>
      </c>
      <c r="G596" s="86">
        <v>6994</v>
      </c>
    </row>
    <row r="597" spans="1:7">
      <c r="A597" s="86">
        <v>596</v>
      </c>
      <c r="B597" s="86" t="s">
        <v>5046</v>
      </c>
      <c r="C597" s="86" t="s">
        <v>9378</v>
      </c>
      <c r="D597" s="86" t="s">
        <v>205</v>
      </c>
      <c r="E597" s="86" t="s">
        <v>35</v>
      </c>
      <c r="F597" s="86" t="s">
        <v>36</v>
      </c>
      <c r="G597" s="86">
        <v>14900.02</v>
      </c>
    </row>
    <row r="598" spans="1:7">
      <c r="A598" s="86">
        <v>597</v>
      </c>
      <c r="B598" s="86" t="s">
        <v>5143</v>
      </c>
      <c r="C598" s="86" t="s">
        <v>9378</v>
      </c>
      <c r="D598" s="86" t="s">
        <v>682</v>
      </c>
      <c r="E598" s="86" t="s">
        <v>9380</v>
      </c>
      <c r="F598" s="86" t="s">
        <v>9383</v>
      </c>
      <c r="G598" s="86">
        <v>6994</v>
      </c>
    </row>
    <row r="599" spans="1:7">
      <c r="A599" s="86">
        <v>598</v>
      </c>
      <c r="B599" s="86" t="s">
        <v>5287</v>
      </c>
      <c r="C599" s="86" t="s">
        <v>9378</v>
      </c>
      <c r="D599" s="86" t="s">
        <v>205</v>
      </c>
      <c r="E599" s="86" t="s">
        <v>35</v>
      </c>
      <c r="F599" s="86" t="s">
        <v>36</v>
      </c>
      <c r="G599" s="86">
        <v>1</v>
      </c>
    </row>
    <row r="600" spans="1:7">
      <c r="A600" s="86">
        <v>599</v>
      </c>
      <c r="B600" s="86" t="s">
        <v>5412</v>
      </c>
      <c r="C600" s="86" t="s">
        <v>9378</v>
      </c>
      <c r="D600" s="86" t="s">
        <v>9384</v>
      </c>
      <c r="E600" s="86" t="s">
        <v>35</v>
      </c>
      <c r="F600" s="86">
        <v>24301036130</v>
      </c>
      <c r="G600" s="86">
        <v>1</v>
      </c>
    </row>
    <row r="601" spans="1:7">
      <c r="A601" s="86">
        <v>600</v>
      </c>
      <c r="B601" s="86" t="s">
        <v>6840</v>
      </c>
      <c r="C601" s="86" t="s">
        <v>9378</v>
      </c>
      <c r="D601" s="86" t="s">
        <v>682</v>
      </c>
      <c r="E601" s="86" t="s">
        <v>35</v>
      </c>
      <c r="F601" s="86" t="s">
        <v>36</v>
      </c>
      <c r="G601" s="86">
        <v>1</v>
      </c>
    </row>
    <row r="602" spans="1:7">
      <c r="A602" s="86">
        <v>601</v>
      </c>
      <c r="B602" s="86" t="s">
        <v>793</v>
      </c>
      <c r="C602" s="86" t="s">
        <v>9378</v>
      </c>
      <c r="D602" s="86" t="s">
        <v>205</v>
      </c>
      <c r="E602" s="86" t="s">
        <v>795</v>
      </c>
      <c r="F602" s="86" t="s">
        <v>36</v>
      </c>
      <c r="G602" s="86">
        <v>1</v>
      </c>
    </row>
    <row r="603" spans="1:7">
      <c r="A603" s="86">
        <v>602</v>
      </c>
      <c r="B603" s="86" t="s">
        <v>4878</v>
      </c>
      <c r="C603" s="86" t="s">
        <v>9378</v>
      </c>
      <c r="D603" s="86" t="s">
        <v>9384</v>
      </c>
      <c r="E603" s="86" t="s">
        <v>1399</v>
      </c>
      <c r="F603" s="86" t="s">
        <v>36</v>
      </c>
      <c r="G603" s="86">
        <v>1</v>
      </c>
    </row>
    <row r="604" spans="1:7">
      <c r="A604" s="86">
        <v>603</v>
      </c>
      <c r="B604" s="86" t="s">
        <v>1322</v>
      </c>
      <c r="C604" s="86" t="s">
        <v>9378</v>
      </c>
      <c r="D604" s="86" t="s">
        <v>157</v>
      </c>
      <c r="E604" s="86" t="s">
        <v>35</v>
      </c>
      <c r="F604" s="86">
        <v>337738</v>
      </c>
      <c r="G604" s="86">
        <v>8450</v>
      </c>
    </row>
    <row r="605" spans="1:7">
      <c r="A605" s="86">
        <v>604</v>
      </c>
      <c r="B605" s="86" t="s">
        <v>4796</v>
      </c>
      <c r="C605" s="86" t="s">
        <v>9378</v>
      </c>
      <c r="D605" s="86" t="s">
        <v>205</v>
      </c>
      <c r="E605" s="86" t="s">
        <v>4797</v>
      </c>
      <c r="F605" s="86" t="s">
        <v>36</v>
      </c>
      <c r="G605" s="86">
        <v>1</v>
      </c>
    </row>
    <row r="606" spans="1:7">
      <c r="A606" s="86">
        <v>605</v>
      </c>
      <c r="B606" s="86" t="s">
        <v>4923</v>
      </c>
      <c r="C606" s="86" t="s">
        <v>9378</v>
      </c>
      <c r="D606" s="86" t="s">
        <v>205</v>
      </c>
      <c r="E606" s="86" t="s">
        <v>9385</v>
      </c>
      <c r="F606" s="86" t="s">
        <v>36</v>
      </c>
      <c r="G606" s="86">
        <v>1</v>
      </c>
    </row>
    <row r="607" spans="1:7">
      <c r="A607" s="86">
        <v>606</v>
      </c>
      <c r="B607" s="86" t="s">
        <v>1398</v>
      </c>
      <c r="C607" s="86" t="s">
        <v>9378</v>
      </c>
      <c r="D607" s="86" t="s">
        <v>9384</v>
      </c>
      <c r="E607" s="86" t="s">
        <v>1399</v>
      </c>
      <c r="F607" s="86" t="s">
        <v>36</v>
      </c>
      <c r="G607" s="86">
        <v>1</v>
      </c>
    </row>
    <row r="608" spans="1:7">
      <c r="A608" s="86">
        <v>607</v>
      </c>
      <c r="B608" s="86" t="s">
        <v>3958</v>
      </c>
      <c r="C608" s="86" t="s">
        <v>9378</v>
      </c>
      <c r="D608" s="86" t="s">
        <v>205</v>
      </c>
      <c r="E608" s="86" t="s">
        <v>35</v>
      </c>
      <c r="F608" s="86" t="s">
        <v>36</v>
      </c>
      <c r="G608" s="86">
        <v>1</v>
      </c>
    </row>
    <row r="609" spans="1:7">
      <c r="A609" s="86">
        <v>608</v>
      </c>
      <c r="B609" s="86" t="s">
        <v>1867</v>
      </c>
      <c r="C609" s="86" t="s">
        <v>9378</v>
      </c>
      <c r="D609" s="86" t="s">
        <v>157</v>
      </c>
      <c r="E609" s="86" t="s">
        <v>35</v>
      </c>
      <c r="F609" s="86">
        <v>337857</v>
      </c>
      <c r="G609" s="86">
        <v>8450</v>
      </c>
    </row>
    <row r="610" spans="1:7">
      <c r="A610" s="86">
        <v>609</v>
      </c>
      <c r="B610" s="86" t="s">
        <v>3279</v>
      </c>
      <c r="C610" s="86" t="s">
        <v>9378</v>
      </c>
      <c r="D610" s="86" t="s">
        <v>205</v>
      </c>
      <c r="E610" s="86" t="s">
        <v>9386</v>
      </c>
      <c r="F610" s="86" t="s">
        <v>36</v>
      </c>
      <c r="G610" s="86">
        <v>9755.16</v>
      </c>
    </row>
    <row r="611" spans="1:7">
      <c r="A611" s="86">
        <v>610</v>
      </c>
      <c r="B611" s="86" t="s">
        <v>681</v>
      </c>
      <c r="C611" s="86" t="s">
        <v>9378</v>
      </c>
      <c r="D611" s="86" t="s">
        <v>682</v>
      </c>
      <c r="E611" s="86" t="s">
        <v>35</v>
      </c>
      <c r="F611" s="86" t="s">
        <v>36</v>
      </c>
      <c r="G611" s="86">
        <v>1</v>
      </c>
    </row>
    <row r="612" spans="1:7">
      <c r="A612" s="86">
        <v>611</v>
      </c>
      <c r="B612" s="86" t="s">
        <v>3375</v>
      </c>
      <c r="C612" s="86" t="s">
        <v>9378</v>
      </c>
      <c r="D612" s="86" t="s">
        <v>157</v>
      </c>
      <c r="E612" s="86" t="s">
        <v>35</v>
      </c>
      <c r="F612" s="86" t="s">
        <v>36</v>
      </c>
      <c r="G612" s="86">
        <v>8450</v>
      </c>
    </row>
    <row r="613" spans="1:7">
      <c r="A613" s="86">
        <v>612</v>
      </c>
      <c r="B613" s="86" t="s">
        <v>814</v>
      </c>
      <c r="C613" s="86" t="s">
        <v>9378</v>
      </c>
      <c r="D613" s="86" t="s">
        <v>205</v>
      </c>
      <c r="E613" s="86" t="s">
        <v>35</v>
      </c>
      <c r="F613" s="86" t="s">
        <v>36</v>
      </c>
      <c r="G613" s="86">
        <v>1</v>
      </c>
    </row>
    <row r="614" spans="1:7">
      <c r="A614" s="86">
        <v>613</v>
      </c>
      <c r="B614" s="86" t="s">
        <v>2577</v>
      </c>
      <c r="C614" s="86" t="s">
        <v>9378</v>
      </c>
      <c r="D614" s="86" t="s">
        <v>9384</v>
      </c>
      <c r="E614" s="86" t="s">
        <v>35</v>
      </c>
      <c r="F614" s="86" t="s">
        <v>36</v>
      </c>
      <c r="G614" s="86">
        <v>1</v>
      </c>
    </row>
    <row r="615" spans="1:7">
      <c r="A615" s="86">
        <v>614</v>
      </c>
      <c r="B615" s="86" t="s">
        <v>9387</v>
      </c>
      <c r="C615" s="86" t="s">
        <v>9378</v>
      </c>
      <c r="D615" s="86" t="s">
        <v>205</v>
      </c>
      <c r="E615" s="86" t="s">
        <v>35</v>
      </c>
      <c r="F615" s="86" t="s">
        <v>36</v>
      </c>
      <c r="G615" s="86">
        <v>1</v>
      </c>
    </row>
    <row r="616" spans="1:7">
      <c r="A616" s="86">
        <v>615</v>
      </c>
      <c r="B616" s="86" t="s">
        <v>3156</v>
      </c>
      <c r="C616" s="86" t="s">
        <v>9378</v>
      </c>
      <c r="D616" s="86" t="s">
        <v>157</v>
      </c>
      <c r="E616" s="86" t="s">
        <v>35</v>
      </c>
      <c r="F616" s="86" t="s">
        <v>36</v>
      </c>
      <c r="G616" s="86">
        <v>8450</v>
      </c>
    </row>
    <row r="617" spans="1:7">
      <c r="A617" s="86">
        <v>616</v>
      </c>
      <c r="B617" s="86" t="s">
        <v>2692</v>
      </c>
      <c r="C617" s="86" t="s">
        <v>9378</v>
      </c>
      <c r="D617" s="86" t="s">
        <v>9388</v>
      </c>
      <c r="E617" s="86" t="s">
        <v>35</v>
      </c>
      <c r="F617" s="86" t="s">
        <v>36</v>
      </c>
      <c r="G617" s="86">
        <v>1</v>
      </c>
    </row>
    <row r="618" spans="1:7">
      <c r="A618" s="86">
        <v>617</v>
      </c>
      <c r="B618" s="86" t="s">
        <v>2833</v>
      </c>
      <c r="C618" s="86" t="s">
        <v>9378</v>
      </c>
      <c r="D618" s="86" t="s">
        <v>2357</v>
      </c>
      <c r="E618" s="86" t="s">
        <v>2693</v>
      </c>
      <c r="F618" s="86" t="s">
        <v>9389</v>
      </c>
      <c r="G618" s="86">
        <v>1</v>
      </c>
    </row>
    <row r="619" spans="1:7">
      <c r="A619" s="86">
        <v>618</v>
      </c>
      <c r="B619" s="86" t="s">
        <v>2812</v>
      </c>
      <c r="C619" s="86" t="s">
        <v>9378</v>
      </c>
      <c r="D619" s="86" t="s">
        <v>663</v>
      </c>
      <c r="E619" s="86" t="s">
        <v>2813</v>
      </c>
      <c r="F619" s="86" t="s">
        <v>9390</v>
      </c>
      <c r="G619" s="86">
        <v>1</v>
      </c>
    </row>
    <row r="620" spans="1:7">
      <c r="A620" s="86">
        <v>619</v>
      </c>
      <c r="B620" s="86" t="s">
        <v>4289</v>
      </c>
      <c r="C620" s="86" t="s">
        <v>9378</v>
      </c>
      <c r="D620" s="86" t="s">
        <v>157</v>
      </c>
      <c r="E620" s="86" t="s">
        <v>35</v>
      </c>
      <c r="F620" s="86" t="s">
        <v>36</v>
      </c>
      <c r="G620" s="86">
        <v>8450</v>
      </c>
    </row>
    <row r="621" spans="1:7">
      <c r="A621" s="86">
        <v>620</v>
      </c>
      <c r="B621" s="86" t="s">
        <v>2747</v>
      </c>
      <c r="C621" s="86" t="s">
        <v>9378</v>
      </c>
      <c r="D621" s="86" t="s">
        <v>2748</v>
      </c>
      <c r="E621" s="86" t="s">
        <v>2749</v>
      </c>
      <c r="F621" s="86">
        <v>36575598748</v>
      </c>
      <c r="G621" s="86">
        <v>96976</v>
      </c>
    </row>
    <row r="622" spans="1:7">
      <c r="A622" s="86">
        <v>621</v>
      </c>
      <c r="B622" s="86" t="s">
        <v>1940</v>
      </c>
      <c r="C622" s="86" t="s">
        <v>9378</v>
      </c>
      <c r="D622" s="86" t="s">
        <v>205</v>
      </c>
      <c r="E622" s="86" t="s">
        <v>35</v>
      </c>
      <c r="F622" s="86" t="s">
        <v>36</v>
      </c>
      <c r="G622" s="86">
        <v>1</v>
      </c>
    </row>
    <row r="623" spans="1:7">
      <c r="A623" s="86">
        <v>622</v>
      </c>
      <c r="B623" s="86" t="s">
        <v>1556</v>
      </c>
      <c r="C623" s="86" t="s">
        <v>9378</v>
      </c>
      <c r="D623" s="86" t="s">
        <v>205</v>
      </c>
      <c r="E623" s="86" t="s">
        <v>1557</v>
      </c>
      <c r="F623" s="86" t="s">
        <v>36</v>
      </c>
      <c r="G623" s="86">
        <v>10499</v>
      </c>
    </row>
    <row r="624" spans="1:7">
      <c r="A624" s="86">
        <v>623</v>
      </c>
      <c r="B624" s="86" t="s">
        <v>9391</v>
      </c>
      <c r="C624" s="86" t="s">
        <v>9378</v>
      </c>
      <c r="D624" s="86" t="s">
        <v>157</v>
      </c>
      <c r="E624" s="86">
        <v>338693</v>
      </c>
      <c r="F624" s="86" t="s">
        <v>36</v>
      </c>
      <c r="G624" s="86">
        <v>8450</v>
      </c>
    </row>
    <row r="625" spans="1:8">
      <c r="A625" s="86">
        <v>624</v>
      </c>
      <c r="B625" s="86" t="s">
        <v>4048</v>
      </c>
      <c r="C625" s="86" t="s">
        <v>9378</v>
      </c>
      <c r="D625" s="86" t="s">
        <v>682</v>
      </c>
      <c r="E625" s="86" t="s">
        <v>2497</v>
      </c>
      <c r="F625" s="86" t="s">
        <v>36</v>
      </c>
      <c r="G625" s="86">
        <v>6994</v>
      </c>
    </row>
    <row r="626" spans="1:8">
      <c r="A626" s="86">
        <v>625</v>
      </c>
      <c r="B626" s="86" t="s">
        <v>3796</v>
      </c>
      <c r="C626" s="86" t="s">
        <v>9378</v>
      </c>
      <c r="D626" s="86" t="s">
        <v>205</v>
      </c>
      <c r="E626" s="86" t="s">
        <v>35</v>
      </c>
      <c r="F626" s="86" t="s">
        <v>36</v>
      </c>
      <c r="G626" s="86">
        <v>1</v>
      </c>
    </row>
    <row r="627" spans="1:8">
      <c r="A627" s="86">
        <v>626</v>
      </c>
      <c r="B627" s="86" t="s">
        <v>3200</v>
      </c>
      <c r="C627" s="86" t="s">
        <v>9378</v>
      </c>
      <c r="D627" s="86" t="s">
        <v>205</v>
      </c>
      <c r="E627" s="86" t="s">
        <v>35</v>
      </c>
      <c r="F627" s="86" t="s">
        <v>9392</v>
      </c>
      <c r="G627" s="86">
        <v>1</v>
      </c>
    </row>
    <row r="628" spans="1:8">
      <c r="A628" s="86">
        <v>627</v>
      </c>
      <c r="B628" s="86" t="s">
        <v>1531</v>
      </c>
      <c r="C628" s="86" t="s">
        <v>9378</v>
      </c>
      <c r="D628" s="86" t="s">
        <v>205</v>
      </c>
      <c r="E628" s="86" t="s">
        <v>1532</v>
      </c>
      <c r="F628" s="86" t="s">
        <v>1533</v>
      </c>
      <c r="G628" s="86">
        <v>1</v>
      </c>
    </row>
    <row r="629" spans="1:8">
      <c r="A629" s="86">
        <v>628</v>
      </c>
      <c r="B629" s="86" t="s">
        <v>1280</v>
      </c>
      <c r="C629" s="86" t="s">
        <v>9378</v>
      </c>
      <c r="D629" s="86" t="s">
        <v>682</v>
      </c>
      <c r="E629" s="86" t="s">
        <v>35</v>
      </c>
      <c r="F629" s="86" t="s">
        <v>36</v>
      </c>
      <c r="G629" s="86">
        <v>9899.1</v>
      </c>
      <c r="H629" s="221"/>
    </row>
    <row r="630" spans="1:8">
      <c r="A630" s="86">
        <v>629</v>
      </c>
      <c r="B630" s="86" t="s">
        <v>204</v>
      </c>
      <c r="C630" s="86" t="s">
        <v>9378</v>
      </c>
      <c r="D630" s="86" t="s">
        <v>205</v>
      </c>
      <c r="E630" s="86" t="s">
        <v>9393</v>
      </c>
      <c r="F630" s="86" t="s">
        <v>36</v>
      </c>
      <c r="G630" s="86">
        <v>12749.15</v>
      </c>
    </row>
    <row r="631" spans="1:8">
      <c r="A631" s="86">
        <v>630</v>
      </c>
      <c r="B631" s="86" t="s">
        <v>4662</v>
      </c>
      <c r="C631" s="86" t="s">
        <v>9378</v>
      </c>
      <c r="D631" s="86" t="s">
        <v>157</v>
      </c>
      <c r="E631" s="86" t="s">
        <v>35</v>
      </c>
      <c r="F631" s="86">
        <v>337850</v>
      </c>
      <c r="G631" s="86">
        <v>8450</v>
      </c>
    </row>
    <row r="632" spans="1:8">
      <c r="A632" s="86">
        <v>631</v>
      </c>
      <c r="B632" s="86" t="s">
        <v>1028</v>
      </c>
      <c r="C632" s="86" t="s">
        <v>9378</v>
      </c>
      <c r="D632" s="86" t="s">
        <v>9384</v>
      </c>
      <c r="E632" s="86" t="s">
        <v>35</v>
      </c>
      <c r="F632" s="86" t="s">
        <v>9394</v>
      </c>
      <c r="G632" s="86">
        <v>1</v>
      </c>
    </row>
    <row r="633" spans="1:8">
      <c r="A633" s="86">
        <v>632</v>
      </c>
      <c r="B633" s="86" t="s">
        <v>945</v>
      </c>
      <c r="C633" s="86" t="s">
        <v>9378</v>
      </c>
      <c r="D633" s="86" t="s">
        <v>157</v>
      </c>
      <c r="E633" s="86" t="s">
        <v>35</v>
      </c>
      <c r="F633" s="86" t="s">
        <v>36</v>
      </c>
      <c r="G633" s="86">
        <v>8450</v>
      </c>
    </row>
    <row r="634" spans="1:8">
      <c r="A634" s="86">
        <v>633</v>
      </c>
      <c r="B634" s="86" t="s">
        <v>2248</v>
      </c>
      <c r="C634" s="86" t="s">
        <v>9378</v>
      </c>
      <c r="D634" s="86" t="s">
        <v>35</v>
      </c>
      <c r="E634" s="86" t="s">
        <v>35</v>
      </c>
      <c r="F634" s="86" t="s">
        <v>36</v>
      </c>
      <c r="G634" s="86">
        <v>1</v>
      </c>
    </row>
    <row r="635" spans="1:8">
      <c r="A635" s="86">
        <v>634</v>
      </c>
      <c r="B635" s="86" t="s">
        <v>992</v>
      </c>
      <c r="C635" s="86" t="s">
        <v>9378</v>
      </c>
      <c r="D635" s="86" t="s">
        <v>205</v>
      </c>
      <c r="E635" s="86" t="s">
        <v>35</v>
      </c>
      <c r="F635" s="86" t="s">
        <v>994</v>
      </c>
      <c r="G635" s="86">
        <v>1</v>
      </c>
    </row>
    <row r="636" spans="1:8">
      <c r="A636" s="86">
        <v>635</v>
      </c>
      <c r="B636" s="86" t="s">
        <v>2780</v>
      </c>
      <c r="C636" s="86" t="s">
        <v>9378</v>
      </c>
      <c r="D636" s="86" t="s">
        <v>2781</v>
      </c>
      <c r="E636" s="86" t="s">
        <v>35</v>
      </c>
      <c r="F636" s="86" t="s">
        <v>36</v>
      </c>
      <c r="G636" s="86">
        <v>13444.4</v>
      </c>
    </row>
    <row r="637" spans="1:8">
      <c r="A637" s="86">
        <v>636</v>
      </c>
      <c r="B637" s="86" t="s">
        <v>2756</v>
      </c>
      <c r="C637" s="86" t="s">
        <v>9378</v>
      </c>
      <c r="D637" s="86" t="s">
        <v>205</v>
      </c>
      <c r="E637" s="86" t="s">
        <v>2757</v>
      </c>
      <c r="F637" s="86" t="s">
        <v>9395</v>
      </c>
      <c r="G637" s="86">
        <v>1</v>
      </c>
    </row>
    <row r="638" spans="1:8">
      <c r="A638" s="86">
        <v>637</v>
      </c>
      <c r="B638" s="86" t="s">
        <v>9396</v>
      </c>
      <c r="C638" s="86" t="s">
        <v>9378</v>
      </c>
      <c r="D638" s="86" t="s">
        <v>205</v>
      </c>
      <c r="E638" s="86" t="s">
        <v>35</v>
      </c>
      <c r="F638" s="86" t="s">
        <v>9397</v>
      </c>
      <c r="G638" s="86">
        <v>1</v>
      </c>
    </row>
    <row r="639" spans="1:8">
      <c r="A639" s="86">
        <v>638</v>
      </c>
      <c r="B639" s="86" t="s">
        <v>2840</v>
      </c>
      <c r="C639" s="86" t="s">
        <v>9378</v>
      </c>
      <c r="D639" s="86" t="s">
        <v>273</v>
      </c>
      <c r="E639" s="86" t="s">
        <v>9398</v>
      </c>
      <c r="F639" s="86">
        <v>15007303117</v>
      </c>
      <c r="G639" s="86">
        <v>18000</v>
      </c>
    </row>
    <row r="640" spans="1:8">
      <c r="A640" s="86">
        <v>639</v>
      </c>
      <c r="B640" s="86" t="s">
        <v>2008</v>
      </c>
      <c r="C640" s="86" t="s">
        <v>9378</v>
      </c>
      <c r="D640" s="86" t="s">
        <v>35</v>
      </c>
      <c r="E640" s="86" t="s">
        <v>35</v>
      </c>
      <c r="F640" s="86" t="s">
        <v>2010</v>
      </c>
      <c r="G640" s="86">
        <v>1</v>
      </c>
    </row>
    <row r="641" spans="1:7">
      <c r="A641" s="86">
        <v>640</v>
      </c>
      <c r="B641" s="86" t="s">
        <v>627</v>
      </c>
      <c r="C641" s="86" t="s">
        <v>9378</v>
      </c>
      <c r="D641" s="86" t="s">
        <v>157</v>
      </c>
      <c r="E641" s="86" t="s">
        <v>35</v>
      </c>
      <c r="F641" s="86" t="s">
        <v>36</v>
      </c>
      <c r="G641" s="86">
        <v>8450</v>
      </c>
    </row>
    <row r="642" spans="1:7">
      <c r="A642" s="86">
        <v>641</v>
      </c>
      <c r="B642" s="86" t="s">
        <v>9399</v>
      </c>
      <c r="C642" s="86" t="s">
        <v>9378</v>
      </c>
      <c r="D642" s="86" t="s">
        <v>157</v>
      </c>
      <c r="E642" s="86" t="s">
        <v>35</v>
      </c>
      <c r="F642" s="86" t="s">
        <v>36</v>
      </c>
      <c r="G642" s="86">
        <v>8450</v>
      </c>
    </row>
    <row r="643" spans="1:7">
      <c r="A643" s="86">
        <v>642</v>
      </c>
      <c r="B643" s="86" t="s">
        <v>9400</v>
      </c>
      <c r="C643" s="86" t="s">
        <v>9378</v>
      </c>
      <c r="D643" s="86" t="s">
        <v>205</v>
      </c>
      <c r="E643" s="86" t="s">
        <v>9401</v>
      </c>
      <c r="F643" s="86" t="s">
        <v>6962</v>
      </c>
      <c r="G643" s="86">
        <v>19899</v>
      </c>
    </row>
    <row r="644" spans="1:7">
      <c r="A644" s="86">
        <v>643</v>
      </c>
      <c r="B644" s="86" t="s">
        <v>2700</v>
      </c>
      <c r="C644" s="86" t="s">
        <v>9378</v>
      </c>
      <c r="D644" s="86" t="s">
        <v>2701</v>
      </c>
      <c r="E644" s="86" t="s">
        <v>9402</v>
      </c>
      <c r="F644" s="86">
        <v>60344924301373</v>
      </c>
      <c r="G644" s="86">
        <v>1</v>
      </c>
    </row>
    <row r="645" spans="1:7">
      <c r="A645" s="86">
        <v>644</v>
      </c>
      <c r="B645" s="86" t="s">
        <v>2316</v>
      </c>
      <c r="C645" s="86" t="s">
        <v>9378</v>
      </c>
      <c r="D645" s="86" t="s">
        <v>2317</v>
      </c>
      <c r="E645" s="86" t="s">
        <v>2318</v>
      </c>
      <c r="F645" s="86" t="s">
        <v>2319</v>
      </c>
      <c r="G645" s="86">
        <v>1</v>
      </c>
    </row>
    <row r="646" spans="1:7">
      <c r="A646" s="86">
        <v>645</v>
      </c>
      <c r="B646" s="86" t="s">
        <v>2821</v>
      </c>
      <c r="C646" s="86" t="s">
        <v>9378</v>
      </c>
      <c r="D646" s="86" t="s">
        <v>2822</v>
      </c>
      <c r="E646" s="86" t="s">
        <v>35</v>
      </c>
      <c r="F646" s="86" t="s">
        <v>36</v>
      </c>
      <c r="G646" s="86">
        <v>1</v>
      </c>
    </row>
    <row r="647" spans="1:7">
      <c r="A647" s="86">
        <v>646</v>
      </c>
      <c r="B647" s="86" t="s">
        <v>2828</v>
      </c>
      <c r="C647" s="86" t="s">
        <v>9378</v>
      </c>
      <c r="D647" s="86" t="s">
        <v>2822</v>
      </c>
      <c r="E647" s="86" t="s">
        <v>35</v>
      </c>
      <c r="F647" s="86" t="s">
        <v>36</v>
      </c>
      <c r="G647" s="86">
        <v>1</v>
      </c>
    </row>
    <row r="648" spans="1:7">
      <c r="A648" s="86">
        <v>647</v>
      </c>
      <c r="B648" s="86" t="s">
        <v>2304</v>
      </c>
      <c r="C648" s="86" t="s">
        <v>9378</v>
      </c>
      <c r="D648" s="86" t="s">
        <v>2305</v>
      </c>
      <c r="E648" s="86" t="s">
        <v>2306</v>
      </c>
      <c r="F648" s="86" t="s">
        <v>36</v>
      </c>
      <c r="G648" s="86">
        <v>1</v>
      </c>
    </row>
    <row r="649" spans="1:7">
      <c r="A649" s="86">
        <v>648</v>
      </c>
      <c r="B649" s="86" t="s">
        <v>2969</v>
      </c>
      <c r="C649" s="86" t="s">
        <v>9378</v>
      </c>
      <c r="D649" s="86" t="s">
        <v>35</v>
      </c>
      <c r="E649" s="86" t="s">
        <v>35</v>
      </c>
      <c r="F649" s="86" t="s">
        <v>36</v>
      </c>
      <c r="G649" s="86">
        <v>0</v>
      </c>
    </row>
    <row r="650" spans="1:7">
      <c r="A650" s="86">
        <v>649</v>
      </c>
      <c r="B650" s="86" t="s">
        <v>2805</v>
      </c>
      <c r="C650" s="86" t="s">
        <v>9378</v>
      </c>
      <c r="D650" s="86" t="s">
        <v>35</v>
      </c>
      <c r="E650" s="86" t="s">
        <v>35</v>
      </c>
      <c r="F650" s="86" t="s">
        <v>36</v>
      </c>
      <c r="G650" s="86">
        <v>1</v>
      </c>
    </row>
    <row r="651" spans="1:7">
      <c r="A651" s="86">
        <v>650</v>
      </c>
      <c r="B651" s="86" t="s">
        <v>2962</v>
      </c>
      <c r="C651" s="86" t="s">
        <v>9378</v>
      </c>
      <c r="D651" s="86" t="s">
        <v>35</v>
      </c>
      <c r="E651" s="86" t="s">
        <v>35</v>
      </c>
      <c r="F651" s="86" t="s">
        <v>36</v>
      </c>
      <c r="G651" s="86">
        <v>1</v>
      </c>
    </row>
    <row r="652" spans="1:7">
      <c r="A652" s="86">
        <v>651</v>
      </c>
      <c r="B652" s="86" t="s">
        <v>2975</v>
      </c>
      <c r="C652" s="86" t="s">
        <v>9378</v>
      </c>
      <c r="D652" s="86" t="s">
        <v>35</v>
      </c>
      <c r="E652" s="86" t="s">
        <v>35</v>
      </c>
      <c r="F652" s="86" t="s">
        <v>36</v>
      </c>
      <c r="G652" s="86">
        <v>1</v>
      </c>
    </row>
    <row r="653" spans="1:7">
      <c r="A653" s="86">
        <v>652</v>
      </c>
      <c r="B653" s="86" t="s">
        <v>2942</v>
      </c>
      <c r="C653" s="86" t="s">
        <v>9378</v>
      </c>
      <c r="D653" s="86" t="s">
        <v>9403</v>
      </c>
      <c r="E653" s="86" t="s">
        <v>35</v>
      </c>
      <c r="F653" s="86" t="s">
        <v>36</v>
      </c>
      <c r="G653" s="86">
        <v>1</v>
      </c>
    </row>
    <row r="654" spans="1:7">
      <c r="A654" s="86">
        <v>653</v>
      </c>
      <c r="B654" s="86" t="s">
        <v>2356</v>
      </c>
      <c r="C654" s="86" t="s">
        <v>9378</v>
      </c>
      <c r="D654" s="86" t="s">
        <v>2357</v>
      </c>
      <c r="E654" s="86" t="s">
        <v>35</v>
      </c>
      <c r="F654" s="86" t="s">
        <v>36</v>
      </c>
      <c r="G654" s="86">
        <v>1</v>
      </c>
    </row>
    <row r="655" spans="1:7">
      <c r="A655" s="86">
        <v>654</v>
      </c>
      <c r="B655" s="86" t="s">
        <v>2715</v>
      </c>
      <c r="C655" s="86" t="s">
        <v>9378</v>
      </c>
      <c r="D655" s="86" t="s">
        <v>297</v>
      </c>
      <c r="E655" s="86" t="s">
        <v>2716</v>
      </c>
      <c r="F655" s="86" t="s">
        <v>9404</v>
      </c>
      <c r="G655" s="86">
        <v>29990</v>
      </c>
    </row>
    <row r="656" spans="1:7">
      <c r="A656" s="86">
        <v>655</v>
      </c>
      <c r="B656" s="86" t="s">
        <v>2443</v>
      </c>
      <c r="C656" s="86" t="s">
        <v>9378</v>
      </c>
      <c r="D656" s="86" t="s">
        <v>703</v>
      </c>
      <c r="E656" s="86" t="s">
        <v>2444</v>
      </c>
      <c r="F656" s="86" t="s">
        <v>8436</v>
      </c>
      <c r="G656" s="86">
        <v>1</v>
      </c>
    </row>
    <row r="657" spans="1:7">
      <c r="A657" s="86">
        <v>656</v>
      </c>
      <c r="B657" s="86" t="s">
        <v>2418</v>
      </c>
      <c r="C657" s="86" t="s">
        <v>9378</v>
      </c>
      <c r="D657" s="86" t="s">
        <v>2419</v>
      </c>
      <c r="E657" s="86" t="s">
        <v>9405</v>
      </c>
      <c r="F657" s="86" t="s">
        <v>2421</v>
      </c>
      <c r="G657" s="86">
        <v>39573.4</v>
      </c>
    </row>
    <row r="658" spans="1:7">
      <c r="A658" s="86">
        <v>657</v>
      </c>
      <c r="B658" s="86" t="s">
        <v>2912</v>
      </c>
      <c r="C658" s="86" t="s">
        <v>9378</v>
      </c>
      <c r="D658" s="86" t="s">
        <v>1220</v>
      </c>
      <c r="E658" s="86" t="s">
        <v>720</v>
      </c>
      <c r="F658" s="86" t="s">
        <v>36</v>
      </c>
      <c r="G658" s="86">
        <v>1</v>
      </c>
    </row>
    <row r="659" spans="1:7">
      <c r="A659" s="86">
        <v>658</v>
      </c>
      <c r="B659" s="86" t="s">
        <v>2789</v>
      </c>
      <c r="C659" s="86" t="s">
        <v>9378</v>
      </c>
      <c r="D659" s="86" t="s">
        <v>9406</v>
      </c>
      <c r="E659" s="86" t="s">
        <v>35</v>
      </c>
      <c r="F659" s="86" t="s">
        <v>36</v>
      </c>
      <c r="G659" s="86">
        <v>11590</v>
      </c>
    </row>
    <row r="660" spans="1:7">
      <c r="A660" s="86">
        <v>659</v>
      </c>
      <c r="B660" s="86" t="s">
        <v>2949</v>
      </c>
      <c r="C660" s="86" t="s">
        <v>9378</v>
      </c>
      <c r="D660" s="86" t="s">
        <v>2357</v>
      </c>
      <c r="E660" s="86" t="s">
        <v>35</v>
      </c>
      <c r="F660" s="86" t="s">
        <v>36</v>
      </c>
      <c r="G660" s="86">
        <v>1</v>
      </c>
    </row>
    <row r="661" spans="1:7">
      <c r="A661" s="86">
        <v>660</v>
      </c>
      <c r="B661" s="86" t="s">
        <v>2539</v>
      </c>
      <c r="C661" s="86" t="s">
        <v>9378</v>
      </c>
      <c r="D661" s="86" t="s">
        <v>2540</v>
      </c>
      <c r="E661" s="86" t="s">
        <v>2541</v>
      </c>
      <c r="F661" s="86" t="s">
        <v>36</v>
      </c>
      <c r="G661" s="86">
        <v>1</v>
      </c>
    </row>
    <row r="662" spans="1:7">
      <c r="A662" s="86">
        <v>661</v>
      </c>
      <c r="B662" s="86" t="s">
        <v>2402</v>
      </c>
      <c r="C662" s="86" t="s">
        <v>9378</v>
      </c>
      <c r="D662" s="86" t="s">
        <v>2403</v>
      </c>
      <c r="E662" s="86" t="s">
        <v>35</v>
      </c>
      <c r="F662" s="86" t="s">
        <v>36</v>
      </c>
      <c r="G662" s="86">
        <v>1</v>
      </c>
    </row>
    <row r="663" spans="1:7">
      <c r="A663" s="86">
        <v>662</v>
      </c>
      <c r="B663" s="86" t="s">
        <v>2434</v>
      </c>
      <c r="C663" s="86" t="s">
        <v>9378</v>
      </c>
      <c r="D663" s="86" t="s">
        <v>2317</v>
      </c>
      <c r="E663" s="86" t="s">
        <v>35</v>
      </c>
      <c r="F663" s="86" t="s">
        <v>36</v>
      </c>
      <c r="G663" s="86">
        <v>1</v>
      </c>
    </row>
    <row r="664" spans="1:7">
      <c r="A664" s="86">
        <v>663</v>
      </c>
      <c r="B664" s="86" t="s">
        <v>2652</v>
      </c>
      <c r="C664" s="86" t="s">
        <v>9378</v>
      </c>
      <c r="D664" s="86" t="s">
        <v>303</v>
      </c>
      <c r="E664" s="86" t="s">
        <v>35</v>
      </c>
      <c r="F664" s="86" t="s">
        <v>9407</v>
      </c>
      <c r="G664" s="86">
        <v>1</v>
      </c>
    </row>
    <row r="665" spans="1:7">
      <c r="A665" s="86">
        <v>664</v>
      </c>
      <c r="B665" s="86" t="s">
        <v>2628</v>
      </c>
      <c r="C665" s="86" t="s">
        <v>9378</v>
      </c>
      <c r="D665" s="86" t="s">
        <v>2629</v>
      </c>
      <c r="E665" s="86" t="s">
        <v>9408</v>
      </c>
      <c r="F665" s="86">
        <v>11893506207</v>
      </c>
      <c r="G665" s="86">
        <v>1</v>
      </c>
    </row>
    <row r="666" spans="1:7">
      <c r="A666" s="86">
        <v>665</v>
      </c>
      <c r="B666" s="86" t="s">
        <v>9409</v>
      </c>
      <c r="C666" s="86" t="s">
        <v>9378</v>
      </c>
      <c r="D666" s="86" t="s">
        <v>1220</v>
      </c>
      <c r="E666" s="86" t="s">
        <v>9410</v>
      </c>
      <c r="F666" s="86" t="s">
        <v>9411</v>
      </c>
      <c r="G666" s="86">
        <v>1</v>
      </c>
    </row>
    <row r="667" spans="1:7">
      <c r="A667" s="86">
        <v>666</v>
      </c>
      <c r="B667" s="86" t="s">
        <v>1000</v>
      </c>
      <c r="C667" s="86" t="s">
        <v>9378</v>
      </c>
      <c r="D667" s="86" t="s">
        <v>297</v>
      </c>
      <c r="E667" s="86" t="s">
        <v>1001</v>
      </c>
      <c r="F667" s="86">
        <v>20601267443</v>
      </c>
      <c r="G667" s="86">
        <v>1</v>
      </c>
    </row>
    <row r="668" spans="1:7">
      <c r="A668" s="86">
        <v>667</v>
      </c>
      <c r="B668" s="86" t="s">
        <v>5719</v>
      </c>
      <c r="C668" s="86" t="s">
        <v>9378</v>
      </c>
      <c r="D668" s="86" t="s">
        <v>273</v>
      </c>
      <c r="E668" s="86" t="s">
        <v>9412</v>
      </c>
      <c r="F668" s="86">
        <v>11392903012346</v>
      </c>
      <c r="G668" s="86">
        <v>11249.99</v>
      </c>
    </row>
    <row r="669" spans="1:7">
      <c r="A669" s="86">
        <v>668</v>
      </c>
      <c r="B669" s="86" t="s">
        <v>5723</v>
      </c>
      <c r="C669" s="86" t="s">
        <v>9378</v>
      </c>
      <c r="D669" s="86" t="s">
        <v>297</v>
      </c>
      <c r="E669" s="86" t="s">
        <v>298</v>
      </c>
      <c r="F669" s="86" t="s">
        <v>5724</v>
      </c>
      <c r="G669" s="86">
        <v>0</v>
      </c>
    </row>
    <row r="670" spans="1:7">
      <c r="A670" s="86">
        <v>669</v>
      </c>
      <c r="B670" s="86" t="s">
        <v>5558</v>
      </c>
      <c r="C670" s="86" t="s">
        <v>9378</v>
      </c>
      <c r="D670" s="86" t="s">
        <v>273</v>
      </c>
      <c r="E670" s="86" t="s">
        <v>9412</v>
      </c>
      <c r="F670" s="86">
        <v>11392903014323</v>
      </c>
      <c r="G670" s="86">
        <v>11249.99</v>
      </c>
    </row>
    <row r="671" spans="1:7">
      <c r="A671" s="86">
        <v>670</v>
      </c>
      <c r="B671" s="86" t="s">
        <v>5563</v>
      </c>
      <c r="C671" s="86" t="s">
        <v>9378</v>
      </c>
      <c r="D671" s="86" t="s">
        <v>297</v>
      </c>
      <c r="E671" s="86" t="s">
        <v>298</v>
      </c>
      <c r="F671" s="86" t="s">
        <v>5564</v>
      </c>
      <c r="G671" s="86">
        <v>0</v>
      </c>
    </row>
    <row r="672" spans="1:7">
      <c r="A672" s="86">
        <v>671</v>
      </c>
      <c r="B672" s="86" t="s">
        <v>5675</v>
      </c>
      <c r="C672" s="86" t="s">
        <v>9378</v>
      </c>
      <c r="D672" s="86" t="s">
        <v>273</v>
      </c>
      <c r="E672" s="86" t="s">
        <v>9412</v>
      </c>
      <c r="F672" s="86">
        <v>11392903012333</v>
      </c>
      <c r="G672" s="86">
        <v>11249.99</v>
      </c>
    </row>
    <row r="673" spans="1:7">
      <c r="A673" s="86">
        <v>672</v>
      </c>
      <c r="B673" s="86" t="s">
        <v>5686</v>
      </c>
      <c r="C673" s="86" t="s">
        <v>9378</v>
      </c>
      <c r="D673" s="86" t="s">
        <v>297</v>
      </c>
      <c r="E673" s="86" t="s">
        <v>298</v>
      </c>
      <c r="F673" s="86" t="s">
        <v>5687</v>
      </c>
      <c r="G673" s="86">
        <v>0</v>
      </c>
    </row>
    <row r="674" spans="1:7">
      <c r="A674" s="86">
        <v>673</v>
      </c>
      <c r="B674" s="86" t="s">
        <v>5361</v>
      </c>
      <c r="C674" s="86" t="s">
        <v>9378</v>
      </c>
      <c r="D674" s="86" t="s">
        <v>273</v>
      </c>
      <c r="E674" s="86" t="s">
        <v>9412</v>
      </c>
      <c r="F674" s="86">
        <v>11392903014920</v>
      </c>
      <c r="G674" s="86">
        <v>11249.99</v>
      </c>
    </row>
    <row r="675" spans="1:7">
      <c r="A675" s="86">
        <v>674</v>
      </c>
      <c r="B675" s="86" t="s">
        <v>5365</v>
      </c>
      <c r="C675" s="86" t="s">
        <v>9378</v>
      </c>
      <c r="D675" s="86" t="s">
        <v>297</v>
      </c>
      <c r="E675" s="86" t="s">
        <v>298</v>
      </c>
      <c r="F675" s="86" t="s">
        <v>5366</v>
      </c>
      <c r="G675" s="86">
        <v>0</v>
      </c>
    </row>
    <row r="676" spans="1:7">
      <c r="A676" s="86">
        <v>675</v>
      </c>
      <c r="B676" s="86" t="s">
        <v>3581</v>
      </c>
      <c r="C676" s="86" t="s">
        <v>9378</v>
      </c>
      <c r="D676" s="86" t="s">
        <v>273</v>
      </c>
      <c r="E676" s="86" t="s">
        <v>9412</v>
      </c>
      <c r="F676" s="86">
        <v>11392903012354</v>
      </c>
      <c r="G676" s="86">
        <v>11249.99</v>
      </c>
    </row>
    <row r="677" spans="1:7">
      <c r="A677" s="86">
        <v>676</v>
      </c>
      <c r="B677" s="86" t="s">
        <v>3586</v>
      </c>
      <c r="C677" s="86" t="s">
        <v>9378</v>
      </c>
      <c r="D677" s="86" t="s">
        <v>297</v>
      </c>
      <c r="E677" s="86" t="s">
        <v>298</v>
      </c>
      <c r="F677" s="86" t="s">
        <v>9413</v>
      </c>
      <c r="G677" s="86">
        <v>0</v>
      </c>
    </row>
    <row r="678" spans="1:7">
      <c r="A678" s="86">
        <v>677</v>
      </c>
      <c r="B678" s="86" t="s">
        <v>4534</v>
      </c>
      <c r="C678" s="86" t="s">
        <v>9378</v>
      </c>
      <c r="D678" s="86" t="s">
        <v>273</v>
      </c>
      <c r="E678" s="86" t="s">
        <v>9412</v>
      </c>
      <c r="F678" s="86">
        <v>11392903012339</v>
      </c>
      <c r="G678" s="86">
        <v>11249.99</v>
      </c>
    </row>
    <row r="679" spans="1:7">
      <c r="A679" s="86">
        <v>678</v>
      </c>
      <c r="B679" s="86" t="s">
        <v>4538</v>
      </c>
      <c r="C679" s="86" t="s">
        <v>9378</v>
      </c>
      <c r="D679" s="86" t="s">
        <v>297</v>
      </c>
      <c r="E679" s="86" t="s">
        <v>298</v>
      </c>
      <c r="F679" s="86" t="s">
        <v>9414</v>
      </c>
      <c r="G679" s="86">
        <v>0</v>
      </c>
    </row>
    <row r="680" spans="1:7">
      <c r="A680" s="86">
        <v>679</v>
      </c>
      <c r="B680" s="86" t="s">
        <v>4105</v>
      </c>
      <c r="C680" s="86" t="s">
        <v>9378</v>
      </c>
      <c r="D680" s="86" t="s">
        <v>273</v>
      </c>
      <c r="E680" s="86" t="s">
        <v>9412</v>
      </c>
      <c r="F680" s="86">
        <v>11392903012347</v>
      </c>
      <c r="G680" s="86">
        <v>11249.99</v>
      </c>
    </row>
    <row r="681" spans="1:7">
      <c r="A681" s="86">
        <v>680</v>
      </c>
      <c r="B681" s="86" t="s">
        <v>4116</v>
      </c>
      <c r="C681" s="86" t="s">
        <v>9378</v>
      </c>
      <c r="D681" s="86" t="s">
        <v>297</v>
      </c>
      <c r="E681" s="86" t="s">
        <v>298</v>
      </c>
      <c r="F681" s="86" t="s">
        <v>4117</v>
      </c>
      <c r="G681" s="86">
        <v>0</v>
      </c>
    </row>
    <row r="682" spans="1:7">
      <c r="A682" s="86">
        <v>681</v>
      </c>
      <c r="B682" s="86" t="s">
        <v>4352</v>
      </c>
      <c r="C682" s="86" t="s">
        <v>9378</v>
      </c>
      <c r="D682" s="86" t="s">
        <v>273</v>
      </c>
      <c r="E682" s="86" t="s">
        <v>9412</v>
      </c>
      <c r="F682" s="86">
        <v>11392903012343</v>
      </c>
      <c r="G682" s="86">
        <v>11249.99</v>
      </c>
    </row>
    <row r="683" spans="1:7">
      <c r="A683" s="86">
        <v>682</v>
      </c>
      <c r="B683" s="86" t="s">
        <v>4356</v>
      </c>
      <c r="C683" s="86" t="s">
        <v>9378</v>
      </c>
      <c r="D683" s="86" t="s">
        <v>297</v>
      </c>
      <c r="E683" s="86" t="s">
        <v>298</v>
      </c>
      <c r="F683" s="86" t="s">
        <v>4357</v>
      </c>
      <c r="G683" s="86">
        <v>0</v>
      </c>
    </row>
    <row r="684" spans="1:7">
      <c r="A684" s="86">
        <v>683</v>
      </c>
      <c r="B684" s="86" t="s">
        <v>4162</v>
      </c>
      <c r="C684" s="86" t="s">
        <v>9378</v>
      </c>
      <c r="D684" s="86" t="s">
        <v>273</v>
      </c>
      <c r="E684" s="86" t="s">
        <v>9412</v>
      </c>
      <c r="F684" s="86">
        <v>11392903015062</v>
      </c>
      <c r="G684" s="86">
        <v>11249.99</v>
      </c>
    </row>
    <row r="685" spans="1:7">
      <c r="A685" s="86">
        <v>684</v>
      </c>
      <c r="B685" s="86" t="s">
        <v>4166</v>
      </c>
      <c r="C685" s="86" t="s">
        <v>9378</v>
      </c>
      <c r="D685" s="86" t="s">
        <v>297</v>
      </c>
      <c r="E685" s="86" t="s">
        <v>298</v>
      </c>
      <c r="F685" s="86" t="s">
        <v>4167</v>
      </c>
      <c r="G685" s="86">
        <v>0</v>
      </c>
    </row>
    <row r="686" spans="1:7">
      <c r="A686" s="86">
        <v>685</v>
      </c>
      <c r="B686" s="86" t="s">
        <v>1633</v>
      </c>
      <c r="C686" s="86" t="s">
        <v>9378</v>
      </c>
      <c r="D686" s="86" t="s">
        <v>273</v>
      </c>
      <c r="E686" s="86" t="s">
        <v>9412</v>
      </c>
      <c r="F686" s="86">
        <v>11392903011614</v>
      </c>
      <c r="G686" s="86">
        <v>11249.99</v>
      </c>
    </row>
    <row r="687" spans="1:7">
      <c r="A687" s="86">
        <v>686</v>
      </c>
      <c r="B687" s="86" t="s">
        <v>1627</v>
      </c>
      <c r="C687" s="86" t="s">
        <v>9378</v>
      </c>
      <c r="D687" s="86" t="s">
        <v>297</v>
      </c>
      <c r="E687" s="86" t="s">
        <v>298</v>
      </c>
      <c r="F687" s="86" t="s">
        <v>1628</v>
      </c>
      <c r="G687" s="86">
        <v>0</v>
      </c>
    </row>
    <row r="688" spans="1:7">
      <c r="A688" s="86">
        <v>687</v>
      </c>
      <c r="B688" s="86" t="s">
        <v>1782</v>
      </c>
      <c r="C688" s="86" t="s">
        <v>9378</v>
      </c>
      <c r="D688" s="86" t="s">
        <v>273</v>
      </c>
      <c r="E688" s="86" t="s">
        <v>9412</v>
      </c>
      <c r="F688" s="86">
        <v>11392903014913</v>
      </c>
      <c r="G688" s="86">
        <v>11249.99</v>
      </c>
    </row>
    <row r="689" spans="1:7">
      <c r="A689" s="86">
        <v>688</v>
      </c>
      <c r="B689" s="86" t="s">
        <v>1788</v>
      </c>
      <c r="C689" s="86" t="s">
        <v>9378</v>
      </c>
      <c r="D689" s="86" t="s">
        <v>297</v>
      </c>
      <c r="E689" s="86" t="s">
        <v>298</v>
      </c>
      <c r="F689" s="86" t="s">
        <v>1789</v>
      </c>
      <c r="G689" s="86">
        <v>0</v>
      </c>
    </row>
    <row r="690" spans="1:7">
      <c r="A690" s="86">
        <v>689</v>
      </c>
      <c r="B690" s="86" t="s">
        <v>344</v>
      </c>
      <c r="C690" s="86" t="s">
        <v>9378</v>
      </c>
      <c r="D690" s="86" t="s">
        <v>273</v>
      </c>
      <c r="E690" s="86" t="s">
        <v>9412</v>
      </c>
      <c r="F690" s="86">
        <v>11392903011586</v>
      </c>
      <c r="G690" s="86">
        <v>11249.99</v>
      </c>
    </row>
    <row r="691" spans="1:7">
      <c r="A691" s="86">
        <v>690</v>
      </c>
      <c r="B691" s="86" t="s">
        <v>330</v>
      </c>
      <c r="C691" s="86" t="s">
        <v>9378</v>
      </c>
      <c r="D691" s="86" t="s">
        <v>297</v>
      </c>
      <c r="E691" s="86" t="s">
        <v>298</v>
      </c>
      <c r="F691" s="86" t="s">
        <v>331</v>
      </c>
      <c r="G691" s="86">
        <v>0</v>
      </c>
    </row>
    <row r="692" spans="1:7">
      <c r="A692" s="86">
        <v>691</v>
      </c>
      <c r="B692" s="86" t="s">
        <v>4701</v>
      </c>
      <c r="C692" s="86" t="s">
        <v>9378</v>
      </c>
      <c r="D692" s="86" t="s">
        <v>273</v>
      </c>
      <c r="E692" s="86" t="s">
        <v>9412</v>
      </c>
      <c r="F692" s="86">
        <v>11392903014603</v>
      </c>
      <c r="G692" s="86">
        <v>11249.99</v>
      </c>
    </row>
    <row r="693" spans="1:7">
      <c r="A693" s="86">
        <v>692</v>
      </c>
      <c r="B693" s="86" t="s">
        <v>4696</v>
      </c>
      <c r="C693" s="86" t="s">
        <v>9378</v>
      </c>
      <c r="D693" s="86" t="s">
        <v>297</v>
      </c>
      <c r="E693" s="86" t="s">
        <v>298</v>
      </c>
      <c r="F693" s="86" t="s">
        <v>9415</v>
      </c>
      <c r="G693" s="86">
        <v>0</v>
      </c>
    </row>
    <row r="694" spans="1:7">
      <c r="A694" s="86">
        <v>693</v>
      </c>
      <c r="B694" s="86" t="s">
        <v>1238</v>
      </c>
      <c r="C694" s="86" t="s">
        <v>9378</v>
      </c>
      <c r="D694" s="86" t="s">
        <v>273</v>
      </c>
      <c r="E694" s="86" t="s">
        <v>9412</v>
      </c>
      <c r="F694" s="86">
        <v>11392903014316</v>
      </c>
      <c r="G694" s="86">
        <v>11249.99</v>
      </c>
    </row>
    <row r="695" spans="1:7">
      <c r="A695" s="86">
        <v>694</v>
      </c>
      <c r="B695" s="86" t="s">
        <v>1226</v>
      </c>
      <c r="C695" s="86" t="s">
        <v>9378</v>
      </c>
      <c r="D695" s="86" t="s">
        <v>297</v>
      </c>
      <c r="E695" s="86" t="s">
        <v>298</v>
      </c>
      <c r="F695" s="86" t="s">
        <v>1227</v>
      </c>
      <c r="G695" s="86">
        <v>0</v>
      </c>
    </row>
    <row r="696" spans="1:7">
      <c r="A696" s="86">
        <v>695</v>
      </c>
      <c r="B696" s="86" t="s">
        <v>272</v>
      </c>
      <c r="C696" s="86" t="s">
        <v>9378</v>
      </c>
      <c r="D696" s="86" t="s">
        <v>273</v>
      </c>
      <c r="E696" s="86" t="s">
        <v>9412</v>
      </c>
      <c r="F696" s="86">
        <v>11392903015651</v>
      </c>
      <c r="G696" s="86">
        <v>11249.99</v>
      </c>
    </row>
    <row r="697" spans="1:7">
      <c r="A697" s="86">
        <v>696</v>
      </c>
      <c r="B697" s="86" t="s">
        <v>296</v>
      </c>
      <c r="C697" s="86" t="s">
        <v>9378</v>
      </c>
      <c r="D697" s="86" t="s">
        <v>297</v>
      </c>
      <c r="E697" s="86" t="s">
        <v>298</v>
      </c>
      <c r="F697" s="86" t="s">
        <v>299</v>
      </c>
      <c r="G697" s="86">
        <v>0</v>
      </c>
    </row>
    <row r="698" spans="1:7">
      <c r="A698" s="86">
        <v>697</v>
      </c>
      <c r="B698" s="86" t="s">
        <v>1359</v>
      </c>
      <c r="C698" s="86" t="s">
        <v>9378</v>
      </c>
      <c r="D698" s="86" t="s">
        <v>273</v>
      </c>
      <c r="E698" s="86" t="s">
        <v>9412</v>
      </c>
      <c r="F698" s="86">
        <v>11392903015655</v>
      </c>
      <c r="G698" s="86">
        <v>11249.99</v>
      </c>
    </row>
    <row r="699" spans="1:7">
      <c r="A699" s="86">
        <v>698</v>
      </c>
      <c r="B699" s="86" t="s">
        <v>1354</v>
      </c>
      <c r="C699" s="86" t="s">
        <v>9378</v>
      </c>
      <c r="D699" s="86" t="s">
        <v>297</v>
      </c>
      <c r="E699" s="86" t="s">
        <v>298</v>
      </c>
      <c r="F699" s="86" t="s">
        <v>1355</v>
      </c>
      <c r="G699" s="86">
        <v>0</v>
      </c>
    </row>
    <row r="700" spans="1:7">
      <c r="A700" s="86">
        <v>699</v>
      </c>
      <c r="B700" s="86" t="s">
        <v>4479</v>
      </c>
      <c r="C700" s="86" t="s">
        <v>9378</v>
      </c>
      <c r="D700" s="86" t="s">
        <v>273</v>
      </c>
      <c r="E700" s="86" t="s">
        <v>9412</v>
      </c>
      <c r="F700" s="86">
        <v>11392903015273</v>
      </c>
      <c r="G700" s="86">
        <v>11249.99</v>
      </c>
    </row>
    <row r="701" spans="1:7">
      <c r="A701" s="86">
        <v>700</v>
      </c>
      <c r="B701" s="86" t="s">
        <v>4483</v>
      </c>
      <c r="C701" s="86" t="s">
        <v>9378</v>
      </c>
      <c r="D701" s="86" t="s">
        <v>297</v>
      </c>
      <c r="E701" s="86" t="s">
        <v>298</v>
      </c>
      <c r="F701" s="86" t="s">
        <v>9414</v>
      </c>
      <c r="G701" s="86">
        <v>0</v>
      </c>
    </row>
    <row r="702" spans="1:7">
      <c r="A702" s="86">
        <v>701</v>
      </c>
      <c r="B702" s="86" t="s">
        <v>4403</v>
      </c>
      <c r="C702" s="86" t="s">
        <v>9378</v>
      </c>
      <c r="D702" s="86" t="s">
        <v>273</v>
      </c>
      <c r="E702" s="86" t="s">
        <v>9412</v>
      </c>
      <c r="F702" s="86">
        <v>11392903015788</v>
      </c>
      <c r="G702" s="86">
        <v>11249.99</v>
      </c>
    </row>
    <row r="703" spans="1:7">
      <c r="A703" s="86">
        <v>702</v>
      </c>
      <c r="B703" s="86" t="s">
        <v>4407</v>
      </c>
      <c r="C703" s="86" t="s">
        <v>9378</v>
      </c>
      <c r="D703" s="86" t="s">
        <v>297</v>
      </c>
      <c r="E703" s="86" t="s">
        <v>298</v>
      </c>
      <c r="F703" s="86" t="s">
        <v>9416</v>
      </c>
      <c r="G703" s="86">
        <v>0</v>
      </c>
    </row>
    <row r="704" spans="1:7">
      <c r="A704" s="86">
        <v>703</v>
      </c>
      <c r="B704" s="86" t="s">
        <v>736</v>
      </c>
      <c r="C704" s="86" t="s">
        <v>210</v>
      </c>
      <c r="D704" s="86" t="s">
        <v>216</v>
      </c>
      <c r="E704" s="86" t="s">
        <v>737</v>
      </c>
      <c r="F704" s="86" t="s">
        <v>954</v>
      </c>
      <c r="G704" s="86">
        <v>1618.84</v>
      </c>
    </row>
    <row r="705" spans="1:8">
      <c r="A705" s="86">
        <v>704</v>
      </c>
      <c r="B705" s="86" t="s">
        <v>953</v>
      </c>
      <c r="C705" s="86" t="s">
        <v>210</v>
      </c>
      <c r="D705" s="86" t="s">
        <v>216</v>
      </c>
      <c r="E705" s="86" t="s">
        <v>9417</v>
      </c>
      <c r="F705" s="86" t="s">
        <v>36</v>
      </c>
      <c r="G705" s="86">
        <v>1550</v>
      </c>
    </row>
    <row r="706" spans="1:8">
      <c r="A706" s="86">
        <v>705</v>
      </c>
      <c r="B706" s="86" t="s">
        <v>9418</v>
      </c>
      <c r="C706" s="86" t="s">
        <v>210</v>
      </c>
      <c r="D706" s="86" t="s">
        <v>216</v>
      </c>
      <c r="E706" s="86" t="s">
        <v>3239</v>
      </c>
      <c r="G706" s="86">
        <v>1179</v>
      </c>
    </row>
    <row r="707" spans="1:8">
      <c r="A707" s="86">
        <v>706</v>
      </c>
      <c r="B707" s="86" t="s">
        <v>2738</v>
      </c>
      <c r="C707" s="86" t="s">
        <v>210</v>
      </c>
      <c r="D707" s="86" t="s">
        <v>205</v>
      </c>
      <c r="E707" s="86" t="s">
        <v>2739</v>
      </c>
      <c r="F707" s="86" t="s">
        <v>2740</v>
      </c>
      <c r="G707" s="86">
        <v>1</v>
      </c>
    </row>
    <row r="708" spans="1:8">
      <c r="A708" s="86">
        <v>707</v>
      </c>
      <c r="B708" s="86" t="s">
        <v>2935</v>
      </c>
      <c r="C708" s="86" t="s">
        <v>210</v>
      </c>
      <c r="D708" s="86" t="s">
        <v>205</v>
      </c>
      <c r="E708" s="86" t="s">
        <v>35</v>
      </c>
      <c r="F708" s="86" t="s">
        <v>36</v>
      </c>
      <c r="G708" s="86">
        <v>1</v>
      </c>
    </row>
    <row r="709" spans="1:8">
      <c r="A709" s="86">
        <v>708</v>
      </c>
      <c r="B709" s="86" t="s">
        <v>2723</v>
      </c>
      <c r="C709" s="86" t="s">
        <v>210</v>
      </c>
      <c r="D709" s="86" t="s">
        <v>216</v>
      </c>
      <c r="E709" s="86" t="s">
        <v>2724</v>
      </c>
      <c r="F709" s="86" t="s">
        <v>36</v>
      </c>
      <c r="G709" s="86">
        <v>1421</v>
      </c>
    </row>
    <row r="710" spans="1:8">
      <c r="A710" s="86">
        <v>709</v>
      </c>
      <c r="B710" s="86" t="s">
        <v>2730</v>
      </c>
      <c r="C710" s="86" t="s">
        <v>210</v>
      </c>
      <c r="D710" s="86" t="s">
        <v>216</v>
      </c>
      <c r="E710" s="86" t="s">
        <v>2724</v>
      </c>
      <c r="F710" s="86" t="s">
        <v>36</v>
      </c>
      <c r="G710" s="86">
        <v>1421</v>
      </c>
    </row>
    <row r="711" spans="1:8">
      <c r="A711" s="86">
        <v>710</v>
      </c>
      <c r="B711" s="86" t="s">
        <v>9419</v>
      </c>
      <c r="C711" s="86" t="s">
        <v>210</v>
      </c>
      <c r="D711" s="86" t="s">
        <v>9420</v>
      </c>
      <c r="E711" s="86">
        <v>497608</v>
      </c>
      <c r="F711" s="86" t="s">
        <v>36</v>
      </c>
      <c r="G711" s="86">
        <v>1050</v>
      </c>
    </row>
    <row r="712" spans="1:8">
      <c r="A712" s="86">
        <v>711</v>
      </c>
      <c r="B712" s="86" t="s">
        <v>2708</v>
      </c>
      <c r="C712" s="86" t="s">
        <v>210</v>
      </c>
      <c r="D712" s="86" t="s">
        <v>827</v>
      </c>
      <c r="E712" s="86" t="s">
        <v>35</v>
      </c>
      <c r="F712" s="86" t="s">
        <v>36</v>
      </c>
      <c r="G712" s="86">
        <v>8450.6</v>
      </c>
      <c r="H712" s="221"/>
    </row>
    <row r="713" spans="1:8">
      <c r="A713" s="86">
        <v>712</v>
      </c>
      <c r="B713" s="86" t="s">
        <v>215</v>
      </c>
      <c r="C713" s="86" t="s">
        <v>210</v>
      </c>
      <c r="D713" s="86" t="s">
        <v>216</v>
      </c>
      <c r="E713" s="86" t="s">
        <v>35</v>
      </c>
      <c r="F713" s="86">
        <v>160820150836</v>
      </c>
      <c r="G713" s="86">
        <v>1480</v>
      </c>
    </row>
    <row r="714" spans="1:8">
      <c r="A714" s="86">
        <v>713</v>
      </c>
      <c r="B714" s="86" t="s">
        <v>3852</v>
      </c>
      <c r="C714" s="86" t="s">
        <v>210</v>
      </c>
      <c r="D714" s="86" t="s">
        <v>216</v>
      </c>
      <c r="E714" s="86" t="s">
        <v>217</v>
      </c>
      <c r="F714" s="86" t="s">
        <v>36</v>
      </c>
      <c r="G714" s="86">
        <v>1274.1199999999999</v>
      </c>
      <c r="H714" s="221"/>
    </row>
    <row r="715" spans="1:8">
      <c r="A715" s="86">
        <v>714</v>
      </c>
      <c r="B715" s="86" t="s">
        <v>1973</v>
      </c>
      <c r="C715" s="86" t="s">
        <v>210</v>
      </c>
      <c r="D715" s="86" t="s">
        <v>216</v>
      </c>
      <c r="E715" s="86" t="s">
        <v>1974</v>
      </c>
      <c r="F715" s="86" t="s">
        <v>36</v>
      </c>
      <c r="G715" s="86">
        <v>1276</v>
      </c>
    </row>
    <row r="716" spans="1:8">
      <c r="A716" s="86">
        <v>715</v>
      </c>
      <c r="B716" s="86" t="s">
        <v>5055</v>
      </c>
      <c r="C716" s="86" t="s">
        <v>210</v>
      </c>
      <c r="D716" s="86" t="s">
        <v>216</v>
      </c>
      <c r="E716" s="86" t="s">
        <v>217</v>
      </c>
      <c r="F716" s="86" t="s">
        <v>36</v>
      </c>
      <c r="G716" s="86">
        <v>1508</v>
      </c>
    </row>
    <row r="717" spans="1:8">
      <c r="A717" s="86">
        <v>716</v>
      </c>
      <c r="B717" s="86" t="s">
        <v>9421</v>
      </c>
      <c r="C717" s="86" t="s">
        <v>9422</v>
      </c>
      <c r="G717" s="86">
        <v>1630.96</v>
      </c>
    </row>
    <row r="718" spans="1:8">
      <c r="A718" s="86">
        <v>717</v>
      </c>
      <c r="B718" s="86" t="s">
        <v>9423</v>
      </c>
      <c r="C718" s="86" t="s">
        <v>9424</v>
      </c>
      <c r="G718" s="86">
        <v>589</v>
      </c>
    </row>
    <row r="719" spans="1:8">
      <c r="A719" s="86">
        <v>718</v>
      </c>
      <c r="B719" s="86" t="s">
        <v>9425</v>
      </c>
      <c r="C719" s="86" t="s">
        <v>9424</v>
      </c>
      <c r="G719" s="86">
        <v>589</v>
      </c>
    </row>
    <row r="720" spans="1:8">
      <c r="A720" s="86">
        <v>719</v>
      </c>
      <c r="B720" s="86" t="s">
        <v>9426</v>
      </c>
      <c r="C720" s="86" t="s">
        <v>9424</v>
      </c>
      <c r="G720" s="86">
        <v>589</v>
      </c>
    </row>
    <row r="721" spans="1:7">
      <c r="A721" s="86">
        <v>720</v>
      </c>
      <c r="B721" s="86" t="s">
        <v>1603</v>
      </c>
      <c r="C721" s="86" t="s">
        <v>1199</v>
      </c>
      <c r="D721" s="86" t="s">
        <v>1604</v>
      </c>
      <c r="E721" s="86" t="s">
        <v>35</v>
      </c>
      <c r="F721" s="86" t="s">
        <v>1606</v>
      </c>
      <c r="G721" s="86">
        <v>1</v>
      </c>
    </row>
    <row r="722" spans="1:7">
      <c r="A722" s="86">
        <v>721</v>
      </c>
      <c r="B722" s="86" t="s">
        <v>1204</v>
      </c>
      <c r="C722" s="86" t="s">
        <v>1199</v>
      </c>
      <c r="D722" s="86" t="s">
        <v>205</v>
      </c>
      <c r="E722" s="86" t="s">
        <v>35</v>
      </c>
      <c r="F722" s="86" t="s">
        <v>1206</v>
      </c>
      <c r="G722" s="86">
        <v>1</v>
      </c>
    </row>
    <row r="723" spans="1:7">
      <c r="A723" s="86">
        <v>722</v>
      </c>
      <c r="B723" s="86" t="s">
        <v>9427</v>
      </c>
      <c r="C723" s="86" t="s">
        <v>1199</v>
      </c>
      <c r="D723" s="86" t="s">
        <v>6359</v>
      </c>
      <c r="E723" s="86" t="s">
        <v>9428</v>
      </c>
      <c r="F723" s="86" t="s">
        <v>9429</v>
      </c>
      <c r="G723" s="86">
        <v>1</v>
      </c>
    </row>
    <row r="724" spans="1:7">
      <c r="A724" s="86">
        <v>723</v>
      </c>
      <c r="B724" s="86" t="s">
        <v>6497</v>
      </c>
      <c r="C724" s="86" t="s">
        <v>1199</v>
      </c>
      <c r="D724" s="86" t="s">
        <v>205</v>
      </c>
      <c r="E724" s="86" t="s">
        <v>35</v>
      </c>
      <c r="F724" s="86" t="s">
        <v>36</v>
      </c>
      <c r="G724" s="86">
        <v>1</v>
      </c>
    </row>
    <row r="725" spans="1:7">
      <c r="A725" s="86">
        <v>724</v>
      </c>
      <c r="B725" s="86" t="s">
        <v>6243</v>
      </c>
      <c r="C725" s="86" t="s">
        <v>1199</v>
      </c>
      <c r="D725" s="86" t="s">
        <v>205</v>
      </c>
      <c r="E725" s="86" t="s">
        <v>35</v>
      </c>
      <c r="F725" s="86" t="s">
        <v>36</v>
      </c>
      <c r="G725" s="86">
        <v>1</v>
      </c>
    </row>
    <row r="726" spans="1:7">
      <c r="A726" s="86">
        <v>725</v>
      </c>
      <c r="B726" s="86" t="s">
        <v>1329</v>
      </c>
      <c r="C726" s="86" t="s">
        <v>1199</v>
      </c>
      <c r="D726" s="86" t="s">
        <v>143</v>
      </c>
      <c r="E726" s="86" t="s">
        <v>35</v>
      </c>
      <c r="F726" s="86" t="s">
        <v>9430</v>
      </c>
      <c r="G726" s="86">
        <v>1</v>
      </c>
    </row>
    <row r="727" spans="1:7">
      <c r="A727" s="86">
        <v>726</v>
      </c>
      <c r="B727" s="86" t="s">
        <v>3567</v>
      </c>
      <c r="C727" s="86" t="s">
        <v>1199</v>
      </c>
      <c r="D727" s="86" t="s">
        <v>35</v>
      </c>
      <c r="E727" s="86" t="s">
        <v>35</v>
      </c>
      <c r="F727" s="86" t="s">
        <v>36</v>
      </c>
      <c r="G727" s="86">
        <v>1</v>
      </c>
    </row>
    <row r="728" spans="1:7">
      <c r="A728" s="86">
        <v>727</v>
      </c>
      <c r="B728" s="86" t="s">
        <v>9431</v>
      </c>
      <c r="C728" s="86" t="s">
        <v>9432</v>
      </c>
      <c r="G728" s="86">
        <v>18051.240000000002</v>
      </c>
    </row>
    <row r="729" spans="1:7">
      <c r="A729" s="86">
        <v>728</v>
      </c>
      <c r="B729" s="86" t="s">
        <v>967</v>
      </c>
      <c r="C729" s="86" t="s">
        <v>151</v>
      </c>
      <c r="D729" s="86" t="s">
        <v>703</v>
      </c>
      <c r="E729" s="86" t="s">
        <v>35</v>
      </c>
      <c r="F729" s="86" t="s">
        <v>969</v>
      </c>
      <c r="G729" s="86">
        <v>1</v>
      </c>
    </row>
    <row r="730" spans="1:7">
      <c r="A730" s="86">
        <v>729</v>
      </c>
      <c r="B730" s="86" t="s">
        <v>1036</v>
      </c>
      <c r="C730" s="86" t="s">
        <v>151</v>
      </c>
      <c r="D730" s="86" t="s">
        <v>9384</v>
      </c>
      <c r="E730" s="86" t="s">
        <v>35</v>
      </c>
      <c r="F730" s="86">
        <v>24301571242</v>
      </c>
      <c r="G730" s="86">
        <v>1</v>
      </c>
    </row>
    <row r="731" spans="1:7">
      <c r="A731" s="86">
        <v>730</v>
      </c>
      <c r="B731" s="86" t="s">
        <v>4655</v>
      </c>
      <c r="C731" s="86" t="s">
        <v>151</v>
      </c>
      <c r="D731" s="86" t="s">
        <v>157</v>
      </c>
      <c r="E731" s="86" t="s">
        <v>35</v>
      </c>
      <c r="F731" s="86" t="s">
        <v>9433</v>
      </c>
      <c r="G731" s="86">
        <v>1</v>
      </c>
    </row>
    <row r="732" spans="1:7">
      <c r="A732" s="86">
        <v>731</v>
      </c>
      <c r="B732" s="86" t="s">
        <v>156</v>
      </c>
      <c r="C732" s="86" t="s">
        <v>151</v>
      </c>
      <c r="D732" s="86" t="s">
        <v>157</v>
      </c>
      <c r="E732" s="86" t="s">
        <v>35</v>
      </c>
      <c r="F732" s="86" t="s">
        <v>9434</v>
      </c>
      <c r="G732" s="86">
        <v>1</v>
      </c>
    </row>
    <row r="733" spans="1:7">
      <c r="A733" s="86">
        <v>732</v>
      </c>
      <c r="B733" s="86" t="s">
        <v>908</v>
      </c>
      <c r="C733" s="86" t="s">
        <v>151</v>
      </c>
      <c r="D733" s="86" t="s">
        <v>157</v>
      </c>
      <c r="E733" s="86" t="s">
        <v>35</v>
      </c>
      <c r="F733" s="86" t="s">
        <v>36</v>
      </c>
      <c r="G733" s="86">
        <v>8450</v>
      </c>
    </row>
    <row r="734" spans="1:7">
      <c r="A734" s="86">
        <v>733</v>
      </c>
      <c r="B734" s="86" t="s">
        <v>1219</v>
      </c>
      <c r="C734" s="86" t="s">
        <v>151</v>
      </c>
      <c r="D734" s="86" t="s">
        <v>1220</v>
      </c>
      <c r="E734" s="86" t="s">
        <v>720</v>
      </c>
      <c r="F734" s="86" t="s">
        <v>36</v>
      </c>
      <c r="G734" s="86">
        <v>1</v>
      </c>
    </row>
    <row r="735" spans="1:7">
      <c r="A735" s="86">
        <v>734</v>
      </c>
      <c r="B735" s="86" t="s">
        <v>2927</v>
      </c>
      <c r="C735" s="86" t="s">
        <v>151</v>
      </c>
      <c r="D735" s="86" t="s">
        <v>703</v>
      </c>
      <c r="E735" s="86" t="s">
        <v>9435</v>
      </c>
      <c r="F735" s="86" t="s">
        <v>9436</v>
      </c>
      <c r="G735" s="86">
        <v>1</v>
      </c>
    </row>
    <row r="736" spans="1:7">
      <c r="A736" s="86">
        <v>735</v>
      </c>
      <c r="B736" s="86" t="s">
        <v>718</v>
      </c>
      <c r="C736" s="86" t="s">
        <v>151</v>
      </c>
      <c r="D736" s="86" t="s">
        <v>719</v>
      </c>
      <c r="E736" s="86" t="s">
        <v>720</v>
      </c>
      <c r="F736" s="86" t="s">
        <v>721</v>
      </c>
      <c r="G736" s="86">
        <v>1</v>
      </c>
    </row>
    <row r="737" spans="1:7">
      <c r="A737" s="86">
        <v>736</v>
      </c>
      <c r="B737" s="86" t="s">
        <v>2764</v>
      </c>
      <c r="C737" s="86" t="s">
        <v>151</v>
      </c>
      <c r="D737" s="86" t="s">
        <v>157</v>
      </c>
      <c r="E737" s="86">
        <v>15923400</v>
      </c>
      <c r="F737" s="86" t="s">
        <v>2766</v>
      </c>
      <c r="G737" s="86">
        <v>1</v>
      </c>
    </row>
    <row r="738" spans="1:7">
      <c r="A738" s="86">
        <v>737</v>
      </c>
      <c r="B738" s="86" t="s">
        <v>2378</v>
      </c>
      <c r="C738" s="86" t="s">
        <v>151</v>
      </c>
      <c r="D738" s="86" t="s">
        <v>297</v>
      </c>
      <c r="E738" s="86" t="s">
        <v>1037</v>
      </c>
      <c r="F738" s="86" t="s">
        <v>2379</v>
      </c>
      <c r="G738" s="86">
        <v>1</v>
      </c>
    </row>
    <row r="739" spans="1:7">
      <c r="A739" s="86">
        <v>738</v>
      </c>
      <c r="B739" s="86" t="s">
        <v>915</v>
      </c>
      <c r="C739" s="86" t="s">
        <v>151</v>
      </c>
      <c r="D739" s="86" t="s">
        <v>205</v>
      </c>
      <c r="E739" s="86" t="s">
        <v>35</v>
      </c>
      <c r="F739" s="86" t="s">
        <v>36</v>
      </c>
      <c r="G739" s="86">
        <v>1</v>
      </c>
    </row>
    <row r="740" spans="1:7">
      <c r="A740" s="86">
        <v>739</v>
      </c>
      <c r="B740" s="86" t="s">
        <v>634</v>
      </c>
      <c r="C740" s="86" t="s">
        <v>151</v>
      </c>
      <c r="D740" s="86" t="s">
        <v>157</v>
      </c>
      <c r="E740" s="86" t="s">
        <v>35</v>
      </c>
      <c r="F740" s="86" t="s">
        <v>635</v>
      </c>
      <c r="G740" s="86">
        <v>1</v>
      </c>
    </row>
    <row r="741" spans="1:7">
      <c r="A741" s="86">
        <v>740</v>
      </c>
      <c r="B741" s="86" t="s">
        <v>2016</v>
      </c>
      <c r="C741" s="86" t="s">
        <v>151</v>
      </c>
      <c r="D741" s="86" t="s">
        <v>35</v>
      </c>
      <c r="E741" s="86" t="s">
        <v>35</v>
      </c>
      <c r="F741" s="86" t="s">
        <v>2017</v>
      </c>
      <c r="G741" s="86">
        <v>1</v>
      </c>
    </row>
    <row r="742" spans="1:7">
      <c r="A742" s="86">
        <v>741</v>
      </c>
      <c r="B742" s="86" t="s">
        <v>2240</v>
      </c>
      <c r="C742" s="86" t="s">
        <v>151</v>
      </c>
      <c r="D742" s="86" t="s">
        <v>703</v>
      </c>
      <c r="E742" s="86" t="s">
        <v>35</v>
      </c>
      <c r="F742" s="86" t="s">
        <v>2242</v>
      </c>
      <c r="G742" s="86">
        <v>1</v>
      </c>
    </row>
    <row r="743" spans="1:7">
      <c r="A743" s="86">
        <v>742</v>
      </c>
      <c r="B743" s="86" t="s">
        <v>4871</v>
      </c>
      <c r="C743" s="86" t="s">
        <v>151</v>
      </c>
      <c r="D743" s="86" t="s">
        <v>1220</v>
      </c>
      <c r="E743" s="86" t="s">
        <v>720</v>
      </c>
      <c r="F743" s="86" t="s">
        <v>4872</v>
      </c>
      <c r="G743" s="86">
        <v>1</v>
      </c>
    </row>
    <row r="744" spans="1:7">
      <c r="A744" s="86">
        <v>743</v>
      </c>
      <c r="B744" s="86" t="s">
        <v>4674</v>
      </c>
      <c r="C744" s="86" t="s">
        <v>151</v>
      </c>
      <c r="D744" s="86" t="s">
        <v>205</v>
      </c>
      <c r="E744" s="86" t="s">
        <v>35</v>
      </c>
      <c r="F744" s="86" t="s">
        <v>36</v>
      </c>
      <c r="G744" s="86">
        <v>1</v>
      </c>
    </row>
    <row r="745" spans="1:7">
      <c r="A745" s="86">
        <v>744</v>
      </c>
      <c r="B745" s="86" t="s">
        <v>710</v>
      </c>
      <c r="C745" s="86" t="s">
        <v>151</v>
      </c>
      <c r="D745" s="86" t="s">
        <v>703</v>
      </c>
      <c r="E745" s="86" t="s">
        <v>2874</v>
      </c>
      <c r="F745" s="86" t="s">
        <v>9437</v>
      </c>
      <c r="G745" s="86">
        <v>1</v>
      </c>
    </row>
    <row r="746" spans="1:7">
      <c r="A746" s="86">
        <v>745</v>
      </c>
      <c r="B746" s="86" t="s">
        <v>2393</v>
      </c>
      <c r="C746" s="86" t="s">
        <v>151</v>
      </c>
      <c r="D746" s="86" t="s">
        <v>297</v>
      </c>
      <c r="E746" s="86" t="s">
        <v>35</v>
      </c>
      <c r="F746" s="86" t="s">
        <v>36</v>
      </c>
      <c r="G746" s="86">
        <v>1</v>
      </c>
    </row>
    <row r="747" spans="1:7">
      <c r="A747" s="86">
        <v>746</v>
      </c>
      <c r="B747" s="86" t="s">
        <v>5680</v>
      </c>
      <c r="C747" s="86" t="s">
        <v>151</v>
      </c>
      <c r="D747" s="86" t="s">
        <v>1220</v>
      </c>
      <c r="E747" s="86" t="s">
        <v>720</v>
      </c>
      <c r="F747" s="86" t="s">
        <v>36</v>
      </c>
      <c r="G747" s="86">
        <v>1</v>
      </c>
    </row>
    <row r="748" spans="1:7">
      <c r="A748" s="86">
        <v>747</v>
      </c>
      <c r="B748" s="86" t="s">
        <v>3219</v>
      </c>
      <c r="C748" s="86" t="s">
        <v>151</v>
      </c>
      <c r="D748" s="86" t="s">
        <v>1220</v>
      </c>
      <c r="E748" s="86" t="s">
        <v>35</v>
      </c>
      <c r="F748" s="86" t="s">
        <v>720</v>
      </c>
      <c r="G748" s="86">
        <v>1</v>
      </c>
    </row>
    <row r="749" spans="1:7">
      <c r="A749" s="86">
        <v>748</v>
      </c>
      <c r="B749" s="86" t="s">
        <v>3804</v>
      </c>
      <c r="C749" s="86" t="s">
        <v>151</v>
      </c>
      <c r="D749" s="86" t="s">
        <v>1220</v>
      </c>
      <c r="E749" s="86" t="s">
        <v>35</v>
      </c>
      <c r="F749" s="86" t="s">
        <v>36</v>
      </c>
      <c r="G749" s="86">
        <v>1</v>
      </c>
    </row>
    <row r="750" spans="1:7">
      <c r="A750" s="86">
        <v>749</v>
      </c>
      <c r="B750" s="86" t="s">
        <v>1539</v>
      </c>
      <c r="C750" s="86" t="s">
        <v>151</v>
      </c>
      <c r="D750" s="86" t="s">
        <v>719</v>
      </c>
      <c r="E750" s="86" t="s">
        <v>720</v>
      </c>
      <c r="F750" s="86" t="s">
        <v>1540</v>
      </c>
      <c r="G750" s="86">
        <v>1</v>
      </c>
    </row>
    <row r="751" spans="1:7">
      <c r="A751" s="86">
        <v>750</v>
      </c>
      <c r="B751" s="86" t="s">
        <v>4093</v>
      </c>
      <c r="C751" s="86" t="s">
        <v>151</v>
      </c>
      <c r="D751" s="86" t="s">
        <v>1220</v>
      </c>
      <c r="E751" s="86" t="s">
        <v>720</v>
      </c>
      <c r="F751" s="86" t="s">
        <v>9438</v>
      </c>
      <c r="G751" s="86">
        <v>1</v>
      </c>
    </row>
    <row r="752" spans="1:7">
      <c r="A752" s="86">
        <v>751</v>
      </c>
      <c r="B752" s="86" t="s">
        <v>4282</v>
      </c>
      <c r="C752" s="86" t="s">
        <v>151</v>
      </c>
      <c r="D752" s="86" t="s">
        <v>1220</v>
      </c>
      <c r="E752" s="86" t="s">
        <v>720</v>
      </c>
      <c r="F752" s="86" t="s">
        <v>36</v>
      </c>
      <c r="G752" s="86">
        <v>1</v>
      </c>
    </row>
    <row r="753" spans="1:7">
      <c r="A753" s="86">
        <v>752</v>
      </c>
      <c r="B753" s="86" t="s">
        <v>3163</v>
      </c>
      <c r="C753" s="86" t="s">
        <v>151</v>
      </c>
      <c r="D753" s="86" t="s">
        <v>157</v>
      </c>
      <c r="E753" s="86" t="s">
        <v>35</v>
      </c>
      <c r="F753" s="86" t="s">
        <v>36</v>
      </c>
      <c r="G753" s="86">
        <v>1</v>
      </c>
    </row>
    <row r="754" spans="1:7">
      <c r="A754" s="86">
        <v>753</v>
      </c>
      <c r="B754" s="86" t="s">
        <v>702</v>
      </c>
      <c r="C754" s="86" t="s">
        <v>151</v>
      </c>
      <c r="D754" s="86" t="s">
        <v>703</v>
      </c>
      <c r="E754" s="86" t="s">
        <v>35</v>
      </c>
      <c r="F754" s="86" t="s">
        <v>36</v>
      </c>
      <c r="G754" s="86">
        <v>1</v>
      </c>
    </row>
    <row r="755" spans="1:7">
      <c r="A755" s="86">
        <v>754</v>
      </c>
      <c r="B755" s="86" t="s">
        <v>9439</v>
      </c>
      <c r="C755" s="86" t="s">
        <v>151</v>
      </c>
      <c r="D755" s="86" t="s">
        <v>157</v>
      </c>
      <c r="E755" s="86" t="s">
        <v>9440</v>
      </c>
      <c r="F755" s="86" t="s">
        <v>36</v>
      </c>
      <c r="G755" s="86">
        <v>1</v>
      </c>
    </row>
    <row r="756" spans="1:7">
      <c r="A756" s="86">
        <v>755</v>
      </c>
      <c r="B756" s="86" t="s">
        <v>1301</v>
      </c>
      <c r="C756" s="86" t="s">
        <v>151</v>
      </c>
      <c r="D756" s="86" t="s">
        <v>157</v>
      </c>
      <c r="E756" s="86" t="s">
        <v>35</v>
      </c>
      <c r="F756" s="86" t="s">
        <v>1302</v>
      </c>
      <c r="G756" s="86">
        <v>1</v>
      </c>
    </row>
    <row r="757" spans="1:7">
      <c r="A757" s="86">
        <v>756</v>
      </c>
      <c r="B757" s="86" t="s">
        <v>1138</v>
      </c>
      <c r="C757" s="86" t="s">
        <v>151</v>
      </c>
      <c r="D757" s="86" t="s">
        <v>9384</v>
      </c>
      <c r="E757" s="86" t="s">
        <v>1407</v>
      </c>
      <c r="F757" s="86" t="s">
        <v>36</v>
      </c>
      <c r="G757" s="86">
        <v>1</v>
      </c>
    </row>
    <row r="758" spans="1:7">
      <c r="A758" s="86">
        <v>757</v>
      </c>
      <c r="B758" s="86" t="s">
        <v>1130</v>
      </c>
      <c r="C758" s="86" t="s">
        <v>151</v>
      </c>
      <c r="D758" s="86" t="s">
        <v>9384</v>
      </c>
      <c r="E758" s="86" t="s">
        <v>35</v>
      </c>
      <c r="F758" s="86">
        <v>55301213242</v>
      </c>
      <c r="G758" s="86">
        <v>1</v>
      </c>
    </row>
    <row r="759" spans="1:7">
      <c r="A759" s="86">
        <v>758</v>
      </c>
      <c r="B759" s="86" t="s">
        <v>1406</v>
      </c>
      <c r="C759" s="86" t="s">
        <v>151</v>
      </c>
      <c r="D759" s="86" t="s">
        <v>9384</v>
      </c>
      <c r="E759" s="86" t="s">
        <v>1407</v>
      </c>
      <c r="F759" s="86" t="s">
        <v>36</v>
      </c>
      <c r="G759" s="86">
        <v>1</v>
      </c>
    </row>
    <row r="760" spans="1:7">
      <c r="A760" s="86">
        <v>759</v>
      </c>
      <c r="B760" s="86" t="s">
        <v>4916</v>
      </c>
      <c r="C760" s="86" t="s">
        <v>151</v>
      </c>
      <c r="D760" s="86" t="s">
        <v>1220</v>
      </c>
      <c r="E760" s="86" t="s">
        <v>35</v>
      </c>
      <c r="F760" s="86" t="s">
        <v>36</v>
      </c>
      <c r="G760" s="86">
        <v>1</v>
      </c>
    </row>
    <row r="761" spans="1:7">
      <c r="A761" s="86">
        <v>760</v>
      </c>
      <c r="B761" s="86" t="s">
        <v>4789</v>
      </c>
      <c r="C761" s="86" t="s">
        <v>151</v>
      </c>
      <c r="D761" s="86" t="s">
        <v>1220</v>
      </c>
      <c r="E761" s="86" t="s">
        <v>720</v>
      </c>
      <c r="F761" s="86" t="s">
        <v>36</v>
      </c>
      <c r="G761" s="86">
        <v>1</v>
      </c>
    </row>
    <row r="762" spans="1:7">
      <c r="A762" s="86">
        <v>761</v>
      </c>
      <c r="B762" s="86" t="s">
        <v>3354</v>
      </c>
      <c r="C762" s="86" t="s">
        <v>151</v>
      </c>
      <c r="D762" s="86" t="s">
        <v>9384</v>
      </c>
      <c r="E762" s="86" t="s">
        <v>35</v>
      </c>
      <c r="F762" s="86" t="s">
        <v>36</v>
      </c>
      <c r="G762" s="86">
        <v>1</v>
      </c>
    </row>
    <row r="763" spans="1:7">
      <c r="A763" s="86">
        <v>762</v>
      </c>
      <c r="B763" s="86" t="s">
        <v>3361</v>
      </c>
      <c r="C763" s="86" t="s">
        <v>151</v>
      </c>
      <c r="D763" s="86" t="s">
        <v>157</v>
      </c>
      <c r="E763" s="86" t="s">
        <v>3362</v>
      </c>
      <c r="F763" s="86" t="s">
        <v>36</v>
      </c>
      <c r="G763" s="86">
        <v>1</v>
      </c>
    </row>
    <row r="764" spans="1:7">
      <c r="A764" s="86">
        <v>763</v>
      </c>
      <c r="B764" s="86" t="s">
        <v>4437</v>
      </c>
      <c r="C764" s="86" t="s">
        <v>151</v>
      </c>
      <c r="D764" s="86" t="s">
        <v>1220</v>
      </c>
      <c r="E764" s="86" t="s">
        <v>35</v>
      </c>
      <c r="F764" s="86" t="s">
        <v>36</v>
      </c>
      <c r="G764" s="86">
        <v>1</v>
      </c>
    </row>
    <row r="765" spans="1:7">
      <c r="A765" s="86">
        <v>764</v>
      </c>
      <c r="B765" s="86" t="s">
        <v>1619</v>
      </c>
      <c r="C765" s="86" t="s">
        <v>151</v>
      </c>
      <c r="D765" s="86" t="s">
        <v>9384</v>
      </c>
      <c r="E765" s="86" t="s">
        <v>35</v>
      </c>
      <c r="F765" s="86" t="s">
        <v>36</v>
      </c>
      <c r="G765" s="86">
        <v>1</v>
      </c>
    </row>
    <row r="766" spans="1:7">
      <c r="A766" s="86">
        <v>765</v>
      </c>
      <c r="B766" s="86" t="s">
        <v>1927</v>
      </c>
      <c r="C766" s="86" t="s">
        <v>151</v>
      </c>
      <c r="D766" s="86" t="s">
        <v>297</v>
      </c>
      <c r="E766" s="86" t="s">
        <v>1131</v>
      </c>
      <c r="F766" s="86" t="s">
        <v>36</v>
      </c>
      <c r="G766" s="86">
        <v>1</v>
      </c>
    </row>
    <row r="767" spans="1:7">
      <c r="A767" s="86">
        <v>766</v>
      </c>
      <c r="B767" s="86" t="s">
        <v>1874</v>
      </c>
      <c r="C767" s="86" t="s">
        <v>151</v>
      </c>
      <c r="D767" s="86" t="s">
        <v>9441</v>
      </c>
      <c r="E767" s="86" t="s">
        <v>35</v>
      </c>
      <c r="F767" s="86">
        <v>32701492242</v>
      </c>
      <c r="G767" s="86">
        <v>1</v>
      </c>
    </row>
    <row r="768" spans="1:7">
      <c r="A768" s="86">
        <v>767</v>
      </c>
      <c r="B768" s="86" t="s">
        <v>4430</v>
      </c>
      <c r="C768" s="86" t="s">
        <v>151</v>
      </c>
      <c r="D768" s="86" t="s">
        <v>205</v>
      </c>
      <c r="E768" s="86" t="s">
        <v>35</v>
      </c>
      <c r="F768" s="86" t="s">
        <v>36</v>
      </c>
      <c r="G768" s="86">
        <v>1</v>
      </c>
    </row>
    <row r="769" spans="1:8">
      <c r="A769" s="86">
        <v>768</v>
      </c>
      <c r="B769" s="86" t="s">
        <v>2516</v>
      </c>
      <c r="C769" s="86" t="s">
        <v>151</v>
      </c>
      <c r="D769" s="86" t="s">
        <v>9384</v>
      </c>
      <c r="E769" s="86" t="s">
        <v>35</v>
      </c>
      <c r="F769" s="86" t="s">
        <v>36</v>
      </c>
      <c r="G769" s="86">
        <v>1</v>
      </c>
    </row>
    <row r="770" spans="1:8">
      <c r="A770" s="86">
        <v>769</v>
      </c>
      <c r="B770" s="86" t="s">
        <v>2606</v>
      </c>
      <c r="C770" s="86" t="s">
        <v>151</v>
      </c>
      <c r="D770" s="86" t="s">
        <v>9384</v>
      </c>
      <c r="E770" s="86" t="s">
        <v>35</v>
      </c>
      <c r="F770" s="86" t="s">
        <v>36</v>
      </c>
      <c r="G770" s="86">
        <v>1</v>
      </c>
    </row>
    <row r="771" spans="1:8">
      <c r="A771" s="86">
        <v>770</v>
      </c>
      <c r="B771" s="86" t="s">
        <v>2613</v>
      </c>
      <c r="C771" s="86" t="s">
        <v>151</v>
      </c>
      <c r="D771" s="86" t="s">
        <v>9384</v>
      </c>
      <c r="E771" s="86" t="s">
        <v>35</v>
      </c>
      <c r="F771" s="86" t="s">
        <v>36</v>
      </c>
      <c r="G771" s="86">
        <v>1</v>
      </c>
    </row>
    <row r="772" spans="1:8">
      <c r="A772" s="86">
        <v>771</v>
      </c>
      <c r="B772" s="86" t="s">
        <v>2557</v>
      </c>
      <c r="C772" s="86" t="s">
        <v>151</v>
      </c>
      <c r="D772" s="86" t="s">
        <v>205</v>
      </c>
      <c r="E772" s="86" t="s">
        <v>35</v>
      </c>
      <c r="F772" s="86" t="s">
        <v>36</v>
      </c>
      <c r="G772" s="86">
        <v>1</v>
      </c>
    </row>
    <row r="773" spans="1:8">
      <c r="A773" s="86">
        <v>772</v>
      </c>
      <c r="B773" s="86" t="s">
        <v>3966</v>
      </c>
      <c r="C773" s="86" t="s">
        <v>151</v>
      </c>
      <c r="D773" s="86" t="s">
        <v>205</v>
      </c>
      <c r="E773" s="86" t="s">
        <v>35</v>
      </c>
      <c r="F773" s="86" t="s">
        <v>36</v>
      </c>
      <c r="G773" s="86">
        <v>1</v>
      </c>
    </row>
    <row r="774" spans="1:8">
      <c r="A774" s="86">
        <v>773</v>
      </c>
      <c r="B774" s="86" t="s">
        <v>6574</v>
      </c>
      <c r="C774" s="86" t="s">
        <v>151</v>
      </c>
      <c r="D774" s="86" t="s">
        <v>6575</v>
      </c>
      <c r="E774" s="86" t="s">
        <v>35</v>
      </c>
      <c r="F774" s="86" t="s">
        <v>36</v>
      </c>
      <c r="G774" s="86">
        <v>1</v>
      </c>
    </row>
    <row r="775" spans="1:8">
      <c r="A775" s="86">
        <v>774</v>
      </c>
      <c r="B775" s="86" t="s">
        <v>6535</v>
      </c>
      <c r="C775" s="86" t="s">
        <v>151</v>
      </c>
      <c r="D775" s="86" t="s">
        <v>703</v>
      </c>
      <c r="E775" s="86" t="s">
        <v>35</v>
      </c>
      <c r="F775" s="86" t="s">
        <v>36</v>
      </c>
      <c r="G775" s="86">
        <v>1</v>
      </c>
    </row>
    <row r="776" spans="1:8">
      <c r="A776" s="86">
        <v>775</v>
      </c>
      <c r="B776" s="86" t="s">
        <v>1153</v>
      </c>
      <c r="C776" s="86" t="s">
        <v>151</v>
      </c>
      <c r="D776" s="86" t="s">
        <v>205</v>
      </c>
      <c r="E776" s="86" t="s">
        <v>35</v>
      </c>
      <c r="F776" s="86" t="s">
        <v>9442</v>
      </c>
      <c r="G776" s="86">
        <v>1</v>
      </c>
    </row>
    <row r="777" spans="1:8">
      <c r="A777" s="86">
        <v>776</v>
      </c>
      <c r="B777" s="86" t="s">
        <v>6737</v>
      </c>
      <c r="C777" s="86" t="s">
        <v>151</v>
      </c>
      <c r="D777" s="86" t="s">
        <v>1220</v>
      </c>
      <c r="E777" s="86" t="s">
        <v>35</v>
      </c>
      <c r="F777" s="86" t="s">
        <v>36</v>
      </c>
      <c r="G777" s="86">
        <v>1</v>
      </c>
    </row>
    <row r="778" spans="1:8">
      <c r="A778" s="86">
        <v>777</v>
      </c>
      <c r="B778" s="86" t="s">
        <v>5427</v>
      </c>
      <c r="C778" s="86" t="s">
        <v>151</v>
      </c>
      <c r="D778" s="86" t="s">
        <v>9384</v>
      </c>
      <c r="E778" s="86" t="s">
        <v>35</v>
      </c>
      <c r="F778" s="86">
        <v>24301859342</v>
      </c>
      <c r="G778" s="86">
        <v>1</v>
      </c>
    </row>
    <row r="779" spans="1:8">
      <c r="A779" s="86">
        <v>778</v>
      </c>
      <c r="B779" s="86" t="s">
        <v>4220</v>
      </c>
      <c r="C779" s="86" t="s">
        <v>151</v>
      </c>
      <c r="D779" s="86" t="s">
        <v>1220</v>
      </c>
      <c r="E779" s="86" t="s">
        <v>35</v>
      </c>
      <c r="F779" s="86" t="s">
        <v>36</v>
      </c>
      <c r="G779" s="86">
        <v>1</v>
      </c>
    </row>
    <row r="780" spans="1:8">
      <c r="A780" s="86">
        <v>779</v>
      </c>
      <c r="B780" s="86" t="s">
        <v>5279</v>
      </c>
      <c r="C780" s="86" t="s">
        <v>151</v>
      </c>
      <c r="D780" s="86" t="s">
        <v>1220</v>
      </c>
      <c r="E780" s="86" t="s">
        <v>35</v>
      </c>
      <c r="F780" s="86" t="s">
        <v>36</v>
      </c>
      <c r="G780" s="86">
        <v>1</v>
      </c>
    </row>
    <row r="781" spans="1:8">
      <c r="A781" s="86">
        <v>780</v>
      </c>
      <c r="B781" s="86" t="s">
        <v>9443</v>
      </c>
      <c r="C781" s="86" t="s">
        <v>9444</v>
      </c>
      <c r="G781" s="86">
        <v>2772.4</v>
      </c>
      <c r="H781" s="221"/>
    </row>
    <row r="782" spans="1:8">
      <c r="A782" s="86">
        <v>781</v>
      </c>
      <c r="B782" s="86" t="s">
        <v>9445</v>
      </c>
      <c r="C782" s="86" t="s">
        <v>9444</v>
      </c>
      <c r="G782" s="86">
        <v>2772.4</v>
      </c>
      <c r="H782" s="221"/>
    </row>
    <row r="783" spans="1:8">
      <c r="A783" s="86">
        <v>782</v>
      </c>
      <c r="B783" s="86" t="s">
        <v>9446</v>
      </c>
      <c r="C783" s="86" t="s">
        <v>9444</v>
      </c>
      <c r="G783" s="86">
        <v>2772.4</v>
      </c>
      <c r="H783" s="221"/>
    </row>
    <row r="784" spans="1:8">
      <c r="A784" s="86">
        <v>783</v>
      </c>
      <c r="B784" s="86" t="s">
        <v>9447</v>
      </c>
      <c r="C784" s="86" t="s">
        <v>9444</v>
      </c>
      <c r="G784" s="86">
        <v>2772.4</v>
      </c>
      <c r="H784" s="221"/>
    </row>
    <row r="785" spans="1:8">
      <c r="A785" s="86">
        <v>784</v>
      </c>
      <c r="B785" s="86" t="s">
        <v>9448</v>
      </c>
      <c r="C785" s="86" t="s">
        <v>9444</v>
      </c>
      <c r="G785" s="86">
        <v>2772.4</v>
      </c>
      <c r="H785" s="221"/>
    </row>
    <row r="786" spans="1:8">
      <c r="A786" s="86">
        <v>785</v>
      </c>
      <c r="B786" s="86" t="s">
        <v>9449</v>
      </c>
      <c r="C786" s="86" t="s">
        <v>9444</v>
      </c>
      <c r="G786" s="86">
        <v>2772.4</v>
      </c>
      <c r="H786" s="221"/>
    </row>
    <row r="787" spans="1:8">
      <c r="A787" s="86">
        <v>786</v>
      </c>
      <c r="B787" s="86" t="s">
        <v>9450</v>
      </c>
      <c r="C787" s="86" t="s">
        <v>9444</v>
      </c>
      <c r="G787" s="86">
        <v>2772.4</v>
      </c>
      <c r="H787" s="221"/>
    </row>
    <row r="788" spans="1:8">
      <c r="A788" s="86">
        <v>787</v>
      </c>
      <c r="B788" s="86" t="s">
        <v>9451</v>
      </c>
      <c r="C788" s="86" t="s">
        <v>9444</v>
      </c>
      <c r="G788" s="86">
        <v>2772.4</v>
      </c>
      <c r="H788" s="221"/>
    </row>
    <row r="789" spans="1:8">
      <c r="A789" s="86">
        <v>788</v>
      </c>
      <c r="B789" s="86" t="s">
        <v>9452</v>
      </c>
      <c r="C789" s="86" t="s">
        <v>9444</v>
      </c>
      <c r="G789" s="86">
        <v>2772.4</v>
      </c>
      <c r="H789" s="221"/>
    </row>
    <row r="790" spans="1:8">
      <c r="A790" s="86">
        <v>789</v>
      </c>
      <c r="B790" s="86" t="s">
        <v>9453</v>
      </c>
      <c r="C790" s="86" t="s">
        <v>9444</v>
      </c>
      <c r="G790" s="86">
        <v>2772.4</v>
      </c>
      <c r="H790" s="221"/>
    </row>
    <row r="791" spans="1:8">
      <c r="A791" s="86">
        <v>790</v>
      </c>
      <c r="B791" s="86" t="s">
        <v>9454</v>
      </c>
      <c r="C791" s="86" t="s">
        <v>9444</v>
      </c>
      <c r="G791" s="86">
        <v>2772.4</v>
      </c>
      <c r="H791" s="221"/>
    </row>
    <row r="792" spans="1:8">
      <c r="A792" s="86">
        <v>791</v>
      </c>
      <c r="B792" s="86" t="s">
        <v>9455</v>
      </c>
      <c r="C792" s="86" t="s">
        <v>9456</v>
      </c>
      <c r="G792" s="86">
        <v>8402.11</v>
      </c>
      <c r="H792" s="221"/>
    </row>
    <row r="793" spans="1:8">
      <c r="A793" s="86">
        <v>792</v>
      </c>
      <c r="B793" s="86" t="s">
        <v>9457</v>
      </c>
      <c r="C793" s="86" t="s">
        <v>9456</v>
      </c>
      <c r="G793" s="86">
        <v>5834.8</v>
      </c>
      <c r="H793" s="221"/>
    </row>
    <row r="794" spans="1:8">
      <c r="A794" s="86">
        <v>793</v>
      </c>
      <c r="B794" s="86" t="s">
        <v>9458</v>
      </c>
      <c r="C794" s="86" t="s">
        <v>9456</v>
      </c>
      <c r="G794" s="86">
        <v>5834.8</v>
      </c>
      <c r="H794" s="221"/>
    </row>
    <row r="795" spans="1:8">
      <c r="A795" s="86">
        <v>794</v>
      </c>
      <c r="B795" s="86" t="s">
        <v>693</v>
      </c>
      <c r="C795" s="86" t="s">
        <v>136</v>
      </c>
      <c r="D795" s="86" t="s">
        <v>205</v>
      </c>
      <c r="E795" s="86" t="s">
        <v>35</v>
      </c>
      <c r="F795" s="86" t="s">
        <v>9459</v>
      </c>
      <c r="G795" s="86">
        <v>1</v>
      </c>
    </row>
    <row r="796" spans="1:8">
      <c r="A796" s="86">
        <v>795</v>
      </c>
      <c r="B796" s="86" t="s">
        <v>4274</v>
      </c>
      <c r="C796" s="86" t="s">
        <v>136</v>
      </c>
      <c r="D796" s="86" t="s">
        <v>703</v>
      </c>
      <c r="E796" s="86" t="s">
        <v>35</v>
      </c>
      <c r="F796" s="86" t="s">
        <v>36</v>
      </c>
      <c r="G796" s="86">
        <v>1</v>
      </c>
    </row>
    <row r="797" spans="1:8">
      <c r="A797" s="86">
        <v>796</v>
      </c>
      <c r="B797" s="86" t="s">
        <v>2637</v>
      </c>
      <c r="C797" s="86" t="s">
        <v>136</v>
      </c>
      <c r="D797" s="86" t="s">
        <v>143</v>
      </c>
      <c r="E797" s="86" t="s">
        <v>35</v>
      </c>
      <c r="F797" s="86" t="s">
        <v>36</v>
      </c>
      <c r="G797" s="86">
        <v>1</v>
      </c>
    </row>
    <row r="798" spans="1:8">
      <c r="A798" s="86">
        <v>797</v>
      </c>
      <c r="B798" s="86" t="s">
        <v>4961</v>
      </c>
      <c r="C798" s="86" t="s">
        <v>136</v>
      </c>
      <c r="D798" s="86" t="s">
        <v>205</v>
      </c>
      <c r="E798" s="86" t="s">
        <v>9460</v>
      </c>
      <c r="F798" s="86" t="s">
        <v>9461</v>
      </c>
      <c r="G798" s="86">
        <v>1</v>
      </c>
    </row>
    <row r="799" spans="1:8">
      <c r="A799" s="86">
        <v>798</v>
      </c>
      <c r="B799" s="86" t="s">
        <v>5063</v>
      </c>
      <c r="C799" s="86" t="s">
        <v>248</v>
      </c>
      <c r="D799" s="86" t="s">
        <v>978</v>
      </c>
      <c r="E799" s="86" t="s">
        <v>979</v>
      </c>
      <c r="F799" s="86" t="s">
        <v>36</v>
      </c>
      <c r="G799" s="86">
        <v>974.14</v>
      </c>
    </row>
    <row r="800" spans="1:8">
      <c r="A800" s="86">
        <v>799</v>
      </c>
      <c r="B800" s="86" t="s">
        <v>2346</v>
      </c>
      <c r="C800" s="86" t="s">
        <v>248</v>
      </c>
      <c r="D800" s="86" t="s">
        <v>250</v>
      </c>
      <c r="E800" s="86" t="s">
        <v>35</v>
      </c>
      <c r="F800" s="86">
        <v>1401130660749</v>
      </c>
      <c r="G800" s="86">
        <v>1</v>
      </c>
    </row>
    <row r="801" spans="1:7">
      <c r="A801" s="86">
        <v>800</v>
      </c>
      <c r="B801" s="86" t="s">
        <v>4468</v>
      </c>
      <c r="C801" s="86" t="s">
        <v>248</v>
      </c>
      <c r="D801" s="86" t="s">
        <v>359</v>
      </c>
      <c r="E801" s="86" t="s">
        <v>9462</v>
      </c>
      <c r="F801" s="86" t="s">
        <v>36</v>
      </c>
      <c r="G801" s="86">
        <v>1</v>
      </c>
    </row>
    <row r="802" spans="1:7">
      <c r="A802" s="86">
        <v>801</v>
      </c>
      <c r="B802" s="86" t="s">
        <v>2570</v>
      </c>
      <c r="C802" s="86" t="s">
        <v>248</v>
      </c>
      <c r="D802" s="86" t="s">
        <v>250</v>
      </c>
      <c r="E802" s="86" t="s">
        <v>35</v>
      </c>
      <c r="F802" s="86" t="s">
        <v>36</v>
      </c>
      <c r="G802" s="86">
        <v>1</v>
      </c>
    </row>
    <row r="803" spans="1:7">
      <c r="A803" s="86">
        <v>802</v>
      </c>
      <c r="B803" s="86" t="s">
        <v>2796</v>
      </c>
      <c r="C803" s="86" t="s">
        <v>248</v>
      </c>
      <c r="D803" s="86" t="s">
        <v>205</v>
      </c>
      <c r="E803" s="86" t="s">
        <v>2797</v>
      </c>
      <c r="F803" s="86" t="s">
        <v>2798</v>
      </c>
      <c r="G803" s="86">
        <v>1</v>
      </c>
    </row>
    <row r="804" spans="1:7">
      <c r="A804" s="86">
        <v>803</v>
      </c>
      <c r="B804" s="86" t="s">
        <v>9463</v>
      </c>
      <c r="C804" s="86" t="s">
        <v>9464</v>
      </c>
      <c r="G804" s="86">
        <v>16808.400000000001</v>
      </c>
    </row>
    <row r="805" spans="1:7">
      <c r="A805" s="86">
        <v>804</v>
      </c>
      <c r="B805" s="86" t="s">
        <v>9465</v>
      </c>
      <c r="C805" s="86" t="s">
        <v>9464</v>
      </c>
      <c r="G805" s="86">
        <v>16808.400000000001</v>
      </c>
    </row>
    <row r="806" spans="1:7">
      <c r="A806" s="86">
        <v>805</v>
      </c>
      <c r="B806" s="86" t="s">
        <v>9466</v>
      </c>
      <c r="C806" s="86" t="s">
        <v>9464</v>
      </c>
      <c r="G806" s="86">
        <v>16808.400000000001</v>
      </c>
    </row>
    <row r="807" spans="1:7">
      <c r="A807" s="86">
        <v>806</v>
      </c>
      <c r="B807" s="86" t="s">
        <v>9467</v>
      </c>
      <c r="C807" s="86" t="s">
        <v>9464</v>
      </c>
      <c r="G807" s="86">
        <v>16808.400000000001</v>
      </c>
    </row>
    <row r="808" spans="1:7">
      <c r="A808" s="86">
        <v>807</v>
      </c>
      <c r="B808" s="86" t="s">
        <v>9468</v>
      </c>
      <c r="C808" s="86" t="s">
        <v>9464</v>
      </c>
      <c r="G808" s="86">
        <v>16808.400000000001</v>
      </c>
    </row>
    <row r="809" spans="1:7">
      <c r="A809" s="86">
        <v>808</v>
      </c>
      <c r="B809" s="86" t="s">
        <v>9469</v>
      </c>
      <c r="C809" s="86" t="s">
        <v>9464</v>
      </c>
      <c r="G809" s="86">
        <v>16808.400000000001</v>
      </c>
    </row>
    <row r="810" spans="1:7">
      <c r="A810" s="86">
        <v>809</v>
      </c>
      <c r="B810" s="86" t="s">
        <v>9470</v>
      </c>
      <c r="C810" s="86" t="s">
        <v>9464</v>
      </c>
      <c r="G810" s="86">
        <v>16808.400000000001</v>
      </c>
    </row>
    <row r="811" spans="1:7">
      <c r="A811" s="86">
        <v>810</v>
      </c>
      <c r="B811" s="86" t="s">
        <v>9471</v>
      </c>
      <c r="C811" s="86" t="s">
        <v>9464</v>
      </c>
      <c r="G811" s="86">
        <v>16808.400000000001</v>
      </c>
    </row>
    <row r="812" spans="1:7">
      <c r="A812" s="86">
        <v>811</v>
      </c>
      <c r="B812" s="86" t="s">
        <v>9472</v>
      </c>
      <c r="C812" s="86" t="s">
        <v>9464</v>
      </c>
      <c r="G812" s="86">
        <v>16808.400000000001</v>
      </c>
    </row>
    <row r="813" spans="1:7">
      <c r="A813" s="86">
        <v>812</v>
      </c>
      <c r="B813" s="86" t="s">
        <v>9473</v>
      </c>
      <c r="C813" s="86" t="s">
        <v>9474</v>
      </c>
      <c r="G813" s="86">
        <v>2601.88</v>
      </c>
    </row>
    <row r="814" spans="1:7">
      <c r="A814" s="86">
        <v>813</v>
      </c>
      <c r="B814" s="86" t="s">
        <v>9475</v>
      </c>
      <c r="C814" s="86" t="s">
        <v>9476</v>
      </c>
      <c r="G814" s="86">
        <v>783</v>
      </c>
    </row>
    <row r="815" spans="1:7">
      <c r="A815" s="86">
        <v>814</v>
      </c>
      <c r="B815" s="86" t="s">
        <v>1212</v>
      </c>
      <c r="C815" s="86" t="s">
        <v>162</v>
      </c>
      <c r="D815" s="86" t="s">
        <v>663</v>
      </c>
      <c r="E815" s="86" t="s">
        <v>35</v>
      </c>
      <c r="F815" s="86" t="s">
        <v>664</v>
      </c>
      <c r="G815" s="86">
        <v>1</v>
      </c>
    </row>
    <row r="816" spans="1:7">
      <c r="A816" s="86">
        <v>815</v>
      </c>
      <c r="B816" s="86" t="s">
        <v>289</v>
      </c>
      <c r="C816" s="86" t="s">
        <v>162</v>
      </c>
      <c r="D816" s="86" t="s">
        <v>168</v>
      </c>
      <c r="E816" s="86" t="s">
        <v>35</v>
      </c>
      <c r="F816" s="86" t="s">
        <v>36</v>
      </c>
      <c r="G816" s="86">
        <v>1</v>
      </c>
    </row>
    <row r="817" spans="1:7">
      <c r="A817" s="86">
        <v>816</v>
      </c>
      <c r="B817" s="86" t="s">
        <v>4690</v>
      </c>
      <c r="C817" s="86" t="s">
        <v>162</v>
      </c>
      <c r="D817" s="86" t="s">
        <v>168</v>
      </c>
      <c r="E817" s="86" t="s">
        <v>35</v>
      </c>
      <c r="F817" s="86" t="s">
        <v>4691</v>
      </c>
      <c r="G817" s="86">
        <v>1</v>
      </c>
    </row>
    <row r="818" spans="1:7">
      <c r="A818" s="86">
        <v>817</v>
      </c>
      <c r="B818" s="86" t="s">
        <v>167</v>
      </c>
      <c r="C818" s="86" t="s">
        <v>162</v>
      </c>
      <c r="D818" s="86" t="s">
        <v>168</v>
      </c>
      <c r="E818" s="86" t="s">
        <v>35</v>
      </c>
      <c r="F818" s="86" t="s">
        <v>9477</v>
      </c>
      <c r="G818" s="86">
        <v>1</v>
      </c>
    </row>
    <row r="819" spans="1:7">
      <c r="A819" s="86">
        <v>818</v>
      </c>
      <c r="B819" s="86" t="s">
        <v>2523</v>
      </c>
      <c r="C819" s="86" t="s">
        <v>162</v>
      </c>
      <c r="D819" s="86" t="s">
        <v>168</v>
      </c>
      <c r="E819" s="86" t="s">
        <v>35</v>
      </c>
      <c r="F819" s="86" t="s">
        <v>36</v>
      </c>
      <c r="G819" s="86">
        <v>1</v>
      </c>
    </row>
    <row r="820" spans="1:7">
      <c r="A820" s="86">
        <v>819</v>
      </c>
      <c r="B820" s="86" t="s">
        <v>3811</v>
      </c>
      <c r="C820" s="86" t="s">
        <v>162</v>
      </c>
      <c r="D820" s="86" t="s">
        <v>168</v>
      </c>
      <c r="E820" s="86" t="s">
        <v>35</v>
      </c>
      <c r="F820" s="86" t="s">
        <v>36</v>
      </c>
      <c r="G820" s="86">
        <v>1</v>
      </c>
    </row>
    <row r="821" spans="1:7">
      <c r="A821" s="86">
        <v>820</v>
      </c>
      <c r="B821" s="86" t="s">
        <v>5177</v>
      </c>
      <c r="C821" s="86" t="s">
        <v>162</v>
      </c>
      <c r="D821" s="86" t="s">
        <v>663</v>
      </c>
      <c r="E821" s="86" t="s">
        <v>35</v>
      </c>
      <c r="F821" s="86" t="s">
        <v>36</v>
      </c>
      <c r="G821" s="86">
        <v>1</v>
      </c>
    </row>
    <row r="822" spans="1:7">
      <c r="A822" s="86">
        <v>821</v>
      </c>
      <c r="B822" s="86" t="s">
        <v>5027</v>
      </c>
      <c r="C822" s="86" t="s">
        <v>162</v>
      </c>
      <c r="D822" s="86" t="s">
        <v>663</v>
      </c>
      <c r="E822" s="86" t="s">
        <v>35</v>
      </c>
      <c r="F822" s="86" t="s">
        <v>9478</v>
      </c>
      <c r="G822" s="86">
        <v>1</v>
      </c>
    </row>
    <row r="823" spans="1:7">
      <c r="A823" s="86">
        <v>822</v>
      </c>
      <c r="B823" s="86" t="s">
        <v>5545</v>
      </c>
      <c r="C823" s="86" t="s">
        <v>162</v>
      </c>
      <c r="D823" s="86" t="s">
        <v>168</v>
      </c>
      <c r="E823" s="86" t="s">
        <v>35</v>
      </c>
      <c r="F823" s="86" t="s">
        <v>36</v>
      </c>
      <c r="G823" s="86">
        <v>1</v>
      </c>
    </row>
    <row r="824" spans="1:7">
      <c r="A824" s="86">
        <v>823</v>
      </c>
      <c r="B824" s="86" t="s">
        <v>5662</v>
      </c>
      <c r="C824" s="86" t="s">
        <v>162</v>
      </c>
      <c r="D824" s="86" t="s">
        <v>168</v>
      </c>
      <c r="E824" s="86" t="s">
        <v>35</v>
      </c>
      <c r="F824" s="86" t="s">
        <v>36</v>
      </c>
      <c r="G824" s="86">
        <v>1</v>
      </c>
    </row>
    <row r="825" spans="1:7">
      <c r="A825" s="86">
        <v>824</v>
      </c>
      <c r="B825" s="86" t="s">
        <v>6259</v>
      </c>
      <c r="C825" s="86" t="s">
        <v>162</v>
      </c>
      <c r="D825" s="86" t="s">
        <v>168</v>
      </c>
      <c r="E825" s="86" t="s">
        <v>35</v>
      </c>
      <c r="F825" s="86" t="s">
        <v>36</v>
      </c>
      <c r="G825" s="86">
        <v>1</v>
      </c>
    </row>
    <row r="826" spans="1:7">
      <c r="A826" s="86">
        <v>825</v>
      </c>
      <c r="B826" s="86" t="s">
        <v>6514</v>
      </c>
      <c r="C826" s="86" t="s">
        <v>162</v>
      </c>
      <c r="D826" s="86" t="s">
        <v>168</v>
      </c>
      <c r="E826" s="86" t="s">
        <v>35</v>
      </c>
      <c r="F826" s="86">
        <v>3310996202559</v>
      </c>
      <c r="G826" s="86">
        <v>1</v>
      </c>
    </row>
    <row r="827" spans="1:7">
      <c r="A827" s="86">
        <v>826</v>
      </c>
      <c r="B827" s="86" t="s">
        <v>9479</v>
      </c>
      <c r="C827" s="86" t="s">
        <v>162</v>
      </c>
      <c r="D827" s="86" t="s">
        <v>9480</v>
      </c>
      <c r="E827" s="86" t="s">
        <v>9481</v>
      </c>
      <c r="F827" s="86" t="s">
        <v>36</v>
      </c>
      <c r="G827" s="86">
        <v>1</v>
      </c>
    </row>
    <row r="828" spans="1:7">
      <c r="A828" s="86">
        <v>827</v>
      </c>
      <c r="B828" s="86" t="s">
        <v>6744</v>
      </c>
      <c r="C828" s="86" t="s">
        <v>162</v>
      </c>
      <c r="D828" s="86" t="s">
        <v>663</v>
      </c>
      <c r="E828" s="86" t="s">
        <v>35</v>
      </c>
      <c r="F828" s="86" t="s">
        <v>664</v>
      </c>
      <c r="G828" s="86">
        <v>1</v>
      </c>
    </row>
    <row r="829" spans="1:7">
      <c r="A829" s="86">
        <v>828</v>
      </c>
      <c r="B829" s="86" t="s">
        <v>9482</v>
      </c>
      <c r="C829" s="86" t="s">
        <v>162</v>
      </c>
      <c r="D829" s="86" t="s">
        <v>168</v>
      </c>
      <c r="E829" s="86" t="s">
        <v>35</v>
      </c>
      <c r="F829" s="86" t="s">
        <v>36</v>
      </c>
      <c r="G829" s="86">
        <v>1</v>
      </c>
    </row>
    <row r="830" spans="1:7">
      <c r="A830" s="86">
        <v>829</v>
      </c>
      <c r="B830" s="86" t="s">
        <v>4015</v>
      </c>
      <c r="C830" s="86" t="s">
        <v>162</v>
      </c>
      <c r="D830" s="86" t="s">
        <v>168</v>
      </c>
      <c r="E830" s="86" t="s">
        <v>35</v>
      </c>
      <c r="F830" s="86" t="s">
        <v>36</v>
      </c>
      <c r="G830" s="86">
        <v>1</v>
      </c>
    </row>
    <row r="831" spans="1:7">
      <c r="A831" s="86">
        <v>830</v>
      </c>
      <c r="B831" s="86" t="s">
        <v>1612</v>
      </c>
      <c r="C831" s="86" t="s">
        <v>162</v>
      </c>
      <c r="D831" s="86" t="s">
        <v>168</v>
      </c>
      <c r="E831" s="86" t="s">
        <v>35</v>
      </c>
      <c r="F831" s="86" t="s">
        <v>36</v>
      </c>
      <c r="G831" s="86">
        <v>1</v>
      </c>
    </row>
    <row r="832" spans="1:7">
      <c r="A832" s="86">
        <v>831</v>
      </c>
      <c r="B832" s="86" t="s">
        <v>1920</v>
      </c>
      <c r="C832" s="86" t="s">
        <v>162</v>
      </c>
      <c r="D832" s="86" t="s">
        <v>168</v>
      </c>
      <c r="E832" s="86" t="s">
        <v>35</v>
      </c>
      <c r="F832" s="86" t="s">
        <v>36</v>
      </c>
      <c r="G832" s="86">
        <v>1</v>
      </c>
    </row>
    <row r="833" spans="1:8">
      <c r="A833" s="86">
        <v>832</v>
      </c>
      <c r="B833" s="86" t="s">
        <v>3974</v>
      </c>
      <c r="C833" s="86" t="s">
        <v>162</v>
      </c>
      <c r="D833" s="86" t="s">
        <v>168</v>
      </c>
      <c r="E833" s="86" t="s">
        <v>35</v>
      </c>
      <c r="F833" s="86" t="s">
        <v>36</v>
      </c>
      <c r="G833" s="86">
        <v>1</v>
      </c>
    </row>
    <row r="834" spans="1:8">
      <c r="A834" s="86">
        <v>833</v>
      </c>
      <c r="B834" s="86" t="s">
        <v>337</v>
      </c>
      <c r="C834" s="86" t="s">
        <v>162</v>
      </c>
      <c r="D834" s="86" t="s">
        <v>168</v>
      </c>
      <c r="E834" s="86" t="s">
        <v>35</v>
      </c>
      <c r="F834" s="86" t="s">
        <v>36</v>
      </c>
      <c r="G834" s="86">
        <v>1</v>
      </c>
    </row>
    <row r="835" spans="1:8">
      <c r="A835" s="86">
        <v>834</v>
      </c>
      <c r="B835" s="86" t="s">
        <v>3368</v>
      </c>
      <c r="C835" s="86" t="s">
        <v>162</v>
      </c>
      <c r="D835" s="86" t="s">
        <v>168</v>
      </c>
      <c r="E835" s="86" t="s">
        <v>35</v>
      </c>
      <c r="F835" s="86" t="s">
        <v>36</v>
      </c>
      <c r="G835" s="86">
        <v>1</v>
      </c>
    </row>
    <row r="836" spans="1:8">
      <c r="A836" s="86">
        <v>835</v>
      </c>
      <c r="B836" s="86" t="s">
        <v>4885</v>
      </c>
      <c r="C836" s="86" t="s">
        <v>162</v>
      </c>
      <c r="D836" s="86" t="s">
        <v>663</v>
      </c>
      <c r="E836" s="86" t="s">
        <v>35</v>
      </c>
      <c r="F836" s="86" t="s">
        <v>9483</v>
      </c>
      <c r="G836" s="86">
        <v>1</v>
      </c>
    </row>
    <row r="837" spans="1:8">
      <c r="A837" s="86">
        <v>836</v>
      </c>
      <c r="B837" s="86" t="s">
        <v>9484</v>
      </c>
      <c r="C837" s="86" t="s">
        <v>162</v>
      </c>
      <c r="D837" s="86" t="s">
        <v>168</v>
      </c>
      <c r="E837" s="86" t="s">
        <v>35</v>
      </c>
      <c r="F837" s="86" t="s">
        <v>36</v>
      </c>
      <c r="G837" s="86">
        <v>1</v>
      </c>
    </row>
    <row r="838" spans="1:8">
      <c r="A838" s="86">
        <v>837</v>
      </c>
      <c r="B838" s="86" t="s">
        <v>9485</v>
      </c>
      <c r="C838" s="86" t="s">
        <v>162</v>
      </c>
      <c r="D838" s="86" t="s">
        <v>168</v>
      </c>
      <c r="E838" s="86" t="s">
        <v>35</v>
      </c>
      <c r="F838" s="86" t="s">
        <v>36</v>
      </c>
      <c r="G838" s="86">
        <v>1</v>
      </c>
    </row>
    <row r="839" spans="1:8">
      <c r="A839" s="86">
        <v>838</v>
      </c>
      <c r="B839" s="86" t="s">
        <v>9486</v>
      </c>
      <c r="C839" s="86" t="s">
        <v>162</v>
      </c>
      <c r="D839" s="86" t="s">
        <v>168</v>
      </c>
      <c r="E839" s="86" t="s">
        <v>35</v>
      </c>
      <c r="F839" s="86" t="s">
        <v>36</v>
      </c>
      <c r="G839" s="86">
        <v>1</v>
      </c>
    </row>
    <row r="840" spans="1:8">
      <c r="A840" s="86">
        <v>839</v>
      </c>
      <c r="B840" s="86" t="s">
        <v>5355</v>
      </c>
      <c r="C840" s="86" t="s">
        <v>162</v>
      </c>
      <c r="D840" s="86" t="s">
        <v>168</v>
      </c>
      <c r="E840" s="86" t="s">
        <v>35</v>
      </c>
      <c r="F840" s="86" t="s">
        <v>36</v>
      </c>
      <c r="G840" s="86">
        <v>1</v>
      </c>
    </row>
    <row r="841" spans="1:8">
      <c r="A841" s="86">
        <v>840</v>
      </c>
      <c r="B841" s="86" t="s">
        <v>3559</v>
      </c>
      <c r="C841" s="86" t="s">
        <v>162</v>
      </c>
      <c r="D841" s="86" t="s">
        <v>35</v>
      </c>
      <c r="E841" s="86" t="s">
        <v>35</v>
      </c>
      <c r="F841" s="86" t="s">
        <v>36</v>
      </c>
      <c r="G841" s="86">
        <v>1</v>
      </c>
    </row>
    <row r="842" spans="1:8">
      <c r="A842" s="86">
        <v>841</v>
      </c>
      <c r="B842" s="86" t="s">
        <v>9487</v>
      </c>
      <c r="C842" s="86" t="s">
        <v>9488</v>
      </c>
      <c r="G842" s="86">
        <v>1292</v>
      </c>
    </row>
    <row r="843" spans="1:8">
      <c r="A843" s="86">
        <v>842</v>
      </c>
      <c r="B843" s="86" t="s">
        <v>9489</v>
      </c>
      <c r="C843" s="86" t="s">
        <v>9488</v>
      </c>
      <c r="G843" s="86">
        <v>918.85</v>
      </c>
    </row>
    <row r="844" spans="1:8">
      <c r="A844" s="86">
        <v>843</v>
      </c>
      <c r="B844" s="86" t="s">
        <v>1147</v>
      </c>
      <c r="C844" s="86" t="s">
        <v>1142</v>
      </c>
      <c r="D844" s="86" t="s">
        <v>359</v>
      </c>
      <c r="E844" s="86" t="s">
        <v>1148</v>
      </c>
      <c r="F844" s="86" t="s">
        <v>36</v>
      </c>
      <c r="G844" s="86">
        <v>879.28</v>
      </c>
    </row>
    <row r="845" spans="1:8">
      <c r="A845" s="86">
        <v>844</v>
      </c>
      <c r="B845" s="86" t="s">
        <v>2905</v>
      </c>
      <c r="C845" s="86" t="s">
        <v>1142</v>
      </c>
      <c r="D845" s="86" t="s">
        <v>359</v>
      </c>
      <c r="E845" s="86" t="s">
        <v>9490</v>
      </c>
      <c r="F845" s="86" t="s">
        <v>36</v>
      </c>
      <c r="G845" s="86">
        <v>350</v>
      </c>
    </row>
    <row r="846" spans="1:8">
      <c r="A846" s="86">
        <v>845</v>
      </c>
      <c r="B846" s="86" t="s">
        <v>6612</v>
      </c>
      <c r="C846" s="86" t="s">
        <v>5778</v>
      </c>
      <c r="D846" s="86" t="s">
        <v>4035</v>
      </c>
      <c r="E846" s="86" t="s">
        <v>9491</v>
      </c>
      <c r="F846" s="86" t="s">
        <v>36</v>
      </c>
      <c r="G846" s="86">
        <v>2238.8000000000002</v>
      </c>
      <c r="H846" s="221"/>
    </row>
    <row r="847" spans="1:8">
      <c r="A847" s="86">
        <v>846</v>
      </c>
      <c r="B847" s="86" t="s">
        <v>5874</v>
      </c>
      <c r="C847" s="86" t="s">
        <v>5778</v>
      </c>
      <c r="D847" s="86" t="s">
        <v>9492</v>
      </c>
      <c r="E847" s="86" t="s">
        <v>35</v>
      </c>
      <c r="F847" s="86" t="s">
        <v>36</v>
      </c>
      <c r="G847" s="86">
        <v>1750</v>
      </c>
    </row>
    <row r="848" spans="1:8">
      <c r="A848" s="86">
        <v>847</v>
      </c>
      <c r="B848" s="86" t="s">
        <v>2507</v>
      </c>
      <c r="C848" s="86" t="s">
        <v>151</v>
      </c>
      <c r="D848" s="86" t="s">
        <v>2508</v>
      </c>
      <c r="E848" s="86" t="s">
        <v>2509</v>
      </c>
      <c r="F848" s="86" t="s">
        <v>36</v>
      </c>
      <c r="G848" s="86">
        <v>1</v>
      </c>
    </row>
    <row r="849" spans="1:8">
      <c r="A849" s="86">
        <v>848</v>
      </c>
      <c r="B849" s="86" t="s">
        <v>855</v>
      </c>
      <c r="C849" s="86" t="s">
        <v>9335</v>
      </c>
      <c r="D849" s="86" t="s">
        <v>35</v>
      </c>
      <c r="E849" s="86" t="s">
        <v>35</v>
      </c>
      <c r="F849" s="86" t="s">
        <v>36</v>
      </c>
      <c r="G849" s="86">
        <v>1</v>
      </c>
    </row>
    <row r="850" spans="1:8">
      <c r="A850" s="86">
        <v>849</v>
      </c>
      <c r="B850" s="86" t="s">
        <v>5604</v>
      </c>
      <c r="C850" s="86" t="s">
        <v>9335</v>
      </c>
      <c r="D850" s="86" t="s">
        <v>35</v>
      </c>
      <c r="E850" s="86" t="s">
        <v>35</v>
      </c>
      <c r="F850" s="86" t="s">
        <v>36</v>
      </c>
      <c r="G850" s="86">
        <v>1</v>
      </c>
    </row>
    <row r="851" spans="1:8">
      <c r="A851" s="86">
        <v>850</v>
      </c>
      <c r="B851" s="86" t="s">
        <v>5035</v>
      </c>
      <c r="C851" s="86" t="s">
        <v>9493</v>
      </c>
      <c r="D851" s="86" t="s">
        <v>5036</v>
      </c>
      <c r="E851" s="86" t="s">
        <v>9494</v>
      </c>
      <c r="F851" s="86">
        <v>8590870053</v>
      </c>
      <c r="G851" s="86">
        <v>2758</v>
      </c>
    </row>
    <row r="852" spans="1:8">
      <c r="A852" s="86">
        <v>851</v>
      </c>
      <c r="B852" s="86" t="s">
        <v>9495</v>
      </c>
      <c r="C852" s="86" t="s">
        <v>9496</v>
      </c>
      <c r="G852" s="86">
        <v>9854.2000000000007</v>
      </c>
      <c r="H852" s="221"/>
    </row>
    <row r="853" spans="1:8">
      <c r="A853" s="86">
        <v>852</v>
      </c>
      <c r="B853" s="86" t="s">
        <v>9497</v>
      </c>
      <c r="C853" s="86" t="s">
        <v>43</v>
      </c>
      <c r="G853" s="86">
        <v>1526.56</v>
      </c>
    </row>
    <row r="854" spans="1:8">
      <c r="A854" s="86">
        <v>853</v>
      </c>
      <c r="B854" s="86" t="s">
        <v>9498</v>
      </c>
      <c r="C854" s="86" t="s">
        <v>43</v>
      </c>
      <c r="G854" s="86">
        <v>1526.56</v>
      </c>
    </row>
    <row r="855" spans="1:8">
      <c r="A855" s="86">
        <v>854</v>
      </c>
      <c r="B855" s="86" t="s">
        <v>9499</v>
      </c>
      <c r="C855" s="86" t="s">
        <v>43</v>
      </c>
      <c r="G855" s="86">
        <v>1526.56</v>
      </c>
    </row>
    <row r="856" spans="1:8">
      <c r="A856" s="86">
        <v>855</v>
      </c>
      <c r="B856" s="86" t="s">
        <v>9500</v>
      </c>
      <c r="C856" s="86" t="s">
        <v>43</v>
      </c>
      <c r="G856" s="86">
        <v>1526.56</v>
      </c>
    </row>
    <row r="857" spans="1:8">
      <c r="A857" s="86">
        <v>856</v>
      </c>
      <c r="B857" s="86" t="s">
        <v>9501</v>
      </c>
      <c r="C857" s="86" t="s">
        <v>9502</v>
      </c>
      <c r="G857" s="86">
        <v>1854.46</v>
      </c>
    </row>
    <row r="858" spans="1:8">
      <c r="A858" s="86">
        <v>857</v>
      </c>
      <c r="B858" s="86" t="s">
        <v>9503</v>
      </c>
      <c r="C858" s="86" t="s">
        <v>9502</v>
      </c>
      <c r="G858" s="86">
        <v>1738.61</v>
      </c>
    </row>
    <row r="859" spans="1:8">
      <c r="A859" s="86">
        <v>858</v>
      </c>
      <c r="B859" s="86" t="s">
        <v>9504</v>
      </c>
      <c r="C859" s="86" t="s">
        <v>9505</v>
      </c>
      <c r="G859" s="86">
        <v>2923.2</v>
      </c>
      <c r="H859" s="221"/>
    </row>
    <row r="860" spans="1:8">
      <c r="A860" s="86">
        <v>859</v>
      </c>
      <c r="B860" s="86" t="s">
        <v>5729</v>
      </c>
      <c r="C860" s="86" t="s">
        <v>9506</v>
      </c>
      <c r="D860" s="86" t="s">
        <v>2586</v>
      </c>
      <c r="E860" s="86" t="s">
        <v>5730</v>
      </c>
      <c r="F860" s="86" t="s">
        <v>36</v>
      </c>
      <c r="G860" s="86">
        <v>1</v>
      </c>
    </row>
    <row r="861" spans="1:8">
      <c r="A861" s="86">
        <v>860</v>
      </c>
      <c r="B861" s="86" t="s">
        <v>2992</v>
      </c>
      <c r="C861" s="86" t="s">
        <v>9507</v>
      </c>
      <c r="D861" s="86" t="s">
        <v>2993</v>
      </c>
      <c r="E861" s="86" t="s">
        <v>3037</v>
      </c>
      <c r="F861" s="86" t="s">
        <v>9508</v>
      </c>
      <c r="G861" s="86">
        <v>1</v>
      </c>
    </row>
    <row r="862" spans="1:8">
      <c r="A862" s="86">
        <v>861</v>
      </c>
      <c r="B862" s="86" t="s">
        <v>3002</v>
      </c>
      <c r="C862" s="86" t="s">
        <v>9507</v>
      </c>
      <c r="D862" s="86" t="s">
        <v>2993</v>
      </c>
      <c r="E862" s="86" t="s">
        <v>3037</v>
      </c>
      <c r="F862" s="86" t="s">
        <v>3004</v>
      </c>
      <c r="G862" s="86">
        <v>1</v>
      </c>
    </row>
    <row r="863" spans="1:8">
      <c r="A863" s="86">
        <v>862</v>
      </c>
      <c r="B863" s="86" t="s">
        <v>3011</v>
      </c>
      <c r="C863" s="86" t="s">
        <v>9507</v>
      </c>
      <c r="D863" s="86" t="s">
        <v>2993</v>
      </c>
      <c r="E863" s="86" t="s">
        <v>3037</v>
      </c>
      <c r="F863" s="86" t="s">
        <v>3013</v>
      </c>
      <c r="G863" s="86">
        <v>1</v>
      </c>
    </row>
    <row r="864" spans="1:8">
      <c r="A864" s="86">
        <v>863</v>
      </c>
      <c r="B864" s="86" t="s">
        <v>3020</v>
      </c>
      <c r="C864" s="86" t="s">
        <v>9507</v>
      </c>
      <c r="D864" s="86" t="s">
        <v>2993</v>
      </c>
      <c r="E864" s="86" t="s">
        <v>3037</v>
      </c>
      <c r="F864" s="86" t="s">
        <v>3021</v>
      </c>
      <c r="G864" s="86">
        <v>1</v>
      </c>
    </row>
    <row r="865" spans="1:7">
      <c r="A865" s="86">
        <v>864</v>
      </c>
      <c r="B865" s="86" t="s">
        <v>3028</v>
      </c>
      <c r="C865" s="86" t="s">
        <v>9507</v>
      </c>
      <c r="D865" s="86" t="s">
        <v>2993</v>
      </c>
      <c r="E865" s="86" t="s">
        <v>3037</v>
      </c>
      <c r="F865" s="86" t="s">
        <v>3029</v>
      </c>
      <c r="G865" s="86">
        <v>1</v>
      </c>
    </row>
    <row r="866" spans="1:7">
      <c r="A866" s="86">
        <v>865</v>
      </c>
      <c r="B866" s="86" t="s">
        <v>3036</v>
      </c>
      <c r="C866" s="86" t="s">
        <v>9507</v>
      </c>
      <c r="D866" s="86" t="s">
        <v>2993</v>
      </c>
      <c r="E866" s="86" t="s">
        <v>3037</v>
      </c>
      <c r="F866" s="86" t="s">
        <v>3038</v>
      </c>
      <c r="G866" s="86">
        <v>1</v>
      </c>
    </row>
    <row r="867" spans="1:7">
      <c r="A867" s="86">
        <v>866</v>
      </c>
      <c r="B867" s="86" t="s">
        <v>3045</v>
      </c>
      <c r="C867" s="86" t="s">
        <v>9507</v>
      </c>
      <c r="D867" s="86" t="s">
        <v>2993</v>
      </c>
      <c r="E867" s="86" t="s">
        <v>3037</v>
      </c>
      <c r="F867" s="86" t="s">
        <v>3047</v>
      </c>
      <c r="G867" s="86">
        <v>1</v>
      </c>
    </row>
    <row r="868" spans="1:7">
      <c r="A868" s="86">
        <v>867</v>
      </c>
      <c r="B868" s="86" t="s">
        <v>3054</v>
      </c>
      <c r="C868" s="86" t="s">
        <v>9507</v>
      </c>
      <c r="D868" s="86" t="s">
        <v>2993</v>
      </c>
      <c r="E868" s="86" t="s">
        <v>3037</v>
      </c>
      <c r="F868" s="86" t="s">
        <v>36</v>
      </c>
      <c r="G868" s="86">
        <v>1</v>
      </c>
    </row>
    <row r="869" spans="1:7">
      <c r="A869" s="86">
        <v>868</v>
      </c>
      <c r="B869" s="86" t="s">
        <v>4544</v>
      </c>
      <c r="C869" s="86" t="s">
        <v>151</v>
      </c>
      <c r="D869" s="86" t="s">
        <v>1220</v>
      </c>
      <c r="E869" s="86" t="s">
        <v>9509</v>
      </c>
      <c r="F869" s="86" t="s">
        <v>36</v>
      </c>
      <c r="G869" s="86">
        <v>1</v>
      </c>
    </row>
    <row r="870" spans="1:7">
      <c r="A870" s="86">
        <v>869</v>
      </c>
      <c r="B870" s="86" t="s">
        <v>2873</v>
      </c>
      <c r="C870" s="86" t="s">
        <v>151</v>
      </c>
      <c r="D870" s="86" t="s">
        <v>703</v>
      </c>
      <c r="E870" s="86" t="s">
        <v>2874</v>
      </c>
      <c r="F870" s="86" t="s">
        <v>2875</v>
      </c>
      <c r="G870" s="86">
        <v>1</v>
      </c>
    </row>
    <row r="871" spans="1:7">
      <c r="A871" s="86">
        <v>870</v>
      </c>
      <c r="B871" s="86" t="s">
        <v>6343</v>
      </c>
      <c r="C871" s="86" t="s">
        <v>9510</v>
      </c>
      <c r="D871" s="86" t="s">
        <v>35</v>
      </c>
      <c r="E871" s="86" t="s">
        <v>35</v>
      </c>
      <c r="F871" s="86" t="s">
        <v>36</v>
      </c>
      <c r="G871" s="86">
        <v>1</v>
      </c>
    </row>
    <row r="872" spans="1:7">
      <c r="A872" s="86">
        <v>871</v>
      </c>
      <c r="B872" s="86" t="s">
        <v>6358</v>
      </c>
      <c r="C872" s="86" t="s">
        <v>9511</v>
      </c>
      <c r="D872" s="86" t="s">
        <v>6359</v>
      </c>
      <c r="E872" s="86" t="s">
        <v>35</v>
      </c>
      <c r="F872" s="86" t="s">
        <v>9512</v>
      </c>
      <c r="G872" s="86">
        <v>1</v>
      </c>
    </row>
    <row r="873" spans="1:7">
      <c r="A873" s="86">
        <v>872</v>
      </c>
      <c r="B873" s="86" t="s">
        <v>6134</v>
      </c>
      <c r="C873" s="86" t="s">
        <v>9493</v>
      </c>
      <c r="D873" s="86" t="s">
        <v>6135</v>
      </c>
      <c r="E873" s="86" t="s">
        <v>35</v>
      </c>
      <c r="F873" s="86" t="s">
        <v>36</v>
      </c>
      <c r="G873" s="86">
        <v>1</v>
      </c>
    </row>
    <row r="874" spans="1:7">
      <c r="A874" s="86">
        <v>873</v>
      </c>
      <c r="B874" s="86" t="s">
        <v>6082</v>
      </c>
      <c r="C874" s="86" t="s">
        <v>53</v>
      </c>
      <c r="D874" s="86" t="s">
        <v>35</v>
      </c>
      <c r="E874" s="86" t="s">
        <v>35</v>
      </c>
      <c r="F874" s="86" t="s">
        <v>36</v>
      </c>
      <c r="G874" s="86">
        <v>1</v>
      </c>
    </row>
    <row r="875" spans="1:7">
      <c r="A875" s="86">
        <v>874</v>
      </c>
      <c r="B875" s="86" t="s">
        <v>6350</v>
      </c>
      <c r="C875" s="86" t="s">
        <v>53</v>
      </c>
      <c r="D875" s="86" t="s">
        <v>35</v>
      </c>
      <c r="E875" s="86" t="s">
        <v>35</v>
      </c>
      <c r="F875" s="86" t="s">
        <v>36</v>
      </c>
      <c r="G875" s="86">
        <v>1</v>
      </c>
    </row>
    <row r="876" spans="1:7">
      <c r="A876" s="86">
        <v>875</v>
      </c>
      <c r="B876" s="86" t="s">
        <v>58</v>
      </c>
      <c r="C876" s="86" t="s">
        <v>53</v>
      </c>
      <c r="D876" s="86" t="s">
        <v>35</v>
      </c>
      <c r="E876" s="86" t="s">
        <v>35</v>
      </c>
      <c r="F876" s="86" t="s">
        <v>36</v>
      </c>
      <c r="G876" s="86">
        <v>1</v>
      </c>
    </row>
    <row r="877" spans="1:7">
      <c r="A877" s="86">
        <v>876</v>
      </c>
      <c r="B877" s="86" t="s">
        <v>196</v>
      </c>
      <c r="C877" s="86" t="s">
        <v>53</v>
      </c>
      <c r="D877" s="86" t="s">
        <v>35</v>
      </c>
      <c r="E877" s="86" t="s">
        <v>35</v>
      </c>
      <c r="F877" s="86" t="s">
        <v>36</v>
      </c>
      <c r="G877" s="86">
        <v>1</v>
      </c>
    </row>
    <row r="878" spans="1:7">
      <c r="A878" s="86">
        <v>877</v>
      </c>
      <c r="B878" s="86" t="s">
        <v>5444</v>
      </c>
      <c r="C878" s="86" t="s">
        <v>53</v>
      </c>
      <c r="D878" s="86" t="s">
        <v>35</v>
      </c>
      <c r="E878" s="86" t="s">
        <v>35</v>
      </c>
      <c r="F878" s="86" t="s">
        <v>36</v>
      </c>
      <c r="G878" s="86">
        <v>1</v>
      </c>
    </row>
    <row r="879" spans="1:7">
      <c r="A879" s="86">
        <v>878</v>
      </c>
      <c r="B879" s="86" t="s">
        <v>3593</v>
      </c>
      <c r="C879" s="86" t="s">
        <v>53</v>
      </c>
      <c r="D879" s="86" t="s">
        <v>35</v>
      </c>
      <c r="E879" s="86" t="s">
        <v>35</v>
      </c>
      <c r="F879" s="86" t="s">
        <v>36</v>
      </c>
      <c r="G879" s="86">
        <v>1</v>
      </c>
    </row>
    <row r="880" spans="1:7">
      <c r="A880" s="86">
        <v>879</v>
      </c>
      <c r="B880" s="86" t="s">
        <v>1490</v>
      </c>
      <c r="C880" s="86" t="s">
        <v>53</v>
      </c>
      <c r="D880" s="86" t="s">
        <v>35</v>
      </c>
      <c r="E880" s="86" t="s">
        <v>35</v>
      </c>
      <c r="F880" s="86" t="s">
        <v>36</v>
      </c>
      <c r="G880" s="86">
        <v>0</v>
      </c>
    </row>
    <row r="881" spans="1:7">
      <c r="A881" s="86">
        <v>880</v>
      </c>
      <c r="B881" s="86" t="s">
        <v>4227</v>
      </c>
      <c r="C881" s="86" t="s">
        <v>53</v>
      </c>
      <c r="D881" s="86" t="s">
        <v>35</v>
      </c>
      <c r="E881" s="86" t="s">
        <v>35</v>
      </c>
      <c r="F881" s="86" t="s">
        <v>36</v>
      </c>
      <c r="G881" s="86">
        <v>0</v>
      </c>
    </row>
    <row r="882" spans="1:7">
      <c r="A882" s="86">
        <v>881</v>
      </c>
      <c r="B882" s="86" t="s">
        <v>2366</v>
      </c>
      <c r="C882" s="86" t="s">
        <v>53</v>
      </c>
      <c r="D882" s="86" t="s">
        <v>35</v>
      </c>
      <c r="E882" s="86" t="s">
        <v>35</v>
      </c>
      <c r="F882" s="86" t="s">
        <v>36</v>
      </c>
      <c r="G882" s="86">
        <v>1</v>
      </c>
    </row>
    <row r="883" spans="1:7">
      <c r="A883" s="86">
        <v>882</v>
      </c>
      <c r="B883" s="86" t="s">
        <v>1685</v>
      </c>
      <c r="C883" s="86" t="s">
        <v>53</v>
      </c>
      <c r="D883" s="86" t="s">
        <v>35</v>
      </c>
      <c r="E883" s="86" t="s">
        <v>35</v>
      </c>
      <c r="F883" s="86" t="s">
        <v>36</v>
      </c>
      <c r="G883" s="86">
        <v>1</v>
      </c>
    </row>
    <row r="884" spans="1:7">
      <c r="A884" s="86">
        <v>883</v>
      </c>
      <c r="B884" s="86" t="s">
        <v>562</v>
      </c>
      <c r="C884" s="86" t="s">
        <v>53</v>
      </c>
      <c r="D884" s="86" t="s">
        <v>35</v>
      </c>
      <c r="E884" s="86" t="s">
        <v>35</v>
      </c>
      <c r="F884" s="86" t="s">
        <v>36</v>
      </c>
      <c r="G884" s="86">
        <v>1</v>
      </c>
    </row>
    <row r="885" spans="1:7">
      <c r="A885" s="86">
        <v>884</v>
      </c>
      <c r="B885" s="86" t="s">
        <v>6983</v>
      </c>
      <c r="C885" s="86" t="s">
        <v>9513</v>
      </c>
      <c r="D885" s="86" t="s">
        <v>6985</v>
      </c>
      <c r="E885" s="86">
        <v>2009</v>
      </c>
      <c r="F885" s="86" t="s">
        <v>6987</v>
      </c>
      <c r="G885" s="86">
        <v>0</v>
      </c>
    </row>
    <row r="886" spans="1:7">
      <c r="A886" s="86">
        <v>885</v>
      </c>
      <c r="B886" s="86" t="s">
        <v>6974</v>
      </c>
      <c r="C886" s="86" t="s">
        <v>9513</v>
      </c>
      <c r="D886" s="86" t="s">
        <v>6976</v>
      </c>
      <c r="E886" s="86">
        <v>1992</v>
      </c>
      <c r="F886" s="86" t="s">
        <v>6978</v>
      </c>
      <c r="G886" s="86">
        <v>21610</v>
      </c>
    </row>
    <row r="887" spans="1:7">
      <c r="A887" s="86">
        <v>886</v>
      </c>
      <c r="B887" s="86" t="s">
        <v>6999</v>
      </c>
      <c r="C887" s="86" t="s">
        <v>9514</v>
      </c>
      <c r="D887" s="86" t="s">
        <v>7001</v>
      </c>
      <c r="E887" s="86">
        <v>2005</v>
      </c>
      <c r="F887" s="86" t="s">
        <v>9515</v>
      </c>
      <c r="G887" s="86">
        <v>102051</v>
      </c>
    </row>
    <row r="888" spans="1:7">
      <c r="A888" s="86">
        <v>887</v>
      </c>
      <c r="B888" s="86" t="s">
        <v>6966</v>
      </c>
      <c r="C888" s="86" t="s">
        <v>6968</v>
      </c>
      <c r="D888" s="86" t="s">
        <v>6968</v>
      </c>
      <c r="E888" s="86">
        <v>2002</v>
      </c>
      <c r="F888" s="86" t="s">
        <v>6970</v>
      </c>
      <c r="G888" s="86">
        <v>1</v>
      </c>
    </row>
    <row r="889" spans="1:7">
      <c r="A889" s="86">
        <v>888</v>
      </c>
      <c r="B889" s="86" t="s">
        <v>6991</v>
      </c>
      <c r="C889" s="86" t="s">
        <v>9516</v>
      </c>
      <c r="D889" s="86" t="s">
        <v>6993</v>
      </c>
      <c r="E889" s="86">
        <v>2008</v>
      </c>
      <c r="F889" s="86" t="s">
        <v>6995</v>
      </c>
      <c r="G889" s="86">
        <v>16120</v>
      </c>
    </row>
    <row r="890" spans="1:7">
      <c r="A890" s="86">
        <v>889</v>
      </c>
      <c r="B890" s="86" t="s">
        <v>9517</v>
      </c>
      <c r="C890" s="86" t="s">
        <v>9518</v>
      </c>
      <c r="D890" s="86" t="s">
        <v>6985</v>
      </c>
      <c r="E890" s="86">
        <v>2004</v>
      </c>
      <c r="F890" s="86" t="s">
        <v>9519</v>
      </c>
      <c r="G890" s="86">
        <v>298500</v>
      </c>
    </row>
    <row r="891" spans="1:7">
      <c r="A891" s="86">
        <v>890</v>
      </c>
      <c r="B891" s="86" t="s">
        <v>9520</v>
      </c>
      <c r="C891" s="86" t="s">
        <v>9518</v>
      </c>
      <c r="G891" s="86">
        <v>257900</v>
      </c>
    </row>
    <row r="892" spans="1:7">
      <c r="A892" s="86">
        <v>891</v>
      </c>
      <c r="B892" s="86" t="s">
        <v>6088</v>
      </c>
      <c r="C892" s="86" t="s">
        <v>9521</v>
      </c>
      <c r="D892" s="86" t="s">
        <v>9522</v>
      </c>
      <c r="E892" s="86" t="s">
        <v>35</v>
      </c>
      <c r="F892" s="86" t="s">
        <v>36</v>
      </c>
      <c r="G892" s="86">
        <v>1</v>
      </c>
    </row>
    <row r="893" spans="1:7">
      <c r="A893" s="86">
        <v>892</v>
      </c>
      <c r="B893" s="86" t="s">
        <v>6367</v>
      </c>
      <c r="C893" s="86" t="s">
        <v>9521</v>
      </c>
      <c r="D893" s="86" t="s">
        <v>2866</v>
      </c>
      <c r="E893" s="86" t="s">
        <v>35</v>
      </c>
      <c r="F893" s="86" t="s">
        <v>36</v>
      </c>
      <c r="G893" s="86">
        <v>1</v>
      </c>
    </row>
    <row r="894" spans="1:7">
      <c r="A894" s="86">
        <v>893</v>
      </c>
      <c r="B894" s="86" t="s">
        <v>2865</v>
      </c>
      <c r="C894" s="86" t="s">
        <v>9521</v>
      </c>
      <c r="D894" s="86" t="s">
        <v>2866</v>
      </c>
      <c r="E894" s="86" t="s">
        <v>2867</v>
      </c>
      <c r="F894" s="86" t="s">
        <v>2868</v>
      </c>
      <c r="G894" s="86">
        <v>1</v>
      </c>
    </row>
    <row r="895" spans="1:7">
      <c r="A895" s="86">
        <v>894</v>
      </c>
      <c r="B895" s="86" t="s">
        <v>2645</v>
      </c>
      <c r="C895" s="86" t="s">
        <v>9506</v>
      </c>
      <c r="D895" s="86" t="s">
        <v>406</v>
      </c>
      <c r="E895" s="86" t="s">
        <v>35</v>
      </c>
      <c r="F895" s="86" t="s">
        <v>36</v>
      </c>
      <c r="G895" s="86">
        <v>1</v>
      </c>
    </row>
    <row r="896" spans="1:7">
      <c r="A896" s="86">
        <v>895</v>
      </c>
      <c r="B896" s="86" t="s">
        <v>2585</v>
      </c>
      <c r="C896" s="86" t="s">
        <v>9506</v>
      </c>
      <c r="D896" s="86" t="s">
        <v>2586</v>
      </c>
      <c r="E896" s="86" t="s">
        <v>35</v>
      </c>
      <c r="F896" s="86" t="s">
        <v>36</v>
      </c>
      <c r="G896" s="86">
        <v>1</v>
      </c>
    </row>
    <row r="897" spans="1:7">
      <c r="A897" s="86">
        <v>896</v>
      </c>
      <c r="B897" s="86" t="s">
        <v>1692</v>
      </c>
      <c r="C897" s="86" t="s">
        <v>9506</v>
      </c>
      <c r="D897" s="86" t="s">
        <v>1693</v>
      </c>
      <c r="E897" s="86" t="s">
        <v>35</v>
      </c>
      <c r="F897" s="86" t="s">
        <v>36</v>
      </c>
      <c r="G897" s="86">
        <v>1</v>
      </c>
    </row>
    <row r="898" spans="1:7">
      <c r="A898" s="86">
        <v>897</v>
      </c>
      <c r="B898" s="86" t="s">
        <v>3252</v>
      </c>
      <c r="C898" s="86" t="s">
        <v>9506</v>
      </c>
      <c r="D898" s="86" t="s">
        <v>462</v>
      </c>
      <c r="E898" s="86" t="s">
        <v>35</v>
      </c>
      <c r="F898" s="86" t="s">
        <v>36</v>
      </c>
      <c r="G898" s="86">
        <v>1</v>
      </c>
    </row>
    <row r="899" spans="1:7">
      <c r="A899" s="86">
        <v>898</v>
      </c>
      <c r="B899" s="86" t="s">
        <v>1854</v>
      </c>
      <c r="C899" s="86" t="s">
        <v>9506</v>
      </c>
      <c r="D899" s="86" t="s">
        <v>49</v>
      </c>
      <c r="E899" s="86" t="s">
        <v>35</v>
      </c>
      <c r="F899" s="86">
        <v>3352</v>
      </c>
      <c r="G899" s="86">
        <v>1</v>
      </c>
    </row>
    <row r="900" spans="1:7">
      <c r="A900" s="86">
        <v>899</v>
      </c>
      <c r="B900" s="86" t="s">
        <v>1912</v>
      </c>
      <c r="C900" s="86" t="s">
        <v>9506</v>
      </c>
      <c r="D900" s="86" t="s">
        <v>9523</v>
      </c>
      <c r="E900" s="86" t="s">
        <v>35</v>
      </c>
      <c r="F900" s="86" t="s">
        <v>36</v>
      </c>
      <c r="G900" s="86">
        <v>900.16</v>
      </c>
    </row>
    <row r="901" spans="1:7">
      <c r="A901" s="86">
        <v>900</v>
      </c>
      <c r="B901" s="86" t="s">
        <v>4296</v>
      </c>
      <c r="C901" s="86" t="s">
        <v>9506</v>
      </c>
      <c r="D901" s="86" t="s">
        <v>49</v>
      </c>
      <c r="E901" s="86" t="s">
        <v>4297</v>
      </c>
      <c r="F901" s="86">
        <v>3358</v>
      </c>
      <c r="G901" s="86">
        <v>796.92</v>
      </c>
    </row>
    <row r="902" spans="1:7">
      <c r="A902" s="86">
        <v>901</v>
      </c>
      <c r="B902" s="86" t="s">
        <v>3142</v>
      </c>
      <c r="C902" s="86" t="s">
        <v>9506</v>
      </c>
      <c r="D902" s="86" t="s">
        <v>406</v>
      </c>
      <c r="E902" s="86" t="s">
        <v>407</v>
      </c>
      <c r="F902" s="86" t="s">
        <v>36</v>
      </c>
      <c r="G902" s="86">
        <v>948.88</v>
      </c>
    </row>
    <row r="903" spans="1:7">
      <c r="A903" s="86">
        <v>902</v>
      </c>
      <c r="B903" s="86" t="s">
        <v>1588</v>
      </c>
      <c r="C903" s="86" t="s">
        <v>9506</v>
      </c>
      <c r="D903" s="86" t="s">
        <v>406</v>
      </c>
      <c r="E903" s="86" t="s">
        <v>407</v>
      </c>
      <c r="F903" s="86" t="s">
        <v>36</v>
      </c>
      <c r="G903" s="86">
        <v>948.88</v>
      </c>
    </row>
    <row r="904" spans="1:7">
      <c r="A904" s="86">
        <v>903</v>
      </c>
      <c r="B904" s="86" t="s">
        <v>1496</v>
      </c>
      <c r="C904" s="86" t="s">
        <v>9506</v>
      </c>
      <c r="D904" s="86" t="s">
        <v>406</v>
      </c>
      <c r="E904" s="86" t="s">
        <v>407</v>
      </c>
      <c r="F904" s="86" t="s">
        <v>36</v>
      </c>
      <c r="G904" s="86">
        <v>948.88</v>
      </c>
    </row>
    <row r="905" spans="1:7">
      <c r="A905" s="86">
        <v>904</v>
      </c>
      <c r="B905" s="86" t="s">
        <v>3463</v>
      </c>
      <c r="C905" s="86" t="s">
        <v>9506</v>
      </c>
      <c r="D905" s="86" t="s">
        <v>406</v>
      </c>
      <c r="E905" s="86" t="s">
        <v>407</v>
      </c>
      <c r="F905" s="86" t="s">
        <v>36</v>
      </c>
      <c r="G905" s="86">
        <v>948.88</v>
      </c>
    </row>
    <row r="906" spans="1:7">
      <c r="A906" s="86">
        <v>905</v>
      </c>
      <c r="B906" s="86" t="s">
        <v>3903</v>
      </c>
      <c r="C906" s="86" t="s">
        <v>9506</v>
      </c>
      <c r="D906" s="86" t="s">
        <v>49</v>
      </c>
      <c r="E906" s="86" t="s">
        <v>4297</v>
      </c>
      <c r="F906" s="86" t="s">
        <v>36</v>
      </c>
      <c r="G906" s="86">
        <v>796.92</v>
      </c>
    </row>
    <row r="907" spans="1:7">
      <c r="A907" s="86">
        <v>906</v>
      </c>
      <c r="B907" s="86" t="s">
        <v>3824</v>
      </c>
      <c r="C907" s="86" t="s">
        <v>9506</v>
      </c>
      <c r="D907" s="86" t="s">
        <v>406</v>
      </c>
      <c r="E907" s="86" t="s">
        <v>407</v>
      </c>
      <c r="F907" s="86" t="s">
        <v>36</v>
      </c>
      <c r="G907" s="86">
        <v>948.88</v>
      </c>
    </row>
    <row r="908" spans="1:7">
      <c r="A908" s="86">
        <v>907</v>
      </c>
      <c r="B908" s="86" t="s">
        <v>3818</v>
      </c>
      <c r="C908" s="86" t="s">
        <v>9506</v>
      </c>
      <c r="D908" s="86" t="s">
        <v>406</v>
      </c>
      <c r="E908" s="86" t="s">
        <v>407</v>
      </c>
      <c r="F908" s="86" t="s">
        <v>36</v>
      </c>
      <c r="G908" s="86">
        <v>948.88</v>
      </c>
    </row>
    <row r="909" spans="1:7">
      <c r="A909" s="86">
        <v>908</v>
      </c>
      <c r="B909" s="86" t="s">
        <v>5236</v>
      </c>
      <c r="C909" s="86" t="s">
        <v>9506</v>
      </c>
      <c r="D909" s="86" t="s">
        <v>5237</v>
      </c>
      <c r="E909" s="86" t="s">
        <v>35</v>
      </c>
      <c r="F909" s="86" t="s">
        <v>36</v>
      </c>
      <c r="G909" s="86">
        <v>1</v>
      </c>
    </row>
    <row r="910" spans="1:7">
      <c r="A910" s="86">
        <v>909</v>
      </c>
      <c r="B910" s="86" t="s">
        <v>5649</v>
      </c>
      <c r="C910" s="86" t="s">
        <v>9506</v>
      </c>
      <c r="D910" s="86" t="s">
        <v>9524</v>
      </c>
      <c r="E910" s="86" t="s">
        <v>35</v>
      </c>
      <c r="F910" s="86" t="s">
        <v>36</v>
      </c>
      <c r="G910" s="86">
        <v>1</v>
      </c>
    </row>
    <row r="911" spans="1:7">
      <c r="A911" s="86">
        <v>910</v>
      </c>
      <c r="B911" s="86" t="s">
        <v>4954</v>
      </c>
      <c r="C911" s="86" t="s">
        <v>9506</v>
      </c>
      <c r="D911" s="86" t="s">
        <v>2586</v>
      </c>
      <c r="E911" s="86" t="s">
        <v>35</v>
      </c>
      <c r="F911" s="86" t="s">
        <v>36</v>
      </c>
      <c r="G911" s="86">
        <v>1</v>
      </c>
    </row>
    <row r="912" spans="1:7">
      <c r="A912" s="86">
        <v>911</v>
      </c>
      <c r="B912" s="86" t="s">
        <v>6551</v>
      </c>
      <c r="C912" s="86" t="s">
        <v>9506</v>
      </c>
      <c r="D912" s="86" t="s">
        <v>49</v>
      </c>
      <c r="E912" s="86" t="s">
        <v>35</v>
      </c>
      <c r="F912" s="86" t="s">
        <v>36</v>
      </c>
      <c r="G912" s="86">
        <v>1</v>
      </c>
    </row>
    <row r="913" spans="1:7">
      <c r="A913" s="86">
        <v>912</v>
      </c>
      <c r="B913" s="86" t="s">
        <v>6680</v>
      </c>
      <c r="C913" s="86" t="s">
        <v>9506</v>
      </c>
      <c r="D913" s="86" t="s">
        <v>406</v>
      </c>
      <c r="E913" s="86" t="s">
        <v>6681</v>
      </c>
      <c r="F913" s="86">
        <v>12275</v>
      </c>
      <c r="G913" s="86">
        <v>900.16</v>
      </c>
    </row>
    <row r="914" spans="1:7">
      <c r="A914" s="86">
        <v>913</v>
      </c>
      <c r="B914" s="86" t="s">
        <v>6716</v>
      </c>
      <c r="C914" s="86" t="s">
        <v>9506</v>
      </c>
      <c r="D914" s="86" t="s">
        <v>406</v>
      </c>
      <c r="E914" s="86" t="s">
        <v>407</v>
      </c>
      <c r="F914" s="86" t="s">
        <v>36</v>
      </c>
      <c r="G914" s="86">
        <v>948.88</v>
      </c>
    </row>
    <row r="915" spans="1:7">
      <c r="A915" s="86">
        <v>914</v>
      </c>
      <c r="B915" s="86" t="s">
        <v>3755</v>
      </c>
      <c r="C915" s="86" t="s">
        <v>9506</v>
      </c>
      <c r="D915" s="86" t="s">
        <v>406</v>
      </c>
      <c r="E915" s="86" t="s">
        <v>3756</v>
      </c>
      <c r="F915" s="86" t="s">
        <v>36</v>
      </c>
      <c r="G915" s="86">
        <v>1</v>
      </c>
    </row>
    <row r="916" spans="1:7">
      <c r="A916" s="86">
        <v>915</v>
      </c>
      <c r="B916" s="86" t="s">
        <v>5379</v>
      </c>
      <c r="C916" s="86" t="s">
        <v>9506</v>
      </c>
      <c r="D916" s="86" t="s">
        <v>2586</v>
      </c>
      <c r="E916" s="86" t="s">
        <v>35</v>
      </c>
      <c r="F916" s="86" t="s">
        <v>36</v>
      </c>
      <c r="G916" s="86">
        <v>1</v>
      </c>
    </row>
    <row r="917" spans="1:7">
      <c r="A917" s="86">
        <v>916</v>
      </c>
      <c r="B917" s="86" t="s">
        <v>5302</v>
      </c>
      <c r="C917" s="86" t="s">
        <v>9506</v>
      </c>
      <c r="D917" s="86" t="s">
        <v>406</v>
      </c>
      <c r="E917" s="86" t="s">
        <v>35</v>
      </c>
      <c r="F917" s="86" t="s">
        <v>36</v>
      </c>
      <c r="G917" s="86">
        <v>1</v>
      </c>
    </row>
    <row r="918" spans="1:7">
      <c r="A918" s="86">
        <v>917</v>
      </c>
      <c r="B918" s="86" t="s">
        <v>9525</v>
      </c>
      <c r="C918" s="86" t="s">
        <v>9506</v>
      </c>
      <c r="D918" s="86" t="s">
        <v>406</v>
      </c>
      <c r="E918" s="86" t="s">
        <v>407</v>
      </c>
      <c r="F918" s="86" t="s">
        <v>36</v>
      </c>
      <c r="G918" s="86">
        <v>825.92</v>
      </c>
    </row>
    <row r="919" spans="1:7">
      <c r="A919" s="86">
        <v>918</v>
      </c>
      <c r="B919" s="86" t="s">
        <v>5537</v>
      </c>
      <c r="C919" s="86" t="s">
        <v>9506</v>
      </c>
      <c r="D919" s="86" t="s">
        <v>9524</v>
      </c>
      <c r="E919" s="86" t="s">
        <v>35</v>
      </c>
      <c r="F919" s="86" t="s">
        <v>36</v>
      </c>
      <c r="G919" s="86">
        <v>1</v>
      </c>
    </row>
    <row r="920" spans="1:7">
      <c r="A920" s="86">
        <v>919</v>
      </c>
      <c r="B920" s="86" t="s">
        <v>4933</v>
      </c>
      <c r="C920" s="86" t="s">
        <v>9506</v>
      </c>
      <c r="D920" s="86" t="s">
        <v>406</v>
      </c>
      <c r="E920" s="86" t="s">
        <v>407</v>
      </c>
      <c r="F920" s="86" t="s">
        <v>36</v>
      </c>
      <c r="G920" s="86">
        <v>825.92</v>
      </c>
    </row>
    <row r="921" spans="1:7">
      <c r="A921" s="86">
        <v>920</v>
      </c>
      <c r="B921" s="86" t="s">
        <v>5116</v>
      </c>
      <c r="C921" s="86" t="s">
        <v>9506</v>
      </c>
      <c r="D921" s="86" t="s">
        <v>406</v>
      </c>
      <c r="E921" s="86" t="s">
        <v>407</v>
      </c>
      <c r="F921" s="86" t="s">
        <v>36</v>
      </c>
      <c r="G921" s="86">
        <v>825.92</v>
      </c>
    </row>
    <row r="922" spans="1:7">
      <c r="A922" s="86">
        <v>921</v>
      </c>
      <c r="B922" s="86" t="s">
        <v>6832</v>
      </c>
      <c r="C922" s="86" t="s">
        <v>9506</v>
      </c>
      <c r="D922" s="86" t="s">
        <v>5237</v>
      </c>
      <c r="E922" s="86" t="s">
        <v>35</v>
      </c>
      <c r="F922" s="86" t="s">
        <v>36</v>
      </c>
      <c r="G922" s="86">
        <v>1</v>
      </c>
    </row>
    <row r="923" spans="1:7">
      <c r="A923" s="86">
        <v>922</v>
      </c>
      <c r="B923" s="86" t="s">
        <v>4009</v>
      </c>
      <c r="C923" s="86" t="s">
        <v>9506</v>
      </c>
      <c r="D923" s="86" t="s">
        <v>1913</v>
      </c>
      <c r="E923" s="86" t="s">
        <v>35</v>
      </c>
      <c r="F923" s="86" t="s">
        <v>36</v>
      </c>
      <c r="G923" s="86">
        <v>1</v>
      </c>
    </row>
    <row r="924" spans="1:7">
      <c r="A924" s="86">
        <v>923</v>
      </c>
      <c r="B924" s="86" t="s">
        <v>2673</v>
      </c>
      <c r="C924" s="86" t="s">
        <v>9506</v>
      </c>
      <c r="D924" s="86" t="s">
        <v>406</v>
      </c>
      <c r="E924" s="86" t="s">
        <v>2674</v>
      </c>
      <c r="F924" s="86" t="s">
        <v>36</v>
      </c>
      <c r="G924" s="86">
        <v>825.92</v>
      </c>
    </row>
    <row r="925" spans="1:7">
      <c r="A925" s="86">
        <v>924</v>
      </c>
      <c r="B925" s="86" t="s">
        <v>671</v>
      </c>
      <c r="C925" s="86" t="s">
        <v>9506</v>
      </c>
      <c r="D925" s="86" t="s">
        <v>672</v>
      </c>
      <c r="E925" s="86" t="s">
        <v>35</v>
      </c>
      <c r="F925" s="86" t="s">
        <v>674</v>
      </c>
      <c r="G925" s="86">
        <v>1</v>
      </c>
    </row>
    <row r="926" spans="1:7">
      <c r="A926" s="86">
        <v>925</v>
      </c>
      <c r="B926" s="86" t="s">
        <v>897</v>
      </c>
      <c r="C926" s="86" t="s">
        <v>9506</v>
      </c>
      <c r="D926" s="86" t="s">
        <v>898</v>
      </c>
      <c r="E926" s="86" t="s">
        <v>9526</v>
      </c>
      <c r="G926" s="86">
        <v>1184</v>
      </c>
    </row>
    <row r="927" spans="1:7">
      <c r="A927" s="86">
        <v>926</v>
      </c>
      <c r="B927" s="86" t="s">
        <v>4601</v>
      </c>
      <c r="C927" s="86" t="s">
        <v>9506</v>
      </c>
      <c r="D927" s="86" t="s">
        <v>4602</v>
      </c>
      <c r="E927" s="86" t="s">
        <v>35</v>
      </c>
      <c r="F927" s="86" t="s">
        <v>36</v>
      </c>
      <c r="G927" s="86">
        <v>1</v>
      </c>
    </row>
    <row r="928" spans="1:7">
      <c r="A928" s="86">
        <v>927</v>
      </c>
      <c r="B928" s="86" t="s">
        <v>889</v>
      </c>
      <c r="C928" s="86" t="s">
        <v>9506</v>
      </c>
      <c r="D928" s="86" t="s">
        <v>890</v>
      </c>
      <c r="E928" s="86" t="s">
        <v>35</v>
      </c>
      <c r="F928" s="86" t="s">
        <v>36</v>
      </c>
      <c r="G928" s="86">
        <v>1</v>
      </c>
    </row>
    <row r="929" spans="1:8">
      <c r="A929" s="86">
        <v>928</v>
      </c>
      <c r="B929" s="86" t="s">
        <v>2255</v>
      </c>
      <c r="C929" s="86" t="s">
        <v>9506</v>
      </c>
      <c r="D929" s="86" t="s">
        <v>49</v>
      </c>
      <c r="E929" s="86" t="s">
        <v>35</v>
      </c>
      <c r="F929" s="86" t="s">
        <v>36</v>
      </c>
      <c r="G929" s="86">
        <v>1</v>
      </c>
    </row>
    <row r="930" spans="1:8">
      <c r="A930" s="86">
        <v>929</v>
      </c>
      <c r="B930" s="86" t="s">
        <v>1988</v>
      </c>
      <c r="C930" s="86" t="s">
        <v>9506</v>
      </c>
      <c r="D930" s="86" t="s">
        <v>49</v>
      </c>
      <c r="E930" s="86" t="s">
        <v>35</v>
      </c>
      <c r="F930" s="86" t="s">
        <v>36</v>
      </c>
      <c r="G930" s="86">
        <v>1</v>
      </c>
    </row>
    <row r="931" spans="1:8">
      <c r="A931" s="86">
        <v>930</v>
      </c>
      <c r="B931" s="86" t="s">
        <v>421</v>
      </c>
      <c r="C931" s="86" t="s">
        <v>9506</v>
      </c>
      <c r="D931" s="86" t="s">
        <v>406</v>
      </c>
      <c r="E931" s="86" t="s">
        <v>407</v>
      </c>
      <c r="F931" s="86">
        <v>12626</v>
      </c>
      <c r="G931" s="86">
        <v>900.16</v>
      </c>
    </row>
    <row r="932" spans="1:8">
      <c r="A932" s="86">
        <v>931</v>
      </c>
      <c r="B932" s="86" t="s">
        <v>48</v>
      </c>
      <c r="C932" s="86" t="s">
        <v>9506</v>
      </c>
      <c r="D932" s="86" t="s">
        <v>49</v>
      </c>
      <c r="E932" s="86" t="s">
        <v>9527</v>
      </c>
      <c r="F932" s="86" t="s">
        <v>36</v>
      </c>
      <c r="G932" s="86">
        <v>1519.6</v>
      </c>
      <c r="H932" s="221"/>
    </row>
    <row r="933" spans="1:8">
      <c r="A933" s="86">
        <v>932</v>
      </c>
      <c r="B933" s="86" t="s">
        <v>1270</v>
      </c>
      <c r="C933" s="86" t="s">
        <v>9506</v>
      </c>
      <c r="D933" s="86" t="s">
        <v>406</v>
      </c>
      <c r="E933" s="86" t="s">
        <v>35</v>
      </c>
      <c r="F933" s="86" t="s">
        <v>36</v>
      </c>
      <c r="G933" s="86">
        <v>1</v>
      </c>
    </row>
    <row r="934" spans="1:8">
      <c r="A934" s="86">
        <v>933</v>
      </c>
      <c r="B934" s="86" t="s">
        <v>461</v>
      </c>
      <c r="C934" s="86" t="s">
        <v>9506</v>
      </c>
      <c r="D934" s="86" t="s">
        <v>462</v>
      </c>
      <c r="E934" s="86" t="s">
        <v>35</v>
      </c>
      <c r="F934" s="86" t="s">
        <v>463</v>
      </c>
      <c r="G934" s="86">
        <v>1</v>
      </c>
    </row>
    <row r="935" spans="1:8">
      <c r="A935" s="86">
        <v>934</v>
      </c>
      <c r="B935" s="86" t="s">
        <v>405</v>
      </c>
      <c r="C935" s="86" t="s">
        <v>9506</v>
      </c>
      <c r="D935" s="86" t="s">
        <v>406</v>
      </c>
      <c r="E935" s="86" t="s">
        <v>407</v>
      </c>
      <c r="F935" s="86">
        <v>1704186496</v>
      </c>
      <c r="G935" s="86">
        <v>900.16</v>
      </c>
    </row>
    <row r="936" spans="1:8">
      <c r="A936" s="86">
        <v>935</v>
      </c>
      <c r="B936" s="86" t="s">
        <v>414</v>
      </c>
      <c r="C936" s="86" t="s">
        <v>9506</v>
      </c>
      <c r="D936" s="86" t="s">
        <v>406</v>
      </c>
      <c r="E936" s="86" t="s">
        <v>407</v>
      </c>
      <c r="F936" s="86">
        <v>12332</v>
      </c>
      <c r="G936" s="86">
        <v>900.16</v>
      </c>
    </row>
    <row r="937" spans="1:8">
      <c r="A937" s="86">
        <v>936</v>
      </c>
      <c r="B937" s="86" t="s">
        <v>4770</v>
      </c>
      <c r="C937" s="86" t="s">
        <v>9506</v>
      </c>
      <c r="D937" s="86" t="s">
        <v>35</v>
      </c>
      <c r="E937" s="86" t="s">
        <v>35</v>
      </c>
      <c r="F937" s="86" t="s">
        <v>36</v>
      </c>
      <c r="G937" s="86">
        <v>1</v>
      </c>
    </row>
    <row r="938" spans="1:8">
      <c r="A938" s="86">
        <v>937</v>
      </c>
      <c r="B938" s="86" t="s">
        <v>3409</v>
      </c>
      <c r="C938" s="86" t="s">
        <v>9506</v>
      </c>
      <c r="D938" s="86" t="s">
        <v>49</v>
      </c>
      <c r="E938" s="86" t="s">
        <v>4297</v>
      </c>
      <c r="F938" s="86" t="s">
        <v>36</v>
      </c>
      <c r="G938" s="86">
        <v>796.92</v>
      </c>
    </row>
    <row r="939" spans="1:8">
      <c r="A939" s="86">
        <v>938</v>
      </c>
      <c r="B939" s="86" t="s">
        <v>9528</v>
      </c>
      <c r="C939" s="86" t="s">
        <v>162</v>
      </c>
      <c r="D939" s="86" t="s">
        <v>663</v>
      </c>
      <c r="E939" s="86" t="s">
        <v>6779</v>
      </c>
      <c r="F939" s="86" t="s">
        <v>6780</v>
      </c>
      <c r="G939" s="86">
        <v>1</v>
      </c>
    </row>
    <row r="940" spans="1:8">
      <c r="A940" s="86">
        <v>939</v>
      </c>
      <c r="B940" s="86" t="s">
        <v>4851</v>
      </c>
      <c r="C940" s="86" t="s">
        <v>162</v>
      </c>
      <c r="D940" s="86" t="s">
        <v>168</v>
      </c>
      <c r="E940" s="86" t="s">
        <v>169</v>
      </c>
      <c r="F940" s="86" t="s">
        <v>4852</v>
      </c>
      <c r="G940" s="86">
        <v>1</v>
      </c>
    </row>
    <row r="941" spans="1:8">
      <c r="A941" s="86">
        <v>940</v>
      </c>
      <c r="B941" s="86" t="s">
        <v>9529</v>
      </c>
      <c r="C941" s="86" t="s">
        <v>162</v>
      </c>
      <c r="D941" s="86" t="s">
        <v>663</v>
      </c>
      <c r="E941" s="86" t="s">
        <v>6779</v>
      </c>
      <c r="F941" s="86" t="s">
        <v>6796</v>
      </c>
      <c r="G941" s="86">
        <v>1</v>
      </c>
    </row>
    <row r="942" spans="1:8">
      <c r="A942" s="86">
        <v>941</v>
      </c>
      <c r="B942" s="86" t="s">
        <v>9530</v>
      </c>
      <c r="C942" s="86" t="s">
        <v>162</v>
      </c>
      <c r="D942" s="86" t="s">
        <v>663</v>
      </c>
      <c r="E942" s="86" t="s">
        <v>6785</v>
      </c>
      <c r="F942" s="86" t="s">
        <v>6786</v>
      </c>
      <c r="G942" s="86">
        <v>10</v>
      </c>
    </row>
    <row r="943" spans="1:8">
      <c r="A943" s="86">
        <v>942</v>
      </c>
      <c r="B943" s="86" t="s">
        <v>9531</v>
      </c>
      <c r="C943" s="86" t="s">
        <v>162</v>
      </c>
      <c r="D943" s="86" t="s">
        <v>663</v>
      </c>
      <c r="E943" s="86" t="s">
        <v>6779</v>
      </c>
      <c r="F943" s="86" t="s">
        <v>6791</v>
      </c>
      <c r="G943" s="86">
        <v>1</v>
      </c>
    </row>
    <row r="944" spans="1:8">
      <c r="A944" s="86">
        <v>943</v>
      </c>
      <c r="B944" s="86" t="s">
        <v>6800</v>
      </c>
      <c r="C944" s="86" t="s">
        <v>162</v>
      </c>
      <c r="D944" s="86" t="s">
        <v>663</v>
      </c>
      <c r="E944" s="86" t="s">
        <v>35</v>
      </c>
      <c r="F944" s="86" t="s">
        <v>36</v>
      </c>
      <c r="G944" s="86">
        <v>5790</v>
      </c>
    </row>
    <row r="945" spans="1:7">
      <c r="A945" s="86">
        <v>944</v>
      </c>
      <c r="B945" s="86" t="s">
        <v>6778</v>
      </c>
      <c r="C945" s="86" t="s">
        <v>162</v>
      </c>
      <c r="D945" s="86" t="s">
        <v>9532</v>
      </c>
      <c r="E945" s="86" t="s">
        <v>6779</v>
      </c>
      <c r="F945" s="86" t="s">
        <v>6780</v>
      </c>
      <c r="G945" s="86">
        <v>5790</v>
      </c>
    </row>
    <row r="946" spans="1:7">
      <c r="A946" s="86">
        <v>945</v>
      </c>
      <c r="B946" s="86" t="s">
        <v>6784</v>
      </c>
      <c r="C946" s="86" t="s">
        <v>162</v>
      </c>
      <c r="D946" s="86" t="s">
        <v>663</v>
      </c>
      <c r="E946" s="86" t="s">
        <v>35</v>
      </c>
      <c r="F946" s="86" t="s">
        <v>36</v>
      </c>
      <c r="G946" s="86">
        <v>5790</v>
      </c>
    </row>
    <row r="947" spans="1:7">
      <c r="A947" s="86">
        <v>946</v>
      </c>
      <c r="B947" s="86" t="s">
        <v>6790</v>
      </c>
      <c r="C947" s="86" t="s">
        <v>162</v>
      </c>
      <c r="D947" s="86" t="s">
        <v>663</v>
      </c>
      <c r="E947" s="86" t="s">
        <v>35</v>
      </c>
      <c r="F947" s="86" t="s">
        <v>36</v>
      </c>
      <c r="G947" s="86">
        <v>5790</v>
      </c>
    </row>
    <row r="948" spans="1:7">
      <c r="A948" s="86">
        <v>947</v>
      </c>
      <c r="B948" s="86" t="s">
        <v>6795</v>
      </c>
      <c r="C948" s="86" t="s">
        <v>162</v>
      </c>
      <c r="D948" s="86" t="s">
        <v>663</v>
      </c>
      <c r="E948" s="86" t="s">
        <v>35</v>
      </c>
      <c r="F948" s="86" t="s">
        <v>36</v>
      </c>
      <c r="G948" s="86">
        <v>5790</v>
      </c>
    </row>
    <row r="949" spans="1:7">
      <c r="A949" s="86">
        <v>948</v>
      </c>
      <c r="B949" s="86" t="s">
        <v>2848</v>
      </c>
      <c r="C949" s="86" t="s">
        <v>248</v>
      </c>
      <c r="D949" s="86" t="s">
        <v>827</v>
      </c>
      <c r="E949" s="86" t="s">
        <v>9533</v>
      </c>
      <c r="F949" s="86" t="s">
        <v>9534</v>
      </c>
      <c r="G949" s="86">
        <v>2649.44</v>
      </c>
    </row>
    <row r="950" spans="1:7">
      <c r="A950" s="86">
        <v>949</v>
      </c>
      <c r="B950" s="86" t="s">
        <v>1369</v>
      </c>
      <c r="C950" s="86" t="s">
        <v>248</v>
      </c>
      <c r="D950" s="86" t="s">
        <v>303</v>
      </c>
      <c r="E950" s="86" t="s">
        <v>35</v>
      </c>
      <c r="F950" s="86" t="s">
        <v>1371</v>
      </c>
      <c r="G950" s="86">
        <v>1</v>
      </c>
    </row>
    <row r="951" spans="1:7">
      <c r="A951" s="86">
        <v>950</v>
      </c>
      <c r="B951" s="86" t="s">
        <v>6251</v>
      </c>
      <c r="C951" s="86" t="s">
        <v>248</v>
      </c>
      <c r="D951" s="86" t="s">
        <v>978</v>
      </c>
      <c r="E951" s="86" t="s">
        <v>979</v>
      </c>
      <c r="F951" s="86" t="s">
        <v>36</v>
      </c>
      <c r="G951" s="86">
        <v>1011.63</v>
      </c>
    </row>
    <row r="952" spans="1:7">
      <c r="A952" s="86">
        <v>951</v>
      </c>
      <c r="B952" s="86" t="s">
        <v>9535</v>
      </c>
      <c r="C952" s="86" t="s">
        <v>248</v>
      </c>
      <c r="D952" s="86" t="s">
        <v>827</v>
      </c>
      <c r="E952" s="86" t="s">
        <v>9533</v>
      </c>
      <c r="F952" s="86" t="s">
        <v>9534</v>
      </c>
      <c r="G952" s="86">
        <v>2649.44</v>
      </c>
    </row>
    <row r="953" spans="1:7">
      <c r="A953" s="86">
        <v>952</v>
      </c>
      <c r="B953" s="86" t="s">
        <v>9536</v>
      </c>
      <c r="C953" s="86" t="s">
        <v>248</v>
      </c>
      <c r="D953" s="86" t="s">
        <v>978</v>
      </c>
      <c r="E953" s="86" t="s">
        <v>979</v>
      </c>
      <c r="F953" s="86" t="s">
        <v>9537</v>
      </c>
      <c r="G953" s="86">
        <v>1130</v>
      </c>
    </row>
    <row r="954" spans="1:7">
      <c r="A954" s="86">
        <v>953</v>
      </c>
      <c r="B954" s="86" t="s">
        <v>9538</v>
      </c>
      <c r="C954" s="86" t="s">
        <v>248</v>
      </c>
      <c r="D954" s="86" t="s">
        <v>250</v>
      </c>
      <c r="E954" s="86" t="s">
        <v>35</v>
      </c>
      <c r="F954" s="86">
        <v>1002250220687</v>
      </c>
      <c r="G954" s="86">
        <v>1</v>
      </c>
    </row>
    <row r="955" spans="1:7">
      <c r="A955" s="86">
        <v>954</v>
      </c>
      <c r="B955" s="86" t="s">
        <v>977</v>
      </c>
      <c r="C955" s="86" t="s">
        <v>248</v>
      </c>
      <c r="D955" s="86" t="s">
        <v>978</v>
      </c>
      <c r="E955" s="86" t="s">
        <v>979</v>
      </c>
      <c r="F955" s="86">
        <v>190522502261</v>
      </c>
      <c r="G955" s="86">
        <v>1130</v>
      </c>
    </row>
    <row r="956" spans="1:7">
      <c r="A956" s="86">
        <v>955</v>
      </c>
      <c r="B956" s="86" t="s">
        <v>4809</v>
      </c>
      <c r="C956" s="86" t="s">
        <v>248</v>
      </c>
      <c r="D956" s="86" t="s">
        <v>4810</v>
      </c>
      <c r="E956" s="86" t="s">
        <v>35</v>
      </c>
      <c r="F956" s="86">
        <v>114808146</v>
      </c>
      <c r="G956" s="86">
        <v>1690</v>
      </c>
    </row>
    <row r="957" spans="1:7">
      <c r="A957" s="86">
        <v>956</v>
      </c>
      <c r="B957" s="86" t="s">
        <v>3388</v>
      </c>
      <c r="C957" s="86" t="s">
        <v>248</v>
      </c>
      <c r="D957" s="86" t="s">
        <v>978</v>
      </c>
      <c r="E957" s="86" t="s">
        <v>979</v>
      </c>
      <c r="F957" s="86" t="s">
        <v>36</v>
      </c>
      <c r="G957" s="86">
        <v>1130</v>
      </c>
    </row>
    <row r="958" spans="1:7">
      <c r="A958" s="86">
        <v>957</v>
      </c>
      <c r="B958" s="86" t="s">
        <v>4844</v>
      </c>
      <c r="C958" s="86" t="s">
        <v>248</v>
      </c>
      <c r="D958" s="86" t="s">
        <v>978</v>
      </c>
      <c r="E958" s="86" t="s">
        <v>979</v>
      </c>
      <c r="F958" s="86" t="s">
        <v>36</v>
      </c>
      <c r="G958" s="86">
        <v>1130</v>
      </c>
    </row>
    <row r="959" spans="1:7">
      <c r="A959" s="86">
        <v>958</v>
      </c>
      <c r="B959" s="86" t="s">
        <v>4422</v>
      </c>
      <c r="C959" s="86" t="s">
        <v>248</v>
      </c>
      <c r="D959" s="86" t="s">
        <v>303</v>
      </c>
      <c r="E959" s="86" t="s">
        <v>35</v>
      </c>
      <c r="F959" s="86" t="s">
        <v>36</v>
      </c>
      <c r="G959" s="86">
        <v>1</v>
      </c>
    </row>
    <row r="960" spans="1:7">
      <c r="A960" s="86">
        <v>959</v>
      </c>
      <c r="B960" s="86" t="s">
        <v>1439</v>
      </c>
      <c r="C960" s="86" t="s">
        <v>248</v>
      </c>
      <c r="D960" s="86" t="s">
        <v>303</v>
      </c>
      <c r="E960" s="86" t="s">
        <v>35</v>
      </c>
      <c r="F960" s="86" t="s">
        <v>36</v>
      </c>
      <c r="G960" s="86">
        <v>1</v>
      </c>
    </row>
    <row r="961" spans="1:7">
      <c r="A961" s="86">
        <v>960</v>
      </c>
      <c r="B961" s="86" t="s">
        <v>1757</v>
      </c>
      <c r="C961" s="86" t="s">
        <v>248</v>
      </c>
      <c r="D961" s="86" t="s">
        <v>303</v>
      </c>
      <c r="E961" s="86" t="s">
        <v>35</v>
      </c>
      <c r="F961" s="86" t="s">
        <v>1758</v>
      </c>
      <c r="G961" s="86">
        <v>1</v>
      </c>
    </row>
    <row r="962" spans="1:7">
      <c r="A962" s="86">
        <v>961</v>
      </c>
      <c r="B962" s="86" t="s">
        <v>1232</v>
      </c>
      <c r="C962" s="86" t="s">
        <v>248</v>
      </c>
      <c r="D962" s="86" t="s">
        <v>978</v>
      </c>
      <c r="E962" s="86" t="s">
        <v>979</v>
      </c>
      <c r="F962" s="86" t="s">
        <v>36</v>
      </c>
      <c r="G962" s="86">
        <v>1130</v>
      </c>
    </row>
    <row r="963" spans="1:7">
      <c r="A963" s="86">
        <v>962</v>
      </c>
      <c r="B963" s="86" t="s">
        <v>4892</v>
      </c>
      <c r="C963" s="86" t="s">
        <v>248</v>
      </c>
      <c r="D963" s="86" t="s">
        <v>978</v>
      </c>
      <c r="E963" s="86" t="s">
        <v>979</v>
      </c>
      <c r="F963" s="86">
        <v>190522502262</v>
      </c>
      <c r="G963" s="86">
        <v>1130</v>
      </c>
    </row>
    <row r="964" spans="1:7">
      <c r="A964" s="86">
        <v>963</v>
      </c>
      <c r="B964" s="86" t="s">
        <v>6820</v>
      </c>
      <c r="C964" s="86" t="s">
        <v>248</v>
      </c>
      <c r="D964" s="86" t="s">
        <v>978</v>
      </c>
      <c r="E964" s="86" t="s">
        <v>979</v>
      </c>
      <c r="F964" s="86" t="s">
        <v>36</v>
      </c>
      <c r="G964" s="86">
        <v>1011.64</v>
      </c>
    </row>
    <row r="965" spans="1:7">
      <c r="A965" s="86">
        <v>964</v>
      </c>
      <c r="B965" s="86" t="s">
        <v>5184</v>
      </c>
      <c r="C965" s="86" t="s">
        <v>248</v>
      </c>
      <c r="D965" s="86" t="s">
        <v>978</v>
      </c>
      <c r="E965" s="86" t="s">
        <v>979</v>
      </c>
      <c r="F965" s="86" t="s">
        <v>9539</v>
      </c>
      <c r="G965" s="86">
        <v>1130</v>
      </c>
    </row>
    <row r="966" spans="1:7">
      <c r="A966" s="86">
        <v>965</v>
      </c>
      <c r="B966" s="86" t="s">
        <v>5713</v>
      </c>
      <c r="C966" s="86" t="s">
        <v>248</v>
      </c>
      <c r="D966" s="86" t="s">
        <v>978</v>
      </c>
      <c r="E966" s="86" t="s">
        <v>979</v>
      </c>
      <c r="F966" s="86" t="s">
        <v>9537</v>
      </c>
      <c r="G966" s="86">
        <v>1130</v>
      </c>
    </row>
    <row r="967" spans="1:7">
      <c r="A967" s="86">
        <v>966</v>
      </c>
      <c r="B967" s="86" t="s">
        <v>5272</v>
      </c>
      <c r="C967" s="86" t="s">
        <v>248</v>
      </c>
      <c r="D967" s="86" t="s">
        <v>978</v>
      </c>
      <c r="E967" s="86" t="s">
        <v>979</v>
      </c>
      <c r="F967" s="86" t="s">
        <v>36</v>
      </c>
      <c r="G967" s="86">
        <v>1011.64</v>
      </c>
    </row>
    <row r="968" spans="1:7">
      <c r="A968" s="86">
        <v>967</v>
      </c>
      <c r="B968" s="86" t="s">
        <v>5552</v>
      </c>
      <c r="C968" s="86" t="s">
        <v>248</v>
      </c>
      <c r="D968" s="86" t="s">
        <v>978</v>
      </c>
      <c r="E968" s="86" t="s">
        <v>979</v>
      </c>
      <c r="F968" s="86" t="s">
        <v>36</v>
      </c>
      <c r="G968" s="86">
        <v>1011.64</v>
      </c>
    </row>
    <row r="969" spans="1:7">
      <c r="A969" s="86">
        <v>968</v>
      </c>
      <c r="B969" s="86" t="s">
        <v>5420</v>
      </c>
      <c r="C969" s="86" t="s">
        <v>248</v>
      </c>
      <c r="D969" s="86" t="s">
        <v>978</v>
      </c>
      <c r="E969" s="86" t="s">
        <v>979</v>
      </c>
      <c r="F969" s="86" t="s">
        <v>36</v>
      </c>
      <c r="G969" s="86">
        <v>1011.64</v>
      </c>
    </row>
    <row r="970" spans="1:7">
      <c r="A970" s="86">
        <v>969</v>
      </c>
      <c r="B970" s="86" t="s">
        <v>3207</v>
      </c>
      <c r="C970" s="86" t="s">
        <v>248</v>
      </c>
      <c r="D970" s="86" t="s">
        <v>978</v>
      </c>
      <c r="E970" s="86" t="s">
        <v>979</v>
      </c>
      <c r="F970" s="86" t="s">
        <v>36</v>
      </c>
      <c r="G970" s="86">
        <v>1011.64</v>
      </c>
    </row>
    <row r="971" spans="1:7">
      <c r="A971" s="86">
        <v>970</v>
      </c>
      <c r="B971" s="86" t="s">
        <v>6505</v>
      </c>
      <c r="C971" s="86" t="s">
        <v>248</v>
      </c>
      <c r="D971" s="86" t="s">
        <v>9540</v>
      </c>
      <c r="E971" s="86" t="s">
        <v>35</v>
      </c>
      <c r="F971" s="86" t="s">
        <v>36</v>
      </c>
      <c r="G971" s="86">
        <v>1350</v>
      </c>
    </row>
    <row r="972" spans="1:7">
      <c r="A972" s="86">
        <v>971</v>
      </c>
      <c r="B972" s="86" t="s">
        <v>5669</v>
      </c>
      <c r="C972" s="86" t="s">
        <v>248</v>
      </c>
      <c r="D972" s="86" t="s">
        <v>978</v>
      </c>
      <c r="E972" s="86" t="s">
        <v>979</v>
      </c>
      <c r="F972" s="86" t="s">
        <v>36</v>
      </c>
      <c r="G972" s="86">
        <v>1011.64</v>
      </c>
    </row>
    <row r="973" spans="1:7">
      <c r="A973" s="86">
        <v>972</v>
      </c>
      <c r="B973" s="86" t="s">
        <v>3401</v>
      </c>
      <c r="C973" s="86" t="s">
        <v>248</v>
      </c>
      <c r="D973" s="86" t="s">
        <v>7298</v>
      </c>
      <c r="E973" s="86" t="s">
        <v>35</v>
      </c>
      <c r="F973" s="86" t="s">
        <v>36</v>
      </c>
      <c r="G973" s="86">
        <v>1</v>
      </c>
    </row>
    <row r="974" spans="1:7">
      <c r="A974" s="86">
        <v>973</v>
      </c>
      <c r="B974" s="86" t="s">
        <v>4346</v>
      </c>
      <c r="C974" s="86" t="s">
        <v>248</v>
      </c>
      <c r="D974" s="86" t="s">
        <v>978</v>
      </c>
      <c r="E974" s="86" t="s">
        <v>979</v>
      </c>
      <c r="F974" s="86" t="s">
        <v>36</v>
      </c>
      <c r="G974" s="86">
        <v>1011.64</v>
      </c>
    </row>
    <row r="975" spans="1:7">
      <c r="A975" s="86">
        <v>974</v>
      </c>
      <c r="B975" s="86" t="s">
        <v>4397</v>
      </c>
      <c r="C975" s="86" t="s">
        <v>248</v>
      </c>
      <c r="D975" s="86" t="s">
        <v>978</v>
      </c>
      <c r="E975" s="86" t="s">
        <v>979</v>
      </c>
      <c r="F975" s="86" t="s">
        <v>36</v>
      </c>
      <c r="G975" s="86">
        <v>1130</v>
      </c>
    </row>
    <row r="976" spans="1:7">
      <c r="A976" s="86">
        <v>975</v>
      </c>
      <c r="B976" s="86" t="s">
        <v>4149</v>
      </c>
      <c r="C976" s="86" t="s">
        <v>248</v>
      </c>
      <c r="D976" s="86" t="s">
        <v>978</v>
      </c>
      <c r="E976" s="86" t="s">
        <v>979</v>
      </c>
      <c r="F976" s="86" t="s">
        <v>36</v>
      </c>
      <c r="G976" s="86">
        <v>1130</v>
      </c>
    </row>
    <row r="977" spans="1:7">
      <c r="A977" s="86">
        <v>976</v>
      </c>
      <c r="B977" s="86" t="s">
        <v>3456</v>
      </c>
      <c r="C977" s="86" t="s">
        <v>248</v>
      </c>
      <c r="D977" s="86" t="s">
        <v>35</v>
      </c>
      <c r="E977" s="86" t="s">
        <v>35</v>
      </c>
      <c r="F977" s="86" t="s">
        <v>36</v>
      </c>
      <c r="G977" s="86">
        <v>1</v>
      </c>
    </row>
    <row r="978" spans="1:7">
      <c r="A978" s="86">
        <v>977</v>
      </c>
      <c r="B978" s="86" t="s">
        <v>3552</v>
      </c>
      <c r="C978" s="86" t="s">
        <v>248</v>
      </c>
      <c r="D978" s="86" t="s">
        <v>978</v>
      </c>
      <c r="E978" s="86" t="s">
        <v>979</v>
      </c>
      <c r="F978" s="86" t="s">
        <v>36</v>
      </c>
      <c r="G978" s="86">
        <v>1130</v>
      </c>
    </row>
    <row r="979" spans="1:7">
      <c r="A979" s="86">
        <v>978</v>
      </c>
      <c r="B979" s="86" t="s">
        <v>4528</v>
      </c>
      <c r="C979" s="86" t="s">
        <v>248</v>
      </c>
      <c r="D979" s="86" t="s">
        <v>978</v>
      </c>
      <c r="E979" s="86" t="s">
        <v>979</v>
      </c>
      <c r="F979" s="86" t="s">
        <v>36</v>
      </c>
      <c r="G979" s="86">
        <v>1130</v>
      </c>
    </row>
    <row r="980" spans="1:7">
      <c r="A980" s="86">
        <v>979</v>
      </c>
      <c r="B980" s="86" t="s">
        <v>4099</v>
      </c>
      <c r="C980" s="86" t="s">
        <v>248</v>
      </c>
      <c r="D980" s="86" t="s">
        <v>978</v>
      </c>
      <c r="E980" s="86" t="s">
        <v>979</v>
      </c>
      <c r="F980" s="86" t="s">
        <v>36</v>
      </c>
      <c r="G980" s="86">
        <v>1130</v>
      </c>
    </row>
    <row r="981" spans="1:7">
      <c r="A981" s="86">
        <v>980</v>
      </c>
      <c r="B981" s="86" t="s">
        <v>4022</v>
      </c>
      <c r="C981" s="86" t="s">
        <v>248</v>
      </c>
      <c r="D981" s="86" t="s">
        <v>978</v>
      </c>
      <c r="E981" s="86" t="s">
        <v>979</v>
      </c>
      <c r="F981" s="86" t="s">
        <v>36</v>
      </c>
      <c r="G981" s="86">
        <v>1130</v>
      </c>
    </row>
    <row r="982" spans="1:7">
      <c r="A982" s="86">
        <v>981</v>
      </c>
      <c r="B982" s="86" t="s">
        <v>5328</v>
      </c>
      <c r="C982" s="86" t="s">
        <v>248</v>
      </c>
      <c r="D982" s="86" t="s">
        <v>978</v>
      </c>
      <c r="E982" s="86" t="s">
        <v>979</v>
      </c>
      <c r="F982" s="86" t="s">
        <v>36</v>
      </c>
      <c r="G982" s="86">
        <v>1011.64</v>
      </c>
    </row>
    <row r="983" spans="1:7">
      <c r="A983" s="86">
        <v>982</v>
      </c>
      <c r="B983" s="86" t="s">
        <v>3776</v>
      </c>
      <c r="C983" s="86" t="s">
        <v>248</v>
      </c>
      <c r="D983" s="86" t="s">
        <v>978</v>
      </c>
      <c r="E983" s="86" t="s">
        <v>3777</v>
      </c>
      <c r="F983" s="86" t="s">
        <v>36</v>
      </c>
      <c r="G983" s="86">
        <v>1011.63</v>
      </c>
    </row>
    <row r="984" spans="1:7">
      <c r="A984" s="86">
        <v>983</v>
      </c>
      <c r="B984" s="86" t="s">
        <v>9541</v>
      </c>
      <c r="C984" s="86" t="s">
        <v>248</v>
      </c>
      <c r="D984" s="86" t="s">
        <v>2540</v>
      </c>
      <c r="E984" s="86" t="s">
        <v>2541</v>
      </c>
      <c r="F984" s="86" t="s">
        <v>36</v>
      </c>
      <c r="G984" s="86">
        <v>2086.84</v>
      </c>
    </row>
    <row r="985" spans="1:7">
      <c r="A985" s="86">
        <v>984</v>
      </c>
      <c r="B985" s="86" t="s">
        <v>2411</v>
      </c>
      <c r="C985" s="86" t="s">
        <v>248</v>
      </c>
      <c r="D985" s="86" t="s">
        <v>303</v>
      </c>
      <c r="E985" s="86" t="s">
        <v>35</v>
      </c>
      <c r="F985" s="86" t="s">
        <v>36</v>
      </c>
      <c r="G985" s="86">
        <v>1</v>
      </c>
    </row>
    <row r="986" spans="1:7">
      <c r="A986" s="86">
        <v>985</v>
      </c>
      <c r="B986" s="86" t="s">
        <v>1953</v>
      </c>
      <c r="C986" s="86" t="s">
        <v>248</v>
      </c>
      <c r="D986" s="86" t="s">
        <v>250</v>
      </c>
      <c r="E986" s="86" t="s">
        <v>35</v>
      </c>
      <c r="F986" s="86" t="s">
        <v>36</v>
      </c>
      <c r="G986" s="86">
        <v>1</v>
      </c>
    </row>
    <row r="987" spans="1:7">
      <c r="A987" s="86">
        <v>986</v>
      </c>
      <c r="B987" s="86" t="s">
        <v>1794</v>
      </c>
      <c r="C987" s="86" t="s">
        <v>248</v>
      </c>
      <c r="D987" s="86" t="s">
        <v>978</v>
      </c>
      <c r="E987" s="86" t="s">
        <v>35</v>
      </c>
      <c r="F987" s="86" t="s">
        <v>36</v>
      </c>
      <c r="G987" s="86">
        <v>1130</v>
      </c>
    </row>
    <row r="988" spans="1:7">
      <c r="A988" s="86">
        <v>987</v>
      </c>
      <c r="B988" s="86" t="s">
        <v>1725</v>
      </c>
      <c r="C988" s="86" t="s">
        <v>248</v>
      </c>
      <c r="D988" s="86" t="s">
        <v>303</v>
      </c>
      <c r="E988" s="86" t="s">
        <v>35</v>
      </c>
      <c r="F988" s="86" t="s">
        <v>36</v>
      </c>
      <c r="G988" s="86">
        <v>1</v>
      </c>
    </row>
    <row r="989" spans="1:7">
      <c r="A989" s="86">
        <v>988</v>
      </c>
      <c r="B989" s="86" t="s">
        <v>1861</v>
      </c>
      <c r="C989" s="86" t="s">
        <v>353</v>
      </c>
      <c r="D989" s="86" t="s">
        <v>359</v>
      </c>
      <c r="E989" s="86" t="s">
        <v>35</v>
      </c>
      <c r="F989" s="86" t="s">
        <v>36</v>
      </c>
      <c r="G989" s="86">
        <v>406</v>
      </c>
    </row>
    <row r="990" spans="1:7">
      <c r="A990" s="86">
        <v>989</v>
      </c>
      <c r="B990" s="86" t="s">
        <v>3097</v>
      </c>
      <c r="C990" s="86" t="s">
        <v>353</v>
      </c>
      <c r="D990" s="86" t="s">
        <v>359</v>
      </c>
      <c r="E990" s="86" t="s">
        <v>9490</v>
      </c>
      <c r="F990" s="86" t="s">
        <v>36</v>
      </c>
      <c r="G990" s="86">
        <v>349.16</v>
      </c>
    </row>
    <row r="991" spans="1:7">
      <c r="A991" s="86">
        <v>990</v>
      </c>
      <c r="B991" s="86" t="s">
        <v>2920</v>
      </c>
      <c r="C991" s="86" t="s">
        <v>353</v>
      </c>
      <c r="D991" s="86" t="s">
        <v>359</v>
      </c>
      <c r="E991" s="86">
        <v>1350</v>
      </c>
      <c r="F991" s="86" t="s">
        <v>2921</v>
      </c>
      <c r="G991" s="86">
        <v>406</v>
      </c>
    </row>
    <row r="992" spans="1:7">
      <c r="A992" s="86">
        <v>991</v>
      </c>
      <c r="B992" s="86" t="s">
        <v>4706</v>
      </c>
      <c r="C992" s="86" t="s">
        <v>353</v>
      </c>
      <c r="D992" s="86" t="s">
        <v>359</v>
      </c>
      <c r="E992" s="86" t="s">
        <v>9490</v>
      </c>
      <c r="F992" s="86" t="s">
        <v>36</v>
      </c>
      <c r="G992" s="86">
        <v>406</v>
      </c>
    </row>
    <row r="993" spans="1:7">
      <c r="A993" s="86">
        <v>992</v>
      </c>
      <c r="B993" s="86" t="s">
        <v>6723</v>
      </c>
      <c r="C993" s="86" t="s">
        <v>353</v>
      </c>
      <c r="D993" s="86" t="s">
        <v>359</v>
      </c>
      <c r="E993" s="86" t="s">
        <v>360</v>
      </c>
      <c r="F993" s="86" t="s">
        <v>36</v>
      </c>
      <c r="G993" s="86">
        <v>349.16</v>
      </c>
    </row>
    <row r="994" spans="1:7">
      <c r="A994" s="86">
        <v>993</v>
      </c>
      <c r="B994" s="86" t="s">
        <v>1413</v>
      </c>
      <c r="C994" s="86" t="s">
        <v>353</v>
      </c>
      <c r="D994" s="86" t="s">
        <v>359</v>
      </c>
      <c r="E994" s="86">
        <v>71516174</v>
      </c>
      <c r="F994" s="86" t="s">
        <v>36</v>
      </c>
      <c r="G994" s="86">
        <v>406</v>
      </c>
    </row>
    <row r="995" spans="1:7">
      <c r="A995" s="86">
        <v>994</v>
      </c>
      <c r="B995" s="86" t="s">
        <v>5191</v>
      </c>
      <c r="C995" s="86" t="s">
        <v>353</v>
      </c>
      <c r="D995" s="86" t="s">
        <v>827</v>
      </c>
      <c r="E995" s="86" t="s">
        <v>9542</v>
      </c>
      <c r="F995" s="86" t="s">
        <v>36</v>
      </c>
      <c r="G995" s="86">
        <v>1</v>
      </c>
    </row>
    <row r="996" spans="1:7">
      <c r="A996" s="86">
        <v>995</v>
      </c>
      <c r="B996" s="86" t="s">
        <v>1337</v>
      </c>
      <c r="C996" s="86" t="s">
        <v>353</v>
      </c>
      <c r="D996" s="86" t="s">
        <v>359</v>
      </c>
      <c r="E996" s="86" t="s">
        <v>35</v>
      </c>
      <c r="F996" s="86" t="s">
        <v>9490</v>
      </c>
      <c r="G996" s="86">
        <v>350</v>
      </c>
    </row>
    <row r="997" spans="1:7">
      <c r="A997" s="86">
        <v>996</v>
      </c>
      <c r="B997" s="86" t="s">
        <v>358</v>
      </c>
      <c r="C997" s="86" t="s">
        <v>353</v>
      </c>
      <c r="D997" s="86" t="s">
        <v>359</v>
      </c>
      <c r="E997" s="86" t="s">
        <v>35</v>
      </c>
      <c r="F997" s="86" t="s">
        <v>9543</v>
      </c>
      <c r="G997" s="86">
        <v>406</v>
      </c>
    </row>
    <row r="998" spans="1:7">
      <c r="A998" s="86">
        <v>997</v>
      </c>
      <c r="B998" s="86" t="s">
        <v>3382</v>
      </c>
      <c r="C998" s="86" t="s">
        <v>353</v>
      </c>
      <c r="D998" s="86" t="s">
        <v>359</v>
      </c>
      <c r="E998" s="86" t="s">
        <v>9490</v>
      </c>
      <c r="F998" s="86" t="s">
        <v>36</v>
      </c>
      <c r="G998" s="86">
        <v>406</v>
      </c>
    </row>
    <row r="999" spans="1:7">
      <c r="A999" s="86">
        <v>998</v>
      </c>
      <c r="B999" s="86" t="s">
        <v>3415</v>
      </c>
      <c r="C999" s="86" t="s">
        <v>353</v>
      </c>
      <c r="D999" s="86" t="s">
        <v>250</v>
      </c>
      <c r="E999" s="86" t="s">
        <v>35</v>
      </c>
      <c r="F999" s="86" t="s">
        <v>36</v>
      </c>
      <c r="G999" s="86">
        <v>1</v>
      </c>
    </row>
    <row r="1000" spans="1:7">
      <c r="A1000" s="86">
        <v>999</v>
      </c>
      <c r="B1000" s="86" t="s">
        <v>2269</v>
      </c>
      <c r="C1000" s="86" t="s">
        <v>353</v>
      </c>
      <c r="D1000" s="86" t="s">
        <v>359</v>
      </c>
      <c r="E1000" s="86" t="s">
        <v>35</v>
      </c>
      <c r="F1000" s="86" t="s">
        <v>36</v>
      </c>
      <c r="G1000" s="86">
        <v>406</v>
      </c>
    </row>
    <row r="1001" spans="1:7">
      <c r="A1001" s="86">
        <v>1000</v>
      </c>
      <c r="B1001" s="86" t="s">
        <v>479</v>
      </c>
      <c r="C1001" s="86" t="s">
        <v>353</v>
      </c>
      <c r="D1001" s="86" t="s">
        <v>480</v>
      </c>
      <c r="E1001" s="86">
        <v>1300</v>
      </c>
      <c r="F1001" s="86" t="s">
        <v>36</v>
      </c>
      <c r="G1001" s="86">
        <v>574.20000000000005</v>
      </c>
    </row>
    <row r="1002" spans="1:7">
      <c r="A1002" s="86">
        <v>1001</v>
      </c>
      <c r="B1002" s="86" t="s">
        <v>937</v>
      </c>
      <c r="C1002" s="86" t="s">
        <v>353</v>
      </c>
      <c r="D1002" s="86" t="s">
        <v>359</v>
      </c>
      <c r="E1002" s="86" t="s">
        <v>9490</v>
      </c>
      <c r="F1002" s="86" t="s">
        <v>36</v>
      </c>
      <c r="G1002" s="86">
        <v>349.16</v>
      </c>
    </row>
    <row r="1003" spans="1:7">
      <c r="A1003" s="86">
        <v>1002</v>
      </c>
      <c r="B1003" s="86" t="s">
        <v>1044</v>
      </c>
      <c r="C1003" s="86" t="s">
        <v>353</v>
      </c>
      <c r="D1003" s="86" t="s">
        <v>359</v>
      </c>
      <c r="E1003" s="86" t="s">
        <v>9544</v>
      </c>
      <c r="F1003" s="86">
        <v>161139011</v>
      </c>
      <c r="G1003" s="86">
        <v>448.92</v>
      </c>
    </row>
    <row r="1004" spans="1:7">
      <c r="A1004" s="86">
        <v>1003</v>
      </c>
      <c r="B1004" s="86" t="s">
        <v>3182</v>
      </c>
      <c r="C1004" s="86" t="s">
        <v>353</v>
      </c>
      <c r="D1004" s="86" t="s">
        <v>359</v>
      </c>
      <c r="E1004" s="86" t="s">
        <v>938</v>
      </c>
      <c r="F1004" s="86">
        <v>161039232</v>
      </c>
      <c r="G1004" s="86">
        <v>349.16</v>
      </c>
    </row>
    <row r="1005" spans="1:7">
      <c r="A1005" s="86">
        <v>1004</v>
      </c>
      <c r="B1005" s="86" t="s">
        <v>642</v>
      </c>
      <c r="C1005" s="86" t="s">
        <v>353</v>
      </c>
      <c r="D1005" s="86" t="s">
        <v>359</v>
      </c>
      <c r="E1005" s="86" t="s">
        <v>35</v>
      </c>
      <c r="F1005" s="171">
        <v>13632236</v>
      </c>
      <c r="G1005" s="86">
        <v>350</v>
      </c>
    </row>
    <row r="1006" spans="1:7">
      <c r="A1006" s="86">
        <v>1005</v>
      </c>
      <c r="B1006" s="86" t="s">
        <v>6304</v>
      </c>
      <c r="C1006" s="86" t="s">
        <v>353</v>
      </c>
      <c r="D1006" s="86" t="s">
        <v>6305</v>
      </c>
      <c r="E1006" s="86" t="s">
        <v>35</v>
      </c>
      <c r="F1006" s="86" t="s">
        <v>36</v>
      </c>
      <c r="G1006" s="86">
        <v>1350</v>
      </c>
    </row>
    <row r="1007" spans="1:7">
      <c r="A1007" s="86">
        <v>1006</v>
      </c>
      <c r="B1007" s="86" t="s">
        <v>4214</v>
      </c>
      <c r="C1007" s="86" t="s">
        <v>353</v>
      </c>
      <c r="D1007" s="86" t="s">
        <v>359</v>
      </c>
      <c r="E1007" s="86" t="s">
        <v>360</v>
      </c>
      <c r="F1007" s="86" t="s">
        <v>36</v>
      </c>
      <c r="G1007" s="86">
        <v>1</v>
      </c>
    </row>
    <row r="1008" spans="1:7">
      <c r="A1008" s="86">
        <v>1007</v>
      </c>
      <c r="B1008" s="86" t="s">
        <v>4303</v>
      </c>
      <c r="C1008" s="86" t="s">
        <v>353</v>
      </c>
      <c r="D1008" s="86" t="s">
        <v>359</v>
      </c>
      <c r="E1008" s="86">
        <v>1200</v>
      </c>
      <c r="F1008" s="86" t="s">
        <v>4304</v>
      </c>
      <c r="G1008" s="86">
        <v>1</v>
      </c>
    </row>
    <row r="1009" spans="1:8">
      <c r="A1009" s="86">
        <v>1008</v>
      </c>
      <c r="B1009" s="86" t="s">
        <v>9545</v>
      </c>
      <c r="C1009" s="86" t="s">
        <v>353</v>
      </c>
      <c r="D1009" s="86" t="s">
        <v>6506</v>
      </c>
      <c r="E1009" s="86" t="s">
        <v>9546</v>
      </c>
      <c r="F1009" s="86" t="s">
        <v>36</v>
      </c>
      <c r="G1009" s="86">
        <v>1</v>
      </c>
    </row>
    <row r="1010" spans="1:8">
      <c r="A1010" s="86">
        <v>1009</v>
      </c>
      <c r="B1010" s="86" t="s">
        <v>6564</v>
      </c>
      <c r="C1010" s="86" t="s">
        <v>353</v>
      </c>
      <c r="D1010" s="86" t="s">
        <v>6566</v>
      </c>
      <c r="E1010" s="86" t="s">
        <v>35</v>
      </c>
      <c r="F1010" s="86" t="s">
        <v>36</v>
      </c>
      <c r="G1010" s="86">
        <v>1</v>
      </c>
    </row>
    <row r="1011" spans="1:8">
      <c r="A1011" s="86">
        <v>1010</v>
      </c>
      <c r="B1011" s="86" t="s">
        <v>9547</v>
      </c>
      <c r="C1011" s="86" t="s">
        <v>9548</v>
      </c>
      <c r="G1011" s="86">
        <v>713.4</v>
      </c>
    </row>
    <row r="1012" spans="1:8">
      <c r="A1012" s="86">
        <v>1011</v>
      </c>
      <c r="B1012" s="86" t="s">
        <v>6105</v>
      </c>
      <c r="C1012" s="86" t="s">
        <v>9549</v>
      </c>
      <c r="D1012" s="86" t="s">
        <v>4684</v>
      </c>
      <c r="E1012" s="86" t="s">
        <v>9550</v>
      </c>
      <c r="F1012" s="86" t="s">
        <v>36</v>
      </c>
      <c r="G1012" s="86">
        <v>1</v>
      </c>
    </row>
    <row r="1013" spans="1:8">
      <c r="A1013" s="86">
        <v>1012</v>
      </c>
      <c r="B1013" s="86" t="s">
        <v>9551</v>
      </c>
      <c r="C1013" s="86" t="s">
        <v>9552</v>
      </c>
      <c r="G1013" s="86">
        <v>73800.36</v>
      </c>
    </row>
    <row r="1014" spans="1:8">
      <c r="A1014" s="86">
        <v>1013</v>
      </c>
      <c r="B1014" s="86" t="s">
        <v>9553</v>
      </c>
      <c r="C1014" s="86" t="s">
        <v>9554</v>
      </c>
      <c r="G1014" s="86">
        <v>13029.12</v>
      </c>
    </row>
    <row r="1015" spans="1:8">
      <c r="A1015" s="86">
        <v>1014</v>
      </c>
      <c r="B1015" s="86" t="s">
        <v>9555</v>
      </c>
      <c r="C1015" s="86" t="s">
        <v>9556</v>
      </c>
      <c r="G1015" s="86">
        <v>73214</v>
      </c>
    </row>
    <row r="1016" spans="1:8">
      <c r="A1016" s="86"/>
      <c r="B1016" s="86"/>
      <c r="C1016" s="86"/>
      <c r="G1016" s="167">
        <f t="shared" ref="G1016:H1016" si="0">SUM(G2:G1015)</f>
        <v>1897395.7199999974</v>
      </c>
      <c r="H1016" s="167">
        <f t="shared" si="0"/>
        <v>0</v>
      </c>
    </row>
  </sheetData>
  <autoFilter ref="A1:G1016"/>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O1600"/>
  <sheetViews>
    <sheetView workbookViewId="0">
      <pane ySplit="29" topLeftCell="A30" activePane="bottomLeft" state="frozen"/>
      <selection pane="bottomLeft" activeCell="B31" sqref="B31"/>
    </sheetView>
  </sheetViews>
  <sheetFormatPr baseColWidth="10" defaultColWidth="12.5703125" defaultRowHeight="15.75" customHeight="1"/>
  <cols>
    <col min="1" max="1" width="24.85546875" customWidth="1"/>
    <col min="2" max="2" width="42" customWidth="1"/>
    <col min="5" max="5" width="16.5703125" customWidth="1"/>
    <col min="6" max="6" width="46.42578125" customWidth="1"/>
    <col min="7" max="7" width="55.85546875" customWidth="1"/>
    <col min="8" max="8" width="36.85546875" customWidth="1"/>
    <col min="9" max="9" width="35.42578125" customWidth="1"/>
    <col min="10" max="10" width="28.5703125" customWidth="1"/>
    <col min="11" max="11" width="44.42578125" customWidth="1"/>
    <col min="12" max="12" width="60.42578125" customWidth="1"/>
    <col min="13" max="13" width="64.42578125" customWidth="1"/>
    <col min="14" max="14" width="20.140625" customWidth="1"/>
  </cols>
  <sheetData>
    <row r="1" spans="3:15" ht="30">
      <c r="C1" s="206"/>
      <c r="D1" s="206"/>
      <c r="E1" s="207"/>
      <c r="F1" s="207"/>
      <c r="G1" s="207"/>
      <c r="H1" s="207"/>
      <c r="I1" s="207"/>
      <c r="J1" s="207"/>
      <c r="K1" s="207"/>
      <c r="L1" s="207"/>
      <c r="M1" s="207"/>
      <c r="N1" s="207"/>
      <c r="O1" s="206"/>
    </row>
    <row r="2" spans="3:15" ht="30">
      <c r="C2" s="206"/>
      <c r="D2" s="206"/>
      <c r="E2" s="207"/>
      <c r="F2" s="255" t="s">
        <v>8488</v>
      </c>
      <c r="G2" s="254"/>
      <c r="H2" s="254"/>
      <c r="I2" s="254"/>
      <c r="J2" s="254"/>
      <c r="K2" s="254"/>
      <c r="L2" s="254"/>
      <c r="M2" s="254"/>
      <c r="N2" s="207"/>
      <c r="O2" s="206"/>
    </row>
    <row r="3" spans="3:15" ht="30">
      <c r="C3" s="206"/>
      <c r="D3" s="206"/>
      <c r="E3" s="207"/>
      <c r="F3" s="254"/>
      <c r="G3" s="254"/>
      <c r="H3" s="254"/>
      <c r="I3" s="254"/>
      <c r="J3" s="254"/>
      <c r="K3" s="254"/>
      <c r="L3" s="254"/>
      <c r="M3" s="254"/>
      <c r="N3" s="207"/>
      <c r="O3" s="206"/>
    </row>
    <row r="4" spans="3:15" ht="30">
      <c r="C4" s="206"/>
      <c r="D4" s="206"/>
      <c r="E4" s="207"/>
      <c r="F4" s="254"/>
      <c r="G4" s="254"/>
      <c r="H4" s="254"/>
      <c r="I4" s="254"/>
      <c r="J4" s="254"/>
      <c r="K4" s="254"/>
      <c r="L4" s="254"/>
      <c r="M4" s="254"/>
      <c r="N4" s="207"/>
      <c r="O4" s="206"/>
    </row>
    <row r="5" spans="3:15" ht="30">
      <c r="C5" s="206"/>
      <c r="D5" s="206"/>
      <c r="E5" s="207"/>
      <c r="F5" s="254"/>
      <c r="G5" s="254"/>
      <c r="H5" s="254"/>
      <c r="I5" s="254"/>
      <c r="J5" s="254"/>
      <c r="K5" s="254"/>
      <c r="L5" s="254"/>
      <c r="M5" s="254"/>
      <c r="N5" s="207"/>
      <c r="O5" s="206"/>
    </row>
    <row r="6" spans="3:15" ht="30">
      <c r="C6" s="206"/>
      <c r="D6" s="206"/>
      <c r="E6" s="207"/>
      <c r="F6" s="254"/>
      <c r="G6" s="254"/>
      <c r="H6" s="254"/>
      <c r="I6" s="254"/>
      <c r="J6" s="254"/>
      <c r="K6" s="254"/>
      <c r="L6" s="254"/>
      <c r="M6" s="254"/>
      <c r="N6" s="207"/>
      <c r="O6" s="206"/>
    </row>
    <row r="7" spans="3:15" ht="30">
      <c r="C7" s="206"/>
      <c r="D7" s="206"/>
      <c r="E7" s="207"/>
      <c r="F7" s="254"/>
      <c r="G7" s="254"/>
      <c r="H7" s="254"/>
      <c r="I7" s="254"/>
      <c r="J7" s="254"/>
      <c r="K7" s="254"/>
      <c r="L7" s="254"/>
      <c r="M7" s="254"/>
      <c r="N7" s="207"/>
      <c r="O7" s="206"/>
    </row>
    <row r="8" spans="3:15" ht="30">
      <c r="C8" s="206"/>
      <c r="D8" s="206"/>
      <c r="E8" s="207"/>
      <c r="F8" s="254"/>
      <c r="G8" s="254"/>
      <c r="H8" s="254"/>
      <c r="I8" s="254"/>
      <c r="J8" s="254"/>
      <c r="K8" s="254"/>
      <c r="L8" s="254"/>
      <c r="M8" s="254"/>
      <c r="N8" s="207"/>
      <c r="O8" s="206"/>
    </row>
    <row r="9" spans="3:15" ht="30">
      <c r="C9" s="206"/>
      <c r="D9" s="206"/>
      <c r="E9" s="207"/>
      <c r="F9" s="254"/>
      <c r="G9" s="254"/>
      <c r="H9" s="254"/>
      <c r="I9" s="254"/>
      <c r="J9" s="254"/>
      <c r="K9" s="254"/>
      <c r="L9" s="254"/>
      <c r="M9" s="254"/>
      <c r="N9" s="207"/>
      <c r="O9" s="206"/>
    </row>
    <row r="10" spans="3:15" ht="30">
      <c r="C10" s="206"/>
      <c r="D10" s="206"/>
      <c r="E10" s="207"/>
      <c r="F10" s="254"/>
      <c r="G10" s="254"/>
      <c r="H10" s="254"/>
      <c r="I10" s="254"/>
      <c r="J10" s="254"/>
      <c r="K10" s="254"/>
      <c r="L10" s="254"/>
      <c r="M10" s="254"/>
      <c r="N10" s="207"/>
      <c r="O10" s="206"/>
    </row>
    <row r="11" spans="3:15" ht="30">
      <c r="C11" s="206"/>
      <c r="D11" s="206"/>
      <c r="E11" s="207"/>
      <c r="F11" s="254"/>
      <c r="G11" s="254"/>
      <c r="H11" s="254"/>
      <c r="I11" s="254"/>
      <c r="J11" s="254"/>
      <c r="K11" s="254"/>
      <c r="L11" s="254"/>
      <c r="M11" s="254"/>
      <c r="N11" s="207"/>
      <c r="O11" s="206"/>
    </row>
    <row r="12" spans="3:15" ht="30">
      <c r="C12" s="206"/>
      <c r="D12" s="206"/>
      <c r="E12" s="207"/>
      <c r="F12" s="254"/>
      <c r="G12" s="254"/>
      <c r="H12" s="254"/>
      <c r="I12" s="254"/>
      <c r="J12" s="254"/>
      <c r="K12" s="254"/>
      <c r="L12" s="254"/>
      <c r="M12" s="254"/>
      <c r="N12" s="207"/>
      <c r="O12" s="206"/>
    </row>
    <row r="13" spans="3:15" ht="30">
      <c r="C13" s="206"/>
      <c r="D13" s="206"/>
      <c r="E13" s="207"/>
      <c r="F13" s="254"/>
      <c r="G13" s="254"/>
      <c r="H13" s="254"/>
      <c r="I13" s="254"/>
      <c r="J13" s="254"/>
      <c r="K13" s="254"/>
      <c r="L13" s="254"/>
      <c r="M13" s="254"/>
      <c r="N13" s="207"/>
      <c r="O13" s="206"/>
    </row>
    <row r="14" spans="3:15" ht="30">
      <c r="C14" s="206"/>
      <c r="D14" s="206"/>
      <c r="E14" s="207"/>
      <c r="F14" s="254"/>
      <c r="G14" s="254"/>
      <c r="H14" s="254"/>
      <c r="I14" s="254"/>
      <c r="J14" s="254"/>
      <c r="K14" s="254"/>
      <c r="L14" s="254"/>
      <c r="M14" s="254"/>
      <c r="N14" s="207"/>
      <c r="O14" s="206"/>
    </row>
    <row r="15" spans="3:15" ht="30">
      <c r="C15" s="206"/>
      <c r="D15" s="206"/>
      <c r="E15" s="207"/>
      <c r="F15" s="254"/>
      <c r="G15" s="254"/>
      <c r="H15" s="254"/>
      <c r="I15" s="254"/>
      <c r="J15" s="254"/>
      <c r="K15" s="254"/>
      <c r="L15" s="254"/>
      <c r="M15" s="254"/>
      <c r="N15" s="222"/>
      <c r="O15" s="206"/>
    </row>
    <row r="16" spans="3:15" ht="30">
      <c r="C16" s="206"/>
      <c r="D16" s="206"/>
      <c r="E16" s="207"/>
      <c r="F16" s="254"/>
      <c r="G16" s="254"/>
      <c r="H16" s="254"/>
      <c r="I16" s="254"/>
      <c r="J16" s="254"/>
      <c r="K16" s="254"/>
      <c r="L16" s="254"/>
      <c r="M16" s="254"/>
      <c r="N16" s="222"/>
      <c r="O16" s="206"/>
    </row>
    <row r="17" spans="1:15" ht="30">
      <c r="C17" s="206"/>
      <c r="D17" s="206"/>
      <c r="E17" s="207"/>
      <c r="F17" s="207"/>
      <c r="G17" s="207"/>
      <c r="H17" s="207"/>
      <c r="I17" s="207"/>
      <c r="J17" s="207"/>
      <c r="K17" s="207"/>
      <c r="L17" s="207"/>
      <c r="M17" s="256"/>
      <c r="N17" s="254"/>
      <c r="O17" s="206"/>
    </row>
    <row r="18" spans="1:15" ht="37.5" customHeight="1">
      <c r="C18" s="206"/>
      <c r="D18" s="206"/>
      <c r="E18" s="257" t="str">
        <f ca="1">"                                                                                                                                                                                                                                             07 DE NOVIEMBRE DE"&amp;"L 2022
En  las  instalaciones  del  Comité  de   Adquisiciones  del Poder Ejecutivo, como parte de la Administración  Pública  del  Estado  Constitucional de Michoacán de Ocampo. Con domicilio en Juan B. Ceballos #441 Col. Nueva Chapultepec, C.P. 58280 e"&amp;"n Morelia Michoacán.
Se  expide  el  presente  documento  en  favor  del (la) C. "&amp;$B$29&amp;",  adscrito(a)  al  área  de   "&amp;$A$28&amp;", a  efecto  de constar  el resguardo  y  buen uso de los bienes asignados para el cumplimiento de las actividades y tareas como servidor público de esta institución, entregarlos cuando se requieran, conforme a lo dispuesto en las leyes y normatividad vig"&amp;"ente."</f>
        <v xml:space="preserve">                                                                                                                                                                                                                                             07 DE NOVIEMBRE DEL 2022
En  las  instalaciones  del  Comité  de   Adquisiciones  del Poder Ejecutivo, como parte de la Administración  Pública  del  Estado  Constitucional de Michoacán de Ocampo. Con domicilio en Juan B. Ceballos #441 Col. Nueva Chapultepec, C.P. 58280 en Morelia Michoacán.
Se  expide  el  presente  documento  en  favor  del (la) C. BUENO,  adscrito(a)  al  área  de   82DK0511010005000583333, a  efecto  de constar  el resguardo  y  buen uso de los bienes asignados para el cumplimiento de las actividades y tareas como servidor público de esta institución, entregarlos cuando se requieran, conforme a lo dispuesto en las leyes y normatividad vigente.</v>
      </c>
      <c r="F18" s="254"/>
      <c r="G18" s="254"/>
      <c r="H18" s="254"/>
      <c r="I18" s="254"/>
      <c r="J18" s="254"/>
      <c r="K18" s="254"/>
      <c r="L18" s="254"/>
      <c r="M18" s="254"/>
      <c r="N18" s="254"/>
      <c r="O18" s="206"/>
    </row>
    <row r="19" spans="1:15" ht="37.5" customHeight="1">
      <c r="C19" s="206"/>
      <c r="D19" s="206"/>
      <c r="E19" s="254"/>
      <c r="F19" s="254"/>
      <c r="G19" s="254"/>
      <c r="H19" s="254"/>
      <c r="I19" s="254"/>
      <c r="J19" s="254"/>
      <c r="K19" s="254"/>
      <c r="L19" s="254"/>
      <c r="M19" s="254"/>
      <c r="N19" s="254"/>
      <c r="O19" s="206"/>
    </row>
    <row r="20" spans="1:15" ht="37.5" customHeight="1">
      <c r="C20" s="206"/>
      <c r="D20" s="206"/>
      <c r="E20" s="254"/>
      <c r="F20" s="254"/>
      <c r="G20" s="254"/>
      <c r="H20" s="254"/>
      <c r="I20" s="254"/>
      <c r="J20" s="254"/>
      <c r="K20" s="254"/>
      <c r="L20" s="254"/>
      <c r="M20" s="254"/>
      <c r="N20" s="254"/>
      <c r="O20" s="206"/>
    </row>
    <row r="21" spans="1:15" ht="37.5" customHeight="1">
      <c r="C21" s="206"/>
      <c r="D21" s="206"/>
      <c r="E21" s="254"/>
      <c r="F21" s="254"/>
      <c r="G21" s="254"/>
      <c r="H21" s="254"/>
      <c r="I21" s="254"/>
      <c r="J21" s="254"/>
      <c r="K21" s="254"/>
      <c r="L21" s="254"/>
      <c r="M21" s="254"/>
      <c r="N21" s="254"/>
      <c r="O21" s="206"/>
    </row>
    <row r="22" spans="1:15" ht="37.5" customHeight="1">
      <c r="C22" s="206"/>
      <c r="D22" s="206"/>
      <c r="E22" s="254"/>
      <c r="F22" s="254"/>
      <c r="G22" s="254"/>
      <c r="H22" s="254"/>
      <c r="I22" s="254"/>
      <c r="J22" s="254"/>
      <c r="K22" s="254"/>
      <c r="L22" s="254"/>
      <c r="M22" s="254"/>
      <c r="N22" s="254"/>
      <c r="O22" s="206"/>
    </row>
    <row r="23" spans="1:15" ht="37.5" customHeight="1">
      <c r="C23" s="206"/>
      <c r="D23" s="206"/>
      <c r="E23" s="254"/>
      <c r="F23" s="254"/>
      <c r="G23" s="254"/>
      <c r="H23" s="254"/>
      <c r="I23" s="254"/>
      <c r="J23" s="254"/>
      <c r="K23" s="254"/>
      <c r="L23" s="254"/>
      <c r="M23" s="254"/>
      <c r="N23" s="254"/>
      <c r="O23" s="206"/>
    </row>
    <row r="24" spans="1:15" ht="37.5" customHeight="1">
      <c r="C24" s="206"/>
      <c r="D24" s="206"/>
      <c r="E24" s="254"/>
      <c r="F24" s="254"/>
      <c r="G24" s="254"/>
      <c r="H24" s="254"/>
      <c r="I24" s="254"/>
      <c r="J24" s="254"/>
      <c r="K24" s="254"/>
      <c r="L24" s="254"/>
      <c r="M24" s="254"/>
      <c r="N24" s="254"/>
      <c r="O24" s="206"/>
    </row>
    <row r="25" spans="1:15" ht="37.5" customHeight="1">
      <c r="C25" s="206"/>
      <c r="D25" s="206"/>
      <c r="E25" s="254"/>
      <c r="F25" s="254"/>
      <c r="G25" s="254"/>
      <c r="H25" s="254"/>
      <c r="I25" s="254"/>
      <c r="J25" s="254"/>
      <c r="K25" s="254"/>
      <c r="L25" s="254"/>
      <c r="M25" s="254"/>
      <c r="N25" s="254"/>
      <c r="O25" s="206"/>
    </row>
    <row r="26" spans="1:15" ht="30">
      <c r="A26" s="223"/>
      <c r="C26" s="206"/>
      <c r="D26" s="206"/>
      <c r="E26" s="207"/>
      <c r="F26" s="224"/>
      <c r="G26" s="207"/>
      <c r="H26" s="207"/>
      <c r="I26" s="207"/>
      <c r="J26" s="207"/>
      <c r="K26" s="207"/>
      <c r="L26" s="207"/>
      <c r="M26" s="207"/>
      <c r="N26" s="207"/>
      <c r="O26" s="206"/>
    </row>
    <row r="27" spans="1:15" ht="30">
      <c r="A27" s="167" t="str">
        <f ca="1">IFERROR(__xludf.DUMMYFUNCTION("QUERY('030523 INVENTARIO'!$A$1:$AA$1072, ""SELECT T, U WHERE U LIKE '%""&amp;A26&amp;""%' "",1)"),"N.I.P")</f>
        <v>N.I.P</v>
      </c>
      <c r="B27" s="167" t="str">
        <f ca="1">IFERROR(__xludf.DUMMYFUNCTION("""COMPUTED_VALUE"""),"ESTADO FÍSICO")</f>
        <v>ESTADO FÍSICO</v>
      </c>
      <c r="C27" s="206"/>
      <c r="D27" s="206"/>
      <c r="E27" s="207"/>
      <c r="F27" s="207"/>
      <c r="G27" s="207"/>
      <c r="H27" s="207"/>
      <c r="I27" s="207"/>
      <c r="J27" s="207"/>
      <c r="K27" s="207"/>
      <c r="L27" s="207"/>
      <c r="M27" s="207"/>
      <c r="N27" s="207"/>
      <c r="O27" s="206"/>
    </row>
    <row r="28" spans="1:15" ht="30">
      <c r="A28" s="167" t="str">
        <f ca="1">IFERROR(__xludf.DUMMYFUNCTION("""COMPUTED_VALUE"""),"82DK0511010005000583333")</f>
        <v>82DK0511010005000583333</v>
      </c>
      <c r="B28" s="167" t="str">
        <f ca="1">IFERROR(__xludf.DUMMYFUNCTION("""COMPUTED_VALUE"""),"BUENO")</f>
        <v>BUENO</v>
      </c>
      <c r="C28" s="206"/>
      <c r="D28" s="206"/>
      <c r="E28" s="207"/>
      <c r="F28" s="207"/>
      <c r="G28" s="207"/>
      <c r="H28" s="207"/>
      <c r="I28" s="207"/>
      <c r="J28" s="207"/>
      <c r="K28" s="207"/>
      <c r="L28" s="207"/>
      <c r="M28" s="207"/>
      <c r="N28" s="207"/>
      <c r="O28" s="206"/>
    </row>
    <row r="29" spans="1:15" ht="70.5">
      <c r="A29" s="167" t="str">
        <f ca="1">IFERROR(__xludf.DUMMYFUNCTION("""COMPUTED_VALUE"""),"82DH0519010043000649374")</f>
        <v>82DH0519010043000649374</v>
      </c>
      <c r="B29" s="167" t="str">
        <f ca="1">IFERROR(__xludf.DUMMYFUNCTION("""COMPUTED_VALUE"""),"BUENO")</f>
        <v>BUENO</v>
      </c>
      <c r="C29" s="206"/>
      <c r="D29" s="206"/>
      <c r="E29" s="225" t="str">
        <f ca="1">IFERROR(__xludf.DUMMYFUNCTION("QUERY('030523 INVENTARIO'!$A$1:$AA$1072, ""SELECT A, E, F, G, I, O, P, Q, R, S WHERE U LIKE '%""&amp;A26&amp;""%' "",1)"),"#REF!")</f>
        <v>#REF!</v>
      </c>
      <c r="F29" s="225"/>
      <c r="G29" s="225"/>
      <c r="H29" s="225"/>
      <c r="I29" s="225"/>
      <c r="J29" s="225"/>
      <c r="K29" s="225"/>
      <c r="L29" s="225"/>
      <c r="M29" s="225"/>
      <c r="N29" s="225"/>
      <c r="O29" s="206"/>
    </row>
    <row r="30" spans="1:15" ht="34.5">
      <c r="A30" s="167" t="str">
        <f ca="1">IFERROR(__xludf.DUMMYFUNCTION("""COMPUTED_VALUE"""),"82DH0529030003000564534")</f>
        <v>82DH0529030003000564534</v>
      </c>
      <c r="B30" s="167" t="str">
        <f ca="1">IFERROR(__xludf.DUMMYFUNCTION("""COMPUTED_VALUE"""),"BUENO")</f>
        <v>BUENO</v>
      </c>
      <c r="C30" s="206"/>
      <c r="D30" s="206"/>
      <c r="E30" s="226"/>
      <c r="F30" s="226"/>
      <c r="G30" s="226"/>
      <c r="H30" s="226"/>
      <c r="I30" s="226"/>
      <c r="J30" s="226"/>
      <c r="K30" s="226"/>
      <c r="L30" s="226"/>
      <c r="M30" s="226"/>
      <c r="N30" s="226"/>
      <c r="O30" s="206"/>
    </row>
    <row r="31" spans="1:15" ht="34.5">
      <c r="A31" s="167" t="str">
        <f ca="1">IFERROR(__xludf.DUMMYFUNCTION("""COMPUTED_VALUE"""),"82DK0511010001000581343")</f>
        <v>82DK0511010001000581343</v>
      </c>
      <c r="B31" s="167" t="str">
        <f ca="1">IFERROR(__xludf.DUMMYFUNCTION("""COMPUTED_VALUE"""),"BUENO")</f>
        <v>BUENO</v>
      </c>
      <c r="C31" s="206"/>
      <c r="D31" s="206"/>
      <c r="E31" s="226"/>
      <c r="F31" s="226"/>
      <c r="G31" s="226"/>
      <c r="H31" s="226"/>
      <c r="I31" s="226"/>
      <c r="J31" s="226"/>
      <c r="K31" s="226"/>
      <c r="L31" s="226"/>
      <c r="M31" s="226"/>
      <c r="N31" s="226"/>
      <c r="O31" s="206"/>
    </row>
    <row r="32" spans="1:15" ht="34.5">
      <c r="A32" s="167" t="str">
        <f ca="1">IFERROR(__xludf.DUMMYFUNCTION("""COMPUTED_VALUE"""),"82DH0511010008000535423")</f>
        <v>82DH0511010008000535423</v>
      </c>
      <c r="B32" s="167" t="str">
        <f ca="1">IFERROR(__xludf.DUMMYFUNCTION("""COMPUTED_VALUE"""),"BUENO")</f>
        <v>BUENO</v>
      </c>
      <c r="C32" s="206"/>
      <c r="D32" s="206"/>
      <c r="E32" s="226"/>
      <c r="F32" s="226"/>
      <c r="G32" s="226"/>
      <c r="H32" s="226"/>
      <c r="I32" s="226"/>
      <c r="J32" s="226"/>
      <c r="K32" s="226"/>
      <c r="L32" s="226"/>
      <c r="M32" s="226"/>
      <c r="N32" s="226"/>
      <c r="O32" s="206"/>
    </row>
    <row r="33" spans="1:15" ht="34.5">
      <c r="A33" s="167" t="str">
        <f ca="1">IFERROR(__xludf.DUMMYFUNCTION("""COMPUTED_VALUE"""),"SIN RESGUARDO")</f>
        <v>SIN RESGUARDO</v>
      </c>
      <c r="B33" s="167" t="str">
        <f ca="1">IFERROR(__xludf.DUMMYFUNCTION("""COMPUTED_VALUE"""),"BUENO")</f>
        <v>BUENO</v>
      </c>
      <c r="C33" s="206"/>
      <c r="D33" s="206"/>
      <c r="E33" s="226"/>
      <c r="F33" s="226"/>
      <c r="G33" s="226"/>
      <c r="H33" s="226"/>
      <c r="I33" s="226"/>
      <c r="J33" s="226"/>
      <c r="K33" s="226"/>
      <c r="L33" s="226"/>
      <c r="M33" s="226"/>
      <c r="N33" s="226"/>
      <c r="O33" s="206"/>
    </row>
    <row r="34" spans="1:15" ht="34.5">
      <c r="A34" s="167" t="str">
        <f ca="1">IFERROR(__xludf.DUMMYFUNCTION("""COMPUTED_VALUE"""),"82DH0511010009000584147")</f>
        <v>82DH0511010009000584147</v>
      </c>
      <c r="B34" s="167" t="str">
        <f ca="1">IFERROR(__xludf.DUMMYFUNCTION("""COMPUTED_VALUE"""),"BUENO")</f>
        <v>BUENO</v>
      </c>
      <c r="C34" s="206"/>
      <c r="D34" s="206"/>
      <c r="E34" s="226"/>
      <c r="F34" s="226"/>
      <c r="G34" s="226"/>
      <c r="H34" s="226"/>
      <c r="I34" s="226"/>
      <c r="J34" s="226"/>
      <c r="K34" s="226"/>
      <c r="L34" s="226"/>
      <c r="M34" s="226"/>
      <c r="N34" s="226"/>
      <c r="O34" s="206"/>
    </row>
    <row r="35" spans="1:15" ht="34.5">
      <c r="A35" s="167" t="str">
        <f ca="1">IFERROR(__xludf.DUMMYFUNCTION("""COMPUTED_VALUE"""),"82DK0531010065000564835")</f>
        <v>82DK0531010065000564835</v>
      </c>
      <c r="B35" s="167" t="str">
        <f ca="1">IFERROR(__xludf.DUMMYFUNCTION("""COMPUTED_VALUE"""),"MALO")</f>
        <v>MALO</v>
      </c>
      <c r="C35" s="206"/>
      <c r="D35" s="206"/>
      <c r="E35" s="226"/>
      <c r="F35" s="226"/>
      <c r="G35" s="226"/>
      <c r="H35" s="226"/>
      <c r="I35" s="226"/>
      <c r="J35" s="226"/>
      <c r="K35" s="226"/>
      <c r="L35" s="226"/>
      <c r="M35" s="226"/>
      <c r="N35" s="226"/>
      <c r="O35" s="206"/>
    </row>
    <row r="36" spans="1:15" ht="34.5">
      <c r="A36" s="167" t="str">
        <f ca="1">IFERROR(__xludf.DUMMYFUNCTION("""COMPUTED_VALUE"""),"82DH0511010001000649513")</f>
        <v>82DH0511010001000649513</v>
      </c>
      <c r="B36" s="167" t="str">
        <f ca="1">IFERROR(__xludf.DUMMYFUNCTION("""COMPUTED_VALUE"""),"BUENO")</f>
        <v>BUENO</v>
      </c>
      <c r="C36" s="206"/>
      <c r="D36" s="206"/>
      <c r="E36" s="226"/>
      <c r="F36" s="226"/>
      <c r="G36" s="226"/>
      <c r="H36" s="226"/>
      <c r="I36" s="226"/>
      <c r="J36" s="226"/>
      <c r="K36" s="226"/>
      <c r="L36" s="226"/>
      <c r="M36" s="226"/>
      <c r="N36" s="226"/>
      <c r="O36" s="206"/>
    </row>
    <row r="37" spans="1:15" ht="34.5">
      <c r="A37" s="167" t="str">
        <f ca="1">IFERROR(__xludf.DUMMYFUNCTION("""COMPUTED_VALUE"""),"82DH0511010005000651084")</f>
        <v>82DH0511010005000651084</v>
      </c>
      <c r="B37" s="167" t="str">
        <f ca="1">IFERROR(__xludf.DUMMYFUNCTION("""COMPUTED_VALUE"""),"BUENO")</f>
        <v>BUENO</v>
      </c>
      <c r="C37" s="206"/>
      <c r="D37" s="206"/>
      <c r="E37" s="226"/>
      <c r="F37" s="226"/>
      <c r="G37" s="226"/>
      <c r="H37" s="226"/>
      <c r="I37" s="226"/>
      <c r="J37" s="226"/>
      <c r="K37" s="226"/>
      <c r="L37" s="226"/>
      <c r="M37" s="226"/>
      <c r="N37" s="226"/>
      <c r="O37" s="206"/>
    </row>
    <row r="38" spans="1:15" ht="34.5">
      <c r="A38" s="167" t="str">
        <f ca="1">IFERROR(__xludf.DUMMYFUNCTION("""COMPUTED_VALUE"""),"82DH0511010006000518529")</f>
        <v>82DH0511010006000518529</v>
      </c>
      <c r="B38" s="167" t="str">
        <f ca="1">IFERROR(__xludf.DUMMYFUNCTION("""COMPUTED_VALUE"""),"BUENO")</f>
        <v>BUENO</v>
      </c>
      <c r="C38" s="206"/>
      <c r="D38" s="206"/>
      <c r="E38" s="226"/>
      <c r="F38" s="226"/>
      <c r="G38" s="226"/>
      <c r="H38" s="226"/>
      <c r="I38" s="226"/>
      <c r="J38" s="226"/>
      <c r="K38" s="226"/>
      <c r="L38" s="226"/>
      <c r="M38" s="226"/>
      <c r="N38" s="226"/>
      <c r="O38" s="206"/>
    </row>
    <row r="39" spans="1:15" ht="34.5">
      <c r="A39" s="167" t="str">
        <f ca="1">IFERROR(__xludf.DUMMYFUNCTION("""COMPUTED_VALUE"""),"82DH0531010065000564882")</f>
        <v>82DH0531010065000564882</v>
      </c>
      <c r="B39" s="167" t="str">
        <f ca="1">IFERROR(__xludf.DUMMYFUNCTION("""COMPUTED_VALUE"""),"BUENO")</f>
        <v>BUENO</v>
      </c>
      <c r="C39" s="206"/>
      <c r="D39" s="206"/>
      <c r="E39" s="226"/>
      <c r="F39" s="226"/>
      <c r="G39" s="226"/>
      <c r="H39" s="226"/>
      <c r="I39" s="226"/>
      <c r="J39" s="226"/>
      <c r="K39" s="226"/>
      <c r="L39" s="226"/>
      <c r="M39" s="226"/>
      <c r="N39" s="226"/>
      <c r="O39" s="206"/>
    </row>
    <row r="40" spans="1:15" ht="34.5">
      <c r="A40" s="167" t="str">
        <f ca="1">IFERROR(__xludf.DUMMYFUNCTION("""COMPUTED_VALUE"""),"82DH0511010006000583468")</f>
        <v>82DH0511010006000583468</v>
      </c>
      <c r="B40" s="167" t="str">
        <f ca="1">IFERROR(__xludf.DUMMYFUNCTION("""COMPUTED_VALUE"""),"BUENO")</f>
        <v>BUENO</v>
      </c>
      <c r="C40" s="206"/>
      <c r="D40" s="206"/>
      <c r="E40" s="226"/>
      <c r="F40" s="226"/>
      <c r="G40" s="226"/>
      <c r="H40" s="226"/>
      <c r="I40" s="226"/>
      <c r="J40" s="226"/>
      <c r="K40" s="226"/>
      <c r="L40" s="226"/>
      <c r="M40" s="226"/>
      <c r="N40" s="226"/>
      <c r="O40" s="206"/>
    </row>
    <row r="41" spans="1:15" ht="34.5" hidden="1">
      <c r="A41" s="167" t="str">
        <f ca="1">IFERROR(__xludf.DUMMYFUNCTION("""COMPUTED_VALUE"""),"82DJ0515010014000539048")</f>
        <v>82DJ0515010014000539048</v>
      </c>
      <c r="B41" s="167" t="str">
        <f ca="1">IFERROR(__xludf.DUMMYFUNCTION("""COMPUTED_VALUE"""),"MALO")</f>
        <v>MALO</v>
      </c>
      <c r="C41" s="206"/>
      <c r="D41" s="206"/>
      <c r="E41" s="226"/>
      <c r="F41" s="226"/>
      <c r="G41" s="226"/>
      <c r="H41" s="226"/>
      <c r="I41" s="226"/>
      <c r="J41" s="226"/>
      <c r="K41" s="226"/>
      <c r="L41" s="226"/>
      <c r="M41" s="226"/>
      <c r="N41" s="226"/>
      <c r="O41" s="206"/>
    </row>
    <row r="42" spans="1:15" ht="34.5" hidden="1">
      <c r="A42" s="167" t="str">
        <f ca="1">IFERROR(__xludf.DUMMYFUNCTION("""COMPUTED_VALUE"""),"82DK0515010013000650653")</f>
        <v>82DK0515010013000650653</v>
      </c>
      <c r="B42" s="167" t="str">
        <f ca="1">IFERROR(__xludf.DUMMYFUNCTION("""COMPUTED_VALUE"""),"MALO")</f>
        <v>MALO</v>
      </c>
      <c r="C42" s="206"/>
      <c r="D42" s="206"/>
      <c r="E42" s="226"/>
      <c r="F42" s="226"/>
      <c r="G42" s="226"/>
      <c r="H42" s="226"/>
      <c r="I42" s="226"/>
      <c r="J42" s="226"/>
      <c r="K42" s="226"/>
      <c r="L42" s="226"/>
      <c r="M42" s="226"/>
      <c r="N42" s="226"/>
      <c r="O42" s="206"/>
    </row>
    <row r="43" spans="1:15" ht="34.5" hidden="1">
      <c r="A43" s="167" t="str">
        <f ca="1">IFERROR(__xludf.DUMMYFUNCTION("""COMPUTED_VALUE"""),"82DH0565010001000577963")</f>
        <v>82DH0565010001000577963</v>
      </c>
      <c r="B43" s="167" t="str">
        <f ca="1">IFERROR(__xludf.DUMMYFUNCTION("""COMPUTED_VALUE"""),"MALO")</f>
        <v>MALO</v>
      </c>
      <c r="C43" s="206"/>
      <c r="D43" s="206"/>
      <c r="E43" s="226"/>
      <c r="F43" s="226"/>
      <c r="G43" s="226"/>
      <c r="H43" s="226"/>
      <c r="I43" s="226"/>
      <c r="J43" s="226"/>
      <c r="K43" s="226"/>
      <c r="L43" s="226"/>
      <c r="M43" s="226"/>
      <c r="N43" s="226"/>
      <c r="O43" s="206"/>
    </row>
    <row r="44" spans="1:15" ht="34.5" hidden="1">
      <c r="A44" s="167" t="str">
        <f ca="1">IFERROR(__xludf.DUMMYFUNCTION("""COMPUTED_VALUE"""),"82DH0519010038000649356")</f>
        <v>82DH0519010038000649356</v>
      </c>
      <c r="B44" s="167" t="str">
        <f ca="1">IFERROR(__xludf.DUMMYFUNCTION("""COMPUTED_VALUE"""),"BUENO")</f>
        <v>BUENO</v>
      </c>
      <c r="C44" s="206"/>
      <c r="D44" s="206"/>
      <c r="E44" s="226"/>
      <c r="F44" s="226"/>
      <c r="G44" s="226"/>
      <c r="H44" s="226"/>
      <c r="I44" s="226"/>
      <c r="J44" s="226"/>
      <c r="K44" s="226"/>
      <c r="L44" s="226"/>
      <c r="M44" s="226"/>
      <c r="N44" s="226"/>
      <c r="O44" s="206"/>
    </row>
    <row r="45" spans="1:15" ht="34.5" hidden="1">
      <c r="A45" s="167" t="str">
        <f ca="1">IFERROR(__xludf.DUMMYFUNCTION("""COMPUTED_VALUE"""),"82DH0511010016000649519")</f>
        <v>82DH0511010016000649519</v>
      </c>
      <c r="B45" s="167" t="str">
        <f ca="1">IFERROR(__xludf.DUMMYFUNCTION("""COMPUTED_VALUE"""),"BUENO")</f>
        <v>BUENO</v>
      </c>
      <c r="C45" s="206"/>
      <c r="D45" s="206"/>
      <c r="E45" s="226"/>
      <c r="F45" s="226"/>
      <c r="G45" s="226"/>
      <c r="H45" s="226"/>
      <c r="I45" s="226"/>
      <c r="J45" s="226"/>
      <c r="K45" s="226"/>
      <c r="L45" s="226"/>
      <c r="M45" s="226"/>
      <c r="N45" s="226"/>
      <c r="O45" s="206"/>
    </row>
    <row r="46" spans="1:15" ht="34.5" hidden="1">
      <c r="A46" s="167" t="str">
        <f ca="1">IFERROR(__xludf.DUMMYFUNCTION("""COMPUTED_VALUE"""),"82DH0529030005000649516")</f>
        <v>82DH0529030005000649516</v>
      </c>
      <c r="B46" s="167" t="str">
        <f ca="1">IFERROR(__xludf.DUMMYFUNCTION("""COMPUTED_VALUE"""),"BUENO")</f>
        <v>BUENO</v>
      </c>
      <c r="C46" s="206"/>
      <c r="D46" s="206"/>
      <c r="E46" s="226"/>
      <c r="F46" s="226"/>
      <c r="G46" s="226"/>
      <c r="H46" s="226"/>
      <c r="I46" s="226"/>
      <c r="J46" s="226"/>
      <c r="K46" s="226"/>
      <c r="L46" s="226"/>
      <c r="M46" s="226"/>
      <c r="N46" s="226"/>
      <c r="O46" s="206"/>
    </row>
    <row r="47" spans="1:15" ht="34.5" hidden="1">
      <c r="A47" s="167" t="str">
        <f ca="1">IFERROR(__xludf.DUMMYFUNCTION("""COMPUTED_VALUE"""),"82DH0515010003000649385")</f>
        <v>82DH0515010003000649385</v>
      </c>
      <c r="B47" s="167" t="str">
        <f ca="1">IFERROR(__xludf.DUMMYFUNCTION("""COMPUTED_VALUE"""),"BUENO")</f>
        <v>BUENO</v>
      </c>
      <c r="C47" s="206"/>
      <c r="D47" s="206"/>
      <c r="E47" s="226"/>
      <c r="F47" s="226"/>
      <c r="G47" s="226"/>
      <c r="H47" s="226"/>
      <c r="I47" s="226"/>
      <c r="J47" s="226"/>
      <c r="K47" s="226"/>
      <c r="L47" s="226"/>
      <c r="M47" s="226"/>
      <c r="N47" s="226"/>
      <c r="O47" s="206"/>
    </row>
    <row r="48" spans="1:15" ht="34.5" hidden="1">
      <c r="A48" s="167" t="str">
        <f ca="1">IFERROR(__xludf.DUMMYFUNCTION("""COMPUTED_VALUE"""),"82DH0515010006000649398")</f>
        <v>82DH0515010006000649398</v>
      </c>
      <c r="B48" s="167" t="str">
        <f ca="1">IFERROR(__xludf.DUMMYFUNCTION("""COMPUTED_VALUE"""),"BUENO")</f>
        <v>BUENO</v>
      </c>
      <c r="C48" s="206"/>
      <c r="D48" s="206"/>
      <c r="E48" s="226"/>
      <c r="F48" s="226"/>
      <c r="G48" s="226"/>
      <c r="H48" s="226"/>
      <c r="I48" s="226"/>
      <c r="J48" s="226"/>
      <c r="K48" s="226"/>
      <c r="L48" s="226"/>
      <c r="M48" s="226"/>
      <c r="N48" s="226"/>
      <c r="O48" s="206"/>
    </row>
    <row r="49" spans="1:15" ht="34.5" hidden="1">
      <c r="A49" s="167" t="str">
        <f ca="1">IFERROR(__xludf.DUMMYFUNCTION("""COMPUTED_VALUE"""),"82DH0511010016000515614")</f>
        <v>82DH0511010016000515614</v>
      </c>
      <c r="B49" s="167" t="str">
        <f ca="1">IFERROR(__xludf.DUMMYFUNCTION("""COMPUTED_VALUE"""),"BUENO")</f>
        <v>BUENO</v>
      </c>
      <c r="C49" s="206"/>
      <c r="D49" s="206"/>
      <c r="E49" s="226"/>
      <c r="F49" s="226"/>
      <c r="G49" s="226"/>
      <c r="H49" s="226"/>
      <c r="I49" s="226"/>
      <c r="J49" s="226"/>
      <c r="K49" s="226"/>
      <c r="L49" s="226"/>
      <c r="M49" s="226"/>
      <c r="N49" s="226"/>
      <c r="O49" s="206"/>
    </row>
    <row r="50" spans="1:15" ht="34.5" hidden="1">
      <c r="A50" s="167" t="str">
        <f ca="1">IFERROR(__xludf.DUMMYFUNCTION("""COMPUTED_VALUE"""),"82DH0511010016000515612")</f>
        <v>82DH0511010016000515612</v>
      </c>
      <c r="B50" s="167" t="str">
        <f ca="1">IFERROR(__xludf.DUMMYFUNCTION("""COMPUTED_VALUE"""),"BUENO")</f>
        <v>BUENO</v>
      </c>
      <c r="C50" s="206"/>
      <c r="D50" s="206"/>
      <c r="E50" s="226"/>
      <c r="F50" s="226"/>
      <c r="G50" s="226"/>
      <c r="H50" s="226"/>
      <c r="I50" s="226"/>
      <c r="J50" s="226"/>
      <c r="K50" s="226"/>
      <c r="L50" s="226"/>
      <c r="M50" s="226"/>
      <c r="N50" s="226"/>
      <c r="O50" s="206"/>
    </row>
    <row r="51" spans="1:15" ht="34.5" hidden="1">
      <c r="A51" s="167" t="str">
        <f ca="1">IFERROR(__xludf.DUMMYFUNCTION("""COMPUTED_VALUE"""),"82DH0512010018000566902")</f>
        <v>82DH0512010018000566902</v>
      </c>
      <c r="B51" s="167" t="str">
        <f ca="1">IFERROR(__xludf.DUMMYFUNCTION("""COMPUTED_VALUE"""),"BUENO")</f>
        <v>BUENO</v>
      </c>
      <c r="C51" s="206"/>
      <c r="D51" s="206"/>
      <c r="E51" s="226"/>
      <c r="F51" s="226"/>
      <c r="G51" s="226"/>
      <c r="H51" s="226"/>
      <c r="I51" s="226"/>
      <c r="J51" s="226"/>
      <c r="K51" s="226"/>
      <c r="L51" s="226"/>
      <c r="M51" s="226"/>
      <c r="N51" s="226"/>
      <c r="O51" s="206"/>
    </row>
    <row r="52" spans="1:15" ht="34.5" hidden="1">
      <c r="A52" s="167" t="str">
        <f ca="1">IFERROR(__xludf.DUMMYFUNCTION("""COMPUTED_VALUE"""),"SIN RESGUARDO")</f>
        <v>SIN RESGUARDO</v>
      </c>
      <c r="B52" s="167" t="str">
        <f ca="1">IFERROR(__xludf.DUMMYFUNCTION("""COMPUTED_VALUE"""),"BUENO")</f>
        <v>BUENO</v>
      </c>
      <c r="C52" s="206"/>
      <c r="D52" s="206"/>
      <c r="E52" s="226"/>
      <c r="F52" s="226"/>
      <c r="G52" s="226"/>
      <c r="H52" s="226"/>
      <c r="I52" s="226"/>
      <c r="J52" s="226"/>
      <c r="K52" s="226"/>
      <c r="L52" s="226"/>
      <c r="M52" s="226"/>
      <c r="N52" s="226"/>
      <c r="O52" s="206"/>
    </row>
    <row r="53" spans="1:15" ht="34.5" hidden="1">
      <c r="A53" s="167" t="str">
        <f ca="1">IFERROR(__xludf.DUMMYFUNCTION("""COMPUTED_VALUE"""),"82DH0515010016000522299")</f>
        <v>82DH0515010016000522299</v>
      </c>
      <c r="B53" s="167" t="str">
        <f ca="1">IFERROR(__xludf.DUMMYFUNCTION("""COMPUTED_VALUE"""),"BUENO")</f>
        <v>BUENO</v>
      </c>
      <c r="C53" s="206"/>
      <c r="D53" s="206"/>
      <c r="E53" s="226"/>
      <c r="F53" s="226"/>
      <c r="G53" s="226"/>
      <c r="H53" s="226"/>
      <c r="I53" s="226"/>
      <c r="J53" s="226"/>
      <c r="K53" s="226"/>
      <c r="L53" s="226"/>
      <c r="M53" s="226"/>
      <c r="N53" s="226"/>
      <c r="O53" s="206"/>
    </row>
    <row r="54" spans="1:15" ht="34.5" hidden="1">
      <c r="A54" s="167" t="str">
        <f ca="1">IFERROR(__xludf.DUMMYFUNCTION("""COMPUTED_VALUE"""),"82DK0511010016000649505")</f>
        <v>82DK0511010016000649505</v>
      </c>
      <c r="B54" s="167" t="str">
        <f ca="1">IFERROR(__xludf.DUMMYFUNCTION("""COMPUTED_VALUE"""),"BUENO")</f>
        <v>BUENO</v>
      </c>
      <c r="C54" s="206"/>
      <c r="D54" s="206"/>
      <c r="E54" s="226"/>
      <c r="F54" s="226"/>
      <c r="G54" s="226"/>
      <c r="H54" s="226"/>
      <c r="I54" s="226"/>
      <c r="J54" s="226"/>
      <c r="K54" s="226"/>
      <c r="L54" s="226"/>
      <c r="M54" s="226"/>
      <c r="N54" s="226"/>
      <c r="O54" s="206"/>
    </row>
    <row r="55" spans="1:15" ht="34.5" hidden="1">
      <c r="A55" s="167" t="str">
        <f ca="1">IFERROR(__xludf.DUMMYFUNCTION("""COMPUTED_VALUE"""),"82DK0511010006000649506")</f>
        <v>82DK0511010006000649506</v>
      </c>
      <c r="B55" s="167" t="str">
        <f ca="1">IFERROR(__xludf.DUMMYFUNCTION("""COMPUTED_VALUE"""),"BUENO")</f>
        <v>BUENO</v>
      </c>
      <c r="C55" s="206"/>
      <c r="D55" s="206"/>
      <c r="E55" s="226"/>
      <c r="F55" s="226"/>
      <c r="G55" s="226"/>
      <c r="H55" s="226"/>
      <c r="I55" s="226"/>
      <c r="J55" s="226"/>
      <c r="K55" s="226"/>
      <c r="L55" s="226"/>
      <c r="M55" s="226"/>
      <c r="N55" s="226"/>
      <c r="O55" s="206"/>
    </row>
    <row r="56" spans="1:15" ht="34.5" hidden="1">
      <c r="A56" s="167" t="str">
        <f ca="1">IFERROR(__xludf.DUMMYFUNCTION("""COMPUTED_VALUE"""),"SIN RESGUARDO")</f>
        <v>SIN RESGUARDO</v>
      </c>
      <c r="B56" s="167" t="str">
        <f ca="1">IFERROR(__xludf.DUMMYFUNCTION("""COMPUTED_VALUE"""),"BUENO")</f>
        <v>BUENO</v>
      </c>
      <c r="C56" s="206"/>
      <c r="D56" s="206"/>
      <c r="E56" s="226"/>
      <c r="F56" s="226"/>
      <c r="G56" s="226"/>
      <c r="H56" s="226"/>
      <c r="I56" s="226"/>
      <c r="J56" s="226"/>
      <c r="K56" s="226"/>
      <c r="L56" s="226"/>
      <c r="M56" s="226"/>
      <c r="N56" s="226"/>
      <c r="O56" s="206"/>
    </row>
    <row r="57" spans="1:15" ht="34.5" hidden="1">
      <c r="A57" s="167" t="str">
        <f ca="1">IFERROR(__xludf.DUMMYFUNCTION("""COMPUTED_VALUE"""),"82DK0515010033000566418")</f>
        <v>82DK0515010033000566418</v>
      </c>
      <c r="B57" s="167" t="str">
        <f ca="1">IFERROR(__xludf.DUMMYFUNCTION("""COMPUTED_VALUE"""),"BUENO")</f>
        <v>BUENO</v>
      </c>
      <c r="C57" s="206"/>
      <c r="D57" s="206"/>
      <c r="E57" s="226"/>
      <c r="F57" s="226"/>
      <c r="G57" s="226"/>
      <c r="H57" s="226"/>
      <c r="I57" s="226"/>
      <c r="J57" s="226"/>
      <c r="K57" s="226"/>
      <c r="L57" s="226"/>
      <c r="M57" s="226"/>
      <c r="N57" s="226"/>
      <c r="O57" s="206"/>
    </row>
    <row r="58" spans="1:15" ht="34.5" hidden="1">
      <c r="A58" s="167" t="str">
        <f ca="1">IFERROR(__xludf.DUMMYFUNCTION("""COMPUTED_VALUE"""),"82DK0565010001000533366")</f>
        <v>82DK0565010001000533366</v>
      </c>
      <c r="B58" s="167" t="str">
        <f ca="1">IFERROR(__xludf.DUMMYFUNCTION("""COMPUTED_VALUE"""),"BUENO")</f>
        <v>BUENO</v>
      </c>
      <c r="C58" s="206"/>
      <c r="D58" s="206"/>
      <c r="E58" s="226"/>
      <c r="F58" s="226"/>
      <c r="G58" s="226"/>
      <c r="H58" s="226"/>
      <c r="I58" s="226"/>
      <c r="J58" s="226"/>
      <c r="K58" s="226"/>
      <c r="L58" s="226"/>
      <c r="M58" s="226"/>
      <c r="N58" s="226"/>
      <c r="O58" s="206"/>
    </row>
    <row r="59" spans="1:15" ht="34.5" hidden="1">
      <c r="A59" s="167" t="str">
        <f ca="1">IFERROR(__xludf.DUMMYFUNCTION("""COMPUTED_VALUE"""),"SIN RESGUARDO")</f>
        <v>SIN RESGUARDO</v>
      </c>
      <c r="B59" s="167" t="str">
        <f ca="1">IFERROR(__xludf.DUMMYFUNCTION("""COMPUTED_VALUE"""),"MALO")</f>
        <v>MALO</v>
      </c>
      <c r="C59" s="206"/>
      <c r="D59" s="206"/>
      <c r="E59" s="226"/>
      <c r="F59" s="226"/>
      <c r="G59" s="226"/>
      <c r="H59" s="226"/>
      <c r="I59" s="226"/>
      <c r="J59" s="226"/>
      <c r="K59" s="226"/>
      <c r="L59" s="226"/>
      <c r="M59" s="226"/>
      <c r="N59" s="226"/>
      <c r="O59" s="206"/>
    </row>
    <row r="60" spans="1:15" ht="34.5" hidden="1">
      <c r="A60" s="167" t="str">
        <f ca="1">IFERROR(__xludf.DUMMYFUNCTION("""COMPUTED_VALUE"""),"82DI0515010016000564608")</f>
        <v>82DI0515010016000564608</v>
      </c>
      <c r="B60" s="167" t="str">
        <f ca="1">IFERROR(__xludf.DUMMYFUNCTION("""COMPUTED_VALUE"""),"BUENO")</f>
        <v>BUENO</v>
      </c>
      <c r="C60" s="206"/>
      <c r="D60" s="206"/>
      <c r="E60" s="226"/>
      <c r="F60" s="226"/>
      <c r="G60" s="226"/>
      <c r="H60" s="226"/>
      <c r="I60" s="226"/>
      <c r="J60" s="226"/>
      <c r="K60" s="226"/>
      <c r="L60" s="226"/>
      <c r="M60" s="226"/>
      <c r="N60" s="226"/>
      <c r="O60" s="206"/>
    </row>
    <row r="61" spans="1:15" ht="34.5" hidden="1">
      <c r="A61" s="167" t="str">
        <f ca="1">IFERROR(__xludf.DUMMYFUNCTION("""COMPUTED_VALUE"""),"82DK0531010065000580345")</f>
        <v>82DK0531010065000580345</v>
      </c>
      <c r="B61" s="167" t="str">
        <f ca="1">IFERROR(__xludf.DUMMYFUNCTION("""COMPUTED_VALUE"""),"BUENO")</f>
        <v>BUENO</v>
      </c>
      <c r="C61" s="206"/>
      <c r="D61" s="206"/>
      <c r="E61" s="226"/>
      <c r="F61" s="226"/>
      <c r="G61" s="226"/>
      <c r="H61" s="226"/>
      <c r="I61" s="226"/>
      <c r="J61" s="226"/>
      <c r="K61" s="226"/>
      <c r="L61" s="226"/>
      <c r="M61" s="226"/>
      <c r="N61" s="226"/>
      <c r="O61" s="206"/>
    </row>
    <row r="62" spans="1:15" ht="34.5" hidden="1">
      <c r="A62" s="167" t="str">
        <f ca="1">IFERROR(__xludf.DUMMYFUNCTION("""COMPUTED_VALUE"""),"82DH0531010094000516615")</f>
        <v>82DH0531010094000516615</v>
      </c>
      <c r="B62" s="167" t="str">
        <f ca="1">IFERROR(__xludf.DUMMYFUNCTION("""COMPUTED_VALUE"""),"BUENO")</f>
        <v>BUENO</v>
      </c>
      <c r="C62" s="206"/>
      <c r="D62" s="206"/>
      <c r="E62" s="226"/>
      <c r="F62" s="226"/>
      <c r="G62" s="226"/>
      <c r="H62" s="226"/>
      <c r="I62" s="226"/>
      <c r="J62" s="226"/>
      <c r="K62" s="226"/>
      <c r="L62" s="226"/>
      <c r="M62" s="226"/>
      <c r="N62" s="226"/>
      <c r="O62" s="206"/>
    </row>
    <row r="63" spans="1:15" ht="30" hidden="1">
      <c r="A63" s="167" t="str">
        <f ca="1">IFERROR(__xludf.DUMMYFUNCTION("""COMPUTED_VALUE"""),"SIN RESGUARDO")</f>
        <v>SIN RESGUARDO</v>
      </c>
      <c r="B63" s="167" t="str">
        <f ca="1">IFERROR(__xludf.DUMMYFUNCTION("""COMPUTED_VALUE"""),"MALO")</f>
        <v>MALO</v>
      </c>
      <c r="C63" s="206"/>
      <c r="D63" s="206"/>
      <c r="E63" s="227"/>
      <c r="F63" s="227"/>
      <c r="G63" s="227"/>
      <c r="H63" s="227"/>
      <c r="I63" s="227"/>
      <c r="J63" s="227"/>
      <c r="K63" s="227"/>
      <c r="L63" s="227"/>
      <c r="M63" s="227"/>
      <c r="N63" s="227"/>
      <c r="O63" s="206"/>
    </row>
    <row r="64" spans="1:15" ht="30" hidden="1">
      <c r="A64" s="167" t="str">
        <f ca="1">IFERROR(__xludf.DUMMYFUNCTION("""COMPUTED_VALUE"""),"SIN RESGUARDO")</f>
        <v>SIN RESGUARDO</v>
      </c>
      <c r="B64" s="167" t="str">
        <f ca="1">IFERROR(__xludf.DUMMYFUNCTION("""COMPUTED_VALUE"""),"BUENO")</f>
        <v>BUENO</v>
      </c>
      <c r="C64" s="206"/>
      <c r="D64" s="206"/>
      <c r="E64" s="227"/>
      <c r="F64" s="227"/>
      <c r="G64" s="227"/>
      <c r="H64" s="227"/>
      <c r="I64" s="227"/>
      <c r="J64" s="227"/>
      <c r="K64" s="227"/>
      <c r="L64" s="227"/>
      <c r="M64" s="227"/>
      <c r="N64" s="227"/>
      <c r="O64" s="206"/>
    </row>
    <row r="65" spans="1:15" ht="30" hidden="1">
      <c r="A65" s="167" t="str">
        <f ca="1">IFERROR(__xludf.DUMMYFUNCTION("""COMPUTED_VALUE"""),"82DK0565010001000538211")</f>
        <v>82DK0565010001000538211</v>
      </c>
      <c r="B65" s="167" t="str">
        <f ca="1">IFERROR(__xludf.DUMMYFUNCTION("""COMPUTED_VALUE"""),"MALO")</f>
        <v>MALO</v>
      </c>
      <c r="C65" s="206"/>
      <c r="D65" s="206"/>
      <c r="E65" s="227"/>
      <c r="F65" s="227"/>
      <c r="G65" s="227"/>
      <c r="H65" s="227"/>
      <c r="I65" s="227"/>
      <c r="J65" s="227"/>
      <c r="K65" s="227"/>
      <c r="L65" s="227"/>
      <c r="M65" s="227"/>
      <c r="N65" s="227"/>
      <c r="O65" s="206"/>
    </row>
    <row r="66" spans="1:15" ht="30" hidden="1">
      <c r="A66" s="167" t="str">
        <f ca="1">IFERROR(__xludf.DUMMYFUNCTION("""COMPUTED_VALUE"""),"SIN RESGUARDO")</f>
        <v>SIN RESGUARDO</v>
      </c>
      <c r="B66" s="167" t="str">
        <f ca="1">IFERROR(__xludf.DUMMYFUNCTION("""COMPUTED_VALUE"""),"BUENO")</f>
        <v>BUENO</v>
      </c>
      <c r="C66" s="206"/>
      <c r="D66" s="206"/>
      <c r="E66" s="227"/>
      <c r="F66" s="227"/>
      <c r="G66" s="227"/>
      <c r="H66" s="227"/>
      <c r="I66" s="227"/>
      <c r="J66" s="227"/>
      <c r="K66" s="227"/>
      <c r="L66" s="227"/>
      <c r="M66" s="227"/>
      <c r="N66" s="227"/>
      <c r="O66" s="206"/>
    </row>
    <row r="67" spans="1:15" ht="30" hidden="1">
      <c r="A67" s="167" t="str">
        <f ca="1">IFERROR(__xludf.DUMMYFUNCTION("""COMPUTED_VALUE"""),"82DK0511010001000518524")</f>
        <v>82DK0511010001000518524</v>
      </c>
      <c r="B67" s="167" t="str">
        <f ca="1">IFERROR(__xludf.DUMMYFUNCTION("""COMPUTED_VALUE"""),"BUENO")</f>
        <v>BUENO</v>
      </c>
      <c r="C67" s="206"/>
      <c r="D67" s="206"/>
      <c r="E67" s="227"/>
      <c r="F67" s="227"/>
      <c r="G67" s="227"/>
      <c r="H67" s="227"/>
      <c r="I67" s="227"/>
      <c r="J67" s="227"/>
      <c r="K67" s="227"/>
      <c r="L67" s="227"/>
      <c r="M67" s="227"/>
      <c r="N67" s="227"/>
      <c r="O67" s="206"/>
    </row>
    <row r="68" spans="1:15" ht="30" hidden="1">
      <c r="A68" s="167" t="str">
        <f ca="1">IFERROR(__xludf.DUMMYFUNCTION("""COMPUTED_VALUE"""),"82DK0515010020000650900")</f>
        <v>82DK0515010020000650900</v>
      </c>
      <c r="B68" s="167" t="str">
        <f ca="1">IFERROR(__xludf.DUMMYFUNCTION("""COMPUTED_VALUE"""),"BUENO")</f>
        <v>BUENO</v>
      </c>
      <c r="C68" s="206"/>
      <c r="D68" s="206"/>
      <c r="E68" s="227"/>
      <c r="F68" s="227"/>
      <c r="G68" s="227"/>
      <c r="H68" s="227"/>
      <c r="I68" s="227"/>
      <c r="J68" s="227"/>
      <c r="K68" s="227"/>
      <c r="L68" s="227"/>
      <c r="M68" s="227"/>
      <c r="N68" s="227"/>
      <c r="O68" s="206"/>
    </row>
    <row r="69" spans="1:15" ht="30" hidden="1">
      <c r="A69" s="167" t="str">
        <f ca="1">IFERROR(__xludf.DUMMYFUNCTION("""COMPUTED_VALUE"""),"82DK0511010006000518530")</f>
        <v>82DK0511010006000518530</v>
      </c>
      <c r="B69" s="167" t="str">
        <f ca="1">IFERROR(__xludf.DUMMYFUNCTION("""COMPUTED_VALUE"""),"MALO")</f>
        <v>MALO</v>
      </c>
      <c r="C69" s="206"/>
      <c r="D69" s="206"/>
      <c r="E69" s="227"/>
      <c r="F69" s="227"/>
      <c r="G69" s="227"/>
      <c r="H69" s="227"/>
      <c r="I69" s="227"/>
      <c r="J69" s="227"/>
      <c r="K69" s="227"/>
      <c r="L69" s="227"/>
      <c r="M69" s="227"/>
      <c r="N69" s="227"/>
      <c r="O69" s="206"/>
    </row>
    <row r="70" spans="1:15" ht="30" hidden="1">
      <c r="A70" s="167" t="str">
        <f ca="1">IFERROR(__xludf.DUMMYFUNCTION("""COMPUTED_VALUE"""),"82DK0531010065000564832")</f>
        <v>82DK0531010065000564832</v>
      </c>
      <c r="B70" s="167" t="str">
        <f ca="1">IFERROR(__xludf.DUMMYFUNCTION("""COMPUTED_VALUE"""),"BUENO")</f>
        <v>BUENO</v>
      </c>
      <c r="C70" s="206"/>
      <c r="D70" s="206"/>
      <c r="E70" s="227"/>
      <c r="F70" s="227"/>
      <c r="G70" s="227"/>
      <c r="H70" s="227"/>
      <c r="I70" s="227"/>
      <c r="J70" s="227"/>
      <c r="K70" s="227"/>
      <c r="L70" s="227"/>
      <c r="M70" s="227"/>
      <c r="N70" s="227"/>
      <c r="O70" s="206"/>
    </row>
    <row r="71" spans="1:15" ht="30" hidden="1">
      <c r="A71" s="167" t="str">
        <f ca="1">IFERROR(__xludf.DUMMYFUNCTION("""COMPUTED_VALUE"""),"82DK0511010017000522763")</f>
        <v>82DK0511010017000522763</v>
      </c>
      <c r="B71" s="167" t="str">
        <f ca="1">IFERROR(__xludf.DUMMYFUNCTION("""COMPUTED_VALUE"""),"MALO")</f>
        <v>MALO</v>
      </c>
      <c r="C71" s="206"/>
      <c r="D71" s="206"/>
      <c r="E71" s="227"/>
      <c r="F71" s="227"/>
      <c r="G71" s="227"/>
      <c r="H71" s="227"/>
      <c r="I71" s="227"/>
      <c r="J71" s="227"/>
      <c r="K71" s="227"/>
      <c r="L71" s="227"/>
      <c r="M71" s="227"/>
      <c r="N71" s="227"/>
      <c r="O71" s="206"/>
    </row>
    <row r="72" spans="1:15" ht="30" hidden="1">
      <c r="A72" s="167" t="str">
        <f ca="1">IFERROR(__xludf.DUMMYFUNCTION("""COMPUTED_VALUE"""),"SIN RESGUARDO")</f>
        <v>SIN RESGUARDO</v>
      </c>
      <c r="B72" s="167" t="str">
        <f ca="1">IFERROR(__xludf.DUMMYFUNCTION("""COMPUTED_VALUE"""),"BUENO")</f>
        <v>BUENO</v>
      </c>
      <c r="C72" s="206"/>
      <c r="D72" s="206"/>
      <c r="E72" s="227"/>
      <c r="F72" s="227"/>
      <c r="G72" s="227"/>
      <c r="H72" s="227"/>
      <c r="I72" s="227"/>
      <c r="J72" s="227"/>
      <c r="K72" s="227"/>
      <c r="L72" s="227"/>
      <c r="M72" s="227"/>
      <c r="N72" s="227"/>
      <c r="O72" s="206"/>
    </row>
    <row r="73" spans="1:15" ht="30" hidden="1">
      <c r="A73" s="167" t="str">
        <f ca="1">IFERROR(__xludf.DUMMYFUNCTION("""COMPUTED_VALUE"""),"82DH0531010065000564868")</f>
        <v>82DH0531010065000564868</v>
      </c>
      <c r="B73" s="167" t="str">
        <f ca="1">IFERROR(__xludf.DUMMYFUNCTION("""COMPUTED_VALUE"""),"BUENO")</f>
        <v>BUENO</v>
      </c>
      <c r="C73" s="206"/>
      <c r="D73" s="206"/>
      <c r="E73" s="227"/>
      <c r="F73" s="227"/>
      <c r="G73" s="227"/>
      <c r="H73" s="227"/>
      <c r="I73" s="227"/>
      <c r="J73" s="227"/>
      <c r="K73" s="227"/>
      <c r="L73" s="227"/>
      <c r="M73" s="227"/>
      <c r="N73" s="227"/>
      <c r="O73" s="206"/>
    </row>
    <row r="74" spans="1:15" ht="30" hidden="1">
      <c r="A74" s="167" t="str">
        <f ca="1">IFERROR(__xludf.DUMMYFUNCTION("""COMPUTED_VALUE"""),"82DH0519010043000650639")</f>
        <v>82DH0519010043000650639</v>
      </c>
      <c r="B74" s="167" t="str">
        <f ca="1">IFERROR(__xludf.DUMMYFUNCTION("""COMPUTED_VALUE"""),"BUENO")</f>
        <v>BUENO</v>
      </c>
      <c r="C74" s="206"/>
      <c r="D74" s="206"/>
      <c r="E74" s="227"/>
      <c r="F74" s="227"/>
      <c r="G74" s="227"/>
      <c r="H74" s="227"/>
      <c r="I74" s="227"/>
      <c r="J74" s="227"/>
      <c r="K74" s="227"/>
      <c r="L74" s="227"/>
      <c r="M74" s="227"/>
      <c r="N74" s="227"/>
      <c r="O74" s="206"/>
    </row>
    <row r="75" spans="1:15" ht="30" hidden="1">
      <c r="A75" s="167" t="str">
        <f ca="1">IFERROR(__xludf.DUMMYFUNCTION("""COMPUTED_VALUE"""),"82DH0519010043000650640")</f>
        <v>82DH0519010043000650640</v>
      </c>
      <c r="B75" s="167" t="str">
        <f ca="1">IFERROR(__xludf.DUMMYFUNCTION("""COMPUTED_VALUE"""),"BUENO")</f>
        <v>BUENO</v>
      </c>
      <c r="C75" s="206"/>
      <c r="D75" s="206"/>
      <c r="E75" s="227"/>
      <c r="F75" s="227"/>
      <c r="G75" s="227"/>
      <c r="H75" s="227"/>
      <c r="I75" s="227"/>
      <c r="J75" s="227"/>
      <c r="K75" s="227"/>
      <c r="L75" s="227"/>
      <c r="M75" s="227"/>
      <c r="N75" s="227"/>
      <c r="O75" s="206"/>
    </row>
    <row r="76" spans="1:15" ht="30" hidden="1">
      <c r="A76" s="167" t="str">
        <f ca="1">IFERROR(__xludf.DUMMYFUNCTION("""COMPUTED_VALUE"""),"82DH0519010043000649367")</f>
        <v>82DH0519010043000649367</v>
      </c>
      <c r="B76" s="167" t="str">
        <f ca="1">IFERROR(__xludf.DUMMYFUNCTION("""COMPUTED_VALUE"""),"BUENO")</f>
        <v>BUENO</v>
      </c>
      <c r="C76" s="206"/>
      <c r="D76" s="206"/>
      <c r="E76" s="227"/>
      <c r="F76" s="227"/>
      <c r="G76" s="227"/>
      <c r="H76" s="227"/>
      <c r="I76" s="227"/>
      <c r="J76" s="227"/>
      <c r="K76" s="227"/>
      <c r="L76" s="227"/>
      <c r="M76" s="227"/>
      <c r="N76" s="227"/>
      <c r="O76" s="206"/>
    </row>
    <row r="77" spans="1:15" ht="30" hidden="1">
      <c r="A77" s="167" t="str">
        <f ca="1">IFERROR(__xludf.DUMMYFUNCTION("""COMPUTED_VALUE"""),"82DH0511010003000518526")</f>
        <v>82DH0511010003000518526</v>
      </c>
      <c r="B77" s="167" t="str">
        <f ca="1">IFERROR(__xludf.DUMMYFUNCTION("""COMPUTED_VALUE"""),"BUENO")</f>
        <v>BUENO</v>
      </c>
      <c r="C77" s="206"/>
      <c r="D77" s="206"/>
      <c r="E77" s="227"/>
      <c r="F77" s="227"/>
      <c r="G77" s="227"/>
      <c r="H77" s="227"/>
      <c r="I77" s="227"/>
      <c r="J77" s="227"/>
      <c r="K77" s="227"/>
      <c r="L77" s="227"/>
      <c r="M77" s="227"/>
      <c r="N77" s="227"/>
      <c r="O77" s="206"/>
    </row>
    <row r="78" spans="1:15" ht="30" hidden="1">
      <c r="A78" s="167" t="str">
        <f ca="1">IFERROR(__xludf.DUMMYFUNCTION("""COMPUTED_VALUE"""),"82DH0511010017000649517")</f>
        <v>82DH0511010017000649517</v>
      </c>
      <c r="B78" s="167" t="str">
        <f ca="1">IFERROR(__xludf.DUMMYFUNCTION("""COMPUTED_VALUE"""),"MALO")</f>
        <v>MALO</v>
      </c>
      <c r="C78" s="206"/>
      <c r="D78" s="206"/>
      <c r="E78" s="227"/>
      <c r="F78" s="227"/>
      <c r="G78" s="227"/>
      <c r="H78" s="227"/>
      <c r="I78" s="227"/>
      <c r="J78" s="227"/>
      <c r="K78" s="227"/>
      <c r="L78" s="227"/>
      <c r="M78" s="227"/>
      <c r="N78" s="227"/>
      <c r="O78" s="206"/>
    </row>
    <row r="79" spans="1:15" ht="30" hidden="1">
      <c r="A79" s="167" t="str">
        <f ca="1">IFERROR(__xludf.DUMMYFUNCTION("""COMPUTED_VALUE"""),"82DH0531010065000564845")</f>
        <v>82DH0531010065000564845</v>
      </c>
      <c r="B79" s="167" t="str">
        <f ca="1">IFERROR(__xludf.DUMMYFUNCTION("""COMPUTED_VALUE"""),"BUENO")</f>
        <v>BUENO</v>
      </c>
      <c r="C79" s="206"/>
      <c r="D79" s="206"/>
      <c r="E79" s="227"/>
      <c r="F79" s="227"/>
      <c r="G79" s="227"/>
      <c r="H79" s="227"/>
      <c r="I79" s="227"/>
      <c r="J79" s="227"/>
      <c r="K79" s="227"/>
      <c r="L79" s="227"/>
      <c r="M79" s="227"/>
      <c r="N79" s="227"/>
      <c r="O79" s="206"/>
    </row>
    <row r="80" spans="1:15" ht="30" hidden="1">
      <c r="A80" s="167" t="str">
        <f ca="1">IFERROR(__xludf.DUMMYFUNCTION("""COMPUTED_VALUE"""),"82DH0512010014000649515")</f>
        <v>82DH0512010014000649515</v>
      </c>
      <c r="B80" s="167" t="str">
        <f ca="1">IFERROR(__xludf.DUMMYFUNCTION("""COMPUTED_VALUE"""),"BUENO")</f>
        <v>BUENO</v>
      </c>
      <c r="C80" s="206"/>
      <c r="D80" s="206"/>
      <c r="E80" s="227"/>
      <c r="F80" s="227"/>
      <c r="G80" s="227"/>
      <c r="H80" s="227"/>
      <c r="I80" s="227"/>
      <c r="J80" s="227"/>
      <c r="K80" s="227"/>
      <c r="L80" s="227"/>
      <c r="M80" s="227"/>
      <c r="N80" s="227"/>
      <c r="O80" s="206"/>
    </row>
    <row r="81" spans="1:15" ht="30" hidden="1">
      <c r="A81" s="167" t="str">
        <f ca="1">IFERROR(__xludf.DUMMYFUNCTION("""COMPUTED_VALUE"""),"82DH0531010094000649529")</f>
        <v>82DH0531010094000649529</v>
      </c>
      <c r="B81" s="167" t="str">
        <f ca="1">IFERROR(__xludf.DUMMYFUNCTION("""COMPUTED_VALUE"""),"BUENO")</f>
        <v>BUENO</v>
      </c>
      <c r="C81" s="206"/>
      <c r="D81" s="206"/>
      <c r="E81" s="227"/>
      <c r="F81" s="227"/>
      <c r="G81" s="227"/>
      <c r="H81" s="227"/>
      <c r="I81" s="227"/>
      <c r="J81" s="227"/>
      <c r="K81" s="227"/>
      <c r="L81" s="227"/>
      <c r="M81" s="227"/>
      <c r="N81" s="227"/>
      <c r="O81" s="206"/>
    </row>
    <row r="82" spans="1:15" ht="30" hidden="1">
      <c r="A82" s="167" t="str">
        <f ca="1">IFERROR(__xludf.DUMMYFUNCTION("""COMPUTED_VALUE"""),"82DH0511010015000649511")</f>
        <v>82DH0511010015000649511</v>
      </c>
      <c r="B82" s="167" t="str">
        <f ca="1">IFERROR(__xludf.DUMMYFUNCTION("""COMPUTED_VALUE"""),"BUENO")</f>
        <v>BUENO</v>
      </c>
      <c r="C82" s="206"/>
      <c r="D82" s="206"/>
      <c r="E82" s="227"/>
      <c r="F82" s="227"/>
      <c r="G82" s="227"/>
      <c r="H82" s="227"/>
      <c r="I82" s="227"/>
      <c r="J82" s="227"/>
      <c r="K82" s="227"/>
      <c r="L82" s="227"/>
      <c r="M82" s="227"/>
      <c r="N82" s="227"/>
      <c r="O82" s="206"/>
    </row>
    <row r="83" spans="1:15" ht="30" hidden="1">
      <c r="A83" s="167" t="str">
        <f ca="1">IFERROR(__xludf.DUMMYFUNCTION("""COMPUTED_VALUE"""),"82DH0515010020000650634")</f>
        <v>82DH0515010020000650634</v>
      </c>
      <c r="B83" s="167" t="str">
        <f ca="1">IFERROR(__xludf.DUMMYFUNCTION("""COMPUTED_VALUE"""),"MALO")</f>
        <v>MALO</v>
      </c>
      <c r="C83" s="206"/>
      <c r="D83" s="206"/>
      <c r="E83" s="227"/>
      <c r="F83" s="227"/>
      <c r="G83" s="227"/>
      <c r="H83" s="227"/>
      <c r="I83" s="227"/>
      <c r="J83" s="227"/>
      <c r="K83" s="227"/>
      <c r="L83" s="227"/>
      <c r="M83" s="227"/>
      <c r="N83" s="227"/>
      <c r="O83" s="206"/>
    </row>
    <row r="84" spans="1:15" ht="30" hidden="1">
      <c r="A84" s="167" t="str">
        <f ca="1">IFERROR(__xludf.DUMMYFUNCTION("""COMPUTED_VALUE"""),"82DH0531010065000580346")</f>
        <v>82DH0531010065000580346</v>
      </c>
      <c r="B84" s="167" t="str">
        <f ca="1">IFERROR(__xludf.DUMMYFUNCTION("""COMPUTED_VALUE"""),"BUENO")</f>
        <v>BUENO</v>
      </c>
      <c r="C84" s="206"/>
      <c r="D84" s="206"/>
      <c r="E84" s="227"/>
      <c r="F84" s="227"/>
      <c r="G84" s="227"/>
      <c r="H84" s="227"/>
      <c r="I84" s="227"/>
      <c r="J84" s="227"/>
      <c r="K84" s="227"/>
      <c r="L84" s="227"/>
      <c r="M84" s="227"/>
      <c r="N84" s="227"/>
      <c r="O84" s="206"/>
    </row>
    <row r="85" spans="1:15" ht="30" hidden="1">
      <c r="A85" s="167" t="str">
        <f ca="1">IFERROR(__xludf.DUMMYFUNCTION("""COMPUTED_VALUE"""),"82DH0511010003000582612")</f>
        <v>82DH0511010003000582612</v>
      </c>
      <c r="B85" s="167" t="str">
        <f ca="1">IFERROR(__xludf.DUMMYFUNCTION("""COMPUTED_VALUE"""),"BUENO")</f>
        <v>BUENO</v>
      </c>
      <c r="C85" s="206"/>
      <c r="D85" s="206"/>
      <c r="E85" s="227"/>
      <c r="F85" s="227"/>
      <c r="G85" s="227"/>
      <c r="H85" s="227"/>
      <c r="I85" s="227"/>
      <c r="J85" s="227"/>
      <c r="K85" s="227"/>
      <c r="L85" s="227"/>
      <c r="M85" s="227"/>
      <c r="N85" s="227"/>
      <c r="O85" s="206"/>
    </row>
    <row r="86" spans="1:15" ht="30" hidden="1">
      <c r="A86" s="167" t="str">
        <f ca="1">IFERROR(__xludf.DUMMYFUNCTION("""COMPUTED_VALUE"""),"82DH0511010009000584145")</f>
        <v>82DH0511010009000584145</v>
      </c>
      <c r="B86" s="167" t="str">
        <f ca="1">IFERROR(__xludf.DUMMYFUNCTION("""COMPUTED_VALUE"""),"BUENO")</f>
        <v>BUENO</v>
      </c>
      <c r="C86" s="206"/>
      <c r="D86" s="206"/>
      <c r="E86" s="227"/>
      <c r="F86" s="227"/>
      <c r="G86" s="227"/>
      <c r="H86" s="227"/>
      <c r="I86" s="227"/>
      <c r="J86" s="227"/>
      <c r="K86" s="227"/>
      <c r="L86" s="227"/>
      <c r="M86" s="227"/>
      <c r="N86" s="227"/>
      <c r="O86" s="206"/>
    </row>
    <row r="87" spans="1:15" ht="30" hidden="1">
      <c r="A87" s="167" t="str">
        <f ca="1">IFERROR(__xludf.DUMMYFUNCTION("""COMPUTED_VALUE"""),"82DH0511010017000518537")</f>
        <v>82DH0511010017000518537</v>
      </c>
      <c r="B87" s="167" t="str">
        <f ca="1">IFERROR(__xludf.DUMMYFUNCTION("""COMPUTED_VALUE"""),"REGULAR")</f>
        <v>REGULAR</v>
      </c>
      <c r="C87" s="206"/>
      <c r="D87" s="206"/>
      <c r="E87" s="227"/>
      <c r="F87" s="227"/>
      <c r="G87" s="227"/>
      <c r="H87" s="227"/>
      <c r="I87" s="227"/>
      <c r="J87" s="227"/>
      <c r="K87" s="227"/>
      <c r="L87" s="227"/>
      <c r="M87" s="227"/>
      <c r="N87" s="227"/>
      <c r="O87" s="206"/>
    </row>
    <row r="88" spans="1:15" ht="30" hidden="1">
      <c r="A88" s="167" t="str">
        <f ca="1">IFERROR(__xludf.DUMMYFUNCTION("""COMPUTED_VALUE"""),"82DH0511010017000518536")</f>
        <v>82DH0511010017000518536</v>
      </c>
      <c r="B88" s="167" t="str">
        <f ca="1">IFERROR(__xludf.DUMMYFUNCTION("""COMPUTED_VALUE"""),"MALO")</f>
        <v>MALO</v>
      </c>
      <c r="C88" s="206"/>
      <c r="D88" s="206"/>
      <c r="E88" s="227"/>
      <c r="F88" s="227"/>
      <c r="G88" s="227"/>
      <c r="H88" s="227"/>
      <c r="I88" s="227"/>
      <c r="J88" s="227"/>
      <c r="K88" s="227"/>
      <c r="L88" s="227"/>
      <c r="M88" s="227"/>
      <c r="N88" s="227"/>
      <c r="O88" s="206"/>
    </row>
    <row r="89" spans="1:15" ht="30" hidden="1">
      <c r="A89" s="167" t="str">
        <f ca="1">IFERROR(__xludf.DUMMYFUNCTION("""COMPUTED_VALUE"""),"82DH0531010065000580349")</f>
        <v>82DH0531010065000580349</v>
      </c>
      <c r="B89" s="167" t="str">
        <f ca="1">IFERROR(__xludf.DUMMYFUNCTION("""COMPUTED_VALUE"""),"BUENO")</f>
        <v>BUENO</v>
      </c>
      <c r="C89" s="206"/>
      <c r="D89" s="206"/>
      <c r="E89" s="227"/>
      <c r="F89" s="227"/>
      <c r="G89" s="227"/>
      <c r="H89" s="227"/>
      <c r="I89" s="227"/>
      <c r="J89" s="227"/>
      <c r="K89" s="227"/>
      <c r="L89" s="227"/>
      <c r="M89" s="227"/>
      <c r="N89" s="227"/>
      <c r="O89" s="206"/>
    </row>
    <row r="90" spans="1:15" ht="30" hidden="1">
      <c r="A90" s="167" t="str">
        <f ca="1">IFERROR(__xludf.DUMMYFUNCTION("""COMPUTED_VALUE"""),"82DH0511010017000518534")</f>
        <v>82DH0511010017000518534</v>
      </c>
      <c r="B90" s="167" t="str">
        <f ca="1">IFERROR(__xludf.DUMMYFUNCTION("""COMPUTED_VALUE"""),"BUENO")</f>
        <v>BUENO</v>
      </c>
      <c r="C90" s="206"/>
      <c r="D90" s="206"/>
      <c r="E90" s="227"/>
      <c r="F90" s="227"/>
      <c r="G90" s="227"/>
      <c r="H90" s="227"/>
      <c r="I90" s="227"/>
      <c r="J90" s="227"/>
      <c r="K90" s="227"/>
      <c r="L90" s="227"/>
      <c r="M90" s="227"/>
      <c r="N90" s="227"/>
      <c r="O90" s="206"/>
    </row>
    <row r="91" spans="1:15" ht="30" hidden="1">
      <c r="A91" s="167" t="str">
        <f ca="1">IFERROR(__xludf.DUMMYFUNCTION("""COMPUTED_VALUE"""),"82DH0511010010000651071")</f>
        <v>82DH0511010010000651071</v>
      </c>
      <c r="B91" s="167" t="str">
        <f ca="1">IFERROR(__xludf.DUMMYFUNCTION("""COMPUTED_VALUE"""),"MAL ESTADO")</f>
        <v>MAL ESTADO</v>
      </c>
      <c r="C91" s="206"/>
      <c r="D91" s="206"/>
      <c r="E91" s="227"/>
      <c r="F91" s="227"/>
      <c r="G91" s="227"/>
      <c r="H91" s="227"/>
      <c r="I91" s="227"/>
      <c r="J91" s="227"/>
      <c r="K91" s="227"/>
      <c r="L91" s="227"/>
      <c r="M91" s="227"/>
      <c r="N91" s="227"/>
      <c r="O91" s="206"/>
    </row>
    <row r="92" spans="1:15" ht="30" hidden="1">
      <c r="A92" s="167" t="str">
        <f ca="1">IFERROR(__xludf.DUMMYFUNCTION("""COMPUTED_VALUE"""),"82DH0511010015000518532")</f>
        <v>82DH0511010015000518532</v>
      </c>
      <c r="B92" s="167" t="str">
        <f ca="1">IFERROR(__xludf.DUMMYFUNCTION("""COMPUTED_VALUE"""),"BUENO")</f>
        <v>BUENO</v>
      </c>
      <c r="C92" s="206"/>
      <c r="D92" s="206"/>
      <c r="E92" s="227"/>
      <c r="F92" s="227"/>
      <c r="G92" s="227"/>
      <c r="H92" s="227"/>
      <c r="I92" s="227"/>
      <c r="J92" s="227"/>
      <c r="K92" s="227"/>
      <c r="L92" s="227"/>
      <c r="M92" s="227"/>
      <c r="N92" s="227"/>
      <c r="O92" s="206"/>
    </row>
    <row r="93" spans="1:15" ht="30" hidden="1">
      <c r="A93" s="167" t="str">
        <f ca="1">IFERROR(__xludf.DUMMYFUNCTION("""COMPUTED_VALUE"""),"82DH0529030005000649521")</f>
        <v>82DH0529030005000649521</v>
      </c>
      <c r="B93" s="167" t="str">
        <f ca="1">IFERROR(__xludf.DUMMYFUNCTION("""COMPUTED_VALUE"""),"BUENO")</f>
        <v>BUENO</v>
      </c>
      <c r="C93" s="206"/>
      <c r="D93" s="206"/>
      <c r="E93" s="227"/>
      <c r="F93" s="227"/>
      <c r="G93" s="227"/>
      <c r="H93" s="227"/>
      <c r="I93" s="227"/>
      <c r="J93" s="227"/>
      <c r="K93" s="227"/>
      <c r="L93" s="227"/>
      <c r="M93" s="227"/>
      <c r="N93" s="227"/>
      <c r="O93" s="206"/>
    </row>
    <row r="94" spans="1:15" ht="30" hidden="1">
      <c r="A94" s="167" t="str">
        <f ca="1">IFERROR(__xludf.DUMMYFUNCTION("""COMPUTED_VALUE"""),"SIN RESGUARDO")</f>
        <v>SIN RESGUARDO</v>
      </c>
      <c r="B94" s="167" t="str">
        <f ca="1">IFERROR(__xludf.DUMMYFUNCTION("""COMPUTED_VALUE"""),"BUENO")</f>
        <v>BUENO</v>
      </c>
      <c r="C94" s="206"/>
      <c r="D94" s="206"/>
      <c r="E94" s="227"/>
      <c r="F94" s="227"/>
      <c r="G94" s="227"/>
      <c r="H94" s="227"/>
      <c r="I94" s="227"/>
      <c r="J94" s="227"/>
      <c r="K94" s="227"/>
      <c r="L94" s="227"/>
      <c r="M94" s="227"/>
      <c r="N94" s="227"/>
      <c r="O94" s="206"/>
    </row>
    <row r="95" spans="1:15" ht="30" hidden="1">
      <c r="A95" s="167" t="str">
        <f ca="1">IFERROR(__xludf.DUMMYFUNCTION("""COMPUTED_VALUE"""),"82DK0511010009000584144")</f>
        <v>82DK0511010009000584144</v>
      </c>
      <c r="B95" s="167" t="str">
        <f ca="1">IFERROR(__xludf.DUMMYFUNCTION("""COMPUTED_VALUE"""),"BUENO")</f>
        <v>BUENO</v>
      </c>
      <c r="C95" s="206"/>
      <c r="D95" s="206"/>
      <c r="E95" s="227"/>
      <c r="F95" s="227"/>
      <c r="G95" s="227"/>
      <c r="H95" s="227"/>
      <c r="I95" s="227"/>
      <c r="J95" s="227"/>
      <c r="K95" s="227"/>
      <c r="L95" s="227"/>
      <c r="M95" s="227"/>
      <c r="N95" s="227"/>
      <c r="O95" s="206"/>
    </row>
    <row r="96" spans="1:15" ht="30" hidden="1">
      <c r="A96" s="167" t="str">
        <f ca="1">IFERROR(__xludf.DUMMYFUNCTION("""COMPUTED_VALUE"""),"82DK0511010001000649470")</f>
        <v>82DK0511010001000649470</v>
      </c>
      <c r="B96" s="167" t="str">
        <f ca="1">IFERROR(__xludf.DUMMYFUNCTION("""COMPUTED_VALUE"""),"BUENO")</f>
        <v>BUENO</v>
      </c>
      <c r="C96" s="206"/>
      <c r="D96" s="206"/>
      <c r="E96" s="227"/>
      <c r="F96" s="227"/>
      <c r="G96" s="227"/>
      <c r="H96" s="227"/>
      <c r="I96" s="227"/>
      <c r="J96" s="227"/>
      <c r="K96" s="227"/>
      <c r="L96" s="227"/>
      <c r="M96" s="227"/>
      <c r="N96" s="227"/>
      <c r="O96" s="206"/>
    </row>
    <row r="97" spans="1:15" ht="30" hidden="1">
      <c r="A97" s="167" t="str">
        <f ca="1">IFERROR(__xludf.DUMMYFUNCTION("""COMPUTED_VALUE"""),"82DK0511010001000581678")</f>
        <v>82DK0511010001000581678</v>
      </c>
      <c r="B97" s="167" t="str">
        <f ca="1">IFERROR(__xludf.DUMMYFUNCTION("""COMPUTED_VALUE"""),"BUENO")</f>
        <v>BUENO</v>
      </c>
      <c r="C97" s="206"/>
      <c r="D97" s="206"/>
      <c r="E97" s="227"/>
      <c r="F97" s="227"/>
      <c r="G97" s="227"/>
      <c r="H97" s="227"/>
      <c r="I97" s="227"/>
      <c r="J97" s="227"/>
      <c r="K97" s="227"/>
      <c r="L97" s="227"/>
      <c r="M97" s="227"/>
      <c r="N97" s="227"/>
      <c r="O97" s="206"/>
    </row>
    <row r="98" spans="1:15" ht="30" hidden="1">
      <c r="A98" s="167" t="str">
        <f ca="1">IFERROR(__xludf.DUMMYFUNCTION("""COMPUTED_VALUE"""),"82DK0511010010000649464")</f>
        <v>82DK0511010010000649464</v>
      </c>
      <c r="B98" s="167" t="str">
        <f ca="1">IFERROR(__xludf.DUMMYFUNCTION("""COMPUTED_VALUE"""),"BUENO")</f>
        <v>BUENO</v>
      </c>
      <c r="C98" s="206"/>
      <c r="D98" s="206"/>
      <c r="E98" s="227"/>
      <c r="F98" s="227"/>
      <c r="G98" s="227"/>
      <c r="H98" s="227"/>
      <c r="I98" s="227"/>
      <c r="J98" s="227"/>
      <c r="K98" s="227"/>
      <c r="L98" s="227"/>
      <c r="M98" s="227"/>
      <c r="N98" s="227"/>
      <c r="O98" s="206"/>
    </row>
    <row r="99" spans="1:15" ht="30" hidden="1">
      <c r="A99" s="167" t="str">
        <f ca="1">IFERROR(__xludf.DUMMYFUNCTION("""COMPUTED_VALUE"""),"82DK0511010006000649463")</f>
        <v>82DK0511010006000649463</v>
      </c>
      <c r="B99" s="167" t="str">
        <f ca="1">IFERROR(__xludf.DUMMYFUNCTION("""COMPUTED_VALUE"""),"BUENO")</f>
        <v>BUENO</v>
      </c>
      <c r="C99" s="206"/>
      <c r="D99" s="206"/>
      <c r="E99" s="227"/>
      <c r="F99" s="227"/>
      <c r="G99" s="227"/>
      <c r="H99" s="227"/>
      <c r="I99" s="227"/>
      <c r="J99" s="227"/>
      <c r="K99" s="227"/>
      <c r="L99" s="227"/>
      <c r="M99" s="227"/>
      <c r="N99" s="227"/>
      <c r="O99" s="206"/>
    </row>
    <row r="100" spans="1:15" ht="30" hidden="1">
      <c r="A100" s="167" t="str">
        <f ca="1">IFERROR(__xludf.DUMMYFUNCTION("""COMPUTED_VALUE"""),"82DK0511010017000516337")</f>
        <v>82DK0511010017000516337</v>
      </c>
      <c r="B100" s="167" t="str">
        <f ca="1">IFERROR(__xludf.DUMMYFUNCTION("""COMPUTED_VALUE"""),"BUENO")</f>
        <v>BUENO</v>
      </c>
      <c r="C100" s="206"/>
      <c r="D100" s="206"/>
      <c r="E100" s="227"/>
      <c r="F100" s="227"/>
      <c r="G100" s="227"/>
      <c r="H100" s="227"/>
      <c r="I100" s="227"/>
      <c r="J100" s="227"/>
      <c r="K100" s="227"/>
      <c r="L100" s="227"/>
      <c r="M100" s="227"/>
      <c r="N100" s="227"/>
      <c r="O100" s="206"/>
    </row>
    <row r="101" spans="1:15" ht="30" hidden="1">
      <c r="A101" s="167" t="str">
        <f ca="1">IFERROR(__xludf.DUMMYFUNCTION("""COMPUTED_VALUE"""),"82DK0511010017000649473")</f>
        <v>82DK0511010017000649473</v>
      </c>
      <c r="B101" s="167" t="str">
        <f ca="1">IFERROR(__xludf.DUMMYFUNCTION("""COMPUTED_VALUE"""),"BUENO")</f>
        <v>BUENO</v>
      </c>
      <c r="C101" s="206"/>
      <c r="D101" s="206"/>
      <c r="E101" s="227"/>
      <c r="F101" s="227"/>
      <c r="G101" s="227"/>
      <c r="H101" s="227"/>
      <c r="I101" s="227"/>
      <c r="J101" s="227"/>
      <c r="K101" s="227"/>
      <c r="L101" s="227"/>
      <c r="M101" s="227"/>
      <c r="N101" s="227"/>
      <c r="O101" s="206"/>
    </row>
    <row r="102" spans="1:15" ht="30" hidden="1">
      <c r="A102" s="167" t="str">
        <f ca="1">IFERROR(__xludf.DUMMYFUNCTION("""COMPUTED_VALUE"""),"82DK0515010013000650654")</f>
        <v>82DK0515010013000650654</v>
      </c>
      <c r="B102" s="167" t="str">
        <f ca="1">IFERROR(__xludf.DUMMYFUNCTION("""COMPUTED_VALUE"""),"BUENO")</f>
        <v>BUENO</v>
      </c>
      <c r="C102" s="206"/>
      <c r="D102" s="206"/>
      <c r="E102" s="227"/>
      <c r="F102" s="227"/>
      <c r="G102" s="227"/>
      <c r="H102" s="227"/>
      <c r="I102" s="227"/>
      <c r="J102" s="227"/>
      <c r="K102" s="227"/>
      <c r="L102" s="227"/>
      <c r="M102" s="227"/>
      <c r="N102" s="227"/>
      <c r="O102" s="206"/>
    </row>
    <row r="103" spans="1:15" ht="30" hidden="1">
      <c r="A103" s="167" t="str">
        <f ca="1">IFERROR(__xludf.DUMMYFUNCTION("""COMPUTED_VALUE"""),"82DK0515010001000650658")</f>
        <v>82DK0515010001000650658</v>
      </c>
      <c r="B103" s="167" t="str">
        <f ca="1">IFERROR(__xludf.DUMMYFUNCTION("""COMPUTED_VALUE"""),"BUENO")</f>
        <v>BUENO</v>
      </c>
      <c r="C103" s="206"/>
      <c r="D103" s="206"/>
      <c r="E103" s="227"/>
      <c r="F103" s="227"/>
      <c r="G103" s="227"/>
      <c r="H103" s="227"/>
      <c r="I103" s="227"/>
      <c r="J103" s="227"/>
      <c r="K103" s="227"/>
      <c r="L103" s="227"/>
      <c r="M103" s="227"/>
      <c r="N103" s="227"/>
      <c r="O103" s="206"/>
    </row>
    <row r="104" spans="1:15" ht="30" hidden="1">
      <c r="A104" s="167" t="str">
        <f ca="1">IFERROR(__xludf.DUMMYFUNCTION("""COMPUTED_VALUE"""),"82DK0515010013000650648")</f>
        <v>82DK0515010013000650648</v>
      </c>
      <c r="B104" s="167" t="str">
        <f ca="1">IFERROR(__xludf.DUMMYFUNCTION("""COMPUTED_VALUE"""),"BUENO")</f>
        <v>BUENO</v>
      </c>
      <c r="C104" s="206"/>
      <c r="D104" s="206"/>
      <c r="E104" s="227"/>
      <c r="F104" s="227"/>
      <c r="G104" s="227"/>
      <c r="H104" s="227"/>
      <c r="I104" s="227"/>
      <c r="J104" s="227"/>
      <c r="K104" s="227"/>
      <c r="L104" s="227"/>
      <c r="M104" s="227"/>
      <c r="N104" s="227"/>
      <c r="O104" s="206"/>
    </row>
    <row r="105" spans="1:15" ht="30" hidden="1">
      <c r="A105" s="167" t="str">
        <f ca="1">IFERROR(__xludf.DUMMYFUNCTION("""COMPUTED_VALUE"""),"82DK0515010020000650894")</f>
        <v>82DK0515010020000650894</v>
      </c>
      <c r="B105" s="167" t="str">
        <f ca="1">IFERROR(__xludf.DUMMYFUNCTION("""COMPUTED_VALUE"""),"BUENO")</f>
        <v>BUENO</v>
      </c>
      <c r="C105" s="206"/>
      <c r="D105" s="206"/>
      <c r="E105" s="227"/>
      <c r="F105" s="227"/>
      <c r="G105" s="227"/>
      <c r="H105" s="227"/>
      <c r="I105" s="227"/>
      <c r="J105" s="227"/>
      <c r="K105" s="227"/>
      <c r="L105" s="227"/>
      <c r="M105" s="227"/>
      <c r="N105" s="227"/>
      <c r="O105" s="206"/>
    </row>
    <row r="106" spans="1:15" ht="30" hidden="1">
      <c r="A106" s="167" t="str">
        <f ca="1">IFERROR(__xludf.DUMMYFUNCTION("""COMPUTED_VALUE"""),"82DH0511010010000649757")</f>
        <v>82DH0511010010000649757</v>
      </c>
      <c r="B106" s="167" t="str">
        <f ca="1">IFERROR(__xludf.DUMMYFUNCTION("""COMPUTED_VALUE"""),"BUENO")</f>
        <v>BUENO</v>
      </c>
      <c r="C106" s="206"/>
      <c r="D106" s="206"/>
      <c r="E106" s="227"/>
      <c r="F106" s="227"/>
      <c r="G106" s="227"/>
      <c r="H106" s="227"/>
      <c r="I106" s="227"/>
      <c r="J106" s="227"/>
      <c r="K106" s="227"/>
      <c r="L106" s="227"/>
      <c r="M106" s="227"/>
      <c r="N106" s="227"/>
      <c r="O106" s="206"/>
    </row>
    <row r="107" spans="1:15" ht="30" hidden="1">
      <c r="A107" s="167" t="str">
        <f ca="1">IFERROR(__xludf.DUMMYFUNCTION("""COMPUTED_VALUE"""),"82DK0511010016000649465")</f>
        <v>82DK0511010016000649465</v>
      </c>
      <c r="B107" s="167" t="str">
        <f ca="1">IFERROR(__xludf.DUMMYFUNCTION("""COMPUTED_VALUE"""),"BUENO")</f>
        <v>BUENO</v>
      </c>
      <c r="C107" s="206"/>
      <c r="D107" s="206"/>
      <c r="E107" s="227"/>
      <c r="F107" s="227"/>
      <c r="G107" s="227"/>
      <c r="H107" s="227"/>
      <c r="I107" s="227"/>
      <c r="J107" s="227"/>
      <c r="K107" s="227"/>
      <c r="L107" s="227"/>
      <c r="M107" s="227"/>
      <c r="N107" s="227"/>
      <c r="O107" s="206"/>
    </row>
    <row r="108" spans="1:15" ht="30" hidden="1">
      <c r="A108" s="167" t="str">
        <f ca="1">IFERROR(__xludf.DUMMYFUNCTION("""COMPUTED_VALUE"""),"SIN RESGUARDO")</f>
        <v>SIN RESGUARDO</v>
      </c>
      <c r="B108" s="167" t="str">
        <f ca="1">IFERROR(__xludf.DUMMYFUNCTION("""COMPUTED_VALUE"""),"BUENO")</f>
        <v>BUENO</v>
      </c>
      <c r="C108" s="206"/>
      <c r="D108" s="206"/>
      <c r="E108" s="227"/>
      <c r="F108" s="227"/>
      <c r="G108" s="227"/>
      <c r="H108" s="227"/>
      <c r="I108" s="227"/>
      <c r="J108" s="227"/>
      <c r="K108" s="227"/>
      <c r="L108" s="227"/>
      <c r="M108" s="227"/>
      <c r="N108" s="227"/>
      <c r="O108" s="206"/>
    </row>
    <row r="109" spans="1:15" ht="30" hidden="1">
      <c r="A109" s="167" t="str">
        <f ca="1">IFERROR(__xludf.DUMMYFUNCTION("""COMPUTED_VALUE"""),"82DK0531010094000581182")</f>
        <v>82DK0531010094000581182</v>
      </c>
      <c r="B109" s="167" t="str">
        <f ca="1">IFERROR(__xludf.DUMMYFUNCTION("""COMPUTED_VALUE"""),"BUENO")</f>
        <v>BUENO</v>
      </c>
      <c r="C109" s="206"/>
      <c r="D109" s="206"/>
      <c r="E109" s="227"/>
      <c r="F109" s="227"/>
      <c r="G109" s="227"/>
      <c r="H109" s="227"/>
      <c r="I109" s="227"/>
      <c r="J109" s="227"/>
      <c r="K109" s="227"/>
      <c r="L109" s="227"/>
      <c r="M109" s="227"/>
      <c r="N109" s="227"/>
      <c r="O109" s="206"/>
    </row>
    <row r="110" spans="1:15" ht="30" hidden="1">
      <c r="A110" s="167" t="str">
        <f ca="1">IFERROR(__xludf.DUMMYFUNCTION("""COMPUTED_VALUE"""),"82DI0515010003000649493")</f>
        <v>82DI0515010003000649493</v>
      </c>
      <c r="B110" s="167" t="str">
        <f ca="1">IFERROR(__xludf.DUMMYFUNCTION("""COMPUTED_VALUE"""),"BUENO")</f>
        <v>BUENO</v>
      </c>
      <c r="C110" s="206"/>
      <c r="D110" s="206"/>
      <c r="E110" s="227"/>
      <c r="F110" s="227"/>
      <c r="G110" s="227"/>
      <c r="H110" s="227"/>
      <c r="I110" s="227"/>
      <c r="J110" s="227"/>
      <c r="K110" s="227"/>
      <c r="L110" s="227"/>
      <c r="M110" s="227"/>
      <c r="N110" s="227"/>
      <c r="O110" s="206"/>
    </row>
    <row r="111" spans="1:15" ht="30" hidden="1">
      <c r="A111" s="167" t="str">
        <f ca="1">IFERROR(__xludf.DUMMYFUNCTION("""COMPUTED_VALUE"""),"82DH0515010014000649522")</f>
        <v>82DH0515010014000649522</v>
      </c>
      <c r="B111" s="167" t="str">
        <f ca="1">IFERROR(__xludf.DUMMYFUNCTION("""COMPUTED_VALUE"""),"MALO")</f>
        <v>MALO</v>
      </c>
      <c r="C111" s="206"/>
      <c r="D111" s="206"/>
      <c r="E111" s="227"/>
      <c r="F111" s="227"/>
      <c r="G111" s="227"/>
      <c r="H111" s="227"/>
      <c r="I111" s="227"/>
      <c r="J111" s="227"/>
      <c r="K111" s="227"/>
      <c r="L111" s="227"/>
      <c r="M111" s="227"/>
      <c r="N111" s="227"/>
      <c r="O111" s="206"/>
    </row>
    <row r="112" spans="1:15" ht="30" hidden="1">
      <c r="A112" s="167" t="str">
        <f ca="1">IFERROR(__xludf.DUMMYFUNCTION("""COMPUTED_VALUE"""),"82DK0511010017000522763")</f>
        <v>82DK0511010017000522763</v>
      </c>
      <c r="B112" s="167" t="str">
        <f ca="1">IFERROR(__xludf.DUMMYFUNCTION("""COMPUTED_VALUE"""),"BUENO")</f>
        <v>BUENO</v>
      </c>
      <c r="C112" s="206"/>
      <c r="D112" s="206"/>
      <c r="E112" s="227"/>
      <c r="F112" s="227"/>
      <c r="G112" s="227"/>
      <c r="H112" s="227"/>
      <c r="I112" s="227"/>
      <c r="J112" s="227"/>
      <c r="K112" s="227"/>
      <c r="L112" s="227"/>
      <c r="M112" s="227"/>
      <c r="N112" s="227"/>
      <c r="O112" s="206"/>
    </row>
    <row r="113" spans="1:15" ht="30" hidden="1">
      <c r="A113" s="167" t="str">
        <f ca="1">IFERROR(__xludf.DUMMYFUNCTION("""COMPUTED_VALUE"""),"82DK0515010013000651086")</f>
        <v>82DK0515010013000651086</v>
      </c>
      <c r="B113" s="167" t="str">
        <f ca="1">IFERROR(__xludf.DUMMYFUNCTION("""COMPUTED_VALUE"""),"BUENO")</f>
        <v>BUENO</v>
      </c>
      <c r="C113" s="206"/>
      <c r="D113" s="206"/>
      <c r="E113" s="227"/>
      <c r="F113" s="227"/>
      <c r="G113" s="227"/>
      <c r="H113" s="227"/>
      <c r="I113" s="227"/>
      <c r="J113" s="227"/>
      <c r="K113" s="227"/>
      <c r="L113" s="227"/>
      <c r="M113" s="227"/>
      <c r="N113" s="227"/>
      <c r="O113" s="206"/>
    </row>
    <row r="114" spans="1:15" ht="30" hidden="1">
      <c r="A114" s="167" t="str">
        <f ca="1">IFERROR(__xludf.DUMMYFUNCTION("""COMPUTED_VALUE"""),"82DH0565010041000530469")</f>
        <v>82DH0565010041000530469</v>
      </c>
      <c r="B114" s="167" t="str">
        <f ca="1">IFERROR(__xludf.DUMMYFUNCTION("""COMPUTED_VALUE"""),"BUENO")</f>
        <v>BUENO</v>
      </c>
      <c r="C114" s="206"/>
      <c r="D114" s="206"/>
      <c r="E114" s="227"/>
      <c r="F114" s="227"/>
      <c r="G114" s="227"/>
      <c r="H114" s="227"/>
      <c r="I114" s="227"/>
      <c r="J114" s="227"/>
      <c r="K114" s="227"/>
      <c r="L114" s="227"/>
      <c r="M114" s="227"/>
      <c r="N114" s="227"/>
      <c r="O114" s="206"/>
    </row>
    <row r="115" spans="1:15" ht="30" hidden="1">
      <c r="A115" s="167" t="str">
        <f ca="1">IFERROR(__xludf.DUMMYFUNCTION("""COMPUTED_VALUE"""),"82DK0511010028000584045")</f>
        <v>82DK0511010028000584045</v>
      </c>
      <c r="B115" s="167" t="str">
        <f ca="1">IFERROR(__xludf.DUMMYFUNCTION("""COMPUTED_VALUE"""),"BUENO")</f>
        <v>BUENO</v>
      </c>
      <c r="C115" s="206"/>
      <c r="D115" s="206"/>
      <c r="E115" s="227"/>
      <c r="F115" s="227"/>
      <c r="G115" s="227"/>
      <c r="H115" s="227"/>
      <c r="I115" s="227"/>
      <c r="J115" s="227"/>
      <c r="K115" s="227"/>
      <c r="L115" s="227"/>
      <c r="M115" s="227"/>
      <c r="N115" s="227"/>
      <c r="O115" s="206"/>
    </row>
    <row r="116" spans="1:15" ht="30">
      <c r="A116" s="167" t="str">
        <f ca="1">IFERROR(__xludf.DUMMYFUNCTION("""COMPUTED_VALUE"""),"SIN RESGUARDO")</f>
        <v>SIN RESGUARDO</v>
      </c>
      <c r="B116" s="167" t="str">
        <f ca="1">IFERROR(__xludf.DUMMYFUNCTION("""COMPUTED_VALUE"""),"BUENO")</f>
        <v>BUENO</v>
      </c>
      <c r="C116" s="206"/>
      <c r="D116" s="206"/>
      <c r="E116" s="207"/>
      <c r="F116" s="207"/>
      <c r="G116" s="207"/>
      <c r="H116" s="207"/>
      <c r="I116" s="207"/>
      <c r="J116" s="207"/>
      <c r="K116" s="207"/>
      <c r="L116" s="207"/>
      <c r="M116" s="207"/>
      <c r="N116" s="207"/>
      <c r="O116" s="206"/>
    </row>
    <row r="117" spans="1:15" ht="30">
      <c r="A117" s="167" t="str">
        <f ca="1">IFERROR(__xludf.DUMMYFUNCTION("""COMPUTED_VALUE"""),"SIN RESGUARDO")</f>
        <v>SIN RESGUARDO</v>
      </c>
      <c r="B117" s="167" t="str">
        <f ca="1">IFERROR(__xludf.DUMMYFUNCTION("""COMPUTED_VALUE"""),"BUENO")</f>
        <v>BUENO</v>
      </c>
      <c r="C117" s="206"/>
      <c r="D117" s="206"/>
      <c r="E117" s="207"/>
      <c r="F117" s="207"/>
      <c r="G117" s="207"/>
      <c r="H117" s="207"/>
      <c r="I117" s="207"/>
      <c r="J117" s="207"/>
      <c r="K117" s="207"/>
      <c r="L117" s="207"/>
      <c r="M117" s="207"/>
      <c r="N117" s="207"/>
      <c r="O117" s="206"/>
    </row>
    <row r="118" spans="1:15" ht="30">
      <c r="A118" s="167" t="str">
        <f ca="1">IFERROR(__xludf.DUMMYFUNCTION("""COMPUTED_VALUE"""),"82DK0531010065000564801")</f>
        <v>82DK0531010065000564801</v>
      </c>
      <c r="B118" s="167" t="str">
        <f ca="1">IFERROR(__xludf.DUMMYFUNCTION("""COMPUTED_VALUE"""),"BUENO")</f>
        <v>BUENO</v>
      </c>
      <c r="C118" s="206"/>
      <c r="D118" s="206"/>
      <c r="E118" s="207"/>
      <c r="F118" s="207"/>
      <c r="G118" s="207"/>
      <c r="H118" s="207"/>
      <c r="I118" s="207"/>
      <c r="J118" s="207"/>
      <c r="K118" s="207"/>
      <c r="L118" s="207"/>
      <c r="M118" s="207"/>
      <c r="N118" s="207"/>
      <c r="O118" s="206"/>
    </row>
    <row r="119" spans="1:15" ht="30">
      <c r="A119" s="167" t="str">
        <f ca="1">IFERROR(__xludf.DUMMYFUNCTION("""COMPUTED_VALUE"""),"82DH0511010010000649532")</f>
        <v>82DH0511010010000649532</v>
      </c>
      <c r="B119" s="167" t="str">
        <f ca="1">IFERROR(__xludf.DUMMYFUNCTION("""COMPUTED_VALUE"""),"BUENO")</f>
        <v>BUENO</v>
      </c>
      <c r="C119" s="206"/>
      <c r="D119" s="206"/>
      <c r="E119" s="207"/>
      <c r="F119" s="207"/>
      <c r="G119" s="207"/>
      <c r="H119" s="207"/>
      <c r="I119" s="207"/>
      <c r="J119" s="207"/>
      <c r="K119" s="207"/>
      <c r="L119" s="207"/>
      <c r="M119" s="207"/>
      <c r="N119" s="207"/>
      <c r="O119" s="206"/>
    </row>
    <row r="120" spans="1:15" ht="30">
      <c r="A120" s="167" t="str">
        <f ca="1">IFERROR(__xludf.DUMMYFUNCTION("""COMPUTED_VALUE"""),"82DK0511010010000651098")</f>
        <v>82DK0511010010000651098</v>
      </c>
      <c r="B120" s="167" t="str">
        <f ca="1">IFERROR(__xludf.DUMMYFUNCTION("""COMPUTED_VALUE"""),"BUENO")</f>
        <v>BUENO</v>
      </c>
      <c r="C120" s="206"/>
      <c r="D120" s="206"/>
      <c r="E120" s="207"/>
      <c r="F120" s="207"/>
      <c r="G120" s="207"/>
      <c r="H120" s="207"/>
      <c r="I120" s="207"/>
      <c r="J120" s="207"/>
      <c r="K120" s="207"/>
      <c r="L120" s="207"/>
      <c r="M120" s="207"/>
      <c r="N120" s="207"/>
      <c r="O120" s="206"/>
    </row>
    <row r="121" spans="1:15" ht="30">
      <c r="A121" s="167" t="str">
        <f ca="1">IFERROR(__xludf.DUMMYFUNCTION("""COMPUTED_VALUE"""),"82DK0531010065000564855")</f>
        <v>82DK0531010065000564855</v>
      </c>
      <c r="B121" s="167" t="str">
        <f ca="1">IFERROR(__xludf.DUMMYFUNCTION("""COMPUTED_VALUE"""),"BUENO")</f>
        <v>BUENO</v>
      </c>
      <c r="C121" s="206"/>
      <c r="D121" s="206"/>
      <c r="E121" s="207"/>
      <c r="F121" s="207"/>
      <c r="G121" s="207"/>
      <c r="H121" s="207"/>
      <c r="I121" s="207"/>
      <c r="J121" s="207"/>
      <c r="K121" s="207"/>
      <c r="L121" s="207"/>
      <c r="M121" s="207"/>
      <c r="N121" s="207"/>
      <c r="O121" s="206"/>
    </row>
    <row r="122" spans="1:15" ht="30">
      <c r="A122" s="167" t="str">
        <f ca="1">IFERROR(__xludf.DUMMYFUNCTION("""COMPUTED_VALUE"""),"82DH0531010065000564880")</f>
        <v>82DH0531010065000564880</v>
      </c>
      <c r="B122" s="167" t="str">
        <f ca="1">IFERROR(__xludf.DUMMYFUNCTION("""COMPUTED_VALUE"""),"BUENO")</f>
        <v>BUENO</v>
      </c>
      <c r="C122" s="206"/>
      <c r="D122" s="206"/>
      <c r="E122" s="207"/>
      <c r="F122" s="207"/>
      <c r="G122" s="207"/>
      <c r="H122" s="207"/>
      <c r="I122" s="207"/>
      <c r="J122" s="207"/>
      <c r="K122" s="207"/>
      <c r="L122" s="207"/>
      <c r="M122" s="207"/>
      <c r="N122" s="207"/>
      <c r="O122" s="206"/>
    </row>
    <row r="123" spans="1:15" ht="30">
      <c r="A123" s="167" t="str">
        <f ca="1">IFERROR(__xludf.DUMMYFUNCTION("""COMPUTED_VALUE"""),"SIN RESGUARDO")</f>
        <v>SIN RESGUARDO</v>
      </c>
      <c r="B123" s="167" t="str">
        <f ca="1">IFERROR(__xludf.DUMMYFUNCTION("""COMPUTED_VALUE"""),"BUENO")</f>
        <v>BUENO</v>
      </c>
      <c r="C123" s="206"/>
      <c r="D123" s="206"/>
      <c r="E123" s="207"/>
      <c r="F123" s="207"/>
      <c r="G123" s="207"/>
      <c r="H123" s="207"/>
      <c r="I123" s="207"/>
      <c r="J123" s="207"/>
      <c r="K123" s="207"/>
      <c r="L123" s="207"/>
      <c r="M123" s="207"/>
      <c r="N123" s="207"/>
      <c r="O123" s="206"/>
    </row>
    <row r="124" spans="1:15" ht="30">
      <c r="A124" s="167" t="str">
        <f ca="1">IFERROR(__xludf.DUMMYFUNCTION("""COMPUTED_VALUE"""),"82DH0511010009000584143")</f>
        <v>82DH0511010009000584143</v>
      </c>
      <c r="B124" s="167" t="str">
        <f ca="1">IFERROR(__xludf.DUMMYFUNCTION("""COMPUTED_VALUE"""),"BUENO")</f>
        <v>BUENO</v>
      </c>
      <c r="C124" s="206"/>
      <c r="D124" s="206"/>
      <c r="E124" s="207"/>
      <c r="F124" s="207"/>
      <c r="G124" s="207"/>
      <c r="H124" s="207"/>
      <c r="I124" s="207"/>
      <c r="J124" s="207"/>
      <c r="K124" s="207"/>
      <c r="L124" s="207"/>
      <c r="M124" s="207"/>
      <c r="N124" s="207"/>
      <c r="O124" s="206"/>
    </row>
    <row r="125" spans="1:15" ht="30">
      <c r="A125" s="167" t="str">
        <f ca="1">IFERROR(__xludf.DUMMYFUNCTION("""COMPUTED_VALUE"""),"82DH0515010001000535436")</f>
        <v>82DH0515010001000535436</v>
      </c>
      <c r="B125" s="167" t="str">
        <f ca="1">IFERROR(__xludf.DUMMYFUNCTION("""COMPUTED_VALUE"""),"BUENO")</f>
        <v>BUENO</v>
      </c>
      <c r="C125" s="206"/>
      <c r="D125" s="206"/>
      <c r="E125" s="207"/>
      <c r="F125" s="207"/>
      <c r="G125" s="207"/>
      <c r="H125" s="207"/>
      <c r="I125" s="207"/>
      <c r="J125" s="207"/>
      <c r="K125" s="207"/>
      <c r="L125" s="207"/>
      <c r="M125" s="207"/>
      <c r="N125" s="207"/>
      <c r="O125" s="206"/>
    </row>
    <row r="126" spans="1:15" ht="30">
      <c r="A126" s="167" t="str">
        <f ca="1">IFERROR(__xludf.DUMMYFUNCTION("""COMPUTED_VALUE"""),"82DH0515010003000649764")</f>
        <v>82DH0515010003000649764</v>
      </c>
      <c r="B126" s="167" t="str">
        <f ca="1">IFERROR(__xludf.DUMMYFUNCTION("""COMPUTED_VALUE"""),"MAL ESTADO")</f>
        <v>MAL ESTADO</v>
      </c>
      <c r="C126" s="206"/>
      <c r="D126" s="206"/>
      <c r="E126" s="207"/>
      <c r="F126" s="207"/>
      <c r="G126" s="207"/>
      <c r="H126" s="207"/>
      <c r="I126" s="207"/>
      <c r="J126" s="207"/>
      <c r="K126" s="207"/>
      <c r="L126" s="207"/>
      <c r="M126" s="207"/>
      <c r="N126" s="207"/>
      <c r="O126" s="206"/>
    </row>
    <row r="127" spans="1:15" ht="30">
      <c r="A127" s="167" t="str">
        <f ca="1">IFERROR(__xludf.DUMMYFUNCTION("""COMPUTED_VALUE"""),"82DI0515010001000539017")</f>
        <v>82DI0515010001000539017</v>
      </c>
      <c r="B127" s="167" t="str">
        <f ca="1">IFERROR(__xludf.DUMMYFUNCTION("""COMPUTED_VALUE"""),"BUENO")</f>
        <v>BUENO</v>
      </c>
      <c r="C127" s="206"/>
      <c r="D127" s="206"/>
      <c r="E127" s="207"/>
      <c r="F127" s="207"/>
      <c r="G127" s="207"/>
      <c r="H127" s="207"/>
      <c r="I127" s="207"/>
      <c r="J127" s="207"/>
      <c r="K127" s="207"/>
      <c r="L127" s="207"/>
      <c r="M127" s="207"/>
      <c r="N127" s="207"/>
      <c r="O127" s="206"/>
    </row>
    <row r="128" spans="1:15" ht="30">
      <c r="A128" s="167" t="str">
        <f ca="1">IFERROR(__xludf.DUMMYFUNCTION("""COMPUTED_VALUE"""),"82DH0515010001000535454")</f>
        <v>82DH0515010001000535454</v>
      </c>
      <c r="B128" s="167" t="str">
        <f ca="1">IFERROR(__xludf.DUMMYFUNCTION("""COMPUTED_VALUE"""),"ESTADO MALO")</f>
        <v>ESTADO MALO</v>
      </c>
      <c r="C128" s="206"/>
      <c r="D128" s="206"/>
      <c r="E128" s="207"/>
      <c r="F128" s="207"/>
      <c r="G128" s="207"/>
      <c r="H128" s="207"/>
      <c r="I128" s="207"/>
      <c r="J128" s="207"/>
      <c r="K128" s="207"/>
      <c r="L128" s="207"/>
      <c r="M128" s="207"/>
      <c r="N128" s="207"/>
      <c r="O128" s="206"/>
    </row>
    <row r="129" spans="1:15" ht="30">
      <c r="A129" s="167" t="str">
        <f ca="1">IFERROR(__xludf.DUMMYFUNCTION("""COMPUTED_VALUE"""),"82DH0515010001000539039")</f>
        <v>82DH0515010001000539039</v>
      </c>
      <c r="B129" s="167" t="str">
        <f ca="1">IFERROR(__xludf.DUMMYFUNCTION("""COMPUTED_VALUE"""),"BUENO")</f>
        <v>BUENO</v>
      </c>
      <c r="C129" s="206"/>
      <c r="D129" s="206"/>
      <c r="E129" s="207"/>
      <c r="F129" s="207"/>
      <c r="G129" s="207"/>
      <c r="H129" s="207"/>
      <c r="I129" s="207"/>
      <c r="J129" s="207"/>
      <c r="K129" s="207"/>
      <c r="L129" s="207"/>
      <c r="M129" s="207"/>
      <c r="N129" s="207"/>
      <c r="O129" s="206"/>
    </row>
    <row r="130" spans="1:15" ht="30">
      <c r="A130" s="167" t="str">
        <f ca="1">IFERROR(__xludf.DUMMYFUNCTION("""COMPUTED_VALUE"""),"SIN RESGUARDO")</f>
        <v>SIN RESGUARDO</v>
      </c>
      <c r="B130" s="167" t="str">
        <f ca="1">IFERROR(__xludf.DUMMYFUNCTION("""COMPUTED_VALUE"""),"BUENO")</f>
        <v>BUENO</v>
      </c>
      <c r="C130" s="206"/>
      <c r="D130" s="206"/>
      <c r="E130" s="207"/>
      <c r="F130" s="207"/>
      <c r="G130" s="207"/>
      <c r="H130" s="207"/>
      <c r="I130" s="207"/>
      <c r="J130" s="207"/>
      <c r="K130" s="207"/>
      <c r="L130" s="207"/>
      <c r="M130" s="207"/>
      <c r="N130" s="207"/>
      <c r="O130" s="206"/>
    </row>
    <row r="131" spans="1:15" ht="30">
      <c r="A131" s="167" t="str">
        <f ca="1">IFERROR(__xludf.DUMMYFUNCTION("""COMPUTED_VALUE"""),"SIN RESGUARDO")</f>
        <v>SIN RESGUARDO</v>
      </c>
      <c r="B131" s="167" t="str">
        <f ca="1">IFERROR(__xludf.DUMMYFUNCTION("""COMPUTED_VALUE"""),"BUENO")</f>
        <v>BUENO</v>
      </c>
      <c r="C131" s="206"/>
      <c r="D131" s="206"/>
      <c r="E131" s="207"/>
      <c r="F131" s="207"/>
      <c r="G131" s="207"/>
      <c r="H131" s="207"/>
      <c r="I131" s="207"/>
      <c r="J131" s="207"/>
      <c r="K131" s="207"/>
      <c r="L131" s="207"/>
      <c r="M131" s="207"/>
      <c r="N131" s="207"/>
      <c r="O131" s="206"/>
    </row>
    <row r="132" spans="1:15" ht="30">
      <c r="A132" s="167" t="str">
        <f ca="1">IFERROR(__xludf.DUMMYFUNCTION("""COMPUTED_VALUE"""),"82DK0567010020000566042")</f>
        <v>82DK0567010020000566042</v>
      </c>
      <c r="B132" s="167" t="str">
        <f ca="1">IFERROR(__xludf.DUMMYFUNCTION("""COMPUTED_VALUE"""),"BUENO")</f>
        <v>BUENO</v>
      </c>
      <c r="C132" s="206"/>
      <c r="D132" s="206"/>
      <c r="E132" s="207"/>
      <c r="F132" s="207"/>
      <c r="G132" s="207"/>
      <c r="H132" s="207"/>
      <c r="I132" s="207"/>
      <c r="J132" s="207"/>
      <c r="K132" s="207"/>
      <c r="L132" s="207"/>
      <c r="M132" s="207"/>
      <c r="N132" s="207"/>
      <c r="O132" s="206"/>
    </row>
    <row r="133" spans="1:15" ht="30">
      <c r="A133" s="167" t="str">
        <f ca="1">IFERROR(__xludf.DUMMYFUNCTION("""COMPUTED_VALUE"""),"82DH0519010025000566156")</f>
        <v>82DH0519010025000566156</v>
      </c>
      <c r="B133" s="167" t="str">
        <f ca="1">IFERROR(__xludf.DUMMYFUNCTION("""COMPUTED_VALUE"""),"BUENO")</f>
        <v>BUENO</v>
      </c>
      <c r="C133" s="206"/>
      <c r="D133" s="206"/>
      <c r="E133" s="207"/>
      <c r="F133" s="207"/>
      <c r="G133" s="207"/>
      <c r="H133" s="207"/>
      <c r="I133" s="207"/>
      <c r="J133" s="207"/>
      <c r="K133" s="207"/>
      <c r="L133" s="207"/>
      <c r="M133" s="207"/>
      <c r="N133" s="207"/>
      <c r="O133" s="206"/>
    </row>
    <row r="134" spans="1:15" ht="30">
      <c r="A134" s="167" t="str">
        <f ca="1">IFERROR(__xludf.DUMMYFUNCTION("""COMPUTED_VALUE"""),"82DH0519010017000565655")</f>
        <v>82DH0519010017000565655</v>
      </c>
      <c r="B134" s="167" t="str">
        <f ca="1">IFERROR(__xludf.DUMMYFUNCTION("""COMPUTED_VALUE"""),"BUENO")</f>
        <v>BUENO</v>
      </c>
      <c r="C134" s="206"/>
      <c r="D134" s="206"/>
      <c r="E134" s="207"/>
      <c r="F134" s="207"/>
      <c r="G134" s="207"/>
      <c r="H134" s="207"/>
      <c r="I134" s="207"/>
      <c r="J134" s="207"/>
      <c r="K134" s="207"/>
      <c r="L134" s="207"/>
      <c r="M134" s="207"/>
      <c r="N134" s="207"/>
      <c r="O134" s="206"/>
    </row>
    <row r="135" spans="1:15" ht="30">
      <c r="A135" s="167" t="str">
        <f ca="1">IFERROR(__xludf.DUMMYFUNCTION("""COMPUTED_VALUE"""),"82DK0531010065000564787")</f>
        <v>82DK0531010065000564787</v>
      </c>
      <c r="B135" s="167" t="str">
        <f ca="1">IFERROR(__xludf.DUMMYFUNCTION("""COMPUTED_VALUE"""),"BUENO")</f>
        <v>BUENO</v>
      </c>
      <c r="C135" s="206"/>
      <c r="D135" s="206"/>
      <c r="E135" s="207"/>
      <c r="F135" s="207"/>
      <c r="G135" s="207"/>
      <c r="H135" s="207"/>
      <c r="I135" s="207"/>
      <c r="J135" s="207"/>
      <c r="K135" s="207"/>
      <c r="L135" s="207"/>
      <c r="M135" s="207"/>
      <c r="N135" s="207"/>
      <c r="O135" s="206"/>
    </row>
    <row r="136" spans="1:15" ht="30">
      <c r="A136" s="167" t="str">
        <f ca="1">IFERROR(__xludf.DUMMYFUNCTION("""COMPUTED_VALUE"""),"82DH0531010065000564848")</f>
        <v>82DH0531010065000564848</v>
      </c>
      <c r="B136" s="167" t="str">
        <f ca="1">IFERROR(__xludf.DUMMYFUNCTION("""COMPUTED_VALUE"""),"BUENO")</f>
        <v>BUENO</v>
      </c>
      <c r="C136" s="206"/>
      <c r="D136" s="206"/>
      <c r="E136" s="258" t="str">
        <f ca="1">"_________________________________
"&amp;$B$29&amp;" 
"&amp;$A28&amp;"
RESGUARDANTE"</f>
        <v>_________________________________
BUENO 
82DK0511010005000583333
RESGUARDANTE</v>
      </c>
      <c r="F136" s="254"/>
      <c r="G136" s="254"/>
      <c r="H136" s="254"/>
      <c r="I136" s="207"/>
      <c r="J136" s="207"/>
      <c r="K136" s="207"/>
      <c r="L136" s="207"/>
      <c r="M136" s="207"/>
      <c r="N136" s="207"/>
      <c r="O136" s="206"/>
    </row>
    <row r="137" spans="1:15" ht="30">
      <c r="A137" s="167" t="str">
        <f ca="1">IFERROR(__xludf.DUMMYFUNCTION("""COMPUTED_VALUE"""),"82DK0511010017000522806")</f>
        <v>82DK0511010017000522806</v>
      </c>
      <c r="B137" s="167" t="str">
        <f ca="1">IFERROR(__xludf.DUMMYFUNCTION("""COMPUTED_VALUE"""),"BUENO")</f>
        <v>BUENO</v>
      </c>
      <c r="C137" s="206"/>
      <c r="D137" s="206"/>
      <c r="E137" s="254"/>
      <c r="F137" s="254"/>
      <c r="G137" s="254"/>
      <c r="H137" s="254"/>
      <c r="I137" s="207"/>
      <c r="J137" s="207"/>
      <c r="K137" s="207"/>
      <c r="L137" s="259" t="str">
        <f>"_________________________________
ROSAURA MENDEZ SALGADO
DELEGADA ADMINISTRATIVA DEL 
COMITÉ DE ADQUISICIONES DEL PODER EJECUTIVO"</f>
        <v>_________________________________
ROSAURA MENDEZ SALGADO
DELEGADA ADMINISTRATIVA DEL 
COMITÉ DE ADQUISICIONES DEL PODER EJECUTIVO</v>
      </c>
      <c r="M137" s="254"/>
      <c r="N137" s="254"/>
      <c r="O137" s="206"/>
    </row>
    <row r="138" spans="1:15" ht="30">
      <c r="A138" s="167" t="str">
        <f ca="1">IFERROR(__xludf.DUMMYFUNCTION("""COMPUTED_VALUE"""),"82DK0531010094000564892")</f>
        <v>82DK0531010094000564892</v>
      </c>
      <c r="B138" s="167" t="str">
        <f ca="1">IFERROR(__xludf.DUMMYFUNCTION("""COMPUTED_VALUE"""),"BUENO")</f>
        <v>BUENO</v>
      </c>
      <c r="C138" s="206"/>
      <c r="D138" s="206"/>
      <c r="E138" s="254"/>
      <c r="F138" s="254"/>
      <c r="G138" s="254"/>
      <c r="H138" s="254"/>
      <c r="I138" s="207"/>
      <c r="J138" s="207"/>
      <c r="K138" s="207"/>
      <c r="L138" s="254"/>
      <c r="M138" s="254"/>
      <c r="N138" s="254"/>
      <c r="O138" s="206"/>
    </row>
    <row r="139" spans="1:15" ht="30">
      <c r="A139" s="167" t="str">
        <f ca="1">IFERROR(__xludf.DUMMYFUNCTION("""COMPUTED_VALUE"""),"SIN RESGUARDO")</f>
        <v>SIN RESGUARDO</v>
      </c>
      <c r="B139" s="167" t="str">
        <f ca="1">IFERROR(__xludf.DUMMYFUNCTION("""COMPUTED_VALUE"""),"BUENO")</f>
        <v>BUENO</v>
      </c>
      <c r="C139" s="206"/>
      <c r="D139" s="206"/>
      <c r="E139" s="254"/>
      <c r="F139" s="254"/>
      <c r="G139" s="254"/>
      <c r="H139" s="254"/>
      <c r="I139" s="207"/>
      <c r="J139" s="207"/>
      <c r="K139" s="207"/>
      <c r="L139" s="254"/>
      <c r="M139" s="254"/>
      <c r="N139" s="254"/>
      <c r="O139" s="206"/>
    </row>
    <row r="140" spans="1:15" ht="30">
      <c r="A140" s="167" t="str">
        <f ca="1">IFERROR(__xludf.DUMMYFUNCTION("""COMPUTED_VALUE"""),"SIN RESGUARDO")</f>
        <v>SIN RESGUARDO</v>
      </c>
      <c r="B140" s="167" t="str">
        <f ca="1">IFERROR(__xludf.DUMMYFUNCTION("""COMPUTED_VALUE"""),"BUENO")</f>
        <v>BUENO</v>
      </c>
      <c r="C140" s="206"/>
      <c r="D140" s="206"/>
      <c r="E140" s="254"/>
      <c r="F140" s="254"/>
      <c r="G140" s="254"/>
      <c r="H140" s="254"/>
      <c r="I140" s="207"/>
      <c r="J140" s="207"/>
      <c r="K140" s="207"/>
      <c r="L140" s="254"/>
      <c r="M140" s="254"/>
      <c r="N140" s="254"/>
      <c r="O140" s="206"/>
    </row>
    <row r="141" spans="1:15" ht="30">
      <c r="A141" s="167" t="str">
        <f ca="1">IFERROR(__xludf.DUMMYFUNCTION("""COMPUTED_VALUE"""),"82DK0515010013000650651")</f>
        <v>82DK0515010013000650651</v>
      </c>
      <c r="B141" s="167" t="str">
        <f ca="1">IFERROR(__xludf.DUMMYFUNCTION("""COMPUTED_VALUE"""),"BUENO")</f>
        <v>BUENO</v>
      </c>
      <c r="C141" s="206"/>
      <c r="D141" s="206"/>
      <c r="E141" s="254"/>
      <c r="F141" s="254"/>
      <c r="G141" s="254"/>
      <c r="H141" s="254"/>
      <c r="I141" s="207"/>
      <c r="J141" s="207"/>
      <c r="K141" s="207"/>
      <c r="L141" s="254"/>
      <c r="M141" s="254"/>
      <c r="N141" s="254"/>
      <c r="O141" s="206"/>
    </row>
    <row r="142" spans="1:15" ht="30">
      <c r="A142" s="167" t="str">
        <f ca="1">IFERROR(__xludf.DUMMYFUNCTION("""COMPUTED_VALUE"""),"82DK0515010013000649466")</f>
        <v>82DK0515010013000649466</v>
      </c>
      <c r="B142" s="167" t="str">
        <f ca="1">IFERROR(__xludf.DUMMYFUNCTION("""COMPUTED_VALUE"""),"BUENO")</f>
        <v>BUENO</v>
      </c>
      <c r="C142" s="206"/>
      <c r="D142" s="206"/>
      <c r="E142" s="254"/>
      <c r="F142" s="254"/>
      <c r="G142" s="254"/>
      <c r="H142" s="254"/>
      <c r="I142" s="207"/>
      <c r="J142" s="207"/>
      <c r="K142" s="207"/>
      <c r="L142" s="254"/>
      <c r="M142" s="254"/>
      <c r="N142" s="254"/>
      <c r="O142" s="206"/>
    </row>
    <row r="143" spans="1:15" ht="30">
      <c r="A143" s="167" t="str">
        <f ca="1">IFERROR(__xludf.DUMMYFUNCTION("""COMPUTED_VALUE"""),"82DK0511010006000518510")</f>
        <v>82DK0511010006000518510</v>
      </c>
      <c r="B143" s="167" t="str">
        <f ca="1">IFERROR(__xludf.DUMMYFUNCTION("""COMPUTED_VALUE"""),"BUENO")</f>
        <v>BUENO</v>
      </c>
      <c r="C143" s="206"/>
      <c r="D143" s="206"/>
      <c r="E143" s="254"/>
      <c r="F143" s="254"/>
      <c r="G143" s="254"/>
      <c r="H143" s="254"/>
      <c r="I143" s="207"/>
      <c r="J143" s="207"/>
      <c r="K143" s="207"/>
      <c r="L143" s="254"/>
      <c r="M143" s="254"/>
      <c r="N143" s="254"/>
      <c r="O143" s="206"/>
    </row>
    <row r="144" spans="1:15" ht="30">
      <c r="A144" s="167" t="str">
        <f ca="1">IFERROR(__xludf.DUMMYFUNCTION("""COMPUTED_VALUE"""),"82DK0511010016000649469")</f>
        <v>82DK0511010016000649469</v>
      </c>
      <c r="B144" s="167" t="str">
        <f ca="1">IFERROR(__xludf.DUMMYFUNCTION("""COMPUTED_VALUE"""),"BUENO")</f>
        <v>BUENO</v>
      </c>
      <c r="C144" s="206"/>
      <c r="D144" s="206"/>
      <c r="E144" s="254"/>
      <c r="F144" s="254"/>
      <c r="G144" s="254"/>
      <c r="H144" s="254"/>
      <c r="I144" s="207"/>
      <c r="J144" s="207"/>
      <c r="K144" s="207"/>
      <c r="L144" s="254"/>
      <c r="M144" s="254"/>
      <c r="N144" s="254"/>
      <c r="O144" s="206"/>
    </row>
    <row r="145" spans="1:15" ht="30">
      <c r="A145" s="167" t="str">
        <f ca="1">IFERROR(__xludf.DUMMYFUNCTION("""COMPUTED_VALUE"""),"82DK0515010020000650898")</f>
        <v>82DK0515010020000650898</v>
      </c>
      <c r="B145" s="167" t="str">
        <f ca="1">IFERROR(__xludf.DUMMYFUNCTION("""COMPUTED_VALUE"""),"BUENO")</f>
        <v>BUENO</v>
      </c>
      <c r="C145" s="206"/>
      <c r="D145" s="206"/>
      <c r="E145" s="254"/>
      <c r="F145" s="254"/>
      <c r="G145" s="254"/>
      <c r="H145" s="254"/>
      <c r="I145" s="207"/>
      <c r="J145" s="207"/>
      <c r="K145" s="207"/>
      <c r="L145" s="254"/>
      <c r="M145" s="254"/>
      <c r="N145" s="254"/>
      <c r="O145" s="206"/>
    </row>
    <row r="146" spans="1:15" ht="30">
      <c r="A146" s="167" t="str">
        <f ca="1">IFERROR(__xludf.DUMMYFUNCTION("""COMPUTED_VALUE"""),"82DK0515010001000650661")</f>
        <v>82DK0515010001000650661</v>
      </c>
      <c r="B146" s="167" t="str">
        <f ca="1">IFERROR(__xludf.DUMMYFUNCTION("""COMPUTED_VALUE"""),"BUENO")</f>
        <v>BUENO</v>
      </c>
      <c r="C146" s="206"/>
      <c r="D146" s="206"/>
      <c r="E146" s="207"/>
      <c r="F146" s="207"/>
      <c r="G146" s="207"/>
      <c r="H146" s="207"/>
      <c r="I146" s="207"/>
      <c r="J146" s="207"/>
      <c r="K146" s="207"/>
      <c r="L146" s="254"/>
      <c r="M146" s="254"/>
      <c r="N146" s="254"/>
      <c r="O146" s="206"/>
    </row>
    <row r="147" spans="1:15" ht="30">
      <c r="A147" s="167" t="str">
        <f ca="1">IFERROR(__xludf.DUMMYFUNCTION("""COMPUTED_VALUE"""),"SIN RESGUARDO")</f>
        <v>SIN RESGUARDO</v>
      </c>
      <c r="B147" s="167" t="str">
        <f ca="1">IFERROR(__xludf.DUMMYFUNCTION("""COMPUTED_VALUE"""),"BUENO")</f>
        <v>BUENO</v>
      </c>
      <c r="C147" s="206"/>
      <c r="D147" s="206"/>
      <c r="E147" s="207"/>
      <c r="F147" s="207"/>
      <c r="G147" s="207"/>
      <c r="H147" s="207"/>
      <c r="I147" s="207"/>
      <c r="J147" s="207"/>
      <c r="K147" s="207"/>
      <c r="L147" s="207"/>
      <c r="M147" s="207"/>
      <c r="N147" s="207"/>
      <c r="O147" s="206"/>
    </row>
    <row r="148" spans="1:15" ht="30">
      <c r="A148" s="167" t="str">
        <f ca="1">IFERROR(__xludf.DUMMYFUNCTION("""COMPUTED_VALUE"""),"82DK0511010017000651090")</f>
        <v>82DK0511010017000651090</v>
      </c>
      <c r="B148" s="167" t="str">
        <f ca="1">IFERROR(__xludf.DUMMYFUNCTION("""COMPUTED_VALUE"""),"BUENO")</f>
        <v>BUENO</v>
      </c>
      <c r="C148" s="206"/>
      <c r="D148" s="206"/>
      <c r="E148" s="207"/>
      <c r="F148" s="207"/>
      <c r="G148" s="207"/>
      <c r="H148" s="207"/>
      <c r="I148" s="207"/>
      <c r="J148" s="207"/>
      <c r="K148" s="207"/>
      <c r="L148" s="207"/>
      <c r="M148" s="207"/>
      <c r="N148" s="207"/>
      <c r="O148" s="206"/>
    </row>
    <row r="149" spans="1:15" ht="30">
      <c r="A149" s="167" t="str">
        <f ca="1">IFERROR(__xludf.DUMMYFUNCTION("""COMPUTED_VALUE"""),"82DK0515010013000649467")</f>
        <v>82DK0515010013000649467</v>
      </c>
      <c r="B149" s="167" t="str">
        <f ca="1">IFERROR(__xludf.DUMMYFUNCTION("""COMPUTED_VALUE"""),"ALMACEN")</f>
        <v>ALMACEN</v>
      </c>
      <c r="C149" s="206"/>
      <c r="D149" s="206"/>
      <c r="E149" s="207"/>
      <c r="F149" s="207"/>
      <c r="G149" s="207"/>
      <c r="H149" s="207"/>
      <c r="I149" s="207"/>
      <c r="J149" s="207"/>
      <c r="K149" s="207"/>
      <c r="L149" s="207"/>
      <c r="M149" s="207"/>
      <c r="N149" s="207"/>
      <c r="O149" s="206"/>
    </row>
    <row r="150" spans="1:15" ht="30">
      <c r="A150" s="167" t="str">
        <f ca="1">IFERROR(__xludf.DUMMYFUNCTION("""COMPUTED_VALUE"""),"82DK0515010016000649426")</f>
        <v>82DK0515010016000649426</v>
      </c>
      <c r="B150" s="167" t="str">
        <f ca="1">IFERROR(__xludf.DUMMYFUNCTION("""COMPUTED_VALUE"""),"BUENO")</f>
        <v>BUENO</v>
      </c>
      <c r="C150" s="206"/>
      <c r="D150" s="206"/>
      <c r="E150" s="207"/>
      <c r="F150" s="207"/>
      <c r="G150" s="207"/>
      <c r="H150" s="207"/>
      <c r="I150" s="207"/>
      <c r="J150" s="207"/>
      <c r="K150" s="207"/>
      <c r="L150" s="207"/>
      <c r="M150" s="207"/>
      <c r="N150" s="207"/>
      <c r="O150" s="206"/>
    </row>
    <row r="151" spans="1:15" ht="30">
      <c r="A151" s="167" t="str">
        <f ca="1">IFERROR(__xludf.DUMMYFUNCTION("""COMPUTED_VALUE"""),"82DK0531010065000564826")</f>
        <v>82DK0531010065000564826</v>
      </c>
      <c r="B151" s="167" t="str">
        <f ca="1">IFERROR(__xludf.DUMMYFUNCTION("""COMPUTED_VALUE"""),"BUENO")</f>
        <v>BUENO</v>
      </c>
      <c r="C151" s="206"/>
      <c r="D151" s="206"/>
      <c r="E151" s="207"/>
      <c r="F151" s="207"/>
      <c r="G151" s="207"/>
      <c r="H151" s="207"/>
      <c r="I151" s="207"/>
      <c r="J151" s="207"/>
      <c r="K151" s="207"/>
      <c r="L151" s="207"/>
      <c r="M151" s="207"/>
      <c r="N151" s="207"/>
      <c r="O151" s="206"/>
    </row>
    <row r="152" spans="1:15" ht="30">
      <c r="A152" s="167" t="str">
        <f ca="1">IFERROR(__xludf.DUMMYFUNCTION("""COMPUTED_VALUE"""),"82DK0515010001000539080")</f>
        <v>82DK0515010001000539080</v>
      </c>
      <c r="B152" s="167" t="str">
        <f ca="1">IFERROR(__xludf.DUMMYFUNCTION("""COMPUTED_VALUE"""),"BUENO")</f>
        <v>BUENO</v>
      </c>
      <c r="C152" s="206"/>
      <c r="D152" s="206"/>
      <c r="E152" s="207"/>
      <c r="F152" s="207"/>
      <c r="G152" s="207"/>
      <c r="H152" s="207"/>
      <c r="I152" s="207"/>
      <c r="J152" s="207"/>
      <c r="K152" s="207"/>
      <c r="L152" s="207"/>
      <c r="M152" s="207"/>
      <c r="N152" s="207"/>
      <c r="O152" s="206"/>
    </row>
    <row r="153" spans="1:15" ht="30">
      <c r="A153" s="167" t="str">
        <f ca="1">IFERROR(__xludf.DUMMYFUNCTION("""COMPUTED_VALUE"""),"82DK0565010041000539119")</f>
        <v>82DK0565010041000539119</v>
      </c>
      <c r="B153" s="167" t="str">
        <f ca="1">IFERROR(__xludf.DUMMYFUNCTION("""COMPUTED_VALUE"""),"REGULAR")</f>
        <v>REGULAR</v>
      </c>
      <c r="C153" s="206"/>
      <c r="D153" s="206"/>
      <c r="E153" s="207"/>
      <c r="F153" s="207"/>
      <c r="G153" s="207"/>
      <c r="H153" s="207"/>
      <c r="I153" s="207"/>
      <c r="J153" s="207"/>
      <c r="K153" s="207"/>
      <c r="L153" s="207"/>
      <c r="M153" s="207"/>
      <c r="N153" s="207"/>
      <c r="O153" s="206"/>
    </row>
    <row r="154" spans="1:15" ht="30">
      <c r="A154" s="167" t="str">
        <f ca="1">IFERROR(__xludf.DUMMYFUNCTION("""COMPUTED_VALUE"""),"82DK0511010016000515615")</f>
        <v>82DK0511010016000515615</v>
      </c>
      <c r="B154" s="167" t="str">
        <f ca="1">IFERROR(__xludf.DUMMYFUNCTION("""COMPUTED_VALUE"""),"BUENO")</f>
        <v>BUENO</v>
      </c>
      <c r="C154" s="206"/>
      <c r="D154" s="206"/>
      <c r="E154" s="207"/>
      <c r="F154" s="207"/>
      <c r="G154" s="207"/>
      <c r="H154" s="207"/>
      <c r="I154" s="207"/>
      <c r="J154" s="207"/>
      <c r="K154" s="207"/>
      <c r="L154" s="207"/>
      <c r="M154" s="207"/>
      <c r="N154" s="207"/>
      <c r="O154" s="206"/>
    </row>
    <row r="155" spans="1:15" ht="30">
      <c r="A155" s="167" t="str">
        <f ca="1">IFERROR(__xludf.DUMMYFUNCTION("""COMPUTED_VALUE"""),"SIN RESGUARDO")</f>
        <v>SIN RESGUARDO</v>
      </c>
      <c r="B155" s="167" t="str">
        <f ca="1">IFERROR(__xludf.DUMMYFUNCTION("""COMPUTED_VALUE"""),"BUENO")</f>
        <v>BUENO</v>
      </c>
      <c r="C155" s="206"/>
      <c r="D155" s="206"/>
      <c r="E155" s="207"/>
      <c r="F155" s="207"/>
      <c r="G155" s="207"/>
      <c r="H155" s="207"/>
      <c r="I155" s="207"/>
      <c r="J155" s="207"/>
      <c r="K155" s="207"/>
      <c r="L155" s="207"/>
      <c r="M155" s="207"/>
      <c r="N155" s="207"/>
      <c r="O155" s="206"/>
    </row>
    <row r="156" spans="1:15" ht="30">
      <c r="A156" s="167" t="str">
        <f ca="1">IFERROR(__xludf.DUMMYFUNCTION("""COMPUTED_VALUE"""),"82DL0511010016000649775")</f>
        <v>82DL0511010016000649775</v>
      </c>
      <c r="B156" s="167" t="str">
        <f ca="1">IFERROR(__xludf.DUMMYFUNCTION("""COMPUTED_VALUE"""),"MALO")</f>
        <v>MALO</v>
      </c>
      <c r="C156" s="206"/>
      <c r="D156" s="206"/>
      <c r="E156" s="207"/>
      <c r="F156" s="207"/>
      <c r="G156" s="207"/>
      <c r="H156" s="207"/>
      <c r="I156" s="207"/>
      <c r="J156" s="207"/>
      <c r="K156" s="207"/>
      <c r="L156" s="207"/>
      <c r="M156" s="207"/>
      <c r="N156" s="207"/>
      <c r="O156" s="206"/>
    </row>
    <row r="157" spans="1:15" ht="30">
      <c r="A157" s="167" t="str">
        <f ca="1">IFERROR(__xludf.DUMMYFUNCTION("""COMPUTED_VALUE"""),"82DL0515010003000649774")</f>
        <v>82DL0515010003000649774</v>
      </c>
      <c r="B157" s="167" t="str">
        <f ca="1">IFERROR(__xludf.DUMMYFUNCTION("""COMPUTED_VALUE"""),"BUENO")</f>
        <v>BUENO</v>
      </c>
      <c r="C157" s="206"/>
      <c r="D157" s="206"/>
      <c r="E157" s="207"/>
      <c r="F157" s="207"/>
      <c r="G157" s="207"/>
      <c r="H157" s="207"/>
      <c r="I157" s="207"/>
      <c r="J157" s="207"/>
      <c r="K157" s="207"/>
      <c r="L157" s="207"/>
      <c r="M157" s="207"/>
      <c r="N157" s="207"/>
      <c r="O157" s="206"/>
    </row>
    <row r="158" spans="1:15" ht="30">
      <c r="A158" s="167" t="str">
        <f ca="1">IFERROR(__xludf.DUMMYFUNCTION("""COMPUTED_VALUE"""),"82DL0515010013000649776")</f>
        <v>82DL0515010013000649776</v>
      </c>
      <c r="B158" s="167" t="str">
        <f ca="1">IFERROR(__xludf.DUMMYFUNCTION("""COMPUTED_VALUE"""),"BUENO")</f>
        <v>BUENO</v>
      </c>
      <c r="C158" s="206"/>
      <c r="D158" s="206"/>
      <c r="E158" s="207"/>
      <c r="F158" s="207"/>
      <c r="G158" s="207"/>
      <c r="H158" s="207"/>
      <c r="I158" s="207"/>
      <c r="J158" s="207"/>
      <c r="K158" s="207"/>
      <c r="L158" s="207"/>
      <c r="M158" s="207"/>
      <c r="N158" s="207"/>
      <c r="O158" s="206"/>
    </row>
    <row r="159" spans="1:15" ht="30">
      <c r="A159" s="167" t="str">
        <f ca="1">IFERROR(__xludf.DUMMYFUNCTION("""COMPUTED_VALUE"""),"82DH0515010020000649441")</f>
        <v>82DH0515010020000649441</v>
      </c>
      <c r="B159" s="167" t="str">
        <f ca="1">IFERROR(__xludf.DUMMYFUNCTION("""COMPUTED_VALUE"""),"BUENO")</f>
        <v>BUENO</v>
      </c>
      <c r="C159" s="206"/>
      <c r="D159" s="206"/>
      <c r="E159" s="207"/>
      <c r="F159" s="207"/>
      <c r="G159" s="207"/>
      <c r="H159" s="207"/>
      <c r="I159" s="207"/>
      <c r="J159" s="207"/>
      <c r="K159" s="207"/>
      <c r="L159" s="207"/>
      <c r="M159" s="207"/>
      <c r="N159" s="207"/>
      <c r="O159" s="206"/>
    </row>
    <row r="160" spans="1:15" ht="30">
      <c r="A160" s="167" t="str">
        <f ca="1">IFERROR(__xludf.DUMMYFUNCTION("""COMPUTED_VALUE"""),"82DK0511010020000651093")</f>
        <v>82DK0511010020000651093</v>
      </c>
      <c r="B160" s="167" t="str">
        <f ca="1">IFERROR(__xludf.DUMMYFUNCTION("""COMPUTED_VALUE"""),"BUENO")</f>
        <v>BUENO</v>
      </c>
      <c r="C160" s="206"/>
      <c r="D160" s="206"/>
      <c r="E160" s="207"/>
      <c r="F160" s="207"/>
      <c r="G160" s="207"/>
      <c r="H160" s="207"/>
      <c r="I160" s="207"/>
      <c r="J160" s="207"/>
      <c r="K160" s="207"/>
      <c r="L160" s="207"/>
      <c r="M160" s="207"/>
      <c r="N160" s="207"/>
      <c r="O160" s="206"/>
    </row>
    <row r="161" spans="1:15" ht="30">
      <c r="A161" s="167" t="str">
        <f ca="1">IFERROR(__xludf.DUMMYFUNCTION("""COMPUTED_VALUE"""),"82DK0511010020000651095")</f>
        <v>82DK0511010020000651095</v>
      </c>
      <c r="B161" s="167" t="str">
        <f ca="1">IFERROR(__xludf.DUMMYFUNCTION("""COMPUTED_VALUE"""),"BUENO")</f>
        <v>BUENO</v>
      </c>
      <c r="C161" s="206"/>
      <c r="D161" s="206"/>
      <c r="E161" s="207"/>
      <c r="F161" s="207"/>
      <c r="G161" s="207"/>
      <c r="H161" s="207"/>
      <c r="I161" s="207"/>
      <c r="J161" s="207"/>
      <c r="K161" s="207"/>
      <c r="L161" s="207"/>
      <c r="M161" s="207"/>
      <c r="N161" s="207"/>
      <c r="O161" s="206"/>
    </row>
    <row r="162" spans="1:15" ht="30">
      <c r="A162" s="167" t="str">
        <f ca="1">IFERROR(__xludf.DUMMYFUNCTION("""COMPUTED_VALUE"""),"82DK0511010020000048005")</f>
        <v>82DK0511010020000048005</v>
      </c>
      <c r="B162" s="167" t="str">
        <f ca="1">IFERROR(__xludf.DUMMYFUNCTION("""COMPUTED_VALUE"""),"BUENO")</f>
        <v>BUENO</v>
      </c>
      <c r="C162" s="206"/>
      <c r="D162" s="206"/>
      <c r="E162" s="207"/>
      <c r="F162" s="207"/>
      <c r="G162" s="207"/>
      <c r="H162" s="207"/>
      <c r="I162" s="207"/>
      <c r="J162" s="207"/>
      <c r="K162" s="207"/>
      <c r="L162" s="207"/>
      <c r="M162" s="207"/>
      <c r="N162" s="207"/>
      <c r="O162" s="206"/>
    </row>
    <row r="163" spans="1:15" ht="30">
      <c r="A163" s="167" t="str">
        <f ca="1">IFERROR(__xludf.DUMMYFUNCTION("""COMPUTED_VALUE"""),"82DK0511010020000651097")</f>
        <v>82DK0511010020000651097</v>
      </c>
      <c r="B163" s="167" t="str">
        <f ca="1">IFERROR(__xludf.DUMMYFUNCTION("""COMPUTED_VALUE"""),"BUENO")</f>
        <v>BUENO</v>
      </c>
      <c r="C163" s="206"/>
      <c r="D163" s="206"/>
      <c r="E163" s="207"/>
      <c r="F163" s="207"/>
      <c r="G163" s="207"/>
      <c r="H163" s="207"/>
      <c r="I163" s="207"/>
      <c r="J163" s="207"/>
      <c r="K163" s="207"/>
      <c r="L163" s="207"/>
      <c r="M163" s="207"/>
      <c r="N163" s="207"/>
      <c r="O163" s="206"/>
    </row>
    <row r="164" spans="1:15" ht="30">
      <c r="A164" s="167" t="str">
        <f ca="1">IFERROR(__xludf.DUMMYFUNCTION("""COMPUTED_VALUE"""),"82DK0511010020000651094")</f>
        <v>82DK0511010020000651094</v>
      </c>
      <c r="B164" s="167" t="str">
        <f ca="1">IFERROR(__xludf.DUMMYFUNCTION("""COMPUTED_VALUE"""),"BUENO")</f>
        <v>BUENO</v>
      </c>
      <c r="C164" s="206"/>
      <c r="D164" s="206"/>
      <c r="E164" s="207"/>
      <c r="F164" s="207"/>
      <c r="G164" s="207"/>
      <c r="H164" s="207"/>
      <c r="I164" s="207"/>
      <c r="J164" s="207"/>
      <c r="K164" s="207"/>
      <c r="L164" s="207"/>
      <c r="M164" s="207"/>
      <c r="N164" s="207"/>
      <c r="O164" s="206"/>
    </row>
    <row r="165" spans="1:15" ht="30">
      <c r="A165" s="167" t="str">
        <f ca="1">IFERROR(__xludf.DUMMYFUNCTION("""COMPUTED_VALUE"""),"82DK0511010020000651092")</f>
        <v>82DK0511010020000651092</v>
      </c>
      <c r="B165" s="167" t="str">
        <f ca="1">IFERROR(__xludf.DUMMYFUNCTION("""COMPUTED_VALUE"""),"BUENO")</f>
        <v>BUENO</v>
      </c>
      <c r="C165" s="206"/>
      <c r="D165" s="206"/>
      <c r="E165" s="207"/>
      <c r="F165" s="207"/>
      <c r="G165" s="207"/>
      <c r="H165" s="207"/>
      <c r="I165" s="207"/>
      <c r="J165" s="207"/>
      <c r="K165" s="207"/>
      <c r="L165" s="207"/>
      <c r="M165" s="207"/>
      <c r="N165" s="207"/>
      <c r="O165" s="206"/>
    </row>
    <row r="166" spans="1:15" ht="30">
      <c r="A166" s="167" t="str">
        <f ca="1">IFERROR(__xludf.DUMMYFUNCTION("""COMPUTED_VALUE"""),"82DK0511010020000651096")</f>
        <v>82DK0511010020000651096</v>
      </c>
      <c r="B166" s="167" t="str">
        <f ca="1">IFERROR(__xludf.DUMMYFUNCTION("""COMPUTED_VALUE"""),"BUENO")</f>
        <v>BUENO</v>
      </c>
      <c r="C166" s="206"/>
      <c r="D166" s="206"/>
      <c r="E166" s="207"/>
      <c r="F166" s="207"/>
      <c r="G166" s="207"/>
      <c r="H166" s="207"/>
      <c r="I166" s="207"/>
      <c r="J166" s="207"/>
      <c r="K166" s="207"/>
      <c r="L166" s="207"/>
      <c r="M166" s="207"/>
      <c r="N166" s="207"/>
      <c r="O166" s="206"/>
    </row>
    <row r="167" spans="1:15" ht="30">
      <c r="A167" s="167" t="str">
        <f ca="1">IFERROR(__xludf.DUMMYFUNCTION("""COMPUTED_VALUE"""),"82DH0511010020000048004")</f>
        <v>82DH0511010020000048004</v>
      </c>
      <c r="B167" s="167" t="str">
        <f ca="1">IFERROR(__xludf.DUMMYFUNCTION("""COMPUTED_VALUE"""),"BUENO")</f>
        <v>BUENO</v>
      </c>
      <c r="C167" s="206"/>
      <c r="D167" s="206"/>
      <c r="E167" s="207"/>
      <c r="F167" s="207"/>
      <c r="G167" s="207"/>
      <c r="H167" s="207"/>
      <c r="I167" s="207"/>
      <c r="J167" s="207"/>
      <c r="K167" s="207"/>
      <c r="L167" s="207"/>
      <c r="M167" s="207"/>
      <c r="N167" s="207"/>
      <c r="O167" s="206"/>
    </row>
    <row r="168" spans="1:15" ht="30">
      <c r="A168" s="167" t="str">
        <f ca="1">IFERROR(__xludf.DUMMYFUNCTION("""COMPUTED_VALUE"""),"82DH0511010020000048003")</f>
        <v>82DH0511010020000048003</v>
      </c>
      <c r="B168" s="167" t="str">
        <f ca="1">IFERROR(__xludf.DUMMYFUNCTION("""COMPUTED_VALUE"""),"BUENO")</f>
        <v>BUENO</v>
      </c>
      <c r="C168" s="206"/>
      <c r="D168" s="206"/>
      <c r="E168" s="207"/>
      <c r="F168" s="207"/>
      <c r="G168" s="207"/>
      <c r="H168" s="207"/>
      <c r="I168" s="207"/>
      <c r="J168" s="207"/>
      <c r="K168" s="207"/>
      <c r="L168" s="207"/>
      <c r="M168" s="207"/>
      <c r="N168" s="207"/>
      <c r="O168" s="206"/>
    </row>
    <row r="169" spans="1:15" ht="30">
      <c r="A169" s="167" t="str">
        <f ca="1">IFERROR(__xludf.DUMMYFUNCTION("""COMPUTED_VALUE"""),"82DK0511010020000651091")</f>
        <v>82DK0511010020000651091</v>
      </c>
      <c r="B169" s="167" t="str">
        <f ca="1">IFERROR(__xludf.DUMMYFUNCTION("""COMPUTED_VALUE"""),"BUENO")</f>
        <v>BUENO</v>
      </c>
      <c r="C169" s="206"/>
      <c r="D169" s="206"/>
      <c r="E169" s="207"/>
      <c r="F169" s="207"/>
      <c r="G169" s="207"/>
      <c r="H169" s="207"/>
      <c r="I169" s="207"/>
      <c r="J169" s="207"/>
      <c r="K169" s="207"/>
      <c r="L169" s="207"/>
      <c r="M169" s="207"/>
      <c r="N169" s="207"/>
      <c r="O169" s="206"/>
    </row>
    <row r="170" spans="1:15" ht="30">
      <c r="A170" s="167" t="str">
        <f ca="1">IFERROR(__xludf.DUMMYFUNCTION("""COMPUTED_VALUE"""),"82DK0511010020000649468")</f>
        <v>82DK0511010020000649468</v>
      </c>
      <c r="B170" s="167" t="str">
        <f ca="1">IFERROR(__xludf.DUMMYFUNCTION("""COMPUTED_VALUE"""),"BUENO")</f>
        <v>BUENO</v>
      </c>
      <c r="C170" s="206"/>
      <c r="D170" s="206"/>
      <c r="E170" s="207"/>
      <c r="F170" s="207"/>
      <c r="G170" s="207"/>
      <c r="H170" s="207"/>
      <c r="I170" s="207"/>
      <c r="J170" s="207"/>
      <c r="K170" s="207"/>
      <c r="L170" s="207"/>
      <c r="M170" s="207"/>
      <c r="N170" s="207"/>
      <c r="O170" s="206"/>
    </row>
    <row r="171" spans="1:15" ht="30">
      <c r="A171" s="167" t="str">
        <f ca="1">IFERROR(__xludf.DUMMYFUNCTION("""COMPUTED_VALUE"""),"82DK0511010020000649471")</f>
        <v>82DK0511010020000649471</v>
      </c>
      <c r="B171" s="167" t="str">
        <f ca="1">IFERROR(__xludf.DUMMYFUNCTION("""COMPUTED_VALUE"""),"BUENO")</f>
        <v>BUENO</v>
      </c>
      <c r="C171" s="206"/>
      <c r="D171" s="206"/>
      <c r="E171" s="207"/>
      <c r="F171" s="207"/>
      <c r="G171" s="207"/>
      <c r="H171" s="207"/>
      <c r="I171" s="207"/>
      <c r="J171" s="207"/>
      <c r="K171" s="207"/>
      <c r="L171" s="207"/>
      <c r="M171" s="207"/>
      <c r="N171" s="207"/>
      <c r="O171" s="206"/>
    </row>
    <row r="172" spans="1:15" ht="30">
      <c r="A172" s="167" t="str">
        <f ca="1">IFERROR(__xludf.DUMMYFUNCTION("""COMPUTED_VALUE"""),"82DK0511010020000649472")</f>
        <v>82DK0511010020000649472</v>
      </c>
      <c r="B172" s="167" t="str">
        <f ca="1">IFERROR(__xludf.DUMMYFUNCTION("""COMPUTED_VALUE"""),"BUENO")</f>
        <v>BUENO</v>
      </c>
      <c r="C172" s="206"/>
      <c r="D172" s="206"/>
      <c r="E172" s="207"/>
      <c r="F172" s="207"/>
      <c r="G172" s="207"/>
      <c r="H172" s="207"/>
      <c r="I172" s="207"/>
      <c r="J172" s="207"/>
      <c r="K172" s="207"/>
      <c r="L172" s="207"/>
      <c r="M172" s="207"/>
      <c r="N172" s="207"/>
      <c r="O172" s="206"/>
    </row>
    <row r="173" spans="1:15" ht="30">
      <c r="A173" s="167" t="str">
        <f ca="1">IFERROR(__xludf.DUMMYFUNCTION("""COMPUTED_VALUE"""),"82DK0511010020000649478")</f>
        <v>82DK0511010020000649478</v>
      </c>
      <c r="B173" s="167" t="str">
        <f ca="1">IFERROR(__xludf.DUMMYFUNCTION("""COMPUTED_VALUE"""),"BUENO")</f>
        <v>BUENO</v>
      </c>
      <c r="C173" s="206"/>
      <c r="D173" s="206"/>
      <c r="E173" s="207"/>
      <c r="F173" s="207"/>
      <c r="G173" s="207"/>
      <c r="H173" s="207"/>
      <c r="I173" s="207"/>
      <c r="J173" s="207"/>
      <c r="K173" s="207"/>
      <c r="L173" s="207"/>
      <c r="M173" s="207"/>
      <c r="N173" s="207"/>
      <c r="O173" s="206"/>
    </row>
    <row r="174" spans="1:15" ht="30">
      <c r="A174" s="167" t="str">
        <f ca="1">IFERROR(__xludf.DUMMYFUNCTION("""COMPUTED_VALUE"""),"82DK0511010020000649462")</f>
        <v>82DK0511010020000649462</v>
      </c>
      <c r="B174" s="167" t="str">
        <f ca="1">IFERROR(__xludf.DUMMYFUNCTION("""COMPUTED_VALUE"""),"BUENO")</f>
        <v>BUENO</v>
      </c>
      <c r="C174" s="206"/>
      <c r="D174" s="206"/>
      <c r="E174" s="207"/>
      <c r="F174" s="207"/>
      <c r="G174" s="207"/>
      <c r="H174" s="207"/>
      <c r="I174" s="207"/>
      <c r="J174" s="207"/>
      <c r="K174" s="207"/>
      <c r="L174" s="207"/>
      <c r="M174" s="207"/>
      <c r="N174" s="207"/>
      <c r="O174" s="206"/>
    </row>
    <row r="175" spans="1:15" ht="30">
      <c r="A175" s="167" t="str">
        <f ca="1">IFERROR(__xludf.DUMMYFUNCTION("""COMPUTED_VALUE"""),"SIN RESGUARDO")</f>
        <v>SIN RESGUARDO</v>
      </c>
      <c r="B175" s="167" t="str">
        <f ca="1">IFERROR(__xludf.DUMMYFUNCTION("""COMPUTED_VALUE"""),"BUENO")</f>
        <v>BUENO</v>
      </c>
      <c r="C175" s="206"/>
      <c r="D175" s="206"/>
      <c r="E175" s="207"/>
      <c r="F175" s="207"/>
      <c r="G175" s="207"/>
      <c r="H175" s="207"/>
      <c r="I175" s="207"/>
      <c r="J175" s="207"/>
      <c r="K175" s="207"/>
      <c r="L175" s="207"/>
      <c r="M175" s="207"/>
      <c r="N175" s="207"/>
      <c r="O175" s="206"/>
    </row>
    <row r="176" spans="1:15" ht="30">
      <c r="A176" s="167" t="str">
        <f ca="1">IFERROR(__xludf.DUMMYFUNCTION("""COMPUTED_VALUE"""),"82DK0515010013000651088")</f>
        <v>82DK0515010013000651088</v>
      </c>
      <c r="B176" s="167" t="str">
        <f ca="1">IFERROR(__xludf.DUMMYFUNCTION("""COMPUTED_VALUE"""),"BUENO")</f>
        <v>BUENO</v>
      </c>
      <c r="C176" s="206"/>
      <c r="D176" s="206"/>
      <c r="E176" s="207"/>
      <c r="F176" s="207"/>
      <c r="G176" s="207"/>
      <c r="H176" s="207"/>
      <c r="I176" s="207"/>
      <c r="J176" s="207"/>
      <c r="K176" s="207"/>
      <c r="L176" s="207"/>
      <c r="M176" s="207"/>
      <c r="N176" s="207"/>
      <c r="O176" s="206"/>
    </row>
    <row r="177" spans="1:15" ht="30">
      <c r="A177" s="167" t="str">
        <f ca="1">IFERROR(__xludf.DUMMYFUNCTION("""COMPUTED_VALUE"""),"82DK0515010013000651089")</f>
        <v>82DK0515010013000651089</v>
      </c>
      <c r="B177" s="167" t="str">
        <f ca="1">IFERROR(__xludf.DUMMYFUNCTION("""COMPUTED_VALUE"""),"BUENO")</f>
        <v>BUENO</v>
      </c>
      <c r="C177" s="206"/>
      <c r="D177" s="206"/>
      <c r="E177" s="207"/>
      <c r="F177" s="207"/>
      <c r="G177" s="207"/>
      <c r="H177" s="207"/>
      <c r="I177" s="207"/>
      <c r="J177" s="207"/>
      <c r="K177" s="207"/>
      <c r="L177" s="207"/>
      <c r="M177" s="207"/>
      <c r="N177" s="207"/>
      <c r="O177" s="206"/>
    </row>
    <row r="178" spans="1:15" ht="30">
      <c r="A178" s="167" t="str">
        <f ca="1">IFERROR(__xludf.DUMMYFUNCTION("""COMPUTED_VALUE"""),"82DK0519010003000649403")</f>
        <v>82DK0519010003000649403</v>
      </c>
      <c r="B178" s="167" t="str">
        <f ca="1">IFERROR(__xludf.DUMMYFUNCTION("""COMPUTED_VALUE"""),"BUENO")</f>
        <v>BUENO</v>
      </c>
      <c r="C178" s="206"/>
      <c r="D178" s="206"/>
      <c r="E178" s="207"/>
      <c r="F178" s="207"/>
      <c r="G178" s="207"/>
      <c r="H178" s="207"/>
      <c r="I178" s="207"/>
      <c r="J178" s="207"/>
      <c r="K178" s="207"/>
      <c r="L178" s="207"/>
      <c r="M178" s="207"/>
      <c r="N178" s="207"/>
      <c r="O178" s="206"/>
    </row>
    <row r="179" spans="1:15" ht="30">
      <c r="A179" s="167" t="str">
        <f ca="1">IFERROR(__xludf.DUMMYFUNCTION("""COMPUTED_VALUE"""),"82DH0515010013000649765")</f>
        <v>82DH0515010013000649765</v>
      </c>
      <c r="B179" s="167" t="str">
        <f ca="1">IFERROR(__xludf.DUMMYFUNCTION("""COMPUTED_VALUE"""),"BUENO")</f>
        <v>BUENO</v>
      </c>
      <c r="C179" s="206"/>
      <c r="D179" s="206"/>
      <c r="E179" s="207"/>
      <c r="F179" s="207"/>
      <c r="G179" s="207"/>
      <c r="H179" s="207"/>
      <c r="I179" s="207"/>
      <c r="J179" s="207"/>
      <c r="K179" s="207"/>
      <c r="L179" s="207"/>
      <c r="M179" s="207"/>
      <c r="N179" s="207"/>
      <c r="O179" s="206"/>
    </row>
    <row r="180" spans="1:15" ht="30">
      <c r="A180" s="167" t="str">
        <f ca="1">IFERROR(__xludf.DUMMYFUNCTION("""COMPUTED_VALUE"""),"82DK0511010001000518525")</f>
        <v>82DK0511010001000518525</v>
      </c>
      <c r="B180" s="167" t="str">
        <f ca="1">IFERROR(__xludf.DUMMYFUNCTION("""COMPUTED_VALUE"""),"BUENO")</f>
        <v>BUENO</v>
      </c>
      <c r="C180" s="206"/>
      <c r="D180" s="206"/>
      <c r="E180" s="207"/>
      <c r="F180" s="207"/>
      <c r="G180" s="207"/>
      <c r="H180" s="207"/>
      <c r="I180" s="207"/>
      <c r="J180" s="207"/>
      <c r="K180" s="207"/>
      <c r="L180" s="207"/>
      <c r="M180" s="207"/>
      <c r="N180" s="207"/>
      <c r="O180" s="206"/>
    </row>
    <row r="181" spans="1:15" ht="30">
      <c r="A181" s="167" t="str">
        <f ca="1">IFERROR(__xludf.DUMMYFUNCTION("""COMPUTED_VALUE"""),"82DK0511010005000649483")</f>
        <v>82DK0511010005000649483</v>
      </c>
      <c r="B181" s="167" t="str">
        <f ca="1">IFERROR(__xludf.DUMMYFUNCTION("""COMPUTED_VALUE"""),"BUENO")</f>
        <v>BUENO</v>
      </c>
      <c r="C181" s="206"/>
      <c r="D181" s="206"/>
      <c r="E181" s="207"/>
      <c r="F181" s="207"/>
      <c r="G181" s="207"/>
      <c r="H181" s="207"/>
      <c r="I181" s="207"/>
      <c r="J181" s="207"/>
      <c r="K181" s="207"/>
      <c r="L181" s="207"/>
      <c r="M181" s="207"/>
      <c r="N181" s="207"/>
      <c r="O181" s="206"/>
    </row>
    <row r="182" spans="1:15" ht="30">
      <c r="A182" s="167" t="str">
        <f ca="1">IFERROR(__xludf.DUMMYFUNCTION("""COMPUTED_VALUE"""),"82DK0512010011000584051")</f>
        <v>82DK0512010011000584051</v>
      </c>
      <c r="B182" s="167" t="str">
        <f ca="1">IFERROR(__xludf.DUMMYFUNCTION("""COMPUTED_VALUE"""),"BUENO")</f>
        <v>BUENO</v>
      </c>
      <c r="C182" s="206"/>
      <c r="D182" s="206"/>
      <c r="E182" s="207"/>
      <c r="F182" s="207"/>
      <c r="G182" s="207"/>
      <c r="H182" s="207"/>
      <c r="I182" s="207"/>
      <c r="J182" s="207"/>
      <c r="K182" s="207"/>
      <c r="L182" s="207"/>
      <c r="M182" s="207"/>
      <c r="N182" s="207"/>
      <c r="O182" s="206"/>
    </row>
    <row r="183" spans="1:15" ht="30">
      <c r="A183" s="167" t="str">
        <f ca="1">IFERROR(__xludf.DUMMYFUNCTION("""COMPUTED_VALUE"""),"82DK0511010006000649489")</f>
        <v>82DK0511010006000649489</v>
      </c>
      <c r="B183" s="167" t="str">
        <f ca="1">IFERROR(__xludf.DUMMYFUNCTION("""COMPUTED_VALUE"""),"BUENO")</f>
        <v>BUENO</v>
      </c>
      <c r="C183" s="206"/>
      <c r="D183" s="206"/>
      <c r="E183" s="207"/>
      <c r="F183" s="207"/>
      <c r="G183" s="207"/>
      <c r="H183" s="207"/>
      <c r="I183" s="207"/>
      <c r="J183" s="207"/>
      <c r="K183" s="207"/>
      <c r="L183" s="207"/>
      <c r="M183" s="207"/>
      <c r="N183" s="207"/>
      <c r="O183" s="206"/>
    </row>
    <row r="184" spans="1:15" ht="30">
      <c r="A184" s="167" t="str">
        <f ca="1">IFERROR(__xludf.DUMMYFUNCTION("""COMPUTED_VALUE"""),"82DH0511010017000649528")</f>
        <v>82DH0511010017000649528</v>
      </c>
      <c r="B184" s="167" t="str">
        <f ca="1">IFERROR(__xludf.DUMMYFUNCTION("""COMPUTED_VALUE"""),"BUENO")</f>
        <v>BUENO</v>
      </c>
      <c r="C184" s="206"/>
      <c r="D184" s="206"/>
      <c r="E184" s="207"/>
      <c r="F184" s="207"/>
      <c r="G184" s="207"/>
      <c r="H184" s="207"/>
      <c r="I184" s="207"/>
      <c r="J184" s="207"/>
      <c r="K184" s="207"/>
      <c r="L184" s="207"/>
      <c r="M184" s="207"/>
      <c r="N184" s="207"/>
      <c r="O184" s="206"/>
    </row>
    <row r="185" spans="1:15" ht="30">
      <c r="A185" s="167" t="str">
        <f ca="1">IFERROR(__xludf.DUMMYFUNCTION("""COMPUTED_VALUE"""),"82DK0511010017000516288")</f>
        <v>82DK0511010017000516288</v>
      </c>
      <c r="B185" s="167" t="str">
        <f ca="1">IFERROR(__xludf.DUMMYFUNCTION("""COMPUTED_VALUE"""),"BUENO")</f>
        <v>BUENO</v>
      </c>
      <c r="C185" s="206"/>
      <c r="D185" s="206"/>
      <c r="E185" s="207"/>
      <c r="F185" s="207"/>
      <c r="G185" s="207"/>
      <c r="H185" s="207"/>
      <c r="I185" s="207"/>
      <c r="J185" s="207"/>
      <c r="K185" s="207"/>
      <c r="L185" s="207"/>
      <c r="M185" s="207"/>
      <c r="N185" s="207"/>
      <c r="O185" s="206"/>
    </row>
    <row r="186" spans="1:15" ht="30">
      <c r="A186" s="167" t="str">
        <f ca="1">IFERROR(__xludf.DUMMYFUNCTION("""COMPUTED_VALUE"""),"82DK0515010010000649480")</f>
        <v>82DK0515010010000649480</v>
      </c>
      <c r="B186" s="167" t="str">
        <f ca="1">IFERROR(__xludf.DUMMYFUNCTION("""COMPUTED_VALUE"""),"BUENO")</f>
        <v>BUENO</v>
      </c>
      <c r="C186" s="206"/>
      <c r="D186" s="206"/>
      <c r="E186" s="207"/>
      <c r="F186" s="207"/>
      <c r="G186" s="207"/>
      <c r="H186" s="207"/>
      <c r="I186" s="207"/>
      <c r="J186" s="207"/>
      <c r="K186" s="207"/>
      <c r="L186" s="207"/>
      <c r="M186" s="207"/>
      <c r="N186" s="207"/>
      <c r="O186" s="206"/>
    </row>
    <row r="187" spans="1:15" ht="30">
      <c r="A187" s="167" t="str">
        <f ca="1">IFERROR(__xludf.DUMMYFUNCTION("""COMPUTED_VALUE"""),"82DK0565010001000649481")</f>
        <v>82DK0565010001000649481</v>
      </c>
      <c r="B187" s="167" t="str">
        <f ca="1">IFERROR(__xludf.DUMMYFUNCTION("""COMPUTED_VALUE"""),"BUENO")</f>
        <v>BUENO</v>
      </c>
      <c r="C187" s="206"/>
      <c r="D187" s="206"/>
      <c r="E187" s="207"/>
      <c r="F187" s="207"/>
      <c r="G187" s="207"/>
      <c r="H187" s="207"/>
      <c r="I187" s="207"/>
      <c r="J187" s="207"/>
      <c r="K187" s="207"/>
      <c r="L187" s="207"/>
      <c r="M187" s="207"/>
      <c r="N187" s="207"/>
      <c r="O187" s="206"/>
    </row>
    <row r="188" spans="1:15" ht="30">
      <c r="A188" s="167" t="str">
        <f ca="1">IFERROR(__xludf.DUMMYFUNCTION("""COMPUTED_VALUE"""),"82DH0565010041000539111")</f>
        <v>82DH0565010041000539111</v>
      </c>
      <c r="B188" s="167" t="str">
        <f ca="1">IFERROR(__xludf.DUMMYFUNCTION("""COMPUTED_VALUE"""),"BUENO")</f>
        <v>BUENO</v>
      </c>
      <c r="C188" s="206"/>
      <c r="D188" s="206"/>
      <c r="E188" s="207"/>
      <c r="F188" s="207"/>
      <c r="G188" s="207"/>
      <c r="H188" s="207"/>
      <c r="I188" s="207"/>
      <c r="J188" s="207"/>
      <c r="K188" s="207"/>
      <c r="L188" s="207"/>
      <c r="M188" s="207"/>
      <c r="N188" s="207"/>
      <c r="O188" s="206"/>
    </row>
    <row r="189" spans="1:15" ht="30">
      <c r="A189" s="167" t="str">
        <f ca="1">IFERROR(__xludf.DUMMYFUNCTION("""COMPUTED_VALUE"""),"SIN RESGUARDO")</f>
        <v>SIN RESGUARDO</v>
      </c>
      <c r="B189" s="167" t="str">
        <f ca="1">IFERROR(__xludf.DUMMYFUNCTION("""COMPUTED_VALUE"""),"BUENO")</f>
        <v>BUENO</v>
      </c>
      <c r="C189" s="206"/>
      <c r="D189" s="206"/>
      <c r="E189" s="207"/>
      <c r="F189" s="207"/>
      <c r="G189" s="207"/>
      <c r="H189" s="207"/>
      <c r="I189" s="207"/>
      <c r="J189" s="207"/>
      <c r="K189" s="207"/>
      <c r="L189" s="207"/>
      <c r="M189" s="207"/>
      <c r="N189" s="207"/>
      <c r="O189" s="206"/>
    </row>
    <row r="190" spans="1:15" ht="30">
      <c r="A190" s="167" t="str">
        <f ca="1">IFERROR(__xludf.DUMMYFUNCTION("""COMPUTED_VALUE"""),"82DK0515010016000649425")</f>
        <v>82DK0515010016000649425</v>
      </c>
      <c r="B190" s="167" t="str">
        <f ca="1">IFERROR(__xludf.DUMMYFUNCTION("""COMPUTED_VALUE"""),"BUENO")</f>
        <v>BUENO</v>
      </c>
      <c r="C190" s="206"/>
      <c r="D190" s="206"/>
      <c r="E190" s="207"/>
      <c r="F190" s="207"/>
      <c r="G190" s="207"/>
      <c r="H190" s="207"/>
      <c r="I190" s="207"/>
      <c r="J190" s="207"/>
      <c r="K190" s="207"/>
      <c r="L190" s="207"/>
      <c r="M190" s="207"/>
      <c r="N190" s="207"/>
      <c r="O190" s="206"/>
    </row>
    <row r="191" spans="1:15" ht="30">
      <c r="A191" s="167" t="str">
        <f ca="1">IFERROR(__xludf.DUMMYFUNCTION("""COMPUTED_VALUE"""),"SIN RESGUARDO")</f>
        <v>SIN RESGUARDO</v>
      </c>
      <c r="B191" s="167" t="str">
        <f ca="1">IFERROR(__xludf.DUMMYFUNCTION("""COMPUTED_VALUE"""),"BUENO")</f>
        <v>BUENO</v>
      </c>
      <c r="C191" s="206"/>
      <c r="D191" s="206"/>
      <c r="E191" s="207"/>
      <c r="F191" s="207"/>
      <c r="G191" s="207"/>
      <c r="H191" s="207"/>
      <c r="I191" s="207"/>
      <c r="J191" s="207"/>
      <c r="K191" s="207"/>
      <c r="L191" s="207"/>
      <c r="M191" s="207"/>
      <c r="N191" s="207"/>
      <c r="O191" s="206"/>
    </row>
    <row r="192" spans="1:15" ht="30">
      <c r="A192" s="167" t="str">
        <f ca="1">IFERROR(__xludf.DUMMYFUNCTION("""COMPUTED_VALUE"""),"82DH0515010033000564669")</f>
        <v>82DH0515010033000564669</v>
      </c>
      <c r="B192" s="167" t="str">
        <f ca="1">IFERROR(__xludf.DUMMYFUNCTION("""COMPUTED_VALUE"""),"BUENO")</f>
        <v>BUENO</v>
      </c>
      <c r="C192" s="206"/>
      <c r="D192" s="206"/>
      <c r="E192" s="207"/>
      <c r="F192" s="207"/>
      <c r="G192" s="207"/>
      <c r="H192" s="207"/>
      <c r="I192" s="207"/>
      <c r="J192" s="207"/>
      <c r="K192" s="207"/>
      <c r="L192" s="207"/>
      <c r="M192" s="207"/>
      <c r="N192" s="207"/>
      <c r="O192" s="206"/>
    </row>
    <row r="193" spans="1:15" ht="30">
      <c r="A193" s="167" t="str">
        <f ca="1">IFERROR(__xludf.DUMMYFUNCTION("""COMPUTED_VALUE"""),"82DK0511010017000649482")</f>
        <v>82DK0511010017000649482</v>
      </c>
      <c r="B193" s="167" t="str">
        <f ca="1">IFERROR(__xludf.DUMMYFUNCTION("""COMPUTED_VALUE"""),"BUENO")</f>
        <v>BUENO</v>
      </c>
      <c r="C193" s="206"/>
      <c r="D193" s="206"/>
      <c r="E193" s="207"/>
      <c r="F193" s="207"/>
      <c r="G193" s="207"/>
      <c r="H193" s="207"/>
      <c r="I193" s="207"/>
      <c r="J193" s="207"/>
      <c r="K193" s="207"/>
      <c r="L193" s="207"/>
      <c r="M193" s="207"/>
      <c r="N193" s="207"/>
      <c r="O193" s="206"/>
    </row>
    <row r="194" spans="1:15" ht="30">
      <c r="A194" s="167" t="str">
        <f ca="1">IFERROR(__xludf.DUMMYFUNCTION("""COMPUTED_VALUE"""),"82DK0511010001000518519")</f>
        <v>82DK0511010001000518519</v>
      </c>
      <c r="B194" s="167" t="str">
        <f ca="1">IFERROR(__xludf.DUMMYFUNCTION("""COMPUTED_VALUE"""),"BUENO")</f>
        <v>BUENO</v>
      </c>
      <c r="C194" s="206"/>
      <c r="D194" s="206"/>
      <c r="E194" s="207"/>
      <c r="F194" s="207"/>
      <c r="G194" s="207"/>
      <c r="H194" s="207"/>
      <c r="I194" s="207"/>
      <c r="J194" s="207"/>
      <c r="K194" s="207"/>
      <c r="L194" s="207"/>
      <c r="M194" s="207"/>
      <c r="N194" s="207"/>
      <c r="O194" s="206"/>
    </row>
    <row r="195" spans="1:15" ht="30">
      <c r="A195" s="167" t="str">
        <f ca="1">IFERROR(__xludf.DUMMYFUNCTION("""COMPUTED_VALUE"""),"82DK0511010001000533168")</f>
        <v>82DK0511010001000533168</v>
      </c>
      <c r="B195" s="167" t="str">
        <f ca="1">IFERROR(__xludf.DUMMYFUNCTION("""COMPUTED_VALUE"""),"BUENO")</f>
        <v>BUENO</v>
      </c>
      <c r="C195" s="206"/>
      <c r="D195" s="206"/>
      <c r="E195" s="207"/>
      <c r="F195" s="207"/>
      <c r="G195" s="207"/>
      <c r="H195" s="207"/>
      <c r="I195" s="207"/>
      <c r="J195" s="207"/>
      <c r="K195" s="207"/>
      <c r="L195" s="207"/>
      <c r="M195" s="207"/>
      <c r="N195" s="207"/>
      <c r="O195" s="206"/>
    </row>
    <row r="196" spans="1:15" ht="30">
      <c r="A196" s="167" t="str">
        <f ca="1">IFERROR(__xludf.DUMMYFUNCTION("""COMPUTED_VALUE"""),"82DK0519010043000649479")</f>
        <v>82DK0519010043000649479</v>
      </c>
      <c r="B196" s="167" t="str">
        <f ca="1">IFERROR(__xludf.DUMMYFUNCTION("""COMPUTED_VALUE"""),"BUENO")</f>
        <v>BUENO</v>
      </c>
      <c r="C196" s="206"/>
      <c r="D196" s="206"/>
      <c r="E196" s="207"/>
      <c r="F196" s="207"/>
      <c r="G196" s="207"/>
      <c r="H196" s="207"/>
      <c r="I196" s="207"/>
      <c r="J196" s="207"/>
      <c r="K196" s="207"/>
      <c r="L196" s="207"/>
      <c r="M196" s="207"/>
      <c r="N196" s="207"/>
      <c r="O196" s="206"/>
    </row>
    <row r="197" spans="1:15" ht="30">
      <c r="A197" s="167" t="str">
        <f ca="1">IFERROR(__xludf.DUMMYFUNCTION("""COMPUTED_VALUE"""),"82DK0515010002000649383")</f>
        <v>82DK0515010002000649383</v>
      </c>
      <c r="B197" s="167" t="str">
        <f ca="1">IFERROR(__xludf.DUMMYFUNCTION("""COMPUTED_VALUE"""),"BUENO")</f>
        <v>BUENO</v>
      </c>
      <c r="C197" s="206"/>
      <c r="D197" s="206"/>
      <c r="E197" s="207"/>
      <c r="F197" s="207"/>
      <c r="G197" s="207"/>
      <c r="H197" s="207"/>
      <c r="I197" s="207"/>
      <c r="J197" s="207"/>
      <c r="K197" s="207"/>
      <c r="L197" s="207"/>
      <c r="M197" s="207"/>
      <c r="N197" s="207"/>
      <c r="O197" s="206"/>
    </row>
    <row r="198" spans="1:15" ht="30">
      <c r="A198" s="167" t="str">
        <f ca="1">IFERROR(__xludf.DUMMYFUNCTION("""COMPUTED_VALUE"""),"82DK0531010065000580343")</f>
        <v>82DK0531010065000580343</v>
      </c>
      <c r="B198" s="167" t="str">
        <f ca="1">IFERROR(__xludf.DUMMYFUNCTION("""COMPUTED_VALUE"""),"BUENO")</f>
        <v>BUENO</v>
      </c>
      <c r="C198" s="206"/>
      <c r="D198" s="206"/>
      <c r="E198" s="207"/>
      <c r="F198" s="207"/>
      <c r="G198" s="207"/>
      <c r="H198" s="207"/>
      <c r="I198" s="207"/>
      <c r="J198" s="207"/>
      <c r="K198" s="207"/>
      <c r="L198" s="207"/>
      <c r="M198" s="207"/>
      <c r="N198" s="207"/>
      <c r="O198" s="206"/>
    </row>
    <row r="199" spans="1:15" ht="30">
      <c r="A199" s="167" t="str">
        <f ca="1">IFERROR(__xludf.DUMMYFUNCTION("""COMPUTED_VALUE"""),"82DK0511010017000649486")</f>
        <v>82DK0511010017000649486</v>
      </c>
      <c r="B199" s="167" t="str">
        <f ca="1">IFERROR(__xludf.DUMMYFUNCTION("""COMPUTED_VALUE"""),"BUENO")</f>
        <v>BUENO</v>
      </c>
      <c r="C199" s="206"/>
      <c r="D199" s="206"/>
      <c r="E199" s="207"/>
      <c r="F199" s="207"/>
      <c r="G199" s="207"/>
      <c r="H199" s="207"/>
      <c r="I199" s="207"/>
      <c r="J199" s="207"/>
      <c r="K199" s="207"/>
      <c r="L199" s="207"/>
      <c r="M199" s="207"/>
      <c r="N199" s="207"/>
      <c r="O199" s="206"/>
    </row>
    <row r="200" spans="1:15" ht="30">
      <c r="A200" s="167" t="str">
        <f ca="1">IFERROR(__xludf.DUMMYFUNCTION("""COMPUTED_VALUE"""),"82DH0515010013000649651")</f>
        <v>82DH0515010013000649651</v>
      </c>
      <c r="B200" s="167" t="str">
        <f ca="1">IFERROR(__xludf.DUMMYFUNCTION("""COMPUTED_VALUE"""),"MALO PARA BAJA (ALMACEN)")</f>
        <v>MALO PARA BAJA (ALMACEN)</v>
      </c>
      <c r="C200" s="206"/>
      <c r="D200" s="206"/>
      <c r="E200" s="207"/>
      <c r="F200" s="207"/>
      <c r="G200" s="207"/>
      <c r="H200" s="207"/>
      <c r="I200" s="207"/>
      <c r="J200" s="207"/>
      <c r="K200" s="207"/>
      <c r="L200" s="207"/>
      <c r="M200" s="207"/>
      <c r="N200" s="207"/>
      <c r="O200" s="206"/>
    </row>
    <row r="201" spans="1:15" ht="30">
      <c r="A201" s="167" t="str">
        <f ca="1">IFERROR(__xludf.DUMMYFUNCTION("""COMPUTED_VALUE"""),"82DK0511010017000649485")</f>
        <v>82DK0511010017000649485</v>
      </c>
      <c r="B201" s="167" t="str">
        <f ca="1">IFERROR(__xludf.DUMMYFUNCTION("""COMPUTED_VALUE"""),"BUENO")</f>
        <v>BUENO</v>
      </c>
      <c r="C201" s="206"/>
      <c r="D201" s="206"/>
      <c r="E201" s="207"/>
      <c r="F201" s="207"/>
      <c r="G201" s="207"/>
      <c r="H201" s="207"/>
      <c r="I201" s="207"/>
      <c r="J201" s="207"/>
      <c r="K201" s="207"/>
      <c r="L201" s="207"/>
      <c r="M201" s="207"/>
      <c r="N201" s="207"/>
      <c r="O201" s="206"/>
    </row>
    <row r="202" spans="1:15" ht="30">
      <c r="A202" s="167" t="str">
        <f ca="1">IFERROR(__xludf.DUMMYFUNCTION("""COMPUTED_VALUE"""),"82DK0511010006000583483")</f>
        <v>82DK0511010006000583483</v>
      </c>
      <c r="B202" s="167" t="str">
        <f ca="1">IFERROR(__xludf.DUMMYFUNCTION("""COMPUTED_VALUE"""),"BUENO")</f>
        <v>BUENO</v>
      </c>
      <c r="C202" s="206"/>
      <c r="D202" s="206"/>
      <c r="E202" s="207"/>
      <c r="F202" s="207"/>
      <c r="G202" s="207"/>
      <c r="H202" s="207"/>
      <c r="I202" s="207"/>
      <c r="J202" s="207"/>
      <c r="K202" s="207"/>
      <c r="L202" s="207"/>
      <c r="M202" s="207"/>
      <c r="N202" s="207"/>
      <c r="O202" s="206"/>
    </row>
    <row r="203" spans="1:15" ht="30">
      <c r="A203" s="167" t="str">
        <f ca="1">IFERROR(__xludf.DUMMYFUNCTION("""COMPUTED_VALUE"""),"82DK0515010001000650663")</f>
        <v>82DK0515010001000650663</v>
      </c>
      <c r="B203" s="167" t="str">
        <f ca="1">IFERROR(__xludf.DUMMYFUNCTION("""COMPUTED_VALUE"""),"BUENO")</f>
        <v>BUENO</v>
      </c>
      <c r="C203" s="206"/>
      <c r="D203" s="206"/>
      <c r="E203" s="207"/>
      <c r="F203" s="207"/>
      <c r="G203" s="207"/>
      <c r="H203" s="207"/>
      <c r="I203" s="207"/>
      <c r="J203" s="207"/>
      <c r="K203" s="207"/>
      <c r="L203" s="207"/>
      <c r="M203" s="207"/>
      <c r="N203" s="207"/>
      <c r="O203" s="206"/>
    </row>
    <row r="204" spans="1:15" ht="30">
      <c r="A204" s="167" t="str">
        <f ca="1">IFERROR(__xludf.DUMMYFUNCTION("""COMPUTED_VALUE"""),"82DK0515010014000539050")</f>
        <v>82DK0515010014000539050</v>
      </c>
      <c r="B204" s="167" t="str">
        <f ca="1">IFERROR(__xludf.DUMMYFUNCTION("""COMPUTED_VALUE"""),"BUENO")</f>
        <v>BUENO</v>
      </c>
      <c r="C204" s="206"/>
      <c r="D204" s="206"/>
      <c r="E204" s="207"/>
      <c r="F204" s="207"/>
      <c r="G204" s="207"/>
      <c r="H204" s="207"/>
      <c r="I204" s="207"/>
      <c r="J204" s="207"/>
      <c r="K204" s="207"/>
      <c r="L204" s="207"/>
      <c r="M204" s="207"/>
      <c r="N204" s="207"/>
      <c r="O204" s="206"/>
    </row>
    <row r="205" spans="1:15" ht="30">
      <c r="A205" s="167" t="str">
        <f ca="1">IFERROR(__xludf.DUMMYFUNCTION("""COMPUTED_VALUE"""),"82DK0515010020000650899")</f>
        <v>82DK0515010020000650899</v>
      </c>
      <c r="B205" s="167" t="str">
        <f ca="1">IFERROR(__xludf.DUMMYFUNCTION("""COMPUTED_VALUE"""),"BUENO")</f>
        <v>BUENO</v>
      </c>
      <c r="C205" s="206"/>
      <c r="D205" s="206"/>
      <c r="E205" s="207"/>
      <c r="F205" s="207"/>
      <c r="G205" s="207"/>
      <c r="H205" s="207"/>
      <c r="I205" s="207"/>
      <c r="J205" s="207"/>
      <c r="K205" s="207"/>
      <c r="L205" s="207"/>
      <c r="M205" s="207"/>
      <c r="N205" s="207"/>
      <c r="O205" s="206"/>
    </row>
    <row r="206" spans="1:15" ht="30">
      <c r="A206" s="167" t="str">
        <f ca="1">IFERROR(__xludf.DUMMYFUNCTION("""COMPUTED_VALUE"""),"82DH0515010033000566420")</f>
        <v>82DH0515010033000566420</v>
      </c>
      <c r="B206" s="167" t="str">
        <f ca="1">IFERROR(__xludf.DUMMYFUNCTION("""COMPUTED_VALUE"""),"BUENO")</f>
        <v>BUENO</v>
      </c>
      <c r="C206" s="206"/>
      <c r="D206" s="206"/>
      <c r="E206" s="207"/>
      <c r="F206" s="207"/>
      <c r="G206" s="207"/>
      <c r="H206" s="207"/>
      <c r="I206" s="207"/>
      <c r="J206" s="207"/>
      <c r="K206" s="207"/>
      <c r="L206" s="207"/>
      <c r="M206" s="207"/>
      <c r="N206" s="207"/>
      <c r="O206" s="206"/>
    </row>
    <row r="207" spans="1:15" ht="30">
      <c r="A207" s="167" t="str">
        <f ca="1">IFERROR(__xludf.DUMMYFUNCTION("""COMPUTED_VALUE"""),"SIN RESGUARDO")</f>
        <v>SIN RESGUARDO</v>
      </c>
      <c r="B207" s="167" t="str">
        <f ca="1">IFERROR(__xludf.DUMMYFUNCTION("""COMPUTED_VALUE"""),"BUENO")</f>
        <v>BUENO</v>
      </c>
      <c r="C207" s="206"/>
      <c r="D207" s="206"/>
      <c r="E207" s="207"/>
      <c r="F207" s="207"/>
      <c r="G207" s="207"/>
      <c r="H207" s="207"/>
      <c r="I207" s="207"/>
      <c r="J207" s="207"/>
      <c r="K207" s="207"/>
      <c r="L207" s="207"/>
      <c r="M207" s="207"/>
      <c r="N207" s="207"/>
      <c r="O207" s="206"/>
    </row>
    <row r="208" spans="1:15" ht="30">
      <c r="A208" s="167" t="str">
        <f ca="1">IFERROR(__xludf.DUMMYFUNCTION("""COMPUTED_VALUE"""),"SIN RESGUARDO")</f>
        <v>SIN RESGUARDO</v>
      </c>
      <c r="B208" s="167" t="str">
        <f ca="1">IFERROR(__xludf.DUMMYFUNCTION("""COMPUTED_VALUE"""),"BUENO")</f>
        <v>BUENO</v>
      </c>
      <c r="C208" s="206"/>
      <c r="D208" s="206"/>
      <c r="E208" s="207"/>
      <c r="F208" s="207"/>
      <c r="G208" s="207"/>
      <c r="H208" s="207"/>
      <c r="I208" s="207"/>
      <c r="J208" s="207"/>
      <c r="K208" s="207"/>
      <c r="L208" s="207"/>
      <c r="M208" s="207"/>
      <c r="N208" s="207"/>
      <c r="O208" s="206"/>
    </row>
    <row r="209" spans="1:15" ht="30">
      <c r="A209" s="167" t="str">
        <f ca="1">IFERROR(__xludf.DUMMYFUNCTION("""COMPUTED_VALUE"""),"SIN RESGUARDO")</f>
        <v>SIN RESGUARDO</v>
      </c>
      <c r="B209" s="167" t="str">
        <f ca="1">IFERROR(__xludf.DUMMYFUNCTION("""COMPUTED_VALUE"""),"BUENO")</f>
        <v>BUENO</v>
      </c>
      <c r="C209" s="206"/>
      <c r="D209" s="206"/>
      <c r="E209" s="207"/>
      <c r="F209" s="207"/>
      <c r="G209" s="207"/>
      <c r="H209" s="207"/>
      <c r="I209" s="207"/>
      <c r="J209" s="207"/>
      <c r="K209" s="207"/>
      <c r="L209" s="207"/>
      <c r="M209" s="207"/>
      <c r="N209" s="207"/>
      <c r="O209" s="206"/>
    </row>
    <row r="210" spans="1:15" ht="30">
      <c r="A210" s="167" t="str">
        <f ca="1">IFERROR(__xludf.DUMMYFUNCTION("""COMPUTED_VALUE"""),"82DK0511010017000522767")</f>
        <v>82DK0511010017000522767</v>
      </c>
      <c r="B210" s="167" t="str">
        <f ca="1">IFERROR(__xludf.DUMMYFUNCTION("""COMPUTED_VALUE"""),"BUENO")</f>
        <v>BUENO</v>
      </c>
      <c r="C210" s="206"/>
      <c r="D210" s="206"/>
      <c r="E210" s="207"/>
      <c r="F210" s="207"/>
      <c r="G210" s="207"/>
      <c r="H210" s="207"/>
      <c r="I210" s="207"/>
      <c r="J210" s="207"/>
      <c r="K210" s="207"/>
      <c r="L210" s="207"/>
      <c r="M210" s="207"/>
      <c r="N210" s="207"/>
      <c r="O210" s="206"/>
    </row>
    <row r="211" spans="1:15" ht="30">
      <c r="A211" s="167" t="str">
        <f ca="1">IFERROR(__xludf.DUMMYFUNCTION("""COMPUTED_VALUE"""),"82DJ0515010016000539062")</f>
        <v>82DJ0515010016000539062</v>
      </c>
      <c r="B211" s="167" t="str">
        <f ca="1">IFERROR(__xludf.DUMMYFUNCTION("""COMPUTED_VALUE"""),"BUENO")</f>
        <v>BUENO</v>
      </c>
      <c r="C211" s="206"/>
      <c r="D211" s="206"/>
      <c r="E211" s="207"/>
      <c r="F211" s="207"/>
      <c r="G211" s="207"/>
      <c r="H211" s="207"/>
      <c r="I211" s="207"/>
      <c r="J211" s="207"/>
      <c r="K211" s="207"/>
      <c r="L211" s="207"/>
      <c r="M211" s="207"/>
      <c r="N211" s="207"/>
      <c r="O211" s="206"/>
    </row>
    <row r="212" spans="1:15" ht="30">
      <c r="A212" s="167" t="str">
        <f ca="1">IFERROR(__xludf.DUMMYFUNCTION("""COMPUTED_VALUE"""),"82DK0515010033000564663")</f>
        <v>82DK0515010033000564663</v>
      </c>
      <c r="B212" s="167" t="str">
        <f ca="1">IFERROR(__xludf.DUMMYFUNCTION("""COMPUTED_VALUE"""),"BUENO")</f>
        <v>BUENO</v>
      </c>
      <c r="C212" s="206"/>
      <c r="D212" s="206"/>
      <c r="E212" s="207"/>
      <c r="F212" s="207"/>
      <c r="G212" s="207"/>
      <c r="H212" s="207"/>
      <c r="I212" s="207"/>
      <c r="J212" s="207"/>
      <c r="K212" s="207"/>
      <c r="L212" s="207"/>
      <c r="M212" s="207"/>
      <c r="N212" s="207"/>
      <c r="O212" s="206"/>
    </row>
    <row r="213" spans="1:15" ht="30">
      <c r="A213" s="167" t="str">
        <f ca="1">IFERROR(__xludf.DUMMYFUNCTION("""COMPUTED_VALUE"""),"82DK0531010065000564833")</f>
        <v>82DK0531010065000564833</v>
      </c>
      <c r="B213" s="167" t="str">
        <f ca="1">IFERROR(__xludf.DUMMYFUNCTION("""COMPUTED_VALUE"""),"BUENO")</f>
        <v>BUENO</v>
      </c>
      <c r="C213" s="206"/>
      <c r="D213" s="206"/>
      <c r="E213" s="207"/>
      <c r="F213" s="207"/>
      <c r="G213" s="207"/>
      <c r="H213" s="207"/>
      <c r="I213" s="207"/>
      <c r="J213" s="207"/>
      <c r="K213" s="207"/>
      <c r="L213" s="207"/>
      <c r="M213" s="207"/>
      <c r="N213" s="207"/>
      <c r="O213" s="206"/>
    </row>
    <row r="214" spans="1:15" ht="30">
      <c r="A214" s="167" t="str">
        <f ca="1">IFERROR(__xludf.DUMMYFUNCTION("""COMPUTED_VALUE"""),"82DK0511010006000518527")</f>
        <v>82DK0511010006000518527</v>
      </c>
      <c r="B214" s="167" t="str">
        <f ca="1">IFERROR(__xludf.DUMMYFUNCTION("""COMPUTED_VALUE"""),"BUENO")</f>
        <v>BUENO</v>
      </c>
      <c r="C214" s="206"/>
      <c r="D214" s="206"/>
      <c r="E214" s="207"/>
      <c r="F214" s="207"/>
      <c r="G214" s="207"/>
      <c r="H214" s="207"/>
      <c r="I214" s="207"/>
      <c r="J214" s="207"/>
      <c r="K214" s="207"/>
      <c r="L214" s="207"/>
      <c r="M214" s="207"/>
      <c r="N214" s="207"/>
      <c r="O214" s="206"/>
    </row>
    <row r="215" spans="1:15" ht="30">
      <c r="A215" s="167" t="str">
        <f ca="1">IFERROR(__xludf.DUMMYFUNCTION("""COMPUTED_VALUE"""),"82DK0515010001000535501")</f>
        <v>82DK0515010001000535501</v>
      </c>
      <c r="B215" s="167" t="str">
        <f ca="1">IFERROR(__xludf.DUMMYFUNCTION("""COMPUTED_VALUE"""),"REGULAR")</f>
        <v>REGULAR</v>
      </c>
      <c r="C215" s="206"/>
      <c r="D215" s="206"/>
      <c r="E215" s="207"/>
      <c r="F215" s="207"/>
      <c r="G215" s="207"/>
      <c r="H215" s="207"/>
      <c r="I215" s="207"/>
      <c r="J215" s="207"/>
      <c r="K215" s="207"/>
      <c r="L215" s="207"/>
      <c r="M215" s="207"/>
      <c r="N215" s="207"/>
      <c r="O215" s="206"/>
    </row>
    <row r="216" spans="1:15" ht="30">
      <c r="A216" s="167" t="str">
        <f ca="1">IFERROR(__xludf.DUMMYFUNCTION("""COMPUTED_VALUE"""),"82DK0565010041000539116")</f>
        <v>82DK0565010041000539116</v>
      </c>
      <c r="B216" s="167" t="str">
        <f ca="1">IFERROR(__xludf.DUMMYFUNCTION("""COMPUTED_VALUE"""),"REGULAR")</f>
        <v>REGULAR</v>
      </c>
      <c r="C216" s="206"/>
      <c r="D216" s="206"/>
      <c r="E216" s="207"/>
      <c r="F216" s="207"/>
      <c r="G216" s="207"/>
      <c r="H216" s="207"/>
      <c r="I216" s="207"/>
      <c r="J216" s="207"/>
      <c r="K216" s="207"/>
      <c r="L216" s="207"/>
      <c r="M216" s="207"/>
      <c r="N216" s="207"/>
      <c r="O216" s="206"/>
    </row>
    <row r="217" spans="1:15" ht="30">
      <c r="A217" s="167" t="str">
        <f ca="1">IFERROR(__xludf.DUMMYFUNCTION("""COMPUTED_VALUE"""),"82DH0515010020000649442")</f>
        <v>82DH0515010020000649442</v>
      </c>
      <c r="B217" s="167" t="str">
        <f ca="1">IFERROR(__xludf.DUMMYFUNCTION("""COMPUTED_VALUE"""),"BUENO")</f>
        <v>BUENO</v>
      </c>
      <c r="C217" s="206"/>
      <c r="D217" s="206"/>
      <c r="E217" s="207"/>
      <c r="F217" s="207"/>
      <c r="G217" s="207"/>
      <c r="H217" s="207"/>
      <c r="I217" s="207"/>
      <c r="J217" s="207"/>
      <c r="K217" s="207"/>
      <c r="L217" s="207"/>
      <c r="M217" s="207"/>
      <c r="N217" s="207"/>
      <c r="O217" s="206"/>
    </row>
    <row r="218" spans="1:15" ht="30">
      <c r="A218" s="167" t="str">
        <f ca="1">IFERROR(__xludf.DUMMYFUNCTION("""COMPUTED_VALUE"""),"82DK0511010017000516302")</f>
        <v>82DK0511010017000516302</v>
      </c>
      <c r="B218" s="167" t="str">
        <f ca="1">IFERROR(__xludf.DUMMYFUNCTION("""COMPUTED_VALUE"""),"REGULAR")</f>
        <v>REGULAR</v>
      </c>
      <c r="C218" s="206"/>
      <c r="D218" s="206"/>
      <c r="E218" s="207"/>
      <c r="F218" s="207"/>
      <c r="G218" s="207"/>
      <c r="H218" s="207"/>
      <c r="I218" s="207"/>
      <c r="J218" s="207"/>
      <c r="K218" s="207"/>
      <c r="L218" s="207"/>
      <c r="M218" s="207"/>
      <c r="N218" s="207"/>
      <c r="O218" s="206"/>
    </row>
    <row r="219" spans="1:15" ht="30">
      <c r="A219" s="167" t="str">
        <f ca="1">IFERROR(__xludf.DUMMYFUNCTION("""COMPUTED_VALUE"""),"82DH0511010006000651085")</f>
        <v>82DH0511010006000651085</v>
      </c>
      <c r="B219" s="167" t="str">
        <f ca="1">IFERROR(__xludf.DUMMYFUNCTION("""COMPUTED_VALUE"""),"BUENO")</f>
        <v>BUENO</v>
      </c>
      <c r="C219" s="206"/>
      <c r="D219" s="206"/>
      <c r="E219" s="207"/>
      <c r="F219" s="207"/>
      <c r="G219" s="207"/>
      <c r="H219" s="207"/>
      <c r="I219" s="207"/>
      <c r="J219" s="207"/>
      <c r="K219" s="207"/>
      <c r="L219" s="207"/>
      <c r="M219" s="207"/>
      <c r="N219" s="207"/>
      <c r="O219" s="206"/>
    </row>
    <row r="220" spans="1:15" ht="30">
      <c r="A220" s="167" t="str">
        <f ca="1">IFERROR(__xludf.DUMMYFUNCTION("""COMPUTED_VALUE"""),"82DK0515010003000649539")</f>
        <v>82DK0515010003000649539</v>
      </c>
      <c r="B220" s="167" t="str">
        <f ca="1">IFERROR(__xludf.DUMMYFUNCTION("""COMPUTED_VALUE"""),"BUENO")</f>
        <v>BUENO</v>
      </c>
      <c r="C220" s="206"/>
      <c r="D220" s="206"/>
      <c r="E220" s="207"/>
      <c r="F220" s="207"/>
      <c r="G220" s="207"/>
      <c r="H220" s="207"/>
      <c r="I220" s="207"/>
      <c r="J220" s="207"/>
      <c r="K220" s="207"/>
      <c r="L220" s="207"/>
      <c r="M220" s="207"/>
      <c r="N220" s="207"/>
      <c r="O220" s="206"/>
    </row>
    <row r="221" spans="1:15" ht="30">
      <c r="A221" s="167" t="str">
        <f ca="1">IFERROR(__xludf.DUMMYFUNCTION("""COMPUTED_VALUE"""),"82DK0515010016000649490")</f>
        <v>82DK0515010016000649490</v>
      </c>
      <c r="B221" s="167" t="str">
        <f ca="1">IFERROR(__xludf.DUMMYFUNCTION("""COMPUTED_VALUE"""),"BUENO")</f>
        <v>BUENO</v>
      </c>
      <c r="C221" s="206"/>
      <c r="D221" s="206"/>
      <c r="E221" s="207"/>
      <c r="F221" s="207"/>
      <c r="G221" s="207"/>
      <c r="H221" s="207"/>
      <c r="I221" s="207"/>
      <c r="J221" s="207"/>
      <c r="K221" s="207"/>
      <c r="L221" s="207"/>
      <c r="M221" s="207"/>
      <c r="N221" s="207"/>
      <c r="O221" s="206"/>
    </row>
    <row r="222" spans="1:15" ht="30">
      <c r="A222" s="167" t="str">
        <f ca="1">IFERROR(__xludf.DUMMYFUNCTION("""COMPUTED_VALUE"""),"82DK0511010006000534680")</f>
        <v>82DK0511010006000534680</v>
      </c>
      <c r="B222" s="167" t="str">
        <f ca="1">IFERROR(__xludf.DUMMYFUNCTION("""COMPUTED_VALUE"""),"BUENO")</f>
        <v>BUENO</v>
      </c>
      <c r="C222" s="206"/>
      <c r="D222" s="206"/>
      <c r="E222" s="207"/>
      <c r="F222" s="207"/>
      <c r="G222" s="207"/>
      <c r="H222" s="207"/>
      <c r="I222" s="207"/>
      <c r="J222" s="207"/>
      <c r="K222" s="207"/>
      <c r="L222" s="207"/>
      <c r="M222" s="207"/>
      <c r="N222" s="207"/>
      <c r="O222" s="206"/>
    </row>
    <row r="223" spans="1:15" ht="30">
      <c r="A223" s="167" t="str">
        <f ca="1">IFERROR(__xludf.DUMMYFUNCTION("""COMPUTED_VALUE"""),"82DJ0511010017000516341")</f>
        <v>82DJ0511010017000516341</v>
      </c>
      <c r="B223" s="167" t="str">
        <f ca="1">IFERROR(__xludf.DUMMYFUNCTION("""COMPUTED_VALUE"""),"BUENO")</f>
        <v>BUENO</v>
      </c>
      <c r="C223" s="206"/>
      <c r="D223" s="206"/>
      <c r="E223" s="207"/>
      <c r="F223" s="207"/>
      <c r="G223" s="207"/>
      <c r="H223" s="207"/>
      <c r="I223" s="207"/>
      <c r="J223" s="207"/>
      <c r="K223" s="207"/>
      <c r="L223" s="207"/>
      <c r="M223" s="207"/>
      <c r="N223" s="207"/>
      <c r="O223" s="206"/>
    </row>
    <row r="224" spans="1:15" ht="30">
      <c r="A224" s="167" t="str">
        <f ca="1">IFERROR(__xludf.DUMMYFUNCTION("""COMPUTED_VALUE"""),"82DK0511010017000522771")</f>
        <v>82DK0511010017000522771</v>
      </c>
      <c r="B224" s="167" t="str">
        <f ca="1">IFERROR(__xludf.DUMMYFUNCTION("""COMPUTED_VALUE"""),"BUENO")</f>
        <v>BUENO</v>
      </c>
      <c r="C224" s="206"/>
      <c r="D224" s="206"/>
      <c r="E224" s="207"/>
      <c r="F224" s="207"/>
      <c r="G224" s="207"/>
      <c r="H224" s="207"/>
      <c r="I224" s="207"/>
      <c r="J224" s="207"/>
      <c r="K224" s="207"/>
      <c r="L224" s="207"/>
      <c r="M224" s="207"/>
      <c r="N224" s="207"/>
      <c r="O224" s="206"/>
    </row>
    <row r="225" spans="1:15" ht="30">
      <c r="A225" s="167" t="str">
        <f ca="1">IFERROR(__xludf.DUMMYFUNCTION("""COMPUTED_VALUE"""),"82DH0511010017000649527")</f>
        <v>82DH0511010017000649527</v>
      </c>
      <c r="B225" s="167" t="str">
        <f ca="1">IFERROR(__xludf.DUMMYFUNCTION("""COMPUTED_VALUE"""),"BUENO")</f>
        <v>BUENO</v>
      </c>
      <c r="C225" s="206"/>
      <c r="D225" s="206"/>
      <c r="E225" s="207"/>
      <c r="F225" s="207"/>
      <c r="G225" s="207"/>
      <c r="H225" s="207"/>
      <c r="I225" s="207"/>
      <c r="J225" s="207"/>
      <c r="K225" s="207"/>
      <c r="L225" s="207"/>
      <c r="M225" s="207"/>
      <c r="N225" s="207"/>
      <c r="O225" s="206"/>
    </row>
    <row r="226" spans="1:15" ht="30">
      <c r="A226" s="167" t="str">
        <f ca="1">IFERROR(__xludf.DUMMYFUNCTION("""COMPUTED_VALUE"""),"82DH0511010005000583322")</f>
        <v>82DH0511010005000583322</v>
      </c>
      <c r="B226" s="167" t="str">
        <f ca="1">IFERROR(__xludf.DUMMYFUNCTION("""COMPUTED_VALUE"""),"BUENO")</f>
        <v>BUENO</v>
      </c>
      <c r="C226" s="206"/>
      <c r="D226" s="206"/>
      <c r="E226" s="207"/>
      <c r="F226" s="207"/>
      <c r="G226" s="207"/>
      <c r="H226" s="207"/>
      <c r="I226" s="207"/>
      <c r="J226" s="207"/>
      <c r="K226" s="207"/>
      <c r="L226" s="207"/>
      <c r="M226" s="207"/>
      <c r="N226" s="207"/>
      <c r="O226" s="206"/>
    </row>
    <row r="227" spans="1:15" ht="30">
      <c r="A227" s="167" t="str">
        <f ca="1">IFERROR(__xludf.DUMMYFUNCTION("""COMPUTED_VALUE"""),"SIN RESGUARDO")</f>
        <v>SIN RESGUARDO</v>
      </c>
      <c r="B227" s="167" t="str">
        <f ca="1">IFERROR(__xludf.DUMMYFUNCTION("""COMPUTED_VALUE"""),"BUENO")</f>
        <v>BUENO</v>
      </c>
      <c r="C227" s="206"/>
      <c r="D227" s="206"/>
      <c r="E227" s="207"/>
      <c r="F227" s="207"/>
      <c r="G227" s="207"/>
      <c r="H227" s="207"/>
      <c r="I227" s="207"/>
      <c r="J227" s="207"/>
      <c r="K227" s="207"/>
      <c r="L227" s="207"/>
      <c r="M227" s="207"/>
      <c r="N227" s="207"/>
      <c r="O227" s="206"/>
    </row>
    <row r="228" spans="1:15" ht="30">
      <c r="A228" s="167" t="str">
        <f ca="1">IFERROR(__xludf.DUMMYFUNCTION("""COMPUTED_VALUE"""),"SIN RESGUARDO")</f>
        <v>SIN RESGUARDO</v>
      </c>
      <c r="B228" s="167" t="str">
        <f ca="1">IFERROR(__xludf.DUMMYFUNCTION("""COMPUTED_VALUE"""),"BUENO")</f>
        <v>BUENO</v>
      </c>
      <c r="C228" s="206"/>
      <c r="D228" s="206"/>
      <c r="E228" s="207"/>
      <c r="F228" s="207"/>
      <c r="G228" s="207"/>
      <c r="H228" s="207"/>
      <c r="I228" s="207"/>
      <c r="J228" s="207"/>
      <c r="K228" s="207"/>
      <c r="L228" s="207"/>
      <c r="M228" s="207"/>
      <c r="N228" s="207"/>
      <c r="O228" s="206"/>
    </row>
    <row r="229" spans="1:15" ht="30">
      <c r="A229" s="167" t="str">
        <f ca="1">IFERROR(__xludf.DUMMYFUNCTION("""COMPUTED_VALUE"""),"82DJ0519010043000649363")</f>
        <v>82DJ0519010043000649363</v>
      </c>
      <c r="B229" s="167" t="str">
        <f ca="1">IFERROR(__xludf.DUMMYFUNCTION("""COMPUTED_VALUE"""),"BUENO")</f>
        <v>BUENO</v>
      </c>
      <c r="C229" s="206"/>
      <c r="D229" s="206"/>
      <c r="E229" s="207"/>
      <c r="F229" s="207"/>
      <c r="G229" s="207"/>
      <c r="H229" s="207"/>
      <c r="I229" s="207"/>
      <c r="J229" s="207"/>
      <c r="K229" s="207"/>
      <c r="L229" s="207"/>
      <c r="M229" s="207"/>
      <c r="N229" s="207"/>
      <c r="O229" s="206"/>
    </row>
    <row r="230" spans="1:15" ht="30">
      <c r="A230" s="167" t="str">
        <f ca="1">IFERROR(__xludf.DUMMYFUNCTION("""COMPUTED_VALUE"""),"82DH0511010006000564906")</f>
        <v>82DH0511010006000564906</v>
      </c>
      <c r="B230" s="167" t="str">
        <f ca="1">IFERROR(__xludf.DUMMYFUNCTION("""COMPUTED_VALUE"""),"BUENO")</f>
        <v>BUENO</v>
      </c>
      <c r="C230" s="206"/>
      <c r="D230" s="206"/>
      <c r="E230" s="207"/>
      <c r="F230" s="207"/>
      <c r="G230" s="207"/>
      <c r="H230" s="207"/>
      <c r="I230" s="207"/>
      <c r="J230" s="207"/>
      <c r="K230" s="207"/>
      <c r="L230" s="207"/>
      <c r="M230" s="207"/>
      <c r="N230" s="207"/>
      <c r="O230" s="206"/>
    </row>
    <row r="231" spans="1:15" ht="30">
      <c r="A231" s="167" t="str">
        <f ca="1">IFERROR(__xludf.DUMMYFUNCTION("""COMPUTED_VALUE"""),"82DH0511010008000649461")</f>
        <v>82DH0511010008000649461</v>
      </c>
      <c r="B231" s="167" t="str">
        <f ca="1">IFERROR(__xludf.DUMMYFUNCTION("""COMPUTED_VALUE"""),"BUENO")</f>
        <v>BUENO</v>
      </c>
      <c r="C231" s="206"/>
      <c r="D231" s="206"/>
      <c r="E231" s="207"/>
      <c r="F231" s="207"/>
      <c r="G231" s="207"/>
      <c r="H231" s="207"/>
      <c r="I231" s="207"/>
      <c r="J231" s="207"/>
      <c r="K231" s="207"/>
      <c r="L231" s="207"/>
      <c r="M231" s="207"/>
      <c r="N231" s="207"/>
      <c r="O231" s="206"/>
    </row>
    <row r="232" spans="1:15" ht="30">
      <c r="A232" s="167" t="str">
        <f ca="1">IFERROR(__xludf.DUMMYFUNCTION("""COMPUTED_VALUE"""),"82DJ0511010029000649459")</f>
        <v>82DJ0511010029000649459</v>
      </c>
      <c r="B232" s="167" t="str">
        <f ca="1">IFERROR(__xludf.DUMMYFUNCTION("""COMPUTED_VALUE"""),"BUENO")</f>
        <v>BUENO</v>
      </c>
      <c r="C232" s="206"/>
      <c r="D232" s="206"/>
      <c r="E232" s="207"/>
      <c r="F232" s="207"/>
      <c r="G232" s="207"/>
      <c r="H232" s="207"/>
      <c r="I232" s="207"/>
      <c r="J232" s="207"/>
      <c r="K232" s="207"/>
      <c r="L232" s="207"/>
      <c r="M232" s="207"/>
      <c r="N232" s="207"/>
      <c r="O232" s="206"/>
    </row>
    <row r="233" spans="1:15" ht="30">
      <c r="A233" s="167" t="str">
        <f ca="1">IFERROR(__xludf.DUMMYFUNCTION("""COMPUTED_VALUE"""),"82DH0511010006000649460")</f>
        <v>82DH0511010006000649460</v>
      </c>
      <c r="B233" s="167" t="str">
        <f ca="1">IFERROR(__xludf.DUMMYFUNCTION("""COMPUTED_VALUE"""),"BUENO")</f>
        <v>BUENO</v>
      </c>
      <c r="C233" s="206"/>
      <c r="D233" s="206"/>
      <c r="E233" s="207"/>
      <c r="F233" s="207"/>
      <c r="G233" s="207"/>
      <c r="H233" s="207"/>
      <c r="I233" s="207"/>
      <c r="J233" s="207"/>
      <c r="K233" s="207"/>
      <c r="L233" s="207"/>
      <c r="M233" s="207"/>
      <c r="N233" s="207"/>
      <c r="O233" s="206"/>
    </row>
    <row r="234" spans="1:15" ht="30">
      <c r="A234" s="167" t="str">
        <f ca="1">IFERROR(__xludf.DUMMYFUNCTION("""COMPUTED_VALUE"""),"82DH0511010016000515600")</f>
        <v>82DH0511010016000515600</v>
      </c>
      <c r="B234" s="167" t="str">
        <f ca="1">IFERROR(__xludf.DUMMYFUNCTION("""COMPUTED_VALUE"""),"MALO")</f>
        <v>MALO</v>
      </c>
      <c r="C234" s="206"/>
      <c r="D234" s="206"/>
      <c r="E234" s="207"/>
      <c r="F234" s="207"/>
      <c r="G234" s="207"/>
      <c r="H234" s="207"/>
      <c r="I234" s="207"/>
      <c r="J234" s="207"/>
      <c r="K234" s="207"/>
      <c r="L234" s="207"/>
      <c r="M234" s="207"/>
      <c r="N234" s="207"/>
      <c r="O234" s="206"/>
    </row>
    <row r="235" spans="1:15" ht="30">
      <c r="A235" s="167" t="str">
        <f ca="1">IFERROR(__xludf.DUMMYFUNCTION("""COMPUTED_VALUE"""),"82DI0515010001000535446")</f>
        <v>82DI0515010001000535446</v>
      </c>
      <c r="B235" s="167" t="str">
        <f ca="1">IFERROR(__xludf.DUMMYFUNCTION("""COMPUTED_VALUE"""),"BUENO")</f>
        <v>BUENO</v>
      </c>
      <c r="C235" s="206"/>
      <c r="D235" s="206"/>
      <c r="E235" s="207"/>
      <c r="F235" s="207"/>
      <c r="G235" s="207"/>
      <c r="H235" s="207"/>
      <c r="I235" s="207"/>
      <c r="J235" s="207"/>
      <c r="K235" s="207"/>
      <c r="L235" s="207"/>
      <c r="M235" s="207"/>
      <c r="N235" s="207"/>
      <c r="O235" s="206"/>
    </row>
    <row r="236" spans="1:15" ht="30">
      <c r="A236" s="167" t="str">
        <f ca="1">IFERROR(__xludf.DUMMYFUNCTION("""COMPUTED_VALUE"""),"82DI0565010041000522226")</f>
        <v>82DI0565010041000522226</v>
      </c>
      <c r="B236" s="167" t="str">
        <f ca="1">IFERROR(__xludf.DUMMYFUNCTION("""COMPUTED_VALUE"""),"BUENO")</f>
        <v>BUENO</v>
      </c>
      <c r="C236" s="206"/>
      <c r="D236" s="206"/>
      <c r="E236" s="207"/>
      <c r="F236" s="207"/>
      <c r="G236" s="207"/>
      <c r="H236" s="207"/>
      <c r="I236" s="207"/>
      <c r="J236" s="207"/>
      <c r="K236" s="207"/>
      <c r="L236" s="207"/>
      <c r="M236" s="207"/>
      <c r="N236" s="207"/>
      <c r="O236" s="206"/>
    </row>
    <row r="237" spans="1:15" ht="30">
      <c r="A237" s="167" t="str">
        <f ca="1">IFERROR(__xludf.DUMMYFUNCTION("""COMPUTED_VALUE"""),"82DH0565010001000533072")</f>
        <v>82DH0565010001000533072</v>
      </c>
      <c r="B237" s="167" t="str">
        <f ca="1">IFERROR(__xludf.DUMMYFUNCTION("""COMPUTED_VALUE"""),"BUENO")</f>
        <v>BUENO</v>
      </c>
      <c r="C237" s="206"/>
      <c r="D237" s="206"/>
      <c r="E237" s="207"/>
      <c r="F237" s="207"/>
      <c r="G237" s="207"/>
      <c r="H237" s="207"/>
      <c r="I237" s="207"/>
      <c r="J237" s="207"/>
      <c r="K237" s="207"/>
      <c r="L237" s="207"/>
      <c r="M237" s="207"/>
      <c r="N237" s="207"/>
      <c r="O237" s="206"/>
    </row>
    <row r="238" spans="1:15" ht="30">
      <c r="A238" s="167" t="str">
        <f ca="1">IFERROR(__xludf.DUMMYFUNCTION("""COMPUTED_VALUE"""),"82DH0515010002000649384")</f>
        <v>82DH0515010002000649384</v>
      </c>
      <c r="B238" s="167" t="str">
        <f ca="1">IFERROR(__xludf.DUMMYFUNCTION("""COMPUTED_VALUE"""),"BUENO")</f>
        <v>BUENO</v>
      </c>
      <c r="C238" s="206"/>
      <c r="D238" s="206"/>
      <c r="E238" s="207"/>
      <c r="F238" s="207"/>
      <c r="G238" s="207"/>
      <c r="H238" s="207"/>
      <c r="I238" s="207"/>
      <c r="J238" s="207"/>
      <c r="K238" s="207"/>
      <c r="L238" s="207"/>
      <c r="M238" s="207"/>
      <c r="N238" s="207"/>
      <c r="O238" s="206"/>
    </row>
    <row r="239" spans="1:15" ht="30">
      <c r="A239" s="167" t="str">
        <f ca="1">IFERROR(__xludf.DUMMYFUNCTION("""COMPUTED_VALUE"""),"82DH0511010016000518522")</f>
        <v>82DH0511010016000518522</v>
      </c>
      <c r="B239" s="167" t="str">
        <f ca="1">IFERROR(__xludf.DUMMYFUNCTION("""COMPUTED_VALUE"""),"BUENO")</f>
        <v>BUENO</v>
      </c>
      <c r="C239" s="206"/>
      <c r="D239" s="206"/>
      <c r="E239" s="207"/>
      <c r="F239" s="207"/>
      <c r="G239" s="207"/>
      <c r="H239" s="207"/>
      <c r="I239" s="207"/>
      <c r="J239" s="207"/>
      <c r="K239" s="207"/>
      <c r="L239" s="207"/>
      <c r="M239" s="207"/>
      <c r="N239" s="207"/>
      <c r="O239" s="206"/>
    </row>
    <row r="240" spans="1:15" ht="30">
      <c r="A240" s="167" t="str">
        <f ca="1">IFERROR(__xludf.DUMMYFUNCTION("""COMPUTED_VALUE"""),"82DH0511010016000518521")</f>
        <v>82DH0511010016000518521</v>
      </c>
      <c r="B240" s="167" t="str">
        <f ca="1">IFERROR(__xludf.DUMMYFUNCTION("""COMPUTED_VALUE"""),"BUENO")</f>
        <v>BUENO</v>
      </c>
      <c r="C240" s="206"/>
      <c r="D240" s="206"/>
      <c r="E240" s="207"/>
      <c r="F240" s="207"/>
      <c r="G240" s="207"/>
      <c r="H240" s="207"/>
      <c r="I240" s="207"/>
      <c r="J240" s="207"/>
      <c r="K240" s="207"/>
      <c r="L240" s="207"/>
      <c r="M240" s="207"/>
      <c r="N240" s="207"/>
      <c r="O240" s="206"/>
    </row>
    <row r="241" spans="1:15" ht="30">
      <c r="A241" s="167" t="str">
        <f ca="1">IFERROR(__xludf.DUMMYFUNCTION("""COMPUTED_VALUE"""),"SIN RESGUARDO")</f>
        <v>SIN RESGUARDO</v>
      </c>
      <c r="B241" s="167" t="str">
        <f ca="1">IFERROR(__xludf.DUMMYFUNCTION("""COMPUTED_VALUE"""),"BUENO")</f>
        <v>BUENO</v>
      </c>
      <c r="C241" s="206"/>
      <c r="D241" s="206"/>
      <c r="E241" s="207"/>
      <c r="F241" s="207"/>
      <c r="G241" s="207"/>
      <c r="H241" s="207"/>
      <c r="I241" s="207"/>
      <c r="J241" s="207"/>
      <c r="K241" s="207"/>
      <c r="L241" s="207"/>
      <c r="M241" s="207"/>
      <c r="N241" s="207"/>
      <c r="O241" s="206"/>
    </row>
    <row r="242" spans="1:15" ht="30">
      <c r="A242" s="167" t="str">
        <f ca="1">IFERROR(__xludf.DUMMYFUNCTION("""COMPUTED_VALUE"""),"SIN RESGUARDO")</f>
        <v>SIN RESGUARDO</v>
      </c>
      <c r="B242" s="167" t="str">
        <f ca="1">IFERROR(__xludf.DUMMYFUNCTION("""COMPUTED_VALUE"""),"BUENO")</f>
        <v>BUENO</v>
      </c>
      <c r="C242" s="206"/>
      <c r="D242" s="206"/>
      <c r="E242" s="207"/>
      <c r="F242" s="207"/>
      <c r="G242" s="207"/>
      <c r="H242" s="207"/>
      <c r="I242" s="207"/>
      <c r="J242" s="207"/>
      <c r="K242" s="207"/>
      <c r="L242" s="207"/>
      <c r="M242" s="207"/>
      <c r="N242" s="207"/>
      <c r="O242" s="206"/>
    </row>
    <row r="243" spans="1:15" ht="30">
      <c r="A243" s="167" t="str">
        <f ca="1">IFERROR(__xludf.DUMMYFUNCTION("""COMPUTED_VALUE"""),"82DH0519010043000649364")</f>
        <v>82DH0519010043000649364</v>
      </c>
      <c r="B243" s="167" t="str">
        <f ca="1">IFERROR(__xludf.DUMMYFUNCTION("""COMPUTED_VALUE"""),"BUENO")</f>
        <v>BUENO</v>
      </c>
      <c r="C243" s="206"/>
      <c r="D243" s="206"/>
      <c r="E243" s="207"/>
      <c r="F243" s="207"/>
      <c r="G243" s="207"/>
      <c r="H243" s="207"/>
      <c r="I243" s="207"/>
      <c r="J243" s="207"/>
      <c r="K243" s="207"/>
      <c r="L243" s="207"/>
      <c r="M243" s="207"/>
      <c r="N243" s="207"/>
      <c r="O243" s="206"/>
    </row>
    <row r="244" spans="1:15" ht="30">
      <c r="A244" s="167" t="str">
        <f ca="1">IFERROR(__xludf.DUMMYFUNCTION("""COMPUTED_VALUE"""),"82DK0511010020000649630")</f>
        <v>82DK0511010020000649630</v>
      </c>
      <c r="B244" s="167" t="str">
        <f ca="1">IFERROR(__xludf.DUMMYFUNCTION("""COMPUTED_VALUE"""),"BUENO")</f>
        <v>BUENO</v>
      </c>
      <c r="C244" s="206"/>
      <c r="D244" s="206"/>
      <c r="E244" s="207"/>
      <c r="F244" s="207"/>
      <c r="G244" s="207"/>
      <c r="H244" s="207"/>
      <c r="I244" s="207"/>
      <c r="J244" s="207"/>
      <c r="K244" s="207"/>
      <c r="L244" s="207"/>
      <c r="M244" s="207"/>
      <c r="N244" s="207"/>
      <c r="O244" s="206"/>
    </row>
    <row r="245" spans="1:15" ht="30">
      <c r="A245" s="167" t="str">
        <f ca="1">IFERROR(__xludf.DUMMYFUNCTION("""COMPUTED_VALUE"""),"82DK0515010014000651112")</f>
        <v>82DK0515010014000651112</v>
      </c>
      <c r="B245" s="167" t="str">
        <f ca="1">IFERROR(__xludf.DUMMYFUNCTION("""COMPUTED_VALUE"""),"BUENO")</f>
        <v>BUENO</v>
      </c>
      <c r="C245" s="206"/>
      <c r="D245" s="206"/>
      <c r="E245" s="207"/>
      <c r="F245" s="207"/>
      <c r="G245" s="207"/>
      <c r="H245" s="207"/>
      <c r="I245" s="207"/>
      <c r="J245" s="207"/>
      <c r="K245" s="207"/>
      <c r="L245" s="207"/>
      <c r="M245" s="207"/>
      <c r="N245" s="207"/>
      <c r="O245" s="206"/>
    </row>
    <row r="246" spans="1:15" ht="30">
      <c r="A246" s="167" t="str">
        <f ca="1">IFERROR(__xludf.DUMMYFUNCTION("""COMPUTED_VALUE"""),"82DJ0565010001000538210")</f>
        <v>82DJ0565010001000538210</v>
      </c>
      <c r="B246" s="167" t="str">
        <f ca="1">IFERROR(__xludf.DUMMYFUNCTION("""COMPUTED_VALUE"""),"BUENO")</f>
        <v>BUENO</v>
      </c>
      <c r="C246" s="206"/>
      <c r="D246" s="206"/>
      <c r="E246" s="207"/>
      <c r="F246" s="207"/>
      <c r="G246" s="207"/>
      <c r="H246" s="207"/>
      <c r="I246" s="207"/>
      <c r="J246" s="207"/>
      <c r="K246" s="207"/>
      <c r="L246" s="207"/>
      <c r="M246" s="207"/>
      <c r="N246" s="207"/>
      <c r="O246" s="206"/>
    </row>
    <row r="247" spans="1:15" ht="30">
      <c r="A247" s="167" t="str">
        <f ca="1">IFERROR(__xludf.DUMMYFUNCTION("""COMPUTED_VALUE"""),"82DK0515010013000649570")</f>
        <v>82DK0515010013000649570</v>
      </c>
      <c r="B247" s="167" t="str">
        <f ca="1">IFERROR(__xludf.DUMMYFUNCTION("""COMPUTED_VALUE"""),"BUENO")</f>
        <v>BUENO</v>
      </c>
      <c r="C247" s="206"/>
      <c r="D247" s="206"/>
      <c r="E247" s="207"/>
      <c r="F247" s="207"/>
      <c r="G247" s="207"/>
      <c r="H247" s="207"/>
      <c r="I247" s="207"/>
      <c r="J247" s="207"/>
      <c r="K247" s="207"/>
      <c r="L247" s="207"/>
      <c r="M247" s="207"/>
      <c r="N247" s="207"/>
      <c r="O247" s="206"/>
    </row>
    <row r="248" spans="1:15" ht="30">
      <c r="A248" s="167" t="str">
        <f ca="1">IFERROR(__xludf.DUMMYFUNCTION("""COMPUTED_VALUE"""),"SIN RESGUARDO")</f>
        <v>SIN RESGUARDO</v>
      </c>
      <c r="B248" s="167" t="str">
        <f ca="1">IFERROR(__xludf.DUMMYFUNCTION("""COMPUTED_VALUE"""),"BUENO")</f>
        <v>BUENO</v>
      </c>
      <c r="C248" s="206"/>
      <c r="D248" s="206"/>
      <c r="E248" s="207"/>
      <c r="F248" s="207"/>
      <c r="G248" s="207"/>
      <c r="H248" s="207"/>
      <c r="I248" s="207"/>
      <c r="J248" s="207"/>
      <c r="K248" s="207"/>
      <c r="L248" s="207"/>
      <c r="M248" s="207"/>
      <c r="N248" s="207"/>
      <c r="O248" s="206"/>
    </row>
    <row r="249" spans="1:15" ht="30">
      <c r="A249" s="167" t="str">
        <f ca="1">IFERROR(__xludf.DUMMYFUNCTION("""COMPUTED_VALUE"""),"SIN RESGUARDO")</f>
        <v>SIN RESGUARDO</v>
      </c>
      <c r="B249" s="167" t="str">
        <f ca="1">IFERROR(__xludf.DUMMYFUNCTION("""COMPUTED_VALUE"""),"BUENO")</f>
        <v>BUENO</v>
      </c>
      <c r="C249" s="206"/>
      <c r="D249" s="206"/>
      <c r="E249" s="207"/>
      <c r="F249" s="207"/>
      <c r="G249" s="207"/>
      <c r="H249" s="207"/>
      <c r="I249" s="207"/>
      <c r="J249" s="207"/>
      <c r="K249" s="207"/>
      <c r="L249" s="207"/>
      <c r="M249" s="207"/>
      <c r="N249" s="207"/>
      <c r="O249" s="206"/>
    </row>
    <row r="250" spans="1:15" ht="30">
      <c r="A250" s="167" t="str">
        <f ca="1">IFERROR(__xludf.DUMMYFUNCTION("""COMPUTED_VALUE"""),"82DK0515010033000564661")</f>
        <v>82DK0515010033000564661</v>
      </c>
      <c r="B250" s="167" t="str">
        <f ca="1">IFERROR(__xludf.DUMMYFUNCTION("""COMPUTED_VALUE"""),"BUENO")</f>
        <v>BUENO</v>
      </c>
      <c r="C250" s="206"/>
      <c r="D250" s="206"/>
      <c r="E250" s="207"/>
      <c r="F250" s="207"/>
      <c r="G250" s="207"/>
      <c r="H250" s="207"/>
      <c r="I250" s="207"/>
      <c r="J250" s="207"/>
      <c r="K250" s="207"/>
      <c r="L250" s="207"/>
      <c r="M250" s="207"/>
      <c r="N250" s="207"/>
      <c r="O250" s="206"/>
    </row>
    <row r="251" spans="1:15" ht="30">
      <c r="A251" s="167" t="str">
        <f ca="1">IFERROR(__xludf.DUMMYFUNCTION("""COMPUTED_VALUE"""),"82DK0511010006000649632")</f>
        <v>82DK0511010006000649632</v>
      </c>
      <c r="B251" s="167" t="str">
        <f ca="1">IFERROR(__xludf.DUMMYFUNCTION("""COMPUTED_VALUE"""),"BUENO")</f>
        <v>BUENO</v>
      </c>
      <c r="C251" s="206"/>
      <c r="D251" s="206"/>
      <c r="E251" s="207"/>
      <c r="F251" s="207"/>
      <c r="G251" s="207"/>
      <c r="H251" s="207"/>
      <c r="I251" s="207"/>
      <c r="J251" s="207"/>
      <c r="K251" s="207"/>
      <c r="L251" s="207"/>
      <c r="M251" s="207"/>
      <c r="N251" s="207"/>
      <c r="O251" s="206"/>
    </row>
    <row r="252" spans="1:15" ht="30">
      <c r="A252" s="167" t="str">
        <f ca="1">IFERROR(__xludf.DUMMYFUNCTION("""COMPUTED_VALUE"""),"SIN RESGUARDO")</f>
        <v>SIN RESGUARDO</v>
      </c>
      <c r="B252" s="167" t="str">
        <f ca="1">IFERROR(__xludf.DUMMYFUNCTION("""COMPUTED_VALUE"""),"BUENO")</f>
        <v>BUENO</v>
      </c>
      <c r="C252" s="206"/>
      <c r="D252" s="206"/>
      <c r="E252" s="207"/>
      <c r="F252" s="207"/>
      <c r="G252" s="207"/>
      <c r="H252" s="207"/>
      <c r="I252" s="207"/>
      <c r="J252" s="207"/>
      <c r="K252" s="207"/>
      <c r="L252" s="207"/>
      <c r="M252" s="207"/>
      <c r="N252" s="207"/>
      <c r="O252" s="206"/>
    </row>
    <row r="253" spans="1:15" ht="30">
      <c r="A253" s="167" t="str">
        <f ca="1">IFERROR(__xludf.DUMMYFUNCTION("""COMPUTED_VALUE"""),"82DK0511010005000649633")</f>
        <v>82DK0511010005000649633</v>
      </c>
      <c r="B253" s="167" t="str">
        <f ca="1">IFERROR(__xludf.DUMMYFUNCTION("""COMPUTED_VALUE"""),"BUENO")</f>
        <v>BUENO</v>
      </c>
      <c r="C253" s="206"/>
      <c r="D253" s="206"/>
      <c r="E253" s="207"/>
      <c r="F253" s="207"/>
      <c r="G253" s="207"/>
      <c r="H253" s="207"/>
      <c r="I253" s="207"/>
      <c r="J253" s="207"/>
      <c r="K253" s="207"/>
      <c r="L253" s="207"/>
      <c r="M253" s="207"/>
      <c r="N253" s="207"/>
      <c r="O253" s="206"/>
    </row>
    <row r="254" spans="1:15" ht="30">
      <c r="A254" s="167" t="str">
        <f ca="1">IFERROR(__xludf.DUMMYFUNCTION("""COMPUTED_VALUE"""),"SIN RESGUARDO")</f>
        <v>SIN RESGUARDO</v>
      </c>
      <c r="B254" s="167" t="str">
        <f ca="1">IFERROR(__xludf.DUMMYFUNCTION("""COMPUTED_VALUE"""),"BUENO")</f>
        <v>BUENO</v>
      </c>
      <c r="C254" s="206"/>
      <c r="D254" s="206"/>
      <c r="E254" s="207"/>
      <c r="F254" s="207"/>
      <c r="G254" s="207"/>
      <c r="H254" s="207"/>
      <c r="I254" s="207"/>
      <c r="J254" s="207"/>
      <c r="K254" s="207"/>
      <c r="L254" s="207"/>
      <c r="M254" s="207"/>
      <c r="N254" s="207"/>
      <c r="O254" s="206"/>
    </row>
    <row r="255" spans="1:15" ht="30">
      <c r="A255" s="167" t="str">
        <f ca="1">IFERROR(__xludf.DUMMYFUNCTION("""COMPUTED_VALUE"""),"82DK0511010017000522707")</f>
        <v>82DK0511010017000522707</v>
      </c>
      <c r="B255" s="167" t="str">
        <f ca="1">IFERROR(__xludf.DUMMYFUNCTION("""COMPUTED_VALUE"""),"BUENO")</f>
        <v>BUENO</v>
      </c>
      <c r="C255" s="206"/>
      <c r="D255" s="206"/>
      <c r="E255" s="207"/>
      <c r="F255" s="207"/>
      <c r="G255" s="207"/>
      <c r="H255" s="207"/>
      <c r="I255" s="207"/>
      <c r="J255" s="207"/>
      <c r="K255" s="207"/>
      <c r="L255" s="207"/>
      <c r="M255" s="207"/>
      <c r="N255" s="207"/>
      <c r="O255" s="206"/>
    </row>
    <row r="256" spans="1:15" ht="30">
      <c r="A256" s="167" t="str">
        <f ca="1">IFERROR(__xludf.DUMMYFUNCTION("""COMPUTED_VALUE"""),"82DK0511010017000649571")</f>
        <v>82DK0511010017000649571</v>
      </c>
      <c r="B256" s="167" t="str">
        <f ca="1">IFERROR(__xludf.DUMMYFUNCTION("""COMPUTED_VALUE"""),"BUENO")</f>
        <v>BUENO</v>
      </c>
      <c r="C256" s="206"/>
      <c r="D256" s="206"/>
      <c r="E256" s="207"/>
      <c r="F256" s="207"/>
      <c r="G256" s="207"/>
      <c r="H256" s="207"/>
      <c r="I256" s="207"/>
      <c r="J256" s="207"/>
      <c r="K256" s="207"/>
      <c r="L256" s="207"/>
      <c r="M256" s="207"/>
      <c r="N256" s="207"/>
      <c r="O256" s="206"/>
    </row>
    <row r="257" spans="1:15" ht="30">
      <c r="A257" s="167" t="str">
        <f ca="1">IFERROR(__xludf.DUMMYFUNCTION("""COMPUTED_VALUE"""),"82DK0511010017000516342")</f>
        <v>82DK0511010017000516342</v>
      </c>
      <c r="B257" s="167" t="str">
        <f ca="1">IFERROR(__xludf.DUMMYFUNCTION("""COMPUTED_VALUE"""),"BUENO")</f>
        <v>BUENO</v>
      </c>
      <c r="C257" s="206"/>
      <c r="D257" s="206"/>
      <c r="E257" s="207"/>
      <c r="F257" s="207"/>
      <c r="G257" s="207"/>
      <c r="H257" s="207"/>
      <c r="I257" s="207"/>
      <c r="J257" s="207"/>
      <c r="K257" s="207"/>
      <c r="L257" s="207"/>
      <c r="M257" s="207"/>
      <c r="N257" s="207"/>
      <c r="O257" s="206"/>
    </row>
    <row r="258" spans="1:15" ht="30">
      <c r="A258" s="167" t="str">
        <f ca="1">IFERROR(__xludf.DUMMYFUNCTION("""COMPUTED_VALUE"""),"82DK0529030003000517070")</f>
        <v>82DK0529030003000517070</v>
      </c>
      <c r="B258" s="167" t="str">
        <f ca="1">IFERROR(__xludf.DUMMYFUNCTION("""COMPUTED_VALUE"""),"BUENO")</f>
        <v>BUENO</v>
      </c>
      <c r="C258" s="206"/>
      <c r="D258" s="206"/>
      <c r="E258" s="207"/>
      <c r="F258" s="207"/>
      <c r="G258" s="207"/>
      <c r="H258" s="207"/>
      <c r="I258" s="207"/>
      <c r="J258" s="207"/>
      <c r="K258" s="207"/>
      <c r="L258" s="207"/>
      <c r="M258" s="207"/>
      <c r="N258" s="207"/>
      <c r="O258" s="206"/>
    </row>
    <row r="259" spans="1:15" ht="30">
      <c r="A259" s="167" t="str">
        <f ca="1">IFERROR(__xludf.DUMMYFUNCTION("""COMPUTED_VALUE"""),"82DK0519010043000649631")</f>
        <v>82DK0519010043000649631</v>
      </c>
      <c r="B259" s="167" t="str">
        <f ca="1">IFERROR(__xludf.DUMMYFUNCTION("""COMPUTED_VALUE"""),"BUENO")</f>
        <v>BUENO</v>
      </c>
      <c r="C259" s="206"/>
      <c r="D259" s="206"/>
      <c r="E259" s="207"/>
      <c r="F259" s="207"/>
      <c r="G259" s="207"/>
      <c r="H259" s="207"/>
      <c r="I259" s="207"/>
      <c r="J259" s="207"/>
      <c r="K259" s="207"/>
      <c r="L259" s="207"/>
      <c r="M259" s="207"/>
      <c r="N259" s="207"/>
      <c r="O259" s="206"/>
    </row>
    <row r="260" spans="1:15" ht="30">
      <c r="A260" s="167" t="str">
        <f ca="1">IFERROR(__xludf.DUMMYFUNCTION("""COMPUTED_VALUE"""),"82DK0531010065000564824")</f>
        <v>82DK0531010065000564824</v>
      </c>
      <c r="B260" s="167" t="str">
        <f ca="1">IFERROR(__xludf.DUMMYFUNCTION("""COMPUTED_VALUE"""),"BUENO")</f>
        <v>BUENO</v>
      </c>
      <c r="C260" s="206"/>
      <c r="D260" s="206"/>
      <c r="E260" s="207"/>
      <c r="F260" s="207"/>
      <c r="G260" s="207"/>
      <c r="H260" s="207"/>
      <c r="I260" s="207"/>
      <c r="J260" s="207"/>
      <c r="K260" s="207"/>
      <c r="L260" s="207"/>
      <c r="M260" s="207"/>
      <c r="N260" s="207"/>
      <c r="O260" s="206"/>
    </row>
    <row r="261" spans="1:15" ht="30">
      <c r="A261" s="167" t="str">
        <f ca="1">IFERROR(__xludf.DUMMYFUNCTION("""COMPUTED_VALUE"""),"82DK0511010017000539075")</f>
        <v>82DK0511010017000539075</v>
      </c>
      <c r="B261" s="167" t="str">
        <f ca="1">IFERROR(__xludf.DUMMYFUNCTION("""COMPUTED_VALUE"""),"BUENO")</f>
        <v>BUENO</v>
      </c>
      <c r="C261" s="206"/>
      <c r="D261" s="206"/>
      <c r="E261" s="207"/>
      <c r="F261" s="207"/>
      <c r="G261" s="207"/>
      <c r="H261" s="207"/>
      <c r="I261" s="207"/>
      <c r="J261" s="207"/>
      <c r="K261" s="207"/>
      <c r="L261" s="207"/>
      <c r="M261" s="207"/>
      <c r="N261" s="207"/>
      <c r="O261" s="206"/>
    </row>
    <row r="262" spans="1:15" ht="30">
      <c r="A262" s="167" t="str">
        <f ca="1">IFERROR(__xludf.DUMMYFUNCTION("""COMPUTED_VALUE"""),"82DK0511010017000539078")</f>
        <v>82DK0511010017000539078</v>
      </c>
      <c r="B262" s="167" t="str">
        <f ca="1">IFERROR(__xludf.DUMMYFUNCTION("""COMPUTED_VALUE"""),"BUENO")</f>
        <v>BUENO</v>
      </c>
      <c r="C262" s="206"/>
      <c r="D262" s="206"/>
      <c r="E262" s="207"/>
      <c r="F262" s="207"/>
      <c r="G262" s="207"/>
      <c r="H262" s="207"/>
      <c r="I262" s="207"/>
      <c r="J262" s="207"/>
      <c r="K262" s="207"/>
      <c r="L262" s="207"/>
      <c r="M262" s="207"/>
      <c r="N262" s="207"/>
      <c r="O262" s="206"/>
    </row>
    <row r="263" spans="1:15" ht="30">
      <c r="A263" s="167" t="str">
        <f ca="1">IFERROR(__xludf.DUMMYFUNCTION("""COMPUTED_VALUE"""),"SIN RESGUARDO")</f>
        <v>SIN RESGUARDO</v>
      </c>
      <c r="B263" s="167" t="str">
        <f ca="1">IFERROR(__xludf.DUMMYFUNCTION("""COMPUTED_VALUE"""),"BUENO")</f>
        <v>BUENO</v>
      </c>
      <c r="C263" s="206"/>
      <c r="D263" s="206"/>
      <c r="E263" s="207"/>
      <c r="F263" s="207"/>
      <c r="G263" s="207"/>
      <c r="H263" s="207"/>
      <c r="I263" s="207"/>
      <c r="J263" s="207"/>
      <c r="K263" s="207"/>
      <c r="L263" s="207"/>
      <c r="M263" s="207"/>
      <c r="N263" s="207"/>
      <c r="O263" s="206"/>
    </row>
    <row r="264" spans="1:15" ht="30">
      <c r="A264" s="167" t="str">
        <f ca="1">IFERROR(__xludf.DUMMYFUNCTION("""COMPUTED_VALUE"""),"82DK0515010016000649569")</f>
        <v>82DK0515010016000649569</v>
      </c>
      <c r="B264" s="167" t="str">
        <f ca="1">IFERROR(__xludf.DUMMYFUNCTION("""COMPUTED_VALUE"""),"BUENO")</f>
        <v>BUENO</v>
      </c>
      <c r="C264" s="206"/>
      <c r="D264" s="206"/>
      <c r="E264" s="207"/>
      <c r="F264" s="207"/>
      <c r="G264" s="207"/>
      <c r="H264" s="207"/>
      <c r="I264" s="207"/>
      <c r="J264" s="207"/>
      <c r="K264" s="207"/>
      <c r="L264" s="207"/>
      <c r="M264" s="207"/>
      <c r="N264" s="207"/>
      <c r="O264" s="206"/>
    </row>
    <row r="265" spans="1:15" ht="30">
      <c r="A265" s="167" t="str">
        <f ca="1">IFERROR(__xludf.DUMMYFUNCTION("""COMPUTED_VALUE"""),"82DK0511010006000583463")</f>
        <v>82DK0511010006000583463</v>
      </c>
      <c r="B265" s="167" t="str">
        <f ca="1">IFERROR(__xludf.DUMMYFUNCTION("""COMPUTED_VALUE"""),"BUENO")</f>
        <v>BUENO</v>
      </c>
      <c r="C265" s="206"/>
      <c r="D265" s="206"/>
      <c r="E265" s="207"/>
      <c r="F265" s="207"/>
      <c r="G265" s="207"/>
      <c r="H265" s="207"/>
      <c r="I265" s="207"/>
      <c r="J265" s="207"/>
      <c r="K265" s="207"/>
      <c r="L265" s="207"/>
      <c r="M265" s="207"/>
      <c r="N265" s="207"/>
      <c r="O265" s="206"/>
    </row>
    <row r="266" spans="1:15" ht="30">
      <c r="A266" s="167" t="str">
        <f ca="1">IFERROR(__xludf.DUMMYFUNCTION("""COMPUTED_VALUE"""),"82DK0531010065000564817")</f>
        <v>82DK0531010065000564817</v>
      </c>
      <c r="B266" s="167" t="str">
        <f ca="1">IFERROR(__xludf.DUMMYFUNCTION("""COMPUTED_VALUE"""),"BUENO")</f>
        <v>BUENO</v>
      </c>
      <c r="C266" s="206"/>
      <c r="D266" s="206"/>
      <c r="E266" s="207"/>
      <c r="F266" s="207"/>
      <c r="G266" s="207"/>
      <c r="H266" s="207"/>
      <c r="I266" s="207"/>
      <c r="J266" s="207"/>
      <c r="K266" s="207"/>
      <c r="L266" s="207"/>
      <c r="M266" s="207"/>
      <c r="N266" s="207"/>
      <c r="O266" s="206"/>
    </row>
    <row r="267" spans="1:15" ht="30">
      <c r="A267" s="167" t="str">
        <f ca="1">IFERROR(__xludf.DUMMYFUNCTION("""COMPUTED_VALUE"""),"82DK0515010003000649382")</f>
        <v>82DK0515010003000649382</v>
      </c>
      <c r="B267" s="167" t="str">
        <f ca="1">IFERROR(__xludf.DUMMYFUNCTION("""COMPUTED_VALUE"""),"BUENO")</f>
        <v>BUENO</v>
      </c>
      <c r="C267" s="206"/>
      <c r="D267" s="206"/>
      <c r="E267" s="207"/>
      <c r="F267" s="207"/>
      <c r="G267" s="207"/>
      <c r="H267" s="207"/>
      <c r="I267" s="207"/>
      <c r="J267" s="207"/>
      <c r="K267" s="207"/>
      <c r="L267" s="207"/>
      <c r="M267" s="207"/>
      <c r="N267" s="207"/>
      <c r="O267" s="206"/>
    </row>
    <row r="268" spans="1:15" ht="30">
      <c r="A268" s="167" t="str">
        <f ca="1">IFERROR(__xludf.DUMMYFUNCTION("""COMPUTED_VALUE"""),"82DK0515010016000539067")</f>
        <v>82DK0515010016000539067</v>
      </c>
      <c r="B268" s="167" t="str">
        <f ca="1">IFERROR(__xludf.DUMMYFUNCTION("""COMPUTED_VALUE"""),"BUENO")</f>
        <v>BUENO</v>
      </c>
      <c r="C268" s="206"/>
      <c r="D268" s="206"/>
      <c r="E268" s="207"/>
      <c r="F268" s="207"/>
      <c r="G268" s="207"/>
      <c r="H268" s="207"/>
      <c r="I268" s="207"/>
      <c r="J268" s="207"/>
      <c r="K268" s="207"/>
      <c r="L268" s="207"/>
      <c r="M268" s="207"/>
      <c r="N268" s="207"/>
      <c r="O268" s="206"/>
    </row>
    <row r="269" spans="1:15" ht="30">
      <c r="A269" s="167" t="str">
        <f ca="1">IFERROR(__xludf.DUMMYFUNCTION("""COMPUTED_VALUE"""),"82DJ0511010006000583458")</f>
        <v>82DJ0511010006000583458</v>
      </c>
      <c r="B269" s="167" t="str">
        <f ca="1">IFERROR(__xludf.DUMMYFUNCTION("""COMPUTED_VALUE"""),"BUENO")</f>
        <v>BUENO</v>
      </c>
      <c r="C269" s="206"/>
      <c r="D269" s="206"/>
      <c r="E269" s="207"/>
      <c r="F269" s="207"/>
      <c r="G269" s="207"/>
      <c r="H269" s="207"/>
      <c r="I269" s="207"/>
      <c r="J269" s="207"/>
      <c r="K269" s="207"/>
      <c r="L269" s="207"/>
      <c r="M269" s="207"/>
      <c r="N269" s="207"/>
      <c r="O269" s="206"/>
    </row>
    <row r="270" spans="1:15" ht="30">
      <c r="A270" s="167" t="str">
        <f ca="1">IFERROR(__xludf.DUMMYFUNCTION("""COMPUTED_VALUE"""),"82DJ0531010065000564820")</f>
        <v>82DJ0531010065000564820</v>
      </c>
      <c r="B270" s="167" t="str">
        <f ca="1">IFERROR(__xludf.DUMMYFUNCTION("""COMPUTED_VALUE"""),"BUENO")</f>
        <v>BUENO</v>
      </c>
      <c r="C270" s="206"/>
      <c r="D270" s="206"/>
      <c r="E270" s="207"/>
      <c r="F270" s="207"/>
      <c r="G270" s="207"/>
      <c r="H270" s="207"/>
      <c r="I270" s="207"/>
      <c r="J270" s="207"/>
      <c r="K270" s="207"/>
      <c r="L270" s="207"/>
      <c r="M270" s="207"/>
      <c r="N270" s="207"/>
      <c r="O270" s="206"/>
    </row>
    <row r="271" spans="1:15" ht="30">
      <c r="A271" s="167" t="str">
        <f ca="1">IFERROR(__xludf.DUMMYFUNCTION("""COMPUTED_VALUE"""),"82DJ0515010033000564675")</f>
        <v>82DJ0515010033000564675</v>
      </c>
      <c r="B271" s="167" t="str">
        <f ca="1">IFERROR(__xludf.DUMMYFUNCTION("""COMPUTED_VALUE"""),"BUENO")</f>
        <v>BUENO</v>
      </c>
      <c r="C271" s="206"/>
      <c r="D271" s="206"/>
      <c r="E271" s="207"/>
      <c r="F271" s="207"/>
      <c r="G271" s="207"/>
      <c r="H271" s="207"/>
      <c r="I271" s="207"/>
      <c r="J271" s="207"/>
      <c r="K271" s="207"/>
      <c r="L271" s="207"/>
      <c r="M271" s="207"/>
      <c r="N271" s="207"/>
      <c r="O271" s="206"/>
    </row>
    <row r="272" spans="1:15" ht="30">
      <c r="A272" s="167" t="str">
        <f ca="1">IFERROR(__xludf.DUMMYFUNCTION("""COMPUTED_VALUE"""),"SIN RESGUARDO")</f>
        <v>SIN RESGUARDO</v>
      </c>
      <c r="B272" s="167" t="str">
        <f ca="1">IFERROR(__xludf.DUMMYFUNCTION("""COMPUTED_VALUE"""),"BUENO")</f>
        <v>BUENO</v>
      </c>
      <c r="C272" s="206"/>
      <c r="D272" s="206"/>
      <c r="E272" s="207"/>
      <c r="F272" s="207"/>
      <c r="G272" s="207"/>
      <c r="H272" s="207"/>
      <c r="I272" s="207"/>
      <c r="J272" s="207"/>
      <c r="K272" s="207"/>
      <c r="L272" s="207"/>
      <c r="M272" s="207"/>
      <c r="N272" s="207"/>
      <c r="O272" s="206"/>
    </row>
    <row r="273" spans="1:15" ht="30">
      <c r="A273" s="167" t="str">
        <f ca="1">IFERROR(__xludf.DUMMYFUNCTION("""COMPUTED_VALUE"""),"SIN RESGUARDO")</f>
        <v>SIN RESGUARDO</v>
      </c>
      <c r="B273" s="167" t="str">
        <f ca="1">IFERROR(__xludf.DUMMYFUNCTION("""COMPUTED_VALUE"""),"BUENO")</f>
        <v>BUENO</v>
      </c>
      <c r="C273" s="206"/>
      <c r="D273" s="206"/>
      <c r="E273" s="207"/>
      <c r="F273" s="207"/>
      <c r="G273" s="207"/>
      <c r="H273" s="207"/>
      <c r="I273" s="207"/>
      <c r="J273" s="207"/>
      <c r="K273" s="207"/>
      <c r="L273" s="207"/>
      <c r="M273" s="207"/>
      <c r="N273" s="207"/>
      <c r="O273" s="206"/>
    </row>
    <row r="274" spans="1:15" ht="30">
      <c r="A274" s="167" t="str">
        <f ca="1">IFERROR(__xludf.DUMMYFUNCTION("""COMPUTED_VALUE"""),"82DJ0515010016000649434")</f>
        <v>82DJ0515010016000649434</v>
      </c>
      <c r="B274" s="167" t="str">
        <f ca="1">IFERROR(__xludf.DUMMYFUNCTION("""COMPUTED_VALUE"""),"BUENO")</f>
        <v>BUENO</v>
      </c>
      <c r="C274" s="206"/>
      <c r="D274" s="206"/>
      <c r="E274" s="207"/>
      <c r="F274" s="207"/>
      <c r="G274" s="207"/>
      <c r="H274" s="207"/>
      <c r="I274" s="207"/>
      <c r="J274" s="207"/>
      <c r="K274" s="207"/>
      <c r="L274" s="207"/>
      <c r="M274" s="207"/>
      <c r="N274" s="207"/>
      <c r="O274" s="206"/>
    </row>
    <row r="275" spans="1:15" ht="30">
      <c r="A275" s="167" t="str">
        <f ca="1">IFERROR(__xludf.DUMMYFUNCTION("""COMPUTED_VALUE"""),"SIN RESGUARDO")</f>
        <v>SIN RESGUARDO</v>
      </c>
      <c r="B275" s="167" t="str">
        <f ca="1">IFERROR(__xludf.DUMMYFUNCTION("""COMPUTED_VALUE"""),"BUENO")</f>
        <v>BUENO</v>
      </c>
      <c r="C275" s="206"/>
      <c r="D275" s="206"/>
      <c r="E275" s="207"/>
      <c r="F275" s="207"/>
      <c r="G275" s="207"/>
      <c r="H275" s="207"/>
      <c r="I275" s="207"/>
      <c r="J275" s="207"/>
      <c r="K275" s="207"/>
      <c r="L275" s="207"/>
      <c r="M275" s="207"/>
      <c r="N275" s="207"/>
      <c r="O275" s="206"/>
    </row>
    <row r="276" spans="1:15" ht="30">
      <c r="A276" s="167" t="str">
        <f ca="1">IFERROR(__xludf.DUMMYFUNCTION("""COMPUTED_VALUE"""),"82DK0511010017000539074")</f>
        <v>82DK0511010017000539074</v>
      </c>
      <c r="B276" s="167" t="str">
        <f ca="1">IFERROR(__xludf.DUMMYFUNCTION("""COMPUTED_VALUE"""),"BUENO")</f>
        <v>BUENO</v>
      </c>
      <c r="C276" s="206"/>
      <c r="D276" s="206"/>
      <c r="E276" s="207"/>
      <c r="F276" s="207"/>
      <c r="G276" s="207"/>
      <c r="H276" s="207"/>
      <c r="I276" s="207"/>
      <c r="J276" s="207"/>
      <c r="K276" s="207"/>
      <c r="L276" s="207"/>
      <c r="M276" s="207"/>
      <c r="N276" s="207"/>
      <c r="O276" s="206"/>
    </row>
    <row r="277" spans="1:15" ht="30">
      <c r="A277" s="167" t="str">
        <f ca="1">IFERROR(__xludf.DUMMYFUNCTION("""COMPUTED_VALUE"""),"82DJ0511010017000522723")</f>
        <v>82DJ0511010017000522723</v>
      </c>
      <c r="B277" s="167" t="str">
        <f ca="1">IFERROR(__xludf.DUMMYFUNCTION("""COMPUTED_VALUE"""),"BUENO")</f>
        <v>BUENO</v>
      </c>
      <c r="C277" s="206"/>
      <c r="D277" s="206"/>
      <c r="E277" s="207"/>
      <c r="F277" s="207"/>
      <c r="G277" s="207"/>
      <c r="H277" s="207"/>
      <c r="I277" s="207"/>
      <c r="J277" s="207"/>
      <c r="K277" s="207"/>
      <c r="L277" s="207"/>
      <c r="M277" s="207"/>
      <c r="N277" s="207"/>
      <c r="O277" s="206"/>
    </row>
    <row r="278" spans="1:15" ht="30">
      <c r="A278" s="167" t="str">
        <f ca="1">IFERROR(__xludf.DUMMYFUNCTION("""COMPUTED_VALUE"""),"82DJ0511010017000516280")</f>
        <v>82DJ0511010017000516280</v>
      </c>
      <c r="B278" s="167" t="str">
        <f ca="1">IFERROR(__xludf.DUMMYFUNCTION("""COMPUTED_VALUE"""),"BUENO")</f>
        <v>BUENO</v>
      </c>
      <c r="C278" s="206"/>
      <c r="D278" s="206"/>
      <c r="E278" s="207"/>
      <c r="F278" s="207"/>
      <c r="G278" s="207"/>
      <c r="H278" s="207"/>
      <c r="I278" s="207"/>
      <c r="J278" s="207"/>
      <c r="K278" s="207"/>
      <c r="L278" s="207"/>
      <c r="M278" s="207"/>
      <c r="N278" s="207"/>
      <c r="O278" s="206"/>
    </row>
    <row r="279" spans="1:15" ht="30">
      <c r="A279" s="167" t="str">
        <f ca="1">IFERROR(__xludf.DUMMYFUNCTION("""COMPUTED_VALUE"""),"82DK0511010017000516227")</f>
        <v>82DK0511010017000516227</v>
      </c>
      <c r="B279" s="167" t="str">
        <f ca="1">IFERROR(__xludf.DUMMYFUNCTION("""COMPUTED_VALUE"""),"BUENO")</f>
        <v>BUENO</v>
      </c>
      <c r="C279" s="206"/>
      <c r="D279" s="206"/>
      <c r="E279" s="207"/>
      <c r="F279" s="207"/>
      <c r="G279" s="207"/>
      <c r="H279" s="207"/>
      <c r="I279" s="207"/>
      <c r="J279" s="207"/>
      <c r="K279" s="207"/>
      <c r="L279" s="207"/>
      <c r="M279" s="207"/>
      <c r="N279" s="207"/>
      <c r="O279" s="206"/>
    </row>
    <row r="280" spans="1:15" ht="30">
      <c r="A280" s="167" t="str">
        <f ca="1">IFERROR(__xludf.DUMMYFUNCTION("""COMPUTED_VALUE"""),"82DK0511010017000649574")</f>
        <v>82DK0511010017000649574</v>
      </c>
      <c r="B280" s="167" t="str">
        <f ca="1">IFERROR(__xludf.DUMMYFUNCTION("""COMPUTED_VALUE"""),"BUENO")</f>
        <v>BUENO</v>
      </c>
      <c r="C280" s="206"/>
      <c r="D280" s="206"/>
      <c r="E280" s="207"/>
      <c r="F280" s="207"/>
      <c r="G280" s="207"/>
      <c r="H280" s="207"/>
      <c r="I280" s="207"/>
      <c r="J280" s="207"/>
      <c r="K280" s="207"/>
      <c r="L280" s="207"/>
      <c r="M280" s="207"/>
      <c r="N280" s="207"/>
      <c r="O280" s="206"/>
    </row>
    <row r="281" spans="1:15" ht="30">
      <c r="A281" s="167" t="str">
        <f ca="1">IFERROR(__xludf.DUMMYFUNCTION("""COMPUTED_VALUE"""),"82DK0531010065000564819")</f>
        <v>82DK0531010065000564819</v>
      </c>
      <c r="B281" s="167" t="str">
        <f ca="1">IFERROR(__xludf.DUMMYFUNCTION("""COMPUTED_VALUE"""),"BUENO")</f>
        <v>BUENO</v>
      </c>
      <c r="C281" s="206"/>
      <c r="D281" s="206"/>
      <c r="E281" s="207"/>
      <c r="F281" s="207"/>
      <c r="G281" s="207"/>
      <c r="H281" s="207"/>
      <c r="I281" s="207"/>
      <c r="J281" s="207"/>
      <c r="K281" s="207"/>
      <c r="L281" s="207"/>
      <c r="M281" s="207"/>
      <c r="N281" s="207"/>
      <c r="O281" s="206"/>
    </row>
    <row r="282" spans="1:15" ht="30">
      <c r="A282" s="167" t="str">
        <f ca="1">IFERROR(__xludf.DUMMYFUNCTION("""COMPUTED_VALUE"""),"82DK0511010006000583456")</f>
        <v>82DK0511010006000583456</v>
      </c>
      <c r="B282" s="167" t="str">
        <f ca="1">IFERROR(__xludf.DUMMYFUNCTION("""COMPUTED_VALUE"""),"BUENO")</f>
        <v>BUENO</v>
      </c>
      <c r="C282" s="206"/>
      <c r="D282" s="206"/>
      <c r="E282" s="207"/>
      <c r="F282" s="207"/>
      <c r="G282" s="207"/>
      <c r="H282" s="207"/>
      <c r="I282" s="207"/>
      <c r="J282" s="207"/>
      <c r="K282" s="207"/>
      <c r="L282" s="207"/>
      <c r="M282" s="207"/>
      <c r="N282" s="207"/>
      <c r="O282" s="206"/>
    </row>
    <row r="283" spans="1:15" ht="30">
      <c r="A283" s="167" t="str">
        <f ca="1">IFERROR(__xludf.DUMMYFUNCTION("""COMPUTED_VALUE"""),"82DJ0511010010000649636")</f>
        <v>82DJ0511010010000649636</v>
      </c>
      <c r="B283" s="167" t="str">
        <f ca="1">IFERROR(__xludf.DUMMYFUNCTION("""COMPUTED_VALUE"""),"BUENO")</f>
        <v>BUENO</v>
      </c>
      <c r="C283" s="206"/>
      <c r="D283" s="206"/>
      <c r="E283" s="207"/>
      <c r="F283" s="207"/>
      <c r="G283" s="207"/>
      <c r="H283" s="207"/>
      <c r="I283" s="207"/>
      <c r="J283" s="207"/>
      <c r="K283" s="207"/>
      <c r="L283" s="207"/>
      <c r="M283" s="207"/>
      <c r="N283" s="207"/>
      <c r="O283" s="206"/>
    </row>
    <row r="284" spans="1:15" ht="30">
      <c r="A284" s="167" t="str">
        <f ca="1">IFERROR(__xludf.DUMMYFUNCTION("""COMPUTED_VALUE"""),"82DK0519010043000649573")</f>
        <v>82DK0519010043000649573</v>
      </c>
      <c r="B284" s="167" t="str">
        <f ca="1">IFERROR(__xludf.DUMMYFUNCTION("""COMPUTED_VALUE"""),"BUENO")</f>
        <v>BUENO</v>
      </c>
      <c r="C284" s="206"/>
      <c r="D284" s="206"/>
      <c r="E284" s="207"/>
      <c r="F284" s="207"/>
      <c r="G284" s="207"/>
      <c r="H284" s="207"/>
      <c r="I284" s="207"/>
      <c r="J284" s="207"/>
      <c r="K284" s="207"/>
      <c r="L284" s="207"/>
      <c r="M284" s="207"/>
      <c r="N284" s="207"/>
      <c r="O284" s="206"/>
    </row>
    <row r="285" spans="1:15" ht="30">
      <c r="A285" s="167" t="str">
        <f ca="1">IFERROR(__xludf.DUMMYFUNCTION("""COMPUTED_VALUE"""),"82DK0515010020000650902")</f>
        <v>82DK0515010020000650902</v>
      </c>
      <c r="B285" s="167" t="str">
        <f ca="1">IFERROR(__xludf.DUMMYFUNCTION("""COMPUTED_VALUE"""),"BUENO")</f>
        <v>BUENO</v>
      </c>
      <c r="C285" s="206"/>
      <c r="D285" s="206"/>
      <c r="E285" s="207"/>
      <c r="F285" s="207"/>
      <c r="G285" s="207"/>
      <c r="H285" s="207"/>
      <c r="I285" s="207"/>
      <c r="J285" s="207"/>
      <c r="K285" s="207"/>
      <c r="L285" s="207"/>
      <c r="M285" s="207"/>
      <c r="N285" s="207"/>
      <c r="O285" s="206"/>
    </row>
    <row r="286" spans="1:15" ht="30">
      <c r="A286" s="167" t="str">
        <f ca="1">IFERROR(__xludf.DUMMYFUNCTION("""COMPUTED_VALUE"""),"82DK0515010001000650664")</f>
        <v>82DK0515010001000650664</v>
      </c>
      <c r="B286" s="167" t="str">
        <f ca="1">IFERROR(__xludf.DUMMYFUNCTION("""COMPUTED_VALUE"""),"BUENO")</f>
        <v>BUENO</v>
      </c>
      <c r="C286" s="206"/>
      <c r="D286" s="206"/>
      <c r="E286" s="207"/>
      <c r="F286" s="207"/>
      <c r="G286" s="207"/>
      <c r="H286" s="207"/>
      <c r="I286" s="207"/>
      <c r="J286" s="207"/>
      <c r="K286" s="207"/>
      <c r="L286" s="207"/>
      <c r="M286" s="207"/>
      <c r="N286" s="207"/>
      <c r="O286" s="206"/>
    </row>
    <row r="287" spans="1:15" ht="30">
      <c r="A287" s="167" t="str">
        <f ca="1">IFERROR(__xludf.DUMMYFUNCTION("""COMPUTED_VALUE"""),"82DK0515010013000649572")</f>
        <v>82DK0515010013000649572</v>
      </c>
      <c r="B287" s="167" t="str">
        <f ca="1">IFERROR(__xludf.DUMMYFUNCTION("""COMPUTED_VALUE"""),"BUENO")</f>
        <v>BUENO</v>
      </c>
      <c r="C287" s="206"/>
      <c r="D287" s="206"/>
      <c r="E287" s="207"/>
      <c r="F287" s="207"/>
      <c r="G287" s="207"/>
      <c r="H287" s="207"/>
      <c r="I287" s="207"/>
      <c r="J287" s="207"/>
      <c r="K287" s="207"/>
      <c r="L287" s="207"/>
      <c r="M287" s="207"/>
      <c r="N287" s="207"/>
      <c r="O287" s="206"/>
    </row>
    <row r="288" spans="1:15" ht="30">
      <c r="A288" s="167" t="str">
        <f ca="1">IFERROR(__xludf.DUMMYFUNCTION("""COMPUTED_VALUE"""),"82DK0511010017000564597")</f>
        <v>82DK0511010017000564597</v>
      </c>
      <c r="B288" s="167" t="str">
        <f ca="1">IFERROR(__xludf.DUMMYFUNCTION("""COMPUTED_VALUE"""),"BUENO")</f>
        <v>BUENO</v>
      </c>
      <c r="C288" s="206"/>
      <c r="D288" s="206"/>
      <c r="E288" s="207"/>
      <c r="F288" s="207"/>
      <c r="G288" s="207"/>
      <c r="H288" s="207"/>
      <c r="I288" s="207"/>
      <c r="J288" s="207"/>
      <c r="K288" s="207"/>
      <c r="L288" s="207"/>
      <c r="M288" s="207"/>
      <c r="N288" s="207"/>
      <c r="O288" s="206"/>
    </row>
    <row r="289" spans="1:15" ht="30">
      <c r="A289" s="167" t="str">
        <f ca="1">IFERROR(__xludf.DUMMYFUNCTION("""COMPUTED_VALUE"""),"SIN RESGUARDO")</f>
        <v>SIN RESGUARDO</v>
      </c>
      <c r="B289" s="167" t="str">
        <f ca="1">IFERROR(__xludf.DUMMYFUNCTION("""COMPUTED_VALUE"""),"BUENO")</f>
        <v>BUENO</v>
      </c>
      <c r="C289" s="206"/>
      <c r="D289" s="206"/>
      <c r="E289" s="207"/>
      <c r="F289" s="207"/>
      <c r="G289" s="207"/>
      <c r="H289" s="207"/>
      <c r="I289" s="207"/>
      <c r="J289" s="207"/>
      <c r="K289" s="207"/>
      <c r="L289" s="207"/>
      <c r="M289" s="207"/>
      <c r="N289" s="207"/>
      <c r="O289" s="206"/>
    </row>
    <row r="290" spans="1:15" ht="30">
      <c r="A290" s="167" t="str">
        <f ca="1">IFERROR(__xludf.DUMMYFUNCTION("""COMPUTED_VALUE"""),"SIN RESGUARDO")</f>
        <v>SIN RESGUARDO</v>
      </c>
      <c r="B290" s="167" t="str">
        <f ca="1">IFERROR(__xludf.DUMMYFUNCTION("""COMPUTED_VALUE"""),"BUENO")</f>
        <v>BUENO</v>
      </c>
      <c r="C290" s="206"/>
      <c r="D290" s="206"/>
      <c r="E290" s="207"/>
      <c r="F290" s="207"/>
      <c r="G290" s="207"/>
      <c r="H290" s="207"/>
      <c r="I290" s="207"/>
      <c r="J290" s="207"/>
      <c r="K290" s="207"/>
      <c r="L290" s="207"/>
      <c r="M290" s="207"/>
      <c r="N290" s="207"/>
      <c r="O290" s="206"/>
    </row>
    <row r="291" spans="1:15" ht="30">
      <c r="A291" s="167" t="str">
        <f ca="1">IFERROR(__xludf.DUMMYFUNCTION("""COMPUTED_VALUE"""),"82DJ0531010065000564818")</f>
        <v>82DJ0531010065000564818</v>
      </c>
      <c r="B291" s="167" t="str">
        <f ca="1">IFERROR(__xludf.DUMMYFUNCTION("""COMPUTED_VALUE"""),"BUENO")</f>
        <v>BUENO</v>
      </c>
      <c r="C291" s="206"/>
      <c r="D291" s="206"/>
      <c r="E291" s="207"/>
      <c r="F291" s="207"/>
      <c r="G291" s="207"/>
      <c r="H291" s="207"/>
      <c r="I291" s="207"/>
      <c r="J291" s="207"/>
      <c r="K291" s="207"/>
      <c r="L291" s="207"/>
      <c r="M291" s="207"/>
      <c r="N291" s="207"/>
      <c r="O291" s="206"/>
    </row>
    <row r="292" spans="1:15" ht="30">
      <c r="A292" s="167" t="str">
        <f ca="1">IFERROR(__xludf.DUMMYFUNCTION("""COMPUTED_VALUE"""),"82DJ0511010006000583459")</f>
        <v>82DJ0511010006000583459</v>
      </c>
      <c r="B292" s="167" t="str">
        <f ca="1">IFERROR(__xludf.DUMMYFUNCTION("""COMPUTED_VALUE"""),"BUENO")</f>
        <v>BUENO</v>
      </c>
      <c r="C292" s="206"/>
      <c r="D292" s="206"/>
      <c r="E292" s="207"/>
      <c r="F292" s="207"/>
      <c r="G292" s="207"/>
      <c r="H292" s="207"/>
      <c r="I292" s="207"/>
      <c r="J292" s="207"/>
      <c r="K292" s="207"/>
      <c r="L292" s="207"/>
      <c r="M292" s="207"/>
      <c r="N292" s="207"/>
      <c r="O292" s="206"/>
    </row>
    <row r="293" spans="1:15" ht="30">
      <c r="A293" s="167" t="str">
        <f ca="1">IFERROR(__xludf.DUMMYFUNCTION("""COMPUTED_VALUE"""),"82DJ0531010094000564895")</f>
        <v>82DJ0531010094000564895</v>
      </c>
      <c r="B293" s="167" t="str">
        <f ca="1">IFERROR(__xludf.DUMMYFUNCTION("""COMPUTED_VALUE"""),"MALO")</f>
        <v>MALO</v>
      </c>
      <c r="C293" s="206"/>
      <c r="D293" s="206"/>
      <c r="E293" s="207"/>
      <c r="F293" s="207"/>
      <c r="G293" s="207"/>
      <c r="H293" s="207"/>
      <c r="I293" s="207"/>
      <c r="J293" s="207"/>
      <c r="K293" s="207"/>
      <c r="L293" s="207"/>
      <c r="M293" s="207"/>
      <c r="N293" s="207"/>
      <c r="O293" s="206"/>
    </row>
    <row r="294" spans="1:15" ht="30">
      <c r="A294" s="167" t="str">
        <f ca="1">IFERROR(__xludf.DUMMYFUNCTION("""COMPUTED_VALUE"""),"82DJ0565010001000533243")</f>
        <v>82DJ0565010001000533243</v>
      </c>
      <c r="B294" s="167" t="str">
        <f ca="1">IFERROR(__xludf.DUMMYFUNCTION("""COMPUTED_VALUE"""),"BUENO")</f>
        <v>BUENO</v>
      </c>
      <c r="C294" s="206"/>
      <c r="D294" s="206"/>
      <c r="E294" s="207"/>
      <c r="F294" s="207"/>
      <c r="G294" s="207"/>
      <c r="H294" s="207"/>
      <c r="I294" s="207"/>
      <c r="J294" s="207"/>
      <c r="K294" s="207"/>
      <c r="L294" s="207"/>
      <c r="M294" s="207"/>
      <c r="N294" s="207"/>
      <c r="O294" s="206"/>
    </row>
    <row r="295" spans="1:15" ht="30">
      <c r="A295" s="167" t="str">
        <f ca="1">IFERROR(__xludf.DUMMYFUNCTION("""COMPUTED_VALUE"""),"82DJ0515010013000649575")</f>
        <v>82DJ0515010013000649575</v>
      </c>
      <c r="B295" s="167" t="str">
        <f ca="1">IFERROR(__xludf.DUMMYFUNCTION("""COMPUTED_VALUE"""),"BUENO")</f>
        <v>BUENO</v>
      </c>
      <c r="C295" s="206"/>
      <c r="D295" s="206"/>
      <c r="E295" s="207"/>
      <c r="F295" s="207"/>
      <c r="G295" s="207"/>
      <c r="H295" s="207"/>
      <c r="I295" s="207"/>
      <c r="J295" s="207"/>
      <c r="K295" s="207"/>
      <c r="L295" s="207"/>
      <c r="M295" s="207"/>
      <c r="N295" s="207"/>
      <c r="O295" s="206"/>
    </row>
    <row r="296" spans="1:15" ht="30">
      <c r="A296" s="167" t="str">
        <f ca="1">IFERROR(__xludf.DUMMYFUNCTION("""COMPUTED_VALUE"""),"82DJ0565010041000539124")</f>
        <v>82DJ0565010041000539124</v>
      </c>
      <c r="B296" s="167" t="str">
        <f ca="1">IFERROR(__xludf.DUMMYFUNCTION("""COMPUTED_VALUE"""),"BUENO")</f>
        <v>BUENO</v>
      </c>
      <c r="C296" s="206"/>
      <c r="D296" s="206"/>
      <c r="E296" s="207"/>
      <c r="F296" s="207"/>
      <c r="G296" s="207"/>
      <c r="H296" s="207"/>
      <c r="I296" s="207"/>
      <c r="J296" s="207"/>
      <c r="K296" s="207"/>
      <c r="L296" s="207"/>
      <c r="M296" s="207"/>
      <c r="N296" s="207"/>
      <c r="O296" s="206"/>
    </row>
    <row r="297" spans="1:15" ht="30">
      <c r="A297" s="167" t="str">
        <f ca="1">IFERROR(__xludf.DUMMYFUNCTION("""COMPUTED_VALUE"""),"82DJ0515010001000535487")</f>
        <v>82DJ0515010001000535487</v>
      </c>
      <c r="B297" s="167" t="str">
        <f ca="1">IFERROR(__xludf.DUMMYFUNCTION("""COMPUTED_VALUE"""),"BUENO")</f>
        <v>BUENO</v>
      </c>
      <c r="C297" s="206"/>
      <c r="D297" s="206"/>
      <c r="E297" s="207"/>
      <c r="F297" s="207"/>
      <c r="G297" s="207"/>
      <c r="H297" s="207"/>
      <c r="I297" s="207"/>
      <c r="J297" s="207"/>
      <c r="K297" s="207"/>
      <c r="L297" s="207"/>
      <c r="M297" s="207"/>
      <c r="N297" s="207"/>
      <c r="O297" s="206"/>
    </row>
    <row r="298" spans="1:15" ht="30">
      <c r="A298" s="167" t="str">
        <f ca="1">IFERROR(__xludf.DUMMYFUNCTION("""COMPUTED_VALUE"""),"82DJ0515010033000564662")</f>
        <v>82DJ0515010033000564662</v>
      </c>
      <c r="B298" s="167" t="str">
        <f ca="1">IFERROR(__xludf.DUMMYFUNCTION("""COMPUTED_VALUE"""),"BUENO")</f>
        <v>BUENO</v>
      </c>
      <c r="C298" s="206"/>
      <c r="D298" s="206"/>
      <c r="E298" s="207"/>
      <c r="F298" s="207"/>
      <c r="G298" s="207"/>
      <c r="H298" s="207"/>
      <c r="I298" s="207"/>
      <c r="J298" s="207"/>
      <c r="K298" s="207"/>
      <c r="L298" s="207"/>
      <c r="M298" s="207"/>
      <c r="N298" s="207"/>
      <c r="O298" s="206"/>
    </row>
    <row r="299" spans="1:15" ht="30">
      <c r="A299" s="167" t="str">
        <f ca="1">IFERROR(__xludf.DUMMYFUNCTION("""COMPUTED_VALUE"""),"82DJ0515010016000522298")</f>
        <v>82DJ0515010016000522298</v>
      </c>
      <c r="B299" s="167" t="str">
        <f ca="1">IFERROR(__xludf.DUMMYFUNCTION("""COMPUTED_VALUE"""),"BUENO")</f>
        <v>BUENO</v>
      </c>
      <c r="C299" s="206"/>
      <c r="D299" s="206"/>
      <c r="E299" s="207"/>
      <c r="F299" s="207"/>
      <c r="G299" s="207"/>
      <c r="H299" s="207"/>
      <c r="I299" s="207"/>
      <c r="J299" s="207"/>
      <c r="K299" s="207"/>
      <c r="L299" s="207"/>
      <c r="M299" s="207"/>
      <c r="N299" s="207"/>
      <c r="O299" s="206"/>
    </row>
    <row r="300" spans="1:15" ht="30">
      <c r="A300" s="167" t="str">
        <f ca="1">IFERROR(__xludf.DUMMYFUNCTION("""COMPUTED_VALUE"""),"82DJ0511010017000516281")</f>
        <v>82DJ0511010017000516281</v>
      </c>
      <c r="B300" s="167" t="str">
        <f ca="1">IFERROR(__xludf.DUMMYFUNCTION("""COMPUTED_VALUE"""),"MALO")</f>
        <v>MALO</v>
      </c>
      <c r="C300" s="206"/>
      <c r="D300" s="206"/>
      <c r="E300" s="207"/>
      <c r="F300" s="207"/>
      <c r="G300" s="207"/>
      <c r="H300" s="207"/>
      <c r="I300" s="207"/>
      <c r="J300" s="207"/>
      <c r="K300" s="207"/>
      <c r="L300" s="207"/>
      <c r="M300" s="207"/>
      <c r="N300" s="207"/>
      <c r="O300" s="206"/>
    </row>
    <row r="301" spans="1:15" ht="30">
      <c r="A301" s="167" t="str">
        <f ca="1">IFERROR(__xludf.DUMMYFUNCTION("""COMPUTED_VALUE"""),"82DJ0511010016000515611")</f>
        <v>82DJ0511010016000515611</v>
      </c>
      <c r="B301" s="167" t="str">
        <f ca="1">IFERROR(__xludf.DUMMYFUNCTION("""COMPUTED_VALUE"""),"MALO")</f>
        <v>MALO</v>
      </c>
      <c r="C301" s="206"/>
      <c r="D301" s="206"/>
      <c r="E301" s="207"/>
      <c r="F301" s="207"/>
      <c r="G301" s="207"/>
      <c r="H301" s="207"/>
      <c r="I301" s="207"/>
      <c r="J301" s="207"/>
      <c r="K301" s="207"/>
      <c r="L301" s="207"/>
      <c r="M301" s="207"/>
      <c r="N301" s="207"/>
      <c r="O301" s="206"/>
    </row>
    <row r="302" spans="1:15" ht="30">
      <c r="A302" s="167" t="str">
        <f ca="1">IFERROR(__xludf.DUMMYFUNCTION("""COMPUTED_VALUE"""),"82DJ0515010006000649401")</f>
        <v>82DJ0515010006000649401</v>
      </c>
      <c r="B302" s="167" t="str">
        <f ca="1">IFERROR(__xludf.DUMMYFUNCTION("""COMPUTED_VALUE"""),"BUENO")</f>
        <v>BUENO</v>
      </c>
      <c r="C302" s="206"/>
      <c r="D302" s="206"/>
      <c r="E302" s="207"/>
      <c r="F302" s="207"/>
      <c r="G302" s="207"/>
      <c r="H302" s="207"/>
      <c r="I302" s="207"/>
      <c r="J302" s="207"/>
      <c r="K302" s="207"/>
      <c r="L302" s="207"/>
      <c r="M302" s="207"/>
      <c r="N302" s="207"/>
      <c r="O302" s="206"/>
    </row>
    <row r="303" spans="1:15" ht="30">
      <c r="A303" s="167" t="str">
        <f ca="1">IFERROR(__xludf.DUMMYFUNCTION("""COMPUTED_VALUE"""),"82DJ0511010028000649628")</f>
        <v>82DJ0511010028000649628</v>
      </c>
      <c r="B303" s="167" t="str">
        <f ca="1">IFERROR(__xludf.DUMMYFUNCTION("""COMPUTED_VALUE"""),"BUENO")</f>
        <v>BUENO</v>
      </c>
      <c r="C303" s="206"/>
      <c r="D303" s="206"/>
      <c r="E303" s="207"/>
      <c r="F303" s="207"/>
      <c r="G303" s="207"/>
      <c r="H303" s="207"/>
      <c r="I303" s="207"/>
      <c r="J303" s="207"/>
      <c r="K303" s="207"/>
      <c r="L303" s="207"/>
      <c r="M303" s="207"/>
      <c r="N303" s="207"/>
      <c r="O303" s="206"/>
    </row>
    <row r="304" spans="1:15" ht="30">
      <c r="A304" s="167" t="str">
        <f ca="1">IFERROR(__xludf.DUMMYFUNCTION("""COMPUTED_VALUE"""),"82DJ0531010094000581252")</f>
        <v>82DJ0531010094000581252</v>
      </c>
      <c r="B304" s="167" t="str">
        <f ca="1">IFERROR(__xludf.DUMMYFUNCTION("""COMPUTED_VALUE"""),"MALO")</f>
        <v>MALO</v>
      </c>
      <c r="C304" s="206"/>
      <c r="D304" s="206"/>
      <c r="E304" s="207"/>
      <c r="F304" s="207"/>
      <c r="G304" s="207"/>
      <c r="H304" s="207"/>
      <c r="I304" s="207"/>
      <c r="J304" s="207"/>
      <c r="K304" s="207"/>
      <c r="L304" s="207"/>
      <c r="M304" s="207"/>
      <c r="N304" s="207"/>
      <c r="O304" s="206"/>
    </row>
    <row r="305" spans="1:15" ht="30">
      <c r="A305" s="167" t="str">
        <f ca="1">IFERROR(__xludf.DUMMYFUNCTION("""COMPUTED_VALUE"""),"82DJ0511010016000515602")</f>
        <v>82DJ0511010016000515602</v>
      </c>
      <c r="B305" s="167" t="str">
        <f ca="1">IFERROR(__xludf.DUMMYFUNCTION("""COMPUTED_VALUE"""),"BUENO")</f>
        <v>BUENO</v>
      </c>
      <c r="C305" s="206"/>
      <c r="D305" s="206"/>
      <c r="E305" s="207"/>
      <c r="F305" s="207"/>
      <c r="G305" s="207"/>
      <c r="H305" s="207"/>
      <c r="I305" s="207"/>
      <c r="J305" s="207"/>
      <c r="K305" s="207"/>
      <c r="L305" s="207"/>
      <c r="M305" s="207"/>
      <c r="N305" s="207"/>
      <c r="O305" s="206"/>
    </row>
    <row r="306" spans="1:15" ht="30">
      <c r="A306" s="167" t="str">
        <f ca="1">IFERROR(__xludf.DUMMYFUNCTION("""COMPUTED_VALUE"""),"82DJ0511010006000649629")</f>
        <v>82DJ0511010006000649629</v>
      </c>
      <c r="B306" s="167" t="str">
        <f ca="1">IFERROR(__xludf.DUMMYFUNCTION("""COMPUTED_VALUE"""),"BUENO")</f>
        <v>BUENO</v>
      </c>
      <c r="C306" s="206"/>
      <c r="D306" s="206"/>
      <c r="E306" s="207"/>
      <c r="F306" s="207"/>
      <c r="G306" s="207"/>
      <c r="H306" s="207"/>
      <c r="I306" s="207"/>
      <c r="J306" s="207"/>
      <c r="K306" s="207"/>
      <c r="L306" s="207"/>
      <c r="M306" s="207"/>
      <c r="N306" s="207"/>
      <c r="O306" s="206"/>
    </row>
    <row r="307" spans="1:15" ht="30">
      <c r="A307" s="167" t="str">
        <f ca="1">IFERROR(__xludf.DUMMYFUNCTION("""COMPUTED_VALUE"""),"82DJ0515010001000539081")</f>
        <v>82DJ0515010001000539081</v>
      </c>
      <c r="B307" s="167" t="str">
        <f ca="1">IFERROR(__xludf.DUMMYFUNCTION("""COMPUTED_VALUE"""),"REGULAR")</f>
        <v>REGULAR</v>
      </c>
      <c r="C307" s="206"/>
      <c r="D307" s="206"/>
      <c r="E307" s="207"/>
      <c r="F307" s="207"/>
      <c r="G307" s="207"/>
      <c r="H307" s="207"/>
      <c r="I307" s="207"/>
      <c r="J307" s="207"/>
      <c r="K307" s="207"/>
      <c r="L307" s="207"/>
      <c r="M307" s="207"/>
      <c r="N307" s="207"/>
      <c r="O307" s="206"/>
    </row>
    <row r="308" spans="1:15" ht="30">
      <c r="A308" s="167" t="str">
        <f ca="1">IFERROR(__xludf.DUMMYFUNCTION("""COMPUTED_VALUE"""),"82DJ0565010041000539114")</f>
        <v>82DJ0565010041000539114</v>
      </c>
      <c r="B308" s="167" t="str">
        <f ca="1">IFERROR(__xludf.DUMMYFUNCTION("""COMPUTED_VALUE"""),"BUENO")</f>
        <v>BUENO</v>
      </c>
      <c r="C308" s="206"/>
      <c r="D308" s="206"/>
      <c r="E308" s="207"/>
      <c r="F308" s="207"/>
      <c r="G308" s="207"/>
      <c r="H308" s="207"/>
      <c r="I308" s="207"/>
      <c r="J308" s="207"/>
      <c r="K308" s="207"/>
      <c r="L308" s="207"/>
      <c r="M308" s="207"/>
      <c r="N308" s="207"/>
      <c r="O308" s="206"/>
    </row>
    <row r="309" spans="1:15" ht="30">
      <c r="A309" s="167" t="str">
        <f ca="1">IFERROR(__xludf.DUMMYFUNCTION("""COMPUTED_VALUE"""),"82DH0515010016000539059")</f>
        <v>82DH0515010016000539059</v>
      </c>
      <c r="B309" s="167" t="str">
        <f ca="1">IFERROR(__xludf.DUMMYFUNCTION("""COMPUTED_VALUE"""),"MALO")</f>
        <v>MALO</v>
      </c>
      <c r="C309" s="206"/>
      <c r="D309" s="206"/>
      <c r="E309" s="207"/>
      <c r="F309" s="207"/>
      <c r="G309" s="207"/>
      <c r="H309" s="207"/>
      <c r="I309" s="207"/>
      <c r="J309" s="207"/>
      <c r="K309" s="207"/>
      <c r="L309" s="207"/>
      <c r="M309" s="207"/>
      <c r="N309" s="207"/>
      <c r="O309" s="206"/>
    </row>
    <row r="310" spans="1:15" ht="30">
      <c r="A310" s="167" t="str">
        <f ca="1">IFERROR(__xludf.DUMMYFUNCTION("""COMPUTED_VALUE"""),"SIN RESGUARDO")</f>
        <v>SIN RESGUARDO</v>
      </c>
      <c r="B310" s="167" t="str">
        <f ca="1">IFERROR(__xludf.DUMMYFUNCTION("""COMPUTED_VALUE"""),"BUENO")</f>
        <v>BUENO</v>
      </c>
      <c r="C310" s="206"/>
      <c r="D310" s="206"/>
      <c r="E310" s="207"/>
      <c r="F310" s="207"/>
      <c r="G310" s="207"/>
      <c r="H310" s="207"/>
      <c r="I310" s="207"/>
      <c r="J310" s="207"/>
      <c r="K310" s="207"/>
      <c r="L310" s="207"/>
      <c r="M310" s="207"/>
      <c r="N310" s="207"/>
      <c r="O310" s="206"/>
    </row>
    <row r="311" spans="1:15" ht="30">
      <c r="A311" s="167" t="str">
        <f ca="1">IFERROR(__xludf.DUMMYFUNCTION("""COMPUTED_VALUE"""),"SIN RESGUARDO")</f>
        <v>SIN RESGUARDO</v>
      </c>
      <c r="B311" s="167" t="str">
        <f ca="1">IFERROR(__xludf.DUMMYFUNCTION("""COMPUTED_VALUE"""),"BUENO")</f>
        <v>BUENO</v>
      </c>
      <c r="C311" s="206"/>
      <c r="D311" s="206"/>
      <c r="E311" s="207"/>
      <c r="F311" s="207"/>
      <c r="G311" s="207"/>
      <c r="H311" s="207"/>
      <c r="I311" s="207"/>
      <c r="J311" s="207"/>
      <c r="K311" s="207"/>
      <c r="L311" s="207"/>
      <c r="M311" s="207"/>
      <c r="N311" s="207"/>
      <c r="O311" s="206"/>
    </row>
    <row r="312" spans="1:15" ht="30">
      <c r="A312" s="167" t="str">
        <f ca="1">IFERROR(__xludf.DUMMYFUNCTION("""COMPUTED_VALUE"""),"SIN RESGUARDO")</f>
        <v>SIN RESGUARDO</v>
      </c>
      <c r="B312" s="167" t="str">
        <f ca="1">IFERROR(__xludf.DUMMYFUNCTION("""COMPUTED_VALUE"""),"BUENO")</f>
        <v>BUENO</v>
      </c>
      <c r="C312" s="206"/>
      <c r="D312" s="206"/>
      <c r="E312" s="207"/>
      <c r="F312" s="207"/>
      <c r="G312" s="207"/>
      <c r="H312" s="207"/>
      <c r="I312" s="207"/>
      <c r="J312" s="207"/>
      <c r="K312" s="207"/>
      <c r="L312" s="207"/>
      <c r="M312" s="207"/>
      <c r="N312" s="207"/>
      <c r="O312" s="206"/>
    </row>
    <row r="313" spans="1:15" ht="30">
      <c r="A313" s="167" t="str">
        <f ca="1">IFERROR(__xludf.DUMMYFUNCTION("""COMPUTED_VALUE"""),"SIN RESGUARDO")</f>
        <v>SIN RESGUARDO</v>
      </c>
      <c r="B313" s="167" t="str">
        <f ca="1">IFERROR(__xludf.DUMMYFUNCTION("""COMPUTED_VALUE"""),"BUENO")</f>
        <v>BUENO</v>
      </c>
      <c r="C313" s="206"/>
      <c r="D313" s="206"/>
      <c r="E313" s="207"/>
      <c r="F313" s="207"/>
      <c r="G313" s="207"/>
      <c r="H313" s="207"/>
      <c r="I313" s="207"/>
      <c r="J313" s="207"/>
      <c r="K313" s="207"/>
      <c r="L313" s="207"/>
      <c r="M313" s="207"/>
      <c r="N313" s="207"/>
      <c r="O313" s="206"/>
    </row>
    <row r="314" spans="1:15" ht="30">
      <c r="A314" s="167" t="str">
        <f ca="1">IFERROR(__xludf.DUMMYFUNCTION("""COMPUTED_VALUE"""),"82DJ0511010028000535460")</f>
        <v>82DJ0511010028000535460</v>
      </c>
      <c r="B314" s="167" t="str">
        <f ca="1">IFERROR(__xludf.DUMMYFUNCTION("""COMPUTED_VALUE"""),"BUENO")</f>
        <v>BUENO</v>
      </c>
      <c r="C314" s="206"/>
      <c r="D314" s="206"/>
      <c r="E314" s="207"/>
      <c r="F314" s="207"/>
      <c r="G314" s="207"/>
      <c r="H314" s="207"/>
      <c r="I314" s="207"/>
      <c r="J314" s="207"/>
      <c r="K314" s="207"/>
      <c r="L314" s="207"/>
      <c r="M314" s="207"/>
      <c r="N314" s="207"/>
      <c r="O314" s="206"/>
    </row>
    <row r="315" spans="1:15" ht="30">
      <c r="A315" s="167" t="str">
        <f ca="1">IFERROR(__xludf.DUMMYFUNCTION("""COMPUTED_VALUE"""),"82DJ0511010028000539027")</f>
        <v>82DJ0511010028000539027</v>
      </c>
      <c r="B315" s="167" t="str">
        <f ca="1">IFERROR(__xludf.DUMMYFUNCTION("""COMPUTED_VALUE"""),"BUENO")</f>
        <v>BUENO</v>
      </c>
      <c r="C315" s="206"/>
      <c r="D315" s="206"/>
      <c r="E315" s="207"/>
      <c r="F315" s="207"/>
      <c r="G315" s="207"/>
      <c r="H315" s="207"/>
      <c r="I315" s="207"/>
      <c r="J315" s="207"/>
      <c r="K315" s="207"/>
      <c r="L315" s="207"/>
      <c r="M315" s="207"/>
      <c r="N315" s="207"/>
      <c r="O315" s="206"/>
    </row>
    <row r="316" spans="1:15" ht="30">
      <c r="A316" s="167" t="str">
        <f ca="1">IFERROR(__xludf.DUMMYFUNCTION("""COMPUTED_VALUE"""),"82DJ0519010048000539134")</f>
        <v>82DJ0519010048000539134</v>
      </c>
      <c r="B316" s="167" t="str">
        <f ca="1">IFERROR(__xludf.DUMMYFUNCTION("""COMPUTED_VALUE"""),"BUENO")</f>
        <v>BUENO</v>
      </c>
      <c r="C316" s="206"/>
      <c r="D316" s="206"/>
      <c r="E316" s="207"/>
      <c r="F316" s="207"/>
      <c r="G316" s="207"/>
      <c r="H316" s="207"/>
      <c r="I316" s="207"/>
      <c r="J316" s="207"/>
      <c r="K316" s="207"/>
      <c r="L316" s="207"/>
      <c r="M316" s="207"/>
      <c r="N316" s="207"/>
      <c r="O316" s="206"/>
    </row>
    <row r="317" spans="1:15" ht="30">
      <c r="A317" s="167" t="str">
        <f ca="1">IFERROR(__xludf.DUMMYFUNCTION("""COMPUTED_VALUE"""),"82DJ0519010048000533127")</f>
        <v>82DJ0519010048000533127</v>
      </c>
      <c r="B317" s="167" t="str">
        <f ca="1">IFERROR(__xludf.DUMMYFUNCTION("""COMPUTED_VALUE"""),"BUENO")</f>
        <v>BUENO</v>
      </c>
      <c r="C317" s="206"/>
      <c r="D317" s="206"/>
      <c r="E317" s="207"/>
      <c r="F317" s="207"/>
      <c r="G317" s="207"/>
      <c r="H317" s="207"/>
      <c r="I317" s="207"/>
      <c r="J317" s="207"/>
      <c r="K317" s="207"/>
      <c r="L317" s="207"/>
      <c r="M317" s="207"/>
      <c r="N317" s="207"/>
      <c r="O317" s="206"/>
    </row>
    <row r="318" spans="1:15" ht="30">
      <c r="A318" s="167" t="str">
        <f ca="1">IFERROR(__xludf.DUMMYFUNCTION("""COMPUTED_VALUE"""),"82DJ0511010028000539043")</f>
        <v>82DJ0511010028000539043</v>
      </c>
      <c r="B318" s="167" t="str">
        <f ca="1">IFERROR(__xludf.DUMMYFUNCTION("""COMPUTED_VALUE"""),"BUENO")</f>
        <v>BUENO</v>
      </c>
      <c r="C318" s="206"/>
      <c r="D318" s="206"/>
      <c r="E318" s="207"/>
      <c r="F318" s="207"/>
      <c r="G318" s="207"/>
      <c r="H318" s="207"/>
      <c r="I318" s="207"/>
      <c r="J318" s="207"/>
      <c r="K318" s="207"/>
      <c r="L318" s="207"/>
      <c r="M318" s="207"/>
      <c r="N318" s="207"/>
      <c r="O318" s="206"/>
    </row>
    <row r="319" spans="1:15" ht="30">
      <c r="A319" s="167" t="str">
        <f ca="1">IFERROR(__xludf.DUMMYFUNCTION("""COMPUTED_VALUE"""),"82DJ0519010048000533124")</f>
        <v>82DJ0519010048000533124</v>
      </c>
      <c r="B319" s="167" t="str">
        <f ca="1">IFERROR(__xludf.DUMMYFUNCTION("""COMPUTED_VALUE"""),"BUENO")</f>
        <v>BUENO</v>
      </c>
      <c r="C319" s="206"/>
      <c r="D319" s="206"/>
      <c r="E319" s="207"/>
      <c r="F319" s="207"/>
      <c r="G319" s="207"/>
      <c r="H319" s="207"/>
      <c r="I319" s="207"/>
      <c r="J319" s="207"/>
      <c r="K319" s="207"/>
      <c r="L319" s="207"/>
      <c r="M319" s="207"/>
      <c r="N319" s="207"/>
      <c r="O319" s="206"/>
    </row>
    <row r="320" spans="1:15" ht="30">
      <c r="A320" s="167" t="str">
        <f ca="1">IFERROR(__xludf.DUMMYFUNCTION("""COMPUTED_VALUE"""),"82DJ0519010048000579127")</f>
        <v>82DJ0519010048000579127</v>
      </c>
      <c r="B320" s="167" t="str">
        <f ca="1">IFERROR(__xludf.DUMMYFUNCTION("""COMPUTED_VALUE"""),"BUENO")</f>
        <v>BUENO</v>
      </c>
      <c r="C320" s="206"/>
      <c r="D320" s="206"/>
      <c r="E320" s="207"/>
      <c r="F320" s="207"/>
      <c r="G320" s="207"/>
      <c r="H320" s="207"/>
      <c r="I320" s="207"/>
      <c r="J320" s="207"/>
      <c r="K320" s="207"/>
      <c r="L320" s="207"/>
      <c r="M320" s="207"/>
      <c r="N320" s="207"/>
      <c r="O320" s="206"/>
    </row>
    <row r="321" spans="1:15" ht="30">
      <c r="A321" s="167" t="str">
        <f ca="1">IFERROR(__xludf.DUMMYFUNCTION("""COMPUTED_VALUE"""),"82DJ0511010028000539018")</f>
        <v>82DJ0511010028000539018</v>
      </c>
      <c r="B321" s="167" t="str">
        <f ca="1">IFERROR(__xludf.DUMMYFUNCTION("""COMPUTED_VALUE"""),"BUENO")</f>
        <v>BUENO</v>
      </c>
      <c r="C321" s="206"/>
      <c r="D321" s="206"/>
      <c r="E321" s="207"/>
      <c r="F321" s="207"/>
      <c r="G321" s="207"/>
      <c r="H321" s="207"/>
      <c r="I321" s="207"/>
      <c r="J321" s="207"/>
      <c r="K321" s="207"/>
      <c r="L321" s="207"/>
      <c r="M321" s="207"/>
      <c r="N321" s="207"/>
      <c r="O321" s="206"/>
    </row>
    <row r="322" spans="1:15" ht="30">
      <c r="A322" s="167" t="str">
        <f ca="1">IFERROR(__xludf.DUMMYFUNCTION("""COMPUTED_VALUE"""),"82DJ0511010028000539032")</f>
        <v>82DJ0511010028000539032</v>
      </c>
      <c r="B322" s="167" t="str">
        <f ca="1">IFERROR(__xludf.DUMMYFUNCTION("""COMPUTED_VALUE"""),"BUENO")</f>
        <v>BUENO</v>
      </c>
      <c r="C322" s="206"/>
      <c r="D322" s="206"/>
      <c r="E322" s="207"/>
      <c r="F322" s="207"/>
      <c r="G322" s="207"/>
      <c r="H322" s="207"/>
      <c r="I322" s="207"/>
      <c r="J322" s="207"/>
      <c r="K322" s="207"/>
      <c r="L322" s="207"/>
      <c r="M322" s="207"/>
      <c r="N322" s="207"/>
      <c r="O322" s="206"/>
    </row>
    <row r="323" spans="1:15" ht="30">
      <c r="A323" s="167" t="str">
        <f ca="1">IFERROR(__xludf.DUMMYFUNCTION("""COMPUTED_VALUE"""),"82DJ0519010048000539133")</f>
        <v>82DJ0519010048000539133</v>
      </c>
      <c r="B323" s="167" t="str">
        <f ca="1">IFERROR(__xludf.DUMMYFUNCTION("""COMPUTED_VALUE"""),"BUENO")</f>
        <v>BUENO</v>
      </c>
      <c r="C323" s="206"/>
      <c r="D323" s="206"/>
      <c r="E323" s="207"/>
      <c r="F323" s="207"/>
      <c r="G323" s="207"/>
      <c r="H323" s="207"/>
      <c r="I323" s="207"/>
      <c r="J323" s="207"/>
      <c r="K323" s="207"/>
      <c r="L323" s="207"/>
      <c r="M323" s="207"/>
      <c r="N323" s="207"/>
      <c r="O323" s="206"/>
    </row>
    <row r="324" spans="1:15" ht="30">
      <c r="A324" s="167" t="str">
        <f ca="1">IFERROR(__xludf.DUMMYFUNCTION("""COMPUTED_VALUE"""),"82DJ0519010048000539137")</f>
        <v>82DJ0519010048000539137</v>
      </c>
      <c r="B324" s="167" t="str">
        <f ca="1">IFERROR(__xludf.DUMMYFUNCTION("""COMPUTED_VALUE"""),"BUENO")</f>
        <v>BUENO</v>
      </c>
      <c r="C324" s="206"/>
      <c r="D324" s="206"/>
      <c r="E324" s="207"/>
      <c r="F324" s="207"/>
      <c r="G324" s="207"/>
      <c r="H324" s="207"/>
      <c r="I324" s="207"/>
      <c r="J324" s="207"/>
      <c r="K324" s="207"/>
      <c r="L324" s="207"/>
      <c r="M324" s="207"/>
      <c r="N324" s="207"/>
      <c r="O324" s="206"/>
    </row>
    <row r="325" spans="1:15" ht="30">
      <c r="A325" s="167" t="str">
        <f ca="1">IFERROR(__xludf.DUMMYFUNCTION("""COMPUTED_VALUE"""),"82DJ0511010028000532101")</f>
        <v>82DJ0511010028000532101</v>
      </c>
      <c r="B325" s="167" t="str">
        <f ca="1">IFERROR(__xludf.DUMMYFUNCTION("""COMPUTED_VALUE"""),"BUENO")</f>
        <v>BUENO</v>
      </c>
      <c r="C325" s="206"/>
      <c r="D325" s="206"/>
      <c r="E325" s="207"/>
      <c r="F325" s="207"/>
      <c r="G325" s="207"/>
      <c r="H325" s="207"/>
      <c r="I325" s="207"/>
      <c r="J325" s="207"/>
      <c r="K325" s="207"/>
      <c r="L325" s="207"/>
      <c r="M325" s="207"/>
      <c r="N325" s="207"/>
      <c r="O325" s="206"/>
    </row>
    <row r="326" spans="1:15" ht="30">
      <c r="A326" s="167" t="str">
        <f ca="1">IFERROR(__xludf.DUMMYFUNCTION("""COMPUTED_VALUE"""),"82DJ0519010048000539135")</f>
        <v>82DJ0519010048000539135</v>
      </c>
      <c r="B326" s="167" t="str">
        <f ca="1">IFERROR(__xludf.DUMMYFUNCTION("""COMPUTED_VALUE"""),"BUENO")</f>
        <v>BUENO</v>
      </c>
      <c r="C326" s="206"/>
      <c r="D326" s="206"/>
      <c r="E326" s="207"/>
      <c r="F326" s="207"/>
      <c r="G326" s="207"/>
      <c r="H326" s="207"/>
      <c r="I326" s="207"/>
      <c r="J326" s="207"/>
      <c r="K326" s="207"/>
      <c r="L326" s="207"/>
      <c r="M326" s="207"/>
      <c r="N326" s="207"/>
      <c r="O326" s="206"/>
    </row>
    <row r="327" spans="1:15" ht="30">
      <c r="A327" s="167" t="str">
        <f ca="1">IFERROR(__xludf.DUMMYFUNCTION("""COMPUTED_VALUE"""),"82DJ0511010028000524624")</f>
        <v>82DJ0511010028000524624</v>
      </c>
      <c r="B327" s="167" t="str">
        <f ca="1">IFERROR(__xludf.DUMMYFUNCTION("""COMPUTED_VALUE"""),"BUENO")</f>
        <v>BUENO</v>
      </c>
      <c r="C327" s="206"/>
      <c r="D327" s="206"/>
      <c r="E327" s="207"/>
      <c r="F327" s="207"/>
      <c r="G327" s="207"/>
      <c r="H327" s="207"/>
      <c r="I327" s="207"/>
      <c r="J327" s="207"/>
      <c r="K327" s="207"/>
      <c r="L327" s="207"/>
      <c r="M327" s="207"/>
      <c r="N327" s="207"/>
      <c r="O327" s="206"/>
    </row>
    <row r="328" spans="1:15" ht="30">
      <c r="A328" s="167" t="str">
        <f ca="1">IFERROR(__xludf.DUMMYFUNCTION("""COMPUTED_VALUE"""),"82DJ0511010028000539029")</f>
        <v>82DJ0511010028000539029</v>
      </c>
      <c r="B328" s="167" t="str">
        <f ca="1">IFERROR(__xludf.DUMMYFUNCTION("""COMPUTED_VALUE"""),"BUENO")</f>
        <v>BUENO</v>
      </c>
      <c r="C328" s="206"/>
      <c r="D328" s="206"/>
      <c r="E328" s="207"/>
      <c r="F328" s="207"/>
      <c r="G328" s="207"/>
      <c r="H328" s="207"/>
      <c r="I328" s="207"/>
      <c r="J328" s="207"/>
      <c r="K328" s="207"/>
      <c r="L328" s="207"/>
      <c r="M328" s="207"/>
      <c r="N328" s="207"/>
      <c r="O328" s="206"/>
    </row>
    <row r="329" spans="1:15" ht="30">
      <c r="A329" s="167" t="str">
        <f ca="1">IFERROR(__xludf.DUMMYFUNCTION("""COMPUTED_VALUE"""),"82DJ0519010048000533123")</f>
        <v>82DJ0519010048000533123</v>
      </c>
      <c r="B329" s="167" t="str">
        <f ca="1">IFERROR(__xludf.DUMMYFUNCTION("""COMPUTED_VALUE"""),"BUENO")</f>
        <v>BUENO</v>
      </c>
      <c r="C329" s="206"/>
      <c r="D329" s="206"/>
      <c r="E329" s="207"/>
      <c r="F329" s="207"/>
      <c r="G329" s="207"/>
      <c r="H329" s="207"/>
      <c r="I329" s="207"/>
      <c r="J329" s="207"/>
      <c r="K329" s="207"/>
      <c r="L329" s="207"/>
      <c r="M329" s="207"/>
      <c r="N329" s="207"/>
      <c r="O329" s="206"/>
    </row>
    <row r="330" spans="1:15" ht="30">
      <c r="A330" s="167" t="str">
        <f ca="1">IFERROR(__xludf.DUMMYFUNCTION("""COMPUTED_VALUE"""),"82DJ0519010048000533126")</f>
        <v>82DJ0519010048000533126</v>
      </c>
      <c r="B330" s="167" t="str">
        <f ca="1">IFERROR(__xludf.DUMMYFUNCTION("""COMPUTED_VALUE"""),"BUENO")</f>
        <v>BUENO</v>
      </c>
      <c r="C330" s="206"/>
      <c r="D330" s="206"/>
      <c r="E330" s="207"/>
      <c r="F330" s="207"/>
      <c r="G330" s="207"/>
      <c r="H330" s="207"/>
      <c r="I330" s="207"/>
      <c r="J330" s="207"/>
      <c r="K330" s="207"/>
      <c r="L330" s="207"/>
      <c r="M330" s="207"/>
      <c r="N330" s="207"/>
      <c r="O330" s="206"/>
    </row>
    <row r="331" spans="1:15" ht="30">
      <c r="A331" s="167" t="str">
        <f ca="1">IFERROR(__xludf.DUMMYFUNCTION("""COMPUTED_VALUE"""),"82DJ0511010028000532103")</f>
        <v>82DJ0511010028000532103</v>
      </c>
      <c r="B331" s="167" t="str">
        <f ca="1">IFERROR(__xludf.DUMMYFUNCTION("""COMPUTED_VALUE"""),"BUENO")</f>
        <v>BUENO</v>
      </c>
      <c r="C331" s="206"/>
      <c r="D331" s="206"/>
      <c r="E331" s="207"/>
      <c r="F331" s="207"/>
      <c r="G331" s="207"/>
      <c r="H331" s="207"/>
      <c r="I331" s="207"/>
      <c r="J331" s="207"/>
      <c r="K331" s="207"/>
      <c r="L331" s="207"/>
      <c r="M331" s="207"/>
      <c r="N331" s="207"/>
      <c r="O331" s="206"/>
    </row>
    <row r="332" spans="1:15" ht="30">
      <c r="A332" s="167" t="str">
        <f ca="1">IFERROR(__xludf.DUMMYFUNCTION("""COMPUTED_VALUE"""),"82DJ0519010048000539139")</f>
        <v>82DJ0519010048000539139</v>
      </c>
      <c r="B332" s="167" t="str">
        <f ca="1">IFERROR(__xludf.DUMMYFUNCTION("""COMPUTED_VALUE"""),"BUENO")</f>
        <v>BUENO</v>
      </c>
      <c r="C332" s="206"/>
      <c r="D332" s="206"/>
      <c r="E332" s="207"/>
      <c r="F332" s="207"/>
      <c r="G332" s="207"/>
      <c r="H332" s="207"/>
      <c r="I332" s="207"/>
      <c r="J332" s="207"/>
      <c r="K332" s="207"/>
      <c r="L332" s="207"/>
      <c r="M332" s="207"/>
      <c r="N332" s="207"/>
      <c r="O332" s="206"/>
    </row>
    <row r="333" spans="1:15" ht="30">
      <c r="A333" s="167" t="str">
        <f ca="1">IFERROR(__xludf.DUMMYFUNCTION("""COMPUTED_VALUE"""),"82DJ0519010048000579123")</f>
        <v>82DJ0519010048000579123</v>
      </c>
      <c r="B333" s="167" t="str">
        <f ca="1">IFERROR(__xludf.DUMMYFUNCTION("""COMPUTED_VALUE"""),"BUENO")</f>
        <v>BUENO</v>
      </c>
      <c r="C333" s="206"/>
      <c r="D333" s="206"/>
      <c r="E333" s="207"/>
      <c r="F333" s="207"/>
      <c r="G333" s="207"/>
      <c r="H333" s="207"/>
      <c r="I333" s="207"/>
      <c r="J333" s="207"/>
      <c r="K333" s="207"/>
      <c r="L333" s="207"/>
      <c r="M333" s="207"/>
      <c r="N333" s="207"/>
      <c r="O333" s="206"/>
    </row>
    <row r="334" spans="1:15" ht="30">
      <c r="A334" s="167" t="str">
        <f ca="1">IFERROR(__xludf.DUMMYFUNCTION("""COMPUTED_VALUE"""),"82DJ0511010028000539031")</f>
        <v>82DJ0511010028000539031</v>
      </c>
      <c r="B334" s="167" t="str">
        <f ca="1">IFERROR(__xludf.DUMMYFUNCTION("""COMPUTED_VALUE"""),"BUENO")</f>
        <v>BUENO</v>
      </c>
      <c r="C334" s="206"/>
      <c r="D334" s="206"/>
      <c r="E334" s="207"/>
      <c r="F334" s="207"/>
      <c r="G334" s="207"/>
      <c r="H334" s="207"/>
      <c r="I334" s="207"/>
      <c r="J334" s="207"/>
      <c r="K334" s="207"/>
      <c r="L334" s="207"/>
      <c r="M334" s="207"/>
      <c r="N334" s="207"/>
      <c r="O334" s="206"/>
    </row>
    <row r="335" spans="1:15" ht="30">
      <c r="A335" s="167" t="str">
        <f ca="1">IFERROR(__xludf.DUMMYFUNCTION("""COMPUTED_VALUE"""),"82DJ0519010048000579126")</f>
        <v>82DJ0519010048000579126</v>
      </c>
      <c r="B335" s="167" t="str">
        <f ca="1">IFERROR(__xludf.DUMMYFUNCTION("""COMPUTED_VALUE"""),"BUENO")</f>
        <v>BUENO</v>
      </c>
      <c r="C335" s="206"/>
      <c r="D335" s="206"/>
      <c r="E335" s="207"/>
      <c r="F335" s="207"/>
      <c r="G335" s="207"/>
      <c r="H335" s="207"/>
      <c r="I335" s="207"/>
      <c r="J335" s="207"/>
      <c r="K335" s="207"/>
      <c r="L335" s="207"/>
      <c r="M335" s="207"/>
      <c r="N335" s="207"/>
      <c r="O335" s="206"/>
    </row>
    <row r="336" spans="1:15" ht="30">
      <c r="A336" s="167" t="str">
        <f ca="1">IFERROR(__xludf.DUMMYFUNCTION("""COMPUTED_VALUE"""),"82DJ0519010048000539144")</f>
        <v>82DJ0519010048000539144</v>
      </c>
      <c r="B336" s="167" t="str">
        <f ca="1">IFERROR(__xludf.DUMMYFUNCTION("""COMPUTED_VALUE"""),"BUENO")</f>
        <v>BUENO</v>
      </c>
      <c r="C336" s="206"/>
      <c r="D336" s="206"/>
      <c r="E336" s="207"/>
      <c r="F336" s="207"/>
      <c r="G336" s="207"/>
      <c r="H336" s="207"/>
      <c r="I336" s="207"/>
      <c r="J336" s="207"/>
      <c r="K336" s="207"/>
      <c r="L336" s="207"/>
      <c r="M336" s="207"/>
      <c r="N336" s="207"/>
      <c r="O336" s="206"/>
    </row>
    <row r="337" spans="1:15" ht="30">
      <c r="A337" s="167" t="str">
        <f ca="1">IFERROR(__xludf.DUMMYFUNCTION("""COMPUTED_VALUE"""),"82DJ0511010028000524607")</f>
        <v>82DJ0511010028000524607</v>
      </c>
      <c r="B337" s="167" t="str">
        <f ca="1">IFERROR(__xludf.DUMMYFUNCTION("""COMPUTED_VALUE"""),"BUENO")</f>
        <v>BUENO</v>
      </c>
      <c r="C337" s="206"/>
      <c r="D337" s="206"/>
      <c r="E337" s="207"/>
      <c r="F337" s="207"/>
      <c r="G337" s="207"/>
      <c r="H337" s="207"/>
      <c r="I337" s="207"/>
      <c r="J337" s="207"/>
      <c r="K337" s="207"/>
      <c r="L337" s="207"/>
      <c r="M337" s="207"/>
      <c r="N337" s="207"/>
      <c r="O337" s="206"/>
    </row>
    <row r="338" spans="1:15" ht="30">
      <c r="A338" s="167" t="str">
        <f ca="1">IFERROR(__xludf.DUMMYFUNCTION("""COMPUTED_VALUE"""),"82DJ0519010048000533125")</f>
        <v>82DJ0519010048000533125</v>
      </c>
      <c r="B338" s="167" t="str">
        <f ca="1">IFERROR(__xludf.DUMMYFUNCTION("""COMPUTED_VALUE"""),"BUENO")</f>
        <v>BUENO</v>
      </c>
      <c r="C338" s="206"/>
      <c r="D338" s="206"/>
      <c r="E338" s="207"/>
      <c r="F338" s="207"/>
      <c r="G338" s="207"/>
      <c r="H338" s="207"/>
      <c r="I338" s="207"/>
      <c r="J338" s="207"/>
      <c r="K338" s="207"/>
      <c r="L338" s="207"/>
      <c r="M338" s="207"/>
      <c r="N338" s="207"/>
      <c r="O338" s="206"/>
    </row>
    <row r="339" spans="1:15" ht="30">
      <c r="A339" s="167" t="str">
        <f ca="1">IFERROR(__xludf.DUMMYFUNCTION("""COMPUTED_VALUE"""),"82DJ0511010017000649637")</f>
        <v>82DJ0511010017000649637</v>
      </c>
      <c r="B339" s="167" t="str">
        <f ca="1">IFERROR(__xludf.DUMMYFUNCTION("""COMPUTED_VALUE"""),"BUENO")</f>
        <v>BUENO</v>
      </c>
      <c r="C339" s="206"/>
      <c r="D339" s="206"/>
      <c r="E339" s="207"/>
      <c r="F339" s="207"/>
      <c r="G339" s="207"/>
      <c r="H339" s="207"/>
      <c r="I339" s="207"/>
      <c r="J339" s="207"/>
      <c r="K339" s="207"/>
      <c r="L339" s="207"/>
      <c r="M339" s="207"/>
      <c r="N339" s="207"/>
      <c r="O339" s="206"/>
    </row>
    <row r="340" spans="1:15" ht="30">
      <c r="A340" s="167" t="str">
        <f ca="1">IFERROR(__xludf.DUMMYFUNCTION("""COMPUTED_VALUE"""),"82DJ0511010001000649583")</f>
        <v>82DJ0511010001000649583</v>
      </c>
      <c r="B340" s="167" t="str">
        <f ca="1">IFERROR(__xludf.DUMMYFUNCTION("""COMPUTED_VALUE"""),"BUENO")</f>
        <v>BUENO</v>
      </c>
      <c r="C340" s="206"/>
      <c r="D340" s="206"/>
      <c r="E340" s="207"/>
      <c r="F340" s="207"/>
      <c r="G340" s="207"/>
      <c r="H340" s="207"/>
      <c r="I340" s="207"/>
      <c r="J340" s="207"/>
      <c r="K340" s="207"/>
      <c r="L340" s="207"/>
      <c r="M340" s="207"/>
      <c r="N340" s="207"/>
      <c r="O340" s="206"/>
    </row>
    <row r="341" spans="1:15" ht="30">
      <c r="A341" s="167" t="str">
        <f ca="1">IFERROR(__xludf.DUMMYFUNCTION("""COMPUTED_VALUE"""),"82DJ0511010010000649581")</f>
        <v>82DJ0511010010000649581</v>
      </c>
      <c r="B341" s="167" t="str">
        <f ca="1">IFERROR(__xludf.DUMMYFUNCTION("""COMPUTED_VALUE"""),"BUENO")</f>
        <v>BUENO</v>
      </c>
      <c r="C341" s="206"/>
      <c r="D341" s="206"/>
      <c r="E341" s="207"/>
      <c r="F341" s="207"/>
      <c r="G341" s="207"/>
      <c r="H341" s="207"/>
      <c r="I341" s="207"/>
      <c r="J341" s="207"/>
      <c r="K341" s="207"/>
      <c r="L341" s="207"/>
      <c r="M341" s="207"/>
      <c r="N341" s="207"/>
      <c r="O341" s="206"/>
    </row>
    <row r="342" spans="1:15" ht="30">
      <c r="A342" s="167" t="str">
        <f ca="1">IFERROR(__xludf.DUMMYFUNCTION("""COMPUTED_VALUE"""),"82DJ0531010065000564830")</f>
        <v>82DJ0531010065000564830</v>
      </c>
      <c r="B342" s="167" t="str">
        <f ca="1">IFERROR(__xludf.DUMMYFUNCTION("""COMPUTED_VALUE"""),"BUENO")</f>
        <v>BUENO</v>
      </c>
      <c r="C342" s="206"/>
      <c r="D342" s="206"/>
      <c r="E342" s="207"/>
      <c r="F342" s="207"/>
      <c r="G342" s="207"/>
      <c r="H342" s="207"/>
      <c r="I342" s="207"/>
      <c r="J342" s="207"/>
      <c r="K342" s="207"/>
      <c r="L342" s="207"/>
      <c r="M342" s="207"/>
      <c r="N342" s="207"/>
      <c r="O342" s="206"/>
    </row>
    <row r="343" spans="1:15" ht="30">
      <c r="A343" s="167" t="str">
        <f ca="1">IFERROR(__xludf.DUMMYFUNCTION("""COMPUTED_VALUE"""),"82DJ0511010016000539054")</f>
        <v>82DJ0511010016000539054</v>
      </c>
      <c r="B343" s="167" t="str">
        <f ca="1">IFERROR(__xludf.DUMMYFUNCTION("""COMPUTED_VALUE"""),"BUENO")</f>
        <v>BUENO</v>
      </c>
      <c r="C343" s="206"/>
      <c r="D343" s="206"/>
      <c r="E343" s="207"/>
      <c r="F343" s="207"/>
      <c r="G343" s="207"/>
      <c r="H343" s="207"/>
      <c r="I343" s="207"/>
      <c r="J343" s="207"/>
      <c r="K343" s="207"/>
      <c r="L343" s="207"/>
      <c r="M343" s="207"/>
      <c r="N343" s="207"/>
      <c r="O343" s="206"/>
    </row>
    <row r="344" spans="1:15" ht="30">
      <c r="A344" s="167" t="str">
        <f ca="1">IFERROR(__xludf.DUMMYFUNCTION("""COMPUTED_VALUE"""),"82DJ0515010013000649582")</f>
        <v>82DJ0515010013000649582</v>
      </c>
      <c r="B344" s="167" t="str">
        <f ca="1">IFERROR(__xludf.DUMMYFUNCTION("""COMPUTED_VALUE"""),"BUENO")</f>
        <v>BUENO</v>
      </c>
      <c r="C344" s="206"/>
      <c r="D344" s="206"/>
      <c r="E344" s="207"/>
      <c r="F344" s="207"/>
      <c r="G344" s="207"/>
      <c r="H344" s="207"/>
      <c r="I344" s="207"/>
      <c r="J344" s="207"/>
      <c r="K344" s="207"/>
      <c r="L344" s="207"/>
      <c r="M344" s="207"/>
      <c r="N344" s="207"/>
      <c r="O344" s="206"/>
    </row>
    <row r="345" spans="1:15" ht="30">
      <c r="A345" s="167" t="str">
        <f ca="1">IFERROR(__xludf.DUMMYFUNCTION("""COMPUTED_VALUE"""),"82DJ0515010001000539036")</f>
        <v>82DJ0515010001000539036</v>
      </c>
      <c r="B345" s="167" t="str">
        <f ca="1">IFERROR(__xludf.DUMMYFUNCTION("""COMPUTED_VALUE"""),"REGULAR")</f>
        <v>REGULAR</v>
      </c>
      <c r="C345" s="206"/>
      <c r="D345" s="206"/>
      <c r="E345" s="207"/>
      <c r="F345" s="207"/>
      <c r="G345" s="207"/>
      <c r="H345" s="207"/>
      <c r="I345" s="207"/>
      <c r="J345" s="207"/>
      <c r="K345" s="207"/>
      <c r="L345" s="207"/>
      <c r="M345" s="207"/>
      <c r="N345" s="207"/>
      <c r="O345" s="206"/>
    </row>
    <row r="346" spans="1:15" ht="30">
      <c r="A346" s="167" t="str">
        <f ca="1">IFERROR(__xludf.DUMMYFUNCTION("""COMPUTED_VALUE"""),"82DJ0519010043000649640")</f>
        <v>82DJ0519010043000649640</v>
      </c>
      <c r="B346" s="167" t="str">
        <f ca="1">IFERROR(__xludf.DUMMYFUNCTION("""COMPUTED_VALUE"""),"REGULAR")</f>
        <v>REGULAR</v>
      </c>
      <c r="C346" s="206"/>
      <c r="D346" s="206"/>
      <c r="E346" s="207"/>
      <c r="F346" s="207"/>
      <c r="G346" s="207"/>
      <c r="H346" s="207"/>
      <c r="I346" s="207"/>
      <c r="J346" s="207"/>
      <c r="K346" s="207"/>
      <c r="L346" s="207"/>
      <c r="M346" s="207"/>
      <c r="N346" s="207"/>
      <c r="O346" s="206"/>
    </row>
    <row r="347" spans="1:15" ht="30">
      <c r="A347" s="167" t="str">
        <f ca="1">IFERROR(__xludf.DUMMYFUNCTION("""COMPUTED_VALUE"""),"SIN RESGUARDO")</f>
        <v>SIN RESGUARDO</v>
      </c>
      <c r="B347" s="167" t="str">
        <f ca="1">IFERROR(__xludf.DUMMYFUNCTION("""COMPUTED_VALUE"""),"BUENO")</f>
        <v>BUENO</v>
      </c>
      <c r="C347" s="206"/>
      <c r="D347" s="206"/>
      <c r="E347" s="207"/>
      <c r="F347" s="207"/>
      <c r="G347" s="207"/>
      <c r="H347" s="207"/>
      <c r="I347" s="207"/>
      <c r="J347" s="207"/>
      <c r="K347" s="207"/>
      <c r="L347" s="207"/>
      <c r="M347" s="207"/>
      <c r="N347" s="207"/>
      <c r="O347" s="206"/>
    </row>
    <row r="348" spans="1:15" ht="30">
      <c r="A348" s="167" t="str">
        <f ca="1">IFERROR(__xludf.DUMMYFUNCTION("""COMPUTED_VALUE"""),"SIN RESGUARDO")</f>
        <v>SIN RESGUARDO</v>
      </c>
      <c r="B348" s="167" t="str">
        <f ca="1">IFERROR(__xludf.DUMMYFUNCTION("""COMPUTED_VALUE"""),"BUENO")</f>
        <v>BUENO</v>
      </c>
      <c r="C348" s="206"/>
      <c r="D348" s="206"/>
      <c r="E348" s="207"/>
      <c r="F348" s="207"/>
      <c r="G348" s="207"/>
      <c r="H348" s="207"/>
      <c r="I348" s="207"/>
      <c r="J348" s="207"/>
      <c r="K348" s="207"/>
      <c r="L348" s="207"/>
      <c r="M348" s="207"/>
      <c r="N348" s="207"/>
      <c r="O348" s="206"/>
    </row>
    <row r="349" spans="1:15" ht="30">
      <c r="A349" s="167" t="str">
        <f ca="1">IFERROR(__xludf.DUMMYFUNCTION("""COMPUTED_VALUE"""),"82DJ0515010020000650897")</f>
        <v>82DJ0515010020000650897</v>
      </c>
      <c r="B349" s="167" t="str">
        <f ca="1">IFERROR(__xludf.DUMMYFUNCTION("""COMPUTED_VALUE"""),"BUENO")</f>
        <v>BUENO</v>
      </c>
      <c r="C349" s="206"/>
      <c r="D349" s="206"/>
      <c r="E349" s="207"/>
      <c r="F349" s="207"/>
      <c r="G349" s="207"/>
      <c r="H349" s="207"/>
      <c r="I349" s="207"/>
      <c r="J349" s="207"/>
      <c r="K349" s="207"/>
      <c r="L349" s="207"/>
      <c r="M349" s="207"/>
      <c r="N349" s="207"/>
      <c r="O349" s="206"/>
    </row>
    <row r="350" spans="1:15" ht="30">
      <c r="A350" s="167" t="str">
        <f ca="1">IFERROR(__xludf.DUMMYFUNCTION("""COMPUTED_VALUE"""),"SIN RESGUARDO")</f>
        <v>SIN RESGUARDO</v>
      </c>
      <c r="B350" s="167" t="str">
        <f ca="1">IFERROR(__xludf.DUMMYFUNCTION("""COMPUTED_VALUE"""),"BUENO")</f>
        <v>BUENO</v>
      </c>
      <c r="C350" s="206"/>
      <c r="D350" s="206"/>
      <c r="E350" s="207"/>
      <c r="F350" s="207"/>
      <c r="G350" s="207"/>
      <c r="H350" s="207"/>
      <c r="I350" s="207"/>
      <c r="J350" s="207"/>
      <c r="K350" s="207"/>
      <c r="L350" s="207"/>
      <c r="M350" s="207"/>
      <c r="N350" s="207"/>
      <c r="O350" s="206"/>
    </row>
    <row r="351" spans="1:15" ht="30">
      <c r="A351" s="167" t="str">
        <f ca="1">IFERROR(__xludf.DUMMYFUNCTION("""COMPUTED_VALUE"""),"SIN RESGUARDO")</f>
        <v>SIN RESGUARDO</v>
      </c>
      <c r="B351" s="167" t="str">
        <f ca="1">IFERROR(__xludf.DUMMYFUNCTION("""COMPUTED_VALUE"""),"BUENO")</f>
        <v>BUENO</v>
      </c>
      <c r="C351" s="206"/>
      <c r="D351" s="206"/>
      <c r="E351" s="207"/>
      <c r="F351" s="207"/>
      <c r="G351" s="207"/>
      <c r="H351" s="207"/>
      <c r="I351" s="207"/>
      <c r="J351" s="207"/>
      <c r="K351" s="207"/>
      <c r="L351" s="207"/>
      <c r="M351" s="207"/>
      <c r="N351" s="207"/>
      <c r="O351" s="206"/>
    </row>
    <row r="352" spans="1:15" ht="30">
      <c r="A352" s="167" t="str">
        <f ca="1">IFERROR(__xludf.DUMMYFUNCTION("""COMPUTED_VALUE"""),"SIN RESGUARDO")</f>
        <v>SIN RESGUARDO</v>
      </c>
      <c r="B352" s="167" t="str">
        <f ca="1">IFERROR(__xludf.DUMMYFUNCTION("""COMPUTED_VALUE"""),"BUENO")</f>
        <v>BUENO</v>
      </c>
      <c r="C352" s="206"/>
      <c r="D352" s="206"/>
      <c r="E352" s="207"/>
      <c r="F352" s="207"/>
      <c r="G352" s="207"/>
      <c r="H352" s="207"/>
      <c r="I352" s="207"/>
      <c r="J352" s="207"/>
      <c r="K352" s="207"/>
      <c r="L352" s="207"/>
      <c r="M352" s="207"/>
      <c r="N352" s="207"/>
      <c r="O352" s="206"/>
    </row>
    <row r="353" spans="1:15" ht="30">
      <c r="A353" s="167" t="str">
        <f ca="1">IFERROR(__xludf.DUMMYFUNCTION("""COMPUTED_VALUE"""),"82DH0511010009000564545")</f>
        <v>82DH0511010009000564545</v>
      </c>
      <c r="B353" s="167" t="str">
        <f ca="1">IFERROR(__xludf.DUMMYFUNCTION("""COMPUTED_VALUE"""),"BUENO")</f>
        <v>BUENO</v>
      </c>
      <c r="C353" s="206"/>
      <c r="D353" s="206"/>
      <c r="E353" s="207"/>
      <c r="F353" s="207"/>
      <c r="G353" s="207"/>
      <c r="H353" s="207"/>
      <c r="I353" s="207"/>
      <c r="J353" s="207"/>
      <c r="K353" s="207"/>
      <c r="L353" s="207"/>
      <c r="M353" s="207"/>
      <c r="N353" s="207"/>
      <c r="O353" s="206"/>
    </row>
    <row r="354" spans="1:15" ht="30">
      <c r="A354" s="167" t="str">
        <f ca="1">IFERROR(__xludf.DUMMYFUNCTION("""COMPUTED_VALUE"""),"82DH0511010006000651123")</f>
        <v>82DH0511010006000651123</v>
      </c>
      <c r="B354" s="167" t="str">
        <f ca="1">IFERROR(__xludf.DUMMYFUNCTION("""COMPUTED_VALUE"""),"BUENO")</f>
        <v>BUENO</v>
      </c>
      <c r="C354" s="206"/>
      <c r="D354" s="206"/>
      <c r="E354" s="207"/>
      <c r="F354" s="207"/>
      <c r="G354" s="207"/>
      <c r="H354" s="207"/>
      <c r="I354" s="207"/>
      <c r="J354" s="207"/>
      <c r="K354" s="207"/>
      <c r="L354" s="207"/>
      <c r="M354" s="207"/>
      <c r="N354" s="207"/>
      <c r="O354" s="206"/>
    </row>
    <row r="355" spans="1:15" ht="30">
      <c r="A355" s="167" t="str">
        <f ca="1">IFERROR(__xludf.DUMMYFUNCTION("""COMPUTED_VALUE"""),"82DH0515010022000651128")</f>
        <v>82DH0515010022000651128</v>
      </c>
      <c r="B355" s="167" t="str">
        <f ca="1">IFERROR(__xludf.DUMMYFUNCTION("""COMPUTED_VALUE"""),"UBICAR")</f>
        <v>UBICAR</v>
      </c>
      <c r="C355" s="206"/>
      <c r="D355" s="206"/>
      <c r="E355" s="207"/>
      <c r="F355" s="207"/>
      <c r="G355" s="207"/>
      <c r="H355" s="207"/>
      <c r="I355" s="207"/>
      <c r="J355" s="207"/>
      <c r="K355" s="207"/>
      <c r="L355" s="207"/>
      <c r="M355" s="207"/>
      <c r="N355" s="207"/>
      <c r="O355" s="206"/>
    </row>
    <row r="356" spans="1:15" ht="30">
      <c r="A356" s="167" t="str">
        <f ca="1">IFERROR(__xludf.DUMMYFUNCTION("""COMPUTED_VALUE"""),"82DH0515010056000651127")</f>
        <v>82DH0515010056000651127</v>
      </c>
      <c r="B356" s="167" t="str">
        <f ca="1">IFERROR(__xludf.DUMMYFUNCTION("""COMPUTED_VALUE"""),"BUENO")</f>
        <v>BUENO</v>
      </c>
      <c r="C356" s="206"/>
      <c r="D356" s="206"/>
      <c r="E356" s="207"/>
      <c r="F356" s="207"/>
      <c r="G356" s="207"/>
      <c r="H356" s="207"/>
      <c r="I356" s="207"/>
      <c r="J356" s="207"/>
      <c r="K356" s="207"/>
      <c r="L356" s="207"/>
      <c r="M356" s="207"/>
      <c r="N356" s="207"/>
      <c r="O356" s="206"/>
    </row>
    <row r="357" spans="1:15" ht="30">
      <c r="A357" s="167" t="str">
        <f ca="1">IFERROR(__xludf.DUMMYFUNCTION("""COMPUTED_VALUE"""),"82DH0511010010000649660")</f>
        <v>82DH0511010010000649660</v>
      </c>
      <c r="B357" s="167" t="str">
        <f ca="1">IFERROR(__xludf.DUMMYFUNCTION("""COMPUTED_VALUE"""),"BUENO")</f>
        <v>BUENO</v>
      </c>
      <c r="C357" s="206"/>
      <c r="D357" s="206"/>
      <c r="E357" s="207"/>
      <c r="F357" s="207"/>
      <c r="G357" s="207"/>
      <c r="H357" s="207"/>
      <c r="I357" s="207"/>
      <c r="J357" s="207"/>
      <c r="K357" s="207"/>
      <c r="L357" s="207"/>
      <c r="M357" s="207"/>
      <c r="N357" s="207"/>
      <c r="O357" s="206"/>
    </row>
    <row r="358" spans="1:15" ht="30">
      <c r="A358" s="167" t="str">
        <f ca="1">IFERROR(__xludf.DUMMYFUNCTION("""COMPUTED_VALUE"""),"82DH0531010065000564775")</f>
        <v>82DH0531010065000564775</v>
      </c>
      <c r="B358" s="167" t="str">
        <f ca="1">IFERROR(__xludf.DUMMYFUNCTION("""COMPUTED_VALUE"""),"BUENO")</f>
        <v>BUENO</v>
      </c>
      <c r="C358" s="206"/>
      <c r="D358" s="206"/>
      <c r="E358" s="207"/>
      <c r="F358" s="207"/>
      <c r="G358" s="207"/>
      <c r="H358" s="207"/>
      <c r="I358" s="207"/>
      <c r="J358" s="207"/>
      <c r="K358" s="207"/>
      <c r="L358" s="207"/>
      <c r="M358" s="207"/>
      <c r="N358" s="207"/>
      <c r="O358" s="206"/>
    </row>
    <row r="359" spans="1:15" ht="30">
      <c r="A359" s="167" t="str">
        <f ca="1">IFERROR(__xludf.DUMMYFUNCTION("""COMPUTED_VALUE"""),"SIN RESGUARDO")</f>
        <v>SIN RESGUARDO</v>
      </c>
      <c r="B359" s="167" t="str">
        <f ca="1">IFERROR(__xludf.DUMMYFUNCTION("""COMPUTED_VALUE"""),"BUENO")</f>
        <v>BUENO</v>
      </c>
      <c r="C359" s="206"/>
      <c r="D359" s="206"/>
      <c r="E359" s="207"/>
      <c r="F359" s="207"/>
      <c r="G359" s="207"/>
      <c r="H359" s="207"/>
      <c r="I359" s="207"/>
      <c r="J359" s="207"/>
      <c r="K359" s="207"/>
      <c r="L359" s="207"/>
      <c r="M359" s="207"/>
      <c r="N359" s="207"/>
      <c r="O359" s="206"/>
    </row>
    <row r="360" spans="1:15" ht="30">
      <c r="A360" s="167" t="str">
        <f ca="1">IFERROR(__xludf.DUMMYFUNCTION("""COMPUTED_VALUE"""),"82DH0515010016000651121")</f>
        <v>82DH0515010016000651121</v>
      </c>
      <c r="B360" s="167" t="str">
        <f ca="1">IFERROR(__xludf.DUMMYFUNCTION("""COMPUTED_VALUE"""),"BUENO")</f>
        <v>BUENO</v>
      </c>
      <c r="C360" s="206"/>
      <c r="D360" s="206"/>
      <c r="E360" s="207"/>
      <c r="F360" s="207"/>
      <c r="G360" s="207"/>
      <c r="H360" s="207"/>
      <c r="I360" s="207"/>
      <c r="J360" s="207"/>
      <c r="K360" s="207"/>
      <c r="L360" s="207"/>
      <c r="M360" s="207"/>
      <c r="N360" s="207"/>
      <c r="O360" s="206"/>
    </row>
    <row r="361" spans="1:15" ht="30">
      <c r="A361" s="167" t="str">
        <f ca="1">IFERROR(__xludf.DUMMYFUNCTION("""COMPUTED_VALUE"""),"82DH0515010026000566178")</f>
        <v>82DH0515010026000566178</v>
      </c>
      <c r="B361" s="167" t="str">
        <f ca="1">IFERROR(__xludf.DUMMYFUNCTION("""COMPUTED_VALUE"""),"BUENO")</f>
        <v>BUENO</v>
      </c>
      <c r="C361" s="206"/>
      <c r="D361" s="206"/>
      <c r="E361" s="207"/>
      <c r="F361" s="207"/>
      <c r="G361" s="207"/>
      <c r="H361" s="207"/>
      <c r="I361" s="207"/>
      <c r="J361" s="207"/>
      <c r="K361" s="207"/>
      <c r="L361" s="207"/>
      <c r="M361" s="207"/>
      <c r="N361" s="207"/>
      <c r="O361" s="206"/>
    </row>
    <row r="362" spans="1:15" ht="30">
      <c r="A362" s="167" t="str">
        <f ca="1">IFERROR(__xludf.DUMMYFUNCTION("""COMPUTED_VALUE"""),"82DH0529030003000651130")</f>
        <v>82DH0529030003000651130</v>
      </c>
      <c r="B362" s="167" t="str">
        <f ca="1">IFERROR(__xludf.DUMMYFUNCTION("""COMPUTED_VALUE"""),"BUENO")</f>
        <v>BUENO</v>
      </c>
      <c r="C362" s="206"/>
      <c r="D362" s="206"/>
      <c r="E362" s="207"/>
      <c r="F362" s="207"/>
      <c r="G362" s="207"/>
      <c r="H362" s="207"/>
      <c r="I362" s="207"/>
      <c r="J362" s="207"/>
      <c r="K362" s="207"/>
      <c r="L362" s="207"/>
      <c r="M362" s="207"/>
      <c r="N362" s="207"/>
      <c r="O362" s="206"/>
    </row>
    <row r="363" spans="1:15" ht="30">
      <c r="A363" s="167" t="str">
        <f ca="1">IFERROR(__xludf.DUMMYFUNCTION("""COMPUTED_VALUE"""),"82DJ0515010001000535535")</f>
        <v>82DJ0515010001000535535</v>
      </c>
      <c r="B363" s="167" t="str">
        <f ca="1">IFERROR(__xludf.DUMMYFUNCTION("""COMPUTED_VALUE"""),"BUENO")</f>
        <v>BUENO</v>
      </c>
      <c r="C363" s="206"/>
      <c r="D363" s="206"/>
      <c r="E363" s="207"/>
      <c r="F363" s="207"/>
      <c r="G363" s="207"/>
      <c r="H363" s="207"/>
      <c r="I363" s="207"/>
      <c r="J363" s="207"/>
      <c r="K363" s="207"/>
      <c r="L363" s="207"/>
      <c r="M363" s="207"/>
      <c r="N363" s="207"/>
      <c r="O363" s="206"/>
    </row>
    <row r="364" spans="1:15" ht="30">
      <c r="A364" s="167" t="str">
        <f ca="1">IFERROR(__xludf.DUMMYFUNCTION("""COMPUTED_VALUE"""),"82DH0515010013000649650")</f>
        <v>82DH0515010013000649650</v>
      </c>
      <c r="B364" s="167" t="str">
        <f ca="1">IFERROR(__xludf.DUMMYFUNCTION("""COMPUTED_VALUE"""),"BUENO")</f>
        <v>BUENO</v>
      </c>
      <c r="C364" s="206"/>
      <c r="D364" s="206"/>
      <c r="E364" s="207"/>
      <c r="F364" s="207"/>
      <c r="G364" s="207"/>
      <c r="H364" s="207"/>
      <c r="I364" s="207"/>
      <c r="J364" s="207"/>
      <c r="K364" s="207"/>
      <c r="L364" s="207"/>
      <c r="M364" s="207"/>
      <c r="N364" s="207"/>
      <c r="O364" s="206"/>
    </row>
    <row r="365" spans="1:15" ht="30">
      <c r="A365" s="167" t="str">
        <f ca="1">IFERROR(__xludf.DUMMYFUNCTION("""COMPUTED_VALUE"""),"82DH0511010010000649682")</f>
        <v>82DH0511010010000649682</v>
      </c>
      <c r="B365" s="167" t="str">
        <f ca="1">IFERROR(__xludf.DUMMYFUNCTION("""COMPUTED_VALUE"""),"BUENO")</f>
        <v>BUENO</v>
      </c>
      <c r="C365" s="206"/>
      <c r="D365" s="206"/>
      <c r="E365" s="207"/>
      <c r="F365" s="207"/>
      <c r="G365" s="207"/>
      <c r="H365" s="207"/>
      <c r="I365" s="207"/>
      <c r="J365" s="207"/>
      <c r="K365" s="207"/>
      <c r="L365" s="207"/>
      <c r="M365" s="207"/>
      <c r="N365" s="207"/>
      <c r="O365" s="206"/>
    </row>
    <row r="366" spans="1:15" ht="30">
      <c r="A366" s="167" t="str">
        <f ca="1">IFERROR(__xludf.DUMMYFUNCTION("""COMPUTED_VALUE"""),"82DH0565010041000539122")</f>
        <v>82DH0565010041000539122</v>
      </c>
      <c r="B366" s="167" t="str">
        <f ca="1">IFERROR(__xludf.DUMMYFUNCTION("""COMPUTED_VALUE"""),"BUENO")</f>
        <v>BUENO</v>
      </c>
      <c r="C366" s="206"/>
      <c r="D366" s="206"/>
      <c r="E366" s="207"/>
      <c r="F366" s="207"/>
      <c r="G366" s="207"/>
      <c r="H366" s="207"/>
      <c r="I366" s="207"/>
      <c r="J366" s="207"/>
      <c r="K366" s="207"/>
      <c r="L366" s="207"/>
      <c r="M366" s="207"/>
      <c r="N366" s="207"/>
      <c r="O366" s="206"/>
    </row>
    <row r="367" spans="1:15" ht="30">
      <c r="A367" s="167" t="str">
        <f ca="1">IFERROR(__xludf.DUMMYFUNCTION("""COMPUTED_VALUE"""),"82DH0515010055000651140")</f>
        <v>82DH0515010055000651140</v>
      </c>
      <c r="B367" s="167" t="str">
        <f ca="1">IFERROR(__xludf.DUMMYFUNCTION("""COMPUTED_VALUE"""),"BUENO")</f>
        <v>BUENO</v>
      </c>
      <c r="C367" s="206"/>
      <c r="D367" s="206"/>
      <c r="E367" s="207"/>
      <c r="F367" s="207"/>
      <c r="G367" s="207"/>
      <c r="H367" s="207"/>
      <c r="I367" s="207"/>
      <c r="J367" s="207"/>
      <c r="K367" s="207"/>
      <c r="L367" s="207"/>
      <c r="M367" s="207"/>
      <c r="N367" s="207"/>
      <c r="O367" s="206"/>
    </row>
    <row r="368" spans="1:15" ht="30">
      <c r="A368" s="167" t="str">
        <f ca="1">IFERROR(__xludf.DUMMYFUNCTION("""COMPUTED_VALUE"""),"82DH0515010016000524719")</f>
        <v>82DH0515010016000524719</v>
      </c>
      <c r="B368" s="167" t="str">
        <f ca="1">IFERROR(__xludf.DUMMYFUNCTION("""COMPUTED_VALUE"""),"BUENO")</f>
        <v>BUENO</v>
      </c>
      <c r="C368" s="206"/>
      <c r="D368" s="206"/>
      <c r="E368" s="207"/>
      <c r="F368" s="207"/>
      <c r="G368" s="207"/>
      <c r="H368" s="207"/>
      <c r="I368" s="207"/>
      <c r="J368" s="207"/>
      <c r="K368" s="207"/>
      <c r="L368" s="207"/>
      <c r="M368" s="207"/>
      <c r="N368" s="207"/>
      <c r="O368" s="206"/>
    </row>
    <row r="369" spans="1:15" ht="30">
      <c r="A369" s="167" t="str">
        <f ca="1">IFERROR(__xludf.DUMMYFUNCTION("""COMPUTED_VALUE"""),"82DH0515010003000651031")</f>
        <v>82DH0515010003000651031</v>
      </c>
      <c r="B369" s="167" t="str">
        <f ca="1">IFERROR(__xludf.DUMMYFUNCTION("""COMPUTED_VALUE"""),"BUENO")</f>
        <v>BUENO</v>
      </c>
      <c r="C369" s="206"/>
      <c r="D369" s="206"/>
      <c r="E369" s="207"/>
      <c r="F369" s="207"/>
      <c r="G369" s="207"/>
      <c r="H369" s="207"/>
      <c r="I369" s="207"/>
      <c r="J369" s="207"/>
      <c r="K369" s="207"/>
      <c r="L369" s="207"/>
      <c r="M369" s="207"/>
      <c r="N369" s="207"/>
      <c r="O369" s="206"/>
    </row>
    <row r="370" spans="1:15" ht="30">
      <c r="A370" s="167" t="str">
        <f ca="1">IFERROR(__xludf.DUMMYFUNCTION("""COMPUTED_VALUE"""),"82DH0565010001000539087")</f>
        <v>82DH0565010001000539087</v>
      </c>
      <c r="B370" s="167" t="str">
        <f ca="1">IFERROR(__xludf.DUMMYFUNCTION("""COMPUTED_VALUE"""),"BUENO")</f>
        <v>BUENO</v>
      </c>
      <c r="C370" s="206"/>
      <c r="D370" s="206"/>
      <c r="E370" s="207"/>
      <c r="F370" s="207"/>
      <c r="G370" s="207"/>
      <c r="H370" s="207"/>
      <c r="I370" s="207"/>
      <c r="J370" s="207"/>
      <c r="K370" s="207"/>
      <c r="L370" s="207"/>
      <c r="M370" s="207"/>
      <c r="N370" s="207"/>
      <c r="O370" s="206"/>
    </row>
    <row r="371" spans="1:15" ht="30">
      <c r="A371" s="167" t="str">
        <f ca="1">IFERROR(__xludf.DUMMYFUNCTION("""COMPUTED_VALUE"""),"82DH0515010056000651141")</f>
        <v>82DH0515010056000651141</v>
      </c>
      <c r="B371" s="167" t="str">
        <f ca="1">IFERROR(__xludf.DUMMYFUNCTION("""COMPUTED_VALUE"""),"BUENO")</f>
        <v>BUENO</v>
      </c>
      <c r="C371" s="206"/>
      <c r="D371" s="206"/>
      <c r="E371" s="207"/>
      <c r="F371" s="207"/>
      <c r="G371" s="207"/>
      <c r="H371" s="207"/>
      <c r="I371" s="207"/>
      <c r="J371" s="207"/>
      <c r="K371" s="207"/>
      <c r="L371" s="207"/>
      <c r="M371" s="207"/>
      <c r="N371" s="207"/>
      <c r="O371" s="206"/>
    </row>
    <row r="372" spans="1:15" ht="30">
      <c r="A372" s="167" t="str">
        <f ca="1">IFERROR(__xludf.DUMMYFUNCTION("""COMPUTED_VALUE"""),"82DH0515010013000651032")</f>
        <v>82DH0515010013000651032</v>
      </c>
      <c r="B372" s="167" t="str">
        <f ca="1">IFERROR(__xludf.DUMMYFUNCTION("""COMPUTED_VALUE"""),"BUENO")</f>
        <v>BUENO</v>
      </c>
      <c r="C372" s="206"/>
      <c r="D372" s="206"/>
      <c r="E372" s="207"/>
      <c r="F372" s="207"/>
      <c r="G372" s="207"/>
      <c r="H372" s="207"/>
      <c r="I372" s="207"/>
      <c r="J372" s="207"/>
      <c r="K372" s="207"/>
      <c r="L372" s="207"/>
      <c r="M372" s="207"/>
      <c r="N372" s="207"/>
      <c r="O372" s="206"/>
    </row>
    <row r="373" spans="1:15" ht="30">
      <c r="A373" s="167" t="str">
        <f ca="1">IFERROR(__xludf.DUMMYFUNCTION("""COMPUTED_VALUE"""),"82DH0511010010000649683")</f>
        <v>82DH0511010010000649683</v>
      </c>
      <c r="B373" s="167" t="str">
        <f ca="1">IFERROR(__xludf.DUMMYFUNCTION("""COMPUTED_VALUE"""),"BUENO")</f>
        <v>BUENO</v>
      </c>
      <c r="C373" s="206"/>
      <c r="D373" s="206"/>
      <c r="E373" s="207"/>
      <c r="F373" s="207"/>
      <c r="G373" s="207"/>
      <c r="H373" s="207"/>
      <c r="I373" s="207"/>
      <c r="J373" s="207"/>
      <c r="K373" s="207"/>
      <c r="L373" s="207"/>
      <c r="M373" s="207"/>
      <c r="N373" s="207"/>
      <c r="O373" s="206"/>
    </row>
    <row r="374" spans="1:15" ht="30">
      <c r="A374" s="167" t="str">
        <f ca="1">IFERROR(__xludf.DUMMYFUNCTION("""COMPUTED_VALUE"""),"82DH0511010029000649676")</f>
        <v>82DH0511010029000649676</v>
      </c>
      <c r="B374" s="167" t="str">
        <f ca="1">IFERROR(__xludf.DUMMYFUNCTION("""COMPUTED_VALUE"""),"BUENO")</f>
        <v>BUENO</v>
      </c>
      <c r="C374" s="206"/>
      <c r="D374" s="206"/>
      <c r="E374" s="207"/>
      <c r="F374" s="207"/>
      <c r="G374" s="207"/>
      <c r="H374" s="207"/>
      <c r="I374" s="207"/>
      <c r="J374" s="207"/>
      <c r="K374" s="207"/>
      <c r="L374" s="207"/>
      <c r="M374" s="207"/>
      <c r="N374" s="207"/>
      <c r="O374" s="206"/>
    </row>
    <row r="375" spans="1:15" ht="30">
      <c r="A375" s="167" t="str">
        <f ca="1">IFERROR(__xludf.DUMMYFUNCTION("""COMPUTED_VALUE"""),"82DH0531010065000564867")</f>
        <v>82DH0531010065000564867</v>
      </c>
      <c r="B375" s="167" t="str">
        <f ca="1">IFERROR(__xludf.DUMMYFUNCTION("""COMPUTED_VALUE"""),"BUENO")</f>
        <v>BUENO</v>
      </c>
      <c r="C375" s="206"/>
      <c r="D375" s="206"/>
      <c r="E375" s="207"/>
      <c r="F375" s="207"/>
      <c r="G375" s="207"/>
      <c r="H375" s="207"/>
      <c r="I375" s="207"/>
      <c r="J375" s="207"/>
      <c r="K375" s="207"/>
      <c r="L375" s="207"/>
      <c r="M375" s="207"/>
      <c r="N375" s="207"/>
      <c r="O375" s="206"/>
    </row>
    <row r="376" spans="1:15" ht="30">
      <c r="A376" s="167" t="str">
        <f ca="1">IFERROR(__xludf.DUMMYFUNCTION("""COMPUTED_VALUE"""),"82DH0511010017000649712")</f>
        <v>82DH0511010017000649712</v>
      </c>
      <c r="B376" s="167" t="str">
        <f ca="1">IFERROR(__xludf.DUMMYFUNCTION("""COMPUTED_VALUE"""),"BUENO")</f>
        <v>BUENO</v>
      </c>
      <c r="C376" s="206"/>
      <c r="D376" s="206"/>
      <c r="E376" s="207"/>
      <c r="F376" s="207"/>
      <c r="G376" s="207"/>
      <c r="H376" s="207"/>
      <c r="I376" s="207"/>
      <c r="J376" s="207"/>
      <c r="K376" s="207"/>
      <c r="L376" s="207"/>
      <c r="M376" s="207"/>
      <c r="N376" s="207"/>
      <c r="O376" s="206"/>
    </row>
    <row r="377" spans="1:15" ht="30">
      <c r="A377" s="167" t="str">
        <f ca="1">IFERROR(__xludf.DUMMYFUNCTION("""COMPUTED_VALUE"""),"82DH0511010017000522524")</f>
        <v>82DH0511010017000522524</v>
      </c>
      <c r="B377" s="167" t="str">
        <f ca="1">IFERROR(__xludf.DUMMYFUNCTION("""COMPUTED_VALUE"""),"BUENO")</f>
        <v>BUENO</v>
      </c>
      <c r="C377" s="206"/>
      <c r="D377" s="206"/>
      <c r="E377" s="207"/>
      <c r="F377" s="207"/>
      <c r="G377" s="207"/>
      <c r="H377" s="207"/>
      <c r="I377" s="207"/>
      <c r="J377" s="207"/>
      <c r="K377" s="207"/>
      <c r="L377" s="207"/>
      <c r="M377" s="207"/>
      <c r="N377" s="207"/>
      <c r="O377" s="206"/>
    </row>
    <row r="378" spans="1:15" ht="30">
      <c r="A378" s="167" t="str">
        <f ca="1">IFERROR(__xludf.DUMMYFUNCTION("""COMPUTED_VALUE"""),"82DH0511010017000651129")</f>
        <v>82DH0511010017000651129</v>
      </c>
      <c r="B378" s="167" t="str">
        <f ca="1">IFERROR(__xludf.DUMMYFUNCTION("""COMPUTED_VALUE"""),"UBICAR")</f>
        <v>UBICAR</v>
      </c>
      <c r="C378" s="206"/>
      <c r="D378" s="206"/>
      <c r="E378" s="207"/>
      <c r="F378" s="207"/>
      <c r="G378" s="207"/>
      <c r="H378" s="207"/>
      <c r="I378" s="207"/>
      <c r="J378" s="207"/>
      <c r="K378" s="207"/>
      <c r="L378" s="207"/>
      <c r="M378" s="207"/>
      <c r="N378" s="207"/>
      <c r="O378" s="206"/>
    </row>
    <row r="379" spans="1:15" ht="30">
      <c r="A379" s="167" t="str">
        <f ca="1">IFERROR(__xludf.DUMMYFUNCTION("""COMPUTED_VALUE"""),"82DH0511010016000516013")</f>
        <v>82DH0511010016000516013</v>
      </c>
      <c r="B379" s="167" t="str">
        <f ca="1">IFERROR(__xludf.DUMMYFUNCTION("""COMPUTED_VALUE"""),"MAL ESTADO")</f>
        <v>MAL ESTADO</v>
      </c>
      <c r="C379" s="206"/>
      <c r="D379" s="206"/>
      <c r="E379" s="207"/>
      <c r="F379" s="207"/>
      <c r="G379" s="207"/>
      <c r="H379" s="207"/>
      <c r="I379" s="207"/>
      <c r="J379" s="207"/>
      <c r="K379" s="207"/>
      <c r="L379" s="207"/>
      <c r="M379" s="207"/>
      <c r="N379" s="207"/>
      <c r="O379" s="206"/>
    </row>
    <row r="380" spans="1:15" ht="30">
      <c r="A380" s="167" t="str">
        <f ca="1">IFERROR(__xludf.DUMMYFUNCTION("""COMPUTED_VALUE"""),"82DH0515010003000649443")</f>
        <v>82DH0515010003000649443</v>
      </c>
      <c r="B380" s="167" t="str">
        <f ca="1">IFERROR(__xludf.DUMMYFUNCTION("""COMPUTED_VALUE"""),"BUENO")</f>
        <v>BUENO</v>
      </c>
      <c r="C380" s="206"/>
      <c r="D380" s="206"/>
      <c r="E380" s="207"/>
      <c r="F380" s="207"/>
      <c r="G380" s="207"/>
      <c r="H380" s="207"/>
      <c r="I380" s="207"/>
      <c r="J380" s="207"/>
      <c r="K380" s="207"/>
      <c r="L380" s="207"/>
      <c r="M380" s="207"/>
      <c r="N380" s="207"/>
      <c r="O380" s="206"/>
    </row>
    <row r="381" spans="1:15" ht="30">
      <c r="A381" s="167" t="str">
        <f ca="1">IFERROR(__xludf.DUMMYFUNCTION("""COMPUTED_VALUE"""),"SIN RESGUARDO")</f>
        <v>SIN RESGUARDO</v>
      </c>
      <c r="B381" s="167" t="str">
        <f ca="1">IFERROR(__xludf.DUMMYFUNCTION("""COMPUTED_VALUE"""),"BAJA EN ALMACEN")</f>
        <v>BAJA EN ALMACEN</v>
      </c>
      <c r="C381" s="206"/>
      <c r="D381" s="206"/>
      <c r="E381" s="207"/>
      <c r="F381" s="207"/>
      <c r="G381" s="207"/>
      <c r="H381" s="207"/>
      <c r="I381" s="207"/>
      <c r="J381" s="207"/>
      <c r="K381" s="207"/>
      <c r="L381" s="207"/>
      <c r="M381" s="207"/>
      <c r="N381" s="207"/>
      <c r="O381" s="206"/>
    </row>
    <row r="382" spans="1:15" ht="30">
      <c r="A382" s="167" t="str">
        <f ca="1">IFERROR(__xludf.DUMMYFUNCTION("""COMPUTED_VALUE"""),"SIN RESGUARDO")</f>
        <v>SIN RESGUARDO</v>
      </c>
      <c r="B382" s="167" t="str">
        <f ca="1">IFERROR(__xludf.DUMMYFUNCTION("""COMPUTED_VALUE"""),"BUENO")</f>
        <v>BUENO</v>
      </c>
      <c r="C382" s="206"/>
      <c r="D382" s="206"/>
      <c r="E382" s="207"/>
      <c r="F382" s="207"/>
      <c r="G382" s="207"/>
      <c r="H382" s="207"/>
      <c r="I382" s="207"/>
      <c r="J382" s="207"/>
      <c r="K382" s="207"/>
      <c r="L382" s="207"/>
      <c r="M382" s="207"/>
      <c r="N382" s="207"/>
      <c r="O382" s="206"/>
    </row>
    <row r="383" spans="1:15" ht="30">
      <c r="A383" s="167" t="str">
        <f ca="1">IFERROR(__xludf.DUMMYFUNCTION("""COMPUTED_VALUE"""),"82DH0565010001000651111")</f>
        <v>82DH0565010001000651111</v>
      </c>
      <c r="B383" s="167" t="str">
        <f ca="1">IFERROR(__xludf.DUMMYFUNCTION("""COMPUTED_VALUE"""),"UBICAR")</f>
        <v>UBICAR</v>
      </c>
      <c r="C383" s="206"/>
      <c r="D383" s="206"/>
      <c r="E383" s="207"/>
      <c r="F383" s="207"/>
      <c r="G383" s="207"/>
      <c r="H383" s="207"/>
      <c r="I383" s="207"/>
      <c r="J383" s="207"/>
      <c r="K383" s="207"/>
      <c r="L383" s="207"/>
      <c r="M383" s="207"/>
      <c r="N383" s="207"/>
      <c r="O383" s="206"/>
    </row>
    <row r="384" spans="1:15" ht="30">
      <c r="A384" s="167" t="str">
        <f ca="1">IFERROR(__xludf.DUMMYFUNCTION("""COMPUTED_VALUE"""),"82DH0511010010000649658")</f>
        <v>82DH0511010010000649658</v>
      </c>
      <c r="B384" s="167" t="str">
        <f ca="1">IFERROR(__xludf.DUMMYFUNCTION("""COMPUTED_VALUE"""),"BUENO")</f>
        <v>BUENO</v>
      </c>
      <c r="C384" s="206"/>
      <c r="D384" s="206"/>
      <c r="E384" s="207"/>
      <c r="F384" s="207"/>
      <c r="G384" s="207"/>
      <c r="H384" s="207"/>
      <c r="I384" s="207"/>
      <c r="J384" s="207"/>
      <c r="K384" s="207"/>
      <c r="L384" s="207"/>
      <c r="M384" s="207"/>
      <c r="N384" s="207"/>
      <c r="O384" s="206"/>
    </row>
    <row r="385" spans="1:15" ht="30">
      <c r="A385" s="167" t="str">
        <f ca="1">IFERROR(__xludf.DUMMYFUNCTION("""COMPUTED_VALUE"""),"82DH0515010016000649438")</f>
        <v>82DH0515010016000649438</v>
      </c>
      <c r="B385" s="167" t="str">
        <f ca="1">IFERROR(__xludf.DUMMYFUNCTION("""COMPUTED_VALUE"""),"MALO PARA BAJA")</f>
        <v>MALO PARA BAJA</v>
      </c>
      <c r="C385" s="206"/>
      <c r="D385" s="206"/>
      <c r="E385" s="207"/>
      <c r="F385" s="207"/>
      <c r="G385" s="207"/>
      <c r="H385" s="207"/>
      <c r="I385" s="207"/>
      <c r="J385" s="207"/>
      <c r="K385" s="207"/>
      <c r="L385" s="207"/>
      <c r="M385" s="207"/>
      <c r="N385" s="207"/>
      <c r="O385" s="206"/>
    </row>
    <row r="386" spans="1:15" ht="30">
      <c r="A386" s="167" t="str">
        <f ca="1">IFERROR(__xludf.DUMMYFUNCTION("""COMPUTED_VALUE"""),"82DJ0511010006000651117")</f>
        <v>82DJ0511010006000651117</v>
      </c>
      <c r="B386" s="167" t="str">
        <f ca="1">IFERROR(__xludf.DUMMYFUNCTION("""COMPUTED_VALUE"""),"BUENO")</f>
        <v>BUENO</v>
      </c>
      <c r="C386" s="206"/>
      <c r="D386" s="206"/>
      <c r="E386" s="207"/>
      <c r="F386" s="207"/>
      <c r="G386" s="207"/>
      <c r="H386" s="207"/>
      <c r="I386" s="207"/>
      <c r="J386" s="207"/>
      <c r="K386" s="207"/>
      <c r="L386" s="207"/>
      <c r="M386" s="207"/>
      <c r="N386" s="207"/>
      <c r="O386" s="206"/>
    </row>
    <row r="387" spans="1:15" ht="30">
      <c r="A387" s="167" t="str">
        <f ca="1">IFERROR(__xludf.DUMMYFUNCTION("""COMPUTED_VALUE"""),"82DJ0565010041000566531")</f>
        <v>82DJ0565010041000566531</v>
      </c>
      <c r="B387" s="167" t="str">
        <f ca="1">IFERROR(__xludf.DUMMYFUNCTION("""COMPUTED_VALUE"""),"BUENO")</f>
        <v>BUENO</v>
      </c>
      <c r="C387" s="206"/>
      <c r="D387" s="206"/>
      <c r="E387" s="207"/>
      <c r="F387" s="207"/>
      <c r="G387" s="207"/>
      <c r="H387" s="207"/>
      <c r="I387" s="207"/>
      <c r="J387" s="207"/>
      <c r="K387" s="207"/>
      <c r="L387" s="207"/>
      <c r="M387" s="207"/>
      <c r="N387" s="207"/>
      <c r="O387" s="206"/>
    </row>
    <row r="388" spans="1:15" ht="30">
      <c r="A388" s="167" t="str">
        <f ca="1">IFERROR(__xludf.DUMMYFUNCTION("""COMPUTED_VALUE"""),"82DJ0515010033000651116")</f>
        <v>82DJ0515010033000651116</v>
      </c>
      <c r="B388" s="167" t="str">
        <f ca="1">IFERROR(__xludf.DUMMYFUNCTION("""COMPUTED_VALUE"""),"BUENO")</f>
        <v>BUENO</v>
      </c>
      <c r="C388" s="206"/>
      <c r="D388" s="206"/>
      <c r="E388" s="207"/>
      <c r="F388" s="207"/>
      <c r="G388" s="207"/>
      <c r="H388" s="207"/>
      <c r="I388" s="207"/>
      <c r="J388" s="207"/>
      <c r="K388" s="207"/>
      <c r="L388" s="207"/>
      <c r="M388" s="207"/>
      <c r="N388" s="207"/>
      <c r="O388" s="206"/>
    </row>
    <row r="389" spans="1:15" ht="30">
      <c r="A389" s="167" t="str">
        <f ca="1">IFERROR(__xludf.DUMMYFUNCTION("""COMPUTED_VALUE"""),"82DJ0515010016000651115")</f>
        <v>82DJ0515010016000651115</v>
      </c>
      <c r="B389" s="167" t="str">
        <f ca="1">IFERROR(__xludf.DUMMYFUNCTION("""COMPUTED_VALUE"""),"BUENO")</f>
        <v>BUENO</v>
      </c>
      <c r="C389" s="206"/>
      <c r="D389" s="206"/>
      <c r="E389" s="207"/>
      <c r="F389" s="207"/>
      <c r="G389" s="207"/>
      <c r="H389" s="207"/>
      <c r="I389" s="207"/>
      <c r="J389" s="207"/>
      <c r="K389" s="207"/>
      <c r="L389" s="207"/>
      <c r="M389" s="207"/>
      <c r="N389" s="207"/>
      <c r="O389" s="206"/>
    </row>
    <row r="390" spans="1:15" ht="30">
      <c r="A390" s="167" t="str">
        <f ca="1">IFERROR(__xludf.DUMMYFUNCTION("""COMPUTED_VALUE"""),"82DJ0515010003000649690")</f>
        <v>82DJ0515010003000649690</v>
      </c>
      <c r="B390" s="167" t="str">
        <f ca="1">IFERROR(__xludf.DUMMYFUNCTION("""COMPUTED_VALUE"""),"BUENO")</f>
        <v>BUENO</v>
      </c>
      <c r="C390" s="206"/>
      <c r="D390" s="206"/>
      <c r="E390" s="207"/>
      <c r="F390" s="207"/>
      <c r="G390" s="207"/>
      <c r="H390" s="207"/>
      <c r="I390" s="207"/>
      <c r="J390" s="207"/>
      <c r="K390" s="207"/>
      <c r="L390" s="207"/>
      <c r="M390" s="207"/>
      <c r="N390" s="207"/>
      <c r="O390" s="206"/>
    </row>
    <row r="391" spans="1:15" ht="30">
      <c r="A391" s="167" t="str">
        <f ca="1">IFERROR(__xludf.DUMMYFUNCTION("""COMPUTED_VALUE"""),"82DJ0531010094000564888")</f>
        <v>82DJ0531010094000564888</v>
      </c>
      <c r="B391" s="167" t="str">
        <f ca="1">IFERROR(__xludf.DUMMYFUNCTION("""COMPUTED_VALUE"""),"MALO")</f>
        <v>MALO</v>
      </c>
      <c r="C391" s="206"/>
      <c r="D391" s="206"/>
      <c r="E391" s="207"/>
      <c r="F391" s="207"/>
      <c r="G391" s="207"/>
      <c r="H391" s="207"/>
      <c r="I391" s="207"/>
      <c r="J391" s="207"/>
      <c r="K391" s="207"/>
      <c r="L391" s="207"/>
      <c r="M391" s="207"/>
      <c r="N391" s="207"/>
      <c r="O391" s="206"/>
    </row>
    <row r="392" spans="1:15" ht="30">
      <c r="A392" s="167" t="str">
        <f ca="1">IFERROR(__xludf.DUMMYFUNCTION("""COMPUTED_VALUE"""),"82DJ0511010016000515599")</f>
        <v>82DJ0511010016000515599</v>
      </c>
      <c r="B392" s="167" t="str">
        <f ca="1">IFERROR(__xludf.DUMMYFUNCTION("""COMPUTED_VALUE"""),"BUENO")</f>
        <v>BUENO</v>
      </c>
      <c r="C392" s="206"/>
      <c r="D392" s="206"/>
      <c r="E392" s="207"/>
      <c r="F392" s="207"/>
      <c r="G392" s="207"/>
      <c r="H392" s="207"/>
      <c r="I392" s="207"/>
      <c r="J392" s="207"/>
      <c r="K392" s="207"/>
      <c r="L392" s="207"/>
      <c r="M392" s="207"/>
      <c r="N392" s="207"/>
      <c r="O392" s="206"/>
    </row>
    <row r="393" spans="1:15" ht="30">
      <c r="A393" s="167" t="str">
        <f ca="1">IFERROR(__xludf.DUMMYFUNCTION("""COMPUTED_VALUE"""),"SIN RESGUARDO")</f>
        <v>SIN RESGUARDO</v>
      </c>
      <c r="B393" s="167" t="str">
        <f ca="1">IFERROR(__xludf.DUMMYFUNCTION("""COMPUTED_VALUE"""),"BUENO")</f>
        <v>BUENO</v>
      </c>
      <c r="C393" s="206"/>
      <c r="D393" s="206"/>
      <c r="E393" s="207"/>
      <c r="F393" s="207"/>
      <c r="G393" s="207"/>
      <c r="H393" s="207"/>
      <c r="I393" s="207"/>
      <c r="J393" s="207"/>
      <c r="K393" s="207"/>
      <c r="L393" s="207"/>
      <c r="M393" s="207"/>
      <c r="N393" s="207"/>
      <c r="O393" s="206"/>
    </row>
    <row r="394" spans="1:15" ht="30">
      <c r="A394" s="167" t="str">
        <f ca="1">IFERROR(__xludf.DUMMYFUNCTION("""COMPUTED_VALUE"""),"82DJ0565010041000543572")</f>
        <v>82DJ0565010041000543572</v>
      </c>
      <c r="B394" s="167" t="str">
        <f ca="1">IFERROR(__xludf.DUMMYFUNCTION("""COMPUTED_VALUE"""),"BUENO")</f>
        <v>BUENO</v>
      </c>
      <c r="C394" s="206"/>
      <c r="D394" s="206"/>
      <c r="E394" s="207"/>
      <c r="F394" s="207"/>
      <c r="G394" s="207"/>
      <c r="H394" s="207"/>
      <c r="I394" s="207"/>
      <c r="J394" s="207"/>
      <c r="K394" s="207"/>
      <c r="L394" s="207"/>
      <c r="M394" s="207"/>
      <c r="N394" s="207"/>
      <c r="O394" s="206"/>
    </row>
    <row r="395" spans="1:15" ht="30">
      <c r="A395" s="167" t="str">
        <f ca="1">IFERROR(__xludf.DUMMYFUNCTION("""COMPUTED_VALUE"""),"82DK0565010041000539105")</f>
        <v>82DK0565010041000539105</v>
      </c>
      <c r="B395" s="167" t="str">
        <f ca="1">IFERROR(__xludf.DUMMYFUNCTION("""COMPUTED_VALUE"""),"BUENO")</f>
        <v>BUENO</v>
      </c>
      <c r="C395" s="206"/>
      <c r="D395" s="206"/>
      <c r="E395" s="207"/>
      <c r="F395" s="207"/>
      <c r="G395" s="207"/>
      <c r="H395" s="207"/>
      <c r="I395" s="207"/>
      <c r="J395" s="207"/>
      <c r="K395" s="207"/>
      <c r="L395" s="207"/>
      <c r="M395" s="207"/>
      <c r="N395" s="207"/>
      <c r="O395" s="206"/>
    </row>
    <row r="396" spans="1:15" ht="30">
      <c r="A396" s="167" t="str">
        <f ca="1">IFERROR(__xludf.DUMMYFUNCTION("""COMPUTED_VALUE"""),"82DK0515010001000535424")</f>
        <v>82DK0515010001000535424</v>
      </c>
      <c r="B396" s="167" t="str">
        <f ca="1">IFERROR(__xludf.DUMMYFUNCTION("""COMPUTED_VALUE"""),"BUENO")</f>
        <v>BUENO</v>
      </c>
      <c r="C396" s="206"/>
      <c r="D396" s="206"/>
      <c r="E396" s="207"/>
      <c r="F396" s="207"/>
      <c r="G396" s="207"/>
      <c r="H396" s="207"/>
      <c r="I396" s="207"/>
      <c r="J396" s="207"/>
      <c r="K396" s="207"/>
      <c r="L396" s="207"/>
      <c r="M396" s="207"/>
      <c r="N396" s="207"/>
      <c r="O396" s="206"/>
    </row>
    <row r="397" spans="1:15" ht="30">
      <c r="A397" s="167" t="str">
        <f ca="1">IFERROR(__xludf.DUMMYFUNCTION("""COMPUTED_VALUE"""),"82DJ0515010056000651119")</f>
        <v>82DJ0515010056000651119</v>
      </c>
      <c r="B397" s="167" t="str">
        <f ca="1">IFERROR(__xludf.DUMMYFUNCTION("""COMPUTED_VALUE"""),"BUENO")</f>
        <v>BUENO</v>
      </c>
      <c r="C397" s="206"/>
      <c r="D397" s="206"/>
      <c r="E397" s="207"/>
      <c r="F397" s="207"/>
      <c r="G397" s="207"/>
      <c r="H397" s="207"/>
      <c r="I397" s="207"/>
      <c r="J397" s="207"/>
      <c r="K397" s="207"/>
      <c r="L397" s="207"/>
      <c r="M397" s="207"/>
      <c r="N397" s="207"/>
      <c r="O397" s="206"/>
    </row>
    <row r="398" spans="1:15" ht="30">
      <c r="A398" s="167" t="str">
        <f ca="1">IFERROR(__xludf.DUMMYFUNCTION("""COMPUTED_VALUE"""),"82DJ0515010014000539051")</f>
        <v>82DJ0515010014000539051</v>
      </c>
      <c r="B398" s="167" t="str">
        <f ca="1">IFERROR(__xludf.DUMMYFUNCTION("""COMPUTED_VALUE"""),"PARA BAJA")</f>
        <v>PARA BAJA</v>
      </c>
      <c r="C398" s="206"/>
      <c r="D398" s="206"/>
      <c r="E398" s="207"/>
      <c r="F398" s="207"/>
      <c r="G398" s="207"/>
      <c r="H398" s="207"/>
      <c r="I398" s="207"/>
      <c r="J398" s="207"/>
      <c r="K398" s="207"/>
      <c r="L398" s="207"/>
      <c r="M398" s="207"/>
      <c r="N398" s="207"/>
      <c r="O398" s="206"/>
    </row>
    <row r="399" spans="1:15" ht="30">
      <c r="A399" s="167" t="str">
        <f ca="1">IFERROR(__xludf.DUMMYFUNCTION("""COMPUTED_VALUE"""),"82DJ0519010043000649670")</f>
        <v>82DJ0519010043000649670</v>
      </c>
      <c r="B399" s="167" t="str">
        <f ca="1">IFERROR(__xludf.DUMMYFUNCTION("""COMPUTED_VALUE"""),"BUENO")</f>
        <v>BUENO</v>
      </c>
      <c r="C399" s="206"/>
      <c r="D399" s="206"/>
      <c r="E399" s="207"/>
      <c r="F399" s="207"/>
      <c r="G399" s="207"/>
      <c r="H399" s="207"/>
      <c r="I399" s="207"/>
      <c r="J399" s="207"/>
      <c r="K399" s="207"/>
      <c r="L399" s="207"/>
      <c r="M399" s="207"/>
      <c r="N399" s="207"/>
      <c r="O399" s="206"/>
    </row>
    <row r="400" spans="1:15" ht="30">
      <c r="A400" s="167" t="str">
        <f ca="1">IFERROR(__xludf.DUMMYFUNCTION("""COMPUTED_VALUE"""),"82DJ0515010016000651118")</f>
        <v>82DJ0515010016000651118</v>
      </c>
      <c r="B400" s="167" t="str">
        <f ca="1">IFERROR(__xludf.DUMMYFUNCTION("""COMPUTED_VALUE"""),"BUENO")</f>
        <v>BUENO</v>
      </c>
      <c r="C400" s="206"/>
      <c r="D400" s="206"/>
      <c r="E400" s="207"/>
      <c r="F400" s="207"/>
      <c r="G400" s="207"/>
      <c r="H400" s="207"/>
      <c r="I400" s="207"/>
      <c r="J400" s="207"/>
      <c r="K400" s="207"/>
      <c r="L400" s="207"/>
      <c r="M400" s="207"/>
      <c r="N400" s="207"/>
      <c r="O400" s="206"/>
    </row>
    <row r="401" spans="1:15" ht="30">
      <c r="A401" s="167" t="str">
        <f ca="1">IFERROR(__xludf.DUMMYFUNCTION("""COMPUTED_VALUE"""),"82DJ0511010016000649671")</f>
        <v>82DJ0511010016000649671</v>
      </c>
      <c r="B401" s="167" t="str">
        <f ca="1">IFERROR(__xludf.DUMMYFUNCTION("""COMPUTED_VALUE"""),"BUENO")</f>
        <v>BUENO</v>
      </c>
      <c r="C401" s="206"/>
      <c r="D401" s="206"/>
      <c r="E401" s="207"/>
      <c r="F401" s="207"/>
      <c r="G401" s="207"/>
      <c r="H401" s="207"/>
      <c r="I401" s="207"/>
      <c r="J401" s="207"/>
      <c r="K401" s="207"/>
      <c r="L401" s="207"/>
      <c r="M401" s="207"/>
      <c r="N401" s="207"/>
      <c r="O401" s="206"/>
    </row>
    <row r="402" spans="1:15" ht="30">
      <c r="A402" s="167" t="str">
        <f ca="1">IFERROR(__xludf.DUMMYFUNCTION("""COMPUTED_VALUE"""),"82DK0512010011000535536")</f>
        <v>82DK0512010011000535536</v>
      </c>
      <c r="B402" s="167" t="str">
        <f ca="1">IFERROR(__xludf.DUMMYFUNCTION("""COMPUTED_VALUE"""),"BUENO")</f>
        <v>BUENO</v>
      </c>
      <c r="C402" s="206"/>
      <c r="D402" s="206"/>
      <c r="E402" s="207"/>
      <c r="F402" s="207"/>
      <c r="G402" s="207"/>
      <c r="H402" s="207"/>
      <c r="I402" s="207"/>
      <c r="J402" s="207"/>
      <c r="K402" s="207"/>
      <c r="L402" s="207"/>
      <c r="M402" s="207"/>
      <c r="N402" s="207"/>
      <c r="O402" s="206"/>
    </row>
    <row r="403" spans="1:15" ht="30">
      <c r="A403" s="167" t="str">
        <f ca="1">IFERROR(__xludf.DUMMYFUNCTION("""COMPUTED_VALUE"""),"82DH0519010043000649359")</f>
        <v>82DH0519010043000649359</v>
      </c>
      <c r="B403" s="167" t="str">
        <f ca="1">IFERROR(__xludf.DUMMYFUNCTION("""COMPUTED_VALUE"""),"BUENO")</f>
        <v>BUENO</v>
      </c>
      <c r="C403" s="206"/>
      <c r="D403" s="206"/>
      <c r="E403" s="207"/>
      <c r="F403" s="207"/>
      <c r="G403" s="207"/>
      <c r="H403" s="207"/>
      <c r="I403" s="207"/>
      <c r="J403" s="207"/>
      <c r="K403" s="207"/>
      <c r="L403" s="207"/>
      <c r="M403" s="207"/>
      <c r="N403" s="207"/>
      <c r="O403" s="206"/>
    </row>
    <row r="404" spans="1:15" ht="30">
      <c r="A404" s="167" t="str">
        <f ca="1">IFERROR(__xludf.DUMMYFUNCTION("""COMPUTED_VALUE"""),"82DH0511010016000649653")</f>
        <v>82DH0511010016000649653</v>
      </c>
      <c r="B404" s="167" t="str">
        <f ca="1">IFERROR(__xludf.DUMMYFUNCTION("""COMPUTED_VALUE"""),"MAL ESTADO")</f>
        <v>MAL ESTADO</v>
      </c>
      <c r="C404" s="206"/>
      <c r="D404" s="206"/>
      <c r="E404" s="207"/>
      <c r="F404" s="207"/>
      <c r="G404" s="207"/>
      <c r="H404" s="207"/>
      <c r="I404" s="207"/>
      <c r="J404" s="207"/>
      <c r="K404" s="207"/>
      <c r="L404" s="207"/>
      <c r="M404" s="207"/>
      <c r="N404" s="207"/>
      <c r="O404" s="206"/>
    </row>
    <row r="405" spans="1:15" ht="30">
      <c r="A405" s="167" t="str">
        <f ca="1">IFERROR(__xludf.DUMMYFUNCTION("""COMPUTED_VALUE"""),"SIN RESGUARDO")</f>
        <v>SIN RESGUARDO</v>
      </c>
      <c r="B405" s="167" t="str">
        <f ca="1">IFERROR(__xludf.DUMMYFUNCTION("""COMPUTED_VALUE"""),"BUENO")</f>
        <v>BUENO</v>
      </c>
      <c r="C405" s="206"/>
      <c r="D405" s="206"/>
      <c r="E405" s="207"/>
      <c r="F405" s="207"/>
      <c r="G405" s="207"/>
      <c r="H405" s="207"/>
      <c r="I405" s="207"/>
      <c r="J405" s="207"/>
      <c r="K405" s="207"/>
      <c r="L405" s="207"/>
      <c r="M405" s="207"/>
      <c r="N405" s="207"/>
      <c r="O405" s="206"/>
    </row>
    <row r="406" spans="1:15" ht="30">
      <c r="A406" s="167" t="str">
        <f ca="1">IFERROR(__xludf.DUMMYFUNCTION("""COMPUTED_VALUE"""),"82DH0515010026000566194")</f>
        <v>82DH0515010026000566194</v>
      </c>
      <c r="B406" s="167" t="str">
        <f ca="1">IFERROR(__xludf.DUMMYFUNCTION("""COMPUTED_VALUE"""),"BUENO")</f>
        <v>BUENO</v>
      </c>
      <c r="C406" s="206"/>
      <c r="D406" s="206"/>
      <c r="E406" s="207"/>
      <c r="F406" s="207"/>
      <c r="G406" s="207"/>
      <c r="H406" s="207"/>
      <c r="I406" s="207"/>
      <c r="J406" s="207"/>
      <c r="K406" s="207"/>
      <c r="L406" s="207"/>
      <c r="M406" s="207"/>
      <c r="N406" s="207"/>
      <c r="O406" s="206"/>
    </row>
    <row r="407" spans="1:15" ht="30">
      <c r="A407" s="167" t="str">
        <f ca="1">IFERROR(__xludf.DUMMYFUNCTION("""COMPUTED_VALUE"""),"82DH0515010056000651126")</f>
        <v>82DH0515010056000651126</v>
      </c>
      <c r="B407" s="167" t="str">
        <f ca="1">IFERROR(__xludf.DUMMYFUNCTION("""COMPUTED_VALUE"""),"BUENO")</f>
        <v>BUENO</v>
      </c>
      <c r="C407" s="206"/>
      <c r="D407" s="206"/>
      <c r="E407" s="207"/>
      <c r="F407" s="207"/>
      <c r="G407" s="207"/>
      <c r="H407" s="207"/>
      <c r="I407" s="207"/>
      <c r="J407" s="207"/>
      <c r="K407" s="207"/>
      <c r="L407" s="207"/>
      <c r="M407" s="207"/>
      <c r="N407" s="207"/>
      <c r="O407" s="206"/>
    </row>
    <row r="408" spans="1:15" ht="30">
      <c r="A408" s="167" t="str">
        <f ca="1">IFERROR(__xludf.DUMMYFUNCTION("""COMPUTED_VALUE"""),"82DH0515010056000649353")</f>
        <v>82DH0515010056000649353</v>
      </c>
      <c r="B408" s="167" t="str">
        <f ca="1">IFERROR(__xludf.DUMMYFUNCTION("""COMPUTED_VALUE"""),"BUENO")</f>
        <v>BUENO</v>
      </c>
      <c r="C408" s="206"/>
      <c r="D408" s="206"/>
      <c r="E408" s="207"/>
      <c r="F408" s="207"/>
      <c r="G408" s="207"/>
      <c r="H408" s="207"/>
      <c r="I408" s="207"/>
      <c r="J408" s="207"/>
      <c r="K408" s="207"/>
      <c r="L408" s="207"/>
      <c r="M408" s="207"/>
      <c r="N408" s="207"/>
      <c r="O408" s="206"/>
    </row>
    <row r="409" spans="1:15" ht="30">
      <c r="A409" s="167" t="str">
        <f ca="1">IFERROR(__xludf.DUMMYFUNCTION("""COMPUTED_VALUE"""),"82DH0515010002000651030")</f>
        <v>82DH0515010002000651030</v>
      </c>
      <c r="B409" s="167" t="str">
        <f ca="1">IFERROR(__xludf.DUMMYFUNCTION("""COMPUTED_VALUE"""),"BUENO")</f>
        <v>BUENO</v>
      </c>
      <c r="C409" s="206"/>
      <c r="D409" s="206"/>
      <c r="E409" s="207"/>
      <c r="F409" s="207"/>
      <c r="G409" s="207"/>
      <c r="H409" s="207"/>
      <c r="I409" s="207"/>
      <c r="J409" s="207"/>
      <c r="K409" s="207"/>
      <c r="L409" s="207"/>
      <c r="M409" s="207"/>
      <c r="N409" s="207"/>
      <c r="O409" s="206"/>
    </row>
    <row r="410" spans="1:15" ht="30">
      <c r="A410" s="167" t="str">
        <f ca="1">IFERROR(__xludf.DUMMYFUNCTION("""COMPUTED_VALUE"""),"82DH0515010006000650904")</f>
        <v>82DH0515010006000650904</v>
      </c>
      <c r="B410" s="167" t="str">
        <f ca="1">IFERROR(__xludf.DUMMYFUNCTION("""COMPUTED_VALUE"""),"BUENO")</f>
        <v>BUENO</v>
      </c>
      <c r="C410" s="206"/>
      <c r="D410" s="206"/>
      <c r="E410" s="207"/>
      <c r="F410" s="207"/>
      <c r="G410" s="207"/>
      <c r="H410" s="207"/>
      <c r="I410" s="207"/>
      <c r="J410" s="207"/>
      <c r="K410" s="207"/>
      <c r="L410" s="207"/>
      <c r="M410" s="207"/>
      <c r="N410" s="207"/>
      <c r="O410" s="206"/>
    </row>
    <row r="411" spans="1:15" ht="30">
      <c r="A411" s="167" t="str">
        <f ca="1">IFERROR(__xludf.DUMMYFUNCTION("""COMPUTED_VALUE"""),"82DH0515010006000650903
")</f>
        <v xml:space="preserve">82DH0515010006000650903
</v>
      </c>
      <c r="B411" s="167" t="str">
        <f ca="1">IFERROR(__xludf.DUMMYFUNCTION("""COMPUTED_VALUE"""),"BUENO")</f>
        <v>BUENO</v>
      </c>
      <c r="C411" s="206"/>
      <c r="D411" s="206"/>
      <c r="E411" s="207"/>
      <c r="F411" s="207"/>
      <c r="G411" s="207"/>
      <c r="H411" s="207"/>
      <c r="I411" s="207"/>
      <c r="J411" s="207"/>
      <c r="K411" s="207"/>
      <c r="L411" s="207"/>
      <c r="M411" s="207"/>
      <c r="N411" s="207"/>
      <c r="O411" s="206"/>
    </row>
    <row r="412" spans="1:15" ht="30">
      <c r="A412" s="167" t="str">
        <f ca="1">IFERROR(__xludf.DUMMYFUNCTION("""COMPUTED_VALUE"""),"82DH0565010046000530787")</f>
        <v>82DH0565010046000530787</v>
      </c>
      <c r="B412" s="167" t="str">
        <f ca="1">IFERROR(__xludf.DUMMYFUNCTION("""COMPUTED_VALUE"""),"BUENO")</f>
        <v>BUENO</v>
      </c>
      <c r="C412" s="206"/>
      <c r="D412" s="206"/>
      <c r="E412" s="207"/>
      <c r="F412" s="207"/>
      <c r="G412" s="207"/>
      <c r="H412" s="207"/>
      <c r="I412" s="207"/>
      <c r="J412" s="207"/>
      <c r="K412" s="207"/>
      <c r="L412" s="207"/>
      <c r="M412" s="207"/>
      <c r="N412" s="207"/>
      <c r="O412" s="206"/>
    </row>
    <row r="413" spans="1:15" ht="30">
      <c r="A413" s="167" t="str">
        <f ca="1">IFERROR(__xludf.DUMMYFUNCTION("""COMPUTED_VALUE"""),"82DH0515010042000650641")</f>
        <v>82DH0515010042000650641</v>
      </c>
      <c r="B413" s="167" t="str">
        <f ca="1">IFERROR(__xludf.DUMMYFUNCTION("""COMPUTED_VALUE"""),"BUENO")</f>
        <v>BUENO</v>
      </c>
      <c r="C413" s="206"/>
      <c r="D413" s="206"/>
      <c r="E413" s="207"/>
      <c r="F413" s="207"/>
      <c r="G413" s="207"/>
      <c r="H413" s="207"/>
      <c r="I413" s="207"/>
      <c r="J413" s="207"/>
      <c r="K413" s="207"/>
      <c r="L413" s="207"/>
      <c r="M413" s="207"/>
      <c r="N413" s="207"/>
      <c r="O413" s="206"/>
    </row>
    <row r="414" spans="1:15" ht="30">
      <c r="A414" s="167" t="str">
        <f ca="1">IFERROR(__xludf.DUMMYFUNCTION("""COMPUTED_VALUE"""),"82DH0515010025000542283")</f>
        <v>82DH0515010025000542283</v>
      </c>
      <c r="B414" s="167" t="str">
        <f ca="1">IFERROR(__xludf.DUMMYFUNCTION("""COMPUTED_VALUE"""),"BUENO")</f>
        <v>BUENO</v>
      </c>
      <c r="C414" s="206"/>
      <c r="D414" s="206"/>
      <c r="E414" s="207"/>
      <c r="F414" s="207"/>
      <c r="G414" s="207"/>
      <c r="H414" s="207"/>
      <c r="I414" s="207"/>
      <c r="J414" s="207"/>
      <c r="K414" s="207"/>
      <c r="L414" s="207"/>
      <c r="M414" s="207"/>
      <c r="N414" s="207"/>
      <c r="O414" s="206"/>
    </row>
    <row r="415" spans="1:15" ht="30">
      <c r="A415" s="167" t="str">
        <f ca="1">IFERROR(__xludf.DUMMYFUNCTION("""COMPUTED_VALUE"""),"82DH0565010041000530462")</f>
        <v>82DH0565010041000530462</v>
      </c>
      <c r="B415" s="167" t="str">
        <f ca="1">IFERROR(__xludf.DUMMYFUNCTION("""COMPUTED_VALUE"""),"BUENO")</f>
        <v>BUENO</v>
      </c>
      <c r="C415" s="206"/>
      <c r="D415" s="206"/>
      <c r="E415" s="207"/>
      <c r="F415" s="207"/>
      <c r="G415" s="207"/>
      <c r="H415" s="207"/>
      <c r="I415" s="207"/>
      <c r="J415" s="207"/>
      <c r="K415" s="207"/>
      <c r="L415" s="207"/>
      <c r="M415" s="207"/>
      <c r="N415" s="207"/>
      <c r="O415" s="206"/>
    </row>
    <row r="416" spans="1:15" ht="30">
      <c r="A416" s="167" t="str">
        <f ca="1">IFERROR(__xludf.DUMMYFUNCTION("""COMPUTED_VALUE"""),"82DH0515010003000649648")</f>
        <v>82DH0515010003000649648</v>
      </c>
      <c r="B416" s="167" t="str">
        <f ca="1">IFERROR(__xludf.DUMMYFUNCTION("""COMPUTED_VALUE"""),"BUENO")</f>
        <v>BUENO</v>
      </c>
      <c r="C416" s="206"/>
      <c r="D416" s="206"/>
      <c r="E416" s="207"/>
      <c r="F416" s="207"/>
      <c r="G416" s="207"/>
      <c r="H416" s="207"/>
      <c r="I416" s="207"/>
      <c r="J416" s="207"/>
      <c r="K416" s="207"/>
      <c r="L416" s="207"/>
      <c r="M416" s="207"/>
      <c r="N416" s="207"/>
      <c r="O416" s="206"/>
    </row>
    <row r="417" spans="1:15" ht="30">
      <c r="A417" s="167" t="str">
        <f ca="1">IFERROR(__xludf.DUMMYFUNCTION("""COMPUTED_VALUE"""),"82DH0515010042000649354")</f>
        <v>82DH0515010042000649354</v>
      </c>
      <c r="B417" s="167" t="str">
        <f ca="1">IFERROR(__xludf.DUMMYFUNCTION("""COMPUTED_VALUE"""),"BUENO")</f>
        <v>BUENO</v>
      </c>
      <c r="C417" s="206"/>
      <c r="D417" s="206"/>
      <c r="E417" s="207"/>
      <c r="F417" s="207"/>
      <c r="G417" s="207"/>
      <c r="H417" s="207"/>
      <c r="I417" s="207"/>
      <c r="J417" s="207"/>
      <c r="K417" s="207"/>
      <c r="L417" s="207"/>
      <c r="M417" s="207"/>
      <c r="N417" s="207"/>
      <c r="O417" s="206"/>
    </row>
    <row r="418" spans="1:15" ht="30">
      <c r="A418" s="167" t="str">
        <f ca="1">IFERROR(__xludf.DUMMYFUNCTION("""COMPUTED_VALUE"""),"82DH0515010042000649355")</f>
        <v>82DH0515010042000649355</v>
      </c>
      <c r="B418" s="167" t="str">
        <f ca="1">IFERROR(__xludf.DUMMYFUNCTION("""COMPUTED_VALUE"""),"BUENO")</f>
        <v>BUENO</v>
      </c>
      <c r="C418" s="206"/>
      <c r="D418" s="206"/>
      <c r="E418" s="207"/>
      <c r="F418" s="207"/>
      <c r="G418" s="207"/>
      <c r="H418" s="207"/>
      <c r="I418" s="207"/>
      <c r="J418" s="207"/>
      <c r="K418" s="207"/>
      <c r="L418" s="207"/>
      <c r="M418" s="207"/>
      <c r="N418" s="207"/>
      <c r="O418" s="206"/>
    </row>
    <row r="419" spans="1:15" ht="30">
      <c r="A419" s="167" t="str">
        <f ca="1">IFERROR(__xludf.DUMMYFUNCTION("""COMPUTED_VALUE"""),"82DH0515010016000522283")</f>
        <v>82DH0515010016000522283</v>
      </c>
      <c r="B419" s="167" t="str">
        <f ca="1">IFERROR(__xludf.DUMMYFUNCTION("""COMPUTED_VALUE"""),"BUENO")</f>
        <v>BUENO</v>
      </c>
      <c r="C419" s="206"/>
      <c r="D419" s="206"/>
      <c r="E419" s="207"/>
      <c r="F419" s="207"/>
      <c r="G419" s="207"/>
      <c r="H419" s="207"/>
      <c r="I419" s="207"/>
      <c r="J419" s="207"/>
      <c r="K419" s="207"/>
      <c r="L419" s="207"/>
      <c r="M419" s="207"/>
      <c r="N419" s="207"/>
      <c r="O419" s="206"/>
    </row>
    <row r="420" spans="1:15" ht="30">
      <c r="A420" s="167" t="str">
        <f ca="1">IFERROR(__xludf.DUMMYFUNCTION("""COMPUTED_VALUE"""),"82DH0515010047000651137")</f>
        <v>82DH0515010047000651137</v>
      </c>
      <c r="B420" s="167" t="str">
        <f ca="1">IFERROR(__xludf.DUMMYFUNCTION("""COMPUTED_VALUE"""),"BUENO")</f>
        <v>BUENO</v>
      </c>
      <c r="C420" s="206"/>
      <c r="D420" s="206"/>
      <c r="E420" s="207"/>
      <c r="F420" s="207"/>
      <c r="G420" s="207"/>
      <c r="H420" s="207"/>
      <c r="I420" s="207"/>
      <c r="J420" s="207"/>
      <c r="K420" s="207"/>
      <c r="L420" s="207"/>
      <c r="M420" s="207"/>
      <c r="N420" s="207"/>
      <c r="O420" s="206"/>
    </row>
    <row r="421" spans="1:15" ht="30">
      <c r="A421" s="167" t="str">
        <f ca="1">IFERROR(__xludf.DUMMYFUNCTION("""COMPUTED_VALUE"""),"82DH0515010026000649641")</f>
        <v>82DH0515010026000649641</v>
      </c>
      <c r="B421" s="167" t="str">
        <f ca="1">IFERROR(__xludf.DUMMYFUNCTION("""COMPUTED_VALUE"""),"BUENO")</f>
        <v>BUENO</v>
      </c>
      <c r="C421" s="206"/>
      <c r="D421" s="206"/>
      <c r="E421" s="207"/>
      <c r="F421" s="207"/>
      <c r="G421" s="207"/>
      <c r="H421" s="207"/>
      <c r="I421" s="207"/>
      <c r="J421" s="207"/>
      <c r="K421" s="207"/>
      <c r="L421" s="207"/>
      <c r="M421" s="207"/>
      <c r="N421" s="207"/>
      <c r="O421" s="206"/>
    </row>
    <row r="422" spans="1:15" ht="30">
      <c r="A422" s="167" t="str">
        <f ca="1">IFERROR(__xludf.DUMMYFUNCTION("""COMPUTED_VALUE"""),"82DH0515010017000651124")</f>
        <v>82DH0515010017000651124</v>
      </c>
      <c r="B422" s="167" t="str">
        <f ca="1">IFERROR(__xludf.DUMMYFUNCTION("""COMPUTED_VALUE"""),"BUENO")</f>
        <v>BUENO</v>
      </c>
      <c r="C422" s="206"/>
      <c r="D422" s="206"/>
      <c r="E422" s="207"/>
      <c r="F422" s="207"/>
      <c r="G422" s="207"/>
      <c r="H422" s="207"/>
      <c r="I422" s="207"/>
      <c r="J422" s="207"/>
      <c r="K422" s="207"/>
      <c r="L422" s="207"/>
      <c r="M422" s="207"/>
      <c r="N422" s="207"/>
      <c r="O422" s="206"/>
    </row>
    <row r="423" spans="1:15" ht="30">
      <c r="A423" s="167" t="str">
        <f ca="1">IFERROR(__xludf.DUMMYFUNCTION("""COMPUTED_VALUE"""),"SIN RESGUARDO")</f>
        <v>SIN RESGUARDO</v>
      </c>
      <c r="B423" s="167" t="str">
        <f ca="1">IFERROR(__xludf.DUMMYFUNCTION("""COMPUTED_VALUE"""),"BUENO")</f>
        <v>BUENO</v>
      </c>
      <c r="C423" s="206"/>
      <c r="D423" s="206"/>
      <c r="E423" s="207"/>
      <c r="F423" s="207"/>
      <c r="G423" s="207"/>
      <c r="H423" s="207"/>
      <c r="I423" s="207"/>
      <c r="J423" s="207"/>
      <c r="K423" s="207"/>
      <c r="L423" s="207"/>
      <c r="M423" s="207"/>
      <c r="N423" s="207"/>
      <c r="O423" s="206"/>
    </row>
    <row r="424" spans="1:15" ht="30">
      <c r="A424" s="167" t="str">
        <f ca="1">IFERROR(__xludf.DUMMYFUNCTION("""COMPUTED_VALUE"""),"82DH0515010026000566177")</f>
        <v>82DH0515010026000566177</v>
      </c>
      <c r="B424" s="167" t="str">
        <f ca="1">IFERROR(__xludf.DUMMYFUNCTION("""COMPUTED_VALUE"""),"BUENO")</f>
        <v>BUENO</v>
      </c>
      <c r="C424" s="206"/>
      <c r="D424" s="206"/>
      <c r="E424" s="207"/>
      <c r="F424" s="207"/>
      <c r="G424" s="207"/>
      <c r="H424" s="207"/>
      <c r="I424" s="207"/>
      <c r="J424" s="207"/>
      <c r="K424" s="207"/>
      <c r="L424" s="207"/>
      <c r="M424" s="207"/>
      <c r="N424" s="207"/>
      <c r="O424" s="206"/>
    </row>
    <row r="425" spans="1:15" ht="30">
      <c r="A425" s="167" t="str">
        <f ca="1">IFERROR(__xludf.DUMMYFUNCTION("""COMPUTED_VALUE"""),"82DH0515010003000650638")</f>
        <v>82DH0515010003000650638</v>
      </c>
      <c r="B425" s="167" t="str">
        <f ca="1">IFERROR(__xludf.DUMMYFUNCTION("""COMPUTED_VALUE"""),"BUENO")</f>
        <v>BUENO</v>
      </c>
      <c r="C425" s="206"/>
      <c r="D425" s="206"/>
      <c r="E425" s="207"/>
      <c r="F425" s="207"/>
      <c r="G425" s="207"/>
      <c r="H425" s="207"/>
      <c r="I425" s="207"/>
      <c r="J425" s="207"/>
      <c r="K425" s="207"/>
      <c r="L425" s="207"/>
      <c r="M425" s="207"/>
      <c r="N425" s="207"/>
      <c r="O425" s="206"/>
    </row>
    <row r="426" spans="1:15" ht="30">
      <c r="A426" s="167" t="str">
        <f ca="1">IFERROR(__xludf.DUMMYFUNCTION("""COMPUTED_VALUE"""),"82DH0515010016000649411")</f>
        <v>82DH0515010016000649411</v>
      </c>
      <c r="B426" s="167" t="str">
        <f ca="1">IFERROR(__xludf.DUMMYFUNCTION("""COMPUTED_VALUE"""),"BUENO")</f>
        <v>BUENO</v>
      </c>
      <c r="C426" s="206"/>
      <c r="D426" s="206"/>
      <c r="E426" s="207"/>
      <c r="F426" s="207"/>
      <c r="G426" s="207"/>
      <c r="H426" s="207"/>
      <c r="I426" s="207"/>
      <c r="J426" s="207"/>
      <c r="K426" s="207"/>
      <c r="L426" s="207"/>
      <c r="M426" s="207"/>
      <c r="N426" s="207"/>
      <c r="O426" s="206"/>
    </row>
    <row r="427" spans="1:15" ht="30">
      <c r="A427" s="167" t="str">
        <f ca="1">IFERROR(__xludf.DUMMYFUNCTION("""COMPUTED_VALUE"""),"82DH0515010016000539082")</f>
        <v>82DH0515010016000539082</v>
      </c>
      <c r="B427" s="167" t="str">
        <f ca="1">IFERROR(__xludf.DUMMYFUNCTION("""COMPUTED_VALUE"""),"BUENO")</f>
        <v>BUENO</v>
      </c>
      <c r="C427" s="206"/>
      <c r="D427" s="206"/>
      <c r="E427" s="207"/>
      <c r="F427" s="207"/>
      <c r="G427" s="207"/>
      <c r="H427" s="207"/>
      <c r="I427" s="207"/>
      <c r="J427" s="207"/>
      <c r="K427" s="207"/>
      <c r="L427" s="207"/>
      <c r="M427" s="207"/>
      <c r="N427" s="207"/>
      <c r="O427" s="206"/>
    </row>
    <row r="428" spans="1:15" ht="30">
      <c r="A428" s="167" t="str">
        <f ca="1">IFERROR(__xludf.DUMMYFUNCTION("""COMPUTED_VALUE"""),"SIN RESGUARDO")</f>
        <v>SIN RESGUARDO</v>
      </c>
      <c r="B428" s="167" t="str">
        <f ca="1">IFERROR(__xludf.DUMMYFUNCTION("""COMPUTED_VALUE"""),"MALO PARA BAJA")</f>
        <v>MALO PARA BAJA</v>
      </c>
      <c r="C428" s="206"/>
      <c r="D428" s="206"/>
      <c r="E428" s="207"/>
      <c r="F428" s="207"/>
      <c r="G428" s="207"/>
      <c r="H428" s="207"/>
      <c r="I428" s="207"/>
      <c r="J428" s="207"/>
      <c r="K428" s="207"/>
      <c r="L428" s="207"/>
      <c r="M428" s="207"/>
      <c r="N428" s="207"/>
      <c r="O428" s="206"/>
    </row>
    <row r="429" spans="1:15" ht="30">
      <c r="A429" s="167" t="str">
        <f ca="1">IFERROR(__xludf.DUMMYFUNCTION("""COMPUTED_VALUE"""),"82DH0565010041000566530")</f>
        <v>82DH0565010041000566530</v>
      </c>
      <c r="B429" s="167" t="str">
        <f ca="1">IFERROR(__xludf.DUMMYFUNCTION("""COMPUTED_VALUE"""),"BUENO")</f>
        <v>BUENO</v>
      </c>
      <c r="C429" s="206"/>
      <c r="D429" s="206"/>
      <c r="E429" s="207"/>
      <c r="F429" s="207"/>
      <c r="G429" s="207"/>
      <c r="H429" s="207"/>
      <c r="I429" s="207"/>
      <c r="J429" s="207"/>
      <c r="K429" s="207"/>
      <c r="L429" s="207"/>
      <c r="M429" s="207"/>
      <c r="N429" s="207"/>
      <c r="O429" s="206"/>
    </row>
    <row r="430" spans="1:15" ht="30">
      <c r="A430" s="167" t="str">
        <f ca="1">IFERROR(__xludf.DUMMYFUNCTION("""COMPUTED_VALUE"""),"82DK0515010003000649507")</f>
        <v>82DK0515010003000649507</v>
      </c>
      <c r="B430" s="167" t="str">
        <f ca="1">IFERROR(__xludf.DUMMYFUNCTION("""COMPUTED_VALUE"""),"BUENO")</f>
        <v>BUENO</v>
      </c>
      <c r="C430" s="206"/>
      <c r="D430" s="206"/>
      <c r="E430" s="207"/>
      <c r="F430" s="207"/>
      <c r="G430" s="207"/>
      <c r="H430" s="207"/>
      <c r="I430" s="207"/>
      <c r="J430" s="207"/>
      <c r="K430" s="207"/>
      <c r="L430" s="207"/>
      <c r="M430" s="207"/>
      <c r="N430" s="207"/>
      <c r="O430" s="206"/>
    </row>
    <row r="431" spans="1:15" ht="30">
      <c r="A431" s="167" t="str">
        <f ca="1">IFERROR(__xludf.DUMMYFUNCTION("""COMPUTED_VALUE"""),"82DH0515010003000649378")</f>
        <v>82DH0515010003000649378</v>
      </c>
      <c r="B431" s="167" t="str">
        <f ca="1">IFERROR(__xludf.DUMMYFUNCTION("""COMPUTED_VALUE"""),"BUENO")</f>
        <v>BUENO</v>
      </c>
      <c r="C431" s="206"/>
      <c r="D431" s="206"/>
      <c r="E431" s="207"/>
      <c r="F431" s="207"/>
      <c r="G431" s="207"/>
      <c r="H431" s="207"/>
      <c r="I431" s="207"/>
      <c r="J431" s="207"/>
      <c r="K431" s="207"/>
      <c r="L431" s="207"/>
      <c r="M431" s="207"/>
      <c r="N431" s="207"/>
      <c r="O431" s="206"/>
    </row>
    <row r="432" spans="1:15" ht="30">
      <c r="A432" s="167" t="str">
        <f ca="1">IFERROR(__xludf.DUMMYFUNCTION("""COMPUTED_VALUE"""),"82DK0515010003000649484")</f>
        <v>82DK0515010003000649484</v>
      </c>
      <c r="B432" s="167" t="str">
        <f ca="1">IFERROR(__xludf.DUMMYFUNCTION("""COMPUTED_VALUE"""),"BUENO")</f>
        <v>BUENO</v>
      </c>
      <c r="C432" s="206"/>
      <c r="D432" s="206"/>
      <c r="E432" s="207"/>
      <c r="F432" s="207"/>
      <c r="G432" s="207"/>
      <c r="H432" s="207"/>
      <c r="I432" s="207"/>
      <c r="J432" s="207"/>
      <c r="K432" s="207"/>
      <c r="L432" s="207"/>
      <c r="M432" s="207"/>
      <c r="N432" s="207"/>
      <c r="O432" s="206"/>
    </row>
    <row r="433" spans="1:15" ht="30">
      <c r="A433" s="167" t="str">
        <f ca="1">IFERROR(__xludf.DUMMYFUNCTION("""COMPUTED_VALUE"""),"SIN RESGUARDO")</f>
        <v>SIN RESGUARDO</v>
      </c>
      <c r="B433" s="167" t="str">
        <f ca="1">IFERROR(__xludf.DUMMYFUNCTION("""COMPUTED_VALUE"""),"BUENO")</f>
        <v>BUENO</v>
      </c>
      <c r="C433" s="206"/>
      <c r="D433" s="206"/>
      <c r="E433" s="207"/>
      <c r="F433" s="207"/>
      <c r="G433" s="207"/>
      <c r="H433" s="207"/>
      <c r="I433" s="207"/>
      <c r="J433" s="207"/>
      <c r="K433" s="207"/>
      <c r="L433" s="207"/>
      <c r="M433" s="207"/>
      <c r="N433" s="207"/>
      <c r="O433" s="206"/>
    </row>
    <row r="434" spans="1:15" ht="30">
      <c r="A434" s="167" t="str">
        <f ca="1">IFERROR(__xludf.DUMMYFUNCTION("""COMPUTED_VALUE"""),"82DJ0565010041000530454")</f>
        <v>82DJ0565010041000530454</v>
      </c>
      <c r="B434" s="167" t="str">
        <f ca="1">IFERROR(__xludf.DUMMYFUNCTION("""COMPUTED_VALUE"""),"MALO EN ALMACEN")</f>
        <v>MALO EN ALMACEN</v>
      </c>
      <c r="C434" s="206"/>
      <c r="D434" s="206"/>
      <c r="E434" s="207"/>
      <c r="F434" s="207"/>
      <c r="G434" s="207"/>
      <c r="H434" s="207"/>
      <c r="I434" s="207"/>
      <c r="J434" s="207"/>
      <c r="K434" s="207"/>
      <c r="L434" s="207"/>
      <c r="M434" s="207"/>
      <c r="N434" s="207"/>
      <c r="O434" s="206"/>
    </row>
    <row r="435" spans="1:15" ht="30">
      <c r="A435" s="167" t="str">
        <f ca="1">IFERROR(__xludf.DUMMYFUNCTION("""COMPUTED_VALUE"""),"82DH0515010020000541697")</f>
        <v>82DH0515010020000541697</v>
      </c>
      <c r="B435" s="167" t="str">
        <f ca="1">IFERROR(__xludf.DUMMYFUNCTION("""COMPUTED_VALUE"""),"BUENO")</f>
        <v>BUENO</v>
      </c>
      <c r="C435" s="206"/>
      <c r="D435" s="206"/>
      <c r="E435" s="207"/>
      <c r="F435" s="207"/>
      <c r="G435" s="207"/>
      <c r="H435" s="207"/>
      <c r="I435" s="207"/>
      <c r="J435" s="207"/>
      <c r="K435" s="207"/>
      <c r="L435" s="207"/>
      <c r="M435" s="207"/>
      <c r="N435" s="207"/>
      <c r="O435" s="206"/>
    </row>
    <row r="436" spans="1:15" ht="30">
      <c r="A436" s="167" t="str">
        <f ca="1">IFERROR(__xludf.DUMMYFUNCTION("""COMPUTED_VALUE"""),"82DH0565010041000539113")</f>
        <v>82DH0565010041000539113</v>
      </c>
      <c r="B436" s="167" t="str">
        <f ca="1">IFERROR(__xludf.DUMMYFUNCTION("""COMPUTED_VALUE"""),"BUENO")</f>
        <v>BUENO</v>
      </c>
      <c r="C436" s="206"/>
      <c r="D436" s="206"/>
      <c r="E436" s="207"/>
      <c r="F436" s="207"/>
      <c r="G436" s="207"/>
      <c r="H436" s="207"/>
      <c r="I436" s="207"/>
      <c r="J436" s="207"/>
      <c r="K436" s="207"/>
      <c r="L436" s="207"/>
      <c r="M436" s="207"/>
      <c r="N436" s="207"/>
      <c r="O436" s="206"/>
    </row>
    <row r="437" spans="1:15" ht="30">
      <c r="A437" s="167" t="str">
        <f ca="1">IFERROR(__xludf.DUMMYFUNCTION("""COMPUTED_VALUE"""),"82DH0515010047000651134")</f>
        <v>82DH0515010047000651134</v>
      </c>
      <c r="B437" s="167" t="str">
        <f ca="1">IFERROR(__xludf.DUMMYFUNCTION("""COMPUTED_VALUE"""),"BUENO")</f>
        <v>BUENO</v>
      </c>
      <c r="C437" s="206"/>
      <c r="D437" s="206"/>
      <c r="E437" s="207"/>
      <c r="F437" s="207"/>
      <c r="G437" s="207"/>
      <c r="H437" s="207"/>
      <c r="I437" s="207"/>
      <c r="J437" s="207"/>
      <c r="K437" s="207"/>
      <c r="L437" s="207"/>
      <c r="M437" s="207"/>
      <c r="N437" s="207"/>
      <c r="O437" s="206"/>
    </row>
    <row r="438" spans="1:15" ht="30">
      <c r="A438" s="167" t="str">
        <f ca="1">IFERROR(__xludf.DUMMYFUNCTION("""COMPUTED_VALUE"""),"82DH0515010017000651138")</f>
        <v>82DH0515010017000651138</v>
      </c>
      <c r="B438" s="167" t="str">
        <f ca="1">IFERROR(__xludf.DUMMYFUNCTION("""COMPUTED_VALUE"""),"BUENO")</f>
        <v>BUENO</v>
      </c>
      <c r="C438" s="206"/>
      <c r="D438" s="206"/>
      <c r="E438" s="207"/>
      <c r="F438" s="207"/>
      <c r="G438" s="207"/>
      <c r="H438" s="207"/>
      <c r="I438" s="207"/>
      <c r="J438" s="207"/>
      <c r="K438" s="207"/>
      <c r="L438" s="207"/>
      <c r="M438" s="207"/>
      <c r="N438" s="207"/>
      <c r="O438" s="206"/>
    </row>
    <row r="439" spans="1:15" ht="30">
      <c r="A439" s="167" t="str">
        <f ca="1">IFERROR(__xludf.DUMMYFUNCTION("""COMPUTED_VALUE"""),"82DH0515010026000566183")</f>
        <v>82DH0515010026000566183</v>
      </c>
      <c r="B439" s="167" t="str">
        <f ca="1">IFERROR(__xludf.DUMMYFUNCTION("""COMPUTED_VALUE"""),"BUENO")</f>
        <v>BUENO</v>
      </c>
      <c r="C439" s="206"/>
      <c r="D439" s="206"/>
      <c r="E439" s="207"/>
      <c r="F439" s="207"/>
      <c r="G439" s="207"/>
      <c r="H439" s="207"/>
      <c r="I439" s="207"/>
      <c r="J439" s="207"/>
      <c r="K439" s="207"/>
      <c r="L439" s="207"/>
      <c r="M439" s="207"/>
      <c r="N439" s="207"/>
      <c r="O439" s="206"/>
    </row>
    <row r="440" spans="1:15" ht="30">
      <c r="A440" s="167" t="str">
        <f ca="1">IFERROR(__xludf.DUMMYFUNCTION("""COMPUTED_VALUE"""),"82DH0511010009000584141")</f>
        <v>82DH0511010009000584141</v>
      </c>
      <c r="B440" s="167" t="str">
        <f ca="1">IFERROR(__xludf.DUMMYFUNCTION("""COMPUTED_VALUE"""),"BUENO")</f>
        <v>BUENO</v>
      </c>
      <c r="C440" s="206"/>
      <c r="D440" s="206"/>
      <c r="E440" s="207"/>
      <c r="F440" s="207"/>
      <c r="G440" s="207"/>
      <c r="H440" s="207"/>
      <c r="I440" s="207"/>
      <c r="J440" s="207"/>
      <c r="K440" s="207"/>
      <c r="L440" s="207"/>
      <c r="M440" s="207"/>
      <c r="N440" s="207"/>
      <c r="O440" s="206"/>
    </row>
    <row r="441" spans="1:15" ht="30">
      <c r="A441" s="167" t="str">
        <f ca="1">IFERROR(__xludf.DUMMYFUNCTION("""COMPUTED_VALUE"""),"82DH0515010047000651133")</f>
        <v>82DH0515010047000651133</v>
      </c>
      <c r="B441" s="167" t="str">
        <f ca="1">IFERROR(__xludf.DUMMYFUNCTION("""COMPUTED_VALUE"""),"BUENO")</f>
        <v>BUENO</v>
      </c>
      <c r="C441" s="206"/>
      <c r="D441" s="206"/>
      <c r="E441" s="207"/>
      <c r="F441" s="207"/>
      <c r="G441" s="207"/>
      <c r="H441" s="207"/>
      <c r="I441" s="207"/>
      <c r="J441" s="207"/>
      <c r="K441" s="207"/>
      <c r="L441" s="207"/>
      <c r="M441" s="207"/>
      <c r="N441" s="207"/>
      <c r="O441" s="206"/>
    </row>
    <row r="442" spans="1:15" ht="30">
      <c r="A442" s="167" t="str">
        <f ca="1">IFERROR(__xludf.DUMMYFUNCTION("""COMPUTED_VALUE"""),"82DH0515010017000651135")</f>
        <v>82DH0515010017000651135</v>
      </c>
      <c r="B442" s="167" t="str">
        <f ca="1">IFERROR(__xludf.DUMMYFUNCTION("""COMPUTED_VALUE"""),"BUENO")</f>
        <v>BUENO</v>
      </c>
      <c r="C442" s="206"/>
      <c r="D442" s="206"/>
      <c r="E442" s="207"/>
      <c r="F442" s="207"/>
      <c r="G442" s="207"/>
      <c r="H442" s="207"/>
      <c r="I442" s="207"/>
      <c r="J442" s="207"/>
      <c r="K442" s="207"/>
      <c r="L442" s="207"/>
      <c r="M442" s="207"/>
      <c r="N442" s="207"/>
      <c r="O442" s="206"/>
    </row>
    <row r="443" spans="1:15" ht="30">
      <c r="A443" s="167" t="str">
        <f ca="1">IFERROR(__xludf.DUMMYFUNCTION("""COMPUTED_VALUE"""),"82DH0515010026000651136")</f>
        <v>82DH0515010026000651136</v>
      </c>
      <c r="B443" s="167" t="str">
        <f ca="1">IFERROR(__xludf.DUMMYFUNCTION("""COMPUTED_VALUE"""),"BUENO")</f>
        <v>BUENO</v>
      </c>
      <c r="C443" s="206"/>
      <c r="D443" s="206"/>
      <c r="E443" s="207"/>
      <c r="F443" s="207"/>
      <c r="G443" s="207"/>
      <c r="H443" s="207"/>
      <c r="I443" s="207"/>
      <c r="J443" s="207"/>
      <c r="K443" s="207"/>
      <c r="L443" s="207"/>
      <c r="M443" s="207"/>
      <c r="N443" s="207"/>
      <c r="O443" s="206"/>
    </row>
    <row r="444" spans="1:15" ht="30">
      <c r="A444" s="167" t="str">
        <f ca="1">IFERROR(__xludf.DUMMYFUNCTION("""COMPUTED_VALUE"""),"82DH0512010011000517107")</f>
        <v>82DH0512010011000517107</v>
      </c>
      <c r="B444" s="167" t="str">
        <f ca="1">IFERROR(__xludf.DUMMYFUNCTION("""COMPUTED_VALUE"""),"BUENO")</f>
        <v>BUENO</v>
      </c>
      <c r="C444" s="206"/>
      <c r="D444" s="206"/>
      <c r="E444" s="207"/>
      <c r="F444" s="207"/>
      <c r="G444" s="207"/>
      <c r="H444" s="207"/>
      <c r="I444" s="207"/>
      <c r="J444" s="207"/>
      <c r="K444" s="207"/>
      <c r="L444" s="207"/>
      <c r="M444" s="207"/>
      <c r="N444" s="207"/>
      <c r="O444" s="206"/>
    </row>
    <row r="445" spans="1:15" ht="30">
      <c r="A445" s="167" t="str">
        <f ca="1">IFERROR(__xludf.DUMMYFUNCTION("""COMPUTED_VALUE"""),"82DH0523010002000649669")</f>
        <v>82DH0523010002000649669</v>
      </c>
      <c r="B445" s="167" t="str">
        <f ca="1">IFERROR(__xludf.DUMMYFUNCTION("""COMPUTED_VALUE"""),"BUENO")</f>
        <v>BUENO</v>
      </c>
      <c r="C445" s="206"/>
      <c r="D445" s="206"/>
      <c r="E445" s="207"/>
      <c r="F445" s="207"/>
      <c r="G445" s="207"/>
      <c r="H445" s="207"/>
      <c r="I445" s="207"/>
      <c r="J445" s="207"/>
      <c r="K445" s="207"/>
      <c r="L445" s="207"/>
      <c r="M445" s="207"/>
      <c r="N445" s="207"/>
      <c r="O445" s="206"/>
    </row>
    <row r="446" spans="1:15" ht="30">
      <c r="A446" s="167" t="str">
        <f ca="1">IFERROR(__xludf.DUMMYFUNCTION("""COMPUTED_VALUE"""),"82DH0523010002000649668")</f>
        <v>82DH0523010002000649668</v>
      </c>
      <c r="B446" s="167" t="str">
        <f ca="1">IFERROR(__xludf.DUMMYFUNCTION("""COMPUTED_VALUE"""),"BUENO")</f>
        <v>BUENO</v>
      </c>
      <c r="C446" s="206"/>
      <c r="D446" s="206"/>
      <c r="E446" s="207"/>
      <c r="F446" s="207"/>
      <c r="G446" s="207"/>
      <c r="H446" s="207"/>
      <c r="I446" s="207"/>
      <c r="J446" s="207"/>
      <c r="K446" s="207"/>
      <c r="L446" s="207"/>
      <c r="M446" s="207"/>
      <c r="N446" s="207"/>
      <c r="O446" s="206"/>
    </row>
    <row r="447" spans="1:15" ht="30">
      <c r="A447" s="167" t="str">
        <f ca="1">IFERROR(__xludf.DUMMYFUNCTION("""COMPUTED_VALUE"""),"82DH0523010002000649667")</f>
        <v>82DH0523010002000649667</v>
      </c>
      <c r="B447" s="167" t="str">
        <f ca="1">IFERROR(__xludf.DUMMYFUNCTION("""COMPUTED_VALUE"""),"BUENO")</f>
        <v>BUENO</v>
      </c>
      <c r="C447" s="206"/>
      <c r="D447" s="206"/>
      <c r="E447" s="207"/>
      <c r="F447" s="207"/>
      <c r="G447" s="207"/>
      <c r="H447" s="207"/>
      <c r="I447" s="207"/>
      <c r="J447" s="207"/>
      <c r="K447" s="207"/>
      <c r="L447" s="207"/>
      <c r="M447" s="207"/>
      <c r="N447" s="207"/>
      <c r="O447" s="206"/>
    </row>
    <row r="448" spans="1:15" ht="30">
      <c r="A448" s="167" t="str">
        <f ca="1">IFERROR(__xludf.DUMMYFUNCTION("""COMPUTED_VALUE"""),"82DH0523010002000649666")</f>
        <v>82DH0523010002000649666</v>
      </c>
      <c r="B448" s="167" t="str">
        <f ca="1">IFERROR(__xludf.DUMMYFUNCTION("""COMPUTED_VALUE"""),"MALO")</f>
        <v>MALO</v>
      </c>
      <c r="C448" s="206"/>
      <c r="D448" s="206"/>
      <c r="E448" s="207"/>
      <c r="F448" s="207"/>
      <c r="G448" s="207"/>
      <c r="H448" s="207"/>
      <c r="I448" s="207"/>
      <c r="J448" s="207"/>
      <c r="K448" s="207"/>
      <c r="L448" s="207"/>
      <c r="M448" s="207"/>
      <c r="N448" s="207"/>
      <c r="O448" s="206"/>
    </row>
    <row r="449" spans="1:15" ht="30">
      <c r="A449" s="167" t="str">
        <f ca="1">IFERROR(__xludf.DUMMYFUNCTION("""COMPUTED_VALUE"""),"82DH0523010002000649665")</f>
        <v>82DH0523010002000649665</v>
      </c>
      <c r="B449" s="167" t="str">
        <f ca="1">IFERROR(__xludf.DUMMYFUNCTION("""COMPUTED_VALUE"""),"BUENO")</f>
        <v>BUENO</v>
      </c>
      <c r="C449" s="206"/>
      <c r="D449" s="206"/>
      <c r="E449" s="207"/>
      <c r="F449" s="207"/>
      <c r="G449" s="207"/>
      <c r="H449" s="207"/>
      <c r="I449" s="207"/>
      <c r="J449" s="207"/>
      <c r="K449" s="207"/>
      <c r="L449" s="207"/>
      <c r="M449" s="207"/>
      <c r="N449" s="207"/>
      <c r="O449" s="206"/>
    </row>
    <row r="450" spans="1:15" ht="30">
      <c r="A450" s="167" t="str">
        <f ca="1">IFERROR(__xludf.DUMMYFUNCTION("""COMPUTED_VALUE"""),"82DH0523010002000649664")</f>
        <v>82DH0523010002000649664</v>
      </c>
      <c r="B450" s="167" t="str">
        <f ca="1">IFERROR(__xludf.DUMMYFUNCTION("""COMPUTED_VALUE"""),"BUENO")</f>
        <v>BUENO</v>
      </c>
      <c r="C450" s="206"/>
      <c r="D450" s="206"/>
      <c r="E450" s="207"/>
      <c r="F450" s="207"/>
      <c r="G450" s="207"/>
      <c r="H450" s="207"/>
      <c r="I450" s="207"/>
      <c r="J450" s="207"/>
      <c r="K450" s="207"/>
      <c r="L450" s="207"/>
      <c r="M450" s="207"/>
      <c r="N450" s="207"/>
      <c r="O450" s="206"/>
    </row>
    <row r="451" spans="1:15" ht="30">
      <c r="A451" s="167" t="str">
        <f ca="1">IFERROR(__xludf.DUMMYFUNCTION("""COMPUTED_VALUE"""),"82DH0523010002000649663")</f>
        <v>82DH0523010002000649663</v>
      </c>
      <c r="B451" s="167" t="str">
        <f ca="1">IFERROR(__xludf.DUMMYFUNCTION("""COMPUTED_VALUE"""),"BUENO")</f>
        <v>BUENO</v>
      </c>
      <c r="C451" s="206"/>
      <c r="D451" s="206"/>
      <c r="E451" s="207"/>
      <c r="F451" s="207"/>
      <c r="G451" s="207"/>
      <c r="H451" s="207"/>
      <c r="I451" s="207"/>
      <c r="J451" s="207"/>
      <c r="K451" s="207"/>
      <c r="L451" s="207"/>
      <c r="M451" s="207"/>
      <c r="N451" s="207"/>
      <c r="O451" s="206"/>
    </row>
    <row r="452" spans="1:15" ht="30">
      <c r="A452" s="167" t="str">
        <f ca="1">IFERROR(__xludf.DUMMYFUNCTION("""COMPUTED_VALUE"""),"82DH0523010002000649662")</f>
        <v>82DH0523010002000649662</v>
      </c>
      <c r="B452" s="167" t="str">
        <f ca="1">IFERROR(__xludf.DUMMYFUNCTION("""COMPUTED_VALUE"""),"MALO")</f>
        <v>MALO</v>
      </c>
      <c r="C452" s="206"/>
      <c r="D452" s="206"/>
      <c r="E452" s="207"/>
      <c r="F452" s="207"/>
      <c r="G452" s="207"/>
      <c r="H452" s="207"/>
      <c r="I452" s="207"/>
      <c r="J452" s="207"/>
      <c r="K452" s="207"/>
      <c r="L452" s="207"/>
      <c r="M452" s="207"/>
      <c r="N452" s="207"/>
      <c r="O452" s="206"/>
    </row>
    <row r="453" spans="1:15" ht="30">
      <c r="A453" s="167" t="str">
        <f ca="1">IFERROR(__xludf.DUMMYFUNCTION("""COMPUTED_VALUE"""),"SIN RESGUARDO")</f>
        <v>SIN RESGUARDO</v>
      </c>
      <c r="B453" s="167" t="str">
        <f ca="1">IFERROR(__xludf.DUMMYFUNCTION("""COMPUTED_VALUE"""),"BUENO")</f>
        <v>BUENO</v>
      </c>
      <c r="C453" s="206"/>
      <c r="D453" s="206"/>
      <c r="E453" s="207"/>
      <c r="F453" s="207"/>
      <c r="G453" s="207"/>
      <c r="H453" s="207"/>
      <c r="I453" s="207"/>
      <c r="J453" s="207"/>
      <c r="K453" s="207"/>
      <c r="L453" s="207"/>
      <c r="M453" s="207"/>
      <c r="N453" s="207"/>
      <c r="O453" s="206"/>
    </row>
    <row r="454" spans="1:15" ht="30">
      <c r="A454" s="167" t="str">
        <f ca="1">IFERROR(__xludf.DUMMYFUNCTION("""COMPUTED_VALUE"""),"SIN RESGUARDO")</f>
        <v>SIN RESGUARDO</v>
      </c>
      <c r="B454" s="167" t="str">
        <f ca="1">IFERROR(__xludf.DUMMYFUNCTION("""COMPUTED_VALUE"""),"MALO")</f>
        <v>MALO</v>
      </c>
      <c r="C454" s="206"/>
      <c r="D454" s="206"/>
      <c r="E454" s="207"/>
      <c r="F454" s="207"/>
      <c r="G454" s="207"/>
      <c r="H454" s="207"/>
      <c r="I454" s="207"/>
      <c r="J454" s="207"/>
      <c r="K454" s="207"/>
      <c r="L454" s="207"/>
      <c r="M454" s="207"/>
      <c r="N454" s="207"/>
      <c r="O454" s="206"/>
    </row>
    <row r="455" spans="1:15" ht="30">
      <c r="A455" s="167" t="str">
        <f ca="1">IFERROR(__xludf.DUMMYFUNCTION("""COMPUTED_VALUE"""),"SIN RESGUARDO")</f>
        <v>SIN RESGUARDO</v>
      </c>
      <c r="B455" s="167" t="str">
        <f ca="1">IFERROR(__xludf.DUMMYFUNCTION("""COMPUTED_VALUE"""),"BUENO")</f>
        <v>BUENO</v>
      </c>
      <c r="C455" s="206"/>
      <c r="D455" s="206"/>
      <c r="E455" s="207"/>
      <c r="F455" s="207"/>
      <c r="G455" s="207"/>
      <c r="H455" s="207"/>
      <c r="I455" s="207"/>
      <c r="J455" s="207"/>
      <c r="K455" s="207"/>
      <c r="L455" s="207"/>
      <c r="M455" s="207"/>
      <c r="N455" s="207"/>
      <c r="O455" s="206"/>
    </row>
    <row r="456" spans="1:15" ht="30">
      <c r="A456" s="167" t="str">
        <f ca="1">IFERROR(__xludf.DUMMYFUNCTION("""COMPUTED_VALUE"""),"SIN RESGUARDO")</f>
        <v>SIN RESGUARDO</v>
      </c>
      <c r="B456" s="167" t="str">
        <f ca="1">IFERROR(__xludf.DUMMYFUNCTION("""COMPUTED_VALUE"""),"BUENO")</f>
        <v>BUENO</v>
      </c>
      <c r="C456" s="206"/>
      <c r="D456" s="206"/>
      <c r="E456" s="207"/>
      <c r="F456" s="207"/>
      <c r="G456" s="207"/>
      <c r="H456" s="207"/>
      <c r="I456" s="207"/>
      <c r="J456" s="207"/>
      <c r="K456" s="207"/>
      <c r="L456" s="207"/>
      <c r="M456" s="207"/>
      <c r="N456" s="207"/>
      <c r="O456" s="206"/>
    </row>
    <row r="457" spans="1:15" ht="30">
      <c r="A457" s="167" t="str">
        <f ca="1">IFERROR(__xludf.DUMMYFUNCTION("""COMPUTED_VALUE"""),"82DH0515010022000651131")</f>
        <v>82DH0515010022000651131</v>
      </c>
      <c r="B457" s="167" t="str">
        <f ca="1">IFERROR(__xludf.DUMMYFUNCTION("""COMPUTED_VALUE"""),"BUENO")</f>
        <v>BUENO</v>
      </c>
      <c r="C457" s="206"/>
      <c r="D457" s="206"/>
      <c r="E457" s="207"/>
      <c r="F457" s="207"/>
      <c r="G457" s="207"/>
      <c r="H457" s="207"/>
      <c r="I457" s="207"/>
      <c r="J457" s="207"/>
      <c r="K457" s="207"/>
      <c r="L457" s="207"/>
      <c r="M457" s="207"/>
      <c r="N457" s="207"/>
      <c r="O457" s="206"/>
    </row>
    <row r="458" spans="1:15" ht="30">
      <c r="A458" s="167" t="str">
        <f ca="1">IFERROR(__xludf.DUMMYFUNCTION("""COMPUTED_VALUE"""),"82DJ0565010001000649698")</f>
        <v>82DJ0565010001000649698</v>
      </c>
      <c r="B458" s="167" t="str">
        <f ca="1">IFERROR(__xludf.DUMMYFUNCTION("""COMPUTED_VALUE"""),"BUENO")</f>
        <v>BUENO</v>
      </c>
      <c r="C458" s="206"/>
      <c r="D458" s="206"/>
      <c r="E458" s="207"/>
      <c r="F458" s="207"/>
      <c r="G458" s="207"/>
      <c r="H458" s="207"/>
      <c r="I458" s="207"/>
      <c r="J458" s="207"/>
      <c r="K458" s="207"/>
      <c r="L458" s="207"/>
      <c r="M458" s="207"/>
      <c r="N458" s="207"/>
      <c r="O458" s="206"/>
    </row>
    <row r="459" spans="1:15" ht="30">
      <c r="A459" s="167" t="str">
        <f ca="1">IFERROR(__xludf.DUMMYFUNCTION("""COMPUTED_VALUE"""),"82DJ0515010020000650647")</f>
        <v>82DJ0515010020000650647</v>
      </c>
      <c r="B459" s="167" t="str">
        <f ca="1">IFERROR(__xludf.DUMMYFUNCTION("""COMPUTED_VALUE"""),"BUENO")</f>
        <v>BUENO</v>
      </c>
      <c r="C459" s="206"/>
      <c r="D459" s="206"/>
      <c r="E459" s="207"/>
      <c r="F459" s="207"/>
      <c r="G459" s="207"/>
      <c r="H459" s="207"/>
      <c r="I459" s="207"/>
      <c r="J459" s="207"/>
      <c r="K459" s="207"/>
      <c r="L459" s="207"/>
      <c r="M459" s="207"/>
      <c r="N459" s="207"/>
      <c r="O459" s="206"/>
    </row>
    <row r="460" spans="1:15" ht="30">
      <c r="A460" s="167" t="str">
        <f ca="1">IFERROR(__xludf.DUMMYFUNCTION("""COMPUTED_VALUE"""),"82DJ0511010006000518509")</f>
        <v>82DJ0511010006000518509</v>
      </c>
      <c r="B460" s="167" t="str">
        <f ca="1">IFERROR(__xludf.DUMMYFUNCTION("""COMPUTED_VALUE"""),"BUENO")</f>
        <v>BUENO</v>
      </c>
      <c r="C460" s="206"/>
      <c r="D460" s="206"/>
      <c r="E460" s="207"/>
      <c r="F460" s="207"/>
      <c r="G460" s="207"/>
      <c r="H460" s="207"/>
      <c r="I460" s="207"/>
      <c r="J460" s="207"/>
      <c r="K460" s="207"/>
      <c r="L460" s="207"/>
      <c r="M460" s="207"/>
      <c r="N460" s="207"/>
      <c r="O460" s="206"/>
    </row>
    <row r="461" spans="1:15" ht="30">
      <c r="A461" s="167" t="str">
        <f ca="1">IFERROR(__xludf.DUMMYFUNCTION("""COMPUTED_VALUE"""),"82DJ0511010016000649697")</f>
        <v>82DJ0511010016000649697</v>
      </c>
      <c r="B461" s="167" t="str">
        <f ca="1">IFERROR(__xludf.DUMMYFUNCTION("""COMPUTED_VALUE"""),"BUENO")</f>
        <v>BUENO</v>
      </c>
      <c r="C461" s="206"/>
      <c r="D461" s="206"/>
      <c r="E461" s="207"/>
      <c r="F461" s="207"/>
      <c r="G461" s="207"/>
      <c r="H461" s="207"/>
      <c r="I461" s="207"/>
      <c r="J461" s="207"/>
      <c r="K461" s="207"/>
      <c r="L461" s="207"/>
      <c r="M461" s="207"/>
      <c r="N461" s="207"/>
      <c r="O461" s="206"/>
    </row>
    <row r="462" spans="1:15" ht="30">
      <c r="A462" s="167" t="str">
        <f ca="1">IFERROR(__xludf.DUMMYFUNCTION("""COMPUTED_VALUE"""),"82DJ0511010017000649555")</f>
        <v>82DJ0511010017000649555</v>
      </c>
      <c r="B462" s="167" t="str">
        <f ca="1">IFERROR(__xludf.DUMMYFUNCTION("""COMPUTED_VALUE"""),"BUENO")</f>
        <v>BUENO</v>
      </c>
      <c r="C462" s="206"/>
      <c r="D462" s="206"/>
      <c r="E462" s="207"/>
      <c r="F462" s="207"/>
      <c r="G462" s="207"/>
      <c r="H462" s="207"/>
      <c r="I462" s="207"/>
      <c r="J462" s="207"/>
      <c r="K462" s="207"/>
      <c r="L462" s="207"/>
      <c r="M462" s="207"/>
      <c r="N462" s="207"/>
      <c r="O462" s="206"/>
    </row>
    <row r="463" spans="1:15" ht="30">
      <c r="A463" s="167" t="str">
        <f ca="1">IFERROR(__xludf.DUMMYFUNCTION("""COMPUTED_VALUE"""),"82DJ0511010017000649696")</f>
        <v>82DJ0511010017000649696</v>
      </c>
      <c r="B463" s="167" t="str">
        <f ca="1">IFERROR(__xludf.DUMMYFUNCTION("""COMPUTED_VALUE"""),"BUENO")</f>
        <v>BUENO</v>
      </c>
      <c r="C463" s="206"/>
      <c r="D463" s="206"/>
      <c r="E463" s="207"/>
      <c r="F463" s="207"/>
      <c r="G463" s="207"/>
      <c r="H463" s="207"/>
      <c r="I463" s="207"/>
      <c r="J463" s="207"/>
      <c r="K463" s="207"/>
      <c r="L463" s="207"/>
      <c r="M463" s="207"/>
      <c r="N463" s="207"/>
      <c r="O463" s="206"/>
    </row>
    <row r="464" spans="1:15" ht="30">
      <c r="A464" s="167" t="str">
        <f ca="1">IFERROR(__xludf.DUMMYFUNCTION("""COMPUTED_VALUE"""),"82DJ0511010020000649694")</f>
        <v>82DJ0511010020000649694</v>
      </c>
      <c r="B464" s="167" t="str">
        <f ca="1">IFERROR(__xludf.DUMMYFUNCTION("""COMPUTED_VALUE"""),"BUENO")</f>
        <v>BUENO</v>
      </c>
      <c r="C464" s="206"/>
      <c r="D464" s="206"/>
      <c r="E464" s="207"/>
      <c r="F464" s="207"/>
      <c r="G464" s="207"/>
      <c r="H464" s="207"/>
      <c r="I464" s="207"/>
      <c r="J464" s="207"/>
      <c r="K464" s="207"/>
      <c r="L464" s="207"/>
      <c r="M464" s="207"/>
      <c r="N464" s="207"/>
      <c r="O464" s="206"/>
    </row>
    <row r="465" spans="1:15" ht="30">
      <c r="A465" s="167" t="str">
        <f ca="1">IFERROR(__xludf.DUMMYFUNCTION("""COMPUTED_VALUE"""),"82DJ0511010001000649693")</f>
        <v>82DJ0511010001000649693</v>
      </c>
      <c r="B465" s="167" t="str">
        <f ca="1">IFERROR(__xludf.DUMMYFUNCTION("""COMPUTED_VALUE"""),"BUENO")</f>
        <v>BUENO</v>
      </c>
      <c r="C465" s="206"/>
      <c r="D465" s="206"/>
      <c r="E465" s="207"/>
      <c r="F465" s="207"/>
      <c r="G465" s="207"/>
      <c r="H465" s="207"/>
      <c r="I465" s="207"/>
      <c r="J465" s="207"/>
      <c r="K465" s="207"/>
      <c r="L465" s="207"/>
      <c r="M465" s="207"/>
      <c r="N465" s="207"/>
      <c r="O465" s="206"/>
    </row>
    <row r="466" spans="1:15" ht="30">
      <c r="A466" s="167" t="str">
        <f ca="1">IFERROR(__xludf.DUMMYFUNCTION("""COMPUTED_VALUE"""),".")</f>
        <v>.</v>
      </c>
      <c r="B466" s="167" t="str">
        <f ca="1">IFERROR(__xludf.DUMMYFUNCTION("""COMPUTED_VALUE"""),"MALO PARA BAJA")</f>
        <v>MALO PARA BAJA</v>
      </c>
      <c r="C466" s="206"/>
      <c r="D466" s="206"/>
      <c r="E466" s="207"/>
      <c r="F466" s="207"/>
      <c r="G466" s="207"/>
      <c r="H466" s="207"/>
      <c r="I466" s="207"/>
      <c r="J466" s="207"/>
      <c r="K466" s="207"/>
      <c r="L466" s="207"/>
      <c r="M466" s="207"/>
      <c r="N466" s="207"/>
      <c r="O466" s="206"/>
    </row>
    <row r="467" spans="1:15" ht="30">
      <c r="A467" s="167" t="str">
        <f ca="1">IFERROR(__xludf.DUMMYFUNCTION("""COMPUTED_VALUE"""),"82DJ0511010017000516236")</f>
        <v>82DJ0511010017000516236</v>
      </c>
      <c r="B467" s="167" t="str">
        <f ca="1">IFERROR(__xludf.DUMMYFUNCTION("""COMPUTED_VALUE"""),"BUENO")</f>
        <v>BUENO</v>
      </c>
      <c r="C467" s="206"/>
      <c r="D467" s="206"/>
      <c r="E467" s="207"/>
      <c r="F467" s="207"/>
      <c r="G467" s="207"/>
      <c r="H467" s="207"/>
      <c r="I467" s="207"/>
      <c r="J467" s="207"/>
      <c r="K467" s="207"/>
      <c r="L467" s="207"/>
      <c r="M467" s="207"/>
      <c r="N467" s="207"/>
      <c r="O467" s="206"/>
    </row>
    <row r="468" spans="1:15" ht="30">
      <c r="A468" s="167" t="str">
        <f ca="1">IFERROR(__xludf.DUMMYFUNCTION("""COMPUTED_VALUE"""),"82DJ0515010001000650659")</f>
        <v>82DJ0515010001000650659</v>
      </c>
      <c r="B468" s="167" t="str">
        <f ca="1">IFERROR(__xludf.DUMMYFUNCTION("""COMPUTED_VALUE"""),"BUENO")</f>
        <v>BUENO</v>
      </c>
      <c r="C468" s="206"/>
      <c r="D468" s="206"/>
      <c r="E468" s="207"/>
      <c r="F468" s="207"/>
      <c r="G468" s="207"/>
      <c r="H468" s="207"/>
      <c r="I468" s="207"/>
      <c r="J468" s="207"/>
      <c r="K468" s="207"/>
      <c r="L468" s="207"/>
      <c r="M468" s="207"/>
      <c r="N468" s="207"/>
      <c r="O468" s="206"/>
    </row>
    <row r="469" spans="1:15" ht="30">
      <c r="A469" s="167" t="str">
        <f ca="1">IFERROR(__xludf.DUMMYFUNCTION("""COMPUTED_VALUE"""),"82DJ0515010013000650649")</f>
        <v>82DJ0515010013000650649</v>
      </c>
      <c r="B469" s="167" t="str">
        <f ca="1">IFERROR(__xludf.DUMMYFUNCTION("""COMPUTED_VALUE"""),"BUENO")</f>
        <v>BUENO</v>
      </c>
      <c r="C469" s="206"/>
      <c r="D469" s="206"/>
      <c r="E469" s="207"/>
      <c r="F469" s="207"/>
      <c r="G469" s="207"/>
      <c r="H469" s="207"/>
      <c r="I469" s="207"/>
      <c r="J469" s="207"/>
      <c r="K469" s="207"/>
      <c r="L469" s="207"/>
      <c r="M469" s="207"/>
      <c r="N469" s="207"/>
      <c r="O469" s="206"/>
    </row>
    <row r="470" spans="1:15" ht="30">
      <c r="A470" s="167" t="str">
        <f ca="1">IFERROR(__xludf.DUMMYFUNCTION("""COMPUTED_VALUE"""),"82DJ0511010006000649494")</f>
        <v>82DJ0511010006000649494</v>
      </c>
      <c r="B470" s="167" t="str">
        <f ca="1">IFERROR(__xludf.DUMMYFUNCTION("""COMPUTED_VALUE"""),"BUENO")</f>
        <v>BUENO</v>
      </c>
      <c r="C470" s="206"/>
      <c r="D470" s="206"/>
      <c r="E470" s="207"/>
      <c r="F470" s="207"/>
      <c r="G470" s="207"/>
      <c r="H470" s="207"/>
      <c r="I470" s="207"/>
      <c r="J470" s="207"/>
      <c r="K470" s="207"/>
      <c r="L470" s="207"/>
      <c r="M470" s="207"/>
      <c r="N470" s="207"/>
      <c r="O470" s="206"/>
    </row>
    <row r="471" spans="1:15" ht="30">
      <c r="A471" s="167" t="str">
        <f ca="1">IFERROR(__xludf.DUMMYFUNCTION("""COMPUTED_VALUE"""),"SIN RESGUARDO")</f>
        <v>SIN RESGUARDO</v>
      </c>
      <c r="B471" s="167" t="str">
        <f ca="1">IFERROR(__xludf.DUMMYFUNCTION("""COMPUTED_VALUE"""),"BUENO")</f>
        <v>BUENO</v>
      </c>
      <c r="C471" s="206"/>
      <c r="D471" s="206"/>
      <c r="E471" s="207"/>
      <c r="F471" s="207"/>
      <c r="G471" s="207"/>
      <c r="H471" s="207"/>
      <c r="I471" s="207"/>
      <c r="J471" s="207"/>
      <c r="K471" s="207"/>
      <c r="L471" s="207"/>
      <c r="M471" s="207"/>
      <c r="N471" s="207"/>
      <c r="O471" s="206"/>
    </row>
    <row r="472" spans="1:15" ht="30">
      <c r="A472" s="167" t="str">
        <f ca="1">IFERROR(__xludf.DUMMYFUNCTION("""COMPUTED_VALUE"""),"82DJ0515010020000650896")</f>
        <v>82DJ0515010020000650896</v>
      </c>
      <c r="B472" s="167" t="str">
        <f ca="1">IFERROR(__xludf.DUMMYFUNCTION("""COMPUTED_VALUE"""),"ALMACEN")</f>
        <v>ALMACEN</v>
      </c>
      <c r="C472" s="206"/>
      <c r="D472" s="206"/>
      <c r="E472" s="207"/>
      <c r="F472" s="207"/>
      <c r="G472" s="207"/>
      <c r="H472" s="207"/>
      <c r="I472" s="207"/>
      <c r="J472" s="207"/>
      <c r="K472" s="207"/>
      <c r="L472" s="207"/>
      <c r="M472" s="207"/>
      <c r="N472" s="207"/>
      <c r="O472" s="206"/>
    </row>
    <row r="473" spans="1:15" ht="30">
      <c r="A473" s="167" t="str">
        <f ca="1">IFERROR(__xludf.DUMMYFUNCTION("""COMPUTED_VALUE"""),"82DJ0531010065000564790")</f>
        <v>82DJ0531010065000564790</v>
      </c>
      <c r="B473" s="167" t="str">
        <f ca="1">IFERROR(__xludf.DUMMYFUNCTION("""COMPUTED_VALUE"""),"BUENO")</f>
        <v>BUENO</v>
      </c>
      <c r="C473" s="206"/>
      <c r="D473" s="206"/>
      <c r="E473" s="207"/>
      <c r="F473" s="207"/>
      <c r="G473" s="207"/>
      <c r="H473" s="207"/>
      <c r="I473" s="207"/>
      <c r="J473" s="207"/>
      <c r="K473" s="207"/>
      <c r="L473" s="207"/>
      <c r="M473" s="207"/>
      <c r="N473" s="207"/>
      <c r="O473" s="206"/>
    </row>
    <row r="474" spans="1:15" ht="30">
      <c r="A474" s="167" t="str">
        <f ca="1">IFERROR(__xludf.DUMMYFUNCTION("""COMPUTED_VALUE"""),"82DJ0511010006000649700")</f>
        <v>82DJ0511010006000649700</v>
      </c>
      <c r="B474" s="167" t="str">
        <f ca="1">IFERROR(__xludf.DUMMYFUNCTION("""COMPUTED_VALUE"""),"BUENO")</f>
        <v>BUENO</v>
      </c>
      <c r="C474" s="206"/>
      <c r="D474" s="206"/>
      <c r="E474" s="207"/>
      <c r="F474" s="207"/>
      <c r="G474" s="207"/>
      <c r="H474" s="207"/>
      <c r="I474" s="207"/>
      <c r="J474" s="207"/>
      <c r="K474" s="207"/>
      <c r="L474" s="207"/>
      <c r="M474" s="207"/>
      <c r="N474" s="207"/>
      <c r="O474" s="206"/>
    </row>
    <row r="475" spans="1:15" ht="30">
      <c r="A475" s="167" t="str">
        <f ca="1">IFERROR(__xludf.DUMMYFUNCTION("""COMPUTED_VALUE"""),"82DJ0515010003000649699")</f>
        <v>82DJ0515010003000649699</v>
      </c>
      <c r="B475" s="167" t="str">
        <f ca="1">IFERROR(__xludf.DUMMYFUNCTION("""COMPUTED_VALUE"""),"MALO")</f>
        <v>MALO</v>
      </c>
      <c r="C475" s="206"/>
      <c r="D475" s="206"/>
      <c r="E475" s="207"/>
      <c r="F475" s="207"/>
      <c r="G475" s="207"/>
      <c r="H475" s="207"/>
      <c r="I475" s="207"/>
      <c r="J475" s="207"/>
      <c r="K475" s="207"/>
      <c r="L475" s="207"/>
      <c r="M475" s="207"/>
      <c r="N475" s="207"/>
      <c r="O475" s="206"/>
    </row>
    <row r="476" spans="1:15" ht="30">
      <c r="A476" s="167" t="str">
        <f ca="1">IFERROR(__xludf.DUMMYFUNCTION("""COMPUTED_VALUE"""),"82DJ0515010016000649433")</f>
        <v>82DJ0515010016000649433</v>
      </c>
      <c r="B476" s="167" t="str">
        <f ca="1">IFERROR(__xludf.DUMMYFUNCTION("""COMPUTED_VALUE"""),"BUENO")</f>
        <v>BUENO</v>
      </c>
      <c r="C476" s="206"/>
      <c r="D476" s="206"/>
      <c r="E476" s="207"/>
      <c r="F476" s="207"/>
      <c r="G476" s="207"/>
      <c r="H476" s="207"/>
      <c r="I476" s="207"/>
      <c r="J476" s="207"/>
      <c r="K476" s="207"/>
      <c r="L476" s="207"/>
      <c r="M476" s="207"/>
      <c r="N476" s="207"/>
      <c r="O476" s="206"/>
    </row>
    <row r="477" spans="1:15" ht="30">
      <c r="A477" s="167" t="str">
        <f ca="1">IFERROR(__xludf.DUMMYFUNCTION("""COMPUTED_VALUE"""),"82DJ0515010033000566421")</f>
        <v>82DJ0515010033000566421</v>
      </c>
      <c r="B477" s="167" t="str">
        <f ca="1">IFERROR(__xludf.DUMMYFUNCTION("""COMPUTED_VALUE"""),"BUENO")</f>
        <v>BUENO</v>
      </c>
      <c r="C477" s="206"/>
      <c r="D477" s="206"/>
      <c r="E477" s="207"/>
      <c r="F477" s="207"/>
      <c r="G477" s="207"/>
      <c r="H477" s="207"/>
      <c r="I477" s="207"/>
      <c r="J477" s="207"/>
      <c r="K477" s="207"/>
      <c r="L477" s="207"/>
      <c r="M477" s="207"/>
      <c r="N477" s="207"/>
      <c r="O477" s="206"/>
    </row>
    <row r="478" spans="1:15" ht="30">
      <c r="A478" s="167" t="str">
        <f ca="1">IFERROR(__xludf.DUMMYFUNCTION("""COMPUTED_VALUE"""),"82DJ0565010041000539110")</f>
        <v>82DJ0565010041000539110</v>
      </c>
      <c r="B478" s="167" t="str">
        <f ca="1">IFERROR(__xludf.DUMMYFUNCTION("""COMPUTED_VALUE"""),"BUENO")</f>
        <v>BUENO</v>
      </c>
      <c r="C478" s="206"/>
      <c r="D478" s="206"/>
      <c r="E478" s="207"/>
      <c r="F478" s="207"/>
      <c r="G478" s="207"/>
      <c r="H478" s="207"/>
      <c r="I478" s="207"/>
      <c r="J478" s="207"/>
      <c r="K478" s="207"/>
      <c r="L478" s="207"/>
      <c r="M478" s="207"/>
      <c r="N478" s="207"/>
      <c r="O478" s="206"/>
    </row>
    <row r="479" spans="1:15" ht="30">
      <c r="A479" s="167" t="str">
        <f ca="1">IFERROR(__xludf.DUMMYFUNCTION("""COMPUTED_VALUE"""),"82DJ0511010017000649695")</f>
        <v>82DJ0511010017000649695</v>
      </c>
      <c r="B479" s="167" t="str">
        <f ca="1">IFERROR(__xludf.DUMMYFUNCTION("""COMPUTED_VALUE"""),"BUENO")</f>
        <v>BUENO</v>
      </c>
      <c r="C479" s="206"/>
      <c r="D479" s="206"/>
      <c r="E479" s="207"/>
      <c r="F479" s="207"/>
      <c r="G479" s="207"/>
      <c r="H479" s="207"/>
      <c r="I479" s="207"/>
      <c r="J479" s="207"/>
      <c r="K479" s="207"/>
      <c r="L479" s="207"/>
      <c r="M479" s="207"/>
      <c r="N479" s="207"/>
      <c r="O479" s="206"/>
    </row>
    <row r="480" spans="1:15" ht="30">
      <c r="A480" s="167" t="str">
        <f ca="1">IFERROR(__xludf.DUMMYFUNCTION("""COMPUTED_VALUE"""),"82DJ0511010016000515601")</f>
        <v>82DJ0511010016000515601</v>
      </c>
      <c r="B480" s="167" t="str">
        <f ca="1">IFERROR(__xludf.DUMMYFUNCTION("""COMPUTED_VALUE"""),"BUENO")</f>
        <v>BUENO</v>
      </c>
      <c r="C480" s="206"/>
      <c r="D480" s="206"/>
      <c r="E480" s="207"/>
      <c r="F480" s="207"/>
      <c r="G480" s="207"/>
      <c r="H480" s="207"/>
      <c r="I480" s="207"/>
      <c r="J480" s="207"/>
      <c r="K480" s="207"/>
      <c r="L480" s="207"/>
      <c r="M480" s="207"/>
      <c r="N480" s="207"/>
      <c r="O480" s="206"/>
    </row>
    <row r="481" spans="1:15" ht="30">
      <c r="A481" s="167" t="str">
        <f ca="1">IFERROR(__xludf.DUMMYFUNCTION("""COMPUTED_VALUE"""),"SIN RESGUARDO")</f>
        <v>SIN RESGUARDO</v>
      </c>
      <c r="B481" s="167" t="str">
        <f ca="1">IFERROR(__xludf.DUMMYFUNCTION("""COMPUTED_VALUE"""),"BUENO")</f>
        <v>BUENO</v>
      </c>
      <c r="C481" s="206"/>
      <c r="D481" s="206"/>
      <c r="E481" s="207"/>
      <c r="F481" s="207"/>
      <c r="G481" s="207"/>
      <c r="H481" s="207"/>
      <c r="I481" s="207"/>
      <c r="J481" s="207"/>
      <c r="K481" s="207"/>
      <c r="L481" s="207"/>
      <c r="M481" s="207"/>
      <c r="N481" s="207"/>
      <c r="O481" s="206"/>
    </row>
    <row r="482" spans="1:15" ht="30">
      <c r="A482" s="167" t="str">
        <f ca="1">IFERROR(__xludf.DUMMYFUNCTION("""COMPUTED_VALUE"""),"82DJ0511010009000584161")</f>
        <v>82DJ0511010009000584161</v>
      </c>
      <c r="B482" s="167" t="str">
        <f ca="1">IFERROR(__xludf.DUMMYFUNCTION("""COMPUTED_VALUE"""),"BUENO")</f>
        <v>BUENO</v>
      </c>
      <c r="C482" s="206"/>
      <c r="D482" s="206"/>
      <c r="E482" s="207"/>
      <c r="F482" s="207"/>
      <c r="G482" s="207"/>
      <c r="H482" s="207"/>
      <c r="I482" s="207"/>
      <c r="J482" s="207"/>
      <c r="K482" s="207"/>
      <c r="L482" s="207"/>
      <c r="M482" s="207"/>
      <c r="N482" s="207"/>
      <c r="O482" s="206"/>
    </row>
    <row r="483" spans="1:15" ht="30">
      <c r="A483" s="167" t="str">
        <f ca="1">IFERROR(__xludf.DUMMYFUNCTION("""COMPUTED_VALUE"""),"82DJ0519010043000649551")</f>
        <v>82DJ0519010043000649551</v>
      </c>
      <c r="B483" s="167" t="str">
        <f ca="1">IFERROR(__xludf.DUMMYFUNCTION("""COMPUTED_VALUE"""),"MALO")</f>
        <v>MALO</v>
      </c>
      <c r="C483" s="206"/>
      <c r="D483" s="206"/>
      <c r="E483" s="207"/>
      <c r="F483" s="207"/>
      <c r="G483" s="207"/>
      <c r="H483" s="207"/>
      <c r="I483" s="207"/>
      <c r="J483" s="207"/>
      <c r="K483" s="207"/>
      <c r="L483" s="207"/>
      <c r="M483" s="207"/>
      <c r="N483" s="207"/>
      <c r="O483" s="206"/>
    </row>
    <row r="484" spans="1:15" ht="30">
      <c r="A484" s="167" t="str">
        <f ca="1">IFERROR(__xludf.DUMMYFUNCTION("""COMPUTED_VALUE"""),"82DJ0531010065000564798")</f>
        <v>82DJ0531010065000564798</v>
      </c>
      <c r="B484" s="167" t="str">
        <f ca="1">IFERROR(__xludf.DUMMYFUNCTION("""COMPUTED_VALUE"""),"BUENO")</f>
        <v>BUENO</v>
      </c>
      <c r="C484" s="206"/>
      <c r="D484" s="206"/>
      <c r="E484" s="207"/>
      <c r="F484" s="207"/>
      <c r="G484" s="207"/>
      <c r="H484" s="207"/>
      <c r="I484" s="207"/>
      <c r="J484" s="207"/>
      <c r="K484" s="207"/>
      <c r="L484" s="207"/>
      <c r="M484" s="207"/>
      <c r="N484" s="207"/>
      <c r="O484" s="206"/>
    </row>
    <row r="485" spans="1:15" ht="30">
      <c r="A485" s="167" t="str">
        <f ca="1">IFERROR(__xludf.DUMMYFUNCTION("""COMPUTED_VALUE"""),"82DJ0511010001000649533")</f>
        <v>82DJ0511010001000649533</v>
      </c>
      <c r="B485" s="167" t="str">
        <f ca="1">IFERROR(__xludf.DUMMYFUNCTION("""COMPUTED_VALUE"""),"BUENO")</f>
        <v>BUENO</v>
      </c>
      <c r="C485" s="206"/>
      <c r="D485" s="206"/>
      <c r="E485" s="207"/>
      <c r="F485" s="207"/>
      <c r="G485" s="207"/>
      <c r="H485" s="207"/>
      <c r="I485" s="207"/>
      <c r="J485" s="207"/>
      <c r="K485" s="207"/>
      <c r="L485" s="207"/>
      <c r="M485" s="207"/>
      <c r="N485" s="207"/>
      <c r="O485" s="206"/>
    </row>
    <row r="486" spans="1:15" ht="30">
      <c r="A486" s="167" t="str">
        <f ca="1">IFERROR(__xludf.DUMMYFUNCTION("""COMPUTED_VALUE"""),"82DJ0511010028000584044")</f>
        <v>82DJ0511010028000584044</v>
      </c>
      <c r="B486" s="167" t="str">
        <f ca="1">IFERROR(__xludf.DUMMYFUNCTION("""COMPUTED_VALUE"""),"BUENO")</f>
        <v>BUENO</v>
      </c>
      <c r="C486" s="206"/>
      <c r="D486" s="206"/>
      <c r="E486" s="207"/>
      <c r="F486" s="207"/>
      <c r="G486" s="207"/>
      <c r="H486" s="207"/>
      <c r="I486" s="207"/>
      <c r="J486" s="207"/>
      <c r="K486" s="207"/>
      <c r="L486" s="207"/>
      <c r="M486" s="207"/>
      <c r="N486" s="207"/>
      <c r="O486" s="206"/>
    </row>
    <row r="487" spans="1:15" ht="30">
      <c r="A487" s="167" t="str">
        <f ca="1">IFERROR(__xludf.DUMMYFUNCTION("""COMPUTED_VALUE"""),"82DJ0515010003000649379")</f>
        <v>82DJ0515010003000649379</v>
      </c>
      <c r="B487" s="167" t="str">
        <f ca="1">IFERROR(__xludf.DUMMYFUNCTION("""COMPUTED_VALUE"""),"BAJA")</f>
        <v>BAJA</v>
      </c>
      <c r="C487" s="206"/>
      <c r="D487" s="206"/>
      <c r="E487" s="207"/>
      <c r="F487" s="207"/>
      <c r="G487" s="207"/>
      <c r="H487" s="207"/>
      <c r="I487" s="207"/>
      <c r="J487" s="207"/>
      <c r="K487" s="207"/>
      <c r="L487" s="207"/>
      <c r="M487" s="207"/>
      <c r="N487" s="207"/>
      <c r="O487" s="206"/>
    </row>
    <row r="488" spans="1:15" ht="30">
      <c r="A488" s="167" t="str">
        <f ca="1">IFERROR(__xludf.DUMMYFUNCTION("""COMPUTED_VALUE"""),"82DJ0511010020000649536")</f>
        <v>82DJ0511010020000649536</v>
      </c>
      <c r="B488" s="167" t="str">
        <f ca="1">IFERROR(__xludf.DUMMYFUNCTION("""COMPUTED_VALUE"""),"BUENO")</f>
        <v>BUENO</v>
      </c>
      <c r="C488" s="206"/>
      <c r="D488" s="206"/>
      <c r="E488" s="207"/>
      <c r="F488" s="207"/>
      <c r="G488" s="207"/>
      <c r="H488" s="207"/>
      <c r="I488" s="207"/>
      <c r="J488" s="207"/>
      <c r="K488" s="207"/>
      <c r="L488" s="207"/>
      <c r="M488" s="207"/>
      <c r="N488" s="207"/>
      <c r="O488" s="206"/>
    </row>
    <row r="489" spans="1:15" ht="30">
      <c r="A489" s="167" t="str">
        <f ca="1">IFERROR(__xludf.DUMMYFUNCTION("""COMPUTED_VALUE"""),"82DJ0511010017000649538")</f>
        <v>82DJ0511010017000649538</v>
      </c>
      <c r="B489" s="167" t="str">
        <f ca="1">IFERROR(__xludf.DUMMYFUNCTION("""COMPUTED_VALUE"""),"BUENO")</f>
        <v>BUENO</v>
      </c>
      <c r="C489" s="206"/>
      <c r="D489" s="206"/>
      <c r="E489" s="207"/>
      <c r="F489" s="207"/>
      <c r="G489" s="207"/>
      <c r="H489" s="207"/>
      <c r="I489" s="207"/>
      <c r="J489" s="207"/>
      <c r="K489" s="207"/>
      <c r="L489" s="207"/>
      <c r="M489" s="207"/>
      <c r="N489" s="207"/>
      <c r="O489" s="206"/>
    </row>
    <row r="490" spans="1:15" ht="30">
      <c r="A490" s="167" t="str">
        <f ca="1">IFERROR(__xludf.DUMMYFUNCTION("""COMPUTED_VALUE"""),"82DJ0531010065000564777")</f>
        <v>82DJ0531010065000564777</v>
      </c>
      <c r="B490" s="167" t="str">
        <f ca="1">IFERROR(__xludf.DUMMYFUNCTION("""COMPUTED_VALUE"""),"BUENO")</f>
        <v>BUENO</v>
      </c>
      <c r="C490" s="206"/>
      <c r="D490" s="206"/>
      <c r="E490" s="207"/>
      <c r="F490" s="207"/>
      <c r="G490" s="207"/>
      <c r="H490" s="207"/>
      <c r="I490" s="207"/>
      <c r="J490" s="207"/>
      <c r="K490" s="207"/>
      <c r="L490" s="207"/>
      <c r="M490" s="207"/>
      <c r="N490" s="207"/>
      <c r="O490" s="206"/>
    </row>
    <row r="491" spans="1:15" ht="30">
      <c r="A491" s="167" t="str">
        <f ca="1">IFERROR(__xludf.DUMMYFUNCTION("""COMPUTED_VALUE"""),"82DJ0511010010000649543")</f>
        <v>82DJ0511010010000649543</v>
      </c>
      <c r="B491" s="167" t="str">
        <f ca="1">IFERROR(__xludf.DUMMYFUNCTION("""COMPUTED_VALUE"""),"BUENO")</f>
        <v>BUENO</v>
      </c>
      <c r="C491" s="206"/>
      <c r="D491" s="206"/>
      <c r="E491" s="207"/>
      <c r="F491" s="207"/>
      <c r="G491" s="207"/>
      <c r="H491" s="207"/>
      <c r="I491" s="207"/>
      <c r="J491" s="207"/>
      <c r="K491" s="207"/>
      <c r="L491" s="207"/>
      <c r="M491" s="207"/>
      <c r="N491" s="207"/>
      <c r="O491" s="206"/>
    </row>
    <row r="492" spans="1:15" ht="30">
      <c r="A492" s="167" t="str">
        <f ca="1">IFERROR(__xludf.DUMMYFUNCTION("""COMPUTED_VALUE"""),"82DJ0511010016000515608")</f>
        <v>82DJ0511010016000515608</v>
      </c>
      <c r="B492" s="167" t="str">
        <f ca="1">IFERROR(__xludf.DUMMYFUNCTION("""COMPUTED_VALUE"""),"BUENO")</f>
        <v>BUENO</v>
      </c>
      <c r="C492" s="206"/>
      <c r="D492" s="206"/>
      <c r="E492" s="207"/>
      <c r="F492" s="207"/>
      <c r="G492" s="207"/>
      <c r="H492" s="207"/>
      <c r="I492" s="207"/>
      <c r="J492" s="207"/>
      <c r="K492" s="207"/>
      <c r="L492" s="207"/>
      <c r="M492" s="207"/>
      <c r="N492" s="207"/>
      <c r="O492" s="206"/>
    </row>
    <row r="493" spans="1:15" ht="30">
      <c r="A493" s="167" t="str">
        <f ca="1">IFERROR(__xludf.DUMMYFUNCTION("""COMPUTED_VALUE"""),"82DJ0511010016000515609")</f>
        <v>82DJ0511010016000515609</v>
      </c>
      <c r="B493" s="167" t="str">
        <f ca="1">IFERROR(__xludf.DUMMYFUNCTION("""COMPUTED_VALUE"""),"BUENO")</f>
        <v>BUENO</v>
      </c>
      <c r="C493" s="206"/>
      <c r="D493" s="206"/>
      <c r="E493" s="207"/>
      <c r="F493" s="207"/>
      <c r="G493" s="207"/>
      <c r="H493" s="207"/>
      <c r="I493" s="207"/>
      <c r="J493" s="207"/>
      <c r="K493" s="207"/>
      <c r="L493" s="207"/>
      <c r="M493" s="207"/>
      <c r="N493" s="207"/>
      <c r="O493" s="206"/>
    </row>
    <row r="494" spans="1:15" ht="30">
      <c r="A494" s="167" t="str">
        <f ca="1">IFERROR(__xludf.DUMMYFUNCTION("""COMPUTED_VALUE"""),"82DJ0512010018000565672")</f>
        <v>82DJ0512010018000565672</v>
      </c>
      <c r="B494" s="167" t="str">
        <f ca="1">IFERROR(__xludf.DUMMYFUNCTION("""COMPUTED_VALUE"""),"BUENO")</f>
        <v>BUENO</v>
      </c>
      <c r="C494" s="206"/>
      <c r="D494" s="206"/>
      <c r="E494" s="207"/>
      <c r="F494" s="207"/>
      <c r="G494" s="207"/>
      <c r="H494" s="207"/>
      <c r="I494" s="207"/>
      <c r="J494" s="207"/>
      <c r="K494" s="207"/>
      <c r="L494" s="207"/>
      <c r="M494" s="207"/>
      <c r="N494" s="207"/>
      <c r="O494" s="206"/>
    </row>
    <row r="495" spans="1:15" ht="30">
      <c r="A495" s="167" t="str">
        <f ca="1">IFERROR(__xludf.DUMMYFUNCTION("""COMPUTED_VALUE"""),"82DK0511010009000518520")</f>
        <v>82DK0511010009000518520</v>
      </c>
      <c r="B495" s="167" t="str">
        <f ca="1">IFERROR(__xludf.DUMMYFUNCTION("""COMPUTED_VALUE"""),"BUENO")</f>
        <v>BUENO</v>
      </c>
      <c r="C495" s="206"/>
      <c r="D495" s="206"/>
      <c r="E495" s="207"/>
      <c r="F495" s="207"/>
      <c r="G495" s="207"/>
      <c r="H495" s="207"/>
      <c r="I495" s="207"/>
      <c r="J495" s="207"/>
      <c r="K495" s="207"/>
      <c r="L495" s="207"/>
      <c r="M495" s="207"/>
      <c r="N495" s="207"/>
      <c r="O495" s="206"/>
    </row>
    <row r="496" spans="1:15" ht="30">
      <c r="A496" s="167" t="str">
        <f ca="1">IFERROR(__xludf.DUMMYFUNCTION("""COMPUTED_VALUE"""),"82DJ0531010065000564860")</f>
        <v>82DJ0531010065000564860</v>
      </c>
      <c r="B496" s="167" t="str">
        <f ca="1">IFERROR(__xludf.DUMMYFUNCTION("""COMPUTED_VALUE"""),"BUENO")</f>
        <v>BUENO</v>
      </c>
      <c r="C496" s="206"/>
      <c r="D496" s="206"/>
      <c r="E496" s="207"/>
      <c r="F496" s="207"/>
      <c r="G496" s="207"/>
      <c r="H496" s="207"/>
      <c r="I496" s="207"/>
      <c r="J496" s="207"/>
      <c r="K496" s="207"/>
      <c r="L496" s="207"/>
      <c r="M496" s="207"/>
      <c r="N496" s="207"/>
      <c r="O496" s="206"/>
    </row>
    <row r="497" spans="1:15" ht="30">
      <c r="A497" s="167" t="str">
        <f ca="1">IFERROR(__xludf.DUMMYFUNCTION("""COMPUTED_VALUE"""),"82DJ0511010006000583457")</f>
        <v>82DJ0511010006000583457</v>
      </c>
      <c r="B497" s="167" t="str">
        <f ca="1">IFERROR(__xludf.DUMMYFUNCTION("""COMPUTED_VALUE"""),"BUENO")</f>
        <v>BUENO</v>
      </c>
      <c r="C497" s="206"/>
      <c r="D497" s="206"/>
      <c r="E497" s="207"/>
      <c r="F497" s="207"/>
      <c r="G497" s="207"/>
      <c r="H497" s="207"/>
      <c r="I497" s="207"/>
      <c r="J497" s="207"/>
      <c r="K497" s="207"/>
      <c r="L497" s="207"/>
      <c r="M497" s="207"/>
      <c r="N497" s="207"/>
      <c r="O497" s="206"/>
    </row>
    <row r="498" spans="1:15" ht="30">
      <c r="A498" s="167" t="str">
        <f ca="1">IFERROR(__xludf.DUMMYFUNCTION("""COMPUTED_VALUE"""),"82DJ0515010013000649547")</f>
        <v>82DJ0515010013000649547</v>
      </c>
      <c r="B498" s="167" t="str">
        <f ca="1">IFERROR(__xludf.DUMMYFUNCTION("""COMPUTED_VALUE"""),"BUENO")</f>
        <v>BUENO</v>
      </c>
      <c r="C498" s="206"/>
      <c r="D498" s="206"/>
      <c r="E498" s="207"/>
      <c r="F498" s="207"/>
      <c r="G498" s="207"/>
      <c r="H498" s="207"/>
      <c r="I498" s="207"/>
      <c r="J498" s="207"/>
      <c r="K498" s="207"/>
      <c r="L498" s="207"/>
      <c r="M498" s="207"/>
      <c r="N498" s="207"/>
      <c r="O498" s="206"/>
    </row>
    <row r="499" spans="1:15" ht="30">
      <c r="A499" s="167" t="str">
        <f ca="1">IFERROR(__xludf.DUMMYFUNCTION("""COMPUTED_VALUE"""),"82DK0515010013000650657")</f>
        <v>82DK0515010013000650657</v>
      </c>
      <c r="B499" s="167" t="str">
        <f ca="1">IFERROR(__xludf.DUMMYFUNCTION("""COMPUTED_VALUE"""),"BUENO")</f>
        <v>BUENO</v>
      </c>
      <c r="C499" s="206"/>
      <c r="D499" s="206"/>
      <c r="E499" s="207"/>
      <c r="F499" s="207"/>
      <c r="G499" s="207"/>
      <c r="H499" s="207"/>
      <c r="I499" s="207"/>
      <c r="J499" s="207"/>
      <c r="K499" s="207"/>
      <c r="L499" s="207"/>
      <c r="M499" s="207"/>
      <c r="N499" s="207"/>
      <c r="O499" s="206"/>
    </row>
    <row r="500" spans="1:15" ht="30">
      <c r="A500" s="167" t="str">
        <f ca="1">IFERROR(__xludf.DUMMYFUNCTION("""COMPUTED_VALUE"""),"82DJ0565010001000539086")</f>
        <v>82DJ0565010001000539086</v>
      </c>
      <c r="B500" s="167" t="str">
        <f ca="1">IFERROR(__xludf.DUMMYFUNCTION("""COMPUTED_VALUE"""),"BUENO")</f>
        <v>BUENO</v>
      </c>
      <c r="C500" s="206"/>
      <c r="D500" s="206"/>
      <c r="E500" s="207"/>
      <c r="F500" s="207"/>
      <c r="G500" s="207"/>
      <c r="H500" s="207"/>
      <c r="I500" s="207"/>
      <c r="J500" s="207"/>
      <c r="K500" s="207"/>
      <c r="L500" s="207"/>
      <c r="M500" s="207"/>
      <c r="N500" s="207"/>
      <c r="O500" s="206"/>
    </row>
    <row r="501" spans="1:15" ht="30">
      <c r="A501" s="167" t="str">
        <f ca="1">IFERROR(__xludf.DUMMYFUNCTION("""COMPUTED_VALUE"""),"82DK0515010001000650667")</f>
        <v>82DK0515010001000650667</v>
      </c>
      <c r="B501" s="167" t="str">
        <f ca="1">IFERROR(__xludf.DUMMYFUNCTION("""COMPUTED_VALUE"""),"BUENO")</f>
        <v>BUENO</v>
      </c>
      <c r="C501" s="206"/>
      <c r="D501" s="206"/>
      <c r="E501" s="207"/>
      <c r="F501" s="207"/>
      <c r="G501" s="207"/>
      <c r="H501" s="207"/>
      <c r="I501" s="207"/>
      <c r="J501" s="207"/>
      <c r="K501" s="207"/>
      <c r="L501" s="207"/>
      <c r="M501" s="207"/>
      <c r="N501" s="207"/>
      <c r="O501" s="206"/>
    </row>
    <row r="502" spans="1:15" ht="30">
      <c r="A502" s="167" t="str">
        <f ca="1">IFERROR(__xludf.DUMMYFUNCTION("""COMPUTED_VALUE"""),"82DJ0515010020000650901")</f>
        <v>82DJ0515010020000650901</v>
      </c>
      <c r="B502" s="167" t="str">
        <f ca="1">IFERROR(__xludf.DUMMYFUNCTION("""COMPUTED_VALUE"""),"BUENO")</f>
        <v>BUENO</v>
      </c>
      <c r="C502" s="206"/>
      <c r="D502" s="206"/>
      <c r="E502" s="207"/>
      <c r="F502" s="207"/>
      <c r="G502" s="207"/>
      <c r="H502" s="207"/>
      <c r="I502" s="207"/>
      <c r="J502" s="207"/>
      <c r="K502" s="207"/>
      <c r="L502" s="207"/>
      <c r="M502" s="207"/>
      <c r="N502" s="207"/>
      <c r="O502" s="206"/>
    </row>
    <row r="503" spans="1:15" ht="30">
      <c r="A503" s="167" t="str">
        <f ca="1">IFERROR(__xludf.DUMMYFUNCTION("""COMPUTED_VALUE"""),"82DJ0515010016000649432")</f>
        <v>82DJ0515010016000649432</v>
      </c>
      <c r="B503" s="167" t="str">
        <f ca="1">IFERROR(__xludf.DUMMYFUNCTION("""COMPUTED_VALUE"""),"BUENO")</f>
        <v>BUENO</v>
      </c>
      <c r="C503" s="206"/>
      <c r="D503" s="206"/>
      <c r="E503" s="207"/>
      <c r="F503" s="207"/>
      <c r="G503" s="207"/>
      <c r="H503" s="207"/>
      <c r="I503" s="207"/>
      <c r="J503" s="207"/>
      <c r="K503" s="207"/>
      <c r="L503" s="207"/>
      <c r="M503" s="207"/>
      <c r="N503" s="207"/>
      <c r="O503" s="206"/>
    </row>
    <row r="504" spans="1:15" ht="30">
      <c r="A504" s="167" t="str">
        <f ca="1">IFERROR(__xludf.DUMMYFUNCTION("""COMPUTED_VALUE"""),"82DJ0511010029000649548")</f>
        <v>82DJ0511010029000649548</v>
      </c>
      <c r="B504" s="167" t="str">
        <f ca="1">IFERROR(__xludf.DUMMYFUNCTION("""COMPUTED_VALUE"""),"BUENO")</f>
        <v>BUENO</v>
      </c>
      <c r="C504" s="206"/>
      <c r="D504" s="206"/>
      <c r="E504" s="207"/>
      <c r="F504" s="207"/>
      <c r="G504" s="207"/>
      <c r="H504" s="207"/>
      <c r="I504" s="207"/>
      <c r="J504" s="207"/>
      <c r="K504" s="207"/>
      <c r="L504" s="207"/>
      <c r="M504" s="207"/>
      <c r="N504" s="207"/>
      <c r="O504" s="206"/>
    </row>
    <row r="505" spans="1:15" ht="30">
      <c r="A505" s="167" t="str">
        <f ca="1">IFERROR(__xludf.DUMMYFUNCTION("""COMPUTED_VALUE"""),"82DI0515010016000649714")</f>
        <v>82DI0515010016000649714</v>
      </c>
      <c r="B505" s="167" t="str">
        <f ca="1">IFERROR(__xludf.DUMMYFUNCTION("""COMPUTED_VALUE"""),"BUENO")</f>
        <v>BUENO</v>
      </c>
      <c r="C505" s="206"/>
      <c r="D505" s="206"/>
      <c r="E505" s="207"/>
      <c r="F505" s="207"/>
      <c r="G505" s="207"/>
      <c r="H505" s="207"/>
      <c r="I505" s="207"/>
      <c r="J505" s="207"/>
      <c r="K505" s="207"/>
      <c r="L505" s="207"/>
      <c r="M505" s="207"/>
      <c r="N505" s="207"/>
      <c r="O505" s="206"/>
    </row>
    <row r="506" spans="1:15" ht="30">
      <c r="A506" s="167" t="str">
        <f ca="1">IFERROR(__xludf.DUMMYFUNCTION("""COMPUTED_VALUE"""),"82DJ0519010043000649372")</f>
        <v>82DJ0519010043000649372</v>
      </c>
      <c r="B506" s="167" t="str">
        <f ca="1">IFERROR(__xludf.DUMMYFUNCTION("""COMPUTED_VALUE"""),"BUENO")</f>
        <v>BUENO</v>
      </c>
      <c r="C506" s="206"/>
      <c r="D506" s="206"/>
      <c r="E506" s="207"/>
      <c r="F506" s="207"/>
      <c r="G506" s="207"/>
      <c r="H506" s="207"/>
      <c r="I506" s="207"/>
      <c r="J506" s="207"/>
      <c r="K506" s="207"/>
      <c r="L506" s="207"/>
      <c r="M506" s="207"/>
      <c r="N506" s="207"/>
      <c r="O506" s="206"/>
    </row>
    <row r="507" spans="1:15" ht="30">
      <c r="A507" s="167" t="str">
        <f ca="1">IFERROR(__xludf.DUMMYFUNCTION("""COMPUTED_VALUE"""),"82DJ0515010020000649540")</f>
        <v>82DJ0515010020000649540</v>
      </c>
      <c r="B507" s="167" t="str">
        <f ca="1">IFERROR(__xludf.DUMMYFUNCTION("""COMPUTED_VALUE"""),"BUENO")</f>
        <v>BUENO</v>
      </c>
      <c r="C507" s="206"/>
      <c r="D507" s="206"/>
      <c r="E507" s="207"/>
      <c r="F507" s="207"/>
      <c r="G507" s="207"/>
      <c r="H507" s="207"/>
      <c r="I507" s="207"/>
      <c r="J507" s="207"/>
      <c r="K507" s="207"/>
      <c r="L507" s="207"/>
      <c r="M507" s="207"/>
      <c r="N507" s="207"/>
      <c r="O507" s="206"/>
    </row>
    <row r="508" spans="1:15" ht="30">
      <c r="A508" s="167" t="str">
        <f ca="1">IFERROR(__xludf.DUMMYFUNCTION("""COMPUTED_VALUE"""),"82DJ0511010027000649550")</f>
        <v>82DJ0511010027000649550</v>
      </c>
      <c r="B508" s="167" t="str">
        <f ca="1">IFERROR(__xludf.DUMMYFUNCTION("""COMPUTED_VALUE"""),"BUENO")</f>
        <v>BUENO</v>
      </c>
      <c r="C508" s="206"/>
      <c r="D508" s="206"/>
      <c r="E508" s="207"/>
      <c r="F508" s="207"/>
      <c r="G508" s="207"/>
      <c r="H508" s="207"/>
      <c r="I508" s="207"/>
      <c r="J508" s="207"/>
      <c r="K508" s="207"/>
      <c r="L508" s="207"/>
      <c r="M508" s="207"/>
      <c r="N508" s="207"/>
      <c r="O508" s="206"/>
    </row>
    <row r="509" spans="1:15" ht="30">
      <c r="A509" s="167" t="str">
        <f ca="1">IFERROR(__xludf.DUMMYFUNCTION("""COMPUTED_VALUE"""),"82DJ0511010006000649546")</f>
        <v>82DJ0511010006000649546</v>
      </c>
      <c r="B509" s="167" t="str">
        <f ca="1">IFERROR(__xludf.DUMMYFUNCTION("""COMPUTED_VALUE"""),"BUENO")</f>
        <v>BUENO</v>
      </c>
      <c r="C509" s="206"/>
      <c r="D509" s="206"/>
      <c r="E509" s="207"/>
      <c r="F509" s="207"/>
      <c r="G509" s="207"/>
      <c r="H509" s="207"/>
      <c r="I509" s="207"/>
      <c r="J509" s="207"/>
      <c r="K509" s="207"/>
      <c r="L509" s="207"/>
      <c r="M509" s="207"/>
      <c r="N509" s="207"/>
      <c r="O509" s="206"/>
    </row>
    <row r="510" spans="1:15" ht="30">
      <c r="A510" s="167" t="str">
        <f ca="1">IFERROR(__xludf.DUMMYFUNCTION("""COMPUTED_VALUE"""),"82DJ0511010029000649549")</f>
        <v>82DJ0511010029000649549</v>
      </c>
      <c r="B510" s="167" t="str">
        <f ca="1">IFERROR(__xludf.DUMMYFUNCTION("""COMPUTED_VALUE"""),"BUENO")</f>
        <v>BUENO</v>
      </c>
      <c r="C510" s="206"/>
      <c r="D510" s="206"/>
      <c r="E510" s="207"/>
      <c r="F510" s="207"/>
      <c r="G510" s="207"/>
      <c r="H510" s="207"/>
      <c r="I510" s="207"/>
      <c r="J510" s="207"/>
      <c r="K510" s="207"/>
      <c r="L510" s="207"/>
      <c r="M510" s="207"/>
      <c r="N510" s="207"/>
      <c r="O510" s="206"/>
    </row>
    <row r="511" spans="1:15" ht="30">
      <c r="A511" s="167" t="str">
        <f ca="1">IFERROR(__xludf.DUMMYFUNCTION("""COMPUTED_VALUE"""),"82DJ0512010014000649535")</f>
        <v>82DJ0512010014000649535</v>
      </c>
      <c r="B511" s="167" t="str">
        <f ca="1">IFERROR(__xludf.DUMMYFUNCTION("""COMPUTED_VALUE"""),"BUENO")</f>
        <v>BUENO</v>
      </c>
      <c r="C511" s="206"/>
      <c r="D511" s="206"/>
      <c r="E511" s="207"/>
      <c r="F511" s="207"/>
      <c r="G511" s="207"/>
      <c r="H511" s="207"/>
      <c r="I511" s="207"/>
      <c r="J511" s="207"/>
      <c r="K511" s="207"/>
      <c r="L511" s="207"/>
      <c r="M511" s="207"/>
      <c r="N511" s="207"/>
      <c r="O511" s="206"/>
    </row>
    <row r="512" spans="1:15" ht="30">
      <c r="A512" s="167" t="str">
        <f ca="1">IFERROR(__xludf.DUMMYFUNCTION("""COMPUTED_VALUE"""),"82DH0511010009000518514")</f>
        <v>82DH0511010009000518514</v>
      </c>
      <c r="B512" s="167" t="str">
        <f ca="1">IFERROR(__xludf.DUMMYFUNCTION("""COMPUTED_VALUE"""),"BUENO")</f>
        <v>BUENO</v>
      </c>
      <c r="C512" s="206"/>
      <c r="D512" s="206"/>
      <c r="E512" s="207"/>
      <c r="F512" s="207"/>
      <c r="G512" s="207"/>
      <c r="H512" s="207"/>
      <c r="I512" s="207"/>
      <c r="J512" s="207"/>
      <c r="K512" s="207"/>
      <c r="L512" s="207"/>
      <c r="M512" s="207"/>
      <c r="N512" s="207"/>
      <c r="O512" s="206"/>
    </row>
    <row r="513" spans="1:15" ht="30">
      <c r="A513" s="167" t="str">
        <f ca="1">IFERROR(__xludf.DUMMYFUNCTION("""COMPUTED_VALUE"""),"82DH0515010016000539084")</f>
        <v>82DH0515010016000539084</v>
      </c>
      <c r="B513" s="167" t="str">
        <f ca="1">IFERROR(__xludf.DUMMYFUNCTION("""COMPUTED_VALUE"""),"BUENO")</f>
        <v>BUENO</v>
      </c>
      <c r="C513" s="206"/>
      <c r="D513" s="206"/>
      <c r="E513" s="207"/>
      <c r="F513" s="207"/>
      <c r="G513" s="207"/>
      <c r="H513" s="207"/>
      <c r="I513" s="207"/>
      <c r="J513" s="207"/>
      <c r="K513" s="207"/>
      <c r="L513" s="207"/>
      <c r="M513" s="207"/>
      <c r="N513" s="207"/>
      <c r="O513" s="206"/>
    </row>
    <row r="514" spans="1:15" ht="30">
      <c r="A514" s="167" t="str">
        <f ca="1">IFERROR(__xludf.DUMMYFUNCTION("""COMPUTED_VALUE"""),"82DH0519010043000649368")</f>
        <v>82DH0519010043000649368</v>
      </c>
      <c r="B514" s="167" t="str">
        <f ca="1">IFERROR(__xludf.DUMMYFUNCTION("""COMPUTED_VALUE"""),"BUENO")</f>
        <v>BUENO</v>
      </c>
      <c r="C514" s="206"/>
      <c r="D514" s="206"/>
      <c r="E514" s="207"/>
      <c r="F514" s="207"/>
      <c r="G514" s="207"/>
      <c r="H514" s="207"/>
      <c r="I514" s="207"/>
      <c r="J514" s="207"/>
      <c r="K514" s="207"/>
      <c r="L514" s="207"/>
      <c r="M514" s="207"/>
      <c r="N514" s="207"/>
      <c r="O514" s="206"/>
    </row>
    <row r="515" spans="1:15" ht="30">
      <c r="A515" s="167" t="str">
        <f ca="1">IFERROR(__xludf.DUMMYFUNCTION("""COMPUTED_VALUE"""),"82DH0531010065000564679")</f>
        <v>82DH0531010065000564679</v>
      </c>
      <c r="B515" s="167" t="str">
        <f ca="1">IFERROR(__xludf.DUMMYFUNCTION("""COMPUTED_VALUE"""),"BUENO")</f>
        <v>BUENO</v>
      </c>
      <c r="C515" s="206"/>
      <c r="D515" s="206"/>
      <c r="E515" s="207"/>
      <c r="F515" s="207"/>
      <c r="G515" s="207"/>
      <c r="H515" s="207"/>
      <c r="I515" s="207"/>
      <c r="J515" s="207"/>
      <c r="K515" s="207"/>
      <c r="L515" s="207"/>
      <c r="M515" s="207"/>
      <c r="N515" s="207"/>
      <c r="O515" s="206"/>
    </row>
    <row r="516" spans="1:15" ht="30">
      <c r="A516" s="167" t="str">
        <f ca="1">IFERROR(__xludf.DUMMYFUNCTION("""COMPUTED_VALUE"""),"82DH0511010017000649726")</f>
        <v>82DH0511010017000649726</v>
      </c>
      <c r="B516" s="167" t="str">
        <f ca="1">IFERROR(__xludf.DUMMYFUNCTION("""COMPUTED_VALUE"""),"BUENO")</f>
        <v>BUENO</v>
      </c>
      <c r="C516" s="206"/>
      <c r="D516" s="206"/>
      <c r="E516" s="207"/>
      <c r="F516" s="207"/>
      <c r="G516" s="207"/>
      <c r="H516" s="207"/>
      <c r="I516" s="207"/>
      <c r="J516" s="207"/>
      <c r="K516" s="207"/>
      <c r="L516" s="207"/>
      <c r="M516" s="207"/>
      <c r="N516" s="207"/>
      <c r="O516" s="206"/>
    </row>
    <row r="517" spans="1:15" ht="30">
      <c r="A517" s="167" t="str">
        <f ca="1">IFERROR(__xludf.DUMMYFUNCTION("""COMPUTED_VALUE"""),"82DH0511010017000649727")</f>
        <v>82DH0511010017000649727</v>
      </c>
      <c r="B517" s="167" t="str">
        <f ca="1">IFERROR(__xludf.DUMMYFUNCTION("""COMPUTED_VALUE"""),"BUENO")</f>
        <v>BUENO</v>
      </c>
      <c r="C517" s="206"/>
      <c r="D517" s="206"/>
      <c r="E517" s="207"/>
      <c r="F517" s="207"/>
      <c r="G517" s="207"/>
      <c r="H517" s="207"/>
      <c r="I517" s="207"/>
      <c r="J517" s="207"/>
      <c r="K517" s="207"/>
      <c r="L517" s="207"/>
      <c r="M517" s="207"/>
      <c r="N517" s="207"/>
      <c r="O517" s="206"/>
    </row>
    <row r="518" spans="1:15" ht="30">
      <c r="A518" s="167" t="str">
        <f ca="1">IFERROR(__xludf.DUMMYFUNCTION("""COMPUTED_VALUE"""),"82DH0511010017000649729")</f>
        <v>82DH0511010017000649729</v>
      </c>
      <c r="B518" s="167" t="str">
        <f ca="1">IFERROR(__xludf.DUMMYFUNCTION("""COMPUTED_VALUE"""),"BUENO")</f>
        <v>BUENO</v>
      </c>
      <c r="C518" s="206"/>
      <c r="D518" s="206"/>
      <c r="E518" s="207"/>
      <c r="F518" s="207"/>
      <c r="G518" s="207"/>
      <c r="H518" s="207"/>
      <c r="I518" s="207"/>
      <c r="J518" s="207"/>
      <c r="K518" s="207"/>
      <c r="L518" s="207"/>
      <c r="M518" s="207"/>
      <c r="N518" s="207"/>
      <c r="O518" s="206"/>
    </row>
    <row r="519" spans="1:15" ht="30">
      <c r="A519" s="167" t="str">
        <f ca="1">IFERROR(__xludf.DUMMYFUNCTION("""COMPUTED_VALUE"""),"82DH0511010017000649730")</f>
        <v>82DH0511010017000649730</v>
      </c>
      <c r="B519" s="167" t="str">
        <f ca="1">IFERROR(__xludf.DUMMYFUNCTION("""COMPUTED_VALUE"""),"BUENO")</f>
        <v>BUENO</v>
      </c>
      <c r="C519" s="206"/>
      <c r="D519" s="206"/>
      <c r="E519" s="207"/>
      <c r="F519" s="207"/>
      <c r="G519" s="207"/>
      <c r="H519" s="207"/>
      <c r="I519" s="207"/>
      <c r="J519" s="207"/>
      <c r="K519" s="207"/>
      <c r="L519" s="207"/>
      <c r="M519" s="207"/>
      <c r="N519" s="207"/>
      <c r="O519" s="206"/>
    </row>
    <row r="520" spans="1:15" ht="30">
      <c r="A520" s="167" t="str">
        <f ca="1">IFERROR(__xludf.DUMMYFUNCTION("""COMPUTED_VALUE"""),"82DH0511010017000651106")</f>
        <v>82DH0511010017000651106</v>
      </c>
      <c r="B520" s="167" t="str">
        <f ca="1">IFERROR(__xludf.DUMMYFUNCTION("""COMPUTED_VALUE"""),"BUENO")</f>
        <v>BUENO</v>
      </c>
      <c r="C520" s="206"/>
      <c r="D520" s="206"/>
      <c r="E520" s="207"/>
      <c r="F520" s="207"/>
      <c r="G520" s="207"/>
      <c r="H520" s="207"/>
      <c r="I520" s="207"/>
      <c r="J520" s="207"/>
      <c r="K520" s="207"/>
      <c r="L520" s="207"/>
      <c r="M520" s="207"/>
      <c r="N520" s="207"/>
      <c r="O520" s="206"/>
    </row>
    <row r="521" spans="1:15" ht="30">
      <c r="A521" s="167" t="str">
        <f ca="1">IFERROR(__xludf.DUMMYFUNCTION("""COMPUTED_VALUE"""),"82DH0511010017000649728")</f>
        <v>82DH0511010017000649728</v>
      </c>
      <c r="B521" s="167" t="str">
        <f ca="1">IFERROR(__xludf.DUMMYFUNCTION("""COMPUTED_VALUE"""),"MALO EN ARCHIVO")</f>
        <v>MALO EN ARCHIVO</v>
      </c>
      <c r="C521" s="206"/>
      <c r="D521" s="206"/>
      <c r="E521" s="207"/>
      <c r="F521" s="207"/>
      <c r="G521" s="207"/>
      <c r="H521" s="207"/>
      <c r="I521" s="207"/>
      <c r="J521" s="207"/>
      <c r="K521" s="207"/>
      <c r="L521" s="207"/>
      <c r="M521" s="207"/>
      <c r="N521" s="207"/>
      <c r="O521" s="206"/>
    </row>
    <row r="522" spans="1:15" ht="30">
      <c r="A522" s="167" t="str">
        <f ca="1">IFERROR(__xludf.DUMMYFUNCTION("""COMPUTED_VALUE"""),"82DJ0531010065000564825")</f>
        <v>82DJ0531010065000564825</v>
      </c>
      <c r="B522" s="167" t="str">
        <f ca="1">IFERROR(__xludf.DUMMYFUNCTION("""COMPUTED_VALUE"""),"BUENO")</f>
        <v>BUENO</v>
      </c>
      <c r="C522" s="206"/>
      <c r="D522" s="206"/>
      <c r="E522" s="207"/>
      <c r="F522" s="207"/>
      <c r="G522" s="207"/>
      <c r="H522" s="207"/>
      <c r="I522" s="207"/>
      <c r="J522" s="207"/>
      <c r="K522" s="207"/>
      <c r="L522" s="207"/>
      <c r="M522" s="207"/>
      <c r="N522" s="207"/>
      <c r="O522" s="206"/>
    </row>
    <row r="523" spans="1:15" ht="30">
      <c r="A523" s="167" t="str">
        <f ca="1">IFERROR(__xludf.DUMMYFUNCTION("""COMPUTED_VALUE"""),"82DH0511010005000649738")</f>
        <v>82DH0511010005000649738</v>
      </c>
      <c r="B523" s="167" t="str">
        <f ca="1">IFERROR(__xludf.DUMMYFUNCTION("""COMPUTED_VALUE"""),"BUENO")</f>
        <v>BUENO</v>
      </c>
      <c r="C523" s="206"/>
      <c r="D523" s="206"/>
      <c r="E523" s="207"/>
      <c r="F523" s="207"/>
      <c r="G523" s="207"/>
      <c r="H523" s="207"/>
      <c r="I523" s="207"/>
      <c r="J523" s="207"/>
      <c r="K523" s="207"/>
      <c r="L523" s="207"/>
      <c r="M523" s="207"/>
      <c r="N523" s="207"/>
      <c r="O523" s="206"/>
    </row>
    <row r="524" spans="1:15" ht="30">
      <c r="A524" s="167" t="str">
        <f ca="1">IFERROR(__xludf.DUMMYFUNCTION("""COMPUTED_VALUE"""),"82DH0511010029000649737")</f>
        <v>82DH0511010029000649737</v>
      </c>
      <c r="B524" s="167" t="str">
        <f ca="1">IFERROR(__xludf.DUMMYFUNCTION("""COMPUTED_VALUE"""),"BUENO")</f>
        <v>BUENO</v>
      </c>
      <c r="C524" s="206"/>
      <c r="D524" s="206"/>
      <c r="E524" s="207"/>
      <c r="F524" s="207"/>
      <c r="G524" s="207"/>
      <c r="H524" s="207"/>
      <c r="I524" s="207"/>
      <c r="J524" s="207"/>
      <c r="K524" s="207"/>
      <c r="L524" s="207"/>
      <c r="M524" s="207"/>
      <c r="N524" s="207"/>
      <c r="O524" s="206"/>
    </row>
    <row r="525" spans="1:15" ht="30">
      <c r="A525" s="167" t="str">
        <f ca="1">IFERROR(__xludf.DUMMYFUNCTION("""COMPUTED_VALUE"""),"82DH0511010006000583442")</f>
        <v>82DH0511010006000583442</v>
      </c>
      <c r="B525" s="167" t="str">
        <f ca="1">IFERROR(__xludf.DUMMYFUNCTION("""COMPUTED_VALUE"""),"BUENO")</f>
        <v>BUENO</v>
      </c>
      <c r="C525" s="206"/>
      <c r="D525" s="206"/>
      <c r="E525" s="207"/>
      <c r="F525" s="207"/>
      <c r="G525" s="207"/>
      <c r="H525" s="207"/>
      <c r="I525" s="207"/>
      <c r="J525" s="207"/>
      <c r="K525" s="207"/>
      <c r="L525" s="207"/>
      <c r="M525" s="207"/>
      <c r="N525" s="207"/>
      <c r="O525" s="206"/>
    </row>
    <row r="526" spans="1:15" ht="30">
      <c r="A526" s="167" t="str">
        <f ca="1">IFERROR(__xludf.DUMMYFUNCTION("""COMPUTED_VALUE"""),"82DH0511010016000649731")</f>
        <v>82DH0511010016000649731</v>
      </c>
      <c r="B526" s="167" t="str">
        <f ca="1">IFERROR(__xludf.DUMMYFUNCTION("""COMPUTED_VALUE"""),"BUENO")</f>
        <v>BUENO</v>
      </c>
      <c r="C526" s="206"/>
      <c r="D526" s="206"/>
      <c r="E526" s="207"/>
      <c r="F526" s="207"/>
      <c r="G526" s="207"/>
      <c r="H526" s="207"/>
      <c r="I526" s="207"/>
      <c r="J526" s="207"/>
      <c r="K526" s="207"/>
      <c r="L526" s="207"/>
      <c r="M526" s="207"/>
      <c r="N526" s="207"/>
      <c r="O526" s="206"/>
    </row>
    <row r="527" spans="1:15" ht="30">
      <c r="A527" s="167" t="str">
        <f ca="1">IFERROR(__xludf.DUMMYFUNCTION("""COMPUTED_VALUE"""),"82DH0515010033000564633")</f>
        <v>82DH0515010033000564633</v>
      </c>
      <c r="B527" s="167" t="str">
        <f ca="1">IFERROR(__xludf.DUMMYFUNCTION("""COMPUTED_VALUE"""),"BUENO")</f>
        <v>BUENO</v>
      </c>
      <c r="C527" s="206"/>
      <c r="D527" s="206"/>
      <c r="E527" s="207"/>
      <c r="F527" s="207"/>
      <c r="G527" s="207"/>
      <c r="H527" s="207"/>
      <c r="I527" s="207"/>
      <c r="J527" s="207"/>
      <c r="K527" s="207"/>
      <c r="L527" s="207"/>
      <c r="M527" s="207"/>
      <c r="N527" s="207"/>
      <c r="O527" s="206"/>
    </row>
    <row r="528" spans="1:15" ht="30">
      <c r="A528" s="167" t="str">
        <f ca="1">IFERROR(__xludf.DUMMYFUNCTION("""COMPUTED_VALUE"""),"82DH0515010016000649417")</f>
        <v>82DH0515010016000649417</v>
      </c>
      <c r="B528" s="167" t="str">
        <f ca="1">IFERROR(__xludf.DUMMYFUNCTION("""COMPUTED_VALUE"""),"BUENO")</f>
        <v>BUENO</v>
      </c>
      <c r="C528" s="206"/>
      <c r="D528" s="206"/>
      <c r="E528" s="207"/>
      <c r="F528" s="207"/>
      <c r="G528" s="207"/>
      <c r="H528" s="207"/>
      <c r="I528" s="207"/>
      <c r="J528" s="207"/>
      <c r="K528" s="207"/>
      <c r="L528" s="207"/>
      <c r="M528" s="207"/>
      <c r="N528" s="207"/>
      <c r="O528" s="206"/>
    </row>
    <row r="529" spans="1:15" ht="30">
      <c r="A529" s="167" t="str">
        <f ca="1">IFERROR(__xludf.DUMMYFUNCTION("""COMPUTED_VALUE"""),"82DH0565010001000649717")</f>
        <v>82DH0565010001000649717</v>
      </c>
      <c r="B529" s="167" t="str">
        <f ca="1">IFERROR(__xludf.DUMMYFUNCTION("""COMPUTED_VALUE"""),"BUENO")</f>
        <v>BUENO</v>
      </c>
      <c r="C529" s="206"/>
      <c r="D529" s="206"/>
      <c r="E529" s="207"/>
      <c r="F529" s="207"/>
      <c r="G529" s="207"/>
      <c r="H529" s="207"/>
      <c r="I529" s="207"/>
      <c r="J529" s="207"/>
      <c r="K529" s="207"/>
      <c r="L529" s="207"/>
      <c r="M529" s="207"/>
      <c r="N529" s="207"/>
      <c r="O529" s="206"/>
    </row>
    <row r="530" spans="1:15" ht="30">
      <c r="A530" s="167" t="str">
        <f ca="1">IFERROR(__xludf.DUMMYFUNCTION("""COMPUTED_VALUE"""),"82DH0515010010000519351")</f>
        <v>82DH0515010010000519351</v>
      </c>
      <c r="B530" s="167" t="str">
        <f ca="1">IFERROR(__xludf.DUMMYFUNCTION("""COMPUTED_VALUE"""),"BUENO")</f>
        <v>BUENO</v>
      </c>
      <c r="C530" s="206"/>
      <c r="D530" s="206"/>
      <c r="E530" s="207"/>
      <c r="F530" s="207"/>
      <c r="G530" s="207"/>
      <c r="H530" s="207"/>
      <c r="I530" s="207"/>
      <c r="J530" s="207"/>
      <c r="K530" s="207"/>
      <c r="L530" s="207"/>
      <c r="M530" s="207"/>
      <c r="N530" s="207"/>
      <c r="O530" s="206"/>
    </row>
    <row r="531" spans="1:15" ht="30">
      <c r="A531" s="167" t="str">
        <f ca="1">IFERROR(__xludf.DUMMYFUNCTION("""COMPUTED_VALUE"""),"82DH0515010033000564635")</f>
        <v>82DH0515010033000564635</v>
      </c>
      <c r="B531" s="167" t="str">
        <f ca="1">IFERROR(__xludf.DUMMYFUNCTION("""COMPUTED_VALUE"""),"BUENO")</f>
        <v>BUENO</v>
      </c>
      <c r="C531" s="206"/>
      <c r="D531" s="206"/>
      <c r="E531" s="207"/>
      <c r="F531" s="207"/>
      <c r="G531" s="207"/>
      <c r="H531" s="207"/>
      <c r="I531" s="207"/>
      <c r="J531" s="207"/>
      <c r="K531" s="207"/>
      <c r="L531" s="207"/>
      <c r="M531" s="207"/>
      <c r="N531" s="207"/>
      <c r="O531" s="206"/>
    </row>
    <row r="532" spans="1:15" ht="30">
      <c r="A532" s="167" t="str">
        <f ca="1">IFERROR(__xludf.DUMMYFUNCTION("""COMPUTED_VALUE"""),"SIN RESGUARDO")</f>
        <v>SIN RESGUARDO</v>
      </c>
      <c r="B532" s="167" t="str">
        <f ca="1">IFERROR(__xludf.DUMMYFUNCTION("""COMPUTED_VALUE"""),"BUENO")</f>
        <v>BUENO</v>
      </c>
      <c r="C532" s="206"/>
      <c r="D532" s="206"/>
      <c r="E532" s="207"/>
      <c r="F532" s="207"/>
      <c r="G532" s="207"/>
      <c r="H532" s="207"/>
      <c r="I532" s="207"/>
      <c r="J532" s="207"/>
      <c r="K532" s="207"/>
      <c r="L532" s="207"/>
      <c r="M532" s="207"/>
      <c r="N532" s="207"/>
      <c r="O532" s="206"/>
    </row>
    <row r="533" spans="1:15" ht="30">
      <c r="A533" s="167" t="str">
        <f ca="1">IFERROR(__xludf.DUMMYFUNCTION("""COMPUTED_VALUE"""),"SIN RESGUARDO")</f>
        <v>SIN RESGUARDO</v>
      </c>
      <c r="B533" s="167" t="str">
        <f ca="1">IFERROR(__xludf.DUMMYFUNCTION("""COMPUTED_VALUE"""),"BUENO")</f>
        <v>BUENO</v>
      </c>
      <c r="C533" s="206"/>
      <c r="D533" s="206"/>
      <c r="E533" s="207"/>
      <c r="F533" s="207"/>
      <c r="G533" s="207"/>
      <c r="H533" s="207"/>
      <c r="I533" s="207"/>
      <c r="J533" s="207"/>
      <c r="K533" s="207"/>
      <c r="L533" s="207"/>
      <c r="M533" s="207"/>
      <c r="N533" s="207"/>
      <c r="O533" s="206"/>
    </row>
    <row r="534" spans="1:15" ht="30">
      <c r="A534" s="167" t="str">
        <f ca="1">IFERROR(__xludf.DUMMYFUNCTION("""COMPUTED_VALUE"""),"82DH0529030003000649718")</f>
        <v>82DH0529030003000649718</v>
      </c>
      <c r="B534" s="167" t="str">
        <f ca="1">IFERROR(__xludf.DUMMYFUNCTION("""COMPUTED_VALUE"""),"BUENO")</f>
        <v>BUENO</v>
      </c>
      <c r="C534" s="206"/>
      <c r="D534" s="206"/>
      <c r="E534" s="207"/>
      <c r="F534" s="207"/>
      <c r="G534" s="207"/>
      <c r="H534" s="207"/>
      <c r="I534" s="207"/>
      <c r="J534" s="207"/>
      <c r="K534" s="207"/>
      <c r="L534" s="207"/>
      <c r="M534" s="207"/>
      <c r="N534" s="207"/>
      <c r="O534" s="206"/>
    </row>
    <row r="535" spans="1:15" ht="30">
      <c r="A535" s="167" t="str">
        <f ca="1">IFERROR(__xludf.DUMMYFUNCTION("""COMPUTED_VALUE"""),"82DH0531010065000564807")</f>
        <v>82DH0531010065000564807</v>
      </c>
      <c r="B535" s="167" t="str">
        <f ca="1">IFERROR(__xludf.DUMMYFUNCTION("""COMPUTED_VALUE"""),"BUENO")</f>
        <v>BUENO</v>
      </c>
      <c r="C535" s="206"/>
      <c r="D535" s="206"/>
      <c r="E535" s="207"/>
      <c r="F535" s="207"/>
      <c r="G535" s="207"/>
      <c r="H535" s="207"/>
      <c r="I535" s="207"/>
      <c r="J535" s="207"/>
      <c r="K535" s="207"/>
      <c r="L535" s="207"/>
      <c r="M535" s="207"/>
      <c r="N535" s="207"/>
      <c r="O535" s="206"/>
    </row>
    <row r="536" spans="1:15" ht="30">
      <c r="A536" s="167" t="str">
        <f ca="1">IFERROR(__xludf.DUMMYFUNCTION("""COMPUTED_VALUE"""),"82DH0511010005000649732")</f>
        <v>82DH0511010005000649732</v>
      </c>
      <c r="B536" s="167" t="str">
        <f ca="1">IFERROR(__xludf.DUMMYFUNCTION("""COMPUTED_VALUE"""),"BUENO")</f>
        <v>BUENO</v>
      </c>
      <c r="C536" s="206"/>
      <c r="D536" s="206"/>
      <c r="E536" s="207"/>
      <c r="F536" s="207"/>
      <c r="G536" s="207"/>
      <c r="H536" s="207"/>
      <c r="I536" s="207"/>
      <c r="J536" s="207"/>
      <c r="K536" s="207"/>
      <c r="L536" s="207"/>
      <c r="M536" s="207"/>
      <c r="N536" s="207"/>
      <c r="O536" s="206"/>
    </row>
    <row r="537" spans="1:15" ht="30">
      <c r="A537" s="167" t="str">
        <f ca="1">IFERROR(__xludf.DUMMYFUNCTION("""COMPUTED_VALUE"""),"82DH0511010017000516176")</f>
        <v>82DH0511010017000516176</v>
      </c>
      <c r="B537" s="167" t="str">
        <f ca="1">IFERROR(__xludf.DUMMYFUNCTION("""COMPUTED_VALUE"""),"BUENO")</f>
        <v>BUENO</v>
      </c>
      <c r="C537" s="206"/>
      <c r="D537" s="206"/>
      <c r="E537" s="207"/>
      <c r="F537" s="207"/>
      <c r="G537" s="207"/>
      <c r="H537" s="207"/>
      <c r="I537" s="207"/>
      <c r="J537" s="207"/>
      <c r="K537" s="207"/>
      <c r="L537" s="207"/>
      <c r="M537" s="207"/>
      <c r="N537" s="207"/>
      <c r="O537" s="206"/>
    </row>
    <row r="538" spans="1:15" ht="30">
      <c r="A538" s="167" t="str">
        <f ca="1">IFERROR(__xludf.DUMMYFUNCTION("""COMPUTED_VALUE"""),"82DH0511010028000539037")</f>
        <v>82DH0511010028000539037</v>
      </c>
      <c r="B538" s="167" t="str">
        <f ca="1">IFERROR(__xludf.DUMMYFUNCTION("""COMPUTED_VALUE"""),"BUENO")</f>
        <v>BUENO</v>
      </c>
      <c r="C538" s="206"/>
      <c r="D538" s="206"/>
      <c r="E538" s="207"/>
      <c r="F538" s="207"/>
      <c r="G538" s="207"/>
      <c r="H538" s="207"/>
      <c r="I538" s="207"/>
      <c r="J538" s="207"/>
      <c r="K538" s="207"/>
      <c r="L538" s="207"/>
      <c r="M538" s="207"/>
      <c r="N538" s="207"/>
      <c r="O538" s="206"/>
    </row>
    <row r="539" spans="1:15" ht="30">
      <c r="A539" s="167" t="str">
        <f ca="1">IFERROR(__xludf.DUMMYFUNCTION("""COMPUTED_VALUE"""),"82DH0511010028000535444")</f>
        <v>82DH0511010028000535444</v>
      </c>
      <c r="B539" s="167" t="str">
        <f ca="1">IFERROR(__xludf.DUMMYFUNCTION("""COMPUTED_VALUE"""),"BUENO")</f>
        <v>BUENO</v>
      </c>
      <c r="C539" s="206"/>
      <c r="D539" s="206"/>
      <c r="E539" s="207"/>
      <c r="F539" s="207"/>
      <c r="G539" s="207"/>
      <c r="H539" s="207"/>
      <c r="I539" s="207"/>
      <c r="J539" s="207"/>
      <c r="K539" s="207"/>
      <c r="L539" s="207"/>
      <c r="M539" s="207"/>
      <c r="N539" s="207"/>
      <c r="O539" s="206"/>
    </row>
    <row r="540" spans="1:15" ht="30">
      <c r="A540" s="167" t="str">
        <f ca="1">IFERROR(__xludf.DUMMYFUNCTION("""COMPUTED_VALUE"""),"82DH0519010048000539141")</f>
        <v>82DH0519010048000539141</v>
      </c>
      <c r="B540" s="167" t="str">
        <f ca="1">IFERROR(__xludf.DUMMYFUNCTION("""COMPUTED_VALUE"""),"BUENO")</f>
        <v>BUENO</v>
      </c>
      <c r="C540" s="206"/>
      <c r="D540" s="206"/>
      <c r="E540" s="207"/>
      <c r="F540" s="207"/>
      <c r="G540" s="207"/>
      <c r="H540" s="207"/>
      <c r="I540" s="207"/>
      <c r="J540" s="207"/>
      <c r="K540" s="207"/>
      <c r="L540" s="207"/>
      <c r="M540" s="207"/>
      <c r="N540" s="207"/>
      <c r="O540" s="206"/>
    </row>
    <row r="541" spans="1:15" ht="30">
      <c r="A541" s="167" t="str">
        <f ca="1">IFERROR(__xludf.DUMMYFUNCTION("""COMPUTED_VALUE"""),"82DH0511010028000535441")</f>
        <v>82DH0511010028000535441</v>
      </c>
      <c r="B541" s="167" t="str">
        <f ca="1">IFERROR(__xludf.DUMMYFUNCTION("""COMPUTED_VALUE"""),"BUENO")</f>
        <v>BUENO</v>
      </c>
      <c r="C541" s="206"/>
      <c r="D541" s="206"/>
      <c r="E541" s="207"/>
      <c r="F541" s="207"/>
      <c r="G541" s="207"/>
      <c r="H541" s="207"/>
      <c r="I541" s="207"/>
      <c r="J541" s="207"/>
      <c r="K541" s="207"/>
      <c r="L541" s="207"/>
      <c r="M541" s="207"/>
      <c r="N541" s="207"/>
      <c r="O541" s="206"/>
    </row>
    <row r="542" spans="1:15" ht="30">
      <c r="A542" s="167" t="str">
        <f ca="1">IFERROR(__xludf.DUMMYFUNCTION("""COMPUTED_VALUE"""),"82DJ0511010019000651104")</f>
        <v>82DJ0511010019000651104</v>
      </c>
      <c r="B542" s="167" t="str">
        <f ca="1">IFERROR(__xludf.DUMMYFUNCTION("""COMPUTED_VALUE"""),"BUENO")</f>
        <v>BUENO</v>
      </c>
      <c r="C542" s="206"/>
      <c r="D542" s="206"/>
      <c r="E542" s="207"/>
      <c r="F542" s="207"/>
      <c r="G542" s="207"/>
      <c r="H542" s="207"/>
      <c r="I542" s="207"/>
      <c r="J542" s="207"/>
      <c r="K542" s="207"/>
      <c r="L542" s="207"/>
      <c r="M542" s="207"/>
      <c r="N542" s="207"/>
      <c r="O542" s="206"/>
    </row>
    <row r="543" spans="1:15" ht="30">
      <c r="A543" s="167" t="str">
        <f ca="1">IFERROR(__xludf.DUMMYFUNCTION("""COMPUTED_VALUE"""),"82DH0511010028000535443")</f>
        <v>82DH0511010028000535443</v>
      </c>
      <c r="B543" s="167" t="str">
        <f ca="1">IFERROR(__xludf.DUMMYFUNCTION("""COMPUTED_VALUE"""),"BUENO")</f>
        <v>BUENO</v>
      </c>
      <c r="C543" s="206"/>
      <c r="D543" s="206"/>
      <c r="E543" s="207"/>
      <c r="F543" s="207"/>
      <c r="G543" s="207"/>
      <c r="H543" s="207"/>
      <c r="I543" s="207"/>
      <c r="J543" s="207"/>
      <c r="K543" s="207"/>
      <c r="L543" s="207"/>
      <c r="M543" s="207"/>
      <c r="N543" s="207"/>
      <c r="O543" s="206"/>
    </row>
    <row r="544" spans="1:15" ht="30">
      <c r="A544" s="167" t="str">
        <f ca="1">IFERROR(__xludf.DUMMYFUNCTION("""COMPUTED_VALUE"""),"82DH0519010048000539140")</f>
        <v>82DH0519010048000539140</v>
      </c>
      <c r="B544" s="167" t="str">
        <f ca="1">IFERROR(__xludf.DUMMYFUNCTION("""COMPUTED_VALUE"""),"BUENO")</f>
        <v>BUENO</v>
      </c>
      <c r="C544" s="206"/>
      <c r="D544" s="206"/>
      <c r="E544" s="207"/>
      <c r="F544" s="207"/>
      <c r="G544" s="207"/>
      <c r="H544" s="207"/>
      <c r="I544" s="207"/>
      <c r="J544" s="207"/>
      <c r="K544" s="207"/>
      <c r="L544" s="207"/>
      <c r="M544" s="207"/>
      <c r="N544" s="207"/>
      <c r="O544" s="206"/>
    </row>
    <row r="545" spans="1:15" ht="30">
      <c r="A545" s="167" t="str">
        <f ca="1">IFERROR(__xludf.DUMMYFUNCTION("""COMPUTED_VALUE"""),"82DH0511010020000649739")</f>
        <v>82DH0511010020000649739</v>
      </c>
      <c r="B545" s="167" t="str">
        <f ca="1">IFERROR(__xludf.DUMMYFUNCTION("""COMPUTED_VALUE"""),"BUENO")</f>
        <v>BUENO</v>
      </c>
      <c r="C545" s="206"/>
      <c r="D545" s="206"/>
      <c r="E545" s="207"/>
      <c r="F545" s="207"/>
      <c r="G545" s="207"/>
      <c r="H545" s="207"/>
      <c r="I545" s="207"/>
      <c r="J545" s="207"/>
      <c r="K545" s="207"/>
      <c r="L545" s="207"/>
      <c r="M545" s="207"/>
      <c r="N545" s="207"/>
      <c r="O545" s="206"/>
    </row>
    <row r="546" spans="1:15" ht="30">
      <c r="A546" s="167" t="str">
        <f ca="1">IFERROR(__xludf.DUMMYFUNCTION("""COMPUTED_VALUE"""),"82DH0511010028000539038")</f>
        <v>82DH0511010028000539038</v>
      </c>
      <c r="B546" s="167" t="str">
        <f ca="1">IFERROR(__xludf.DUMMYFUNCTION("""COMPUTED_VALUE"""),"BUENO")</f>
        <v>BUENO</v>
      </c>
      <c r="C546" s="206"/>
      <c r="D546" s="206"/>
      <c r="E546" s="207"/>
      <c r="F546" s="207"/>
      <c r="G546" s="207"/>
      <c r="H546" s="207"/>
      <c r="I546" s="207"/>
      <c r="J546" s="207"/>
      <c r="K546" s="207"/>
      <c r="L546" s="207"/>
      <c r="M546" s="207"/>
      <c r="N546" s="207"/>
      <c r="O546" s="206"/>
    </row>
    <row r="547" spans="1:15" ht="30">
      <c r="A547" s="167" t="str">
        <f ca="1">IFERROR(__xludf.DUMMYFUNCTION("""COMPUTED_VALUE"""),"SIN RESGUARDO")</f>
        <v>SIN RESGUARDO</v>
      </c>
      <c r="B547" s="167" t="str">
        <f ca="1">IFERROR(__xludf.DUMMYFUNCTION("""COMPUTED_VALUE"""),"BUENO")</f>
        <v>BUENO</v>
      </c>
      <c r="C547" s="206"/>
      <c r="D547" s="206"/>
      <c r="E547" s="207"/>
      <c r="F547" s="207"/>
      <c r="G547" s="207"/>
      <c r="H547" s="207"/>
      <c r="I547" s="207"/>
      <c r="J547" s="207"/>
      <c r="K547" s="207"/>
      <c r="L547" s="207"/>
      <c r="M547" s="207"/>
      <c r="N547" s="207"/>
      <c r="O547" s="206"/>
    </row>
    <row r="548" spans="1:15" ht="30">
      <c r="A548" s="167" t="str">
        <f ca="1">IFERROR(__xludf.DUMMYFUNCTION("""COMPUTED_VALUE"""),"82DH0511010028000584061")</f>
        <v>82DH0511010028000584061</v>
      </c>
      <c r="B548" s="167" t="str">
        <f ca="1">IFERROR(__xludf.DUMMYFUNCTION("""COMPUTED_VALUE"""),"BUENO")</f>
        <v>BUENO</v>
      </c>
      <c r="C548" s="206"/>
      <c r="D548" s="206"/>
      <c r="E548" s="207"/>
      <c r="F548" s="207"/>
      <c r="G548" s="207"/>
      <c r="H548" s="207"/>
      <c r="I548" s="207"/>
      <c r="J548" s="207"/>
      <c r="K548" s="207"/>
      <c r="L548" s="207"/>
      <c r="M548" s="207"/>
      <c r="N548" s="207"/>
      <c r="O548" s="206"/>
    </row>
    <row r="549" spans="1:15" ht="30">
      <c r="A549" s="167" t="str">
        <f ca="1">IFERROR(__xludf.DUMMYFUNCTION("""COMPUTED_VALUE"""),"SIN RESGUARDO")</f>
        <v>SIN RESGUARDO</v>
      </c>
      <c r="B549" s="167" t="str">
        <f ca="1">IFERROR(__xludf.DUMMYFUNCTION("""COMPUTED_VALUE"""),"BUENO")</f>
        <v>BUENO</v>
      </c>
      <c r="C549" s="206"/>
      <c r="D549" s="206"/>
      <c r="E549" s="207"/>
      <c r="F549" s="207"/>
      <c r="G549" s="207"/>
      <c r="H549" s="207"/>
      <c r="I549" s="207"/>
      <c r="J549" s="207"/>
      <c r="K549" s="207"/>
      <c r="L549" s="207"/>
      <c r="M549" s="207"/>
      <c r="N549" s="207"/>
      <c r="O549" s="206"/>
    </row>
    <row r="550" spans="1:15" ht="30">
      <c r="A550" s="167" t="str">
        <f ca="1">IFERROR(__xludf.DUMMYFUNCTION("""COMPUTED_VALUE"""),"82DH0511010028000532102")</f>
        <v>82DH0511010028000532102</v>
      </c>
      <c r="B550" s="167" t="str">
        <f ca="1">IFERROR(__xludf.DUMMYFUNCTION("""COMPUTED_VALUE"""),"BUENO")</f>
        <v>BUENO</v>
      </c>
      <c r="C550" s="206"/>
      <c r="D550" s="206"/>
      <c r="E550" s="207"/>
      <c r="F550" s="207"/>
      <c r="G550" s="207"/>
      <c r="H550" s="207"/>
      <c r="I550" s="207"/>
      <c r="J550" s="207"/>
      <c r="K550" s="207"/>
      <c r="L550" s="207"/>
      <c r="M550" s="207"/>
      <c r="N550" s="207"/>
      <c r="O550" s="206"/>
    </row>
    <row r="551" spans="1:15" ht="30">
      <c r="A551" s="167" t="str">
        <f ca="1">IFERROR(__xludf.DUMMYFUNCTION("""COMPUTED_VALUE"""),"82DH0511010028000539044")</f>
        <v>82DH0511010028000539044</v>
      </c>
      <c r="B551" s="167" t="str">
        <f ca="1">IFERROR(__xludf.DUMMYFUNCTION("""COMPUTED_VALUE"""),"BUENO")</f>
        <v>BUENO</v>
      </c>
      <c r="C551" s="206"/>
      <c r="D551" s="206"/>
      <c r="E551" s="207"/>
      <c r="F551" s="207"/>
      <c r="G551" s="207"/>
      <c r="H551" s="207"/>
      <c r="I551" s="207"/>
      <c r="J551" s="207"/>
      <c r="K551" s="207"/>
      <c r="L551" s="207"/>
      <c r="M551" s="207"/>
      <c r="N551" s="207"/>
      <c r="O551" s="206"/>
    </row>
    <row r="552" spans="1:15" ht="30">
      <c r="A552" s="167" t="str">
        <f ca="1">IFERROR(__xludf.DUMMYFUNCTION("""COMPUTED_VALUE"""),"82DH0511010028000539026")</f>
        <v>82DH0511010028000539026</v>
      </c>
      <c r="B552" s="167" t="str">
        <f ca="1">IFERROR(__xludf.DUMMYFUNCTION("""COMPUTED_VALUE"""),"BUENO")</f>
        <v>BUENO</v>
      </c>
      <c r="C552" s="206"/>
      <c r="D552" s="206"/>
      <c r="E552" s="207"/>
      <c r="F552" s="207"/>
      <c r="G552" s="207"/>
      <c r="H552" s="207"/>
      <c r="I552" s="207"/>
      <c r="J552" s="207"/>
      <c r="K552" s="207"/>
      <c r="L552" s="207"/>
      <c r="M552" s="207"/>
      <c r="N552" s="207"/>
      <c r="O552" s="206"/>
    </row>
    <row r="553" spans="1:15" ht="30">
      <c r="A553" s="167" t="str">
        <f ca="1">IFERROR(__xludf.DUMMYFUNCTION("""COMPUTED_VALUE"""),"82DH0511010001000533241")</f>
        <v>82DH0511010001000533241</v>
      </c>
      <c r="B553" s="167" t="str">
        <f ca="1">IFERROR(__xludf.DUMMYFUNCTION("""COMPUTED_VALUE"""),"BUENO")</f>
        <v>BUENO</v>
      </c>
      <c r="C553" s="206"/>
      <c r="D553" s="206"/>
      <c r="E553" s="207"/>
      <c r="F553" s="207"/>
      <c r="G553" s="207"/>
      <c r="H553" s="207"/>
      <c r="I553" s="207"/>
      <c r="J553" s="207"/>
      <c r="K553" s="207"/>
      <c r="L553" s="207"/>
      <c r="M553" s="207"/>
      <c r="N553" s="207"/>
      <c r="O553" s="206"/>
    </row>
    <row r="554" spans="1:15" ht="30">
      <c r="A554" s="167" t="str">
        <f ca="1">IFERROR(__xludf.DUMMYFUNCTION("""COMPUTED_VALUE"""),"82DH0511010010000649722")</f>
        <v>82DH0511010010000649722</v>
      </c>
      <c r="B554" s="167" t="str">
        <f ca="1">IFERROR(__xludf.DUMMYFUNCTION("""COMPUTED_VALUE"""),"BUENO")</f>
        <v>BUENO</v>
      </c>
      <c r="C554" s="206"/>
      <c r="D554" s="206"/>
      <c r="E554" s="207"/>
      <c r="F554" s="207"/>
      <c r="G554" s="207"/>
      <c r="H554" s="207"/>
      <c r="I554" s="207"/>
      <c r="J554" s="207"/>
      <c r="K554" s="207"/>
      <c r="L554" s="207"/>
      <c r="M554" s="207"/>
      <c r="N554" s="207"/>
      <c r="O554" s="206"/>
    </row>
    <row r="555" spans="1:15" ht="30">
      <c r="A555" s="167" t="str">
        <f ca="1">IFERROR(__xludf.DUMMYFUNCTION("""COMPUTED_VALUE"""),"SIN RESGUARDO")</f>
        <v>SIN RESGUARDO</v>
      </c>
      <c r="B555" s="167" t="str">
        <f ca="1">IFERROR(__xludf.DUMMYFUNCTION("""COMPUTED_VALUE"""),"BUENO")</f>
        <v>BUENO</v>
      </c>
      <c r="C555" s="206"/>
      <c r="D555" s="206"/>
      <c r="E555" s="207"/>
      <c r="F555" s="207"/>
      <c r="G555" s="207"/>
      <c r="H555" s="207"/>
      <c r="I555" s="207"/>
      <c r="J555" s="207"/>
      <c r="K555" s="207"/>
      <c r="L555" s="207"/>
      <c r="M555" s="207"/>
      <c r="N555" s="207"/>
      <c r="O555" s="206"/>
    </row>
    <row r="556" spans="1:15" ht="30">
      <c r="A556" s="167" t="str">
        <f ca="1">IFERROR(__xludf.DUMMYFUNCTION("""COMPUTED_VALUE"""),"82DJ0511010006000518494")</f>
        <v>82DJ0511010006000518494</v>
      </c>
      <c r="B556" s="167" t="str">
        <f ca="1">IFERROR(__xludf.DUMMYFUNCTION("""COMPUTED_VALUE"""),"BUENO")</f>
        <v>BUENO</v>
      </c>
      <c r="C556" s="206"/>
      <c r="D556" s="206"/>
      <c r="E556" s="207"/>
      <c r="F556" s="207"/>
      <c r="G556" s="207"/>
      <c r="H556" s="207"/>
      <c r="I556" s="207"/>
      <c r="J556" s="207"/>
      <c r="K556" s="207"/>
      <c r="L556" s="207"/>
      <c r="M556" s="207"/>
      <c r="N556" s="207"/>
      <c r="O556" s="206"/>
    </row>
    <row r="557" spans="1:15" ht="30">
      <c r="A557" s="167" t="str">
        <f ca="1">IFERROR(__xludf.DUMMYFUNCTION("""COMPUTED_VALUE"""),"82DJ0511010001000649733")</f>
        <v>82DJ0511010001000649733</v>
      </c>
      <c r="B557" s="167" t="str">
        <f ca="1">IFERROR(__xludf.DUMMYFUNCTION("""COMPUTED_VALUE"""),"BUENO")</f>
        <v>BUENO</v>
      </c>
      <c r="C557" s="206"/>
      <c r="D557" s="206"/>
      <c r="E557" s="207"/>
      <c r="F557" s="207"/>
      <c r="G557" s="207"/>
      <c r="H557" s="207"/>
      <c r="I557" s="207"/>
      <c r="J557" s="207"/>
      <c r="K557" s="207"/>
      <c r="L557" s="207"/>
      <c r="M557" s="207"/>
      <c r="N557" s="207"/>
      <c r="O557" s="206"/>
    </row>
    <row r="558" spans="1:15" ht="30">
      <c r="A558" s="167" t="str">
        <f ca="1">IFERROR(__xludf.DUMMYFUNCTION("""COMPUTED_VALUE"""),"82DJ0511010001000518508")</f>
        <v>82DJ0511010001000518508</v>
      </c>
      <c r="B558" s="167" t="str">
        <f ca="1">IFERROR(__xludf.DUMMYFUNCTION("""COMPUTED_VALUE"""),"BUENO")</f>
        <v>BUENO</v>
      </c>
      <c r="C558" s="206"/>
      <c r="D558" s="206"/>
      <c r="E558" s="207"/>
      <c r="F558" s="207"/>
      <c r="G558" s="207"/>
      <c r="H558" s="207"/>
      <c r="I558" s="207"/>
      <c r="J558" s="207"/>
      <c r="K558" s="207"/>
      <c r="L558" s="207"/>
      <c r="M558" s="207"/>
      <c r="N558" s="207"/>
      <c r="O558" s="206"/>
    </row>
    <row r="559" spans="1:15" ht="30">
      <c r="A559" s="167" t="str">
        <f ca="1">IFERROR(__xludf.DUMMYFUNCTION("""COMPUTED_VALUE"""),"82DJ0512010011000515290")</f>
        <v>82DJ0512010011000515290</v>
      </c>
      <c r="B559" s="167" t="str">
        <f ca="1">IFERROR(__xludf.DUMMYFUNCTION("""COMPUTED_VALUE"""),"BUENO")</f>
        <v>BUENO</v>
      </c>
      <c r="C559" s="206"/>
      <c r="D559" s="206"/>
      <c r="E559" s="207"/>
      <c r="F559" s="207"/>
      <c r="G559" s="207"/>
      <c r="H559" s="207"/>
      <c r="I559" s="207"/>
      <c r="J559" s="207"/>
      <c r="K559" s="207"/>
      <c r="L559" s="207"/>
      <c r="M559" s="207"/>
      <c r="N559" s="207"/>
      <c r="O559" s="206"/>
    </row>
    <row r="560" spans="1:15" ht="30">
      <c r="A560" s="167" t="str">
        <f ca="1">IFERROR(__xludf.DUMMYFUNCTION("""COMPUTED_VALUE"""),"82DJ0519010043000649358")</f>
        <v>82DJ0519010043000649358</v>
      </c>
      <c r="B560" s="167" t="str">
        <f ca="1">IFERROR(__xludf.DUMMYFUNCTION("""COMPUTED_VALUE"""),"BUENO")</f>
        <v>BUENO</v>
      </c>
      <c r="C560" s="206"/>
      <c r="D560" s="206"/>
      <c r="E560" s="207"/>
      <c r="F560" s="207"/>
      <c r="G560" s="207"/>
      <c r="H560" s="207"/>
      <c r="I560" s="207"/>
      <c r="J560" s="207"/>
      <c r="K560" s="207"/>
      <c r="L560" s="207"/>
      <c r="M560" s="207"/>
      <c r="N560" s="207"/>
      <c r="O560" s="206"/>
    </row>
    <row r="561" spans="1:15" ht="30">
      <c r="A561" s="167" t="str">
        <f ca="1">IFERROR(__xludf.DUMMYFUNCTION("""COMPUTED_VALUE"""),"82DJ0511010006000583443")</f>
        <v>82DJ0511010006000583443</v>
      </c>
      <c r="B561" s="167" t="str">
        <f ca="1">IFERROR(__xludf.DUMMYFUNCTION("""COMPUTED_VALUE"""),"BUENO")</f>
        <v>BUENO</v>
      </c>
      <c r="C561" s="206"/>
      <c r="D561" s="206"/>
      <c r="E561" s="207"/>
      <c r="F561" s="207"/>
      <c r="G561" s="207"/>
      <c r="H561" s="207"/>
      <c r="I561" s="207"/>
      <c r="J561" s="207"/>
      <c r="K561" s="207"/>
      <c r="L561" s="207"/>
      <c r="M561" s="207"/>
      <c r="N561" s="207"/>
      <c r="O561" s="206"/>
    </row>
    <row r="562" spans="1:15" ht="30">
      <c r="A562" s="167" t="str">
        <f ca="1">IFERROR(__xludf.DUMMYFUNCTION("""COMPUTED_VALUE"""),"82DJ0515010033000566422")</f>
        <v>82DJ0515010033000566422</v>
      </c>
      <c r="B562" s="167" t="str">
        <f ca="1">IFERROR(__xludf.DUMMYFUNCTION("""COMPUTED_VALUE"""),"BUENO")</f>
        <v>BUENO</v>
      </c>
      <c r="C562" s="206"/>
      <c r="D562" s="206"/>
      <c r="E562" s="207"/>
      <c r="F562" s="207"/>
      <c r="G562" s="207"/>
      <c r="H562" s="207"/>
      <c r="I562" s="207"/>
      <c r="J562" s="207"/>
      <c r="K562" s="207"/>
      <c r="L562" s="207"/>
      <c r="M562" s="207"/>
      <c r="N562" s="207"/>
      <c r="O562" s="206"/>
    </row>
    <row r="563" spans="1:15" ht="30">
      <c r="A563" s="167" t="str">
        <f ca="1">IFERROR(__xludf.DUMMYFUNCTION("""COMPUTED_VALUE"""),"82DJ0515010016000649436")</f>
        <v>82DJ0515010016000649436</v>
      </c>
      <c r="B563" s="167" t="str">
        <f ca="1">IFERROR(__xludf.DUMMYFUNCTION("""COMPUTED_VALUE"""),"BUENO")</f>
        <v>BUENO</v>
      </c>
      <c r="C563" s="206"/>
      <c r="D563" s="206"/>
      <c r="E563" s="207"/>
      <c r="F563" s="207"/>
      <c r="G563" s="207"/>
      <c r="H563" s="207"/>
      <c r="I563" s="207"/>
      <c r="J563" s="207"/>
      <c r="K563" s="207"/>
      <c r="L563" s="207"/>
      <c r="M563" s="207"/>
      <c r="N563" s="207"/>
      <c r="O563" s="206"/>
    </row>
    <row r="564" spans="1:15" ht="30">
      <c r="A564" s="167" t="str">
        <f ca="1">IFERROR(__xludf.DUMMYFUNCTION("""COMPUTED_VALUE"""),"82DH0511010017000651105")</f>
        <v>82DH0511010017000651105</v>
      </c>
      <c r="B564" s="167" t="str">
        <f ca="1">IFERROR(__xludf.DUMMYFUNCTION("""COMPUTED_VALUE"""),"BUENO")</f>
        <v>BUENO</v>
      </c>
      <c r="C564" s="206"/>
      <c r="D564" s="206"/>
      <c r="E564" s="207"/>
      <c r="F564" s="207"/>
      <c r="G564" s="207"/>
      <c r="H564" s="207"/>
      <c r="I564" s="207"/>
      <c r="J564" s="207"/>
      <c r="K564" s="207"/>
      <c r="L564" s="207"/>
      <c r="M564" s="207"/>
      <c r="N564" s="207"/>
      <c r="O564" s="206"/>
    </row>
    <row r="565" spans="1:15" ht="30">
      <c r="A565" s="167" t="str">
        <f ca="1">IFERROR(__xludf.DUMMYFUNCTION("""COMPUTED_VALUE"""),"82DJ0511010017000649734")</f>
        <v>82DJ0511010017000649734</v>
      </c>
      <c r="B565" s="167" t="str">
        <f ca="1">IFERROR(__xludf.DUMMYFUNCTION("""COMPUTED_VALUE"""),"BUENO")</f>
        <v>BUENO</v>
      </c>
      <c r="C565" s="206"/>
      <c r="D565" s="206"/>
      <c r="E565" s="207"/>
      <c r="F565" s="207"/>
      <c r="G565" s="207"/>
      <c r="H565" s="207"/>
      <c r="I565" s="207"/>
      <c r="J565" s="207"/>
      <c r="K565" s="207"/>
      <c r="L565" s="207"/>
      <c r="M565" s="207"/>
      <c r="N565" s="207"/>
      <c r="O565" s="206"/>
    </row>
    <row r="566" spans="1:15" ht="30">
      <c r="A566" s="167" t="str">
        <f ca="1">IFERROR(__xludf.DUMMYFUNCTION("""COMPUTED_VALUE"""),"82DJ0515010003000649736")</f>
        <v>82DJ0515010003000649736</v>
      </c>
      <c r="B566" s="167" t="str">
        <f ca="1">IFERROR(__xludf.DUMMYFUNCTION("""COMPUTED_VALUE"""),"REGULAR")</f>
        <v>REGULAR</v>
      </c>
      <c r="C566" s="206"/>
      <c r="D566" s="206"/>
      <c r="E566" s="207"/>
      <c r="F566" s="207"/>
      <c r="G566" s="207"/>
      <c r="H566" s="207"/>
      <c r="I566" s="207"/>
      <c r="J566" s="207"/>
      <c r="K566" s="207"/>
      <c r="L566" s="207"/>
      <c r="M566" s="207"/>
      <c r="N566" s="207"/>
      <c r="O566" s="206"/>
    </row>
    <row r="567" spans="1:15" ht="30">
      <c r="A567" s="167" t="str">
        <f ca="1">IFERROR(__xludf.DUMMYFUNCTION("""COMPUTED_VALUE"""),"82DJ0565010041000530719")</f>
        <v>82DJ0565010041000530719</v>
      </c>
      <c r="B567" s="167" t="str">
        <f ca="1">IFERROR(__xludf.DUMMYFUNCTION("""COMPUTED_VALUE"""),"BUENO")</f>
        <v>BUENO</v>
      </c>
      <c r="C567" s="206"/>
      <c r="D567" s="206"/>
      <c r="E567" s="207"/>
      <c r="F567" s="207"/>
      <c r="G567" s="207"/>
      <c r="H567" s="207"/>
      <c r="I567" s="207"/>
      <c r="J567" s="207"/>
      <c r="K567" s="207"/>
      <c r="L567" s="207"/>
      <c r="M567" s="207"/>
      <c r="N567" s="207"/>
      <c r="O567" s="206"/>
    </row>
    <row r="568" spans="1:15" ht="30">
      <c r="A568" s="167" t="str">
        <f ca="1">IFERROR(__xludf.DUMMYFUNCTION("""COMPUTED_VALUE"""),"82DJ0565010001000527027")</f>
        <v>82DJ0565010001000527027</v>
      </c>
      <c r="B568" s="167" t="str">
        <f ca="1">IFERROR(__xludf.DUMMYFUNCTION("""COMPUTED_VALUE"""),"UBICAR")</f>
        <v>UBICAR</v>
      </c>
      <c r="C568" s="206"/>
      <c r="D568" s="206"/>
      <c r="E568" s="207"/>
      <c r="F568" s="207"/>
      <c r="G568" s="207"/>
      <c r="H568" s="207"/>
      <c r="I568" s="207"/>
      <c r="J568" s="207"/>
      <c r="K568" s="207"/>
      <c r="L568" s="207"/>
      <c r="M568" s="207"/>
      <c r="N568" s="207"/>
      <c r="O568" s="206"/>
    </row>
    <row r="569" spans="1:15" ht="30">
      <c r="A569" s="167" t="str">
        <f ca="1">IFERROR(__xludf.DUMMYFUNCTION("""COMPUTED_VALUE"""),"82DH0519010043000649369")</f>
        <v>82DH0519010043000649369</v>
      </c>
      <c r="B569" s="167" t="str">
        <f ca="1">IFERROR(__xludf.DUMMYFUNCTION("""COMPUTED_VALUE"""),"BUENO")</f>
        <v>BUENO</v>
      </c>
      <c r="C569" s="206"/>
      <c r="D569" s="206"/>
      <c r="E569" s="207"/>
      <c r="F569" s="207"/>
      <c r="G569" s="207"/>
      <c r="H569" s="207"/>
      <c r="I569" s="207"/>
      <c r="J569" s="207"/>
      <c r="K569" s="207"/>
      <c r="L569" s="207"/>
      <c r="M569" s="207"/>
      <c r="N569" s="207"/>
      <c r="O569" s="206"/>
    </row>
    <row r="570" spans="1:15" ht="30">
      <c r="A570" s="167" t="str">
        <f ca="1">IFERROR(__xludf.DUMMYFUNCTION("""COMPUTED_VALUE"""),"82DH0519010043000649370")</f>
        <v>82DH0519010043000649370</v>
      </c>
      <c r="B570" s="167" t="str">
        <f ca="1">IFERROR(__xludf.DUMMYFUNCTION("""COMPUTED_VALUE"""),"BUENO")</f>
        <v>BUENO</v>
      </c>
      <c r="C570" s="206"/>
      <c r="D570" s="206"/>
      <c r="E570" s="207"/>
      <c r="F570" s="207"/>
      <c r="G570" s="207"/>
      <c r="H570" s="207"/>
      <c r="I570" s="207"/>
      <c r="J570" s="207"/>
      <c r="K570" s="207"/>
      <c r="L570" s="207"/>
      <c r="M570" s="207"/>
      <c r="N570" s="207"/>
      <c r="O570" s="206"/>
    </row>
    <row r="571" spans="1:15" ht="30">
      <c r="A571" s="167" t="str">
        <f ca="1">IFERROR(__xludf.DUMMYFUNCTION("""COMPUTED_VALUE"""),"82DH0512010011000564518")</f>
        <v>82DH0512010011000564518</v>
      </c>
      <c r="B571" s="167" t="str">
        <f ca="1">IFERROR(__xludf.DUMMYFUNCTION("""COMPUTED_VALUE"""),"BUENO")</f>
        <v>BUENO</v>
      </c>
      <c r="C571" s="206"/>
      <c r="D571" s="206"/>
      <c r="E571" s="207"/>
      <c r="F571" s="207"/>
      <c r="G571" s="207"/>
      <c r="H571" s="207"/>
      <c r="I571" s="207"/>
      <c r="J571" s="207"/>
      <c r="K571" s="207"/>
      <c r="L571" s="207"/>
      <c r="M571" s="207"/>
      <c r="N571" s="207"/>
      <c r="O571" s="206"/>
    </row>
    <row r="572" spans="1:15" ht="30">
      <c r="A572" s="167" t="str">
        <f ca="1">IFERROR(__xludf.DUMMYFUNCTION("""COMPUTED_VALUE"""),"82DH0511010010000651107")</f>
        <v>82DH0511010010000651107</v>
      </c>
      <c r="B572" s="167" t="str">
        <f ca="1">IFERROR(__xludf.DUMMYFUNCTION("""COMPUTED_VALUE"""),"BUENO")</f>
        <v>BUENO</v>
      </c>
      <c r="C572" s="206"/>
      <c r="D572" s="206"/>
      <c r="E572" s="207"/>
      <c r="F572" s="207"/>
      <c r="G572" s="207"/>
      <c r="H572" s="207"/>
      <c r="I572" s="207"/>
      <c r="J572" s="207"/>
      <c r="K572" s="207"/>
      <c r="L572" s="207"/>
      <c r="M572" s="207"/>
      <c r="N572" s="207"/>
      <c r="O572" s="206"/>
    </row>
    <row r="573" spans="1:15" ht="30">
      <c r="A573" s="167" t="str">
        <f ca="1">IFERROR(__xludf.DUMMYFUNCTION("""COMPUTED_VALUE"""),"82DJ0511010016000517124")</f>
        <v>82DJ0511010016000517124</v>
      </c>
      <c r="B573" s="167" t="str">
        <f ca="1">IFERROR(__xludf.DUMMYFUNCTION("""COMPUTED_VALUE"""),"BUENO")</f>
        <v>BUENO</v>
      </c>
      <c r="C573" s="206"/>
      <c r="D573" s="206"/>
      <c r="E573" s="207"/>
      <c r="F573" s="207"/>
      <c r="G573" s="207"/>
      <c r="H573" s="207"/>
      <c r="I573" s="207"/>
      <c r="J573" s="207"/>
      <c r="K573" s="207"/>
      <c r="L573" s="207"/>
      <c r="M573" s="207"/>
      <c r="N573" s="207"/>
      <c r="O573" s="206"/>
    </row>
    <row r="574" spans="1:15" ht="30">
      <c r="A574" s="167" t="str">
        <f ca="1">IFERROR(__xludf.DUMMYFUNCTION("""COMPUTED_VALUE"""),"82DH0515010006000649400")</f>
        <v>82DH0515010006000649400</v>
      </c>
      <c r="B574" s="167" t="str">
        <f ca="1">IFERROR(__xludf.DUMMYFUNCTION("""COMPUTED_VALUE"""),"BUENO")</f>
        <v>BUENO</v>
      </c>
      <c r="C574" s="206"/>
      <c r="D574" s="206"/>
      <c r="E574" s="207"/>
      <c r="F574" s="207"/>
      <c r="G574" s="207"/>
      <c r="H574" s="207"/>
      <c r="I574" s="207"/>
      <c r="J574" s="207"/>
      <c r="K574" s="207"/>
      <c r="L574" s="207"/>
      <c r="M574" s="207"/>
      <c r="N574" s="207"/>
      <c r="O574" s="206"/>
    </row>
    <row r="575" spans="1:15" ht="30">
      <c r="A575" s="167" t="str">
        <f ca="1">IFERROR(__xludf.DUMMYFUNCTION("""COMPUTED_VALUE"""),"82DI0511010010000649556")</f>
        <v>82DI0511010010000649556</v>
      </c>
      <c r="B575" s="167" t="str">
        <f ca="1">IFERROR(__xludf.DUMMYFUNCTION("""COMPUTED_VALUE"""),"BUENO")</f>
        <v>BUENO</v>
      </c>
      <c r="C575" s="206"/>
      <c r="D575" s="206"/>
      <c r="E575" s="207"/>
      <c r="F575" s="207"/>
      <c r="G575" s="207"/>
      <c r="H575" s="207"/>
      <c r="I575" s="207"/>
      <c r="J575" s="207"/>
      <c r="K575" s="207"/>
      <c r="L575" s="207"/>
      <c r="M575" s="207"/>
      <c r="N575" s="207"/>
      <c r="O575" s="206"/>
    </row>
    <row r="576" spans="1:15" ht="30">
      <c r="A576" s="167" t="str">
        <f ca="1">IFERROR(__xludf.DUMMYFUNCTION("""COMPUTED_VALUE"""),"82DI0511010017000516247")</f>
        <v>82DI0511010017000516247</v>
      </c>
      <c r="B576" s="167" t="str">
        <f ca="1">IFERROR(__xludf.DUMMYFUNCTION("""COMPUTED_VALUE"""),"BUENO")</f>
        <v>BUENO</v>
      </c>
      <c r="C576" s="206"/>
      <c r="D576" s="206"/>
      <c r="E576" s="207"/>
      <c r="F576" s="207"/>
      <c r="G576" s="207"/>
      <c r="H576" s="207"/>
      <c r="I576" s="207"/>
      <c r="J576" s="207"/>
      <c r="K576" s="207"/>
      <c r="L576" s="207"/>
      <c r="M576" s="207"/>
      <c r="N576" s="207"/>
      <c r="O576" s="206"/>
    </row>
    <row r="577" spans="1:15" ht="30">
      <c r="A577" s="167" t="str">
        <f ca="1">IFERROR(__xludf.DUMMYFUNCTION("""COMPUTED_VALUE"""),"82DI0511010017000649567")</f>
        <v>82DI0511010017000649567</v>
      </c>
      <c r="B577" s="167" t="str">
        <f ca="1">IFERROR(__xludf.DUMMYFUNCTION("""COMPUTED_VALUE"""),"BUENO")</f>
        <v>BUENO</v>
      </c>
      <c r="C577" s="206"/>
      <c r="D577" s="206"/>
      <c r="E577" s="207"/>
      <c r="F577" s="207"/>
      <c r="G577" s="207"/>
      <c r="H577" s="207"/>
      <c r="I577" s="207"/>
      <c r="J577" s="207"/>
      <c r="K577" s="207"/>
      <c r="L577" s="207"/>
      <c r="M577" s="207"/>
      <c r="N577" s="207"/>
      <c r="O577" s="206"/>
    </row>
    <row r="578" spans="1:15" ht="30">
      <c r="A578" s="167" t="str">
        <f ca="1">IFERROR(__xludf.DUMMYFUNCTION("""COMPUTED_VALUE"""),"82DI0511010017000539073")</f>
        <v>82DI0511010017000539073</v>
      </c>
      <c r="B578" s="167" t="str">
        <f ca="1">IFERROR(__xludf.DUMMYFUNCTION("""COMPUTED_VALUE"""),"BUENO")</f>
        <v>BUENO</v>
      </c>
      <c r="C578" s="206"/>
      <c r="D578" s="206"/>
      <c r="E578" s="207"/>
      <c r="F578" s="207"/>
      <c r="G578" s="207"/>
      <c r="H578" s="207"/>
      <c r="I578" s="207"/>
      <c r="J578" s="207"/>
      <c r="K578" s="207"/>
      <c r="L578" s="207"/>
      <c r="M578" s="207"/>
      <c r="N578" s="207"/>
      <c r="O578" s="206"/>
    </row>
    <row r="579" spans="1:15" ht="30">
      <c r="A579" s="167" t="str">
        <f ca="1">IFERROR(__xludf.DUMMYFUNCTION("""COMPUTED_VALUE"""),"82DI0511010016000515607")</f>
        <v>82DI0511010016000515607</v>
      </c>
      <c r="B579" s="167" t="str">
        <f ca="1">IFERROR(__xludf.DUMMYFUNCTION("""COMPUTED_VALUE"""),"BUENO")</f>
        <v>BUENO</v>
      </c>
      <c r="C579" s="206"/>
      <c r="D579" s="206"/>
      <c r="E579" s="207"/>
      <c r="F579" s="207"/>
      <c r="G579" s="207"/>
      <c r="H579" s="207"/>
      <c r="I579" s="207"/>
      <c r="J579" s="207"/>
      <c r="K579" s="207"/>
      <c r="L579" s="207"/>
      <c r="M579" s="207"/>
      <c r="N579" s="207"/>
      <c r="O579" s="206"/>
    </row>
    <row r="580" spans="1:15" ht="30">
      <c r="A580" s="167" t="str">
        <f ca="1">IFERROR(__xludf.DUMMYFUNCTION("""COMPUTED_VALUE"""),"82DI0511010010000649557")</f>
        <v>82DI0511010010000649557</v>
      </c>
      <c r="B580" s="167" t="str">
        <f ca="1">IFERROR(__xludf.DUMMYFUNCTION("""COMPUTED_VALUE"""),"BUENO")</f>
        <v>BUENO</v>
      </c>
      <c r="C580" s="206"/>
      <c r="D580" s="206"/>
      <c r="E580" s="207"/>
      <c r="F580" s="207"/>
      <c r="G580" s="207"/>
      <c r="H580" s="207"/>
      <c r="I580" s="207"/>
      <c r="J580" s="207"/>
      <c r="K580" s="207"/>
      <c r="L580" s="207"/>
      <c r="M580" s="207"/>
      <c r="N580" s="207"/>
      <c r="O580" s="206"/>
    </row>
    <row r="581" spans="1:15" ht="30">
      <c r="A581" s="167" t="str">
        <f ca="1">IFERROR(__xludf.DUMMYFUNCTION("""COMPUTED_VALUE"""),"82DI0511010010000649558")</f>
        <v>82DI0511010010000649558</v>
      </c>
      <c r="B581" s="167" t="str">
        <f ca="1">IFERROR(__xludf.DUMMYFUNCTION("""COMPUTED_VALUE"""),"BUENO")</f>
        <v>BUENO</v>
      </c>
      <c r="C581" s="206"/>
      <c r="D581" s="206"/>
      <c r="E581" s="207"/>
      <c r="F581" s="207"/>
      <c r="G581" s="207"/>
      <c r="H581" s="207"/>
      <c r="I581" s="207"/>
      <c r="J581" s="207"/>
      <c r="K581" s="207"/>
      <c r="L581" s="207"/>
      <c r="M581" s="207"/>
      <c r="N581" s="207"/>
      <c r="O581" s="206"/>
    </row>
    <row r="582" spans="1:15" ht="30">
      <c r="A582" s="167" t="str">
        <f ca="1">IFERROR(__xludf.DUMMYFUNCTION("""COMPUTED_VALUE"""),"82DI0519010043000649373")</f>
        <v>82DI0519010043000649373</v>
      </c>
      <c r="B582" s="167" t="str">
        <f ca="1">IFERROR(__xludf.DUMMYFUNCTION("""COMPUTED_VALUE"""),"BUENO")</f>
        <v>BUENO</v>
      </c>
      <c r="C582" s="206"/>
      <c r="D582" s="206"/>
      <c r="E582" s="207"/>
      <c r="F582" s="207"/>
      <c r="G582" s="207"/>
      <c r="H582" s="207"/>
      <c r="I582" s="207"/>
      <c r="J582" s="207"/>
      <c r="K582" s="207"/>
      <c r="L582" s="207"/>
      <c r="M582" s="207"/>
      <c r="N582" s="207"/>
      <c r="O582" s="206"/>
    </row>
    <row r="583" spans="1:15" ht="30">
      <c r="A583" s="167" t="str">
        <f ca="1">IFERROR(__xludf.DUMMYFUNCTION("""COMPUTED_VALUE"""),"82DI0511010001000649566")</f>
        <v>82DI0511010001000649566</v>
      </c>
      <c r="B583" s="167" t="str">
        <f ca="1">IFERROR(__xludf.DUMMYFUNCTION("""COMPUTED_VALUE"""),"BUENO")</f>
        <v>BUENO</v>
      </c>
      <c r="C583" s="206"/>
      <c r="D583" s="206"/>
      <c r="E583" s="207"/>
      <c r="F583" s="207"/>
      <c r="G583" s="207"/>
      <c r="H583" s="207"/>
      <c r="I583" s="207"/>
      <c r="J583" s="207"/>
      <c r="K583" s="207"/>
      <c r="L583" s="207"/>
      <c r="M583" s="207"/>
      <c r="N583" s="207"/>
      <c r="O583" s="206"/>
    </row>
    <row r="584" spans="1:15" ht="30">
      <c r="A584" s="167" t="str">
        <f ca="1">IFERROR(__xludf.DUMMYFUNCTION("""COMPUTED_VALUE"""),"82DI0511010005000649559")</f>
        <v>82DI0511010005000649559</v>
      </c>
      <c r="B584" s="167" t="str">
        <f ca="1">IFERROR(__xludf.DUMMYFUNCTION("""COMPUTED_VALUE"""),"BUENO")</f>
        <v>BUENO</v>
      </c>
      <c r="C584" s="206"/>
      <c r="D584" s="206"/>
      <c r="E584" s="207"/>
      <c r="F584" s="207"/>
      <c r="G584" s="207"/>
      <c r="H584" s="207"/>
      <c r="I584" s="207"/>
      <c r="J584" s="207"/>
      <c r="K584" s="207"/>
      <c r="L584" s="207"/>
      <c r="M584" s="207"/>
      <c r="N584" s="207"/>
      <c r="O584" s="206"/>
    </row>
    <row r="585" spans="1:15" ht="30">
      <c r="A585" s="167" t="str">
        <f ca="1">IFERROR(__xludf.DUMMYFUNCTION("""COMPUTED_VALUE"""),"82DI0511010006000583449")</f>
        <v>82DI0511010006000583449</v>
      </c>
      <c r="B585" s="167" t="str">
        <f ca="1">IFERROR(__xludf.DUMMYFUNCTION("""COMPUTED_VALUE"""),"BUENO")</f>
        <v>BUENO</v>
      </c>
      <c r="C585" s="206"/>
      <c r="D585" s="206"/>
      <c r="E585" s="207"/>
      <c r="F585" s="207"/>
      <c r="G585" s="207"/>
      <c r="H585" s="207"/>
      <c r="I585" s="207"/>
      <c r="J585" s="207"/>
      <c r="K585" s="207"/>
      <c r="L585" s="207"/>
      <c r="M585" s="207"/>
      <c r="N585" s="207"/>
      <c r="O585" s="206"/>
    </row>
    <row r="586" spans="1:15" ht="30">
      <c r="A586" s="167" t="str">
        <f ca="1">IFERROR(__xludf.DUMMYFUNCTION("""COMPUTED_VALUE"""),"82DI0511010006000583455")</f>
        <v>82DI0511010006000583455</v>
      </c>
      <c r="B586" s="167" t="str">
        <f ca="1">IFERROR(__xludf.DUMMYFUNCTION("""COMPUTED_VALUE"""),"BUENO")</f>
        <v>BUENO</v>
      </c>
      <c r="C586" s="206"/>
      <c r="D586" s="206"/>
      <c r="E586" s="207"/>
      <c r="F586" s="207"/>
      <c r="G586" s="207"/>
      <c r="H586" s="207"/>
      <c r="I586" s="207"/>
      <c r="J586" s="207"/>
      <c r="K586" s="207"/>
      <c r="L586" s="207"/>
      <c r="M586" s="207"/>
      <c r="N586" s="207"/>
      <c r="O586" s="206"/>
    </row>
    <row r="587" spans="1:15" ht="30">
      <c r="A587" s="167" t="str">
        <f ca="1">IFERROR(__xludf.DUMMYFUNCTION("""COMPUTED_VALUE"""),"82DI0515010033000564639")</f>
        <v>82DI0515010033000564639</v>
      </c>
      <c r="B587" s="167" t="str">
        <f ca="1">IFERROR(__xludf.DUMMYFUNCTION("""COMPUTED_VALUE"""),"BUENO")</f>
        <v>BUENO</v>
      </c>
      <c r="C587" s="206"/>
      <c r="D587" s="206"/>
      <c r="E587" s="207"/>
      <c r="F587" s="207"/>
      <c r="G587" s="207"/>
      <c r="H587" s="207"/>
      <c r="I587" s="207"/>
      <c r="J587" s="207"/>
      <c r="K587" s="207"/>
      <c r="L587" s="207"/>
      <c r="M587" s="207"/>
      <c r="N587" s="207"/>
      <c r="O587" s="206"/>
    </row>
    <row r="588" spans="1:15" ht="30">
      <c r="A588" s="167" t="str">
        <f ca="1">IFERROR(__xludf.DUMMYFUNCTION("""COMPUTED_VALUE"""),"82DI0515010033000564640")</f>
        <v>82DI0515010033000564640</v>
      </c>
      <c r="B588" s="167" t="str">
        <f ca="1">IFERROR(__xludf.DUMMYFUNCTION("""COMPUTED_VALUE"""),"BUENO")</f>
        <v>BUENO</v>
      </c>
      <c r="C588" s="206"/>
      <c r="D588" s="206"/>
      <c r="E588" s="207"/>
      <c r="F588" s="207"/>
      <c r="G588" s="207"/>
      <c r="H588" s="207"/>
      <c r="I588" s="207"/>
      <c r="J588" s="207"/>
      <c r="K588" s="207"/>
      <c r="L588" s="207"/>
      <c r="M588" s="207"/>
      <c r="N588" s="207"/>
      <c r="O588" s="206"/>
    </row>
    <row r="589" spans="1:15" ht="30">
      <c r="A589" s="167" t="str">
        <f ca="1">IFERROR(__xludf.DUMMYFUNCTION("""COMPUTED_VALUE"""),"82DI0511010016000539052")</f>
        <v>82DI0511010016000539052</v>
      </c>
      <c r="B589" s="167" t="str">
        <f ca="1">IFERROR(__xludf.DUMMYFUNCTION("""COMPUTED_VALUE"""),"MALO")</f>
        <v>MALO</v>
      </c>
      <c r="C589" s="206"/>
      <c r="D589" s="206"/>
      <c r="E589" s="207"/>
      <c r="F589" s="207"/>
      <c r="G589" s="207"/>
      <c r="H589" s="207"/>
      <c r="I589" s="207"/>
      <c r="J589" s="207"/>
      <c r="K589" s="207"/>
      <c r="L589" s="207"/>
      <c r="M589" s="207"/>
      <c r="N589" s="207"/>
      <c r="O589" s="206"/>
    </row>
    <row r="590" spans="1:15" ht="30">
      <c r="A590" s="167" t="str">
        <f ca="1">IFERROR(__xludf.DUMMYFUNCTION("""COMPUTED_VALUE"""),"82DI0515010016000522294")</f>
        <v>82DI0515010016000522294</v>
      </c>
      <c r="B590" s="167" t="str">
        <f ca="1">IFERROR(__xludf.DUMMYFUNCTION("""COMPUTED_VALUE"""),"BUENO")</f>
        <v>BUENO</v>
      </c>
      <c r="C590" s="206"/>
      <c r="D590" s="206"/>
      <c r="E590" s="207"/>
      <c r="F590" s="207"/>
      <c r="G590" s="207"/>
      <c r="H590" s="207"/>
      <c r="I590" s="207"/>
      <c r="J590" s="207"/>
      <c r="K590" s="207"/>
      <c r="L590" s="207"/>
      <c r="M590" s="207"/>
      <c r="N590" s="207"/>
      <c r="O590" s="206"/>
    </row>
    <row r="591" spans="1:15" ht="30">
      <c r="A591" s="167" t="str">
        <f ca="1">IFERROR(__xludf.DUMMYFUNCTION("""COMPUTED_VALUE"""),"82DI0515010001000539045")</f>
        <v>82DI0515010001000539045</v>
      </c>
      <c r="B591" s="167" t="str">
        <f ca="1">IFERROR(__xludf.DUMMYFUNCTION("""COMPUTED_VALUE"""),"BUENO")</f>
        <v>BUENO</v>
      </c>
      <c r="C591" s="206"/>
      <c r="D591" s="206"/>
      <c r="E591" s="207"/>
      <c r="F591" s="207"/>
      <c r="G591" s="207"/>
      <c r="H591" s="207"/>
      <c r="I591" s="207"/>
      <c r="J591" s="207"/>
      <c r="K591" s="207"/>
      <c r="L591" s="207"/>
      <c r="M591" s="207"/>
      <c r="N591" s="207"/>
      <c r="O591" s="206"/>
    </row>
    <row r="592" spans="1:15" ht="30">
      <c r="A592" s="167" t="str">
        <f ca="1">IFERROR(__xludf.DUMMYFUNCTION("""COMPUTED_VALUE"""),"82DI0565010041000539112")</f>
        <v>82DI0565010041000539112</v>
      </c>
      <c r="B592" s="167" t="str">
        <f ca="1">IFERROR(__xludf.DUMMYFUNCTION("""COMPUTED_VALUE"""),"BUENO")</f>
        <v>BUENO</v>
      </c>
      <c r="C592" s="206"/>
      <c r="D592" s="206"/>
      <c r="E592" s="207"/>
      <c r="F592" s="207"/>
      <c r="G592" s="207"/>
      <c r="H592" s="207"/>
      <c r="I592" s="207"/>
      <c r="J592" s="207"/>
      <c r="K592" s="207"/>
      <c r="L592" s="207"/>
      <c r="M592" s="207"/>
      <c r="N592" s="207"/>
      <c r="O592" s="206"/>
    </row>
    <row r="593" spans="1:15" ht="30">
      <c r="A593" s="167" t="str">
        <f ca="1">IFERROR(__xludf.DUMMYFUNCTION("""COMPUTED_VALUE"""),"82DI0565010001000527092")</f>
        <v>82DI0565010001000527092</v>
      </c>
      <c r="B593" s="167" t="str">
        <f ca="1">IFERROR(__xludf.DUMMYFUNCTION("""COMPUTED_VALUE"""),"BUENO")</f>
        <v>BUENO</v>
      </c>
      <c r="C593" s="206"/>
      <c r="D593" s="206"/>
      <c r="E593" s="207"/>
      <c r="F593" s="207"/>
      <c r="G593" s="207"/>
      <c r="H593" s="207"/>
      <c r="I593" s="207"/>
      <c r="J593" s="207"/>
      <c r="K593" s="207"/>
      <c r="L593" s="207"/>
      <c r="M593" s="207"/>
      <c r="N593" s="207"/>
      <c r="O593" s="206"/>
    </row>
    <row r="594" spans="1:15" ht="30">
      <c r="A594" s="167" t="str">
        <f ca="1">IFERROR(__xludf.DUMMYFUNCTION("""COMPUTED_VALUE"""),"82DJ0531010065000564804")</f>
        <v>82DJ0531010065000564804</v>
      </c>
      <c r="B594" s="167" t="str">
        <f ca="1">IFERROR(__xludf.DUMMYFUNCTION("""COMPUTED_VALUE"""),"BUENO")</f>
        <v>BUENO</v>
      </c>
      <c r="C594" s="206"/>
      <c r="D594" s="206"/>
      <c r="E594" s="207"/>
      <c r="F594" s="207"/>
      <c r="G594" s="207"/>
      <c r="H594" s="207"/>
      <c r="I594" s="207"/>
      <c r="J594" s="207"/>
      <c r="K594" s="207"/>
      <c r="L594" s="207"/>
      <c r="M594" s="207"/>
      <c r="N594" s="207"/>
      <c r="O594" s="206"/>
    </row>
    <row r="595" spans="1:15" ht="30">
      <c r="A595" s="167" t="str">
        <f ca="1">IFERROR(__xludf.DUMMYFUNCTION("""COMPUTED_VALUE"""),"82DJ0511010006000564905")</f>
        <v>82DJ0511010006000564905</v>
      </c>
      <c r="B595" s="167" t="str">
        <f ca="1">IFERROR(__xludf.DUMMYFUNCTION("""COMPUTED_VALUE"""),"BUENO")</f>
        <v>BUENO</v>
      </c>
      <c r="C595" s="206"/>
      <c r="D595" s="206"/>
      <c r="E595" s="207"/>
      <c r="F595" s="207"/>
      <c r="G595" s="207"/>
      <c r="H595" s="207"/>
      <c r="I595" s="207"/>
      <c r="J595" s="207"/>
      <c r="K595" s="207"/>
      <c r="L595" s="207"/>
      <c r="M595" s="207"/>
      <c r="N595" s="207"/>
      <c r="O595" s="206"/>
    </row>
    <row r="596" spans="1:15" ht="30">
      <c r="A596" s="167" t="str">
        <f ca="1">IFERROR(__xludf.DUMMYFUNCTION("""COMPUTED_VALUE"""),"82DJ0531010065000564789")</f>
        <v>82DJ0531010065000564789</v>
      </c>
      <c r="B596" s="167" t="str">
        <f ca="1">IFERROR(__xludf.DUMMYFUNCTION("""COMPUTED_VALUE"""),"BUENO")</f>
        <v>BUENO</v>
      </c>
      <c r="C596" s="206"/>
      <c r="D596" s="206"/>
      <c r="E596" s="207"/>
      <c r="F596" s="207"/>
      <c r="G596" s="207"/>
      <c r="H596" s="207"/>
      <c r="I596" s="207"/>
      <c r="J596" s="207"/>
      <c r="K596" s="207"/>
      <c r="L596" s="207"/>
      <c r="M596" s="207"/>
      <c r="N596" s="207"/>
      <c r="O596" s="206"/>
    </row>
    <row r="597" spans="1:15" ht="30">
      <c r="A597" s="167" t="str">
        <f ca="1">IFERROR(__xludf.DUMMYFUNCTION("""COMPUTED_VALUE"""),"82DJ0511010005000649715")</f>
        <v>82DJ0511010005000649715</v>
      </c>
      <c r="B597" s="167" t="str">
        <f ca="1">IFERROR(__xludf.DUMMYFUNCTION("""COMPUTED_VALUE"""),"BUENO")</f>
        <v>BUENO</v>
      </c>
      <c r="C597" s="206"/>
      <c r="D597" s="206"/>
      <c r="E597" s="207"/>
      <c r="F597" s="207"/>
      <c r="G597" s="207"/>
      <c r="H597" s="207"/>
      <c r="I597" s="207"/>
      <c r="J597" s="207"/>
      <c r="K597" s="207"/>
      <c r="L597" s="207"/>
      <c r="M597" s="207"/>
      <c r="N597" s="207"/>
      <c r="O597" s="206"/>
    </row>
    <row r="598" spans="1:15" ht="30">
      <c r="A598" s="167" t="str">
        <f ca="1">IFERROR(__xludf.DUMMYFUNCTION("""COMPUTED_VALUE"""),"82DJ0531010094000564891")</f>
        <v>82DJ0531010094000564891</v>
      </c>
      <c r="B598" s="167" t="str">
        <f ca="1">IFERROR(__xludf.DUMMYFUNCTION("""COMPUTED_VALUE"""),"BUENO")</f>
        <v>BUENO</v>
      </c>
      <c r="C598" s="206"/>
      <c r="D598" s="206"/>
      <c r="E598" s="207"/>
      <c r="F598" s="207"/>
      <c r="G598" s="207"/>
      <c r="H598" s="207"/>
      <c r="I598" s="207"/>
      <c r="J598" s="207"/>
      <c r="K598" s="207"/>
      <c r="L598" s="207"/>
      <c r="M598" s="207"/>
      <c r="N598" s="207"/>
      <c r="O598" s="206"/>
    </row>
    <row r="599" spans="1:15" ht="30">
      <c r="A599" s="167" t="str">
        <f ca="1">IFERROR(__xludf.DUMMYFUNCTION("""COMPUTED_VALUE"""),"82DJ0565010001000527088")</f>
        <v>82DJ0565010001000527088</v>
      </c>
      <c r="B599" s="167" t="str">
        <f ca="1">IFERROR(__xludf.DUMMYFUNCTION("""COMPUTED_VALUE"""),"BUENO")</f>
        <v>BUENO</v>
      </c>
      <c r="C599" s="206"/>
      <c r="D599" s="206"/>
      <c r="E599" s="207"/>
      <c r="F599" s="207"/>
      <c r="G599" s="207"/>
      <c r="H599" s="207"/>
      <c r="I599" s="207"/>
      <c r="J599" s="207"/>
      <c r="K599" s="207"/>
      <c r="L599" s="207"/>
      <c r="M599" s="207"/>
      <c r="N599" s="207"/>
      <c r="O599" s="206"/>
    </row>
    <row r="600" spans="1:15" ht="30">
      <c r="A600" s="167" t="str">
        <f ca="1">IFERROR(__xludf.DUMMYFUNCTION("""COMPUTED_VALUE"""),"82DJ0515010016000649435")</f>
        <v>82DJ0515010016000649435</v>
      </c>
      <c r="B600" s="167" t="str">
        <f ca="1">IFERROR(__xludf.DUMMYFUNCTION("""COMPUTED_VALUE"""),"BUENO")</f>
        <v>BUENO</v>
      </c>
      <c r="C600" s="206"/>
      <c r="D600" s="206"/>
      <c r="E600" s="207"/>
      <c r="F600" s="207"/>
      <c r="G600" s="207"/>
      <c r="H600" s="207"/>
      <c r="I600" s="207"/>
      <c r="J600" s="207"/>
      <c r="K600" s="207"/>
      <c r="L600" s="207"/>
      <c r="M600" s="207"/>
      <c r="N600" s="207"/>
      <c r="O600" s="206"/>
    </row>
    <row r="601" spans="1:15" ht="30">
      <c r="A601" s="167" t="str">
        <f ca="1">IFERROR(__xludf.DUMMYFUNCTION("""COMPUTED_VALUE"""),"82DJ0515010033000564636")</f>
        <v>82DJ0515010033000564636</v>
      </c>
      <c r="B601" s="167" t="str">
        <f ca="1">IFERROR(__xludf.DUMMYFUNCTION("""COMPUTED_VALUE"""),"BUENO")</f>
        <v>BUENO</v>
      </c>
      <c r="C601" s="206"/>
      <c r="D601" s="206"/>
      <c r="E601" s="207"/>
      <c r="F601" s="207"/>
      <c r="G601" s="207"/>
      <c r="H601" s="207"/>
      <c r="I601" s="207"/>
      <c r="J601" s="207"/>
      <c r="K601" s="207"/>
      <c r="L601" s="207"/>
      <c r="M601" s="207"/>
      <c r="N601" s="207"/>
      <c r="O601" s="206"/>
    </row>
    <row r="602" spans="1:15" ht="30">
      <c r="A602" s="167" t="str">
        <f ca="1">IFERROR(__xludf.DUMMYFUNCTION("""COMPUTED_VALUE"""),"82DJ0519010059000580129")</f>
        <v>82DJ0519010059000580129</v>
      </c>
      <c r="B602" s="167" t="str">
        <f ca="1">IFERROR(__xludf.DUMMYFUNCTION("""COMPUTED_VALUE"""),"REGULAR")</f>
        <v>REGULAR</v>
      </c>
      <c r="C602" s="206"/>
      <c r="D602" s="206"/>
      <c r="E602" s="207"/>
      <c r="F602" s="207"/>
      <c r="G602" s="207"/>
      <c r="H602" s="207"/>
      <c r="I602" s="207"/>
      <c r="J602" s="207"/>
      <c r="K602" s="207"/>
      <c r="L602" s="207"/>
      <c r="M602" s="207"/>
      <c r="N602" s="207"/>
      <c r="O602" s="206"/>
    </row>
    <row r="603" spans="1:15" ht="30">
      <c r="A603" s="167" t="str">
        <f ca="1">IFERROR(__xludf.DUMMYFUNCTION("""COMPUTED_VALUE"""),"82DJ0511010017000649707")</f>
        <v>82DJ0511010017000649707</v>
      </c>
      <c r="B603" s="167" t="str">
        <f ca="1">IFERROR(__xludf.DUMMYFUNCTION("""COMPUTED_VALUE"""),"BUENO")</f>
        <v>BUENO</v>
      </c>
      <c r="C603" s="206"/>
      <c r="D603" s="206"/>
      <c r="E603" s="207"/>
      <c r="F603" s="207"/>
      <c r="G603" s="207"/>
      <c r="H603" s="207"/>
      <c r="I603" s="207"/>
      <c r="J603" s="207"/>
      <c r="K603" s="207"/>
      <c r="L603" s="207"/>
      <c r="M603" s="207"/>
      <c r="N603" s="207"/>
      <c r="O603" s="206"/>
    </row>
    <row r="604" spans="1:15" ht="30">
      <c r="A604" s="167" t="str">
        <f ca="1">IFERROR(__xludf.DUMMYFUNCTION("""COMPUTED_VALUE"""),"82DJ0515010003000649381")</f>
        <v>82DJ0515010003000649381</v>
      </c>
      <c r="B604" s="167" t="str">
        <f ca="1">IFERROR(__xludf.DUMMYFUNCTION("""COMPUTED_VALUE"""),"BUENO")</f>
        <v>BUENO</v>
      </c>
      <c r="C604" s="206"/>
      <c r="D604" s="206"/>
      <c r="E604" s="207"/>
      <c r="F604" s="207"/>
      <c r="G604" s="207"/>
      <c r="H604" s="207"/>
      <c r="I604" s="207"/>
      <c r="J604" s="207"/>
      <c r="K604" s="207"/>
      <c r="L604" s="207"/>
      <c r="M604" s="207"/>
      <c r="N604" s="207"/>
      <c r="O604" s="206"/>
    </row>
    <row r="605" spans="1:15" ht="30">
      <c r="A605" s="167" t="str">
        <f ca="1">IFERROR(__xludf.DUMMYFUNCTION("""COMPUTED_VALUE"""),"82DJ0511010005000649706")</f>
        <v>82DJ0511010005000649706</v>
      </c>
      <c r="B605" s="167" t="str">
        <f ca="1">IFERROR(__xludf.DUMMYFUNCTION("""COMPUTED_VALUE"""),"BUENO")</f>
        <v>BUENO</v>
      </c>
      <c r="C605" s="206"/>
      <c r="D605" s="206"/>
      <c r="E605" s="207"/>
      <c r="F605" s="207"/>
      <c r="G605" s="207"/>
      <c r="H605" s="207"/>
      <c r="I605" s="207"/>
      <c r="J605" s="207"/>
      <c r="K605" s="207"/>
      <c r="L605" s="207"/>
      <c r="M605" s="207"/>
      <c r="N605" s="207"/>
      <c r="O605" s="206"/>
    </row>
    <row r="606" spans="1:15" ht="30">
      <c r="A606" s="167" t="str">
        <f ca="1">IFERROR(__xludf.DUMMYFUNCTION("""COMPUTED_VALUE"""),"82DJ0511010006000564904")</f>
        <v>82DJ0511010006000564904</v>
      </c>
      <c r="B606" s="167" t="str">
        <f ca="1">IFERROR(__xludf.DUMMYFUNCTION("""COMPUTED_VALUE"""),"BUENO")</f>
        <v>BUENO</v>
      </c>
      <c r="C606" s="206"/>
      <c r="D606" s="206"/>
      <c r="E606" s="207"/>
      <c r="F606" s="207"/>
      <c r="G606" s="207"/>
      <c r="H606" s="207"/>
      <c r="I606" s="207"/>
      <c r="J606" s="207"/>
      <c r="K606" s="207"/>
      <c r="L606" s="207"/>
      <c r="M606" s="207"/>
      <c r="N606" s="207"/>
      <c r="O606" s="206"/>
    </row>
    <row r="607" spans="1:15" ht="30">
      <c r="A607" s="167" t="str">
        <f ca="1">IFERROR(__xludf.DUMMYFUNCTION("""COMPUTED_VALUE"""),"82DJ0531010065000564805")</f>
        <v>82DJ0531010065000564805</v>
      </c>
      <c r="B607" s="167" t="str">
        <f ca="1">IFERROR(__xludf.DUMMYFUNCTION("""COMPUTED_VALUE"""),"BUENO")</f>
        <v>BUENO</v>
      </c>
      <c r="C607" s="206"/>
      <c r="D607" s="206"/>
      <c r="E607" s="207"/>
      <c r="F607" s="207"/>
      <c r="G607" s="207"/>
      <c r="H607" s="207"/>
      <c r="I607" s="207"/>
      <c r="J607" s="207"/>
      <c r="K607" s="207"/>
      <c r="L607" s="207"/>
      <c r="M607" s="207"/>
      <c r="N607" s="207"/>
      <c r="O607" s="206"/>
    </row>
    <row r="608" spans="1:15" ht="30">
      <c r="A608" s="167" t="str">
        <f ca="1">IFERROR(__xludf.DUMMYFUNCTION("""COMPUTED_VALUE"""),"82DJ0511010017000649705")</f>
        <v>82DJ0511010017000649705</v>
      </c>
      <c r="B608" s="167" t="str">
        <f ca="1">IFERROR(__xludf.DUMMYFUNCTION("""COMPUTED_VALUE"""),"BUENO")</f>
        <v>BUENO</v>
      </c>
      <c r="C608" s="206"/>
      <c r="D608" s="206"/>
      <c r="E608" s="207"/>
      <c r="F608" s="207"/>
      <c r="G608" s="207"/>
      <c r="H608" s="207"/>
      <c r="I608" s="207"/>
      <c r="J608" s="207"/>
      <c r="K608" s="207"/>
      <c r="L608" s="207"/>
      <c r="M608" s="207"/>
      <c r="N608" s="207"/>
      <c r="O608" s="206"/>
    </row>
    <row r="609" spans="1:15" ht="30">
      <c r="A609" s="167" t="str">
        <f ca="1">IFERROR(__xludf.DUMMYFUNCTION("""COMPUTED_VALUE"""),"82DJ0531010065000564806")</f>
        <v>82DJ0531010065000564806</v>
      </c>
      <c r="B609" s="167" t="str">
        <f ca="1">IFERROR(__xludf.DUMMYFUNCTION("""COMPUTED_VALUE"""),"BUENO")</f>
        <v>BUENO</v>
      </c>
      <c r="C609" s="206"/>
      <c r="D609" s="206"/>
      <c r="E609" s="207"/>
      <c r="F609" s="207"/>
      <c r="G609" s="207"/>
      <c r="H609" s="207"/>
      <c r="I609" s="207"/>
      <c r="J609" s="207"/>
      <c r="K609" s="207"/>
      <c r="L609" s="207"/>
      <c r="M609" s="207"/>
      <c r="N609" s="207"/>
      <c r="O609" s="206"/>
    </row>
    <row r="610" spans="1:15" ht="30">
      <c r="A610" s="167" t="str">
        <f ca="1">IFERROR(__xludf.DUMMYFUNCTION("""COMPUTED_VALUE"""),"82DJ0511010017000516248")</f>
        <v>82DJ0511010017000516248</v>
      </c>
      <c r="B610" s="167" t="str">
        <f ca="1">IFERROR(__xludf.DUMMYFUNCTION("""COMPUTED_VALUE"""),"BUENO")</f>
        <v>BUENO</v>
      </c>
      <c r="C610" s="206"/>
      <c r="D610" s="206"/>
      <c r="E610" s="207"/>
      <c r="F610" s="207"/>
      <c r="G610" s="207"/>
      <c r="H610" s="207"/>
      <c r="I610" s="207"/>
      <c r="J610" s="207"/>
      <c r="K610" s="207"/>
      <c r="L610" s="207"/>
      <c r="M610" s="207"/>
      <c r="N610" s="207"/>
      <c r="O610" s="206"/>
    </row>
    <row r="611" spans="1:15" ht="30">
      <c r="A611" s="167" t="str">
        <f ca="1">IFERROR(__xludf.DUMMYFUNCTION("""COMPUTED_VALUE"""),"82DH0515010013000649661")</f>
        <v>82DH0515010013000649661</v>
      </c>
      <c r="B611" s="167" t="str">
        <f ca="1">IFERROR(__xludf.DUMMYFUNCTION("""COMPUTED_VALUE"""),"MALO PARA BAJA (ALMACEN)")</f>
        <v>MALO PARA BAJA (ALMACEN)</v>
      </c>
      <c r="C611" s="206"/>
      <c r="D611" s="206"/>
      <c r="E611" s="207"/>
      <c r="F611" s="207"/>
      <c r="G611" s="207"/>
      <c r="H611" s="207"/>
      <c r="I611" s="207"/>
      <c r="J611" s="207"/>
      <c r="K611" s="207"/>
      <c r="L611" s="207"/>
      <c r="M611" s="207"/>
      <c r="N611" s="207"/>
      <c r="O611" s="206"/>
    </row>
    <row r="612" spans="1:15" ht="30">
      <c r="A612" s="167" t="str">
        <f ca="1">IFERROR(__xludf.DUMMYFUNCTION("""COMPUTED_VALUE"""),"82DJ0515010016000649418")</f>
        <v>82DJ0515010016000649418</v>
      </c>
      <c r="B612" s="167" t="str">
        <f ca="1">IFERROR(__xludf.DUMMYFUNCTION("""COMPUTED_VALUE"""),"BUENO")</f>
        <v>BUENO</v>
      </c>
      <c r="C612" s="206"/>
      <c r="D612" s="206"/>
      <c r="E612" s="207"/>
      <c r="F612" s="207"/>
      <c r="G612" s="207"/>
      <c r="H612" s="207"/>
      <c r="I612" s="207"/>
      <c r="J612" s="207"/>
      <c r="K612" s="207"/>
      <c r="L612" s="207"/>
      <c r="M612" s="207"/>
      <c r="N612" s="207"/>
      <c r="O612" s="206"/>
    </row>
    <row r="613" spans="1:15" ht="30">
      <c r="A613" s="167" t="str">
        <f ca="1">IFERROR(__xludf.DUMMYFUNCTION("""COMPUTED_VALUE"""),"SIN RESGUARDO")</f>
        <v>SIN RESGUARDO</v>
      </c>
      <c r="B613" s="167" t="str">
        <f ca="1">IFERROR(__xludf.DUMMYFUNCTION("""COMPUTED_VALUE"""),"BUENO")</f>
        <v>BUENO</v>
      </c>
      <c r="C613" s="206"/>
      <c r="D613" s="206"/>
      <c r="E613" s="207"/>
      <c r="F613" s="207"/>
      <c r="G613" s="207"/>
      <c r="H613" s="207"/>
      <c r="I613" s="207"/>
      <c r="J613" s="207"/>
      <c r="K613" s="207"/>
      <c r="L613" s="207"/>
      <c r="M613" s="207"/>
      <c r="N613" s="207"/>
      <c r="O613" s="206"/>
    </row>
    <row r="614" spans="1:15" ht="30">
      <c r="A614" s="167" t="str">
        <f ca="1">IFERROR(__xludf.DUMMYFUNCTION("""COMPUTED_VALUE"""),"82DJ0515010033000564634")</f>
        <v>82DJ0515010033000564634</v>
      </c>
      <c r="B614" s="167" t="str">
        <f ca="1">IFERROR(__xludf.DUMMYFUNCTION("""COMPUTED_VALUE"""),"BUENO")</f>
        <v>BUENO</v>
      </c>
      <c r="C614" s="206"/>
      <c r="D614" s="206"/>
      <c r="E614" s="207"/>
      <c r="F614" s="207"/>
      <c r="G614" s="207"/>
      <c r="H614" s="207"/>
      <c r="I614" s="207"/>
      <c r="J614" s="207"/>
      <c r="K614" s="207"/>
      <c r="L614" s="207"/>
      <c r="M614" s="207"/>
      <c r="N614" s="207"/>
      <c r="O614" s="206"/>
    </row>
    <row r="615" spans="1:15" ht="30">
      <c r="A615" s="167" t="str">
        <f ca="1">IFERROR(__xludf.DUMMYFUNCTION("""COMPUTED_VALUE"""),"SIN RESGUARDO")</f>
        <v>SIN RESGUARDO</v>
      </c>
      <c r="B615" s="167" t="str">
        <f ca="1">IFERROR(__xludf.DUMMYFUNCTION("""COMPUTED_VALUE"""),"BUENO")</f>
        <v>BUENO</v>
      </c>
      <c r="C615" s="206"/>
      <c r="D615" s="206"/>
      <c r="E615" s="207"/>
      <c r="F615" s="207"/>
      <c r="G615" s="207"/>
      <c r="H615" s="207"/>
      <c r="I615" s="207"/>
      <c r="J615" s="207"/>
      <c r="K615" s="207"/>
      <c r="L615" s="207"/>
      <c r="M615" s="207"/>
      <c r="N615" s="207"/>
      <c r="O615" s="206"/>
    </row>
    <row r="616" spans="1:15" ht="30">
      <c r="A616" s="167" t="str">
        <f ca="1">IFERROR(__xludf.DUMMYFUNCTION("""COMPUTED_VALUE"""),"82DJ0531010065000564803")</f>
        <v>82DJ0531010065000564803</v>
      </c>
      <c r="B616" s="167" t="str">
        <f ca="1">IFERROR(__xludf.DUMMYFUNCTION("""COMPUTED_VALUE"""),"BUENO")</f>
        <v>BUENO</v>
      </c>
      <c r="C616" s="206"/>
      <c r="D616" s="206"/>
      <c r="E616" s="207"/>
      <c r="F616" s="207"/>
      <c r="G616" s="207"/>
      <c r="H616" s="207"/>
      <c r="I616" s="207"/>
      <c r="J616" s="207"/>
      <c r="K616" s="207"/>
      <c r="L616" s="207"/>
      <c r="M616" s="207"/>
      <c r="N616" s="207"/>
      <c r="O616" s="206"/>
    </row>
    <row r="617" spans="1:15" ht="30">
      <c r="A617" s="167" t="str">
        <f ca="1">IFERROR(__xludf.DUMMYFUNCTION("""COMPUTED_VALUE"""),"82DJ0511010005000649709")</f>
        <v>82DJ0511010005000649709</v>
      </c>
      <c r="B617" s="167" t="str">
        <f ca="1">IFERROR(__xludf.DUMMYFUNCTION("""COMPUTED_VALUE"""),"BUENO")</f>
        <v>BUENO</v>
      </c>
      <c r="C617" s="206"/>
      <c r="D617" s="206"/>
      <c r="E617" s="207"/>
      <c r="F617" s="207"/>
      <c r="G617" s="207"/>
      <c r="H617" s="207"/>
      <c r="I617" s="207"/>
      <c r="J617" s="207"/>
      <c r="K617" s="207"/>
      <c r="L617" s="207"/>
      <c r="M617" s="207"/>
      <c r="N617" s="207"/>
      <c r="O617" s="206"/>
    </row>
    <row r="618" spans="1:15" ht="30">
      <c r="A618" s="167" t="str">
        <f ca="1">IFERROR(__xludf.DUMMYFUNCTION("""COMPUTED_VALUE"""),"82DJ0531010065000564802")</f>
        <v>82DJ0531010065000564802</v>
      </c>
      <c r="B618" s="167" t="str">
        <f ca="1">IFERROR(__xludf.DUMMYFUNCTION("""COMPUTED_VALUE"""),"BUENO")</f>
        <v>BUENO</v>
      </c>
      <c r="C618" s="206"/>
      <c r="D618" s="206"/>
      <c r="E618" s="207"/>
      <c r="F618" s="207"/>
      <c r="G618" s="207"/>
      <c r="H618" s="207"/>
      <c r="I618" s="207"/>
      <c r="J618" s="207"/>
      <c r="K618" s="207"/>
      <c r="L618" s="207"/>
      <c r="M618" s="207"/>
      <c r="N618" s="207"/>
      <c r="O618" s="206"/>
    </row>
    <row r="619" spans="1:15" ht="30">
      <c r="A619" s="167" t="str">
        <f ca="1">IFERROR(__xludf.DUMMYFUNCTION("""COMPUTED_VALUE"""),"82DJ0511010017000516245")</f>
        <v>82DJ0511010017000516245</v>
      </c>
      <c r="B619" s="167" t="str">
        <f ca="1">IFERROR(__xludf.DUMMYFUNCTION("""COMPUTED_VALUE"""),"BUENO")</f>
        <v>BUENO</v>
      </c>
      <c r="C619" s="206"/>
      <c r="D619" s="206"/>
      <c r="E619" s="207"/>
      <c r="F619" s="207"/>
      <c r="G619" s="207"/>
      <c r="H619" s="207"/>
      <c r="I619" s="207"/>
      <c r="J619" s="207"/>
      <c r="K619" s="207"/>
      <c r="L619" s="207"/>
      <c r="M619" s="207"/>
      <c r="N619" s="207"/>
      <c r="O619" s="206"/>
    </row>
    <row r="620" spans="1:15" ht="30">
      <c r="A620" s="167" t="str">
        <f ca="1">IFERROR(__xludf.DUMMYFUNCTION("""COMPUTED_VALUE"""),"82DJ0515010016000649419")</f>
        <v>82DJ0515010016000649419</v>
      </c>
      <c r="B620" s="167" t="str">
        <f ca="1">IFERROR(__xludf.DUMMYFUNCTION("""COMPUTED_VALUE"""),"BUENO")</f>
        <v>BUENO</v>
      </c>
      <c r="C620" s="206"/>
      <c r="D620" s="206"/>
      <c r="E620" s="207"/>
      <c r="F620" s="207"/>
      <c r="G620" s="207"/>
      <c r="H620" s="207"/>
      <c r="I620" s="207"/>
      <c r="J620" s="207"/>
      <c r="K620" s="207"/>
      <c r="L620" s="207"/>
      <c r="M620" s="207"/>
      <c r="N620" s="207"/>
      <c r="O620" s="206"/>
    </row>
    <row r="621" spans="1:15" ht="30">
      <c r="A621" s="167" t="str">
        <f ca="1">IFERROR(__xludf.DUMMYFUNCTION("""COMPUTED_VALUE"""),"82DJ0511010006000518518")</f>
        <v>82DJ0511010006000518518</v>
      </c>
      <c r="B621" s="167" t="str">
        <f ca="1">IFERROR(__xludf.DUMMYFUNCTION("""COMPUTED_VALUE"""),"BUENO")</f>
        <v>BUENO</v>
      </c>
      <c r="C621" s="206"/>
      <c r="D621" s="206"/>
      <c r="E621" s="207"/>
      <c r="F621" s="207"/>
      <c r="G621" s="207"/>
      <c r="H621" s="207"/>
      <c r="I621" s="207"/>
      <c r="J621" s="207"/>
      <c r="K621" s="207"/>
      <c r="L621" s="207"/>
      <c r="M621" s="207"/>
      <c r="N621" s="207"/>
      <c r="O621" s="206"/>
    </row>
    <row r="622" spans="1:15" ht="30">
      <c r="A622" s="167" t="str">
        <f ca="1">IFERROR(__xludf.DUMMYFUNCTION("""COMPUTED_VALUE"""),"SIN RESGUARDO")</f>
        <v>SIN RESGUARDO</v>
      </c>
      <c r="B622" s="167" t="str">
        <f ca="1">IFERROR(__xludf.DUMMYFUNCTION("""COMPUTED_VALUE"""),"BUENO")</f>
        <v>BUENO</v>
      </c>
      <c r="C622" s="206"/>
      <c r="D622" s="206"/>
      <c r="E622" s="207"/>
      <c r="F622" s="207"/>
      <c r="G622" s="207"/>
      <c r="H622" s="207"/>
      <c r="I622" s="207"/>
      <c r="J622" s="207"/>
      <c r="K622" s="207"/>
      <c r="L622" s="207"/>
      <c r="M622" s="207"/>
      <c r="N622" s="207"/>
      <c r="O622" s="206"/>
    </row>
    <row r="623" spans="1:15" ht="30">
      <c r="A623" s="167" t="str">
        <f ca="1">IFERROR(__xludf.DUMMYFUNCTION("""COMPUTED_VALUE"""),"SIN RESGUARDO")</f>
        <v>SIN RESGUARDO</v>
      </c>
      <c r="B623" s="167" t="str">
        <f ca="1">IFERROR(__xludf.DUMMYFUNCTION("""COMPUTED_VALUE"""),"BUENO")</f>
        <v>BUENO</v>
      </c>
      <c r="C623" s="206"/>
      <c r="D623" s="206"/>
      <c r="E623" s="207"/>
      <c r="F623" s="207"/>
      <c r="G623" s="207"/>
      <c r="H623" s="207"/>
      <c r="I623" s="207"/>
      <c r="J623" s="207"/>
      <c r="K623" s="207"/>
      <c r="L623" s="207"/>
      <c r="M623" s="207"/>
      <c r="N623" s="207"/>
      <c r="O623" s="206"/>
    </row>
    <row r="624" spans="1:15" ht="30">
      <c r="A624" s="167" t="str">
        <f ca="1">IFERROR(__xludf.DUMMYFUNCTION("""COMPUTED_VALUE"""),"82DJ0515010033000564637")</f>
        <v>82DJ0515010033000564637</v>
      </c>
      <c r="B624" s="167" t="str">
        <f ca="1">IFERROR(__xludf.DUMMYFUNCTION("""COMPUTED_VALUE"""),"BUENO")</f>
        <v>BUENO</v>
      </c>
      <c r="C624" s="206"/>
      <c r="D624" s="206"/>
      <c r="E624" s="207"/>
      <c r="F624" s="207"/>
      <c r="G624" s="207"/>
      <c r="H624" s="207"/>
      <c r="I624" s="207"/>
      <c r="J624" s="207"/>
      <c r="K624" s="207"/>
      <c r="L624" s="207"/>
      <c r="M624" s="207"/>
      <c r="N624" s="207"/>
      <c r="O624" s="206"/>
    </row>
    <row r="625" spans="1:15" ht="30">
      <c r="A625" s="167" t="str">
        <f ca="1">IFERROR(__xludf.DUMMYFUNCTION("""COMPUTED_VALUE"""),"82DH0511010017000649644")</f>
        <v>82DH0511010017000649644</v>
      </c>
      <c r="B625" s="167" t="str">
        <f ca="1">IFERROR(__xludf.DUMMYFUNCTION("""COMPUTED_VALUE"""),"BUENO")</f>
        <v>BUENO</v>
      </c>
      <c r="C625" s="206"/>
      <c r="D625" s="206"/>
      <c r="E625" s="207"/>
      <c r="F625" s="207"/>
      <c r="G625" s="207"/>
      <c r="H625" s="207"/>
      <c r="I625" s="207"/>
      <c r="J625" s="207"/>
      <c r="K625" s="207"/>
      <c r="L625" s="207"/>
      <c r="M625" s="207"/>
      <c r="N625" s="207"/>
      <c r="O625" s="206"/>
    </row>
    <row r="626" spans="1:15" ht="30">
      <c r="A626" s="167" t="str">
        <f ca="1">IFERROR(__xludf.DUMMYFUNCTION("""COMPUTED_VALUE"""),"82DH0511010017000649721")</f>
        <v>82DH0511010017000649721</v>
      </c>
      <c r="B626" s="167" t="str">
        <f ca="1">IFERROR(__xludf.DUMMYFUNCTION("""COMPUTED_VALUE"""),"BUENO")</f>
        <v>BUENO</v>
      </c>
      <c r="C626" s="206"/>
      <c r="D626" s="206"/>
      <c r="E626" s="207"/>
      <c r="F626" s="207"/>
      <c r="G626" s="207"/>
      <c r="H626" s="207"/>
      <c r="I626" s="207"/>
      <c r="J626" s="207"/>
      <c r="K626" s="207"/>
      <c r="L626" s="207"/>
      <c r="M626" s="207"/>
      <c r="N626" s="207"/>
      <c r="O626" s="206"/>
    </row>
    <row r="627" spans="1:15" ht="30">
      <c r="A627" s="167" t="str">
        <f ca="1">IFERROR(__xludf.DUMMYFUNCTION("""COMPUTED_VALUE"""),"82DI0511010010000649565")</f>
        <v>82DI0511010010000649565</v>
      </c>
      <c r="B627" s="167" t="str">
        <f ca="1">IFERROR(__xludf.DUMMYFUNCTION("""COMPUTED_VALUE"""),"BUENO")</f>
        <v>BUENO</v>
      </c>
      <c r="C627" s="206"/>
      <c r="D627" s="206"/>
      <c r="E627" s="207"/>
      <c r="F627" s="207"/>
      <c r="G627" s="207"/>
      <c r="H627" s="207"/>
      <c r="I627" s="207"/>
      <c r="J627" s="207"/>
      <c r="K627" s="207"/>
      <c r="L627" s="207"/>
      <c r="M627" s="207"/>
      <c r="N627" s="207"/>
      <c r="O627" s="206"/>
    </row>
    <row r="628" spans="1:15" ht="30">
      <c r="A628" s="167" t="str">
        <f ca="1">IFERROR(__xludf.DUMMYFUNCTION("""COMPUTED_VALUE"""),"82DJ0511010010000649703")</f>
        <v>82DJ0511010010000649703</v>
      </c>
      <c r="B628" s="167" t="str">
        <f ca="1">IFERROR(__xludf.DUMMYFUNCTION("""COMPUTED_VALUE"""),"BUENO")</f>
        <v>BUENO</v>
      </c>
      <c r="C628" s="206"/>
      <c r="D628" s="206"/>
      <c r="E628" s="207"/>
      <c r="F628" s="207"/>
      <c r="G628" s="207"/>
      <c r="H628" s="207"/>
      <c r="I628" s="207"/>
      <c r="J628" s="207"/>
      <c r="K628" s="207"/>
      <c r="L628" s="207"/>
      <c r="M628" s="207"/>
      <c r="N628" s="207"/>
      <c r="O628" s="206"/>
    </row>
    <row r="629" spans="1:15" ht="30">
      <c r="A629" s="167" t="str">
        <f ca="1">IFERROR(__xludf.DUMMYFUNCTION("""COMPUTED_VALUE"""),"82DI0515010001000535504")</f>
        <v>82DI0515010001000535504</v>
      </c>
      <c r="B629" s="167" t="str">
        <f ca="1">IFERROR(__xludf.DUMMYFUNCTION("""COMPUTED_VALUE"""),"BAJA")</f>
        <v>BAJA</v>
      </c>
      <c r="C629" s="206"/>
      <c r="D629" s="206"/>
      <c r="E629" s="207"/>
      <c r="F629" s="207"/>
      <c r="G629" s="207"/>
      <c r="H629" s="207"/>
      <c r="I629" s="207"/>
      <c r="J629" s="207"/>
      <c r="K629" s="207"/>
      <c r="L629" s="207"/>
      <c r="M629" s="207"/>
      <c r="N629" s="207"/>
      <c r="O629" s="206"/>
    </row>
    <row r="630" spans="1:15" ht="30">
      <c r="A630" s="167" t="str">
        <f ca="1">IFERROR(__xludf.DUMMYFUNCTION("""COMPUTED_VALUE"""),"82DH0515010020000650646")</f>
        <v>82DH0515010020000650646</v>
      </c>
      <c r="B630" s="167" t="str">
        <f ca="1">IFERROR(__xludf.DUMMYFUNCTION("""COMPUTED_VALUE"""),"BUENO")</f>
        <v>BUENO</v>
      </c>
      <c r="C630" s="206"/>
      <c r="D630" s="206"/>
      <c r="E630" s="207"/>
      <c r="F630" s="207"/>
      <c r="G630" s="207"/>
      <c r="H630" s="207"/>
      <c r="I630" s="207"/>
      <c r="J630" s="207"/>
      <c r="K630" s="207"/>
      <c r="L630" s="207"/>
      <c r="M630" s="207"/>
      <c r="N630" s="207"/>
      <c r="O630" s="206"/>
    </row>
    <row r="631" spans="1:15" ht="30">
      <c r="A631" s="167" t="str">
        <f ca="1">IFERROR(__xludf.DUMMYFUNCTION("""COMPUTED_VALUE"""),"82DH0565010041000530448")</f>
        <v>82DH0565010041000530448</v>
      </c>
      <c r="B631" s="167" t="str">
        <f ca="1">IFERROR(__xludf.DUMMYFUNCTION("""COMPUTED_VALUE"""),"EN ALMACEN")</f>
        <v>EN ALMACEN</v>
      </c>
      <c r="C631" s="206"/>
      <c r="D631" s="206"/>
      <c r="E631" s="207"/>
      <c r="F631" s="207"/>
      <c r="G631" s="207"/>
      <c r="H631" s="207"/>
      <c r="I631" s="207"/>
      <c r="J631" s="207"/>
      <c r="K631" s="207"/>
      <c r="L631" s="207"/>
      <c r="M631" s="207"/>
      <c r="N631" s="207"/>
      <c r="O631" s="206"/>
    </row>
    <row r="632" spans="1:15" ht="30">
      <c r="A632" s="167" t="str">
        <f ca="1">IFERROR(__xludf.DUMMYFUNCTION("""COMPUTED_VALUE"""),"82DH0529030003000649710")</f>
        <v>82DH0529030003000649710</v>
      </c>
      <c r="B632" s="167" t="str">
        <f ca="1">IFERROR(__xludf.DUMMYFUNCTION("""COMPUTED_VALUE"""),"BUENO")</f>
        <v>BUENO</v>
      </c>
      <c r="C632" s="206"/>
      <c r="D632" s="206"/>
      <c r="E632" s="207"/>
      <c r="F632" s="207"/>
      <c r="G632" s="207"/>
      <c r="H632" s="207"/>
      <c r="I632" s="207"/>
      <c r="J632" s="207"/>
      <c r="K632" s="207"/>
      <c r="L632" s="207"/>
      <c r="M632" s="207"/>
      <c r="N632" s="207"/>
      <c r="O632" s="206"/>
    </row>
    <row r="633" spans="1:15" ht="30">
      <c r="A633" s="167" t="str">
        <f ca="1">IFERROR(__xludf.DUMMYFUNCTION("""COMPUTED_VALUE"""),"82DH0531010065000580342")</f>
        <v>82DH0531010065000580342</v>
      </c>
      <c r="B633" s="167" t="str">
        <f ca="1">IFERROR(__xludf.DUMMYFUNCTION("""COMPUTED_VALUE"""),"BUENO")</f>
        <v>BUENO</v>
      </c>
      <c r="C633" s="206"/>
      <c r="D633" s="206"/>
      <c r="E633" s="207"/>
      <c r="F633" s="207"/>
      <c r="G633" s="207"/>
      <c r="H633" s="207"/>
      <c r="I633" s="207"/>
      <c r="J633" s="207"/>
      <c r="K633" s="207"/>
      <c r="L633" s="207"/>
      <c r="M633" s="207"/>
      <c r="N633" s="207"/>
      <c r="O633" s="206"/>
    </row>
    <row r="634" spans="1:15" ht="30">
      <c r="A634" s="167" t="str">
        <f ca="1">IFERROR(__xludf.DUMMYFUNCTION("""COMPUTED_VALUE"""),"82DH0511010017000516246")</f>
        <v>82DH0511010017000516246</v>
      </c>
      <c r="B634" s="167" t="str">
        <f ca="1">IFERROR(__xludf.DUMMYFUNCTION("""COMPUTED_VALUE"""),"BUENO")</f>
        <v>BUENO</v>
      </c>
      <c r="C634" s="206"/>
      <c r="D634" s="206"/>
      <c r="E634" s="207"/>
      <c r="F634" s="207"/>
      <c r="G634" s="207"/>
      <c r="H634" s="207"/>
      <c r="I634" s="207"/>
      <c r="J634" s="207"/>
      <c r="K634" s="207"/>
      <c r="L634" s="207"/>
      <c r="M634" s="207"/>
      <c r="N634" s="207"/>
      <c r="O634" s="206"/>
    </row>
    <row r="635" spans="1:15" ht="30">
      <c r="A635" s="167" t="str">
        <f ca="1">IFERROR(__xludf.DUMMYFUNCTION("""COMPUTED_VALUE"""),"82DH0511010005000518517")</f>
        <v>82DH0511010005000518517</v>
      </c>
      <c r="B635" s="167" t="str">
        <f ca="1">IFERROR(__xludf.DUMMYFUNCTION("""COMPUTED_VALUE"""),"BUENO")</f>
        <v>BUENO</v>
      </c>
      <c r="C635" s="206"/>
      <c r="D635" s="206"/>
      <c r="E635" s="207"/>
      <c r="F635" s="207"/>
      <c r="G635" s="207"/>
      <c r="H635" s="207"/>
      <c r="I635" s="207"/>
      <c r="J635" s="207"/>
      <c r="K635" s="207"/>
      <c r="L635" s="207"/>
      <c r="M635" s="207"/>
      <c r="N635" s="207"/>
      <c r="O635" s="206"/>
    </row>
    <row r="636" spans="1:15" ht="30">
      <c r="A636" s="167" t="str">
        <f ca="1">IFERROR(__xludf.DUMMYFUNCTION("""COMPUTED_VALUE"""),"82DH0511010009000518513")</f>
        <v>82DH0511010009000518513</v>
      </c>
      <c r="B636" s="167" t="str">
        <f ca="1">IFERROR(__xludf.DUMMYFUNCTION("""COMPUTED_VALUE"""),"BUENO")</f>
        <v>BUENO</v>
      </c>
      <c r="C636" s="206"/>
      <c r="D636" s="206"/>
      <c r="E636" s="207"/>
      <c r="F636" s="207"/>
      <c r="G636" s="207"/>
      <c r="H636" s="207"/>
      <c r="I636" s="207"/>
      <c r="J636" s="207"/>
      <c r="K636" s="207"/>
      <c r="L636" s="207"/>
      <c r="M636" s="207"/>
      <c r="N636" s="207"/>
      <c r="O636" s="206"/>
    </row>
    <row r="637" spans="1:15" ht="30">
      <c r="A637" s="167" t="str">
        <f ca="1">IFERROR(__xludf.DUMMYFUNCTION("""COMPUTED_VALUE"""),"82DH0512010006000584026")</f>
        <v>82DH0512010006000584026</v>
      </c>
      <c r="B637" s="167" t="str">
        <f ca="1">IFERROR(__xludf.DUMMYFUNCTION("""COMPUTED_VALUE"""),"BUENO")</f>
        <v>BUENO</v>
      </c>
      <c r="C637" s="206"/>
      <c r="D637" s="206"/>
      <c r="E637" s="207"/>
      <c r="F637" s="207"/>
      <c r="G637" s="207"/>
      <c r="H637" s="207"/>
      <c r="I637" s="207"/>
      <c r="J637" s="207"/>
      <c r="K637" s="207"/>
      <c r="L637" s="207"/>
      <c r="M637" s="207"/>
      <c r="N637" s="207"/>
      <c r="O637" s="206"/>
    </row>
    <row r="638" spans="1:15" ht="30">
      <c r="A638" s="167" t="str">
        <f ca="1">IFERROR(__xludf.DUMMYFUNCTION("""COMPUTED_VALUE"""),"82DH0511010006000518511")</f>
        <v>82DH0511010006000518511</v>
      </c>
      <c r="B638" s="167" t="str">
        <f ca="1">IFERROR(__xludf.DUMMYFUNCTION("""COMPUTED_VALUE"""),"BUENO")</f>
        <v>BUENO</v>
      </c>
      <c r="C638" s="206"/>
      <c r="D638" s="206"/>
      <c r="E638" s="207"/>
      <c r="F638" s="207"/>
      <c r="G638" s="207"/>
      <c r="H638" s="207"/>
      <c r="I638" s="207"/>
      <c r="J638" s="207"/>
      <c r="K638" s="207"/>
      <c r="L638" s="207"/>
      <c r="M638" s="207"/>
      <c r="N638" s="207"/>
      <c r="O638" s="206"/>
    </row>
    <row r="639" spans="1:15" ht="30">
      <c r="A639" s="167" t="str">
        <f ca="1">IFERROR(__xludf.DUMMYFUNCTION("""COMPUTED_VALUE"""),"82DH0515010014000649713")</f>
        <v>82DH0515010014000649713</v>
      </c>
      <c r="B639" s="167" t="str">
        <f ca="1">IFERROR(__xludf.DUMMYFUNCTION("""COMPUTED_VALUE"""),"BUENO")</f>
        <v>BUENO</v>
      </c>
      <c r="C639" s="206"/>
      <c r="D639" s="206"/>
      <c r="E639" s="207"/>
      <c r="F639" s="207"/>
      <c r="G639" s="207"/>
      <c r="H639" s="207"/>
      <c r="I639" s="207"/>
      <c r="J639" s="207"/>
      <c r="K639" s="207"/>
      <c r="L639" s="207"/>
      <c r="M639" s="207"/>
      <c r="N639" s="207"/>
      <c r="O639" s="206"/>
    </row>
    <row r="640" spans="1:15" ht="30">
      <c r="A640" s="167" t="str">
        <f ca="1">IFERROR(__xludf.DUMMYFUNCTION("""COMPUTED_VALUE"""),"82DJ0565010041000530446")</f>
        <v>82DJ0565010041000530446</v>
      </c>
      <c r="B640" s="167" t="str">
        <f ca="1">IFERROR(__xludf.DUMMYFUNCTION("""COMPUTED_VALUE"""),"BUENO")</f>
        <v>BUENO</v>
      </c>
      <c r="C640" s="206"/>
      <c r="D640" s="206"/>
      <c r="E640" s="207"/>
      <c r="F640" s="207"/>
      <c r="G640" s="207"/>
      <c r="H640" s="207"/>
      <c r="I640" s="207"/>
      <c r="J640" s="207"/>
      <c r="K640" s="207"/>
      <c r="L640" s="207"/>
      <c r="M640" s="207"/>
      <c r="N640" s="207"/>
      <c r="O640" s="206"/>
    </row>
    <row r="641" spans="1:15" ht="30">
      <c r="A641" s="167" t="str">
        <f ca="1">IFERROR(__xludf.DUMMYFUNCTION("""COMPUTED_VALUE"""),"82DK0515010001000650660")</f>
        <v>82DK0515010001000650660</v>
      </c>
      <c r="B641" s="167" t="str">
        <f ca="1">IFERROR(__xludf.DUMMYFUNCTION("""COMPUTED_VALUE"""),"BUENO")</f>
        <v>BUENO</v>
      </c>
      <c r="C641" s="206"/>
      <c r="D641" s="206"/>
      <c r="E641" s="207"/>
      <c r="F641" s="207"/>
      <c r="G641" s="207"/>
      <c r="H641" s="207"/>
      <c r="I641" s="207"/>
      <c r="J641" s="207"/>
      <c r="K641" s="207"/>
      <c r="L641" s="207"/>
      <c r="M641" s="207"/>
      <c r="N641" s="207"/>
      <c r="O641" s="206"/>
    </row>
    <row r="642" spans="1:15" ht="30">
      <c r="A642" s="167" t="str">
        <f ca="1">IFERROR(__xludf.DUMMYFUNCTION("""COMPUTED_VALUE"""),"82DH0519010043000649371")</f>
        <v>82DH0519010043000649371</v>
      </c>
      <c r="B642" s="167" t="str">
        <f ca="1">IFERROR(__xludf.DUMMYFUNCTION("""COMPUTED_VALUE"""),"BUENO")</f>
        <v>BUENO</v>
      </c>
      <c r="C642" s="206"/>
      <c r="D642" s="206"/>
      <c r="E642" s="207"/>
      <c r="F642" s="207"/>
      <c r="G642" s="207"/>
      <c r="H642" s="207"/>
      <c r="I642" s="207"/>
      <c r="J642" s="207"/>
      <c r="K642" s="207"/>
      <c r="L642" s="207"/>
      <c r="M642" s="207"/>
      <c r="N642" s="207"/>
      <c r="O642" s="206"/>
    </row>
    <row r="643" spans="1:15" ht="30">
      <c r="A643" s="167" t="str">
        <f ca="1">IFERROR(__xludf.DUMMYFUNCTION("""COMPUTED_VALUE"""),"82DH0515010020000651122")</f>
        <v>82DH0515010020000651122</v>
      </c>
      <c r="B643" s="167" t="str">
        <f ca="1">IFERROR(__xludf.DUMMYFUNCTION("""COMPUTED_VALUE"""),"BUENO")</f>
        <v>BUENO</v>
      </c>
      <c r="C643" s="206"/>
      <c r="D643" s="206"/>
      <c r="E643" s="207"/>
      <c r="F643" s="207"/>
      <c r="G643" s="207"/>
      <c r="H643" s="207"/>
      <c r="I643" s="207"/>
      <c r="J643" s="207"/>
      <c r="K643" s="207"/>
      <c r="L643" s="207"/>
      <c r="M643" s="207"/>
      <c r="N643" s="207"/>
      <c r="O643" s="206"/>
    </row>
    <row r="644" spans="1:15" ht="30">
      <c r="A644" s="167" t="str">
        <f ca="1">IFERROR(__xludf.DUMMYFUNCTION("""COMPUTED_VALUE"""),"82DJ0511010017000649716")</f>
        <v>82DJ0511010017000649716</v>
      </c>
      <c r="B644" s="167" t="str">
        <f ca="1">IFERROR(__xludf.DUMMYFUNCTION("""COMPUTED_VALUE"""),"BUENO")</f>
        <v>BUENO</v>
      </c>
      <c r="C644" s="206"/>
      <c r="D644" s="206"/>
      <c r="E644" s="207"/>
      <c r="F644" s="207"/>
      <c r="G644" s="207"/>
      <c r="H644" s="207"/>
      <c r="I644" s="207"/>
      <c r="J644" s="207"/>
      <c r="K644" s="207"/>
      <c r="L644" s="207"/>
      <c r="M644" s="207"/>
      <c r="N644" s="207"/>
      <c r="O644" s="206"/>
    </row>
    <row r="645" spans="1:15" ht="30">
      <c r="A645" s="167" t="str">
        <f ca="1">IFERROR(__xludf.DUMMYFUNCTION("""COMPUTED_VALUE"""),"82DH0515010033000564671")</f>
        <v>82DH0515010033000564671</v>
      </c>
      <c r="B645" s="167" t="str">
        <f ca="1">IFERROR(__xludf.DUMMYFUNCTION("""COMPUTED_VALUE"""),"BUENO")</f>
        <v>BUENO</v>
      </c>
      <c r="C645" s="206"/>
      <c r="D645" s="206"/>
      <c r="E645" s="207"/>
      <c r="F645" s="207"/>
      <c r="G645" s="207"/>
      <c r="H645" s="207"/>
      <c r="I645" s="207"/>
      <c r="J645" s="207"/>
      <c r="K645" s="207"/>
      <c r="L645" s="207"/>
      <c r="M645" s="207"/>
      <c r="N645" s="207"/>
      <c r="O645" s="206"/>
    </row>
    <row r="646" spans="1:15" ht="30">
      <c r="A646" s="167" t="str">
        <f ca="1">IFERROR(__xludf.DUMMYFUNCTION("""COMPUTED_VALUE"""),"SIN RESGUARDO")</f>
        <v>SIN RESGUARDO</v>
      </c>
      <c r="B646" s="167" t="str">
        <f ca="1">IFERROR(__xludf.DUMMYFUNCTION("""COMPUTED_VALUE"""),"BUENO")</f>
        <v>BUENO</v>
      </c>
      <c r="C646" s="206"/>
      <c r="D646" s="206"/>
      <c r="E646" s="207"/>
      <c r="F646" s="207"/>
      <c r="G646" s="207"/>
      <c r="H646" s="207"/>
      <c r="I646" s="207"/>
      <c r="J646" s="207"/>
      <c r="K646" s="207"/>
      <c r="L646" s="207"/>
      <c r="M646" s="207"/>
      <c r="N646" s="207"/>
      <c r="O646" s="206"/>
    </row>
    <row r="647" spans="1:15" ht="30">
      <c r="A647" s="167" t="str">
        <f ca="1">IFERROR(__xludf.DUMMYFUNCTION("""COMPUTED_VALUE"""),"82DI0511010006000583448")</f>
        <v>82DI0511010006000583448</v>
      </c>
      <c r="B647" s="167" t="str">
        <f ca="1">IFERROR(__xludf.DUMMYFUNCTION("""COMPUTED_VALUE"""),"BUENO")</f>
        <v>BUENO</v>
      </c>
      <c r="C647" s="206"/>
      <c r="D647" s="206"/>
      <c r="E647" s="207"/>
      <c r="F647" s="207"/>
      <c r="G647" s="207"/>
      <c r="H647" s="207"/>
      <c r="I647" s="207"/>
      <c r="J647" s="207"/>
      <c r="K647" s="207"/>
      <c r="L647" s="207"/>
      <c r="M647" s="207"/>
      <c r="N647" s="207"/>
      <c r="O647" s="206"/>
    </row>
    <row r="648" spans="1:15" ht="30">
      <c r="A648" s="167" t="str">
        <f ca="1">IFERROR(__xludf.DUMMYFUNCTION("""COMPUTED_VALUE"""),"82DI0511010006000649708")</f>
        <v>82DI0511010006000649708</v>
      </c>
      <c r="B648" s="167" t="str">
        <f ca="1">IFERROR(__xludf.DUMMYFUNCTION("""COMPUTED_VALUE"""),"BUENO")</f>
        <v>BUENO</v>
      </c>
      <c r="C648" s="206"/>
      <c r="D648" s="206"/>
      <c r="E648" s="207"/>
      <c r="F648" s="207"/>
      <c r="G648" s="207"/>
      <c r="H648" s="207"/>
      <c r="I648" s="207"/>
      <c r="J648" s="207"/>
      <c r="K648" s="207"/>
      <c r="L648" s="207"/>
      <c r="M648" s="207"/>
      <c r="N648" s="207"/>
      <c r="O648" s="206"/>
    </row>
    <row r="649" spans="1:15" ht="30">
      <c r="A649" s="167" t="str">
        <f ca="1">IFERROR(__xludf.DUMMYFUNCTION("""COMPUTED_VALUE"""),"82DI0515010033000564654")</f>
        <v>82DI0515010033000564654</v>
      </c>
      <c r="B649" s="167" t="str">
        <f ca="1">IFERROR(__xludf.DUMMYFUNCTION("""COMPUTED_VALUE"""),"BUENO")</f>
        <v>BUENO</v>
      </c>
      <c r="C649" s="206"/>
      <c r="D649" s="206"/>
      <c r="E649" s="207"/>
      <c r="F649" s="207"/>
      <c r="G649" s="207"/>
      <c r="H649" s="207"/>
      <c r="I649" s="207"/>
      <c r="J649" s="207"/>
      <c r="K649" s="207"/>
      <c r="L649" s="207"/>
      <c r="M649" s="207"/>
      <c r="N649" s="207"/>
      <c r="O649" s="206"/>
    </row>
    <row r="650" spans="1:15" ht="30">
      <c r="A650" s="167" t="str">
        <f ca="1">IFERROR(__xludf.DUMMYFUNCTION("""COMPUTED_VALUE"""),"82DI0515010016000649421")</f>
        <v>82DI0515010016000649421</v>
      </c>
      <c r="B650" s="167" t="str">
        <f ca="1">IFERROR(__xludf.DUMMYFUNCTION("""COMPUTED_VALUE"""),"BUENO")</f>
        <v>BUENO</v>
      </c>
      <c r="C650" s="206"/>
      <c r="D650" s="206"/>
      <c r="E650" s="207"/>
      <c r="F650" s="207"/>
      <c r="G650" s="207"/>
      <c r="H650" s="207"/>
      <c r="I650" s="207"/>
      <c r="J650" s="207"/>
      <c r="K650" s="207"/>
      <c r="L650" s="207"/>
      <c r="M650" s="207"/>
      <c r="N650" s="207"/>
      <c r="O650" s="206"/>
    </row>
    <row r="651" spans="1:15" ht="30">
      <c r="A651" s="167" t="str">
        <f ca="1">IFERROR(__xludf.DUMMYFUNCTION("""COMPUTED_VALUE"""),"SIN RESGUARDO")</f>
        <v>SIN RESGUARDO</v>
      </c>
      <c r="B651" s="167" t="str">
        <f ca="1">IFERROR(__xludf.DUMMYFUNCTION("""COMPUTED_VALUE"""),"BUENO")</f>
        <v>BUENO</v>
      </c>
      <c r="C651" s="206"/>
      <c r="D651" s="206"/>
      <c r="E651" s="207"/>
      <c r="F651" s="207"/>
      <c r="G651" s="207"/>
      <c r="H651" s="207"/>
      <c r="I651" s="207"/>
      <c r="J651" s="207"/>
      <c r="K651" s="207"/>
      <c r="L651" s="207"/>
      <c r="M651" s="207"/>
      <c r="N651" s="207"/>
      <c r="O651" s="206"/>
    </row>
    <row r="652" spans="1:15" ht="30">
      <c r="A652" s="167" t="str">
        <f ca="1">IFERROR(__xludf.DUMMYFUNCTION("""COMPUTED_VALUE"""),"SIN RESGUARDO")</f>
        <v>SIN RESGUARDO</v>
      </c>
      <c r="B652" s="167" t="str">
        <f ca="1">IFERROR(__xludf.DUMMYFUNCTION("""COMPUTED_VALUE"""),"ALMACEN")</f>
        <v>ALMACEN</v>
      </c>
      <c r="C652" s="206"/>
      <c r="D652" s="206"/>
      <c r="E652" s="207"/>
      <c r="F652" s="207"/>
      <c r="G652" s="207"/>
      <c r="H652" s="207"/>
      <c r="I652" s="207"/>
      <c r="J652" s="207"/>
      <c r="K652" s="207"/>
      <c r="L652" s="207"/>
      <c r="M652" s="207"/>
      <c r="N652" s="207"/>
      <c r="O652" s="206"/>
    </row>
    <row r="653" spans="1:15" ht="30">
      <c r="A653" s="167" t="str">
        <f ca="1">IFERROR(__xludf.DUMMYFUNCTION("""COMPUTED_VALUE"""),"82DI0531010065000564881")</f>
        <v>82DI0531010065000564881</v>
      </c>
      <c r="B653" s="167" t="str">
        <f ca="1">IFERROR(__xludf.DUMMYFUNCTION("""COMPUTED_VALUE"""),"BUENO")</f>
        <v>BUENO</v>
      </c>
      <c r="C653" s="206"/>
      <c r="D653" s="206"/>
      <c r="E653" s="207"/>
      <c r="F653" s="207"/>
      <c r="G653" s="207"/>
      <c r="H653" s="207"/>
      <c r="I653" s="207"/>
      <c r="J653" s="207"/>
      <c r="K653" s="207"/>
      <c r="L653" s="207"/>
      <c r="M653" s="207"/>
      <c r="N653" s="207"/>
      <c r="O653" s="206"/>
    </row>
    <row r="654" spans="1:15" ht="30">
      <c r="A654" s="167" t="str">
        <f ca="1">IFERROR(__xludf.DUMMYFUNCTION("""COMPUTED_VALUE"""),"SIN RESGUARDO")</f>
        <v>SIN RESGUARDO</v>
      </c>
      <c r="B654" s="167" t="str">
        <f ca="1">IFERROR(__xludf.DUMMYFUNCTION("""COMPUTED_VALUE"""),"BUENO")</f>
        <v>BUENO</v>
      </c>
      <c r="C654" s="206"/>
      <c r="D654" s="206"/>
      <c r="E654" s="207"/>
      <c r="F654" s="207"/>
      <c r="G654" s="207"/>
      <c r="H654" s="207"/>
      <c r="I654" s="207"/>
      <c r="J654" s="207"/>
      <c r="K654" s="207"/>
      <c r="L654" s="207"/>
      <c r="M654" s="207"/>
      <c r="N654" s="207"/>
      <c r="O654" s="206"/>
    </row>
    <row r="655" spans="1:15" ht="30">
      <c r="A655" s="167" t="str">
        <f ca="1">IFERROR(__xludf.DUMMYFUNCTION("""COMPUTED_VALUE"""),"82DI0531010065000564844")</f>
        <v>82DI0531010065000564844</v>
      </c>
      <c r="B655" s="167" t="str">
        <f ca="1">IFERROR(__xludf.DUMMYFUNCTION("""COMPUTED_VALUE"""),"BUENO")</f>
        <v>BUENO</v>
      </c>
      <c r="C655" s="206"/>
      <c r="D655" s="206"/>
      <c r="E655" s="207"/>
      <c r="F655" s="207"/>
      <c r="G655" s="207"/>
      <c r="H655" s="207"/>
      <c r="I655" s="207"/>
      <c r="J655" s="207"/>
      <c r="K655" s="207"/>
      <c r="L655" s="207"/>
      <c r="M655" s="207"/>
      <c r="N655" s="207"/>
      <c r="O655" s="206"/>
    </row>
    <row r="656" spans="1:15" ht="30">
      <c r="A656" s="167" t="str">
        <f ca="1">IFERROR(__xludf.DUMMYFUNCTION("""COMPUTED_VALUE"""),"82DI0511010006000649563")</f>
        <v>82DI0511010006000649563</v>
      </c>
      <c r="B656" s="167" t="str">
        <f ca="1">IFERROR(__xludf.DUMMYFUNCTION("""COMPUTED_VALUE"""),"BUENO")</f>
        <v>BUENO</v>
      </c>
      <c r="C656" s="206"/>
      <c r="D656" s="206"/>
      <c r="E656" s="207"/>
      <c r="F656" s="207"/>
      <c r="G656" s="207"/>
      <c r="H656" s="207"/>
      <c r="I656" s="207"/>
      <c r="J656" s="207"/>
      <c r="K656" s="207"/>
      <c r="L656" s="207"/>
      <c r="M656" s="207"/>
      <c r="N656" s="207"/>
      <c r="O656" s="206"/>
    </row>
    <row r="657" spans="1:15" ht="30">
      <c r="A657" s="167" t="str">
        <f ca="1">IFERROR(__xludf.DUMMYFUNCTION("""COMPUTED_VALUE"""),"82DI0511010027000649560")</f>
        <v>82DI0511010027000649560</v>
      </c>
      <c r="B657" s="167" t="str">
        <f ca="1">IFERROR(__xludf.DUMMYFUNCTION("""COMPUTED_VALUE"""),"BUENO")</f>
        <v>BUENO</v>
      </c>
      <c r="C657" s="206"/>
      <c r="D657" s="206"/>
      <c r="E657" s="207"/>
      <c r="F657" s="207"/>
      <c r="G657" s="207"/>
      <c r="H657" s="207"/>
      <c r="I657" s="207"/>
      <c r="J657" s="207"/>
      <c r="K657" s="207"/>
      <c r="L657" s="207"/>
      <c r="M657" s="207"/>
      <c r="N657" s="207"/>
      <c r="O657" s="206"/>
    </row>
    <row r="658" spans="1:15" ht="30">
      <c r="A658" s="167" t="str">
        <f ca="1">IFERROR(__xludf.DUMMYFUNCTION("""COMPUTED_VALUE"""),"82DI0511010017000649561")</f>
        <v>82DI0511010017000649561</v>
      </c>
      <c r="B658" s="167" t="str">
        <f ca="1">IFERROR(__xludf.DUMMYFUNCTION("""COMPUTED_VALUE"""),"REGULAR")</f>
        <v>REGULAR</v>
      </c>
      <c r="C658" s="206"/>
      <c r="D658" s="206"/>
      <c r="E658" s="207"/>
      <c r="F658" s="207"/>
      <c r="G658" s="207"/>
      <c r="H658" s="207"/>
      <c r="I658" s="207"/>
      <c r="J658" s="207"/>
      <c r="K658" s="207"/>
      <c r="L658" s="207"/>
      <c r="M658" s="207"/>
      <c r="N658" s="207"/>
      <c r="O658" s="206"/>
    </row>
    <row r="659" spans="1:15" ht="30">
      <c r="A659" s="167" t="str">
        <f ca="1">IFERROR(__xludf.DUMMYFUNCTION("""COMPUTED_VALUE"""),"82DI0515010016000649422")</f>
        <v>82DI0515010016000649422</v>
      </c>
      <c r="B659" s="167" t="str">
        <f ca="1">IFERROR(__xludf.DUMMYFUNCTION("""COMPUTED_VALUE"""),"BUENO")</f>
        <v>BUENO</v>
      </c>
      <c r="C659" s="206"/>
      <c r="D659" s="206"/>
      <c r="E659" s="207"/>
      <c r="F659" s="207"/>
      <c r="G659" s="207"/>
      <c r="H659" s="207"/>
      <c r="I659" s="207"/>
      <c r="J659" s="207"/>
      <c r="K659" s="207"/>
      <c r="L659" s="207"/>
      <c r="M659" s="207"/>
      <c r="N659" s="207"/>
      <c r="O659" s="206"/>
    </row>
    <row r="660" spans="1:15" ht="30">
      <c r="A660" s="167" t="str">
        <f ca="1">IFERROR(__xludf.DUMMYFUNCTION("""COMPUTED_VALUE"""),"SIN RESGUARDO")</f>
        <v>SIN RESGUARDO</v>
      </c>
      <c r="B660" s="167" t="str">
        <f ca="1">IFERROR(__xludf.DUMMYFUNCTION("""COMPUTED_VALUE"""),"BUENO")</f>
        <v>BUENO</v>
      </c>
      <c r="C660" s="206"/>
      <c r="D660" s="206"/>
      <c r="E660" s="207"/>
      <c r="F660" s="207"/>
      <c r="G660" s="207"/>
      <c r="H660" s="207"/>
      <c r="I660" s="207"/>
      <c r="J660" s="207"/>
      <c r="K660" s="207"/>
      <c r="L660" s="207"/>
      <c r="M660" s="207"/>
      <c r="N660" s="207"/>
      <c r="O660" s="206"/>
    </row>
    <row r="661" spans="1:15" ht="30">
      <c r="A661" s="167" t="str">
        <f ca="1">IFERROR(__xludf.DUMMYFUNCTION("""COMPUTED_VALUE"""),"SIN RESGUARDO")</f>
        <v>SIN RESGUARDO</v>
      </c>
      <c r="B661" s="167" t="str">
        <f ca="1">IFERROR(__xludf.DUMMYFUNCTION("""COMPUTED_VALUE"""),"BUENO")</f>
        <v>BUENO</v>
      </c>
      <c r="C661" s="206"/>
      <c r="D661" s="206"/>
      <c r="E661" s="207"/>
      <c r="F661" s="207"/>
      <c r="G661" s="207"/>
      <c r="H661" s="207"/>
      <c r="I661" s="207"/>
      <c r="J661" s="207"/>
      <c r="K661" s="207"/>
      <c r="L661" s="207"/>
      <c r="M661" s="207"/>
      <c r="N661" s="207"/>
      <c r="O661" s="206"/>
    </row>
    <row r="662" spans="1:15" ht="30">
      <c r="A662" s="167" t="str">
        <f ca="1">IFERROR(__xludf.DUMMYFUNCTION("""COMPUTED_VALUE"""),"82DJ0531010065000564788")</f>
        <v>82DJ0531010065000564788</v>
      </c>
      <c r="B662" s="167" t="str">
        <f ca="1">IFERROR(__xludf.DUMMYFUNCTION("""COMPUTED_VALUE"""),"BUENO")</f>
        <v>BUENO</v>
      </c>
      <c r="C662" s="206"/>
      <c r="D662" s="206"/>
      <c r="E662" s="207"/>
      <c r="F662" s="207"/>
      <c r="G662" s="207"/>
      <c r="H662" s="207"/>
      <c r="I662" s="207"/>
      <c r="J662" s="207"/>
      <c r="K662" s="207"/>
      <c r="L662" s="207"/>
      <c r="M662" s="207"/>
      <c r="N662" s="207"/>
      <c r="O662" s="206"/>
    </row>
    <row r="663" spans="1:15" ht="30">
      <c r="A663" s="167" t="str">
        <f ca="1">IFERROR(__xludf.DUMMYFUNCTION("""COMPUTED_VALUE"""),"82DJ05150100160005390646")</f>
        <v>82DJ05150100160005390646</v>
      </c>
      <c r="B663" s="167" t="str">
        <f ca="1">IFERROR(__xludf.DUMMYFUNCTION("""COMPUTED_VALUE"""),"BUENO")</f>
        <v>BUENO</v>
      </c>
      <c r="C663" s="206"/>
      <c r="D663" s="206"/>
      <c r="E663" s="207"/>
      <c r="F663" s="207"/>
      <c r="G663" s="207"/>
      <c r="H663" s="207"/>
      <c r="I663" s="207"/>
      <c r="J663" s="207"/>
      <c r="K663" s="207"/>
      <c r="L663" s="207"/>
      <c r="M663" s="207"/>
      <c r="N663" s="207"/>
      <c r="O663" s="206"/>
    </row>
    <row r="664" spans="1:15" ht="30">
      <c r="A664" s="167" t="str">
        <f ca="1">IFERROR(__xludf.DUMMYFUNCTION("""COMPUTED_VALUE"""),"82DI0515010001000539009")</f>
        <v>82DI0515010001000539009</v>
      </c>
      <c r="B664" s="167" t="str">
        <f ca="1">IFERROR(__xludf.DUMMYFUNCTION("""COMPUTED_VALUE"""),"BUENO")</f>
        <v>BUENO</v>
      </c>
      <c r="C664" s="206"/>
      <c r="D664" s="206"/>
      <c r="E664" s="207"/>
      <c r="F664" s="207"/>
      <c r="G664" s="207"/>
      <c r="H664" s="207"/>
      <c r="I664" s="207"/>
      <c r="J664" s="207"/>
      <c r="K664" s="207"/>
      <c r="L664" s="207"/>
      <c r="M664" s="207"/>
      <c r="N664" s="207"/>
      <c r="O664" s="206"/>
    </row>
    <row r="665" spans="1:15" ht="30">
      <c r="A665" s="167" t="str">
        <f ca="1">IFERROR(__xludf.DUMMYFUNCTION("""COMPUTED_VALUE"""),"82DI0565010041000543587")</f>
        <v>82DI0565010041000543587</v>
      </c>
      <c r="B665" s="167" t="str">
        <f ca="1">IFERROR(__xludf.DUMMYFUNCTION("""COMPUTED_VALUE"""),"BAJA")</f>
        <v>BAJA</v>
      </c>
      <c r="C665" s="206"/>
      <c r="D665" s="206"/>
      <c r="E665" s="207"/>
      <c r="F665" s="207"/>
      <c r="G665" s="207"/>
      <c r="H665" s="207"/>
      <c r="I665" s="207"/>
      <c r="J665" s="207"/>
      <c r="K665" s="207"/>
      <c r="L665" s="207"/>
      <c r="M665" s="207"/>
      <c r="N665" s="207"/>
      <c r="O665" s="206"/>
    </row>
    <row r="666" spans="1:15" ht="30">
      <c r="A666" s="167" t="str">
        <f ca="1">IFERROR(__xludf.DUMMYFUNCTION("""COMPUTED_VALUE"""),"82DJ0511010010000651110")</f>
        <v>82DJ0511010010000651110</v>
      </c>
      <c r="B666" s="167" t="str">
        <f ca="1">IFERROR(__xludf.DUMMYFUNCTION("""COMPUTED_VALUE"""),"BUENO")</f>
        <v>BUENO</v>
      </c>
      <c r="C666" s="206"/>
      <c r="D666" s="206"/>
      <c r="E666" s="207"/>
      <c r="F666" s="207"/>
      <c r="G666" s="207"/>
      <c r="H666" s="207"/>
      <c r="I666" s="207"/>
      <c r="J666" s="207"/>
      <c r="K666" s="207"/>
      <c r="L666" s="207"/>
      <c r="M666" s="207"/>
      <c r="N666" s="207"/>
      <c r="O666" s="206"/>
    </row>
    <row r="667" spans="1:15" ht="30">
      <c r="A667" s="167" t="str">
        <f ca="1">IFERROR(__xludf.DUMMYFUNCTION("""COMPUTED_VALUE"""),"82DJ0511010006000651108")</f>
        <v>82DJ0511010006000651108</v>
      </c>
      <c r="B667" s="167" t="str">
        <f ca="1">IFERROR(__xludf.DUMMYFUNCTION("""COMPUTED_VALUE"""),"BUENO")</f>
        <v>BUENO</v>
      </c>
      <c r="C667" s="206"/>
      <c r="D667" s="206"/>
      <c r="E667" s="207"/>
      <c r="F667" s="207"/>
      <c r="G667" s="207"/>
      <c r="H667" s="207"/>
      <c r="I667" s="207"/>
      <c r="J667" s="207"/>
      <c r="K667" s="207"/>
      <c r="L667" s="207"/>
      <c r="M667" s="207"/>
      <c r="N667" s="207"/>
      <c r="O667" s="206"/>
    </row>
    <row r="668" spans="1:15" ht="30">
      <c r="A668" s="167" t="str">
        <f ca="1">IFERROR(__xludf.DUMMYFUNCTION("""COMPUTED_VALUE"""),"82DJ0511010005000649562")</f>
        <v>82DJ0511010005000649562</v>
      </c>
      <c r="B668" s="167" t="str">
        <f ca="1">IFERROR(__xludf.DUMMYFUNCTION("""COMPUTED_VALUE"""),"BUENO")</f>
        <v>BUENO</v>
      </c>
      <c r="C668" s="206"/>
      <c r="D668" s="206"/>
      <c r="E668" s="207"/>
      <c r="F668" s="207"/>
      <c r="G668" s="207"/>
      <c r="H668" s="207"/>
      <c r="I668" s="207"/>
      <c r="J668" s="207"/>
      <c r="K668" s="207"/>
      <c r="L668" s="207"/>
      <c r="M668" s="207"/>
      <c r="N668" s="207"/>
      <c r="O668" s="206"/>
    </row>
    <row r="669" spans="1:15" ht="30">
      <c r="A669" s="167" t="str">
        <f ca="1">IFERROR(__xludf.DUMMYFUNCTION("""COMPUTED_VALUE"""),"82DH0511010017000649725")</f>
        <v>82DH0511010017000649725</v>
      </c>
      <c r="B669" s="167" t="str">
        <f ca="1">IFERROR(__xludf.DUMMYFUNCTION("""COMPUTED_VALUE"""),"BUENO")</f>
        <v>BUENO</v>
      </c>
      <c r="C669" s="206"/>
      <c r="D669" s="206"/>
      <c r="E669" s="207"/>
      <c r="F669" s="207"/>
      <c r="G669" s="207"/>
      <c r="H669" s="207"/>
      <c r="I669" s="207"/>
      <c r="J669" s="207"/>
      <c r="K669" s="207"/>
      <c r="L669" s="207"/>
      <c r="M669" s="207"/>
      <c r="N669" s="207"/>
      <c r="O669" s="206"/>
    </row>
    <row r="670" spans="1:15" ht="30">
      <c r="A670" s="167" t="str">
        <f ca="1">IFERROR(__xludf.DUMMYFUNCTION("""COMPUTED_VALUE"""),"82DJ0515010016000651109")</f>
        <v>82DJ0515010016000651109</v>
      </c>
      <c r="B670" s="167" t="str">
        <f ca="1">IFERROR(__xludf.DUMMYFUNCTION("""COMPUTED_VALUE"""),"BUENO")</f>
        <v>BUENO</v>
      </c>
      <c r="C670" s="206"/>
      <c r="D670" s="206"/>
      <c r="E670" s="207"/>
      <c r="F670" s="207"/>
      <c r="G670" s="207"/>
      <c r="H670" s="207"/>
      <c r="I670" s="207"/>
      <c r="J670" s="207"/>
      <c r="K670" s="207"/>
      <c r="L670" s="207"/>
      <c r="M670" s="207"/>
      <c r="N670" s="207"/>
      <c r="O670" s="206"/>
    </row>
    <row r="671" spans="1:15" ht="30">
      <c r="A671" s="167" t="str">
        <f ca="1">IFERROR(__xludf.DUMMYFUNCTION("""COMPUTED_VALUE"""),"82DH0511010016000515592")</f>
        <v>82DH0511010016000515592</v>
      </c>
      <c r="B671" s="167" t="str">
        <f ca="1">IFERROR(__xludf.DUMMYFUNCTION("""COMPUTED_VALUE"""),"BUENO")</f>
        <v>BUENO</v>
      </c>
      <c r="C671" s="206"/>
      <c r="D671" s="206"/>
      <c r="E671" s="207"/>
      <c r="F671" s="207"/>
      <c r="G671" s="207"/>
      <c r="H671" s="207"/>
      <c r="I671" s="207"/>
      <c r="J671" s="207"/>
      <c r="K671" s="207"/>
      <c r="L671" s="207"/>
      <c r="M671" s="207"/>
      <c r="N671" s="207"/>
      <c r="O671" s="206"/>
    </row>
    <row r="672" spans="1:15" ht="30">
      <c r="A672" s="167" t="str">
        <f ca="1">IFERROR(__xludf.DUMMYFUNCTION("""COMPUTED_VALUE"""),"SIN RESGUARDO")</f>
        <v>SIN RESGUARDO</v>
      </c>
      <c r="B672" s="167" t="str">
        <f ca="1">IFERROR(__xludf.DUMMYFUNCTION("""COMPUTED_VALUE"""),"BUENO")</f>
        <v>BUENO</v>
      </c>
      <c r="C672" s="206"/>
      <c r="D672" s="206"/>
      <c r="E672" s="207"/>
      <c r="F672" s="207"/>
      <c r="G672" s="207"/>
      <c r="H672" s="207"/>
      <c r="I672" s="207"/>
      <c r="J672" s="207"/>
      <c r="K672" s="207"/>
      <c r="L672" s="207"/>
      <c r="M672" s="207"/>
      <c r="N672" s="207"/>
      <c r="O672" s="206"/>
    </row>
    <row r="673" spans="1:15" ht="30">
      <c r="A673" s="167" t="str">
        <f ca="1">IFERROR(__xludf.DUMMYFUNCTION("""COMPUTED_VALUE"""),"SIN RESGUARDO")</f>
        <v>SIN RESGUARDO</v>
      </c>
      <c r="B673" s="167" t="str">
        <f ca="1">IFERROR(__xludf.DUMMYFUNCTION("""COMPUTED_VALUE"""),"BUENO")</f>
        <v>BUENO</v>
      </c>
      <c r="C673" s="206"/>
      <c r="D673" s="206"/>
      <c r="E673" s="207"/>
      <c r="F673" s="207"/>
      <c r="G673" s="207"/>
      <c r="H673" s="207"/>
      <c r="I673" s="207"/>
      <c r="J673" s="207"/>
      <c r="K673" s="207"/>
      <c r="L673" s="207"/>
      <c r="M673" s="207"/>
      <c r="N673" s="207"/>
      <c r="O673" s="206"/>
    </row>
    <row r="674" spans="1:15" ht="30">
      <c r="A674" s="167" t="str">
        <f ca="1">IFERROR(__xludf.DUMMYFUNCTION("""COMPUTED_VALUE"""),"82DJ0531010065000564808")</f>
        <v>82DJ0531010065000564808</v>
      </c>
      <c r="B674" s="167" t="str">
        <f ca="1">IFERROR(__xludf.DUMMYFUNCTION("""COMPUTED_VALUE"""),"BUENO")</f>
        <v>BUENO</v>
      </c>
      <c r="C674" s="206"/>
      <c r="D674" s="206"/>
      <c r="E674" s="207"/>
      <c r="F674" s="207"/>
      <c r="G674" s="207"/>
      <c r="H674" s="207"/>
      <c r="I674" s="207"/>
      <c r="J674" s="207"/>
      <c r="K674" s="207"/>
      <c r="L674" s="207"/>
      <c r="M674" s="207"/>
      <c r="N674" s="207"/>
      <c r="O674" s="206"/>
    </row>
    <row r="675" spans="1:15" ht="30">
      <c r="A675" s="167" t="str">
        <f ca="1">IFERROR(__xludf.DUMMYFUNCTION("""COMPUTED_VALUE"""),"82DH0511010010000649720")</f>
        <v>82DH0511010010000649720</v>
      </c>
      <c r="B675" s="167" t="str">
        <f ca="1">IFERROR(__xludf.DUMMYFUNCTION("""COMPUTED_VALUE"""),"BUENO")</f>
        <v>BUENO</v>
      </c>
      <c r="C675" s="206"/>
      <c r="D675" s="206"/>
      <c r="E675" s="207"/>
      <c r="F675" s="207"/>
      <c r="G675" s="207"/>
      <c r="H675" s="207"/>
      <c r="I675" s="207"/>
      <c r="J675" s="207"/>
      <c r="K675" s="207"/>
      <c r="L675" s="207"/>
      <c r="M675" s="207"/>
      <c r="N675" s="207"/>
      <c r="O675" s="206"/>
    </row>
    <row r="676" spans="1:15" ht="30">
      <c r="A676" s="167" t="str">
        <f ca="1">IFERROR(__xludf.DUMMYFUNCTION("""COMPUTED_VALUE"""),"82DJ0511010005000649704")</f>
        <v>82DJ0511010005000649704</v>
      </c>
      <c r="B676" s="167" t="str">
        <f ca="1">IFERROR(__xludf.DUMMYFUNCTION("""COMPUTED_VALUE"""),"BUENO")</f>
        <v>BUENO</v>
      </c>
      <c r="C676" s="206"/>
      <c r="D676" s="206"/>
      <c r="E676" s="207"/>
      <c r="F676" s="207"/>
      <c r="G676" s="207"/>
      <c r="H676" s="207"/>
      <c r="I676" s="207"/>
      <c r="J676" s="207"/>
      <c r="K676" s="207"/>
      <c r="L676" s="207"/>
      <c r="M676" s="207"/>
      <c r="N676" s="207"/>
      <c r="O676" s="206"/>
    </row>
    <row r="677" spans="1:15" ht="30">
      <c r="A677" s="167" t="str">
        <f ca="1">IFERROR(__xludf.DUMMYFUNCTION("""COMPUTED_VALUE"""),"82DJ0511010006000583450")</f>
        <v>82DJ0511010006000583450</v>
      </c>
      <c r="B677" s="167" t="str">
        <f ca="1">IFERROR(__xludf.DUMMYFUNCTION("""COMPUTED_VALUE"""),"BUENO")</f>
        <v>BUENO</v>
      </c>
      <c r="C677" s="206"/>
      <c r="D677" s="206"/>
      <c r="E677" s="207"/>
      <c r="F677" s="207"/>
      <c r="G677" s="207"/>
      <c r="H677" s="207"/>
      <c r="I677" s="207"/>
      <c r="J677" s="207"/>
      <c r="K677" s="207"/>
      <c r="L677" s="207"/>
      <c r="M677" s="207"/>
      <c r="N677" s="207"/>
      <c r="O677" s="206"/>
    </row>
    <row r="678" spans="1:15" ht="30">
      <c r="A678" s="167" t="str">
        <f ca="1">IFERROR(__xludf.DUMMYFUNCTION("""COMPUTED_VALUE"""),"82DH0511010017000649719")</f>
        <v>82DH0511010017000649719</v>
      </c>
      <c r="B678" s="167" t="str">
        <f ca="1">IFERROR(__xludf.DUMMYFUNCTION("""COMPUTED_VALUE"""),"BUENO")</f>
        <v>BUENO</v>
      </c>
      <c r="C678" s="206"/>
      <c r="D678" s="206"/>
      <c r="E678" s="207"/>
      <c r="F678" s="207"/>
      <c r="G678" s="207"/>
      <c r="H678" s="207"/>
      <c r="I678" s="207"/>
      <c r="J678" s="207"/>
      <c r="K678" s="207"/>
      <c r="L678" s="207"/>
      <c r="M678" s="207"/>
      <c r="N678" s="207"/>
      <c r="O678" s="206"/>
    </row>
    <row r="679" spans="1:15" ht="30">
      <c r="A679" s="167" t="str">
        <f ca="1">IFERROR(__xludf.DUMMYFUNCTION("""COMPUTED_VALUE"""),"82DJ0515010033000564638")</f>
        <v>82DJ0515010033000564638</v>
      </c>
      <c r="B679" s="167" t="str">
        <f ca="1">IFERROR(__xludf.DUMMYFUNCTION("""COMPUTED_VALUE"""),"BUENO")</f>
        <v>BUENO</v>
      </c>
      <c r="C679" s="206"/>
      <c r="D679" s="206"/>
      <c r="E679" s="207"/>
      <c r="F679" s="207"/>
      <c r="G679" s="207"/>
      <c r="H679" s="207"/>
      <c r="I679" s="207"/>
      <c r="J679" s="207"/>
      <c r="K679" s="207"/>
      <c r="L679" s="207"/>
      <c r="M679" s="207"/>
      <c r="N679" s="207"/>
      <c r="O679" s="206"/>
    </row>
    <row r="680" spans="1:15" ht="30">
      <c r="A680" s="167" t="str">
        <f ca="1">IFERROR(__xludf.DUMMYFUNCTION("""COMPUTED_VALUE"""),"82DJ0515010016000649420")</f>
        <v>82DJ0515010016000649420</v>
      </c>
      <c r="B680" s="167" t="str">
        <f ca="1">IFERROR(__xludf.DUMMYFUNCTION("""COMPUTED_VALUE"""),"BUENO")</f>
        <v>BUENO</v>
      </c>
      <c r="C680" s="206"/>
      <c r="D680" s="206"/>
      <c r="E680" s="207"/>
      <c r="F680" s="207"/>
      <c r="G680" s="207"/>
      <c r="H680" s="207"/>
      <c r="I680" s="207"/>
      <c r="J680" s="207"/>
      <c r="K680" s="207"/>
      <c r="L680" s="207"/>
      <c r="M680" s="207"/>
      <c r="N680" s="207"/>
      <c r="O680" s="206"/>
    </row>
    <row r="681" spans="1:15" ht="30">
      <c r="A681" s="167" t="str">
        <f ca="1">IFERROR(__xludf.DUMMYFUNCTION("""COMPUTED_VALUE"""),"SIN RESGUARDO")</f>
        <v>SIN RESGUARDO</v>
      </c>
      <c r="B681" s="167" t="str">
        <f ca="1">IFERROR(__xludf.DUMMYFUNCTION("""COMPUTED_VALUE"""),"BUENO")</f>
        <v>BUENO</v>
      </c>
      <c r="C681" s="206"/>
      <c r="D681" s="206"/>
      <c r="E681" s="207"/>
      <c r="F681" s="207"/>
      <c r="G681" s="207"/>
      <c r="H681" s="207"/>
      <c r="I681" s="207"/>
      <c r="J681" s="207"/>
      <c r="K681" s="207"/>
      <c r="L681" s="207"/>
      <c r="M681" s="207"/>
      <c r="N681" s="207"/>
      <c r="O681" s="206"/>
    </row>
    <row r="682" spans="1:15" ht="30">
      <c r="A682" s="167" t="str">
        <f ca="1">IFERROR(__xludf.DUMMYFUNCTION("""COMPUTED_VALUE"""),"SIN RESGUARDO")</f>
        <v>SIN RESGUARDO</v>
      </c>
      <c r="B682" s="167" t="str">
        <f ca="1">IFERROR(__xludf.DUMMYFUNCTION("""COMPUTED_VALUE"""),"BUENO")</f>
        <v>BUENO</v>
      </c>
      <c r="C682" s="206"/>
      <c r="D682" s="206"/>
      <c r="E682" s="207"/>
      <c r="F682" s="207"/>
      <c r="G682" s="207"/>
      <c r="H682" s="207"/>
      <c r="I682" s="207"/>
      <c r="J682" s="207"/>
      <c r="K682" s="207"/>
      <c r="L682" s="207"/>
      <c r="M682" s="207"/>
      <c r="N682" s="207"/>
      <c r="O682" s="206"/>
    </row>
    <row r="683" spans="1:15" ht="30">
      <c r="A683" s="167" t="str">
        <f ca="1">IFERROR(__xludf.DUMMYFUNCTION("""COMPUTED_VALUE"""),"82DI0565010041000539123")</f>
        <v>82DI0565010041000539123</v>
      </c>
      <c r="B683" s="167" t="str">
        <f ca="1">IFERROR(__xludf.DUMMYFUNCTION("""COMPUTED_VALUE"""),"BUENO")</f>
        <v>BUENO</v>
      </c>
      <c r="C683" s="206"/>
      <c r="D683" s="206"/>
      <c r="E683" s="207"/>
      <c r="F683" s="207"/>
      <c r="G683" s="207"/>
      <c r="H683" s="207"/>
      <c r="I683" s="207"/>
      <c r="J683" s="207"/>
      <c r="K683" s="207"/>
      <c r="L683" s="207"/>
      <c r="M683" s="207"/>
      <c r="N683" s="207"/>
      <c r="O683" s="206"/>
    </row>
    <row r="684" spans="1:15" ht="30">
      <c r="A684" s="167" t="str">
        <f ca="1">IFERROR(__xludf.DUMMYFUNCTION("""COMPUTED_VALUE"""),"82DI0511010017000516229")</f>
        <v>82DI0511010017000516229</v>
      </c>
      <c r="B684" s="167" t="str">
        <f ca="1">IFERROR(__xludf.DUMMYFUNCTION("""COMPUTED_VALUE"""),"BUENO")</f>
        <v>BUENO</v>
      </c>
      <c r="C684" s="206"/>
      <c r="D684" s="206"/>
      <c r="E684" s="207"/>
      <c r="F684" s="207"/>
      <c r="G684" s="207"/>
      <c r="H684" s="207"/>
      <c r="I684" s="207"/>
      <c r="J684" s="207"/>
      <c r="K684" s="207"/>
      <c r="L684" s="207"/>
      <c r="M684" s="207"/>
      <c r="N684" s="207"/>
      <c r="O684" s="206"/>
    </row>
    <row r="685" spans="1:15" ht="30">
      <c r="A685" s="167" t="str">
        <f ca="1">IFERROR(__xludf.DUMMYFUNCTION("""COMPUTED_VALUE"""),"82DJ0511010017000649702")</f>
        <v>82DJ0511010017000649702</v>
      </c>
      <c r="B685" s="167" t="str">
        <f ca="1">IFERROR(__xludf.DUMMYFUNCTION("""COMPUTED_VALUE"""),"BUENO")</f>
        <v>BUENO</v>
      </c>
      <c r="C685" s="206"/>
      <c r="D685" s="206"/>
      <c r="E685" s="207"/>
      <c r="F685" s="207"/>
      <c r="G685" s="207"/>
      <c r="H685" s="207"/>
      <c r="I685" s="207"/>
      <c r="J685" s="207"/>
      <c r="K685" s="207"/>
      <c r="L685" s="207"/>
      <c r="M685" s="207"/>
      <c r="N685" s="207"/>
      <c r="O685" s="206"/>
    </row>
    <row r="686" spans="1:15" ht="30">
      <c r="A686" s="167" t="str">
        <f ca="1">IFERROR(__xludf.DUMMYFUNCTION("""COMPUTED_VALUE"""),"82DJ0511010017000563784")</f>
        <v>82DJ0511010017000563784</v>
      </c>
      <c r="B686" s="167" t="str">
        <f ca="1">IFERROR(__xludf.DUMMYFUNCTION("""COMPUTED_VALUE"""),"BUENO")</f>
        <v>BUENO</v>
      </c>
      <c r="C686" s="206"/>
      <c r="D686" s="206"/>
      <c r="E686" s="207"/>
      <c r="F686" s="207"/>
      <c r="G686" s="207"/>
      <c r="H686" s="207"/>
      <c r="I686" s="207"/>
      <c r="J686" s="207"/>
      <c r="K686" s="207"/>
      <c r="L686" s="207"/>
      <c r="M686" s="207"/>
      <c r="N686" s="207"/>
      <c r="O686" s="206"/>
    </row>
    <row r="687" spans="1:15" ht="30">
      <c r="A687" s="167" t="str">
        <f ca="1">IFERROR(__xludf.DUMMYFUNCTION("""COMPUTED_VALUE"""),"82DJ0511010001000539203")</f>
        <v>82DJ0511010001000539203</v>
      </c>
      <c r="B687" s="167" t="str">
        <f ca="1">IFERROR(__xludf.DUMMYFUNCTION("""COMPUTED_VALUE"""),"BUENO")</f>
        <v>BUENO</v>
      </c>
      <c r="C687" s="206"/>
      <c r="D687" s="206"/>
      <c r="E687" s="207"/>
      <c r="F687" s="207"/>
      <c r="G687" s="207"/>
      <c r="H687" s="207"/>
      <c r="I687" s="207"/>
      <c r="J687" s="207"/>
      <c r="K687" s="207"/>
      <c r="L687" s="207"/>
      <c r="M687" s="207"/>
      <c r="N687" s="207"/>
      <c r="O687" s="206"/>
    </row>
    <row r="688" spans="1:15" ht="30">
      <c r="A688" s="167" t="str">
        <f ca="1">IFERROR(__xludf.DUMMYFUNCTION("""COMPUTED_VALUE"""),"82DJ0511010001000649503")</f>
        <v>82DJ0511010001000649503</v>
      </c>
      <c r="B688" s="167" t="str">
        <f ca="1">IFERROR(__xludf.DUMMYFUNCTION("""COMPUTED_VALUE"""),"MALO")</f>
        <v>MALO</v>
      </c>
      <c r="C688" s="206"/>
      <c r="D688" s="206"/>
      <c r="E688" s="207"/>
      <c r="F688" s="207"/>
      <c r="G688" s="207"/>
      <c r="H688" s="207"/>
      <c r="I688" s="207"/>
      <c r="J688" s="207"/>
      <c r="K688" s="207"/>
      <c r="L688" s="207"/>
      <c r="M688" s="207"/>
      <c r="N688" s="207"/>
      <c r="O688" s="206"/>
    </row>
    <row r="689" spans="1:15" ht="30">
      <c r="A689" s="167" t="str">
        <f ca="1">IFERROR(__xludf.DUMMYFUNCTION("""COMPUTED_VALUE"""),"82DI0511010001000649476")</f>
        <v>82DI0511010001000649476</v>
      </c>
      <c r="B689" s="167" t="str">
        <f ca="1">IFERROR(__xludf.DUMMYFUNCTION("""COMPUTED_VALUE"""),"BUENO")</f>
        <v>BUENO</v>
      </c>
      <c r="C689" s="206"/>
      <c r="D689" s="206"/>
      <c r="E689" s="207"/>
      <c r="F689" s="207"/>
      <c r="G689" s="207"/>
      <c r="H689" s="207"/>
      <c r="I689" s="207"/>
      <c r="J689" s="207"/>
      <c r="K689" s="207"/>
      <c r="L689" s="207"/>
      <c r="M689" s="207"/>
      <c r="N689" s="207"/>
      <c r="O689" s="206"/>
    </row>
    <row r="690" spans="1:15" ht="30">
      <c r="A690" s="167" t="str">
        <f ca="1">IFERROR(__xludf.DUMMYFUNCTION("""COMPUTED_VALUE"""),"82DI0511010001000564901")</f>
        <v>82DI0511010001000564901</v>
      </c>
      <c r="B690" s="167" t="str">
        <f ca="1">IFERROR(__xludf.DUMMYFUNCTION("""COMPUTED_VALUE"""),"BUENO")</f>
        <v>BUENO</v>
      </c>
      <c r="C690" s="206"/>
      <c r="D690" s="206"/>
      <c r="E690" s="207"/>
      <c r="F690" s="207"/>
      <c r="G690" s="207"/>
      <c r="H690" s="207"/>
      <c r="I690" s="207"/>
      <c r="J690" s="207"/>
      <c r="K690" s="207"/>
      <c r="L690" s="207"/>
      <c r="M690" s="207"/>
      <c r="N690" s="207"/>
      <c r="O690" s="206"/>
    </row>
    <row r="691" spans="1:15" ht="30">
      <c r="A691" s="167" t="str">
        <f ca="1">IFERROR(__xludf.DUMMYFUNCTION("""COMPUTED_VALUE"""),"82DI0531010094000564893")</f>
        <v>82DI0531010094000564893</v>
      </c>
      <c r="B691" s="167" t="str">
        <f ca="1">IFERROR(__xludf.DUMMYFUNCTION("""COMPUTED_VALUE"""),"BUENO")</f>
        <v>BUENO</v>
      </c>
      <c r="C691" s="206"/>
      <c r="D691" s="206"/>
      <c r="E691" s="207"/>
      <c r="F691" s="207"/>
      <c r="G691" s="207"/>
      <c r="H691" s="207"/>
      <c r="I691" s="207"/>
      <c r="J691" s="207"/>
      <c r="K691" s="207"/>
      <c r="L691" s="207"/>
      <c r="M691" s="207"/>
      <c r="N691" s="207"/>
      <c r="O691" s="206"/>
    </row>
    <row r="692" spans="1:15" ht="30">
      <c r="A692" s="167" t="str">
        <f ca="1">IFERROR(__xludf.DUMMYFUNCTION("""COMPUTED_VALUE"""),"82DI0511010017000516298")</f>
        <v>82DI0511010017000516298</v>
      </c>
      <c r="B692" s="167" t="str">
        <f ca="1">IFERROR(__xludf.DUMMYFUNCTION("""COMPUTED_VALUE"""),"BUENO")</f>
        <v>BUENO</v>
      </c>
      <c r="C692" s="206"/>
      <c r="D692" s="206"/>
      <c r="E692" s="207"/>
      <c r="F692" s="207"/>
      <c r="G692" s="207"/>
      <c r="H692" s="207"/>
      <c r="I692" s="207"/>
      <c r="J692" s="207"/>
      <c r="K692" s="207"/>
      <c r="L692" s="207"/>
      <c r="M692" s="207"/>
      <c r="N692" s="207"/>
      <c r="O692" s="206"/>
    </row>
    <row r="693" spans="1:15" ht="30">
      <c r="A693" s="167" t="str">
        <f ca="1">IFERROR(__xludf.DUMMYFUNCTION("""COMPUTED_VALUE"""),"82DK0511010017000522769")</f>
        <v>82DK0511010017000522769</v>
      </c>
      <c r="B693" s="167" t="str">
        <f ca="1">IFERROR(__xludf.DUMMYFUNCTION("""COMPUTED_VALUE"""),"BUENO")</f>
        <v>BUENO</v>
      </c>
      <c r="C693" s="206"/>
      <c r="D693" s="206"/>
      <c r="E693" s="207"/>
      <c r="F693" s="207"/>
      <c r="G693" s="207"/>
      <c r="H693" s="207"/>
      <c r="I693" s="207"/>
      <c r="J693" s="207"/>
      <c r="K693" s="207"/>
      <c r="L693" s="207"/>
      <c r="M693" s="207"/>
      <c r="N693" s="207"/>
      <c r="O693" s="206"/>
    </row>
    <row r="694" spans="1:15" ht="30">
      <c r="A694" s="167" t="str">
        <f ca="1">IFERROR(__xludf.DUMMYFUNCTION("""COMPUTED_VALUE"""),"82DJ0511010017000522803")</f>
        <v>82DJ0511010017000522803</v>
      </c>
      <c r="B694" s="167" t="str">
        <f ca="1">IFERROR(__xludf.DUMMYFUNCTION("""COMPUTED_VALUE"""),"BUENO")</f>
        <v>BUENO</v>
      </c>
      <c r="C694" s="206"/>
      <c r="D694" s="206"/>
      <c r="E694" s="207"/>
      <c r="F694" s="207"/>
      <c r="G694" s="207"/>
      <c r="H694" s="207"/>
      <c r="I694" s="207"/>
      <c r="J694" s="207"/>
      <c r="K694" s="207"/>
      <c r="L694" s="207"/>
      <c r="M694" s="207"/>
      <c r="N694" s="207"/>
      <c r="O694" s="206"/>
    </row>
    <row r="695" spans="1:15" ht="30">
      <c r="A695" s="167" t="str">
        <f ca="1">IFERROR(__xludf.DUMMYFUNCTION("""COMPUTED_VALUE"""),"82DJ0511010017000522804")</f>
        <v>82DJ0511010017000522804</v>
      </c>
      <c r="B695" s="167" t="str">
        <f ca="1">IFERROR(__xludf.DUMMYFUNCTION("""COMPUTED_VALUE"""),"BUENO")</f>
        <v>BUENO</v>
      </c>
      <c r="C695" s="206"/>
      <c r="D695" s="206"/>
      <c r="E695" s="207"/>
      <c r="F695" s="207"/>
      <c r="G695" s="207"/>
      <c r="H695" s="207"/>
      <c r="I695" s="207"/>
      <c r="J695" s="207"/>
      <c r="K695" s="207"/>
      <c r="L695" s="207"/>
      <c r="M695" s="207"/>
      <c r="N695" s="207"/>
      <c r="O695" s="206"/>
    </row>
    <row r="696" spans="1:15" ht="30">
      <c r="A696" s="167" t="str">
        <f ca="1">IFERROR(__xludf.DUMMYFUNCTION("""COMPUTED_VALUE"""),"82DJ0511010009000584146")</f>
        <v>82DJ0511010009000584146</v>
      </c>
      <c r="B696" s="167" t="str">
        <f ca="1">IFERROR(__xludf.DUMMYFUNCTION("""COMPUTED_VALUE"""),"BUENO")</f>
        <v>BUENO</v>
      </c>
      <c r="C696" s="206"/>
      <c r="D696" s="206"/>
      <c r="E696" s="207"/>
      <c r="F696" s="207"/>
      <c r="G696" s="207"/>
      <c r="H696" s="207"/>
      <c r="I696" s="207"/>
      <c r="J696" s="207"/>
      <c r="K696" s="207"/>
      <c r="L696" s="207"/>
      <c r="M696" s="207"/>
      <c r="N696" s="207"/>
      <c r="O696" s="206"/>
    </row>
    <row r="697" spans="1:15" ht="30">
      <c r="A697" s="167" t="str">
        <f ca="1">IFERROR(__xludf.DUMMYFUNCTION("""COMPUTED_VALUE"""),"82DJ0511010006000583486")</f>
        <v>82DJ0511010006000583486</v>
      </c>
      <c r="B697" s="167" t="str">
        <f ca="1">IFERROR(__xludf.DUMMYFUNCTION("""COMPUTED_VALUE"""),"BUENO")</f>
        <v>BUENO</v>
      </c>
      <c r="C697" s="206"/>
      <c r="D697" s="206"/>
      <c r="E697" s="207"/>
      <c r="F697" s="207"/>
      <c r="G697" s="207"/>
      <c r="H697" s="207"/>
      <c r="I697" s="207"/>
      <c r="J697" s="207"/>
      <c r="K697" s="207"/>
      <c r="L697" s="207"/>
      <c r="M697" s="207"/>
      <c r="N697" s="207"/>
      <c r="O697" s="206"/>
    </row>
    <row r="698" spans="1:15" ht="30">
      <c r="A698" s="167" t="str">
        <f ca="1">IFERROR(__xludf.DUMMYFUNCTION("""COMPUTED_VALUE"""),"82DI0511010010000649474")</f>
        <v>82DI0511010010000649474</v>
      </c>
      <c r="B698" s="167" t="str">
        <f ca="1">IFERROR(__xludf.DUMMYFUNCTION("""COMPUTED_VALUE"""),"BUENO")</f>
        <v>BUENO</v>
      </c>
      <c r="C698" s="206"/>
      <c r="D698" s="206"/>
      <c r="E698" s="207"/>
      <c r="F698" s="207"/>
      <c r="G698" s="207"/>
      <c r="H698" s="207"/>
      <c r="I698" s="207"/>
      <c r="J698" s="207"/>
      <c r="K698" s="207"/>
      <c r="L698" s="207"/>
      <c r="M698" s="207"/>
      <c r="N698" s="207"/>
      <c r="O698" s="206"/>
    </row>
    <row r="699" spans="1:15" ht="30">
      <c r="A699" s="167" t="str">
        <f ca="1">IFERROR(__xludf.DUMMYFUNCTION("""COMPUTED_VALUE"""),"82DI0515010013000650655")</f>
        <v>82DI0515010013000650655</v>
      </c>
      <c r="B699" s="167" t="str">
        <f ca="1">IFERROR(__xludf.DUMMYFUNCTION("""COMPUTED_VALUE"""),"BUENO")</f>
        <v>BUENO</v>
      </c>
      <c r="C699" s="206"/>
      <c r="D699" s="206"/>
      <c r="E699" s="207"/>
      <c r="F699" s="207"/>
      <c r="G699" s="207"/>
      <c r="H699" s="207"/>
      <c r="I699" s="207"/>
      <c r="J699" s="207"/>
      <c r="K699" s="207"/>
      <c r="L699" s="207"/>
      <c r="M699" s="207"/>
      <c r="N699" s="207"/>
      <c r="O699" s="206"/>
    </row>
    <row r="700" spans="1:15" ht="30">
      <c r="A700" s="167" t="str">
        <f ca="1">IFERROR(__xludf.DUMMYFUNCTION("""COMPUTED_VALUE"""),"82DI0515010001000650665")</f>
        <v>82DI0515010001000650665</v>
      </c>
      <c r="B700" s="167" t="str">
        <f ca="1">IFERROR(__xludf.DUMMYFUNCTION("""COMPUTED_VALUE"""),"BUENO")</f>
        <v>BUENO</v>
      </c>
      <c r="C700" s="206"/>
      <c r="D700" s="206"/>
      <c r="E700" s="207"/>
      <c r="F700" s="207"/>
      <c r="G700" s="207"/>
      <c r="H700" s="207"/>
      <c r="I700" s="207"/>
      <c r="J700" s="207"/>
      <c r="K700" s="207"/>
      <c r="L700" s="207"/>
      <c r="M700" s="207"/>
      <c r="N700" s="207"/>
      <c r="O700" s="206"/>
    </row>
    <row r="701" spans="1:15" ht="30">
      <c r="A701" s="167" t="str">
        <f ca="1">IFERROR(__xludf.DUMMYFUNCTION("""COMPUTED_VALUE"""),"82DJ0515010016000524721")</f>
        <v>82DJ0515010016000524721</v>
      </c>
      <c r="B701" s="167" t="str">
        <f ca="1">IFERROR(__xludf.DUMMYFUNCTION("""COMPUTED_VALUE"""),"BUENO")</f>
        <v>BUENO</v>
      </c>
      <c r="C701" s="206"/>
      <c r="D701" s="206"/>
      <c r="E701" s="207"/>
      <c r="F701" s="207"/>
      <c r="G701" s="207"/>
      <c r="H701" s="207"/>
      <c r="I701" s="207"/>
      <c r="J701" s="207"/>
      <c r="K701" s="207"/>
      <c r="L701" s="207"/>
      <c r="M701" s="207"/>
      <c r="N701" s="207"/>
      <c r="O701" s="206"/>
    </row>
    <row r="702" spans="1:15" ht="30">
      <c r="A702" s="167" t="str">
        <f ca="1">IFERROR(__xludf.DUMMYFUNCTION("""COMPUTED_VALUE"""),"82DI0565010041000539108")</f>
        <v>82DI0565010041000539108</v>
      </c>
      <c r="B702" s="167" t="str">
        <f ca="1">IFERROR(__xludf.DUMMYFUNCTION("""COMPUTED_VALUE"""),"PARA BAJA EN ALMACEN")</f>
        <v>PARA BAJA EN ALMACEN</v>
      </c>
      <c r="C702" s="206"/>
      <c r="D702" s="206"/>
      <c r="E702" s="207"/>
      <c r="F702" s="207"/>
      <c r="G702" s="207"/>
      <c r="H702" s="207"/>
      <c r="I702" s="207"/>
      <c r="J702" s="207"/>
      <c r="K702" s="207"/>
      <c r="L702" s="207"/>
      <c r="M702" s="207"/>
      <c r="N702" s="207"/>
      <c r="O702" s="206"/>
    </row>
    <row r="703" spans="1:15" ht="30">
      <c r="A703" s="167" t="str">
        <f ca="1">IFERROR(__xludf.DUMMYFUNCTION("""COMPUTED_VALUE"""),"82DJ0511010016000515616")</f>
        <v>82DJ0511010016000515616</v>
      </c>
      <c r="B703" s="167" t="str">
        <f ca="1">IFERROR(__xludf.DUMMYFUNCTION("""COMPUTED_VALUE"""),"REGULAR")</f>
        <v>REGULAR</v>
      </c>
      <c r="C703" s="206"/>
      <c r="D703" s="206"/>
      <c r="E703" s="207"/>
      <c r="F703" s="207"/>
      <c r="G703" s="207"/>
      <c r="H703" s="207"/>
      <c r="I703" s="207"/>
      <c r="J703" s="207"/>
      <c r="K703" s="207"/>
      <c r="L703" s="207"/>
      <c r="M703" s="207"/>
      <c r="N703" s="207"/>
      <c r="O703" s="206"/>
    </row>
    <row r="704" spans="1:15" ht="30">
      <c r="A704" s="167" t="str">
        <f ca="1">IFERROR(__xludf.DUMMYFUNCTION("""COMPUTED_VALUE"""),"82DJ0565010001000533242")</f>
        <v>82DJ0565010001000533242</v>
      </c>
      <c r="B704" s="167" t="str">
        <f ca="1">IFERROR(__xludf.DUMMYFUNCTION("""COMPUTED_VALUE"""),"BUENO")</f>
        <v>BUENO</v>
      </c>
      <c r="C704" s="206"/>
      <c r="D704" s="206"/>
      <c r="E704" s="207"/>
      <c r="F704" s="207"/>
      <c r="G704" s="207"/>
      <c r="H704" s="207"/>
      <c r="I704" s="207"/>
      <c r="J704" s="207"/>
      <c r="K704" s="207"/>
      <c r="L704" s="207"/>
      <c r="M704" s="207"/>
      <c r="N704" s="207"/>
      <c r="O704" s="206"/>
    </row>
    <row r="705" spans="1:15" ht="30">
      <c r="A705" s="167" t="str">
        <f ca="1">IFERROR(__xludf.DUMMYFUNCTION("""COMPUTED_VALUE"""),"SIN RESGUARDO")</f>
        <v>SIN RESGUARDO</v>
      </c>
      <c r="B705" s="167" t="str">
        <f ca="1">IFERROR(__xludf.DUMMYFUNCTION("""COMPUTED_VALUE"""),"BUENO")</f>
        <v>BUENO</v>
      </c>
      <c r="C705" s="206"/>
      <c r="D705" s="206"/>
      <c r="E705" s="207"/>
      <c r="F705" s="207"/>
      <c r="G705" s="207"/>
      <c r="H705" s="207"/>
      <c r="I705" s="207"/>
      <c r="J705" s="207"/>
      <c r="K705" s="207"/>
      <c r="L705" s="207"/>
      <c r="M705" s="207"/>
      <c r="N705" s="207"/>
      <c r="O705" s="206"/>
    </row>
    <row r="706" spans="1:15" ht="30">
      <c r="A706" s="167" t="str">
        <f ca="1">IFERROR(__xludf.DUMMYFUNCTION("""COMPUTED_VALUE"""),"SIN RESGUARDO")</f>
        <v>SIN RESGUARDO</v>
      </c>
      <c r="B706" s="167" t="str">
        <f ca="1">IFERROR(__xludf.DUMMYFUNCTION("""COMPUTED_VALUE"""),"BUENO")</f>
        <v>BUENO</v>
      </c>
      <c r="C706" s="206"/>
      <c r="D706" s="206"/>
      <c r="E706" s="207"/>
      <c r="F706" s="207"/>
      <c r="G706" s="207"/>
      <c r="H706" s="207"/>
      <c r="I706" s="207"/>
      <c r="J706" s="207"/>
      <c r="K706" s="207"/>
      <c r="L706" s="207"/>
      <c r="M706" s="207"/>
      <c r="N706" s="207"/>
      <c r="O706" s="206"/>
    </row>
    <row r="707" spans="1:15" ht="30">
      <c r="A707" s="167" t="str">
        <f ca="1">IFERROR(__xludf.DUMMYFUNCTION("""COMPUTED_VALUE"""),"82DI0515010020000650895")</f>
        <v>82DI0515010020000650895</v>
      </c>
      <c r="B707" s="167" t="str">
        <f ca="1">IFERROR(__xludf.DUMMYFUNCTION("""COMPUTED_VALUE"""),"BUENO")</f>
        <v>BUENO</v>
      </c>
      <c r="C707" s="206"/>
      <c r="D707" s="206"/>
      <c r="E707" s="207"/>
      <c r="F707" s="207"/>
      <c r="G707" s="207"/>
      <c r="H707" s="207"/>
      <c r="I707" s="207"/>
      <c r="J707" s="207"/>
      <c r="K707" s="207"/>
      <c r="L707" s="207"/>
      <c r="M707" s="207"/>
      <c r="N707" s="207"/>
      <c r="O707" s="206"/>
    </row>
    <row r="708" spans="1:15" ht="30">
      <c r="A708" s="167" t="str">
        <f ca="1">IFERROR(__xludf.DUMMYFUNCTION("""COMPUTED_VALUE"""),"82DI0511010001000564896")</f>
        <v>82DI0511010001000564896</v>
      </c>
      <c r="B708" s="167" t="str">
        <f ca="1">IFERROR(__xludf.DUMMYFUNCTION("""COMPUTED_VALUE"""),"MALO")</f>
        <v>MALO</v>
      </c>
      <c r="C708" s="206"/>
      <c r="D708" s="206"/>
      <c r="E708" s="207"/>
      <c r="F708" s="207"/>
      <c r="G708" s="207"/>
      <c r="H708" s="207"/>
      <c r="I708" s="207"/>
      <c r="J708" s="207"/>
      <c r="K708" s="207"/>
      <c r="L708" s="207"/>
      <c r="M708" s="207"/>
      <c r="N708" s="207"/>
      <c r="O708" s="206"/>
    </row>
    <row r="709" spans="1:15" ht="30">
      <c r="A709" s="167" t="str">
        <f ca="1">IFERROR(__xludf.DUMMYFUNCTION("""COMPUTED_VALUE"""),"82DJ0511010001000581385")</f>
        <v>82DJ0511010001000581385</v>
      </c>
      <c r="B709" s="167" t="str">
        <f ca="1">IFERROR(__xludf.DUMMYFUNCTION("""COMPUTED_VALUE"""),"REGULAR")</f>
        <v>REGULAR</v>
      </c>
      <c r="C709" s="206"/>
      <c r="D709" s="206"/>
      <c r="E709" s="207"/>
      <c r="F709" s="207"/>
      <c r="G709" s="207"/>
      <c r="H709" s="207"/>
      <c r="I709" s="207"/>
      <c r="J709" s="207"/>
      <c r="K709" s="207"/>
      <c r="L709" s="207"/>
      <c r="M709" s="207"/>
      <c r="N709" s="207"/>
      <c r="O709" s="206"/>
    </row>
    <row r="710" spans="1:15" ht="30">
      <c r="A710" s="167" t="str">
        <f ca="1">IFERROR(__xludf.DUMMYFUNCTION("""COMPUTED_VALUE"""),"82DI0511010001000581386")</f>
        <v>82DI0511010001000581386</v>
      </c>
      <c r="B710" s="167" t="str">
        <f ca="1">IFERROR(__xludf.DUMMYFUNCTION("""COMPUTED_VALUE"""),"BUENO")</f>
        <v>BUENO</v>
      </c>
      <c r="C710" s="206"/>
      <c r="D710" s="206"/>
      <c r="E710" s="207"/>
      <c r="F710" s="207"/>
      <c r="G710" s="207"/>
      <c r="H710" s="207"/>
      <c r="I710" s="207"/>
      <c r="J710" s="207"/>
      <c r="K710" s="207"/>
      <c r="L710" s="207"/>
      <c r="M710" s="207"/>
      <c r="N710" s="207"/>
      <c r="O710" s="206"/>
    </row>
    <row r="711" spans="1:15" ht="30">
      <c r="A711" s="167" t="str">
        <f ca="1">IFERROR(__xludf.DUMMYFUNCTION("""COMPUTED_VALUE"""),"82DI0511010001000649475")</f>
        <v>82DI0511010001000649475</v>
      </c>
      <c r="B711" s="167" t="str">
        <f ca="1">IFERROR(__xludf.DUMMYFUNCTION("""COMPUTED_VALUE"""),"BUENO")</f>
        <v>BUENO</v>
      </c>
      <c r="C711" s="206"/>
      <c r="D711" s="206"/>
      <c r="E711" s="207"/>
      <c r="F711" s="207"/>
      <c r="G711" s="207"/>
      <c r="H711" s="207"/>
      <c r="I711" s="207"/>
      <c r="J711" s="207"/>
      <c r="K711" s="207"/>
      <c r="L711" s="207"/>
      <c r="M711" s="207"/>
      <c r="N711" s="207"/>
      <c r="O711" s="206"/>
    </row>
    <row r="712" spans="1:15" ht="30">
      <c r="A712" s="167" t="str">
        <f ca="1">IFERROR(__xludf.DUMMYFUNCTION("""COMPUTED_VALUE"""),"82DI0511010001000581387")</f>
        <v>82DI0511010001000581387</v>
      </c>
      <c r="B712" s="167" t="str">
        <f ca="1">IFERROR(__xludf.DUMMYFUNCTION("""COMPUTED_VALUE"""),"BUENO")</f>
        <v>BUENO</v>
      </c>
      <c r="C712" s="206"/>
      <c r="D712" s="206"/>
      <c r="E712" s="207"/>
      <c r="F712" s="207"/>
      <c r="G712" s="207"/>
      <c r="H712" s="207"/>
      <c r="I712" s="207"/>
      <c r="J712" s="207"/>
      <c r="K712" s="207"/>
      <c r="L712" s="207"/>
      <c r="M712" s="207"/>
      <c r="N712" s="207"/>
      <c r="O712" s="206"/>
    </row>
    <row r="713" spans="1:15" ht="30">
      <c r="A713" s="167" t="str">
        <f ca="1">IFERROR(__xludf.DUMMYFUNCTION("""COMPUTED_VALUE"""),"82DK0511010017000522770")</f>
        <v>82DK0511010017000522770</v>
      </c>
      <c r="B713" s="167" t="str">
        <f ca="1">IFERROR(__xludf.DUMMYFUNCTION("""COMPUTED_VALUE"""),"BUENO")</f>
        <v>BUENO</v>
      </c>
      <c r="C713" s="206"/>
      <c r="D713" s="206"/>
      <c r="E713" s="207"/>
      <c r="F713" s="207"/>
      <c r="G713" s="207"/>
      <c r="H713" s="207"/>
      <c r="I713" s="207"/>
      <c r="J713" s="207"/>
      <c r="K713" s="207"/>
      <c r="L713" s="207"/>
      <c r="M713" s="207"/>
      <c r="N713" s="207"/>
      <c r="O713" s="206"/>
    </row>
    <row r="714" spans="1:15" ht="30">
      <c r="A714" s="167" t="str">
        <f ca="1">IFERROR(__xludf.DUMMYFUNCTION("""COMPUTED_VALUE"""),"82DK0511010001000649500")</f>
        <v>82DK0511010001000649500</v>
      </c>
      <c r="B714" s="167" t="str">
        <f ca="1">IFERROR(__xludf.DUMMYFUNCTION("""COMPUTED_VALUE"""),"BUENO")</f>
        <v>BUENO</v>
      </c>
      <c r="C714" s="206"/>
      <c r="D714" s="206"/>
      <c r="E714" s="207"/>
      <c r="F714" s="207"/>
      <c r="G714" s="207"/>
      <c r="H714" s="207"/>
      <c r="I714" s="207"/>
      <c r="J714" s="207"/>
      <c r="K714" s="207"/>
      <c r="L714" s="207"/>
      <c r="M714" s="207"/>
      <c r="N714" s="207"/>
      <c r="O714" s="206"/>
    </row>
    <row r="715" spans="1:15" ht="30">
      <c r="A715" s="167" t="str">
        <f ca="1">IFERROR(__xludf.DUMMYFUNCTION("""COMPUTED_VALUE"""),"82DI0531010065000564866")</f>
        <v>82DI0531010065000564866</v>
      </c>
      <c r="B715" s="167" t="str">
        <f ca="1">IFERROR(__xludf.DUMMYFUNCTION("""COMPUTED_VALUE"""),"BUENO")</f>
        <v>BUENO</v>
      </c>
      <c r="C715" s="206"/>
      <c r="D715" s="206"/>
      <c r="E715" s="207"/>
      <c r="F715" s="207"/>
      <c r="G715" s="207"/>
      <c r="H715" s="207"/>
      <c r="I715" s="207"/>
      <c r="J715" s="207"/>
      <c r="K715" s="207"/>
      <c r="L715" s="207"/>
      <c r="M715" s="207"/>
      <c r="N715" s="207"/>
      <c r="O715" s="206"/>
    </row>
    <row r="716" spans="1:15" ht="30">
      <c r="A716" s="167" t="str">
        <f ca="1">IFERROR(__xludf.DUMMYFUNCTION("""COMPUTED_VALUE"""),"82DK0531010094000581183")</f>
        <v>82DK0531010094000581183</v>
      </c>
      <c r="B716" s="167" t="str">
        <f ca="1">IFERROR(__xludf.DUMMYFUNCTION("""COMPUTED_VALUE"""),"BUENO")</f>
        <v>BUENO</v>
      </c>
      <c r="C716" s="206"/>
      <c r="D716" s="206"/>
      <c r="E716" s="207"/>
      <c r="F716" s="207"/>
      <c r="G716" s="207"/>
      <c r="H716" s="207"/>
      <c r="I716" s="207"/>
      <c r="J716" s="207"/>
      <c r="K716" s="207"/>
      <c r="L716" s="207"/>
      <c r="M716" s="207"/>
      <c r="N716" s="207"/>
      <c r="O716" s="206"/>
    </row>
    <row r="717" spans="1:15" ht="30">
      <c r="A717" s="167" t="str">
        <f ca="1">IFERROR(__xludf.DUMMYFUNCTION("""COMPUTED_VALUE"""),"82DK0511010006000583482")</f>
        <v>82DK0511010006000583482</v>
      </c>
      <c r="B717" s="167" t="str">
        <f ca="1">IFERROR(__xludf.DUMMYFUNCTION("""COMPUTED_VALUE"""),"BUENO")</f>
        <v>BUENO</v>
      </c>
      <c r="C717" s="206"/>
      <c r="D717" s="206"/>
      <c r="E717" s="207"/>
      <c r="F717" s="207"/>
      <c r="G717" s="207"/>
      <c r="H717" s="207"/>
      <c r="I717" s="207"/>
      <c r="J717" s="207"/>
      <c r="K717" s="207"/>
      <c r="L717" s="207"/>
      <c r="M717" s="207"/>
      <c r="N717" s="207"/>
      <c r="O717" s="206"/>
    </row>
    <row r="718" spans="1:15" ht="30">
      <c r="A718" s="167" t="str">
        <f ca="1">IFERROR(__xludf.DUMMYFUNCTION("""COMPUTED_VALUE"""),"82DK0531010065000564865")</f>
        <v>82DK0531010065000564865</v>
      </c>
      <c r="B718" s="167" t="str">
        <f ca="1">IFERROR(__xludf.DUMMYFUNCTION("""COMPUTED_VALUE"""),"BUENO")</f>
        <v>BUENO</v>
      </c>
      <c r="C718" s="206"/>
      <c r="D718" s="206"/>
      <c r="E718" s="207"/>
      <c r="F718" s="207"/>
      <c r="G718" s="207"/>
      <c r="H718" s="207"/>
      <c r="I718" s="207"/>
      <c r="J718" s="207"/>
      <c r="K718" s="207"/>
      <c r="L718" s="207"/>
      <c r="M718" s="207"/>
      <c r="N718" s="207"/>
      <c r="O718" s="206"/>
    </row>
    <row r="719" spans="1:15" ht="30">
      <c r="A719" s="167" t="str">
        <f ca="1">IFERROR(__xludf.DUMMYFUNCTION("""COMPUTED_VALUE"""),"82DK0565010041000539107")</f>
        <v>82DK0565010041000539107</v>
      </c>
      <c r="B719" s="167" t="str">
        <f ca="1">IFERROR(__xludf.DUMMYFUNCTION("""COMPUTED_VALUE"""),"BUENO")</f>
        <v>BUENO</v>
      </c>
      <c r="C719" s="206"/>
      <c r="D719" s="206"/>
      <c r="E719" s="207"/>
      <c r="F719" s="207"/>
      <c r="G719" s="207"/>
      <c r="H719" s="207"/>
      <c r="I719" s="207"/>
      <c r="J719" s="207"/>
      <c r="K719" s="207"/>
      <c r="L719" s="207"/>
      <c r="M719" s="207"/>
      <c r="N719" s="207"/>
      <c r="O719" s="206"/>
    </row>
    <row r="720" spans="1:15" ht="30">
      <c r="A720" s="167" t="str">
        <f ca="1">IFERROR(__xludf.DUMMYFUNCTION("""COMPUTED_VALUE"""),"82DK0515010001000539047")</f>
        <v>82DK0515010001000539047</v>
      </c>
      <c r="B720" s="167" t="str">
        <f ca="1">IFERROR(__xludf.DUMMYFUNCTION("""COMPUTED_VALUE"""),"MALO")</f>
        <v>MALO</v>
      </c>
      <c r="C720" s="206"/>
      <c r="D720" s="206"/>
      <c r="E720" s="207"/>
      <c r="F720" s="207"/>
      <c r="G720" s="207"/>
      <c r="H720" s="207"/>
      <c r="I720" s="207"/>
      <c r="J720" s="207"/>
      <c r="K720" s="207"/>
      <c r="L720" s="207"/>
      <c r="M720" s="207"/>
      <c r="N720" s="207"/>
      <c r="O720" s="206"/>
    </row>
    <row r="721" spans="1:15" ht="30">
      <c r="A721" s="167" t="str">
        <f ca="1">IFERROR(__xludf.DUMMYFUNCTION("""COMPUTED_VALUE"""),"82DK0515010033000651113")</f>
        <v>82DK0515010033000651113</v>
      </c>
      <c r="B721" s="167" t="str">
        <f ca="1">IFERROR(__xludf.DUMMYFUNCTION("""COMPUTED_VALUE"""),"BUENO")</f>
        <v>BUENO</v>
      </c>
      <c r="C721" s="206"/>
      <c r="D721" s="206"/>
      <c r="E721" s="207"/>
      <c r="F721" s="207"/>
      <c r="G721" s="207"/>
      <c r="H721" s="207"/>
      <c r="I721" s="207"/>
      <c r="J721" s="207"/>
      <c r="K721" s="207"/>
      <c r="L721" s="207"/>
      <c r="M721" s="207"/>
      <c r="N721" s="207"/>
      <c r="O721" s="206"/>
    </row>
    <row r="722" spans="1:15" ht="30">
      <c r="A722" s="167" t="str">
        <f ca="1">IFERROR(__xludf.DUMMYFUNCTION("""COMPUTED_VALUE"""),"82DK0515010016000649439")</f>
        <v>82DK0515010016000649439</v>
      </c>
      <c r="B722" s="167" t="str">
        <f ca="1">IFERROR(__xludf.DUMMYFUNCTION("""COMPUTED_VALUE"""),"BUENO")</f>
        <v>BUENO</v>
      </c>
      <c r="C722" s="206"/>
      <c r="D722" s="206"/>
      <c r="E722" s="207"/>
      <c r="F722" s="207"/>
      <c r="G722" s="207"/>
      <c r="H722" s="207"/>
      <c r="I722" s="207"/>
      <c r="J722" s="207"/>
      <c r="K722" s="207"/>
      <c r="L722" s="207"/>
      <c r="M722" s="207"/>
      <c r="N722" s="207"/>
      <c r="O722" s="206"/>
    </row>
    <row r="723" spans="1:15" ht="30">
      <c r="A723" s="167" t="str">
        <f ca="1">IFERROR(__xludf.DUMMYFUNCTION("""COMPUTED_VALUE"""),"82DI0511010017000516230")</f>
        <v>82DI0511010017000516230</v>
      </c>
      <c r="B723" s="167" t="str">
        <f ca="1">IFERROR(__xludf.DUMMYFUNCTION("""COMPUTED_VALUE"""),"REGULAR")</f>
        <v>REGULAR</v>
      </c>
      <c r="C723" s="206"/>
      <c r="D723" s="206"/>
      <c r="E723" s="207"/>
      <c r="F723" s="207"/>
      <c r="G723" s="207"/>
      <c r="H723" s="207"/>
      <c r="I723" s="207"/>
      <c r="J723" s="207"/>
      <c r="K723" s="207"/>
      <c r="L723" s="207"/>
      <c r="M723" s="207"/>
      <c r="N723" s="207"/>
      <c r="O723" s="206"/>
    </row>
    <row r="724" spans="1:15" ht="30">
      <c r="A724" s="167" t="str">
        <f ca="1">IFERROR(__xludf.DUMMYFUNCTION("""COMPUTED_VALUE"""),"82DI0511010020000649496")</f>
        <v>82DI0511010020000649496</v>
      </c>
      <c r="B724" s="167" t="str">
        <f ca="1">IFERROR(__xludf.DUMMYFUNCTION("""COMPUTED_VALUE"""),"BUENO")</f>
        <v>BUENO</v>
      </c>
      <c r="C724" s="206"/>
      <c r="D724" s="206"/>
      <c r="E724" s="207"/>
      <c r="F724" s="207"/>
      <c r="G724" s="207"/>
      <c r="H724" s="207"/>
      <c r="I724" s="207"/>
      <c r="J724" s="207"/>
      <c r="K724" s="207"/>
      <c r="L724" s="207"/>
      <c r="M724" s="207"/>
      <c r="N724" s="207"/>
      <c r="O724" s="206"/>
    </row>
    <row r="725" spans="1:15" ht="30">
      <c r="A725" s="167" t="str">
        <f ca="1">IFERROR(__xludf.DUMMYFUNCTION("""COMPUTED_VALUE"""),"82DI0511010006000583481")</f>
        <v>82DI0511010006000583481</v>
      </c>
      <c r="B725" s="167" t="str">
        <f ca="1">IFERROR(__xludf.DUMMYFUNCTION("""COMPUTED_VALUE"""),"BUENO")</f>
        <v>BUENO</v>
      </c>
      <c r="C725" s="206"/>
      <c r="D725" s="206"/>
      <c r="E725" s="207"/>
      <c r="F725" s="207"/>
      <c r="G725" s="207"/>
      <c r="H725" s="207"/>
      <c r="I725" s="207"/>
      <c r="J725" s="207"/>
      <c r="K725" s="207"/>
      <c r="L725" s="207"/>
      <c r="M725" s="207"/>
      <c r="N725" s="207"/>
      <c r="O725" s="206"/>
    </row>
    <row r="726" spans="1:15" ht="30">
      <c r="A726" s="167" t="str">
        <f ca="1">IFERROR(__xludf.DUMMYFUNCTION("""COMPUTED_VALUE"""),"82DI0531010065000564864")</f>
        <v>82DI0531010065000564864</v>
      </c>
      <c r="B726" s="167" t="str">
        <f ca="1">IFERROR(__xludf.DUMMYFUNCTION("""COMPUTED_VALUE"""),"BUENO")</f>
        <v>BUENO</v>
      </c>
      <c r="C726" s="206"/>
      <c r="D726" s="206"/>
      <c r="E726" s="207"/>
      <c r="F726" s="207"/>
      <c r="G726" s="207"/>
      <c r="H726" s="207"/>
      <c r="I726" s="207"/>
      <c r="J726" s="207"/>
      <c r="K726" s="207"/>
      <c r="L726" s="207"/>
      <c r="M726" s="207"/>
      <c r="N726" s="207"/>
      <c r="O726" s="206"/>
    </row>
    <row r="727" spans="1:15" ht="30">
      <c r="A727" s="167" t="str">
        <f ca="1">IFERROR(__xludf.DUMMYFUNCTION("""COMPUTED_VALUE"""),"82DK0515010016000649423")</f>
        <v>82DK0515010016000649423</v>
      </c>
      <c r="B727" s="167" t="str">
        <f ca="1">IFERROR(__xludf.DUMMYFUNCTION("""COMPUTED_VALUE"""),"BUENO")</f>
        <v>BUENO</v>
      </c>
      <c r="C727" s="206"/>
      <c r="D727" s="206"/>
      <c r="E727" s="207"/>
      <c r="F727" s="207"/>
      <c r="G727" s="207"/>
      <c r="H727" s="207"/>
      <c r="I727" s="207"/>
      <c r="J727" s="207"/>
      <c r="K727" s="207"/>
      <c r="L727" s="207"/>
      <c r="M727" s="207"/>
      <c r="N727" s="207"/>
      <c r="O727" s="206"/>
    </row>
    <row r="728" spans="1:15" ht="30">
      <c r="A728" s="167" t="str">
        <f ca="1">IFERROR(__xludf.DUMMYFUNCTION("""COMPUTED_VALUE"""),"82DI0565010001000533228")</f>
        <v>82DI0565010001000533228</v>
      </c>
      <c r="B728" s="167" t="str">
        <f ca="1">IFERROR(__xludf.DUMMYFUNCTION("""COMPUTED_VALUE"""),"MAL ESTADO")</f>
        <v>MAL ESTADO</v>
      </c>
      <c r="C728" s="206"/>
      <c r="D728" s="206"/>
      <c r="E728" s="207"/>
      <c r="F728" s="207"/>
      <c r="G728" s="207"/>
      <c r="H728" s="207"/>
      <c r="I728" s="207"/>
      <c r="J728" s="207"/>
      <c r="K728" s="207"/>
      <c r="L728" s="207"/>
      <c r="M728" s="207"/>
      <c r="N728" s="207"/>
      <c r="O728" s="206"/>
    </row>
    <row r="729" spans="1:15" ht="30">
      <c r="A729" s="167" t="str">
        <f ca="1">IFERROR(__xludf.DUMMYFUNCTION("""COMPUTED_VALUE"""),"82DK0511010010000649497")</f>
        <v>82DK0511010010000649497</v>
      </c>
      <c r="B729" s="167" t="str">
        <f ca="1">IFERROR(__xludf.DUMMYFUNCTION("""COMPUTED_VALUE"""),"BUENO")</f>
        <v>BUENO</v>
      </c>
      <c r="C729" s="206"/>
      <c r="D729" s="206"/>
      <c r="E729" s="207"/>
      <c r="F729" s="207"/>
      <c r="G729" s="207"/>
      <c r="H729" s="207"/>
      <c r="I729" s="207"/>
      <c r="J729" s="207"/>
      <c r="K729" s="207"/>
      <c r="L729" s="207"/>
      <c r="M729" s="207"/>
      <c r="N729" s="207"/>
      <c r="O729" s="206"/>
    </row>
    <row r="730" spans="1:15" ht="30">
      <c r="A730" s="167" t="str">
        <f ca="1">IFERROR(__xludf.DUMMYFUNCTION("""COMPUTED_VALUE"""),"82DJ0511010006000649492")</f>
        <v>82DJ0511010006000649492</v>
      </c>
      <c r="B730" s="167" t="str">
        <f ca="1">IFERROR(__xludf.DUMMYFUNCTION("""COMPUTED_VALUE"""),"BUENO")</f>
        <v>BUENO</v>
      </c>
      <c r="C730" s="206"/>
      <c r="D730" s="206"/>
      <c r="E730" s="207"/>
      <c r="F730" s="207"/>
      <c r="G730" s="207"/>
      <c r="H730" s="207"/>
      <c r="I730" s="207"/>
      <c r="J730" s="207"/>
      <c r="K730" s="207"/>
      <c r="L730" s="207"/>
      <c r="M730" s="207"/>
      <c r="N730" s="207"/>
      <c r="O730" s="206"/>
    </row>
    <row r="731" spans="1:15" ht="30">
      <c r="A731" s="167" t="str">
        <f ca="1">IFERROR(__xludf.DUMMYFUNCTION("""COMPUTED_VALUE"""),"82DK0565010041000535801")</f>
        <v>82DK0565010041000535801</v>
      </c>
      <c r="B731" s="167" t="str">
        <f ca="1">IFERROR(__xludf.DUMMYFUNCTION("""COMPUTED_VALUE"""),"BUENO")</f>
        <v>BUENO</v>
      </c>
      <c r="C731" s="206"/>
      <c r="D731" s="206"/>
      <c r="E731" s="207"/>
      <c r="F731" s="207"/>
      <c r="G731" s="207"/>
      <c r="H731" s="207"/>
      <c r="I731" s="207"/>
      <c r="J731" s="207"/>
      <c r="K731" s="207"/>
      <c r="L731" s="207"/>
      <c r="M731" s="207"/>
      <c r="N731" s="207"/>
      <c r="O731" s="206"/>
    </row>
    <row r="732" spans="1:15" ht="30">
      <c r="A732" s="167" t="str">
        <f ca="1">IFERROR(__xludf.DUMMYFUNCTION("""COMPUTED_VALUE"""),"82DK0515010001000535527")</f>
        <v>82DK0515010001000535527</v>
      </c>
      <c r="B732" s="167" t="str">
        <f ca="1">IFERROR(__xludf.DUMMYFUNCTION("""COMPUTED_VALUE"""),"BUENO")</f>
        <v>BUENO</v>
      </c>
      <c r="C732" s="206"/>
      <c r="D732" s="206"/>
      <c r="E732" s="207"/>
      <c r="F732" s="207"/>
      <c r="G732" s="207"/>
      <c r="H732" s="207"/>
      <c r="I732" s="207"/>
      <c r="J732" s="207"/>
      <c r="K732" s="207"/>
      <c r="L732" s="207"/>
      <c r="M732" s="207"/>
      <c r="N732" s="207"/>
      <c r="O732" s="206"/>
    </row>
    <row r="733" spans="1:15" ht="30">
      <c r="A733" s="167" t="str">
        <f ca="1">IFERROR(__xludf.DUMMYFUNCTION("""COMPUTED_VALUE"""),"82DK0565010001000649491")</f>
        <v>82DK0565010001000649491</v>
      </c>
      <c r="B733" s="167" t="str">
        <f ca="1">IFERROR(__xludf.DUMMYFUNCTION("""COMPUTED_VALUE"""),"BUENO")</f>
        <v>BUENO</v>
      </c>
      <c r="C733" s="206"/>
      <c r="D733" s="206"/>
      <c r="E733" s="207"/>
      <c r="F733" s="207"/>
      <c r="G733" s="207"/>
      <c r="H733" s="207"/>
      <c r="I733" s="207"/>
      <c r="J733" s="207"/>
      <c r="K733" s="207"/>
      <c r="L733" s="207"/>
      <c r="M733" s="207"/>
      <c r="N733" s="207"/>
      <c r="O733" s="206"/>
    </row>
    <row r="734" spans="1:15" ht="30">
      <c r="A734" s="167" t="str">
        <f ca="1">IFERROR(__xludf.DUMMYFUNCTION("""COMPUTED_VALUE"""),"82DI0515010016000649424")</f>
        <v>82DI0515010016000649424</v>
      </c>
      <c r="B734" s="167" t="str">
        <f ca="1">IFERROR(__xludf.DUMMYFUNCTION("""COMPUTED_VALUE"""),"BUENO")</f>
        <v>BUENO</v>
      </c>
      <c r="C734" s="206"/>
      <c r="D734" s="206"/>
      <c r="E734" s="207"/>
      <c r="F734" s="207"/>
      <c r="G734" s="207"/>
      <c r="H734" s="207"/>
      <c r="I734" s="207"/>
      <c r="J734" s="207"/>
      <c r="K734" s="207"/>
      <c r="L734" s="207"/>
      <c r="M734" s="207"/>
      <c r="N734" s="207"/>
      <c r="O734" s="206"/>
    </row>
    <row r="735" spans="1:15" ht="30">
      <c r="A735" s="167" t="str">
        <f ca="1">IFERROR(__xludf.DUMMYFUNCTION("""COMPUTED_VALUE"""),"82DK0511010017000522846")</f>
        <v>82DK0511010017000522846</v>
      </c>
      <c r="B735" s="167" t="str">
        <f ca="1">IFERROR(__xludf.DUMMYFUNCTION("""COMPUTED_VALUE"""),"BUENO")</f>
        <v>BUENO</v>
      </c>
      <c r="C735" s="206"/>
      <c r="D735" s="206"/>
      <c r="E735" s="207"/>
      <c r="F735" s="207"/>
      <c r="G735" s="207"/>
      <c r="H735" s="207"/>
      <c r="I735" s="207"/>
      <c r="J735" s="207"/>
      <c r="K735" s="207"/>
      <c r="L735" s="207"/>
      <c r="M735" s="207"/>
      <c r="N735" s="207"/>
      <c r="O735" s="206"/>
    </row>
    <row r="736" spans="1:15" ht="30">
      <c r="A736" s="167" t="str">
        <f ca="1">IFERROR(__xludf.DUMMYFUNCTION("""COMPUTED_VALUE"""),"82DH0511010017000651379")</f>
        <v>82DH0511010017000651379</v>
      </c>
      <c r="B736" s="167" t="str">
        <f ca="1">IFERROR(__xludf.DUMMYFUNCTION("""COMPUTED_VALUE"""),"BUENO")</f>
        <v>BUENO</v>
      </c>
      <c r="C736" s="206"/>
      <c r="D736" s="206"/>
      <c r="E736" s="207"/>
      <c r="F736" s="207"/>
      <c r="G736" s="207"/>
      <c r="H736" s="207"/>
      <c r="I736" s="207"/>
      <c r="J736" s="207"/>
      <c r="K736" s="207"/>
      <c r="L736" s="207"/>
      <c r="M736" s="207"/>
      <c r="N736" s="207"/>
      <c r="O736" s="206"/>
    </row>
    <row r="737" spans="1:15" ht="30">
      <c r="A737" s="167" t="str">
        <f ca="1">IFERROR(__xludf.DUMMYFUNCTION("""COMPUTED_VALUE"""),"82DI0511010017000522768")</f>
        <v>82DI0511010017000522768</v>
      </c>
      <c r="B737" s="167" t="str">
        <f ca="1">IFERROR(__xludf.DUMMYFUNCTION("""COMPUTED_VALUE"""),"MALO")</f>
        <v>MALO</v>
      </c>
      <c r="C737" s="206"/>
      <c r="D737" s="206"/>
      <c r="E737" s="207"/>
      <c r="F737" s="207"/>
      <c r="G737" s="207"/>
      <c r="H737" s="207"/>
      <c r="I737" s="207"/>
      <c r="J737" s="207"/>
      <c r="K737" s="207"/>
      <c r="L737" s="207"/>
      <c r="M737" s="207"/>
      <c r="N737" s="207"/>
      <c r="O737" s="206"/>
    </row>
    <row r="738" spans="1:15" ht="30">
      <c r="A738" s="167" t="str">
        <f ca="1">IFERROR(__xludf.DUMMYFUNCTION("""COMPUTED_VALUE"""),"82DI0565010041000543591")</f>
        <v>82DI0565010041000543591</v>
      </c>
      <c r="B738" s="167" t="str">
        <f ca="1">IFERROR(__xludf.DUMMYFUNCTION("""COMPUTED_VALUE"""),"BUENO")</f>
        <v>BUENO</v>
      </c>
      <c r="C738" s="206"/>
      <c r="D738" s="206"/>
      <c r="E738" s="207"/>
      <c r="F738" s="207"/>
      <c r="G738" s="207"/>
      <c r="H738" s="207"/>
      <c r="I738" s="207"/>
      <c r="J738" s="207"/>
      <c r="K738" s="207"/>
      <c r="L738" s="207"/>
      <c r="M738" s="207"/>
      <c r="N738" s="207"/>
      <c r="O738" s="206"/>
    </row>
    <row r="739" spans="1:15" ht="30">
      <c r="A739" s="167" t="str">
        <f ca="1">IFERROR(__xludf.DUMMYFUNCTION("""COMPUTED_VALUE"""),"82DI0515010001000564542")</f>
        <v>82DI0515010001000564542</v>
      </c>
      <c r="B739" s="167" t="str">
        <f ca="1">IFERROR(__xludf.DUMMYFUNCTION("""COMPUTED_VALUE"""),"MALO")</f>
        <v>MALO</v>
      </c>
      <c r="C739" s="206"/>
      <c r="D739" s="206"/>
      <c r="E739" s="207"/>
      <c r="F739" s="207"/>
      <c r="G739" s="207"/>
      <c r="H739" s="207"/>
      <c r="I739" s="207"/>
      <c r="J739" s="207"/>
      <c r="K739" s="207"/>
      <c r="L739" s="207"/>
      <c r="M739" s="207"/>
      <c r="N739" s="207"/>
      <c r="O739" s="206"/>
    </row>
    <row r="740" spans="1:15" ht="30">
      <c r="A740" s="167" t="str">
        <f ca="1">IFERROR(__xludf.DUMMYFUNCTION("""COMPUTED_VALUE"""),"82DH0519010043000649723")</f>
        <v>82DH0519010043000649723</v>
      </c>
      <c r="B740" s="167" t="str">
        <f ca="1">IFERROR(__xludf.DUMMYFUNCTION("""COMPUTED_VALUE"""),"MALO")</f>
        <v>MALO</v>
      </c>
      <c r="C740" s="206"/>
      <c r="D740" s="206"/>
      <c r="E740" s="207"/>
      <c r="F740" s="207"/>
      <c r="G740" s="207"/>
      <c r="H740" s="207"/>
      <c r="I740" s="207"/>
      <c r="J740" s="207"/>
      <c r="K740" s="207"/>
      <c r="L740" s="207"/>
      <c r="M740" s="207"/>
      <c r="N740" s="207"/>
      <c r="O740" s="206"/>
    </row>
    <row r="741" spans="1:15" ht="30">
      <c r="A741" s="167" t="str">
        <f ca="1">IFERROR(__xludf.DUMMYFUNCTION("""COMPUTED_VALUE"""),"82DH0511010008000649769")</f>
        <v>82DH0511010008000649769</v>
      </c>
      <c r="B741" s="167" t="str">
        <f ca="1">IFERROR(__xludf.DUMMYFUNCTION("""COMPUTED_VALUE"""),"BUENO")</f>
        <v>BUENO</v>
      </c>
      <c r="C741" s="206"/>
      <c r="D741" s="206"/>
      <c r="E741" s="207"/>
      <c r="F741" s="207"/>
      <c r="G741" s="207"/>
      <c r="H741" s="207"/>
      <c r="I741" s="207"/>
      <c r="J741" s="207"/>
      <c r="K741" s="207"/>
      <c r="L741" s="207"/>
      <c r="M741" s="207"/>
      <c r="N741" s="207"/>
      <c r="O741" s="206"/>
    </row>
    <row r="742" spans="1:15" ht="30">
      <c r="A742" s="167" t="str">
        <f ca="1">IFERROR(__xludf.DUMMYFUNCTION("""COMPUTED_VALUE"""),"82DH0511010008000649768")</f>
        <v>82DH0511010008000649768</v>
      </c>
      <c r="B742" s="167" t="str">
        <f ca="1">IFERROR(__xludf.DUMMYFUNCTION("""COMPUTED_VALUE"""),"BUENO")</f>
        <v>BUENO</v>
      </c>
      <c r="C742" s="206"/>
      <c r="D742" s="206"/>
      <c r="E742" s="207"/>
      <c r="F742" s="207"/>
      <c r="G742" s="207"/>
      <c r="H742" s="207"/>
      <c r="I742" s="207"/>
      <c r="J742" s="207"/>
      <c r="K742" s="207"/>
      <c r="L742" s="207"/>
      <c r="M742" s="207"/>
      <c r="N742" s="207"/>
      <c r="O742" s="206"/>
    </row>
    <row r="743" spans="1:15" ht="30">
      <c r="A743" s="167" t="str">
        <f ca="1">IFERROR(__xludf.DUMMYFUNCTION("""COMPUTED_VALUE"""),"82DH0519010043000649724")</f>
        <v>82DH0519010043000649724</v>
      </c>
      <c r="B743" s="167" t="str">
        <f ca="1">IFERROR(__xludf.DUMMYFUNCTION("""COMPUTED_VALUE"""),"BUENO")</f>
        <v>BUENO</v>
      </c>
      <c r="C743" s="206"/>
      <c r="D743" s="206"/>
      <c r="E743" s="207"/>
      <c r="F743" s="207"/>
      <c r="G743" s="207"/>
      <c r="H743" s="207"/>
      <c r="I743" s="207"/>
      <c r="J743" s="207"/>
      <c r="K743" s="207"/>
      <c r="L743" s="207"/>
      <c r="M743" s="207"/>
      <c r="N743" s="207"/>
      <c r="O743" s="206"/>
    </row>
    <row r="744" spans="1:15" ht="30">
      <c r="A744" s="167" t="str">
        <f ca="1">IFERROR(__xludf.DUMMYFUNCTION("""COMPUTED_VALUE"""),"82DH0515010014000649767")</f>
        <v>82DH0515010014000649767</v>
      </c>
      <c r="B744" s="167" t="str">
        <f ca="1">IFERROR(__xludf.DUMMYFUNCTION("""COMPUTED_VALUE"""),"BUENO")</f>
        <v>BUENO</v>
      </c>
      <c r="C744" s="206"/>
      <c r="D744" s="206"/>
      <c r="E744" s="207"/>
      <c r="F744" s="207"/>
      <c r="G744" s="207"/>
      <c r="H744" s="207"/>
      <c r="I744" s="207"/>
      <c r="J744" s="207"/>
      <c r="K744" s="207"/>
      <c r="L744" s="207"/>
      <c r="M744" s="207"/>
      <c r="N744" s="207"/>
      <c r="O744" s="206"/>
    </row>
    <row r="745" spans="1:15" ht="30">
      <c r="A745" s="167" t="str">
        <f ca="1">IFERROR(__xludf.DUMMYFUNCTION("""COMPUTED_VALUE"""),"82DH0511010010000649777")</f>
        <v>82DH0511010010000649777</v>
      </c>
      <c r="B745" s="167" t="str">
        <f ca="1">IFERROR(__xludf.DUMMYFUNCTION("""COMPUTED_VALUE"""),"BUENO")</f>
        <v>BUENO</v>
      </c>
      <c r="C745" s="206"/>
      <c r="D745" s="206"/>
      <c r="E745" s="207"/>
      <c r="F745" s="207"/>
      <c r="G745" s="207"/>
      <c r="H745" s="207"/>
      <c r="I745" s="207"/>
      <c r="J745" s="207"/>
      <c r="K745" s="207"/>
      <c r="L745" s="207"/>
      <c r="M745" s="207"/>
      <c r="N745" s="207"/>
      <c r="O745" s="206"/>
    </row>
    <row r="746" spans="1:15" ht="30">
      <c r="A746" s="167" t="str">
        <f ca="1">IFERROR(__xludf.DUMMYFUNCTION("""COMPUTED_VALUE"""),"82HJ0511010017000564588")</f>
        <v>82HJ0511010017000564588</v>
      </c>
      <c r="B746" s="167" t="str">
        <f ca="1">IFERROR(__xludf.DUMMYFUNCTION("""COMPUTED_VALUE"""),"BUENO")</f>
        <v>BUENO</v>
      </c>
      <c r="C746" s="206"/>
      <c r="D746" s="206"/>
      <c r="E746" s="207"/>
      <c r="F746" s="207"/>
      <c r="G746" s="207"/>
      <c r="H746" s="207"/>
      <c r="I746" s="207"/>
      <c r="J746" s="207"/>
      <c r="K746" s="207"/>
      <c r="L746" s="207"/>
      <c r="M746" s="207"/>
      <c r="N746" s="207"/>
      <c r="O746" s="206"/>
    </row>
    <row r="747" spans="1:15" ht="30">
      <c r="A747" s="167" t="str">
        <f ca="1">IFERROR(__xludf.DUMMYFUNCTION("""COMPUTED_VALUE"""),"82DH0511010001000579099")</f>
        <v>82DH0511010001000579099</v>
      </c>
      <c r="B747" s="167" t="str">
        <f ca="1">IFERROR(__xludf.DUMMYFUNCTION("""COMPUTED_VALUE"""),"BUENO")</f>
        <v>BUENO</v>
      </c>
      <c r="C747" s="206"/>
      <c r="D747" s="206"/>
      <c r="E747" s="207"/>
      <c r="F747" s="207"/>
      <c r="G747" s="207"/>
      <c r="H747" s="207"/>
      <c r="I747" s="207"/>
      <c r="J747" s="207"/>
      <c r="K747" s="207"/>
      <c r="L747" s="207"/>
      <c r="M747" s="207"/>
      <c r="N747" s="207"/>
      <c r="O747" s="206"/>
    </row>
    <row r="748" spans="1:15" ht="30">
      <c r="A748" s="167" t="str">
        <f ca="1">IFERROR(__xludf.DUMMYFUNCTION("""COMPUTED_VALUE"""),"82DH0511010016000515589")</f>
        <v>82DH0511010016000515589</v>
      </c>
      <c r="B748" s="167" t="str">
        <f ca="1">IFERROR(__xludf.DUMMYFUNCTION("""COMPUTED_VALUE"""),"BUENO")</f>
        <v>BUENO</v>
      </c>
      <c r="C748" s="206"/>
      <c r="D748" s="206"/>
      <c r="E748" s="207"/>
      <c r="F748" s="207"/>
      <c r="G748" s="207"/>
      <c r="H748" s="207"/>
      <c r="I748" s="207"/>
      <c r="J748" s="207"/>
      <c r="K748" s="207"/>
      <c r="L748" s="207"/>
      <c r="M748" s="207"/>
      <c r="N748" s="207"/>
      <c r="O748" s="206"/>
    </row>
    <row r="749" spans="1:15" ht="30">
      <c r="A749" s="167" t="str">
        <f ca="1">IFERROR(__xludf.DUMMYFUNCTION("""COMPUTED_VALUE"""),"82DH0511010016000515613")</f>
        <v>82DH0511010016000515613</v>
      </c>
      <c r="B749" s="167" t="str">
        <f ca="1">IFERROR(__xludf.DUMMYFUNCTION("""COMPUTED_VALUE"""),"BUENO")</f>
        <v>BUENO</v>
      </c>
      <c r="C749" s="206"/>
      <c r="D749" s="206"/>
      <c r="E749" s="207"/>
      <c r="F749" s="207"/>
      <c r="G749" s="207"/>
      <c r="H749" s="207"/>
      <c r="I749" s="207"/>
      <c r="J749" s="207"/>
      <c r="K749" s="207"/>
      <c r="L749" s="207"/>
      <c r="M749" s="207"/>
      <c r="N749" s="207"/>
      <c r="O749" s="206"/>
    </row>
    <row r="750" spans="1:15" ht="30">
      <c r="A750" s="167" t="str">
        <f ca="1">IFERROR(__xludf.DUMMYFUNCTION("""COMPUTED_VALUE"""),"82DH0531010065000564772")</f>
        <v>82DH0531010065000564772</v>
      </c>
      <c r="B750" s="167" t="str">
        <f ca="1">IFERROR(__xludf.DUMMYFUNCTION("""COMPUTED_VALUE"""),"BUENO")</f>
        <v>BUENO</v>
      </c>
      <c r="C750" s="206"/>
      <c r="D750" s="206"/>
      <c r="E750" s="207"/>
      <c r="F750" s="207"/>
      <c r="G750" s="207"/>
      <c r="H750" s="207"/>
      <c r="I750" s="207"/>
      <c r="J750" s="207"/>
      <c r="K750" s="207"/>
      <c r="L750" s="207"/>
      <c r="M750" s="207"/>
      <c r="N750" s="207"/>
      <c r="O750" s="206"/>
    </row>
    <row r="751" spans="1:15" ht="30">
      <c r="A751" s="167" t="str">
        <f ca="1">IFERROR(__xludf.DUMMYFUNCTION("""COMPUTED_VALUE"""),"SIN RESGUARDO")</f>
        <v>SIN RESGUARDO</v>
      </c>
      <c r="B751" s="167" t="str">
        <f ca="1">IFERROR(__xludf.DUMMYFUNCTION("""COMPUTED_VALUE"""),"BUENO")</f>
        <v>BUENO</v>
      </c>
      <c r="C751" s="206"/>
      <c r="D751" s="206"/>
      <c r="E751" s="207"/>
      <c r="F751" s="207"/>
      <c r="G751" s="207"/>
      <c r="H751" s="207"/>
      <c r="I751" s="207"/>
      <c r="J751" s="207"/>
      <c r="K751" s="207"/>
      <c r="L751" s="207"/>
      <c r="M751" s="207"/>
      <c r="N751" s="207"/>
      <c r="O751" s="206"/>
    </row>
    <row r="752" spans="1:15" ht="30">
      <c r="A752" s="167" t="str">
        <f ca="1">IFERROR(__xludf.DUMMYFUNCTION("""COMPUTED_VALUE"""),"82DH0511010006000583484")</f>
        <v>82DH0511010006000583484</v>
      </c>
      <c r="B752" s="167" t="str">
        <f ca="1">IFERROR(__xludf.DUMMYFUNCTION("""COMPUTED_VALUE"""),"BUENO")</f>
        <v>BUENO</v>
      </c>
      <c r="C752" s="206"/>
      <c r="D752" s="206"/>
      <c r="E752" s="207"/>
      <c r="F752" s="207"/>
      <c r="G752" s="207"/>
      <c r="H752" s="207"/>
      <c r="I752" s="207"/>
      <c r="J752" s="207"/>
      <c r="K752" s="207"/>
      <c r="L752" s="207"/>
      <c r="M752" s="207"/>
      <c r="N752" s="207"/>
      <c r="O752" s="206"/>
    </row>
    <row r="753" spans="1:15" ht="30">
      <c r="A753" s="167" t="str">
        <f ca="1">IFERROR(__xludf.DUMMYFUNCTION("""COMPUTED_VALUE"""),"82DH0511010006000583683")</f>
        <v>82DH0511010006000583683</v>
      </c>
      <c r="B753" s="167" t="str">
        <f ca="1">IFERROR(__xludf.DUMMYFUNCTION("""COMPUTED_VALUE"""),"BUENO")</f>
        <v>BUENO</v>
      </c>
      <c r="C753" s="206"/>
      <c r="D753" s="206"/>
      <c r="E753" s="207"/>
      <c r="F753" s="207"/>
      <c r="G753" s="207"/>
      <c r="H753" s="207"/>
      <c r="I753" s="207"/>
      <c r="J753" s="207"/>
      <c r="K753" s="207"/>
      <c r="L753" s="207"/>
      <c r="M753" s="207"/>
      <c r="N753" s="207"/>
      <c r="O753" s="206"/>
    </row>
    <row r="754" spans="1:15" ht="30">
      <c r="A754" s="167" t="str">
        <f ca="1">IFERROR(__xludf.DUMMYFUNCTION("""COMPUTED_VALUE"""),"82DH0565010001000649766")</f>
        <v>82DH0565010001000649766</v>
      </c>
      <c r="B754" s="167" t="str">
        <f ca="1">IFERROR(__xludf.DUMMYFUNCTION("""COMPUTED_VALUE"""),"BUENO")</f>
        <v>BUENO</v>
      </c>
      <c r="C754" s="206"/>
      <c r="D754" s="206"/>
      <c r="E754" s="207"/>
      <c r="F754" s="207"/>
      <c r="G754" s="207"/>
      <c r="H754" s="207"/>
      <c r="I754" s="207"/>
      <c r="J754" s="207"/>
      <c r="K754" s="207"/>
      <c r="L754" s="207"/>
      <c r="M754" s="207"/>
      <c r="N754" s="207"/>
      <c r="O754" s="206"/>
    </row>
    <row r="755" spans="1:15" ht="30">
      <c r="A755" s="167" t="str">
        <f ca="1">IFERROR(__xludf.DUMMYFUNCTION("""COMPUTED_VALUE"""),"82DH0512010025000649410")</f>
        <v>82DH0512010025000649410</v>
      </c>
      <c r="B755" s="167" t="str">
        <f ca="1">IFERROR(__xludf.DUMMYFUNCTION("""COMPUTED_VALUE"""),"BUENO")</f>
        <v>BUENO</v>
      </c>
      <c r="C755" s="206"/>
      <c r="D755" s="206"/>
      <c r="E755" s="207"/>
      <c r="F755" s="207"/>
      <c r="G755" s="207"/>
      <c r="H755" s="207"/>
      <c r="I755" s="207"/>
      <c r="J755" s="207"/>
      <c r="K755" s="207"/>
      <c r="L755" s="207"/>
      <c r="M755" s="207"/>
      <c r="N755" s="207"/>
      <c r="O755" s="206"/>
    </row>
    <row r="756" spans="1:15" ht="30">
      <c r="A756" s="167" t="str">
        <f ca="1">IFERROR(__xludf.DUMMYFUNCTION("""COMPUTED_VALUE"""),"82DH0515010003000649376")</f>
        <v>82DH0515010003000649376</v>
      </c>
      <c r="B756" s="167" t="str">
        <f ca="1">IFERROR(__xludf.DUMMYFUNCTION("""COMPUTED_VALUE"""),"BUENO")</f>
        <v>BUENO</v>
      </c>
      <c r="C756" s="206"/>
      <c r="D756" s="206"/>
      <c r="E756" s="207"/>
      <c r="F756" s="207"/>
      <c r="G756" s="207"/>
      <c r="H756" s="207"/>
      <c r="I756" s="207"/>
      <c r="J756" s="207"/>
      <c r="K756" s="207"/>
      <c r="L756" s="207"/>
      <c r="M756" s="207"/>
      <c r="N756" s="207"/>
      <c r="O756" s="206"/>
    </row>
    <row r="757" spans="1:15" ht="30">
      <c r="A757" s="167" t="str">
        <f ca="1">IFERROR(__xludf.DUMMYFUNCTION("""COMPUTED_VALUE"""),"82DH0515010006000649399")</f>
        <v>82DH0515010006000649399</v>
      </c>
      <c r="B757" s="167" t="str">
        <f ca="1">IFERROR(__xludf.DUMMYFUNCTION("""COMPUTED_VALUE"""),"BUENO")</f>
        <v>BUENO</v>
      </c>
      <c r="C757" s="206"/>
      <c r="D757" s="206"/>
      <c r="E757" s="207"/>
      <c r="F757" s="207"/>
      <c r="G757" s="207"/>
      <c r="H757" s="207"/>
      <c r="I757" s="207"/>
      <c r="J757" s="207"/>
      <c r="K757" s="207"/>
      <c r="L757" s="207"/>
      <c r="M757" s="207"/>
      <c r="N757" s="207"/>
      <c r="O757" s="206"/>
    </row>
    <row r="758" spans="1:15" ht="30">
      <c r="A758" s="167" t="str">
        <f ca="1">IFERROR(__xludf.DUMMYFUNCTION("""COMPUTED_VALUE"""),"82DH0515010016000649415")</f>
        <v>82DH0515010016000649415</v>
      </c>
      <c r="B758" s="167" t="str">
        <f ca="1">IFERROR(__xludf.DUMMYFUNCTION("""COMPUTED_VALUE"""),"BUENO")</f>
        <v>BUENO</v>
      </c>
      <c r="C758" s="206"/>
      <c r="D758" s="206"/>
      <c r="E758" s="207"/>
      <c r="F758" s="207"/>
      <c r="G758" s="207"/>
      <c r="H758" s="207"/>
      <c r="I758" s="207"/>
      <c r="J758" s="207"/>
      <c r="K758" s="207"/>
      <c r="L758" s="207"/>
      <c r="M758" s="207"/>
      <c r="N758" s="207"/>
      <c r="O758" s="206"/>
    </row>
    <row r="759" spans="1:15" ht="30">
      <c r="A759" s="167" t="str">
        <f ca="1">IFERROR(__xludf.DUMMYFUNCTION("""COMPUTED_VALUE"""),"82DH0511010016000515590")</f>
        <v>82DH0511010016000515590</v>
      </c>
      <c r="B759" s="167" t="str">
        <f ca="1">IFERROR(__xludf.DUMMYFUNCTION("""COMPUTED_VALUE"""),"MAL ESTADO")</f>
        <v>MAL ESTADO</v>
      </c>
      <c r="C759" s="206"/>
      <c r="D759" s="206"/>
      <c r="E759" s="207"/>
      <c r="F759" s="207"/>
      <c r="G759" s="207"/>
      <c r="H759" s="207"/>
      <c r="I759" s="207"/>
      <c r="J759" s="207"/>
      <c r="K759" s="207"/>
      <c r="L759" s="207"/>
      <c r="M759" s="207"/>
      <c r="N759" s="207"/>
      <c r="O759" s="206"/>
    </row>
    <row r="760" spans="1:15" ht="30">
      <c r="A760" s="167" t="str">
        <f ca="1">IFERROR(__xludf.DUMMYFUNCTION("""COMPUTED_VALUE"""),"82DH0531010065000564754")</f>
        <v>82DH0531010065000564754</v>
      </c>
      <c r="B760" s="167" t="str">
        <f ca="1">IFERROR(__xludf.DUMMYFUNCTION("""COMPUTED_VALUE"""),"BUENO")</f>
        <v>BUENO</v>
      </c>
      <c r="C760" s="206"/>
      <c r="D760" s="206"/>
      <c r="E760" s="207"/>
      <c r="F760" s="207"/>
      <c r="G760" s="207"/>
      <c r="H760" s="207"/>
      <c r="I760" s="207"/>
      <c r="J760" s="207"/>
      <c r="K760" s="207"/>
      <c r="L760" s="207"/>
      <c r="M760" s="207"/>
      <c r="N760" s="207"/>
      <c r="O760" s="206"/>
    </row>
    <row r="761" spans="1:15" ht="30">
      <c r="A761" s="167" t="str">
        <f ca="1">IFERROR(__xludf.DUMMYFUNCTION("""COMPUTED_VALUE"""),"82DH0511010015000515554")</f>
        <v>82DH0511010015000515554</v>
      </c>
      <c r="B761" s="167" t="str">
        <f ca="1">IFERROR(__xludf.DUMMYFUNCTION("""COMPUTED_VALUE"""),"BUENO")</f>
        <v>BUENO</v>
      </c>
      <c r="C761" s="206"/>
      <c r="D761" s="206"/>
      <c r="E761" s="207"/>
      <c r="F761" s="207"/>
      <c r="G761" s="207"/>
      <c r="H761" s="207"/>
      <c r="I761" s="207"/>
      <c r="J761" s="207"/>
      <c r="K761" s="207"/>
      <c r="L761" s="207"/>
      <c r="M761" s="207"/>
      <c r="N761" s="207"/>
      <c r="O761" s="206"/>
    </row>
    <row r="762" spans="1:15" ht="30">
      <c r="A762" s="167" t="str">
        <f ca="1">IFERROR(__xludf.DUMMYFUNCTION("""COMPUTED_VALUE"""),"82DH0511010015000518531")</f>
        <v>82DH0511010015000518531</v>
      </c>
      <c r="B762" s="167" t="str">
        <f ca="1">IFERROR(__xludf.DUMMYFUNCTION("""COMPUTED_VALUE"""),"BUENO")</f>
        <v>BUENO</v>
      </c>
      <c r="C762" s="206"/>
      <c r="D762" s="206"/>
      <c r="E762" s="207"/>
      <c r="F762" s="207"/>
      <c r="G762" s="207"/>
      <c r="H762" s="207"/>
      <c r="I762" s="207"/>
      <c r="J762" s="207"/>
      <c r="K762" s="207"/>
      <c r="L762" s="207"/>
      <c r="M762" s="207"/>
      <c r="N762" s="207"/>
      <c r="O762" s="206"/>
    </row>
    <row r="763" spans="1:15" ht="30">
      <c r="A763" s="167" t="str">
        <f ca="1">IFERROR(__xludf.DUMMYFUNCTION("""COMPUTED_VALUE"""),"82DH0511010016000564683")</f>
        <v>82DH0511010016000564683</v>
      </c>
      <c r="B763" s="167" t="str">
        <f ca="1">IFERROR(__xludf.DUMMYFUNCTION("""COMPUTED_VALUE"""),"BUENO")</f>
        <v>BUENO</v>
      </c>
      <c r="C763" s="206"/>
      <c r="D763" s="206"/>
      <c r="E763" s="207"/>
      <c r="F763" s="207"/>
      <c r="G763" s="207"/>
      <c r="H763" s="207"/>
      <c r="I763" s="207"/>
      <c r="J763" s="207"/>
      <c r="K763" s="207"/>
      <c r="L763" s="207"/>
      <c r="M763" s="207"/>
      <c r="N763" s="207"/>
      <c r="O763" s="206"/>
    </row>
    <row r="764" spans="1:15" ht="30">
      <c r="A764" s="167" t="str">
        <f ca="1">IFERROR(__xludf.DUMMYFUNCTION("""COMPUTED_VALUE"""),"82DH0511010016000649778")</f>
        <v>82DH0511010016000649778</v>
      </c>
      <c r="B764" s="167" t="str">
        <f ca="1">IFERROR(__xludf.DUMMYFUNCTION("""COMPUTED_VALUE"""),"BUENO")</f>
        <v>BUENO</v>
      </c>
      <c r="C764" s="206"/>
      <c r="D764" s="206"/>
      <c r="E764" s="207"/>
      <c r="F764" s="207"/>
      <c r="G764" s="207"/>
      <c r="H764" s="207"/>
      <c r="I764" s="207"/>
      <c r="J764" s="207"/>
      <c r="K764" s="207"/>
      <c r="L764" s="207"/>
      <c r="M764" s="207"/>
      <c r="N764" s="207"/>
      <c r="O764" s="206"/>
    </row>
    <row r="765" spans="1:15" ht="30">
      <c r="A765" s="167" t="str">
        <f ca="1">IFERROR(__xludf.DUMMYFUNCTION("""COMPUTED_VALUE"""),"82DH0511010015000518498")</f>
        <v>82DH0511010015000518498</v>
      </c>
      <c r="B765" s="167" t="str">
        <f ca="1">IFERROR(__xludf.DUMMYFUNCTION("""COMPUTED_VALUE"""),"BUENO")</f>
        <v>BUENO</v>
      </c>
      <c r="C765" s="206"/>
      <c r="D765" s="206"/>
      <c r="E765" s="207"/>
      <c r="F765" s="207"/>
      <c r="G765" s="207"/>
      <c r="H765" s="207"/>
      <c r="I765" s="207"/>
      <c r="J765" s="207"/>
      <c r="K765" s="207"/>
      <c r="L765" s="207"/>
      <c r="M765" s="207"/>
      <c r="N765" s="207"/>
      <c r="O765" s="206"/>
    </row>
    <row r="766" spans="1:15" ht="30">
      <c r="A766" s="167" t="str">
        <f ca="1">IFERROR(__xludf.DUMMYFUNCTION("""COMPUTED_VALUE"""),"82DH0519010043000649746")</f>
        <v>82DH0519010043000649746</v>
      </c>
      <c r="B766" s="167" t="str">
        <f ca="1">IFERROR(__xludf.DUMMYFUNCTION("""COMPUTED_VALUE"""),"MALO")</f>
        <v>MALO</v>
      </c>
      <c r="C766" s="206"/>
      <c r="D766" s="206"/>
      <c r="E766" s="207"/>
      <c r="F766" s="207"/>
      <c r="G766" s="207"/>
      <c r="H766" s="207"/>
      <c r="I766" s="207"/>
      <c r="J766" s="207"/>
      <c r="K766" s="207"/>
      <c r="L766" s="207"/>
      <c r="M766" s="207"/>
      <c r="N766" s="207"/>
      <c r="O766" s="206"/>
    </row>
    <row r="767" spans="1:15" ht="30">
      <c r="A767" s="167" t="str">
        <f ca="1">IFERROR(__xludf.DUMMYFUNCTION("""COMPUTED_VALUE"""),"82DH0531010065000564862")</f>
        <v>82DH0531010065000564862</v>
      </c>
      <c r="B767" s="167" t="str">
        <f ca="1">IFERROR(__xludf.DUMMYFUNCTION("""COMPUTED_VALUE"""),"BUENO")</f>
        <v>BUENO</v>
      </c>
      <c r="C767" s="206"/>
      <c r="D767" s="206"/>
      <c r="E767" s="207"/>
      <c r="F767" s="207"/>
      <c r="G767" s="207"/>
      <c r="H767" s="207"/>
      <c r="I767" s="207"/>
      <c r="J767" s="207"/>
      <c r="K767" s="207"/>
      <c r="L767" s="207"/>
      <c r="M767" s="207"/>
      <c r="N767" s="207"/>
      <c r="O767" s="206"/>
    </row>
    <row r="768" spans="1:15" ht="30">
      <c r="A768" s="167" t="str">
        <f ca="1">IFERROR(__xludf.DUMMYFUNCTION("""COMPUTED_VALUE"""),"82DH0511010001000570571")</f>
        <v>82DH0511010001000570571</v>
      </c>
      <c r="B768" s="167" t="str">
        <f ca="1">IFERROR(__xludf.DUMMYFUNCTION("""COMPUTED_VALUE"""),"UBICAR")</f>
        <v>UBICAR</v>
      </c>
      <c r="C768" s="206"/>
      <c r="D768" s="206"/>
      <c r="E768" s="207"/>
      <c r="F768" s="207"/>
      <c r="G768" s="207"/>
      <c r="H768" s="207"/>
      <c r="I768" s="207"/>
      <c r="J768" s="207"/>
      <c r="K768" s="207"/>
      <c r="L768" s="207"/>
      <c r="M768" s="207"/>
      <c r="N768" s="207"/>
      <c r="O768" s="206"/>
    </row>
    <row r="769" spans="1:15" ht="30">
      <c r="A769" s="167" t="str">
        <f ca="1">IFERROR(__xludf.DUMMYFUNCTION("""COMPUTED_VALUE"""),"SIN RESGUARDO")</f>
        <v>SIN RESGUARDO</v>
      </c>
      <c r="B769" s="167" t="str">
        <f ca="1">IFERROR(__xludf.DUMMYFUNCTION("""COMPUTED_VALUE"""),"BUENO")</f>
        <v>BUENO</v>
      </c>
      <c r="C769" s="206"/>
      <c r="D769" s="206"/>
      <c r="E769" s="207"/>
      <c r="F769" s="207"/>
      <c r="G769" s="207"/>
      <c r="H769" s="207"/>
      <c r="I769" s="207"/>
      <c r="J769" s="207"/>
      <c r="K769" s="207"/>
      <c r="L769" s="207"/>
      <c r="M769" s="207"/>
      <c r="N769" s="207"/>
      <c r="O769" s="206"/>
    </row>
    <row r="770" spans="1:15" ht="30">
      <c r="A770" s="167" t="str">
        <f ca="1">IFERROR(__xludf.DUMMYFUNCTION("""COMPUTED_VALUE"""),"SIN RESGUARDO")</f>
        <v>SIN RESGUARDO</v>
      </c>
      <c r="B770" s="167" t="str">
        <f ca="1">IFERROR(__xludf.DUMMYFUNCTION("""COMPUTED_VALUE"""),"BUENO")</f>
        <v>BUENO</v>
      </c>
      <c r="C770" s="206"/>
      <c r="D770" s="206"/>
      <c r="E770" s="207"/>
      <c r="F770" s="207"/>
      <c r="G770" s="207"/>
      <c r="H770" s="207"/>
      <c r="I770" s="207"/>
      <c r="J770" s="207"/>
      <c r="K770" s="207"/>
      <c r="L770" s="207"/>
      <c r="M770" s="207"/>
      <c r="N770" s="207"/>
      <c r="O770" s="206"/>
    </row>
    <row r="771" spans="1:15" ht="30">
      <c r="A771" s="167" t="str">
        <f ca="1">IFERROR(__xludf.DUMMYFUNCTION("""COMPUTED_VALUE"""),"82DH0511010017000516331")</f>
        <v>82DH0511010017000516331</v>
      </c>
      <c r="B771" s="167" t="str">
        <f ca="1">IFERROR(__xludf.DUMMYFUNCTION("""COMPUTED_VALUE"""),"BUENO")</f>
        <v>BUENO</v>
      </c>
      <c r="C771" s="206"/>
      <c r="D771" s="206"/>
      <c r="E771" s="207"/>
      <c r="F771" s="207"/>
      <c r="G771" s="207"/>
      <c r="H771" s="207"/>
      <c r="I771" s="207"/>
      <c r="J771" s="207"/>
      <c r="K771" s="207"/>
      <c r="L771" s="207"/>
      <c r="M771" s="207"/>
      <c r="N771" s="207"/>
      <c r="O771" s="206"/>
    </row>
    <row r="772" spans="1:15" ht="30">
      <c r="A772" s="167" t="str">
        <f ca="1">IFERROR(__xludf.DUMMYFUNCTION("""COMPUTED_VALUE"""),"82DH0531010065000564766")</f>
        <v>82DH0531010065000564766</v>
      </c>
      <c r="B772" s="167" t="str">
        <f ca="1">IFERROR(__xludf.DUMMYFUNCTION("""COMPUTED_VALUE"""),"BUENO")</f>
        <v>BUENO</v>
      </c>
      <c r="C772" s="206"/>
      <c r="D772" s="206"/>
      <c r="E772" s="207"/>
      <c r="F772" s="207"/>
      <c r="G772" s="207"/>
      <c r="H772" s="207"/>
      <c r="I772" s="207"/>
      <c r="J772" s="207"/>
      <c r="K772" s="207"/>
      <c r="L772" s="207"/>
      <c r="M772" s="207"/>
      <c r="N772" s="207"/>
      <c r="O772" s="206"/>
    </row>
    <row r="773" spans="1:15" ht="30">
      <c r="A773" s="167" t="str">
        <f ca="1">IFERROR(__xludf.DUMMYFUNCTION("""COMPUTED_VALUE"""),"82DL0531010065000564762")</f>
        <v>82DL0531010065000564762</v>
      </c>
      <c r="B773" s="167" t="str">
        <f ca="1">IFERROR(__xludf.DUMMYFUNCTION("""COMPUTED_VALUE"""),"BUENO")</f>
        <v>BUENO</v>
      </c>
      <c r="C773" s="206"/>
      <c r="D773" s="206"/>
      <c r="E773" s="207"/>
      <c r="F773" s="207"/>
      <c r="G773" s="207"/>
      <c r="H773" s="207"/>
      <c r="I773" s="207"/>
      <c r="J773" s="207"/>
      <c r="K773" s="207"/>
      <c r="L773" s="207"/>
      <c r="M773" s="207"/>
      <c r="N773" s="207"/>
      <c r="O773" s="206"/>
    </row>
    <row r="774" spans="1:15" ht="30">
      <c r="A774" s="167" t="str">
        <f ca="1">IFERROR(__xludf.DUMMYFUNCTION("""COMPUTED_VALUE"""),"82DL0511010005000649773")</f>
        <v>82DL0511010005000649773</v>
      </c>
      <c r="B774" s="167" t="str">
        <f ca="1">IFERROR(__xludf.DUMMYFUNCTION("""COMPUTED_VALUE"""),"BUENO")</f>
        <v>BUENO</v>
      </c>
      <c r="C774" s="206"/>
      <c r="D774" s="206"/>
      <c r="E774" s="207"/>
      <c r="F774" s="207"/>
      <c r="G774" s="207"/>
      <c r="H774" s="207"/>
      <c r="I774" s="207"/>
      <c r="J774" s="207"/>
      <c r="K774" s="207"/>
      <c r="L774" s="207"/>
      <c r="M774" s="207"/>
      <c r="N774" s="207"/>
      <c r="O774" s="206"/>
    </row>
    <row r="775" spans="1:15" ht="30">
      <c r="A775" s="167" t="str">
        <f ca="1">IFERROR(__xludf.DUMMYFUNCTION("""COMPUTED_VALUE"""),"82DL0565010001000538212")</f>
        <v>82DL0565010001000538212</v>
      </c>
      <c r="B775" s="167" t="str">
        <f ca="1">IFERROR(__xludf.DUMMYFUNCTION("""COMPUTED_VALUE"""),"BUENO")</f>
        <v>BUENO</v>
      </c>
      <c r="C775" s="206"/>
      <c r="D775" s="206"/>
      <c r="E775" s="207"/>
      <c r="F775" s="207"/>
      <c r="G775" s="207"/>
      <c r="H775" s="207"/>
      <c r="I775" s="207"/>
      <c r="J775" s="207"/>
      <c r="K775" s="207"/>
      <c r="L775" s="207"/>
      <c r="M775" s="207"/>
      <c r="N775" s="207"/>
      <c r="O775" s="206"/>
    </row>
    <row r="776" spans="1:15" ht="30">
      <c r="A776" s="167" t="str">
        <f ca="1">IFERROR(__xludf.DUMMYFUNCTION("""COMPUTED_VALUE"""),"82DL0515010016000649413")</f>
        <v>82DL0515010016000649413</v>
      </c>
      <c r="B776" s="167" t="str">
        <f ca="1">IFERROR(__xludf.DUMMYFUNCTION("""COMPUTED_VALUE"""),"BUENO")</f>
        <v>BUENO</v>
      </c>
      <c r="C776" s="206"/>
      <c r="D776" s="206"/>
      <c r="E776" s="207"/>
      <c r="F776" s="207"/>
      <c r="G776" s="207"/>
      <c r="H776" s="207"/>
      <c r="I776" s="207"/>
      <c r="J776" s="207"/>
      <c r="K776" s="207"/>
      <c r="L776" s="207"/>
      <c r="M776" s="207"/>
      <c r="N776" s="207"/>
      <c r="O776" s="206"/>
    </row>
    <row r="777" spans="1:15" ht="30">
      <c r="A777" s="167" t="str">
        <f ca="1">IFERROR(__xludf.DUMMYFUNCTION("""COMPUTED_VALUE"""),"82DL0515010020000649772")</f>
        <v>82DL0515010020000649772</v>
      </c>
      <c r="B777" s="167" t="str">
        <f ca="1">IFERROR(__xludf.DUMMYFUNCTION("""COMPUTED_VALUE"""),"MALO")</f>
        <v>MALO</v>
      </c>
      <c r="C777" s="206"/>
      <c r="D777" s="206"/>
      <c r="E777" s="207"/>
      <c r="F777" s="207"/>
      <c r="G777" s="207"/>
      <c r="H777" s="207"/>
      <c r="I777" s="207"/>
      <c r="J777" s="207"/>
      <c r="K777" s="207"/>
      <c r="L777" s="207"/>
      <c r="M777" s="207"/>
      <c r="N777" s="207"/>
      <c r="O777" s="206"/>
    </row>
    <row r="778" spans="1:15" ht="30">
      <c r="A778" s="167" t="str">
        <f ca="1">IFERROR(__xludf.DUMMYFUNCTION("""COMPUTED_VALUE"""),"82DL0511010006000518506")</f>
        <v>82DL0511010006000518506</v>
      </c>
      <c r="B778" s="167" t="str">
        <f ca="1">IFERROR(__xludf.DUMMYFUNCTION("""COMPUTED_VALUE"""),"REGULAR")</f>
        <v>REGULAR</v>
      </c>
      <c r="C778" s="206"/>
      <c r="D778" s="206"/>
      <c r="E778" s="207"/>
      <c r="F778" s="207"/>
      <c r="G778" s="207"/>
      <c r="H778" s="207"/>
      <c r="I778" s="207"/>
      <c r="J778" s="207"/>
      <c r="K778" s="207"/>
      <c r="L778" s="207"/>
      <c r="M778" s="207"/>
      <c r="N778" s="207"/>
      <c r="O778" s="206"/>
    </row>
    <row r="779" spans="1:15" ht="30">
      <c r="A779" s="167" t="str">
        <f ca="1">IFERROR(__xludf.DUMMYFUNCTION("""COMPUTED_VALUE"""),"82DL0511010017000516185")</f>
        <v>82DL0511010017000516185</v>
      </c>
      <c r="B779" s="167" t="str">
        <f ca="1">IFERROR(__xludf.DUMMYFUNCTION("""COMPUTED_VALUE"""),"REGULAR")</f>
        <v>REGULAR</v>
      </c>
      <c r="C779" s="206"/>
      <c r="D779" s="206"/>
      <c r="E779" s="207"/>
      <c r="F779" s="207"/>
      <c r="G779" s="207"/>
      <c r="H779" s="207"/>
      <c r="I779" s="207"/>
      <c r="J779" s="207"/>
      <c r="K779" s="207"/>
      <c r="L779" s="207"/>
      <c r="M779" s="207"/>
      <c r="N779" s="207"/>
      <c r="O779" s="206"/>
    </row>
    <row r="780" spans="1:15" ht="30">
      <c r="A780" s="167" t="str">
        <f ca="1">IFERROR(__xludf.DUMMYFUNCTION("""COMPUTED_VALUE"""),"SIN RESGUARDO")</f>
        <v>SIN RESGUARDO</v>
      </c>
      <c r="B780" s="167" t="str">
        <f ca="1">IFERROR(__xludf.DUMMYFUNCTION("""COMPUTED_VALUE"""),"REGULAR")</f>
        <v>REGULAR</v>
      </c>
      <c r="C780" s="206"/>
      <c r="D780" s="206"/>
      <c r="E780" s="207"/>
      <c r="F780" s="207"/>
      <c r="G780" s="207"/>
      <c r="H780" s="207"/>
      <c r="I780" s="207"/>
      <c r="J780" s="207"/>
      <c r="K780" s="207"/>
      <c r="L780" s="207"/>
      <c r="M780" s="207"/>
      <c r="N780" s="207"/>
      <c r="O780" s="206"/>
    </row>
    <row r="781" spans="1:15" ht="30">
      <c r="A781" s="167" t="str">
        <f ca="1">IFERROR(__xludf.DUMMYFUNCTION("""COMPUTED_VALUE"""),"82DJH05101000000570571")</f>
        <v>82DJH05101000000570571</v>
      </c>
      <c r="B781" s="167" t="str">
        <f ca="1">IFERROR(__xludf.DUMMYFUNCTION("""COMPUTED_VALUE"""),"BUENO")</f>
        <v>BUENO</v>
      </c>
      <c r="C781" s="206"/>
      <c r="D781" s="206"/>
      <c r="E781" s="207"/>
      <c r="F781" s="207"/>
      <c r="G781" s="207"/>
      <c r="H781" s="207"/>
      <c r="I781" s="207"/>
      <c r="J781" s="207"/>
      <c r="K781" s="207"/>
      <c r="L781" s="207"/>
      <c r="M781" s="207"/>
      <c r="N781" s="207"/>
      <c r="O781" s="206"/>
    </row>
    <row r="782" spans="1:15" ht="30">
      <c r="A782" s="167" t="str">
        <f ca="1">IFERROR(__xludf.DUMMYFUNCTION("""COMPUTED_VALUE"""),"82DH0531010065000564756")</f>
        <v>82DH0531010065000564756</v>
      </c>
      <c r="B782" s="167" t="str">
        <f ca="1">IFERROR(__xludf.DUMMYFUNCTION("""COMPUTED_VALUE"""),"BUENO")</f>
        <v>BUENO</v>
      </c>
      <c r="C782" s="206"/>
      <c r="D782" s="206"/>
      <c r="E782" s="207"/>
      <c r="F782" s="207"/>
      <c r="G782" s="207"/>
      <c r="H782" s="207"/>
      <c r="I782" s="207"/>
      <c r="J782" s="207"/>
      <c r="K782" s="207"/>
      <c r="L782" s="207"/>
      <c r="M782" s="207"/>
      <c r="N782" s="207"/>
      <c r="O782" s="206"/>
    </row>
    <row r="783" spans="1:15" ht="30">
      <c r="A783" s="167" t="str">
        <f ca="1">IFERROR(__xludf.DUMMYFUNCTION("""COMPUTED_VALUE"""),"82DH0519010043000649781")</f>
        <v>82DH0519010043000649781</v>
      </c>
      <c r="B783" s="167" t="str">
        <f ca="1">IFERROR(__xludf.DUMMYFUNCTION("""COMPUTED_VALUE"""),"BUENO")</f>
        <v>BUENO</v>
      </c>
      <c r="C783" s="206"/>
      <c r="D783" s="206"/>
      <c r="E783" s="207"/>
      <c r="F783" s="207"/>
      <c r="G783" s="207"/>
      <c r="H783" s="207"/>
      <c r="I783" s="207"/>
      <c r="J783" s="207"/>
      <c r="K783" s="207"/>
      <c r="L783" s="207"/>
      <c r="M783" s="207"/>
      <c r="N783" s="207"/>
      <c r="O783" s="206"/>
    </row>
    <row r="784" spans="1:15" ht="30">
      <c r="A784" s="167" t="str">
        <f ca="1">IFERROR(__xludf.DUMMYFUNCTION("""COMPUTED_VALUE"""),"82DH0511010017000649771")</f>
        <v>82DH0511010017000649771</v>
      </c>
      <c r="B784" s="167" t="str">
        <f ca="1">IFERROR(__xludf.DUMMYFUNCTION("""COMPUTED_VALUE"""),"BAJA")</f>
        <v>BAJA</v>
      </c>
      <c r="C784" s="206"/>
      <c r="D784" s="206"/>
      <c r="E784" s="207"/>
      <c r="F784" s="207"/>
      <c r="G784" s="207"/>
      <c r="H784" s="207"/>
      <c r="I784" s="207"/>
      <c r="J784" s="207"/>
      <c r="K784" s="207"/>
      <c r="L784" s="207"/>
      <c r="M784" s="207"/>
      <c r="N784" s="207"/>
      <c r="O784" s="206"/>
    </row>
    <row r="785" spans="1:15" ht="30">
      <c r="A785" s="167" t="str">
        <f ca="1">IFERROR(__xludf.DUMMYFUNCTION("""COMPUTED_VALUE"""),"82DH0511010017000516177")</f>
        <v>82DH0511010017000516177</v>
      </c>
      <c r="B785" s="167" t="str">
        <f ca="1">IFERROR(__xludf.DUMMYFUNCTION("""COMPUTED_VALUE"""),"BUENO")</f>
        <v>BUENO</v>
      </c>
      <c r="C785" s="206"/>
      <c r="D785" s="206"/>
      <c r="E785" s="207"/>
      <c r="F785" s="207"/>
      <c r="G785" s="207"/>
      <c r="H785" s="207"/>
      <c r="I785" s="207"/>
      <c r="J785" s="207"/>
      <c r="K785" s="207"/>
      <c r="L785" s="207"/>
      <c r="M785" s="207"/>
      <c r="N785" s="207"/>
      <c r="O785" s="206"/>
    </row>
    <row r="786" spans="1:15" ht="30">
      <c r="A786" s="167" t="str">
        <f ca="1">IFERROR(__xludf.DUMMYFUNCTION("""COMPUTED_VALUE"""),"82DH0531010065000564828")</f>
        <v>82DH0531010065000564828</v>
      </c>
      <c r="B786" s="167" t="str">
        <f ca="1">IFERROR(__xludf.DUMMYFUNCTION("""COMPUTED_VALUE"""),"BUENO")</f>
        <v>BUENO</v>
      </c>
      <c r="C786" s="206"/>
      <c r="D786" s="206"/>
      <c r="E786" s="207"/>
      <c r="F786" s="207"/>
      <c r="G786" s="207"/>
      <c r="H786" s="207"/>
      <c r="I786" s="207"/>
      <c r="J786" s="207"/>
      <c r="K786" s="207"/>
      <c r="L786" s="207"/>
      <c r="M786" s="207"/>
      <c r="N786" s="207"/>
      <c r="O786" s="206"/>
    </row>
    <row r="787" spans="1:15" ht="30">
      <c r="A787" s="167" t="str">
        <f ca="1">IFERROR(__xludf.DUMMYFUNCTION("""COMPUTED_VALUE"""),"82DH0511010006000649780")</f>
        <v>82DH0511010006000649780</v>
      </c>
      <c r="B787" s="167" t="str">
        <f ca="1">IFERROR(__xludf.DUMMYFUNCTION("""COMPUTED_VALUE"""),"BUENO")</f>
        <v>BUENO</v>
      </c>
      <c r="C787" s="206"/>
      <c r="D787" s="206"/>
      <c r="E787" s="207"/>
      <c r="F787" s="207"/>
      <c r="G787" s="207"/>
      <c r="H787" s="207"/>
      <c r="I787" s="207"/>
      <c r="J787" s="207"/>
      <c r="K787" s="207"/>
      <c r="L787" s="207"/>
      <c r="M787" s="207"/>
      <c r="N787" s="207"/>
      <c r="O787" s="206"/>
    </row>
    <row r="788" spans="1:15" ht="30">
      <c r="A788" s="167" t="str">
        <f ca="1">IFERROR(__xludf.DUMMYFUNCTION("""COMPUTED_VALUE"""),"82DH0515010016000649414")</f>
        <v>82DH0515010016000649414</v>
      </c>
      <c r="B788" s="167" t="str">
        <f ca="1">IFERROR(__xludf.DUMMYFUNCTION("""COMPUTED_VALUE"""),"BUENO")</f>
        <v>BUENO</v>
      </c>
      <c r="C788" s="206"/>
      <c r="D788" s="206"/>
      <c r="E788" s="207"/>
      <c r="F788" s="207"/>
      <c r="G788" s="207"/>
      <c r="H788" s="207"/>
      <c r="I788" s="207"/>
      <c r="J788" s="207"/>
      <c r="K788" s="207"/>
      <c r="L788" s="207"/>
      <c r="M788" s="207"/>
      <c r="N788" s="207"/>
      <c r="O788" s="206"/>
    </row>
    <row r="789" spans="1:15" ht="30">
      <c r="A789" s="167" t="str">
        <f ca="1">IFERROR(__xludf.DUMMYFUNCTION("""COMPUTED_VALUE"""),"82DH0565010041000543575")</f>
        <v>82DH0565010041000543575</v>
      </c>
      <c r="B789" s="167" t="str">
        <f ca="1">IFERROR(__xludf.DUMMYFUNCTION("""COMPUTED_VALUE"""),"BAJA")</f>
        <v>BAJA</v>
      </c>
      <c r="C789" s="206"/>
      <c r="D789" s="206"/>
      <c r="E789" s="207"/>
      <c r="F789" s="207"/>
      <c r="G789" s="207"/>
      <c r="H789" s="207"/>
      <c r="I789" s="207"/>
      <c r="J789" s="207"/>
      <c r="K789" s="207"/>
      <c r="L789" s="207"/>
      <c r="M789" s="207"/>
      <c r="N789" s="207"/>
      <c r="O789" s="206"/>
    </row>
    <row r="790" spans="1:15" ht="30">
      <c r="A790" s="167" t="str">
        <f ca="1">IFERROR(__xludf.DUMMYFUNCTION("""COMPUTED_VALUE"""),"82DH0515010003000649779")</f>
        <v>82DH0515010003000649779</v>
      </c>
      <c r="B790" s="167" t="str">
        <f ca="1">IFERROR(__xludf.DUMMYFUNCTION("""COMPUTED_VALUE"""),"BAJA")</f>
        <v>BAJA</v>
      </c>
      <c r="C790" s="206"/>
      <c r="D790" s="206"/>
      <c r="E790" s="207"/>
      <c r="F790" s="207"/>
      <c r="G790" s="207"/>
      <c r="H790" s="207"/>
      <c r="I790" s="207"/>
      <c r="J790" s="207"/>
      <c r="K790" s="207"/>
      <c r="L790" s="207"/>
      <c r="M790" s="207"/>
      <c r="N790" s="207"/>
      <c r="O790" s="206"/>
    </row>
    <row r="791" spans="1:15" ht="30">
      <c r="A791" s="167" t="str">
        <f ca="1">IFERROR(__xludf.DUMMYFUNCTION("""COMPUTED_VALUE"""),"82DH0511010001000649745")</f>
        <v>82DH0511010001000649745</v>
      </c>
      <c r="B791" s="167" t="str">
        <f ca="1">IFERROR(__xludf.DUMMYFUNCTION("""COMPUTED_VALUE"""),"BUENO")</f>
        <v>BUENO</v>
      </c>
      <c r="C791" s="206"/>
      <c r="D791" s="206"/>
      <c r="E791" s="207"/>
      <c r="F791" s="207"/>
      <c r="G791" s="207"/>
      <c r="H791" s="207"/>
      <c r="I791" s="207"/>
      <c r="J791" s="207"/>
      <c r="K791" s="207"/>
      <c r="L791" s="207"/>
      <c r="M791" s="207"/>
      <c r="N791" s="207"/>
      <c r="O791" s="206"/>
    </row>
    <row r="792" spans="1:15" ht="30">
      <c r="A792" s="167" t="str">
        <f ca="1">IFERROR(__xludf.DUMMYFUNCTION("""COMPUTED_VALUE"""),"82DH0519010043000649357")</f>
        <v>82DH0519010043000649357</v>
      </c>
      <c r="B792" s="167" t="str">
        <f ca="1">IFERROR(__xludf.DUMMYFUNCTION("""COMPUTED_VALUE"""),"BUENO")</f>
        <v>BUENO</v>
      </c>
      <c r="C792" s="206"/>
      <c r="D792" s="206"/>
      <c r="E792" s="207"/>
      <c r="F792" s="207"/>
      <c r="G792" s="207"/>
      <c r="H792" s="207"/>
      <c r="I792" s="207"/>
      <c r="J792" s="207"/>
      <c r="K792" s="207"/>
      <c r="L792" s="207"/>
      <c r="M792" s="207"/>
      <c r="N792" s="207"/>
      <c r="O792" s="206"/>
    </row>
    <row r="793" spans="1:15" ht="30">
      <c r="A793" s="167" t="str">
        <f ca="1">IFERROR(__xludf.DUMMYFUNCTION("""COMPUTED_VALUE"""),"82DH0511010017000649747")</f>
        <v>82DH0511010017000649747</v>
      </c>
      <c r="B793" s="167" t="str">
        <f ca="1">IFERROR(__xludf.DUMMYFUNCTION("""COMPUTED_VALUE"""),"BUENO")</f>
        <v>BUENO</v>
      </c>
      <c r="C793" s="206"/>
      <c r="D793" s="206"/>
      <c r="E793" s="207"/>
      <c r="F793" s="207"/>
      <c r="G793" s="207"/>
      <c r="H793" s="207"/>
      <c r="I793" s="207"/>
      <c r="J793" s="207"/>
      <c r="K793" s="207"/>
      <c r="L793" s="207"/>
      <c r="M793" s="207"/>
      <c r="N793" s="207"/>
      <c r="O793" s="206"/>
    </row>
    <row r="794" spans="1:15" ht="30">
      <c r="A794" s="167" t="str">
        <f ca="1">IFERROR(__xludf.DUMMYFUNCTION("""COMPUTED_VALUE"""),"82DH0511010017000516231")</f>
        <v>82DH0511010017000516231</v>
      </c>
      <c r="B794" s="167" t="str">
        <f ca="1">IFERROR(__xludf.DUMMYFUNCTION("""COMPUTED_VALUE"""),"BUENO")</f>
        <v>BUENO</v>
      </c>
      <c r="C794" s="206"/>
      <c r="D794" s="206"/>
      <c r="E794" s="207"/>
      <c r="F794" s="207"/>
      <c r="G794" s="207"/>
      <c r="H794" s="207"/>
      <c r="I794" s="207"/>
      <c r="J794" s="207"/>
      <c r="K794" s="207"/>
      <c r="L794" s="207"/>
      <c r="M794" s="207"/>
      <c r="N794" s="207"/>
      <c r="O794" s="206"/>
    </row>
    <row r="795" spans="1:15" ht="30">
      <c r="A795" s="167" t="str">
        <f ca="1">IFERROR(__xludf.DUMMYFUNCTION("""COMPUTED_VALUE"""),"82DH0512010014000649751")</f>
        <v>82DH0512010014000649751</v>
      </c>
      <c r="B795" s="167" t="str">
        <f ca="1">IFERROR(__xludf.DUMMYFUNCTION("""COMPUTED_VALUE"""),"MALO")</f>
        <v>MALO</v>
      </c>
      <c r="C795" s="206"/>
      <c r="D795" s="206"/>
      <c r="E795" s="207"/>
      <c r="F795" s="207"/>
      <c r="G795" s="207"/>
      <c r="H795" s="207"/>
      <c r="I795" s="207"/>
      <c r="J795" s="207"/>
      <c r="K795" s="207"/>
      <c r="L795" s="207"/>
      <c r="M795" s="207"/>
      <c r="N795" s="207"/>
      <c r="O795" s="206"/>
    </row>
    <row r="796" spans="1:15" ht="30">
      <c r="A796" s="167" t="str">
        <f ca="1">IFERROR(__xludf.DUMMYFUNCTION("""COMPUTED_VALUE"""),"82DH0515010016000649430")</f>
        <v>82DH0515010016000649430</v>
      </c>
      <c r="B796" s="167" t="str">
        <f ca="1">IFERROR(__xludf.DUMMYFUNCTION("""COMPUTED_VALUE"""),"BUENO")</f>
        <v>BUENO</v>
      </c>
      <c r="C796" s="206"/>
      <c r="D796" s="206"/>
      <c r="E796" s="207"/>
      <c r="F796" s="207"/>
      <c r="G796" s="207"/>
      <c r="H796" s="207"/>
      <c r="I796" s="207"/>
      <c r="J796" s="207"/>
      <c r="K796" s="207"/>
      <c r="L796" s="207"/>
      <c r="M796" s="207"/>
      <c r="N796" s="207"/>
      <c r="O796" s="206"/>
    </row>
    <row r="797" spans="1:15" ht="30">
      <c r="A797" s="167" t="str">
        <f ca="1">IFERROR(__xludf.DUMMYFUNCTION("""COMPUTED_VALUE"""),"82DH0511010010000649749")</f>
        <v>82DH0511010010000649749</v>
      </c>
      <c r="B797" s="167" t="str">
        <f ca="1">IFERROR(__xludf.DUMMYFUNCTION("""COMPUTED_VALUE"""),"BUENO")</f>
        <v>BUENO</v>
      </c>
      <c r="C797" s="206"/>
      <c r="D797" s="206"/>
      <c r="E797" s="207"/>
      <c r="F797" s="207"/>
      <c r="G797" s="207"/>
      <c r="H797" s="207"/>
      <c r="I797" s="207"/>
      <c r="J797" s="207"/>
      <c r="K797" s="207"/>
      <c r="L797" s="207"/>
      <c r="M797" s="207"/>
      <c r="N797" s="207"/>
      <c r="O797" s="206"/>
    </row>
    <row r="798" spans="1:15" ht="30">
      <c r="A798" s="167" t="str">
        <f ca="1">IFERROR(__xludf.DUMMYFUNCTION("""COMPUTED_VALUE"""),"SIN RESGUARDO")</f>
        <v>SIN RESGUARDO</v>
      </c>
      <c r="B798" s="167" t="str">
        <f ca="1">IFERROR(__xludf.DUMMYFUNCTION("""COMPUTED_VALUE"""),"BUENO")</f>
        <v>BUENO</v>
      </c>
      <c r="C798" s="206"/>
      <c r="D798" s="206"/>
      <c r="E798" s="207"/>
      <c r="F798" s="207"/>
      <c r="G798" s="207"/>
      <c r="H798" s="207"/>
      <c r="I798" s="207"/>
      <c r="J798" s="207"/>
      <c r="K798" s="207"/>
      <c r="L798" s="207"/>
      <c r="M798" s="207"/>
      <c r="N798" s="207"/>
      <c r="O798" s="206"/>
    </row>
    <row r="799" spans="1:15" ht="30">
      <c r="A799" s="167" t="str">
        <f ca="1">IFERROR(__xludf.DUMMYFUNCTION("""COMPUTED_VALUE"""),"SIN RESGUARDO")</f>
        <v>SIN RESGUARDO</v>
      </c>
      <c r="B799" s="167" t="str">
        <f ca="1">IFERROR(__xludf.DUMMYFUNCTION("""COMPUTED_VALUE"""),"BUENO")</f>
        <v>BUENO</v>
      </c>
      <c r="C799" s="206"/>
      <c r="D799" s="206"/>
      <c r="E799" s="207"/>
      <c r="F799" s="207"/>
      <c r="G799" s="207"/>
      <c r="H799" s="207"/>
      <c r="I799" s="207"/>
      <c r="J799" s="207"/>
      <c r="K799" s="207"/>
      <c r="L799" s="207"/>
      <c r="M799" s="207"/>
      <c r="N799" s="207"/>
      <c r="O799" s="206"/>
    </row>
    <row r="800" spans="1:15" ht="30">
      <c r="A800" s="167" t="str">
        <f ca="1">IFERROR(__xludf.DUMMYFUNCTION("""COMPUTED_VALUE"""),"82DH0511010006000564903")</f>
        <v>82DH0511010006000564903</v>
      </c>
      <c r="B800" s="167" t="str">
        <f ca="1">IFERROR(__xludf.DUMMYFUNCTION("""COMPUTED_VALUE"""),"BUENO")</f>
        <v>BUENO</v>
      </c>
      <c r="C800" s="206"/>
      <c r="D800" s="206"/>
      <c r="E800" s="207"/>
      <c r="F800" s="207"/>
      <c r="G800" s="207"/>
      <c r="H800" s="207"/>
      <c r="I800" s="207"/>
      <c r="J800" s="207"/>
      <c r="K800" s="207"/>
      <c r="L800" s="207"/>
      <c r="M800" s="207"/>
      <c r="N800" s="207"/>
      <c r="O800" s="206"/>
    </row>
    <row r="801" spans="1:15" ht="30">
      <c r="A801" s="167" t="str">
        <f ca="1">IFERROR(__xludf.DUMMYFUNCTION("""COMPUTED_VALUE"""),"82DH0565010001000527082")</f>
        <v>82DH0565010001000527082</v>
      </c>
      <c r="B801" s="167" t="str">
        <f ca="1">IFERROR(__xludf.DUMMYFUNCTION("""COMPUTED_VALUE"""),"BUENO")</f>
        <v>BUENO</v>
      </c>
      <c r="C801" s="206"/>
      <c r="D801" s="206"/>
      <c r="E801" s="207"/>
      <c r="F801" s="207"/>
      <c r="G801" s="207"/>
      <c r="H801" s="207"/>
      <c r="I801" s="207"/>
      <c r="J801" s="207"/>
      <c r="K801" s="207"/>
      <c r="L801" s="207"/>
      <c r="M801" s="207"/>
      <c r="N801" s="207"/>
      <c r="O801" s="206"/>
    </row>
    <row r="802" spans="1:15" ht="30">
      <c r="A802" s="167" t="str">
        <f ca="1">IFERROR(__xludf.DUMMYFUNCTION("""COMPUTED_VALUE"""),"SIN RESGUARDO")</f>
        <v>SIN RESGUARDO</v>
      </c>
      <c r="B802" s="167" t="str">
        <f ca="1">IFERROR(__xludf.DUMMYFUNCTION("""COMPUTED_VALUE"""),"BUENO")</f>
        <v>BUENO</v>
      </c>
      <c r="C802" s="206"/>
      <c r="D802" s="206"/>
      <c r="E802" s="207"/>
      <c r="F802" s="207"/>
      <c r="G802" s="207"/>
      <c r="H802" s="207"/>
      <c r="I802" s="207"/>
      <c r="J802" s="207"/>
      <c r="K802" s="207"/>
      <c r="L802" s="207"/>
      <c r="M802" s="207"/>
      <c r="N802" s="207"/>
      <c r="O802" s="206"/>
    </row>
    <row r="803" spans="1:15" ht="30">
      <c r="A803" s="167" t="str">
        <f ca="1">IFERROR(__xludf.DUMMYFUNCTION("""COMPUTED_VALUE"""),"SIN RESGUARDO")</f>
        <v>SIN RESGUARDO</v>
      </c>
      <c r="B803" s="167" t="str">
        <f ca="1">IFERROR(__xludf.DUMMYFUNCTION("""COMPUTED_VALUE"""),"BUENO")</f>
        <v>BUENO</v>
      </c>
      <c r="C803" s="206"/>
      <c r="D803" s="206"/>
      <c r="E803" s="207"/>
      <c r="F803" s="207"/>
      <c r="G803" s="207"/>
      <c r="H803" s="207"/>
      <c r="I803" s="207"/>
      <c r="J803" s="207"/>
      <c r="K803" s="207"/>
      <c r="L803" s="207"/>
      <c r="M803" s="207"/>
      <c r="N803" s="207"/>
      <c r="O803" s="206"/>
    </row>
    <row r="804" spans="1:15" ht="30">
      <c r="A804" s="167" t="str">
        <f ca="1">IFERROR(__xludf.DUMMYFUNCTION("""COMPUTED_VALUE"""),"82DH0511010001000518504")</f>
        <v>82DH0511010001000518504</v>
      </c>
      <c r="B804" s="167" t="str">
        <f ca="1">IFERROR(__xludf.DUMMYFUNCTION("""COMPUTED_VALUE"""),"BUENO")</f>
        <v>BUENO</v>
      </c>
      <c r="C804" s="206"/>
      <c r="D804" s="206"/>
      <c r="E804" s="207"/>
      <c r="F804" s="207"/>
      <c r="G804" s="207"/>
      <c r="H804" s="207"/>
      <c r="I804" s="207"/>
      <c r="J804" s="207"/>
      <c r="K804" s="207"/>
      <c r="L804" s="207"/>
      <c r="M804" s="207"/>
      <c r="N804" s="207"/>
      <c r="O804" s="206"/>
    </row>
    <row r="805" spans="1:15" ht="30">
      <c r="A805" s="167" t="str">
        <f ca="1">IFERROR(__xludf.DUMMYFUNCTION("""COMPUTED_VALUE"""),"82DH0531010094000539189")</f>
        <v>82DH0531010094000539189</v>
      </c>
      <c r="B805" s="167" t="str">
        <f ca="1">IFERROR(__xludf.DUMMYFUNCTION("""COMPUTED_VALUE"""),"BUENO")</f>
        <v>BUENO</v>
      </c>
      <c r="C805" s="206"/>
      <c r="D805" s="206"/>
      <c r="E805" s="207"/>
      <c r="F805" s="207"/>
      <c r="G805" s="207"/>
      <c r="H805" s="207"/>
      <c r="I805" s="207"/>
      <c r="J805" s="207"/>
      <c r="K805" s="207"/>
      <c r="L805" s="207"/>
      <c r="M805" s="207"/>
      <c r="N805" s="207"/>
      <c r="O805" s="206"/>
    </row>
    <row r="806" spans="1:15" ht="30">
      <c r="A806" s="167" t="str">
        <f ca="1">IFERROR(__xludf.DUMMYFUNCTION("""COMPUTED_VALUE"""),"82DH0511010010000649750")</f>
        <v>82DH0511010010000649750</v>
      </c>
      <c r="B806" s="167" t="str">
        <f ca="1">IFERROR(__xludf.DUMMYFUNCTION("""COMPUTED_VALUE"""),"BUENO")</f>
        <v>BUENO</v>
      </c>
      <c r="C806" s="206"/>
      <c r="D806" s="206"/>
      <c r="E806" s="207"/>
      <c r="F806" s="207"/>
      <c r="G806" s="207"/>
      <c r="H806" s="207"/>
      <c r="I806" s="207"/>
      <c r="J806" s="207"/>
      <c r="K806" s="207"/>
      <c r="L806" s="207"/>
      <c r="M806" s="207"/>
      <c r="N806" s="207"/>
      <c r="O806" s="206"/>
    </row>
    <row r="807" spans="1:15" ht="30">
      <c r="A807" s="167" t="str">
        <f ca="1">IFERROR(__xludf.DUMMYFUNCTION("""COMPUTED_VALUE"""),"82DH0511010001000533227")</f>
        <v>82DH0511010001000533227</v>
      </c>
      <c r="B807" s="167" t="str">
        <f ca="1">IFERROR(__xludf.DUMMYFUNCTION("""COMPUTED_VALUE"""),"BUENO")</f>
        <v>BUENO</v>
      </c>
      <c r="C807" s="206"/>
      <c r="D807" s="206"/>
      <c r="E807" s="207"/>
      <c r="F807" s="207"/>
      <c r="G807" s="207"/>
      <c r="H807" s="207"/>
      <c r="I807" s="207"/>
      <c r="J807" s="207"/>
      <c r="K807" s="207"/>
      <c r="L807" s="207"/>
      <c r="M807" s="207"/>
      <c r="N807" s="207"/>
      <c r="O807" s="206"/>
    </row>
    <row r="808" spans="1:15" ht="30">
      <c r="A808" s="167" t="str">
        <f ca="1">IFERROR(__xludf.DUMMYFUNCTION("""COMPUTED_VALUE"""),"82DH0511010006000649741")</f>
        <v>82DH0511010006000649741</v>
      </c>
      <c r="B808" s="167" t="str">
        <f ca="1">IFERROR(__xludf.DUMMYFUNCTION("""COMPUTED_VALUE"""),"BUENO")</f>
        <v>BUENO</v>
      </c>
      <c r="C808" s="206"/>
      <c r="D808" s="206"/>
      <c r="E808" s="207"/>
      <c r="F808" s="207"/>
      <c r="G808" s="207"/>
      <c r="H808" s="207"/>
      <c r="I808" s="207"/>
      <c r="J808" s="207"/>
      <c r="K808" s="207"/>
      <c r="L808" s="207"/>
      <c r="M808" s="207"/>
      <c r="N808" s="207"/>
      <c r="O808" s="206"/>
    </row>
    <row r="809" spans="1:15" ht="30">
      <c r="A809" s="167" t="str">
        <f ca="1">IFERROR(__xludf.DUMMYFUNCTION("""COMPUTED_VALUE"""),"82DH0515010033000566432")</f>
        <v>82DH0515010033000566432</v>
      </c>
      <c r="B809" s="167" t="str">
        <f ca="1">IFERROR(__xludf.DUMMYFUNCTION("""COMPUTED_VALUE"""),"BUENO")</f>
        <v>BUENO</v>
      </c>
      <c r="C809" s="206"/>
      <c r="D809" s="206"/>
      <c r="E809" s="207"/>
      <c r="F809" s="207"/>
      <c r="G809" s="207"/>
      <c r="H809" s="207"/>
      <c r="I809" s="207"/>
      <c r="J809" s="207"/>
      <c r="K809" s="207"/>
      <c r="L809" s="207"/>
      <c r="M809" s="207"/>
      <c r="N809" s="207"/>
      <c r="O809" s="206"/>
    </row>
    <row r="810" spans="1:15" ht="30">
      <c r="A810" s="167" t="str">
        <f ca="1">IFERROR(__xludf.DUMMYFUNCTION("""COMPUTED_VALUE"""),"82DH0515010003000649742")</f>
        <v>82DH0515010003000649742</v>
      </c>
      <c r="B810" s="167" t="str">
        <f ca="1">IFERROR(__xludf.DUMMYFUNCTION("""COMPUTED_VALUE"""),"BUENO")</f>
        <v>BUENO</v>
      </c>
      <c r="C810" s="206"/>
      <c r="D810" s="206"/>
      <c r="E810" s="207"/>
      <c r="F810" s="207"/>
      <c r="G810" s="207"/>
      <c r="H810" s="207"/>
      <c r="I810" s="207"/>
      <c r="J810" s="207"/>
      <c r="K810" s="207"/>
      <c r="L810" s="207"/>
      <c r="M810" s="207"/>
      <c r="N810" s="207"/>
      <c r="O810" s="206"/>
    </row>
    <row r="811" spans="1:15" ht="30">
      <c r="A811" s="167" t="str">
        <f ca="1">IFERROR(__xludf.DUMMYFUNCTION("""COMPUTED_VALUE"""),"82DH0515010016000649429")</f>
        <v>82DH0515010016000649429</v>
      </c>
      <c r="B811" s="167" t="str">
        <f ca="1">IFERROR(__xludf.DUMMYFUNCTION("""COMPUTED_VALUE"""),"BUENO")</f>
        <v>BUENO</v>
      </c>
      <c r="C811" s="206"/>
      <c r="D811" s="206"/>
      <c r="E811" s="207"/>
      <c r="F811" s="207"/>
      <c r="G811" s="207"/>
      <c r="H811" s="207"/>
      <c r="I811" s="207"/>
      <c r="J811" s="207"/>
      <c r="K811" s="207"/>
      <c r="L811" s="207"/>
      <c r="M811" s="207"/>
      <c r="N811" s="207"/>
      <c r="O811" s="206"/>
    </row>
    <row r="812" spans="1:15" ht="30">
      <c r="A812" s="167" t="str">
        <f ca="1">IFERROR(__xludf.DUMMYFUNCTION("""COMPUTED_VALUE"""),"82DH0515010013000649743")</f>
        <v>82DH0515010013000649743</v>
      </c>
      <c r="B812" s="167" t="str">
        <f ca="1">IFERROR(__xludf.DUMMYFUNCTION("""COMPUTED_VALUE"""),"BUENO")</f>
        <v>BUENO</v>
      </c>
      <c r="C812" s="206"/>
      <c r="D812" s="206"/>
      <c r="E812" s="207"/>
      <c r="F812" s="207"/>
      <c r="G812" s="207"/>
      <c r="H812" s="207"/>
      <c r="I812" s="207"/>
      <c r="J812" s="207"/>
      <c r="K812" s="207"/>
      <c r="L812" s="207"/>
      <c r="M812" s="207"/>
      <c r="N812" s="207"/>
      <c r="O812" s="206"/>
    </row>
    <row r="813" spans="1:15" ht="30">
      <c r="A813" s="167" t="str">
        <f ca="1">IFERROR(__xludf.DUMMYFUNCTION("""COMPUTED_VALUE"""),"82DH0511010017000651388")</f>
        <v>82DH0511010017000651388</v>
      </c>
      <c r="B813" s="167" t="str">
        <f ca="1">IFERROR(__xludf.DUMMYFUNCTION("""COMPUTED_VALUE"""),"BUENO")</f>
        <v>BUENO</v>
      </c>
      <c r="C813" s="206"/>
      <c r="D813" s="206"/>
      <c r="E813" s="207"/>
      <c r="F813" s="207"/>
      <c r="G813" s="207"/>
      <c r="H813" s="207"/>
      <c r="I813" s="207"/>
      <c r="J813" s="207"/>
      <c r="K813" s="207"/>
      <c r="L813" s="207"/>
      <c r="M813" s="207"/>
      <c r="N813" s="207"/>
      <c r="O813" s="206"/>
    </row>
    <row r="814" spans="1:15" ht="30">
      <c r="A814" s="167" t="str">
        <f ca="1">IFERROR(__xludf.DUMMYFUNCTION("""COMPUTED_VALUE"""),"82DH0511010017000649744")</f>
        <v>82DH0511010017000649744</v>
      </c>
      <c r="B814" s="167" t="str">
        <f ca="1">IFERROR(__xludf.DUMMYFUNCTION("""COMPUTED_VALUE"""),"BUENO")</f>
        <v>BUENO</v>
      </c>
      <c r="C814" s="206"/>
      <c r="D814" s="206"/>
      <c r="E814" s="207"/>
      <c r="F814" s="207"/>
      <c r="G814" s="207"/>
      <c r="H814" s="207"/>
      <c r="I814" s="207"/>
      <c r="J814" s="207"/>
      <c r="K814" s="207"/>
      <c r="L814" s="207"/>
      <c r="M814" s="207"/>
      <c r="N814" s="207"/>
      <c r="O814" s="206"/>
    </row>
    <row r="815" spans="1:15" ht="30">
      <c r="A815" s="167" t="str">
        <f ca="1">IFERROR(__xludf.DUMMYFUNCTION("""COMPUTED_VALUE"""),"82DJ0529030005000649756")</f>
        <v>82DJ0529030005000649756</v>
      </c>
      <c r="B815" s="167" t="str">
        <f ca="1">IFERROR(__xludf.DUMMYFUNCTION("""COMPUTED_VALUE"""),"BUENO")</f>
        <v>BUENO</v>
      </c>
      <c r="C815" s="206"/>
      <c r="D815" s="206"/>
      <c r="E815" s="207"/>
      <c r="F815" s="207"/>
      <c r="G815" s="207"/>
      <c r="H815" s="207"/>
      <c r="I815" s="207"/>
      <c r="J815" s="207"/>
      <c r="K815" s="207"/>
      <c r="L815" s="207"/>
      <c r="M815" s="207"/>
      <c r="N815" s="207"/>
      <c r="O815" s="206"/>
    </row>
    <row r="816" spans="1:15" ht="30">
      <c r="A816" s="167" t="str">
        <f ca="1">IFERROR(__xludf.DUMMYFUNCTION("""COMPUTED_VALUE"""),"82DJ0511010001000518545")</f>
        <v>82DJ0511010001000518545</v>
      </c>
      <c r="B816" s="167" t="str">
        <f ca="1">IFERROR(__xludf.DUMMYFUNCTION("""COMPUTED_VALUE"""),"BUENO")</f>
        <v>BUENO</v>
      </c>
      <c r="C816" s="206"/>
      <c r="D816" s="206"/>
      <c r="E816" s="207"/>
      <c r="F816" s="207"/>
      <c r="G816" s="207"/>
      <c r="H816" s="207"/>
      <c r="I816" s="207"/>
      <c r="J816" s="207"/>
      <c r="K816" s="207"/>
      <c r="L816" s="207"/>
      <c r="M816" s="207"/>
      <c r="N816" s="207"/>
      <c r="O816" s="206"/>
    </row>
    <row r="817" spans="1:15" ht="30">
      <c r="A817" s="167" t="str">
        <f ca="1">IFERROR(__xludf.DUMMYFUNCTION("""COMPUTED_VALUE"""),"82DJ0511010008000649753")</f>
        <v>82DJ0511010008000649753</v>
      </c>
      <c r="B817" s="167" t="str">
        <f ca="1">IFERROR(__xludf.DUMMYFUNCTION("""COMPUTED_VALUE"""),"BUENO")</f>
        <v>BUENO</v>
      </c>
      <c r="C817" s="206"/>
      <c r="D817" s="206"/>
      <c r="E817" s="207"/>
      <c r="F817" s="207"/>
      <c r="G817" s="207"/>
      <c r="H817" s="207"/>
      <c r="I817" s="207"/>
      <c r="J817" s="207"/>
      <c r="K817" s="207"/>
      <c r="L817" s="207"/>
      <c r="M817" s="207"/>
      <c r="N817" s="207"/>
      <c r="O817" s="206"/>
    </row>
    <row r="818" spans="1:15" ht="30">
      <c r="A818" s="167" t="str">
        <f ca="1">IFERROR(__xludf.DUMMYFUNCTION("""COMPUTED_VALUE"""),"82DJ0531010065000564782")</f>
        <v>82DJ0531010065000564782</v>
      </c>
      <c r="B818" s="167" t="str">
        <f ca="1">IFERROR(__xludf.DUMMYFUNCTION("""COMPUTED_VALUE"""),"BUENO")</f>
        <v>BUENO</v>
      </c>
      <c r="C818" s="206"/>
      <c r="D818" s="206"/>
      <c r="E818" s="207"/>
      <c r="F818" s="207"/>
      <c r="G818" s="207"/>
      <c r="H818" s="207"/>
      <c r="I818" s="207"/>
      <c r="J818" s="207"/>
      <c r="K818" s="207"/>
      <c r="L818" s="207"/>
      <c r="M818" s="207"/>
      <c r="N818" s="207"/>
      <c r="O818" s="206"/>
    </row>
    <row r="819" spans="1:15" ht="30">
      <c r="A819" s="167" t="str">
        <f ca="1">IFERROR(__xludf.DUMMYFUNCTION("""COMPUTED_VALUE"""),"82DJ0531010065000580347")</f>
        <v>82DJ0531010065000580347</v>
      </c>
      <c r="B819" s="167" t="str">
        <f ca="1">IFERROR(__xludf.DUMMYFUNCTION("""COMPUTED_VALUE"""),"BUENO")</f>
        <v>BUENO</v>
      </c>
      <c r="C819" s="206"/>
      <c r="D819" s="206"/>
      <c r="E819" s="207"/>
      <c r="F819" s="207"/>
      <c r="G819" s="207"/>
      <c r="H819" s="207"/>
      <c r="I819" s="207"/>
      <c r="J819" s="207"/>
      <c r="K819" s="207"/>
      <c r="L819" s="207"/>
      <c r="M819" s="207"/>
      <c r="N819" s="207"/>
      <c r="O819" s="206"/>
    </row>
    <row r="820" spans="1:15" ht="30">
      <c r="A820" s="167" t="str">
        <f ca="1">IFERROR(__xludf.DUMMYFUNCTION("""COMPUTED_VALUE"""),"SIN RESGUARDO")</f>
        <v>SIN RESGUARDO</v>
      </c>
      <c r="B820" s="167" t="str">
        <f ca="1">IFERROR(__xludf.DUMMYFUNCTION("""COMPUTED_VALUE"""),"BUENO")</f>
        <v>BUENO</v>
      </c>
      <c r="C820" s="206"/>
      <c r="D820" s="206"/>
      <c r="E820" s="207"/>
      <c r="F820" s="207"/>
      <c r="G820" s="207"/>
      <c r="H820" s="207"/>
      <c r="I820" s="207"/>
      <c r="J820" s="207"/>
      <c r="K820" s="207"/>
      <c r="L820" s="207"/>
      <c r="M820" s="207"/>
      <c r="N820" s="207"/>
      <c r="O820" s="206"/>
    </row>
    <row r="821" spans="1:15" ht="30">
      <c r="A821" s="167" t="str">
        <f ca="1">IFERROR(__xludf.DUMMYFUNCTION("""COMPUTED_VALUE"""),"82DJ0511010009000518512")</f>
        <v>82DJ0511010009000518512</v>
      </c>
      <c r="B821" s="167" t="str">
        <f ca="1">IFERROR(__xludf.DUMMYFUNCTION("""COMPUTED_VALUE"""),"BUENO")</f>
        <v>BUENO</v>
      </c>
      <c r="C821" s="206"/>
      <c r="D821" s="206"/>
      <c r="E821" s="207"/>
      <c r="F821" s="207"/>
      <c r="G821" s="207"/>
      <c r="H821" s="207"/>
      <c r="I821" s="207"/>
      <c r="J821" s="207"/>
      <c r="K821" s="207"/>
      <c r="L821" s="207"/>
      <c r="M821" s="207"/>
      <c r="N821" s="207"/>
      <c r="O821" s="206"/>
    </row>
    <row r="822" spans="1:15" ht="30">
      <c r="A822" s="167" t="str">
        <f ca="1">IFERROR(__xludf.DUMMYFUNCTION("""COMPUTED_VALUE"""),"82DJ0511010017000564035")</f>
        <v>82DJ0511010017000564035</v>
      </c>
      <c r="B822" s="167" t="str">
        <f ca="1">IFERROR(__xludf.DUMMYFUNCTION("""COMPUTED_VALUE"""),"BUENO")</f>
        <v>BUENO</v>
      </c>
      <c r="C822" s="206"/>
      <c r="D822" s="206"/>
      <c r="E822" s="207"/>
      <c r="F822" s="207"/>
      <c r="G822" s="207"/>
      <c r="H822" s="207"/>
      <c r="I822" s="207"/>
      <c r="J822" s="207"/>
      <c r="K822" s="207"/>
      <c r="L822" s="207"/>
      <c r="M822" s="207"/>
      <c r="N822" s="207"/>
      <c r="O822" s="206"/>
    </row>
    <row r="823" spans="1:15" ht="30">
      <c r="A823" s="167" t="str">
        <f ca="1">IFERROR(__xludf.DUMMYFUNCTION("""COMPUTED_VALUE"""),"82DH0511010017000518516")</f>
        <v>82DH0511010017000518516</v>
      </c>
      <c r="B823" s="167" t="str">
        <f ca="1">IFERROR(__xludf.DUMMYFUNCTION("""COMPUTED_VALUE"""),"BUENO")</f>
        <v>BUENO</v>
      </c>
      <c r="C823" s="206"/>
      <c r="D823" s="206"/>
      <c r="E823" s="207"/>
      <c r="F823" s="207"/>
      <c r="G823" s="207"/>
      <c r="H823" s="207"/>
      <c r="I823" s="207"/>
      <c r="J823" s="207"/>
      <c r="K823" s="207"/>
      <c r="L823" s="207"/>
      <c r="M823" s="207"/>
      <c r="N823" s="207"/>
      <c r="O823" s="206"/>
    </row>
    <row r="824" spans="1:15" ht="30">
      <c r="A824" s="167" t="str">
        <f ca="1">IFERROR(__xludf.DUMMYFUNCTION("""COMPUTED_VALUE"""),"82DJ0511010017000564036")</f>
        <v>82DJ0511010017000564036</v>
      </c>
      <c r="B824" s="167" t="str">
        <f ca="1">IFERROR(__xludf.DUMMYFUNCTION("""COMPUTED_VALUE"""),"BUENO")</f>
        <v>BUENO</v>
      </c>
      <c r="C824" s="206"/>
      <c r="D824" s="206"/>
      <c r="E824" s="207"/>
      <c r="F824" s="207"/>
      <c r="G824" s="207"/>
      <c r="H824" s="207"/>
      <c r="I824" s="207"/>
      <c r="J824" s="207"/>
      <c r="K824" s="207"/>
      <c r="L824" s="207"/>
      <c r="M824" s="207"/>
      <c r="N824" s="207"/>
      <c r="O824" s="206"/>
    </row>
    <row r="825" spans="1:15" ht="30">
      <c r="A825" s="167" t="str">
        <f ca="1">IFERROR(__xludf.DUMMYFUNCTION("""COMPUTED_VALUE"""),"82DJ0511010006000583439")</f>
        <v>82DJ0511010006000583439</v>
      </c>
      <c r="B825" s="167" t="str">
        <f ca="1">IFERROR(__xludf.DUMMYFUNCTION("""COMPUTED_VALUE"""),"BUENO")</f>
        <v>BUENO</v>
      </c>
      <c r="C825" s="206"/>
      <c r="D825" s="206"/>
      <c r="E825" s="207"/>
      <c r="F825" s="207"/>
      <c r="G825" s="207"/>
      <c r="H825" s="207"/>
      <c r="I825" s="207"/>
      <c r="J825" s="207"/>
      <c r="K825" s="207"/>
      <c r="L825" s="207"/>
      <c r="M825" s="207"/>
      <c r="N825" s="207"/>
      <c r="O825" s="206"/>
    </row>
    <row r="826" spans="1:15" ht="30">
      <c r="A826" s="167" t="str">
        <f ca="1">IFERROR(__xludf.DUMMYFUNCTION("""COMPUTED_VALUE"""),"82DJ0511010005000649755")</f>
        <v>82DJ0511010005000649755</v>
      </c>
      <c r="B826" s="167" t="str">
        <f ca="1">IFERROR(__xludf.DUMMYFUNCTION("""COMPUTED_VALUE"""),"BUENO")</f>
        <v>BUENO</v>
      </c>
      <c r="C826" s="206"/>
      <c r="D826" s="206"/>
      <c r="E826" s="207"/>
      <c r="F826" s="207"/>
      <c r="G826" s="207"/>
      <c r="H826" s="207"/>
      <c r="I826" s="207"/>
      <c r="J826" s="207"/>
      <c r="K826" s="207"/>
      <c r="L826" s="207"/>
      <c r="M826" s="207"/>
      <c r="N826" s="207"/>
      <c r="O826" s="206"/>
    </row>
    <row r="827" spans="1:15" ht="30">
      <c r="A827" s="167" t="str">
        <f ca="1">IFERROR(__xludf.DUMMYFUNCTION("""COMPUTED_VALUE"""),"82DJ0511010029000649760")</f>
        <v>82DJ0511010029000649760</v>
      </c>
      <c r="B827" s="167" t="str">
        <f ca="1">IFERROR(__xludf.DUMMYFUNCTION("""COMPUTED_VALUE"""),"BUENO")</f>
        <v>BUENO</v>
      </c>
      <c r="C827" s="206"/>
      <c r="D827" s="206"/>
      <c r="E827" s="207"/>
      <c r="F827" s="207"/>
      <c r="G827" s="207"/>
      <c r="H827" s="207"/>
      <c r="I827" s="207"/>
      <c r="J827" s="207"/>
      <c r="K827" s="207"/>
      <c r="L827" s="207"/>
      <c r="M827" s="207"/>
      <c r="N827" s="207"/>
      <c r="O827" s="206"/>
    </row>
    <row r="828" spans="1:15" ht="30">
      <c r="A828" s="167" t="str">
        <f ca="1">IFERROR(__xludf.DUMMYFUNCTION("""COMPUTED_VALUE"""),"82DJ0512010011000515291")</f>
        <v>82DJ0512010011000515291</v>
      </c>
      <c r="B828" s="167" t="str">
        <f ca="1">IFERROR(__xludf.DUMMYFUNCTION("""COMPUTED_VALUE"""),"BUENO")</f>
        <v>BUENO</v>
      </c>
      <c r="C828" s="206"/>
      <c r="D828" s="206"/>
      <c r="E828" s="207"/>
      <c r="F828" s="207"/>
      <c r="G828" s="207"/>
      <c r="H828" s="207"/>
      <c r="I828" s="207"/>
      <c r="J828" s="207"/>
      <c r="K828" s="207"/>
      <c r="L828" s="207"/>
      <c r="M828" s="207"/>
      <c r="N828" s="207"/>
      <c r="O828" s="206"/>
    </row>
    <row r="829" spans="1:15" ht="30">
      <c r="A829" s="167" t="str">
        <f ca="1">IFERROR(__xludf.DUMMYFUNCTION("""COMPUTED_VALUE"""),"82DJ0531010094000535804")</f>
        <v>82DJ0531010094000535804</v>
      </c>
      <c r="B829" s="167" t="str">
        <f ca="1">IFERROR(__xludf.DUMMYFUNCTION("""COMPUTED_VALUE"""),"BUENO")</f>
        <v>BUENO</v>
      </c>
      <c r="C829" s="206"/>
      <c r="D829" s="206"/>
      <c r="E829" s="207"/>
      <c r="F829" s="207"/>
      <c r="G829" s="207"/>
      <c r="H829" s="207"/>
      <c r="I829" s="207"/>
      <c r="J829" s="207"/>
      <c r="K829" s="207"/>
      <c r="L829" s="207"/>
      <c r="M829" s="207"/>
      <c r="N829" s="207"/>
      <c r="O829" s="206"/>
    </row>
    <row r="830" spans="1:15" ht="30">
      <c r="A830" s="167" t="str">
        <f ca="1">IFERROR(__xludf.DUMMYFUNCTION("""COMPUTED_VALUE"""),"82DJ0565010001000533070")</f>
        <v>82DJ0565010001000533070</v>
      </c>
      <c r="B830" s="167" t="str">
        <f ca="1">IFERROR(__xludf.DUMMYFUNCTION("""COMPUTED_VALUE"""),"BUENO")</f>
        <v>BUENO</v>
      </c>
      <c r="C830" s="206"/>
      <c r="D830" s="206"/>
      <c r="E830" s="207"/>
      <c r="F830" s="207"/>
      <c r="G830" s="207"/>
      <c r="H830" s="207"/>
      <c r="I830" s="207"/>
      <c r="J830" s="207"/>
      <c r="K830" s="207"/>
      <c r="L830" s="207"/>
      <c r="M830" s="207"/>
      <c r="N830" s="207"/>
      <c r="O830" s="206"/>
    </row>
    <row r="831" spans="1:15" ht="30">
      <c r="A831" s="167" t="str">
        <f ca="1">IFERROR(__xludf.DUMMYFUNCTION("""COMPUTED_VALUE"""),"82DJ0515010016000649427")</f>
        <v>82DJ0515010016000649427</v>
      </c>
      <c r="B831" s="167" t="str">
        <f ca="1">IFERROR(__xludf.DUMMYFUNCTION("""COMPUTED_VALUE"""),"BUENO")</f>
        <v>BUENO</v>
      </c>
      <c r="C831" s="206"/>
      <c r="D831" s="206"/>
      <c r="E831" s="207"/>
      <c r="F831" s="207"/>
      <c r="G831" s="207"/>
      <c r="H831" s="207"/>
      <c r="I831" s="207"/>
      <c r="J831" s="207"/>
      <c r="K831" s="207"/>
      <c r="L831" s="207"/>
      <c r="M831" s="207"/>
      <c r="N831" s="207"/>
      <c r="O831" s="206"/>
    </row>
    <row r="832" spans="1:15" ht="30">
      <c r="A832" s="167" t="str">
        <f ca="1">IFERROR(__xludf.DUMMYFUNCTION("""COMPUTED_VALUE"""),"82DJ")</f>
        <v>82DJ</v>
      </c>
      <c r="B832" s="167" t="str">
        <f ca="1">IFERROR(__xludf.DUMMYFUNCTION("""COMPUTED_VALUE"""),"BUENO")</f>
        <v>BUENO</v>
      </c>
      <c r="C832" s="206"/>
      <c r="D832" s="206"/>
      <c r="E832" s="207"/>
      <c r="F832" s="207"/>
      <c r="G832" s="207"/>
      <c r="H832" s="207"/>
      <c r="I832" s="207"/>
      <c r="J832" s="207"/>
      <c r="K832" s="207"/>
      <c r="L832" s="207"/>
      <c r="M832" s="207"/>
      <c r="N832" s="207"/>
      <c r="O832" s="206"/>
    </row>
    <row r="833" spans="1:15" ht="30">
      <c r="A833" s="167" t="str">
        <f ca="1">IFERROR(__xludf.DUMMYFUNCTION("""COMPUTED_VALUE"""),"82DJ0511010016000518499")</f>
        <v>82DJ0511010016000518499</v>
      </c>
      <c r="B833" s="167" t="str">
        <f ca="1">IFERROR(__xludf.DUMMYFUNCTION("""COMPUTED_VALUE"""),"BUENO")</f>
        <v>BUENO</v>
      </c>
      <c r="C833" s="206"/>
      <c r="D833" s="206"/>
      <c r="E833" s="207"/>
      <c r="F833" s="207"/>
      <c r="G833" s="207"/>
      <c r="H833" s="207"/>
      <c r="I833" s="207"/>
      <c r="J833" s="207"/>
      <c r="K833" s="207"/>
      <c r="L833" s="207"/>
      <c r="M833" s="207"/>
      <c r="N833" s="207"/>
      <c r="O833" s="206"/>
    </row>
    <row r="834" spans="1:15" ht="30">
      <c r="A834" s="167" t="str">
        <f ca="1">IFERROR(__xludf.DUMMYFUNCTION("""COMPUTED_VALUE"""),"SIN RESGUARDO")</f>
        <v>SIN RESGUARDO</v>
      </c>
      <c r="B834" s="167" t="str">
        <f ca="1">IFERROR(__xludf.DUMMYFUNCTION("""COMPUTED_VALUE"""),"BUENO")</f>
        <v>BUENO</v>
      </c>
      <c r="C834" s="206"/>
      <c r="D834" s="206"/>
      <c r="E834" s="207"/>
      <c r="F834" s="207"/>
      <c r="G834" s="207"/>
      <c r="H834" s="207"/>
      <c r="I834" s="207"/>
      <c r="J834" s="207"/>
      <c r="K834" s="207"/>
      <c r="L834" s="207"/>
      <c r="M834" s="207"/>
      <c r="N834" s="207"/>
      <c r="O834" s="206"/>
    </row>
    <row r="835" spans="1:15" ht="30">
      <c r="A835" s="167" t="str">
        <f ca="1">IFERROR(__xludf.DUMMYFUNCTION("""COMPUTED_VALUE"""),"82DJ0515010002000539849")</f>
        <v>82DJ0515010002000539849</v>
      </c>
      <c r="B835" s="167" t="str">
        <f ca="1">IFERROR(__xludf.DUMMYFUNCTION("""COMPUTED_VALUE"""),"BUENO")</f>
        <v>BUENO</v>
      </c>
      <c r="C835" s="206"/>
      <c r="D835" s="206"/>
      <c r="E835" s="207"/>
      <c r="F835" s="207"/>
      <c r="G835" s="207"/>
      <c r="H835" s="207"/>
      <c r="I835" s="207"/>
      <c r="J835" s="207"/>
      <c r="K835" s="207"/>
      <c r="L835" s="207"/>
      <c r="M835" s="207"/>
      <c r="N835" s="207"/>
      <c r="O835" s="206"/>
    </row>
    <row r="836" spans="1:15" ht="30">
      <c r="A836" s="167" t="str">
        <f ca="1">IFERROR(__xludf.DUMMYFUNCTION("""COMPUTED_VALUE"""),"82DH0511010001000581686")</f>
        <v>82DH0511010001000581686</v>
      </c>
      <c r="B836" s="167" t="str">
        <f ca="1">IFERROR(__xludf.DUMMYFUNCTION("""COMPUTED_VALUE"""),"BUENO")</f>
        <v>BUENO</v>
      </c>
      <c r="C836" s="206"/>
      <c r="D836" s="206"/>
      <c r="E836" s="207"/>
      <c r="F836" s="207"/>
      <c r="G836" s="207"/>
      <c r="H836" s="207"/>
      <c r="I836" s="207"/>
      <c r="J836" s="207"/>
      <c r="K836" s="207"/>
      <c r="L836" s="207"/>
      <c r="M836" s="207"/>
      <c r="N836" s="207"/>
      <c r="O836" s="206"/>
    </row>
    <row r="837" spans="1:15" ht="30">
      <c r="A837" s="167" t="str">
        <f ca="1">IFERROR(__xludf.DUMMYFUNCTION("""COMPUTED_VALUE"""),"82DH0511010005000518505")</f>
        <v>82DH0511010005000518505</v>
      </c>
      <c r="B837" s="167" t="str">
        <f ca="1">IFERROR(__xludf.DUMMYFUNCTION("""COMPUTED_VALUE"""),"REGULAR")</f>
        <v>REGULAR</v>
      </c>
      <c r="C837" s="206"/>
      <c r="D837" s="206"/>
      <c r="E837" s="207"/>
      <c r="F837" s="207"/>
      <c r="G837" s="207"/>
      <c r="H837" s="207"/>
      <c r="I837" s="207"/>
      <c r="J837" s="207"/>
      <c r="K837" s="207"/>
      <c r="L837" s="207"/>
      <c r="M837" s="207"/>
      <c r="N837" s="207"/>
      <c r="O837" s="206"/>
    </row>
    <row r="838" spans="1:15" ht="30">
      <c r="A838" s="167" t="str">
        <f ca="1">IFERROR(__xludf.DUMMYFUNCTION("""COMPUTED_VALUE"""),"82DH0519010006000649405")</f>
        <v>82DH0519010006000649405</v>
      </c>
      <c r="B838" s="167" t="str">
        <f ca="1">IFERROR(__xludf.DUMMYFUNCTION("""COMPUTED_VALUE"""),"BUENO")</f>
        <v>BUENO</v>
      </c>
      <c r="C838" s="206"/>
      <c r="D838" s="206"/>
      <c r="E838" s="207"/>
      <c r="F838" s="207"/>
      <c r="G838" s="207"/>
      <c r="H838" s="207"/>
      <c r="I838" s="207"/>
      <c r="J838" s="207"/>
      <c r="K838" s="207"/>
      <c r="L838" s="207"/>
      <c r="M838" s="207"/>
      <c r="N838" s="207"/>
      <c r="O838" s="206"/>
    </row>
    <row r="839" spans="1:15" ht="30">
      <c r="A839" s="167" t="str">
        <f ca="1">IFERROR(__xludf.DUMMYFUNCTION("""COMPUTED_VALUE"""),"82DH0519010017000565624")</f>
        <v>82DH0519010017000565624</v>
      </c>
      <c r="B839" s="167" t="str">
        <f ca="1">IFERROR(__xludf.DUMMYFUNCTION("""COMPUTED_VALUE"""),"BUENO")</f>
        <v>BUENO</v>
      </c>
      <c r="C839" s="206"/>
      <c r="D839" s="206"/>
      <c r="E839" s="207"/>
      <c r="F839" s="207"/>
      <c r="G839" s="207"/>
      <c r="H839" s="207"/>
      <c r="I839" s="207"/>
      <c r="J839" s="207"/>
      <c r="K839" s="207"/>
      <c r="L839" s="207"/>
      <c r="M839" s="207"/>
      <c r="N839" s="207"/>
      <c r="O839" s="206"/>
    </row>
    <row r="840" spans="1:15" ht="30">
      <c r="A840" s="167" t="str">
        <f ca="1">IFERROR(__xludf.DUMMYFUNCTION("""COMPUTED_VALUE"""),"82DH0511010029000649763")</f>
        <v>82DH0511010029000649763</v>
      </c>
      <c r="B840" s="167" t="str">
        <f ca="1">IFERROR(__xludf.DUMMYFUNCTION("""COMPUTED_VALUE"""),"BUENO")</f>
        <v>BUENO</v>
      </c>
      <c r="C840" s="206"/>
      <c r="D840" s="206"/>
      <c r="E840" s="207"/>
      <c r="F840" s="207"/>
      <c r="G840" s="207"/>
      <c r="H840" s="207"/>
      <c r="I840" s="207"/>
      <c r="J840" s="207"/>
      <c r="K840" s="207"/>
      <c r="L840" s="207"/>
      <c r="M840" s="207"/>
      <c r="N840" s="207"/>
      <c r="O840" s="206"/>
    </row>
    <row r="841" spans="1:15" ht="30">
      <c r="A841" s="167" t="str">
        <f ca="1">IFERROR(__xludf.DUMMYFUNCTION("""COMPUTED_VALUE"""),"82DH0511010006000518507")</f>
        <v>82DH0511010006000518507</v>
      </c>
      <c r="B841" s="167" t="str">
        <f ca="1">IFERROR(__xludf.DUMMYFUNCTION("""COMPUTED_VALUE"""),"MALO")</f>
        <v>MALO</v>
      </c>
      <c r="C841" s="206"/>
      <c r="D841" s="206"/>
      <c r="E841" s="207"/>
      <c r="F841" s="207"/>
      <c r="G841" s="207"/>
      <c r="H841" s="207"/>
      <c r="I841" s="207"/>
      <c r="J841" s="207"/>
      <c r="K841" s="207"/>
      <c r="L841" s="207"/>
      <c r="M841" s="207"/>
      <c r="N841" s="207"/>
      <c r="O841" s="206"/>
    </row>
    <row r="842" spans="1:15" ht="30">
      <c r="A842" s="167" t="str">
        <f ca="1">IFERROR(__xludf.DUMMYFUNCTION("""COMPUTED_VALUE"""),"82DH0511010017000564623")</f>
        <v>82DH0511010017000564623</v>
      </c>
      <c r="B842" s="167" t="str">
        <f ca="1">IFERROR(__xludf.DUMMYFUNCTION("""COMPUTED_VALUE"""),"BUENO")</f>
        <v>BUENO</v>
      </c>
      <c r="C842" s="206"/>
      <c r="D842" s="206"/>
      <c r="E842" s="207"/>
      <c r="F842" s="207"/>
      <c r="G842" s="207"/>
      <c r="H842" s="207"/>
      <c r="I842" s="207"/>
      <c r="J842" s="207"/>
      <c r="K842" s="207"/>
      <c r="L842" s="207"/>
      <c r="M842" s="207"/>
      <c r="N842" s="207"/>
      <c r="O842" s="206"/>
    </row>
    <row r="843" spans="1:15" ht="30">
      <c r="A843" s="167" t="str">
        <f ca="1">IFERROR(__xludf.DUMMYFUNCTION("""COMPUTED_VALUE"""),"82DH0511010017000563785")</f>
        <v>82DH0511010017000563785</v>
      </c>
      <c r="B843" s="167" t="str">
        <f ca="1">IFERROR(__xludf.DUMMYFUNCTION("""COMPUTED_VALUE"""),"BUENO")</f>
        <v>BUENO</v>
      </c>
      <c r="C843" s="206"/>
      <c r="D843" s="206"/>
      <c r="E843" s="207"/>
      <c r="F843" s="207"/>
      <c r="G843" s="207"/>
      <c r="H843" s="207"/>
      <c r="I843" s="207"/>
      <c r="J843" s="207"/>
      <c r="K843" s="207"/>
      <c r="L843" s="207"/>
      <c r="M843" s="207"/>
      <c r="N843" s="207"/>
      <c r="O843" s="206"/>
    </row>
    <row r="844" spans="1:15" ht="30">
      <c r="A844" s="167" t="str">
        <f ca="1">IFERROR(__xludf.DUMMYFUNCTION("""COMPUTED_VALUE"""),"82DH0511010017000564612")</f>
        <v>82DH0511010017000564612</v>
      </c>
      <c r="B844" s="167" t="str">
        <f ca="1">IFERROR(__xludf.DUMMYFUNCTION("""COMPUTED_VALUE"""),"BUENO")</f>
        <v>BUENO</v>
      </c>
      <c r="C844" s="206"/>
      <c r="D844" s="206"/>
      <c r="E844" s="207"/>
      <c r="F844" s="207"/>
      <c r="G844" s="207"/>
      <c r="H844" s="207"/>
      <c r="I844" s="207"/>
      <c r="J844" s="207"/>
      <c r="K844" s="207"/>
      <c r="L844" s="207"/>
      <c r="M844" s="207"/>
      <c r="N844" s="207"/>
      <c r="O844" s="206"/>
    </row>
    <row r="845" spans="1:15" ht="30">
      <c r="A845" s="167" t="str">
        <f ca="1">IFERROR(__xludf.DUMMYFUNCTION("""COMPUTED_VALUE"""),"82DH0511010016000649762")</f>
        <v>82DH0511010016000649762</v>
      </c>
      <c r="B845" s="167" t="str">
        <f ca="1">IFERROR(__xludf.DUMMYFUNCTION("""COMPUTED_VALUE"""),"MALO")</f>
        <v>MALO</v>
      </c>
      <c r="C845" s="206"/>
      <c r="D845" s="206"/>
      <c r="E845" s="207"/>
      <c r="F845" s="207"/>
      <c r="G845" s="207"/>
      <c r="H845" s="207"/>
      <c r="I845" s="207"/>
      <c r="J845" s="207"/>
      <c r="K845" s="207"/>
      <c r="L845" s="207"/>
      <c r="M845" s="207"/>
      <c r="N845" s="207"/>
      <c r="O845" s="206"/>
    </row>
    <row r="846" spans="1:15" ht="30">
      <c r="A846" s="167" t="str">
        <f ca="1">IFERROR(__xludf.DUMMYFUNCTION("""COMPUTED_VALUE"""),"82DH0531010094000531871")</f>
        <v>82DH0531010094000531871</v>
      </c>
      <c r="B846" s="167" t="str">
        <f ca="1">IFERROR(__xludf.DUMMYFUNCTION("""COMPUTED_VALUE"""),"REGULAR")</f>
        <v>REGULAR</v>
      </c>
      <c r="C846" s="206"/>
      <c r="D846" s="206"/>
      <c r="E846" s="207"/>
      <c r="F846" s="207"/>
      <c r="G846" s="207"/>
      <c r="H846" s="207"/>
      <c r="I846" s="207"/>
      <c r="J846" s="207"/>
      <c r="K846" s="207"/>
      <c r="L846" s="207"/>
      <c r="M846" s="207"/>
      <c r="N846" s="207"/>
      <c r="O846" s="206"/>
    </row>
    <row r="847" spans="1:15" ht="30">
      <c r="A847" s="167" t="str">
        <f ca="1">IFERROR(__xludf.DUMMYFUNCTION("""COMPUTED_VALUE"""),"82DH0511010010000649761")</f>
        <v>82DH0511010010000649761</v>
      </c>
      <c r="B847" s="167" t="str">
        <f ca="1">IFERROR(__xludf.DUMMYFUNCTION("""COMPUTED_VALUE"""),"BUENO")</f>
        <v>BUENO</v>
      </c>
      <c r="C847" s="206"/>
      <c r="D847" s="206"/>
      <c r="E847" s="207"/>
      <c r="F847" s="207"/>
      <c r="G847" s="207"/>
      <c r="H847" s="207"/>
      <c r="I847" s="207"/>
      <c r="J847" s="207"/>
      <c r="K847" s="207"/>
      <c r="L847" s="207"/>
      <c r="M847" s="207"/>
      <c r="N847" s="207"/>
      <c r="O847" s="206"/>
    </row>
    <row r="848" spans="1:15" ht="30">
      <c r="A848" s="167" t="str">
        <f ca="1">IFERROR(__xludf.DUMMYFUNCTION("""COMPUTED_VALUE"""),"82DH0565010001000527018")</f>
        <v>82DH0565010001000527018</v>
      </c>
      <c r="B848" s="167" t="str">
        <f ca="1">IFERROR(__xludf.DUMMYFUNCTION("""COMPUTED_VALUE"""),"MALO")</f>
        <v>MALO</v>
      </c>
      <c r="C848" s="206"/>
      <c r="D848" s="206"/>
      <c r="E848" s="207"/>
      <c r="F848" s="207"/>
      <c r="G848" s="207"/>
      <c r="H848" s="207"/>
      <c r="I848" s="207"/>
      <c r="J848" s="207"/>
      <c r="K848" s="207"/>
      <c r="L848" s="207"/>
      <c r="M848" s="207"/>
      <c r="N848" s="207"/>
      <c r="O848" s="206"/>
    </row>
    <row r="849" spans="1:15" ht="30">
      <c r="A849" s="167" t="str">
        <f ca="1">IFERROR(__xludf.DUMMYFUNCTION("""COMPUTED_VALUE"""),"82DH0515010016000649428")</f>
        <v>82DH0515010016000649428</v>
      </c>
      <c r="B849" s="167" t="str">
        <f ca="1">IFERROR(__xludf.DUMMYFUNCTION("""COMPUTED_VALUE"""),"BUENO")</f>
        <v>BUENO</v>
      </c>
      <c r="C849" s="206"/>
      <c r="D849" s="206"/>
      <c r="E849" s="207"/>
      <c r="F849" s="207"/>
      <c r="G849" s="207"/>
      <c r="H849" s="207"/>
      <c r="I849" s="207"/>
      <c r="J849" s="207"/>
      <c r="K849" s="207"/>
      <c r="L849" s="207"/>
      <c r="M849" s="207"/>
      <c r="N849" s="207"/>
      <c r="O849" s="206"/>
    </row>
    <row r="850" spans="1:15" ht="30">
      <c r="A850" s="167" t="str">
        <f ca="1">IFERROR(__xludf.DUMMYFUNCTION("""COMPUTED_VALUE"""),"SIN RESGUARDO")</f>
        <v>SIN RESGUARDO</v>
      </c>
      <c r="B850" s="167" t="str">
        <f ca="1">IFERROR(__xludf.DUMMYFUNCTION("""COMPUTED_VALUE"""),"BUENO")</f>
        <v>BUENO</v>
      </c>
      <c r="C850" s="206"/>
      <c r="D850" s="206"/>
      <c r="E850" s="207"/>
      <c r="F850" s="207"/>
      <c r="G850" s="207"/>
      <c r="H850" s="207"/>
      <c r="I850" s="207"/>
      <c r="J850" s="207"/>
      <c r="K850" s="207"/>
      <c r="L850" s="207"/>
      <c r="M850" s="207"/>
      <c r="N850" s="207"/>
      <c r="O850" s="206"/>
    </row>
    <row r="851" spans="1:15" ht="30">
      <c r="A851" s="167" t="str">
        <f ca="1">IFERROR(__xludf.DUMMYFUNCTION("""COMPUTED_VALUE"""),"82DH0565010041000543574")</f>
        <v>82DH0565010041000543574</v>
      </c>
      <c r="B851" s="167" t="str">
        <f ca="1">IFERROR(__xludf.DUMMYFUNCTION("""COMPUTED_VALUE"""),"BUENO")</f>
        <v>BUENO</v>
      </c>
      <c r="C851" s="206"/>
      <c r="D851" s="206"/>
      <c r="E851" s="207"/>
      <c r="F851" s="207"/>
      <c r="G851" s="207"/>
      <c r="H851" s="207"/>
      <c r="I851" s="207"/>
      <c r="J851" s="207"/>
      <c r="K851" s="207"/>
      <c r="L851" s="207"/>
      <c r="M851" s="207"/>
      <c r="N851" s="207"/>
      <c r="O851" s="206"/>
    </row>
    <row r="852" spans="1:15" ht="30">
      <c r="A852" s="167" t="str">
        <f ca="1">IFERROR(__xludf.DUMMYFUNCTION("""COMPUTED_VALUE"""),"SIN RESGUARDO")</f>
        <v>SIN RESGUARDO</v>
      </c>
      <c r="B852" s="167" t="str">
        <f ca="1">IFERROR(__xludf.DUMMYFUNCTION("""COMPUTED_VALUE"""),"BUENO")</f>
        <v>BUENO</v>
      </c>
      <c r="C852" s="206"/>
      <c r="D852" s="206"/>
      <c r="E852" s="207"/>
      <c r="F852" s="207"/>
      <c r="G852" s="207"/>
      <c r="H852" s="207"/>
      <c r="I852" s="207"/>
      <c r="J852" s="207"/>
      <c r="K852" s="207"/>
      <c r="L852" s="207"/>
      <c r="M852" s="207"/>
      <c r="N852" s="207"/>
      <c r="O852" s="206"/>
    </row>
    <row r="853" spans="1:15" ht="30">
      <c r="A853" s="167" t="str">
        <f ca="1">IFERROR(__xludf.DUMMYFUNCTION("""COMPUTED_VALUE"""),"82DH0511010009000564544")</f>
        <v>82DH0511010009000564544</v>
      </c>
      <c r="B853" s="167" t="str">
        <f ca="1">IFERROR(__xludf.DUMMYFUNCTION("""COMPUTED_VALUE"""),"BUENO")</f>
        <v>BUENO</v>
      </c>
      <c r="C853" s="206"/>
      <c r="D853" s="206"/>
      <c r="E853" s="207"/>
      <c r="F853" s="207"/>
      <c r="G853" s="207"/>
      <c r="H853" s="207"/>
      <c r="I853" s="207"/>
      <c r="J853" s="207"/>
      <c r="K853" s="207"/>
      <c r="L853" s="207"/>
      <c r="M853" s="207"/>
      <c r="N853" s="207"/>
      <c r="O853" s="206"/>
    </row>
    <row r="854" spans="1:15" ht="30">
      <c r="A854" s="167" t="str">
        <f ca="1">IFERROR(__xludf.DUMMYFUNCTION("""COMPUTED_VALUE"""),"82DH0511010017000516287")</f>
        <v>82DH0511010017000516287</v>
      </c>
      <c r="B854" s="167" t="str">
        <f ca="1">IFERROR(__xludf.DUMMYFUNCTION("""COMPUTED_VALUE"""),"BUENO")</f>
        <v>BUENO</v>
      </c>
      <c r="C854" s="206"/>
      <c r="D854" s="206"/>
      <c r="E854" s="207"/>
      <c r="F854" s="207"/>
      <c r="G854" s="207"/>
      <c r="H854" s="207"/>
      <c r="I854" s="207"/>
      <c r="J854" s="207"/>
      <c r="K854" s="207"/>
      <c r="L854" s="207"/>
      <c r="M854" s="207"/>
      <c r="N854" s="207"/>
      <c r="O854" s="206"/>
    </row>
    <row r="855" spans="1:15" ht="30">
      <c r="A855" s="167" t="str">
        <f ca="1">IFERROR(__xludf.DUMMYFUNCTION("""COMPUTED_VALUE"""),"82DH0511010006000516988")</f>
        <v>82DH0511010006000516988</v>
      </c>
      <c r="B855" s="167" t="str">
        <f ca="1">IFERROR(__xludf.DUMMYFUNCTION("""COMPUTED_VALUE"""),"BUENO")</f>
        <v>BUENO</v>
      </c>
      <c r="C855" s="206"/>
      <c r="D855" s="206"/>
      <c r="E855" s="207"/>
      <c r="F855" s="207"/>
      <c r="G855" s="207"/>
      <c r="H855" s="207"/>
      <c r="I855" s="207"/>
      <c r="J855" s="207"/>
      <c r="K855" s="207"/>
      <c r="L855" s="207"/>
      <c r="M855" s="207"/>
      <c r="N855" s="207"/>
      <c r="O855" s="206"/>
    </row>
    <row r="856" spans="1:15" ht="30">
      <c r="A856" s="167" t="str">
        <f ca="1">IFERROR(__xludf.DUMMYFUNCTION("""COMPUTED_VALUE"""),"82DH0515010016000649412")</f>
        <v>82DH0515010016000649412</v>
      </c>
      <c r="B856" s="167" t="str">
        <f ca="1">IFERROR(__xludf.DUMMYFUNCTION("""COMPUTED_VALUE"""),"BUENO")</f>
        <v>BUENO</v>
      </c>
      <c r="C856" s="206"/>
      <c r="D856" s="206"/>
      <c r="E856" s="207"/>
      <c r="F856" s="207"/>
      <c r="G856" s="207"/>
      <c r="H856" s="207"/>
      <c r="I856" s="207"/>
      <c r="J856" s="207"/>
      <c r="K856" s="207"/>
      <c r="L856" s="207"/>
      <c r="M856" s="207"/>
      <c r="N856" s="207"/>
      <c r="O856" s="206"/>
    </row>
    <row r="857" spans="1:15" ht="30">
      <c r="A857" s="167" t="str">
        <f ca="1">IFERROR(__xludf.DUMMYFUNCTION("""COMPUTED_VALUE"""),"SIN RESGUARDO")</f>
        <v>SIN RESGUARDO</v>
      </c>
      <c r="B857" s="167" t="str">
        <f ca="1">IFERROR(__xludf.DUMMYFUNCTION("""COMPUTED_VALUE"""),"BUENO")</f>
        <v>BUENO</v>
      </c>
      <c r="C857" s="206"/>
      <c r="D857" s="206"/>
      <c r="E857" s="207"/>
      <c r="F857" s="207"/>
      <c r="G857" s="207"/>
      <c r="H857" s="207"/>
      <c r="I857" s="207"/>
      <c r="J857" s="207"/>
      <c r="K857" s="207"/>
      <c r="L857" s="207"/>
      <c r="M857" s="207"/>
      <c r="N857" s="207"/>
      <c r="O857" s="206"/>
    </row>
    <row r="858" spans="1:15" ht="30">
      <c r="A858" s="167" t="str">
        <f ca="1">IFERROR(__xludf.DUMMYFUNCTION("""COMPUTED_VALUE"""),"SIN RESGUARDO")</f>
        <v>SIN RESGUARDO</v>
      </c>
      <c r="B858" s="167" t="str">
        <f ca="1">IFERROR(__xludf.DUMMYFUNCTION("""COMPUTED_VALUE"""),"BUENO")</f>
        <v>BUENO</v>
      </c>
      <c r="C858" s="206"/>
      <c r="D858" s="206"/>
      <c r="E858" s="207"/>
      <c r="F858" s="207"/>
      <c r="G858" s="207"/>
      <c r="H858" s="207"/>
      <c r="I858" s="207"/>
      <c r="J858" s="207"/>
      <c r="K858" s="207"/>
      <c r="L858" s="207"/>
      <c r="M858" s="207"/>
      <c r="N858" s="207"/>
      <c r="O858" s="206"/>
    </row>
    <row r="859" spans="1:15" ht="30">
      <c r="A859" s="167" t="str">
        <f ca="1">IFERROR(__xludf.DUMMYFUNCTION("""COMPUTED_VALUE"""),"82DH0519010043000649770")</f>
        <v>82DH0519010043000649770</v>
      </c>
      <c r="B859" s="167" t="str">
        <f ca="1">IFERROR(__xludf.DUMMYFUNCTION("""COMPUTED_VALUE"""),"MALO")</f>
        <v>MALO</v>
      </c>
      <c r="C859" s="206"/>
      <c r="D859" s="206"/>
      <c r="E859" s="207"/>
      <c r="F859" s="207"/>
      <c r="G859" s="207"/>
      <c r="H859" s="207"/>
      <c r="I859" s="207"/>
      <c r="J859" s="207"/>
      <c r="K859" s="207"/>
      <c r="L859" s="207"/>
      <c r="M859" s="207"/>
      <c r="N859" s="207"/>
      <c r="O859" s="206"/>
    </row>
    <row r="860" spans="1:15" ht="30">
      <c r="A860" s="167" t="str">
        <f ca="1">IFERROR(__xludf.DUMMYFUNCTION("""COMPUTED_VALUE"""),"82DH0531010065000564779")</f>
        <v>82DH0531010065000564779</v>
      </c>
      <c r="B860" s="167" t="str">
        <f ca="1">IFERROR(__xludf.DUMMYFUNCTION("""COMPUTED_VALUE"""),"BUENO")</f>
        <v>BUENO</v>
      </c>
      <c r="C860" s="206"/>
      <c r="D860" s="206"/>
      <c r="E860" s="207"/>
      <c r="F860" s="207"/>
      <c r="G860" s="207"/>
      <c r="H860" s="207"/>
      <c r="I860" s="207"/>
      <c r="J860" s="207"/>
      <c r="K860" s="207"/>
      <c r="L860" s="207"/>
      <c r="M860" s="207"/>
      <c r="N860" s="207"/>
      <c r="O860" s="206"/>
    </row>
    <row r="861" spans="1:15" ht="30">
      <c r="A861" s="167" t="str">
        <f ca="1">IFERROR(__xludf.DUMMYFUNCTION("""COMPUTED_VALUE"""),"SIN RESGUARDO")</f>
        <v>SIN RESGUARDO</v>
      </c>
      <c r="B861" s="167" t="str">
        <f ca="1">IFERROR(__xludf.DUMMYFUNCTION("""COMPUTED_VALUE"""),"BUENO")</f>
        <v>BUENO</v>
      </c>
      <c r="C861" s="206"/>
      <c r="D861" s="206"/>
      <c r="E861" s="207"/>
      <c r="F861" s="207"/>
      <c r="G861" s="207"/>
      <c r="H861" s="207"/>
      <c r="I861" s="207"/>
      <c r="J861" s="207"/>
      <c r="K861" s="207"/>
      <c r="L861" s="207"/>
      <c r="M861" s="207"/>
      <c r="N861" s="207"/>
      <c r="O861" s="206"/>
    </row>
    <row r="862" spans="1:15" ht="30">
      <c r="A862" s="167" t="str">
        <f ca="1">IFERROR(__xludf.DUMMYFUNCTION("""COMPUTED_VALUE"""),"SIN RESGUARDO")</f>
        <v>SIN RESGUARDO</v>
      </c>
      <c r="B862" s="167" t="str">
        <f ca="1">IFERROR(__xludf.DUMMYFUNCTION("""COMPUTED_VALUE"""),"BUENO")</f>
        <v>BUENO</v>
      </c>
      <c r="C862" s="206"/>
      <c r="D862" s="206"/>
      <c r="E862" s="207"/>
      <c r="F862" s="207"/>
      <c r="G862" s="207"/>
      <c r="H862" s="207"/>
      <c r="I862" s="207"/>
      <c r="J862" s="207"/>
      <c r="K862" s="207"/>
      <c r="L862" s="207"/>
      <c r="M862" s="207"/>
      <c r="N862" s="207"/>
      <c r="O862" s="206"/>
    </row>
    <row r="863" spans="1:15" ht="30">
      <c r="A863" s="167" t="str">
        <f ca="1">IFERROR(__xludf.DUMMYFUNCTION("""COMPUTED_VALUE"""),"82DH0531010065000564863")</f>
        <v>82DH0531010065000564863</v>
      </c>
      <c r="B863" s="167" t="str">
        <f ca="1">IFERROR(__xludf.DUMMYFUNCTION("""COMPUTED_VALUE"""),"BUENO")</f>
        <v>BUENO</v>
      </c>
      <c r="C863" s="206"/>
      <c r="D863" s="206"/>
      <c r="E863" s="207"/>
      <c r="F863" s="207"/>
      <c r="G863" s="207"/>
      <c r="H863" s="207"/>
      <c r="I863" s="207"/>
      <c r="J863" s="207"/>
      <c r="K863" s="207"/>
      <c r="L863" s="207"/>
      <c r="M863" s="207"/>
      <c r="N863" s="207"/>
      <c r="O863" s="206"/>
    </row>
    <row r="864" spans="1:15" ht="30">
      <c r="A864" s="167" t="str">
        <f ca="1">IFERROR(__xludf.DUMMYFUNCTION("""COMPUTED_VALUE"""),"82DH0511010017000516232")</f>
        <v>82DH0511010017000516232</v>
      </c>
      <c r="B864" s="167" t="str">
        <f ca="1">IFERROR(__xludf.DUMMYFUNCTION("""COMPUTED_VALUE"""),"REGULAR")</f>
        <v>REGULAR</v>
      </c>
      <c r="C864" s="206"/>
      <c r="D864" s="206"/>
      <c r="E864" s="207"/>
      <c r="F864" s="207"/>
      <c r="G864" s="207"/>
      <c r="H864" s="207"/>
      <c r="I864" s="207"/>
      <c r="J864" s="207"/>
      <c r="K864" s="207"/>
      <c r="L864" s="207"/>
      <c r="M864" s="207"/>
      <c r="N864" s="207"/>
      <c r="O864" s="206"/>
    </row>
    <row r="865" spans="1:15" ht="30">
      <c r="A865" s="167" t="str">
        <f ca="1">IFERROR(__xludf.DUMMYFUNCTION("""COMPUTED_VALUE"""),"82DH0511010017000516228")</f>
        <v>82DH0511010017000516228</v>
      </c>
      <c r="B865" s="167" t="str">
        <f ca="1">IFERROR(__xludf.DUMMYFUNCTION("""COMPUTED_VALUE"""),"MALO")</f>
        <v>MALO</v>
      </c>
      <c r="C865" s="206"/>
      <c r="D865" s="206"/>
      <c r="E865" s="207"/>
      <c r="F865" s="207"/>
      <c r="G865" s="207"/>
      <c r="H865" s="207"/>
      <c r="I865" s="207"/>
      <c r="J865" s="207"/>
      <c r="K865" s="207"/>
      <c r="L865" s="207"/>
      <c r="M865" s="207"/>
      <c r="N865" s="207"/>
      <c r="O865" s="206"/>
    </row>
    <row r="866" spans="1:15" ht="30">
      <c r="A866" s="167" t="str">
        <f ca="1">IFERROR(__xludf.DUMMYFUNCTION("""COMPUTED_VALUE"""),"SIN RESGUARDO")</f>
        <v>SIN RESGUARDO</v>
      </c>
      <c r="B866" s="167" t="str">
        <f ca="1">IFERROR(__xludf.DUMMYFUNCTION("""COMPUTED_VALUE"""),"BUENO")</f>
        <v>BUENO</v>
      </c>
      <c r="C866" s="206"/>
      <c r="D866" s="206"/>
      <c r="E866" s="207"/>
      <c r="F866" s="207"/>
      <c r="G866" s="207"/>
      <c r="H866" s="207"/>
      <c r="I866" s="207"/>
      <c r="J866" s="207"/>
      <c r="K866" s="207"/>
      <c r="L866" s="207"/>
      <c r="M866" s="207"/>
      <c r="N866" s="207"/>
      <c r="O866" s="206"/>
    </row>
    <row r="867" spans="1:15" ht="30">
      <c r="A867" s="167" t="str">
        <f ca="1">IFERROR(__xludf.DUMMYFUNCTION("""COMPUTED_VALUE"""),"82DH0511010010000649525")</f>
        <v>82DH0511010010000649525</v>
      </c>
      <c r="B867" s="167" t="str">
        <f ca="1">IFERROR(__xludf.DUMMYFUNCTION("""COMPUTED_VALUE"""),"BUENO")</f>
        <v>BUENO</v>
      </c>
      <c r="C867" s="206"/>
      <c r="D867" s="206"/>
      <c r="E867" s="207"/>
      <c r="F867" s="207"/>
      <c r="G867" s="207"/>
      <c r="H867" s="207"/>
      <c r="I867" s="207"/>
      <c r="J867" s="207"/>
      <c r="K867" s="207"/>
      <c r="L867" s="207"/>
      <c r="M867" s="207"/>
      <c r="N867" s="207"/>
      <c r="O867" s="206"/>
    </row>
    <row r="868" spans="1:15" ht="30">
      <c r="A868" s="167" t="str">
        <f ca="1">IFERROR(__xludf.DUMMYFUNCTION("""COMPUTED_VALUE"""),"SIN RESGUARDO")</f>
        <v>SIN RESGUARDO</v>
      </c>
      <c r="B868" s="167" t="str">
        <f ca="1">IFERROR(__xludf.DUMMYFUNCTION("""COMPUTED_VALUE"""),"BUENO")</f>
        <v>BUENO</v>
      </c>
      <c r="C868" s="206"/>
      <c r="D868" s="206"/>
      <c r="E868" s="207"/>
      <c r="F868" s="207"/>
      <c r="G868" s="207"/>
      <c r="H868" s="207"/>
      <c r="I868" s="207"/>
      <c r="J868" s="207"/>
      <c r="K868" s="207"/>
      <c r="L868" s="207"/>
      <c r="M868" s="207"/>
      <c r="N868" s="207"/>
      <c r="O868" s="206"/>
    </row>
    <row r="869" spans="1:15" ht="30">
      <c r="A869" s="167" t="str">
        <f ca="1">IFERROR(__xludf.DUMMYFUNCTION("""COMPUTED_VALUE"""),"82DH0511010017000518515")</f>
        <v>82DH0511010017000518515</v>
      </c>
      <c r="B869" s="167" t="str">
        <f ca="1">IFERROR(__xludf.DUMMYFUNCTION("""COMPUTED_VALUE"""),"REGULAR")</f>
        <v>REGULAR</v>
      </c>
      <c r="C869" s="206"/>
      <c r="D869" s="206"/>
      <c r="E869" s="207"/>
      <c r="F869" s="207"/>
      <c r="G869" s="207"/>
      <c r="H869" s="207"/>
      <c r="I869" s="207"/>
      <c r="J869" s="207"/>
      <c r="K869" s="207"/>
      <c r="L869" s="207"/>
      <c r="M869" s="207"/>
      <c r="N869" s="207"/>
      <c r="O869" s="206"/>
    </row>
    <row r="870" spans="1:15" ht="30">
      <c r="A870" s="167" t="str">
        <f ca="1">IFERROR(__xludf.DUMMYFUNCTION("""COMPUTED_VALUE"""),"82DH0511010017000649526")</f>
        <v>82DH0511010017000649526</v>
      </c>
      <c r="B870" s="167" t="str">
        <f ca="1">IFERROR(__xludf.DUMMYFUNCTION("""COMPUTED_VALUE"""),"MALO")</f>
        <v>MALO</v>
      </c>
      <c r="C870" s="206"/>
      <c r="D870" s="206"/>
      <c r="E870" s="207"/>
      <c r="F870" s="207"/>
      <c r="G870" s="207"/>
      <c r="H870" s="207"/>
      <c r="I870" s="207"/>
      <c r="J870" s="207"/>
      <c r="K870" s="207"/>
      <c r="L870" s="207"/>
      <c r="M870" s="207"/>
      <c r="N870" s="207"/>
      <c r="O870" s="206"/>
    </row>
    <row r="871" spans="1:15" ht="30">
      <c r="A871" s="167" t="str">
        <f ca="1">IFERROR(__xludf.DUMMYFUNCTION("""COMPUTED_VALUE"""),"82DH0531010065000580348")</f>
        <v>82DH0531010065000580348</v>
      </c>
      <c r="B871" s="167" t="str">
        <f ca="1">IFERROR(__xludf.DUMMYFUNCTION("""COMPUTED_VALUE"""),"BUENO")</f>
        <v>BUENO</v>
      </c>
      <c r="C871" s="206"/>
      <c r="D871" s="206"/>
      <c r="E871" s="207"/>
      <c r="F871" s="207"/>
      <c r="G871" s="207"/>
      <c r="H871" s="207"/>
      <c r="I871" s="207"/>
      <c r="J871" s="207"/>
      <c r="K871" s="207"/>
      <c r="L871" s="207"/>
      <c r="M871" s="207"/>
      <c r="N871" s="207"/>
      <c r="O871" s="206"/>
    </row>
    <row r="872" spans="1:15" ht="30">
      <c r="A872" s="167" t="str">
        <f ca="1">IFERROR(__xludf.DUMMYFUNCTION("""COMPUTED_VALUE"""),"82DH0531010065000564869")</f>
        <v>82DH0531010065000564869</v>
      </c>
      <c r="B872" s="167" t="str">
        <f ca="1">IFERROR(__xludf.DUMMYFUNCTION("""COMPUTED_VALUE"""),"BUENO")</f>
        <v>BUENO</v>
      </c>
      <c r="C872" s="206"/>
      <c r="D872" s="206"/>
      <c r="E872" s="207"/>
      <c r="F872" s="207"/>
      <c r="G872" s="207"/>
      <c r="H872" s="207"/>
      <c r="I872" s="207"/>
      <c r="J872" s="207"/>
      <c r="K872" s="207"/>
      <c r="L872" s="207"/>
      <c r="M872" s="207"/>
      <c r="N872" s="207"/>
      <c r="O872" s="206"/>
    </row>
    <row r="873" spans="1:15" ht="30">
      <c r="A873" s="167" t="str">
        <f ca="1">IFERROR(__xludf.DUMMYFUNCTION("""COMPUTED_VALUE"""),"82DH0531010065000564861")</f>
        <v>82DH0531010065000564861</v>
      </c>
      <c r="B873" s="167" t="str">
        <f ca="1">IFERROR(__xludf.DUMMYFUNCTION("""COMPUTED_VALUE"""),"BUENO")</f>
        <v>BUENO</v>
      </c>
      <c r="C873" s="206"/>
      <c r="D873" s="206"/>
      <c r="E873" s="207"/>
      <c r="F873" s="207"/>
      <c r="G873" s="207"/>
      <c r="H873" s="207"/>
      <c r="I873" s="207"/>
      <c r="J873" s="207"/>
      <c r="K873" s="207"/>
      <c r="L873" s="207"/>
      <c r="M873" s="207"/>
      <c r="N873" s="207"/>
      <c r="O873" s="206"/>
    </row>
    <row r="874" spans="1:15" ht="30">
      <c r="A874" s="167" t="str">
        <f ca="1">IFERROR(__xludf.DUMMYFUNCTION("""COMPUTED_VALUE"""),"82DH0511010017000516299")</f>
        <v>82DH0511010017000516299</v>
      </c>
      <c r="B874" s="167" t="str">
        <f ca="1">IFERROR(__xludf.DUMMYFUNCTION("""COMPUTED_VALUE"""),"MALO")</f>
        <v>MALO</v>
      </c>
      <c r="C874" s="206"/>
      <c r="D874" s="206"/>
      <c r="E874" s="207"/>
      <c r="F874" s="207"/>
      <c r="G874" s="207"/>
      <c r="H874" s="207"/>
      <c r="I874" s="207"/>
      <c r="J874" s="207"/>
      <c r="K874" s="207"/>
      <c r="L874" s="207"/>
      <c r="M874" s="207"/>
      <c r="N874" s="207"/>
      <c r="O874" s="206"/>
    </row>
    <row r="875" spans="1:15" ht="30">
      <c r="A875" s="167" t="str">
        <f ca="1">IFERROR(__xludf.DUMMYFUNCTION("""COMPUTED_VALUE"""),"82DH0511010017000518533")</f>
        <v>82DH0511010017000518533</v>
      </c>
      <c r="B875" s="167" t="str">
        <f ca="1">IFERROR(__xludf.DUMMYFUNCTION("""COMPUTED_VALUE"""),"REGULAR")</f>
        <v>REGULAR</v>
      </c>
      <c r="C875" s="206"/>
      <c r="D875" s="206"/>
      <c r="E875" s="207"/>
      <c r="F875" s="207"/>
      <c r="G875" s="207"/>
      <c r="H875" s="207"/>
      <c r="I875" s="207"/>
      <c r="J875" s="207"/>
      <c r="K875" s="207"/>
      <c r="L875" s="207"/>
      <c r="M875" s="207"/>
      <c r="N875" s="207"/>
      <c r="O875" s="206"/>
    </row>
    <row r="876" spans="1:15" ht="30">
      <c r="A876" s="167" t="str">
        <f ca="1">IFERROR(__xludf.DUMMYFUNCTION("""COMPUTED_VALUE"""),"82DH0511010017000516234")</f>
        <v>82DH0511010017000516234</v>
      </c>
      <c r="B876" s="167" t="str">
        <f ca="1">IFERROR(__xludf.DUMMYFUNCTION("""COMPUTED_VALUE"""),"REGULAR")</f>
        <v>REGULAR</v>
      </c>
      <c r="C876" s="206"/>
      <c r="D876" s="206"/>
      <c r="E876" s="207"/>
      <c r="F876" s="207"/>
      <c r="G876" s="207"/>
      <c r="H876" s="207"/>
      <c r="I876" s="207"/>
      <c r="J876" s="207"/>
      <c r="K876" s="207"/>
      <c r="L876" s="207"/>
      <c r="M876" s="207"/>
      <c r="N876" s="207"/>
      <c r="O876" s="206"/>
    </row>
    <row r="877" spans="1:15" ht="30">
      <c r="A877" s="167" t="str">
        <f ca="1">IFERROR(__xludf.DUMMYFUNCTION("""COMPUTED_VALUE"""),"82DH0511010017000649523")</f>
        <v>82DH0511010017000649523</v>
      </c>
      <c r="B877" s="167" t="str">
        <f ca="1">IFERROR(__xludf.DUMMYFUNCTION("""COMPUTED_VALUE"""),"REGULAR")</f>
        <v>REGULAR</v>
      </c>
      <c r="C877" s="206"/>
      <c r="D877" s="206"/>
      <c r="E877" s="207"/>
      <c r="F877" s="207"/>
      <c r="G877" s="207"/>
      <c r="H877" s="207"/>
      <c r="I877" s="207"/>
      <c r="J877" s="207"/>
      <c r="K877" s="207"/>
      <c r="L877" s="207"/>
      <c r="M877" s="207"/>
      <c r="N877" s="207"/>
      <c r="O877" s="206"/>
    </row>
    <row r="878" spans="1:15" ht="30">
      <c r="A878" s="167" t="str">
        <f ca="1">IFERROR(__xludf.DUMMYFUNCTION("""COMPUTED_VALUE"""),"82DH0511010017000516282")</f>
        <v>82DH0511010017000516282</v>
      </c>
      <c r="B878" s="167" t="str">
        <f ca="1">IFERROR(__xludf.DUMMYFUNCTION("""COMPUTED_VALUE"""),"REGULAR")</f>
        <v>REGULAR</v>
      </c>
      <c r="C878" s="206"/>
      <c r="D878" s="206"/>
      <c r="E878" s="207"/>
      <c r="F878" s="207"/>
      <c r="G878" s="207"/>
      <c r="H878" s="207"/>
      <c r="I878" s="207"/>
      <c r="J878" s="207"/>
      <c r="K878" s="207"/>
      <c r="L878" s="207"/>
      <c r="M878" s="207"/>
      <c r="N878" s="207"/>
      <c r="O878" s="206"/>
    </row>
    <row r="879" spans="1:15" ht="30">
      <c r="A879" s="167" t="str">
        <f ca="1">IFERROR(__xludf.DUMMYFUNCTION("""COMPUTED_VALUE"""),"82DH0511010017000564587")</f>
        <v>82DH0511010017000564587</v>
      </c>
      <c r="B879" s="167" t="str">
        <f ca="1">IFERROR(__xludf.DUMMYFUNCTION("""COMPUTED_VALUE"""),"REGULAR")</f>
        <v>REGULAR</v>
      </c>
      <c r="C879" s="206"/>
      <c r="D879" s="206"/>
      <c r="E879" s="207"/>
      <c r="F879" s="207"/>
      <c r="G879" s="207"/>
      <c r="H879" s="207"/>
      <c r="I879" s="207"/>
      <c r="J879" s="207"/>
      <c r="K879" s="207"/>
      <c r="L879" s="207"/>
      <c r="M879" s="207"/>
      <c r="N879" s="207"/>
      <c r="O879" s="206"/>
    </row>
    <row r="880" spans="1:15" ht="30">
      <c r="A880" s="167" t="str">
        <f ca="1">IFERROR(__xludf.DUMMYFUNCTION("""COMPUTED_VALUE"""),"82DH0511010017000649508")</f>
        <v>82DH0511010017000649508</v>
      </c>
      <c r="B880" s="167" t="str">
        <f ca="1">IFERROR(__xludf.DUMMYFUNCTION("""COMPUTED_VALUE"""),"REGULAR")</f>
        <v>REGULAR</v>
      </c>
      <c r="C880" s="206"/>
      <c r="D880" s="206"/>
      <c r="E880" s="207"/>
      <c r="F880" s="207"/>
      <c r="G880" s="207"/>
      <c r="H880" s="207"/>
      <c r="I880" s="207"/>
      <c r="J880" s="207"/>
      <c r="K880" s="207"/>
      <c r="L880" s="207"/>
      <c r="M880" s="207"/>
      <c r="N880" s="207"/>
      <c r="O880" s="206"/>
    </row>
    <row r="881" spans="1:15" ht="30">
      <c r="A881" s="167" t="str">
        <f ca="1">IFERROR(__xludf.DUMMYFUNCTION("""COMPUTED_VALUE"""),"82DH0531010065000564831")</f>
        <v>82DH0531010065000564831</v>
      </c>
      <c r="B881" s="167" t="str">
        <f ca="1">IFERROR(__xludf.DUMMYFUNCTION("""COMPUTED_VALUE"""),"BUENO")</f>
        <v>BUENO</v>
      </c>
      <c r="C881" s="206"/>
      <c r="D881" s="206"/>
      <c r="E881" s="207"/>
      <c r="F881" s="207"/>
      <c r="G881" s="207"/>
      <c r="H881" s="207"/>
      <c r="I881" s="207"/>
      <c r="J881" s="207"/>
      <c r="K881" s="207"/>
      <c r="L881" s="207"/>
      <c r="M881" s="207"/>
      <c r="N881" s="207"/>
      <c r="O881" s="206"/>
    </row>
    <row r="882" spans="1:15" ht="30">
      <c r="A882" s="167" t="str">
        <f ca="1">IFERROR(__xludf.DUMMYFUNCTION("""COMPUTED_VALUE"""),"82DH0519010026000649402")</f>
        <v>82DH0519010026000649402</v>
      </c>
      <c r="B882" s="167" t="str">
        <f ca="1">IFERROR(__xludf.DUMMYFUNCTION("""COMPUTED_VALUE"""),"MALO")</f>
        <v>MALO</v>
      </c>
      <c r="C882" s="206"/>
      <c r="D882" s="206"/>
      <c r="E882" s="207"/>
      <c r="F882" s="207"/>
      <c r="G882" s="207"/>
      <c r="H882" s="207"/>
      <c r="I882" s="207"/>
      <c r="J882" s="207"/>
      <c r="K882" s="207"/>
      <c r="L882" s="207"/>
      <c r="M882" s="207"/>
      <c r="N882" s="207"/>
      <c r="O882" s="206"/>
    </row>
    <row r="883" spans="1:15" ht="30">
      <c r="A883" s="167" t="str">
        <f ca="1">IFERROR(__xludf.DUMMYFUNCTION("""COMPUTED_VALUE"""),"82DH0519010026000649375")</f>
        <v>82DH0519010026000649375</v>
      </c>
      <c r="B883" s="167" t="str">
        <f ca="1">IFERROR(__xludf.DUMMYFUNCTION("""COMPUTED_VALUE"""),"BUENO")</f>
        <v>BUENO</v>
      </c>
      <c r="C883" s="206"/>
      <c r="D883" s="206"/>
      <c r="E883" s="207"/>
      <c r="F883" s="207"/>
      <c r="G883" s="207"/>
      <c r="H883" s="207"/>
      <c r="I883" s="207"/>
      <c r="J883" s="207"/>
      <c r="K883" s="207"/>
      <c r="L883" s="207"/>
      <c r="M883" s="207"/>
      <c r="N883" s="207"/>
      <c r="O883" s="206"/>
    </row>
    <row r="884" spans="1:15" ht="30">
      <c r="A884" s="167" t="str">
        <f ca="1">IFERROR(__xludf.DUMMYFUNCTION("""COMPUTED_VALUE"""),"SIN RESGUARDO")</f>
        <v>SIN RESGUARDO</v>
      </c>
      <c r="B884" s="167" t="str">
        <f ca="1">IFERROR(__xludf.DUMMYFUNCTION("""COMPUTED_VALUE"""),"BUENO")</f>
        <v>BUENO</v>
      </c>
      <c r="C884" s="206"/>
      <c r="D884" s="206"/>
      <c r="E884" s="207"/>
      <c r="F884" s="207"/>
      <c r="G884" s="207"/>
      <c r="H884" s="207"/>
      <c r="I884" s="207"/>
      <c r="J884" s="207"/>
      <c r="K884" s="207"/>
      <c r="L884" s="207"/>
      <c r="M884" s="207"/>
      <c r="N884" s="207"/>
      <c r="O884" s="206"/>
    </row>
    <row r="885" spans="1:15" ht="30">
      <c r="A885" s="167" t="str">
        <f ca="1">IFERROR(__xludf.DUMMYFUNCTION("""COMPUTED_VALUE"""),"SIN RESGUARDO")</f>
        <v>SIN RESGUARDO</v>
      </c>
      <c r="B885" s="167" t="str">
        <f ca="1">IFERROR(__xludf.DUMMYFUNCTION("""COMPUTED_VALUE"""),"BUENO")</f>
        <v>BUENO</v>
      </c>
      <c r="C885" s="206"/>
      <c r="D885" s="206"/>
      <c r="E885" s="207"/>
      <c r="F885" s="207"/>
      <c r="G885" s="207"/>
      <c r="H885" s="207"/>
      <c r="I885" s="207"/>
      <c r="J885" s="207"/>
      <c r="K885" s="207"/>
      <c r="L885" s="207"/>
      <c r="M885" s="207"/>
      <c r="N885" s="207"/>
      <c r="O885" s="206"/>
    </row>
    <row r="886" spans="1:15" ht="30">
      <c r="A886" s="167" t="str">
        <f ca="1">IFERROR(__xludf.DUMMYFUNCTION("""COMPUTED_VALUE"""),"82DH0519010036000566458")</f>
        <v>82DH0519010036000566458</v>
      </c>
      <c r="B886" s="167" t="str">
        <f ca="1">IFERROR(__xludf.DUMMYFUNCTION("""COMPUTED_VALUE"""),"BUENO")</f>
        <v>BUENO</v>
      </c>
      <c r="C886" s="206"/>
      <c r="D886" s="206"/>
      <c r="E886" s="207"/>
      <c r="F886" s="207"/>
      <c r="G886" s="207"/>
      <c r="H886" s="207"/>
      <c r="I886" s="207"/>
      <c r="J886" s="207"/>
      <c r="K886" s="207"/>
      <c r="L886" s="207"/>
      <c r="M886" s="207"/>
      <c r="N886" s="207"/>
      <c r="O886" s="206"/>
    </row>
    <row r="887" spans="1:15" ht="30">
      <c r="A887" s="167" t="str">
        <f ca="1">IFERROR(__xludf.DUMMYFUNCTION("""COMPUTED_VALUE"""),"82DH0519010009000535515")</f>
        <v>82DH0519010009000535515</v>
      </c>
      <c r="B887" s="167" t="str">
        <f ca="1">IFERROR(__xludf.DUMMYFUNCTION("""COMPUTED_VALUE"""),"BUENO")</f>
        <v>BUENO</v>
      </c>
      <c r="C887" s="206"/>
      <c r="D887" s="206"/>
      <c r="E887" s="207"/>
      <c r="F887" s="207"/>
      <c r="G887" s="207"/>
      <c r="H887" s="207"/>
      <c r="I887" s="207"/>
      <c r="J887" s="207"/>
      <c r="K887" s="207"/>
      <c r="L887" s="207"/>
      <c r="M887" s="207"/>
      <c r="N887" s="207"/>
      <c r="O887" s="206"/>
    </row>
    <row r="888" spans="1:15" ht="30">
      <c r="A888" s="167" t="str">
        <f ca="1">IFERROR(__xludf.DUMMYFUNCTION("""COMPUTED_VALUE"""),"82DH0512010001000532220")</f>
        <v>82DH0512010001000532220</v>
      </c>
      <c r="B888" s="167" t="str">
        <f ca="1">IFERROR(__xludf.DUMMYFUNCTION("""COMPUTED_VALUE"""),"BUENO")</f>
        <v>BUENO</v>
      </c>
      <c r="C888" s="206"/>
      <c r="D888" s="206"/>
      <c r="E888" s="207"/>
      <c r="F888" s="207"/>
      <c r="G888" s="207"/>
      <c r="H888" s="207"/>
      <c r="I888" s="207"/>
      <c r="J888" s="207"/>
      <c r="K888" s="207"/>
      <c r="L888" s="207"/>
      <c r="M888" s="207"/>
      <c r="N888" s="207"/>
      <c r="O888" s="206"/>
    </row>
    <row r="889" spans="1:15" ht="30">
      <c r="A889" s="167" t="str">
        <f ca="1">IFERROR(__xludf.DUMMYFUNCTION("""COMPUTED_VALUE"""),"82DH0519010016000538166")</f>
        <v>82DH0519010016000538166</v>
      </c>
      <c r="B889" s="167" t="str">
        <f ca="1">IFERROR(__xludf.DUMMYFUNCTION("""COMPUTED_VALUE"""),"BUENO")</f>
        <v>BUENO</v>
      </c>
      <c r="C889" s="206"/>
      <c r="D889" s="206"/>
      <c r="E889" s="207"/>
      <c r="F889" s="207"/>
      <c r="G889" s="207"/>
      <c r="H889" s="207"/>
      <c r="I889" s="207"/>
      <c r="J889" s="207"/>
      <c r="K889" s="207"/>
      <c r="L889" s="207"/>
      <c r="M889" s="207"/>
      <c r="N889" s="207"/>
      <c r="O889" s="206"/>
    </row>
    <row r="890" spans="1:15" ht="30">
      <c r="A890" s="167" t="str">
        <f ca="1">IFERROR(__xludf.DUMMYFUNCTION("""COMPUTED_VALUE"""),"82DH0519010009000535514")</f>
        <v>82DH0519010009000535514</v>
      </c>
      <c r="B890" s="167" t="str">
        <f ca="1">IFERROR(__xludf.DUMMYFUNCTION("""COMPUTED_VALUE"""),"BUENO")</f>
        <v>BUENO</v>
      </c>
      <c r="C890" s="206"/>
      <c r="D890" s="206"/>
      <c r="E890" s="207"/>
      <c r="F890" s="207"/>
      <c r="G890" s="207"/>
      <c r="H890" s="207"/>
      <c r="I890" s="207"/>
      <c r="J890" s="207"/>
      <c r="K890" s="207"/>
      <c r="L890" s="207"/>
      <c r="M890" s="207"/>
      <c r="N890" s="207"/>
      <c r="O890" s="206"/>
    </row>
    <row r="891" spans="1:15" ht="30">
      <c r="A891" s="167" t="str">
        <f ca="1">IFERROR(__xludf.DUMMYFUNCTION("""COMPUTED_VALUE"""),"82DH0511010017000649510")</f>
        <v>82DH0511010017000649510</v>
      </c>
      <c r="B891" s="167" t="str">
        <f ca="1">IFERROR(__xludf.DUMMYFUNCTION("""COMPUTED_VALUE"""),"BUENO")</f>
        <v>BUENO</v>
      </c>
      <c r="C891" s="206"/>
      <c r="D891" s="206"/>
      <c r="E891" s="207"/>
      <c r="F891" s="207"/>
      <c r="G891" s="207"/>
      <c r="H891" s="207"/>
      <c r="I891" s="207"/>
      <c r="J891" s="207"/>
      <c r="K891" s="207"/>
      <c r="L891" s="207"/>
      <c r="M891" s="207"/>
      <c r="N891" s="207"/>
      <c r="O891" s="206"/>
    </row>
    <row r="892" spans="1:15" ht="30">
      <c r="A892" s="167" t="str">
        <f ca="1">IFERROR(__xludf.DUMMYFUNCTION("""COMPUTED_VALUE"""),"82DH0511010017000649512")</f>
        <v>82DH0511010017000649512</v>
      </c>
      <c r="B892" s="167" t="str">
        <f ca="1">IFERROR(__xludf.DUMMYFUNCTION("""COMPUTED_VALUE"""),"BUENO")</f>
        <v>BUENO</v>
      </c>
      <c r="C892" s="206"/>
      <c r="D892" s="206"/>
      <c r="E892" s="207"/>
      <c r="F892" s="207"/>
      <c r="G892" s="207"/>
      <c r="H892" s="207"/>
      <c r="I892" s="207"/>
      <c r="J892" s="207"/>
      <c r="K892" s="207"/>
      <c r="L892" s="207"/>
      <c r="M892" s="207"/>
      <c r="N892" s="207"/>
      <c r="O892" s="206"/>
    </row>
    <row r="893" spans="1:15" ht="30">
      <c r="A893" s="167" t="str">
        <f ca="1">IFERROR(__xludf.DUMMYFUNCTION("""COMPUTED_VALUE"""),"82DH0511010017000651083")</f>
        <v>82DH0511010017000651083</v>
      </c>
      <c r="B893" s="167" t="str">
        <f ca="1">IFERROR(__xludf.DUMMYFUNCTION("""COMPUTED_VALUE"""),"BUENO")</f>
        <v>BUENO</v>
      </c>
      <c r="C893" s="206"/>
      <c r="D893" s="206"/>
      <c r="E893" s="207"/>
      <c r="F893" s="207"/>
      <c r="G893" s="207"/>
      <c r="H893" s="207"/>
      <c r="I893" s="207"/>
      <c r="J893" s="207"/>
      <c r="K893" s="207"/>
      <c r="L893" s="207"/>
      <c r="M893" s="207"/>
      <c r="N893" s="207"/>
      <c r="O893" s="206"/>
    </row>
    <row r="894" spans="1:15" ht="30">
      <c r="A894" s="167" t="str">
        <f ca="1">IFERROR(__xludf.DUMMYFUNCTION("""COMPUTED_VALUE"""),"82DH0511010017000651082")</f>
        <v>82DH0511010017000651082</v>
      </c>
      <c r="B894" s="167" t="str">
        <f ca="1">IFERROR(__xludf.DUMMYFUNCTION("""COMPUTED_VALUE"""),"BUENO")</f>
        <v>BUENO</v>
      </c>
      <c r="C894" s="206"/>
      <c r="D894" s="206"/>
      <c r="E894" s="207"/>
      <c r="F894" s="207"/>
      <c r="G894" s="207"/>
      <c r="H894" s="207"/>
      <c r="I894" s="207"/>
      <c r="J894" s="207"/>
      <c r="K894" s="207"/>
      <c r="L894" s="207"/>
      <c r="M894" s="207"/>
      <c r="N894" s="207"/>
      <c r="O894" s="206"/>
    </row>
    <row r="895" spans="1:15" ht="30">
      <c r="A895" s="167" t="str">
        <f ca="1">IFERROR(__xludf.DUMMYFUNCTION("""COMPUTED_VALUE"""),"82DH0511010017000651081")</f>
        <v>82DH0511010017000651081</v>
      </c>
      <c r="B895" s="167" t="str">
        <f ca="1">IFERROR(__xludf.DUMMYFUNCTION("""COMPUTED_VALUE"""),"BUENO")</f>
        <v>BUENO</v>
      </c>
      <c r="C895" s="206"/>
      <c r="D895" s="206"/>
      <c r="E895" s="207"/>
      <c r="F895" s="207"/>
      <c r="G895" s="207"/>
      <c r="H895" s="207"/>
      <c r="I895" s="207"/>
      <c r="J895" s="207"/>
      <c r="K895" s="207"/>
      <c r="L895" s="207"/>
      <c r="M895" s="207"/>
      <c r="N895" s="207"/>
      <c r="O895" s="206"/>
    </row>
    <row r="896" spans="1:15" ht="30">
      <c r="A896" s="167" t="str">
        <f ca="1">IFERROR(__xludf.DUMMYFUNCTION("""COMPUTED_VALUE"""),"82DH0511010017000651080")</f>
        <v>82DH0511010017000651080</v>
      </c>
      <c r="B896" s="167" t="str">
        <f ca="1">IFERROR(__xludf.DUMMYFUNCTION("""COMPUTED_VALUE"""),"BUENO")</f>
        <v>BUENO</v>
      </c>
      <c r="C896" s="206"/>
      <c r="D896" s="206"/>
      <c r="E896" s="207"/>
      <c r="F896" s="207"/>
      <c r="G896" s="207"/>
      <c r="H896" s="207"/>
      <c r="I896" s="207"/>
      <c r="J896" s="207"/>
      <c r="K896" s="207"/>
      <c r="L896" s="207"/>
      <c r="M896" s="207"/>
      <c r="N896" s="207"/>
      <c r="O896" s="206"/>
    </row>
    <row r="897" spans="1:15" ht="30">
      <c r="A897" s="167" t="str">
        <f ca="1">IFERROR(__xludf.DUMMYFUNCTION("""COMPUTED_VALUE"""),"82DH0511010017000651079")</f>
        <v>82DH0511010017000651079</v>
      </c>
      <c r="B897" s="167" t="str">
        <f ca="1">IFERROR(__xludf.DUMMYFUNCTION("""COMPUTED_VALUE"""),"BUENO")</f>
        <v>BUENO</v>
      </c>
      <c r="C897" s="206"/>
      <c r="D897" s="206"/>
      <c r="E897" s="207"/>
      <c r="F897" s="207"/>
      <c r="G897" s="207"/>
      <c r="H897" s="207"/>
      <c r="I897" s="207"/>
      <c r="J897" s="207"/>
      <c r="K897" s="207"/>
      <c r="L897" s="207"/>
      <c r="M897" s="207"/>
      <c r="N897" s="207"/>
      <c r="O897" s="206"/>
    </row>
    <row r="898" spans="1:15" ht="30">
      <c r="A898" s="167" t="str">
        <f ca="1">IFERROR(__xludf.DUMMYFUNCTION("""COMPUTED_VALUE"""),"82DH0511010017000651078")</f>
        <v>82DH0511010017000651078</v>
      </c>
      <c r="B898" s="167" t="str">
        <f ca="1">IFERROR(__xludf.DUMMYFUNCTION("""COMPUTED_VALUE"""),"BUENO")</f>
        <v>BUENO</v>
      </c>
      <c r="C898" s="206"/>
      <c r="D898" s="206"/>
      <c r="E898" s="207"/>
      <c r="F898" s="207"/>
      <c r="G898" s="207"/>
      <c r="H898" s="207"/>
      <c r="I898" s="207"/>
      <c r="J898" s="207"/>
      <c r="K898" s="207"/>
      <c r="L898" s="207"/>
      <c r="M898" s="207"/>
      <c r="N898" s="207"/>
      <c r="O898" s="206"/>
    </row>
    <row r="899" spans="1:15" ht="30">
      <c r="A899" s="167" t="str">
        <f ca="1">IFERROR(__xludf.DUMMYFUNCTION("""COMPUTED_VALUE"""),"82DH0511010017000651077")</f>
        <v>82DH0511010017000651077</v>
      </c>
      <c r="B899" s="167" t="str">
        <f ca="1">IFERROR(__xludf.DUMMYFUNCTION("""COMPUTED_VALUE"""),"BUENO")</f>
        <v>BUENO</v>
      </c>
      <c r="C899" s="206"/>
      <c r="D899" s="206"/>
      <c r="E899" s="207"/>
      <c r="F899" s="207"/>
      <c r="G899" s="207"/>
      <c r="H899" s="207"/>
      <c r="I899" s="207"/>
      <c r="J899" s="207"/>
      <c r="K899" s="207"/>
      <c r="L899" s="207"/>
      <c r="M899" s="207"/>
      <c r="N899" s="207"/>
      <c r="O899" s="206"/>
    </row>
    <row r="900" spans="1:15" ht="30">
      <c r="A900" s="167" t="str">
        <f ca="1">IFERROR(__xludf.DUMMYFUNCTION("""COMPUTED_VALUE"""),"82DH0511010017000651076")</f>
        <v>82DH0511010017000651076</v>
      </c>
      <c r="B900" s="167" t="str">
        <f ca="1">IFERROR(__xludf.DUMMYFUNCTION("""COMPUTED_VALUE"""),"BUENO")</f>
        <v>BUENO</v>
      </c>
      <c r="C900" s="206"/>
      <c r="D900" s="206"/>
      <c r="E900" s="207"/>
      <c r="F900" s="207"/>
      <c r="G900" s="207"/>
      <c r="H900" s="207"/>
      <c r="I900" s="207"/>
      <c r="J900" s="207"/>
      <c r="K900" s="207"/>
      <c r="L900" s="207"/>
      <c r="M900" s="207"/>
      <c r="N900" s="207"/>
      <c r="O900" s="206"/>
    </row>
    <row r="901" spans="1:15" ht="30">
      <c r="A901" s="167" t="str">
        <f ca="1">IFERROR(__xludf.DUMMYFUNCTION("""COMPUTED_VALUE"""),"82DH0511010017000651075")</f>
        <v>82DH0511010017000651075</v>
      </c>
      <c r="B901" s="167" t="str">
        <f ca="1">IFERROR(__xludf.DUMMYFUNCTION("""COMPUTED_VALUE"""),"BUENO")</f>
        <v>BUENO</v>
      </c>
      <c r="C901" s="206"/>
      <c r="D901" s="206"/>
      <c r="E901" s="207"/>
      <c r="F901" s="207"/>
      <c r="G901" s="207"/>
      <c r="H901" s="207"/>
      <c r="I901" s="207"/>
      <c r="J901" s="207"/>
      <c r="K901" s="207"/>
      <c r="L901" s="207"/>
      <c r="M901" s="207"/>
      <c r="N901" s="207"/>
      <c r="O901" s="206"/>
    </row>
    <row r="902" spans="1:15" ht="30">
      <c r="A902" s="167" t="str">
        <f ca="1">IFERROR(__xludf.DUMMYFUNCTION("""COMPUTED_VALUE"""),"82DH0511010017000651074")</f>
        <v>82DH0511010017000651074</v>
      </c>
      <c r="B902" s="167" t="str">
        <f ca="1">IFERROR(__xludf.DUMMYFUNCTION("""COMPUTED_VALUE"""),"BUENO")</f>
        <v>BUENO</v>
      </c>
      <c r="C902" s="206"/>
      <c r="D902" s="206"/>
      <c r="E902" s="207"/>
      <c r="F902" s="207"/>
      <c r="G902" s="207"/>
      <c r="H902" s="207"/>
      <c r="I902" s="207"/>
      <c r="J902" s="207"/>
      <c r="K902" s="207"/>
      <c r="L902" s="207"/>
      <c r="M902" s="207"/>
      <c r="N902" s="207"/>
      <c r="O902" s="206"/>
    </row>
    <row r="903" spans="1:15" ht="30">
      <c r="A903" s="167" t="str">
        <f ca="1">IFERROR(__xludf.DUMMYFUNCTION("""COMPUTED_VALUE"""),"82DH0511010017000651072")</f>
        <v>82DH0511010017000651072</v>
      </c>
      <c r="B903" s="167" t="str">
        <f ca="1">IFERROR(__xludf.DUMMYFUNCTION("""COMPUTED_VALUE"""),"BUENO")</f>
        <v>BUENO</v>
      </c>
      <c r="C903" s="206"/>
      <c r="D903" s="206"/>
      <c r="E903" s="207"/>
      <c r="F903" s="207"/>
      <c r="G903" s="207"/>
      <c r="H903" s="207"/>
      <c r="I903" s="207"/>
      <c r="J903" s="207"/>
      <c r="K903" s="207"/>
      <c r="L903" s="207"/>
      <c r="M903" s="207"/>
      <c r="N903" s="207"/>
      <c r="O903" s="206"/>
    </row>
    <row r="904" spans="1:15" ht="30">
      <c r="A904" s="167" t="str">
        <f ca="1">IFERROR(__xludf.DUMMYFUNCTION("""COMPUTED_VALUE"""),"82DH0511010017000649509")</f>
        <v>82DH0511010017000649509</v>
      </c>
      <c r="B904" s="167" t="str">
        <f ca="1">IFERROR(__xludf.DUMMYFUNCTION("""COMPUTED_VALUE"""),"BUENO")</f>
        <v>BUENO</v>
      </c>
      <c r="C904" s="206"/>
      <c r="D904" s="206"/>
      <c r="E904" s="207"/>
      <c r="F904" s="207"/>
      <c r="G904" s="207"/>
      <c r="H904" s="207"/>
      <c r="I904" s="207"/>
      <c r="J904" s="207"/>
      <c r="K904" s="207"/>
      <c r="L904" s="207"/>
      <c r="M904" s="207"/>
      <c r="N904" s="207"/>
      <c r="O904" s="206"/>
    </row>
    <row r="905" spans="1:15" ht="30">
      <c r="A905" s="167" t="str">
        <f ca="1">IFERROR(__xludf.DUMMYFUNCTION("""COMPUTED_VALUE"""),"82DH0511010017000651073")</f>
        <v>82DH0511010017000651073</v>
      </c>
      <c r="B905" s="167" t="str">
        <f ca="1">IFERROR(__xludf.DUMMYFUNCTION("""COMPUTED_VALUE"""),"BUENO")</f>
        <v>BUENO</v>
      </c>
      <c r="C905" s="206"/>
      <c r="D905" s="206"/>
      <c r="E905" s="207"/>
      <c r="F905" s="207"/>
      <c r="G905" s="207"/>
      <c r="H905" s="207"/>
      <c r="I905" s="207"/>
      <c r="J905" s="207"/>
      <c r="K905" s="207"/>
      <c r="L905" s="207"/>
      <c r="M905" s="207"/>
      <c r="N905" s="207"/>
      <c r="O905" s="206"/>
    </row>
    <row r="906" spans="1:15" ht="30">
      <c r="A906" s="167" t="str">
        <f ca="1">IFERROR(__xludf.DUMMYFUNCTION("""COMPUTED_VALUE"""),"82DH0511010017000516345")</f>
        <v>82DH0511010017000516345</v>
      </c>
      <c r="B906" s="167" t="str">
        <f ca="1">IFERROR(__xludf.DUMMYFUNCTION("""COMPUTED_VALUE"""),"BUENO")</f>
        <v>BUENO</v>
      </c>
      <c r="C906" s="206"/>
      <c r="D906" s="206"/>
      <c r="E906" s="207"/>
      <c r="F906" s="207"/>
      <c r="G906" s="207"/>
      <c r="H906" s="207"/>
      <c r="I906" s="207"/>
      <c r="J906" s="207"/>
      <c r="K906" s="207"/>
      <c r="L906" s="207"/>
      <c r="M906" s="207"/>
      <c r="N906" s="207"/>
      <c r="O906" s="206"/>
    </row>
    <row r="907" spans="1:15" ht="30">
      <c r="A907" s="167" t="str">
        <f ca="1">IFERROR(__xludf.DUMMYFUNCTION("""COMPUTED_VALUE"""),"82DK0511010017000518523")</f>
        <v>82DK0511010017000518523</v>
      </c>
      <c r="B907" s="167" t="str">
        <f ca="1">IFERROR(__xludf.DUMMYFUNCTION("""COMPUTED_VALUE"""),"REGULAR")</f>
        <v>REGULAR</v>
      </c>
      <c r="C907" s="206"/>
      <c r="D907" s="206"/>
      <c r="E907" s="207"/>
      <c r="F907" s="207"/>
      <c r="G907" s="207"/>
      <c r="H907" s="207"/>
      <c r="I907" s="207"/>
      <c r="J907" s="207"/>
      <c r="K907" s="207"/>
      <c r="L907" s="207"/>
      <c r="M907" s="207"/>
      <c r="N907" s="207"/>
      <c r="O907" s="206"/>
    </row>
    <row r="908" spans="1:15" ht="30">
      <c r="A908" s="167" t="str">
        <f ca="1">IFERROR(__xludf.DUMMYFUNCTION("""COMPUTED_VALUE"""),"82DH0519010009000535596")</f>
        <v>82DH0519010009000535596</v>
      </c>
      <c r="B908" s="167" t="str">
        <f ca="1">IFERROR(__xludf.DUMMYFUNCTION("""COMPUTED_VALUE"""),"BUENO")</f>
        <v>BUENO</v>
      </c>
      <c r="C908" s="206"/>
      <c r="D908" s="206"/>
      <c r="E908" s="207"/>
      <c r="F908" s="207"/>
      <c r="G908" s="207"/>
      <c r="H908" s="207"/>
      <c r="I908" s="207"/>
      <c r="J908" s="207"/>
      <c r="K908" s="207"/>
      <c r="L908" s="207"/>
      <c r="M908" s="207"/>
      <c r="N908" s="207"/>
      <c r="O908" s="206"/>
    </row>
    <row r="909" spans="1:15" ht="30">
      <c r="A909" s="167" t="str">
        <f ca="1">IFERROR(__xludf.DUMMYFUNCTION("""COMPUTED_VALUE"""),"82DH0511010004000518490")</f>
        <v>82DH0511010004000518490</v>
      </c>
      <c r="B909" s="167" t="str">
        <f ca="1">IFERROR(__xludf.DUMMYFUNCTION("""COMPUTED_VALUE"""),"BUENO")</f>
        <v>BUENO</v>
      </c>
      <c r="C909" s="206"/>
      <c r="D909" s="206"/>
      <c r="E909" s="207"/>
      <c r="F909" s="207"/>
      <c r="G909" s="207"/>
      <c r="H909" s="207"/>
      <c r="I909" s="207"/>
      <c r="J909" s="207"/>
      <c r="K909" s="207"/>
      <c r="L909" s="207"/>
      <c r="M909" s="207"/>
      <c r="N909" s="207"/>
      <c r="O909" s="206"/>
    </row>
    <row r="910" spans="1:15" ht="30">
      <c r="A910" s="167" t="str">
        <f ca="1">IFERROR(__xludf.DUMMYFUNCTION("""COMPUTED_VALUE"""),"82DH0511010017000651393")</f>
        <v>82DH0511010017000651393</v>
      </c>
      <c r="B910" s="167" t="str">
        <f ca="1">IFERROR(__xludf.DUMMYFUNCTION("""COMPUTED_VALUE"""),"BUENO")</f>
        <v>BUENO</v>
      </c>
      <c r="C910" s="206"/>
      <c r="D910" s="206"/>
      <c r="E910" s="207"/>
      <c r="F910" s="207"/>
      <c r="G910" s="207"/>
      <c r="H910" s="207"/>
      <c r="I910" s="207"/>
      <c r="J910" s="207"/>
      <c r="K910" s="207"/>
      <c r="L910" s="207"/>
      <c r="M910" s="207"/>
      <c r="N910" s="207"/>
      <c r="O910" s="206"/>
    </row>
    <row r="911" spans="1:15" ht="30">
      <c r="A911" s="167" t="str">
        <f ca="1">IFERROR(__xludf.DUMMYFUNCTION("""COMPUTED_VALUE"""),"82DH0511010006000583444")</f>
        <v>82DH0511010006000583444</v>
      </c>
      <c r="B911" s="167" t="str">
        <f ca="1">IFERROR(__xludf.DUMMYFUNCTION("""COMPUTED_VALUE"""),"BUENO")</f>
        <v>BUENO</v>
      </c>
      <c r="C911" s="206"/>
      <c r="D911" s="206"/>
      <c r="E911" s="207"/>
      <c r="F911" s="207"/>
      <c r="G911" s="207"/>
      <c r="H911" s="207"/>
      <c r="I911" s="207"/>
      <c r="J911" s="207"/>
      <c r="K911" s="207"/>
      <c r="L911" s="207"/>
      <c r="M911" s="207"/>
      <c r="N911" s="207"/>
      <c r="O911" s="206"/>
    </row>
    <row r="912" spans="1:15" ht="30">
      <c r="A912" s="167" t="str">
        <f ca="1">IFERROR(__xludf.DUMMYFUNCTION("""COMPUTED_VALUE"""),"82DH0529030003000651381")</f>
        <v>82DH0529030003000651381</v>
      </c>
      <c r="B912" s="167" t="str">
        <f ca="1">IFERROR(__xludf.DUMMYFUNCTION("""COMPUTED_VALUE"""),"BUENO")</f>
        <v>BUENO</v>
      </c>
      <c r="C912" s="206"/>
      <c r="D912" s="206"/>
      <c r="E912" s="207"/>
      <c r="F912" s="207"/>
      <c r="G912" s="207"/>
      <c r="H912" s="207"/>
      <c r="I912" s="207"/>
      <c r="J912" s="207"/>
      <c r="K912" s="207"/>
      <c r="L912" s="207"/>
      <c r="M912" s="207"/>
      <c r="N912" s="207"/>
      <c r="O912" s="206"/>
    </row>
    <row r="913" spans="1:15" ht="30">
      <c r="A913" s="167" t="str">
        <f ca="1">IFERROR(__xludf.DUMMYFUNCTION("""COMPUTED_VALUE"""),"82DH0564010006000583948")</f>
        <v>82DH0564010006000583948</v>
      </c>
      <c r="B913" s="167" t="str">
        <f ca="1">IFERROR(__xludf.DUMMYFUNCTION("""COMPUTED_VALUE"""),"BUENO")</f>
        <v>BUENO</v>
      </c>
      <c r="C913" s="206"/>
      <c r="D913" s="206"/>
      <c r="E913" s="207"/>
      <c r="F913" s="207"/>
      <c r="G913" s="207"/>
      <c r="H913" s="207"/>
      <c r="I913" s="207"/>
      <c r="J913" s="207"/>
      <c r="K913" s="207"/>
      <c r="L913" s="207"/>
      <c r="M913" s="207"/>
      <c r="N913" s="207"/>
      <c r="O913" s="206"/>
    </row>
    <row r="914" spans="1:15" ht="30">
      <c r="A914" s="167" t="str">
        <f ca="1">IFERROR(__xludf.DUMMYFUNCTION("""COMPUTED_VALUE"""),"82DH0512010023000517047")</f>
        <v>82DH0512010023000517047</v>
      </c>
      <c r="B914" s="167" t="str">
        <f ca="1">IFERROR(__xludf.DUMMYFUNCTION("""COMPUTED_VALUE"""),"BUENO")</f>
        <v>BUENO</v>
      </c>
      <c r="C914" s="206"/>
      <c r="D914" s="206"/>
      <c r="E914" s="207"/>
      <c r="F914" s="207"/>
      <c r="G914" s="207"/>
      <c r="H914" s="207"/>
      <c r="I914" s="207"/>
      <c r="J914" s="207"/>
      <c r="K914" s="207"/>
      <c r="L914" s="207"/>
      <c r="M914" s="207"/>
      <c r="N914" s="207"/>
      <c r="O914" s="206"/>
    </row>
    <row r="915" spans="1:15" ht="30">
      <c r="A915" s="167" t="str">
        <f ca="1">IFERROR(__xludf.DUMMYFUNCTION("""COMPUTED_VALUE"""),"82DH0511010027000566240")</f>
        <v>82DH0511010027000566240</v>
      </c>
      <c r="B915" s="167" t="str">
        <f ca="1">IFERROR(__xludf.DUMMYFUNCTION("""COMPUTED_VALUE"""),"BUENO")</f>
        <v>BUENO</v>
      </c>
      <c r="C915" s="206"/>
      <c r="D915" s="206"/>
      <c r="E915" s="207"/>
      <c r="F915" s="207"/>
      <c r="G915" s="207"/>
      <c r="H915" s="207"/>
      <c r="I915" s="207"/>
      <c r="J915" s="207"/>
      <c r="K915" s="207"/>
      <c r="L915" s="207"/>
      <c r="M915" s="207"/>
      <c r="N915" s="207"/>
      <c r="O915" s="206"/>
    </row>
    <row r="916" spans="1:15" ht="30">
      <c r="A916" s="167" t="str">
        <f ca="1">IFERROR(__xludf.DUMMYFUNCTION("""COMPUTED_VALUE"""),"82DH0531010065000564745")</f>
        <v>82DH0531010065000564745</v>
      </c>
      <c r="B916" s="167" t="str">
        <f ca="1">IFERROR(__xludf.DUMMYFUNCTION("""COMPUTED_VALUE"""),"BUENO")</f>
        <v>BUENO</v>
      </c>
      <c r="C916" s="206"/>
      <c r="D916" s="206"/>
      <c r="E916" s="207"/>
      <c r="F916" s="207"/>
      <c r="G916" s="207"/>
      <c r="H916" s="207"/>
      <c r="I916" s="207"/>
      <c r="J916" s="207"/>
      <c r="K916" s="207"/>
      <c r="L916" s="207"/>
      <c r="M916" s="207"/>
      <c r="N916" s="207"/>
      <c r="O916" s="206"/>
    </row>
    <row r="917" spans="1:15" ht="30">
      <c r="A917" s="167" t="str">
        <f ca="1">IFERROR(__xludf.DUMMYFUNCTION("""COMPUTED_VALUE"""),"82DH0511010008000518495")</f>
        <v>82DH0511010008000518495</v>
      </c>
      <c r="B917" s="167" t="str">
        <f ca="1">IFERROR(__xludf.DUMMYFUNCTION("""COMPUTED_VALUE"""),"BUENO")</f>
        <v>BUENO</v>
      </c>
      <c r="C917" s="206"/>
      <c r="D917" s="206"/>
      <c r="E917" s="207"/>
      <c r="F917" s="207"/>
      <c r="G917" s="207"/>
      <c r="H917" s="207"/>
      <c r="I917" s="207"/>
      <c r="J917" s="207"/>
      <c r="K917" s="207"/>
      <c r="L917" s="207"/>
      <c r="M917" s="207"/>
      <c r="N917" s="207"/>
      <c r="O917" s="206"/>
    </row>
    <row r="918" spans="1:15" ht="30">
      <c r="A918" s="167" t="str">
        <f ca="1">IFERROR(__xludf.DUMMYFUNCTION("""COMPUTED_VALUE"""),"82DH0531010065000564743")</f>
        <v>82DH0531010065000564743</v>
      </c>
      <c r="B918" s="167" t="str">
        <f ca="1">IFERROR(__xludf.DUMMYFUNCTION("""COMPUTED_VALUE"""),"BUENO")</f>
        <v>BUENO</v>
      </c>
      <c r="C918" s="206"/>
      <c r="D918" s="206"/>
      <c r="E918" s="207"/>
      <c r="F918" s="207"/>
      <c r="G918" s="207"/>
      <c r="H918" s="207"/>
      <c r="I918" s="207"/>
      <c r="J918" s="207"/>
      <c r="K918" s="207"/>
      <c r="L918" s="207"/>
      <c r="M918" s="207"/>
      <c r="N918" s="207"/>
      <c r="O918" s="206"/>
    </row>
    <row r="919" spans="1:15" ht="30">
      <c r="A919" s="167" t="str">
        <f ca="1">IFERROR(__xludf.DUMMYFUNCTION("""COMPUTED_VALUE"""),"82DH0521010005000516948")</f>
        <v>82DH0521010005000516948</v>
      </c>
      <c r="B919" s="167" t="str">
        <f ca="1">IFERROR(__xludf.DUMMYFUNCTION("""COMPUTED_VALUE"""),"BUENO")</f>
        <v>BUENO</v>
      </c>
      <c r="C919" s="206"/>
      <c r="D919" s="206"/>
      <c r="E919" s="207"/>
      <c r="F919" s="207"/>
      <c r="G919" s="207"/>
      <c r="H919" s="207"/>
      <c r="I919" s="207"/>
      <c r="J919" s="207"/>
      <c r="K919" s="207"/>
      <c r="L919" s="207"/>
      <c r="M919" s="207"/>
      <c r="N919" s="207"/>
      <c r="O919" s="206"/>
    </row>
    <row r="920" spans="1:15" ht="30">
      <c r="A920" s="167" t="str">
        <f ca="1">IFERROR(__xludf.DUMMYFUNCTION("""COMPUTED_VALUE"""),"82DH0511010008000518497")</f>
        <v>82DH0511010008000518497</v>
      </c>
      <c r="B920" s="167" t="str">
        <f ca="1">IFERROR(__xludf.DUMMYFUNCTION("""COMPUTED_VALUE"""),"BUENO")</f>
        <v>BUENO</v>
      </c>
      <c r="C920" s="206"/>
      <c r="D920" s="206"/>
      <c r="E920" s="207"/>
      <c r="F920" s="207"/>
      <c r="G920" s="207"/>
      <c r="H920" s="207"/>
      <c r="I920" s="207"/>
      <c r="J920" s="207"/>
      <c r="K920" s="207"/>
      <c r="L920" s="207"/>
      <c r="M920" s="207"/>
      <c r="N920" s="207"/>
      <c r="O920" s="206"/>
    </row>
    <row r="921" spans="1:15" ht="30">
      <c r="A921" s="167" t="str">
        <f ca="1">IFERROR(__xludf.DUMMYFUNCTION("""COMPUTED_VALUE"""),"82DH0531010065000564747")</f>
        <v>82DH0531010065000564747</v>
      </c>
      <c r="B921" s="167" t="str">
        <f ca="1">IFERROR(__xludf.DUMMYFUNCTION("""COMPUTED_VALUE"""),"BUENO")</f>
        <v>BUENO</v>
      </c>
      <c r="C921" s="206"/>
      <c r="D921" s="206"/>
      <c r="E921" s="207"/>
      <c r="F921" s="207"/>
      <c r="G921" s="207"/>
      <c r="H921" s="207"/>
      <c r="I921" s="207"/>
      <c r="J921" s="207"/>
      <c r="K921" s="207"/>
      <c r="L921" s="207"/>
      <c r="M921" s="207"/>
      <c r="N921" s="207"/>
      <c r="O921" s="206"/>
    </row>
    <row r="922" spans="1:15" ht="30">
      <c r="A922" s="167" t="str">
        <f ca="1">IFERROR(__xludf.DUMMYFUNCTION("""COMPUTED_VALUE"""),"82DH0511010005000518491")</f>
        <v>82DH0511010005000518491</v>
      </c>
      <c r="B922" s="167" t="str">
        <f ca="1">IFERROR(__xludf.DUMMYFUNCTION("""COMPUTED_VALUE"""),"BUENO")</f>
        <v>BUENO</v>
      </c>
      <c r="C922" s="206"/>
      <c r="D922" s="206"/>
      <c r="E922" s="207"/>
      <c r="F922" s="207"/>
      <c r="G922" s="207"/>
      <c r="H922" s="207"/>
      <c r="I922" s="207"/>
      <c r="J922" s="207"/>
      <c r="K922" s="207"/>
      <c r="L922" s="207"/>
      <c r="M922" s="207"/>
      <c r="N922" s="207"/>
      <c r="O922" s="206"/>
    </row>
    <row r="923" spans="1:15" ht="30">
      <c r="A923" s="167" t="str">
        <f ca="1">IFERROR(__xludf.DUMMYFUNCTION("""COMPUTED_VALUE"""),"82DH0511010006000583460")</f>
        <v>82DH0511010006000583460</v>
      </c>
      <c r="B923" s="167" t="str">
        <f ca="1">IFERROR(__xludf.DUMMYFUNCTION("""COMPUTED_VALUE"""),"BUENO")</f>
        <v>BUENO</v>
      </c>
      <c r="C923" s="206"/>
      <c r="D923" s="206"/>
      <c r="E923" s="207"/>
      <c r="F923" s="207"/>
      <c r="G923" s="207"/>
      <c r="H923" s="207"/>
      <c r="I923" s="207"/>
      <c r="J923" s="207"/>
      <c r="K923" s="207"/>
      <c r="L923" s="207"/>
      <c r="M923" s="207"/>
      <c r="N923" s="207"/>
      <c r="O923" s="206"/>
    </row>
    <row r="924" spans="1:15" ht="30">
      <c r="A924" s="167" t="str">
        <f ca="1">IFERROR(__xludf.DUMMYFUNCTION("""COMPUTED_VALUE"""),"82DH0531010065000564749")</f>
        <v>82DH0531010065000564749</v>
      </c>
      <c r="B924" s="167" t="str">
        <f ca="1">IFERROR(__xludf.DUMMYFUNCTION("""COMPUTED_VALUE"""),"BUENO")</f>
        <v>BUENO</v>
      </c>
      <c r="C924" s="206"/>
      <c r="D924" s="206"/>
      <c r="E924" s="207"/>
      <c r="F924" s="207"/>
      <c r="G924" s="207"/>
      <c r="H924" s="207"/>
      <c r="I924" s="207"/>
      <c r="J924" s="207"/>
      <c r="K924" s="207"/>
      <c r="L924" s="207"/>
      <c r="M924" s="207"/>
      <c r="N924" s="207"/>
      <c r="O924" s="206"/>
    </row>
    <row r="925" spans="1:15" ht="30">
      <c r="A925" s="167" t="str">
        <f ca="1">IFERROR(__xludf.DUMMYFUNCTION("""COMPUTED_VALUE"""),"82DH0512010018000651391")</f>
        <v>82DH0512010018000651391</v>
      </c>
      <c r="B925" s="167" t="str">
        <f ca="1">IFERROR(__xludf.DUMMYFUNCTION("""COMPUTED_VALUE"""),"BUENO")</f>
        <v>BUENO</v>
      </c>
      <c r="C925" s="206"/>
      <c r="D925" s="206"/>
      <c r="E925" s="207"/>
      <c r="F925" s="207"/>
      <c r="G925" s="207"/>
      <c r="H925" s="207"/>
      <c r="I925" s="207"/>
      <c r="J925" s="207"/>
      <c r="K925" s="207"/>
      <c r="L925" s="207"/>
      <c r="M925" s="207"/>
      <c r="N925" s="207"/>
      <c r="O925" s="206"/>
    </row>
    <row r="926" spans="1:15" ht="30">
      <c r="A926" s="167" t="str">
        <f ca="1">IFERROR(__xludf.DUMMYFUNCTION("""COMPUTED_VALUE"""),"SIN RESGUARDO")</f>
        <v>SIN RESGUARDO</v>
      </c>
      <c r="B926" s="167" t="str">
        <f ca="1">IFERROR(__xludf.DUMMYFUNCTION("""COMPUTED_VALUE"""),"BUENO")</f>
        <v>BUENO</v>
      </c>
      <c r="C926" s="206"/>
      <c r="D926" s="206"/>
      <c r="E926" s="207"/>
      <c r="F926" s="207"/>
      <c r="G926" s="207"/>
      <c r="H926" s="207"/>
      <c r="I926" s="207"/>
      <c r="J926" s="207"/>
      <c r="K926" s="207"/>
      <c r="L926" s="207"/>
      <c r="M926" s="207"/>
      <c r="N926" s="207"/>
      <c r="O926" s="206"/>
    </row>
    <row r="927" spans="1:15" ht="30">
      <c r="A927" s="167" t="str">
        <f ca="1">IFERROR(__xludf.DUMMYFUNCTION("""COMPUTED_VALUE"""),"SIN RESGUARDO")</f>
        <v>SIN RESGUARDO</v>
      </c>
      <c r="B927" s="167" t="str">
        <f ca="1">IFERROR(__xludf.DUMMYFUNCTION("""COMPUTED_VALUE"""),"BUENO")</f>
        <v>BUENO</v>
      </c>
      <c r="C927" s="206"/>
      <c r="D927" s="206"/>
      <c r="E927" s="207"/>
      <c r="F927" s="207"/>
      <c r="G927" s="207"/>
      <c r="H927" s="207"/>
      <c r="I927" s="207"/>
      <c r="J927" s="207"/>
      <c r="K927" s="207"/>
      <c r="L927" s="207"/>
      <c r="M927" s="207"/>
      <c r="N927" s="207"/>
      <c r="O927" s="206"/>
    </row>
    <row r="928" spans="1:15" ht="30">
      <c r="A928" s="167" t="str">
        <f ca="1">IFERROR(__xludf.DUMMYFUNCTION("""COMPUTED_VALUE"""),"SIN RESGUARDO")</f>
        <v>SIN RESGUARDO</v>
      </c>
      <c r="B928" s="167" t="str">
        <f ca="1">IFERROR(__xludf.DUMMYFUNCTION("""COMPUTED_VALUE"""),"BUENO")</f>
        <v>BUENO</v>
      </c>
      <c r="C928" s="206"/>
      <c r="D928" s="206"/>
      <c r="E928" s="207"/>
      <c r="F928" s="207"/>
      <c r="G928" s="207"/>
      <c r="H928" s="207"/>
      <c r="I928" s="207"/>
      <c r="J928" s="207"/>
      <c r="K928" s="207"/>
      <c r="L928" s="207"/>
      <c r="M928" s="207"/>
      <c r="N928" s="207"/>
      <c r="O928" s="206"/>
    </row>
    <row r="929" spans="1:15" ht="30">
      <c r="A929" s="167" t="str">
        <f ca="1">IFERROR(__xludf.DUMMYFUNCTION("""COMPUTED_VALUE"""),"82DH0511010006000518492")</f>
        <v>82DH0511010006000518492</v>
      </c>
      <c r="B929" s="167" t="str">
        <f ca="1">IFERROR(__xludf.DUMMYFUNCTION("""COMPUTED_VALUE"""),"BUENO")</f>
        <v>BUENO</v>
      </c>
      <c r="C929" s="206"/>
      <c r="D929" s="206"/>
      <c r="E929" s="207"/>
      <c r="F929" s="207"/>
      <c r="G929" s="207"/>
      <c r="H929" s="207"/>
      <c r="I929" s="207"/>
      <c r="J929" s="207"/>
      <c r="K929" s="207"/>
      <c r="L929" s="207"/>
      <c r="M929" s="207"/>
      <c r="N929" s="207"/>
      <c r="O929" s="206"/>
    </row>
    <row r="930" spans="1:15" ht="30">
      <c r="A930" s="167" t="str">
        <f ca="1">IFERROR(__xludf.DUMMYFUNCTION("""COMPUTED_VALUE"""),"82DH0511010016000564565")</f>
        <v>82DH0511010016000564565</v>
      </c>
      <c r="B930" s="167" t="str">
        <f ca="1">IFERROR(__xludf.DUMMYFUNCTION("""COMPUTED_VALUE"""),"BUENO")</f>
        <v>BUENO</v>
      </c>
      <c r="C930" s="206"/>
      <c r="D930" s="206"/>
      <c r="E930" s="207"/>
      <c r="F930" s="207"/>
      <c r="G930" s="207"/>
      <c r="H930" s="207"/>
      <c r="I930" s="207"/>
      <c r="J930" s="207"/>
      <c r="K930" s="207"/>
      <c r="L930" s="207"/>
      <c r="M930" s="207"/>
      <c r="N930" s="207"/>
      <c r="O930" s="206"/>
    </row>
    <row r="931" spans="1:15" ht="30">
      <c r="A931" s="167" t="str">
        <f ca="1">IFERROR(__xludf.DUMMYFUNCTION("""COMPUTED_VALUE"""),"82DH0511010016000516018")</f>
        <v>82DH0511010016000516018</v>
      </c>
      <c r="B931" s="167" t="str">
        <f ca="1">IFERROR(__xludf.DUMMYFUNCTION("""COMPUTED_VALUE"""),"BUENO")</f>
        <v>BUENO</v>
      </c>
      <c r="C931" s="206"/>
      <c r="D931" s="206"/>
      <c r="E931" s="207"/>
      <c r="F931" s="207"/>
      <c r="G931" s="207"/>
      <c r="H931" s="207"/>
      <c r="I931" s="207"/>
      <c r="J931" s="207"/>
      <c r="K931" s="207"/>
      <c r="L931" s="207"/>
      <c r="M931" s="207"/>
      <c r="N931" s="207"/>
      <c r="O931" s="206"/>
    </row>
    <row r="932" spans="1:15" ht="30">
      <c r="A932" s="167" t="str">
        <f ca="1">IFERROR(__xludf.DUMMYFUNCTION("""COMPUTED_VALUE"""),"82DH0511010016000516009")</f>
        <v>82DH0511010016000516009</v>
      </c>
      <c r="B932" s="167" t="str">
        <f ca="1">IFERROR(__xludf.DUMMYFUNCTION("""COMPUTED_VALUE"""),"BUENO")</f>
        <v>BUENO</v>
      </c>
      <c r="C932" s="206"/>
      <c r="D932" s="206"/>
      <c r="E932" s="207"/>
      <c r="F932" s="207"/>
      <c r="G932" s="207"/>
      <c r="H932" s="207"/>
      <c r="I932" s="207"/>
      <c r="J932" s="207"/>
      <c r="K932" s="207"/>
      <c r="L932" s="207"/>
      <c r="M932" s="207"/>
      <c r="N932" s="207"/>
      <c r="O932" s="206"/>
    </row>
    <row r="933" spans="1:15" ht="30">
      <c r="A933" s="167" t="str">
        <f ca="1">IFERROR(__xludf.DUMMYFUNCTION("""COMPUTED_VALUE"""),"82DH0511010017000651103")</f>
        <v>82DH0511010017000651103</v>
      </c>
      <c r="B933" s="167" t="str">
        <f ca="1">IFERROR(__xludf.DUMMYFUNCTION("""COMPUTED_VALUE"""),"BUENO")</f>
        <v>BUENO</v>
      </c>
      <c r="C933" s="206"/>
      <c r="D933" s="206"/>
      <c r="E933" s="207"/>
      <c r="F933" s="207"/>
      <c r="G933" s="207"/>
      <c r="H933" s="207"/>
      <c r="I933" s="207"/>
      <c r="J933" s="207"/>
      <c r="K933" s="207"/>
      <c r="L933" s="207"/>
      <c r="M933" s="207"/>
      <c r="N933" s="207"/>
      <c r="O933" s="206"/>
    </row>
    <row r="934" spans="1:15" ht="30">
      <c r="A934" s="167" t="str">
        <f ca="1">IFERROR(__xludf.DUMMYFUNCTION("""COMPUTED_VALUE"""),"82DH0511010027000566232")</f>
        <v>82DH0511010027000566232</v>
      </c>
      <c r="B934" s="167" t="str">
        <f ca="1">IFERROR(__xludf.DUMMYFUNCTION("""COMPUTED_VALUE"""),"BUENO")</f>
        <v>BUENO</v>
      </c>
      <c r="C934" s="206"/>
      <c r="D934" s="206"/>
      <c r="E934" s="207"/>
      <c r="F934" s="207"/>
      <c r="G934" s="207"/>
      <c r="H934" s="207"/>
      <c r="I934" s="207"/>
      <c r="J934" s="207"/>
      <c r="K934" s="207"/>
      <c r="L934" s="207"/>
      <c r="M934" s="207"/>
      <c r="N934" s="207"/>
      <c r="O934" s="206"/>
    </row>
    <row r="935" spans="1:15" ht="30">
      <c r="A935" s="167" t="str">
        <f ca="1">IFERROR(__xludf.DUMMYFUNCTION("""COMPUTED_VALUE"""),"82DH0531010065000564847")</f>
        <v>82DH0531010065000564847</v>
      </c>
      <c r="B935" s="167" t="str">
        <f ca="1">IFERROR(__xludf.DUMMYFUNCTION("""COMPUTED_VALUE"""),"BUENO")</f>
        <v>BUENO</v>
      </c>
      <c r="C935" s="206"/>
      <c r="D935" s="206"/>
      <c r="E935" s="207"/>
      <c r="F935" s="207"/>
      <c r="G935" s="207"/>
      <c r="H935" s="207"/>
      <c r="I935" s="207"/>
      <c r="J935" s="207"/>
      <c r="K935" s="207"/>
      <c r="L935" s="207"/>
      <c r="M935" s="207"/>
      <c r="N935" s="207"/>
      <c r="O935" s="206"/>
    </row>
    <row r="936" spans="1:15" ht="30">
      <c r="A936" s="167" t="str">
        <f ca="1">IFERROR(__xludf.DUMMYFUNCTION("""COMPUTED_VALUE"""),"82DH0515010010000519362")</f>
        <v>82DH0515010010000519362</v>
      </c>
      <c r="B936" s="167" t="str">
        <f ca="1">IFERROR(__xludf.DUMMYFUNCTION("""COMPUTED_VALUE"""),"BUENO")</f>
        <v>BUENO</v>
      </c>
      <c r="C936" s="206"/>
      <c r="D936" s="206"/>
      <c r="E936" s="207"/>
      <c r="F936" s="207"/>
      <c r="G936" s="207"/>
      <c r="H936" s="207"/>
      <c r="I936" s="207"/>
      <c r="J936" s="207"/>
      <c r="K936" s="207"/>
      <c r="L936" s="207"/>
      <c r="M936" s="207"/>
      <c r="N936" s="207"/>
      <c r="O936" s="206"/>
    </row>
    <row r="937" spans="1:15" ht="30">
      <c r="A937" s="167" t="str">
        <f ca="1">IFERROR(__xludf.DUMMYFUNCTION("""COMPUTED_VALUE"""),"82DH0515010016000649416")</f>
        <v>82DH0515010016000649416</v>
      </c>
      <c r="B937" s="167" t="str">
        <f ca="1">IFERROR(__xludf.DUMMYFUNCTION("""COMPUTED_VALUE"""),"BUENO")</f>
        <v>BUENO</v>
      </c>
      <c r="C937" s="206"/>
      <c r="D937" s="206"/>
      <c r="E937" s="207"/>
      <c r="F937" s="207"/>
      <c r="G937" s="207"/>
      <c r="H937" s="207"/>
      <c r="I937" s="207"/>
      <c r="J937" s="207"/>
      <c r="K937" s="207"/>
      <c r="L937" s="207"/>
      <c r="M937" s="207"/>
      <c r="N937" s="207"/>
      <c r="O937" s="206"/>
    </row>
    <row r="938" spans="1:15" ht="30">
      <c r="A938" s="167" t="str">
        <f ca="1">IFERROR(__xludf.DUMMYFUNCTION("""COMPUTED_VALUE"""),"82DH0565010001000527285")</f>
        <v>82DH0565010001000527285</v>
      </c>
      <c r="B938" s="167" t="str">
        <f ca="1">IFERROR(__xludf.DUMMYFUNCTION("""COMPUTED_VALUE"""),"BUENO")</f>
        <v>BUENO</v>
      </c>
      <c r="C938" s="206"/>
      <c r="D938" s="206"/>
      <c r="E938" s="207"/>
      <c r="F938" s="207"/>
      <c r="G938" s="207"/>
      <c r="H938" s="207"/>
      <c r="I938" s="207"/>
      <c r="J938" s="207"/>
      <c r="K938" s="207"/>
      <c r="L938" s="207"/>
      <c r="M938" s="207"/>
      <c r="N938" s="207"/>
      <c r="O938" s="206"/>
    </row>
    <row r="939" spans="1:15" ht="30">
      <c r="A939" s="167" t="str">
        <f ca="1">IFERROR(__xludf.DUMMYFUNCTION("""COMPUTED_VALUE"""),"82DH0515010003000649646")</f>
        <v>82DH0515010003000649646</v>
      </c>
      <c r="B939" s="167" t="str">
        <f ca="1">IFERROR(__xludf.DUMMYFUNCTION("""COMPUTED_VALUE"""),"BUENO")</f>
        <v>BUENO</v>
      </c>
      <c r="C939" s="206"/>
      <c r="D939" s="206"/>
      <c r="E939" s="207"/>
      <c r="F939" s="207"/>
      <c r="G939" s="207"/>
      <c r="H939" s="207"/>
      <c r="I939" s="207"/>
      <c r="J939" s="207"/>
      <c r="K939" s="207"/>
      <c r="L939" s="207"/>
      <c r="M939" s="207"/>
      <c r="N939" s="207"/>
      <c r="O939" s="206"/>
    </row>
    <row r="940" spans="1:15" ht="30">
      <c r="A940" s="167" t="str">
        <f ca="1">IFERROR(__xludf.DUMMYFUNCTION("""COMPUTED_VALUE"""),"82DH0531010065000564773")</f>
        <v>82DH0531010065000564773</v>
      </c>
      <c r="B940" s="167" t="str">
        <f ca="1">IFERROR(__xludf.DUMMYFUNCTION("""COMPUTED_VALUE"""),"BUENO")</f>
        <v>BUENO</v>
      </c>
      <c r="C940" s="206"/>
      <c r="D940" s="206"/>
      <c r="E940" s="207"/>
      <c r="F940" s="207"/>
      <c r="G940" s="207"/>
      <c r="H940" s="207"/>
      <c r="I940" s="207"/>
      <c r="J940" s="207"/>
      <c r="K940" s="207"/>
      <c r="L940" s="207"/>
      <c r="M940" s="207"/>
      <c r="N940" s="207"/>
      <c r="O940" s="206"/>
    </row>
    <row r="941" spans="1:15" ht="30">
      <c r="A941" s="167" t="str">
        <f ca="1">IFERROR(__xludf.DUMMYFUNCTION("""COMPUTED_VALUE"""),"82DH0511010017000651101")</f>
        <v>82DH0511010017000651101</v>
      </c>
      <c r="B941" s="167" t="str">
        <f ca="1">IFERROR(__xludf.DUMMYFUNCTION("""COMPUTED_VALUE"""),"BAJA")</f>
        <v>BAJA</v>
      </c>
      <c r="C941" s="206"/>
      <c r="D941" s="206"/>
      <c r="E941" s="207"/>
      <c r="F941" s="207"/>
      <c r="G941" s="207"/>
      <c r="H941" s="207"/>
      <c r="I941" s="207"/>
      <c r="J941" s="207"/>
      <c r="K941" s="207"/>
      <c r="L941" s="207"/>
      <c r="M941" s="207"/>
      <c r="N941" s="207"/>
      <c r="O941" s="206"/>
    </row>
    <row r="942" spans="1:15" ht="30">
      <c r="A942" s="167" t="str">
        <f ca="1">IFERROR(__xludf.DUMMYFUNCTION("""COMPUTED_VALUE"""),"82DH0511010017000516235")</f>
        <v>82DH0511010017000516235</v>
      </c>
      <c r="B942" s="167" t="str">
        <f ca="1">IFERROR(__xludf.DUMMYFUNCTION("""COMPUTED_VALUE"""),"BUENO")</f>
        <v>BUENO</v>
      </c>
      <c r="C942" s="206"/>
      <c r="D942" s="206"/>
      <c r="E942" s="207"/>
      <c r="F942" s="207"/>
      <c r="G942" s="207"/>
      <c r="H942" s="207"/>
      <c r="I942" s="207"/>
      <c r="J942" s="207"/>
      <c r="K942" s="207"/>
      <c r="L942" s="207"/>
      <c r="M942" s="207"/>
      <c r="N942" s="207"/>
      <c r="O942" s="206"/>
    </row>
    <row r="943" spans="1:15" ht="30">
      <c r="A943" s="167" t="str">
        <f ca="1">IFERROR(__xludf.DUMMYFUNCTION("""COMPUTED_VALUE"""),"82DH0531010065000564797")</f>
        <v>82DH0531010065000564797</v>
      </c>
      <c r="B943" s="167" t="str">
        <f ca="1">IFERROR(__xludf.DUMMYFUNCTION("""COMPUTED_VALUE"""),"BUENO")</f>
        <v>BUENO</v>
      </c>
      <c r="C943" s="206"/>
      <c r="D943" s="206"/>
      <c r="E943" s="207"/>
      <c r="F943" s="207"/>
      <c r="G943" s="207"/>
      <c r="H943" s="207"/>
      <c r="I943" s="207"/>
      <c r="J943" s="207"/>
      <c r="K943" s="207"/>
      <c r="L943" s="207"/>
      <c r="M943" s="207"/>
      <c r="N943" s="207"/>
      <c r="O943" s="206"/>
    </row>
    <row r="944" spans="1:15" ht="30">
      <c r="A944" s="167" t="str">
        <f ca="1">IFERROR(__xludf.DUMMYFUNCTION("""COMPUTED_VALUE"""),"82DH0515010020000565749")</f>
        <v>82DH0515010020000565749</v>
      </c>
      <c r="B944" s="167" t="str">
        <f ca="1">IFERROR(__xludf.DUMMYFUNCTION("""COMPUTED_VALUE"""),"BUENO")</f>
        <v>BUENO</v>
      </c>
      <c r="C944" s="206"/>
      <c r="D944" s="206"/>
      <c r="E944" s="207"/>
      <c r="F944" s="207"/>
      <c r="G944" s="207"/>
      <c r="H944" s="207"/>
      <c r="I944" s="207"/>
      <c r="J944" s="207"/>
      <c r="K944" s="207"/>
      <c r="L944" s="207"/>
      <c r="M944" s="207"/>
      <c r="N944" s="207"/>
      <c r="O944" s="206"/>
    </row>
    <row r="945" spans="1:15" ht="30">
      <c r="A945" s="167" t="str">
        <f ca="1">IFERROR(__xludf.DUMMYFUNCTION("""COMPUTED_VALUE"""),"82DH0512010011000564517")</f>
        <v>82DH0512010011000564517</v>
      </c>
      <c r="B945" s="167" t="str">
        <f ca="1">IFERROR(__xludf.DUMMYFUNCTION("""COMPUTED_VALUE"""),"BUENO")</f>
        <v>BUENO</v>
      </c>
      <c r="C945" s="206"/>
      <c r="D945" s="206"/>
      <c r="E945" s="207"/>
      <c r="F945" s="207"/>
      <c r="G945" s="207"/>
      <c r="H945" s="207"/>
      <c r="I945" s="207"/>
      <c r="J945" s="207"/>
      <c r="K945" s="207"/>
      <c r="L945" s="207"/>
      <c r="M945" s="207"/>
      <c r="N945" s="207"/>
      <c r="O945" s="206"/>
    </row>
    <row r="946" spans="1:15" ht="30">
      <c r="A946" s="167" t="str">
        <f ca="1">IFERROR(__xludf.DUMMYFUNCTION("""COMPUTED_VALUE"""),"82DH0511010008000518496")</f>
        <v>82DH0511010008000518496</v>
      </c>
      <c r="B946" s="167" t="str">
        <f ca="1">IFERROR(__xludf.DUMMYFUNCTION("""COMPUTED_VALUE"""),"BUENO")</f>
        <v>BUENO</v>
      </c>
      <c r="C946" s="206"/>
      <c r="D946" s="206"/>
      <c r="E946" s="207"/>
      <c r="F946" s="207"/>
      <c r="G946" s="207"/>
      <c r="H946" s="207"/>
      <c r="I946" s="207"/>
      <c r="J946" s="207"/>
      <c r="K946" s="207"/>
      <c r="L946" s="207"/>
      <c r="M946" s="207"/>
      <c r="N946" s="207"/>
      <c r="O946" s="206"/>
    </row>
    <row r="947" spans="1:15" ht="30">
      <c r="A947" s="167" t="str">
        <f ca="1">IFERROR(__xludf.DUMMYFUNCTION("""COMPUTED_VALUE"""),"82DH0531010065000564799")</f>
        <v>82DH0531010065000564799</v>
      </c>
      <c r="B947" s="167" t="str">
        <f ca="1">IFERROR(__xludf.DUMMYFUNCTION("""COMPUTED_VALUE"""),"BUENO")</f>
        <v>BUENO</v>
      </c>
      <c r="C947" s="206"/>
      <c r="D947" s="206"/>
      <c r="E947" s="207"/>
      <c r="F947" s="207"/>
      <c r="G947" s="207"/>
      <c r="H947" s="207"/>
      <c r="I947" s="207"/>
      <c r="J947" s="207"/>
      <c r="K947" s="207"/>
      <c r="L947" s="207"/>
      <c r="M947" s="207"/>
      <c r="N947" s="207"/>
      <c r="O947" s="206"/>
    </row>
    <row r="948" spans="1:15" ht="30">
      <c r="A948" s="167" t="str">
        <f ca="1">IFERROR(__xludf.DUMMYFUNCTION("""COMPUTED_VALUE"""),"82DH0531010065000564784")</f>
        <v>82DH0531010065000564784</v>
      </c>
      <c r="B948" s="167" t="str">
        <f ca="1">IFERROR(__xludf.DUMMYFUNCTION("""COMPUTED_VALUE"""),"BUENO")</f>
        <v>BUENO</v>
      </c>
      <c r="C948" s="206"/>
      <c r="D948" s="206"/>
      <c r="E948" s="207"/>
      <c r="F948" s="207"/>
      <c r="G948" s="207"/>
      <c r="H948" s="207"/>
      <c r="I948" s="207"/>
      <c r="J948" s="207"/>
      <c r="K948" s="207"/>
      <c r="L948" s="207"/>
      <c r="M948" s="207"/>
      <c r="N948" s="207"/>
      <c r="O948" s="206"/>
    </row>
    <row r="949" spans="1:15" ht="30">
      <c r="A949" s="167" t="str">
        <f ca="1">IFERROR(__xludf.DUMMYFUNCTION("""COMPUTED_VALUE"""),"SIN RESGUARDO")</f>
        <v>SIN RESGUARDO</v>
      </c>
      <c r="B949" s="167" t="str">
        <f ca="1">IFERROR(__xludf.DUMMYFUNCTION("""COMPUTED_VALUE"""),"BUENO")</f>
        <v>BUENO</v>
      </c>
      <c r="C949" s="206"/>
      <c r="D949" s="206"/>
      <c r="E949" s="207"/>
      <c r="F949" s="207"/>
      <c r="G949" s="207"/>
      <c r="H949" s="207"/>
      <c r="I949" s="207"/>
      <c r="J949" s="207"/>
      <c r="K949" s="207"/>
      <c r="L949" s="207"/>
      <c r="M949" s="207"/>
      <c r="N949" s="207"/>
      <c r="O949" s="206"/>
    </row>
    <row r="950" spans="1:15" ht="30">
      <c r="A950" s="167" t="str">
        <f ca="1">IFERROR(__xludf.DUMMYFUNCTION("""COMPUTED_VALUE"""),"82DH0529030004000583305")</f>
        <v>82DH0529030004000583305</v>
      </c>
      <c r="B950" s="167" t="str">
        <f ca="1">IFERROR(__xludf.DUMMYFUNCTION("""COMPUTED_VALUE"""),"BUENO")</f>
        <v>BUENO</v>
      </c>
      <c r="C950" s="206"/>
      <c r="D950" s="206"/>
      <c r="E950" s="207"/>
      <c r="F950" s="207"/>
      <c r="G950" s="207"/>
      <c r="H950" s="207"/>
      <c r="I950" s="207"/>
      <c r="J950" s="207"/>
      <c r="K950" s="207"/>
      <c r="L950" s="207"/>
      <c r="M950" s="207"/>
      <c r="N950" s="207"/>
      <c r="O950" s="206"/>
    </row>
    <row r="951" spans="1:15" ht="30">
      <c r="A951" s="167" t="str">
        <f ca="1">IFERROR(__xludf.DUMMYFUNCTION("""COMPUTED_VALUE"""),"82DH0531010076000651384")</f>
        <v>82DH0531010076000651384</v>
      </c>
      <c r="B951" s="167" t="str">
        <f ca="1">IFERROR(__xludf.DUMMYFUNCTION("""COMPUTED_VALUE"""),"BUENO")</f>
        <v>BUENO</v>
      </c>
      <c r="C951" s="206"/>
      <c r="D951" s="206"/>
      <c r="E951" s="207"/>
      <c r="F951" s="207"/>
      <c r="G951" s="207"/>
      <c r="H951" s="207"/>
      <c r="I951" s="207"/>
      <c r="J951" s="207"/>
      <c r="K951" s="207"/>
      <c r="L951" s="207"/>
      <c r="M951" s="207"/>
      <c r="N951" s="207"/>
      <c r="O951" s="206"/>
    </row>
    <row r="952" spans="1:15" ht="30">
      <c r="A952" s="167" t="str">
        <f ca="1">IFERROR(__xludf.DUMMYFUNCTION("""COMPUTED_VALUE"""),"82DH0564010006000535311")</f>
        <v>82DH0564010006000535311</v>
      </c>
      <c r="B952" s="167" t="str">
        <f ca="1">IFERROR(__xludf.DUMMYFUNCTION("""COMPUTED_VALUE"""),"BUENO")</f>
        <v>BUENO</v>
      </c>
      <c r="C952" s="206"/>
      <c r="D952" s="206"/>
      <c r="E952" s="207"/>
      <c r="F952" s="207"/>
      <c r="G952" s="207"/>
      <c r="H952" s="207"/>
      <c r="I952" s="207"/>
      <c r="J952" s="207"/>
      <c r="K952" s="207"/>
      <c r="L952" s="207"/>
      <c r="M952" s="207"/>
      <c r="N952" s="207"/>
      <c r="O952" s="206"/>
    </row>
    <row r="953" spans="1:15" ht="30">
      <c r="A953" s="167" t="str">
        <f ca="1">IFERROR(__xludf.DUMMYFUNCTION("""COMPUTED_VALUE"""),"82DH0511010016000516015")</f>
        <v>82DH0511010016000516015</v>
      </c>
      <c r="B953" s="167" t="str">
        <f ca="1">IFERROR(__xludf.DUMMYFUNCTION("""COMPUTED_VALUE"""),"BUENO")</f>
        <v>BUENO</v>
      </c>
      <c r="C953" s="206"/>
      <c r="D953" s="206"/>
      <c r="E953" s="207"/>
      <c r="F953" s="207"/>
      <c r="G953" s="207"/>
      <c r="H953" s="207"/>
      <c r="I953" s="207"/>
      <c r="J953" s="207"/>
      <c r="K953" s="207"/>
      <c r="L953" s="207"/>
      <c r="M953" s="207"/>
      <c r="N953" s="207"/>
      <c r="O953" s="206"/>
    </row>
    <row r="954" spans="1:15" ht="30">
      <c r="A954" s="167" t="str">
        <f ca="1">IFERROR(__xludf.DUMMYFUNCTION("""COMPUTED_VALUE"""),"82DH0511010016000518500")</f>
        <v>82DH0511010016000518500</v>
      </c>
      <c r="B954" s="167" t="str">
        <f ca="1">IFERROR(__xludf.DUMMYFUNCTION("""COMPUTED_VALUE"""),"BUENO")</f>
        <v>BUENO</v>
      </c>
      <c r="C954" s="206"/>
      <c r="D954" s="206"/>
      <c r="E954" s="207"/>
      <c r="F954" s="207"/>
      <c r="G954" s="207"/>
      <c r="H954" s="207"/>
      <c r="I954" s="207"/>
      <c r="J954" s="207"/>
      <c r="K954" s="207"/>
      <c r="L954" s="207"/>
      <c r="M954" s="207"/>
      <c r="N954" s="207"/>
      <c r="O954" s="206"/>
    </row>
    <row r="955" spans="1:15" ht="30">
      <c r="A955" s="167" t="str">
        <f ca="1">IFERROR(__xludf.DUMMYFUNCTION("""COMPUTED_VALUE"""),"82DH0511010016000564555")</f>
        <v>82DH0511010016000564555</v>
      </c>
      <c r="B955" s="167" t="str">
        <f ca="1">IFERROR(__xludf.DUMMYFUNCTION("""COMPUTED_VALUE"""),"BUENO")</f>
        <v>BUENO</v>
      </c>
      <c r="C955" s="206"/>
      <c r="D955" s="206"/>
      <c r="E955" s="207"/>
      <c r="F955" s="207"/>
      <c r="G955" s="207"/>
      <c r="H955" s="207"/>
      <c r="I955" s="207"/>
      <c r="J955" s="207"/>
      <c r="K955" s="207"/>
      <c r="L955" s="207"/>
      <c r="M955" s="207"/>
      <c r="N955" s="207"/>
      <c r="O955" s="206"/>
    </row>
    <row r="956" spans="1:15" ht="30">
      <c r="A956" s="167" t="str">
        <f ca="1">IFERROR(__xludf.DUMMYFUNCTION("""COMPUTED_VALUE"""),"82DH0511010016000517128")</f>
        <v>82DH0511010016000517128</v>
      </c>
      <c r="B956" s="167" t="str">
        <f ca="1">IFERROR(__xludf.DUMMYFUNCTION("""COMPUTED_VALUE"""),"BUENO")</f>
        <v>BUENO</v>
      </c>
      <c r="C956" s="206"/>
      <c r="D956" s="206"/>
      <c r="E956" s="207"/>
      <c r="F956" s="207"/>
      <c r="G956" s="207"/>
      <c r="H956" s="207"/>
      <c r="I956" s="207"/>
      <c r="J956" s="207"/>
      <c r="K956" s="207"/>
      <c r="L956" s="207"/>
      <c r="M956" s="207"/>
      <c r="N956" s="207"/>
      <c r="O956" s="206"/>
    </row>
    <row r="957" spans="1:15" ht="30">
      <c r="A957" s="167" t="str">
        <f ca="1">IFERROR(__xludf.DUMMYFUNCTION("""COMPUTED_VALUE"""),"82DH0511010016000516014")</f>
        <v>82DH0511010016000516014</v>
      </c>
      <c r="B957" s="167" t="str">
        <f ca="1">IFERROR(__xludf.DUMMYFUNCTION("""COMPUTED_VALUE"""),"BUENO")</f>
        <v>BUENO</v>
      </c>
      <c r="C957" s="206"/>
      <c r="D957" s="206"/>
      <c r="E957" s="207"/>
      <c r="F957" s="207"/>
      <c r="G957" s="207"/>
      <c r="H957" s="207"/>
      <c r="I957" s="207"/>
      <c r="J957" s="207"/>
      <c r="K957" s="207"/>
      <c r="L957" s="207"/>
      <c r="M957" s="207"/>
      <c r="N957" s="207"/>
      <c r="O957" s="206"/>
    </row>
    <row r="958" spans="1:15" ht="30">
      <c r="A958" s="167" t="str">
        <f ca="1">IFERROR(__xludf.DUMMYFUNCTION("""COMPUTED_VALUE"""),"82DH0511010016000516017")</f>
        <v>82DH0511010016000516017</v>
      </c>
      <c r="B958" s="167" t="str">
        <f ca="1">IFERROR(__xludf.DUMMYFUNCTION("""COMPUTED_VALUE"""),"BUENO")</f>
        <v>BUENO</v>
      </c>
      <c r="C958" s="206"/>
      <c r="D958" s="206"/>
      <c r="E958" s="207"/>
      <c r="F958" s="207"/>
      <c r="G958" s="207"/>
      <c r="H958" s="207"/>
      <c r="I958" s="207"/>
      <c r="J958" s="207"/>
      <c r="K958" s="207"/>
      <c r="L958" s="207"/>
      <c r="M958" s="207"/>
      <c r="N958" s="207"/>
      <c r="O958" s="206"/>
    </row>
    <row r="959" spans="1:15" ht="30">
      <c r="A959" s="167" t="str">
        <f ca="1">IFERROR(__xludf.DUMMYFUNCTION("""COMPUTED_VALUE"""),"82DH0511010016000518502")</f>
        <v>82DH0511010016000518502</v>
      </c>
      <c r="B959" s="167" t="str">
        <f ca="1">IFERROR(__xludf.DUMMYFUNCTION("""COMPUTED_VALUE"""),"BUENO")</f>
        <v>BUENO</v>
      </c>
      <c r="C959" s="206"/>
      <c r="D959" s="206"/>
      <c r="E959" s="207"/>
      <c r="F959" s="207"/>
      <c r="G959" s="207"/>
      <c r="H959" s="207"/>
      <c r="I959" s="207"/>
      <c r="J959" s="207"/>
      <c r="K959" s="207"/>
      <c r="L959" s="207"/>
      <c r="M959" s="207"/>
      <c r="N959" s="207"/>
      <c r="O959" s="206"/>
    </row>
    <row r="960" spans="1:15" ht="30">
      <c r="A960" s="167" t="str">
        <f ca="1">IFERROR(__xludf.DUMMYFUNCTION("""COMPUTED_VALUE"""),"82DH0511010016000564554")</f>
        <v>82DH0511010016000564554</v>
      </c>
      <c r="B960" s="167" t="str">
        <f ca="1">IFERROR(__xludf.DUMMYFUNCTION("""COMPUTED_VALUE"""),"BUENO")</f>
        <v>BUENO</v>
      </c>
      <c r="C960" s="206"/>
      <c r="D960" s="206"/>
      <c r="E960" s="207"/>
      <c r="F960" s="207"/>
      <c r="G960" s="207"/>
      <c r="H960" s="207"/>
      <c r="I960" s="207"/>
      <c r="J960" s="207"/>
      <c r="K960" s="207"/>
      <c r="L960" s="207"/>
      <c r="M960" s="207"/>
      <c r="N960" s="207"/>
      <c r="O960" s="206"/>
    </row>
    <row r="961" spans="1:15" ht="30">
      <c r="A961" s="167" t="str">
        <f ca="1">IFERROR(__xludf.DUMMYFUNCTION("""COMPUTED_VALUE"""),"82DH0511010016000516008")</f>
        <v>82DH0511010016000516008</v>
      </c>
      <c r="B961" s="167" t="str">
        <f ca="1">IFERROR(__xludf.DUMMYFUNCTION("""COMPUTED_VALUE"""),"BUENO")</f>
        <v>BUENO</v>
      </c>
      <c r="C961" s="206"/>
      <c r="D961" s="206"/>
      <c r="E961" s="207"/>
      <c r="F961" s="207"/>
      <c r="G961" s="207"/>
      <c r="H961" s="207"/>
      <c r="I961" s="207"/>
      <c r="J961" s="207"/>
      <c r="K961" s="207"/>
      <c r="L961" s="207"/>
      <c r="M961" s="207"/>
      <c r="N961" s="207"/>
      <c r="O961" s="206"/>
    </row>
    <row r="962" spans="1:15" ht="30">
      <c r="A962" s="167" t="str">
        <f ca="1">IFERROR(__xludf.DUMMYFUNCTION("""COMPUTED_VALUE"""),"82DH0511010016000516016")</f>
        <v>82DH0511010016000516016</v>
      </c>
      <c r="B962" s="167" t="str">
        <f ca="1">IFERROR(__xludf.DUMMYFUNCTION("""COMPUTED_VALUE"""),"BUENO")</f>
        <v>BUENO</v>
      </c>
      <c r="C962" s="206"/>
      <c r="D962" s="206"/>
      <c r="E962" s="207"/>
      <c r="F962" s="207"/>
      <c r="G962" s="207"/>
      <c r="H962" s="207"/>
      <c r="I962" s="207"/>
      <c r="J962" s="207"/>
      <c r="K962" s="207"/>
      <c r="L962" s="207"/>
      <c r="M962" s="207"/>
      <c r="N962" s="207"/>
      <c r="O962" s="206"/>
    </row>
    <row r="963" spans="1:15" ht="30">
      <c r="A963" s="167" t="str">
        <f ca="1">IFERROR(__xludf.DUMMYFUNCTION("""COMPUTED_VALUE"""),"82DH0511010016000515617")</f>
        <v>82DH0511010016000515617</v>
      </c>
      <c r="B963" s="167" t="str">
        <f ca="1">IFERROR(__xludf.DUMMYFUNCTION("""COMPUTED_VALUE"""),"BUENO")</f>
        <v>BUENO</v>
      </c>
      <c r="C963" s="206"/>
      <c r="D963" s="206"/>
      <c r="E963" s="207"/>
      <c r="F963" s="207"/>
      <c r="G963" s="207"/>
      <c r="H963" s="207"/>
      <c r="I963" s="207"/>
      <c r="J963" s="207"/>
      <c r="K963" s="207"/>
      <c r="L963" s="207"/>
      <c r="M963" s="207"/>
      <c r="N963" s="207"/>
      <c r="O963" s="206"/>
    </row>
    <row r="964" spans="1:15" ht="30">
      <c r="A964" s="167" t="str">
        <f ca="1">IFERROR(__xludf.DUMMYFUNCTION("""COMPUTED_VALUE"""),"82DH0511010016000518501")</f>
        <v>82DH0511010016000518501</v>
      </c>
      <c r="B964" s="167" t="str">
        <f ca="1">IFERROR(__xludf.DUMMYFUNCTION("""COMPUTED_VALUE"""),"BUENO")</f>
        <v>BUENO</v>
      </c>
      <c r="C964" s="206"/>
      <c r="D964" s="206"/>
      <c r="E964" s="207"/>
      <c r="F964" s="207"/>
      <c r="G964" s="207"/>
      <c r="H964" s="207"/>
      <c r="I964" s="207"/>
      <c r="J964" s="207"/>
      <c r="K964" s="207"/>
      <c r="L964" s="207"/>
      <c r="M964" s="207"/>
      <c r="N964" s="207"/>
      <c r="O964" s="206"/>
    </row>
    <row r="965" spans="1:15" ht="30">
      <c r="A965" s="167" t="str">
        <f ca="1">IFERROR(__xludf.DUMMYFUNCTION("""COMPUTED_VALUE"""),"82DH0531010065000564727")</f>
        <v>82DH0531010065000564727</v>
      </c>
      <c r="B965" s="167" t="str">
        <f ca="1">IFERROR(__xludf.DUMMYFUNCTION("""COMPUTED_VALUE"""),"BUENO")</f>
        <v>BUENO</v>
      </c>
      <c r="C965" s="206"/>
      <c r="D965" s="206"/>
      <c r="E965" s="207"/>
      <c r="F965" s="207"/>
      <c r="G965" s="207"/>
      <c r="H965" s="207"/>
      <c r="I965" s="207"/>
      <c r="J965" s="207"/>
      <c r="K965" s="207"/>
      <c r="L965" s="207"/>
      <c r="M965" s="207"/>
      <c r="N965" s="207"/>
      <c r="O965" s="206"/>
    </row>
    <row r="966" spans="1:15" ht="30">
      <c r="A966" s="167" t="str">
        <f ca="1">IFERROR(__xludf.DUMMYFUNCTION("""COMPUTED_VALUE"""),"82DH0531010065000564723")</f>
        <v>82DH0531010065000564723</v>
      </c>
      <c r="B966" s="167" t="str">
        <f ca="1">IFERROR(__xludf.DUMMYFUNCTION("""COMPUTED_VALUE"""),"BUENO")</f>
        <v>BUENO</v>
      </c>
      <c r="C966" s="206"/>
      <c r="D966" s="206"/>
      <c r="E966" s="207"/>
      <c r="F966" s="207"/>
      <c r="G966" s="207"/>
      <c r="H966" s="207"/>
      <c r="I966" s="207"/>
      <c r="J966" s="207"/>
      <c r="K966" s="207"/>
      <c r="L966" s="207"/>
      <c r="M966" s="207"/>
      <c r="N966" s="207"/>
      <c r="O966" s="206"/>
    </row>
    <row r="967" spans="1:15" ht="30">
      <c r="A967" s="167" t="str">
        <f ca="1">IFERROR(__xludf.DUMMYFUNCTION("""COMPUTED_VALUE"""),"82DH0531010065000580341")</f>
        <v>82DH0531010065000580341</v>
      </c>
      <c r="B967" s="167" t="str">
        <f ca="1">IFERROR(__xludf.DUMMYFUNCTION("""COMPUTED_VALUE"""),"BUENO")</f>
        <v>BUENO</v>
      </c>
      <c r="C967" s="206"/>
      <c r="D967" s="206"/>
      <c r="E967" s="207"/>
      <c r="F967" s="207"/>
      <c r="G967" s="207"/>
      <c r="H967" s="207"/>
      <c r="I967" s="207"/>
      <c r="J967" s="207"/>
      <c r="K967" s="207"/>
      <c r="L967" s="207"/>
      <c r="M967" s="207"/>
      <c r="N967" s="207"/>
      <c r="O967" s="206"/>
    </row>
    <row r="968" spans="1:15" ht="30">
      <c r="A968" s="167" t="str">
        <f ca="1">IFERROR(__xludf.DUMMYFUNCTION("""COMPUTED_VALUE"""),"82DH0531010065000564725")</f>
        <v>82DH0531010065000564725</v>
      </c>
      <c r="B968" s="167" t="str">
        <f ca="1">IFERROR(__xludf.DUMMYFUNCTION("""COMPUTED_VALUE"""),"BUENO")</f>
        <v>BUENO</v>
      </c>
      <c r="C968" s="206"/>
      <c r="D968" s="206"/>
      <c r="E968" s="207"/>
      <c r="F968" s="207"/>
      <c r="G968" s="207"/>
      <c r="H968" s="207"/>
      <c r="I968" s="207"/>
      <c r="J968" s="207"/>
      <c r="K968" s="207"/>
      <c r="L968" s="207"/>
      <c r="M968" s="207"/>
      <c r="N968" s="207"/>
      <c r="O968" s="206"/>
    </row>
    <row r="969" spans="1:15" ht="30">
      <c r="A969" s="167" t="str">
        <f ca="1">IFERROR(__xludf.DUMMYFUNCTION("""COMPUTED_VALUE"""),"82DH0531010065000564721")</f>
        <v>82DH0531010065000564721</v>
      </c>
      <c r="B969" s="167" t="str">
        <f ca="1">IFERROR(__xludf.DUMMYFUNCTION("""COMPUTED_VALUE"""),"BUENO")</f>
        <v>BUENO</v>
      </c>
      <c r="C969" s="206"/>
      <c r="D969" s="206"/>
      <c r="E969" s="207"/>
      <c r="F969" s="207"/>
      <c r="G969" s="207"/>
      <c r="H969" s="207"/>
      <c r="I969" s="207"/>
      <c r="J969" s="207"/>
      <c r="K969" s="207"/>
      <c r="L969" s="207"/>
      <c r="M969" s="207"/>
      <c r="N969" s="207"/>
      <c r="O969" s="206"/>
    </row>
    <row r="970" spans="1:15" ht="30">
      <c r="A970" s="167" t="str">
        <f ca="1">IFERROR(__xludf.DUMMYFUNCTION("""COMPUTED_VALUE"""),"82DH0531010065000564716")</f>
        <v>82DH0531010065000564716</v>
      </c>
      <c r="B970" s="167" t="str">
        <f ca="1">IFERROR(__xludf.DUMMYFUNCTION("""COMPUTED_VALUE"""),"BUENO")</f>
        <v>BUENO</v>
      </c>
      <c r="C970" s="206"/>
      <c r="D970" s="206"/>
      <c r="E970" s="207"/>
      <c r="F970" s="207"/>
      <c r="G970" s="207"/>
      <c r="H970" s="207"/>
      <c r="I970" s="207"/>
      <c r="J970" s="207"/>
      <c r="K970" s="207"/>
      <c r="L970" s="207"/>
      <c r="M970" s="207"/>
      <c r="N970" s="207"/>
      <c r="O970" s="206"/>
    </row>
    <row r="971" spans="1:15" ht="30">
      <c r="A971" s="167" t="str">
        <f ca="1">IFERROR(__xludf.DUMMYFUNCTION("""COMPUTED_VALUE"""),"82DH0511010006000534673")</f>
        <v>82DH0511010006000534673</v>
      </c>
      <c r="B971" s="167" t="str">
        <f ca="1">IFERROR(__xludf.DUMMYFUNCTION("""COMPUTED_VALUE"""),"BUENO")</f>
        <v>BUENO</v>
      </c>
      <c r="C971" s="206"/>
      <c r="D971" s="206"/>
      <c r="E971" s="207"/>
      <c r="F971" s="207"/>
      <c r="G971" s="207"/>
      <c r="H971" s="207"/>
      <c r="I971" s="207"/>
      <c r="J971" s="207"/>
      <c r="K971" s="207"/>
      <c r="L971" s="207"/>
      <c r="M971" s="207"/>
      <c r="N971" s="207"/>
      <c r="O971" s="206"/>
    </row>
    <row r="972" spans="1:15" ht="30">
      <c r="A972" s="167" t="str">
        <f ca="1">IFERROR(__xludf.DUMMYFUNCTION("""COMPUTED_VALUE"""),"82DH0531010065000564786")</f>
        <v>82DH0531010065000564786</v>
      </c>
      <c r="B972" s="167" t="str">
        <f ca="1">IFERROR(__xludf.DUMMYFUNCTION("""COMPUTED_VALUE"""),"BUENO")</f>
        <v>BUENO</v>
      </c>
      <c r="C972" s="206"/>
      <c r="D972" s="206"/>
      <c r="E972" s="207"/>
      <c r="F972" s="207"/>
      <c r="G972" s="207"/>
      <c r="H972" s="207"/>
      <c r="I972" s="207"/>
      <c r="J972" s="207"/>
      <c r="K972" s="207"/>
      <c r="L972" s="207"/>
      <c r="M972" s="207"/>
      <c r="N972" s="207"/>
      <c r="O972" s="206"/>
    </row>
    <row r="973" spans="1:15" ht="30">
      <c r="A973" s="167" t="str">
        <f ca="1">IFERROR(__xludf.DUMMYFUNCTION("""COMPUTED_VALUE"""),"82DH0515010010000515121")</f>
        <v>82DH0515010010000515121</v>
      </c>
      <c r="B973" s="167" t="str">
        <f ca="1">IFERROR(__xludf.DUMMYFUNCTION("""COMPUTED_VALUE"""),"BUENO")</f>
        <v>BUENO</v>
      </c>
      <c r="C973" s="206"/>
      <c r="D973" s="206"/>
      <c r="E973" s="207"/>
      <c r="F973" s="207"/>
      <c r="G973" s="207"/>
      <c r="H973" s="207"/>
      <c r="I973" s="207"/>
      <c r="J973" s="207"/>
      <c r="K973" s="207"/>
      <c r="L973" s="207"/>
      <c r="M973" s="207"/>
      <c r="N973" s="207"/>
      <c r="O973" s="206"/>
    </row>
    <row r="974" spans="1:15" ht="30">
      <c r="A974" s="167" t="str">
        <f ca="1">IFERROR(__xludf.DUMMYFUNCTION("""COMPUTED_VALUE"""),"82DH0515010016000650642")</f>
        <v>82DH0515010016000650642</v>
      </c>
      <c r="B974" s="167" t="str">
        <f ca="1">IFERROR(__xludf.DUMMYFUNCTION("""COMPUTED_VALUE"""),"BUENO")</f>
        <v>BUENO</v>
      </c>
      <c r="C974" s="206"/>
      <c r="D974" s="206"/>
      <c r="E974" s="207"/>
      <c r="F974" s="207"/>
      <c r="G974" s="207"/>
      <c r="H974" s="207"/>
      <c r="I974" s="207"/>
      <c r="J974" s="207"/>
      <c r="K974" s="207"/>
      <c r="L974" s="207"/>
      <c r="M974" s="207"/>
      <c r="N974" s="207"/>
      <c r="O974" s="206"/>
    </row>
    <row r="975" spans="1:15" ht="30">
      <c r="A975" s="167" t="str">
        <f ca="1">IFERROR(__xludf.DUMMYFUNCTION("""COMPUTED_VALUE"""),"82DH0565010001000527290")</f>
        <v>82DH0565010001000527290</v>
      </c>
      <c r="B975" s="167" t="str">
        <f ca="1">IFERROR(__xludf.DUMMYFUNCTION("""COMPUTED_VALUE"""),"BUENO")</f>
        <v>BUENO</v>
      </c>
      <c r="C975" s="206"/>
      <c r="D975" s="206"/>
      <c r="E975" s="207"/>
      <c r="F975" s="207"/>
      <c r="G975" s="207"/>
      <c r="H975" s="207"/>
      <c r="I975" s="207"/>
      <c r="J975" s="207"/>
      <c r="K975" s="207"/>
      <c r="L975" s="207"/>
      <c r="M975" s="207"/>
      <c r="N975" s="207"/>
      <c r="O975" s="206"/>
    </row>
    <row r="976" spans="1:15" ht="30">
      <c r="A976" s="167" t="str">
        <f ca="1">IFERROR(__xludf.DUMMYFUNCTION("""COMPUTED_VALUE"""),"82DH0511010017000516334")</f>
        <v>82DH0511010017000516334</v>
      </c>
      <c r="B976" s="167" t="str">
        <f ca="1">IFERROR(__xludf.DUMMYFUNCTION("""COMPUTED_VALUE"""),"BAJA")</f>
        <v>BAJA</v>
      </c>
      <c r="C976" s="206"/>
      <c r="D976" s="206"/>
      <c r="E976" s="207"/>
      <c r="F976" s="207"/>
      <c r="G976" s="207"/>
      <c r="H976" s="207"/>
      <c r="I976" s="207"/>
      <c r="J976" s="207"/>
      <c r="K976" s="207"/>
      <c r="L976" s="207"/>
      <c r="M976" s="207"/>
      <c r="N976" s="207"/>
      <c r="O976" s="206"/>
    </row>
    <row r="977" spans="1:15" ht="30">
      <c r="A977" s="167" t="str">
        <f ca="1">IFERROR(__xludf.DUMMYFUNCTION("""COMPUTED_VALUE"""),"82DH0515010001000650662")</f>
        <v>82DH0515010001000650662</v>
      </c>
      <c r="B977" s="167" t="str">
        <f ca="1">IFERROR(__xludf.DUMMYFUNCTION("""COMPUTED_VALUE"""),"BUENO")</f>
        <v>BUENO</v>
      </c>
      <c r="C977" s="206"/>
      <c r="D977" s="206"/>
      <c r="E977" s="207"/>
      <c r="F977" s="207"/>
      <c r="G977" s="207"/>
      <c r="H977" s="207"/>
      <c r="I977" s="207"/>
      <c r="J977" s="207"/>
      <c r="K977" s="207"/>
      <c r="L977" s="207"/>
      <c r="M977" s="207"/>
      <c r="N977" s="207"/>
      <c r="O977" s="206"/>
    </row>
    <row r="978" spans="1:15" ht="30">
      <c r="A978" s="167" t="str">
        <f ca="1">IFERROR(__xludf.DUMMYFUNCTION("""COMPUTED_VALUE"""),"82DH0515010013000651394")</f>
        <v>82DH0515010013000651394</v>
      </c>
      <c r="B978" s="167" t="str">
        <f ca="1">IFERROR(__xludf.DUMMYFUNCTION("""COMPUTED_VALUE"""),"BUENO")</f>
        <v>BUENO</v>
      </c>
      <c r="C978" s="206"/>
      <c r="D978" s="206"/>
      <c r="E978" s="207"/>
      <c r="F978" s="207"/>
      <c r="G978" s="207"/>
      <c r="H978" s="207"/>
      <c r="I978" s="207"/>
      <c r="J978" s="207"/>
      <c r="K978" s="207"/>
      <c r="L978" s="207"/>
      <c r="M978" s="207"/>
      <c r="N978" s="207"/>
      <c r="O978" s="206"/>
    </row>
    <row r="979" spans="1:15" ht="30">
      <c r="A979" s="167" t="str">
        <f ca="1">IFERROR(__xludf.DUMMYFUNCTION("""COMPUTED_VALUE"""),"SIN RESGUARDO")</f>
        <v>SIN RESGUARDO</v>
      </c>
      <c r="B979" s="167" t="str">
        <f ca="1">IFERROR(__xludf.DUMMYFUNCTION("""COMPUTED_VALUE"""),"BUENO")</f>
        <v>BUENO</v>
      </c>
      <c r="C979" s="206"/>
      <c r="D979" s="206"/>
      <c r="E979" s="207"/>
      <c r="F979" s="207"/>
      <c r="G979" s="207"/>
      <c r="H979" s="207"/>
      <c r="I979" s="207"/>
      <c r="J979" s="207"/>
      <c r="K979" s="207"/>
      <c r="L979" s="207"/>
      <c r="M979" s="207"/>
      <c r="N979" s="207"/>
      <c r="O979" s="206"/>
    </row>
    <row r="980" spans="1:15" ht="30">
      <c r="A980" s="167" t="str">
        <f ca="1">IFERROR(__xludf.DUMMYFUNCTION("""COMPUTED_VALUE"""),"82DK0531010094000564894")</f>
        <v>82DK0531010094000564894</v>
      </c>
      <c r="B980" s="167" t="str">
        <f ca="1">IFERROR(__xludf.DUMMYFUNCTION("""COMPUTED_VALUE"""),"UBICAR")</f>
        <v>UBICAR</v>
      </c>
      <c r="C980" s="206"/>
      <c r="D980" s="206"/>
      <c r="E980" s="207"/>
      <c r="F980" s="207"/>
      <c r="G980" s="207"/>
      <c r="H980" s="207"/>
      <c r="I980" s="207"/>
      <c r="J980" s="207"/>
      <c r="K980" s="207"/>
      <c r="L980" s="207"/>
      <c r="M980" s="207"/>
      <c r="N980" s="207"/>
      <c r="O980" s="206"/>
    </row>
    <row r="981" spans="1:15" ht="30">
      <c r="A981" s="167" t="str">
        <f ca="1">IFERROR(__xludf.DUMMYFUNCTION("""COMPUTED_VALUE"""),"82DH0511010017000517894")</f>
        <v>82DH0511010017000517894</v>
      </c>
      <c r="B981" s="167" t="str">
        <f ca="1">IFERROR(__xludf.DUMMYFUNCTION("""COMPUTED_VALUE"""),"BUENO")</f>
        <v>BUENO</v>
      </c>
      <c r="C981" s="206"/>
      <c r="D981" s="206"/>
      <c r="E981" s="207"/>
      <c r="F981" s="207"/>
      <c r="G981" s="207"/>
      <c r="H981" s="207"/>
      <c r="I981" s="207"/>
      <c r="J981" s="207"/>
      <c r="K981" s="207"/>
      <c r="L981" s="207"/>
      <c r="M981" s="207"/>
      <c r="N981" s="207"/>
      <c r="O981" s="206"/>
    </row>
    <row r="982" spans="1:15" ht="30">
      <c r="A982" s="167" t="str">
        <f ca="1">IFERROR(__xludf.DUMMYFUNCTION("""COMPUTED_VALUE"""),"82DH0515010020000565742")</f>
        <v>82DH0515010020000565742</v>
      </c>
      <c r="B982" s="167" t="str">
        <f ca="1">IFERROR(__xludf.DUMMYFUNCTION("""COMPUTED_VALUE"""),"BUENO")</f>
        <v>BUENO</v>
      </c>
      <c r="C982" s="206"/>
      <c r="D982" s="206"/>
      <c r="E982" s="207"/>
      <c r="F982" s="207"/>
      <c r="G982" s="207"/>
      <c r="H982" s="207"/>
      <c r="I982" s="207"/>
      <c r="J982" s="207"/>
      <c r="K982" s="207"/>
      <c r="L982" s="207"/>
      <c r="M982" s="207"/>
      <c r="N982" s="207"/>
      <c r="O982" s="206"/>
    </row>
    <row r="983" spans="1:15" ht="30">
      <c r="A983" s="167" t="str">
        <f ca="1">IFERROR(__xludf.DUMMYFUNCTION("""COMPUTED_VALUE"""),"82DH0565010041000543577")</f>
        <v>82DH0565010041000543577</v>
      </c>
      <c r="B983" s="167" t="str">
        <f ca="1">IFERROR(__xludf.DUMMYFUNCTION("""COMPUTED_VALUE"""),"BUENO")</f>
        <v>BUENO</v>
      </c>
      <c r="C983" s="206"/>
      <c r="D983" s="206"/>
      <c r="E983" s="207"/>
      <c r="F983" s="207"/>
      <c r="G983" s="207"/>
      <c r="H983" s="207"/>
      <c r="I983" s="207"/>
      <c r="J983" s="207"/>
      <c r="K983" s="207"/>
      <c r="L983" s="207"/>
      <c r="M983" s="207"/>
      <c r="N983" s="207"/>
      <c r="O983" s="206"/>
    </row>
    <row r="984" spans="1:15" ht="30">
      <c r="A984" s="167" t="str">
        <f ca="1">IFERROR(__xludf.DUMMYFUNCTION("""COMPUTED_VALUE"""),"82DJ0515010001000535534")</f>
        <v>82DJ0515010001000535534</v>
      </c>
      <c r="B984" s="167" t="str">
        <f ca="1">IFERROR(__xludf.DUMMYFUNCTION("""COMPUTED_VALUE"""),"BUENO")</f>
        <v>BUENO</v>
      </c>
      <c r="C984" s="206"/>
      <c r="D984" s="206"/>
      <c r="E984" s="207"/>
      <c r="F984" s="207"/>
      <c r="G984" s="207"/>
      <c r="H984" s="207"/>
      <c r="I984" s="207"/>
      <c r="J984" s="207"/>
      <c r="K984" s="207"/>
      <c r="L984" s="207"/>
      <c r="M984" s="207"/>
      <c r="N984" s="207"/>
      <c r="O984" s="206"/>
    </row>
    <row r="985" spans="1:15" ht="30">
      <c r="A985" s="167" t="str">
        <f ca="1">IFERROR(__xludf.DUMMYFUNCTION("""COMPUTED_VALUE"""),"82DH0519010036000543274")</f>
        <v>82DH0519010036000543274</v>
      </c>
      <c r="B985" s="167" t="str">
        <f ca="1">IFERROR(__xludf.DUMMYFUNCTION("""COMPUTED_VALUE"""),"BUENO")</f>
        <v>BUENO</v>
      </c>
      <c r="C985" s="206"/>
      <c r="D985" s="206"/>
      <c r="E985" s="207"/>
      <c r="F985" s="207"/>
      <c r="G985" s="207"/>
      <c r="H985" s="207"/>
      <c r="I985" s="207"/>
      <c r="J985" s="207"/>
      <c r="K985" s="207"/>
      <c r="L985" s="207"/>
      <c r="M985" s="207"/>
      <c r="N985" s="207"/>
      <c r="O985" s="206"/>
    </row>
    <row r="986" spans="1:15" ht="30">
      <c r="A986" s="167" t="str">
        <f ca="1">IFERROR(__xludf.DUMMYFUNCTION("""COMPUTED_VALUE"""),"82DH0511010009000564611")</f>
        <v>82DH0511010009000564611</v>
      </c>
      <c r="B986" s="167" t="str">
        <f ca="1">IFERROR(__xludf.DUMMYFUNCTION("""COMPUTED_VALUE"""),"BUENO")</f>
        <v>BUENO</v>
      </c>
      <c r="C986" s="206"/>
      <c r="D986" s="206"/>
      <c r="E986" s="207"/>
      <c r="F986" s="207"/>
      <c r="G986" s="207"/>
      <c r="H986" s="207"/>
      <c r="I986" s="207"/>
      <c r="J986" s="207"/>
      <c r="K986" s="207"/>
      <c r="L986" s="207"/>
      <c r="M986" s="207"/>
      <c r="N986" s="207"/>
      <c r="O986" s="206"/>
    </row>
    <row r="987" spans="1:15" ht="30">
      <c r="A987" s="167" t="str">
        <f ca="1">IFERROR(__xludf.DUMMYFUNCTION("""COMPUTED_VALUE"""),"82DH0511010017000564620")</f>
        <v>82DH0511010017000564620</v>
      </c>
      <c r="B987" s="167" t="str">
        <f ca="1">IFERROR(__xludf.DUMMYFUNCTION("""COMPUTED_VALUE"""),"BUENO")</f>
        <v>BUENO</v>
      </c>
      <c r="C987" s="206"/>
      <c r="D987" s="206"/>
      <c r="E987" s="207"/>
      <c r="F987" s="207"/>
      <c r="G987" s="207"/>
      <c r="H987" s="207"/>
      <c r="I987" s="207"/>
      <c r="J987" s="207"/>
      <c r="K987" s="207"/>
      <c r="L987" s="207"/>
      <c r="M987" s="207"/>
      <c r="N987" s="207"/>
      <c r="O987" s="206"/>
    </row>
    <row r="988" spans="1:15" ht="30">
      <c r="A988" s="167" t="str">
        <f ca="1">IFERROR(__xludf.DUMMYFUNCTION("""COMPUTED_VALUE"""),"82DH0519010026000649404")</f>
        <v>82DH0519010026000649404</v>
      </c>
      <c r="B988" s="167" t="str">
        <f ca="1">IFERROR(__xludf.DUMMYFUNCTION("""COMPUTED_VALUE"""),"BUENO")</f>
        <v>BUENO</v>
      </c>
      <c r="C988" s="206"/>
      <c r="D988" s="206"/>
      <c r="E988" s="207"/>
      <c r="F988" s="207"/>
      <c r="G988" s="207"/>
      <c r="H988" s="207"/>
      <c r="I988" s="207"/>
      <c r="J988" s="207"/>
      <c r="K988" s="207"/>
      <c r="L988" s="207"/>
      <c r="M988" s="207"/>
      <c r="N988" s="207"/>
      <c r="O988" s="206"/>
    </row>
    <row r="989" spans="1:15" ht="30">
      <c r="A989" s="167" t="str">
        <f ca="1">IFERROR(__xludf.DUMMYFUNCTION("""COMPUTED_VALUE"""),"82DH0511010010000651392")</f>
        <v>82DH0511010010000651392</v>
      </c>
      <c r="B989" s="167" t="str">
        <f ca="1">IFERROR(__xludf.DUMMYFUNCTION("""COMPUTED_VALUE"""),"BUENO")</f>
        <v>BUENO</v>
      </c>
      <c r="C989" s="206"/>
      <c r="D989" s="206"/>
      <c r="E989" s="207"/>
      <c r="F989" s="207"/>
      <c r="G989" s="207"/>
      <c r="H989" s="207"/>
      <c r="I989" s="207"/>
      <c r="J989" s="207"/>
      <c r="K989" s="207"/>
      <c r="L989" s="207"/>
      <c r="M989" s="207"/>
      <c r="N989" s="207"/>
      <c r="O989" s="206"/>
    </row>
    <row r="990" spans="1:15" ht="30">
      <c r="A990" s="167" t="str">
        <f ca="1">IFERROR(__xludf.DUMMYFUNCTION("""COMPUTED_VALUE"""),"82DH0511010010000651386")</f>
        <v>82DH0511010010000651386</v>
      </c>
      <c r="B990" s="167" t="str">
        <f ca="1">IFERROR(__xludf.DUMMYFUNCTION("""COMPUTED_VALUE"""),"BUENO")</f>
        <v>BUENO</v>
      </c>
      <c r="C990" s="206"/>
      <c r="D990" s="206"/>
      <c r="E990" s="207"/>
      <c r="F990" s="207"/>
      <c r="G990" s="207"/>
      <c r="H990" s="207"/>
      <c r="I990" s="207"/>
      <c r="J990" s="207"/>
      <c r="K990" s="207"/>
      <c r="L990" s="207"/>
      <c r="M990" s="207"/>
      <c r="N990" s="207"/>
      <c r="O990" s="206"/>
    </row>
    <row r="991" spans="1:15" ht="30">
      <c r="A991" s="167" t="str">
        <f ca="1">IFERROR(__xludf.DUMMYFUNCTION("""COMPUTED_VALUE"""),"SIN RESGUARDO")</f>
        <v>SIN RESGUARDO</v>
      </c>
      <c r="B991" s="167" t="str">
        <f ca="1">IFERROR(__xludf.DUMMYFUNCTION("""COMPUTED_VALUE"""),"BUENO")</f>
        <v>BUENO</v>
      </c>
      <c r="C991" s="206"/>
      <c r="D991" s="206"/>
      <c r="E991" s="207"/>
      <c r="F991" s="207"/>
      <c r="G991" s="207"/>
      <c r="H991" s="207"/>
      <c r="I991" s="207"/>
      <c r="J991" s="207"/>
      <c r="K991" s="207"/>
      <c r="L991" s="207"/>
      <c r="M991" s="207"/>
      <c r="N991" s="207"/>
      <c r="O991" s="206"/>
    </row>
    <row r="992" spans="1:15" ht="30">
      <c r="A992" s="167" t="str">
        <f ca="1">IFERROR(__xludf.DUMMYFUNCTION("""COMPUTED_VALUE"""),"82DH0519010006000649406")</f>
        <v>82DH0519010006000649406</v>
      </c>
      <c r="B992" s="167" t="str">
        <f ca="1">IFERROR(__xludf.DUMMYFUNCTION("""COMPUTED_VALUE"""),"BAJA")</f>
        <v>BAJA</v>
      </c>
      <c r="C992" s="206"/>
      <c r="D992" s="206"/>
      <c r="E992" s="207"/>
      <c r="F992" s="207"/>
      <c r="G992" s="207"/>
      <c r="H992" s="207"/>
      <c r="I992" s="207"/>
      <c r="J992" s="207"/>
      <c r="K992" s="207"/>
      <c r="L992" s="207"/>
      <c r="M992" s="207"/>
      <c r="N992" s="207"/>
      <c r="O992" s="206"/>
    </row>
    <row r="993" spans="1:15" ht="30">
      <c r="A993" s="167" t="str">
        <f ca="1">IFERROR(__xludf.DUMMYFUNCTION("""COMPUTED_VALUE"""),"82DH0531010065000564731")</f>
        <v>82DH0531010065000564731</v>
      </c>
      <c r="B993" s="167" t="str">
        <f ca="1">IFERROR(__xludf.DUMMYFUNCTION("""COMPUTED_VALUE"""),"BUENO")</f>
        <v>BUENO</v>
      </c>
      <c r="C993" s="206"/>
      <c r="D993" s="206"/>
      <c r="E993" s="207"/>
      <c r="F993" s="207"/>
      <c r="G993" s="207"/>
      <c r="H993" s="207"/>
      <c r="I993" s="207"/>
      <c r="J993" s="207"/>
      <c r="K993" s="207"/>
      <c r="L993" s="207"/>
      <c r="M993" s="207"/>
      <c r="N993" s="207"/>
      <c r="O993" s="206"/>
    </row>
    <row r="994" spans="1:15" ht="30">
      <c r="A994" s="167" t="str">
        <f ca="1">IFERROR(__xludf.DUMMYFUNCTION("""COMPUTED_VALUE"""),"82DH0531010065000564732")</f>
        <v>82DH0531010065000564732</v>
      </c>
      <c r="B994" s="167" t="str">
        <f ca="1">IFERROR(__xludf.DUMMYFUNCTION("""COMPUTED_VALUE"""),"BUENO")</f>
        <v>BUENO</v>
      </c>
      <c r="C994" s="206"/>
      <c r="D994" s="206"/>
      <c r="E994" s="207"/>
      <c r="F994" s="207"/>
      <c r="G994" s="207"/>
      <c r="H994" s="207"/>
      <c r="I994" s="207"/>
      <c r="J994" s="207"/>
      <c r="K994" s="207"/>
      <c r="L994" s="207"/>
      <c r="M994" s="207"/>
      <c r="N994" s="207"/>
      <c r="O994" s="206"/>
    </row>
    <row r="995" spans="1:15" ht="30">
      <c r="A995" s="167" t="str">
        <f ca="1">IFERROR(__xludf.DUMMYFUNCTION("""COMPUTED_VALUE"""),"82DH0511010010000651380")</f>
        <v>82DH0511010010000651380</v>
      </c>
      <c r="B995" s="167" t="str">
        <f ca="1">IFERROR(__xludf.DUMMYFUNCTION("""COMPUTED_VALUE"""),"BUENO")</f>
        <v>BUENO</v>
      </c>
      <c r="C995" s="206"/>
      <c r="D995" s="206"/>
      <c r="E995" s="207"/>
      <c r="F995" s="207"/>
      <c r="G995" s="207"/>
      <c r="H995" s="207"/>
      <c r="I995" s="207"/>
      <c r="J995" s="207"/>
      <c r="K995" s="207"/>
      <c r="L995" s="207"/>
      <c r="M995" s="207"/>
      <c r="N995" s="207"/>
      <c r="O995" s="206"/>
    </row>
    <row r="996" spans="1:15" ht="30">
      <c r="A996" s="167" t="str">
        <f ca="1">IFERROR(__xludf.DUMMYFUNCTION("""COMPUTED_VALUE"""),"82DH0531010065000564729")</f>
        <v>82DH0531010065000564729</v>
      </c>
      <c r="B996" s="167" t="str">
        <f ca="1">IFERROR(__xludf.DUMMYFUNCTION("""COMPUTED_VALUE"""),"BUENO")</f>
        <v>BUENO</v>
      </c>
      <c r="C996" s="206"/>
      <c r="D996" s="206"/>
      <c r="E996" s="207"/>
      <c r="F996" s="207"/>
      <c r="G996" s="207"/>
      <c r="H996" s="207"/>
      <c r="I996" s="207"/>
      <c r="J996" s="207"/>
      <c r="K996" s="207"/>
      <c r="L996" s="207"/>
      <c r="M996" s="207"/>
      <c r="N996" s="207"/>
      <c r="O996" s="206"/>
    </row>
    <row r="997" spans="1:15" ht="30">
      <c r="A997" s="167" t="str">
        <f ca="1">IFERROR(__xludf.DUMMYFUNCTION("""COMPUTED_VALUE"""),"82DH0512010023000517045")</f>
        <v>82DH0512010023000517045</v>
      </c>
      <c r="B997" s="167" t="str">
        <f ca="1">IFERROR(__xludf.DUMMYFUNCTION("""COMPUTED_VALUE"""),"BUENO")</f>
        <v>BUENO</v>
      </c>
      <c r="C997" s="206"/>
      <c r="D997" s="206"/>
      <c r="E997" s="207"/>
      <c r="F997" s="207"/>
      <c r="G997" s="207"/>
      <c r="H997" s="207"/>
      <c r="I997" s="207"/>
      <c r="J997" s="207"/>
      <c r="K997" s="207"/>
      <c r="L997" s="207"/>
      <c r="M997" s="207"/>
      <c r="N997" s="207"/>
      <c r="O997" s="206"/>
    </row>
    <row r="998" spans="1:15" ht="30">
      <c r="A998" s="167" t="str">
        <f ca="1">IFERROR(__xludf.DUMMYFUNCTION("""COMPUTED_VALUE"""),"82DH0531010094000581260")</f>
        <v>82DH0531010094000581260</v>
      </c>
      <c r="B998" s="167" t="str">
        <f ca="1">IFERROR(__xludf.DUMMYFUNCTION("""COMPUTED_VALUE"""),"BUENO")</f>
        <v>BUENO</v>
      </c>
      <c r="C998" s="206"/>
      <c r="D998" s="206"/>
      <c r="E998" s="207"/>
      <c r="F998" s="207"/>
      <c r="G998" s="207"/>
      <c r="H998" s="207"/>
      <c r="I998" s="207"/>
      <c r="J998" s="207"/>
      <c r="K998" s="207"/>
      <c r="L998" s="207"/>
      <c r="M998" s="207"/>
      <c r="N998" s="207"/>
      <c r="O998" s="206"/>
    </row>
    <row r="999" spans="1:15" ht="30">
      <c r="A999" s="167" t="str">
        <f ca="1">IFERROR(__xludf.DUMMYFUNCTION("""COMPUTED_VALUE"""),"82DH0531010065000564735")</f>
        <v>82DH0531010065000564735</v>
      </c>
      <c r="B999" s="167" t="str">
        <f ca="1">IFERROR(__xludf.DUMMYFUNCTION("""COMPUTED_VALUE"""),"BUENO")</f>
        <v>BUENO</v>
      </c>
      <c r="C999" s="206"/>
      <c r="D999" s="206"/>
      <c r="E999" s="207"/>
      <c r="F999" s="207"/>
      <c r="G999" s="207"/>
      <c r="H999" s="207"/>
      <c r="I999" s="207"/>
      <c r="J999" s="207"/>
      <c r="K999" s="207"/>
      <c r="L999" s="207"/>
      <c r="M999" s="207"/>
      <c r="N999" s="207"/>
      <c r="O999" s="206"/>
    </row>
    <row r="1000" spans="1:15" ht="30">
      <c r="A1000" s="167" t="str">
        <f ca="1">IFERROR(__xludf.DUMMYFUNCTION("""COMPUTED_VALUE"""),"82DH0531010065000564751")</f>
        <v>82DH0531010065000564751</v>
      </c>
      <c r="B1000" s="167" t="str">
        <f ca="1">IFERROR(__xludf.DUMMYFUNCTION("""COMPUTED_VALUE"""),"BUENO")</f>
        <v>BUENO</v>
      </c>
      <c r="C1000" s="206"/>
      <c r="D1000" s="206"/>
      <c r="E1000" s="207"/>
      <c r="F1000" s="207"/>
      <c r="G1000" s="207"/>
      <c r="H1000" s="207"/>
      <c r="I1000" s="207"/>
      <c r="J1000" s="207"/>
      <c r="K1000" s="207"/>
      <c r="L1000" s="207"/>
      <c r="M1000" s="207"/>
      <c r="N1000" s="207"/>
      <c r="O1000" s="206"/>
    </row>
    <row r="1001" spans="1:15" ht="30">
      <c r="A1001" s="167" t="str">
        <f ca="1">IFERROR(__xludf.DUMMYFUNCTION("""COMPUTED_VALUE"""),"82DH0511010006000518493")</f>
        <v>82DH0511010006000518493</v>
      </c>
      <c r="B1001" s="167" t="str">
        <f ca="1">IFERROR(__xludf.DUMMYFUNCTION("""COMPUTED_VALUE"""),"BUENO")</f>
        <v>BUENO</v>
      </c>
      <c r="C1001" s="206"/>
      <c r="D1001" s="206"/>
      <c r="E1001" s="207"/>
      <c r="F1001" s="207"/>
      <c r="G1001" s="207"/>
      <c r="H1001" s="207"/>
      <c r="I1001" s="207"/>
      <c r="J1001" s="207"/>
      <c r="K1001" s="207"/>
      <c r="L1001" s="207"/>
      <c r="M1001" s="207"/>
      <c r="N1001" s="207"/>
      <c r="O1001" s="206"/>
    </row>
    <row r="1002" spans="1:15" ht="30">
      <c r="A1002" s="167" t="str">
        <f ca="1">IFERROR(__xludf.DUMMYFUNCTION("""COMPUTED_VALUE"""),"82DH0511010001000651395")</f>
        <v>82DH0511010001000651395</v>
      </c>
      <c r="B1002" s="167" t="str">
        <f ca="1">IFERROR(__xludf.DUMMYFUNCTION("""COMPUTED_VALUE"""),"BUENO")</f>
        <v>BUENO</v>
      </c>
      <c r="C1002" s="206"/>
      <c r="D1002" s="206"/>
      <c r="E1002" s="207"/>
      <c r="F1002" s="207"/>
      <c r="G1002" s="207"/>
      <c r="H1002" s="207"/>
      <c r="I1002" s="207"/>
      <c r="J1002" s="207"/>
      <c r="K1002" s="207"/>
      <c r="L1002" s="207"/>
      <c r="M1002" s="207"/>
      <c r="N1002" s="207"/>
      <c r="O1002" s="206"/>
    </row>
    <row r="1003" spans="1:15" ht="30">
      <c r="A1003" s="167" t="str">
        <f ca="1">IFERROR(__xludf.DUMMYFUNCTION("""COMPUTED_VALUE"""),"82DH0519010043000649360")</f>
        <v>82DH0519010043000649360</v>
      </c>
      <c r="B1003" s="167" t="str">
        <f ca="1">IFERROR(__xludf.DUMMYFUNCTION("""COMPUTED_VALUE"""),"MALO PARA BAJA (ALMACEN)")</f>
        <v>MALO PARA BAJA (ALMACEN)</v>
      </c>
      <c r="C1003" s="206"/>
      <c r="D1003" s="206"/>
      <c r="E1003" s="207"/>
      <c r="F1003" s="207"/>
      <c r="G1003" s="207"/>
      <c r="H1003" s="207"/>
      <c r="I1003" s="207"/>
      <c r="J1003" s="207"/>
      <c r="K1003" s="207"/>
      <c r="L1003" s="207"/>
      <c r="M1003" s="207"/>
      <c r="N1003" s="207"/>
      <c r="O1003" s="206"/>
    </row>
    <row r="1004" spans="1:15" ht="30">
      <c r="A1004" s="167" t="str">
        <f ca="1">IFERROR(__xludf.DUMMYFUNCTION("""COMPUTED_VALUE"""),"82DH0515010020000650643")</f>
        <v>82DH0515010020000650643</v>
      </c>
      <c r="B1004" s="167" t="str">
        <f ca="1">IFERROR(__xludf.DUMMYFUNCTION("""COMPUTED_VALUE"""),"BUENO")</f>
        <v>BUENO</v>
      </c>
      <c r="C1004" s="206"/>
      <c r="D1004" s="206"/>
      <c r="E1004" s="207"/>
      <c r="F1004" s="207"/>
      <c r="G1004" s="207"/>
      <c r="H1004" s="207"/>
      <c r="I1004" s="207"/>
      <c r="J1004" s="207"/>
      <c r="K1004" s="207"/>
      <c r="L1004" s="207"/>
      <c r="M1004" s="207"/>
      <c r="N1004" s="207"/>
      <c r="O1004" s="206"/>
    </row>
    <row r="1005" spans="1:15" ht="30">
      <c r="A1005" s="167" t="str">
        <f ca="1">IFERROR(__xludf.DUMMYFUNCTION("""COMPUTED_VALUE"""),"82DH0515010001000535503")</f>
        <v>82DH0515010001000535503</v>
      </c>
      <c r="B1005" s="167" t="str">
        <f ca="1">IFERROR(__xludf.DUMMYFUNCTION("""COMPUTED_VALUE"""),"BUENO")</f>
        <v>BUENO</v>
      </c>
      <c r="C1005" s="206"/>
      <c r="D1005" s="206"/>
      <c r="E1005" s="207"/>
      <c r="F1005" s="207"/>
      <c r="G1005" s="207"/>
      <c r="H1005" s="207"/>
      <c r="I1005" s="207"/>
      <c r="J1005" s="207"/>
      <c r="K1005" s="207"/>
      <c r="L1005" s="207"/>
      <c r="M1005" s="207"/>
      <c r="N1005" s="207"/>
      <c r="O1005" s="206"/>
    </row>
    <row r="1006" spans="1:15" ht="30">
      <c r="A1006" s="167" t="str">
        <f ca="1">IFERROR(__xludf.DUMMYFUNCTION("""COMPUTED_VALUE"""),"82DH0565010041000530461")</f>
        <v>82DH0565010041000530461</v>
      </c>
      <c r="B1006" s="167" t="str">
        <f ca="1">IFERROR(__xludf.DUMMYFUNCTION("""COMPUTED_VALUE"""),"BUENO")</f>
        <v>BUENO</v>
      </c>
      <c r="C1006" s="206"/>
      <c r="D1006" s="206"/>
      <c r="E1006" s="207"/>
      <c r="F1006" s="207"/>
      <c r="G1006" s="207"/>
      <c r="H1006" s="207"/>
      <c r="I1006" s="207"/>
      <c r="J1006" s="207"/>
      <c r="K1006" s="207"/>
      <c r="L1006" s="207"/>
      <c r="M1006" s="207"/>
      <c r="N1006" s="207"/>
      <c r="O1006" s="206"/>
    </row>
    <row r="1007" spans="1:15" ht="30">
      <c r="A1007" s="167" t="str">
        <f ca="1">IFERROR(__xludf.DUMMYFUNCTION("""COMPUTED_VALUE"""),"82DH0565010001000651390")</f>
        <v>82DH0565010001000651390</v>
      </c>
      <c r="B1007" s="167" t="str">
        <f ca="1">IFERROR(__xludf.DUMMYFUNCTION("""COMPUTED_VALUE"""),"BUENO")</f>
        <v>BUENO</v>
      </c>
      <c r="C1007" s="206"/>
      <c r="D1007" s="206"/>
      <c r="E1007" s="207"/>
      <c r="F1007" s="207"/>
      <c r="G1007" s="207"/>
      <c r="H1007" s="207"/>
      <c r="I1007" s="207"/>
      <c r="J1007" s="207"/>
      <c r="K1007" s="207"/>
      <c r="L1007" s="207"/>
      <c r="M1007" s="207"/>
      <c r="N1007" s="207"/>
      <c r="O1007" s="206"/>
    </row>
    <row r="1008" spans="1:15" ht="30">
      <c r="A1008" s="167" t="str">
        <f ca="1">IFERROR(__xludf.DUMMYFUNCTION("""COMPUTED_VALUE"""),"82DH0511010001000581379")</f>
        <v>82DH0511010001000581379</v>
      </c>
      <c r="B1008" s="167" t="str">
        <f ca="1">IFERROR(__xludf.DUMMYFUNCTION("""COMPUTED_VALUE"""),"BUENO")</f>
        <v>BUENO</v>
      </c>
      <c r="C1008" s="206"/>
      <c r="D1008" s="206"/>
      <c r="E1008" s="207"/>
      <c r="F1008" s="207"/>
      <c r="G1008" s="207"/>
      <c r="H1008" s="207"/>
      <c r="I1008" s="207"/>
      <c r="J1008" s="207"/>
      <c r="K1008" s="207"/>
      <c r="L1008" s="207"/>
      <c r="M1008" s="207"/>
      <c r="N1008" s="207"/>
      <c r="O1008" s="206"/>
    </row>
    <row r="1009" spans="1:15" ht="30">
      <c r="A1009" s="167" t="str">
        <f ca="1">IFERROR(__xludf.DUMMYFUNCTION("""COMPUTED_VALUE"""),"82DH0511010009000564625")</f>
        <v>82DH0511010009000564625</v>
      </c>
      <c r="B1009" s="167" t="str">
        <f ca="1">IFERROR(__xludf.DUMMYFUNCTION("""COMPUTED_VALUE"""),"BUENO")</f>
        <v>BUENO</v>
      </c>
      <c r="C1009" s="206"/>
      <c r="D1009" s="206"/>
      <c r="E1009" s="207"/>
      <c r="F1009" s="207"/>
      <c r="G1009" s="207"/>
      <c r="H1009" s="207"/>
      <c r="I1009" s="207"/>
      <c r="J1009" s="207"/>
      <c r="K1009" s="207"/>
      <c r="L1009" s="207"/>
      <c r="M1009" s="207"/>
      <c r="N1009" s="207"/>
      <c r="O1009" s="206"/>
    </row>
    <row r="1010" spans="1:15" ht="30">
      <c r="A1010" s="167" t="str">
        <f ca="1">IFERROR(__xludf.DUMMYFUNCTION("""COMPUTED_VALUE"""),"82DH0511010017000651102")</f>
        <v>82DH0511010017000651102</v>
      </c>
      <c r="B1010" s="167" t="str">
        <f ca="1">IFERROR(__xludf.DUMMYFUNCTION("""COMPUTED_VALUE"""),"BUENO")</f>
        <v>BUENO</v>
      </c>
      <c r="C1010" s="206"/>
      <c r="D1010" s="206"/>
      <c r="E1010" s="207"/>
      <c r="F1010" s="207"/>
      <c r="G1010" s="207"/>
      <c r="H1010" s="207"/>
      <c r="I1010" s="207"/>
      <c r="J1010" s="207"/>
      <c r="K1010" s="207"/>
      <c r="L1010" s="207"/>
      <c r="M1010" s="207"/>
      <c r="N1010" s="207"/>
      <c r="O1010" s="206"/>
    </row>
    <row r="1011" spans="1:15" ht="30">
      <c r="A1011" s="167" t="str">
        <f ca="1">IFERROR(__xludf.DUMMYFUNCTION("""COMPUTED_VALUE"""),"82DH0511010017000564624")</f>
        <v>82DH0511010017000564624</v>
      </c>
      <c r="B1011" s="167" t="str">
        <f ca="1">IFERROR(__xludf.DUMMYFUNCTION("""COMPUTED_VALUE"""),"BUENO")</f>
        <v>BUENO</v>
      </c>
      <c r="C1011" s="206"/>
      <c r="D1011" s="206"/>
      <c r="E1011" s="207"/>
      <c r="F1011" s="207"/>
      <c r="G1011" s="207"/>
      <c r="H1011" s="207"/>
      <c r="I1011" s="207"/>
      <c r="J1011" s="207"/>
      <c r="K1011" s="207"/>
      <c r="L1011" s="207"/>
      <c r="M1011" s="207"/>
      <c r="N1011" s="207"/>
      <c r="O1011" s="206"/>
    </row>
    <row r="1012" spans="1:15" ht="30">
      <c r="A1012" s="167" t="str">
        <f ca="1">IFERROR(__xludf.DUMMYFUNCTION("""COMPUTED_VALUE"""),"SIN RESGUARDO")</f>
        <v>SIN RESGUARDO</v>
      </c>
      <c r="B1012" s="167" t="str">
        <f ca="1">IFERROR(__xludf.DUMMYFUNCTION("""COMPUTED_VALUE"""),"UBICAR")</f>
        <v>UBICAR</v>
      </c>
      <c r="C1012" s="206"/>
      <c r="D1012" s="206"/>
      <c r="E1012" s="207"/>
      <c r="F1012" s="207"/>
      <c r="G1012" s="207"/>
      <c r="H1012" s="207"/>
      <c r="I1012" s="207"/>
      <c r="J1012" s="207"/>
      <c r="K1012" s="207"/>
      <c r="L1012" s="207"/>
      <c r="M1012" s="207"/>
      <c r="N1012" s="207"/>
      <c r="O1012" s="206"/>
    </row>
    <row r="1013" spans="1:15" ht="30">
      <c r="A1013" s="167" t="str">
        <f ca="1">IFERROR(__xludf.DUMMYFUNCTION("""COMPUTED_VALUE"""),"SIN RESGUARDO")</f>
        <v>SIN RESGUARDO</v>
      </c>
      <c r="B1013" s="167" t="str">
        <f ca="1">IFERROR(__xludf.DUMMYFUNCTION("""COMPUTED_VALUE"""),"BUENO")</f>
        <v>BUENO</v>
      </c>
      <c r="C1013" s="206"/>
      <c r="D1013" s="206"/>
      <c r="E1013" s="207"/>
      <c r="F1013" s="207"/>
      <c r="G1013" s="207"/>
      <c r="H1013" s="207"/>
      <c r="I1013" s="207"/>
      <c r="J1013" s="207"/>
      <c r="K1013" s="207"/>
      <c r="L1013" s="207"/>
      <c r="M1013" s="207"/>
      <c r="N1013" s="207"/>
      <c r="O1013" s="206"/>
    </row>
    <row r="1014" spans="1:15" ht="30">
      <c r="A1014" s="167" t="str">
        <f ca="1">IFERROR(__xludf.DUMMYFUNCTION("""COMPUTED_VALUE"""),"SIN RESGUARDO")</f>
        <v>SIN RESGUARDO</v>
      </c>
      <c r="B1014" s="167" t="str">
        <f ca="1">IFERROR(__xludf.DUMMYFUNCTION("""COMPUTED_VALUE"""),"UBICAR")</f>
        <v>UBICAR</v>
      </c>
      <c r="C1014" s="206"/>
      <c r="D1014" s="206"/>
      <c r="E1014" s="207"/>
      <c r="F1014" s="207"/>
      <c r="G1014" s="207"/>
      <c r="H1014" s="207"/>
      <c r="I1014" s="207"/>
      <c r="J1014" s="207"/>
      <c r="K1014" s="207"/>
      <c r="L1014" s="207"/>
      <c r="M1014" s="207"/>
      <c r="N1014" s="207"/>
      <c r="O1014" s="206"/>
    </row>
    <row r="1015" spans="1:15" ht="30">
      <c r="A1015" s="167" t="str">
        <f ca="1">IFERROR(__xludf.DUMMYFUNCTION("""COMPUTED_VALUE"""),"SIN RESGUARDO")</f>
        <v>SIN RESGUARDO</v>
      </c>
      <c r="B1015" s="167" t="str">
        <f ca="1">IFERROR(__xludf.DUMMYFUNCTION("""COMPUTED_VALUE"""),"BUENO")</f>
        <v>BUENO</v>
      </c>
      <c r="C1015" s="206"/>
      <c r="D1015" s="206"/>
      <c r="E1015" s="207"/>
      <c r="F1015" s="207"/>
      <c r="G1015" s="207"/>
      <c r="H1015" s="207"/>
      <c r="I1015" s="207"/>
      <c r="J1015" s="207"/>
      <c r="K1015" s="207"/>
      <c r="L1015" s="207"/>
      <c r="M1015" s="207"/>
      <c r="N1015" s="207"/>
      <c r="O1015" s="206"/>
    </row>
    <row r="1016" spans="1:15" ht="30">
      <c r="A1016" s="167" t="str">
        <f ca="1">IFERROR(__xludf.DUMMYFUNCTION("""COMPUTED_VALUE"""),"SIN RESGUARDO")</f>
        <v>SIN RESGUARDO</v>
      </c>
      <c r="B1016" s="167" t="str">
        <f ca="1">IFERROR(__xludf.DUMMYFUNCTION("""COMPUTED_VALUE"""),"UBICAR")</f>
        <v>UBICAR</v>
      </c>
      <c r="C1016" s="206"/>
      <c r="D1016" s="206"/>
      <c r="E1016" s="207"/>
      <c r="F1016" s="207"/>
      <c r="G1016" s="207"/>
      <c r="H1016" s="207"/>
      <c r="I1016" s="207"/>
      <c r="J1016" s="207"/>
      <c r="K1016" s="207"/>
      <c r="L1016" s="207"/>
      <c r="M1016" s="207"/>
      <c r="N1016" s="207"/>
      <c r="O1016" s="206"/>
    </row>
    <row r="1017" spans="1:15" ht="30">
      <c r="A1017" s="167" t="str">
        <f ca="1">IFERROR(__xludf.DUMMYFUNCTION("""COMPUTED_VALUE"""),"82DH0519010043000649781")</f>
        <v>82DH0519010043000649781</v>
      </c>
      <c r="B1017" s="167" t="str">
        <f ca="1">IFERROR(__xludf.DUMMYFUNCTION("""COMPUTED_VALUE"""),"UBICAR")</f>
        <v>UBICAR</v>
      </c>
      <c r="C1017" s="206"/>
      <c r="D1017" s="206"/>
      <c r="E1017" s="207"/>
      <c r="F1017" s="207"/>
      <c r="G1017" s="207"/>
      <c r="H1017" s="207"/>
      <c r="I1017" s="207"/>
      <c r="J1017" s="207"/>
      <c r="K1017" s="207"/>
      <c r="L1017" s="207"/>
      <c r="M1017" s="207"/>
      <c r="N1017" s="207"/>
      <c r="O1017" s="206"/>
    </row>
    <row r="1018" spans="1:15" ht="30">
      <c r="A1018" s="167" t="str">
        <f ca="1">IFERROR(__xludf.DUMMYFUNCTION("""COMPUTED_VALUE"""),"82DH0511010016000649782")</f>
        <v>82DH0511010016000649782</v>
      </c>
      <c r="B1018" s="167" t="str">
        <f ca="1">IFERROR(__xludf.DUMMYFUNCTION("""COMPUTED_VALUE"""),"UBICAR")</f>
        <v>UBICAR</v>
      </c>
      <c r="C1018" s="206"/>
      <c r="D1018" s="206"/>
      <c r="E1018" s="207"/>
      <c r="F1018" s="207"/>
      <c r="G1018" s="207"/>
      <c r="H1018" s="207"/>
      <c r="I1018" s="207"/>
      <c r="J1018" s="207"/>
      <c r="K1018" s="207"/>
      <c r="L1018" s="207"/>
      <c r="M1018" s="207"/>
      <c r="N1018" s="207"/>
      <c r="O1018" s="206"/>
    </row>
    <row r="1019" spans="1:15" ht="30">
      <c r="A1019" s="167" t="str">
        <f ca="1">IFERROR(__xludf.DUMMYFUNCTION("""COMPUTED_VALUE"""),"82DH0511010006000516962")</f>
        <v>82DH0511010006000516962</v>
      </c>
      <c r="B1019" s="167" t="str">
        <f ca="1">IFERROR(__xludf.DUMMYFUNCTION("""COMPUTED_VALUE"""),"BUENO")</f>
        <v>BUENO</v>
      </c>
      <c r="C1019" s="206"/>
      <c r="D1019" s="206"/>
      <c r="E1019" s="207"/>
      <c r="F1019" s="207"/>
      <c r="G1019" s="207"/>
      <c r="H1019" s="207"/>
      <c r="I1019" s="207"/>
      <c r="J1019" s="207"/>
      <c r="K1019" s="207"/>
      <c r="L1019" s="207"/>
      <c r="M1019" s="207"/>
      <c r="N1019" s="207"/>
      <c r="O1019" s="206"/>
    </row>
    <row r="1020" spans="1:15" ht="30">
      <c r="A1020" s="167" t="str">
        <f ca="1">IFERROR(__xludf.DUMMYFUNCTION("""COMPUTED_VALUE"""),"82DH0515010016000649431")</f>
        <v>82DH0515010016000649431</v>
      </c>
      <c r="B1020" s="167" t="str">
        <f ca="1">IFERROR(__xludf.DUMMYFUNCTION("""COMPUTED_VALUE"""),"BUENO")</f>
        <v>BUENO</v>
      </c>
      <c r="C1020" s="206"/>
      <c r="D1020" s="206"/>
      <c r="E1020" s="207"/>
      <c r="F1020" s="207"/>
      <c r="G1020" s="207"/>
      <c r="H1020" s="207"/>
      <c r="I1020" s="207"/>
      <c r="J1020" s="207"/>
      <c r="K1020" s="207"/>
      <c r="L1020" s="207"/>
      <c r="M1020" s="207"/>
      <c r="N1020" s="207"/>
      <c r="O1020" s="206"/>
    </row>
    <row r="1021" spans="1:15" ht="30">
      <c r="A1021" s="167" t="str">
        <f ca="1">IFERROR(__xludf.DUMMYFUNCTION("""COMPUTED_VALUE"""),"82DH0515010033000564673")</f>
        <v>82DH0515010033000564673</v>
      </c>
      <c r="B1021" s="167" t="str">
        <f ca="1">IFERROR(__xludf.DUMMYFUNCTION("""COMPUTED_VALUE"""),"BUENO")</f>
        <v>BUENO</v>
      </c>
      <c r="C1021" s="206"/>
      <c r="D1021" s="206"/>
      <c r="E1021" s="207"/>
      <c r="F1021" s="207"/>
      <c r="G1021" s="207"/>
      <c r="H1021" s="207"/>
      <c r="I1021" s="207"/>
      <c r="J1021" s="207"/>
      <c r="K1021" s="207"/>
      <c r="L1021" s="207"/>
      <c r="M1021" s="207"/>
      <c r="N1021" s="207"/>
      <c r="O1021" s="206"/>
    </row>
    <row r="1022" spans="1:15" ht="30">
      <c r="A1022" s="167" t="str">
        <f ca="1">IFERROR(__xludf.DUMMYFUNCTION("""COMPUTED_VALUE"""),"82DH0531010094000531946")</f>
        <v>82DH0531010094000531946</v>
      </c>
      <c r="B1022" s="167" t="str">
        <f ca="1">IFERROR(__xludf.DUMMYFUNCTION("""COMPUTED_VALUE"""),"BUENO")</f>
        <v>BUENO</v>
      </c>
      <c r="C1022" s="206"/>
      <c r="D1022" s="206"/>
      <c r="E1022" s="207"/>
      <c r="F1022" s="207"/>
      <c r="G1022" s="207"/>
      <c r="H1022" s="207"/>
      <c r="I1022" s="207"/>
      <c r="J1022" s="207"/>
      <c r="K1022" s="207"/>
      <c r="L1022" s="207"/>
      <c r="M1022" s="207"/>
      <c r="N1022" s="207"/>
      <c r="O1022" s="206"/>
    </row>
    <row r="1023" spans="1:15" ht="30">
      <c r="A1023" s="167" t="str">
        <f ca="1">IFERROR(__xludf.DUMMYFUNCTION("""COMPUTED_VALUE"""),"SIN RESGUARDO")</f>
        <v>SIN RESGUARDO</v>
      </c>
      <c r="B1023" s="167" t="str">
        <f ca="1">IFERROR(__xludf.DUMMYFUNCTION("""COMPUTED_VALUE"""),"BUENO")</f>
        <v>BUENO</v>
      </c>
      <c r="C1023" s="206"/>
      <c r="D1023" s="206"/>
      <c r="E1023" s="207"/>
      <c r="F1023" s="207"/>
      <c r="G1023" s="207"/>
      <c r="H1023" s="207"/>
      <c r="I1023" s="207"/>
      <c r="J1023" s="207"/>
      <c r="K1023" s="207"/>
      <c r="L1023" s="207"/>
      <c r="M1023" s="207"/>
      <c r="N1023" s="207"/>
      <c r="O1023" s="206"/>
    </row>
    <row r="1024" spans="1:15" ht="30">
      <c r="A1024" s="167" t="str">
        <f ca="1">IFERROR(__xludf.DUMMYFUNCTION("""COMPUTED_VALUE"""),"82DJ0511010017000697931")</f>
        <v>82DJ0511010017000697931</v>
      </c>
      <c r="B1024" s="167" t="str">
        <f ca="1">IFERROR(__xludf.DUMMYFUNCTION("""COMPUTED_VALUE"""),"BUENO")</f>
        <v>BUENO</v>
      </c>
      <c r="C1024" s="206"/>
      <c r="D1024" s="206"/>
      <c r="E1024" s="207"/>
      <c r="F1024" s="207"/>
      <c r="G1024" s="207"/>
      <c r="H1024" s="207"/>
      <c r="I1024" s="207"/>
      <c r="J1024" s="207"/>
      <c r="K1024" s="207"/>
      <c r="L1024" s="207"/>
      <c r="M1024" s="207"/>
      <c r="N1024" s="207"/>
      <c r="O1024" s="206"/>
    </row>
    <row r="1025" spans="1:15" ht="30">
      <c r="A1025" s="167" t="str">
        <f ca="1">IFERROR(__xludf.DUMMYFUNCTION("""COMPUTED_VALUE"""),"SIN RESGUARDO")</f>
        <v>SIN RESGUARDO</v>
      </c>
      <c r="B1025" s="167" t="str">
        <f ca="1">IFERROR(__xludf.DUMMYFUNCTION("""COMPUTED_VALUE"""),"BUENO")</f>
        <v>BUENO</v>
      </c>
      <c r="C1025" s="206"/>
      <c r="D1025" s="206"/>
      <c r="E1025" s="207"/>
      <c r="F1025" s="207"/>
      <c r="G1025" s="207"/>
      <c r="H1025" s="207"/>
      <c r="I1025" s="207"/>
      <c r="J1025" s="207"/>
      <c r="K1025" s="207"/>
      <c r="L1025" s="207"/>
      <c r="M1025" s="207"/>
      <c r="N1025" s="207"/>
      <c r="O1025" s="206"/>
    </row>
    <row r="1026" spans="1:15" ht="30">
      <c r="A1026" s="167" t="str">
        <f ca="1">IFERROR(__xludf.DUMMYFUNCTION("""COMPUTED_VALUE"""),"82DH0511010017000693401")</f>
        <v>82DH0511010017000693401</v>
      </c>
      <c r="B1026" s="167" t="str">
        <f ca="1">IFERROR(__xludf.DUMMYFUNCTION("""COMPUTED_VALUE"""),"BUENO")</f>
        <v>BUENO</v>
      </c>
      <c r="C1026" s="206"/>
      <c r="D1026" s="206"/>
      <c r="E1026" s="207"/>
      <c r="F1026" s="207"/>
      <c r="G1026" s="207"/>
      <c r="H1026" s="207"/>
      <c r="I1026" s="207"/>
      <c r="J1026" s="207"/>
      <c r="K1026" s="207"/>
      <c r="L1026" s="207"/>
      <c r="M1026" s="207"/>
      <c r="N1026" s="207"/>
      <c r="O1026" s="206"/>
    </row>
    <row r="1027" spans="1:15" ht="30">
      <c r="A1027" s="167" t="str">
        <f ca="1">IFERROR(__xludf.DUMMYFUNCTION("""COMPUTED_VALUE"""),"82DH0511010017000693400")</f>
        <v>82DH0511010017000693400</v>
      </c>
      <c r="B1027" s="167" t="str">
        <f ca="1">IFERROR(__xludf.DUMMYFUNCTION("""COMPUTED_VALUE"""),"BUENO")</f>
        <v>BUENO</v>
      </c>
      <c r="C1027" s="206"/>
      <c r="D1027" s="206"/>
      <c r="E1027" s="207"/>
      <c r="F1027" s="207"/>
      <c r="G1027" s="207"/>
      <c r="H1027" s="207"/>
      <c r="I1027" s="207"/>
      <c r="J1027" s="207"/>
      <c r="K1027" s="207"/>
      <c r="L1027" s="207"/>
      <c r="M1027" s="207"/>
      <c r="N1027" s="207"/>
      <c r="O1027" s="206"/>
    </row>
    <row r="1028" spans="1:15" ht="30">
      <c r="A1028" s="167" t="str">
        <f ca="1">IFERROR(__xludf.DUMMYFUNCTION("""COMPUTED_VALUE"""),"82DJ0515010013000711758")</f>
        <v>82DJ0515010013000711758</v>
      </c>
      <c r="B1028" s="167" t="str">
        <f ca="1">IFERROR(__xludf.DUMMYFUNCTION("""COMPUTED_VALUE"""),"BUENO")</f>
        <v>BUENO</v>
      </c>
      <c r="C1028" s="206"/>
      <c r="D1028" s="206"/>
      <c r="E1028" s="207"/>
      <c r="F1028" s="207"/>
      <c r="G1028" s="207"/>
      <c r="H1028" s="207"/>
      <c r="I1028" s="207"/>
      <c r="J1028" s="207"/>
      <c r="K1028" s="207"/>
      <c r="L1028" s="207"/>
      <c r="M1028" s="207"/>
      <c r="N1028" s="207"/>
      <c r="O1028" s="206"/>
    </row>
    <row r="1029" spans="1:15" ht="30">
      <c r="A1029" s="167" t="str">
        <f ca="1">IFERROR(__xludf.DUMMYFUNCTION("""COMPUTED_VALUE"""),"82DJ0515010013000711759")</f>
        <v>82DJ0515010013000711759</v>
      </c>
      <c r="B1029" s="167" t="str">
        <f ca="1">IFERROR(__xludf.DUMMYFUNCTION("""COMPUTED_VALUE"""),"BUENO")</f>
        <v>BUENO</v>
      </c>
      <c r="C1029" s="206"/>
      <c r="D1029" s="206"/>
      <c r="E1029" s="207"/>
      <c r="F1029" s="207"/>
      <c r="G1029" s="207"/>
      <c r="H1029" s="207"/>
      <c r="I1029" s="207"/>
      <c r="J1029" s="207"/>
      <c r="K1029" s="207"/>
      <c r="L1029" s="207"/>
      <c r="M1029" s="207"/>
      <c r="N1029" s="207"/>
      <c r="O1029" s="206"/>
    </row>
    <row r="1030" spans="1:15" ht="30">
      <c r="A1030" s="167" t="str">
        <f ca="1">IFERROR(__xludf.DUMMYFUNCTION("""COMPUTED_VALUE"""),"82DH0511010017000693402")</f>
        <v>82DH0511010017000693402</v>
      </c>
      <c r="B1030" s="167" t="str">
        <f ca="1">IFERROR(__xludf.DUMMYFUNCTION("""COMPUTED_VALUE"""),"BUENO")</f>
        <v>BUENO</v>
      </c>
      <c r="C1030" s="206"/>
      <c r="D1030" s="206"/>
      <c r="E1030" s="207"/>
      <c r="F1030" s="207"/>
      <c r="G1030" s="207"/>
      <c r="H1030" s="207"/>
      <c r="I1030" s="207"/>
      <c r="J1030" s="207"/>
      <c r="K1030" s="207"/>
      <c r="L1030" s="207"/>
      <c r="M1030" s="207"/>
      <c r="N1030" s="207"/>
      <c r="O1030" s="206"/>
    </row>
    <row r="1031" spans="1:15" ht="30">
      <c r="A1031" s="167" t="str">
        <f ca="1">IFERROR(__xludf.DUMMYFUNCTION("""COMPUTED_VALUE"""),"82DH0511010016000702172")</f>
        <v>82DH0511010016000702172</v>
      </c>
      <c r="B1031" s="167" t="str">
        <f ca="1">IFERROR(__xludf.DUMMYFUNCTION("""COMPUTED_VALUE"""),"BUENO")</f>
        <v>BUENO</v>
      </c>
      <c r="C1031" s="206"/>
      <c r="D1031" s="206"/>
      <c r="E1031" s="207"/>
      <c r="F1031" s="207"/>
      <c r="G1031" s="207"/>
      <c r="H1031" s="207"/>
      <c r="I1031" s="207"/>
      <c r="J1031" s="207"/>
      <c r="K1031" s="207"/>
      <c r="L1031" s="207"/>
      <c r="M1031" s="207"/>
      <c r="N1031" s="207"/>
      <c r="O1031" s="206"/>
    </row>
    <row r="1032" spans="1:15" ht="30">
      <c r="A1032" s="167" t="str">
        <f ca="1">IFERROR(__xludf.DUMMYFUNCTION("""COMPUTED_VALUE"""),"82DH0511010016000702173")</f>
        <v>82DH0511010016000702173</v>
      </c>
      <c r="B1032" s="167" t="str">
        <f ca="1">IFERROR(__xludf.DUMMYFUNCTION("""COMPUTED_VALUE"""),"BUENO")</f>
        <v>BUENO</v>
      </c>
      <c r="C1032" s="206"/>
      <c r="D1032" s="206"/>
      <c r="E1032" s="207"/>
      <c r="F1032" s="207"/>
      <c r="G1032" s="207"/>
      <c r="H1032" s="207"/>
      <c r="I1032" s="207"/>
      <c r="J1032" s="207"/>
      <c r="K1032" s="207"/>
      <c r="L1032" s="207"/>
      <c r="M1032" s="207"/>
      <c r="N1032" s="207"/>
      <c r="O1032" s="206"/>
    </row>
    <row r="1033" spans="1:15" ht="30">
      <c r="A1033" s="167" t="str">
        <f ca="1">IFERROR(__xludf.DUMMYFUNCTION("""COMPUTED_VALUE"""),"82DH0519010043000705581")</f>
        <v>82DH0519010043000705581</v>
      </c>
      <c r="B1033" s="167" t="str">
        <f ca="1">IFERROR(__xludf.DUMMYFUNCTION("""COMPUTED_VALUE"""),"BUENO")</f>
        <v>BUENO</v>
      </c>
      <c r="C1033" s="206"/>
      <c r="D1033" s="206"/>
      <c r="E1033" s="207"/>
      <c r="F1033" s="207"/>
      <c r="G1033" s="207"/>
      <c r="H1033" s="207"/>
      <c r="I1033" s="207"/>
      <c r="J1033" s="207"/>
      <c r="K1033" s="207"/>
      <c r="L1033" s="207"/>
      <c r="M1033" s="207"/>
      <c r="N1033" s="207"/>
      <c r="O1033" s="206"/>
    </row>
    <row r="1034" spans="1:15" ht="30">
      <c r="A1034" s="167" t="str">
        <f ca="1">IFERROR(__xludf.DUMMYFUNCTION("""COMPUTED_VALUE"""),"SIN RESGUARDO")</f>
        <v>SIN RESGUARDO</v>
      </c>
      <c r="B1034" s="167" t="str">
        <f ca="1">IFERROR(__xludf.DUMMYFUNCTION("""COMPUTED_VALUE"""),"REGULAR")</f>
        <v>REGULAR</v>
      </c>
      <c r="C1034" s="206"/>
      <c r="D1034" s="206"/>
      <c r="E1034" s="207"/>
      <c r="F1034" s="207"/>
      <c r="G1034" s="207"/>
      <c r="H1034" s="207"/>
      <c r="I1034" s="207"/>
      <c r="J1034" s="207"/>
      <c r="K1034" s="207"/>
      <c r="L1034" s="207"/>
      <c r="M1034" s="207"/>
      <c r="N1034" s="207"/>
      <c r="O1034" s="206"/>
    </row>
    <row r="1035" spans="1:15" ht="30">
      <c r="A1035" s="167" t="str">
        <f ca="1">IFERROR(__xludf.DUMMYFUNCTION("""COMPUTED_VALUE"""),"82DH0511010016000702175")</f>
        <v>82DH0511010016000702175</v>
      </c>
      <c r="B1035" s="167" t="str">
        <f ca="1">IFERROR(__xludf.DUMMYFUNCTION("""COMPUTED_VALUE"""),"BUENO")</f>
        <v>BUENO</v>
      </c>
      <c r="C1035" s="206"/>
      <c r="D1035" s="206"/>
      <c r="E1035" s="207"/>
      <c r="F1035" s="207"/>
      <c r="G1035" s="207"/>
      <c r="H1035" s="207"/>
      <c r="I1035" s="207"/>
      <c r="J1035" s="207"/>
      <c r="K1035" s="207"/>
      <c r="L1035" s="207"/>
      <c r="M1035" s="207"/>
      <c r="N1035" s="207"/>
      <c r="O1035" s="206"/>
    </row>
    <row r="1036" spans="1:15" ht="30">
      <c r="A1036" s="167" t="str">
        <f ca="1">IFERROR(__xludf.DUMMYFUNCTION("""COMPUTED_VALUE"""),"82DH0515010006000702171")</f>
        <v>82DH0515010006000702171</v>
      </c>
      <c r="B1036" s="167" t="str">
        <f ca="1">IFERROR(__xludf.DUMMYFUNCTION("""COMPUTED_VALUE"""),"BUENO")</f>
        <v>BUENO</v>
      </c>
      <c r="C1036" s="206"/>
      <c r="D1036" s="206"/>
      <c r="E1036" s="207"/>
      <c r="F1036" s="207"/>
      <c r="G1036" s="207"/>
      <c r="H1036" s="207"/>
      <c r="I1036" s="207"/>
      <c r="J1036" s="207"/>
      <c r="K1036" s="207"/>
      <c r="L1036" s="207"/>
      <c r="M1036" s="207"/>
      <c r="N1036" s="207"/>
      <c r="O1036" s="206"/>
    </row>
    <row r="1037" spans="1:15" ht="30">
      <c r="A1037" s="167" t="str">
        <f ca="1">IFERROR(__xludf.DUMMYFUNCTION("""COMPUTED_VALUE"""),"82DH0515010048000702170")</f>
        <v>82DH0515010048000702170</v>
      </c>
      <c r="B1037" s="167" t="str">
        <f ca="1">IFERROR(__xludf.DUMMYFUNCTION("""COMPUTED_VALUE"""),"BUENO")</f>
        <v>BUENO</v>
      </c>
      <c r="C1037" s="206"/>
      <c r="D1037" s="206"/>
      <c r="E1037" s="207"/>
      <c r="F1037" s="207"/>
      <c r="G1037" s="207"/>
      <c r="H1037" s="207"/>
      <c r="I1037" s="207"/>
      <c r="J1037" s="207"/>
      <c r="K1037" s="207"/>
      <c r="L1037" s="207"/>
      <c r="M1037" s="207"/>
      <c r="N1037" s="207"/>
      <c r="O1037" s="206"/>
    </row>
    <row r="1038" spans="1:15" ht="30">
      <c r="A1038" s="167" t="str">
        <f ca="1">IFERROR(__xludf.DUMMYFUNCTION("""COMPUTED_VALUE"""),"82DH0511010016000702174")</f>
        <v>82DH0511010016000702174</v>
      </c>
      <c r="B1038" s="167" t="str">
        <f ca="1">IFERROR(__xludf.DUMMYFUNCTION("""COMPUTED_VALUE"""),"BUENO")</f>
        <v>BUENO</v>
      </c>
      <c r="C1038" s="206"/>
      <c r="D1038" s="206"/>
      <c r="E1038" s="207"/>
      <c r="F1038" s="207"/>
      <c r="G1038" s="207"/>
      <c r="H1038" s="207"/>
      <c r="I1038" s="207"/>
      <c r="J1038" s="207"/>
      <c r="K1038" s="207"/>
      <c r="L1038" s="207"/>
      <c r="M1038" s="207"/>
      <c r="N1038" s="207"/>
      <c r="O1038" s="206"/>
    </row>
    <row r="1039" spans="1:15" ht="30">
      <c r="A1039" s="167" t="str">
        <f ca="1">IFERROR(__xludf.DUMMYFUNCTION("""COMPUTED_VALUE"""),"82DJ0512010025000711757")</f>
        <v>82DJ0512010025000711757</v>
      </c>
      <c r="B1039" s="167" t="str">
        <f ca="1">IFERROR(__xludf.DUMMYFUNCTION("""COMPUTED_VALUE"""),"BUENO")</f>
        <v>BUENO</v>
      </c>
      <c r="C1039" s="206"/>
      <c r="D1039" s="206"/>
      <c r="E1039" s="207"/>
      <c r="F1039" s="207"/>
      <c r="G1039" s="207"/>
      <c r="H1039" s="207"/>
      <c r="I1039" s="207"/>
      <c r="J1039" s="207"/>
      <c r="K1039" s="207"/>
      <c r="L1039" s="207"/>
      <c r="M1039" s="207"/>
      <c r="N1039" s="207"/>
      <c r="O1039" s="206"/>
    </row>
    <row r="1040" spans="1:15" ht="30">
      <c r="A1040" s="167" t="str">
        <f ca="1">IFERROR(__xludf.DUMMYFUNCTION("""COMPUTED_VALUE"""),"SIN RESGUARDO")</f>
        <v>SIN RESGUARDO</v>
      </c>
      <c r="B1040" s="167" t="str">
        <f ca="1">IFERROR(__xludf.DUMMYFUNCTION("""COMPUTED_VALUE"""),"REGULAR")</f>
        <v>REGULAR</v>
      </c>
      <c r="C1040" s="206"/>
      <c r="D1040" s="206"/>
      <c r="E1040" s="207"/>
      <c r="F1040" s="207"/>
      <c r="G1040" s="207"/>
      <c r="H1040" s="207"/>
      <c r="I1040" s="207"/>
      <c r="J1040" s="207"/>
      <c r="K1040" s="207"/>
      <c r="L1040" s="207"/>
      <c r="M1040" s="207"/>
      <c r="N1040" s="207"/>
      <c r="O1040" s="206"/>
    </row>
    <row r="1041" spans="1:15" ht="30">
      <c r="A1041" s="167" t="str">
        <f ca="1">IFERROR(__xludf.DUMMYFUNCTION("""COMPUTED_VALUE"""),"SIN RESGUARDO")</f>
        <v>SIN RESGUARDO</v>
      </c>
      <c r="B1041" s="167" t="str">
        <f ca="1">IFERROR(__xludf.DUMMYFUNCTION("""COMPUTED_VALUE"""),"BUENO")</f>
        <v>BUENO</v>
      </c>
      <c r="C1041" s="206"/>
      <c r="D1041" s="206"/>
      <c r="E1041" s="207"/>
      <c r="F1041" s="207"/>
      <c r="G1041" s="207"/>
      <c r="H1041" s="207"/>
      <c r="I1041" s="207"/>
      <c r="J1041" s="207"/>
      <c r="K1041" s="207"/>
      <c r="L1041" s="207"/>
      <c r="M1041" s="207"/>
      <c r="N1041" s="207"/>
      <c r="O1041" s="206"/>
    </row>
    <row r="1042" spans="1:15" ht="30">
      <c r="A1042" s="167" t="str">
        <f ca="1">IFERROR(__xludf.DUMMYFUNCTION("""COMPUTED_VALUE"""),"82DJ0512010027000756306")</f>
        <v>82DJ0512010027000756306</v>
      </c>
      <c r="B1042" s="167" t="str">
        <f ca="1">IFERROR(__xludf.DUMMYFUNCTION("""COMPUTED_VALUE"""),"BUENO")</f>
        <v>BUENO</v>
      </c>
      <c r="C1042" s="206"/>
      <c r="D1042" s="206"/>
      <c r="E1042" s="207"/>
      <c r="F1042" s="207"/>
      <c r="G1042" s="207"/>
      <c r="H1042" s="207"/>
      <c r="I1042" s="207"/>
      <c r="J1042" s="207"/>
      <c r="K1042" s="207"/>
      <c r="L1042" s="207"/>
      <c r="M1042" s="207"/>
      <c r="N1042" s="207"/>
      <c r="O1042" s="206"/>
    </row>
    <row r="1043" spans="1:15" ht="30">
      <c r="A1043" s="167" t="str">
        <f ca="1">IFERROR(__xludf.DUMMYFUNCTION("""COMPUTED_VALUE"""),"82DJ0 512010027 000756307")</f>
        <v>82DJ0 512010027 000756307</v>
      </c>
      <c r="B1043" s="167" t="str">
        <f ca="1">IFERROR(__xludf.DUMMYFUNCTION("""COMPUTED_VALUE"""),"BUENO")</f>
        <v>BUENO</v>
      </c>
      <c r="C1043" s="206"/>
      <c r="D1043" s="206"/>
      <c r="E1043" s="207"/>
      <c r="F1043" s="207"/>
      <c r="G1043" s="207"/>
      <c r="H1043" s="207"/>
      <c r="I1043" s="207"/>
      <c r="J1043" s="207"/>
      <c r="K1043" s="207"/>
      <c r="L1043" s="207"/>
      <c r="M1043" s="207"/>
      <c r="N1043" s="207"/>
      <c r="O1043" s="206"/>
    </row>
    <row r="1044" spans="1:15" ht="30">
      <c r="A1044" s="167" t="str">
        <f ca="1">IFERROR(__xludf.DUMMYFUNCTION("""COMPUTED_VALUE"""),"82DJ0567010006000756305")</f>
        <v>82DJ0567010006000756305</v>
      </c>
      <c r="B1044" s="167" t="str">
        <f ca="1">IFERROR(__xludf.DUMMYFUNCTION("""COMPUTED_VALUE"""),"BUENO")</f>
        <v>BUENO</v>
      </c>
      <c r="C1044" s="206"/>
      <c r="D1044" s="206"/>
      <c r="E1044" s="207"/>
      <c r="F1044" s="207"/>
      <c r="G1044" s="207"/>
      <c r="H1044" s="207"/>
      <c r="I1044" s="207"/>
      <c r="J1044" s="207"/>
      <c r="K1044" s="207"/>
      <c r="L1044" s="207"/>
      <c r="M1044" s="207"/>
      <c r="N1044" s="207"/>
      <c r="O1044" s="206"/>
    </row>
    <row r="1045" spans="1:15" ht="30">
      <c r="A1045" s="167" t="str">
        <f ca="1">IFERROR(__xludf.DUMMYFUNCTION("""COMPUTED_VALUE"""),"82DK0515010003000734697")</f>
        <v>82DK0515010003000734697</v>
      </c>
      <c r="B1045" s="167" t="str">
        <f ca="1">IFERROR(__xludf.DUMMYFUNCTION("""COMPUTED_VALUE"""),"BUENO")</f>
        <v>BUENO</v>
      </c>
      <c r="C1045" s="206"/>
      <c r="D1045" s="206"/>
      <c r="E1045" s="207"/>
      <c r="F1045" s="207"/>
      <c r="G1045" s="207"/>
      <c r="H1045" s="207"/>
      <c r="I1045" s="207"/>
      <c r="J1045" s="207"/>
      <c r="K1045" s="207"/>
      <c r="L1045" s="207"/>
      <c r="M1045" s="207"/>
      <c r="N1045" s="207"/>
      <c r="O1045" s="206"/>
    </row>
    <row r="1046" spans="1:15" ht="30">
      <c r="A1046" s="167" t="str">
        <f ca="1">IFERROR(__xludf.DUMMYFUNCTION("""COMPUTED_VALUE"""),"82DK0515010013000734696")</f>
        <v>82DK0515010013000734696</v>
      </c>
      <c r="B1046" s="167" t="str">
        <f ca="1">IFERROR(__xludf.DUMMYFUNCTION("""COMPUTED_VALUE"""),"BUENO")</f>
        <v>BUENO</v>
      </c>
      <c r="C1046" s="206"/>
      <c r="D1046" s="206"/>
      <c r="E1046" s="207"/>
      <c r="F1046" s="207"/>
      <c r="G1046" s="207"/>
      <c r="H1046" s="207"/>
      <c r="I1046" s="207"/>
      <c r="J1046" s="207"/>
      <c r="K1046" s="207"/>
      <c r="L1046" s="207"/>
      <c r="M1046" s="207"/>
      <c r="N1046" s="207"/>
      <c r="O1046" s="206"/>
    </row>
    <row r="1047" spans="1:15" ht="30">
      <c r="A1047" s="167" t="str">
        <f ca="1">IFERROR(__xludf.DUMMYFUNCTION("""COMPUTED_VALUE"""),"82DI0515010003000734695")</f>
        <v>82DI0515010003000734695</v>
      </c>
      <c r="B1047" s="167" t="str">
        <f ca="1">IFERROR(__xludf.DUMMYFUNCTION("""COMPUTED_VALUE"""),"BUENO")</f>
        <v>BUENO</v>
      </c>
      <c r="C1047" s="206"/>
      <c r="D1047" s="206"/>
      <c r="E1047" s="207"/>
      <c r="F1047" s="207"/>
      <c r="G1047" s="207"/>
      <c r="H1047" s="207"/>
      <c r="I1047" s="207"/>
      <c r="J1047" s="207"/>
      <c r="K1047" s="207"/>
      <c r="L1047" s="207"/>
      <c r="M1047" s="207"/>
      <c r="N1047" s="207"/>
      <c r="O1047" s="206"/>
    </row>
    <row r="1048" spans="1:15" ht="30">
      <c r="A1048" s="167" t="str">
        <f ca="1">IFERROR(__xludf.DUMMYFUNCTION("""COMPUTED_VALUE"""),"82DI0515010013000734694")</f>
        <v>82DI0515010013000734694</v>
      </c>
      <c r="B1048" s="167" t="str">
        <f ca="1">IFERROR(__xludf.DUMMYFUNCTION("""COMPUTED_VALUE"""),"BUENO")</f>
        <v>BUENO</v>
      </c>
      <c r="C1048" s="206"/>
      <c r="D1048" s="206"/>
      <c r="E1048" s="207"/>
      <c r="F1048" s="207"/>
      <c r="G1048" s="207"/>
      <c r="H1048" s="207"/>
      <c r="I1048" s="207"/>
      <c r="J1048" s="207"/>
      <c r="K1048" s="207"/>
      <c r="L1048" s="207"/>
      <c r="M1048" s="207"/>
      <c r="N1048" s="207"/>
      <c r="O1048" s="206"/>
    </row>
    <row r="1049" spans="1:15" ht="30">
      <c r="A1049" s="167" t="str">
        <f ca="1">IFERROR(__xludf.DUMMYFUNCTION("""COMPUTED_VALUE"""),"82DJ0515010003000756023")</f>
        <v>82DJ0515010003000756023</v>
      </c>
      <c r="B1049" s="167" t="str">
        <f ca="1">IFERROR(__xludf.DUMMYFUNCTION("""COMPUTED_VALUE"""),"BUENO")</f>
        <v>BUENO</v>
      </c>
      <c r="C1049" s="206"/>
      <c r="D1049" s="206"/>
      <c r="E1049" s="207"/>
      <c r="F1049" s="207"/>
      <c r="G1049" s="207"/>
      <c r="H1049" s="207"/>
      <c r="I1049" s="207"/>
      <c r="J1049" s="207"/>
      <c r="K1049" s="207"/>
      <c r="L1049" s="207"/>
      <c r="M1049" s="207"/>
      <c r="N1049" s="207"/>
      <c r="O1049" s="206"/>
    </row>
    <row r="1050" spans="1:15" ht="30">
      <c r="A1050" s="167" t="str">
        <f ca="1">IFERROR(__xludf.DUMMYFUNCTION("""COMPUTED_VALUE"""),"82DJ0515010013000756022")</f>
        <v>82DJ0515010013000756022</v>
      </c>
      <c r="B1050" s="167" t="str">
        <f ca="1">IFERROR(__xludf.DUMMYFUNCTION("""COMPUTED_VALUE"""),"BUENO")</f>
        <v>BUENO</v>
      </c>
      <c r="C1050" s="206"/>
      <c r="D1050" s="206"/>
      <c r="E1050" s="207"/>
      <c r="F1050" s="207"/>
      <c r="G1050" s="207"/>
      <c r="H1050" s="207"/>
      <c r="I1050" s="207"/>
      <c r="J1050" s="207"/>
      <c r="K1050" s="207"/>
      <c r="L1050" s="207"/>
      <c r="M1050" s="207"/>
      <c r="N1050" s="207"/>
      <c r="O1050" s="206"/>
    </row>
    <row r="1051" spans="1:15" ht="30">
      <c r="A1051" s="167" t="str">
        <f ca="1">IFERROR(__xludf.DUMMYFUNCTION("""COMPUTED_VALUE"""),"82DH0515010003000734701")</f>
        <v>82DH0515010003000734701</v>
      </c>
      <c r="B1051" s="167" t="str">
        <f ca="1">IFERROR(__xludf.DUMMYFUNCTION("""COMPUTED_VALUE"""),"BUENO")</f>
        <v>BUENO</v>
      </c>
      <c r="C1051" s="206"/>
      <c r="D1051" s="206"/>
      <c r="E1051" s="207"/>
      <c r="F1051" s="207"/>
      <c r="G1051" s="207"/>
      <c r="H1051" s="207"/>
      <c r="I1051" s="207"/>
      <c r="J1051" s="207"/>
      <c r="K1051" s="207"/>
      <c r="L1051" s="207"/>
      <c r="M1051" s="207"/>
      <c r="N1051" s="207"/>
      <c r="O1051" s="206"/>
    </row>
    <row r="1052" spans="1:15" ht="30">
      <c r="A1052" s="167" t="str">
        <f ca="1">IFERROR(__xludf.DUMMYFUNCTION("""COMPUTED_VALUE"""),"82DH0515010013000734700")</f>
        <v>82DH0515010013000734700</v>
      </c>
      <c r="B1052" s="167" t="str">
        <f ca="1">IFERROR(__xludf.DUMMYFUNCTION("""COMPUTED_VALUE"""),"BUENO")</f>
        <v>BUENO</v>
      </c>
      <c r="C1052" s="206"/>
      <c r="D1052" s="206"/>
      <c r="E1052" s="207"/>
      <c r="F1052" s="207"/>
      <c r="G1052" s="207"/>
      <c r="H1052" s="207"/>
      <c r="I1052" s="207"/>
      <c r="J1052" s="207"/>
      <c r="K1052" s="207"/>
      <c r="L1052" s="207"/>
      <c r="M1052" s="207"/>
      <c r="N1052" s="207"/>
      <c r="O1052" s="206"/>
    </row>
    <row r="1053" spans="1:15" ht="30">
      <c r="A1053" s="167" t="str">
        <f ca="1">IFERROR(__xludf.DUMMYFUNCTION("""COMPUTED_VALUE"""),"SIN RESGUARDO")</f>
        <v>SIN RESGUARDO</v>
      </c>
      <c r="B1053" s="167" t="str">
        <f ca="1">IFERROR(__xludf.DUMMYFUNCTION("""COMPUTED_VALUE"""),"BUENO")</f>
        <v>BUENO</v>
      </c>
      <c r="C1053" s="206"/>
      <c r="D1053" s="206"/>
      <c r="E1053" s="207"/>
      <c r="F1053" s="207"/>
      <c r="G1053" s="207"/>
      <c r="H1053" s="207"/>
      <c r="I1053" s="207"/>
      <c r="J1053" s="207"/>
      <c r="K1053" s="207"/>
      <c r="L1053" s="207"/>
      <c r="M1053" s="207"/>
      <c r="N1053" s="207"/>
      <c r="O1053" s="206"/>
    </row>
    <row r="1054" spans="1:15" ht="30">
      <c r="A1054" s="167" t="str">
        <f ca="1">IFERROR(__xludf.DUMMYFUNCTION("""COMPUTED_VALUE"""),"FOLIO 14326")</f>
        <v>FOLIO 14326</v>
      </c>
      <c r="B1054" s="167" t="str">
        <f ca="1">IFERROR(__xludf.DUMMYFUNCTION("""COMPUTED_VALUE"""),"MALO")</f>
        <v>MALO</v>
      </c>
      <c r="C1054" s="206"/>
      <c r="D1054" s="206"/>
      <c r="E1054" s="207"/>
      <c r="F1054" s="207"/>
      <c r="G1054" s="207"/>
      <c r="H1054" s="207"/>
      <c r="I1054" s="207"/>
      <c r="J1054" s="207"/>
      <c r="K1054" s="207"/>
      <c r="L1054" s="207"/>
      <c r="M1054" s="207"/>
      <c r="N1054" s="207"/>
      <c r="O1054" s="206"/>
    </row>
    <row r="1055" spans="1:15" ht="30">
      <c r="A1055" s="167" t="str">
        <f ca="1">IFERROR(__xludf.DUMMYFUNCTION("""COMPUTED_VALUE"""),"FOLIO 3489")</f>
        <v>FOLIO 3489</v>
      </c>
      <c r="B1055" s="167" t="str">
        <f ca="1">IFERROR(__xludf.DUMMYFUNCTION("""COMPUTED_VALUE"""),"CAUSÓ BAJA EN 2023")</f>
        <v>CAUSÓ BAJA EN 2023</v>
      </c>
      <c r="C1055" s="206"/>
      <c r="D1055" s="206"/>
      <c r="E1055" s="207"/>
      <c r="F1055" s="207"/>
      <c r="G1055" s="207"/>
      <c r="H1055" s="207"/>
      <c r="I1055" s="207"/>
      <c r="J1055" s="207"/>
      <c r="K1055" s="207"/>
      <c r="L1055" s="207"/>
      <c r="M1055" s="207"/>
      <c r="N1055" s="207"/>
      <c r="O1055" s="206"/>
    </row>
    <row r="1056" spans="1:15" ht="30">
      <c r="A1056" s="167" t="str">
        <f ca="1">IFERROR(__xludf.DUMMYFUNCTION("""COMPUTED_VALUE"""),"FOLIO 10792")</f>
        <v>FOLIO 10792</v>
      </c>
      <c r="B1056" s="167" t="str">
        <f ca="1">IFERROR(__xludf.DUMMYFUNCTION("""COMPUTED_VALUE"""),"CAUSÓ BAJA EN 2023")</f>
        <v>CAUSÓ BAJA EN 2023</v>
      </c>
      <c r="C1056" s="206"/>
      <c r="D1056" s="206"/>
      <c r="E1056" s="207"/>
      <c r="F1056" s="207"/>
      <c r="G1056" s="207"/>
      <c r="H1056" s="207"/>
      <c r="I1056" s="207"/>
      <c r="J1056" s="207"/>
      <c r="K1056" s="207"/>
      <c r="L1056" s="207"/>
      <c r="M1056" s="207"/>
      <c r="N1056" s="207"/>
      <c r="O1056" s="206"/>
    </row>
    <row r="1057" spans="1:15" ht="30">
      <c r="A1057" s="167" t="str">
        <f ca="1">IFERROR(__xludf.DUMMYFUNCTION("""COMPUTED_VALUE"""),"FOLIO 10302")</f>
        <v>FOLIO 10302</v>
      </c>
      <c r="B1057" s="167" t="str">
        <f ca="1">IFERROR(__xludf.DUMMYFUNCTION("""COMPUTED_VALUE"""),"REGULAR")</f>
        <v>REGULAR</v>
      </c>
      <c r="C1057" s="206"/>
      <c r="D1057" s="206"/>
      <c r="E1057" s="207"/>
      <c r="F1057" s="207"/>
      <c r="G1057" s="207"/>
      <c r="H1057" s="207"/>
      <c r="I1057" s="207"/>
      <c r="J1057" s="207"/>
      <c r="K1057" s="207"/>
      <c r="L1057" s="207"/>
      <c r="M1057" s="207"/>
      <c r="N1057" s="207"/>
      <c r="O1057" s="206"/>
    </row>
    <row r="1058" spans="1:15" ht="30">
      <c r="A1058" s="167" t="str">
        <f ca="1">IFERROR(__xludf.DUMMYFUNCTION("""COMPUTED_VALUE"""),"FOLIO 9094")</f>
        <v>FOLIO 9094</v>
      </c>
      <c r="B1058" s="167" t="str">
        <f ca="1">IFERROR(__xludf.DUMMYFUNCTION("""COMPUTED_VALUE"""),"CAUSÓ BAJA EN 2023")</f>
        <v>CAUSÓ BAJA EN 2023</v>
      </c>
      <c r="C1058" s="206"/>
      <c r="D1058" s="206"/>
      <c r="E1058" s="207"/>
      <c r="F1058" s="207"/>
      <c r="G1058" s="207"/>
      <c r="H1058" s="207"/>
      <c r="I1058" s="207"/>
      <c r="J1058" s="207"/>
      <c r="K1058" s="207"/>
      <c r="L1058" s="207"/>
      <c r="M1058" s="207"/>
      <c r="N1058" s="207"/>
      <c r="O1058" s="206"/>
    </row>
    <row r="1059" spans="1:15" ht="30">
      <c r="A1059" s="167" t="str">
        <f ca="1">IFERROR(__xludf.DUMMYFUNCTION("""COMPUTED_VALUE"""),"SIN RESGUARDO")</f>
        <v>SIN RESGUARDO</v>
      </c>
      <c r="B1059" s="167" t="str">
        <f ca="1">IFERROR(__xludf.DUMMYFUNCTION("""COMPUTED_VALUE"""),"BUENO")</f>
        <v>BUENO</v>
      </c>
      <c r="C1059" s="206"/>
      <c r="D1059" s="206"/>
      <c r="E1059" s="207"/>
      <c r="F1059" s="207"/>
      <c r="G1059" s="207"/>
      <c r="H1059" s="207"/>
      <c r="I1059" s="207"/>
      <c r="J1059" s="207"/>
      <c r="K1059" s="207"/>
      <c r="L1059" s="207"/>
      <c r="M1059" s="207"/>
      <c r="N1059" s="207"/>
      <c r="O1059" s="206"/>
    </row>
    <row r="1060" spans="1:15" ht="30">
      <c r="A1060" s="167" t="str">
        <f ca="1">IFERROR(__xludf.DUMMYFUNCTION("""COMPUTED_VALUE"""),"82DH0515010013000734698")</f>
        <v>82DH0515010013000734698</v>
      </c>
      <c r="B1060" s="167" t="str">
        <f ca="1">IFERROR(__xludf.DUMMYFUNCTION("""COMPUTED_VALUE"""),"BUENO")</f>
        <v>BUENO</v>
      </c>
      <c r="C1060" s="206"/>
      <c r="D1060" s="206"/>
      <c r="E1060" s="207"/>
      <c r="F1060" s="207"/>
      <c r="G1060" s="207"/>
      <c r="H1060" s="207"/>
      <c r="I1060" s="207"/>
      <c r="J1060" s="207"/>
      <c r="K1060" s="207"/>
      <c r="L1060" s="207"/>
      <c r="M1060" s="207"/>
      <c r="N1060" s="207"/>
      <c r="O1060" s="206"/>
    </row>
    <row r="1061" spans="1:15" ht="30">
      <c r="A1061" s="167" t="str">
        <f ca="1">IFERROR(__xludf.DUMMYFUNCTION("""COMPUTED_VALUE"""),"82DH0 519010026 000756017")</f>
        <v>82DH0 519010026 000756017</v>
      </c>
      <c r="B1061" s="167" t="str">
        <f ca="1">IFERROR(__xludf.DUMMYFUNCTION("""COMPUTED_VALUE"""),"BUENO")</f>
        <v>BUENO</v>
      </c>
      <c r="C1061" s="206"/>
      <c r="D1061" s="206"/>
      <c r="E1061" s="207"/>
      <c r="F1061" s="207"/>
      <c r="G1061" s="207"/>
      <c r="H1061" s="207"/>
      <c r="I1061" s="207"/>
      <c r="J1061" s="207"/>
      <c r="K1061" s="207"/>
      <c r="L1061" s="207"/>
      <c r="M1061" s="207"/>
      <c r="N1061" s="207"/>
      <c r="O1061" s="206"/>
    </row>
    <row r="1062" spans="1:15" ht="30">
      <c r="A1062" s="167" t="str">
        <f ca="1">IFERROR(__xludf.DUMMYFUNCTION("""COMPUTED_VALUE"""),"82DH0 519010026 000756018")</f>
        <v>82DH0 519010026 000756018</v>
      </c>
      <c r="B1062" s="167" t="str">
        <f ca="1">IFERROR(__xludf.DUMMYFUNCTION("""COMPUTED_VALUE"""),"BUENO")</f>
        <v>BUENO</v>
      </c>
      <c r="C1062" s="206"/>
      <c r="D1062" s="206"/>
      <c r="E1062" s="207"/>
      <c r="F1062" s="207"/>
      <c r="G1062" s="207"/>
      <c r="H1062" s="207"/>
      <c r="I1062" s="207"/>
      <c r="J1062" s="207"/>
      <c r="K1062" s="207"/>
      <c r="L1062" s="207"/>
      <c r="M1062" s="207"/>
      <c r="N1062" s="207"/>
      <c r="O1062" s="206"/>
    </row>
    <row r="1063" spans="1:15" ht="30">
      <c r="A1063" s="167" t="str">
        <f ca="1">IFERROR(__xludf.DUMMYFUNCTION("""COMPUTED_VALUE"""),"82DK0 519010064 000756016")</f>
        <v>82DK0 519010064 000756016</v>
      </c>
      <c r="B1063" s="167" t="str">
        <f ca="1">IFERROR(__xludf.DUMMYFUNCTION("""COMPUTED_VALUE"""),"BUENO")</f>
        <v>BUENO</v>
      </c>
      <c r="C1063" s="206"/>
      <c r="D1063" s="206"/>
      <c r="E1063" s="207"/>
      <c r="F1063" s="207"/>
      <c r="G1063" s="207"/>
      <c r="H1063" s="207"/>
      <c r="I1063" s="207"/>
      <c r="J1063" s="207"/>
      <c r="K1063" s="207"/>
      <c r="L1063" s="207"/>
      <c r="M1063" s="207"/>
      <c r="N1063" s="207"/>
      <c r="O1063" s="206"/>
    </row>
    <row r="1064" spans="1:15" ht="30">
      <c r="A1064" s="167" t="str">
        <f ca="1">IFERROR(__xludf.DUMMYFUNCTION("""COMPUTED_VALUE"""),"82DK0 515010033 000756015")</f>
        <v>82DK0 515010033 000756015</v>
      </c>
      <c r="B1064" s="167" t="str">
        <f ca="1">IFERROR(__xludf.DUMMYFUNCTION("""COMPUTED_VALUE"""),"BUENO")</f>
        <v>BUENO</v>
      </c>
      <c r="C1064" s="206"/>
      <c r="D1064" s="206"/>
      <c r="E1064" s="207"/>
      <c r="F1064" s="207"/>
      <c r="G1064" s="207"/>
      <c r="H1064" s="207"/>
      <c r="I1064" s="207"/>
      <c r="J1064" s="207"/>
      <c r="K1064" s="207"/>
      <c r="L1064" s="207"/>
      <c r="M1064" s="207"/>
      <c r="N1064" s="207"/>
      <c r="O1064" s="206"/>
    </row>
    <row r="1065" spans="1:15" ht="30">
      <c r="A1065" s="167" t="str">
        <f ca="1">IFERROR(__xludf.DUMMYFUNCTION("""COMPUTED_VALUE"""),"82DJ0 515010033 000756014")</f>
        <v>82DJ0 515010033 000756014</v>
      </c>
      <c r="B1065" s="167" t="str">
        <f ca="1">IFERROR(__xludf.DUMMYFUNCTION("""COMPUTED_VALUE"""),"BUENO")</f>
        <v>BUENO</v>
      </c>
      <c r="C1065" s="206"/>
      <c r="D1065" s="206"/>
      <c r="E1065" s="207"/>
      <c r="F1065" s="207"/>
      <c r="G1065" s="207"/>
      <c r="H1065" s="207"/>
      <c r="I1065" s="207"/>
      <c r="J1065" s="207"/>
      <c r="K1065" s="207"/>
      <c r="L1065" s="207"/>
      <c r="M1065" s="207"/>
      <c r="N1065" s="207"/>
      <c r="O1065" s="206"/>
    </row>
    <row r="1066" spans="1:15" ht="30">
      <c r="A1066" s="167" t="str">
        <f ca="1">IFERROR(__xludf.DUMMYFUNCTION("""COMPUTED_VALUE"""),"82DJ0 515010020 000756013")</f>
        <v>82DJ0 515010020 000756013</v>
      </c>
      <c r="B1066" s="167" t="str">
        <f ca="1">IFERROR(__xludf.DUMMYFUNCTION("""COMPUTED_VALUE"""),"BUENO")</f>
        <v>BUENO</v>
      </c>
      <c r="C1066" s="206"/>
      <c r="D1066" s="206"/>
      <c r="E1066" s="207"/>
      <c r="F1066" s="207"/>
      <c r="G1066" s="207"/>
      <c r="H1066" s="207"/>
      <c r="I1066" s="207"/>
      <c r="J1066" s="207"/>
      <c r="K1066" s="207"/>
      <c r="L1066" s="207"/>
      <c r="M1066" s="207"/>
      <c r="N1066" s="207"/>
      <c r="O1066" s="206"/>
    </row>
    <row r="1067" spans="1:15" ht="30">
      <c r="A1067" s="167" t="str">
        <f ca="1">IFERROR(__xludf.DUMMYFUNCTION("""COMPUTED_VALUE"""),"82DH0 565010011 000756012")</f>
        <v>82DH0 565010011 000756012</v>
      </c>
      <c r="B1067" s="167" t="str">
        <f ca="1">IFERROR(__xludf.DUMMYFUNCTION("""COMPUTED_VALUE"""),"BUENO")</f>
        <v>BUENO</v>
      </c>
      <c r="C1067" s="206"/>
      <c r="D1067" s="206"/>
      <c r="E1067" s="207"/>
      <c r="F1067" s="207"/>
      <c r="G1067" s="207"/>
      <c r="H1067" s="207"/>
      <c r="I1067" s="207"/>
      <c r="J1067" s="207"/>
      <c r="K1067" s="207"/>
      <c r="L1067" s="207"/>
      <c r="M1067" s="207"/>
      <c r="N1067" s="207"/>
      <c r="O1067" s="206"/>
    </row>
    <row r="1068" spans="1:15" ht="30">
      <c r="A1068" s="167" t="str">
        <f ca="1">IFERROR(__xludf.DUMMYFUNCTION("""COMPUTED_VALUE"""),"82DH0 565010070 000757474")</f>
        <v>82DH0 565010070 000757474</v>
      </c>
      <c r="B1068" s="167" t="str">
        <f ca="1">IFERROR(__xludf.DUMMYFUNCTION("""COMPUTED_VALUE"""),"BUENO")</f>
        <v>BUENO</v>
      </c>
      <c r="C1068" s="206"/>
      <c r="D1068" s="206"/>
      <c r="E1068" s="207"/>
      <c r="F1068" s="207"/>
      <c r="G1068" s="207"/>
      <c r="H1068" s="207"/>
      <c r="I1068" s="207"/>
      <c r="J1068" s="207"/>
      <c r="K1068" s="207"/>
      <c r="L1068" s="207"/>
      <c r="M1068" s="207"/>
      <c r="N1068" s="207"/>
      <c r="O1068" s="206"/>
    </row>
    <row r="1069" spans="1:15" ht="30">
      <c r="A1069" s="167" t="str">
        <f ca="1">IFERROR(__xludf.DUMMYFUNCTION("""COMPUTED_VALUE"""),"82DK0 515010026 000756010")</f>
        <v>82DK0 515010026 000756010</v>
      </c>
      <c r="B1069" s="167" t="str">
        <f ca="1">IFERROR(__xludf.DUMMYFUNCTION("""COMPUTED_VALUE"""),"BUENO")</f>
        <v>BUENO</v>
      </c>
      <c r="C1069" s="206"/>
      <c r="D1069" s="206"/>
      <c r="E1069" s="207"/>
      <c r="F1069" s="207"/>
      <c r="G1069" s="207"/>
      <c r="H1069" s="207"/>
      <c r="I1069" s="207"/>
      <c r="J1069" s="207"/>
      <c r="K1069" s="207"/>
      <c r="L1069" s="207"/>
      <c r="M1069" s="207"/>
      <c r="N1069" s="207"/>
      <c r="O1069" s="206"/>
    </row>
    <row r="1070" spans="1:15" ht="30">
      <c r="A1070" s="167" t="str">
        <f ca="1">IFERROR(__xludf.DUMMYFUNCTION("""COMPUTED_VALUE"""),"82DI0 515010033 000756009")</f>
        <v>82DI0 515010033 000756009</v>
      </c>
      <c r="B1070" s="167" t="str">
        <f ca="1">IFERROR(__xludf.DUMMYFUNCTION("""COMPUTED_VALUE"""),"BUENO")</f>
        <v>BUENO</v>
      </c>
      <c r="C1070" s="206"/>
      <c r="D1070" s="206"/>
      <c r="E1070" s="207"/>
      <c r="F1070" s="207"/>
      <c r="G1070" s="207"/>
      <c r="H1070" s="207"/>
      <c r="I1070" s="207"/>
      <c r="J1070" s="207"/>
      <c r="K1070" s="207"/>
      <c r="L1070" s="207"/>
      <c r="M1070" s="207"/>
      <c r="N1070" s="207"/>
      <c r="O1070" s="206"/>
    </row>
    <row r="1071" spans="1:15" ht="30">
      <c r="A1071" s="167" t="str">
        <f ca="1">IFERROR(__xludf.DUMMYFUNCTION("""COMPUTED_VALUE"""),"82DI0511010017000712068")</f>
        <v>82DI0511010017000712068</v>
      </c>
      <c r="B1071" s="167" t="str">
        <f ca="1">IFERROR(__xludf.DUMMYFUNCTION("""COMPUTED_VALUE"""),"BUENO")</f>
        <v>BUENO</v>
      </c>
      <c r="C1071" s="206"/>
      <c r="D1071" s="206"/>
      <c r="E1071" s="207"/>
      <c r="F1071" s="207"/>
      <c r="G1071" s="207"/>
      <c r="H1071" s="207"/>
      <c r="I1071" s="207"/>
      <c r="J1071" s="207"/>
      <c r="K1071" s="207"/>
      <c r="L1071" s="207"/>
      <c r="M1071" s="207"/>
      <c r="N1071" s="207"/>
      <c r="O1071" s="206"/>
    </row>
    <row r="1072" spans="1:15" ht="30">
      <c r="A1072" s="167" t="str">
        <f ca="1">IFERROR(__xludf.DUMMYFUNCTION("""COMPUTED_VALUE"""),"82DI0511010017000712067")</f>
        <v>82DI0511010017000712067</v>
      </c>
      <c r="B1072" s="167" t="str">
        <f ca="1">IFERROR(__xludf.DUMMYFUNCTION("""COMPUTED_VALUE"""),"BUENO")</f>
        <v>BUENO</v>
      </c>
      <c r="C1072" s="206"/>
      <c r="D1072" s="206"/>
      <c r="E1072" s="207"/>
      <c r="F1072" s="207"/>
      <c r="G1072" s="207"/>
      <c r="H1072" s="207"/>
      <c r="I1072" s="207"/>
      <c r="J1072" s="207"/>
      <c r="K1072" s="207"/>
      <c r="L1072" s="207"/>
      <c r="M1072" s="207"/>
      <c r="N1072" s="207"/>
      <c r="O1072" s="206"/>
    </row>
    <row r="1073" spans="1:15" ht="30">
      <c r="A1073" s="167" t="str">
        <f ca="1">IFERROR(__xludf.DUMMYFUNCTION("""COMPUTED_VALUE"""),"82DH0 515010013 000756021")</f>
        <v>82DH0 515010013 000756021</v>
      </c>
      <c r="B1073" s="167" t="str">
        <f ca="1">IFERROR(__xludf.DUMMYFUNCTION("""COMPUTED_VALUE"""),"BUENO")</f>
        <v>BUENO</v>
      </c>
      <c r="C1073" s="206"/>
      <c r="D1073" s="206"/>
      <c r="E1073" s="207"/>
      <c r="F1073" s="207"/>
      <c r="G1073" s="207"/>
      <c r="H1073" s="207"/>
      <c r="I1073" s="207"/>
      <c r="J1073" s="207"/>
      <c r="K1073" s="207"/>
      <c r="L1073" s="207"/>
      <c r="M1073" s="207"/>
      <c r="N1073" s="207"/>
      <c r="O1073" s="206"/>
    </row>
    <row r="1074" spans="1:15" ht="30">
      <c r="A1074" s="167" t="str">
        <f ca="1">IFERROR(__xludf.DUMMYFUNCTION("""COMPUTED_VALUE"""),"82DI0 515010033 000756019")</f>
        <v>82DI0 515010033 000756019</v>
      </c>
      <c r="B1074" s="167" t="str">
        <f ca="1">IFERROR(__xludf.DUMMYFUNCTION("""COMPUTED_VALUE"""),"BUENO")</f>
        <v>BUENO</v>
      </c>
      <c r="C1074" s="206"/>
      <c r="D1074" s="206"/>
      <c r="E1074" s="207"/>
      <c r="F1074" s="207"/>
      <c r="G1074" s="207"/>
      <c r="H1074" s="207"/>
      <c r="I1074" s="207"/>
      <c r="J1074" s="207"/>
      <c r="K1074" s="207"/>
      <c r="L1074" s="207"/>
      <c r="M1074" s="207"/>
      <c r="N1074" s="207"/>
      <c r="O1074" s="206"/>
    </row>
    <row r="1075" spans="1:15" ht="30">
      <c r="A1075" s="167" t="str">
        <f ca="1">IFERROR(__xludf.DUMMYFUNCTION("""COMPUTED_VALUE"""),"82DI0 515010002 000756020")</f>
        <v>82DI0 515010002 000756020</v>
      </c>
      <c r="B1075" s="167" t="str">
        <f ca="1">IFERROR(__xludf.DUMMYFUNCTION("""COMPUTED_VALUE"""),"BUENO")</f>
        <v>BUENO</v>
      </c>
      <c r="C1075" s="206"/>
      <c r="D1075" s="206"/>
      <c r="E1075" s="207"/>
      <c r="F1075" s="207"/>
      <c r="G1075" s="207"/>
      <c r="H1075" s="207"/>
      <c r="I1075" s="207"/>
      <c r="J1075" s="207"/>
      <c r="K1075" s="207"/>
      <c r="L1075" s="207"/>
      <c r="M1075" s="207"/>
      <c r="N1075" s="207"/>
      <c r="O1075" s="206"/>
    </row>
    <row r="1076" spans="1:15" ht="30">
      <c r="A1076" s="167" t="str">
        <f ca="1">IFERROR(__xludf.DUMMYFUNCTION("""COMPUTED_VALUE"""),"82DJ0 511010016 000756024")</f>
        <v>82DJ0 511010016 000756024</v>
      </c>
      <c r="B1076" s="167" t="str">
        <f ca="1">IFERROR(__xludf.DUMMYFUNCTION("""COMPUTED_VALUE"""),"BUENO")</f>
        <v>BUENO</v>
      </c>
      <c r="C1076" s="206"/>
      <c r="D1076" s="206"/>
      <c r="E1076" s="207"/>
      <c r="F1076" s="207"/>
      <c r="G1076" s="207"/>
      <c r="H1076" s="207"/>
      <c r="I1076" s="207"/>
      <c r="J1076" s="207"/>
      <c r="K1076" s="207"/>
      <c r="L1076" s="207"/>
      <c r="M1076" s="207"/>
      <c r="N1076" s="207"/>
      <c r="O1076" s="206"/>
    </row>
    <row r="1077" spans="1:15" ht="30">
      <c r="A1077" s="167" t="str">
        <f ca="1">IFERROR(__xludf.DUMMYFUNCTION("""COMPUTED_VALUE"""),"82DH0 511010016 000756034")</f>
        <v>82DH0 511010016 000756034</v>
      </c>
      <c r="B1077" s="167" t="str">
        <f ca="1">IFERROR(__xludf.DUMMYFUNCTION("""COMPUTED_VALUE"""),"BUENO")</f>
        <v>BUENO</v>
      </c>
      <c r="C1077" s="206"/>
      <c r="D1077" s="206"/>
      <c r="E1077" s="207"/>
      <c r="F1077" s="207"/>
      <c r="G1077" s="207"/>
      <c r="H1077" s="207"/>
      <c r="I1077" s="207"/>
      <c r="J1077" s="207"/>
      <c r="K1077" s="207"/>
      <c r="L1077" s="207"/>
      <c r="M1077" s="207"/>
      <c r="N1077" s="207"/>
      <c r="O1077" s="206"/>
    </row>
    <row r="1078" spans="1:15" ht="30">
      <c r="A1078" s="167" t="str">
        <f ca="1">IFERROR(__xludf.DUMMYFUNCTION("""COMPUTED_VALUE"""),"82DI0 511010017 000756033")</f>
        <v>82DI0 511010017 000756033</v>
      </c>
      <c r="B1078" s="167" t="str">
        <f ca="1">IFERROR(__xludf.DUMMYFUNCTION("""COMPUTED_VALUE"""),"BUENO")</f>
        <v>BUENO</v>
      </c>
      <c r="C1078" s="206"/>
      <c r="D1078" s="206"/>
      <c r="E1078" s="207"/>
      <c r="F1078" s="207"/>
      <c r="G1078" s="207"/>
      <c r="H1078" s="207"/>
      <c r="I1078" s="207"/>
      <c r="J1078" s="207"/>
      <c r="K1078" s="207"/>
      <c r="L1078" s="207"/>
      <c r="M1078" s="207"/>
      <c r="N1078" s="207"/>
      <c r="O1078" s="206"/>
    </row>
    <row r="1079" spans="1:15" ht="30">
      <c r="A1079" s="167" t="str">
        <f ca="1">IFERROR(__xludf.DUMMYFUNCTION("""COMPUTED_VALUE"""),"82DJ0 511010017 000756032")</f>
        <v>82DJ0 511010017 000756032</v>
      </c>
      <c r="B1079" s="167" t="str">
        <f ca="1">IFERROR(__xludf.DUMMYFUNCTION("""COMPUTED_VALUE"""),"BUENO")</f>
        <v>BUENO</v>
      </c>
      <c r="C1079" s="206"/>
      <c r="D1079" s="206"/>
      <c r="E1079" s="207"/>
      <c r="F1079" s="207"/>
      <c r="G1079" s="207"/>
      <c r="H1079" s="207"/>
      <c r="I1079" s="207"/>
      <c r="J1079" s="207"/>
      <c r="K1079" s="207"/>
      <c r="L1079" s="207"/>
      <c r="M1079" s="207"/>
      <c r="N1079" s="207"/>
      <c r="O1079" s="206"/>
    </row>
    <row r="1080" spans="1:15" ht="30">
      <c r="A1080" s="167" t="str">
        <f ca="1">IFERROR(__xludf.DUMMYFUNCTION("""COMPUTED_VALUE"""),"82DJ0 511010017 000756030")</f>
        <v>82DJ0 511010017 000756030</v>
      </c>
      <c r="B1080" s="167" t="str">
        <f ca="1">IFERROR(__xludf.DUMMYFUNCTION("""COMPUTED_VALUE"""),"BUENO")</f>
        <v>BUENO</v>
      </c>
      <c r="C1080" s="206"/>
      <c r="D1080" s="206"/>
      <c r="E1080" s="207"/>
      <c r="F1080" s="207"/>
      <c r="G1080" s="207"/>
      <c r="H1080" s="207"/>
      <c r="I1080" s="207"/>
      <c r="J1080" s="207"/>
      <c r="K1080" s="207"/>
      <c r="L1080" s="207"/>
      <c r="M1080" s="207"/>
      <c r="N1080" s="207"/>
      <c r="O1080" s="206"/>
    </row>
    <row r="1081" spans="1:15" ht="30">
      <c r="A1081" s="167" t="str">
        <f ca="1">IFERROR(__xludf.DUMMYFUNCTION("""COMPUTED_VALUE"""),"82DJ0 511010017 000756031")</f>
        <v>82DJ0 511010017 000756031</v>
      </c>
      <c r="B1081" s="167" t="str">
        <f ca="1">IFERROR(__xludf.DUMMYFUNCTION("""COMPUTED_VALUE"""),"BUENO")</f>
        <v>BUENO</v>
      </c>
      <c r="C1081" s="206"/>
      <c r="D1081" s="206"/>
      <c r="E1081" s="207"/>
      <c r="F1081" s="207"/>
      <c r="G1081" s="207"/>
      <c r="H1081" s="207"/>
      <c r="I1081" s="207"/>
      <c r="J1081" s="207"/>
      <c r="K1081" s="207"/>
      <c r="L1081" s="207"/>
      <c r="M1081" s="207"/>
      <c r="N1081" s="207"/>
      <c r="O1081" s="206"/>
    </row>
    <row r="1082" spans="1:15" ht="30">
      <c r="A1082" s="167" t="str">
        <f ca="1">IFERROR(__xludf.DUMMYFUNCTION("""COMPUTED_VALUE"""),"82DK0511010016000756028")</f>
        <v>82DK0511010016000756028</v>
      </c>
      <c r="B1082" s="167" t="str">
        <f ca="1">IFERROR(__xludf.DUMMYFUNCTION("""COMPUTED_VALUE"""),"BUENO")</f>
        <v>BUENO</v>
      </c>
      <c r="C1082" s="206"/>
      <c r="D1082" s="206"/>
      <c r="E1082" s="207"/>
      <c r="F1082" s="207"/>
      <c r="G1082" s="207"/>
      <c r="H1082" s="207"/>
      <c r="I1082" s="207"/>
      <c r="J1082" s="207"/>
      <c r="K1082" s="207"/>
      <c r="L1082" s="207"/>
      <c r="M1082" s="207"/>
      <c r="N1082" s="207"/>
      <c r="O1082" s="206"/>
    </row>
    <row r="1083" spans="1:15" ht="30">
      <c r="A1083" s="167" t="str">
        <f ca="1">IFERROR(__xludf.DUMMYFUNCTION("""COMPUTED_VALUE"""),"82DJ0515010013000734688")</f>
        <v>82DJ0515010013000734688</v>
      </c>
      <c r="B1083" s="167" t="str">
        <f ca="1">IFERROR(__xludf.DUMMYFUNCTION("""COMPUTED_VALUE"""),"BUENO")</f>
        <v>BUENO</v>
      </c>
      <c r="C1083" s="206"/>
      <c r="D1083" s="206"/>
      <c r="E1083" s="207"/>
      <c r="F1083" s="207"/>
      <c r="G1083" s="207"/>
      <c r="H1083" s="207"/>
      <c r="I1083" s="207"/>
      <c r="J1083" s="207"/>
      <c r="K1083" s="207"/>
      <c r="L1083" s="207"/>
      <c r="M1083" s="207"/>
      <c r="N1083" s="207"/>
      <c r="O1083" s="206"/>
    </row>
    <row r="1084" spans="1:15" ht="30">
      <c r="A1084" s="167" t="str">
        <f ca="1">IFERROR(__xludf.DUMMYFUNCTION("""COMPUTED_VALUE"""),"82DJ0515010003000734687")</f>
        <v>82DJ0515010003000734687</v>
      </c>
      <c r="B1084" s="167" t="str">
        <f ca="1">IFERROR(__xludf.DUMMYFUNCTION("""COMPUTED_VALUE"""),"BUENO")</f>
        <v>BUENO</v>
      </c>
      <c r="C1084" s="206"/>
      <c r="D1084" s="206"/>
      <c r="E1084" s="207"/>
      <c r="F1084" s="207"/>
      <c r="G1084" s="207"/>
      <c r="H1084" s="207"/>
      <c r="I1084" s="207"/>
      <c r="J1084" s="207"/>
      <c r="K1084" s="207"/>
      <c r="L1084" s="207"/>
      <c r="M1084" s="207"/>
      <c r="N1084" s="207"/>
      <c r="O1084" s="206"/>
    </row>
    <row r="1085" spans="1:15" ht="30">
      <c r="A1085" s="167" t="str">
        <f ca="1">IFERROR(__xludf.DUMMYFUNCTION("""COMPUTED_VALUE"""),"82DI0511010017000712069")</f>
        <v>82DI0511010017000712069</v>
      </c>
      <c r="B1085" s="167" t="str">
        <f ca="1">IFERROR(__xludf.DUMMYFUNCTION("""COMPUTED_VALUE"""),"BUENO")</f>
        <v>BUENO</v>
      </c>
      <c r="C1085" s="206"/>
      <c r="D1085" s="206"/>
      <c r="E1085" s="207"/>
      <c r="F1085" s="207"/>
      <c r="G1085" s="207"/>
      <c r="H1085" s="207"/>
      <c r="I1085" s="207"/>
      <c r="J1085" s="207"/>
      <c r="K1085" s="207"/>
      <c r="L1085" s="207"/>
      <c r="M1085" s="207"/>
      <c r="N1085" s="207"/>
      <c r="O1085" s="206"/>
    </row>
    <row r="1086" spans="1:15" ht="30">
      <c r="A1086" s="167" t="str">
        <f ca="1">IFERROR(__xludf.DUMMYFUNCTION("""COMPUTED_VALUE"""),"82DJ0 511010016 000734682")</f>
        <v>82DJ0 511010016 000734682</v>
      </c>
      <c r="B1086" s="167" t="str">
        <f ca="1">IFERROR(__xludf.DUMMYFUNCTION("""COMPUTED_VALUE"""),"BUENO")</f>
        <v>BUENO</v>
      </c>
      <c r="C1086" s="206"/>
      <c r="D1086" s="206"/>
      <c r="E1086" s="207"/>
      <c r="F1086" s="207"/>
      <c r="G1086" s="207"/>
      <c r="H1086" s="207"/>
      <c r="I1086" s="207"/>
      <c r="J1086" s="207"/>
      <c r="K1086" s="207"/>
      <c r="L1086" s="207"/>
      <c r="M1086" s="207"/>
      <c r="N1086" s="207"/>
      <c r="O1086" s="206"/>
    </row>
    <row r="1087" spans="1:15" ht="30">
      <c r="A1087" s="167" t="str">
        <f ca="1">IFERROR(__xludf.DUMMYFUNCTION("""COMPUTED_VALUE"""),"82D10-515010013-000734693")</f>
        <v>82D10-515010013-000734693</v>
      </c>
      <c r="B1087" s="167" t="str">
        <f ca="1">IFERROR(__xludf.DUMMYFUNCTION("""COMPUTED_VALUE"""),"BUENO")</f>
        <v>BUENO</v>
      </c>
      <c r="C1087" s="206"/>
      <c r="D1087" s="206"/>
      <c r="E1087" s="207"/>
      <c r="F1087" s="207"/>
      <c r="G1087" s="207"/>
      <c r="H1087" s="207"/>
      <c r="I1087" s="207"/>
      <c r="J1087" s="207"/>
      <c r="K1087" s="207"/>
      <c r="L1087" s="207"/>
      <c r="M1087" s="207"/>
      <c r="N1087" s="207"/>
      <c r="O1087" s="206"/>
    </row>
    <row r="1088" spans="1:15" ht="30">
      <c r="A1088" s="167" t="str">
        <f ca="1">IFERROR(__xludf.DUMMYFUNCTION("""COMPUTED_VALUE"""),"82DJ0515010003000734690")</f>
        <v>82DJ0515010003000734690</v>
      </c>
      <c r="B1088" s="167" t="str">
        <f ca="1">IFERROR(__xludf.DUMMYFUNCTION("""COMPUTED_VALUE"""),"BUENO")</f>
        <v>BUENO</v>
      </c>
      <c r="C1088" s="206"/>
      <c r="D1088" s="206"/>
      <c r="E1088" s="207"/>
      <c r="F1088" s="207"/>
      <c r="G1088" s="207"/>
      <c r="H1088" s="207"/>
      <c r="I1088" s="207"/>
      <c r="J1088" s="207"/>
      <c r="K1088" s="207"/>
      <c r="L1088" s="207"/>
      <c r="M1088" s="207"/>
      <c r="N1088" s="207"/>
      <c r="O1088" s="206"/>
    </row>
    <row r="1089" spans="1:15" ht="30">
      <c r="A1089" s="167" t="str">
        <f ca="1">IFERROR(__xludf.DUMMYFUNCTION("""COMPUTED_VALUE"""),"82DK0511010016000756027")</f>
        <v>82DK0511010016000756027</v>
      </c>
      <c r="B1089" s="167" t="str">
        <f ca="1">IFERROR(__xludf.DUMMYFUNCTION("""COMPUTED_VALUE"""),"BUENO")</f>
        <v>BUENO</v>
      </c>
      <c r="C1089" s="206"/>
      <c r="D1089" s="206"/>
      <c r="E1089" s="207"/>
      <c r="F1089" s="207"/>
      <c r="G1089" s="207"/>
      <c r="H1089" s="207"/>
      <c r="I1089" s="207"/>
      <c r="J1089" s="207"/>
      <c r="K1089" s="207"/>
      <c r="L1089" s="207"/>
      <c r="M1089" s="207"/>
      <c r="N1089" s="207"/>
      <c r="O1089" s="206"/>
    </row>
    <row r="1090" spans="1:15" ht="30">
      <c r="A1090" s="167" t="str">
        <f ca="1">IFERROR(__xludf.DUMMYFUNCTION("""COMPUTED_VALUE"""),"82DI0 511010016 000757472")</f>
        <v>82DI0 511010016 000757472</v>
      </c>
      <c r="B1090" s="167" t="str">
        <f ca="1">IFERROR(__xludf.DUMMYFUNCTION("""COMPUTED_VALUE"""),"BUENO")</f>
        <v>BUENO</v>
      </c>
      <c r="C1090" s="206"/>
      <c r="D1090" s="206"/>
      <c r="E1090" s="207"/>
      <c r="F1090" s="207"/>
      <c r="G1090" s="207"/>
      <c r="H1090" s="207"/>
      <c r="I1090" s="207"/>
      <c r="J1090" s="207"/>
      <c r="K1090" s="207"/>
      <c r="L1090" s="207"/>
      <c r="M1090" s="207"/>
      <c r="N1090" s="207"/>
      <c r="O1090" s="206"/>
    </row>
    <row r="1091" spans="1:15" ht="30">
      <c r="A1091" s="167" t="str">
        <f ca="1">IFERROR(__xludf.DUMMYFUNCTION("""COMPUTED_VALUE"""),"82DI0511010017000712066")</f>
        <v>82DI0511010017000712066</v>
      </c>
      <c r="B1091" s="167" t="str">
        <f ca="1">IFERROR(__xludf.DUMMYFUNCTION("""COMPUTED_VALUE"""),"BUENO")</f>
        <v>BUENO</v>
      </c>
      <c r="C1091" s="206"/>
      <c r="D1091" s="206"/>
      <c r="E1091" s="207"/>
      <c r="F1091" s="207"/>
      <c r="G1091" s="207"/>
      <c r="H1091" s="207"/>
      <c r="I1091" s="207"/>
      <c r="J1091" s="207"/>
      <c r="K1091" s="207"/>
      <c r="L1091" s="207"/>
      <c r="M1091" s="207"/>
      <c r="N1091" s="207"/>
      <c r="O1091" s="206"/>
    </row>
    <row r="1092" spans="1:15" ht="30">
      <c r="A1092" s="167" t="str">
        <f ca="1">IFERROR(__xludf.DUMMYFUNCTION("""COMPUTED_VALUE"""),"82DI0511010017000712070")</f>
        <v>82DI0511010017000712070</v>
      </c>
      <c r="B1092" s="167" t="str">
        <f ca="1">IFERROR(__xludf.DUMMYFUNCTION("""COMPUTED_VALUE"""),"BUENO")</f>
        <v>BUENO</v>
      </c>
      <c r="C1092" s="206"/>
      <c r="D1092" s="206"/>
      <c r="E1092" s="207"/>
      <c r="F1092" s="207"/>
      <c r="G1092" s="207"/>
      <c r="H1092" s="207"/>
      <c r="I1092" s="207"/>
      <c r="J1092" s="207"/>
      <c r="K1092" s="207"/>
      <c r="L1092" s="207"/>
      <c r="M1092" s="207"/>
      <c r="N1092" s="207"/>
      <c r="O1092" s="206"/>
    </row>
    <row r="1093" spans="1:15" ht="30">
      <c r="A1093" s="167" t="str">
        <f ca="1">IFERROR(__xludf.DUMMYFUNCTION("""COMPUTED_VALUE"""),"82DJ0 511010016 000735470")</f>
        <v>82DJ0 511010016 000735470</v>
      </c>
      <c r="B1093" s="167" t="str">
        <f ca="1">IFERROR(__xludf.DUMMYFUNCTION("""COMPUTED_VALUE"""),"BUENO")</f>
        <v>BUENO</v>
      </c>
      <c r="C1093" s="206"/>
      <c r="D1093" s="206"/>
      <c r="E1093" s="207"/>
      <c r="F1093" s="207"/>
      <c r="G1093" s="207"/>
      <c r="H1093" s="207"/>
      <c r="I1093" s="207"/>
      <c r="J1093" s="207"/>
      <c r="K1093" s="207"/>
      <c r="L1093" s="207"/>
      <c r="M1093" s="207"/>
      <c r="N1093" s="207"/>
      <c r="O1093" s="206"/>
    </row>
    <row r="1094" spans="1:15" ht="30">
      <c r="A1094" s="167" t="str">
        <f ca="1">IFERROR(__xludf.DUMMYFUNCTION("""COMPUTED_VALUE"""),"82DI0511010017000712071")</f>
        <v>82DI0511010017000712071</v>
      </c>
      <c r="B1094" s="167" t="str">
        <f ca="1">IFERROR(__xludf.DUMMYFUNCTION("""COMPUTED_VALUE"""),"BUENO")</f>
        <v>BUENO</v>
      </c>
      <c r="C1094" s="206"/>
      <c r="D1094" s="206"/>
      <c r="E1094" s="207"/>
      <c r="F1094" s="207"/>
      <c r="G1094" s="207"/>
      <c r="H1094" s="207"/>
      <c r="I1094" s="207"/>
      <c r="J1094" s="207"/>
      <c r="K1094" s="207"/>
      <c r="L1094" s="207"/>
      <c r="M1094" s="207"/>
      <c r="N1094" s="207"/>
      <c r="O1094" s="206"/>
    </row>
    <row r="1095" spans="1:15" ht="30">
      <c r="A1095" s="167" t="str">
        <f ca="1">IFERROR(__xludf.DUMMYFUNCTION("""COMPUTED_VALUE"""),"82DI0511010016000734683")</f>
        <v>82DI0511010016000734683</v>
      </c>
      <c r="B1095" s="167" t="str">
        <f ca="1">IFERROR(__xludf.DUMMYFUNCTION("""COMPUTED_VALUE"""),"BUENO")</f>
        <v>BUENO</v>
      </c>
      <c r="C1095" s="206"/>
      <c r="D1095" s="206"/>
      <c r="E1095" s="207"/>
      <c r="F1095" s="207"/>
      <c r="G1095" s="207"/>
      <c r="H1095" s="207"/>
      <c r="I1095" s="207"/>
      <c r="J1095" s="207"/>
      <c r="K1095" s="207"/>
      <c r="L1095" s="207"/>
      <c r="M1095" s="207"/>
      <c r="N1095" s="207"/>
      <c r="O1095" s="206"/>
    </row>
    <row r="1096" spans="1:15" ht="30">
      <c r="A1096" s="167" t="str">
        <f ca="1">IFERROR(__xludf.DUMMYFUNCTION("""COMPUTED_VALUE"""),"SIN RESGUARDO")</f>
        <v>SIN RESGUARDO</v>
      </c>
      <c r="B1096" s="167" t="str">
        <f ca="1">IFERROR(__xludf.DUMMYFUNCTION("""COMPUTED_VALUE"""),"BUENO")</f>
        <v>BUENO</v>
      </c>
      <c r="C1096" s="206"/>
      <c r="D1096" s="206"/>
      <c r="E1096" s="207"/>
      <c r="F1096" s="207"/>
      <c r="G1096" s="207"/>
      <c r="H1096" s="207"/>
      <c r="I1096" s="207"/>
      <c r="J1096" s="207"/>
      <c r="K1096" s="207"/>
      <c r="L1096" s="207"/>
      <c r="M1096" s="207"/>
      <c r="N1096" s="207"/>
      <c r="O1096" s="206"/>
    </row>
    <row r="1097" spans="1:15" ht="30">
      <c r="A1097" s="167" t="str">
        <f ca="1">IFERROR(__xludf.DUMMYFUNCTION("""COMPUTED_VALUE"""),"SIN RESGUARDO")</f>
        <v>SIN RESGUARDO</v>
      </c>
      <c r="B1097" s="167" t="str">
        <f ca="1">IFERROR(__xludf.DUMMYFUNCTION("""COMPUTED_VALUE"""),"BUENO")</f>
        <v>BUENO</v>
      </c>
      <c r="C1097" s="206"/>
      <c r="D1097" s="206"/>
      <c r="E1097" s="207"/>
      <c r="F1097" s="207"/>
      <c r="G1097" s="207"/>
      <c r="H1097" s="207"/>
      <c r="I1097" s="207"/>
      <c r="J1097" s="207"/>
      <c r="K1097" s="207"/>
      <c r="L1097" s="207"/>
      <c r="M1097" s="207"/>
      <c r="N1097" s="207"/>
      <c r="O1097" s="206"/>
    </row>
    <row r="1098" spans="1:15" ht="30">
      <c r="A1098" s="167" t="str">
        <f ca="1">IFERROR(__xludf.DUMMYFUNCTION("""COMPUTED_VALUE"""),"SIN RESGUARDO")</f>
        <v>SIN RESGUARDO</v>
      </c>
      <c r="B1098" s="167" t="str">
        <f ca="1">IFERROR(__xludf.DUMMYFUNCTION("""COMPUTED_VALUE"""),"BUENO")</f>
        <v>BUENO</v>
      </c>
      <c r="C1098" s="206"/>
      <c r="D1098" s="206"/>
      <c r="E1098" s="207"/>
      <c r="F1098" s="207"/>
      <c r="G1098" s="207"/>
      <c r="H1098" s="207"/>
      <c r="I1098" s="207"/>
      <c r="J1098" s="207"/>
      <c r="K1098" s="207"/>
      <c r="L1098" s="207"/>
      <c r="M1098" s="207"/>
      <c r="N1098" s="207"/>
      <c r="O1098" s="206"/>
    </row>
    <row r="1099" spans="1:15" ht="30">
      <c r="C1099" s="206"/>
      <c r="D1099" s="206"/>
      <c r="E1099" s="207"/>
      <c r="F1099" s="207"/>
      <c r="G1099" s="207"/>
      <c r="H1099" s="207"/>
      <c r="I1099" s="207"/>
      <c r="J1099" s="207"/>
      <c r="K1099" s="207"/>
      <c r="L1099" s="207"/>
      <c r="M1099" s="207"/>
      <c r="N1099" s="207"/>
      <c r="O1099" s="206"/>
    </row>
    <row r="1100" spans="1:15" ht="30">
      <c r="C1100" s="206"/>
      <c r="D1100" s="206"/>
      <c r="E1100" s="207"/>
      <c r="F1100" s="207"/>
      <c r="G1100" s="207"/>
      <c r="H1100" s="207"/>
      <c r="I1100" s="207"/>
      <c r="J1100" s="207"/>
      <c r="K1100" s="207"/>
      <c r="L1100" s="207"/>
      <c r="M1100" s="207"/>
      <c r="N1100" s="207"/>
      <c r="O1100" s="206"/>
    </row>
    <row r="1101" spans="1:15" ht="30">
      <c r="C1101" s="206"/>
      <c r="D1101" s="206"/>
      <c r="E1101" s="207"/>
      <c r="F1101" s="207"/>
      <c r="G1101" s="207"/>
      <c r="H1101" s="207"/>
      <c r="I1101" s="207"/>
      <c r="J1101" s="207"/>
      <c r="K1101" s="207"/>
      <c r="L1101" s="207"/>
      <c r="M1101" s="207"/>
      <c r="N1101" s="207"/>
      <c r="O1101" s="206"/>
    </row>
    <row r="1102" spans="1:15" ht="30">
      <c r="C1102" s="206"/>
      <c r="D1102" s="206"/>
      <c r="E1102" s="207"/>
      <c r="F1102" s="207"/>
      <c r="G1102" s="207"/>
      <c r="H1102" s="207"/>
      <c r="I1102" s="207"/>
      <c r="J1102" s="207"/>
      <c r="K1102" s="207"/>
      <c r="L1102" s="207"/>
      <c r="M1102" s="207"/>
      <c r="N1102" s="207"/>
      <c r="O1102" s="206"/>
    </row>
    <row r="1103" spans="1:15" ht="30">
      <c r="C1103" s="206"/>
      <c r="D1103" s="206"/>
      <c r="E1103" s="207"/>
      <c r="F1103" s="207"/>
      <c r="G1103" s="207"/>
      <c r="H1103" s="207"/>
      <c r="I1103" s="207"/>
      <c r="J1103" s="207"/>
      <c r="K1103" s="207"/>
      <c r="L1103" s="207"/>
      <c r="M1103" s="207"/>
      <c r="N1103" s="207"/>
      <c r="O1103" s="206"/>
    </row>
    <row r="1104" spans="1:15" ht="30">
      <c r="C1104" s="206"/>
      <c r="D1104" s="206"/>
      <c r="E1104" s="207"/>
      <c r="F1104" s="207"/>
      <c r="G1104" s="207"/>
      <c r="H1104" s="207"/>
      <c r="I1104" s="207"/>
      <c r="J1104" s="207"/>
      <c r="K1104" s="207"/>
      <c r="L1104" s="207"/>
      <c r="M1104" s="207"/>
      <c r="N1104" s="207"/>
      <c r="O1104" s="206"/>
    </row>
    <row r="1105" spans="3:15" ht="30">
      <c r="C1105" s="206"/>
      <c r="D1105" s="206"/>
      <c r="E1105" s="207"/>
      <c r="F1105" s="207"/>
      <c r="G1105" s="207"/>
      <c r="H1105" s="207"/>
      <c r="I1105" s="207"/>
      <c r="J1105" s="207"/>
      <c r="K1105" s="207"/>
      <c r="L1105" s="207"/>
      <c r="M1105" s="207"/>
      <c r="N1105" s="207"/>
      <c r="O1105" s="206"/>
    </row>
    <row r="1106" spans="3:15" ht="30">
      <c r="C1106" s="206"/>
      <c r="D1106" s="206"/>
      <c r="E1106" s="207"/>
      <c r="F1106" s="207"/>
      <c r="G1106" s="207"/>
      <c r="H1106" s="207"/>
      <c r="I1106" s="207"/>
      <c r="J1106" s="207"/>
      <c r="K1106" s="207"/>
      <c r="L1106" s="207"/>
      <c r="M1106" s="207"/>
      <c r="N1106" s="207"/>
      <c r="O1106" s="206"/>
    </row>
    <row r="1107" spans="3:15" ht="30">
      <c r="C1107" s="206"/>
      <c r="D1107" s="206"/>
      <c r="E1107" s="207"/>
      <c r="F1107" s="207"/>
      <c r="G1107" s="207"/>
      <c r="H1107" s="207"/>
      <c r="I1107" s="207"/>
      <c r="J1107" s="207"/>
      <c r="K1107" s="207"/>
      <c r="L1107" s="207"/>
      <c r="M1107" s="207"/>
      <c r="N1107" s="207"/>
      <c r="O1107" s="206"/>
    </row>
    <row r="1108" spans="3:15" ht="30">
      <c r="C1108" s="206"/>
      <c r="D1108" s="206"/>
      <c r="E1108" s="207"/>
      <c r="F1108" s="207"/>
      <c r="G1108" s="207"/>
      <c r="H1108" s="207"/>
      <c r="I1108" s="207"/>
      <c r="J1108" s="207"/>
      <c r="K1108" s="207"/>
      <c r="L1108" s="207"/>
      <c r="M1108" s="207"/>
      <c r="N1108" s="207"/>
      <c r="O1108" s="206"/>
    </row>
    <row r="1109" spans="3:15" ht="30">
      <c r="C1109" s="206"/>
      <c r="D1109" s="206"/>
      <c r="E1109" s="207"/>
      <c r="F1109" s="207"/>
      <c r="G1109" s="207"/>
      <c r="H1109" s="207"/>
      <c r="I1109" s="207"/>
      <c r="J1109" s="207"/>
      <c r="K1109" s="207"/>
      <c r="L1109" s="207"/>
      <c r="M1109" s="207"/>
      <c r="N1109" s="207"/>
      <c r="O1109" s="206"/>
    </row>
    <row r="1110" spans="3:15" ht="30">
      <c r="C1110" s="206"/>
      <c r="D1110" s="206"/>
      <c r="E1110" s="207"/>
      <c r="F1110" s="207"/>
      <c r="G1110" s="207"/>
      <c r="H1110" s="207"/>
      <c r="I1110" s="207"/>
      <c r="J1110" s="207"/>
      <c r="K1110" s="207"/>
      <c r="L1110" s="207"/>
      <c r="M1110" s="207"/>
      <c r="N1110" s="207"/>
      <c r="O1110" s="206"/>
    </row>
    <row r="1111" spans="3:15" ht="30">
      <c r="C1111" s="206"/>
      <c r="D1111" s="206"/>
      <c r="E1111" s="207"/>
      <c r="F1111" s="207"/>
      <c r="G1111" s="207"/>
      <c r="H1111" s="207"/>
      <c r="I1111" s="207"/>
      <c r="J1111" s="207"/>
      <c r="K1111" s="207"/>
      <c r="L1111" s="207"/>
      <c r="M1111" s="207"/>
      <c r="N1111" s="207"/>
      <c r="O1111" s="206"/>
    </row>
    <row r="1112" spans="3:15" ht="30">
      <c r="C1112" s="206"/>
      <c r="D1112" s="206"/>
      <c r="E1112" s="207"/>
      <c r="F1112" s="207"/>
      <c r="G1112" s="207"/>
      <c r="H1112" s="207"/>
      <c r="I1112" s="207"/>
      <c r="J1112" s="207"/>
      <c r="K1112" s="207"/>
      <c r="L1112" s="207"/>
      <c r="M1112" s="207"/>
      <c r="N1112" s="207"/>
      <c r="O1112" s="206"/>
    </row>
    <row r="1113" spans="3:15" ht="30">
      <c r="C1113" s="206"/>
      <c r="D1113" s="206"/>
      <c r="E1113" s="207"/>
      <c r="F1113" s="207"/>
      <c r="G1113" s="207"/>
      <c r="H1113" s="207"/>
      <c r="I1113" s="207"/>
      <c r="J1113" s="207"/>
      <c r="K1113" s="207"/>
      <c r="L1113" s="207"/>
      <c r="M1113" s="207"/>
      <c r="N1113" s="207"/>
      <c r="O1113" s="206"/>
    </row>
    <row r="1114" spans="3:15" ht="30">
      <c r="C1114" s="206"/>
      <c r="D1114" s="206"/>
      <c r="E1114" s="207"/>
      <c r="F1114" s="207"/>
      <c r="G1114" s="207"/>
      <c r="H1114" s="207"/>
      <c r="I1114" s="207"/>
      <c r="J1114" s="207"/>
      <c r="K1114" s="207"/>
      <c r="L1114" s="207"/>
      <c r="M1114" s="207"/>
      <c r="N1114" s="207"/>
      <c r="O1114" s="206"/>
    </row>
    <row r="1115" spans="3:15" ht="30">
      <c r="C1115" s="206"/>
      <c r="D1115" s="206"/>
      <c r="E1115" s="207"/>
      <c r="F1115" s="207"/>
      <c r="G1115" s="207"/>
      <c r="H1115" s="207"/>
      <c r="I1115" s="207"/>
      <c r="J1115" s="207"/>
      <c r="K1115" s="207"/>
      <c r="L1115" s="207"/>
      <c r="M1115" s="207"/>
      <c r="N1115" s="207"/>
      <c r="O1115" s="206"/>
    </row>
    <row r="1116" spans="3:15" ht="30">
      <c r="C1116" s="206"/>
      <c r="D1116" s="206"/>
      <c r="E1116" s="207"/>
      <c r="F1116" s="207"/>
      <c r="G1116" s="207"/>
      <c r="H1116" s="207"/>
      <c r="I1116" s="207"/>
      <c r="J1116" s="207"/>
      <c r="K1116" s="207"/>
      <c r="L1116" s="207"/>
      <c r="M1116" s="207"/>
      <c r="N1116" s="207"/>
      <c r="O1116" s="206"/>
    </row>
    <row r="1117" spans="3:15" ht="30">
      <c r="C1117" s="206"/>
      <c r="D1117" s="206"/>
      <c r="E1117" s="207"/>
      <c r="F1117" s="207"/>
      <c r="G1117" s="207"/>
      <c r="H1117" s="207"/>
      <c r="I1117" s="207"/>
      <c r="J1117" s="207"/>
      <c r="K1117" s="207"/>
      <c r="L1117" s="207"/>
      <c r="M1117" s="207"/>
      <c r="N1117" s="207"/>
      <c r="O1117" s="206"/>
    </row>
    <row r="1118" spans="3:15" ht="30">
      <c r="C1118" s="206"/>
      <c r="D1118" s="206"/>
      <c r="E1118" s="207"/>
      <c r="F1118" s="207"/>
      <c r="G1118" s="207"/>
      <c r="H1118" s="207"/>
      <c r="I1118" s="207"/>
      <c r="J1118" s="207"/>
      <c r="K1118" s="207"/>
      <c r="L1118" s="207"/>
      <c r="M1118" s="207"/>
      <c r="N1118" s="207"/>
      <c r="O1118" s="206"/>
    </row>
    <row r="1119" spans="3:15" ht="30">
      <c r="C1119" s="206"/>
      <c r="D1119" s="206"/>
      <c r="E1119" s="207"/>
      <c r="F1119" s="207"/>
      <c r="G1119" s="207"/>
      <c r="H1119" s="207"/>
      <c r="I1119" s="207"/>
      <c r="J1119" s="207"/>
      <c r="K1119" s="207"/>
      <c r="L1119" s="207"/>
      <c r="M1119" s="207"/>
      <c r="N1119" s="207"/>
      <c r="O1119" s="206"/>
    </row>
    <row r="1120" spans="3:15" ht="30">
      <c r="C1120" s="206"/>
      <c r="D1120" s="206"/>
      <c r="E1120" s="207"/>
      <c r="F1120" s="207"/>
      <c r="G1120" s="207"/>
      <c r="H1120" s="207"/>
      <c r="I1120" s="207"/>
      <c r="J1120" s="207"/>
      <c r="K1120" s="207"/>
      <c r="L1120" s="207"/>
      <c r="M1120" s="207"/>
      <c r="N1120" s="207"/>
      <c r="O1120" s="206"/>
    </row>
    <row r="1121" spans="3:15" ht="30">
      <c r="C1121" s="206"/>
      <c r="D1121" s="206"/>
      <c r="E1121" s="207"/>
      <c r="F1121" s="207"/>
      <c r="G1121" s="207"/>
      <c r="H1121" s="207"/>
      <c r="I1121" s="207"/>
      <c r="J1121" s="207"/>
      <c r="K1121" s="207"/>
      <c r="L1121" s="207"/>
      <c r="M1121" s="207"/>
      <c r="N1121" s="207"/>
      <c r="O1121" s="206"/>
    </row>
    <row r="1122" spans="3:15" ht="30">
      <c r="C1122" s="206"/>
      <c r="D1122" s="206"/>
      <c r="E1122" s="207"/>
      <c r="F1122" s="207"/>
      <c r="G1122" s="207"/>
      <c r="H1122" s="207"/>
      <c r="I1122" s="207"/>
      <c r="J1122" s="207"/>
      <c r="K1122" s="207"/>
      <c r="L1122" s="207"/>
      <c r="M1122" s="207"/>
      <c r="N1122" s="207"/>
      <c r="O1122" s="206"/>
    </row>
    <row r="1123" spans="3:15" ht="30">
      <c r="C1123" s="206"/>
      <c r="D1123" s="206"/>
      <c r="E1123" s="207"/>
      <c r="F1123" s="207"/>
      <c r="G1123" s="207"/>
      <c r="H1123" s="207"/>
      <c r="I1123" s="207"/>
      <c r="J1123" s="207"/>
      <c r="K1123" s="207"/>
      <c r="L1123" s="207"/>
      <c r="M1123" s="207"/>
      <c r="N1123" s="207"/>
      <c r="O1123" s="206"/>
    </row>
    <row r="1124" spans="3:15" ht="30">
      <c r="C1124" s="206"/>
      <c r="D1124" s="206"/>
      <c r="E1124" s="207"/>
      <c r="F1124" s="207"/>
      <c r="G1124" s="207"/>
      <c r="H1124" s="207"/>
      <c r="I1124" s="207"/>
      <c r="J1124" s="207"/>
      <c r="K1124" s="207"/>
      <c r="L1124" s="207"/>
      <c r="M1124" s="207"/>
      <c r="N1124" s="207"/>
      <c r="O1124" s="206"/>
    </row>
    <row r="1125" spans="3:15" ht="30">
      <c r="C1125" s="206"/>
      <c r="D1125" s="206"/>
      <c r="E1125" s="207"/>
      <c r="F1125" s="207"/>
      <c r="G1125" s="207"/>
      <c r="H1125" s="207"/>
      <c r="I1125" s="207"/>
      <c r="J1125" s="207"/>
      <c r="K1125" s="207"/>
      <c r="L1125" s="207"/>
      <c r="M1125" s="207"/>
      <c r="N1125" s="207"/>
      <c r="O1125" s="206"/>
    </row>
    <row r="1126" spans="3:15" ht="30">
      <c r="C1126" s="206"/>
      <c r="D1126" s="206"/>
      <c r="E1126" s="207"/>
      <c r="F1126" s="207"/>
      <c r="G1126" s="207"/>
      <c r="H1126" s="207"/>
      <c r="I1126" s="207"/>
      <c r="J1126" s="207"/>
      <c r="K1126" s="207"/>
      <c r="L1126" s="207"/>
      <c r="M1126" s="207"/>
      <c r="N1126" s="207"/>
      <c r="O1126" s="206"/>
    </row>
    <row r="1127" spans="3:15" ht="30">
      <c r="C1127" s="206"/>
      <c r="D1127" s="206"/>
      <c r="E1127" s="207"/>
      <c r="F1127" s="207"/>
      <c r="G1127" s="207"/>
      <c r="H1127" s="207"/>
      <c r="I1127" s="207"/>
      <c r="J1127" s="207"/>
      <c r="K1127" s="207"/>
      <c r="L1127" s="207"/>
      <c r="M1127" s="207"/>
      <c r="N1127" s="207"/>
      <c r="O1127" s="206"/>
    </row>
    <row r="1128" spans="3:15" ht="30">
      <c r="C1128" s="206"/>
      <c r="D1128" s="206"/>
      <c r="E1128" s="207"/>
      <c r="F1128" s="207"/>
      <c r="G1128" s="207"/>
      <c r="H1128" s="207"/>
      <c r="I1128" s="207"/>
      <c r="J1128" s="207"/>
      <c r="K1128" s="207"/>
      <c r="L1128" s="207"/>
      <c r="M1128" s="207"/>
      <c r="N1128" s="207"/>
      <c r="O1128" s="206"/>
    </row>
    <row r="1129" spans="3:15" ht="30">
      <c r="C1129" s="206"/>
      <c r="D1129" s="206"/>
      <c r="E1129" s="207"/>
      <c r="F1129" s="207"/>
      <c r="G1129" s="207"/>
      <c r="H1129" s="207"/>
      <c r="I1129" s="207"/>
      <c r="J1129" s="207"/>
      <c r="K1129" s="207"/>
      <c r="L1129" s="207"/>
      <c r="M1129" s="207"/>
      <c r="N1129" s="207"/>
      <c r="O1129" s="206"/>
    </row>
    <row r="1130" spans="3:15" ht="30">
      <c r="C1130" s="206"/>
      <c r="D1130" s="206"/>
      <c r="E1130" s="207"/>
      <c r="F1130" s="207"/>
      <c r="G1130" s="207"/>
      <c r="H1130" s="207"/>
      <c r="I1130" s="207"/>
      <c r="J1130" s="207"/>
      <c r="K1130" s="207"/>
      <c r="L1130" s="207"/>
      <c r="M1130" s="207"/>
      <c r="N1130" s="207"/>
      <c r="O1130" s="206"/>
    </row>
    <row r="1131" spans="3:15" ht="30">
      <c r="C1131" s="206"/>
      <c r="D1131" s="206"/>
      <c r="E1131" s="207"/>
      <c r="F1131" s="207"/>
      <c r="G1131" s="207"/>
      <c r="H1131" s="207"/>
      <c r="I1131" s="207"/>
      <c r="J1131" s="207"/>
      <c r="K1131" s="207"/>
      <c r="L1131" s="207"/>
      <c r="M1131" s="207"/>
      <c r="N1131" s="207"/>
      <c r="O1131" s="206"/>
    </row>
    <row r="1132" spans="3:15" ht="30">
      <c r="C1132" s="206"/>
      <c r="D1132" s="206"/>
      <c r="E1132" s="207"/>
      <c r="F1132" s="207"/>
      <c r="G1132" s="207"/>
      <c r="H1132" s="207"/>
      <c r="I1132" s="207"/>
      <c r="J1132" s="207"/>
      <c r="K1132" s="207"/>
      <c r="L1132" s="207"/>
      <c r="M1132" s="207"/>
      <c r="N1132" s="207"/>
      <c r="O1132" s="206"/>
    </row>
    <row r="1133" spans="3:15" ht="30">
      <c r="C1133" s="206"/>
      <c r="D1133" s="206"/>
      <c r="E1133" s="207"/>
      <c r="F1133" s="207"/>
      <c r="G1133" s="207"/>
      <c r="H1133" s="207"/>
      <c r="I1133" s="207"/>
      <c r="J1133" s="207"/>
      <c r="K1133" s="207"/>
      <c r="L1133" s="207"/>
      <c r="M1133" s="207"/>
      <c r="N1133" s="207"/>
      <c r="O1133" s="206"/>
    </row>
    <row r="1134" spans="3:15" ht="30">
      <c r="C1134" s="206"/>
      <c r="D1134" s="206"/>
      <c r="E1134" s="207"/>
      <c r="F1134" s="207"/>
      <c r="G1134" s="207"/>
      <c r="H1134" s="207"/>
      <c r="I1134" s="207"/>
      <c r="J1134" s="207"/>
      <c r="K1134" s="207"/>
      <c r="L1134" s="207"/>
      <c r="M1134" s="207"/>
      <c r="N1134" s="207"/>
      <c r="O1134" s="206"/>
    </row>
    <row r="1135" spans="3:15" ht="30">
      <c r="C1135" s="206"/>
      <c r="D1135" s="206"/>
      <c r="E1135" s="207"/>
      <c r="F1135" s="207"/>
      <c r="G1135" s="207"/>
      <c r="H1135" s="207"/>
      <c r="I1135" s="207"/>
      <c r="J1135" s="207"/>
      <c r="K1135" s="207"/>
      <c r="L1135" s="207"/>
      <c r="M1135" s="207"/>
      <c r="N1135" s="207"/>
      <c r="O1135" s="206"/>
    </row>
    <row r="1136" spans="3:15" ht="30">
      <c r="C1136" s="206"/>
      <c r="D1136" s="206"/>
      <c r="E1136" s="207"/>
      <c r="F1136" s="207"/>
      <c r="G1136" s="207"/>
      <c r="H1136" s="207"/>
      <c r="I1136" s="207"/>
      <c r="J1136" s="207"/>
      <c r="K1136" s="207"/>
      <c r="L1136" s="207"/>
      <c r="M1136" s="207"/>
      <c r="N1136" s="207"/>
      <c r="O1136" s="206"/>
    </row>
    <row r="1137" spans="3:15" ht="30">
      <c r="C1137" s="206"/>
      <c r="D1137" s="206"/>
      <c r="E1137" s="207"/>
      <c r="F1137" s="207"/>
      <c r="G1137" s="207"/>
      <c r="H1137" s="207"/>
      <c r="I1137" s="207"/>
      <c r="J1137" s="207"/>
      <c r="K1137" s="207"/>
      <c r="L1137" s="207"/>
      <c r="M1137" s="207"/>
      <c r="N1137" s="207"/>
      <c r="O1137" s="206"/>
    </row>
    <row r="1138" spans="3:15" ht="30">
      <c r="C1138" s="206"/>
      <c r="D1138" s="206"/>
      <c r="E1138" s="207"/>
      <c r="F1138" s="207"/>
      <c r="G1138" s="207"/>
      <c r="H1138" s="207"/>
      <c r="I1138" s="207"/>
      <c r="J1138" s="207"/>
      <c r="K1138" s="207"/>
      <c r="L1138" s="207"/>
      <c r="M1138" s="207"/>
      <c r="N1138" s="207"/>
      <c r="O1138" s="206"/>
    </row>
    <row r="1139" spans="3:15" ht="30">
      <c r="C1139" s="206"/>
      <c r="D1139" s="206"/>
      <c r="E1139" s="207"/>
      <c r="F1139" s="207"/>
      <c r="G1139" s="207"/>
      <c r="H1139" s="207"/>
      <c r="I1139" s="207"/>
      <c r="J1139" s="207"/>
      <c r="K1139" s="207"/>
      <c r="L1139" s="207"/>
      <c r="M1139" s="207"/>
      <c r="N1139" s="207"/>
      <c r="O1139" s="206"/>
    </row>
    <row r="1140" spans="3:15" ht="30">
      <c r="C1140" s="206"/>
      <c r="D1140" s="206"/>
      <c r="E1140" s="207"/>
      <c r="F1140" s="207"/>
      <c r="G1140" s="207"/>
      <c r="H1140" s="207"/>
      <c r="I1140" s="207"/>
      <c r="J1140" s="207"/>
      <c r="K1140" s="207"/>
      <c r="L1140" s="207"/>
      <c r="M1140" s="207"/>
      <c r="N1140" s="207"/>
      <c r="O1140" s="206"/>
    </row>
    <row r="1141" spans="3:15" ht="30">
      <c r="C1141" s="206"/>
      <c r="D1141" s="206"/>
      <c r="E1141" s="207"/>
      <c r="F1141" s="207"/>
      <c r="G1141" s="207"/>
      <c r="H1141" s="207"/>
      <c r="I1141" s="207"/>
      <c r="J1141" s="207"/>
      <c r="K1141" s="207"/>
      <c r="L1141" s="207"/>
      <c r="M1141" s="207"/>
      <c r="N1141" s="207"/>
      <c r="O1141" s="206"/>
    </row>
    <row r="1142" spans="3:15" ht="30">
      <c r="C1142" s="206"/>
      <c r="D1142" s="206"/>
      <c r="E1142" s="207"/>
      <c r="F1142" s="207"/>
      <c r="G1142" s="207"/>
      <c r="H1142" s="207"/>
      <c r="I1142" s="207"/>
      <c r="J1142" s="207"/>
      <c r="K1142" s="207"/>
      <c r="L1142" s="207"/>
      <c r="M1142" s="207"/>
      <c r="N1142" s="207"/>
      <c r="O1142" s="206"/>
    </row>
    <row r="1143" spans="3:15" ht="30">
      <c r="C1143" s="206"/>
      <c r="D1143" s="206"/>
      <c r="E1143" s="207"/>
      <c r="F1143" s="207"/>
      <c r="G1143" s="207"/>
      <c r="H1143" s="207"/>
      <c r="I1143" s="207"/>
      <c r="J1143" s="207"/>
      <c r="K1143" s="207"/>
      <c r="L1143" s="207"/>
      <c r="M1143" s="207"/>
      <c r="N1143" s="207"/>
      <c r="O1143" s="206"/>
    </row>
    <row r="1144" spans="3:15" ht="30">
      <c r="C1144" s="206"/>
      <c r="D1144" s="206"/>
      <c r="E1144" s="207"/>
      <c r="F1144" s="207"/>
      <c r="G1144" s="207"/>
      <c r="H1144" s="207"/>
      <c r="I1144" s="207"/>
      <c r="J1144" s="207"/>
      <c r="K1144" s="207"/>
      <c r="L1144" s="207"/>
      <c r="M1144" s="207"/>
      <c r="N1144" s="207"/>
      <c r="O1144" s="206"/>
    </row>
    <row r="1145" spans="3:15" ht="30">
      <c r="C1145" s="206"/>
      <c r="D1145" s="206"/>
      <c r="E1145" s="207"/>
      <c r="F1145" s="207"/>
      <c r="G1145" s="207"/>
      <c r="H1145" s="207"/>
      <c r="I1145" s="207"/>
      <c r="J1145" s="207"/>
      <c r="K1145" s="207"/>
      <c r="L1145" s="207"/>
      <c r="M1145" s="207"/>
      <c r="N1145" s="207"/>
      <c r="O1145" s="206"/>
    </row>
    <row r="1146" spans="3:15" ht="30">
      <c r="C1146" s="206"/>
      <c r="D1146" s="206"/>
      <c r="E1146" s="207"/>
      <c r="F1146" s="207"/>
      <c r="G1146" s="207"/>
      <c r="H1146" s="207"/>
      <c r="I1146" s="207"/>
      <c r="J1146" s="207"/>
      <c r="K1146" s="207"/>
      <c r="L1146" s="207"/>
      <c r="M1146" s="207"/>
      <c r="N1146" s="207"/>
      <c r="O1146" s="206"/>
    </row>
    <row r="1147" spans="3:15" ht="30">
      <c r="C1147" s="206"/>
      <c r="D1147" s="206"/>
      <c r="E1147" s="207"/>
      <c r="F1147" s="207"/>
      <c r="G1147" s="207"/>
      <c r="H1147" s="207"/>
      <c r="I1147" s="207"/>
      <c r="J1147" s="207"/>
      <c r="K1147" s="207"/>
      <c r="L1147" s="207"/>
      <c r="M1147" s="207"/>
      <c r="N1147" s="207"/>
      <c r="O1147" s="206"/>
    </row>
    <row r="1148" spans="3:15" ht="30">
      <c r="C1148" s="206"/>
      <c r="D1148" s="206"/>
      <c r="E1148" s="207"/>
      <c r="F1148" s="207"/>
      <c r="G1148" s="207"/>
      <c r="H1148" s="207"/>
      <c r="I1148" s="207"/>
      <c r="J1148" s="207"/>
      <c r="K1148" s="207"/>
      <c r="L1148" s="207"/>
      <c r="M1148" s="207"/>
      <c r="N1148" s="207"/>
      <c r="O1148" s="206"/>
    </row>
    <row r="1149" spans="3:15" ht="30">
      <c r="C1149" s="206"/>
      <c r="D1149" s="206"/>
      <c r="E1149" s="207"/>
      <c r="F1149" s="207"/>
      <c r="G1149" s="207"/>
      <c r="H1149" s="207"/>
      <c r="I1149" s="207"/>
      <c r="J1149" s="207"/>
      <c r="K1149" s="207"/>
      <c r="L1149" s="207"/>
      <c r="M1149" s="207"/>
      <c r="N1149" s="207"/>
      <c r="O1149" s="206"/>
    </row>
    <row r="1150" spans="3:15" ht="30">
      <c r="C1150" s="206"/>
      <c r="D1150" s="206"/>
      <c r="E1150" s="207"/>
      <c r="F1150" s="207"/>
      <c r="G1150" s="207"/>
      <c r="H1150" s="207"/>
      <c r="I1150" s="207"/>
      <c r="J1150" s="207"/>
      <c r="K1150" s="207"/>
      <c r="L1150" s="207"/>
      <c r="M1150" s="207"/>
      <c r="N1150" s="207"/>
      <c r="O1150" s="206"/>
    </row>
    <row r="1151" spans="3:15" ht="30">
      <c r="C1151" s="206"/>
      <c r="D1151" s="206"/>
      <c r="E1151" s="207"/>
      <c r="F1151" s="207"/>
      <c r="G1151" s="207"/>
      <c r="H1151" s="207"/>
      <c r="I1151" s="207"/>
      <c r="J1151" s="207"/>
      <c r="K1151" s="207"/>
      <c r="L1151" s="207"/>
      <c r="M1151" s="207"/>
      <c r="N1151" s="207"/>
      <c r="O1151" s="206"/>
    </row>
    <row r="1152" spans="3:15" ht="30">
      <c r="C1152" s="206"/>
      <c r="D1152" s="206"/>
      <c r="E1152" s="207"/>
      <c r="F1152" s="207"/>
      <c r="G1152" s="207"/>
      <c r="H1152" s="207"/>
      <c r="I1152" s="207"/>
      <c r="J1152" s="207"/>
      <c r="K1152" s="207"/>
      <c r="L1152" s="207"/>
      <c r="M1152" s="207"/>
      <c r="N1152" s="207"/>
      <c r="O1152" s="206"/>
    </row>
    <row r="1153" spans="3:15" ht="30">
      <c r="C1153" s="206"/>
      <c r="D1153" s="206"/>
      <c r="E1153" s="207"/>
      <c r="F1153" s="207"/>
      <c r="G1153" s="207"/>
      <c r="H1153" s="207"/>
      <c r="I1153" s="207"/>
      <c r="J1153" s="207"/>
      <c r="K1153" s="207"/>
      <c r="L1153" s="207"/>
      <c r="M1153" s="207"/>
      <c r="N1153" s="207"/>
      <c r="O1153" s="206"/>
    </row>
    <row r="1154" spans="3:15" ht="30">
      <c r="C1154" s="206"/>
      <c r="D1154" s="206"/>
      <c r="E1154" s="207"/>
      <c r="F1154" s="207"/>
      <c r="G1154" s="207"/>
      <c r="H1154" s="207"/>
      <c r="I1154" s="207"/>
      <c r="J1154" s="207"/>
      <c r="K1154" s="207"/>
      <c r="L1154" s="207"/>
      <c r="M1154" s="207"/>
      <c r="N1154" s="207"/>
      <c r="O1154" s="206"/>
    </row>
    <row r="1155" spans="3:15" ht="30">
      <c r="C1155" s="206"/>
      <c r="D1155" s="206"/>
      <c r="E1155" s="207"/>
      <c r="F1155" s="207"/>
      <c r="G1155" s="207"/>
      <c r="H1155" s="207"/>
      <c r="I1155" s="207"/>
      <c r="J1155" s="207"/>
      <c r="K1155" s="207"/>
      <c r="L1155" s="207"/>
      <c r="M1155" s="207"/>
      <c r="N1155" s="207"/>
      <c r="O1155" s="206"/>
    </row>
    <row r="1156" spans="3:15" ht="30">
      <c r="C1156" s="206"/>
      <c r="D1156" s="206"/>
      <c r="E1156" s="207"/>
      <c r="F1156" s="207"/>
      <c r="G1156" s="207"/>
      <c r="H1156" s="207"/>
      <c r="I1156" s="207"/>
      <c r="J1156" s="207"/>
      <c r="K1156" s="207"/>
      <c r="L1156" s="207"/>
      <c r="M1156" s="207"/>
      <c r="N1156" s="207"/>
      <c r="O1156" s="206"/>
    </row>
    <row r="1157" spans="3:15" ht="30">
      <c r="C1157" s="206"/>
      <c r="D1157" s="206"/>
      <c r="E1157" s="207"/>
      <c r="F1157" s="207"/>
      <c r="G1157" s="207"/>
      <c r="H1157" s="207"/>
      <c r="I1157" s="207"/>
      <c r="J1157" s="207"/>
      <c r="K1157" s="207"/>
      <c r="L1157" s="207"/>
      <c r="M1157" s="207"/>
      <c r="N1157" s="207"/>
      <c r="O1157" s="206"/>
    </row>
    <row r="1158" spans="3:15" ht="30">
      <c r="C1158" s="206"/>
      <c r="D1158" s="206"/>
      <c r="E1158" s="207"/>
      <c r="F1158" s="207"/>
      <c r="G1158" s="207"/>
      <c r="H1158" s="207"/>
      <c r="I1158" s="207"/>
      <c r="J1158" s="207"/>
      <c r="K1158" s="207"/>
      <c r="L1158" s="207"/>
      <c r="M1158" s="207"/>
      <c r="N1158" s="207"/>
      <c r="O1158" s="206"/>
    </row>
    <row r="1159" spans="3:15" ht="30">
      <c r="C1159" s="206"/>
      <c r="D1159" s="206"/>
      <c r="E1159" s="207"/>
      <c r="F1159" s="207"/>
      <c r="G1159" s="207"/>
      <c r="H1159" s="207"/>
      <c r="I1159" s="207"/>
      <c r="J1159" s="207"/>
      <c r="K1159" s="207"/>
      <c r="L1159" s="207"/>
      <c r="M1159" s="207"/>
      <c r="N1159" s="207"/>
      <c r="O1159" s="206"/>
    </row>
    <row r="1160" spans="3:15" ht="30">
      <c r="C1160" s="206"/>
      <c r="D1160" s="206"/>
      <c r="E1160" s="207"/>
      <c r="F1160" s="207"/>
      <c r="G1160" s="207"/>
      <c r="H1160" s="207"/>
      <c r="I1160" s="207"/>
      <c r="J1160" s="207"/>
      <c r="K1160" s="207"/>
      <c r="L1160" s="207"/>
      <c r="M1160" s="207"/>
      <c r="N1160" s="207"/>
      <c r="O1160" s="206"/>
    </row>
    <row r="1161" spans="3:15" ht="30">
      <c r="C1161" s="206"/>
      <c r="D1161" s="206"/>
      <c r="E1161" s="207"/>
      <c r="F1161" s="207"/>
      <c r="G1161" s="207"/>
      <c r="H1161" s="207"/>
      <c r="I1161" s="207"/>
      <c r="J1161" s="207"/>
      <c r="K1161" s="207"/>
      <c r="L1161" s="207"/>
      <c r="M1161" s="207"/>
      <c r="N1161" s="207"/>
      <c r="O1161" s="206"/>
    </row>
    <row r="1162" spans="3:15" ht="30">
      <c r="C1162" s="206"/>
      <c r="D1162" s="206"/>
      <c r="E1162" s="207"/>
      <c r="F1162" s="207"/>
      <c r="G1162" s="207"/>
      <c r="H1162" s="207"/>
      <c r="I1162" s="207"/>
      <c r="J1162" s="207"/>
      <c r="K1162" s="207"/>
      <c r="L1162" s="207"/>
      <c r="M1162" s="207"/>
      <c r="N1162" s="207"/>
      <c r="O1162" s="206"/>
    </row>
    <row r="1163" spans="3:15" ht="30">
      <c r="C1163" s="206"/>
      <c r="D1163" s="206"/>
      <c r="E1163" s="207"/>
      <c r="F1163" s="207"/>
      <c r="G1163" s="207"/>
      <c r="H1163" s="207"/>
      <c r="I1163" s="207"/>
      <c r="J1163" s="207"/>
      <c r="K1163" s="207"/>
      <c r="L1163" s="207"/>
      <c r="M1163" s="207"/>
      <c r="N1163" s="207"/>
      <c r="O1163" s="206"/>
    </row>
    <row r="1164" spans="3:15" ht="30">
      <c r="C1164" s="206"/>
      <c r="D1164" s="206"/>
      <c r="E1164" s="207"/>
      <c r="F1164" s="207"/>
      <c r="G1164" s="207"/>
      <c r="H1164" s="207"/>
      <c r="I1164" s="207"/>
      <c r="J1164" s="207"/>
      <c r="K1164" s="207"/>
      <c r="L1164" s="207"/>
      <c r="M1164" s="207"/>
      <c r="N1164" s="207"/>
      <c r="O1164" s="206"/>
    </row>
    <row r="1165" spans="3:15" ht="30">
      <c r="C1165" s="206"/>
      <c r="D1165" s="206"/>
      <c r="E1165" s="207"/>
      <c r="F1165" s="207"/>
      <c r="G1165" s="207"/>
      <c r="H1165" s="207"/>
      <c r="I1165" s="207"/>
      <c r="J1165" s="207"/>
      <c r="K1165" s="207"/>
      <c r="L1165" s="207"/>
      <c r="M1165" s="207"/>
      <c r="N1165" s="207"/>
      <c r="O1165" s="206"/>
    </row>
    <row r="1166" spans="3:15" ht="30">
      <c r="C1166" s="206"/>
      <c r="D1166" s="206"/>
      <c r="E1166" s="207"/>
      <c r="F1166" s="207"/>
      <c r="G1166" s="207"/>
      <c r="H1166" s="207"/>
      <c r="I1166" s="207"/>
      <c r="J1166" s="207"/>
      <c r="K1166" s="207"/>
      <c r="L1166" s="207"/>
      <c r="M1166" s="207"/>
      <c r="N1166" s="207"/>
      <c r="O1166" s="206"/>
    </row>
    <row r="1167" spans="3:15" ht="30">
      <c r="C1167" s="206"/>
      <c r="D1167" s="206"/>
      <c r="E1167" s="207"/>
      <c r="F1167" s="207"/>
      <c r="G1167" s="207"/>
      <c r="H1167" s="207"/>
      <c r="I1167" s="207"/>
      <c r="J1167" s="207"/>
      <c r="K1167" s="207"/>
      <c r="L1167" s="207"/>
      <c r="M1167" s="207"/>
      <c r="N1167" s="207"/>
      <c r="O1167" s="206"/>
    </row>
    <row r="1168" spans="3:15" ht="30">
      <c r="C1168" s="206"/>
      <c r="D1168" s="206"/>
      <c r="E1168" s="207"/>
      <c r="F1168" s="207"/>
      <c r="G1168" s="207"/>
      <c r="H1168" s="207"/>
      <c r="I1168" s="207"/>
      <c r="J1168" s="207"/>
      <c r="K1168" s="207"/>
      <c r="L1168" s="207"/>
      <c r="M1168" s="207"/>
      <c r="N1168" s="207"/>
      <c r="O1168" s="206"/>
    </row>
    <row r="1169" spans="3:15" ht="30">
      <c r="C1169" s="206"/>
      <c r="D1169" s="206"/>
      <c r="E1169" s="207"/>
      <c r="F1169" s="207"/>
      <c r="G1169" s="207"/>
      <c r="H1169" s="207"/>
      <c r="I1169" s="207"/>
      <c r="J1169" s="207"/>
      <c r="K1169" s="207"/>
      <c r="L1169" s="207"/>
      <c r="M1169" s="207"/>
      <c r="N1169" s="207"/>
      <c r="O1169" s="206"/>
    </row>
    <row r="1170" spans="3:15" ht="30">
      <c r="C1170" s="206"/>
      <c r="D1170" s="206"/>
      <c r="E1170" s="207"/>
      <c r="F1170" s="207"/>
      <c r="G1170" s="207"/>
      <c r="H1170" s="207"/>
      <c r="I1170" s="207"/>
      <c r="J1170" s="207"/>
      <c r="K1170" s="207"/>
      <c r="L1170" s="207"/>
      <c r="M1170" s="207"/>
      <c r="N1170" s="207"/>
      <c r="O1170" s="206"/>
    </row>
    <row r="1171" spans="3:15" ht="30">
      <c r="C1171" s="206"/>
      <c r="D1171" s="206"/>
      <c r="E1171" s="207"/>
      <c r="F1171" s="207"/>
      <c r="G1171" s="207"/>
      <c r="H1171" s="207"/>
      <c r="I1171" s="207"/>
      <c r="J1171" s="207"/>
      <c r="K1171" s="207"/>
      <c r="L1171" s="207"/>
      <c r="M1171" s="207"/>
      <c r="N1171" s="207"/>
      <c r="O1171" s="206"/>
    </row>
    <row r="1172" spans="3:15" ht="30">
      <c r="C1172" s="206"/>
      <c r="D1172" s="206"/>
      <c r="E1172" s="207"/>
      <c r="F1172" s="207"/>
      <c r="G1172" s="207"/>
      <c r="H1172" s="207"/>
      <c r="I1172" s="207"/>
      <c r="J1172" s="207"/>
      <c r="K1172" s="207"/>
      <c r="L1172" s="207"/>
      <c r="M1172" s="207"/>
      <c r="N1172" s="207"/>
      <c r="O1172" s="206"/>
    </row>
    <row r="1173" spans="3:15" ht="30">
      <c r="C1173" s="206"/>
      <c r="D1173" s="206"/>
      <c r="E1173" s="207"/>
      <c r="F1173" s="207"/>
      <c r="G1173" s="207"/>
      <c r="H1173" s="207"/>
      <c r="I1173" s="207"/>
      <c r="J1173" s="207"/>
      <c r="K1173" s="207"/>
      <c r="L1173" s="207"/>
      <c r="M1173" s="207"/>
      <c r="N1173" s="207"/>
      <c r="O1173" s="206"/>
    </row>
    <row r="1174" spans="3:15" ht="30">
      <c r="C1174" s="206"/>
      <c r="D1174" s="206"/>
      <c r="E1174" s="207"/>
      <c r="F1174" s="207"/>
      <c r="G1174" s="207"/>
      <c r="H1174" s="207"/>
      <c r="I1174" s="207"/>
      <c r="J1174" s="207"/>
      <c r="K1174" s="207"/>
      <c r="L1174" s="207"/>
      <c r="M1174" s="207"/>
      <c r="N1174" s="207"/>
      <c r="O1174" s="206"/>
    </row>
    <row r="1175" spans="3:15" ht="30">
      <c r="C1175" s="206"/>
      <c r="D1175" s="206"/>
      <c r="E1175" s="207"/>
      <c r="F1175" s="207"/>
      <c r="G1175" s="207"/>
      <c r="H1175" s="207"/>
      <c r="I1175" s="207"/>
      <c r="J1175" s="207"/>
      <c r="K1175" s="207"/>
      <c r="L1175" s="207"/>
      <c r="M1175" s="207"/>
      <c r="N1175" s="207"/>
      <c r="O1175" s="206"/>
    </row>
    <row r="1176" spans="3:15" ht="30">
      <c r="C1176" s="206"/>
      <c r="D1176" s="206"/>
      <c r="E1176" s="207"/>
      <c r="F1176" s="207"/>
      <c r="G1176" s="207"/>
      <c r="H1176" s="207"/>
      <c r="I1176" s="207"/>
      <c r="J1176" s="207"/>
      <c r="K1176" s="207"/>
      <c r="L1176" s="207"/>
      <c r="M1176" s="207"/>
      <c r="N1176" s="207"/>
      <c r="O1176" s="206"/>
    </row>
    <row r="1177" spans="3:15" ht="30">
      <c r="C1177" s="206"/>
      <c r="D1177" s="206"/>
      <c r="E1177" s="207"/>
      <c r="F1177" s="207"/>
      <c r="G1177" s="207"/>
      <c r="H1177" s="207"/>
      <c r="I1177" s="207"/>
      <c r="J1177" s="207"/>
      <c r="K1177" s="207"/>
      <c r="L1177" s="207"/>
      <c r="M1177" s="207"/>
      <c r="N1177" s="207"/>
      <c r="O1177" s="206"/>
    </row>
    <row r="1178" spans="3:15" ht="30">
      <c r="C1178" s="206"/>
      <c r="D1178" s="206"/>
      <c r="E1178" s="207"/>
      <c r="F1178" s="207"/>
      <c r="G1178" s="207"/>
      <c r="H1178" s="207"/>
      <c r="I1178" s="207"/>
      <c r="J1178" s="207"/>
      <c r="K1178" s="207"/>
      <c r="L1178" s="207"/>
      <c r="M1178" s="207"/>
      <c r="N1178" s="207"/>
      <c r="O1178" s="206"/>
    </row>
    <row r="1179" spans="3:15" ht="30">
      <c r="C1179" s="206"/>
      <c r="D1179" s="206"/>
      <c r="E1179" s="207"/>
      <c r="F1179" s="207"/>
      <c r="G1179" s="207"/>
      <c r="H1179" s="207"/>
      <c r="I1179" s="207"/>
      <c r="J1179" s="207"/>
      <c r="K1179" s="207"/>
      <c r="L1179" s="207"/>
      <c r="M1179" s="207"/>
      <c r="N1179" s="207"/>
      <c r="O1179" s="206"/>
    </row>
    <row r="1180" spans="3:15" ht="30">
      <c r="C1180" s="206"/>
      <c r="D1180" s="206"/>
      <c r="E1180" s="207"/>
      <c r="F1180" s="207"/>
      <c r="G1180" s="207"/>
      <c r="H1180" s="207"/>
      <c r="I1180" s="207"/>
      <c r="J1180" s="207"/>
      <c r="K1180" s="207"/>
      <c r="L1180" s="207"/>
      <c r="M1180" s="207"/>
      <c r="N1180" s="207"/>
      <c r="O1180" s="206"/>
    </row>
    <row r="1181" spans="3:15" ht="30">
      <c r="C1181" s="206"/>
      <c r="D1181" s="206"/>
      <c r="E1181" s="207"/>
      <c r="F1181" s="207"/>
      <c r="G1181" s="207"/>
      <c r="H1181" s="207"/>
      <c r="I1181" s="207"/>
      <c r="J1181" s="207"/>
      <c r="K1181" s="207"/>
      <c r="L1181" s="207"/>
      <c r="M1181" s="207"/>
      <c r="N1181" s="207"/>
      <c r="O1181" s="206"/>
    </row>
    <row r="1182" spans="3:15" ht="30">
      <c r="C1182" s="206"/>
      <c r="D1182" s="206"/>
      <c r="E1182" s="207"/>
      <c r="F1182" s="207"/>
      <c r="G1182" s="207"/>
      <c r="H1182" s="207"/>
      <c r="I1182" s="207"/>
      <c r="J1182" s="207"/>
      <c r="K1182" s="207"/>
      <c r="L1182" s="207"/>
      <c r="M1182" s="207"/>
      <c r="N1182" s="207"/>
      <c r="O1182" s="206"/>
    </row>
    <row r="1183" spans="3:15" ht="30">
      <c r="C1183" s="206"/>
      <c r="D1183" s="206"/>
      <c r="E1183" s="207"/>
      <c r="F1183" s="207"/>
      <c r="G1183" s="207"/>
      <c r="H1183" s="207"/>
      <c r="I1183" s="207"/>
      <c r="J1183" s="207"/>
      <c r="K1183" s="207"/>
      <c r="L1183" s="207"/>
      <c r="M1183" s="207"/>
      <c r="N1183" s="207"/>
      <c r="O1183" s="206"/>
    </row>
    <row r="1184" spans="3:15" ht="30">
      <c r="C1184" s="206"/>
      <c r="D1184" s="206"/>
      <c r="E1184" s="207"/>
      <c r="F1184" s="207"/>
      <c r="G1184" s="207"/>
      <c r="H1184" s="207"/>
      <c r="I1184" s="207"/>
      <c r="J1184" s="207"/>
      <c r="K1184" s="207"/>
      <c r="L1184" s="207"/>
      <c r="M1184" s="207"/>
      <c r="N1184" s="207"/>
      <c r="O1184" s="206"/>
    </row>
    <row r="1185" spans="3:15" ht="30">
      <c r="C1185" s="206"/>
      <c r="D1185" s="206"/>
      <c r="E1185" s="207"/>
      <c r="F1185" s="207"/>
      <c r="G1185" s="207"/>
      <c r="H1185" s="207"/>
      <c r="I1185" s="207"/>
      <c r="J1185" s="207"/>
      <c r="K1185" s="207"/>
      <c r="L1185" s="207"/>
      <c r="M1185" s="207"/>
      <c r="N1185" s="207"/>
      <c r="O1185" s="206"/>
    </row>
    <row r="1186" spans="3:15" ht="30">
      <c r="C1186" s="206"/>
      <c r="D1186" s="206"/>
      <c r="E1186" s="207"/>
      <c r="F1186" s="207"/>
      <c r="G1186" s="207"/>
      <c r="H1186" s="207"/>
      <c r="I1186" s="207"/>
      <c r="J1186" s="207"/>
      <c r="K1186" s="207"/>
      <c r="L1186" s="207"/>
      <c r="M1186" s="207"/>
      <c r="N1186" s="207"/>
      <c r="O1186" s="206"/>
    </row>
    <row r="1187" spans="3:15" ht="30">
      <c r="C1187" s="206"/>
      <c r="D1187" s="206"/>
      <c r="E1187" s="207"/>
      <c r="F1187" s="207"/>
      <c r="G1187" s="207"/>
      <c r="H1187" s="207"/>
      <c r="I1187" s="207"/>
      <c r="J1187" s="207"/>
      <c r="K1187" s="207"/>
      <c r="L1187" s="207"/>
      <c r="M1187" s="207"/>
      <c r="N1187" s="207"/>
      <c r="O1187" s="206"/>
    </row>
    <row r="1188" spans="3:15" ht="30">
      <c r="C1188" s="206"/>
      <c r="D1188" s="206"/>
      <c r="E1188" s="207"/>
      <c r="F1188" s="207"/>
      <c r="G1188" s="207"/>
      <c r="H1188" s="207"/>
      <c r="I1188" s="207"/>
      <c r="J1188" s="207"/>
      <c r="K1188" s="207"/>
      <c r="L1188" s="207"/>
      <c r="M1188" s="207"/>
      <c r="N1188" s="207"/>
      <c r="O1188" s="206"/>
    </row>
    <row r="1189" spans="3:15" ht="30">
      <c r="C1189" s="206"/>
      <c r="D1189" s="206"/>
      <c r="E1189" s="207"/>
      <c r="F1189" s="207"/>
      <c r="G1189" s="207"/>
      <c r="H1189" s="207"/>
      <c r="I1189" s="207"/>
      <c r="J1189" s="207"/>
      <c r="K1189" s="207"/>
      <c r="L1189" s="207"/>
      <c r="M1189" s="207"/>
      <c r="N1189" s="207"/>
      <c r="O1189" s="206"/>
    </row>
    <row r="1190" spans="3:15" ht="30">
      <c r="C1190" s="206"/>
      <c r="D1190" s="206"/>
      <c r="E1190" s="207"/>
      <c r="F1190" s="207"/>
      <c r="G1190" s="207"/>
      <c r="H1190" s="207"/>
      <c r="I1190" s="207"/>
      <c r="J1190" s="207"/>
      <c r="K1190" s="207"/>
      <c r="L1190" s="207"/>
      <c r="M1190" s="207"/>
      <c r="N1190" s="207"/>
      <c r="O1190" s="206"/>
    </row>
    <row r="1191" spans="3:15" ht="30">
      <c r="C1191" s="206"/>
      <c r="D1191" s="206"/>
      <c r="E1191" s="207"/>
      <c r="F1191" s="207"/>
      <c r="G1191" s="207"/>
      <c r="H1191" s="207"/>
      <c r="I1191" s="207"/>
      <c r="J1191" s="207"/>
      <c r="K1191" s="207"/>
      <c r="L1191" s="207"/>
      <c r="M1191" s="207"/>
      <c r="N1191" s="207"/>
      <c r="O1191" s="206"/>
    </row>
    <row r="1192" spans="3:15" ht="30">
      <c r="C1192" s="206"/>
      <c r="D1192" s="206"/>
      <c r="E1192" s="207"/>
      <c r="F1192" s="207"/>
      <c r="G1192" s="207"/>
      <c r="H1192" s="207"/>
      <c r="I1192" s="207"/>
      <c r="J1192" s="207"/>
      <c r="K1192" s="207"/>
      <c r="L1192" s="207"/>
      <c r="M1192" s="207"/>
      <c r="N1192" s="207"/>
      <c r="O1192" s="206"/>
    </row>
    <row r="1193" spans="3:15" ht="30">
      <c r="C1193" s="206"/>
      <c r="D1193" s="206"/>
      <c r="E1193" s="207"/>
      <c r="F1193" s="207"/>
      <c r="G1193" s="207"/>
      <c r="H1193" s="207"/>
      <c r="I1193" s="207"/>
      <c r="J1193" s="207"/>
      <c r="K1193" s="207"/>
      <c r="L1193" s="207"/>
      <c r="M1193" s="207"/>
      <c r="N1193" s="207"/>
      <c r="O1193" s="206"/>
    </row>
    <row r="1194" spans="3:15" ht="30">
      <c r="C1194" s="206"/>
      <c r="D1194" s="206"/>
      <c r="E1194" s="207"/>
      <c r="F1194" s="207"/>
      <c r="G1194" s="207"/>
      <c r="H1194" s="207"/>
      <c r="I1194" s="207"/>
      <c r="J1194" s="207"/>
      <c r="K1194" s="207"/>
      <c r="L1194" s="207"/>
      <c r="M1194" s="207"/>
      <c r="N1194" s="207"/>
      <c r="O1194" s="206"/>
    </row>
    <row r="1195" spans="3:15" ht="30">
      <c r="C1195" s="206"/>
      <c r="D1195" s="206"/>
      <c r="E1195" s="207"/>
      <c r="F1195" s="207"/>
      <c r="G1195" s="207"/>
      <c r="H1195" s="207"/>
      <c r="I1195" s="207"/>
      <c r="J1195" s="207"/>
      <c r="K1195" s="207"/>
      <c r="L1195" s="207"/>
      <c r="M1195" s="207"/>
      <c r="N1195" s="207"/>
      <c r="O1195" s="206"/>
    </row>
    <row r="1196" spans="3:15" ht="30">
      <c r="C1196" s="206"/>
      <c r="D1196" s="206"/>
      <c r="E1196" s="207"/>
      <c r="F1196" s="207"/>
      <c r="G1196" s="207"/>
      <c r="H1196" s="207"/>
      <c r="I1196" s="207"/>
      <c r="J1196" s="207"/>
      <c r="K1196" s="207"/>
      <c r="L1196" s="207"/>
      <c r="M1196" s="207"/>
      <c r="N1196" s="207"/>
      <c r="O1196" s="206"/>
    </row>
    <row r="1197" spans="3:15" ht="30">
      <c r="C1197" s="206"/>
      <c r="D1197" s="206"/>
      <c r="E1197" s="207"/>
      <c r="F1197" s="207"/>
      <c r="G1197" s="207"/>
      <c r="H1197" s="207"/>
      <c r="I1197" s="207"/>
      <c r="J1197" s="207"/>
      <c r="K1197" s="207"/>
      <c r="L1197" s="207"/>
      <c r="M1197" s="207"/>
      <c r="N1197" s="207"/>
      <c r="O1197" s="206"/>
    </row>
    <row r="1198" spans="3:15" ht="30">
      <c r="C1198" s="206"/>
      <c r="D1198" s="206"/>
      <c r="E1198" s="207"/>
      <c r="F1198" s="207"/>
      <c r="G1198" s="207"/>
      <c r="H1198" s="207"/>
      <c r="I1198" s="207"/>
      <c r="J1198" s="207"/>
      <c r="K1198" s="207"/>
      <c r="L1198" s="207"/>
      <c r="M1198" s="207"/>
      <c r="N1198" s="207"/>
      <c r="O1198" s="206"/>
    </row>
    <row r="1199" spans="3:15" ht="30">
      <c r="C1199" s="206"/>
      <c r="D1199" s="206"/>
      <c r="E1199" s="207"/>
      <c r="F1199" s="207"/>
      <c r="G1199" s="207"/>
      <c r="H1199" s="207"/>
      <c r="I1199" s="207"/>
      <c r="J1199" s="207"/>
      <c r="K1199" s="207"/>
      <c r="L1199" s="207"/>
      <c r="M1199" s="207"/>
      <c r="N1199" s="207"/>
      <c r="O1199" s="206"/>
    </row>
    <row r="1200" spans="3:15" ht="30">
      <c r="C1200" s="206"/>
      <c r="D1200" s="206"/>
      <c r="E1200" s="207"/>
      <c r="F1200" s="207"/>
      <c r="G1200" s="207"/>
      <c r="H1200" s="207"/>
      <c r="I1200" s="207"/>
      <c r="J1200" s="207"/>
      <c r="K1200" s="207"/>
      <c r="L1200" s="207"/>
      <c r="M1200" s="207"/>
      <c r="N1200" s="207"/>
      <c r="O1200" s="206"/>
    </row>
    <row r="1201" spans="3:15" ht="30">
      <c r="C1201" s="206"/>
      <c r="D1201" s="206"/>
      <c r="E1201" s="207"/>
      <c r="F1201" s="207"/>
      <c r="G1201" s="207"/>
      <c r="H1201" s="207"/>
      <c r="I1201" s="207"/>
      <c r="J1201" s="207"/>
      <c r="K1201" s="207"/>
      <c r="L1201" s="207"/>
      <c r="M1201" s="207"/>
      <c r="N1201" s="207"/>
      <c r="O1201" s="206"/>
    </row>
    <row r="1202" spans="3:15" ht="30">
      <c r="C1202" s="206"/>
      <c r="D1202" s="206"/>
      <c r="E1202" s="207"/>
      <c r="F1202" s="207"/>
      <c r="G1202" s="207"/>
      <c r="H1202" s="207"/>
      <c r="I1202" s="207"/>
      <c r="J1202" s="207"/>
      <c r="K1202" s="207"/>
      <c r="L1202" s="207"/>
      <c r="M1202" s="207"/>
      <c r="N1202" s="207"/>
      <c r="O1202" s="206"/>
    </row>
    <row r="1203" spans="3:15" ht="30">
      <c r="C1203" s="206"/>
      <c r="D1203" s="206"/>
      <c r="E1203" s="207"/>
      <c r="F1203" s="207"/>
      <c r="G1203" s="207"/>
      <c r="H1203" s="207"/>
      <c r="I1203" s="207"/>
      <c r="J1203" s="207"/>
      <c r="K1203" s="207"/>
      <c r="L1203" s="207"/>
      <c r="M1203" s="207"/>
      <c r="N1203" s="207"/>
      <c r="O1203" s="206"/>
    </row>
    <row r="1204" spans="3:15" ht="30">
      <c r="C1204" s="206"/>
      <c r="D1204" s="206"/>
      <c r="E1204" s="207"/>
      <c r="F1204" s="207"/>
      <c r="G1204" s="207"/>
      <c r="H1204" s="207"/>
      <c r="I1204" s="207"/>
      <c r="J1204" s="207"/>
      <c r="K1204" s="207"/>
      <c r="L1204" s="207"/>
      <c r="M1204" s="207"/>
      <c r="N1204" s="207"/>
      <c r="O1204" s="206"/>
    </row>
    <row r="1205" spans="3:15" ht="30">
      <c r="C1205" s="206"/>
      <c r="D1205" s="206"/>
      <c r="E1205" s="207"/>
      <c r="F1205" s="207"/>
      <c r="G1205" s="207"/>
      <c r="H1205" s="207"/>
      <c r="I1205" s="207"/>
      <c r="J1205" s="207"/>
      <c r="K1205" s="207"/>
      <c r="L1205" s="207"/>
      <c r="M1205" s="207"/>
      <c r="N1205" s="207"/>
      <c r="O1205" s="206"/>
    </row>
    <row r="1206" spans="3:15" ht="30">
      <c r="C1206" s="206"/>
      <c r="D1206" s="206"/>
      <c r="E1206" s="207"/>
      <c r="F1206" s="207"/>
      <c r="G1206" s="207"/>
      <c r="H1206" s="207"/>
      <c r="I1206" s="207"/>
      <c r="J1206" s="207"/>
      <c r="K1206" s="207"/>
      <c r="L1206" s="207"/>
      <c r="M1206" s="207"/>
      <c r="N1206" s="207"/>
      <c r="O1206" s="206"/>
    </row>
    <row r="1207" spans="3:15" ht="30">
      <c r="C1207" s="206"/>
      <c r="D1207" s="206"/>
      <c r="E1207" s="207"/>
      <c r="F1207" s="207"/>
      <c r="G1207" s="207"/>
      <c r="H1207" s="207"/>
      <c r="I1207" s="207"/>
      <c r="J1207" s="207"/>
      <c r="K1207" s="207"/>
      <c r="L1207" s="207"/>
      <c r="M1207" s="207"/>
      <c r="N1207" s="207"/>
      <c r="O1207" s="206"/>
    </row>
    <row r="1208" spans="3:15" ht="30">
      <c r="C1208" s="206"/>
      <c r="D1208" s="206"/>
      <c r="E1208" s="207"/>
      <c r="F1208" s="207"/>
      <c r="G1208" s="207"/>
      <c r="H1208" s="207"/>
      <c r="I1208" s="207"/>
      <c r="J1208" s="207"/>
      <c r="K1208" s="207"/>
      <c r="L1208" s="207"/>
      <c r="M1208" s="207"/>
      <c r="N1208" s="207"/>
      <c r="O1208" s="206"/>
    </row>
    <row r="1209" spans="3:15" ht="30">
      <c r="C1209" s="206"/>
      <c r="D1209" s="206"/>
      <c r="E1209" s="207"/>
      <c r="F1209" s="207"/>
      <c r="G1209" s="207"/>
      <c r="H1209" s="207"/>
      <c r="I1209" s="207"/>
      <c r="J1209" s="207"/>
      <c r="K1209" s="207"/>
      <c r="L1209" s="207"/>
      <c r="M1209" s="207"/>
      <c r="N1209" s="207"/>
      <c r="O1209" s="206"/>
    </row>
    <row r="1210" spans="3:15" ht="30">
      <c r="C1210" s="206"/>
      <c r="D1210" s="206"/>
      <c r="E1210" s="207"/>
      <c r="F1210" s="207"/>
      <c r="G1210" s="207"/>
      <c r="H1210" s="207"/>
      <c r="I1210" s="207"/>
      <c r="J1210" s="207"/>
      <c r="K1210" s="207"/>
      <c r="L1210" s="207"/>
      <c r="M1210" s="207"/>
      <c r="N1210" s="207"/>
      <c r="O1210" s="206"/>
    </row>
    <row r="1211" spans="3:15" ht="30">
      <c r="C1211" s="206"/>
      <c r="D1211" s="206"/>
      <c r="E1211" s="207"/>
      <c r="F1211" s="207"/>
      <c r="G1211" s="207"/>
      <c r="H1211" s="207"/>
      <c r="I1211" s="207"/>
      <c r="J1211" s="207"/>
      <c r="K1211" s="207"/>
      <c r="L1211" s="207"/>
      <c r="M1211" s="207"/>
      <c r="N1211" s="207"/>
      <c r="O1211" s="206"/>
    </row>
    <row r="1212" spans="3:15" ht="30">
      <c r="C1212" s="206"/>
      <c r="D1212" s="206"/>
      <c r="E1212" s="207"/>
      <c r="F1212" s="207"/>
      <c r="G1212" s="207"/>
      <c r="H1212" s="207"/>
      <c r="I1212" s="207"/>
      <c r="J1212" s="207"/>
      <c r="K1212" s="207"/>
      <c r="L1212" s="207"/>
      <c r="M1212" s="207"/>
      <c r="N1212" s="207"/>
      <c r="O1212" s="206"/>
    </row>
    <row r="1213" spans="3:15" ht="30">
      <c r="C1213" s="206"/>
      <c r="D1213" s="206"/>
      <c r="E1213" s="207"/>
      <c r="F1213" s="207"/>
      <c r="G1213" s="207"/>
      <c r="H1213" s="207"/>
      <c r="I1213" s="207"/>
      <c r="J1213" s="207"/>
      <c r="K1213" s="207"/>
      <c r="L1213" s="207"/>
      <c r="M1213" s="207"/>
      <c r="N1213" s="207"/>
      <c r="O1213" s="206"/>
    </row>
    <row r="1214" spans="3:15" ht="30">
      <c r="C1214" s="206"/>
      <c r="D1214" s="206"/>
      <c r="E1214" s="207"/>
      <c r="F1214" s="207"/>
      <c r="G1214" s="207"/>
      <c r="H1214" s="207"/>
      <c r="I1214" s="207"/>
      <c r="J1214" s="207"/>
      <c r="K1214" s="207"/>
      <c r="L1214" s="207"/>
      <c r="M1214" s="207"/>
      <c r="N1214" s="207"/>
      <c r="O1214" s="206"/>
    </row>
    <row r="1215" spans="3:15" ht="30">
      <c r="C1215" s="206"/>
      <c r="D1215" s="206"/>
      <c r="E1215" s="207"/>
      <c r="F1215" s="207"/>
      <c r="G1215" s="207"/>
      <c r="H1215" s="207"/>
      <c r="I1215" s="207"/>
      <c r="J1215" s="207"/>
      <c r="K1215" s="207"/>
      <c r="L1215" s="207"/>
      <c r="M1215" s="207"/>
      <c r="N1215" s="207"/>
      <c r="O1215" s="206"/>
    </row>
    <row r="1216" spans="3:15" ht="30">
      <c r="C1216" s="206"/>
      <c r="D1216" s="206"/>
      <c r="E1216" s="207"/>
      <c r="F1216" s="207"/>
      <c r="G1216" s="207"/>
      <c r="H1216" s="207"/>
      <c r="I1216" s="207"/>
      <c r="J1216" s="207"/>
      <c r="K1216" s="207"/>
      <c r="L1216" s="207"/>
      <c r="M1216" s="207"/>
      <c r="N1216" s="207"/>
      <c r="O1216" s="206"/>
    </row>
    <row r="1217" spans="3:15" ht="30">
      <c r="C1217" s="206"/>
      <c r="D1217" s="206"/>
      <c r="E1217" s="207"/>
      <c r="F1217" s="207"/>
      <c r="G1217" s="207"/>
      <c r="H1217" s="207"/>
      <c r="I1217" s="207"/>
      <c r="J1217" s="207"/>
      <c r="K1217" s="207"/>
      <c r="L1217" s="207"/>
      <c r="M1217" s="207"/>
      <c r="N1217" s="207"/>
      <c r="O1217" s="206"/>
    </row>
    <row r="1218" spans="3:15" ht="30">
      <c r="C1218" s="206"/>
      <c r="D1218" s="206"/>
      <c r="E1218" s="207"/>
      <c r="F1218" s="207"/>
      <c r="G1218" s="207"/>
      <c r="H1218" s="207"/>
      <c r="I1218" s="207"/>
      <c r="J1218" s="207"/>
      <c r="K1218" s="207"/>
      <c r="L1218" s="207"/>
      <c r="M1218" s="207"/>
      <c r="N1218" s="207"/>
      <c r="O1218" s="206"/>
    </row>
    <row r="1219" spans="3:15" ht="30">
      <c r="C1219" s="206"/>
      <c r="D1219" s="206"/>
      <c r="E1219" s="207"/>
      <c r="F1219" s="207"/>
      <c r="G1219" s="207"/>
      <c r="H1219" s="207"/>
      <c r="I1219" s="207"/>
      <c r="J1219" s="207"/>
      <c r="K1219" s="207"/>
      <c r="L1219" s="207"/>
      <c r="M1219" s="207"/>
      <c r="N1219" s="207"/>
      <c r="O1219" s="206"/>
    </row>
    <row r="1220" spans="3:15" ht="30">
      <c r="C1220" s="206"/>
      <c r="D1220" s="206"/>
      <c r="E1220" s="207"/>
      <c r="F1220" s="207"/>
      <c r="G1220" s="207"/>
      <c r="H1220" s="207"/>
      <c r="I1220" s="207"/>
      <c r="J1220" s="207"/>
      <c r="K1220" s="207"/>
      <c r="L1220" s="207"/>
      <c r="M1220" s="207"/>
      <c r="N1220" s="207"/>
      <c r="O1220" s="206"/>
    </row>
    <row r="1221" spans="3:15" ht="30">
      <c r="C1221" s="206"/>
      <c r="D1221" s="206"/>
      <c r="E1221" s="207"/>
      <c r="F1221" s="207"/>
      <c r="G1221" s="207"/>
      <c r="H1221" s="207"/>
      <c r="I1221" s="207"/>
      <c r="J1221" s="207"/>
      <c r="K1221" s="207"/>
      <c r="L1221" s="207"/>
      <c r="M1221" s="207"/>
      <c r="N1221" s="207"/>
      <c r="O1221" s="206"/>
    </row>
    <row r="1222" spans="3:15" ht="30">
      <c r="C1222" s="206"/>
      <c r="D1222" s="206"/>
      <c r="E1222" s="207"/>
      <c r="F1222" s="207"/>
      <c r="G1222" s="207"/>
      <c r="H1222" s="207"/>
      <c r="I1222" s="207"/>
      <c r="J1222" s="207"/>
      <c r="K1222" s="207"/>
      <c r="L1222" s="207"/>
      <c r="M1222" s="207"/>
      <c r="N1222" s="207"/>
      <c r="O1222" s="206"/>
    </row>
    <row r="1223" spans="3:15" ht="30">
      <c r="C1223" s="206"/>
      <c r="D1223" s="206"/>
      <c r="E1223" s="207"/>
      <c r="F1223" s="207"/>
      <c r="G1223" s="207"/>
      <c r="H1223" s="207"/>
      <c r="I1223" s="207"/>
      <c r="J1223" s="207"/>
      <c r="K1223" s="207"/>
      <c r="L1223" s="207"/>
      <c r="M1223" s="207"/>
      <c r="N1223" s="207"/>
      <c r="O1223" s="206"/>
    </row>
    <row r="1224" spans="3:15" ht="30">
      <c r="C1224" s="206"/>
      <c r="D1224" s="206"/>
      <c r="E1224" s="207"/>
      <c r="F1224" s="207"/>
      <c r="G1224" s="207"/>
      <c r="H1224" s="207"/>
      <c r="I1224" s="207"/>
      <c r="J1224" s="207"/>
      <c r="K1224" s="207"/>
      <c r="L1224" s="207"/>
      <c r="M1224" s="207"/>
      <c r="N1224" s="207"/>
      <c r="O1224" s="206"/>
    </row>
    <row r="1225" spans="3:15" ht="30">
      <c r="C1225" s="206"/>
      <c r="D1225" s="206"/>
      <c r="E1225" s="207"/>
      <c r="F1225" s="207"/>
      <c r="G1225" s="207"/>
      <c r="H1225" s="207"/>
      <c r="I1225" s="207"/>
      <c r="J1225" s="207"/>
      <c r="K1225" s="207"/>
      <c r="L1225" s="207"/>
      <c r="M1225" s="207"/>
      <c r="N1225" s="207"/>
      <c r="O1225" s="206"/>
    </row>
    <row r="1226" spans="3:15" ht="30">
      <c r="C1226" s="206"/>
      <c r="D1226" s="206"/>
      <c r="E1226" s="207"/>
      <c r="F1226" s="207"/>
      <c r="G1226" s="207"/>
      <c r="H1226" s="207"/>
      <c r="I1226" s="207"/>
      <c r="J1226" s="207"/>
      <c r="K1226" s="207"/>
      <c r="L1226" s="207"/>
      <c r="M1226" s="207"/>
      <c r="N1226" s="207"/>
      <c r="O1226" s="206"/>
    </row>
    <row r="1227" spans="3:15" ht="30">
      <c r="C1227" s="206"/>
      <c r="D1227" s="206"/>
      <c r="E1227" s="207"/>
      <c r="F1227" s="207"/>
      <c r="G1227" s="207"/>
      <c r="H1227" s="207"/>
      <c r="I1227" s="207"/>
      <c r="J1227" s="207"/>
      <c r="K1227" s="207"/>
      <c r="L1227" s="207"/>
      <c r="M1227" s="207"/>
      <c r="N1227" s="207"/>
      <c r="O1227" s="206"/>
    </row>
    <row r="1228" spans="3:15" ht="30">
      <c r="C1228" s="206"/>
      <c r="D1228" s="206"/>
      <c r="E1228" s="207"/>
      <c r="F1228" s="207"/>
      <c r="G1228" s="207"/>
      <c r="H1228" s="207"/>
      <c r="I1228" s="207"/>
      <c r="J1228" s="207"/>
      <c r="K1228" s="207"/>
      <c r="L1228" s="207"/>
      <c r="M1228" s="207"/>
      <c r="N1228" s="207"/>
      <c r="O1228" s="206"/>
    </row>
    <row r="1229" spans="3:15" ht="30">
      <c r="C1229" s="206"/>
      <c r="D1229" s="206"/>
      <c r="E1229" s="207"/>
      <c r="F1229" s="207"/>
      <c r="G1229" s="207"/>
      <c r="H1229" s="207"/>
      <c r="I1229" s="207"/>
      <c r="J1229" s="207"/>
      <c r="K1229" s="207"/>
      <c r="L1229" s="207"/>
      <c r="M1229" s="207"/>
      <c r="N1229" s="207"/>
      <c r="O1229" s="206"/>
    </row>
    <row r="1230" spans="3:15" ht="30">
      <c r="C1230" s="206"/>
      <c r="D1230" s="206"/>
      <c r="E1230" s="207"/>
      <c r="F1230" s="207"/>
      <c r="G1230" s="207"/>
      <c r="H1230" s="207"/>
      <c r="I1230" s="207"/>
      <c r="J1230" s="207"/>
      <c r="K1230" s="207"/>
      <c r="L1230" s="207"/>
      <c r="M1230" s="207"/>
      <c r="N1230" s="207"/>
      <c r="O1230" s="206"/>
    </row>
    <row r="1231" spans="3:15" ht="30">
      <c r="C1231" s="206"/>
      <c r="D1231" s="206"/>
      <c r="E1231" s="207"/>
      <c r="F1231" s="207"/>
      <c r="G1231" s="207"/>
      <c r="H1231" s="207"/>
      <c r="I1231" s="207"/>
      <c r="J1231" s="207"/>
      <c r="K1231" s="207"/>
      <c r="L1231" s="207"/>
      <c r="M1231" s="207"/>
      <c r="N1231" s="207"/>
      <c r="O1231" s="206"/>
    </row>
    <row r="1232" spans="3:15" ht="30">
      <c r="C1232" s="206"/>
      <c r="D1232" s="206"/>
      <c r="E1232" s="207"/>
      <c r="F1232" s="207"/>
      <c r="G1232" s="207"/>
      <c r="H1232" s="207"/>
      <c r="I1232" s="207"/>
      <c r="J1232" s="207"/>
      <c r="K1232" s="207"/>
      <c r="L1232" s="207"/>
      <c r="M1232" s="207"/>
      <c r="N1232" s="207"/>
      <c r="O1232" s="206"/>
    </row>
    <row r="1233" spans="3:15" ht="30">
      <c r="C1233" s="206"/>
      <c r="D1233" s="206"/>
      <c r="E1233" s="207"/>
      <c r="F1233" s="207"/>
      <c r="G1233" s="207"/>
      <c r="H1233" s="207"/>
      <c r="I1233" s="207"/>
      <c r="J1233" s="207"/>
      <c r="K1233" s="207"/>
      <c r="L1233" s="207"/>
      <c r="M1233" s="207"/>
      <c r="N1233" s="207"/>
      <c r="O1233" s="206"/>
    </row>
    <row r="1234" spans="3:15" ht="30">
      <c r="C1234" s="206"/>
      <c r="D1234" s="206"/>
      <c r="E1234" s="207"/>
      <c r="F1234" s="207"/>
      <c r="G1234" s="207"/>
      <c r="H1234" s="207"/>
      <c r="I1234" s="207"/>
      <c r="J1234" s="207"/>
      <c r="K1234" s="207"/>
      <c r="L1234" s="207"/>
      <c r="M1234" s="207"/>
      <c r="N1234" s="207"/>
      <c r="O1234" s="206"/>
    </row>
    <row r="1235" spans="3:15" ht="30">
      <c r="C1235" s="206"/>
      <c r="D1235" s="206"/>
      <c r="E1235" s="207"/>
      <c r="F1235" s="207"/>
      <c r="G1235" s="207"/>
      <c r="H1235" s="207"/>
      <c r="I1235" s="207"/>
      <c r="J1235" s="207"/>
      <c r="K1235" s="207"/>
      <c r="L1235" s="207"/>
      <c r="M1235" s="207"/>
      <c r="N1235" s="207"/>
      <c r="O1235" s="206"/>
    </row>
    <row r="1236" spans="3:15" ht="30">
      <c r="C1236" s="206"/>
      <c r="D1236" s="206"/>
      <c r="E1236" s="207"/>
      <c r="F1236" s="207"/>
      <c r="G1236" s="207"/>
      <c r="H1236" s="207"/>
      <c r="I1236" s="207"/>
      <c r="J1236" s="207"/>
      <c r="K1236" s="207"/>
      <c r="L1236" s="207"/>
      <c r="M1236" s="207"/>
      <c r="N1236" s="207"/>
      <c r="O1236" s="206"/>
    </row>
    <row r="1237" spans="3:15" ht="30">
      <c r="C1237" s="206"/>
      <c r="D1237" s="206"/>
      <c r="E1237" s="207"/>
      <c r="F1237" s="207"/>
      <c r="G1237" s="207"/>
      <c r="H1237" s="207"/>
      <c r="I1237" s="207"/>
      <c r="J1237" s="207"/>
      <c r="K1237" s="207"/>
      <c r="L1237" s="207"/>
      <c r="M1237" s="207"/>
      <c r="N1237" s="207"/>
      <c r="O1237" s="206"/>
    </row>
    <row r="1238" spans="3:15" ht="30">
      <c r="C1238" s="206"/>
      <c r="D1238" s="206"/>
      <c r="E1238" s="207"/>
      <c r="F1238" s="207"/>
      <c r="G1238" s="207"/>
      <c r="H1238" s="207"/>
      <c r="I1238" s="207"/>
      <c r="J1238" s="207"/>
      <c r="K1238" s="207"/>
      <c r="L1238" s="207"/>
      <c r="M1238" s="207"/>
      <c r="N1238" s="207"/>
      <c r="O1238" s="206"/>
    </row>
    <row r="1239" spans="3:15" ht="30">
      <c r="C1239" s="206"/>
      <c r="D1239" s="206"/>
      <c r="E1239" s="207"/>
      <c r="F1239" s="207"/>
      <c r="G1239" s="207"/>
      <c r="H1239" s="207"/>
      <c r="I1239" s="207"/>
      <c r="J1239" s="207"/>
      <c r="K1239" s="207"/>
      <c r="L1239" s="207"/>
      <c r="M1239" s="207"/>
      <c r="N1239" s="207"/>
      <c r="O1239" s="206"/>
    </row>
    <row r="1240" spans="3:15" ht="30">
      <c r="C1240" s="206"/>
      <c r="D1240" s="206"/>
      <c r="E1240" s="207"/>
      <c r="F1240" s="207"/>
      <c r="G1240" s="207"/>
      <c r="H1240" s="207"/>
      <c r="I1240" s="207"/>
      <c r="J1240" s="207"/>
      <c r="K1240" s="207"/>
      <c r="L1240" s="207"/>
      <c r="M1240" s="207"/>
      <c r="N1240" s="207"/>
      <c r="O1240" s="206"/>
    </row>
    <row r="1241" spans="3:15" ht="30">
      <c r="C1241" s="206"/>
      <c r="D1241" s="206"/>
      <c r="E1241" s="207"/>
      <c r="F1241" s="207"/>
      <c r="G1241" s="207"/>
      <c r="H1241" s="207"/>
      <c r="I1241" s="207"/>
      <c r="J1241" s="207"/>
      <c r="K1241" s="207"/>
      <c r="L1241" s="207"/>
      <c r="M1241" s="207"/>
      <c r="N1241" s="207"/>
      <c r="O1241" s="206"/>
    </row>
    <row r="1242" spans="3:15" ht="30">
      <c r="C1242" s="206"/>
      <c r="D1242" s="206"/>
      <c r="E1242" s="207"/>
      <c r="F1242" s="207"/>
      <c r="G1242" s="207"/>
      <c r="H1242" s="207"/>
      <c r="I1242" s="207"/>
      <c r="J1242" s="207"/>
      <c r="K1242" s="207"/>
      <c r="L1242" s="207"/>
      <c r="M1242" s="207"/>
      <c r="N1242" s="207"/>
      <c r="O1242" s="206"/>
    </row>
    <row r="1243" spans="3:15" ht="30">
      <c r="C1243" s="206"/>
      <c r="D1243" s="206"/>
      <c r="E1243" s="207"/>
      <c r="F1243" s="207"/>
      <c r="G1243" s="207"/>
      <c r="H1243" s="207"/>
      <c r="I1243" s="207"/>
      <c r="J1243" s="207"/>
      <c r="K1243" s="207"/>
      <c r="L1243" s="207"/>
      <c r="M1243" s="207"/>
      <c r="N1243" s="207"/>
      <c r="O1243" s="206"/>
    </row>
    <row r="1244" spans="3:15" ht="30">
      <c r="C1244" s="206"/>
      <c r="D1244" s="206"/>
      <c r="E1244" s="207"/>
      <c r="F1244" s="207"/>
      <c r="G1244" s="207"/>
      <c r="H1244" s="207"/>
      <c r="I1244" s="207"/>
      <c r="J1244" s="207"/>
      <c r="K1244" s="207"/>
      <c r="L1244" s="207"/>
      <c r="M1244" s="207"/>
      <c r="N1244" s="207"/>
      <c r="O1244" s="206"/>
    </row>
    <row r="1245" spans="3:15" ht="30">
      <c r="C1245" s="206"/>
      <c r="D1245" s="206"/>
      <c r="E1245" s="207"/>
      <c r="F1245" s="207"/>
      <c r="G1245" s="207"/>
      <c r="H1245" s="207"/>
      <c r="I1245" s="207"/>
      <c r="J1245" s="207"/>
      <c r="K1245" s="207"/>
      <c r="L1245" s="207"/>
      <c r="M1245" s="207"/>
      <c r="N1245" s="207"/>
      <c r="O1245" s="206"/>
    </row>
    <row r="1246" spans="3:15" ht="30">
      <c r="C1246" s="206"/>
      <c r="D1246" s="206"/>
      <c r="E1246" s="207"/>
      <c r="F1246" s="207"/>
      <c r="G1246" s="207"/>
      <c r="H1246" s="207"/>
      <c r="I1246" s="207"/>
      <c r="J1246" s="207"/>
      <c r="K1246" s="207"/>
      <c r="L1246" s="207"/>
      <c r="M1246" s="207"/>
      <c r="N1246" s="207"/>
      <c r="O1246" s="206"/>
    </row>
    <row r="1247" spans="3:15" ht="30">
      <c r="C1247" s="206"/>
      <c r="D1247" s="206"/>
      <c r="E1247" s="207"/>
      <c r="F1247" s="207"/>
      <c r="G1247" s="207"/>
      <c r="H1247" s="207"/>
      <c r="I1247" s="207"/>
      <c r="J1247" s="207"/>
      <c r="K1247" s="207"/>
      <c r="L1247" s="207"/>
      <c r="M1247" s="207"/>
      <c r="N1247" s="207"/>
      <c r="O1247" s="206"/>
    </row>
    <row r="1248" spans="3:15" ht="30">
      <c r="C1248" s="206"/>
      <c r="D1248" s="206"/>
      <c r="E1248" s="207"/>
      <c r="F1248" s="207"/>
      <c r="G1248" s="207"/>
      <c r="H1248" s="207"/>
      <c r="I1248" s="207"/>
      <c r="J1248" s="207"/>
      <c r="K1248" s="207"/>
      <c r="L1248" s="207"/>
      <c r="M1248" s="207"/>
      <c r="N1248" s="207"/>
      <c r="O1248" s="206"/>
    </row>
    <row r="1249" spans="3:15" ht="30">
      <c r="C1249" s="206"/>
      <c r="D1249" s="206"/>
      <c r="E1249" s="207"/>
      <c r="F1249" s="207"/>
      <c r="G1249" s="207"/>
      <c r="H1249" s="207"/>
      <c r="I1249" s="207"/>
      <c r="J1249" s="207"/>
      <c r="K1249" s="207"/>
      <c r="L1249" s="207"/>
      <c r="M1249" s="207"/>
      <c r="N1249" s="207"/>
      <c r="O1249" s="206"/>
    </row>
    <row r="1250" spans="3:15" ht="30">
      <c r="C1250" s="206"/>
      <c r="D1250" s="206"/>
      <c r="E1250" s="207"/>
      <c r="F1250" s="207"/>
      <c r="G1250" s="207"/>
      <c r="H1250" s="207"/>
      <c r="I1250" s="207"/>
      <c r="J1250" s="207"/>
      <c r="K1250" s="207"/>
      <c r="L1250" s="207"/>
      <c r="M1250" s="207"/>
      <c r="N1250" s="207"/>
      <c r="O1250" s="206"/>
    </row>
    <row r="1251" spans="3:15" ht="30">
      <c r="C1251" s="206"/>
      <c r="D1251" s="206"/>
      <c r="E1251" s="207"/>
      <c r="F1251" s="207"/>
      <c r="G1251" s="207"/>
      <c r="H1251" s="207"/>
      <c r="I1251" s="207"/>
      <c r="J1251" s="207"/>
      <c r="K1251" s="207"/>
      <c r="L1251" s="207"/>
      <c r="M1251" s="207"/>
      <c r="N1251" s="207"/>
      <c r="O1251" s="206"/>
    </row>
    <row r="1252" spans="3:15" ht="30">
      <c r="C1252" s="206"/>
      <c r="D1252" s="206"/>
      <c r="E1252" s="207"/>
      <c r="F1252" s="207"/>
      <c r="G1252" s="207"/>
      <c r="H1252" s="207"/>
      <c r="I1252" s="207"/>
      <c r="J1252" s="207"/>
      <c r="K1252" s="207"/>
      <c r="L1252" s="207"/>
      <c r="M1252" s="207"/>
      <c r="N1252" s="207"/>
      <c r="O1252" s="206"/>
    </row>
    <row r="1253" spans="3:15" ht="30">
      <c r="C1253" s="206"/>
      <c r="D1253" s="206"/>
      <c r="E1253" s="207"/>
      <c r="F1253" s="207"/>
      <c r="G1253" s="207"/>
      <c r="H1253" s="207"/>
      <c r="I1253" s="207"/>
      <c r="J1253" s="207"/>
      <c r="K1253" s="207"/>
      <c r="L1253" s="207"/>
      <c r="M1253" s="207"/>
      <c r="N1253" s="207"/>
      <c r="O1253" s="206"/>
    </row>
    <row r="1254" spans="3:15" ht="30">
      <c r="C1254" s="206"/>
      <c r="D1254" s="206"/>
      <c r="E1254" s="207"/>
      <c r="F1254" s="207"/>
      <c r="G1254" s="207"/>
      <c r="H1254" s="207"/>
      <c r="I1254" s="207"/>
      <c r="J1254" s="207"/>
      <c r="K1254" s="207"/>
      <c r="L1254" s="207"/>
      <c r="M1254" s="207"/>
      <c r="N1254" s="207"/>
      <c r="O1254" s="206"/>
    </row>
    <row r="1255" spans="3:15" ht="30">
      <c r="C1255" s="206"/>
      <c r="D1255" s="206"/>
      <c r="E1255" s="207"/>
      <c r="F1255" s="207"/>
      <c r="G1255" s="207"/>
      <c r="H1255" s="207"/>
      <c r="I1255" s="207"/>
      <c r="J1255" s="207"/>
      <c r="K1255" s="207"/>
      <c r="L1255" s="207"/>
      <c r="M1255" s="207"/>
      <c r="N1255" s="207"/>
      <c r="O1255" s="206"/>
    </row>
    <row r="1256" spans="3:15" ht="30">
      <c r="C1256" s="206"/>
      <c r="D1256" s="206"/>
      <c r="E1256" s="207"/>
      <c r="F1256" s="207"/>
      <c r="G1256" s="207"/>
      <c r="H1256" s="207"/>
      <c r="I1256" s="207"/>
      <c r="J1256" s="207"/>
      <c r="K1256" s="207"/>
      <c r="L1256" s="207"/>
      <c r="M1256" s="207"/>
      <c r="N1256" s="207"/>
      <c r="O1256" s="206"/>
    </row>
    <row r="1257" spans="3:15" ht="30">
      <c r="C1257" s="206"/>
      <c r="D1257" s="206"/>
      <c r="E1257" s="207"/>
      <c r="F1257" s="207"/>
      <c r="G1257" s="207"/>
      <c r="H1257" s="207"/>
      <c r="I1257" s="207"/>
      <c r="J1257" s="207"/>
      <c r="K1257" s="207"/>
      <c r="L1257" s="207"/>
      <c r="M1257" s="207"/>
      <c r="N1257" s="207"/>
      <c r="O1257" s="206"/>
    </row>
    <row r="1258" spans="3:15" ht="30">
      <c r="C1258" s="206"/>
      <c r="D1258" s="206"/>
      <c r="E1258" s="207"/>
      <c r="F1258" s="207"/>
      <c r="G1258" s="207"/>
      <c r="H1258" s="207"/>
      <c r="I1258" s="207"/>
      <c r="J1258" s="207"/>
      <c r="K1258" s="207"/>
      <c r="L1258" s="207"/>
      <c r="M1258" s="207"/>
      <c r="N1258" s="207"/>
      <c r="O1258" s="206"/>
    </row>
    <row r="1259" spans="3:15" ht="30">
      <c r="C1259" s="206"/>
      <c r="D1259" s="206"/>
      <c r="E1259" s="207"/>
      <c r="F1259" s="207"/>
      <c r="G1259" s="207"/>
      <c r="H1259" s="207"/>
      <c r="I1259" s="207"/>
      <c r="J1259" s="207"/>
      <c r="K1259" s="207"/>
      <c r="L1259" s="207"/>
      <c r="M1259" s="207"/>
      <c r="N1259" s="207"/>
      <c r="O1259" s="206"/>
    </row>
    <row r="1260" spans="3:15" ht="30">
      <c r="C1260" s="206"/>
      <c r="D1260" s="206"/>
      <c r="E1260" s="207"/>
      <c r="F1260" s="207"/>
      <c r="G1260" s="207"/>
      <c r="H1260" s="207"/>
      <c r="I1260" s="207"/>
      <c r="J1260" s="207"/>
      <c r="K1260" s="207"/>
      <c r="L1260" s="207"/>
      <c r="M1260" s="207"/>
      <c r="N1260" s="207"/>
      <c r="O1260" s="206"/>
    </row>
    <row r="1261" spans="3:15" ht="30">
      <c r="C1261" s="206"/>
      <c r="D1261" s="206"/>
      <c r="E1261" s="207"/>
      <c r="F1261" s="207"/>
      <c r="G1261" s="207"/>
      <c r="H1261" s="207"/>
      <c r="I1261" s="207"/>
      <c r="J1261" s="207"/>
      <c r="K1261" s="207"/>
      <c r="L1261" s="207"/>
      <c r="M1261" s="207"/>
      <c r="N1261" s="207"/>
      <c r="O1261" s="206"/>
    </row>
    <row r="1262" spans="3:15" ht="30">
      <c r="C1262" s="206"/>
      <c r="D1262" s="206"/>
      <c r="E1262" s="207"/>
      <c r="F1262" s="207"/>
      <c r="G1262" s="207"/>
      <c r="H1262" s="207"/>
      <c r="I1262" s="207"/>
      <c r="J1262" s="207"/>
      <c r="K1262" s="207"/>
      <c r="L1262" s="207"/>
      <c r="M1262" s="207"/>
      <c r="N1262" s="207"/>
      <c r="O1262" s="206"/>
    </row>
    <row r="1263" spans="3:15" ht="30">
      <c r="C1263" s="206"/>
      <c r="D1263" s="206"/>
      <c r="E1263" s="207"/>
      <c r="F1263" s="207"/>
      <c r="G1263" s="207"/>
      <c r="H1263" s="207"/>
      <c r="I1263" s="207"/>
      <c r="J1263" s="207"/>
      <c r="K1263" s="207"/>
      <c r="L1263" s="207"/>
      <c r="M1263" s="207"/>
      <c r="N1263" s="207"/>
      <c r="O1263" s="206"/>
    </row>
    <row r="1264" spans="3:15" ht="30">
      <c r="C1264" s="206"/>
      <c r="D1264" s="206"/>
      <c r="E1264" s="207"/>
      <c r="F1264" s="207"/>
      <c r="G1264" s="207"/>
      <c r="H1264" s="207"/>
      <c r="I1264" s="207"/>
      <c r="J1264" s="207"/>
      <c r="K1264" s="207"/>
      <c r="L1264" s="207"/>
      <c r="M1264" s="207"/>
      <c r="N1264" s="207"/>
      <c r="O1264" s="206"/>
    </row>
    <row r="1265" spans="3:15" ht="30">
      <c r="C1265" s="206"/>
      <c r="D1265" s="206"/>
      <c r="E1265" s="207"/>
      <c r="F1265" s="207"/>
      <c r="G1265" s="207"/>
      <c r="H1265" s="207"/>
      <c r="I1265" s="207"/>
      <c r="J1265" s="207"/>
      <c r="K1265" s="207"/>
      <c r="L1265" s="207"/>
      <c r="M1265" s="207"/>
      <c r="N1265" s="207"/>
      <c r="O1265" s="206"/>
    </row>
    <row r="1266" spans="3:15" ht="30">
      <c r="C1266" s="206"/>
      <c r="D1266" s="206"/>
      <c r="E1266" s="207"/>
      <c r="F1266" s="207"/>
      <c r="G1266" s="207"/>
      <c r="H1266" s="207"/>
      <c r="I1266" s="207"/>
      <c r="J1266" s="207"/>
      <c r="K1266" s="207"/>
      <c r="L1266" s="207"/>
      <c r="M1266" s="207"/>
      <c r="N1266" s="207"/>
      <c r="O1266" s="206"/>
    </row>
    <row r="1267" spans="3:15" ht="30">
      <c r="C1267" s="206"/>
      <c r="D1267" s="206"/>
      <c r="E1267" s="207"/>
      <c r="F1267" s="207"/>
      <c r="G1267" s="207"/>
      <c r="H1267" s="207"/>
      <c r="I1267" s="207"/>
      <c r="J1267" s="207"/>
      <c r="K1267" s="207"/>
      <c r="L1267" s="207"/>
      <c r="M1267" s="207"/>
      <c r="N1267" s="207"/>
      <c r="O1267" s="206"/>
    </row>
    <row r="1268" spans="3:15" ht="30">
      <c r="C1268" s="206"/>
      <c r="D1268" s="206"/>
      <c r="E1268" s="207"/>
      <c r="F1268" s="207"/>
      <c r="G1268" s="207"/>
      <c r="H1268" s="207"/>
      <c r="I1268" s="207"/>
      <c r="J1268" s="207"/>
      <c r="K1268" s="207"/>
      <c r="L1268" s="207"/>
      <c r="M1268" s="207"/>
      <c r="N1268" s="207"/>
      <c r="O1268" s="206"/>
    </row>
    <row r="1269" spans="3:15" ht="30">
      <c r="C1269" s="206"/>
      <c r="D1269" s="206"/>
      <c r="E1269" s="207"/>
      <c r="F1269" s="207"/>
      <c r="G1269" s="207"/>
      <c r="H1269" s="207"/>
      <c r="I1269" s="207"/>
      <c r="J1269" s="207"/>
      <c r="K1269" s="207"/>
      <c r="L1269" s="207"/>
      <c r="M1269" s="207"/>
      <c r="N1269" s="207"/>
      <c r="O1269" s="206"/>
    </row>
    <row r="1270" spans="3:15" ht="30">
      <c r="C1270" s="206"/>
      <c r="D1270" s="206"/>
      <c r="E1270" s="207"/>
      <c r="F1270" s="207"/>
      <c r="G1270" s="207"/>
      <c r="H1270" s="207"/>
      <c r="I1270" s="207"/>
      <c r="J1270" s="207"/>
      <c r="K1270" s="207"/>
      <c r="L1270" s="207"/>
      <c r="M1270" s="207"/>
      <c r="N1270" s="207"/>
      <c r="O1270" s="206"/>
    </row>
    <row r="1271" spans="3:15" ht="30">
      <c r="C1271" s="206"/>
      <c r="D1271" s="206"/>
      <c r="E1271" s="207"/>
      <c r="F1271" s="207"/>
      <c r="G1271" s="207"/>
      <c r="H1271" s="207"/>
      <c r="I1271" s="207"/>
      <c r="J1271" s="207"/>
      <c r="K1271" s="207"/>
      <c r="L1271" s="207"/>
      <c r="M1271" s="207"/>
      <c r="N1271" s="207"/>
      <c r="O1271" s="206"/>
    </row>
    <row r="1272" spans="3:15" ht="30">
      <c r="C1272" s="206"/>
      <c r="D1272" s="206"/>
      <c r="E1272" s="207"/>
      <c r="F1272" s="207"/>
      <c r="G1272" s="207"/>
      <c r="H1272" s="207"/>
      <c r="I1272" s="207"/>
      <c r="J1272" s="207"/>
      <c r="K1272" s="207"/>
      <c r="L1272" s="207"/>
      <c r="M1272" s="207"/>
      <c r="N1272" s="207"/>
      <c r="O1272" s="206"/>
    </row>
    <row r="1273" spans="3:15" ht="30">
      <c r="C1273" s="206"/>
      <c r="D1273" s="206"/>
      <c r="E1273" s="207"/>
      <c r="F1273" s="207"/>
      <c r="G1273" s="207"/>
      <c r="H1273" s="207"/>
      <c r="I1273" s="207"/>
      <c r="J1273" s="207"/>
      <c r="K1273" s="207"/>
      <c r="L1273" s="207"/>
      <c r="M1273" s="207"/>
      <c r="N1273" s="207"/>
      <c r="O1273" s="206"/>
    </row>
    <row r="1274" spans="3:15" ht="30">
      <c r="C1274" s="206"/>
      <c r="D1274" s="206"/>
      <c r="E1274" s="207"/>
      <c r="F1274" s="207"/>
      <c r="G1274" s="207"/>
      <c r="H1274" s="207"/>
      <c r="I1274" s="207"/>
      <c r="J1274" s="207"/>
      <c r="K1274" s="207"/>
      <c r="L1274" s="207"/>
      <c r="M1274" s="207"/>
      <c r="N1274" s="207"/>
      <c r="O1274" s="206"/>
    </row>
    <row r="1275" spans="3:15" ht="30">
      <c r="C1275" s="206"/>
      <c r="D1275" s="206"/>
      <c r="E1275" s="207"/>
      <c r="F1275" s="207"/>
      <c r="G1275" s="207"/>
      <c r="H1275" s="207"/>
      <c r="I1275" s="207"/>
      <c r="J1275" s="207"/>
      <c r="K1275" s="207"/>
      <c r="L1275" s="207"/>
      <c r="M1275" s="207"/>
      <c r="N1275" s="207"/>
      <c r="O1275" s="206"/>
    </row>
    <row r="1276" spans="3:15" ht="30">
      <c r="C1276" s="206"/>
      <c r="D1276" s="206"/>
      <c r="E1276" s="207"/>
      <c r="F1276" s="207"/>
      <c r="G1276" s="207"/>
      <c r="H1276" s="207"/>
      <c r="I1276" s="207"/>
      <c r="J1276" s="207"/>
      <c r="K1276" s="207"/>
      <c r="L1276" s="207"/>
      <c r="M1276" s="207"/>
      <c r="N1276" s="207"/>
      <c r="O1276" s="206"/>
    </row>
    <row r="1277" spans="3:15" ht="30">
      <c r="C1277" s="206"/>
      <c r="D1277" s="206"/>
      <c r="E1277" s="207"/>
      <c r="F1277" s="207"/>
      <c r="G1277" s="207"/>
      <c r="H1277" s="207"/>
      <c r="I1277" s="207"/>
      <c r="J1277" s="207"/>
      <c r="K1277" s="207"/>
      <c r="L1277" s="207"/>
      <c r="M1277" s="207"/>
      <c r="N1277" s="207"/>
      <c r="O1277" s="206"/>
    </row>
    <row r="1278" spans="3:15" ht="30">
      <c r="C1278" s="206"/>
      <c r="D1278" s="206"/>
      <c r="E1278" s="207"/>
      <c r="F1278" s="207"/>
      <c r="G1278" s="207"/>
      <c r="H1278" s="207"/>
      <c r="I1278" s="207"/>
      <c r="J1278" s="207"/>
      <c r="K1278" s="207"/>
      <c r="L1278" s="207"/>
      <c r="M1278" s="207"/>
      <c r="N1278" s="207"/>
      <c r="O1278" s="206"/>
    </row>
    <row r="1279" spans="3:15" ht="30">
      <c r="C1279" s="206"/>
      <c r="D1279" s="206"/>
      <c r="E1279" s="207"/>
      <c r="F1279" s="207"/>
      <c r="G1279" s="207"/>
      <c r="H1279" s="207"/>
      <c r="I1279" s="207"/>
      <c r="J1279" s="207"/>
      <c r="K1279" s="207"/>
      <c r="L1279" s="207"/>
      <c r="M1279" s="207"/>
      <c r="N1279" s="207"/>
      <c r="O1279" s="206"/>
    </row>
    <row r="1280" spans="3:15" ht="30">
      <c r="C1280" s="206"/>
      <c r="D1280" s="206"/>
      <c r="E1280" s="207"/>
      <c r="F1280" s="207"/>
      <c r="G1280" s="207"/>
      <c r="H1280" s="207"/>
      <c r="I1280" s="207"/>
      <c r="J1280" s="207"/>
      <c r="K1280" s="207"/>
      <c r="L1280" s="207"/>
      <c r="M1280" s="207"/>
      <c r="N1280" s="207"/>
      <c r="O1280" s="206"/>
    </row>
    <row r="1281" spans="3:15" ht="30">
      <c r="C1281" s="206"/>
      <c r="D1281" s="206"/>
      <c r="E1281" s="207"/>
      <c r="F1281" s="207"/>
      <c r="G1281" s="207"/>
      <c r="H1281" s="207"/>
      <c r="I1281" s="207"/>
      <c r="J1281" s="207"/>
      <c r="K1281" s="207"/>
      <c r="L1281" s="207"/>
      <c r="M1281" s="207"/>
      <c r="N1281" s="207"/>
      <c r="O1281" s="206"/>
    </row>
    <row r="1282" spans="3:15" ht="30">
      <c r="C1282" s="206"/>
      <c r="D1282" s="206"/>
      <c r="E1282" s="207"/>
      <c r="F1282" s="207"/>
      <c r="G1282" s="207"/>
      <c r="H1282" s="207"/>
      <c r="I1282" s="207"/>
      <c r="J1282" s="207"/>
      <c r="K1282" s="207"/>
      <c r="L1282" s="207"/>
      <c r="M1282" s="207"/>
      <c r="N1282" s="207"/>
      <c r="O1282" s="206"/>
    </row>
    <row r="1283" spans="3:15" ht="30">
      <c r="C1283" s="206"/>
      <c r="D1283" s="206"/>
      <c r="E1283" s="207"/>
      <c r="F1283" s="207"/>
      <c r="G1283" s="207"/>
      <c r="H1283" s="207"/>
      <c r="I1283" s="207"/>
      <c r="J1283" s="207"/>
      <c r="K1283" s="207"/>
      <c r="L1283" s="207"/>
      <c r="M1283" s="207"/>
      <c r="N1283" s="207"/>
      <c r="O1283" s="206"/>
    </row>
    <row r="1284" spans="3:15" ht="30">
      <c r="C1284" s="206"/>
      <c r="D1284" s="206"/>
      <c r="E1284" s="207"/>
      <c r="F1284" s="207"/>
      <c r="G1284" s="207"/>
      <c r="H1284" s="207"/>
      <c r="I1284" s="207"/>
      <c r="J1284" s="207"/>
      <c r="K1284" s="207"/>
      <c r="L1284" s="207"/>
      <c r="M1284" s="207"/>
      <c r="N1284" s="207"/>
      <c r="O1284" s="206"/>
    </row>
    <row r="1285" spans="3:15" ht="30">
      <c r="C1285" s="206"/>
      <c r="D1285" s="206"/>
      <c r="E1285" s="207"/>
      <c r="F1285" s="207"/>
      <c r="G1285" s="207"/>
      <c r="H1285" s="207"/>
      <c r="I1285" s="207"/>
      <c r="J1285" s="207"/>
      <c r="K1285" s="207"/>
      <c r="L1285" s="207"/>
      <c r="M1285" s="207"/>
      <c r="N1285" s="207"/>
      <c r="O1285" s="206"/>
    </row>
    <row r="1286" spans="3:15" ht="30">
      <c r="C1286" s="206"/>
      <c r="D1286" s="206"/>
      <c r="E1286" s="207"/>
      <c r="F1286" s="207"/>
      <c r="G1286" s="207"/>
      <c r="H1286" s="207"/>
      <c r="I1286" s="207"/>
      <c r="J1286" s="207"/>
      <c r="K1286" s="207"/>
      <c r="L1286" s="207"/>
      <c r="M1286" s="207"/>
      <c r="N1286" s="207"/>
      <c r="O1286" s="206"/>
    </row>
    <row r="1287" spans="3:15" ht="30">
      <c r="C1287" s="206"/>
      <c r="D1287" s="206"/>
      <c r="E1287" s="207"/>
      <c r="F1287" s="207"/>
      <c r="G1287" s="207"/>
      <c r="H1287" s="207"/>
      <c r="I1287" s="207"/>
      <c r="J1287" s="207"/>
      <c r="K1287" s="207"/>
      <c r="L1287" s="207"/>
      <c r="M1287" s="207"/>
      <c r="N1287" s="207"/>
      <c r="O1287" s="206"/>
    </row>
    <row r="1288" spans="3:15" ht="30">
      <c r="C1288" s="206"/>
      <c r="D1288" s="206"/>
      <c r="E1288" s="207"/>
      <c r="F1288" s="207"/>
      <c r="G1288" s="207"/>
      <c r="H1288" s="207"/>
      <c r="I1288" s="207"/>
      <c r="J1288" s="207"/>
      <c r="K1288" s="207"/>
      <c r="L1288" s="207"/>
      <c r="M1288" s="207"/>
      <c r="N1288" s="207"/>
      <c r="O1288" s="206"/>
    </row>
    <row r="1289" spans="3:15" ht="30">
      <c r="C1289" s="206"/>
      <c r="D1289" s="206"/>
      <c r="E1289" s="207"/>
      <c r="F1289" s="207"/>
      <c r="G1289" s="207"/>
      <c r="H1289" s="207"/>
      <c r="I1289" s="207"/>
      <c r="J1289" s="207"/>
      <c r="K1289" s="207"/>
      <c r="L1289" s="207"/>
      <c r="M1289" s="207"/>
      <c r="N1289" s="207"/>
      <c r="O1289" s="206"/>
    </row>
    <row r="1290" spans="3:15" ht="30">
      <c r="C1290" s="206"/>
      <c r="D1290" s="206"/>
      <c r="E1290" s="207"/>
      <c r="F1290" s="207"/>
      <c r="G1290" s="207"/>
      <c r="H1290" s="207"/>
      <c r="I1290" s="207"/>
      <c r="J1290" s="207"/>
      <c r="K1290" s="207"/>
      <c r="L1290" s="207"/>
      <c r="M1290" s="207"/>
      <c r="N1290" s="207"/>
      <c r="O1290" s="206"/>
    </row>
    <row r="1291" spans="3:15" ht="30">
      <c r="C1291" s="206"/>
      <c r="D1291" s="206"/>
      <c r="E1291" s="207"/>
      <c r="F1291" s="207"/>
      <c r="G1291" s="207"/>
      <c r="H1291" s="207"/>
      <c r="I1291" s="207"/>
      <c r="J1291" s="207"/>
      <c r="K1291" s="207"/>
      <c r="L1291" s="207"/>
      <c r="M1291" s="207"/>
      <c r="N1291" s="207"/>
      <c r="O1291" s="206"/>
    </row>
    <row r="1292" spans="3:15" ht="30">
      <c r="C1292" s="206"/>
      <c r="D1292" s="206"/>
      <c r="E1292" s="207"/>
      <c r="F1292" s="207"/>
      <c r="G1292" s="207"/>
      <c r="H1292" s="207"/>
      <c r="I1292" s="207"/>
      <c r="J1292" s="207"/>
      <c r="K1292" s="207"/>
      <c r="L1292" s="207"/>
      <c r="M1292" s="207"/>
      <c r="N1292" s="207"/>
      <c r="O1292" s="206"/>
    </row>
    <row r="1293" spans="3:15" ht="30">
      <c r="C1293" s="206"/>
      <c r="D1293" s="206"/>
      <c r="E1293" s="207"/>
      <c r="F1293" s="207"/>
      <c r="G1293" s="207"/>
      <c r="H1293" s="207"/>
      <c r="I1293" s="207"/>
      <c r="J1293" s="207"/>
      <c r="K1293" s="207"/>
      <c r="L1293" s="207"/>
      <c r="M1293" s="207"/>
      <c r="N1293" s="207"/>
      <c r="O1293" s="206"/>
    </row>
    <row r="1294" spans="3:15" ht="30">
      <c r="C1294" s="206"/>
      <c r="D1294" s="206"/>
      <c r="E1294" s="207"/>
      <c r="F1294" s="207"/>
      <c r="G1294" s="207"/>
      <c r="H1294" s="207"/>
      <c r="I1294" s="207"/>
      <c r="J1294" s="207"/>
      <c r="K1294" s="207"/>
      <c r="L1294" s="207"/>
      <c r="M1294" s="207"/>
      <c r="N1294" s="207"/>
      <c r="O1294" s="206"/>
    </row>
    <row r="1295" spans="3:15" ht="30">
      <c r="C1295" s="206"/>
      <c r="D1295" s="206"/>
      <c r="E1295" s="207"/>
      <c r="F1295" s="207"/>
      <c r="G1295" s="207"/>
      <c r="H1295" s="207"/>
      <c r="I1295" s="207"/>
      <c r="J1295" s="207"/>
      <c r="K1295" s="207"/>
      <c r="L1295" s="207"/>
      <c r="M1295" s="207"/>
      <c r="N1295" s="207"/>
      <c r="O1295" s="206"/>
    </row>
    <row r="1296" spans="3:15" ht="30">
      <c r="C1296" s="206"/>
      <c r="D1296" s="206"/>
      <c r="E1296" s="207"/>
      <c r="F1296" s="207"/>
      <c r="G1296" s="207"/>
      <c r="H1296" s="207"/>
      <c r="I1296" s="207"/>
      <c r="J1296" s="207"/>
      <c r="K1296" s="207"/>
      <c r="L1296" s="207"/>
      <c r="M1296" s="207"/>
      <c r="N1296" s="207"/>
      <c r="O1296" s="206"/>
    </row>
    <row r="1297" spans="3:15" ht="30">
      <c r="C1297" s="206"/>
      <c r="D1297" s="206"/>
      <c r="E1297" s="207"/>
      <c r="F1297" s="207"/>
      <c r="G1297" s="207"/>
      <c r="H1297" s="207"/>
      <c r="I1297" s="207"/>
      <c r="J1297" s="207"/>
      <c r="K1297" s="207"/>
      <c r="L1297" s="207"/>
      <c r="M1297" s="207"/>
      <c r="N1297" s="207"/>
      <c r="O1297" s="206"/>
    </row>
    <row r="1298" spans="3:15" ht="30">
      <c r="C1298" s="206"/>
      <c r="D1298" s="206"/>
      <c r="E1298" s="207"/>
      <c r="F1298" s="207"/>
      <c r="G1298" s="207"/>
      <c r="H1298" s="207"/>
      <c r="I1298" s="207"/>
      <c r="J1298" s="207"/>
      <c r="K1298" s="207"/>
      <c r="L1298" s="207"/>
      <c r="M1298" s="207"/>
      <c r="N1298" s="207"/>
      <c r="O1298" s="206"/>
    </row>
    <row r="1299" spans="3:15" ht="30">
      <c r="C1299" s="206"/>
      <c r="D1299" s="206"/>
      <c r="E1299" s="207"/>
      <c r="F1299" s="207"/>
      <c r="G1299" s="207"/>
      <c r="H1299" s="207"/>
      <c r="I1299" s="207"/>
      <c r="J1299" s="207"/>
      <c r="K1299" s="207"/>
      <c r="L1299" s="207"/>
      <c r="M1299" s="207"/>
      <c r="N1299" s="207"/>
      <c r="O1299" s="206"/>
    </row>
    <row r="1300" spans="3:15" ht="30">
      <c r="C1300" s="206"/>
      <c r="D1300" s="206"/>
      <c r="E1300" s="207"/>
      <c r="F1300" s="207"/>
      <c r="G1300" s="207"/>
      <c r="H1300" s="207"/>
      <c r="I1300" s="207"/>
      <c r="J1300" s="207"/>
      <c r="K1300" s="207"/>
      <c r="L1300" s="207"/>
      <c r="M1300" s="207"/>
      <c r="N1300" s="207"/>
      <c r="O1300" s="206"/>
    </row>
    <row r="1301" spans="3:15" ht="30">
      <c r="C1301" s="206"/>
      <c r="D1301" s="206"/>
      <c r="E1301" s="207"/>
      <c r="F1301" s="207"/>
      <c r="G1301" s="207"/>
      <c r="H1301" s="207"/>
      <c r="I1301" s="207"/>
      <c r="J1301" s="207"/>
      <c r="K1301" s="207"/>
      <c r="L1301" s="207"/>
      <c r="M1301" s="207"/>
      <c r="N1301" s="207"/>
      <c r="O1301" s="206"/>
    </row>
    <row r="1302" spans="3:15" ht="30">
      <c r="C1302" s="206"/>
      <c r="D1302" s="206"/>
      <c r="E1302" s="207"/>
      <c r="F1302" s="207"/>
      <c r="G1302" s="207"/>
      <c r="H1302" s="207"/>
      <c r="I1302" s="207"/>
      <c r="J1302" s="207"/>
      <c r="K1302" s="207"/>
      <c r="L1302" s="207"/>
      <c r="M1302" s="207"/>
      <c r="N1302" s="207"/>
      <c r="O1302" s="206"/>
    </row>
    <row r="1303" spans="3:15" ht="30">
      <c r="C1303" s="206"/>
      <c r="D1303" s="206"/>
      <c r="E1303" s="207"/>
      <c r="F1303" s="207"/>
      <c r="G1303" s="207"/>
      <c r="H1303" s="207"/>
      <c r="I1303" s="207"/>
      <c r="J1303" s="207"/>
      <c r="K1303" s="207"/>
      <c r="L1303" s="207"/>
      <c r="M1303" s="207"/>
      <c r="N1303" s="207"/>
      <c r="O1303" s="206"/>
    </row>
    <row r="1304" spans="3:15" ht="30">
      <c r="C1304" s="206"/>
      <c r="D1304" s="206"/>
      <c r="E1304" s="207"/>
      <c r="F1304" s="207"/>
      <c r="G1304" s="207"/>
      <c r="H1304" s="207"/>
      <c r="I1304" s="207"/>
      <c r="J1304" s="207"/>
      <c r="K1304" s="207"/>
      <c r="L1304" s="207"/>
      <c r="M1304" s="207"/>
      <c r="N1304" s="207"/>
      <c r="O1304" s="206"/>
    </row>
    <row r="1305" spans="3:15" ht="30">
      <c r="C1305" s="206"/>
      <c r="D1305" s="206"/>
      <c r="E1305" s="207"/>
      <c r="F1305" s="207"/>
      <c r="G1305" s="207"/>
      <c r="H1305" s="207"/>
      <c r="I1305" s="207"/>
      <c r="J1305" s="207"/>
      <c r="K1305" s="207"/>
      <c r="L1305" s="207"/>
      <c r="M1305" s="207"/>
      <c r="N1305" s="207"/>
      <c r="O1305" s="206"/>
    </row>
    <row r="1306" spans="3:15" ht="30">
      <c r="C1306" s="206"/>
      <c r="D1306" s="206"/>
      <c r="E1306" s="207"/>
      <c r="F1306" s="207"/>
      <c r="G1306" s="207"/>
      <c r="H1306" s="207"/>
      <c r="I1306" s="207"/>
      <c r="J1306" s="207"/>
      <c r="K1306" s="207"/>
      <c r="L1306" s="207"/>
      <c r="M1306" s="207"/>
      <c r="N1306" s="207"/>
      <c r="O1306" s="206"/>
    </row>
    <row r="1307" spans="3:15" ht="30">
      <c r="C1307" s="206"/>
      <c r="D1307" s="206"/>
      <c r="E1307" s="207"/>
      <c r="F1307" s="207"/>
      <c r="G1307" s="207"/>
      <c r="H1307" s="207"/>
      <c r="I1307" s="207"/>
      <c r="J1307" s="207"/>
      <c r="K1307" s="207"/>
      <c r="L1307" s="207"/>
      <c r="M1307" s="207"/>
      <c r="N1307" s="207"/>
      <c r="O1307" s="206"/>
    </row>
    <row r="1308" spans="3:15" ht="30">
      <c r="C1308" s="206"/>
      <c r="D1308" s="206"/>
      <c r="E1308" s="207"/>
      <c r="F1308" s="207"/>
      <c r="G1308" s="207"/>
      <c r="H1308" s="207"/>
      <c r="I1308" s="207"/>
      <c r="J1308" s="207"/>
      <c r="K1308" s="207"/>
      <c r="L1308" s="207"/>
      <c r="M1308" s="207"/>
      <c r="N1308" s="207"/>
      <c r="O1308" s="206"/>
    </row>
    <row r="1309" spans="3:15" ht="30">
      <c r="C1309" s="206"/>
      <c r="D1309" s="206"/>
      <c r="E1309" s="207"/>
      <c r="F1309" s="207"/>
      <c r="G1309" s="207"/>
      <c r="H1309" s="207"/>
      <c r="I1309" s="207"/>
      <c r="J1309" s="207"/>
      <c r="K1309" s="207"/>
      <c r="L1309" s="207"/>
      <c r="M1309" s="207"/>
      <c r="N1309" s="207"/>
      <c r="O1309" s="206"/>
    </row>
    <row r="1310" spans="3:15" ht="30">
      <c r="C1310" s="206"/>
      <c r="D1310" s="206"/>
      <c r="E1310" s="207"/>
      <c r="F1310" s="207"/>
      <c r="G1310" s="207"/>
      <c r="H1310" s="207"/>
      <c r="I1310" s="207"/>
      <c r="J1310" s="207"/>
      <c r="K1310" s="207"/>
      <c r="L1310" s="207"/>
      <c r="M1310" s="207"/>
      <c r="N1310" s="207"/>
      <c r="O1310" s="206"/>
    </row>
    <row r="1311" spans="3:15" ht="30">
      <c r="C1311" s="206"/>
      <c r="D1311" s="206"/>
      <c r="E1311" s="207"/>
      <c r="F1311" s="207"/>
      <c r="G1311" s="207"/>
      <c r="H1311" s="207"/>
      <c r="I1311" s="207"/>
      <c r="J1311" s="207"/>
      <c r="K1311" s="207"/>
      <c r="L1311" s="207"/>
      <c r="M1311" s="207"/>
      <c r="N1311" s="207"/>
      <c r="O1311" s="206"/>
    </row>
    <row r="1312" spans="3:15" ht="30">
      <c r="C1312" s="206"/>
      <c r="D1312" s="206"/>
      <c r="E1312" s="207"/>
      <c r="F1312" s="207"/>
      <c r="G1312" s="207"/>
      <c r="H1312" s="207"/>
      <c r="I1312" s="207"/>
      <c r="J1312" s="207"/>
      <c r="K1312" s="207"/>
      <c r="L1312" s="207"/>
      <c r="M1312" s="207"/>
      <c r="N1312" s="207"/>
      <c r="O1312" s="206"/>
    </row>
    <row r="1313" spans="3:15" ht="30">
      <c r="C1313" s="206"/>
      <c r="D1313" s="206"/>
      <c r="E1313" s="207"/>
      <c r="F1313" s="207"/>
      <c r="G1313" s="207"/>
      <c r="H1313" s="207"/>
      <c r="I1313" s="207"/>
      <c r="J1313" s="207"/>
      <c r="K1313" s="207"/>
      <c r="L1313" s="207"/>
      <c r="M1313" s="207"/>
      <c r="N1313" s="207"/>
      <c r="O1313" s="206"/>
    </row>
    <row r="1314" spans="3:15" ht="30">
      <c r="C1314" s="206"/>
      <c r="D1314" s="206"/>
      <c r="E1314" s="207"/>
      <c r="F1314" s="207"/>
      <c r="G1314" s="207"/>
      <c r="H1314" s="207"/>
      <c r="I1314" s="207"/>
      <c r="J1314" s="207"/>
      <c r="K1314" s="207"/>
      <c r="L1314" s="207"/>
      <c r="M1314" s="207"/>
      <c r="N1314" s="207"/>
      <c r="O1314" s="206"/>
    </row>
    <row r="1315" spans="3:15" ht="30">
      <c r="C1315" s="206"/>
      <c r="D1315" s="206"/>
      <c r="E1315" s="207"/>
      <c r="F1315" s="207"/>
      <c r="G1315" s="207"/>
      <c r="H1315" s="207"/>
      <c r="I1315" s="207"/>
      <c r="J1315" s="207"/>
      <c r="K1315" s="207"/>
      <c r="L1315" s="207"/>
      <c r="M1315" s="207"/>
      <c r="N1315" s="207"/>
      <c r="O1315" s="206"/>
    </row>
    <row r="1316" spans="3:15" ht="30">
      <c r="C1316" s="206"/>
      <c r="D1316" s="206"/>
      <c r="E1316" s="207"/>
      <c r="F1316" s="207"/>
      <c r="G1316" s="207"/>
      <c r="H1316" s="207"/>
      <c r="I1316" s="207"/>
      <c r="J1316" s="207"/>
      <c r="K1316" s="207"/>
      <c r="L1316" s="207"/>
      <c r="M1316" s="207"/>
      <c r="N1316" s="207"/>
      <c r="O1316" s="206"/>
    </row>
    <row r="1317" spans="3:15" ht="30">
      <c r="C1317" s="206"/>
      <c r="D1317" s="206"/>
      <c r="E1317" s="207"/>
      <c r="F1317" s="207"/>
      <c r="G1317" s="207"/>
      <c r="H1317" s="207"/>
      <c r="I1317" s="207"/>
      <c r="J1317" s="207"/>
      <c r="K1317" s="207"/>
      <c r="L1317" s="207"/>
      <c r="M1317" s="207"/>
      <c r="N1317" s="207"/>
      <c r="O1317" s="206"/>
    </row>
    <row r="1318" spans="3:15" ht="30">
      <c r="C1318" s="206"/>
      <c r="D1318" s="206"/>
      <c r="E1318" s="207"/>
      <c r="F1318" s="207"/>
      <c r="G1318" s="207"/>
      <c r="H1318" s="207"/>
      <c r="I1318" s="207"/>
      <c r="J1318" s="207"/>
      <c r="K1318" s="207"/>
      <c r="L1318" s="207"/>
      <c r="M1318" s="207"/>
      <c r="N1318" s="207"/>
      <c r="O1318" s="206"/>
    </row>
    <row r="1319" spans="3:15" ht="30">
      <c r="C1319" s="206"/>
      <c r="D1319" s="206"/>
      <c r="E1319" s="207"/>
      <c r="F1319" s="207"/>
      <c r="G1319" s="207"/>
      <c r="H1319" s="207"/>
      <c r="I1319" s="207"/>
      <c r="J1319" s="207"/>
      <c r="K1319" s="207"/>
      <c r="L1319" s="207"/>
      <c r="M1319" s="207"/>
      <c r="N1319" s="207"/>
      <c r="O1319" s="206"/>
    </row>
    <row r="1320" spans="3:15" ht="30">
      <c r="C1320" s="206"/>
      <c r="D1320" s="206"/>
      <c r="E1320" s="207"/>
      <c r="F1320" s="207"/>
      <c r="G1320" s="207"/>
      <c r="H1320" s="207"/>
      <c r="I1320" s="207"/>
      <c r="J1320" s="207"/>
      <c r="K1320" s="207"/>
      <c r="L1320" s="207"/>
      <c r="M1320" s="207"/>
      <c r="N1320" s="207"/>
      <c r="O1320" s="206"/>
    </row>
    <row r="1321" spans="3:15" ht="30">
      <c r="C1321" s="206"/>
      <c r="D1321" s="206"/>
      <c r="E1321" s="207"/>
      <c r="F1321" s="207"/>
      <c r="G1321" s="207"/>
      <c r="H1321" s="207"/>
      <c r="I1321" s="207"/>
      <c r="J1321" s="207"/>
      <c r="K1321" s="207"/>
      <c r="L1321" s="207"/>
      <c r="M1321" s="207"/>
      <c r="N1321" s="207"/>
      <c r="O1321" s="206"/>
    </row>
    <row r="1322" spans="3:15" ht="30">
      <c r="C1322" s="206"/>
      <c r="D1322" s="206"/>
      <c r="E1322" s="207"/>
      <c r="F1322" s="207"/>
      <c r="G1322" s="207"/>
      <c r="H1322" s="207"/>
      <c r="I1322" s="207"/>
      <c r="J1322" s="207"/>
      <c r="K1322" s="207"/>
      <c r="L1322" s="207"/>
      <c r="M1322" s="207"/>
      <c r="N1322" s="207"/>
      <c r="O1322" s="206"/>
    </row>
    <row r="1323" spans="3:15" ht="30">
      <c r="C1323" s="206"/>
      <c r="D1323" s="206"/>
      <c r="E1323" s="207"/>
      <c r="F1323" s="207"/>
      <c r="G1323" s="207"/>
      <c r="H1323" s="207"/>
      <c r="I1323" s="207"/>
      <c r="J1323" s="207"/>
      <c r="K1323" s="207"/>
      <c r="L1323" s="207"/>
      <c r="M1323" s="207"/>
      <c r="N1323" s="207"/>
      <c r="O1323" s="206"/>
    </row>
    <row r="1324" spans="3:15" ht="30">
      <c r="C1324" s="206"/>
      <c r="D1324" s="206"/>
      <c r="E1324" s="207"/>
      <c r="F1324" s="207"/>
      <c r="G1324" s="207"/>
      <c r="H1324" s="207"/>
      <c r="I1324" s="207"/>
      <c r="J1324" s="207"/>
      <c r="K1324" s="207"/>
      <c r="L1324" s="207"/>
      <c r="M1324" s="207"/>
      <c r="N1324" s="207"/>
      <c r="O1324" s="206"/>
    </row>
    <row r="1325" spans="3:15" ht="30">
      <c r="C1325" s="206"/>
      <c r="D1325" s="206"/>
      <c r="E1325" s="207"/>
      <c r="F1325" s="207"/>
      <c r="G1325" s="207"/>
      <c r="H1325" s="207"/>
      <c r="I1325" s="207"/>
      <c r="J1325" s="207"/>
      <c r="K1325" s="207"/>
      <c r="L1325" s="207"/>
      <c r="M1325" s="207"/>
      <c r="N1325" s="207"/>
      <c r="O1325" s="206"/>
    </row>
    <row r="1326" spans="3:15" ht="30">
      <c r="C1326" s="206"/>
      <c r="D1326" s="206"/>
      <c r="E1326" s="207"/>
      <c r="F1326" s="207"/>
      <c r="G1326" s="207"/>
      <c r="H1326" s="207"/>
      <c r="I1326" s="207"/>
      <c r="J1326" s="207"/>
      <c r="K1326" s="207"/>
      <c r="L1326" s="207"/>
      <c r="M1326" s="207"/>
      <c r="N1326" s="207"/>
      <c r="O1326" s="206"/>
    </row>
    <row r="1327" spans="3:15" ht="30">
      <c r="C1327" s="206"/>
      <c r="D1327" s="206"/>
      <c r="E1327" s="207"/>
      <c r="F1327" s="207"/>
      <c r="G1327" s="207"/>
      <c r="H1327" s="207"/>
      <c r="I1327" s="207"/>
      <c r="J1327" s="207"/>
      <c r="K1327" s="207"/>
      <c r="L1327" s="207"/>
      <c r="M1327" s="207"/>
      <c r="N1327" s="207"/>
      <c r="O1327" s="206"/>
    </row>
    <row r="1328" spans="3:15" ht="30">
      <c r="C1328" s="206"/>
      <c r="D1328" s="206"/>
      <c r="E1328" s="207"/>
      <c r="F1328" s="207"/>
      <c r="G1328" s="207"/>
      <c r="H1328" s="207"/>
      <c r="I1328" s="207"/>
      <c r="J1328" s="207"/>
      <c r="K1328" s="207"/>
      <c r="L1328" s="207"/>
      <c r="M1328" s="207"/>
      <c r="N1328" s="207"/>
      <c r="O1328" s="206"/>
    </row>
    <row r="1329" spans="3:15" ht="30">
      <c r="C1329" s="206"/>
      <c r="D1329" s="206"/>
      <c r="E1329" s="207"/>
      <c r="F1329" s="207"/>
      <c r="G1329" s="207"/>
      <c r="H1329" s="207"/>
      <c r="I1329" s="207"/>
      <c r="J1329" s="207"/>
      <c r="K1329" s="207"/>
      <c r="L1329" s="207"/>
      <c r="M1329" s="207"/>
      <c r="N1329" s="207"/>
      <c r="O1329" s="206"/>
    </row>
    <row r="1330" spans="3:15" ht="30">
      <c r="C1330" s="206"/>
      <c r="D1330" s="206"/>
      <c r="E1330" s="207"/>
      <c r="F1330" s="207"/>
      <c r="G1330" s="207"/>
      <c r="H1330" s="207"/>
      <c r="I1330" s="207"/>
      <c r="J1330" s="207"/>
      <c r="K1330" s="207"/>
      <c r="L1330" s="207"/>
      <c r="M1330" s="207"/>
      <c r="N1330" s="207"/>
      <c r="O1330" s="206"/>
    </row>
    <row r="1331" spans="3:15" ht="30">
      <c r="C1331" s="206"/>
      <c r="D1331" s="206"/>
      <c r="E1331" s="207"/>
      <c r="F1331" s="207"/>
      <c r="G1331" s="207"/>
      <c r="H1331" s="207"/>
      <c r="I1331" s="207"/>
      <c r="J1331" s="207"/>
      <c r="K1331" s="207"/>
      <c r="L1331" s="207"/>
      <c r="M1331" s="207"/>
      <c r="N1331" s="207"/>
      <c r="O1331" s="206"/>
    </row>
    <row r="1332" spans="3:15" ht="30">
      <c r="C1332" s="206"/>
      <c r="D1332" s="206"/>
      <c r="E1332" s="207"/>
      <c r="F1332" s="207"/>
      <c r="G1332" s="207"/>
      <c r="H1332" s="207"/>
      <c r="I1332" s="207"/>
      <c r="J1332" s="207"/>
      <c r="K1332" s="207"/>
      <c r="L1332" s="207"/>
      <c r="M1332" s="207"/>
      <c r="N1332" s="207"/>
      <c r="O1332" s="206"/>
    </row>
    <row r="1333" spans="3:15" ht="30">
      <c r="C1333" s="206"/>
      <c r="D1333" s="206"/>
      <c r="E1333" s="207"/>
      <c r="F1333" s="207"/>
      <c r="G1333" s="207"/>
      <c r="H1333" s="207"/>
      <c r="I1333" s="207"/>
      <c r="J1333" s="207"/>
      <c r="K1333" s="207"/>
      <c r="L1333" s="207"/>
      <c r="M1333" s="207"/>
      <c r="N1333" s="207"/>
      <c r="O1333" s="206"/>
    </row>
    <row r="1334" spans="3:15" ht="30">
      <c r="C1334" s="206"/>
      <c r="D1334" s="206"/>
      <c r="E1334" s="207"/>
      <c r="F1334" s="207"/>
      <c r="G1334" s="207"/>
      <c r="H1334" s="207"/>
      <c r="I1334" s="207"/>
      <c r="J1334" s="207"/>
      <c r="K1334" s="207"/>
      <c r="L1334" s="207"/>
      <c r="M1334" s="207"/>
      <c r="N1334" s="207"/>
      <c r="O1334" s="206"/>
    </row>
    <row r="1335" spans="3:15" ht="30">
      <c r="C1335" s="206"/>
      <c r="D1335" s="206"/>
      <c r="E1335" s="207"/>
      <c r="F1335" s="207"/>
      <c r="G1335" s="207"/>
      <c r="H1335" s="207"/>
      <c r="I1335" s="207"/>
      <c r="J1335" s="207"/>
      <c r="K1335" s="207"/>
      <c r="L1335" s="207"/>
      <c r="M1335" s="207"/>
      <c r="N1335" s="207"/>
      <c r="O1335" s="206"/>
    </row>
    <row r="1336" spans="3:15" ht="30">
      <c r="C1336" s="206"/>
      <c r="D1336" s="206"/>
      <c r="E1336" s="207"/>
      <c r="F1336" s="207"/>
      <c r="G1336" s="207"/>
      <c r="H1336" s="207"/>
      <c r="I1336" s="207"/>
      <c r="J1336" s="207"/>
      <c r="K1336" s="207"/>
      <c r="L1336" s="207"/>
      <c r="M1336" s="207"/>
      <c r="N1336" s="207"/>
      <c r="O1336" s="206"/>
    </row>
    <row r="1337" spans="3:15" ht="30">
      <c r="C1337" s="206"/>
      <c r="D1337" s="206"/>
      <c r="E1337" s="207"/>
      <c r="F1337" s="207"/>
      <c r="G1337" s="207"/>
      <c r="H1337" s="207"/>
      <c r="I1337" s="207"/>
      <c r="J1337" s="207"/>
      <c r="K1337" s="207"/>
      <c r="L1337" s="207"/>
      <c r="M1337" s="207"/>
      <c r="N1337" s="207"/>
      <c r="O1337" s="206"/>
    </row>
    <row r="1338" spans="3:15" ht="30">
      <c r="C1338" s="206"/>
      <c r="D1338" s="206"/>
      <c r="E1338" s="207"/>
      <c r="F1338" s="207"/>
      <c r="G1338" s="207"/>
      <c r="H1338" s="207"/>
      <c r="I1338" s="207"/>
      <c r="J1338" s="207"/>
      <c r="K1338" s="207"/>
      <c r="L1338" s="207"/>
      <c r="M1338" s="207"/>
      <c r="N1338" s="207"/>
      <c r="O1338" s="206"/>
    </row>
    <row r="1339" spans="3:15" ht="30">
      <c r="C1339" s="206"/>
      <c r="D1339" s="206"/>
      <c r="E1339" s="207"/>
      <c r="F1339" s="207"/>
      <c r="G1339" s="207"/>
      <c r="H1339" s="207"/>
      <c r="I1339" s="207"/>
      <c r="J1339" s="207"/>
      <c r="K1339" s="207"/>
      <c r="L1339" s="207"/>
      <c r="M1339" s="207"/>
      <c r="N1339" s="207"/>
      <c r="O1339" s="206"/>
    </row>
    <row r="1340" spans="3:15" ht="30">
      <c r="C1340" s="206"/>
      <c r="D1340" s="206"/>
      <c r="E1340" s="207"/>
      <c r="F1340" s="207"/>
      <c r="G1340" s="207"/>
      <c r="H1340" s="207"/>
      <c r="I1340" s="207"/>
      <c r="J1340" s="207"/>
      <c r="K1340" s="207"/>
      <c r="L1340" s="207"/>
      <c r="M1340" s="207"/>
      <c r="N1340" s="207"/>
      <c r="O1340" s="206"/>
    </row>
    <row r="1341" spans="3:15" ht="30">
      <c r="C1341" s="206"/>
      <c r="D1341" s="206"/>
      <c r="E1341" s="207"/>
      <c r="F1341" s="207"/>
      <c r="G1341" s="207"/>
      <c r="H1341" s="207"/>
      <c r="I1341" s="207"/>
      <c r="J1341" s="207"/>
      <c r="K1341" s="207"/>
      <c r="L1341" s="207"/>
      <c r="M1341" s="207"/>
      <c r="N1341" s="207"/>
      <c r="O1341" s="206"/>
    </row>
    <row r="1342" spans="3:15" ht="30">
      <c r="C1342" s="206"/>
      <c r="D1342" s="206"/>
      <c r="E1342" s="207"/>
      <c r="F1342" s="207"/>
      <c r="G1342" s="207"/>
      <c r="H1342" s="207"/>
      <c r="I1342" s="207"/>
      <c r="J1342" s="207"/>
      <c r="K1342" s="207"/>
      <c r="L1342" s="207"/>
      <c r="M1342" s="207"/>
      <c r="N1342" s="207"/>
      <c r="O1342" s="206"/>
    </row>
    <row r="1343" spans="3:15" ht="30">
      <c r="C1343" s="206"/>
      <c r="D1343" s="206"/>
      <c r="E1343" s="207"/>
      <c r="F1343" s="207"/>
      <c r="G1343" s="207"/>
      <c r="H1343" s="207"/>
      <c r="I1343" s="207"/>
      <c r="J1343" s="207"/>
      <c r="K1343" s="207"/>
      <c r="L1343" s="207"/>
      <c r="M1343" s="207"/>
      <c r="N1343" s="207"/>
      <c r="O1343" s="206"/>
    </row>
    <row r="1344" spans="3:15" ht="30">
      <c r="C1344" s="206"/>
      <c r="D1344" s="206"/>
      <c r="E1344" s="207"/>
      <c r="F1344" s="207"/>
      <c r="G1344" s="207"/>
      <c r="H1344" s="207"/>
      <c r="I1344" s="207"/>
      <c r="J1344" s="207"/>
      <c r="K1344" s="207"/>
      <c r="L1344" s="207"/>
      <c r="M1344" s="207"/>
      <c r="N1344" s="207"/>
      <c r="O1344" s="206"/>
    </row>
    <row r="1345" spans="3:15" ht="30">
      <c r="C1345" s="206"/>
      <c r="D1345" s="206"/>
      <c r="E1345" s="207"/>
      <c r="F1345" s="207"/>
      <c r="G1345" s="207"/>
      <c r="H1345" s="207"/>
      <c r="I1345" s="207"/>
      <c r="J1345" s="207"/>
      <c r="K1345" s="207"/>
      <c r="L1345" s="207"/>
      <c r="M1345" s="207"/>
      <c r="N1345" s="207"/>
      <c r="O1345" s="206"/>
    </row>
    <row r="1346" spans="3:15" ht="30">
      <c r="C1346" s="206"/>
      <c r="D1346" s="206"/>
      <c r="E1346" s="207"/>
      <c r="F1346" s="207"/>
      <c r="G1346" s="207"/>
      <c r="H1346" s="207"/>
      <c r="I1346" s="207"/>
      <c r="J1346" s="207"/>
      <c r="K1346" s="207"/>
      <c r="L1346" s="207"/>
      <c r="M1346" s="207"/>
      <c r="N1346" s="207"/>
      <c r="O1346" s="206"/>
    </row>
    <row r="1347" spans="3:15" ht="30">
      <c r="C1347" s="206"/>
      <c r="D1347" s="206"/>
      <c r="E1347" s="207"/>
      <c r="F1347" s="207"/>
      <c r="G1347" s="207"/>
      <c r="H1347" s="207"/>
      <c r="I1347" s="207"/>
      <c r="J1347" s="207"/>
      <c r="K1347" s="207"/>
      <c r="L1347" s="207"/>
      <c r="M1347" s="207"/>
      <c r="N1347" s="207"/>
      <c r="O1347" s="206"/>
    </row>
    <row r="1348" spans="3:15" ht="30">
      <c r="C1348" s="206"/>
      <c r="D1348" s="206"/>
      <c r="E1348" s="207"/>
      <c r="F1348" s="207"/>
      <c r="G1348" s="207"/>
      <c r="H1348" s="207"/>
      <c r="I1348" s="207"/>
      <c r="J1348" s="207"/>
      <c r="K1348" s="207"/>
      <c r="L1348" s="207"/>
      <c r="M1348" s="207"/>
      <c r="N1348" s="207"/>
      <c r="O1348" s="206"/>
    </row>
    <row r="1349" spans="3:15" ht="30">
      <c r="C1349" s="206"/>
      <c r="D1349" s="206"/>
      <c r="E1349" s="207"/>
      <c r="F1349" s="207"/>
      <c r="G1349" s="207"/>
      <c r="H1349" s="207"/>
      <c r="I1349" s="207"/>
      <c r="J1349" s="207"/>
      <c r="K1349" s="207"/>
      <c r="L1349" s="207"/>
      <c r="M1349" s="207"/>
      <c r="N1349" s="207"/>
      <c r="O1349" s="206"/>
    </row>
    <row r="1350" spans="3:15" ht="30">
      <c r="C1350" s="206"/>
      <c r="D1350" s="206"/>
      <c r="E1350" s="207"/>
      <c r="F1350" s="207"/>
      <c r="G1350" s="207"/>
      <c r="H1350" s="207"/>
      <c r="I1350" s="207"/>
      <c r="J1350" s="207"/>
      <c r="K1350" s="207"/>
      <c r="L1350" s="207"/>
      <c r="M1350" s="207"/>
      <c r="N1350" s="207"/>
      <c r="O1350" s="206"/>
    </row>
    <row r="1351" spans="3:15" ht="30">
      <c r="C1351" s="206"/>
      <c r="D1351" s="206"/>
      <c r="E1351" s="207"/>
      <c r="F1351" s="207"/>
      <c r="G1351" s="207"/>
      <c r="H1351" s="207"/>
      <c r="I1351" s="207"/>
      <c r="J1351" s="207"/>
      <c r="K1351" s="207"/>
      <c r="L1351" s="207"/>
      <c r="M1351" s="207"/>
      <c r="N1351" s="207"/>
      <c r="O1351" s="206"/>
    </row>
    <row r="1352" spans="3:15" ht="30">
      <c r="C1352" s="206"/>
      <c r="D1352" s="206"/>
      <c r="E1352" s="207"/>
      <c r="F1352" s="207"/>
      <c r="G1352" s="207"/>
      <c r="H1352" s="207"/>
      <c r="I1352" s="207"/>
      <c r="J1352" s="207"/>
      <c r="K1352" s="207"/>
      <c r="L1352" s="207"/>
      <c r="M1352" s="207"/>
      <c r="N1352" s="207"/>
      <c r="O1352" s="206"/>
    </row>
    <row r="1353" spans="3:15" ht="30">
      <c r="C1353" s="206"/>
      <c r="D1353" s="206"/>
      <c r="E1353" s="207"/>
      <c r="F1353" s="207"/>
      <c r="G1353" s="207"/>
      <c r="H1353" s="207"/>
      <c r="I1353" s="207"/>
      <c r="J1353" s="207"/>
      <c r="K1353" s="207"/>
      <c r="L1353" s="207"/>
      <c r="M1353" s="207"/>
      <c r="N1353" s="207"/>
      <c r="O1353" s="206"/>
    </row>
    <row r="1354" spans="3:15" ht="30">
      <c r="C1354" s="206"/>
      <c r="D1354" s="206"/>
      <c r="E1354" s="207"/>
      <c r="F1354" s="207"/>
      <c r="G1354" s="207"/>
      <c r="H1354" s="207"/>
      <c r="I1354" s="207"/>
      <c r="J1354" s="207"/>
      <c r="K1354" s="207"/>
      <c r="L1354" s="207"/>
      <c r="M1354" s="207"/>
      <c r="N1354" s="207"/>
      <c r="O1354" s="206"/>
    </row>
    <row r="1355" spans="3:15" ht="30">
      <c r="C1355" s="206"/>
      <c r="D1355" s="206"/>
      <c r="E1355" s="207"/>
      <c r="F1355" s="207"/>
      <c r="G1355" s="207"/>
      <c r="H1355" s="207"/>
      <c r="I1355" s="207"/>
      <c r="J1355" s="207"/>
      <c r="K1355" s="207"/>
      <c r="L1355" s="207"/>
      <c r="M1355" s="207"/>
      <c r="N1355" s="207"/>
      <c r="O1355" s="206"/>
    </row>
    <row r="1356" spans="3:15" ht="30">
      <c r="C1356" s="206"/>
      <c r="D1356" s="206"/>
      <c r="E1356" s="207"/>
      <c r="F1356" s="207"/>
      <c r="G1356" s="207"/>
      <c r="H1356" s="207"/>
      <c r="I1356" s="207"/>
      <c r="J1356" s="207"/>
      <c r="K1356" s="207"/>
      <c r="L1356" s="207"/>
      <c r="M1356" s="207"/>
      <c r="N1356" s="207"/>
      <c r="O1356" s="206"/>
    </row>
    <row r="1357" spans="3:15" ht="30">
      <c r="C1357" s="206"/>
      <c r="D1357" s="206"/>
      <c r="E1357" s="207"/>
      <c r="F1357" s="207"/>
      <c r="G1357" s="207"/>
      <c r="H1357" s="207"/>
      <c r="I1357" s="207"/>
      <c r="J1357" s="207"/>
      <c r="K1357" s="207"/>
      <c r="L1357" s="207"/>
      <c r="M1357" s="207"/>
      <c r="N1357" s="207"/>
      <c r="O1357" s="206"/>
    </row>
    <row r="1358" spans="3:15" ht="30">
      <c r="C1358" s="206"/>
      <c r="D1358" s="206"/>
      <c r="E1358" s="207"/>
      <c r="F1358" s="207"/>
      <c r="G1358" s="207"/>
      <c r="H1358" s="207"/>
      <c r="I1358" s="207"/>
      <c r="J1358" s="207"/>
      <c r="K1358" s="207"/>
      <c r="L1358" s="207"/>
      <c r="M1358" s="207"/>
      <c r="N1358" s="207"/>
      <c r="O1358" s="206"/>
    </row>
    <row r="1359" spans="3:15" ht="30">
      <c r="C1359" s="206"/>
      <c r="D1359" s="206"/>
      <c r="E1359" s="207"/>
      <c r="F1359" s="207"/>
      <c r="G1359" s="207"/>
      <c r="H1359" s="207"/>
      <c r="I1359" s="207"/>
      <c r="J1359" s="207"/>
      <c r="K1359" s="207"/>
      <c r="L1359" s="207"/>
      <c r="M1359" s="207"/>
      <c r="N1359" s="207"/>
      <c r="O1359" s="206"/>
    </row>
    <row r="1360" spans="3:15" ht="30">
      <c r="C1360" s="206"/>
      <c r="D1360" s="206"/>
      <c r="E1360" s="207"/>
      <c r="F1360" s="207"/>
      <c r="G1360" s="207"/>
      <c r="H1360" s="207"/>
      <c r="I1360" s="207"/>
      <c r="J1360" s="207"/>
      <c r="K1360" s="207"/>
      <c r="L1360" s="207"/>
      <c r="M1360" s="207"/>
      <c r="N1360" s="207"/>
      <c r="O1360" s="206"/>
    </row>
    <row r="1361" spans="3:15" ht="30">
      <c r="C1361" s="206"/>
      <c r="D1361" s="206"/>
      <c r="E1361" s="207"/>
      <c r="F1361" s="207"/>
      <c r="G1361" s="207"/>
      <c r="H1361" s="207"/>
      <c r="I1361" s="207"/>
      <c r="J1361" s="207"/>
      <c r="K1361" s="207"/>
      <c r="L1361" s="207"/>
      <c r="M1361" s="207"/>
      <c r="N1361" s="207"/>
      <c r="O1361" s="206"/>
    </row>
    <row r="1362" spans="3:15" ht="30">
      <c r="C1362" s="206"/>
      <c r="D1362" s="206"/>
      <c r="E1362" s="207"/>
      <c r="F1362" s="207"/>
      <c r="G1362" s="207"/>
      <c r="H1362" s="207"/>
      <c r="I1362" s="207"/>
      <c r="J1362" s="207"/>
      <c r="K1362" s="207"/>
      <c r="L1362" s="207"/>
      <c r="M1362" s="207"/>
      <c r="N1362" s="207"/>
      <c r="O1362" s="206"/>
    </row>
    <row r="1363" spans="3:15" ht="30">
      <c r="C1363" s="206"/>
      <c r="D1363" s="206"/>
      <c r="E1363" s="207"/>
      <c r="F1363" s="207"/>
      <c r="G1363" s="207"/>
      <c r="H1363" s="207"/>
      <c r="I1363" s="207"/>
      <c r="J1363" s="207"/>
      <c r="K1363" s="207"/>
      <c r="L1363" s="207"/>
      <c r="M1363" s="207"/>
      <c r="N1363" s="207"/>
      <c r="O1363" s="206"/>
    </row>
    <row r="1364" spans="3:15" ht="30">
      <c r="C1364" s="206"/>
      <c r="D1364" s="206"/>
      <c r="E1364" s="207"/>
      <c r="F1364" s="207"/>
      <c r="G1364" s="207"/>
      <c r="H1364" s="207"/>
      <c r="I1364" s="207"/>
      <c r="J1364" s="207"/>
      <c r="K1364" s="207"/>
      <c r="L1364" s="207"/>
      <c r="M1364" s="207"/>
      <c r="N1364" s="207"/>
      <c r="O1364" s="206"/>
    </row>
    <row r="1365" spans="3:15" ht="30">
      <c r="C1365" s="206"/>
      <c r="D1365" s="206"/>
      <c r="E1365" s="207"/>
      <c r="F1365" s="207"/>
      <c r="G1365" s="207"/>
      <c r="H1365" s="207"/>
      <c r="I1365" s="207"/>
      <c r="J1365" s="207"/>
      <c r="K1365" s="207"/>
      <c r="L1365" s="207"/>
      <c r="M1365" s="207"/>
      <c r="N1365" s="207"/>
      <c r="O1365" s="206"/>
    </row>
    <row r="1366" spans="3:15" ht="30">
      <c r="C1366" s="206"/>
      <c r="D1366" s="206"/>
      <c r="E1366" s="207"/>
      <c r="F1366" s="207"/>
      <c r="G1366" s="207"/>
      <c r="H1366" s="207"/>
      <c r="I1366" s="207"/>
      <c r="J1366" s="207"/>
      <c r="K1366" s="207"/>
      <c r="L1366" s="207"/>
      <c r="M1366" s="207"/>
      <c r="N1366" s="207"/>
      <c r="O1366" s="206"/>
    </row>
    <row r="1367" spans="3:15" ht="30">
      <c r="C1367" s="206"/>
      <c r="D1367" s="206"/>
      <c r="E1367" s="207"/>
      <c r="F1367" s="207"/>
      <c r="G1367" s="207"/>
      <c r="H1367" s="207"/>
      <c r="I1367" s="207"/>
      <c r="J1367" s="207"/>
      <c r="K1367" s="207"/>
      <c r="L1367" s="207"/>
      <c r="M1367" s="207"/>
      <c r="N1367" s="207"/>
      <c r="O1367" s="206"/>
    </row>
    <row r="1368" spans="3:15" ht="30">
      <c r="C1368" s="206"/>
      <c r="D1368" s="206"/>
      <c r="E1368" s="207"/>
      <c r="F1368" s="207"/>
      <c r="G1368" s="207"/>
      <c r="H1368" s="207"/>
      <c r="I1368" s="207"/>
      <c r="J1368" s="207"/>
      <c r="K1368" s="207"/>
      <c r="L1368" s="207"/>
      <c r="M1368" s="207"/>
      <c r="N1368" s="207"/>
      <c r="O1368" s="206"/>
    </row>
    <row r="1369" spans="3:15" ht="30">
      <c r="C1369" s="206"/>
      <c r="D1369" s="206"/>
      <c r="E1369" s="207"/>
      <c r="F1369" s="207"/>
      <c r="G1369" s="207"/>
      <c r="H1369" s="207"/>
      <c r="I1369" s="207"/>
      <c r="J1369" s="207"/>
      <c r="K1369" s="207"/>
      <c r="L1369" s="207"/>
      <c r="M1369" s="207"/>
      <c r="N1369" s="207"/>
      <c r="O1369" s="206"/>
    </row>
    <row r="1370" spans="3:15" ht="30">
      <c r="C1370" s="206"/>
      <c r="D1370" s="206"/>
      <c r="E1370" s="207"/>
      <c r="F1370" s="207"/>
      <c r="G1370" s="207"/>
      <c r="H1370" s="207"/>
      <c r="I1370" s="207"/>
      <c r="J1370" s="207"/>
      <c r="K1370" s="207"/>
      <c r="L1370" s="207"/>
      <c r="M1370" s="207"/>
      <c r="N1370" s="207"/>
      <c r="O1370" s="206"/>
    </row>
    <row r="1371" spans="3:15" ht="30">
      <c r="C1371" s="206"/>
      <c r="D1371" s="206"/>
      <c r="E1371" s="207"/>
      <c r="F1371" s="207"/>
      <c r="G1371" s="207"/>
      <c r="H1371" s="207"/>
      <c r="I1371" s="207"/>
      <c r="J1371" s="207"/>
      <c r="K1371" s="207"/>
      <c r="L1371" s="207"/>
      <c r="M1371" s="207"/>
      <c r="N1371" s="207"/>
      <c r="O1371" s="206"/>
    </row>
    <row r="1372" spans="3:15" ht="30">
      <c r="C1372" s="206"/>
      <c r="D1372" s="206"/>
      <c r="E1372" s="207"/>
      <c r="F1372" s="207"/>
      <c r="G1372" s="207"/>
      <c r="H1372" s="207"/>
      <c r="I1372" s="207"/>
      <c r="J1372" s="207"/>
      <c r="K1372" s="207"/>
      <c r="L1372" s="207"/>
      <c r="M1372" s="207"/>
      <c r="N1372" s="207"/>
      <c r="O1372" s="206"/>
    </row>
    <row r="1373" spans="3:15" ht="30">
      <c r="C1373" s="206"/>
      <c r="D1373" s="206"/>
      <c r="E1373" s="207"/>
      <c r="F1373" s="207"/>
      <c r="G1373" s="207"/>
      <c r="H1373" s="207"/>
      <c r="I1373" s="207"/>
      <c r="J1373" s="207"/>
      <c r="K1373" s="207"/>
      <c r="L1373" s="207"/>
      <c r="M1373" s="207"/>
      <c r="N1373" s="207"/>
      <c r="O1373" s="206"/>
    </row>
    <row r="1374" spans="3:15" ht="30">
      <c r="C1374" s="206"/>
      <c r="D1374" s="206"/>
      <c r="E1374" s="207"/>
      <c r="F1374" s="207"/>
      <c r="G1374" s="207"/>
      <c r="H1374" s="207"/>
      <c r="I1374" s="207"/>
      <c r="J1374" s="207"/>
      <c r="K1374" s="207"/>
      <c r="L1374" s="207"/>
      <c r="M1374" s="207"/>
      <c r="N1374" s="207"/>
      <c r="O1374" s="206"/>
    </row>
    <row r="1375" spans="3:15" ht="30">
      <c r="C1375" s="206"/>
      <c r="D1375" s="206"/>
      <c r="E1375" s="207"/>
      <c r="F1375" s="207"/>
      <c r="G1375" s="207"/>
      <c r="H1375" s="207"/>
      <c r="I1375" s="207"/>
      <c r="J1375" s="207"/>
      <c r="K1375" s="207"/>
      <c r="L1375" s="207"/>
      <c r="M1375" s="207"/>
      <c r="N1375" s="207"/>
      <c r="O1375" s="206"/>
    </row>
    <row r="1376" spans="3:15" ht="30">
      <c r="C1376" s="206"/>
      <c r="D1376" s="206"/>
      <c r="E1376" s="207"/>
      <c r="F1376" s="207"/>
      <c r="G1376" s="207"/>
      <c r="H1376" s="207"/>
      <c r="I1376" s="207"/>
      <c r="J1376" s="207"/>
      <c r="K1376" s="207"/>
      <c r="L1376" s="207"/>
      <c r="M1376" s="207"/>
      <c r="N1376" s="207"/>
      <c r="O1376" s="206"/>
    </row>
    <row r="1377" spans="3:15" ht="30">
      <c r="C1377" s="206"/>
      <c r="D1377" s="206"/>
      <c r="E1377" s="207"/>
      <c r="F1377" s="207"/>
      <c r="G1377" s="207"/>
      <c r="H1377" s="207"/>
      <c r="I1377" s="207"/>
      <c r="J1377" s="207"/>
      <c r="K1377" s="207"/>
      <c r="L1377" s="207"/>
      <c r="M1377" s="207"/>
      <c r="N1377" s="207"/>
      <c r="O1377" s="206"/>
    </row>
    <row r="1378" spans="3:15" ht="30">
      <c r="C1378" s="206"/>
      <c r="D1378" s="206"/>
      <c r="E1378" s="207"/>
      <c r="F1378" s="207"/>
      <c r="G1378" s="207"/>
      <c r="H1378" s="207"/>
      <c r="I1378" s="207"/>
      <c r="J1378" s="207"/>
      <c r="K1378" s="207"/>
      <c r="L1378" s="207"/>
      <c r="M1378" s="207"/>
      <c r="N1378" s="207"/>
      <c r="O1378" s="206"/>
    </row>
    <row r="1379" spans="3:15" ht="30">
      <c r="C1379" s="206"/>
      <c r="D1379" s="206"/>
      <c r="E1379" s="207"/>
      <c r="F1379" s="207"/>
      <c r="G1379" s="207"/>
      <c r="H1379" s="207"/>
      <c r="I1379" s="207"/>
      <c r="J1379" s="207"/>
      <c r="K1379" s="207"/>
      <c r="L1379" s="207"/>
      <c r="M1379" s="207"/>
      <c r="N1379" s="207"/>
      <c r="O1379" s="206"/>
    </row>
    <row r="1380" spans="3:15" ht="30">
      <c r="C1380" s="206"/>
      <c r="D1380" s="206"/>
      <c r="E1380" s="207"/>
      <c r="F1380" s="207"/>
      <c r="G1380" s="207"/>
      <c r="H1380" s="207"/>
      <c r="I1380" s="207"/>
      <c r="J1380" s="207"/>
      <c r="K1380" s="207"/>
      <c r="L1380" s="207"/>
      <c r="M1380" s="207"/>
      <c r="N1380" s="207"/>
      <c r="O1380" s="206"/>
    </row>
    <row r="1381" spans="3:15" ht="30">
      <c r="C1381" s="206"/>
      <c r="D1381" s="206"/>
      <c r="E1381" s="207"/>
      <c r="F1381" s="207"/>
      <c r="G1381" s="207"/>
      <c r="H1381" s="207"/>
      <c r="I1381" s="207"/>
      <c r="J1381" s="207"/>
      <c r="K1381" s="207"/>
      <c r="L1381" s="207"/>
      <c r="M1381" s="207"/>
      <c r="N1381" s="207"/>
      <c r="O1381" s="206"/>
    </row>
    <row r="1382" spans="3:15" ht="30">
      <c r="C1382" s="206"/>
      <c r="D1382" s="206"/>
      <c r="E1382" s="207"/>
      <c r="F1382" s="207"/>
      <c r="G1382" s="207"/>
      <c r="H1382" s="207"/>
      <c r="I1382" s="207"/>
      <c r="J1382" s="207"/>
      <c r="K1382" s="207"/>
      <c r="L1382" s="207"/>
      <c r="M1382" s="207"/>
      <c r="N1382" s="207"/>
      <c r="O1382" s="206"/>
    </row>
    <row r="1383" spans="3:15" ht="30">
      <c r="C1383" s="206"/>
      <c r="D1383" s="206"/>
      <c r="E1383" s="207"/>
      <c r="F1383" s="207"/>
      <c r="G1383" s="207"/>
      <c r="H1383" s="207"/>
      <c r="I1383" s="207"/>
      <c r="J1383" s="207"/>
      <c r="K1383" s="207"/>
      <c r="L1383" s="207"/>
      <c r="M1383" s="207"/>
      <c r="N1383" s="207"/>
      <c r="O1383" s="206"/>
    </row>
    <row r="1384" spans="3:15" ht="30">
      <c r="C1384" s="206"/>
      <c r="D1384" s="206"/>
      <c r="E1384" s="207"/>
      <c r="F1384" s="207"/>
      <c r="G1384" s="207"/>
      <c r="H1384" s="207"/>
      <c r="I1384" s="207"/>
      <c r="J1384" s="207"/>
      <c r="K1384" s="207"/>
      <c r="L1384" s="207"/>
      <c r="M1384" s="207"/>
      <c r="N1384" s="207"/>
      <c r="O1384" s="206"/>
    </row>
    <row r="1385" spans="3:15" ht="30">
      <c r="C1385" s="206"/>
      <c r="D1385" s="206"/>
      <c r="E1385" s="207"/>
      <c r="F1385" s="207"/>
      <c r="G1385" s="207"/>
      <c r="H1385" s="207"/>
      <c r="I1385" s="207"/>
      <c r="J1385" s="207"/>
      <c r="K1385" s="207"/>
      <c r="L1385" s="207"/>
      <c r="M1385" s="207"/>
      <c r="N1385" s="207"/>
      <c r="O1385" s="206"/>
    </row>
    <row r="1386" spans="3:15" ht="30">
      <c r="C1386" s="206"/>
      <c r="D1386" s="206"/>
      <c r="E1386" s="207"/>
      <c r="F1386" s="207"/>
      <c r="G1386" s="207"/>
      <c r="H1386" s="207"/>
      <c r="I1386" s="207"/>
      <c r="J1386" s="207"/>
      <c r="K1386" s="207"/>
      <c r="L1386" s="207"/>
      <c r="M1386" s="207"/>
      <c r="N1386" s="207"/>
      <c r="O1386" s="206"/>
    </row>
    <row r="1387" spans="3:15" ht="30">
      <c r="C1387" s="206"/>
      <c r="D1387" s="206"/>
      <c r="E1387" s="207"/>
      <c r="F1387" s="207"/>
      <c r="G1387" s="207"/>
      <c r="H1387" s="207"/>
      <c r="I1387" s="207"/>
      <c r="J1387" s="207"/>
      <c r="K1387" s="207"/>
      <c r="L1387" s="207"/>
      <c r="M1387" s="207"/>
      <c r="N1387" s="207"/>
      <c r="O1387" s="206"/>
    </row>
    <row r="1388" spans="3:15" ht="30">
      <c r="C1388" s="206"/>
      <c r="D1388" s="206"/>
      <c r="E1388" s="207"/>
      <c r="F1388" s="207"/>
      <c r="G1388" s="207"/>
      <c r="H1388" s="207"/>
      <c r="I1388" s="207"/>
      <c r="J1388" s="207"/>
      <c r="K1388" s="207"/>
      <c r="L1388" s="207"/>
      <c r="M1388" s="207"/>
      <c r="N1388" s="207"/>
      <c r="O1388" s="206"/>
    </row>
    <row r="1389" spans="3:15" ht="30">
      <c r="C1389" s="206"/>
      <c r="D1389" s="206"/>
      <c r="E1389" s="207"/>
      <c r="F1389" s="207"/>
      <c r="G1389" s="207"/>
      <c r="H1389" s="207"/>
      <c r="I1389" s="207"/>
      <c r="J1389" s="207"/>
      <c r="K1389" s="207"/>
      <c r="L1389" s="207"/>
      <c r="M1389" s="207"/>
      <c r="N1389" s="207"/>
      <c r="O1389" s="206"/>
    </row>
    <row r="1390" spans="3:15" ht="30">
      <c r="C1390" s="206"/>
      <c r="D1390" s="206"/>
      <c r="E1390" s="207"/>
      <c r="F1390" s="207"/>
      <c r="G1390" s="207"/>
      <c r="H1390" s="207"/>
      <c r="I1390" s="207"/>
      <c r="J1390" s="207"/>
      <c r="K1390" s="207"/>
      <c r="L1390" s="207"/>
      <c r="M1390" s="207"/>
      <c r="N1390" s="207"/>
      <c r="O1390" s="206"/>
    </row>
    <row r="1391" spans="3:15" ht="30">
      <c r="C1391" s="206"/>
      <c r="D1391" s="206"/>
      <c r="E1391" s="207"/>
      <c r="F1391" s="207"/>
      <c r="G1391" s="207"/>
      <c r="H1391" s="207"/>
      <c r="I1391" s="207"/>
      <c r="J1391" s="207"/>
      <c r="K1391" s="207"/>
      <c r="L1391" s="207"/>
      <c r="M1391" s="207"/>
      <c r="N1391" s="207"/>
      <c r="O1391" s="206"/>
    </row>
    <row r="1392" spans="3:15" ht="30">
      <c r="C1392" s="206"/>
      <c r="D1392" s="206"/>
      <c r="E1392" s="207"/>
      <c r="F1392" s="207"/>
      <c r="G1392" s="207"/>
      <c r="H1392" s="207"/>
      <c r="I1392" s="207"/>
      <c r="J1392" s="207"/>
      <c r="K1392" s="207"/>
      <c r="L1392" s="207"/>
      <c r="M1392" s="207"/>
      <c r="N1392" s="207"/>
      <c r="O1392" s="206"/>
    </row>
    <row r="1393" spans="3:15" ht="30">
      <c r="C1393" s="206"/>
      <c r="D1393" s="206"/>
      <c r="E1393" s="207"/>
      <c r="F1393" s="207"/>
      <c r="G1393" s="207"/>
      <c r="H1393" s="207"/>
      <c r="I1393" s="207"/>
      <c r="J1393" s="207"/>
      <c r="K1393" s="207"/>
      <c r="L1393" s="207"/>
      <c r="M1393" s="207"/>
      <c r="N1393" s="207"/>
      <c r="O1393" s="206"/>
    </row>
    <row r="1394" spans="3:15" ht="30">
      <c r="C1394" s="206"/>
      <c r="D1394" s="206"/>
      <c r="E1394" s="207"/>
      <c r="F1394" s="207"/>
      <c r="G1394" s="207"/>
      <c r="H1394" s="207"/>
      <c r="I1394" s="207"/>
      <c r="J1394" s="207"/>
      <c r="K1394" s="207"/>
      <c r="L1394" s="207"/>
      <c r="M1394" s="207"/>
      <c r="N1394" s="207"/>
      <c r="O1394" s="206"/>
    </row>
    <row r="1395" spans="3:15" ht="30">
      <c r="C1395" s="206"/>
      <c r="D1395" s="206"/>
      <c r="E1395" s="207"/>
      <c r="F1395" s="207"/>
      <c r="G1395" s="207"/>
      <c r="H1395" s="207"/>
      <c r="I1395" s="207"/>
      <c r="J1395" s="207"/>
      <c r="K1395" s="207"/>
      <c r="L1395" s="207"/>
      <c r="M1395" s="207"/>
      <c r="N1395" s="207"/>
      <c r="O1395" s="206"/>
    </row>
    <row r="1396" spans="3:15" ht="30">
      <c r="C1396" s="206"/>
      <c r="D1396" s="206"/>
      <c r="E1396" s="207"/>
      <c r="F1396" s="207"/>
      <c r="G1396" s="207"/>
      <c r="H1396" s="207"/>
      <c r="I1396" s="207"/>
      <c r="J1396" s="207"/>
      <c r="K1396" s="207"/>
      <c r="L1396" s="207"/>
      <c r="M1396" s="207"/>
      <c r="N1396" s="207"/>
      <c r="O1396" s="206"/>
    </row>
    <row r="1397" spans="3:15" ht="30">
      <c r="C1397" s="206"/>
      <c r="D1397" s="206"/>
      <c r="E1397" s="207"/>
      <c r="F1397" s="207"/>
      <c r="G1397" s="207"/>
      <c r="H1397" s="207"/>
      <c r="I1397" s="207"/>
      <c r="J1397" s="207"/>
      <c r="K1397" s="207"/>
      <c r="L1397" s="207"/>
      <c r="M1397" s="207"/>
      <c r="N1397" s="207"/>
      <c r="O1397" s="206"/>
    </row>
    <row r="1398" spans="3:15" ht="30">
      <c r="C1398" s="206"/>
      <c r="D1398" s="206"/>
      <c r="E1398" s="207"/>
      <c r="F1398" s="207"/>
      <c r="G1398" s="207"/>
      <c r="H1398" s="207"/>
      <c r="I1398" s="207"/>
      <c r="J1398" s="207"/>
      <c r="K1398" s="207"/>
      <c r="L1398" s="207"/>
      <c r="M1398" s="207"/>
      <c r="N1398" s="207"/>
      <c r="O1398" s="206"/>
    </row>
    <row r="1399" spans="3:15" ht="30">
      <c r="C1399" s="206"/>
      <c r="D1399" s="206"/>
      <c r="E1399" s="207"/>
      <c r="F1399" s="207"/>
      <c r="G1399" s="207"/>
      <c r="H1399" s="207"/>
      <c r="I1399" s="207"/>
      <c r="J1399" s="207"/>
      <c r="K1399" s="207"/>
      <c r="L1399" s="207"/>
      <c r="M1399" s="207"/>
      <c r="N1399" s="207"/>
      <c r="O1399" s="206"/>
    </row>
    <row r="1400" spans="3:15" ht="30">
      <c r="C1400" s="206"/>
      <c r="D1400" s="206"/>
      <c r="E1400" s="207"/>
      <c r="F1400" s="207"/>
      <c r="G1400" s="207"/>
      <c r="H1400" s="207"/>
      <c r="I1400" s="207"/>
      <c r="J1400" s="207"/>
      <c r="K1400" s="207"/>
      <c r="L1400" s="207"/>
      <c r="M1400" s="207"/>
      <c r="N1400" s="207"/>
      <c r="O1400" s="206"/>
    </row>
    <row r="1401" spans="3:15" ht="30">
      <c r="C1401" s="206"/>
      <c r="D1401" s="206"/>
      <c r="E1401" s="207"/>
      <c r="F1401" s="207"/>
      <c r="G1401" s="207"/>
      <c r="H1401" s="207"/>
      <c r="I1401" s="207"/>
      <c r="J1401" s="207"/>
      <c r="K1401" s="207"/>
      <c r="L1401" s="207"/>
      <c r="M1401" s="207"/>
      <c r="N1401" s="207"/>
      <c r="O1401" s="206"/>
    </row>
    <row r="1402" spans="3:15" ht="30">
      <c r="C1402" s="206"/>
      <c r="D1402" s="206"/>
      <c r="E1402" s="207"/>
      <c r="F1402" s="207"/>
      <c r="G1402" s="207"/>
      <c r="H1402" s="207"/>
      <c r="I1402" s="207"/>
      <c r="J1402" s="207"/>
      <c r="K1402" s="207"/>
      <c r="L1402" s="207"/>
      <c r="M1402" s="207"/>
      <c r="N1402" s="207"/>
      <c r="O1402" s="206"/>
    </row>
    <row r="1403" spans="3:15" ht="30">
      <c r="C1403" s="206"/>
      <c r="D1403" s="206"/>
      <c r="E1403" s="207"/>
      <c r="F1403" s="207"/>
      <c r="G1403" s="207"/>
      <c r="H1403" s="207"/>
      <c r="I1403" s="207"/>
      <c r="J1403" s="207"/>
      <c r="K1403" s="207"/>
      <c r="L1403" s="207"/>
      <c r="M1403" s="207"/>
      <c r="N1403" s="207"/>
      <c r="O1403" s="206"/>
    </row>
    <row r="1404" spans="3:15" ht="30">
      <c r="C1404" s="206"/>
      <c r="D1404" s="206"/>
      <c r="E1404" s="207"/>
      <c r="F1404" s="207"/>
      <c r="G1404" s="207"/>
      <c r="H1404" s="207"/>
      <c r="I1404" s="207"/>
      <c r="J1404" s="207"/>
      <c r="K1404" s="207"/>
      <c r="L1404" s="207"/>
      <c r="M1404" s="207"/>
      <c r="N1404" s="207"/>
      <c r="O1404" s="206"/>
    </row>
    <row r="1405" spans="3:15" ht="30">
      <c r="C1405" s="206"/>
      <c r="D1405" s="206"/>
      <c r="E1405" s="207"/>
      <c r="F1405" s="207"/>
      <c r="G1405" s="207"/>
      <c r="H1405" s="207"/>
      <c r="I1405" s="207"/>
      <c r="J1405" s="207"/>
      <c r="K1405" s="207"/>
      <c r="L1405" s="207"/>
      <c r="M1405" s="207"/>
      <c r="N1405" s="207"/>
      <c r="O1405" s="206"/>
    </row>
    <row r="1406" spans="3:15" ht="30">
      <c r="C1406" s="206"/>
      <c r="D1406" s="206"/>
      <c r="E1406" s="207"/>
      <c r="F1406" s="207"/>
      <c r="G1406" s="207"/>
      <c r="H1406" s="207"/>
      <c r="I1406" s="207"/>
      <c r="J1406" s="207"/>
      <c r="K1406" s="207"/>
      <c r="L1406" s="207"/>
      <c r="M1406" s="207"/>
      <c r="N1406" s="207"/>
      <c r="O1406" s="206"/>
    </row>
    <row r="1407" spans="3:15" ht="30">
      <c r="C1407" s="206"/>
      <c r="D1407" s="206"/>
      <c r="E1407" s="207"/>
      <c r="F1407" s="207"/>
      <c r="G1407" s="207"/>
      <c r="H1407" s="207"/>
      <c r="I1407" s="207"/>
      <c r="J1407" s="207"/>
      <c r="K1407" s="207"/>
      <c r="L1407" s="207"/>
      <c r="M1407" s="207"/>
      <c r="N1407" s="207"/>
      <c r="O1407" s="206"/>
    </row>
    <row r="1408" spans="3:15" ht="30">
      <c r="C1408" s="206"/>
      <c r="D1408" s="206"/>
      <c r="E1408" s="207"/>
      <c r="F1408" s="207"/>
      <c r="G1408" s="207"/>
      <c r="H1408" s="207"/>
      <c r="I1408" s="207"/>
      <c r="J1408" s="207"/>
      <c r="K1408" s="207"/>
      <c r="L1408" s="207"/>
      <c r="M1408" s="207"/>
      <c r="N1408" s="207"/>
      <c r="O1408" s="206"/>
    </row>
    <row r="1409" spans="3:15" ht="30">
      <c r="C1409" s="206"/>
      <c r="D1409" s="206"/>
      <c r="E1409" s="207"/>
      <c r="F1409" s="207"/>
      <c r="G1409" s="207"/>
      <c r="H1409" s="207"/>
      <c r="I1409" s="207"/>
      <c r="J1409" s="207"/>
      <c r="K1409" s="207"/>
      <c r="L1409" s="207"/>
      <c r="M1409" s="207"/>
      <c r="N1409" s="207"/>
      <c r="O1409" s="206"/>
    </row>
    <row r="1410" spans="3:15" ht="30">
      <c r="C1410" s="206"/>
      <c r="D1410" s="206"/>
      <c r="E1410" s="207"/>
      <c r="F1410" s="207"/>
      <c r="G1410" s="207"/>
      <c r="H1410" s="207"/>
      <c r="I1410" s="207"/>
      <c r="J1410" s="207"/>
      <c r="K1410" s="207"/>
      <c r="L1410" s="207"/>
      <c r="M1410" s="207"/>
      <c r="N1410" s="207"/>
      <c r="O1410" s="206"/>
    </row>
    <row r="1411" spans="3:15" ht="30">
      <c r="C1411" s="206"/>
      <c r="D1411" s="206"/>
      <c r="E1411" s="207"/>
      <c r="F1411" s="207"/>
      <c r="G1411" s="207"/>
      <c r="H1411" s="207"/>
      <c r="I1411" s="207"/>
      <c r="J1411" s="207"/>
      <c r="K1411" s="207"/>
      <c r="L1411" s="207"/>
      <c r="M1411" s="207"/>
      <c r="N1411" s="207"/>
      <c r="O1411" s="206"/>
    </row>
    <row r="1412" spans="3:15" ht="30">
      <c r="C1412" s="206"/>
      <c r="D1412" s="206"/>
      <c r="E1412" s="207"/>
      <c r="F1412" s="207"/>
      <c r="G1412" s="207"/>
      <c r="H1412" s="207"/>
      <c r="I1412" s="207"/>
      <c r="J1412" s="207"/>
      <c r="K1412" s="207"/>
      <c r="L1412" s="207"/>
      <c r="M1412" s="207"/>
      <c r="N1412" s="207"/>
      <c r="O1412" s="206"/>
    </row>
    <row r="1413" spans="3:15" ht="30">
      <c r="C1413" s="206"/>
      <c r="D1413" s="206"/>
      <c r="E1413" s="207"/>
      <c r="F1413" s="207"/>
      <c r="G1413" s="207"/>
      <c r="H1413" s="207"/>
      <c r="I1413" s="207"/>
      <c r="J1413" s="207"/>
      <c r="K1413" s="207"/>
      <c r="L1413" s="207"/>
      <c r="M1413" s="207"/>
      <c r="N1413" s="207"/>
      <c r="O1413" s="206"/>
    </row>
    <row r="1414" spans="3:15" ht="30">
      <c r="C1414" s="206"/>
      <c r="D1414" s="206"/>
      <c r="E1414" s="207"/>
      <c r="F1414" s="207"/>
      <c r="G1414" s="207"/>
      <c r="H1414" s="207"/>
      <c r="I1414" s="207"/>
      <c r="J1414" s="207"/>
      <c r="K1414" s="207"/>
      <c r="L1414" s="207"/>
      <c r="M1414" s="207"/>
      <c r="N1414" s="207"/>
      <c r="O1414" s="206"/>
    </row>
    <row r="1415" spans="3:15" ht="30">
      <c r="C1415" s="206"/>
      <c r="D1415" s="206"/>
      <c r="E1415" s="207"/>
      <c r="F1415" s="207"/>
      <c r="G1415" s="207"/>
      <c r="H1415" s="207"/>
      <c r="I1415" s="207"/>
      <c r="J1415" s="207"/>
      <c r="K1415" s="207"/>
      <c r="L1415" s="207"/>
      <c r="M1415" s="207"/>
      <c r="N1415" s="207"/>
      <c r="O1415" s="206"/>
    </row>
    <row r="1416" spans="3:15" ht="30">
      <c r="C1416" s="206"/>
      <c r="D1416" s="206"/>
      <c r="E1416" s="207"/>
      <c r="F1416" s="207"/>
      <c r="G1416" s="207"/>
      <c r="H1416" s="207"/>
      <c r="I1416" s="207"/>
      <c r="J1416" s="207"/>
      <c r="K1416" s="207"/>
      <c r="L1416" s="207"/>
      <c r="M1416" s="207"/>
      <c r="N1416" s="207"/>
      <c r="O1416" s="206"/>
    </row>
    <row r="1417" spans="3:15" ht="30">
      <c r="C1417" s="206"/>
      <c r="D1417" s="206"/>
      <c r="E1417" s="207"/>
      <c r="F1417" s="207"/>
      <c r="G1417" s="207"/>
      <c r="H1417" s="207"/>
      <c r="I1417" s="207"/>
      <c r="J1417" s="207"/>
      <c r="K1417" s="207"/>
      <c r="L1417" s="207"/>
      <c r="M1417" s="207"/>
      <c r="N1417" s="207"/>
      <c r="O1417" s="206"/>
    </row>
    <row r="1418" spans="3:15" ht="30">
      <c r="C1418" s="206"/>
      <c r="D1418" s="206"/>
      <c r="E1418" s="207"/>
      <c r="F1418" s="207"/>
      <c r="G1418" s="207"/>
      <c r="H1418" s="207"/>
      <c r="I1418" s="207"/>
      <c r="J1418" s="207"/>
      <c r="K1418" s="207"/>
      <c r="L1418" s="207"/>
      <c r="M1418" s="207"/>
      <c r="N1418" s="207"/>
      <c r="O1418" s="206"/>
    </row>
    <row r="1419" spans="3:15" ht="30">
      <c r="C1419" s="206"/>
      <c r="D1419" s="206"/>
      <c r="E1419" s="207"/>
      <c r="F1419" s="207"/>
      <c r="G1419" s="207"/>
      <c r="H1419" s="207"/>
      <c r="I1419" s="207"/>
      <c r="J1419" s="207"/>
      <c r="K1419" s="207"/>
      <c r="L1419" s="207"/>
      <c r="M1419" s="207"/>
      <c r="N1419" s="207"/>
      <c r="O1419" s="206"/>
    </row>
    <row r="1420" spans="3:15" ht="30">
      <c r="C1420" s="206"/>
      <c r="D1420" s="206"/>
      <c r="E1420" s="207"/>
      <c r="F1420" s="207"/>
      <c r="G1420" s="207"/>
      <c r="H1420" s="207"/>
      <c r="I1420" s="207"/>
      <c r="J1420" s="207"/>
      <c r="K1420" s="207"/>
      <c r="L1420" s="207"/>
      <c r="M1420" s="207"/>
      <c r="N1420" s="207"/>
      <c r="O1420" s="206"/>
    </row>
    <row r="1421" spans="3:15" ht="30">
      <c r="C1421" s="206"/>
      <c r="D1421" s="206"/>
      <c r="E1421" s="207"/>
      <c r="F1421" s="207"/>
      <c r="G1421" s="207"/>
      <c r="H1421" s="207"/>
      <c r="I1421" s="207"/>
      <c r="J1421" s="207"/>
      <c r="K1421" s="207"/>
      <c r="L1421" s="207"/>
      <c r="M1421" s="207"/>
      <c r="N1421" s="207"/>
      <c r="O1421" s="206"/>
    </row>
    <row r="1422" spans="3:15" ht="30">
      <c r="C1422" s="206"/>
      <c r="D1422" s="206"/>
      <c r="E1422" s="207"/>
      <c r="F1422" s="207"/>
      <c r="G1422" s="207"/>
      <c r="H1422" s="207"/>
      <c r="I1422" s="207"/>
      <c r="J1422" s="207"/>
      <c r="K1422" s="207"/>
      <c r="L1422" s="207"/>
      <c r="M1422" s="207"/>
      <c r="N1422" s="207"/>
      <c r="O1422" s="206"/>
    </row>
    <row r="1423" spans="3:15" ht="30">
      <c r="C1423" s="206"/>
      <c r="D1423" s="206"/>
      <c r="E1423" s="207"/>
      <c r="F1423" s="207"/>
      <c r="G1423" s="207"/>
      <c r="H1423" s="207"/>
      <c r="I1423" s="207"/>
      <c r="J1423" s="207"/>
      <c r="K1423" s="207"/>
      <c r="L1423" s="207"/>
      <c r="M1423" s="207"/>
      <c r="N1423" s="207"/>
      <c r="O1423" s="206"/>
    </row>
    <row r="1424" spans="3:15" ht="30">
      <c r="C1424" s="206"/>
      <c r="D1424" s="206"/>
      <c r="E1424" s="207"/>
      <c r="F1424" s="207"/>
      <c r="G1424" s="207"/>
      <c r="H1424" s="207"/>
      <c r="I1424" s="207"/>
      <c r="J1424" s="207"/>
      <c r="K1424" s="207"/>
      <c r="L1424" s="207"/>
      <c r="M1424" s="207"/>
      <c r="N1424" s="207"/>
      <c r="O1424" s="206"/>
    </row>
    <row r="1425" spans="3:15" ht="30">
      <c r="C1425" s="206"/>
      <c r="D1425" s="206"/>
      <c r="E1425" s="207"/>
      <c r="F1425" s="207"/>
      <c r="G1425" s="207"/>
      <c r="H1425" s="207"/>
      <c r="I1425" s="207"/>
      <c r="J1425" s="207"/>
      <c r="K1425" s="207"/>
      <c r="L1425" s="207"/>
      <c r="M1425" s="207"/>
      <c r="N1425" s="207"/>
      <c r="O1425" s="206"/>
    </row>
    <row r="1426" spans="3:15" ht="30">
      <c r="C1426" s="206"/>
      <c r="D1426" s="206"/>
      <c r="E1426" s="207"/>
      <c r="F1426" s="207"/>
      <c r="G1426" s="207"/>
      <c r="H1426" s="207"/>
      <c r="I1426" s="207"/>
      <c r="J1426" s="207"/>
      <c r="K1426" s="207"/>
      <c r="L1426" s="207"/>
      <c r="M1426" s="207"/>
      <c r="N1426" s="207"/>
      <c r="O1426" s="206"/>
    </row>
    <row r="1427" spans="3:15" ht="30">
      <c r="C1427" s="206"/>
      <c r="D1427" s="206"/>
      <c r="E1427" s="207"/>
      <c r="F1427" s="207"/>
      <c r="G1427" s="207"/>
      <c r="H1427" s="207"/>
      <c r="I1427" s="207"/>
      <c r="J1427" s="207"/>
      <c r="K1427" s="207"/>
      <c r="L1427" s="207"/>
      <c r="M1427" s="207"/>
      <c r="N1427" s="207"/>
      <c r="O1427" s="206"/>
    </row>
    <row r="1428" spans="3:15" ht="30">
      <c r="C1428" s="206"/>
      <c r="D1428" s="206"/>
      <c r="E1428" s="207"/>
      <c r="F1428" s="207"/>
      <c r="G1428" s="207"/>
      <c r="H1428" s="207"/>
      <c r="I1428" s="207"/>
      <c r="J1428" s="207"/>
      <c r="K1428" s="207"/>
      <c r="L1428" s="207"/>
      <c r="M1428" s="207"/>
      <c r="N1428" s="207"/>
      <c r="O1428" s="206"/>
    </row>
    <row r="1429" spans="3:15" ht="30">
      <c r="C1429" s="206"/>
      <c r="D1429" s="206"/>
      <c r="E1429" s="207"/>
      <c r="F1429" s="207"/>
      <c r="G1429" s="207"/>
      <c r="H1429" s="207"/>
      <c r="I1429" s="207"/>
      <c r="J1429" s="207"/>
      <c r="K1429" s="207"/>
      <c r="L1429" s="207"/>
      <c r="M1429" s="207"/>
      <c r="N1429" s="207"/>
      <c r="O1429" s="206"/>
    </row>
    <row r="1430" spans="3:15" ht="30">
      <c r="C1430" s="206"/>
      <c r="D1430" s="206"/>
      <c r="E1430" s="207"/>
      <c r="F1430" s="207"/>
      <c r="G1430" s="207"/>
      <c r="H1430" s="207"/>
      <c r="I1430" s="207"/>
      <c r="J1430" s="207"/>
      <c r="K1430" s="207"/>
      <c r="L1430" s="207"/>
      <c r="M1430" s="207"/>
      <c r="N1430" s="207"/>
      <c r="O1430" s="206"/>
    </row>
    <row r="1431" spans="3:15" ht="30">
      <c r="C1431" s="206"/>
      <c r="D1431" s="206"/>
      <c r="E1431" s="207"/>
      <c r="F1431" s="207"/>
      <c r="G1431" s="207"/>
      <c r="H1431" s="207"/>
      <c r="I1431" s="207"/>
      <c r="J1431" s="207"/>
      <c r="K1431" s="207"/>
      <c r="L1431" s="207"/>
      <c r="M1431" s="207"/>
      <c r="N1431" s="207"/>
      <c r="O1431" s="206"/>
    </row>
    <row r="1432" spans="3:15" ht="30">
      <c r="C1432" s="206"/>
      <c r="D1432" s="206"/>
      <c r="E1432" s="207"/>
      <c r="F1432" s="207"/>
      <c r="G1432" s="207"/>
      <c r="H1432" s="207"/>
      <c r="I1432" s="207"/>
      <c r="J1432" s="207"/>
      <c r="K1432" s="207"/>
      <c r="L1432" s="207"/>
      <c r="M1432" s="207"/>
      <c r="N1432" s="207"/>
      <c r="O1432" s="206"/>
    </row>
    <row r="1433" spans="3:15" ht="30">
      <c r="C1433" s="206"/>
      <c r="D1433" s="206"/>
      <c r="E1433" s="207"/>
      <c r="F1433" s="207"/>
      <c r="G1433" s="207"/>
      <c r="H1433" s="207"/>
      <c r="I1433" s="207"/>
      <c r="J1433" s="207"/>
      <c r="K1433" s="207"/>
      <c r="L1433" s="207"/>
      <c r="M1433" s="207"/>
      <c r="N1433" s="207"/>
      <c r="O1433" s="206"/>
    </row>
    <row r="1434" spans="3:15" ht="30">
      <c r="C1434" s="206"/>
      <c r="D1434" s="206"/>
      <c r="E1434" s="207"/>
      <c r="F1434" s="207"/>
      <c r="G1434" s="207"/>
      <c r="H1434" s="207"/>
      <c r="I1434" s="207"/>
      <c r="J1434" s="207"/>
      <c r="K1434" s="207"/>
      <c r="L1434" s="207"/>
      <c r="M1434" s="207"/>
      <c r="N1434" s="207"/>
      <c r="O1434" s="206"/>
    </row>
    <row r="1435" spans="3:15" ht="30">
      <c r="C1435" s="206"/>
      <c r="D1435" s="206"/>
      <c r="E1435" s="207"/>
      <c r="F1435" s="207"/>
      <c r="G1435" s="207"/>
      <c r="H1435" s="207"/>
      <c r="I1435" s="207"/>
      <c r="J1435" s="207"/>
      <c r="K1435" s="207"/>
      <c r="L1435" s="207"/>
      <c r="M1435" s="207"/>
      <c r="N1435" s="207"/>
      <c r="O1435" s="206"/>
    </row>
    <row r="1436" spans="3:15" ht="30">
      <c r="C1436" s="206"/>
      <c r="D1436" s="206"/>
      <c r="E1436" s="207"/>
      <c r="F1436" s="207"/>
      <c r="G1436" s="207"/>
      <c r="H1436" s="207"/>
      <c r="I1436" s="207"/>
      <c r="J1436" s="207"/>
      <c r="K1436" s="207"/>
      <c r="L1436" s="207"/>
      <c r="M1436" s="207"/>
      <c r="N1436" s="207"/>
      <c r="O1436" s="206"/>
    </row>
    <row r="1437" spans="3:15" ht="30">
      <c r="C1437" s="206"/>
      <c r="D1437" s="206"/>
      <c r="E1437" s="207"/>
      <c r="F1437" s="207"/>
      <c r="G1437" s="207"/>
      <c r="H1437" s="207"/>
      <c r="I1437" s="207"/>
      <c r="J1437" s="207"/>
      <c r="K1437" s="207"/>
      <c r="L1437" s="207"/>
      <c r="M1437" s="207"/>
      <c r="N1437" s="207"/>
      <c r="O1437" s="206"/>
    </row>
    <row r="1438" spans="3:15" ht="30">
      <c r="C1438" s="206"/>
      <c r="D1438" s="206"/>
      <c r="E1438" s="207"/>
      <c r="F1438" s="207"/>
      <c r="G1438" s="207"/>
      <c r="H1438" s="207"/>
      <c r="I1438" s="207"/>
      <c r="J1438" s="207"/>
      <c r="K1438" s="207"/>
      <c r="L1438" s="207"/>
      <c r="M1438" s="207"/>
      <c r="N1438" s="207"/>
      <c r="O1438" s="206"/>
    </row>
    <row r="1439" spans="3:15" ht="30">
      <c r="C1439" s="206"/>
      <c r="D1439" s="206"/>
      <c r="E1439" s="207"/>
      <c r="F1439" s="207"/>
      <c r="G1439" s="207"/>
      <c r="H1439" s="207"/>
      <c r="I1439" s="207"/>
      <c r="J1439" s="207"/>
      <c r="K1439" s="207"/>
      <c r="L1439" s="207"/>
      <c r="M1439" s="207"/>
      <c r="N1439" s="207"/>
      <c r="O1439" s="206"/>
    </row>
    <row r="1440" spans="3:15" ht="30">
      <c r="C1440" s="206"/>
      <c r="D1440" s="206"/>
      <c r="E1440" s="207"/>
      <c r="F1440" s="207"/>
      <c r="G1440" s="207"/>
      <c r="H1440" s="207"/>
      <c r="I1440" s="207"/>
      <c r="J1440" s="207"/>
      <c r="K1440" s="207"/>
      <c r="L1440" s="207"/>
      <c r="M1440" s="207"/>
      <c r="N1440" s="207"/>
      <c r="O1440" s="206"/>
    </row>
    <row r="1441" spans="3:15" ht="30">
      <c r="C1441" s="206"/>
      <c r="D1441" s="206"/>
      <c r="E1441" s="207"/>
      <c r="F1441" s="207"/>
      <c r="G1441" s="207"/>
      <c r="H1441" s="207"/>
      <c r="I1441" s="207"/>
      <c r="J1441" s="207"/>
      <c r="K1441" s="207"/>
      <c r="L1441" s="207"/>
      <c r="M1441" s="207"/>
      <c r="N1441" s="207"/>
      <c r="O1441" s="206"/>
    </row>
    <row r="1442" spans="3:15" ht="30">
      <c r="C1442" s="206"/>
      <c r="D1442" s="206"/>
      <c r="E1442" s="207"/>
      <c r="F1442" s="207"/>
      <c r="G1442" s="207"/>
      <c r="H1442" s="207"/>
      <c r="I1442" s="207"/>
      <c r="J1442" s="207"/>
      <c r="K1442" s="207"/>
      <c r="L1442" s="207"/>
      <c r="M1442" s="207"/>
      <c r="N1442" s="207"/>
      <c r="O1442" s="206"/>
    </row>
    <row r="1443" spans="3:15" ht="30">
      <c r="C1443" s="206"/>
      <c r="D1443" s="206"/>
      <c r="E1443" s="207"/>
      <c r="F1443" s="207"/>
      <c r="G1443" s="207"/>
      <c r="H1443" s="207"/>
      <c r="I1443" s="207"/>
      <c r="J1443" s="207"/>
      <c r="K1443" s="207"/>
      <c r="L1443" s="207"/>
      <c r="M1443" s="207"/>
      <c r="N1443" s="207"/>
      <c r="O1443" s="206"/>
    </row>
    <row r="1444" spans="3:15" ht="30">
      <c r="C1444" s="206"/>
      <c r="D1444" s="206"/>
      <c r="E1444" s="207"/>
      <c r="F1444" s="207"/>
      <c r="G1444" s="207"/>
      <c r="H1444" s="207"/>
      <c r="I1444" s="207"/>
      <c r="J1444" s="207"/>
      <c r="K1444" s="207"/>
      <c r="L1444" s="207"/>
      <c r="M1444" s="207"/>
      <c r="N1444" s="207"/>
      <c r="O1444" s="206"/>
    </row>
    <row r="1445" spans="3:15" ht="30">
      <c r="C1445" s="206"/>
      <c r="D1445" s="206"/>
      <c r="E1445" s="207"/>
      <c r="F1445" s="207"/>
      <c r="G1445" s="207"/>
      <c r="H1445" s="207"/>
      <c r="I1445" s="207"/>
      <c r="J1445" s="207"/>
      <c r="K1445" s="207"/>
      <c r="L1445" s="207"/>
      <c r="M1445" s="207"/>
      <c r="N1445" s="207"/>
      <c r="O1445" s="206"/>
    </row>
    <row r="1446" spans="3:15" ht="30">
      <c r="C1446" s="206"/>
      <c r="D1446" s="206"/>
      <c r="E1446" s="207"/>
      <c r="F1446" s="207"/>
      <c r="G1446" s="207"/>
      <c r="H1446" s="207"/>
      <c r="I1446" s="207"/>
      <c r="J1446" s="207"/>
      <c r="K1446" s="207"/>
      <c r="L1446" s="207"/>
      <c r="M1446" s="207"/>
      <c r="N1446" s="207"/>
      <c r="O1446" s="206"/>
    </row>
    <row r="1447" spans="3:15" ht="30">
      <c r="C1447" s="206"/>
      <c r="D1447" s="206"/>
      <c r="E1447" s="207"/>
      <c r="F1447" s="207"/>
      <c r="G1447" s="207"/>
      <c r="H1447" s="207"/>
      <c r="I1447" s="207"/>
      <c r="J1447" s="207"/>
      <c r="K1447" s="207"/>
      <c r="L1447" s="207"/>
      <c r="M1447" s="207"/>
      <c r="N1447" s="207"/>
      <c r="O1447" s="206"/>
    </row>
    <row r="1448" spans="3:15" ht="30">
      <c r="C1448" s="206"/>
      <c r="D1448" s="206"/>
      <c r="E1448" s="207"/>
      <c r="F1448" s="207"/>
      <c r="G1448" s="207"/>
      <c r="H1448" s="207"/>
      <c r="I1448" s="207"/>
      <c r="J1448" s="207"/>
      <c r="K1448" s="207"/>
      <c r="L1448" s="207"/>
      <c r="M1448" s="207"/>
      <c r="N1448" s="207"/>
      <c r="O1448" s="206"/>
    </row>
    <row r="1449" spans="3:15" ht="30">
      <c r="C1449" s="206"/>
      <c r="D1449" s="206"/>
      <c r="E1449" s="207"/>
      <c r="F1449" s="207"/>
      <c r="G1449" s="207"/>
      <c r="H1449" s="207"/>
      <c r="I1449" s="207"/>
      <c r="J1449" s="207"/>
      <c r="K1449" s="207"/>
      <c r="L1449" s="207"/>
      <c r="M1449" s="207"/>
      <c r="N1449" s="207"/>
      <c r="O1449" s="206"/>
    </row>
    <row r="1450" spans="3:15" ht="30">
      <c r="C1450" s="206"/>
      <c r="D1450" s="206"/>
      <c r="E1450" s="207"/>
      <c r="F1450" s="207"/>
      <c r="G1450" s="207"/>
      <c r="H1450" s="207"/>
      <c r="I1450" s="207"/>
      <c r="J1450" s="207"/>
      <c r="K1450" s="207"/>
      <c r="L1450" s="207"/>
      <c r="M1450" s="207"/>
      <c r="N1450" s="207"/>
      <c r="O1450" s="206"/>
    </row>
    <row r="1451" spans="3:15" ht="30">
      <c r="C1451" s="206"/>
      <c r="D1451" s="206"/>
      <c r="E1451" s="207"/>
      <c r="F1451" s="207"/>
      <c r="G1451" s="207"/>
      <c r="H1451" s="207"/>
      <c r="I1451" s="207"/>
      <c r="J1451" s="207"/>
      <c r="K1451" s="207"/>
      <c r="L1451" s="207"/>
      <c r="M1451" s="207"/>
      <c r="N1451" s="207"/>
      <c r="O1451" s="206"/>
    </row>
    <row r="1452" spans="3:15" ht="30">
      <c r="C1452" s="206"/>
      <c r="D1452" s="206"/>
      <c r="E1452" s="207"/>
      <c r="F1452" s="207"/>
      <c r="G1452" s="207"/>
      <c r="H1452" s="207"/>
      <c r="I1452" s="207"/>
      <c r="J1452" s="207"/>
      <c r="K1452" s="207"/>
      <c r="L1452" s="207"/>
      <c r="M1452" s="207"/>
      <c r="N1452" s="207"/>
      <c r="O1452" s="206"/>
    </row>
    <row r="1453" spans="3:15" ht="30">
      <c r="C1453" s="206"/>
      <c r="D1453" s="206"/>
      <c r="E1453" s="207"/>
      <c r="F1453" s="207"/>
      <c r="G1453" s="207"/>
      <c r="H1453" s="207"/>
      <c r="I1453" s="207"/>
      <c r="J1453" s="207"/>
      <c r="K1453" s="207"/>
      <c r="L1453" s="207"/>
      <c r="M1453" s="207"/>
      <c r="N1453" s="207"/>
      <c r="O1453" s="206"/>
    </row>
    <row r="1454" spans="3:15" ht="30">
      <c r="C1454" s="206"/>
      <c r="D1454" s="206"/>
      <c r="E1454" s="207"/>
      <c r="F1454" s="207"/>
      <c r="G1454" s="207"/>
      <c r="H1454" s="207"/>
      <c r="I1454" s="207"/>
      <c r="J1454" s="207"/>
      <c r="K1454" s="207"/>
      <c r="L1454" s="207"/>
      <c r="M1454" s="207"/>
      <c r="N1454" s="207"/>
      <c r="O1454" s="206"/>
    </row>
    <row r="1455" spans="3:15" ht="30">
      <c r="C1455" s="206"/>
      <c r="D1455" s="206"/>
      <c r="E1455" s="207"/>
      <c r="F1455" s="207"/>
      <c r="G1455" s="207"/>
      <c r="H1455" s="207"/>
      <c r="I1455" s="207"/>
      <c r="J1455" s="207"/>
      <c r="K1455" s="207"/>
      <c r="L1455" s="207"/>
      <c r="M1455" s="207"/>
      <c r="N1455" s="207"/>
      <c r="O1455" s="206"/>
    </row>
    <row r="1456" spans="3:15" ht="30">
      <c r="C1456" s="206"/>
      <c r="D1456" s="206"/>
      <c r="E1456" s="207"/>
      <c r="F1456" s="207"/>
      <c r="G1456" s="207"/>
      <c r="H1456" s="207"/>
      <c r="I1456" s="207"/>
      <c r="J1456" s="207"/>
      <c r="K1456" s="207"/>
      <c r="L1456" s="207"/>
      <c r="M1456" s="207"/>
      <c r="N1456" s="207"/>
      <c r="O1456" s="206"/>
    </row>
    <row r="1457" spans="3:15" ht="30">
      <c r="C1457" s="206"/>
      <c r="D1457" s="206"/>
      <c r="E1457" s="207"/>
      <c r="F1457" s="207"/>
      <c r="G1457" s="207"/>
      <c r="H1457" s="207"/>
      <c r="I1457" s="207"/>
      <c r="J1457" s="207"/>
      <c r="K1457" s="207"/>
      <c r="L1457" s="207"/>
      <c r="M1457" s="207"/>
      <c r="N1457" s="207"/>
      <c r="O1457" s="206"/>
    </row>
    <row r="1458" spans="3:15" ht="30">
      <c r="C1458" s="206"/>
      <c r="D1458" s="206"/>
      <c r="E1458" s="207"/>
      <c r="F1458" s="207"/>
      <c r="G1458" s="207"/>
      <c r="H1458" s="207"/>
      <c r="I1458" s="207"/>
      <c r="J1458" s="207"/>
      <c r="K1458" s="207"/>
      <c r="L1458" s="207"/>
      <c r="M1458" s="207"/>
      <c r="N1458" s="207"/>
      <c r="O1458" s="206"/>
    </row>
    <row r="1459" spans="3:15" ht="30">
      <c r="C1459" s="206"/>
      <c r="D1459" s="206"/>
      <c r="E1459" s="207"/>
      <c r="F1459" s="207"/>
      <c r="G1459" s="207"/>
      <c r="H1459" s="207"/>
      <c r="I1459" s="207"/>
      <c r="J1459" s="207"/>
      <c r="K1459" s="207"/>
      <c r="L1459" s="207"/>
      <c r="M1459" s="207"/>
      <c r="N1459" s="207"/>
      <c r="O1459" s="206"/>
    </row>
    <row r="1460" spans="3:15" ht="30">
      <c r="C1460" s="206"/>
      <c r="D1460" s="206"/>
      <c r="E1460" s="207"/>
      <c r="F1460" s="207"/>
      <c r="G1460" s="207"/>
      <c r="H1460" s="207"/>
      <c r="I1460" s="207"/>
      <c r="J1460" s="207"/>
      <c r="K1460" s="207"/>
      <c r="L1460" s="207"/>
      <c r="M1460" s="207"/>
      <c r="N1460" s="207"/>
      <c r="O1460" s="206"/>
    </row>
    <row r="1461" spans="3:15" ht="30">
      <c r="C1461" s="206"/>
      <c r="D1461" s="206"/>
      <c r="E1461" s="207"/>
      <c r="F1461" s="207"/>
      <c r="G1461" s="207"/>
      <c r="H1461" s="207"/>
      <c r="I1461" s="207"/>
      <c r="J1461" s="207"/>
      <c r="K1461" s="207"/>
      <c r="L1461" s="207"/>
      <c r="M1461" s="207"/>
      <c r="N1461" s="207"/>
      <c r="O1461" s="206"/>
    </row>
    <row r="1462" spans="3:15" ht="30">
      <c r="C1462" s="206"/>
      <c r="D1462" s="206"/>
      <c r="E1462" s="207"/>
      <c r="F1462" s="207"/>
      <c r="G1462" s="207"/>
      <c r="H1462" s="207"/>
      <c r="I1462" s="207"/>
      <c r="J1462" s="207"/>
      <c r="K1462" s="207"/>
      <c r="L1462" s="207"/>
      <c r="M1462" s="207"/>
      <c r="N1462" s="207"/>
      <c r="O1462" s="206"/>
    </row>
    <row r="1463" spans="3:15" ht="30">
      <c r="C1463" s="206"/>
      <c r="D1463" s="206"/>
      <c r="E1463" s="207"/>
      <c r="F1463" s="207"/>
      <c r="G1463" s="207"/>
      <c r="H1463" s="207"/>
      <c r="I1463" s="207"/>
      <c r="J1463" s="207"/>
      <c r="K1463" s="207"/>
      <c r="L1463" s="207"/>
      <c r="M1463" s="207"/>
      <c r="N1463" s="207"/>
      <c r="O1463" s="206"/>
    </row>
    <row r="1464" spans="3:15" ht="30">
      <c r="C1464" s="206"/>
      <c r="D1464" s="206"/>
      <c r="E1464" s="207"/>
      <c r="F1464" s="207"/>
      <c r="G1464" s="207"/>
      <c r="H1464" s="207"/>
      <c r="I1464" s="207"/>
      <c r="J1464" s="207"/>
      <c r="K1464" s="207"/>
      <c r="L1464" s="207"/>
      <c r="M1464" s="207"/>
      <c r="N1464" s="207"/>
      <c r="O1464" s="206"/>
    </row>
    <row r="1465" spans="3:15" ht="30">
      <c r="C1465" s="206"/>
      <c r="D1465" s="206"/>
      <c r="E1465" s="207"/>
      <c r="F1465" s="207"/>
      <c r="G1465" s="207"/>
      <c r="H1465" s="207"/>
      <c r="I1465" s="207"/>
      <c r="J1465" s="207"/>
      <c r="K1465" s="207"/>
      <c r="L1465" s="207"/>
      <c r="M1465" s="207"/>
      <c r="N1465" s="207"/>
      <c r="O1465" s="206"/>
    </row>
    <row r="1466" spans="3:15" ht="30">
      <c r="C1466" s="206"/>
      <c r="D1466" s="206"/>
      <c r="E1466" s="207"/>
      <c r="F1466" s="207"/>
      <c r="G1466" s="207"/>
      <c r="H1466" s="207"/>
      <c r="I1466" s="207"/>
      <c r="J1466" s="207"/>
      <c r="K1466" s="207"/>
      <c r="L1466" s="207"/>
      <c r="M1466" s="207"/>
      <c r="N1466" s="207"/>
      <c r="O1466" s="206"/>
    </row>
    <row r="1467" spans="3:15" ht="30">
      <c r="C1467" s="206"/>
      <c r="D1467" s="206"/>
      <c r="E1467" s="207"/>
      <c r="F1467" s="207"/>
      <c r="G1467" s="207"/>
      <c r="H1467" s="207"/>
      <c r="I1467" s="207"/>
      <c r="J1467" s="207"/>
      <c r="K1467" s="207"/>
      <c r="L1467" s="207"/>
      <c r="M1467" s="207"/>
      <c r="N1467" s="207"/>
      <c r="O1467" s="206"/>
    </row>
    <row r="1468" spans="3:15" ht="30">
      <c r="C1468" s="206"/>
      <c r="D1468" s="206"/>
      <c r="E1468" s="207"/>
      <c r="F1468" s="207"/>
      <c r="G1468" s="207"/>
      <c r="H1468" s="207"/>
      <c r="I1468" s="207"/>
      <c r="J1468" s="207"/>
      <c r="K1468" s="207"/>
      <c r="L1468" s="207"/>
      <c r="M1468" s="207"/>
      <c r="N1468" s="207"/>
      <c r="O1468" s="206"/>
    </row>
    <row r="1469" spans="3:15" ht="30">
      <c r="C1469" s="206"/>
      <c r="D1469" s="206"/>
      <c r="E1469" s="207"/>
      <c r="F1469" s="207"/>
      <c r="G1469" s="207"/>
      <c r="H1469" s="207"/>
      <c r="I1469" s="207"/>
      <c r="J1469" s="207"/>
      <c r="K1469" s="207"/>
      <c r="L1469" s="207"/>
      <c r="M1469" s="207"/>
      <c r="N1469" s="207"/>
      <c r="O1469" s="206"/>
    </row>
    <row r="1470" spans="3:15" ht="30">
      <c r="C1470" s="206"/>
      <c r="D1470" s="206"/>
      <c r="E1470" s="207"/>
      <c r="F1470" s="207"/>
      <c r="G1470" s="207"/>
      <c r="H1470" s="207"/>
      <c r="I1470" s="207"/>
      <c r="J1470" s="207"/>
      <c r="K1470" s="207"/>
      <c r="L1470" s="207"/>
      <c r="M1470" s="207"/>
      <c r="N1470" s="207"/>
      <c r="O1470" s="206"/>
    </row>
    <row r="1471" spans="3:15" ht="30">
      <c r="C1471" s="206"/>
      <c r="D1471" s="206"/>
      <c r="E1471" s="207"/>
      <c r="F1471" s="207"/>
      <c r="G1471" s="207"/>
      <c r="H1471" s="207"/>
      <c r="I1471" s="207"/>
      <c r="J1471" s="207"/>
      <c r="K1471" s="207"/>
      <c r="L1471" s="207"/>
      <c r="M1471" s="207"/>
      <c r="N1471" s="207"/>
      <c r="O1471" s="206"/>
    </row>
    <row r="1472" spans="3:15" ht="30">
      <c r="C1472" s="206"/>
      <c r="D1472" s="206"/>
      <c r="E1472" s="207"/>
      <c r="F1472" s="207"/>
      <c r="G1472" s="207"/>
      <c r="H1472" s="207"/>
      <c r="I1472" s="207"/>
      <c r="J1472" s="207"/>
      <c r="K1472" s="207"/>
      <c r="L1472" s="207"/>
      <c r="M1472" s="207"/>
      <c r="N1472" s="207"/>
      <c r="O1472" s="206"/>
    </row>
    <row r="1473" spans="3:15" ht="30">
      <c r="C1473" s="206"/>
      <c r="D1473" s="206"/>
      <c r="E1473" s="207"/>
      <c r="F1473" s="207"/>
      <c r="G1473" s="207"/>
      <c r="H1473" s="207"/>
      <c r="I1473" s="207"/>
      <c r="J1473" s="207"/>
      <c r="K1473" s="207"/>
      <c r="L1473" s="207"/>
      <c r="M1473" s="207"/>
      <c r="N1473" s="207"/>
      <c r="O1473" s="206"/>
    </row>
    <row r="1474" spans="3:15" ht="30">
      <c r="C1474" s="206"/>
      <c r="D1474" s="206"/>
      <c r="E1474" s="207"/>
      <c r="F1474" s="207"/>
      <c r="G1474" s="207"/>
      <c r="H1474" s="207"/>
      <c r="I1474" s="207"/>
      <c r="J1474" s="207"/>
      <c r="K1474" s="207"/>
      <c r="L1474" s="207"/>
      <c r="M1474" s="207"/>
      <c r="N1474" s="207"/>
      <c r="O1474" s="206"/>
    </row>
    <row r="1475" spans="3:15" ht="30">
      <c r="C1475" s="206"/>
      <c r="D1475" s="206"/>
      <c r="E1475" s="207"/>
      <c r="F1475" s="207"/>
      <c r="G1475" s="207"/>
      <c r="H1475" s="207"/>
      <c r="I1475" s="207"/>
      <c r="J1475" s="207"/>
      <c r="K1475" s="207"/>
      <c r="L1475" s="207"/>
      <c r="M1475" s="207"/>
      <c r="N1475" s="207"/>
      <c r="O1475" s="206"/>
    </row>
    <row r="1476" spans="3:15" ht="30">
      <c r="C1476" s="206"/>
      <c r="D1476" s="206"/>
      <c r="E1476" s="207"/>
      <c r="F1476" s="207"/>
      <c r="G1476" s="207"/>
      <c r="H1476" s="207"/>
      <c r="I1476" s="207"/>
      <c r="J1476" s="207"/>
      <c r="K1476" s="207"/>
      <c r="L1476" s="207"/>
      <c r="M1476" s="207"/>
      <c r="N1476" s="207"/>
      <c r="O1476" s="206"/>
    </row>
    <row r="1477" spans="3:15" ht="30">
      <c r="C1477" s="206"/>
      <c r="D1477" s="206"/>
      <c r="E1477" s="207"/>
      <c r="F1477" s="207"/>
      <c r="G1477" s="207"/>
      <c r="H1477" s="207"/>
      <c r="I1477" s="207"/>
      <c r="J1477" s="207"/>
      <c r="K1477" s="207"/>
      <c r="L1477" s="207"/>
      <c r="M1477" s="207"/>
      <c r="N1477" s="207"/>
      <c r="O1477" s="206"/>
    </row>
    <row r="1478" spans="3:15" ht="30">
      <c r="C1478" s="206"/>
      <c r="D1478" s="206"/>
      <c r="E1478" s="207"/>
      <c r="F1478" s="207"/>
      <c r="G1478" s="207"/>
      <c r="H1478" s="207"/>
      <c r="I1478" s="207"/>
      <c r="J1478" s="207"/>
      <c r="K1478" s="207"/>
      <c r="L1478" s="207"/>
      <c r="M1478" s="207"/>
      <c r="N1478" s="207"/>
      <c r="O1478" s="206"/>
    </row>
    <row r="1479" spans="3:15" ht="30">
      <c r="C1479" s="206"/>
      <c r="D1479" s="206"/>
      <c r="E1479" s="207"/>
      <c r="F1479" s="207"/>
      <c r="G1479" s="207"/>
      <c r="H1479" s="207"/>
      <c r="I1479" s="207"/>
      <c r="J1479" s="207"/>
      <c r="K1479" s="207"/>
      <c r="L1479" s="207"/>
      <c r="M1479" s="207"/>
      <c r="N1479" s="207"/>
      <c r="O1479" s="206"/>
    </row>
    <row r="1480" spans="3:15" ht="30">
      <c r="C1480" s="206"/>
      <c r="D1480" s="206"/>
      <c r="E1480" s="207"/>
      <c r="F1480" s="207"/>
      <c r="G1480" s="207"/>
      <c r="H1480" s="207"/>
      <c r="I1480" s="207"/>
      <c r="J1480" s="207"/>
      <c r="K1480" s="207"/>
      <c r="L1480" s="207"/>
      <c r="M1480" s="207"/>
      <c r="N1480" s="207"/>
      <c r="O1480" s="206"/>
    </row>
    <row r="1481" spans="3:15" ht="30">
      <c r="C1481" s="206"/>
      <c r="D1481" s="206"/>
      <c r="E1481" s="207"/>
      <c r="F1481" s="207"/>
      <c r="G1481" s="207"/>
      <c r="H1481" s="207"/>
      <c r="I1481" s="207"/>
      <c r="J1481" s="207"/>
      <c r="K1481" s="207"/>
      <c r="L1481" s="207"/>
      <c r="M1481" s="207"/>
      <c r="N1481" s="207"/>
      <c r="O1481" s="206"/>
    </row>
    <row r="1482" spans="3:15" ht="30">
      <c r="C1482" s="206"/>
      <c r="D1482" s="206"/>
      <c r="E1482" s="207"/>
      <c r="F1482" s="207"/>
      <c r="G1482" s="207"/>
      <c r="H1482" s="207"/>
      <c r="I1482" s="207"/>
      <c r="J1482" s="207"/>
      <c r="K1482" s="207"/>
      <c r="L1482" s="207"/>
      <c r="M1482" s="207"/>
      <c r="N1482" s="207"/>
      <c r="O1482" s="206"/>
    </row>
    <row r="1483" spans="3:15" ht="30">
      <c r="C1483" s="206"/>
      <c r="D1483" s="206"/>
      <c r="E1483" s="207"/>
      <c r="F1483" s="207"/>
      <c r="G1483" s="207"/>
      <c r="H1483" s="207"/>
      <c r="I1483" s="207"/>
      <c r="J1483" s="207"/>
      <c r="K1483" s="207"/>
      <c r="L1483" s="207"/>
      <c r="M1483" s="207"/>
      <c r="N1483" s="207"/>
      <c r="O1483" s="206"/>
    </row>
    <row r="1484" spans="3:15" ht="30">
      <c r="C1484" s="206"/>
      <c r="D1484" s="206"/>
      <c r="E1484" s="207"/>
      <c r="F1484" s="207"/>
      <c r="G1484" s="207"/>
      <c r="H1484" s="207"/>
      <c r="I1484" s="207"/>
      <c r="J1484" s="207"/>
      <c r="K1484" s="207"/>
      <c r="L1484" s="207"/>
      <c r="M1484" s="207"/>
      <c r="N1484" s="207"/>
      <c r="O1484" s="206"/>
    </row>
    <row r="1485" spans="3:15" ht="30">
      <c r="C1485" s="206"/>
      <c r="D1485" s="206"/>
      <c r="E1485" s="207"/>
      <c r="F1485" s="207"/>
      <c r="G1485" s="207"/>
      <c r="H1485" s="207"/>
      <c r="I1485" s="207"/>
      <c r="J1485" s="207"/>
      <c r="K1485" s="207"/>
      <c r="L1485" s="207"/>
      <c r="M1485" s="207"/>
      <c r="N1485" s="207"/>
      <c r="O1485" s="206"/>
    </row>
    <row r="1486" spans="3:15" ht="30">
      <c r="C1486" s="206"/>
      <c r="D1486" s="206"/>
      <c r="E1486" s="207"/>
      <c r="F1486" s="207"/>
      <c r="G1486" s="207"/>
      <c r="H1486" s="207"/>
      <c r="I1486" s="207"/>
      <c r="J1486" s="207"/>
      <c r="K1486" s="207"/>
      <c r="L1486" s="207"/>
      <c r="M1486" s="207"/>
      <c r="N1486" s="207"/>
      <c r="O1486" s="206"/>
    </row>
    <row r="1487" spans="3:15" ht="30">
      <c r="C1487" s="206"/>
      <c r="D1487" s="206"/>
      <c r="E1487" s="207"/>
      <c r="F1487" s="207"/>
      <c r="G1487" s="207"/>
      <c r="H1487" s="207"/>
      <c r="I1487" s="207"/>
      <c r="J1487" s="207"/>
      <c r="K1487" s="207"/>
      <c r="L1487" s="207"/>
      <c r="M1487" s="207"/>
      <c r="N1487" s="207"/>
      <c r="O1487" s="206"/>
    </row>
    <row r="1488" spans="3:15" ht="30">
      <c r="C1488" s="206"/>
      <c r="D1488" s="206"/>
      <c r="E1488" s="207"/>
      <c r="F1488" s="207"/>
      <c r="G1488" s="207"/>
      <c r="H1488" s="207"/>
      <c r="I1488" s="207"/>
      <c r="J1488" s="207"/>
      <c r="K1488" s="207"/>
      <c r="L1488" s="207"/>
      <c r="M1488" s="207"/>
      <c r="N1488" s="207"/>
      <c r="O1488" s="206"/>
    </row>
    <row r="1489" spans="3:15" ht="30">
      <c r="C1489" s="206"/>
      <c r="D1489" s="206"/>
      <c r="E1489" s="207"/>
      <c r="F1489" s="207"/>
      <c r="G1489" s="207"/>
      <c r="H1489" s="207"/>
      <c r="I1489" s="207"/>
      <c r="J1489" s="207"/>
      <c r="K1489" s="207"/>
      <c r="L1489" s="207"/>
      <c r="M1489" s="207"/>
      <c r="N1489" s="207"/>
      <c r="O1489" s="206"/>
    </row>
    <row r="1490" spans="3:15" ht="30">
      <c r="C1490" s="206"/>
      <c r="D1490" s="206"/>
      <c r="E1490" s="207"/>
      <c r="F1490" s="207"/>
      <c r="G1490" s="207"/>
      <c r="H1490" s="207"/>
      <c r="I1490" s="207"/>
      <c r="J1490" s="207"/>
      <c r="K1490" s="207"/>
      <c r="L1490" s="207"/>
      <c r="M1490" s="207"/>
      <c r="N1490" s="207"/>
      <c r="O1490" s="206"/>
    </row>
    <row r="1491" spans="3:15" ht="30">
      <c r="C1491" s="206"/>
      <c r="D1491" s="206"/>
      <c r="E1491" s="207"/>
      <c r="F1491" s="207"/>
      <c r="G1491" s="207"/>
      <c r="H1491" s="207"/>
      <c r="I1491" s="207"/>
      <c r="J1491" s="207"/>
      <c r="K1491" s="207"/>
      <c r="L1491" s="207"/>
      <c r="M1491" s="207"/>
      <c r="N1491" s="207"/>
      <c r="O1491" s="206"/>
    </row>
    <row r="1492" spans="3:15" ht="30">
      <c r="C1492" s="206"/>
      <c r="D1492" s="206"/>
      <c r="E1492" s="207"/>
      <c r="F1492" s="207"/>
      <c r="G1492" s="207"/>
      <c r="H1492" s="207"/>
      <c r="I1492" s="207"/>
      <c r="J1492" s="207"/>
      <c r="K1492" s="207"/>
      <c r="L1492" s="207"/>
      <c r="M1492" s="207"/>
      <c r="N1492" s="207"/>
      <c r="O1492" s="206"/>
    </row>
    <row r="1493" spans="3:15" ht="30">
      <c r="C1493" s="206"/>
      <c r="D1493" s="206"/>
      <c r="E1493" s="207"/>
      <c r="F1493" s="207"/>
      <c r="G1493" s="207"/>
      <c r="H1493" s="207"/>
      <c r="I1493" s="207"/>
      <c r="J1493" s="207"/>
      <c r="K1493" s="207"/>
      <c r="L1493" s="207"/>
      <c r="M1493" s="207"/>
      <c r="N1493" s="207"/>
      <c r="O1493" s="206"/>
    </row>
    <row r="1494" spans="3:15" ht="30">
      <c r="C1494" s="206"/>
      <c r="D1494" s="206"/>
      <c r="E1494" s="207"/>
      <c r="F1494" s="207"/>
      <c r="G1494" s="207"/>
      <c r="H1494" s="207"/>
      <c r="I1494" s="207"/>
      <c r="J1494" s="207"/>
      <c r="K1494" s="207"/>
      <c r="L1494" s="207"/>
      <c r="M1494" s="207"/>
      <c r="N1494" s="207"/>
      <c r="O1494" s="206"/>
    </row>
    <row r="1495" spans="3:15" ht="30">
      <c r="C1495" s="206"/>
      <c r="D1495" s="206"/>
      <c r="E1495" s="207"/>
      <c r="F1495" s="207"/>
      <c r="G1495" s="207"/>
      <c r="H1495" s="207"/>
      <c r="I1495" s="207"/>
      <c r="J1495" s="207"/>
      <c r="K1495" s="207"/>
      <c r="L1495" s="207"/>
      <c r="M1495" s="207"/>
      <c r="N1495" s="207"/>
      <c r="O1495" s="206"/>
    </row>
    <row r="1496" spans="3:15" ht="30">
      <c r="C1496" s="206"/>
      <c r="D1496" s="206"/>
      <c r="E1496" s="207"/>
      <c r="F1496" s="207"/>
      <c r="G1496" s="207"/>
      <c r="H1496" s="207"/>
      <c r="I1496" s="207"/>
      <c r="J1496" s="207"/>
      <c r="K1496" s="207"/>
      <c r="L1496" s="207"/>
      <c r="M1496" s="207"/>
      <c r="N1496" s="207"/>
      <c r="O1496" s="206"/>
    </row>
    <row r="1497" spans="3:15" ht="30">
      <c r="C1497" s="206"/>
      <c r="D1497" s="206"/>
      <c r="E1497" s="207"/>
      <c r="F1497" s="207"/>
      <c r="G1497" s="207"/>
      <c r="H1497" s="207"/>
      <c r="I1497" s="207"/>
      <c r="J1497" s="207"/>
      <c r="K1497" s="207"/>
      <c r="L1497" s="207"/>
      <c r="M1497" s="207"/>
      <c r="N1497" s="207"/>
      <c r="O1497" s="206"/>
    </row>
    <row r="1498" spans="3:15" ht="30">
      <c r="C1498" s="206"/>
      <c r="D1498" s="206"/>
      <c r="E1498" s="207"/>
      <c r="F1498" s="207"/>
      <c r="G1498" s="207"/>
      <c r="H1498" s="207"/>
      <c r="I1498" s="207"/>
      <c r="J1498" s="207"/>
      <c r="K1498" s="207"/>
      <c r="L1498" s="207"/>
      <c r="M1498" s="207"/>
      <c r="N1498" s="207"/>
      <c r="O1498" s="206"/>
    </row>
    <row r="1499" spans="3:15" ht="30">
      <c r="C1499" s="206"/>
      <c r="D1499" s="206"/>
      <c r="E1499" s="207"/>
      <c r="F1499" s="207"/>
      <c r="G1499" s="207"/>
      <c r="H1499" s="207"/>
      <c r="I1499" s="207"/>
      <c r="J1499" s="207"/>
      <c r="K1499" s="207"/>
      <c r="L1499" s="207"/>
      <c r="M1499" s="207"/>
      <c r="N1499" s="207"/>
      <c r="O1499" s="206"/>
    </row>
    <row r="1500" spans="3:15" ht="30">
      <c r="C1500" s="206"/>
      <c r="D1500" s="206"/>
      <c r="E1500" s="207"/>
      <c r="F1500" s="207"/>
      <c r="G1500" s="207"/>
      <c r="H1500" s="207"/>
      <c r="I1500" s="207"/>
      <c r="J1500" s="207"/>
      <c r="K1500" s="207"/>
      <c r="L1500" s="207"/>
      <c r="M1500" s="207"/>
      <c r="N1500" s="207"/>
      <c r="O1500" s="206"/>
    </row>
    <row r="1501" spans="3:15" ht="30">
      <c r="C1501" s="206"/>
      <c r="D1501" s="206"/>
      <c r="E1501" s="207"/>
      <c r="F1501" s="207"/>
      <c r="G1501" s="207"/>
      <c r="H1501" s="207"/>
      <c r="I1501" s="207"/>
      <c r="J1501" s="207"/>
      <c r="K1501" s="207"/>
      <c r="L1501" s="207"/>
      <c r="M1501" s="207"/>
      <c r="N1501" s="207"/>
      <c r="O1501" s="206"/>
    </row>
    <row r="1502" spans="3:15" ht="30">
      <c r="C1502" s="206"/>
      <c r="D1502" s="206"/>
      <c r="E1502" s="207"/>
      <c r="F1502" s="207"/>
      <c r="G1502" s="207"/>
      <c r="H1502" s="207"/>
      <c r="I1502" s="207"/>
      <c r="J1502" s="207"/>
      <c r="K1502" s="207"/>
      <c r="L1502" s="207"/>
      <c r="M1502" s="207"/>
      <c r="N1502" s="207"/>
      <c r="O1502" s="206"/>
    </row>
    <row r="1503" spans="3:15" ht="30">
      <c r="C1503" s="206"/>
      <c r="D1503" s="206"/>
      <c r="E1503" s="207"/>
      <c r="F1503" s="207"/>
      <c r="G1503" s="207"/>
      <c r="H1503" s="207"/>
      <c r="I1503" s="207"/>
      <c r="J1503" s="207"/>
      <c r="K1503" s="207"/>
      <c r="L1503" s="207"/>
      <c r="M1503" s="207"/>
      <c r="N1503" s="207"/>
      <c r="O1503" s="206"/>
    </row>
    <row r="1504" spans="3:15" ht="30">
      <c r="C1504" s="206"/>
      <c r="D1504" s="206"/>
      <c r="E1504" s="207"/>
      <c r="F1504" s="207"/>
      <c r="G1504" s="207"/>
      <c r="H1504" s="207"/>
      <c r="I1504" s="207"/>
      <c r="J1504" s="207"/>
      <c r="K1504" s="207"/>
      <c r="L1504" s="207"/>
      <c r="M1504" s="207"/>
      <c r="N1504" s="207"/>
      <c r="O1504" s="206"/>
    </row>
    <row r="1505" spans="3:15" ht="30">
      <c r="C1505" s="206"/>
      <c r="D1505" s="206"/>
      <c r="E1505" s="207"/>
      <c r="F1505" s="207"/>
      <c r="G1505" s="207"/>
      <c r="H1505" s="207"/>
      <c r="I1505" s="207"/>
      <c r="J1505" s="207"/>
      <c r="K1505" s="207"/>
      <c r="L1505" s="207"/>
      <c r="M1505" s="207"/>
      <c r="N1505" s="207"/>
      <c r="O1505" s="206"/>
    </row>
    <row r="1506" spans="3:15" ht="30">
      <c r="C1506" s="206"/>
      <c r="D1506" s="206"/>
      <c r="E1506" s="207"/>
      <c r="F1506" s="207"/>
      <c r="G1506" s="207"/>
      <c r="H1506" s="207"/>
      <c r="I1506" s="207"/>
      <c r="J1506" s="207"/>
      <c r="K1506" s="207"/>
      <c r="L1506" s="207"/>
      <c r="M1506" s="207"/>
      <c r="N1506" s="207"/>
      <c r="O1506" s="206"/>
    </row>
    <row r="1507" spans="3:15" ht="30">
      <c r="C1507" s="206"/>
      <c r="D1507" s="206"/>
      <c r="E1507" s="207"/>
      <c r="F1507" s="207"/>
      <c r="G1507" s="207"/>
      <c r="H1507" s="207"/>
      <c r="I1507" s="207"/>
      <c r="J1507" s="207"/>
      <c r="K1507" s="207"/>
      <c r="L1507" s="207"/>
      <c r="M1507" s="207"/>
      <c r="N1507" s="207"/>
      <c r="O1507" s="206"/>
    </row>
    <row r="1508" spans="3:15" ht="30">
      <c r="C1508" s="206"/>
      <c r="D1508" s="206"/>
      <c r="E1508" s="207"/>
      <c r="F1508" s="207"/>
      <c r="G1508" s="207"/>
      <c r="H1508" s="207"/>
      <c r="I1508" s="207"/>
      <c r="J1508" s="207"/>
      <c r="K1508" s="207"/>
      <c r="L1508" s="207"/>
      <c r="M1508" s="207"/>
      <c r="N1508" s="207"/>
      <c r="O1508" s="206"/>
    </row>
    <row r="1509" spans="3:15" ht="30">
      <c r="C1509" s="206"/>
      <c r="D1509" s="206"/>
      <c r="E1509" s="207"/>
      <c r="F1509" s="207"/>
      <c r="G1509" s="207"/>
      <c r="H1509" s="207"/>
      <c r="I1509" s="207"/>
      <c r="J1509" s="207"/>
      <c r="K1509" s="207"/>
      <c r="L1509" s="207"/>
      <c r="M1509" s="207"/>
      <c r="N1509" s="207"/>
      <c r="O1509" s="206"/>
    </row>
    <row r="1510" spans="3:15" ht="30">
      <c r="C1510" s="206"/>
      <c r="D1510" s="206"/>
      <c r="E1510" s="207"/>
      <c r="F1510" s="207"/>
      <c r="G1510" s="207"/>
      <c r="H1510" s="207"/>
      <c r="I1510" s="207"/>
      <c r="J1510" s="207"/>
      <c r="K1510" s="207"/>
      <c r="L1510" s="207"/>
      <c r="M1510" s="207"/>
      <c r="N1510" s="207"/>
      <c r="O1510" s="206"/>
    </row>
    <row r="1511" spans="3:15" ht="30">
      <c r="C1511" s="206"/>
      <c r="D1511" s="206"/>
      <c r="E1511" s="207"/>
      <c r="F1511" s="207"/>
      <c r="G1511" s="207"/>
      <c r="H1511" s="207"/>
      <c r="I1511" s="207"/>
      <c r="J1511" s="207"/>
      <c r="K1511" s="207"/>
      <c r="L1511" s="207"/>
      <c r="M1511" s="207"/>
      <c r="N1511" s="207"/>
      <c r="O1511" s="206"/>
    </row>
    <row r="1512" spans="3:15" ht="30">
      <c r="C1512" s="206"/>
      <c r="D1512" s="206"/>
      <c r="E1512" s="207"/>
      <c r="F1512" s="207"/>
      <c r="G1512" s="207"/>
      <c r="H1512" s="207"/>
      <c r="I1512" s="207"/>
      <c r="J1512" s="207"/>
      <c r="K1512" s="207"/>
      <c r="L1512" s="207"/>
      <c r="M1512" s="207"/>
      <c r="N1512" s="207"/>
      <c r="O1512" s="206"/>
    </row>
    <row r="1513" spans="3:15" ht="30">
      <c r="C1513" s="206"/>
      <c r="D1513" s="206"/>
      <c r="E1513" s="207"/>
      <c r="F1513" s="207"/>
      <c r="G1513" s="207"/>
      <c r="H1513" s="207"/>
      <c r="I1513" s="207"/>
      <c r="J1513" s="207"/>
      <c r="K1513" s="207"/>
      <c r="L1513" s="207"/>
      <c r="M1513" s="207"/>
      <c r="N1513" s="207"/>
      <c r="O1513" s="206"/>
    </row>
    <row r="1514" spans="3:15" ht="30">
      <c r="C1514" s="206"/>
      <c r="D1514" s="206"/>
      <c r="E1514" s="207"/>
      <c r="F1514" s="207"/>
      <c r="G1514" s="207"/>
      <c r="H1514" s="207"/>
      <c r="I1514" s="207"/>
      <c r="J1514" s="207"/>
      <c r="K1514" s="207"/>
      <c r="L1514" s="207"/>
      <c r="M1514" s="207"/>
      <c r="N1514" s="207"/>
      <c r="O1514" s="206"/>
    </row>
    <row r="1515" spans="3:15" ht="30">
      <c r="C1515" s="206"/>
      <c r="D1515" s="206"/>
      <c r="E1515" s="207"/>
      <c r="F1515" s="207"/>
      <c r="G1515" s="207"/>
      <c r="H1515" s="207"/>
      <c r="I1515" s="207"/>
      <c r="J1515" s="207"/>
      <c r="K1515" s="207"/>
      <c r="L1515" s="207"/>
      <c r="M1515" s="207"/>
      <c r="N1515" s="207"/>
      <c r="O1515" s="206"/>
    </row>
    <row r="1516" spans="3:15" ht="30">
      <c r="C1516" s="206"/>
      <c r="D1516" s="206"/>
      <c r="E1516" s="207"/>
      <c r="F1516" s="207"/>
      <c r="G1516" s="207"/>
      <c r="H1516" s="207"/>
      <c r="I1516" s="207"/>
      <c r="J1516" s="207"/>
      <c r="K1516" s="207"/>
      <c r="L1516" s="207"/>
      <c r="M1516" s="207"/>
      <c r="N1516" s="207"/>
      <c r="O1516" s="206"/>
    </row>
    <row r="1517" spans="3:15" ht="30">
      <c r="C1517" s="206"/>
      <c r="D1517" s="206"/>
      <c r="E1517" s="207"/>
      <c r="F1517" s="207"/>
      <c r="G1517" s="207"/>
      <c r="H1517" s="207"/>
      <c r="I1517" s="207"/>
      <c r="J1517" s="207"/>
      <c r="K1517" s="207"/>
      <c r="L1517" s="207"/>
      <c r="M1517" s="207"/>
      <c r="N1517" s="207"/>
      <c r="O1517" s="206"/>
    </row>
    <row r="1518" spans="3:15" ht="30">
      <c r="C1518" s="206"/>
      <c r="D1518" s="206"/>
      <c r="E1518" s="207"/>
      <c r="F1518" s="207"/>
      <c r="G1518" s="207"/>
      <c r="H1518" s="207"/>
      <c r="I1518" s="207"/>
      <c r="J1518" s="207"/>
      <c r="K1518" s="207"/>
      <c r="L1518" s="207"/>
      <c r="M1518" s="207"/>
      <c r="N1518" s="207"/>
      <c r="O1518" s="206"/>
    </row>
    <row r="1519" spans="3:15" ht="30">
      <c r="C1519" s="206"/>
      <c r="D1519" s="206"/>
      <c r="E1519" s="207"/>
      <c r="F1519" s="207"/>
      <c r="G1519" s="207"/>
      <c r="H1519" s="207"/>
      <c r="I1519" s="207"/>
      <c r="J1519" s="207"/>
      <c r="K1519" s="207"/>
      <c r="L1519" s="207"/>
      <c r="M1519" s="207"/>
      <c r="N1519" s="207"/>
      <c r="O1519" s="206"/>
    </row>
    <row r="1520" spans="3:15" ht="30">
      <c r="C1520" s="206"/>
      <c r="D1520" s="206"/>
      <c r="E1520" s="207"/>
      <c r="F1520" s="207"/>
      <c r="G1520" s="207"/>
      <c r="H1520" s="207"/>
      <c r="I1520" s="207"/>
      <c r="J1520" s="207"/>
      <c r="K1520" s="207"/>
      <c r="L1520" s="207"/>
      <c r="M1520" s="207"/>
      <c r="N1520" s="207"/>
      <c r="O1520" s="206"/>
    </row>
    <row r="1521" spans="3:15" ht="30">
      <c r="C1521" s="206"/>
      <c r="D1521" s="206"/>
      <c r="E1521" s="207"/>
      <c r="F1521" s="207"/>
      <c r="G1521" s="207"/>
      <c r="H1521" s="207"/>
      <c r="I1521" s="207"/>
      <c r="J1521" s="207"/>
      <c r="K1521" s="207"/>
      <c r="L1521" s="207"/>
      <c r="M1521" s="207"/>
      <c r="N1521" s="207"/>
      <c r="O1521" s="206"/>
    </row>
    <row r="1522" spans="3:15" ht="30">
      <c r="C1522" s="206"/>
      <c r="D1522" s="206"/>
      <c r="E1522" s="207"/>
      <c r="F1522" s="207"/>
      <c r="G1522" s="207"/>
      <c r="H1522" s="207"/>
      <c r="I1522" s="207"/>
      <c r="J1522" s="207"/>
      <c r="K1522" s="207"/>
      <c r="L1522" s="207"/>
      <c r="M1522" s="207"/>
      <c r="N1522" s="207"/>
      <c r="O1522" s="206"/>
    </row>
    <row r="1523" spans="3:15" ht="30">
      <c r="C1523" s="206"/>
      <c r="D1523" s="206"/>
      <c r="E1523" s="207"/>
      <c r="F1523" s="207"/>
      <c r="G1523" s="207"/>
      <c r="H1523" s="207"/>
      <c r="I1523" s="207"/>
      <c r="J1523" s="207"/>
      <c r="K1523" s="207"/>
      <c r="L1523" s="207"/>
      <c r="M1523" s="207"/>
      <c r="N1523" s="207"/>
      <c r="O1523" s="206"/>
    </row>
    <row r="1524" spans="3:15" ht="30">
      <c r="C1524" s="206"/>
      <c r="D1524" s="206"/>
      <c r="E1524" s="207"/>
      <c r="F1524" s="207"/>
      <c r="G1524" s="207"/>
      <c r="H1524" s="207"/>
      <c r="I1524" s="207"/>
      <c r="J1524" s="207"/>
      <c r="K1524" s="207"/>
      <c r="L1524" s="207"/>
      <c r="M1524" s="207"/>
      <c r="N1524" s="207"/>
      <c r="O1524" s="206"/>
    </row>
    <row r="1525" spans="3:15" ht="30">
      <c r="C1525" s="206"/>
      <c r="D1525" s="206"/>
      <c r="E1525" s="207"/>
      <c r="F1525" s="207"/>
      <c r="G1525" s="207"/>
      <c r="H1525" s="207"/>
      <c r="I1525" s="207"/>
      <c r="J1525" s="207"/>
      <c r="K1525" s="207"/>
      <c r="L1525" s="207"/>
      <c r="M1525" s="207"/>
      <c r="N1525" s="207"/>
      <c r="O1525" s="206"/>
    </row>
    <row r="1526" spans="3:15" ht="30">
      <c r="C1526" s="206"/>
      <c r="D1526" s="206"/>
      <c r="E1526" s="207"/>
      <c r="F1526" s="207"/>
      <c r="G1526" s="207"/>
      <c r="H1526" s="207"/>
      <c r="I1526" s="207"/>
      <c r="J1526" s="207"/>
      <c r="K1526" s="207"/>
      <c r="L1526" s="207"/>
      <c r="M1526" s="207"/>
      <c r="N1526" s="207"/>
      <c r="O1526" s="206"/>
    </row>
    <row r="1527" spans="3:15" ht="30">
      <c r="C1527" s="206"/>
      <c r="D1527" s="206"/>
      <c r="E1527" s="207"/>
      <c r="F1527" s="207"/>
      <c r="G1527" s="207"/>
      <c r="H1527" s="207"/>
      <c r="I1527" s="207"/>
      <c r="J1527" s="207"/>
      <c r="K1527" s="207"/>
      <c r="L1527" s="207"/>
      <c r="M1527" s="207"/>
      <c r="N1527" s="207"/>
      <c r="O1527" s="206"/>
    </row>
    <row r="1528" spans="3:15" ht="30">
      <c r="C1528" s="206"/>
      <c r="D1528" s="206"/>
      <c r="E1528" s="207"/>
      <c r="F1528" s="207"/>
      <c r="G1528" s="207"/>
      <c r="H1528" s="207"/>
      <c r="I1528" s="207"/>
      <c r="J1528" s="207"/>
      <c r="K1528" s="207"/>
      <c r="L1528" s="207"/>
      <c r="M1528" s="207"/>
      <c r="N1528" s="207"/>
      <c r="O1528" s="206"/>
    </row>
    <row r="1529" spans="3:15" ht="30">
      <c r="C1529" s="206"/>
      <c r="D1529" s="206"/>
      <c r="E1529" s="207"/>
      <c r="F1529" s="207"/>
      <c r="G1529" s="207"/>
      <c r="H1529" s="207"/>
      <c r="I1529" s="207"/>
      <c r="J1529" s="207"/>
      <c r="K1529" s="207"/>
      <c r="L1529" s="207"/>
      <c r="M1529" s="207"/>
      <c r="N1529" s="207"/>
      <c r="O1529" s="206"/>
    </row>
    <row r="1530" spans="3:15" ht="30">
      <c r="C1530" s="206"/>
      <c r="D1530" s="206"/>
      <c r="E1530" s="207"/>
      <c r="F1530" s="207"/>
      <c r="G1530" s="207"/>
      <c r="H1530" s="207"/>
      <c r="I1530" s="207"/>
      <c r="J1530" s="207"/>
      <c r="K1530" s="207"/>
      <c r="L1530" s="207"/>
      <c r="M1530" s="207"/>
      <c r="N1530" s="207"/>
      <c r="O1530" s="206"/>
    </row>
    <row r="1531" spans="3:15" ht="30">
      <c r="C1531" s="206"/>
      <c r="D1531" s="206"/>
      <c r="E1531" s="207"/>
      <c r="F1531" s="207"/>
      <c r="G1531" s="207"/>
      <c r="H1531" s="207"/>
      <c r="I1531" s="207"/>
      <c r="J1531" s="207"/>
      <c r="K1531" s="207"/>
      <c r="L1531" s="207"/>
      <c r="M1531" s="207"/>
      <c r="N1531" s="207"/>
      <c r="O1531" s="206"/>
    </row>
    <row r="1532" spans="3:15" ht="30">
      <c r="C1532" s="206"/>
      <c r="D1532" s="206"/>
      <c r="E1532" s="207"/>
      <c r="F1532" s="207"/>
      <c r="G1532" s="207"/>
      <c r="H1532" s="207"/>
      <c r="I1532" s="207"/>
      <c r="J1532" s="207"/>
      <c r="K1532" s="207"/>
      <c r="L1532" s="207"/>
      <c r="M1532" s="207"/>
      <c r="N1532" s="207"/>
      <c r="O1532" s="206"/>
    </row>
    <row r="1533" spans="3:15" ht="30">
      <c r="C1533" s="206"/>
      <c r="D1533" s="206"/>
      <c r="E1533" s="207"/>
      <c r="F1533" s="207"/>
      <c r="G1533" s="207"/>
      <c r="H1533" s="207"/>
      <c r="I1533" s="207"/>
      <c r="J1533" s="207"/>
      <c r="K1533" s="207"/>
      <c r="L1533" s="207"/>
      <c r="M1533" s="207"/>
      <c r="N1533" s="207"/>
      <c r="O1533" s="206"/>
    </row>
    <row r="1534" spans="3:15" ht="30">
      <c r="C1534" s="206"/>
      <c r="D1534" s="206"/>
      <c r="E1534" s="207"/>
      <c r="F1534" s="207"/>
      <c r="G1534" s="207"/>
      <c r="H1534" s="207"/>
      <c r="I1534" s="207"/>
      <c r="J1534" s="207"/>
      <c r="K1534" s="207"/>
      <c r="L1534" s="207"/>
      <c r="M1534" s="207"/>
      <c r="N1534" s="207"/>
      <c r="O1534" s="206"/>
    </row>
    <row r="1535" spans="3:15" ht="30">
      <c r="C1535" s="206"/>
      <c r="D1535" s="206"/>
      <c r="E1535" s="207"/>
      <c r="F1535" s="207"/>
      <c r="G1535" s="207"/>
      <c r="H1535" s="207"/>
      <c r="I1535" s="207"/>
      <c r="J1535" s="207"/>
      <c r="K1535" s="207"/>
      <c r="L1535" s="207"/>
      <c r="M1535" s="207"/>
      <c r="N1535" s="207"/>
      <c r="O1535" s="206"/>
    </row>
    <row r="1536" spans="3:15" ht="30">
      <c r="C1536" s="206"/>
      <c r="D1536" s="206"/>
      <c r="E1536" s="207"/>
      <c r="F1536" s="207"/>
      <c r="G1536" s="207"/>
      <c r="H1536" s="207"/>
      <c r="I1536" s="207"/>
      <c r="J1536" s="207"/>
      <c r="K1536" s="207"/>
      <c r="L1536" s="207"/>
      <c r="M1536" s="207"/>
      <c r="N1536" s="207"/>
      <c r="O1536" s="206"/>
    </row>
    <row r="1537" spans="3:15" ht="30">
      <c r="C1537" s="206"/>
      <c r="D1537" s="206"/>
      <c r="E1537" s="207"/>
      <c r="F1537" s="207"/>
      <c r="G1537" s="207"/>
      <c r="H1537" s="207"/>
      <c r="I1537" s="207"/>
      <c r="J1537" s="207"/>
      <c r="K1537" s="207"/>
      <c r="L1537" s="207"/>
      <c r="M1537" s="207"/>
      <c r="N1537" s="207"/>
      <c r="O1537" s="206"/>
    </row>
    <row r="1538" spans="3:15" ht="30">
      <c r="C1538" s="206"/>
      <c r="D1538" s="206"/>
      <c r="E1538" s="207"/>
      <c r="F1538" s="207"/>
      <c r="G1538" s="207"/>
      <c r="H1538" s="207"/>
      <c r="I1538" s="207"/>
      <c r="J1538" s="207"/>
      <c r="K1538" s="207"/>
      <c r="L1538" s="207"/>
      <c r="M1538" s="207"/>
      <c r="N1538" s="207"/>
      <c r="O1538" s="206"/>
    </row>
    <row r="1539" spans="3:15" ht="30">
      <c r="C1539" s="206"/>
      <c r="D1539" s="206"/>
      <c r="E1539" s="207"/>
      <c r="F1539" s="207"/>
      <c r="G1539" s="207"/>
      <c r="H1539" s="207"/>
      <c r="I1539" s="207"/>
      <c r="J1539" s="207"/>
      <c r="K1539" s="207"/>
      <c r="L1539" s="207"/>
      <c r="M1539" s="207"/>
      <c r="N1539" s="207"/>
      <c r="O1539" s="206"/>
    </row>
    <row r="1540" spans="3:15" ht="30">
      <c r="C1540" s="206"/>
      <c r="D1540" s="206"/>
      <c r="E1540" s="207"/>
      <c r="F1540" s="207"/>
      <c r="G1540" s="207"/>
      <c r="H1540" s="207"/>
      <c r="I1540" s="207"/>
      <c r="J1540" s="207"/>
      <c r="K1540" s="207"/>
      <c r="L1540" s="207"/>
      <c r="M1540" s="207"/>
      <c r="N1540" s="207"/>
      <c r="O1540" s="206"/>
    </row>
    <row r="1541" spans="3:15" ht="30">
      <c r="C1541" s="206"/>
      <c r="D1541" s="206"/>
      <c r="E1541" s="207"/>
      <c r="F1541" s="207"/>
      <c r="G1541" s="207"/>
      <c r="H1541" s="207"/>
      <c r="I1541" s="207"/>
      <c r="J1541" s="207"/>
      <c r="K1541" s="207"/>
      <c r="L1541" s="207"/>
      <c r="M1541" s="207"/>
      <c r="N1541" s="207"/>
      <c r="O1541" s="206"/>
    </row>
    <row r="1542" spans="3:15" ht="30">
      <c r="C1542" s="206"/>
      <c r="D1542" s="206"/>
      <c r="E1542" s="207"/>
      <c r="F1542" s="207"/>
      <c r="G1542" s="207"/>
      <c r="H1542" s="207"/>
      <c r="I1542" s="207"/>
      <c r="J1542" s="207"/>
      <c r="K1542" s="207"/>
      <c r="L1542" s="207"/>
      <c r="M1542" s="207"/>
      <c r="N1542" s="207"/>
      <c r="O1542" s="206"/>
    </row>
    <row r="1543" spans="3:15" ht="30">
      <c r="C1543" s="206"/>
      <c r="D1543" s="206"/>
      <c r="E1543" s="207"/>
      <c r="F1543" s="207"/>
      <c r="G1543" s="207"/>
      <c r="H1543" s="207"/>
      <c r="I1543" s="207"/>
      <c r="J1543" s="207"/>
      <c r="K1543" s="207"/>
      <c r="L1543" s="207"/>
      <c r="M1543" s="207"/>
      <c r="N1543" s="207"/>
      <c r="O1543" s="206"/>
    </row>
    <row r="1544" spans="3:15" ht="30">
      <c r="C1544" s="206"/>
      <c r="D1544" s="206"/>
      <c r="E1544" s="207"/>
      <c r="F1544" s="207"/>
      <c r="G1544" s="207"/>
      <c r="H1544" s="207"/>
      <c r="I1544" s="207"/>
      <c r="J1544" s="207"/>
      <c r="K1544" s="207"/>
      <c r="L1544" s="207"/>
      <c r="M1544" s="207"/>
      <c r="N1544" s="207"/>
      <c r="O1544" s="206"/>
    </row>
    <row r="1545" spans="3:15" ht="30">
      <c r="C1545" s="206"/>
      <c r="D1545" s="206"/>
      <c r="E1545" s="207"/>
      <c r="F1545" s="207"/>
      <c r="G1545" s="207"/>
      <c r="H1545" s="207"/>
      <c r="I1545" s="207"/>
      <c r="J1545" s="207"/>
      <c r="K1545" s="207"/>
      <c r="L1545" s="207"/>
      <c r="M1545" s="207"/>
      <c r="N1545" s="207"/>
      <c r="O1545" s="206"/>
    </row>
    <row r="1546" spans="3:15" ht="30">
      <c r="C1546" s="206"/>
      <c r="D1546" s="206"/>
      <c r="E1546" s="207"/>
      <c r="F1546" s="207"/>
      <c r="G1546" s="207"/>
      <c r="H1546" s="207"/>
      <c r="I1546" s="207"/>
      <c r="J1546" s="207"/>
      <c r="K1546" s="207"/>
      <c r="L1546" s="207"/>
      <c r="M1546" s="207"/>
      <c r="N1546" s="207"/>
      <c r="O1546" s="206"/>
    </row>
    <row r="1547" spans="3:15" ht="30">
      <c r="C1547" s="206"/>
      <c r="D1547" s="206"/>
      <c r="E1547" s="207"/>
      <c r="F1547" s="207"/>
      <c r="G1547" s="207"/>
      <c r="H1547" s="207"/>
      <c r="I1547" s="207"/>
      <c r="J1547" s="207"/>
      <c r="K1547" s="207"/>
      <c r="L1547" s="207"/>
      <c r="M1547" s="207"/>
      <c r="N1547" s="207"/>
      <c r="O1547" s="206"/>
    </row>
    <row r="1548" spans="3:15" ht="30">
      <c r="C1548" s="206"/>
      <c r="D1548" s="206"/>
      <c r="E1548" s="207"/>
      <c r="F1548" s="207"/>
      <c r="G1548" s="207"/>
      <c r="H1548" s="207"/>
      <c r="I1548" s="207"/>
      <c r="J1548" s="207"/>
      <c r="K1548" s="207"/>
      <c r="L1548" s="207"/>
      <c r="M1548" s="207"/>
      <c r="N1548" s="207"/>
      <c r="O1548" s="206"/>
    </row>
    <row r="1549" spans="3:15" ht="30">
      <c r="C1549" s="206"/>
      <c r="D1549" s="206"/>
      <c r="E1549" s="207"/>
      <c r="F1549" s="207"/>
      <c r="G1549" s="207"/>
      <c r="H1549" s="207"/>
      <c r="I1549" s="207"/>
      <c r="J1549" s="207"/>
      <c r="K1549" s="207"/>
      <c r="L1549" s="207"/>
      <c r="M1549" s="207"/>
      <c r="N1549" s="207"/>
      <c r="O1549" s="206"/>
    </row>
    <row r="1550" spans="3:15" ht="30">
      <c r="C1550" s="206"/>
      <c r="D1550" s="206"/>
      <c r="E1550" s="207"/>
      <c r="F1550" s="207"/>
      <c r="G1550" s="207"/>
      <c r="H1550" s="207"/>
      <c r="I1550" s="207"/>
      <c r="J1550" s="207"/>
      <c r="K1550" s="207"/>
      <c r="L1550" s="207"/>
      <c r="M1550" s="207"/>
      <c r="N1550" s="207"/>
      <c r="O1550" s="206"/>
    </row>
    <row r="1551" spans="3:15" ht="30">
      <c r="C1551" s="206"/>
      <c r="D1551" s="206"/>
      <c r="E1551" s="207"/>
      <c r="F1551" s="207"/>
      <c r="G1551" s="207"/>
      <c r="H1551" s="207"/>
      <c r="I1551" s="207"/>
      <c r="J1551" s="207"/>
      <c r="K1551" s="207"/>
      <c r="L1551" s="207"/>
      <c r="M1551" s="207"/>
      <c r="N1551" s="207"/>
      <c r="O1551" s="206"/>
    </row>
    <row r="1552" spans="3:15" ht="30">
      <c r="C1552" s="206"/>
      <c r="D1552" s="206"/>
      <c r="E1552" s="207"/>
      <c r="F1552" s="207"/>
      <c r="G1552" s="207"/>
      <c r="H1552" s="207"/>
      <c r="I1552" s="207"/>
      <c r="J1552" s="207"/>
      <c r="K1552" s="207"/>
      <c r="L1552" s="207"/>
      <c r="M1552" s="207"/>
      <c r="N1552" s="207"/>
      <c r="O1552" s="206"/>
    </row>
    <row r="1553" spans="3:15" ht="30">
      <c r="C1553" s="206"/>
      <c r="D1553" s="206"/>
      <c r="E1553" s="207"/>
      <c r="F1553" s="207"/>
      <c r="G1553" s="207"/>
      <c r="H1553" s="207"/>
      <c r="I1553" s="207"/>
      <c r="J1553" s="207"/>
      <c r="K1553" s="207"/>
      <c r="L1553" s="207"/>
      <c r="M1553" s="207"/>
      <c r="N1553" s="207"/>
      <c r="O1553" s="206"/>
    </row>
    <row r="1554" spans="3:15" ht="30">
      <c r="C1554" s="206"/>
      <c r="D1554" s="206"/>
      <c r="E1554" s="207"/>
      <c r="F1554" s="207"/>
      <c r="G1554" s="207"/>
      <c r="H1554" s="207"/>
      <c r="I1554" s="207"/>
      <c r="J1554" s="207"/>
      <c r="K1554" s="207"/>
      <c r="L1554" s="207"/>
      <c r="M1554" s="207"/>
      <c r="N1554" s="207"/>
      <c r="O1554" s="206"/>
    </row>
    <row r="1555" spans="3:15" ht="30">
      <c r="C1555" s="206"/>
      <c r="D1555" s="206"/>
      <c r="E1555" s="207"/>
      <c r="F1555" s="207"/>
      <c r="G1555" s="207"/>
      <c r="H1555" s="207"/>
      <c r="I1555" s="207"/>
      <c r="J1555" s="207"/>
      <c r="K1555" s="207"/>
      <c r="L1555" s="207"/>
      <c r="M1555" s="207"/>
      <c r="N1555" s="207"/>
      <c r="O1555" s="206"/>
    </row>
    <row r="1556" spans="3:15" ht="30">
      <c r="C1556" s="206"/>
      <c r="D1556" s="206"/>
      <c r="E1556" s="207"/>
      <c r="F1556" s="207"/>
      <c r="G1556" s="207"/>
      <c r="H1556" s="207"/>
      <c r="I1556" s="207"/>
      <c r="J1556" s="207"/>
      <c r="K1556" s="207"/>
      <c r="L1556" s="207"/>
      <c r="M1556" s="207"/>
      <c r="N1556" s="207"/>
      <c r="O1556" s="206"/>
    </row>
    <row r="1557" spans="3:15" ht="30">
      <c r="C1557" s="206"/>
      <c r="D1557" s="206"/>
      <c r="E1557" s="207"/>
      <c r="F1557" s="207"/>
      <c r="G1557" s="207"/>
      <c r="H1557" s="207"/>
      <c r="I1557" s="207"/>
      <c r="J1557" s="207"/>
      <c r="K1557" s="207"/>
      <c r="L1557" s="207"/>
      <c r="M1557" s="207"/>
      <c r="N1557" s="207"/>
      <c r="O1557" s="206"/>
    </row>
    <row r="1558" spans="3:15" ht="30">
      <c r="C1558" s="206"/>
      <c r="D1558" s="206"/>
      <c r="E1558" s="207"/>
      <c r="F1558" s="207"/>
      <c r="G1558" s="207"/>
      <c r="H1558" s="207"/>
      <c r="I1558" s="207"/>
      <c r="J1558" s="207"/>
      <c r="K1558" s="207"/>
      <c r="L1558" s="207"/>
      <c r="M1558" s="207"/>
      <c r="N1558" s="207"/>
      <c r="O1558" s="206"/>
    </row>
    <row r="1559" spans="3:15" ht="30">
      <c r="C1559" s="206"/>
      <c r="D1559" s="206"/>
      <c r="E1559" s="207"/>
      <c r="F1559" s="207"/>
      <c r="G1559" s="207"/>
      <c r="H1559" s="207"/>
      <c r="I1559" s="207"/>
      <c r="J1559" s="207"/>
      <c r="K1559" s="207"/>
      <c r="L1559" s="207"/>
      <c r="M1559" s="207"/>
      <c r="N1559" s="207"/>
      <c r="O1559" s="206"/>
    </row>
    <row r="1560" spans="3:15" ht="30">
      <c r="C1560" s="206"/>
      <c r="D1560" s="206"/>
      <c r="E1560" s="207"/>
      <c r="F1560" s="207"/>
      <c r="G1560" s="207"/>
      <c r="H1560" s="207"/>
      <c r="I1560" s="207"/>
      <c r="J1560" s="207"/>
      <c r="K1560" s="207"/>
      <c r="L1560" s="207"/>
      <c r="M1560" s="207"/>
      <c r="N1560" s="207"/>
      <c r="O1560" s="206"/>
    </row>
    <row r="1561" spans="3:15" ht="30">
      <c r="C1561" s="206"/>
      <c r="D1561" s="206"/>
      <c r="E1561" s="207"/>
      <c r="F1561" s="207"/>
      <c r="G1561" s="207"/>
      <c r="H1561" s="207"/>
      <c r="I1561" s="207"/>
      <c r="J1561" s="207"/>
      <c r="K1561" s="207"/>
      <c r="L1561" s="207"/>
      <c r="M1561" s="207"/>
      <c r="N1561" s="207"/>
      <c r="O1561" s="206"/>
    </row>
    <row r="1562" spans="3:15" ht="30">
      <c r="C1562" s="206"/>
      <c r="D1562" s="206"/>
      <c r="E1562" s="207"/>
      <c r="F1562" s="207"/>
      <c r="G1562" s="207"/>
      <c r="H1562" s="207"/>
      <c r="I1562" s="207"/>
      <c r="J1562" s="207"/>
      <c r="K1562" s="207"/>
      <c r="L1562" s="207"/>
      <c r="M1562" s="207"/>
      <c r="N1562" s="207"/>
      <c r="O1562" s="206"/>
    </row>
    <row r="1563" spans="3:15" ht="30">
      <c r="C1563" s="206"/>
      <c r="D1563" s="206"/>
      <c r="E1563" s="207"/>
      <c r="F1563" s="207"/>
      <c r="G1563" s="207"/>
      <c r="H1563" s="207"/>
      <c r="I1563" s="207"/>
      <c r="J1563" s="207"/>
      <c r="K1563" s="207"/>
      <c r="L1563" s="207"/>
      <c r="M1563" s="207"/>
      <c r="N1563" s="207"/>
      <c r="O1563" s="206"/>
    </row>
    <row r="1564" spans="3:15" ht="30">
      <c r="C1564" s="206"/>
      <c r="D1564" s="206"/>
      <c r="E1564" s="207"/>
      <c r="F1564" s="207"/>
      <c r="G1564" s="207"/>
      <c r="H1564" s="207"/>
      <c r="I1564" s="207"/>
      <c r="J1564" s="207"/>
      <c r="K1564" s="207"/>
      <c r="L1564" s="207"/>
      <c r="M1564" s="207"/>
      <c r="N1564" s="207"/>
      <c r="O1564" s="206"/>
    </row>
    <row r="1565" spans="3:15" ht="30">
      <c r="C1565" s="206"/>
      <c r="D1565" s="206"/>
      <c r="E1565" s="207"/>
      <c r="F1565" s="207"/>
      <c r="G1565" s="207"/>
      <c r="H1565" s="207"/>
      <c r="I1565" s="207"/>
      <c r="J1565" s="207"/>
      <c r="K1565" s="207"/>
      <c r="L1565" s="207"/>
      <c r="M1565" s="207"/>
      <c r="N1565" s="207"/>
      <c r="O1565" s="206"/>
    </row>
    <row r="1566" spans="3:15" ht="30">
      <c r="C1566" s="206"/>
      <c r="D1566" s="206"/>
      <c r="E1566" s="207"/>
      <c r="F1566" s="207"/>
      <c r="G1566" s="207"/>
      <c r="H1566" s="207"/>
      <c r="I1566" s="207"/>
      <c r="J1566" s="207"/>
      <c r="K1566" s="207"/>
      <c r="L1566" s="207"/>
      <c r="M1566" s="207"/>
      <c r="N1566" s="207"/>
      <c r="O1566" s="206"/>
    </row>
    <row r="1567" spans="3:15" ht="30">
      <c r="C1567" s="206"/>
      <c r="D1567" s="206"/>
      <c r="E1567" s="207"/>
      <c r="F1567" s="207"/>
      <c r="G1567" s="207"/>
      <c r="H1567" s="207"/>
      <c r="I1567" s="207"/>
      <c r="J1567" s="207"/>
      <c r="K1567" s="207"/>
      <c r="L1567" s="207"/>
      <c r="M1567" s="207"/>
      <c r="N1567" s="207"/>
      <c r="O1567" s="206"/>
    </row>
    <row r="1568" spans="3:15" ht="30">
      <c r="C1568" s="206"/>
      <c r="D1568" s="206"/>
      <c r="E1568" s="207"/>
      <c r="F1568" s="207"/>
      <c r="G1568" s="207"/>
      <c r="H1568" s="207"/>
      <c r="I1568" s="207"/>
      <c r="J1568" s="207"/>
      <c r="K1568" s="207"/>
      <c r="L1568" s="207"/>
      <c r="M1568" s="207"/>
      <c r="N1568" s="207"/>
      <c r="O1568" s="206"/>
    </row>
    <row r="1569" spans="3:15" ht="30">
      <c r="C1569" s="206"/>
      <c r="D1569" s="206"/>
      <c r="E1569" s="207"/>
      <c r="F1569" s="207"/>
      <c r="G1569" s="207"/>
      <c r="H1569" s="207"/>
      <c r="I1569" s="207"/>
      <c r="J1569" s="207"/>
      <c r="K1569" s="207"/>
      <c r="L1569" s="207"/>
      <c r="M1569" s="207"/>
      <c r="N1569" s="207"/>
      <c r="O1569" s="206"/>
    </row>
    <row r="1570" spans="3:15" ht="30">
      <c r="C1570" s="206"/>
      <c r="D1570" s="206"/>
      <c r="E1570" s="207"/>
      <c r="F1570" s="207"/>
      <c r="G1570" s="207"/>
      <c r="H1570" s="207"/>
      <c r="I1570" s="207"/>
      <c r="J1570" s="207"/>
      <c r="K1570" s="207"/>
      <c r="L1570" s="207"/>
      <c r="M1570" s="207"/>
      <c r="N1570" s="207"/>
      <c r="O1570" s="206"/>
    </row>
    <row r="1571" spans="3:15" ht="30">
      <c r="C1571" s="206"/>
      <c r="D1571" s="206"/>
      <c r="E1571" s="207"/>
      <c r="F1571" s="207"/>
      <c r="G1571" s="207"/>
      <c r="H1571" s="207"/>
      <c r="I1571" s="207"/>
      <c r="J1571" s="207"/>
      <c r="K1571" s="207"/>
      <c r="L1571" s="207"/>
      <c r="M1571" s="207"/>
      <c r="N1571" s="207"/>
      <c r="O1571" s="206"/>
    </row>
    <row r="1572" spans="3:15" ht="30">
      <c r="C1572" s="206"/>
      <c r="D1572" s="206"/>
      <c r="E1572" s="207"/>
      <c r="F1572" s="207"/>
      <c r="G1572" s="207"/>
      <c r="H1572" s="207"/>
      <c r="I1572" s="207"/>
      <c r="J1572" s="207"/>
      <c r="K1572" s="207"/>
      <c r="L1572" s="207"/>
      <c r="M1572" s="207"/>
      <c r="N1572" s="207"/>
      <c r="O1572" s="206"/>
    </row>
    <row r="1573" spans="3:15" ht="30">
      <c r="C1573" s="206"/>
      <c r="D1573" s="206"/>
      <c r="E1573" s="207"/>
      <c r="F1573" s="207"/>
      <c r="G1573" s="207"/>
      <c r="H1573" s="207"/>
      <c r="I1573" s="207"/>
      <c r="J1573" s="207"/>
      <c r="K1573" s="207"/>
      <c r="L1573" s="207"/>
      <c r="M1573" s="207"/>
      <c r="N1573" s="207"/>
      <c r="O1573" s="206"/>
    </row>
    <row r="1574" spans="3:15" ht="30">
      <c r="C1574" s="206"/>
      <c r="D1574" s="206"/>
      <c r="E1574" s="207"/>
      <c r="F1574" s="207"/>
      <c r="G1574" s="207"/>
      <c r="H1574" s="207"/>
      <c r="I1574" s="207"/>
      <c r="J1574" s="207"/>
      <c r="K1574" s="207"/>
      <c r="L1574" s="207"/>
      <c r="M1574" s="207"/>
      <c r="N1574" s="207"/>
      <c r="O1574" s="206"/>
    </row>
    <row r="1575" spans="3:15" ht="30">
      <c r="C1575" s="206"/>
      <c r="D1575" s="206"/>
      <c r="E1575" s="207"/>
      <c r="F1575" s="207"/>
      <c r="G1575" s="207"/>
      <c r="H1575" s="207"/>
      <c r="I1575" s="207"/>
      <c r="J1575" s="207"/>
      <c r="K1575" s="207"/>
      <c r="L1575" s="207"/>
      <c r="M1575" s="207"/>
      <c r="N1575" s="207"/>
      <c r="O1575" s="206"/>
    </row>
    <row r="1576" spans="3:15" ht="30">
      <c r="C1576" s="206"/>
      <c r="D1576" s="206"/>
      <c r="E1576" s="207"/>
      <c r="F1576" s="207"/>
      <c r="G1576" s="207"/>
      <c r="H1576" s="207"/>
      <c r="I1576" s="207"/>
      <c r="J1576" s="207"/>
      <c r="K1576" s="207"/>
      <c r="L1576" s="207"/>
      <c r="M1576" s="207"/>
      <c r="N1576" s="207"/>
      <c r="O1576" s="206"/>
    </row>
    <row r="1577" spans="3:15" ht="30">
      <c r="C1577" s="206"/>
      <c r="D1577" s="206"/>
      <c r="E1577" s="207"/>
      <c r="F1577" s="207"/>
      <c r="G1577" s="207"/>
      <c r="H1577" s="207"/>
      <c r="I1577" s="207"/>
      <c r="J1577" s="207"/>
      <c r="K1577" s="207"/>
      <c r="L1577" s="207"/>
      <c r="M1577" s="207"/>
      <c r="N1577" s="207"/>
      <c r="O1577" s="206"/>
    </row>
    <row r="1578" spans="3:15" ht="30">
      <c r="C1578" s="206"/>
      <c r="D1578" s="206"/>
      <c r="E1578" s="207"/>
      <c r="F1578" s="207"/>
      <c r="G1578" s="207"/>
      <c r="H1578" s="207"/>
      <c r="I1578" s="207"/>
      <c r="J1578" s="207"/>
      <c r="K1578" s="207"/>
      <c r="L1578" s="207"/>
      <c r="M1578" s="207"/>
      <c r="N1578" s="207"/>
      <c r="O1578" s="206"/>
    </row>
    <row r="1579" spans="3:15" ht="30">
      <c r="C1579" s="206"/>
      <c r="D1579" s="206"/>
      <c r="E1579" s="207"/>
      <c r="F1579" s="207"/>
      <c r="G1579" s="207"/>
      <c r="H1579" s="207"/>
      <c r="I1579" s="207"/>
      <c r="J1579" s="207"/>
      <c r="K1579" s="207"/>
      <c r="L1579" s="207"/>
      <c r="M1579" s="207"/>
      <c r="N1579" s="207"/>
      <c r="O1579" s="206"/>
    </row>
    <row r="1580" spans="3:15" ht="30">
      <c r="C1580" s="206"/>
      <c r="D1580" s="206"/>
      <c r="E1580" s="207"/>
      <c r="F1580" s="207"/>
      <c r="G1580" s="207"/>
      <c r="H1580" s="207"/>
      <c r="I1580" s="207"/>
      <c r="J1580" s="207"/>
      <c r="K1580" s="207"/>
      <c r="L1580" s="207"/>
      <c r="M1580" s="207"/>
      <c r="N1580" s="207"/>
      <c r="O1580" s="206"/>
    </row>
    <row r="1581" spans="3:15" ht="30">
      <c r="C1581" s="206"/>
      <c r="D1581" s="206"/>
      <c r="E1581" s="207"/>
      <c r="F1581" s="207"/>
      <c r="G1581" s="207"/>
      <c r="H1581" s="207"/>
      <c r="I1581" s="207"/>
      <c r="J1581" s="207"/>
      <c r="K1581" s="207"/>
      <c r="L1581" s="207"/>
      <c r="M1581" s="207"/>
      <c r="N1581" s="207"/>
      <c r="O1581" s="206"/>
    </row>
    <row r="1582" spans="3:15" ht="30">
      <c r="C1582" s="206"/>
      <c r="D1582" s="206"/>
      <c r="E1582" s="207"/>
      <c r="F1582" s="207"/>
      <c r="G1582" s="207"/>
      <c r="H1582" s="207"/>
      <c r="I1582" s="207"/>
      <c r="J1582" s="207"/>
      <c r="K1582" s="207"/>
      <c r="L1582" s="207"/>
      <c r="M1582" s="207"/>
      <c r="N1582" s="207"/>
      <c r="O1582" s="206"/>
    </row>
    <row r="1583" spans="3:15" ht="30">
      <c r="C1583" s="206"/>
      <c r="D1583" s="206"/>
      <c r="E1583" s="207"/>
      <c r="F1583" s="207"/>
      <c r="G1583" s="207"/>
      <c r="H1583" s="207"/>
      <c r="I1583" s="207"/>
      <c r="J1583" s="207"/>
      <c r="K1583" s="207"/>
      <c r="L1583" s="207"/>
      <c r="M1583" s="207"/>
      <c r="N1583" s="207"/>
      <c r="O1583" s="206"/>
    </row>
    <row r="1584" spans="3:15" ht="30">
      <c r="C1584" s="206"/>
      <c r="D1584" s="206"/>
      <c r="E1584" s="207"/>
      <c r="F1584" s="207"/>
      <c r="G1584" s="207"/>
      <c r="H1584" s="207"/>
      <c r="I1584" s="207"/>
      <c r="J1584" s="207"/>
      <c r="K1584" s="207"/>
      <c r="L1584" s="207"/>
      <c r="M1584" s="207"/>
      <c r="N1584" s="207"/>
      <c r="O1584" s="206"/>
    </row>
    <row r="1585" spans="3:15" ht="30">
      <c r="C1585" s="206"/>
      <c r="D1585" s="206"/>
      <c r="E1585" s="207"/>
      <c r="F1585" s="207"/>
      <c r="G1585" s="207"/>
      <c r="H1585" s="207"/>
      <c r="I1585" s="207"/>
      <c r="J1585" s="207"/>
      <c r="K1585" s="207"/>
      <c r="L1585" s="207"/>
      <c r="M1585" s="207"/>
      <c r="N1585" s="207"/>
      <c r="O1585" s="206"/>
    </row>
    <row r="1586" spans="3:15" ht="30">
      <c r="C1586" s="206"/>
      <c r="D1586" s="206"/>
      <c r="E1586" s="207"/>
      <c r="F1586" s="207"/>
      <c r="G1586" s="207"/>
      <c r="H1586" s="207"/>
      <c r="I1586" s="207"/>
      <c r="J1586" s="207"/>
      <c r="K1586" s="207"/>
      <c r="L1586" s="207"/>
      <c r="M1586" s="207"/>
      <c r="N1586" s="207"/>
      <c r="O1586" s="206"/>
    </row>
    <row r="1587" spans="3:15" ht="30">
      <c r="C1587" s="206"/>
      <c r="D1587" s="206"/>
      <c r="E1587" s="207"/>
      <c r="F1587" s="207"/>
      <c r="G1587" s="207"/>
      <c r="H1587" s="207"/>
      <c r="I1587" s="207"/>
      <c r="J1587" s="207"/>
      <c r="K1587" s="207"/>
      <c r="L1587" s="207"/>
      <c r="M1587" s="207"/>
      <c r="N1587" s="207"/>
      <c r="O1587" s="206"/>
    </row>
    <row r="1588" spans="3:15" ht="30">
      <c r="C1588" s="206"/>
      <c r="D1588" s="206"/>
      <c r="E1588" s="207"/>
      <c r="F1588" s="207"/>
      <c r="G1588" s="207"/>
      <c r="H1588" s="207"/>
      <c r="I1588" s="207"/>
      <c r="J1588" s="207"/>
      <c r="K1588" s="207"/>
      <c r="L1588" s="207"/>
      <c r="M1588" s="207"/>
      <c r="N1588" s="207"/>
      <c r="O1588" s="206"/>
    </row>
    <row r="1589" spans="3:15" ht="30">
      <c r="C1589" s="206"/>
      <c r="D1589" s="206"/>
      <c r="E1589" s="207"/>
      <c r="F1589" s="207"/>
      <c r="G1589" s="207"/>
      <c r="H1589" s="207"/>
      <c r="I1589" s="207"/>
      <c r="J1589" s="207"/>
      <c r="K1589" s="207"/>
      <c r="L1589" s="207"/>
      <c r="M1589" s="207"/>
      <c r="N1589" s="207"/>
      <c r="O1589" s="206"/>
    </row>
    <row r="1590" spans="3:15" ht="30">
      <c r="C1590" s="206"/>
      <c r="D1590" s="206"/>
      <c r="E1590" s="207"/>
      <c r="F1590" s="207"/>
      <c r="G1590" s="207"/>
      <c r="H1590" s="207"/>
      <c r="I1590" s="207"/>
      <c r="J1590" s="207"/>
      <c r="K1590" s="207"/>
      <c r="L1590" s="207"/>
      <c r="M1590" s="207"/>
      <c r="N1590" s="207"/>
      <c r="O1590" s="206"/>
    </row>
    <row r="1591" spans="3:15" ht="30">
      <c r="C1591" s="206"/>
      <c r="D1591" s="206"/>
      <c r="E1591" s="207"/>
      <c r="F1591" s="207"/>
      <c r="G1591" s="207"/>
      <c r="H1591" s="207"/>
      <c r="I1591" s="207"/>
      <c r="J1591" s="207"/>
      <c r="K1591" s="207"/>
      <c r="L1591" s="207"/>
      <c r="M1591" s="207"/>
      <c r="N1591" s="207"/>
      <c r="O1591" s="206"/>
    </row>
    <row r="1592" spans="3:15" ht="30">
      <c r="C1592" s="206"/>
      <c r="D1592" s="206"/>
      <c r="E1592" s="207"/>
      <c r="F1592" s="207"/>
      <c r="G1592" s="207"/>
      <c r="H1592" s="207"/>
      <c r="I1592" s="207"/>
      <c r="J1592" s="207"/>
      <c r="K1592" s="207"/>
      <c r="L1592" s="207"/>
      <c r="M1592" s="207"/>
      <c r="N1592" s="207"/>
      <c r="O1592" s="206"/>
    </row>
    <row r="1593" spans="3:15" ht="30">
      <c r="C1593" s="206"/>
      <c r="D1593" s="206"/>
      <c r="E1593" s="207"/>
      <c r="F1593" s="207"/>
      <c r="G1593" s="207"/>
      <c r="H1593" s="207"/>
      <c r="I1593" s="207"/>
      <c r="J1593" s="207"/>
      <c r="K1593" s="207"/>
      <c r="L1593" s="207"/>
      <c r="M1593" s="207"/>
      <c r="N1593" s="207"/>
      <c r="O1593" s="206"/>
    </row>
    <row r="1594" spans="3:15" ht="30">
      <c r="C1594" s="206"/>
      <c r="D1594" s="206"/>
      <c r="E1594" s="207"/>
      <c r="F1594" s="207"/>
      <c r="G1594" s="207"/>
      <c r="H1594" s="207"/>
      <c r="I1594" s="207"/>
      <c r="J1594" s="207"/>
      <c r="K1594" s="207"/>
      <c r="L1594" s="207"/>
      <c r="M1594" s="207"/>
      <c r="N1594" s="207"/>
      <c r="O1594" s="206"/>
    </row>
    <row r="1595" spans="3:15" ht="30">
      <c r="C1595" s="206"/>
      <c r="D1595" s="206"/>
      <c r="E1595" s="207"/>
      <c r="F1595" s="207"/>
      <c r="G1595" s="207"/>
      <c r="H1595" s="207"/>
      <c r="I1595" s="207"/>
      <c r="J1595" s="207"/>
      <c r="K1595" s="207"/>
      <c r="L1595" s="207"/>
      <c r="M1595" s="207"/>
      <c r="N1595" s="207"/>
      <c r="O1595" s="206"/>
    </row>
    <row r="1596" spans="3:15" ht="30">
      <c r="C1596" s="206"/>
      <c r="D1596" s="206"/>
      <c r="E1596" s="207"/>
      <c r="F1596" s="207"/>
      <c r="G1596" s="207"/>
      <c r="H1596" s="207"/>
      <c r="I1596" s="207"/>
      <c r="J1596" s="207"/>
      <c r="K1596" s="207"/>
      <c r="L1596" s="207"/>
      <c r="M1596" s="207"/>
      <c r="N1596" s="207"/>
      <c r="O1596" s="206"/>
    </row>
    <row r="1597" spans="3:15" ht="30">
      <c r="C1597" s="206"/>
      <c r="D1597" s="206"/>
      <c r="E1597" s="207"/>
      <c r="F1597" s="207"/>
      <c r="G1597" s="207"/>
      <c r="H1597" s="207"/>
      <c r="I1597" s="207"/>
      <c r="J1597" s="207"/>
      <c r="K1597" s="207"/>
      <c r="L1597" s="207"/>
      <c r="M1597" s="207"/>
      <c r="N1597" s="207"/>
      <c r="O1597" s="206"/>
    </row>
    <row r="1598" spans="3:15" ht="30">
      <c r="C1598" s="206"/>
      <c r="D1598" s="206"/>
      <c r="E1598" s="207"/>
      <c r="F1598" s="207"/>
      <c r="G1598" s="207"/>
      <c r="H1598" s="207"/>
      <c r="I1598" s="207"/>
      <c r="J1598" s="207"/>
      <c r="K1598" s="207"/>
      <c r="L1598" s="207"/>
      <c r="M1598" s="207"/>
      <c r="N1598" s="207"/>
      <c r="O1598" s="206"/>
    </row>
    <row r="1599" spans="3:15" ht="30">
      <c r="C1599" s="206"/>
      <c r="D1599" s="206"/>
      <c r="E1599" s="207"/>
      <c r="F1599" s="207"/>
      <c r="G1599" s="207"/>
      <c r="H1599" s="207"/>
      <c r="I1599" s="207"/>
      <c r="J1599" s="207"/>
      <c r="K1599" s="207"/>
      <c r="L1599" s="207"/>
      <c r="M1599" s="207"/>
      <c r="N1599" s="207"/>
      <c r="O1599" s="206"/>
    </row>
    <row r="1600" spans="3:15" ht="30">
      <c r="C1600" s="206"/>
      <c r="D1600" s="206"/>
      <c r="E1600" s="207"/>
      <c r="F1600" s="207"/>
      <c r="G1600" s="207"/>
      <c r="H1600" s="207"/>
      <c r="I1600" s="207"/>
      <c r="J1600" s="207"/>
      <c r="K1600" s="207"/>
      <c r="L1600" s="207"/>
      <c r="M1600" s="207"/>
      <c r="N1600" s="207"/>
      <c r="O1600" s="206"/>
    </row>
  </sheetData>
  <mergeCells count="5">
    <mergeCell ref="F2:M16"/>
    <mergeCell ref="M17:N17"/>
    <mergeCell ref="E18:N25"/>
    <mergeCell ref="E136:H145"/>
    <mergeCell ref="L137:N146"/>
  </mergeCells>
  <pageMargins left="0.39370078740157477" right="0.39370078740157477" top="0.59055118110236215" bottom="0.78740157480314954" header="0" footer="0"/>
  <pageSetup fitToHeight="0" orientation="portrait"/>
  <headerFooter>
    <oddFooter>&amp;R&amp;P</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Z1280"/>
  <sheetViews>
    <sheetView workbookViewId="0"/>
  </sheetViews>
  <sheetFormatPr baseColWidth="10" defaultColWidth="12.5703125" defaultRowHeight="15.75" customHeight="1"/>
  <cols>
    <col min="2" max="2" width="26.7109375" customWidth="1"/>
    <col min="10" max="10" width="20.42578125" customWidth="1"/>
    <col min="14" max="14" width="22.7109375" customWidth="1"/>
    <col min="15" max="15" width="22.85546875" customWidth="1"/>
    <col min="19" max="19" width="22.7109375" customWidth="1"/>
    <col min="21" max="21" width="22.85546875" customWidth="1"/>
    <col min="24" max="24" width="26.28515625" customWidth="1"/>
    <col min="25" max="26" width="22.140625" customWidth="1"/>
  </cols>
  <sheetData>
    <row r="1" spans="2:26" ht="12.75">
      <c r="B1" s="86" t="s">
        <v>9557</v>
      </c>
      <c r="C1" s="86" t="s">
        <v>9558</v>
      </c>
      <c r="D1" s="86" t="s">
        <v>9559</v>
      </c>
      <c r="E1" s="86" t="s">
        <v>9560</v>
      </c>
      <c r="F1" s="86" t="s">
        <v>9561</v>
      </c>
      <c r="G1" s="86" t="s">
        <v>9562</v>
      </c>
      <c r="H1" s="86" t="s">
        <v>9563</v>
      </c>
      <c r="I1" s="8" t="s">
        <v>7183</v>
      </c>
      <c r="J1" s="8" t="s">
        <v>9564</v>
      </c>
    </row>
    <row r="2" spans="2:26" ht="15.75" customHeight="1">
      <c r="B2" s="86" t="s">
        <v>9565</v>
      </c>
      <c r="C2" s="86" t="s">
        <v>9479</v>
      </c>
      <c r="D2" s="86" t="s">
        <v>9480</v>
      </c>
      <c r="E2" s="86">
        <v>26</v>
      </c>
      <c r="F2" s="86" t="s">
        <v>9566</v>
      </c>
      <c r="G2" s="86">
        <v>26</v>
      </c>
      <c r="H2" s="86" t="s">
        <v>9567</v>
      </c>
      <c r="I2" s="8">
        <v>651382</v>
      </c>
      <c r="J2" s="8" t="s">
        <v>3282</v>
      </c>
      <c r="N2" s="228" t="s">
        <v>7325</v>
      </c>
      <c r="O2" s="167" t="str">
        <f ca="1">IFERROR(__xludf.DUMMYFUNCTION("QUERY('030523 INVENTARIO'!$T$2:$T$1015,""select R where R like  '%""&amp;N2&amp;""%'"")"),"#VALUE!")</f>
        <v>#VALUE!</v>
      </c>
      <c r="S2" s="229" t="s">
        <v>5927</v>
      </c>
      <c r="T2" s="167" t="str">
        <f t="shared" ref="T2:T191" si="0">MID(S2,18,6)</f>
        <v>532220</v>
      </c>
      <c r="U2" s="167" t="str">
        <f ca="1">IFERROR(__xludf.DUMMYFUNCTION("QUERY('030523 INVENTARIO'!$T$2:$T$1015,""select R where R like  '%""&amp;T2&amp;""%'"")"),"#VALUE!")</f>
        <v>#VALUE!</v>
      </c>
      <c r="X2" s="86" t="s">
        <v>7325</v>
      </c>
      <c r="Y2" s="230" t="str">
        <f t="shared" ref="Y2:Y269" si="1">MID(X2,18,6)</f>
        <v>564846</v>
      </c>
      <c r="Z2" s="230" t="str">
        <f ca="1">IFERROR(__xludf.DUMMYFUNCTION("QUERY($S$2:$S$195,""select S where S like '%""&amp;Y2&amp;""%'"")"),"82DH0531010065000564846")</f>
        <v>82DH0531010065000564846</v>
      </c>
    </row>
    <row r="3" spans="2:26" ht="15.75" customHeight="1">
      <c r="B3" s="86" t="s">
        <v>9568</v>
      </c>
      <c r="C3" s="86" t="s">
        <v>6564</v>
      </c>
      <c r="D3" s="86" t="s">
        <v>6566</v>
      </c>
      <c r="E3" s="86">
        <v>26</v>
      </c>
      <c r="F3" s="86" t="s">
        <v>9566</v>
      </c>
      <c r="G3" s="86">
        <v>26</v>
      </c>
      <c r="H3" s="86" t="s">
        <v>638</v>
      </c>
      <c r="I3" s="8">
        <v>565742</v>
      </c>
      <c r="J3" s="8" t="s">
        <v>3282</v>
      </c>
      <c r="N3" s="228" t="s">
        <v>7301</v>
      </c>
      <c r="O3" s="167" t="str">
        <f ca="1">IFERROR(__xludf.DUMMYFUNCTION("QUERY('030523 INVENTARIO'!$T$2:$T$1015,""select R where R like  '%""&amp;N3&amp;""%'"")"),"#VALUE!")</f>
        <v>#VALUE!</v>
      </c>
      <c r="S3" s="170" t="s">
        <v>7329</v>
      </c>
      <c r="T3" s="167" t="str">
        <f t="shared" si="0"/>
        <v>518544</v>
      </c>
      <c r="U3" s="167" t="str">
        <f ca="1">IFERROR(__xludf.DUMMYFUNCTION("QUERY('030523 INVENTARIO'!$T$2:$T$1015,""select R where R like  '%""&amp;T3&amp;""%'"")"),"#VALUE!")</f>
        <v>#VALUE!</v>
      </c>
      <c r="X3" s="86" t="s">
        <v>7301</v>
      </c>
      <c r="Y3" s="230" t="str">
        <f t="shared" si="1"/>
        <v>564800</v>
      </c>
      <c r="Z3" s="230" t="str">
        <f ca="1">IFERROR(__xludf.DUMMYFUNCTION("QUERY($S$2:$S$195,""select S where S like '%""&amp;Y3&amp;""%'"")"),"82DH0531010065000564800")</f>
        <v>82DH0531010065000564800</v>
      </c>
    </row>
    <row r="4" spans="2:26" ht="15.75" customHeight="1">
      <c r="B4" s="86" t="s">
        <v>9569</v>
      </c>
      <c r="C4" s="86" t="s">
        <v>9377</v>
      </c>
      <c r="D4" s="86" t="s">
        <v>205</v>
      </c>
      <c r="E4" s="86">
        <v>26</v>
      </c>
      <c r="F4" s="86" t="s">
        <v>6684</v>
      </c>
      <c r="G4" s="86">
        <v>33</v>
      </c>
      <c r="H4" s="86" t="s">
        <v>9570</v>
      </c>
      <c r="I4" s="8">
        <v>651389</v>
      </c>
      <c r="J4" s="8" t="s">
        <v>3282</v>
      </c>
      <c r="N4" s="228" t="s">
        <v>8205</v>
      </c>
      <c r="O4" s="167" t="str">
        <f ca="1">IFERROR(__xludf.DUMMYFUNCTION("QUERY('030523 INVENTARIO'!$T$2:$T$1015,""select R where R like  '%""&amp;N4&amp;""%'"")"),"#VALUE!")</f>
        <v>#VALUE!</v>
      </c>
      <c r="S4" s="170" t="s">
        <v>7240</v>
      </c>
      <c r="T4" s="167" t="str">
        <f t="shared" si="0"/>
        <v>518503</v>
      </c>
      <c r="U4" s="167" t="str">
        <f ca="1">IFERROR(__xludf.DUMMYFUNCTION("QUERY('030523 INVENTARIO'!$T$2:$T$1015,""select R where R like  '%""&amp;T4&amp;""%'"")"),"#VALUE!")</f>
        <v>#VALUE!</v>
      </c>
      <c r="X4" s="86" t="s">
        <v>8205</v>
      </c>
      <c r="Y4" s="230" t="str">
        <f t="shared" si="1"/>
        <v>649514</v>
      </c>
      <c r="Z4" s="230" t="str">
        <f ca="1">IFERROR(__xludf.DUMMYFUNCTION("QUERY($S$2:$S$195,""select S where S like '%""&amp;Y4&amp;""%'"")"),"#N/A")</f>
        <v>#N/A</v>
      </c>
    </row>
    <row r="5" spans="2:26" ht="15.75" customHeight="1">
      <c r="B5" s="86" t="s">
        <v>9571</v>
      </c>
      <c r="C5" s="86" t="s">
        <v>9329</v>
      </c>
      <c r="D5" s="86" t="s">
        <v>35</v>
      </c>
      <c r="E5" s="86">
        <v>24</v>
      </c>
      <c r="F5" s="86" t="s">
        <v>9572</v>
      </c>
      <c r="G5" s="86">
        <v>24</v>
      </c>
      <c r="H5" s="86" t="s">
        <v>9573</v>
      </c>
      <c r="I5" s="86">
        <v>0</v>
      </c>
      <c r="J5" s="8" t="s">
        <v>3282</v>
      </c>
      <c r="N5" s="228" t="s">
        <v>8119</v>
      </c>
      <c r="O5" s="167" t="str">
        <f ca="1">IFERROR(__xludf.DUMMYFUNCTION("QUERY('030523 INVENTARIO'!$T$2:$T$1015,""select R where R like  '%""&amp;N5&amp;""%'"")"),"#VALUE!")</f>
        <v>#VALUE!</v>
      </c>
      <c r="S5" s="170" t="s">
        <v>8158</v>
      </c>
      <c r="T5" s="167" t="str">
        <f t="shared" si="0"/>
        <v>584085</v>
      </c>
      <c r="U5" s="167" t="str">
        <f ca="1">IFERROR(__xludf.DUMMYFUNCTION("QUERY('030523 INVENTARIO'!$T$2:$T$1015,""select R where R like  '%""&amp;T5&amp;""%'"")"),"#VALUE!")</f>
        <v>#VALUE!</v>
      </c>
      <c r="X5" s="86" t="s">
        <v>8119</v>
      </c>
      <c r="Y5" s="230" t="str">
        <f t="shared" si="1"/>
        <v>583368</v>
      </c>
      <c r="Z5" s="230" t="str">
        <f ca="1">IFERROR(__xludf.DUMMYFUNCTION("QUERY($S$2:$S$195,""select S where S like '%""&amp;Y5&amp;""%'"")"),"82DH0519010005000583368")</f>
        <v>82DH0519010005000583368</v>
      </c>
    </row>
    <row r="6" spans="2:26" ht="15.75" customHeight="1">
      <c r="B6" s="86" t="s">
        <v>9574</v>
      </c>
      <c r="C6" s="86" t="s">
        <v>9525</v>
      </c>
      <c r="D6" s="86" t="s">
        <v>406</v>
      </c>
      <c r="E6" s="86">
        <v>45</v>
      </c>
      <c r="F6" s="86" t="s">
        <v>5310</v>
      </c>
      <c r="G6" s="86">
        <v>45</v>
      </c>
      <c r="H6" s="86" t="s">
        <v>43</v>
      </c>
      <c r="I6" s="8">
        <v>649365</v>
      </c>
      <c r="J6" s="8" t="s">
        <v>3282</v>
      </c>
      <c r="N6" s="228" t="s">
        <v>7494</v>
      </c>
      <c r="O6" s="167" t="str">
        <f ca="1">IFERROR(__xludf.DUMMYFUNCTION("QUERY('030523 INVENTARIO'!$T$2:$T$1015,""select R where R like  '%""&amp;N6&amp;""%'"")"),"#VALUE!")</f>
        <v>#VALUE!</v>
      </c>
      <c r="S6" s="170" t="s">
        <v>9575</v>
      </c>
      <c r="T6" s="167" t="str">
        <f t="shared" si="0"/>
        <v>564515</v>
      </c>
      <c r="U6" s="167" t="str">
        <f ca="1">IFERROR(__xludf.DUMMYFUNCTION("QUERY('030523 INVENTARIO'!$T$2:$T$1015,""select R where R like  '%""&amp;T6&amp;""%'"")"),"#VALUE!")</f>
        <v>#VALUE!</v>
      </c>
      <c r="X6" s="86" t="s">
        <v>7494</v>
      </c>
      <c r="Y6" s="230" t="str">
        <f t="shared" si="1"/>
        <v>516926</v>
      </c>
      <c r="Z6" s="230" t="str">
        <f ca="1">IFERROR(__xludf.DUMMYFUNCTION("QUERY($S$2:$S$195,""select S where S like '%""&amp;Y6&amp;""%'"")"),"82DH0519010005000516926")</f>
        <v>82DH0519010005000516926</v>
      </c>
    </row>
    <row r="7" spans="2:26" ht="15.75" customHeight="1">
      <c r="B7" s="86" t="s">
        <v>9576</v>
      </c>
      <c r="C7" s="86" t="s">
        <v>9348</v>
      </c>
      <c r="D7" s="86" t="s">
        <v>35</v>
      </c>
      <c r="E7" s="86">
        <v>50</v>
      </c>
      <c r="F7" s="86" t="s">
        <v>7404</v>
      </c>
      <c r="G7" s="86">
        <v>50</v>
      </c>
      <c r="H7" s="86" t="s">
        <v>927</v>
      </c>
      <c r="I7" s="8">
        <v>0</v>
      </c>
      <c r="J7" s="8" t="s">
        <v>9577</v>
      </c>
      <c r="N7" s="228" t="s">
        <v>8375</v>
      </c>
      <c r="O7" s="167" t="str">
        <f ca="1">IFERROR(__xludf.DUMMYFUNCTION("QUERY('030523 INVENTARIO'!$T$2:$T$1015,""select R where R like  '%""&amp;N7&amp;""%'"")"),"#VALUE!")</f>
        <v>#VALUE!</v>
      </c>
      <c r="S7" s="170" t="s">
        <v>7744</v>
      </c>
      <c r="T7" s="167" t="str">
        <f t="shared" si="0"/>
        <v>539034</v>
      </c>
      <c r="U7" s="167" t="str">
        <f ca="1">IFERROR(__xludf.DUMMYFUNCTION("IF((QUERY('030523 INVENTARIO'!$T$2:$T$1015,""select R where R like  '%""&amp;T7&amp;""%'"")=T7),""QUITAR DE BAJAS"",""SIN ACCION"")"),"#VALUE!")</f>
        <v>#VALUE!</v>
      </c>
      <c r="X7" s="86" t="s">
        <v>8375</v>
      </c>
      <c r="Y7" s="230" t="str">
        <f t="shared" si="1"/>
        <v>651100</v>
      </c>
      <c r="Z7" s="230" t="str">
        <f ca="1">IFERROR(__xludf.DUMMYFUNCTION("QUERY($S$2:$S$195,""select S where S like '%""&amp;Y7&amp;""%'"")"),"82DH0515010033000651100")</f>
        <v>82DH0515010033000651100</v>
      </c>
    </row>
    <row r="8" spans="2:26" ht="15.75" customHeight="1">
      <c r="B8" s="86" t="s">
        <v>9569</v>
      </c>
      <c r="C8" s="86" t="s">
        <v>9391</v>
      </c>
      <c r="D8" s="86" t="s">
        <v>157</v>
      </c>
      <c r="E8" s="86">
        <v>47</v>
      </c>
      <c r="F8" s="86" t="s">
        <v>7601</v>
      </c>
      <c r="G8" s="86">
        <v>2</v>
      </c>
      <c r="H8" s="86" t="s">
        <v>1394</v>
      </c>
      <c r="I8" s="8">
        <v>0</v>
      </c>
      <c r="J8" s="8" t="s">
        <v>9578</v>
      </c>
      <c r="N8" s="228" t="s">
        <v>7709</v>
      </c>
      <c r="O8" s="167" t="str">
        <f ca="1">IFERROR(__xludf.DUMMYFUNCTION("QUERY('030523 INVENTARIO'!$T$2:$T$1015,""select R where R like  '%""&amp;N8&amp;""%'"")"),"#VALUE!")</f>
        <v>#VALUE!</v>
      </c>
      <c r="S8" s="170" t="s">
        <v>9579</v>
      </c>
      <c r="T8" s="167" t="str">
        <f t="shared" si="0"/>
        <v>539016</v>
      </c>
      <c r="U8" s="167" t="str">
        <f ca="1">IFERROR(__xludf.DUMMYFUNCTION("QUERY('030523 INVENTARIO'!$T$2:$T$1015,""select R where R like  '%""&amp;T8&amp;""%'"")"),"#VALUE!")</f>
        <v>#VALUE!</v>
      </c>
      <c r="X8" s="86" t="s">
        <v>7709</v>
      </c>
      <c r="Y8" s="230" t="str">
        <f t="shared" si="1"/>
        <v>535517</v>
      </c>
      <c r="Z8" s="230" t="str">
        <f ca="1">IFERROR(__xludf.DUMMYFUNCTION("QUERY($S$2:$S$195,""select S where S like '%""&amp;Y8&amp;""%'"")"),"82DH0515010027000535517")</f>
        <v>82DH0515010027000535517</v>
      </c>
    </row>
    <row r="9" spans="2:26" ht="15.75" customHeight="1">
      <c r="B9" s="86" t="s">
        <v>9565</v>
      </c>
      <c r="C9" s="86" t="s">
        <v>9484</v>
      </c>
      <c r="D9" s="86" t="s">
        <v>168</v>
      </c>
      <c r="E9" s="86">
        <v>50</v>
      </c>
      <c r="F9" s="86" t="s">
        <v>7404</v>
      </c>
      <c r="G9" s="86">
        <v>50</v>
      </c>
      <c r="H9" s="86" t="s">
        <v>285</v>
      </c>
      <c r="I9" s="8">
        <v>0</v>
      </c>
      <c r="J9" s="8" t="s">
        <v>9577</v>
      </c>
      <c r="N9" s="228" t="s">
        <v>7769</v>
      </c>
      <c r="O9" s="167" t="str">
        <f ca="1">IFERROR(__xludf.DUMMYFUNCTION("QUERY('030523 INVENTARIO'!$T$2:$T$1015,""select R where R like  '%""&amp;N9&amp;""%'"")"),"#VALUE!")</f>
        <v>#VALUE!</v>
      </c>
      <c r="S9" s="170" t="s">
        <v>7248</v>
      </c>
      <c r="T9" s="167" t="str">
        <f t="shared" si="0"/>
        <v>535528</v>
      </c>
      <c r="U9" s="167" t="str">
        <f ca="1">IFERROR(__xludf.DUMMYFUNCTION("QUERY('030523 INVENTARIO'!$T$2:$T$1015,""select R where R like  '%""&amp;T9&amp;""%'"")"),"#VALUE!")</f>
        <v>#VALUE!</v>
      </c>
      <c r="X9" s="86" t="s">
        <v>7769</v>
      </c>
      <c r="Y9" s="230" t="str">
        <f t="shared" si="1"/>
        <v>539068</v>
      </c>
      <c r="Z9" s="230" t="str">
        <f ca="1">IFERROR(__xludf.DUMMYFUNCTION("QUERY($S$2:$S$195,""select S where S like '%""&amp;Y9&amp;""%'"")"),"82DH0515010016000539068")</f>
        <v>82DH0515010016000539068</v>
      </c>
    </row>
    <row r="10" spans="2:26" ht="15.75" customHeight="1">
      <c r="B10" s="86" t="s">
        <v>9580</v>
      </c>
      <c r="C10" s="86" t="s">
        <v>9439</v>
      </c>
      <c r="D10" s="86" t="s">
        <v>157</v>
      </c>
      <c r="E10" s="86">
        <v>47</v>
      </c>
      <c r="F10" s="86" t="s">
        <v>7601</v>
      </c>
      <c r="G10" s="86">
        <v>2</v>
      </c>
      <c r="H10" s="86" t="s">
        <v>9581</v>
      </c>
      <c r="I10" s="8">
        <v>650650</v>
      </c>
      <c r="J10" s="8" t="s">
        <v>9578</v>
      </c>
      <c r="N10" s="228" t="s">
        <v>252</v>
      </c>
      <c r="O10" s="167" t="str">
        <f ca="1">IFERROR(__xludf.DUMMYFUNCTION("QUERY('030523 INVENTARIO'!$T$2:$T$1015,""select R where R like  '%""&amp;N10&amp;""%'"")"),"#VALUE!")</f>
        <v>#VALUE!</v>
      </c>
      <c r="P10" s="86" t="s">
        <v>9582</v>
      </c>
      <c r="S10" s="170" t="s">
        <v>8490</v>
      </c>
      <c r="T10" s="167" t="str">
        <f t="shared" si="0"/>
        <v>535502</v>
      </c>
      <c r="U10" s="167" t="str">
        <f ca="1">IFERROR(__xludf.DUMMYFUNCTION("QUERY('030523 INVENTARIO'!$T$2:$T$1015,""select R where R like  '%""&amp;T10&amp;""%'"")"),"#VALUE!")</f>
        <v>#VALUE!</v>
      </c>
      <c r="X10" s="86" t="s">
        <v>252</v>
      </c>
      <c r="Y10" s="230" t="str">
        <f t="shared" si="1"/>
        <v>522299</v>
      </c>
      <c r="Z10" s="230" t="str">
        <f ca="1">IFERROR(__xludf.DUMMYFUNCTION("QUERY($S$2:$S$195,""select S where S like '%""&amp;Y10&amp;""%'"")"),"#N/A")</f>
        <v>#N/A</v>
      </c>
    </row>
    <row r="11" spans="2:26" ht="15.75" customHeight="1">
      <c r="B11" s="86" t="s">
        <v>9565</v>
      </c>
      <c r="C11" s="86" t="s">
        <v>9482</v>
      </c>
      <c r="D11" s="86" t="s">
        <v>168</v>
      </c>
      <c r="E11" s="86">
        <v>50</v>
      </c>
      <c r="F11" s="86" t="s">
        <v>7404</v>
      </c>
      <c r="G11" s="86">
        <v>50</v>
      </c>
      <c r="H11" s="86" t="s">
        <v>285</v>
      </c>
      <c r="I11" s="8">
        <v>539085</v>
      </c>
      <c r="J11" s="8" t="s">
        <v>3282</v>
      </c>
      <c r="N11" s="228" t="s">
        <v>8208</v>
      </c>
      <c r="O11" s="167" t="str">
        <f ca="1">IFERROR(__xludf.DUMMYFUNCTION("QUERY('030523 INVENTARIO'!$T$2:$T$1015,""select R where R like  '%""&amp;N11&amp;""%'"")"),"#VALUE!")</f>
        <v>#VALUE!</v>
      </c>
      <c r="S11" s="170" t="s">
        <v>7494</v>
      </c>
      <c r="T11" s="167" t="str">
        <f t="shared" si="0"/>
        <v>516926</v>
      </c>
      <c r="U11" s="167" t="str">
        <f ca="1">IFERROR(__xludf.DUMMYFUNCTION("QUERY('030523 INVENTARIO'!$T$2:$T$1015,""select R where R like  '%""&amp;T11&amp;""%'"")"),"#VALUE!")</f>
        <v>#VALUE!</v>
      </c>
      <c r="X11" s="86" t="s">
        <v>8208</v>
      </c>
      <c r="Y11" s="230" t="str">
        <f t="shared" si="1"/>
        <v>649518</v>
      </c>
      <c r="Z11" s="230" t="str">
        <f ca="1">IFERROR(__xludf.DUMMYFUNCTION("QUERY($S$2:$S$195,""select S where S like '%""&amp;Y11&amp;""%'"")"),"#N/A")</f>
        <v>#N/A</v>
      </c>
    </row>
    <row r="12" spans="2:26" ht="15.75" customHeight="1">
      <c r="B12" s="86" t="s">
        <v>9569</v>
      </c>
      <c r="C12" s="86" t="s">
        <v>9387</v>
      </c>
      <c r="D12" s="86" t="s">
        <v>205</v>
      </c>
      <c r="E12" s="86">
        <v>50</v>
      </c>
      <c r="F12" s="86" t="s">
        <v>7686</v>
      </c>
      <c r="G12" s="86">
        <v>40</v>
      </c>
      <c r="H12" s="86" t="s">
        <v>9378</v>
      </c>
      <c r="I12" s="8">
        <v>649688</v>
      </c>
      <c r="J12" s="8" t="s">
        <v>3282</v>
      </c>
      <c r="N12" s="228" t="s">
        <v>7758</v>
      </c>
      <c r="O12" s="167" t="str">
        <f ca="1">IFERROR(__xludf.DUMMYFUNCTION("QUERY('030523 INVENTARIO'!$T$2:$T$1015,""select R where R like  '%""&amp;N12&amp;""%'"")"),"#VALUE!")</f>
        <v>#VALUE!</v>
      </c>
      <c r="S12" s="170" t="s">
        <v>8119</v>
      </c>
      <c r="T12" s="167" t="str">
        <f t="shared" si="0"/>
        <v>583368</v>
      </c>
      <c r="U12" s="167" t="str">
        <f ca="1">IFERROR(__xludf.DUMMYFUNCTION("QUERY('030523 INVENTARIO'!$T$2:$T$1015,""select R where R like  '%""&amp;T12&amp;""%'"")"),"#VALUE!")</f>
        <v>#VALUE!</v>
      </c>
      <c r="X12" s="86" t="s">
        <v>7758</v>
      </c>
      <c r="Y12" s="230" t="str">
        <f t="shared" si="1"/>
        <v>539049</v>
      </c>
      <c r="Z12" s="230" t="str">
        <f ca="1">IFERROR(__xludf.DUMMYFUNCTION("QUERY($S$2:$S$195,""select S where S like '%""&amp;Y12&amp;""%'"")"),"82DH0515010014000539049")</f>
        <v>82DH0515010014000539049</v>
      </c>
    </row>
    <row r="13" spans="2:26" ht="15.75" customHeight="1">
      <c r="B13" s="86" t="s">
        <v>9576</v>
      </c>
      <c r="C13" s="86" t="s">
        <v>9349</v>
      </c>
      <c r="D13" s="86" t="s">
        <v>35</v>
      </c>
      <c r="E13" s="86">
        <v>6</v>
      </c>
      <c r="F13" s="86" t="s">
        <v>9583</v>
      </c>
      <c r="G13" s="86">
        <v>6</v>
      </c>
      <c r="H13" s="86" t="s">
        <v>927</v>
      </c>
      <c r="I13" s="8">
        <v>649537</v>
      </c>
      <c r="J13" s="8" t="s">
        <v>3282</v>
      </c>
      <c r="N13" s="228" t="s">
        <v>7723</v>
      </c>
      <c r="O13" s="167" t="str">
        <f ca="1">IFERROR(__xludf.DUMMYFUNCTION("QUERY('030523 INVENTARIO'!$T$2:$T$1015,""select R where R like  '%""&amp;N13&amp;""%'"")"),"#VALUE!")</f>
        <v>#VALUE!</v>
      </c>
      <c r="S13" s="170" t="s">
        <v>8375</v>
      </c>
      <c r="T13" s="167" t="str">
        <f t="shared" si="0"/>
        <v>651100</v>
      </c>
      <c r="U13" s="167" t="str">
        <f ca="1">IFERROR(__xludf.DUMMYFUNCTION("QUERY('030523 INVENTARIO'!$T$2:$T$1015,""select R where R like  '%""&amp;T13&amp;""%'"")"),"#VALUE!")</f>
        <v>#VALUE!</v>
      </c>
      <c r="X13" s="86" t="s">
        <v>7723</v>
      </c>
      <c r="Y13" s="230" t="str">
        <f t="shared" si="1"/>
        <v>537672</v>
      </c>
      <c r="Z13" s="230" t="str">
        <f ca="1">IFERROR(__xludf.DUMMYFUNCTION("QUERY($S$2:$S$195,""select S where S like '%""&amp;Y13&amp;""%'"")"),"82DH0515010014000537672")</f>
        <v>82DH0515010014000537672</v>
      </c>
    </row>
    <row r="14" spans="2:26" ht="15.75" customHeight="1">
      <c r="B14" s="86" t="s">
        <v>9568</v>
      </c>
      <c r="C14" s="86" t="s">
        <v>9538</v>
      </c>
      <c r="D14" s="86" t="s">
        <v>250</v>
      </c>
      <c r="E14" s="86">
        <v>25</v>
      </c>
      <c r="F14" s="86" t="s">
        <v>9584</v>
      </c>
      <c r="G14" s="86">
        <v>25</v>
      </c>
      <c r="H14" s="86" t="s">
        <v>973</v>
      </c>
      <c r="I14" s="8">
        <v>522299</v>
      </c>
      <c r="J14" s="8" t="s">
        <v>3282</v>
      </c>
      <c r="N14" s="228" t="s">
        <v>8209</v>
      </c>
      <c r="O14" s="167" t="str">
        <f ca="1">IFERROR(__xludf.DUMMYFUNCTION("QUERY('030523 INVENTARIO'!$T$2:$T$1015,""select R where R like  '%""&amp;N14&amp;""%'"")"),"#VALUE!")</f>
        <v>#VALUE!</v>
      </c>
      <c r="S14" s="229" t="s">
        <v>6827</v>
      </c>
      <c r="T14" s="167" t="str">
        <f t="shared" si="0"/>
        <v>564673</v>
      </c>
      <c r="U14" s="167" t="str">
        <f ca="1">IFERROR(__xludf.DUMMYFUNCTION("QUERY('030523 INVENTARIO'!$T$2:$T$1015,""select R where R like  '%""&amp;T14&amp;""%'"")"),"#VALUE!")</f>
        <v>#VALUE!</v>
      </c>
      <c r="X14" s="86" t="s">
        <v>8209</v>
      </c>
      <c r="Y14" s="230" t="str">
        <f t="shared" si="1"/>
        <v>649520</v>
      </c>
      <c r="Z14" s="230" t="str">
        <f ca="1">IFERROR(__xludf.DUMMYFUNCTION("QUERY($S$2:$S$195,""select S where S like '%""&amp;Y14&amp;""%'"")"),"#N/A")</f>
        <v>#N/A</v>
      </c>
    </row>
    <row r="15" spans="2:26" ht="15.75" customHeight="1">
      <c r="B15" s="86" t="s">
        <v>9585</v>
      </c>
      <c r="C15" s="86" t="s">
        <v>9427</v>
      </c>
      <c r="D15" s="86" t="s">
        <v>6359</v>
      </c>
      <c r="E15" s="86">
        <v>20</v>
      </c>
      <c r="F15" s="86" t="s">
        <v>8419</v>
      </c>
      <c r="G15" s="86">
        <v>20</v>
      </c>
      <c r="H15" s="86" t="s">
        <v>1200</v>
      </c>
      <c r="I15" s="8">
        <v>518543</v>
      </c>
      <c r="J15" s="8" t="s">
        <v>3282</v>
      </c>
      <c r="N15" s="228" t="s">
        <v>8211</v>
      </c>
      <c r="O15" s="167" t="str">
        <f ca="1">IFERROR(__xludf.DUMMYFUNCTION("QUERY('030523 INVENTARIO'!$T$2:$T$1015,""select R where R like  '%""&amp;N15&amp;""%'"")"),"#VALUE!")</f>
        <v>#VALUE!</v>
      </c>
      <c r="S15" s="170" t="s">
        <v>8052</v>
      </c>
      <c r="T15" s="167" t="str">
        <f t="shared" si="0"/>
        <v>566204</v>
      </c>
      <c r="U15" s="167" t="str">
        <f ca="1">IFERROR(__xludf.DUMMYFUNCTION("QUERY('030523 INVENTARIO'!$T$2:$T$1015,""select R where R like  '%""&amp;T15&amp;""%'"")"),"#VALUE!")</f>
        <v>#VALUE!</v>
      </c>
      <c r="X15" s="86" t="s">
        <v>8211</v>
      </c>
      <c r="Y15" s="230" t="str">
        <f t="shared" si="1"/>
        <v>649530</v>
      </c>
      <c r="Z15" s="230" t="str">
        <f ca="1">IFERROR(__xludf.DUMMYFUNCTION("QUERY($S$2:$S$195,""select S where S like '%""&amp;Y15&amp;""%'"")"),"82DH0515010010000649530")</f>
        <v>82DH0515010010000649530</v>
      </c>
    </row>
    <row r="16" spans="2:26" ht="15.75" customHeight="1">
      <c r="B16" s="86" t="s">
        <v>9586</v>
      </c>
      <c r="C16" s="86" t="s">
        <v>9330</v>
      </c>
      <c r="D16" s="86" t="s">
        <v>35</v>
      </c>
      <c r="E16" s="86">
        <v>30</v>
      </c>
      <c r="F16" s="86" t="s">
        <v>686</v>
      </c>
      <c r="G16" s="86">
        <v>38</v>
      </c>
      <c r="H16" s="86" t="s">
        <v>528</v>
      </c>
      <c r="I16" s="8">
        <v>580847</v>
      </c>
      <c r="J16" s="8" t="s">
        <v>3282</v>
      </c>
      <c r="N16" s="228" t="s">
        <v>7795</v>
      </c>
      <c r="O16" s="167" t="str">
        <f ca="1">IFERROR(__xludf.DUMMYFUNCTION("QUERY('030523 INVENTARIO'!$T$2:$T$1015,""select R where R like  '%""&amp;N16&amp;""%'"")"),"#VALUE!")</f>
        <v>#VALUE!</v>
      </c>
      <c r="S16" s="170" t="s">
        <v>8075</v>
      </c>
      <c r="T16" s="167" t="str">
        <f t="shared" si="0"/>
        <v>569723</v>
      </c>
      <c r="U16" s="167" t="str">
        <f ca="1">IFERROR(__xludf.DUMMYFUNCTION("QUERY('030523 INVENTARIO'!$T$2:$T$1015,""select R where R like  '%""&amp;T16&amp;""%'"")"),"#VALUE!")</f>
        <v>#VALUE!</v>
      </c>
      <c r="X16" s="86" t="s">
        <v>7795</v>
      </c>
      <c r="Y16" s="230" t="str">
        <f t="shared" si="1"/>
        <v>539100</v>
      </c>
      <c r="Z16" s="230" t="str">
        <f ca="1">IFERROR(__xludf.DUMMYFUNCTION("QUERY($S$2:$S$195,""select S where S like '%""&amp;Y16&amp;""%'"")"),"82DH0515010002000539100")</f>
        <v>82DH0515010002000539100</v>
      </c>
    </row>
    <row r="17" spans="2:26" ht="15.75" customHeight="1">
      <c r="B17" s="86" t="s">
        <v>9568</v>
      </c>
      <c r="C17" s="86" t="s">
        <v>9536</v>
      </c>
      <c r="D17" s="86" t="s">
        <v>978</v>
      </c>
      <c r="E17" s="86">
        <v>30</v>
      </c>
      <c r="F17" s="86" t="s">
        <v>9587</v>
      </c>
      <c r="G17" s="86">
        <v>30</v>
      </c>
      <c r="H17" s="86" t="s">
        <v>248</v>
      </c>
      <c r="I17" s="8">
        <v>0</v>
      </c>
      <c r="J17" s="8" t="s">
        <v>9577</v>
      </c>
      <c r="N17" s="228" t="s">
        <v>8158</v>
      </c>
      <c r="O17" s="167" t="str">
        <f ca="1">IFERROR(__xludf.DUMMYFUNCTION("QUERY('030523 INVENTARIO'!$T$2:$T$1015,""select R where R like  '%""&amp;N17&amp;""%'"")"),"#VALUE!")</f>
        <v>#VALUE!</v>
      </c>
      <c r="S17" s="170" t="s">
        <v>8283</v>
      </c>
      <c r="T17" s="167" t="str">
        <f t="shared" si="0"/>
        <v>649635</v>
      </c>
      <c r="U17" s="167" t="str">
        <f ca="1">IFERROR(__xludf.DUMMYFUNCTION("QUERY('030523 INVENTARIO'!$T$2:$T$1015,""select R where R like  '%""&amp;T17&amp;""%'"")"),"#VALUE!")</f>
        <v>#VALUE!</v>
      </c>
      <c r="X17" s="86" t="s">
        <v>8158</v>
      </c>
      <c r="Y17" s="230" t="str">
        <f t="shared" si="1"/>
        <v>584085</v>
      </c>
      <c r="Z17" s="230" t="str">
        <f ca="1">IFERROR(__xludf.DUMMYFUNCTION("QUERY($S$2:$S$195,""select S where S like '%""&amp;Y17&amp;""%'"")"),"82DH0515010001000584085")</f>
        <v>82DH0515010001000584085</v>
      </c>
    </row>
    <row r="18" spans="2:26" ht="15.75" customHeight="1">
      <c r="B18" s="86" t="s">
        <v>9588</v>
      </c>
      <c r="C18" s="86" t="s">
        <v>9517</v>
      </c>
      <c r="D18" s="86" t="s">
        <v>6985</v>
      </c>
      <c r="E18" s="86">
        <v>24</v>
      </c>
      <c r="F18" s="86" t="s">
        <v>9572</v>
      </c>
      <c r="G18" s="86">
        <v>24</v>
      </c>
      <c r="H18" s="86" t="s">
        <v>9589</v>
      </c>
      <c r="I18" s="8">
        <v>1</v>
      </c>
      <c r="J18" s="8" t="s">
        <v>3282</v>
      </c>
      <c r="N18" s="228" t="s">
        <v>7242</v>
      </c>
      <c r="O18" s="167" t="str">
        <f ca="1">IFERROR(__xludf.DUMMYFUNCTION("QUERY('030523 INVENTARIO'!$T$2:$T$1015,""select R where R like  '%""&amp;N18&amp;""%'"")"),"#VALUE!")</f>
        <v>#VALUE!</v>
      </c>
      <c r="S18" s="170" t="s">
        <v>8412</v>
      </c>
      <c r="T18" s="167" t="str">
        <f t="shared" si="0"/>
        <v>651389</v>
      </c>
      <c r="U18" s="167" t="str">
        <f ca="1">IFERROR(__xludf.DUMMYFUNCTION("QUERY('030523 INVENTARIO'!$T$2:$T$1015,""select R where R like  '%""&amp;T18&amp;""%'"")"),"#VALUE!")</f>
        <v>#VALUE!</v>
      </c>
      <c r="X18" s="86" t="s">
        <v>7242</v>
      </c>
      <c r="Y18" s="230" t="str">
        <f t="shared" si="1"/>
        <v>564543</v>
      </c>
      <c r="Z18" s="230" t="str">
        <f ca="1">IFERROR(__xludf.DUMMYFUNCTION("QUERY($S$2:$S$195,""select S where S like '%""&amp;Y18&amp;""%'"")"),"82DH0512010011000564543")</f>
        <v>82DH0512010011000564543</v>
      </c>
    </row>
    <row r="19" spans="2:26" ht="15.75" customHeight="1">
      <c r="B19" s="86" t="s">
        <v>9588</v>
      </c>
      <c r="C19" s="86" t="s">
        <v>6966</v>
      </c>
      <c r="D19" s="86" t="s">
        <v>6968</v>
      </c>
      <c r="E19" s="86">
        <v>26</v>
      </c>
      <c r="F19" s="86" t="s">
        <v>9566</v>
      </c>
      <c r="G19" s="86">
        <v>26</v>
      </c>
      <c r="H19" s="86" t="s">
        <v>9590</v>
      </c>
      <c r="I19" s="8">
        <v>1</v>
      </c>
      <c r="J19" s="8" t="s">
        <v>3282</v>
      </c>
      <c r="N19" s="228" t="s">
        <v>7326</v>
      </c>
      <c r="O19" s="167" t="str">
        <f ca="1">IFERROR(__xludf.DUMMYFUNCTION("QUERY('030523 INVENTARIO'!$T$2:$T$1015,""select R where R like  '%""&amp;N19&amp;""%'"")"),"#VALUE!")</f>
        <v>#VALUE!</v>
      </c>
      <c r="S19" s="170" t="s">
        <v>8411</v>
      </c>
      <c r="T19" s="167" t="str">
        <f t="shared" si="0"/>
        <v>651387</v>
      </c>
      <c r="U19" s="167" t="str">
        <f ca="1">IFERROR(__xludf.DUMMYFUNCTION("QUERY('030523 INVENTARIO'!$T$2:$T$1015,""select R where R like  '%""&amp;T19&amp;""%'"")"),"#VALUE!")</f>
        <v>#VALUE!</v>
      </c>
      <c r="X19" s="86" t="s">
        <v>7326</v>
      </c>
      <c r="Y19" s="230" t="str">
        <f t="shared" si="1"/>
        <v>518539</v>
      </c>
      <c r="Z19" s="230" t="str">
        <f ca="1">IFERROR(__xludf.DUMMYFUNCTION("QUERY($S$2:$S$195,""select S where S like '%""&amp;Y19&amp;""%'"")"),"82DH0511010017000518539")</f>
        <v>82DH0511010017000518539</v>
      </c>
    </row>
    <row r="20" spans="2:26" ht="15.75" customHeight="1">
      <c r="B20" s="86" t="s">
        <v>9588</v>
      </c>
      <c r="C20" s="86" t="s">
        <v>6974</v>
      </c>
      <c r="D20" s="86" t="s">
        <v>6976</v>
      </c>
      <c r="E20" s="86">
        <v>26</v>
      </c>
      <c r="F20" s="86" t="s">
        <v>9566</v>
      </c>
      <c r="G20" s="86">
        <v>26</v>
      </c>
      <c r="H20" s="86" t="s">
        <v>9591</v>
      </c>
      <c r="I20" s="8">
        <v>1</v>
      </c>
      <c r="J20" s="8" t="s">
        <v>3282</v>
      </c>
      <c r="N20" s="228" t="s">
        <v>7252</v>
      </c>
      <c r="O20" s="167" t="str">
        <f ca="1">IFERROR(__xludf.DUMMYFUNCTION("QUERY('030523 INVENTARIO'!$T$2:$T$1015,""select R where R like  '%""&amp;N20&amp;""%'"")"),"#VALUE!")</f>
        <v>#VALUE!</v>
      </c>
      <c r="S20" s="170" t="s">
        <v>9592</v>
      </c>
      <c r="T20" s="167" t="str">
        <f t="shared" si="0"/>
        <v>649692</v>
      </c>
      <c r="U20" s="167" t="str">
        <f ca="1">IFERROR(__xludf.DUMMYFUNCTION("QUERY('030523 INVENTARIO'!$T$2:$T$1015,""select R where R like  '%""&amp;T20&amp;""%'"")"),"#VALUE!")</f>
        <v>#VALUE!</v>
      </c>
      <c r="X20" s="86" t="s">
        <v>7252</v>
      </c>
      <c r="Y20" s="230" t="str">
        <f t="shared" si="1"/>
        <v>649531</v>
      </c>
      <c r="Z20" s="230" t="str">
        <f ca="1">IFERROR(__xludf.DUMMYFUNCTION("QUERY($S$2:$S$195,""select S where S like '%""&amp;Y20&amp;""%'"")"),"#N/A")</f>
        <v>#N/A</v>
      </c>
    </row>
    <row r="21" spans="2:26" ht="15.75" customHeight="1">
      <c r="B21" s="86" t="s">
        <v>9588</v>
      </c>
      <c r="C21" s="86" t="s">
        <v>6999</v>
      </c>
      <c r="D21" s="86" t="s">
        <v>7001</v>
      </c>
      <c r="E21" s="86">
        <v>26</v>
      </c>
      <c r="F21" s="86" t="s">
        <v>9566</v>
      </c>
      <c r="G21" s="86">
        <v>26</v>
      </c>
      <c r="H21" s="86" t="s">
        <v>9593</v>
      </c>
      <c r="I21" s="8">
        <v>1</v>
      </c>
      <c r="J21" s="8" t="s">
        <v>3282</v>
      </c>
      <c r="N21" s="228" t="s">
        <v>7262</v>
      </c>
      <c r="O21" s="167" t="str">
        <f ca="1">IFERROR(__xludf.DUMMYFUNCTION("QUERY('030523 INVENTARIO'!$T$2:$T$1015,""select R where R like  '%""&amp;N21&amp;""%'"")"),"#VALUE!")</f>
        <v>#VALUE!</v>
      </c>
      <c r="S21" s="170" t="s">
        <v>8328</v>
      </c>
      <c r="T21" s="167" t="str">
        <f t="shared" si="0"/>
        <v>649688</v>
      </c>
      <c r="U21" s="167" t="str">
        <f ca="1">IFERROR(__xludf.DUMMYFUNCTION("QUERY('030523 INVENTARIO'!$T$2:$T$1015,""select R where R like  '%""&amp;T21&amp;""%'"")"),"#VALUE!")</f>
        <v>#VALUE!</v>
      </c>
      <c r="X21" s="86" t="s">
        <v>7262</v>
      </c>
      <c r="Y21" s="230" t="str">
        <f t="shared" si="1"/>
        <v>518528</v>
      </c>
      <c r="Z21" s="230" t="str">
        <f ca="1">IFERROR(__xludf.DUMMYFUNCTION("QUERY($S$2:$S$195,""select S where S like '%""&amp;Y21&amp;""%'"")"),"82DH0511010006000518528")</f>
        <v>82DH0511010006000518528</v>
      </c>
    </row>
    <row r="22" spans="2:26" ht="15.75" customHeight="1">
      <c r="B22" s="86" t="s">
        <v>9594</v>
      </c>
      <c r="C22" s="86" t="s">
        <v>9332</v>
      </c>
      <c r="D22" s="86" t="s">
        <v>35</v>
      </c>
      <c r="E22" s="86">
        <v>50</v>
      </c>
      <c r="F22" s="86" t="s">
        <v>7404</v>
      </c>
      <c r="G22" s="86">
        <v>50</v>
      </c>
      <c r="H22" s="86" t="s">
        <v>9595</v>
      </c>
      <c r="I22" s="8">
        <v>0</v>
      </c>
      <c r="J22" s="8" t="s">
        <v>9577</v>
      </c>
      <c r="N22" s="231" t="s">
        <v>8096</v>
      </c>
      <c r="O22" s="167" t="str">
        <f ca="1">IFERROR(__xludf.DUMMYFUNCTION("QUERY('030523 INVENTARIO'!$T$2:$T$1015,""select R where R like  '%""&amp;N22&amp;""%'"")"),"#VALUE!")</f>
        <v>#VALUE!</v>
      </c>
      <c r="S22" s="170" t="s">
        <v>9596</v>
      </c>
      <c r="T22" s="167" t="str">
        <f t="shared" si="0"/>
        <v>649673</v>
      </c>
      <c r="U22" s="167" t="str">
        <f ca="1">IFERROR(__xludf.DUMMYFUNCTION("QUERY('030523 INVENTARIO'!$T$2:$T$1015,""select R where R like  '%""&amp;T22&amp;""%'"")"),"#VALUE!")</f>
        <v>#VALUE!</v>
      </c>
      <c r="X22" s="86" t="s">
        <v>8096</v>
      </c>
      <c r="Y22" s="230" t="str">
        <f t="shared" si="1"/>
        <v>580664</v>
      </c>
      <c r="Z22" s="230" t="str">
        <f ca="1">IFERROR(__xludf.DUMMYFUNCTION("QUERY($S$2:$S$195,""select S where S like '%""&amp;Y22&amp;""%'"")"),"#N/A")</f>
        <v>#N/A</v>
      </c>
    </row>
    <row r="23" spans="2:26" ht="15.75" customHeight="1">
      <c r="B23" s="86" t="s">
        <v>9597</v>
      </c>
      <c r="C23" s="86" t="s">
        <v>9396</v>
      </c>
      <c r="D23" s="86" t="s">
        <v>205</v>
      </c>
      <c r="E23" s="86">
        <v>50</v>
      </c>
      <c r="F23" s="86" t="s">
        <v>7404</v>
      </c>
      <c r="G23" s="86">
        <v>50</v>
      </c>
      <c r="H23" s="86" t="s">
        <v>2743</v>
      </c>
      <c r="I23" s="8">
        <v>542282</v>
      </c>
      <c r="J23" s="8" t="s">
        <v>3282</v>
      </c>
      <c r="N23" s="232" t="s">
        <v>9598</v>
      </c>
      <c r="O23" s="167" t="str">
        <f ca="1">IFERROR(__xludf.DUMMYFUNCTION("QUERY('030523 INVENTARIO'!$T$2:$T$1015,""select R where R like  '%""&amp;N23&amp;""%'"")"),"#VALUE!")</f>
        <v>#VALUE!</v>
      </c>
      <c r="S23" s="170" t="s">
        <v>9599</v>
      </c>
      <c r="T23" s="167" t="str">
        <f t="shared" si="0"/>
        <v>649649</v>
      </c>
      <c r="U23" s="167" t="str">
        <f ca="1">IFERROR(__xludf.DUMMYFUNCTION("QUERY('030523 INVENTARIO'!$T$2:$T$1015,""select R where R like  '%""&amp;T23&amp;""%'"")"),"#VALUE!")</f>
        <v>#VALUE!</v>
      </c>
      <c r="X23" s="86" t="s">
        <v>9598</v>
      </c>
      <c r="Y23" s="230" t="str">
        <f t="shared" si="1"/>
        <v>564632</v>
      </c>
      <c r="Z23" s="230" t="str">
        <f ca="1">IFERROR(__xludf.DUMMYFUNCTION("QUERY($S$2:$S$195,""select S where S like '%""&amp;Y23&amp;""%'"")"),"#N/A")</f>
        <v>#N/A</v>
      </c>
    </row>
    <row r="24" spans="2:26" ht="15.75" customHeight="1">
      <c r="B24" s="86" t="s">
        <v>9576</v>
      </c>
      <c r="C24" s="86" t="s">
        <v>9347</v>
      </c>
      <c r="D24" s="86" t="s">
        <v>35</v>
      </c>
      <c r="E24" s="86">
        <v>44</v>
      </c>
      <c r="F24" s="86" t="s">
        <v>3450</v>
      </c>
      <c r="G24" s="86">
        <v>44</v>
      </c>
      <c r="H24" s="86" t="s">
        <v>9600</v>
      </c>
      <c r="I24" s="8" t="s">
        <v>3282</v>
      </c>
      <c r="J24" s="8" t="s">
        <v>9577</v>
      </c>
      <c r="N24" s="232" t="s">
        <v>9601</v>
      </c>
      <c r="O24" s="167" t="str">
        <f ca="1">IFERROR(__xludf.DUMMYFUNCTION("QUERY('030523 INVENTARIO'!$T$2:$T$1015,""select R where R like  '%""&amp;N24&amp;""%'"")"),"#VALUE!")</f>
        <v>#VALUE!</v>
      </c>
      <c r="S24" s="229" t="s">
        <v>2774</v>
      </c>
      <c r="T24" s="167" t="str">
        <f t="shared" si="0"/>
        <v>649648</v>
      </c>
      <c r="U24" s="167" t="str">
        <f ca="1">IFERROR(__xludf.DUMMYFUNCTION("QUERY('030523 INVENTARIO'!$T$2:$T$1015,""select R where R like  '%""&amp;T24&amp;""%'"")"),"#VALUE!")</f>
        <v>#VALUE!</v>
      </c>
      <c r="X24" s="86" t="s">
        <v>9601</v>
      </c>
      <c r="Y24" s="230" t="str">
        <f t="shared" si="1"/>
        <v>518535</v>
      </c>
      <c r="Z24" s="230" t="str">
        <f ca="1">IFERROR(__xludf.DUMMYFUNCTION("QUERY($S$2:$S$195,""select S where S like '%""&amp;Y24&amp;""%'"")"),"#N/A")</f>
        <v>#N/A</v>
      </c>
    </row>
    <row r="25" spans="2:26" ht="15.75" customHeight="1">
      <c r="B25" s="86" t="s">
        <v>9586</v>
      </c>
      <c r="C25" s="86" t="s">
        <v>9331</v>
      </c>
      <c r="D25" s="86" t="s">
        <v>35</v>
      </c>
      <c r="E25" s="86">
        <v>25</v>
      </c>
      <c r="F25" s="86" t="s">
        <v>9584</v>
      </c>
      <c r="G25" s="86">
        <v>25</v>
      </c>
      <c r="H25" s="86" t="s">
        <v>9602</v>
      </c>
      <c r="I25" s="8" t="s">
        <v>3282</v>
      </c>
      <c r="J25" s="8" t="s">
        <v>9577</v>
      </c>
      <c r="N25" s="232" t="s">
        <v>8204</v>
      </c>
      <c r="O25" s="167" t="str">
        <f ca="1">IFERROR(__xludf.DUMMYFUNCTION("QUERY('030523 INVENTARIO'!$T$2:$T$1015,""select R where R like  '%""&amp;N25&amp;""%'"")"),"#VALUE!")</f>
        <v>#VALUE!</v>
      </c>
      <c r="S25" s="229" t="s">
        <v>6269</v>
      </c>
      <c r="T25" s="167" t="str">
        <f t="shared" si="0"/>
        <v>649646</v>
      </c>
      <c r="U25" s="167" t="str">
        <f ca="1">IFERROR(__xludf.DUMMYFUNCTION("QUERY('030523 INVENTARIO'!$T$2:$T$1015,""select R where R like  '%""&amp;T25&amp;""%'"")"),"#VALUE!")</f>
        <v>#VALUE!</v>
      </c>
      <c r="X25" s="86" t="s">
        <v>8204</v>
      </c>
      <c r="Y25" s="230" t="str">
        <f t="shared" si="1"/>
        <v>649504</v>
      </c>
      <c r="Z25" s="230" t="str">
        <f ca="1">IFERROR(__xludf.DUMMYFUNCTION("QUERY($S$2:$S$195,""select S where S like '%""&amp;Y25&amp;""%'"")"),"82DK0515010023000649504")</f>
        <v>82DK0515010023000649504</v>
      </c>
    </row>
    <row r="26" spans="2:26" ht="15.75" customHeight="1">
      <c r="B26" s="86" t="s">
        <v>9603</v>
      </c>
      <c r="C26" s="86" t="s">
        <v>9338</v>
      </c>
      <c r="D26" s="86" t="s">
        <v>35</v>
      </c>
      <c r="E26" s="86">
        <v>50</v>
      </c>
      <c r="F26" s="86" t="s">
        <v>7404</v>
      </c>
      <c r="G26" s="86">
        <v>50</v>
      </c>
      <c r="H26" s="86" t="s">
        <v>9604</v>
      </c>
      <c r="I26" s="8">
        <v>0</v>
      </c>
      <c r="J26" s="8" t="s">
        <v>9577</v>
      </c>
      <c r="N26" s="232" t="s">
        <v>8210</v>
      </c>
      <c r="O26" s="167" t="str">
        <f ca="1">IFERROR(__xludf.DUMMYFUNCTION("QUERY('030523 INVENTARIO'!$T$2:$T$1015,""select R where R like  '%""&amp;N26&amp;""%'"")"),"#VALUE!")</f>
        <v>#VALUE!</v>
      </c>
      <c r="S26" s="170" t="s">
        <v>7795</v>
      </c>
      <c r="T26" s="167" t="str">
        <f t="shared" si="0"/>
        <v>539100</v>
      </c>
      <c r="U26" s="167" t="str">
        <f ca="1">IFERROR(__xludf.DUMMYFUNCTION("QUERY('030523 INVENTARIO'!$T$2:$T$1015,""select R where R like  '%""&amp;T26&amp;""%'"")"),"#VALUE!")</f>
        <v>#VALUE!</v>
      </c>
      <c r="X26" s="86" t="s">
        <v>8210</v>
      </c>
      <c r="Y26" s="230" t="str">
        <f t="shared" si="1"/>
        <v>649524</v>
      </c>
      <c r="Z26" s="230" t="str">
        <f ca="1">IFERROR(__xludf.DUMMYFUNCTION("QUERY($S$2:$S$195,""select S where S like '%""&amp;Y26&amp;""%'"")"),"#N/A")</f>
        <v>#N/A</v>
      </c>
    </row>
    <row r="27" spans="2:26" ht="15.75" customHeight="1">
      <c r="B27" s="86" t="s">
        <v>9603</v>
      </c>
      <c r="C27" s="86" t="s">
        <v>9336</v>
      </c>
      <c r="D27" s="86" t="s">
        <v>35</v>
      </c>
      <c r="E27" s="86">
        <v>50</v>
      </c>
      <c r="F27" s="86" t="s">
        <v>7404</v>
      </c>
      <c r="G27" s="86">
        <v>50</v>
      </c>
      <c r="H27" s="86" t="s">
        <v>9604</v>
      </c>
      <c r="I27" s="8">
        <v>0</v>
      </c>
      <c r="J27" s="8" t="s">
        <v>9577</v>
      </c>
      <c r="N27" s="232" t="s">
        <v>8194</v>
      </c>
      <c r="O27" s="167" t="str">
        <f ca="1">IFERROR(__xludf.DUMMYFUNCTION("QUERY('030523 INVENTARIO'!$T$2:$T$1015,""select R where R like  '%""&amp;N27&amp;""%'"")"),"#VALUE!")</f>
        <v>#VALUE!</v>
      </c>
      <c r="S27" s="170" t="s">
        <v>9605</v>
      </c>
      <c r="T27" s="167" t="str">
        <f t="shared" si="0"/>
        <v>533213</v>
      </c>
      <c r="U27" s="167" t="str">
        <f ca="1">IFERROR(__xludf.DUMMYFUNCTION("QUERY('030523 INVENTARIO'!$T$2:$T$1015,""select R where R like  '%""&amp;T27&amp;""%'"")"),"#VALUE!")</f>
        <v>#VALUE!</v>
      </c>
      <c r="X27" s="86" t="s">
        <v>8194</v>
      </c>
      <c r="Y27" s="230" t="str">
        <f t="shared" si="1"/>
        <v>649487</v>
      </c>
      <c r="Z27" s="230" t="str">
        <f ca="1">IFERROR(__xludf.DUMMYFUNCTION("QUERY($S$2:$S$195,""select S where S like '%""&amp;Y27&amp;""%'"")"),"#N/A")</f>
        <v>#N/A</v>
      </c>
    </row>
    <row r="28" spans="2:26" ht="15">
      <c r="B28" s="86" t="s">
        <v>9568</v>
      </c>
      <c r="C28" s="86" t="s">
        <v>9535</v>
      </c>
      <c r="D28" s="86" t="s">
        <v>827</v>
      </c>
      <c r="E28" s="86">
        <v>50</v>
      </c>
      <c r="F28" s="86" t="s">
        <v>7404</v>
      </c>
      <c r="G28" s="86">
        <v>50</v>
      </c>
      <c r="H28" s="86" t="s">
        <v>248</v>
      </c>
      <c r="I28" s="8">
        <v>0</v>
      </c>
      <c r="J28" s="8" t="s">
        <v>9577</v>
      </c>
      <c r="N28" s="232" t="s">
        <v>8195</v>
      </c>
      <c r="O28" s="167" t="str">
        <f ca="1">IFERROR(__xludf.DUMMYFUNCTION("QUERY('030523 INVENTARIO'!$T$2:$T$1015,""select R where R like  '%""&amp;N28&amp;""%'"")"),"#VALUE!")</f>
        <v>#VALUE!</v>
      </c>
      <c r="S28" s="170" t="s">
        <v>8385</v>
      </c>
      <c r="T28" s="167" t="str">
        <f t="shared" si="0"/>
        <v>651120</v>
      </c>
      <c r="U28" s="167" t="str">
        <f ca="1">IFERROR(__xludf.DUMMYFUNCTION("QUERY('030523 INVENTARIO'!$T$2:$T$1015,""select R where R like  '%""&amp;T28&amp;""%'"")"),"#VALUE!")</f>
        <v>#VALUE!</v>
      </c>
      <c r="X28" s="86" t="s">
        <v>8195</v>
      </c>
      <c r="Y28" s="230" t="str">
        <f t="shared" si="1"/>
        <v>649488</v>
      </c>
      <c r="Z28" s="230" t="str">
        <f ca="1">IFERROR(__xludf.DUMMYFUNCTION("QUERY($S$2:$S$195,""select S where S like '%""&amp;Y28&amp;""%'"")"),"#N/A")</f>
        <v>#N/A</v>
      </c>
    </row>
    <row r="29" spans="2:26" ht="15">
      <c r="B29" s="86" t="s">
        <v>9569</v>
      </c>
      <c r="C29" s="86" t="s">
        <v>9399</v>
      </c>
      <c r="D29" s="86" t="s">
        <v>157</v>
      </c>
      <c r="E29" s="86">
        <v>50</v>
      </c>
      <c r="F29" s="86" t="s">
        <v>7404</v>
      </c>
      <c r="G29" s="86">
        <v>50</v>
      </c>
      <c r="H29" s="86" t="s">
        <v>1394</v>
      </c>
      <c r="I29" s="8">
        <v>0</v>
      </c>
      <c r="J29" s="8" t="s">
        <v>9577</v>
      </c>
      <c r="N29" s="232" t="s">
        <v>8365</v>
      </c>
      <c r="O29" s="167" t="str">
        <f ca="1">IFERROR(__xludf.DUMMYFUNCTION("QUERY('030523 INVENTARIO'!$T$2:$T$1015,""select R where R like  '%""&amp;N29&amp;""%'"")"),"#VALUE!")</f>
        <v>#VALUE!</v>
      </c>
      <c r="S29" s="170" t="s">
        <v>9606</v>
      </c>
      <c r="T29" s="167" t="str">
        <f t="shared" si="0"/>
        <v>649674</v>
      </c>
      <c r="U29" s="167" t="str">
        <f ca="1">IFERROR(__xludf.DUMMYFUNCTION("QUERY('030523 INVENTARIO'!$T$2:$T$1015,""select R where R like  '%""&amp;T29&amp;""%'"")"),"#VALUE!")</f>
        <v>#VALUE!</v>
      </c>
      <c r="X29" s="86" t="s">
        <v>8365</v>
      </c>
      <c r="Y29" s="230" t="str">
        <f t="shared" si="1"/>
        <v>650652</v>
      </c>
      <c r="Z29" s="230" t="str">
        <f ca="1">IFERROR(__xludf.DUMMYFUNCTION("QUERY($S$2:$S$195,""select S where S like '%""&amp;Y29&amp;""%'"")"),"#N/A")</f>
        <v>#N/A</v>
      </c>
    </row>
    <row r="30" spans="2:26" ht="15">
      <c r="B30" s="86" t="s">
        <v>9607</v>
      </c>
      <c r="C30" s="86" t="s">
        <v>9528</v>
      </c>
      <c r="D30" s="86" t="s">
        <v>663</v>
      </c>
      <c r="E30" s="86">
        <v>26</v>
      </c>
      <c r="F30" s="86" t="s">
        <v>6684</v>
      </c>
      <c r="G30" s="86">
        <v>33</v>
      </c>
      <c r="I30" s="8">
        <v>0</v>
      </c>
      <c r="J30" s="8" t="s">
        <v>9577</v>
      </c>
      <c r="N30" s="231" t="s">
        <v>7256</v>
      </c>
      <c r="O30" s="167" t="str">
        <f ca="1">IFERROR(__xludf.DUMMYFUNCTION("QUERY('030523 INVENTARIO'!$T$2:$T$1015,""select R where R like  '%""&amp;N30&amp;""%'"")"),"#VALUE!")</f>
        <v>#VALUE!</v>
      </c>
      <c r="S30" s="170" t="s">
        <v>8300</v>
      </c>
      <c r="T30" s="167" t="str">
        <f t="shared" si="0"/>
        <v>649659</v>
      </c>
      <c r="U30" s="167" t="str">
        <f ca="1">IFERROR(__xludf.DUMMYFUNCTION("QUERY('030523 INVENTARIO'!$T$2:$T$1015,""select R where R like  '%""&amp;T30&amp;""%'"")"),"#VALUE!")</f>
        <v>#VALUE!</v>
      </c>
      <c r="X30" s="86" t="s">
        <v>7256</v>
      </c>
      <c r="Y30" s="230" t="str">
        <f t="shared" si="1"/>
        <v>650650</v>
      </c>
      <c r="Z30" s="230" t="str">
        <f ca="1">IFERROR(__xludf.DUMMYFUNCTION("QUERY($S$2:$S$195,""select S where S like '%""&amp;Y30&amp;""%'"")"),"#N/A")</f>
        <v>#N/A</v>
      </c>
    </row>
    <row r="31" spans="2:26" ht="15">
      <c r="B31" s="86" t="s">
        <v>9607</v>
      </c>
      <c r="C31" s="86" t="s">
        <v>9529</v>
      </c>
      <c r="D31" s="86" t="s">
        <v>663</v>
      </c>
      <c r="E31" s="86">
        <v>45</v>
      </c>
      <c r="F31" s="86" t="s">
        <v>5584</v>
      </c>
      <c r="G31" s="86">
        <v>54</v>
      </c>
      <c r="I31" s="8">
        <v>0</v>
      </c>
      <c r="J31" s="8" t="s">
        <v>9577</v>
      </c>
      <c r="N31" s="231" t="s">
        <v>8374</v>
      </c>
      <c r="O31" s="167" t="str">
        <f ca="1">IFERROR(__xludf.DUMMYFUNCTION("QUERY('030523 INVENTARIO'!$T$2:$T$1015,""select R where R like  '%""&amp;N31&amp;""%'"")"),"#VALUE!")</f>
        <v>#VALUE!</v>
      </c>
      <c r="S31" s="170" t="s">
        <v>9608</v>
      </c>
      <c r="T31" s="167" t="str">
        <f t="shared" si="0"/>
        <v>535852</v>
      </c>
      <c r="U31" s="167" t="str">
        <f ca="1">IFERROR(__xludf.DUMMYFUNCTION("QUERY('030523 INVENTARIO'!$T$2:$T$1015,""select R where R like  '%""&amp;T31&amp;""%'"")"),"#VALUE!")</f>
        <v>#VALUE!</v>
      </c>
      <c r="X31" s="86" t="s">
        <v>8374</v>
      </c>
      <c r="Y31" s="230" t="str">
        <f t="shared" si="1"/>
        <v>651099</v>
      </c>
      <c r="Z31" s="230" t="str">
        <f ca="1">IFERROR(__xludf.DUMMYFUNCTION("QUERY($S$2:$S$195,""select S where S like '%""&amp;Y31&amp;""%'"")"),"#N/A")</f>
        <v>#N/A</v>
      </c>
    </row>
    <row r="32" spans="2:26" ht="15">
      <c r="B32" s="86" t="s">
        <v>9607</v>
      </c>
      <c r="C32" s="86" t="s">
        <v>9530</v>
      </c>
      <c r="D32" s="86" t="s">
        <v>663</v>
      </c>
      <c r="E32" s="86">
        <v>52</v>
      </c>
      <c r="F32" s="86" t="s">
        <v>9609</v>
      </c>
      <c r="G32" s="86">
        <v>52</v>
      </c>
      <c r="I32" s="8">
        <v>0</v>
      </c>
      <c r="J32" s="8" t="s">
        <v>9577</v>
      </c>
      <c r="N32" s="232" t="s">
        <v>8085</v>
      </c>
      <c r="O32" s="167" t="str">
        <f ca="1">IFERROR(__xludf.DUMMYFUNCTION("QUERY('030523 INVENTARIO'!$T$2:$T$1015,""select R where R like  '%""&amp;N32&amp;""%'"")"),"#VALUE!")</f>
        <v>#VALUE!</v>
      </c>
      <c r="S32" s="170" t="s">
        <v>9610</v>
      </c>
      <c r="T32" s="167" t="str">
        <f t="shared" si="0"/>
        <v>539098</v>
      </c>
      <c r="U32" s="167" t="str">
        <f ca="1">IFERROR(__xludf.DUMMYFUNCTION("QUERY('030523 INVENTARIO'!$T$2:$T$1015,""select R where R like  '%""&amp;T32&amp;""%'"")"),"#VALUE!")</f>
        <v>#VALUE!</v>
      </c>
      <c r="X32" s="86" t="s">
        <v>8085</v>
      </c>
      <c r="Y32" s="230" t="str">
        <f t="shared" si="1"/>
        <v>579732</v>
      </c>
      <c r="Z32" s="230" t="str">
        <f ca="1">IFERROR(__xludf.DUMMYFUNCTION("QUERY($S$2:$S$195,""select S where S like '%""&amp;Y32&amp;""%'"")"),"#N/A")</f>
        <v>#N/A</v>
      </c>
    </row>
    <row r="33" spans="2:26" ht="15">
      <c r="B33" s="86" t="s">
        <v>9607</v>
      </c>
      <c r="C33" s="86" t="s">
        <v>9531</v>
      </c>
      <c r="D33" s="86" t="s">
        <v>663</v>
      </c>
      <c r="E33" s="86">
        <v>39</v>
      </c>
      <c r="F33" s="86" t="s">
        <v>4737</v>
      </c>
      <c r="G33" s="86">
        <v>39</v>
      </c>
      <c r="I33" s="8">
        <v>0</v>
      </c>
      <c r="J33" s="8" t="s">
        <v>9577</v>
      </c>
      <c r="N33" s="231" t="s">
        <v>8408</v>
      </c>
      <c r="O33" s="167" t="str">
        <f ca="1">IFERROR(__xludf.DUMMYFUNCTION("QUERY('030523 INVENTARIO'!$T$2:$T$1015,""select R where R like  '%""&amp;N33&amp;""%'"")"),"#VALUE!")</f>
        <v>#VALUE!</v>
      </c>
      <c r="S33" s="170" t="s">
        <v>9611</v>
      </c>
      <c r="T33" s="167" t="str">
        <f t="shared" si="0"/>
        <v>539099</v>
      </c>
      <c r="U33" s="167" t="str">
        <f ca="1">IFERROR(__xludf.DUMMYFUNCTION("QUERY('030523 INVENTARIO'!$T$2:$T$1015,""select R where R like  '%""&amp;T33&amp;""%'"")"),"#VALUE!")</f>
        <v>#VALUE!</v>
      </c>
      <c r="X33" s="86" t="s">
        <v>8408</v>
      </c>
      <c r="Y33" s="230" t="str">
        <f t="shared" si="1"/>
        <v>651382</v>
      </c>
      <c r="Z33" s="230" t="str">
        <f ca="1">IFERROR(__xludf.DUMMYFUNCTION("QUERY($S$2:$S$195,""select S where S like '%""&amp;Y33&amp;""%'"")"),"#N/A")</f>
        <v>#N/A</v>
      </c>
    </row>
    <row r="34" spans="2:26" ht="15">
      <c r="B34" s="86" t="s">
        <v>9612</v>
      </c>
      <c r="C34" s="86" t="s">
        <v>9372</v>
      </c>
      <c r="D34" s="86" t="s">
        <v>35</v>
      </c>
      <c r="E34" s="86">
        <v>50</v>
      </c>
      <c r="F34" s="86" t="s">
        <v>7404</v>
      </c>
      <c r="G34" s="86">
        <v>50</v>
      </c>
      <c r="H34" s="86" t="s">
        <v>278</v>
      </c>
      <c r="I34" s="8">
        <v>0</v>
      </c>
      <c r="J34" s="8" t="s">
        <v>9577</v>
      </c>
      <c r="N34" s="232" t="s">
        <v>7316</v>
      </c>
      <c r="O34" s="167" t="str">
        <f ca="1">IFERROR(__xludf.DUMMYFUNCTION("QUERY('030523 INVENTARIO'!$T$2:$T$1015,""select R where R like  '%""&amp;N34&amp;""%'"")"),"#VALUE!")</f>
        <v>#VALUE!</v>
      </c>
      <c r="S34" s="170" t="s">
        <v>9613</v>
      </c>
      <c r="T34" s="167" t="str">
        <f t="shared" si="0"/>
        <v>539981</v>
      </c>
      <c r="U34" s="167" t="str">
        <f ca="1">IFERROR(__xludf.DUMMYFUNCTION("QUERY('030523 INVENTARIO'!$T$2:$T$1015,""select R where R like  '%""&amp;T34&amp;""%'"")"),"#VALUE!")</f>
        <v>#VALUE!</v>
      </c>
      <c r="X34" s="86" t="s">
        <v>7316</v>
      </c>
      <c r="Y34" s="230" t="str">
        <f t="shared" si="1"/>
        <v>566539</v>
      </c>
      <c r="Z34" s="230" t="str">
        <f ca="1">IFERROR(__xludf.DUMMYFUNCTION("QUERY($S$2:$S$195,""select S where S like '%""&amp;Y34&amp;""%'"")"),"82DH0531010065000566539")</f>
        <v>82DH0531010065000566539</v>
      </c>
    </row>
    <row r="35" spans="2:26" ht="15">
      <c r="B35" s="86" t="s">
        <v>9569</v>
      </c>
      <c r="C35" s="86" t="s">
        <v>9409</v>
      </c>
      <c r="D35" s="86" t="s">
        <v>1220</v>
      </c>
      <c r="E35" s="86">
        <v>50</v>
      </c>
      <c r="F35" s="86" t="s">
        <v>7686</v>
      </c>
      <c r="G35" s="86">
        <v>40</v>
      </c>
      <c r="H35" s="86" t="s">
        <v>1552</v>
      </c>
      <c r="I35" s="8">
        <v>651120</v>
      </c>
      <c r="J35" s="8" t="s">
        <v>3282</v>
      </c>
      <c r="N35" s="232" t="s">
        <v>8010</v>
      </c>
      <c r="O35" s="167" t="str">
        <f ca="1">IFERROR(__xludf.DUMMYFUNCTION("QUERY('030523 INVENTARIO'!$T$2:$T$1015,""select R where R like  '%""&amp;N35&amp;""%'"")"),"#VALUE!")</f>
        <v>#VALUE!</v>
      </c>
      <c r="S35" s="229" t="s">
        <v>3519</v>
      </c>
      <c r="T35" s="167" t="str">
        <f t="shared" si="0"/>
        <v>649738</v>
      </c>
      <c r="U35" s="167" t="str">
        <f ca="1">IFERROR(__xludf.DUMMYFUNCTION("QUERY('030523 INVENTARIO'!$T$2:$T$1015,""select R where R like  '%""&amp;T35&amp;""%'"")"),"#VALUE!")</f>
        <v>#VALUE!</v>
      </c>
      <c r="X35" s="86" t="s">
        <v>8010</v>
      </c>
      <c r="Y35" s="230" t="str">
        <f t="shared" si="1"/>
        <v>564878</v>
      </c>
      <c r="Z35" s="230" t="str">
        <f ca="1">IFERROR(__xludf.DUMMYFUNCTION("QUERY($S$2:$S$195,""select S where S like '%""&amp;Y35&amp;""%'"")"),"82DH0531010065000564878")</f>
        <v>82DH0531010065000564878</v>
      </c>
    </row>
    <row r="36" spans="2:26" ht="15">
      <c r="B36" s="86" t="s">
        <v>9612</v>
      </c>
      <c r="C36" s="86" t="s">
        <v>9374</v>
      </c>
      <c r="D36" s="86" t="s">
        <v>35</v>
      </c>
      <c r="E36" s="86">
        <v>30</v>
      </c>
      <c r="F36" s="86" t="s">
        <v>9587</v>
      </c>
      <c r="G36" s="86">
        <v>30</v>
      </c>
      <c r="H36" s="86" t="s">
        <v>5160</v>
      </c>
      <c r="I36" s="8">
        <v>0</v>
      </c>
      <c r="J36" s="8" t="s">
        <v>9614</v>
      </c>
      <c r="N36" s="232" t="s">
        <v>7328</v>
      </c>
      <c r="O36" s="167" t="str">
        <f ca="1">IFERROR(__xludf.DUMMYFUNCTION("QUERY('030523 INVENTARIO'!$T$2:$T$1015,""select R where R like  '%""&amp;N36&amp;""%'"")"),"#VALUE!")</f>
        <v>#VALUE!</v>
      </c>
      <c r="S36" s="170" t="s">
        <v>7268</v>
      </c>
      <c r="T36" s="167" t="str">
        <f t="shared" si="0"/>
        <v>583323</v>
      </c>
      <c r="U36" s="167" t="str">
        <f ca="1">IFERROR(__xludf.DUMMYFUNCTION("QUERY('030523 INVENTARIO'!$T$2:$T$1015,""select R where R like  '%""&amp;T36&amp;""%'"")"),"#VALUE!")</f>
        <v>#VALUE!</v>
      </c>
      <c r="X36" s="86" t="s">
        <v>7328</v>
      </c>
      <c r="Y36" s="230" t="str">
        <f t="shared" si="1"/>
        <v>564739</v>
      </c>
      <c r="Z36" s="230" t="str">
        <f ca="1">IFERROR(__xludf.DUMMYFUNCTION("QUERY($S$2:$S$195,""select S where S like '%""&amp;Y36&amp;""%'"")"),"#N/A")</f>
        <v>#N/A</v>
      </c>
    </row>
    <row r="37" spans="2:26" ht="15">
      <c r="N37" s="231" t="s">
        <v>7327</v>
      </c>
      <c r="O37" s="167" t="str">
        <f ca="1">IFERROR(__xludf.DUMMYFUNCTION("QUERY('030523 INVENTARIO'!$T$2:$T$1015,""select R where R like  '%""&amp;N37&amp;""%'"")"),"#VALUE!")</f>
        <v>#VALUE!</v>
      </c>
      <c r="S37" s="229" t="s">
        <v>3608</v>
      </c>
      <c r="T37" s="167" t="str">
        <f t="shared" si="0"/>
        <v>649732</v>
      </c>
      <c r="U37" s="167" t="str">
        <f ca="1">IFERROR(__xludf.DUMMYFUNCTION("QUERY('030523 INVENTARIO'!$T$2:$T$1015,""select R where R like  '%""&amp;T37&amp;""%'"")"),"#VALUE!")</f>
        <v>#VALUE!</v>
      </c>
      <c r="X37" s="86" t="s">
        <v>7327</v>
      </c>
      <c r="Y37" s="230" t="str">
        <f t="shared" si="1"/>
        <v>564737</v>
      </c>
      <c r="Z37" s="230" t="str">
        <f ca="1">IFERROR(__xludf.DUMMYFUNCTION("QUERY($S$2:$S$195,""select S where S like '%""&amp;Y37&amp;""%'"")"),"#N/A")</f>
        <v>#N/A</v>
      </c>
    </row>
    <row r="38" spans="2:26" ht="15">
      <c r="N38" s="232" t="s">
        <v>6479</v>
      </c>
      <c r="O38" s="167" t="str">
        <f ca="1">IFERROR(__xludf.DUMMYFUNCTION("QUERY('030523 INVENTARIO'!$T$2:$T$1015,""select R where R like  '%""&amp;N38&amp;""%'"")"),"#VALUE!")</f>
        <v>#VALUE!</v>
      </c>
      <c r="P38" s="86" t="s">
        <v>9615</v>
      </c>
      <c r="S38" s="170" t="s">
        <v>9616</v>
      </c>
      <c r="T38" s="167" t="str">
        <f t="shared" si="0"/>
        <v>600317</v>
      </c>
      <c r="U38" s="167" t="str">
        <f ca="1">IFERROR(__xludf.DUMMYFUNCTION("QUERY('030523 INVENTARIO'!$T$2:$T$1015,""select R where R like  '%""&amp;T38&amp;""%'"")"),"#VALUE!")</f>
        <v>#VALUE!</v>
      </c>
      <c r="X38" s="86" t="s">
        <v>6479</v>
      </c>
      <c r="Y38" s="230" t="str">
        <f t="shared" si="1"/>
        <v>564716</v>
      </c>
      <c r="Z38" s="230" t="str">
        <f ca="1">IFERROR(__xludf.DUMMYFUNCTION("QUERY($S$2:$S$195,""select S where S like '%""&amp;Y38&amp;""%'"")"),"82DH0531010065000564716")</f>
        <v>82DH0531010065000564716</v>
      </c>
    </row>
    <row r="39" spans="2:26" ht="15">
      <c r="N39" s="232" t="s">
        <v>8410</v>
      </c>
      <c r="O39" s="167" t="str">
        <f ca="1">IFERROR(__xludf.DUMMYFUNCTION("QUERY('030523 INVENTARIO'!$T$2:$T$1015,""select R where R like  '%""&amp;N39&amp;""%'"")"),"#VALUE!")</f>
        <v>#VALUE!</v>
      </c>
      <c r="S39" s="170" t="s">
        <v>7262</v>
      </c>
      <c r="T39" s="167" t="str">
        <f t="shared" si="0"/>
        <v>518528</v>
      </c>
      <c r="U39" s="167" t="str">
        <f ca="1">IFERROR(__xludf.DUMMYFUNCTION("QUERY('030523 INVENTARIO'!$T$2:$T$1015,""select R where R like  '%""&amp;T39&amp;""%'"")"),"#VALUE!")</f>
        <v>#VALUE!</v>
      </c>
      <c r="X39" s="86" t="s">
        <v>8410</v>
      </c>
      <c r="Y39" s="230" t="str">
        <f t="shared" si="1"/>
        <v>651385</v>
      </c>
      <c r="Z39" s="230" t="str">
        <f ca="1">IFERROR(__xludf.DUMMYFUNCTION("QUERY($S$2:$S$195,""select S where S like '%""&amp;Y39&amp;""%'"")"),"#N/A")</f>
        <v>#N/A</v>
      </c>
    </row>
    <row r="40" spans="2:26" ht="15">
      <c r="N40" s="231" t="s">
        <v>7727</v>
      </c>
      <c r="O40" s="167" t="str">
        <f ca="1">IFERROR(__xludf.DUMMYFUNCTION("QUERY('030523 INVENTARIO'!$T$2:$T$1015,""select R where R like  '%""&amp;N40&amp;""%'"")"),"#VALUE!")</f>
        <v>#VALUE!</v>
      </c>
      <c r="S40" s="229" t="s">
        <v>5022</v>
      </c>
      <c r="T40" s="167" t="str">
        <f t="shared" si="0"/>
        <v>583683</v>
      </c>
      <c r="U40" s="167" t="str">
        <f ca="1">IFERROR(__xludf.DUMMYFUNCTION("QUERY('030523 INVENTARIO'!$T$2:$T$1015,""select R where R like  '%""&amp;T40&amp;""%'"")"),"#VALUE!")</f>
        <v>#VALUE!</v>
      </c>
      <c r="X40" s="86" t="s">
        <v>7727</v>
      </c>
      <c r="Y40" s="230" t="str">
        <f t="shared" si="1"/>
        <v>538163</v>
      </c>
      <c r="Z40" s="230" t="str">
        <f ca="1">IFERROR(__xludf.DUMMYFUNCTION("QUERY($S$2:$S$195,""select S where S like '%""&amp;Y40&amp;""%'"")"),"82DH0515010016000538163")</f>
        <v>82DH0515010016000538163</v>
      </c>
    </row>
    <row r="41" spans="2:26" ht="15">
      <c r="B41" s="233" t="s">
        <v>9617</v>
      </c>
      <c r="C41" s="167" t="str">
        <f t="shared" ref="C41:C72" si="2">MID(B41,18,6)</f>
        <v>539195</v>
      </c>
      <c r="D41" s="167" t="str">
        <f ca="1">IFERROR(__xludf.DUMMYFUNCTION("QUERY('030523 INVENTARIO'!$T$2:$T$1015, ""select R where R LIKE '%""&amp;C41&amp;""%'"")"),"#VALUE!")</f>
        <v>#VALUE!</v>
      </c>
      <c r="N41" s="231" t="s">
        <v>8411</v>
      </c>
      <c r="O41" s="167" t="str">
        <f ca="1">IFERROR(__xludf.DUMMYFUNCTION("QUERY('030523 INVENTARIO'!$T$2:$T$1015,""select R where R like  '%""&amp;N41&amp;""%'"")"),"#VALUE!")</f>
        <v>#VALUE!</v>
      </c>
      <c r="S41" s="170" t="s">
        <v>7321</v>
      </c>
      <c r="T41" s="167" t="str">
        <f t="shared" si="0"/>
        <v>583723</v>
      </c>
      <c r="U41" s="167" t="str">
        <f ca="1">IFERROR(__xludf.DUMMYFUNCTION("QUERY('030523 INVENTARIO'!$T$2:$T$1015,""select R where R like  '%""&amp;T41&amp;""%'"")"),"#VALUE!")</f>
        <v>#VALUE!</v>
      </c>
      <c r="X41" s="86" t="s">
        <v>8411</v>
      </c>
      <c r="Y41" s="230" t="str">
        <f t="shared" si="1"/>
        <v>651387</v>
      </c>
      <c r="Z41" s="230" t="str">
        <f ca="1">IFERROR(__xludf.DUMMYFUNCTION("QUERY($S$2:$S$195,""select S where S like '%""&amp;Y41&amp;""%'"")"),"82DH0515010003000651387")</f>
        <v>82DH0515010003000651387</v>
      </c>
    </row>
    <row r="42" spans="2:26" ht="15">
      <c r="B42" s="233" t="s">
        <v>9618</v>
      </c>
      <c r="C42" s="167" t="str">
        <f t="shared" si="2"/>
        <v>533071</v>
      </c>
      <c r="D42" s="167" t="str">
        <f ca="1">IFERROR(__xludf.DUMMYFUNCTION("QUERY('030523 INVENTARIO'!$T$2:$T$1015, ""select R where R LIKE '%""&amp;C42&amp;""%'"")"),"#VALUE!")</f>
        <v>#VALUE!</v>
      </c>
      <c r="N42" s="232" t="s">
        <v>7504</v>
      </c>
      <c r="O42" s="167" t="str">
        <f ca="1">IFERROR(__xludf.DUMMYFUNCTION("QUERY('030523 INVENTARIO'!$T$2:$T$1015,""select R where R like  '%""&amp;N42&amp;""%'"")"),"#VALUE!")</f>
        <v>#VALUE!</v>
      </c>
      <c r="S42" s="170" t="s">
        <v>9619</v>
      </c>
      <c r="T42" s="167" t="str">
        <f t="shared" si="0"/>
        <v>649642</v>
      </c>
      <c r="U42" s="167" t="str">
        <f ca="1">IFERROR(__xludf.DUMMYFUNCTION("QUERY('030523 INVENTARIO'!$T$2:$T$1015,""select R where R like  '%""&amp;T42&amp;""%'"")"),"#VALUE!")</f>
        <v>#VALUE!</v>
      </c>
      <c r="X42" s="86" t="s">
        <v>7504</v>
      </c>
      <c r="Y42" s="230" t="str">
        <f t="shared" si="1"/>
        <v>517052</v>
      </c>
      <c r="Z42" s="230" t="str">
        <f ca="1">IFERROR(__xludf.DUMMYFUNCTION("QUERY($S$2:$S$195,""select S where S like '%""&amp;Y42&amp;""%'"")"),"#N/A")</f>
        <v>#N/A</v>
      </c>
    </row>
    <row r="43" spans="2:26" ht="15">
      <c r="B43" s="233" t="s">
        <v>7709</v>
      </c>
      <c r="C43" s="167" t="str">
        <f t="shared" si="2"/>
        <v>535517</v>
      </c>
      <c r="D43" s="167" t="str">
        <f ca="1">IFERROR(__xludf.DUMMYFUNCTION("QUERY('030523 INVENTARIO'!$T$2:$T$1015, ""select R where R LIKE '%""&amp;C43&amp;""%'"")"),"#VALUE!")</f>
        <v>#VALUE!</v>
      </c>
      <c r="N43" s="232" t="s">
        <v>7501</v>
      </c>
      <c r="O43" s="167" t="str">
        <f ca="1">IFERROR(__xludf.DUMMYFUNCTION("QUERY('030523 INVENTARIO'!$T$2:$T$1015,""select R where R like  '%""&amp;N43&amp;""%'"")"),"#VALUE!")</f>
        <v>#VALUE!</v>
      </c>
      <c r="S43" s="170" t="s">
        <v>9620</v>
      </c>
      <c r="T43" s="167" t="str">
        <f t="shared" si="0"/>
        <v>649652</v>
      </c>
      <c r="U43" s="167" t="str">
        <f ca="1">IFERROR(__xludf.DUMMYFUNCTION("QUERY('030523 INVENTARIO'!$T$2:$T$1015,""select R where R like  '%""&amp;T43&amp;""%'"")"),"#VALUE!")</f>
        <v>#VALUE!</v>
      </c>
      <c r="X43" s="86" t="s">
        <v>7501</v>
      </c>
      <c r="Y43" s="230" t="str">
        <f t="shared" si="1"/>
        <v>517051</v>
      </c>
      <c r="Z43" s="230" t="str">
        <f ca="1">IFERROR(__xludf.DUMMYFUNCTION("QUERY($S$2:$S$195,""select S where S like '%""&amp;Y43&amp;""%'"")"),"#N/A")</f>
        <v>#N/A</v>
      </c>
    </row>
    <row r="44" spans="2:26" ht="15">
      <c r="B44" s="233" t="s">
        <v>9621</v>
      </c>
      <c r="C44" s="167" t="str">
        <f t="shared" si="2"/>
        <v>515606</v>
      </c>
      <c r="D44" s="167" t="str">
        <f ca="1">IFERROR(__xludf.DUMMYFUNCTION("QUERY('030523 INVENTARIO'!$T$2:$T$1015, ""select R where R LIKE '%""&amp;C44&amp;""%'"")"),"#VALUE!")</f>
        <v>#VALUE!</v>
      </c>
      <c r="N44" s="232" t="s">
        <v>8052</v>
      </c>
      <c r="O44" s="167" t="str">
        <f ca="1">IFERROR(__xludf.DUMMYFUNCTION("QUERY('030523 INVENTARIO'!$T$2:$T$1015,""select R where R like  '%""&amp;N44&amp;""%'"")"),"#VALUE!")</f>
        <v>#VALUE!</v>
      </c>
      <c r="S44" s="170" t="s">
        <v>9622</v>
      </c>
      <c r="T44" s="167" t="str">
        <f t="shared" si="0"/>
        <v>649740</v>
      </c>
      <c r="U44" s="167" t="str">
        <f ca="1">IFERROR(__xludf.DUMMYFUNCTION("QUERY('030523 INVENTARIO'!$T$2:$T$1015,""select R where R like  '%""&amp;T44&amp;""%'"")"),"#VALUE!")</f>
        <v>#VALUE!</v>
      </c>
      <c r="X44" s="86" t="s">
        <v>8052</v>
      </c>
      <c r="Y44" s="230" t="str">
        <f t="shared" si="1"/>
        <v>566204</v>
      </c>
      <c r="Z44" s="230" t="str">
        <f ca="1">IFERROR(__xludf.DUMMYFUNCTION("QUERY($S$2:$S$195,""select S where S like '%""&amp;Y44&amp;""%'"")"),"82DH0511010027000566204")</f>
        <v>82DH0511010027000566204</v>
      </c>
    </row>
    <row r="45" spans="2:26" ht="15">
      <c r="B45" s="233" t="s">
        <v>9623</v>
      </c>
      <c r="C45" s="167" t="str">
        <f t="shared" si="2"/>
        <v>539102</v>
      </c>
      <c r="D45" s="167" t="str">
        <f ca="1">IFERROR(__xludf.DUMMYFUNCTION("QUERY('030523 INVENTARIO'!$T$2:$T$1015, ""select R where R LIKE '%""&amp;C45&amp;""%'"")"),"#VALUE!")</f>
        <v>#VALUE!</v>
      </c>
      <c r="N45" s="232" t="s">
        <v>5433</v>
      </c>
      <c r="O45" s="167" t="str">
        <f ca="1">IFERROR(__xludf.DUMMYFUNCTION("QUERY('030523 INVENTARIO'!$T$2:$T$1015,""select R where R like  '%""&amp;N45&amp;""%'"")"),"#VALUE!")</f>
        <v>#VALUE!</v>
      </c>
      <c r="P45" s="86" t="s">
        <v>9615</v>
      </c>
      <c r="S45" s="170" t="s">
        <v>8409</v>
      </c>
      <c r="T45" s="167" t="str">
        <f t="shared" si="0"/>
        <v>651383</v>
      </c>
      <c r="U45" s="167" t="str">
        <f ca="1">IFERROR(__xludf.DUMMYFUNCTION("QUERY('030523 INVENTARIO'!$T$2:$T$1015,""select R where R like  '%""&amp;T45&amp;""%'"")"),"#VALUE!")</f>
        <v>#VALUE!</v>
      </c>
      <c r="X45" s="86" t="s">
        <v>5433</v>
      </c>
      <c r="Y45" s="230" t="str">
        <f t="shared" si="1"/>
        <v>651388</v>
      </c>
      <c r="Z45" s="230" t="str">
        <f ca="1">IFERROR(__xludf.DUMMYFUNCTION("QUERY($S$2:$S$195,""select S where S like '%""&amp;Y45&amp;""%'"")"),"82DH0511010017000651388")</f>
        <v>82DH0511010017000651388</v>
      </c>
    </row>
    <row r="46" spans="2:26" ht="15">
      <c r="B46" s="233" t="s">
        <v>9624</v>
      </c>
      <c r="C46" s="167" t="str">
        <f t="shared" si="2"/>
        <v>542043</v>
      </c>
      <c r="D46" s="167" t="str">
        <f ca="1">IFERROR(__xludf.DUMMYFUNCTION("QUERY('030523 INVENTARIO'!$T$2:$T$1015, ""select R where R LIKE '%""&amp;C46&amp;""%'"")"),"#VALUE!")</f>
        <v>#VALUE!</v>
      </c>
      <c r="N46" s="232" t="s">
        <v>4905</v>
      </c>
      <c r="O46" s="167" t="str">
        <f ca="1">IFERROR(__xludf.DUMMYFUNCTION("QUERY('030523 INVENTARIO'!$T$2:$T$1015,""select R where R like  '%""&amp;N46&amp;""%'"")"),"#VALUE!")</f>
        <v>#VALUE!</v>
      </c>
      <c r="P46" s="86" t="s">
        <v>9615</v>
      </c>
      <c r="S46" s="170" t="s">
        <v>8263</v>
      </c>
      <c r="T46" s="167" t="str">
        <f t="shared" si="0"/>
        <v>649611</v>
      </c>
      <c r="U46" s="167" t="str">
        <f ca="1">IFERROR(__xludf.DUMMYFUNCTION("QUERY('030523 INVENTARIO'!$T$2:$T$1015,""select R where R like  '%""&amp;T46&amp;""%'"")"),"#VALUE!")</f>
        <v>#VALUE!</v>
      </c>
      <c r="X46" s="86" t="s">
        <v>4905</v>
      </c>
      <c r="Y46" s="230" t="str">
        <f t="shared" si="1"/>
        <v>651379</v>
      </c>
      <c r="Z46" s="230" t="str">
        <f ca="1">IFERROR(__xludf.DUMMYFUNCTION("QUERY($S$2:$S$195,""select S where S like '%""&amp;Y46&amp;""%'"")"),"82DH0511010017000651379")</f>
        <v>82DH0511010017000651379</v>
      </c>
    </row>
    <row r="47" spans="2:26" ht="15">
      <c r="B47" s="233" t="s">
        <v>9625</v>
      </c>
      <c r="C47" s="167" t="str">
        <f t="shared" si="2"/>
        <v>542042</v>
      </c>
      <c r="D47" s="167" t="str">
        <f ca="1">IFERROR(__xludf.DUMMYFUNCTION("QUERY('030523 INVENTARIO'!$T$2:$T$1015, ""select R where R LIKE '%""&amp;C47&amp;""%'"")"),"#VALUE!")</f>
        <v>#VALUE!</v>
      </c>
      <c r="N47" s="232" t="s">
        <v>7415</v>
      </c>
      <c r="O47" s="167" t="str">
        <f ca="1">IFERROR(__xludf.DUMMYFUNCTION("QUERY('030523 INVENTARIO'!$T$2:$T$1015,""select R where R like  '%""&amp;N47&amp;""%'"")"),"#VALUE!")</f>
        <v>#VALUE!</v>
      </c>
      <c r="S47" s="170" t="s">
        <v>8264</v>
      </c>
      <c r="T47" s="167" t="str">
        <f t="shared" si="0"/>
        <v>649612</v>
      </c>
      <c r="U47" s="167" t="str">
        <f ca="1">IFERROR(__xludf.DUMMYFUNCTION("QUERY('030523 INVENTARIO'!$T$2:$T$1015,""select R where R like  '%""&amp;T47&amp;""%'"")"),"#VALUE!")</f>
        <v>#VALUE!</v>
      </c>
      <c r="X47" s="86" t="s">
        <v>7415</v>
      </c>
      <c r="Y47" s="230" t="str">
        <f t="shared" si="1"/>
        <v>515490</v>
      </c>
      <c r="Z47" s="230" t="str">
        <f ca="1">IFERROR(__xludf.DUMMYFUNCTION("QUERY($S$2:$S$195,""select S where S like '%""&amp;Y47&amp;""%'"")"),"82DH0511010013000515490")</f>
        <v>82DH0511010013000515490</v>
      </c>
    </row>
    <row r="48" spans="2:26" ht="15">
      <c r="B48" s="233" t="s">
        <v>7415</v>
      </c>
      <c r="C48" s="167" t="str">
        <f t="shared" si="2"/>
        <v>515490</v>
      </c>
      <c r="D48" s="167" t="str">
        <f ca="1">IFERROR(__xludf.DUMMYFUNCTION("QUERY('030523 INVENTARIO'!$T$2:$T$1015, ""select R where R LIKE '%""&amp;C48&amp;""%'"")"),"#VALUE!")</f>
        <v>#VALUE!</v>
      </c>
      <c r="N48" s="232" t="s">
        <v>8409</v>
      </c>
      <c r="O48" s="167" t="str">
        <f ca="1">IFERROR(__xludf.DUMMYFUNCTION("QUERY('030523 INVENTARIO'!$T$2:$T$1015,""select R where R like  '%""&amp;N48&amp;""%'"")"),"#VALUE!")</f>
        <v>#VALUE!</v>
      </c>
      <c r="S48" s="170" t="s">
        <v>8265</v>
      </c>
      <c r="T48" s="167" t="str">
        <f t="shared" si="0"/>
        <v>649613</v>
      </c>
      <c r="U48" s="167" t="str">
        <f ca="1">IFERROR(__xludf.DUMMYFUNCTION("QUERY('030523 INVENTARIO'!$T$2:$T$1015,""select R where R like  '%""&amp;T48&amp;""%'"")"),"#VALUE!")</f>
        <v>#VALUE!</v>
      </c>
      <c r="X48" s="86" t="s">
        <v>8409</v>
      </c>
      <c r="Y48" s="230" t="str">
        <f t="shared" si="1"/>
        <v>651383</v>
      </c>
      <c r="Z48" s="230" t="str">
        <f ca="1">IFERROR(__xludf.DUMMYFUNCTION("QUERY($S$2:$S$195,""select S where S like '%""&amp;Y48&amp;""%'"")"),"82DH0511010006000651383")</f>
        <v>82DH0511010006000651383</v>
      </c>
    </row>
    <row r="49" spans="2:26" ht="15">
      <c r="B49" s="233" t="s">
        <v>9626</v>
      </c>
      <c r="C49" s="167" t="str">
        <f t="shared" si="2"/>
        <v>522284</v>
      </c>
      <c r="D49" s="167" t="str">
        <f ca="1">IFERROR(__xludf.DUMMYFUNCTION("QUERY('030523 INVENTARIO'!$T$2:$T$1015, ""select R where R LIKE '%""&amp;C49&amp;""%'"")"),"#VALUE!")</f>
        <v>#VALUE!</v>
      </c>
      <c r="N49" s="232" t="s">
        <v>7329</v>
      </c>
      <c r="O49" s="167" t="str">
        <f ca="1">IFERROR(__xludf.DUMMYFUNCTION("QUERY('030523 INVENTARIO'!$T$2:$T$1015,""select R where R like  '%""&amp;N49&amp;""%'"")"),"#VALUE!")</f>
        <v>#VALUE!</v>
      </c>
      <c r="S49" s="170" t="s">
        <v>8266</v>
      </c>
      <c r="T49" s="167" t="str">
        <f t="shared" si="0"/>
        <v>649614</v>
      </c>
      <c r="U49" s="167" t="str">
        <f ca="1">IFERROR(__xludf.DUMMYFUNCTION("QUERY('030523 INVENTARIO'!$T$2:$T$1015,""select R where R like  '%""&amp;T49&amp;""%'"")"),"#VALUE!")</f>
        <v>#VALUE!</v>
      </c>
      <c r="X49" s="86" t="s">
        <v>7329</v>
      </c>
      <c r="Y49" s="230" t="str">
        <f t="shared" si="1"/>
        <v>518544</v>
      </c>
      <c r="Z49" s="230" t="str">
        <f ca="1">IFERROR(__xludf.DUMMYFUNCTION("QUERY($S$2:$S$195,""select S where S like '%""&amp;Y49&amp;""%'"")"),"82DH0511010001000518544")</f>
        <v>82DH0511010001000518544</v>
      </c>
    </row>
    <row r="50" spans="2:26" ht="15">
      <c r="B50" s="233" t="s">
        <v>9627</v>
      </c>
      <c r="C50" s="167" t="str">
        <f t="shared" si="2"/>
        <v>516043</v>
      </c>
      <c r="D50" s="167" t="str">
        <f ca="1">IFERROR(__xludf.DUMMYFUNCTION("QUERY('030523 INVENTARIO'!$T$2:$T$1015, ""select R where R LIKE '%""&amp;C50&amp;""%'"")"),"#VALUE!")</f>
        <v>#VALUE!</v>
      </c>
      <c r="N50" s="232" t="s">
        <v>8367</v>
      </c>
      <c r="O50" s="167" t="str">
        <f ca="1">IFERROR(__xludf.DUMMYFUNCTION("QUERY('030523 INVENTARIO'!$T$2:$T$1015,""select R where R like  '%""&amp;N50&amp;""%'"")"),"#VALUE!")</f>
        <v>#VALUE!</v>
      </c>
      <c r="S50" s="170" t="s">
        <v>8267</v>
      </c>
      <c r="T50" s="167" t="str">
        <f t="shared" si="0"/>
        <v>649615</v>
      </c>
      <c r="U50" s="167" t="str">
        <f ca="1">IFERROR(__xludf.DUMMYFUNCTION("QUERY('030523 INVENTARIO'!$T$2:$T$1015,""select R where R like  '%""&amp;T50&amp;""%'"")"),"#VALUE!")</f>
        <v>#VALUE!</v>
      </c>
      <c r="X50" s="86" t="s">
        <v>8367</v>
      </c>
      <c r="Y50" s="230" t="str">
        <f t="shared" si="1"/>
        <v>650893</v>
      </c>
      <c r="Z50" s="230" t="str">
        <f ca="1">IFERROR(__xludf.DUMMYFUNCTION("QUERY($S$2:$S$195,""select S where S like '%""&amp;Y50&amp;""%'"")"),"#N/A")</f>
        <v>#N/A</v>
      </c>
    </row>
    <row r="51" spans="2:26" ht="15">
      <c r="B51" s="233" t="s">
        <v>9628</v>
      </c>
      <c r="C51" s="167" t="str">
        <f t="shared" si="2"/>
        <v>539065</v>
      </c>
      <c r="D51" s="167" t="str">
        <f ca="1">IFERROR(__xludf.DUMMYFUNCTION("QUERY('030523 INVENTARIO'!$T$2:$T$1015, ""select R where R LIKE '%""&amp;C51&amp;""%'"")"),"#VALUE!")</f>
        <v>#VALUE!</v>
      </c>
      <c r="N51" s="232" t="s">
        <v>8412</v>
      </c>
      <c r="O51" s="167" t="str">
        <f ca="1">IFERROR(__xludf.DUMMYFUNCTION("QUERY('030523 INVENTARIO'!$T$2:$T$1015,""select R where R like  '%""&amp;N51&amp;""%'"")"),"#VALUE!")</f>
        <v>#VALUE!</v>
      </c>
      <c r="S51" s="170" t="s">
        <v>8268</v>
      </c>
      <c r="T51" s="167" t="str">
        <f t="shared" si="0"/>
        <v>649616</v>
      </c>
      <c r="U51" s="167" t="str">
        <f ca="1">IFERROR(__xludf.DUMMYFUNCTION("QUERY('030523 INVENTARIO'!$T$2:$T$1015,""select R where R like  '%""&amp;T51&amp;""%'"")"),"#VALUE!")</f>
        <v>#VALUE!</v>
      </c>
      <c r="X51" s="86" t="s">
        <v>8412</v>
      </c>
      <c r="Y51" s="230" t="str">
        <f t="shared" si="1"/>
        <v>651389</v>
      </c>
      <c r="Z51" s="230" t="str">
        <f ca="1">IFERROR(__xludf.DUMMYFUNCTION("QUERY($S$2:$S$195,""select S where S like '%""&amp;Y51&amp;""%'"")"),"82DH0515010003000651389")</f>
        <v>82DH0515010003000651389</v>
      </c>
    </row>
    <row r="52" spans="2:26" ht="15">
      <c r="B52" s="233" t="s">
        <v>7769</v>
      </c>
      <c r="C52" s="167" t="str">
        <f t="shared" si="2"/>
        <v>539068</v>
      </c>
      <c r="D52" s="167" t="str">
        <f ca="1">IFERROR(__xludf.DUMMYFUNCTION("QUERY('030523 INVENTARIO'!$T$2:$T$1015, ""select R where R LIKE '%""&amp;C52&amp;""%'"")"),"#VALUE!")</f>
        <v>#VALUE!</v>
      </c>
      <c r="N52" s="232" t="s">
        <v>7319</v>
      </c>
      <c r="O52" s="167" t="str">
        <f ca="1">IFERROR(__xludf.DUMMYFUNCTION("QUERY('030523 INVENTARIO'!$T$2:$T$1015,""select R where R like  '%""&amp;N52&amp;""%'"")"),"#VALUE!")</f>
        <v>#VALUE!</v>
      </c>
      <c r="S52" s="170" t="s">
        <v>8269</v>
      </c>
      <c r="T52" s="167" t="str">
        <f t="shared" si="0"/>
        <v>649617</v>
      </c>
      <c r="U52" s="167" t="str">
        <f ca="1">IFERROR(__xludf.DUMMYFUNCTION("QUERY('030523 INVENTARIO'!$T$2:$T$1015,""select R where R like  '%""&amp;T52&amp;""%'"")"),"#VALUE!")</f>
        <v>#VALUE!</v>
      </c>
      <c r="X52" s="86" t="s">
        <v>7319</v>
      </c>
      <c r="Y52" s="230" t="str">
        <f t="shared" si="1"/>
        <v>649365</v>
      </c>
      <c r="Z52" s="230" t="str">
        <f ca="1">IFERROR(__xludf.DUMMYFUNCTION("QUERY($S$2:$S$195,""select S where S like '%""&amp;Y52&amp;""%'"")"),"#N/A")</f>
        <v>#N/A</v>
      </c>
    </row>
    <row r="53" spans="2:26" ht="15">
      <c r="B53" s="233" t="s">
        <v>9629</v>
      </c>
      <c r="C53" s="167" t="str">
        <f t="shared" si="2"/>
        <v>564571</v>
      </c>
      <c r="D53" s="167" t="str">
        <f ca="1">IFERROR(__xludf.DUMMYFUNCTION("QUERY('030523 INVENTARIO'!$T$2:$T$1015, ""select R where R LIKE '%""&amp;C53&amp;""%'"")"),"#VALUE!")</f>
        <v>#VALUE!</v>
      </c>
      <c r="N53" s="231" t="s">
        <v>7246</v>
      </c>
      <c r="O53" s="167" t="str">
        <f ca="1">IFERROR(__xludf.DUMMYFUNCTION("QUERY('030523 INVENTARIO'!$T$2:$T$1015,""select R where R like  '%""&amp;N53&amp;""%'"")"),"#VALUE!")</f>
        <v>#VALUE!</v>
      </c>
      <c r="S53" s="170" t="s">
        <v>8270</v>
      </c>
      <c r="T53" s="167" t="str">
        <f t="shared" si="0"/>
        <v>649618</v>
      </c>
      <c r="U53" s="167" t="str">
        <f ca="1">IFERROR(__xludf.DUMMYFUNCTION("QUERY('030523 INVENTARIO'!$T$2:$T$1015,""select R where R like  '%""&amp;T53&amp;""%'"")"),"#VALUE!")</f>
        <v>#VALUE!</v>
      </c>
      <c r="X53" s="86" t="s">
        <v>7246</v>
      </c>
      <c r="Y53" s="230" t="str">
        <f t="shared" si="1"/>
        <v>649377</v>
      </c>
      <c r="Z53" s="230" t="str">
        <f ca="1">IFERROR(__xludf.DUMMYFUNCTION("QUERY($S$2:$S$195,""select S where S like '%""&amp;Y53&amp;""%'"")"),"#N/A")</f>
        <v>#N/A</v>
      </c>
    </row>
    <row r="54" spans="2:26" ht="15">
      <c r="B54" s="233" t="s">
        <v>9630</v>
      </c>
      <c r="C54" s="167" t="str">
        <f t="shared" si="2"/>
        <v>515317</v>
      </c>
      <c r="D54" s="167" t="str">
        <f ca="1">IFERROR(__xludf.DUMMYFUNCTION("QUERY('030523 INVENTARIO'!$T$2:$T$1015, ""select R where R LIKE '%""&amp;C54&amp;""%'"")"),"#VALUE!")</f>
        <v>#VALUE!</v>
      </c>
      <c r="N54" s="232" t="s">
        <v>8358</v>
      </c>
      <c r="O54" s="167" t="str">
        <f ca="1">IFERROR(__xludf.DUMMYFUNCTION("QUERY('030523 INVENTARIO'!$T$2:$T$1015,""select R where R like  '%""&amp;N54&amp;""%'"")"),"#VALUE!")</f>
        <v>#VALUE!</v>
      </c>
      <c r="S54" s="170" t="s">
        <v>8271</v>
      </c>
      <c r="T54" s="167" t="str">
        <f t="shared" si="0"/>
        <v>649619</v>
      </c>
      <c r="U54" s="167" t="str">
        <f ca="1">IFERROR(__xludf.DUMMYFUNCTION("QUERY('030523 INVENTARIO'!$T$2:$T$1015,""select R where R like  '%""&amp;T54&amp;""%'"")"),"#VALUE!")</f>
        <v>#VALUE!</v>
      </c>
      <c r="X54" s="86" t="s">
        <v>8358</v>
      </c>
      <c r="Y54" s="230" t="str">
        <f t="shared" si="1"/>
        <v>649752</v>
      </c>
      <c r="Z54" s="230" t="str">
        <f ca="1">IFERROR(__xludf.DUMMYFUNCTION("QUERY($S$2:$S$195,""select S where S like '%""&amp;Y54&amp;""%'"")"),"#N/A")</f>
        <v>#N/A</v>
      </c>
    </row>
    <row r="55" spans="2:26" ht="15">
      <c r="B55" s="233" t="s">
        <v>7241</v>
      </c>
      <c r="C55" s="167" t="str">
        <f t="shared" si="2"/>
        <v>515364</v>
      </c>
      <c r="D55" s="167" t="str">
        <f ca="1">IFERROR(__xludf.DUMMYFUNCTION("QUERY('030523 INVENTARIO'!$T$2:$T$1015, ""select R where R LIKE '%""&amp;C55&amp;""%'"")"),"#VALUE!")</f>
        <v>#VALUE!</v>
      </c>
      <c r="N55" s="231" t="s">
        <v>5458</v>
      </c>
      <c r="O55" s="167" t="str">
        <f ca="1">IFERROR(__xludf.DUMMYFUNCTION("QUERY('030523 INVENTARIO'!$T$2:$T$1015,""select R where R like  '%""&amp;N55&amp;""%'"")"),"#VALUE!")</f>
        <v>#VALUE!</v>
      </c>
      <c r="S55" s="170" t="s">
        <v>8272</v>
      </c>
      <c r="T55" s="167" t="str">
        <f t="shared" si="0"/>
        <v>649620</v>
      </c>
      <c r="U55" s="167" t="str">
        <f ca="1">IFERROR(__xludf.DUMMYFUNCTION("QUERY('030523 INVENTARIO'!$T$2:$T$1015,""select R where R like  '%""&amp;T55&amp;""%'"")"),"#VALUE!")</f>
        <v>#VALUE!</v>
      </c>
      <c r="X55" s="86" t="s">
        <v>5458</v>
      </c>
      <c r="Y55" s="230" t="str">
        <f t="shared" si="1"/>
        <v>649753</v>
      </c>
      <c r="Z55" s="230" t="str">
        <f ca="1">IFERROR(__xludf.DUMMYFUNCTION("QUERY($S$2:$S$195,""select S where S like '%""&amp;Y55&amp;""%'"")"),"#N/A")</f>
        <v>#N/A</v>
      </c>
    </row>
    <row r="56" spans="2:26" ht="15">
      <c r="B56" s="233" t="s">
        <v>9631</v>
      </c>
      <c r="C56" s="167" t="str">
        <f t="shared" si="2"/>
        <v>566535</v>
      </c>
      <c r="D56" s="167" t="str">
        <f ca="1">IFERROR(__xludf.DUMMYFUNCTION("QUERY('030523 INVENTARIO'!$T$2:$T$1015, ""select R where R LIKE '%""&amp;C56&amp;""%'"")"),"#VALUE!")</f>
        <v>#VALUE!</v>
      </c>
      <c r="N56" s="232" t="s">
        <v>8361</v>
      </c>
      <c r="O56" s="167" t="str">
        <f ca="1">IFERROR(__xludf.DUMMYFUNCTION("QUERY('030523 INVENTARIO'!$T$2:$T$1015,""select R where R like  '%""&amp;N56&amp;""%'"")"),"#VALUE!")</f>
        <v>#VALUE!</v>
      </c>
      <c r="S56" s="170" t="s">
        <v>8273</v>
      </c>
      <c r="T56" s="167" t="str">
        <f t="shared" si="0"/>
        <v>649621</v>
      </c>
      <c r="U56" s="167" t="str">
        <f ca="1">IFERROR(__xludf.DUMMYFUNCTION("QUERY('030523 INVENTARIO'!$T$2:$T$1015,""select R where R like  '%""&amp;T56&amp;""%'"")"),"#VALUE!")</f>
        <v>#VALUE!</v>
      </c>
      <c r="X56" s="86" t="s">
        <v>8361</v>
      </c>
      <c r="Y56" s="230" t="str">
        <f t="shared" si="1"/>
        <v>649759</v>
      </c>
      <c r="Z56" s="230" t="str">
        <f ca="1">IFERROR(__xludf.DUMMYFUNCTION("QUERY($S$2:$S$195,""select S where S like '%""&amp;Y56&amp;""%'"")"),"82DH0515010013000649759")</f>
        <v>82DH0515010013000649759</v>
      </c>
    </row>
    <row r="57" spans="2:26" ht="15">
      <c r="B57" s="233" t="s">
        <v>9632</v>
      </c>
      <c r="C57" s="167" t="str">
        <f t="shared" si="2"/>
        <v>579561</v>
      </c>
      <c r="D57" s="167" t="str">
        <f ca="1">IFERROR(__xludf.DUMMYFUNCTION("QUERY('030523 INVENTARIO'!$T$2:$T$1015, ""select R where R LIKE '%""&amp;C57&amp;""%'"")"),"#VALUE!")</f>
        <v>#VALUE!</v>
      </c>
      <c r="N57" s="232" t="s">
        <v>7859</v>
      </c>
      <c r="O57" s="167" t="str">
        <f ca="1">IFERROR(__xludf.DUMMYFUNCTION("QUERY('030523 INVENTARIO'!$T$2:$T$1015,""select R where R like  '%""&amp;N57&amp;""%'"")"),"#VALUE!")</f>
        <v>#VALUE!</v>
      </c>
      <c r="S57" s="170" t="s">
        <v>8274</v>
      </c>
      <c r="T57" s="167" t="str">
        <f t="shared" si="0"/>
        <v>649622</v>
      </c>
      <c r="U57" s="167" t="str">
        <f ca="1">IFERROR(__xludf.DUMMYFUNCTION("QUERY('030523 INVENTARIO'!$T$2:$T$1015,""select R where R like  '%""&amp;T57&amp;""%'"")"),"#VALUE!")</f>
        <v>#VALUE!</v>
      </c>
      <c r="X57" s="86" t="s">
        <v>7859</v>
      </c>
      <c r="Y57" s="230" t="str">
        <f t="shared" si="1"/>
        <v>564511</v>
      </c>
      <c r="Z57" s="230" t="str">
        <f ca="1">IFERROR(__xludf.DUMMYFUNCTION("QUERY($S$2:$S$195,""select S where S like '%""&amp;Y57&amp;""%'"")"),"#N/A")</f>
        <v>#N/A</v>
      </c>
    </row>
    <row r="58" spans="2:26" ht="15">
      <c r="B58" s="233" t="s">
        <v>7635</v>
      </c>
      <c r="C58" s="167" t="str">
        <f t="shared" si="2"/>
        <v>530455</v>
      </c>
      <c r="D58" s="167" t="str">
        <f ca="1">IFERROR(__xludf.DUMMYFUNCTION("QUERY('030523 INVENTARIO'!$T$2:$T$1015, ""select R where R LIKE '%""&amp;C58&amp;""%'"")"),"#VALUE!")</f>
        <v>#VALUE!</v>
      </c>
      <c r="N58" s="231" t="s">
        <v>8360</v>
      </c>
      <c r="O58" s="167" t="str">
        <f ca="1">IFERROR(__xludf.DUMMYFUNCTION("QUERY('030523 INVENTARIO'!$T$2:$T$1015,""select R where R like  '%""&amp;N58&amp;""%'"")"),"#VALUE!")</f>
        <v>#VALUE!</v>
      </c>
      <c r="S58" s="170" t="s">
        <v>8275</v>
      </c>
      <c r="T58" s="167" t="str">
        <f t="shared" si="0"/>
        <v>649623</v>
      </c>
      <c r="U58" s="167" t="str">
        <f ca="1">IFERROR(__xludf.DUMMYFUNCTION("QUERY('030523 INVENTARIO'!$T$2:$T$1015,""select R where R like  '%""&amp;T58&amp;""%'"")"),"#VALUE!")</f>
        <v>#VALUE!</v>
      </c>
      <c r="X58" s="86" t="s">
        <v>8360</v>
      </c>
      <c r="Y58" s="230" t="str">
        <f t="shared" si="1"/>
        <v>649758</v>
      </c>
      <c r="Z58" s="230" t="str">
        <f ca="1">IFERROR(__xludf.DUMMYFUNCTION("QUERY($S$2:$S$195,""select S where S like '%""&amp;Y58&amp;""%'"")"),"#N/A")</f>
        <v>#N/A</v>
      </c>
    </row>
    <row r="59" spans="2:26" ht="15">
      <c r="B59" s="233" t="s">
        <v>7637</v>
      </c>
      <c r="C59" s="167" t="str">
        <f t="shared" si="2"/>
        <v>530456</v>
      </c>
      <c r="D59" s="167" t="str">
        <f ca="1">IFERROR(__xludf.DUMMYFUNCTION("QUERY('030523 INVENTARIO'!$T$2:$T$1015, ""select R where R LIKE '%""&amp;C59&amp;""%'"")"),"#VALUE!")</f>
        <v>#VALUE!</v>
      </c>
      <c r="N59" s="232" t="s">
        <v>7320</v>
      </c>
      <c r="O59" s="167" t="str">
        <f ca="1">IFERROR(__xludf.DUMMYFUNCTION("QUERY('030523 INVENTARIO'!$T$2:$T$1015,""select R where R like  '%""&amp;N59&amp;""%'"")"),"#VALUE!")</f>
        <v>#VALUE!</v>
      </c>
      <c r="S59" s="170" t="s">
        <v>8276</v>
      </c>
      <c r="T59" s="167" t="str">
        <f t="shared" si="0"/>
        <v>649624</v>
      </c>
      <c r="U59" s="167" t="str">
        <f ca="1">IFERROR(__xludf.DUMMYFUNCTION("QUERY('030523 INVENTARIO'!$T$2:$T$1015,""select R where R like  '%""&amp;T59&amp;""%'"")"),"#VALUE!")</f>
        <v>#VALUE!</v>
      </c>
      <c r="X59" s="86" t="s">
        <v>7320</v>
      </c>
      <c r="Y59" s="230" t="str">
        <f t="shared" si="1"/>
        <v>564765</v>
      </c>
      <c r="Z59" s="230" t="str">
        <f ca="1">IFERROR(__xludf.DUMMYFUNCTION("QUERY($S$2:$S$195,""select S where S like '%""&amp;Y59&amp;""%'"")"),"82DH0531010065000564765")</f>
        <v>82DH0531010065000564765</v>
      </c>
    </row>
    <row r="60" spans="2:26" ht="15">
      <c r="B60" s="233" t="s">
        <v>9633</v>
      </c>
      <c r="C60" s="167" t="str">
        <f t="shared" si="2"/>
        <v>566299</v>
      </c>
      <c r="D60" s="167" t="str">
        <f ca="1">IFERROR(__xludf.DUMMYFUNCTION("QUERY('030523 INVENTARIO'!$T$2:$T$1015, ""select R where R LIKE '%""&amp;C60&amp;""%'"")"),"#VALUE!")</f>
        <v>#VALUE!</v>
      </c>
      <c r="N60" s="232" t="s">
        <v>7678</v>
      </c>
      <c r="O60" s="167" t="str">
        <f ca="1">IFERROR(__xludf.DUMMYFUNCTION("QUERY('030523 INVENTARIO'!$T$2:$T$1015,""select R where R like  '%""&amp;N60&amp;""%'"")"),"#VALUE!")</f>
        <v>#VALUE!</v>
      </c>
      <c r="S60" s="170" t="s">
        <v>8277</v>
      </c>
      <c r="T60" s="167" t="str">
        <f t="shared" si="0"/>
        <v>649625</v>
      </c>
      <c r="U60" s="167" t="str">
        <f ca="1">IFERROR(__xludf.DUMMYFUNCTION("QUERY('030523 INVENTARIO'!$T$2:$T$1015,""select R where R like  '%""&amp;T60&amp;""%'"")"),"#VALUE!")</f>
        <v>#VALUE!</v>
      </c>
      <c r="X60" s="86" t="s">
        <v>7678</v>
      </c>
      <c r="Y60" s="230" t="str">
        <f t="shared" si="1"/>
        <v>534138</v>
      </c>
      <c r="Z60" s="230" t="str">
        <f ca="1">IFERROR(__xludf.DUMMYFUNCTION("QUERY($S$2:$S$195,""select S where S like '%""&amp;Y60&amp;""%'"")"),"#N/A")</f>
        <v>#N/A</v>
      </c>
    </row>
    <row r="61" spans="2:26" ht="15">
      <c r="B61" s="233" t="s">
        <v>7321</v>
      </c>
      <c r="C61" s="167" t="str">
        <f t="shared" si="2"/>
        <v>583723</v>
      </c>
      <c r="D61" s="167" t="str">
        <f ca="1">IFERROR(__xludf.DUMMYFUNCTION("QUERY('030523 INVENTARIO'!$T$2:$T$1015, ""select R where R LIKE '%""&amp;C61&amp;""%'"")"),"#VALUE!")</f>
        <v>#VALUE!</v>
      </c>
      <c r="N61" s="232" t="s">
        <v>7271</v>
      </c>
      <c r="O61" s="167" t="str">
        <f ca="1">IFERROR(__xludf.DUMMYFUNCTION("QUERY('030523 INVENTARIO'!$T$2:$T$1015,""select R where R like  '%""&amp;N61&amp;""%'"")"),"#VALUE!")</f>
        <v>#VALUE!</v>
      </c>
      <c r="S61" s="170" t="s">
        <v>8278</v>
      </c>
      <c r="T61" s="167" t="str">
        <f t="shared" si="0"/>
        <v>649626</v>
      </c>
      <c r="U61" s="167" t="str">
        <f ca="1">IFERROR(__xludf.DUMMYFUNCTION("QUERY('030523 INVENTARIO'!$T$2:$T$1015,""select R where R like  '%""&amp;T61&amp;""%'"")"),"#VALUE!")</f>
        <v>#VALUE!</v>
      </c>
      <c r="X61" s="86" t="s">
        <v>7271</v>
      </c>
      <c r="Y61" s="230" t="str">
        <f t="shared" si="1"/>
        <v>564884</v>
      </c>
      <c r="Z61" s="230" t="str">
        <f ca="1">IFERROR(__xludf.DUMMYFUNCTION("QUERY($S$2:$S$195,""select S where S like '%""&amp;Y61&amp;""%'"")"),"82DH0531010094000564884")</f>
        <v>82DH0531010094000564884</v>
      </c>
    </row>
    <row r="62" spans="2:26" ht="15">
      <c r="B62" s="233" t="s">
        <v>9634</v>
      </c>
      <c r="C62" s="167" t="str">
        <f t="shared" si="2"/>
        <v>535083</v>
      </c>
      <c r="D62" s="167" t="str">
        <f ca="1">IFERROR(__xludf.DUMMYFUNCTION("QUERY('030523 INVENTARIO'!$T$2:$T$1015, ""select R where R LIKE '%""&amp;C62&amp;""%'"")"),"#VALUE!")</f>
        <v>#VALUE!</v>
      </c>
      <c r="N62" s="232" t="s">
        <v>7296</v>
      </c>
      <c r="O62" s="167" t="str">
        <f ca="1">IFERROR(__xludf.DUMMYFUNCTION("QUERY('030523 INVENTARIO'!$T$2:$T$1015,""select R where R like  '%""&amp;N62&amp;""%'"")"),"#VALUE!")</f>
        <v>#VALUE!</v>
      </c>
      <c r="S62" s="170" t="s">
        <v>8279</v>
      </c>
      <c r="T62" s="167" t="str">
        <f t="shared" si="0"/>
        <v>649627</v>
      </c>
      <c r="U62" s="167" t="str">
        <f ca="1">IFERROR(__xludf.DUMMYFUNCTION("QUERY('030523 INVENTARIO'!$T$2:$T$1015,""select R where R like  '%""&amp;T62&amp;""%'"")"),"#VALUE!")</f>
        <v>#VALUE!</v>
      </c>
      <c r="X62" s="86" t="s">
        <v>7296</v>
      </c>
      <c r="Y62" s="230" t="str">
        <f t="shared" si="1"/>
        <v>564883</v>
      </c>
      <c r="Z62" s="230" t="str">
        <f ca="1">IFERROR(__xludf.DUMMYFUNCTION("QUERY($S$2:$S$195,""select S where S like '%""&amp;Y62&amp;""%'"")"),"82DH0531010094000564883")</f>
        <v>82DH0531010094000564883</v>
      </c>
    </row>
    <row r="63" spans="2:26" ht="15">
      <c r="B63" s="233" t="s">
        <v>9616</v>
      </c>
      <c r="C63" s="167" t="str">
        <f t="shared" si="2"/>
        <v>600317</v>
      </c>
      <c r="D63" s="167" t="str">
        <f ca="1">IFERROR(__xludf.DUMMYFUNCTION("QUERY('030523 INVENTARIO'!$T$2:$T$1015, ""select R where R LIKE '%""&amp;C63&amp;""%'"")"),"#VALUE!")</f>
        <v>#VALUE!</v>
      </c>
      <c r="N63" s="232" t="s">
        <v>8042</v>
      </c>
      <c r="O63" s="167" t="str">
        <f ca="1">IFERROR(__xludf.DUMMYFUNCTION("QUERY('030523 INVENTARIO'!$T$2:$T$1015,""select R where R like  '%""&amp;N63&amp;""%'"")"),"#VALUE!")</f>
        <v>#VALUE!</v>
      </c>
      <c r="S63" s="170" t="s">
        <v>8284</v>
      </c>
      <c r="T63" s="167" t="str">
        <f t="shared" si="0"/>
        <v>649638</v>
      </c>
      <c r="U63" s="167" t="str">
        <f ca="1">IFERROR(__xludf.DUMMYFUNCTION("QUERY('030523 INVENTARIO'!$T$2:$T$1015,""select R where R like  '%""&amp;T63&amp;""%'"")"),"#VALUE!")</f>
        <v>#VALUE!</v>
      </c>
      <c r="X63" s="86" t="s">
        <v>8042</v>
      </c>
      <c r="Y63" s="230" t="str">
        <f t="shared" si="1"/>
        <v>565927</v>
      </c>
      <c r="Z63" s="230" t="str">
        <f ca="1">IFERROR(__xludf.DUMMYFUNCTION("QUERY($S$2:$S$195,""select S where S like '%""&amp;Y63&amp;""%'"")"),"#N/A")</f>
        <v>#N/A</v>
      </c>
    </row>
    <row r="64" spans="2:26" ht="15">
      <c r="B64" s="233" t="s">
        <v>7795</v>
      </c>
      <c r="C64" s="167" t="str">
        <f t="shared" si="2"/>
        <v>539100</v>
      </c>
      <c r="D64" s="167" t="str">
        <f ca="1">IFERROR(__xludf.DUMMYFUNCTION("QUERY('030523 INVENTARIO'!$T$2:$T$1015, ""select R where R LIKE '%""&amp;C64&amp;""%'"")"),"#VALUE!")</f>
        <v>#VALUE!</v>
      </c>
      <c r="N64" s="232" t="s">
        <v>8037</v>
      </c>
      <c r="O64" s="167" t="str">
        <f ca="1">IFERROR(__xludf.DUMMYFUNCTION("QUERY('030523 INVENTARIO'!$T$2:$T$1015,""select R where R like  '%""&amp;N64&amp;""%'"")"),"#VALUE!")</f>
        <v>#VALUE!</v>
      </c>
      <c r="S64" s="170" t="s">
        <v>8285</v>
      </c>
      <c r="T64" s="167" t="str">
        <f t="shared" si="0"/>
        <v>649639</v>
      </c>
      <c r="U64" s="167" t="str">
        <f ca="1">IFERROR(__xludf.DUMMYFUNCTION("QUERY('030523 INVENTARIO'!$T$2:$T$1015,""select R where R like  '%""&amp;T64&amp;""%'"")"),"#VALUE!")</f>
        <v>#VALUE!</v>
      </c>
      <c r="X64" s="86" t="s">
        <v>8037</v>
      </c>
      <c r="Y64" s="230" t="str">
        <f t="shared" si="1"/>
        <v>565750</v>
      </c>
      <c r="Z64" s="230" t="str">
        <f ca="1">IFERROR(__xludf.DUMMYFUNCTION("QUERY($S$2:$S$195,""select S where S like '%""&amp;Y64&amp;""%'"")"),"#N/A")</f>
        <v>#N/A</v>
      </c>
    </row>
    <row r="65" spans="2:26" ht="15">
      <c r="B65" s="233" t="s">
        <v>9613</v>
      </c>
      <c r="C65" s="167" t="str">
        <f t="shared" si="2"/>
        <v>539981</v>
      </c>
      <c r="D65" s="167" t="str">
        <f ca="1">IFERROR(__xludf.DUMMYFUNCTION("QUERY('030523 INVENTARIO'!$T$2:$T$1015, ""select R where R LIKE '%""&amp;C65&amp;""%'"")"),"#VALUE!")</f>
        <v>#VALUE!</v>
      </c>
      <c r="N65" s="232" t="s">
        <v>6308</v>
      </c>
      <c r="O65" s="167" t="str">
        <f ca="1">IFERROR(__xludf.DUMMYFUNCTION("QUERY('030523 INVENTARIO'!$T$2:$T$1015,""select R where R like  '%""&amp;N65&amp;""%'"")"),"#VALUE!")</f>
        <v>#VALUE!</v>
      </c>
      <c r="S65" s="170" t="s">
        <v>9635</v>
      </c>
      <c r="T65" s="167" t="str">
        <f t="shared" si="0"/>
        <v>649681</v>
      </c>
      <c r="U65" s="167" t="str">
        <f ca="1">IFERROR(__xludf.DUMMYFUNCTION("QUERY('030523 INVENTARIO'!$T$2:$T$1015,""select R where R like  '%""&amp;T65&amp;""%'"")"),"#VALUE!")</f>
        <v>#VALUE!</v>
      </c>
      <c r="X65" s="86" t="s">
        <v>6308</v>
      </c>
      <c r="Y65" s="230" t="str">
        <f t="shared" si="1"/>
        <v>565749</v>
      </c>
      <c r="Z65" s="230" t="str">
        <f ca="1">IFERROR(__xludf.DUMMYFUNCTION("QUERY($S$2:$S$195,""select S where S like '%""&amp;Y65&amp;""%'"")"),"#N/A")</f>
        <v>#N/A</v>
      </c>
    </row>
    <row r="66" spans="2:26" ht="15">
      <c r="B66" s="233" t="s">
        <v>9610</v>
      </c>
      <c r="C66" s="167" t="str">
        <f t="shared" si="2"/>
        <v>539098</v>
      </c>
      <c r="D66" s="167" t="str">
        <f ca="1">IFERROR(__xludf.DUMMYFUNCTION("QUERY('030523 INVENTARIO'!$T$2:$T$1015, ""select R where R LIKE '%""&amp;C66&amp;""%'"")"),"#VALUE!")</f>
        <v>#VALUE!</v>
      </c>
      <c r="N66" s="232" t="s">
        <v>2024</v>
      </c>
      <c r="O66" s="167" t="str">
        <f ca="1">IFERROR(__xludf.DUMMYFUNCTION("QUERY('030523 INVENTARIO'!$T$2:$T$1015,""select R where R like  '%""&amp;N66&amp;""%'"")"),"#VALUE!")</f>
        <v>#VALUE!</v>
      </c>
      <c r="S66" s="229" t="s">
        <v>3666</v>
      </c>
      <c r="T66" s="167" t="str">
        <f t="shared" si="0"/>
        <v>649739</v>
      </c>
      <c r="U66" s="167" t="str">
        <f ca="1">IFERROR(__xludf.DUMMYFUNCTION("QUERY('030523 INVENTARIO'!$T$2:$T$1015,""select R where R like  '%""&amp;T66&amp;""%'"")"),"#VALUE!")</f>
        <v>#VALUE!</v>
      </c>
      <c r="X66" s="86" t="s">
        <v>2024</v>
      </c>
      <c r="Y66" s="230" t="str">
        <f t="shared" si="1"/>
        <v>539059</v>
      </c>
      <c r="Z66" s="230" t="str">
        <f ca="1">IFERROR(__xludf.DUMMYFUNCTION("QUERY($S$2:$S$195,""select S where S like '%""&amp;Y66&amp;""%'"")"),"#N/A")</f>
        <v>#N/A</v>
      </c>
    </row>
    <row r="67" spans="2:26" ht="15">
      <c r="B67" s="233" t="s">
        <v>9611</v>
      </c>
      <c r="C67" s="167" t="str">
        <f t="shared" si="2"/>
        <v>539099</v>
      </c>
      <c r="D67" s="167" t="str">
        <f ca="1">IFERROR(__xludf.DUMMYFUNCTION("QUERY('030523 INVENTARIO'!$T$2:$T$1015, ""select R where R LIKE '%""&amp;C67&amp;""%'"")"),"#VALUE!")</f>
        <v>#VALUE!</v>
      </c>
      <c r="N67" s="232" t="s">
        <v>7725</v>
      </c>
      <c r="O67" s="167" t="str">
        <f ca="1">IFERROR(__xludf.DUMMYFUNCTION("QUERY('030523 INVENTARIO'!$T$2:$T$1015,""select R where R like  '%""&amp;N67&amp;""%'"")"),"#VALUE!")</f>
        <v>#VALUE!</v>
      </c>
      <c r="S67" s="170" t="s">
        <v>7279</v>
      </c>
      <c r="T67" s="167" t="str">
        <f t="shared" si="0"/>
        <v>649541</v>
      </c>
      <c r="U67" s="167" t="str">
        <f ca="1">IFERROR(__xludf.DUMMYFUNCTION("QUERY('030523 INVENTARIO'!$T$2:$T$1015,""select R where R like  '%""&amp;T67&amp;""%'"")"),"#VALUE!")</f>
        <v>#VALUE!</v>
      </c>
      <c r="X67" s="86" t="s">
        <v>7725</v>
      </c>
      <c r="Y67" s="230" t="str">
        <f t="shared" si="1"/>
        <v>537738</v>
      </c>
      <c r="Z67" s="230" t="str">
        <f ca="1">IFERROR(__xludf.DUMMYFUNCTION("QUERY($S$2:$S$195,""select S where S like '%""&amp;Y67&amp;""%'"")"),"82DH0515010016000537738")</f>
        <v>82DH0515010016000537738</v>
      </c>
    </row>
    <row r="68" spans="2:26" ht="15">
      <c r="B68" s="233" t="s">
        <v>8052</v>
      </c>
      <c r="C68" s="167" t="str">
        <f t="shared" si="2"/>
        <v>566204</v>
      </c>
      <c r="D68" s="167" t="str">
        <f ca="1">IFERROR(__xludf.DUMMYFUNCTION("QUERY('030523 INVENTARIO'!$T$2:$T$1015, ""select R where R LIKE '%""&amp;C68&amp;""%'"")"),"#VALUE!")</f>
        <v>#VALUE!</v>
      </c>
      <c r="N68" s="232" t="s">
        <v>7405</v>
      </c>
      <c r="O68" s="167" t="str">
        <f ca="1">IFERROR(__xludf.DUMMYFUNCTION("QUERY('030523 INVENTARIO'!$T$2:$T$1015,""select R where R like  '%""&amp;N68&amp;""%'"")"),"#VALUE!")</f>
        <v>#VALUE!</v>
      </c>
      <c r="S68" s="170" t="s">
        <v>7278</v>
      </c>
      <c r="T68" s="167" t="str">
        <f t="shared" si="0"/>
        <v>649542</v>
      </c>
      <c r="U68" s="167" t="str">
        <f ca="1">IFERROR(__xludf.DUMMYFUNCTION("QUERY('030523 INVENTARIO'!$T$2:$T$1015,""select R where R like  '%""&amp;T68&amp;""%'"")"),"#VALUE!")</f>
        <v>#VALUE!</v>
      </c>
      <c r="X68" s="86" t="s">
        <v>7405</v>
      </c>
      <c r="Y68" s="230" t="str">
        <f t="shared" si="1"/>
        <v>515125</v>
      </c>
      <c r="Z68" s="230" t="str">
        <f ca="1">IFERROR(__xludf.DUMMYFUNCTION("QUERY($S$2:$S$195,""select S where S like '%""&amp;Y68&amp;""%'"")"),"#N/A")</f>
        <v>#N/A</v>
      </c>
    </row>
    <row r="69" spans="2:26" ht="15">
      <c r="B69" s="233" t="s">
        <v>8490</v>
      </c>
      <c r="C69" s="167" t="str">
        <f t="shared" si="2"/>
        <v>535502</v>
      </c>
      <c r="D69" s="167" t="str">
        <f ca="1">IFERROR(__xludf.DUMMYFUNCTION("QUERY('030523 INVENTARIO'!$T$2:$T$1015, ""select R where R LIKE '%""&amp;C69&amp;""%'"")"),"#VALUE!")</f>
        <v>#VALUE!</v>
      </c>
      <c r="N69" s="232" t="s">
        <v>7616</v>
      </c>
      <c r="O69" s="167" t="str">
        <f ca="1">IFERROR(__xludf.DUMMYFUNCTION("QUERY('030523 INVENTARIO'!$T$2:$T$1015,""select R where R like  '%""&amp;N69&amp;""%'"")"),"#VALUE!")</f>
        <v>#VALUE!</v>
      </c>
      <c r="S69" s="170" t="s">
        <v>7254</v>
      </c>
      <c r="T69" s="167" t="str">
        <f t="shared" si="0"/>
        <v>649552</v>
      </c>
      <c r="U69" s="167" t="str">
        <f ca="1">IFERROR(__xludf.DUMMYFUNCTION("QUERY('030523 INVENTARIO'!$T$2:$T$1015,""select R where R like  '%""&amp;T69&amp;""%'"")"),"#VALUE!")</f>
        <v>#VALUE!</v>
      </c>
      <c r="X69" s="86" t="s">
        <v>7616</v>
      </c>
      <c r="Y69" s="230" t="str">
        <f t="shared" si="1"/>
        <v>524621</v>
      </c>
      <c r="Z69" s="230" t="str">
        <f ca="1">IFERROR(__xludf.DUMMYFUNCTION("QUERY($S$2:$S$195,""select S where S like '%""&amp;Y69&amp;""%'"")"),"#N/A")</f>
        <v>#N/A</v>
      </c>
    </row>
    <row r="70" spans="2:26" ht="15">
      <c r="B70" s="233" t="s">
        <v>7248</v>
      </c>
      <c r="C70" s="167" t="str">
        <f t="shared" si="2"/>
        <v>535528</v>
      </c>
      <c r="D70" s="167" t="str">
        <f ca="1">IFERROR(__xludf.DUMMYFUNCTION("QUERY('030523 INVENTARIO'!$T$2:$T$1015, ""select R where R LIKE '%""&amp;C70&amp;""%'"")"),"#VALUE!")</f>
        <v>#VALUE!</v>
      </c>
      <c r="N70" s="232" t="s">
        <v>7505</v>
      </c>
      <c r="O70" s="167" t="str">
        <f ca="1">IFERROR(__xludf.DUMMYFUNCTION("QUERY('030523 INVENTARIO'!$T$2:$T$1015,""select R where R like  '%""&amp;N70&amp;""%'"")"),"#VALUE!")</f>
        <v>#VALUE!</v>
      </c>
      <c r="S70" s="170" t="s">
        <v>8216</v>
      </c>
      <c r="T70" s="167" t="str">
        <f t="shared" si="0"/>
        <v>649553</v>
      </c>
      <c r="U70" s="167" t="str">
        <f ca="1">IFERROR(__xludf.DUMMYFUNCTION("QUERY('030523 INVENTARIO'!$T$2:$T$1015,""select R where R like  '%""&amp;T70&amp;""%'"")"),"#VALUE!")</f>
        <v>#VALUE!</v>
      </c>
      <c r="X70" s="86" t="s">
        <v>7505</v>
      </c>
      <c r="Y70" s="230" t="str">
        <f t="shared" si="1"/>
        <v>517063</v>
      </c>
      <c r="Z70" s="230" t="str">
        <f ca="1">IFERROR(__xludf.DUMMYFUNCTION("QUERY($S$2:$S$195,""select S where S like '%""&amp;Y70&amp;""%'"")"),"#N/A")</f>
        <v>#N/A</v>
      </c>
    </row>
    <row r="71" spans="2:26" ht="15">
      <c r="B71" s="233" t="s">
        <v>9579</v>
      </c>
      <c r="C71" s="167" t="str">
        <f t="shared" si="2"/>
        <v>539016</v>
      </c>
      <c r="D71" s="167" t="str">
        <f ca="1">IFERROR(__xludf.DUMMYFUNCTION("QUERY('030523 INVENTARIO'!$T$2:$T$1015, ""select R where R LIKE '%""&amp;C71&amp;""%'"")"),"#VALUE!")</f>
        <v>#VALUE!</v>
      </c>
      <c r="N71" s="232" t="s">
        <v>7303</v>
      </c>
      <c r="O71" s="167" t="str">
        <f ca="1">IFERROR(__xludf.DUMMYFUNCTION("QUERY('030523 INVENTARIO'!$T$2:$T$1015,""select R where R like  '%""&amp;N71&amp;""%'"")"),"#VALUE!")</f>
        <v>#VALUE!</v>
      </c>
      <c r="S71" s="170" t="s">
        <v>8217</v>
      </c>
      <c r="T71" s="167" t="str">
        <f t="shared" si="0"/>
        <v>649554</v>
      </c>
      <c r="U71" s="167" t="str">
        <f ca="1">IFERROR(__xludf.DUMMYFUNCTION("QUERY('030523 INVENTARIO'!$T$2:$T$1015,""select R where R like  '%""&amp;T71&amp;""%'"")"),"#VALUE!")</f>
        <v>#VALUE!</v>
      </c>
      <c r="X71" s="86" t="s">
        <v>7303</v>
      </c>
      <c r="Y71" s="230" t="str">
        <f t="shared" si="1"/>
        <v>564039</v>
      </c>
      <c r="Z71" s="230" t="str">
        <f ca="1">IFERROR(__xludf.DUMMYFUNCTION("QUERY($S$2:$S$195,""select S where S like '%""&amp;Y71&amp;""%'"")"),"#N/A")</f>
        <v>#N/A</v>
      </c>
    </row>
    <row r="72" spans="2:26" ht="15">
      <c r="B72" s="234" t="s">
        <v>9575</v>
      </c>
      <c r="C72" s="167" t="str">
        <f t="shared" si="2"/>
        <v>564515</v>
      </c>
      <c r="D72" s="167" t="str">
        <f ca="1">IFERROR(__xludf.DUMMYFUNCTION("QUERY('030523 INVENTARIO'!$T$2:$T$1015, ""select R where R LIKE '%""&amp;C72&amp;""%'"")"),"#VALUE!")</f>
        <v>#VALUE!</v>
      </c>
      <c r="N72" s="232" t="s">
        <v>7309</v>
      </c>
      <c r="O72" s="167" t="str">
        <f ca="1">IFERROR(__xludf.DUMMYFUNCTION("QUERY('030523 INVENTARIO'!$T$2:$T$1015,""select R where R like  '%""&amp;N72&amp;""%'"")"),"#VALUE!")</f>
        <v>#VALUE!</v>
      </c>
      <c r="S72" s="170" t="s">
        <v>7280</v>
      </c>
      <c r="T72" s="167" t="str">
        <f t="shared" si="0"/>
        <v>649576</v>
      </c>
      <c r="U72" s="167" t="str">
        <f ca="1">IFERROR(__xludf.DUMMYFUNCTION("QUERY('030523 INVENTARIO'!$T$2:$T$1015,""select R where R like  '%""&amp;T72&amp;""%'"")"),"#VALUE!")</f>
        <v>#VALUE!</v>
      </c>
      <c r="X72" s="86" t="s">
        <v>7309</v>
      </c>
      <c r="Y72" s="230" t="str">
        <f t="shared" si="1"/>
        <v>564038</v>
      </c>
      <c r="Z72" s="230" t="str">
        <f ca="1">IFERROR(__xludf.DUMMYFUNCTION("QUERY($S$2:$S$195,""select S where S like '%""&amp;Y72&amp;""%'"")"),"#N/A")</f>
        <v>#N/A</v>
      </c>
    </row>
    <row r="73" spans="2:26" ht="15">
      <c r="N73" s="232" t="s">
        <v>7264</v>
      </c>
      <c r="O73" s="167" t="str">
        <f ca="1">IFERROR(__xludf.DUMMYFUNCTION("QUERY('030523 INVENTARIO'!$T$2:$T$1015,""select R where R like  '%""&amp;N73&amp;""%'"")"),"#VALUE!")</f>
        <v>#VALUE!</v>
      </c>
      <c r="S73" s="170" t="s">
        <v>8232</v>
      </c>
      <c r="T73" s="167" t="str">
        <f t="shared" si="0"/>
        <v>649577</v>
      </c>
      <c r="U73" s="167" t="str">
        <f ca="1">IFERROR(__xludf.DUMMYFUNCTION("QUERY('030523 INVENTARIO'!$T$2:$T$1015,""select R where R like  '%""&amp;T73&amp;""%'"")"),"#VALUE!")</f>
        <v>#VALUE!</v>
      </c>
      <c r="X73" s="86" t="s">
        <v>7264</v>
      </c>
      <c r="Y73" s="230" t="str">
        <f t="shared" si="1"/>
        <v>522825</v>
      </c>
      <c r="Z73" s="230" t="str">
        <f ca="1">IFERROR(__xludf.DUMMYFUNCTION("QUERY($S$2:$S$195,""select S where S like '%""&amp;Y73&amp;""%'"")"),"82DH0511010017000522825")</f>
        <v>82DH0511010017000522825</v>
      </c>
    </row>
    <row r="74" spans="2:26" ht="15">
      <c r="N74" s="232" t="s">
        <v>7315</v>
      </c>
      <c r="O74" s="167" t="str">
        <f ca="1">IFERROR(__xludf.DUMMYFUNCTION("QUERY('030523 INVENTARIO'!$T$2:$T$1015,""select R where R like  '%""&amp;N74&amp;""%'"")"),"#VALUE!")</f>
        <v>#VALUE!</v>
      </c>
      <c r="S74" s="170" t="s">
        <v>8233</v>
      </c>
      <c r="T74" s="167" t="str">
        <f t="shared" si="0"/>
        <v>649578</v>
      </c>
      <c r="U74" s="167" t="str">
        <f ca="1">IFERROR(__xludf.DUMMYFUNCTION("QUERY('030523 INVENTARIO'!$T$2:$T$1015,""select R where R like  '%""&amp;T74&amp;""%'"")"),"#VALUE!")</f>
        <v>#VALUE!</v>
      </c>
      <c r="X74" s="86" t="s">
        <v>7315</v>
      </c>
      <c r="Y74" s="230" t="str">
        <f t="shared" si="1"/>
        <v>535415</v>
      </c>
      <c r="Z74" s="230" t="str">
        <f ca="1">IFERROR(__xludf.DUMMYFUNCTION("QUERY($S$2:$S$195,""select S where S like '%""&amp;Y74&amp;""%'"")"),"#N/A")</f>
        <v>#N/A</v>
      </c>
    </row>
    <row r="75" spans="2:26" ht="15">
      <c r="N75" s="232" t="s">
        <v>7321</v>
      </c>
      <c r="O75" s="167" t="str">
        <f ca="1">IFERROR(__xludf.DUMMYFUNCTION("QUERY('030523 INVENTARIO'!$T$2:$T$1015,""select R where R like  '%""&amp;N75&amp;""%'"")"),"#VALUE!")</f>
        <v>#VALUE!</v>
      </c>
      <c r="S75" s="170" t="s">
        <v>8234</v>
      </c>
      <c r="T75" s="167" t="str">
        <f t="shared" si="0"/>
        <v>649579</v>
      </c>
      <c r="U75" s="167" t="str">
        <f ca="1">IFERROR(__xludf.DUMMYFUNCTION("QUERY('030523 INVENTARIO'!$T$2:$T$1015,""select R where R like  '%""&amp;T75&amp;""%'"")"),"#VALUE!")</f>
        <v>#VALUE!</v>
      </c>
      <c r="X75" s="86" t="s">
        <v>7321</v>
      </c>
      <c r="Y75" s="230" t="str">
        <f t="shared" si="1"/>
        <v>583723</v>
      </c>
      <c r="Z75" s="230" t="str">
        <f ca="1">IFERROR(__xludf.DUMMYFUNCTION("QUERY($S$2:$S$195,""select S where S like '%""&amp;Y75&amp;""%'"")"),"82DH0511010006000583723")</f>
        <v>82DH0511010006000583723</v>
      </c>
    </row>
    <row r="76" spans="2:26" ht="15">
      <c r="N76" s="231" t="s">
        <v>7240</v>
      </c>
      <c r="O76" s="167" t="str">
        <f ca="1">IFERROR(__xludf.DUMMYFUNCTION("QUERY('030523 INVENTARIO'!$T$2:$T$1015,""select R where R like  '%""&amp;N76&amp;""%'"")"),"#VALUE!")</f>
        <v>#VALUE!</v>
      </c>
      <c r="S76" s="170" t="s">
        <v>8235</v>
      </c>
      <c r="T76" s="167" t="str">
        <f t="shared" si="0"/>
        <v>649580</v>
      </c>
      <c r="U76" s="167" t="str">
        <f ca="1">IFERROR(__xludf.DUMMYFUNCTION("QUERY('030523 INVENTARIO'!$T$2:$T$1015,""select R where R like  '%""&amp;T76&amp;""%'"")"),"#VALUE!")</f>
        <v>#VALUE!</v>
      </c>
      <c r="X76" s="86" t="s">
        <v>7240</v>
      </c>
      <c r="Y76" s="230" t="str">
        <f t="shared" si="1"/>
        <v>518503</v>
      </c>
      <c r="Z76" s="230" t="str">
        <f ca="1">IFERROR(__xludf.DUMMYFUNCTION("QUERY($S$2:$S$195,""select S where S like '%""&amp;Y76&amp;""%'"")"),"82DH0511010001000518503")</f>
        <v>82DH0511010001000518503</v>
      </c>
    </row>
    <row r="77" spans="2:26" ht="15">
      <c r="N77" s="232" t="s">
        <v>9636</v>
      </c>
      <c r="O77" s="167" t="str">
        <f ca="1">IFERROR(__xludf.DUMMYFUNCTION("QUERY('030523 INVENTARIO'!$T$2:$T$1015,""select R where R like  '%""&amp;N77&amp;""%'"")"),"#VALUE!")</f>
        <v>#VALUE!</v>
      </c>
      <c r="S77" s="170" t="s">
        <v>8236</v>
      </c>
      <c r="T77" s="167" t="str">
        <f t="shared" si="0"/>
        <v>649584</v>
      </c>
      <c r="U77" s="167" t="str">
        <f ca="1">IFERROR(__xludf.DUMMYFUNCTION("QUERY('030523 INVENTARIO'!$T$2:$T$1015,""select R where R like  '%""&amp;T77&amp;""%'"")"),"#VALUE!")</f>
        <v>#VALUE!</v>
      </c>
      <c r="X77" s="86" t="s">
        <v>9636</v>
      </c>
      <c r="Y77" s="230" t="str">
        <f t="shared" si="1"/>
        <v>649568</v>
      </c>
      <c r="Z77" s="230" t="str">
        <f ca="1">IFERROR(__xludf.DUMMYFUNCTION("QUERY($S$2:$S$195,""select S where S like '%""&amp;Y77&amp;""%'"")"),"82DI0565010001000649568")</f>
        <v>82DI0565010001000649568</v>
      </c>
    </row>
    <row r="78" spans="2:26" ht="15">
      <c r="N78" s="232" t="s">
        <v>9628</v>
      </c>
      <c r="O78" s="167" t="str">
        <f ca="1">IFERROR(__xludf.DUMMYFUNCTION("QUERY('030523 INVENTARIO'!$T$2:$T$1015,""select R where R like  '%""&amp;N78&amp;""%'"")"),"#VALUE!")</f>
        <v>#VALUE!</v>
      </c>
      <c r="S78" s="170" t="s">
        <v>8237</v>
      </c>
      <c r="T78" s="167" t="str">
        <f t="shared" si="0"/>
        <v>649585</v>
      </c>
      <c r="U78" s="167" t="str">
        <f ca="1">IFERROR(__xludf.DUMMYFUNCTION("QUERY('030523 INVENTARIO'!$T$2:$T$1015,""select R where R like  '%""&amp;T78&amp;""%'"")"),"#VALUE!")</f>
        <v>#VALUE!</v>
      </c>
      <c r="X78" s="86" t="s">
        <v>9628</v>
      </c>
      <c r="Y78" s="230" t="str">
        <f t="shared" si="1"/>
        <v>539065</v>
      </c>
      <c r="Z78" s="230" t="str">
        <f ca="1">IFERROR(__xludf.DUMMYFUNCTION("QUERY($S$2:$S$195,""select S where S like '%""&amp;Y78&amp;""%'"")"),"82DI0515010016000539065")</f>
        <v>82DI0515010016000539065</v>
      </c>
    </row>
    <row r="79" spans="2:26" ht="15">
      <c r="N79" s="232" t="s">
        <v>9627</v>
      </c>
      <c r="O79" s="167" t="str">
        <f ca="1">IFERROR(__xludf.DUMMYFUNCTION("QUERY('030523 INVENTARIO'!$T$2:$T$1015,""select R where R like  '%""&amp;N79&amp;""%'"")"),"#VALUE!")</f>
        <v>#VALUE!</v>
      </c>
      <c r="S79" s="170" t="s">
        <v>8238</v>
      </c>
      <c r="T79" s="167" t="str">
        <f t="shared" si="0"/>
        <v>649586</v>
      </c>
      <c r="U79" s="167" t="str">
        <f ca="1">IFERROR(__xludf.DUMMYFUNCTION("QUERY('030523 INVENTARIO'!$T$2:$T$1015,""select R where R like  '%""&amp;T79&amp;""%'"")"),"#VALUE!")</f>
        <v>#VALUE!</v>
      </c>
      <c r="X79" s="86" t="s">
        <v>9627</v>
      </c>
      <c r="Y79" s="230" t="str">
        <f t="shared" si="1"/>
        <v>516043</v>
      </c>
      <c r="Z79" s="230" t="str">
        <f ca="1">IFERROR(__xludf.DUMMYFUNCTION("QUERY($S$2:$S$195,""select S where S like '%""&amp;Y79&amp;""%'"")"),"82DI0515010016000516043")</f>
        <v>82DI0515010016000516043</v>
      </c>
    </row>
    <row r="80" spans="2:26" ht="15">
      <c r="N80" s="232" t="s">
        <v>9621</v>
      </c>
      <c r="O80" s="167" t="str">
        <f ca="1">IFERROR(__xludf.DUMMYFUNCTION("QUERY('030523 INVENTARIO'!$T$2:$T$1015,""select R where R like  '%""&amp;N80&amp;""%'"")"),"#VALUE!")</f>
        <v>#VALUE!</v>
      </c>
      <c r="S80" s="170" t="s">
        <v>8239</v>
      </c>
      <c r="T80" s="167" t="str">
        <f t="shared" si="0"/>
        <v>649587</v>
      </c>
      <c r="U80" s="167" t="str">
        <f ca="1">IFERROR(__xludf.DUMMYFUNCTION("QUERY('030523 INVENTARIO'!$T$2:$T$1015,""select R where R like  '%""&amp;T80&amp;""%'"")"),"#VALUE!")</f>
        <v>#VALUE!</v>
      </c>
      <c r="X80" s="86" t="s">
        <v>9621</v>
      </c>
      <c r="Y80" s="230" t="str">
        <f t="shared" si="1"/>
        <v>515606</v>
      </c>
      <c r="Z80" s="230" t="str">
        <f ca="1">IFERROR(__xludf.DUMMYFUNCTION("QUERY($S$2:$S$195,""select S where S like '%""&amp;Y80&amp;""%'"")"),"82DI0511010016000515606")</f>
        <v>82DI0511010016000515606</v>
      </c>
    </row>
    <row r="81" spans="14:26" ht="15">
      <c r="N81" s="232" t="s">
        <v>8225</v>
      </c>
      <c r="O81" s="167" t="str">
        <f ca="1">IFERROR(__xludf.DUMMYFUNCTION("QUERY('030523 INVENTARIO'!$T$2:$T$1015,""select R where R like  '%""&amp;N81&amp;""%'"")"),"#VALUE!")</f>
        <v>#VALUE!</v>
      </c>
      <c r="S81" s="170" t="s">
        <v>8240</v>
      </c>
      <c r="T81" s="167" t="str">
        <f t="shared" si="0"/>
        <v>649588</v>
      </c>
      <c r="U81" s="167" t="str">
        <f ca="1">IFERROR(__xludf.DUMMYFUNCTION("QUERY('030523 INVENTARIO'!$T$2:$T$1015,""select R where R like  '%""&amp;T81&amp;""%'"")"),"#VALUE!")</f>
        <v>#VALUE!</v>
      </c>
      <c r="X81" s="86" t="s">
        <v>8225</v>
      </c>
      <c r="Y81" s="230" t="str">
        <f t="shared" si="1"/>
        <v>649564</v>
      </c>
      <c r="Z81" s="230" t="str">
        <f ca="1">IFERROR(__xludf.DUMMYFUNCTION("QUERY($S$2:$S$195,""select S where S like '%""&amp;Y81&amp;""%'"")"),"#N/A")</f>
        <v>#N/A</v>
      </c>
    </row>
    <row r="82" spans="14:26" ht="15">
      <c r="N82" s="232" t="s">
        <v>7275</v>
      </c>
      <c r="O82" s="167" t="str">
        <f ca="1">IFERROR(__xludf.DUMMYFUNCTION("QUERY('030523 INVENTARIO'!$T$2:$T$1015,""select R where R like  '%""&amp;N82&amp;""%'"")"),"#VALUE!")</f>
        <v>#VALUE!</v>
      </c>
      <c r="S82" s="170" t="s">
        <v>8241</v>
      </c>
      <c r="T82" s="167" t="str">
        <f t="shared" si="0"/>
        <v>649589</v>
      </c>
      <c r="U82" s="167" t="str">
        <f ca="1">IFERROR(__xludf.DUMMYFUNCTION("QUERY('030523 INVENTARIO'!$T$2:$T$1015,""select R where R like  '%""&amp;T82&amp;""%'"")"),"#VALUE!")</f>
        <v>#VALUE!</v>
      </c>
      <c r="X82" s="86" t="s">
        <v>7275</v>
      </c>
      <c r="Y82" s="230" t="str">
        <f t="shared" si="1"/>
        <v>649701</v>
      </c>
      <c r="Z82" s="230" t="str">
        <f ca="1">IFERROR(__xludf.DUMMYFUNCTION("QUERY($S$2:$S$195,""select S where S like '%""&amp;Y82&amp;""%'"")"),"82DJ0511010017000649701")</f>
        <v>82DJ0511010017000649701</v>
      </c>
    </row>
    <row r="83" spans="14:26" ht="15">
      <c r="N83" s="228" t="s">
        <v>7241</v>
      </c>
      <c r="O83" s="167" t="str">
        <f ca="1">IFERROR(__xludf.DUMMYFUNCTION("QUERY('030523 INVENTARIO'!$T$2:$T$1015,""select R where R like  '%""&amp;N83&amp;""%'"")"),"#VALUE!")</f>
        <v>#VALUE!</v>
      </c>
      <c r="S83" s="170" t="s">
        <v>8242</v>
      </c>
      <c r="T83" s="167" t="str">
        <f t="shared" si="0"/>
        <v>649590</v>
      </c>
      <c r="U83" s="167" t="str">
        <f ca="1">IFERROR(__xludf.DUMMYFUNCTION("QUERY('030523 INVENTARIO'!$T$2:$T$1015,""select R where R like  '%""&amp;T83&amp;""%'"")"),"#VALUE!")</f>
        <v>#VALUE!</v>
      </c>
      <c r="X83" s="86" t="s">
        <v>7241</v>
      </c>
      <c r="Y83" s="230" t="str">
        <f t="shared" si="1"/>
        <v>515364</v>
      </c>
      <c r="Z83" s="230" t="str">
        <f ca="1">IFERROR(__xludf.DUMMYFUNCTION("QUERY($S$2:$S$195,""select S where S like '%""&amp;Y83&amp;""%'"")"),"82DI0512010011000515364")</f>
        <v>82DI0512010011000515364</v>
      </c>
    </row>
    <row r="84" spans="14:26" ht="15">
      <c r="N84" s="228" t="s">
        <v>8334</v>
      </c>
      <c r="O84" s="167" t="str">
        <f ca="1">IFERROR(__xludf.DUMMYFUNCTION("QUERY('030523 INVENTARIO'!$T$2:$T$1015,""select R where R like  '%""&amp;N84&amp;""%'"")"),"#VALUE!")</f>
        <v>#VALUE!</v>
      </c>
      <c r="S84" s="170" t="s">
        <v>8243</v>
      </c>
      <c r="T84" s="167" t="str">
        <f t="shared" si="0"/>
        <v>649591</v>
      </c>
      <c r="U84" s="167" t="str">
        <f ca="1">IFERROR(__xludf.DUMMYFUNCTION("QUERY('030523 INVENTARIO'!$T$2:$T$1015,""select R where R like  '%""&amp;T84&amp;""%'"")"),"#VALUE!")</f>
        <v>#VALUE!</v>
      </c>
      <c r="X84" s="86" t="s">
        <v>8334</v>
      </c>
      <c r="Y84" s="230" t="str">
        <f t="shared" si="1"/>
        <v>649711</v>
      </c>
      <c r="Z84" s="230" t="str">
        <f ca="1">IFERROR(__xludf.DUMMYFUNCTION("QUERY($S$2:$S$195,""select S where S like '%""&amp;Y84&amp;""%'"")"),"82DI0511010016000649711")</f>
        <v>82DI0511010016000649711</v>
      </c>
    </row>
    <row r="85" spans="14:26" ht="15">
      <c r="N85" s="232" t="s">
        <v>7660</v>
      </c>
      <c r="O85" s="167" t="str">
        <f ca="1">IFERROR(__xludf.DUMMYFUNCTION("QUERY('030523 INVENTARIO'!$T$2:$T$1015,""select R where R like  '%""&amp;N85&amp;""%'"")"),"#VALUE!")</f>
        <v>#VALUE!</v>
      </c>
      <c r="S85" s="170" t="s">
        <v>8244</v>
      </c>
      <c r="T85" s="167" t="str">
        <f t="shared" si="0"/>
        <v>649592</v>
      </c>
      <c r="U85" s="167" t="str">
        <f ca="1">IFERROR(__xludf.DUMMYFUNCTION("QUERY('030523 INVENTARIO'!$T$2:$T$1015,""select R where R like  '%""&amp;T85&amp;""%'"")"),"#VALUE!")</f>
        <v>#VALUE!</v>
      </c>
      <c r="X85" s="86" t="s">
        <v>7660</v>
      </c>
      <c r="Y85" s="230" t="str">
        <f t="shared" si="1"/>
        <v>533082</v>
      </c>
      <c r="Z85" s="230" t="str">
        <f ca="1">IFERROR(__xludf.DUMMYFUNCTION("QUERY($S$2:$S$195,""select S where S like '%""&amp;Y85&amp;""%'"")"),"#N/A")</f>
        <v>#N/A</v>
      </c>
    </row>
    <row r="86" spans="14:26" ht="15">
      <c r="N86" s="232" t="s">
        <v>9637</v>
      </c>
      <c r="O86" s="167" t="str">
        <f ca="1">IFERROR(__xludf.DUMMYFUNCTION("QUERY('030523 INVENTARIO'!$T$2:$T$1015,""select R where R like  '%""&amp;N86&amp;""%'"")"),"#VALUE!")</f>
        <v>#VALUE!</v>
      </c>
      <c r="S86" s="170" t="s">
        <v>8245</v>
      </c>
      <c r="T86" s="167" t="str">
        <f t="shared" si="0"/>
        <v>649593</v>
      </c>
      <c r="U86" s="167" t="str">
        <f ca="1">IFERROR(__xludf.DUMMYFUNCTION("QUERY('030523 INVENTARIO'!$T$2:$T$1015,""select R where R like  '%""&amp;T86&amp;""%'"")"),"#VALUE!")</f>
        <v>#VALUE!</v>
      </c>
      <c r="X86" s="86" t="s">
        <v>9637</v>
      </c>
      <c r="Y86" s="230" t="str">
        <f t="shared" si="1"/>
        <v>650645</v>
      </c>
      <c r="Z86" s="230" t="str">
        <f ca="1">IFERROR(__xludf.DUMMYFUNCTION("QUERY($S$2:$S$195,""select S where S like '%""&amp;Y86&amp;""%'"")"),"#N/A")</f>
        <v>#N/A</v>
      </c>
    </row>
    <row r="87" spans="14:26" ht="15">
      <c r="N87" s="232" t="s">
        <v>9622</v>
      </c>
      <c r="O87" s="167" t="str">
        <f ca="1">IFERROR(__xludf.DUMMYFUNCTION("QUERY('030523 INVENTARIO'!$T$2:$T$1015,""select R where R like  '%""&amp;N87&amp;""%'"")"),"#VALUE!")</f>
        <v>#VALUE!</v>
      </c>
      <c r="S87" s="170" t="s">
        <v>8246</v>
      </c>
      <c r="T87" s="167" t="str">
        <f t="shared" si="0"/>
        <v>649594</v>
      </c>
      <c r="U87" s="167" t="str">
        <f ca="1">IFERROR(__xludf.DUMMYFUNCTION("QUERY('030523 INVENTARIO'!$T$2:$T$1015,""select R where R like  '%""&amp;T87&amp;""%'"")"),"#VALUE!")</f>
        <v>#VALUE!</v>
      </c>
      <c r="X87" s="86" t="s">
        <v>9622</v>
      </c>
      <c r="Y87" s="230" t="str">
        <f t="shared" si="1"/>
        <v>649740</v>
      </c>
      <c r="Z87" s="230" t="str">
        <f ca="1">IFERROR(__xludf.DUMMYFUNCTION("QUERY($S$2:$S$195,""select S where S like '%""&amp;Y87&amp;""%'"")"),"82DH0511010006000649740")</f>
        <v>82DH0511010006000649740</v>
      </c>
    </row>
    <row r="88" spans="14:26" ht="15">
      <c r="N88" s="232" t="s">
        <v>8352</v>
      </c>
      <c r="O88" s="167" t="str">
        <f ca="1">IFERROR(__xludf.DUMMYFUNCTION("QUERY('030523 INVENTARIO'!$T$2:$T$1015,""select R where R like  '%""&amp;N88&amp;""%'"")"),"#VALUE!")</f>
        <v>#VALUE!</v>
      </c>
      <c r="S88" s="170" t="s">
        <v>8247</v>
      </c>
      <c r="T88" s="167" t="str">
        <f t="shared" si="0"/>
        <v>649595</v>
      </c>
      <c r="U88" s="167" t="str">
        <f ca="1">IFERROR(__xludf.DUMMYFUNCTION("QUERY('030523 INVENTARIO'!$T$2:$T$1015,""select R where R like  '%""&amp;T88&amp;""%'"")"),"#VALUE!")</f>
        <v>#VALUE!</v>
      </c>
      <c r="X88" s="86" t="s">
        <v>8352</v>
      </c>
      <c r="Y88" s="230" t="str">
        <f t="shared" si="1"/>
        <v>649735</v>
      </c>
      <c r="Z88" s="230" t="str">
        <f ca="1">IFERROR(__xludf.DUMMYFUNCTION("QUERY($S$2:$S$195,""select S where S like '%""&amp;Y88&amp;""%'"")"),"82DJ0519010043000649735")</f>
        <v>82DJ0519010043000649735</v>
      </c>
    </row>
    <row r="89" spans="14:26" ht="15">
      <c r="N89" s="232" t="s">
        <v>9632</v>
      </c>
      <c r="O89" s="167" t="str">
        <f ca="1">IFERROR(__xludf.DUMMYFUNCTION("QUERY('030523 INVENTARIO'!$T$2:$T$1015,""select R where R like  '%""&amp;N89&amp;""%'"")"),"#VALUE!")</f>
        <v>#VALUE!</v>
      </c>
      <c r="S89" s="170" t="s">
        <v>8248</v>
      </c>
      <c r="T89" s="167" t="str">
        <f t="shared" si="0"/>
        <v>649596</v>
      </c>
      <c r="U89" s="167" t="str">
        <f ca="1">IFERROR(__xludf.DUMMYFUNCTION("QUERY('030523 INVENTARIO'!$T$2:$T$1015,""select R where R like  '%""&amp;T89&amp;""%'"")"),"#VALUE!")</f>
        <v>#VALUE!</v>
      </c>
      <c r="X89" s="86" t="s">
        <v>9632</v>
      </c>
      <c r="Y89" s="230" t="str">
        <f t="shared" si="1"/>
        <v>579561</v>
      </c>
      <c r="Z89" s="230" t="str">
        <f ca="1">IFERROR(__xludf.DUMMYFUNCTION("QUERY($S$2:$S$195,""select S where S like '%""&amp;Y89&amp;""%'"")"),"82DJ0565010041000579561")</f>
        <v>82DJ0565010041000579561</v>
      </c>
    </row>
    <row r="90" spans="14:26" ht="15">
      <c r="N90" s="231" t="s">
        <v>7219</v>
      </c>
      <c r="O90" s="167" t="str">
        <f ca="1">IFERROR(__xludf.DUMMYFUNCTION("QUERY('030523 INVENTARIO'!$T$2:$T$1015,""select R where R like  '%""&amp;N90&amp;""%'"")"),"#VALUE!")</f>
        <v>#VALUE!</v>
      </c>
      <c r="S90" s="170" t="s">
        <v>8249</v>
      </c>
      <c r="T90" s="167" t="str">
        <f t="shared" si="0"/>
        <v>649597</v>
      </c>
      <c r="U90" s="167" t="str">
        <f ca="1">IFERROR(__xludf.DUMMYFUNCTION("QUERY('030523 INVENTARIO'!$T$2:$T$1015,""select R where R like  '%""&amp;T90&amp;""%'"")"),"#VALUE!")</f>
        <v>#VALUE!</v>
      </c>
      <c r="X90" s="86" t="s">
        <v>7219</v>
      </c>
      <c r="Y90" s="230" t="str">
        <f t="shared" si="1"/>
        <v>518542</v>
      </c>
      <c r="Z90" s="230" t="str">
        <f ca="1">IFERROR(__xludf.DUMMYFUNCTION("QUERY($S$2:$S$195,""select S where S like '%""&amp;Y90&amp;""%'"")"),"#N/A")</f>
        <v>#N/A</v>
      </c>
    </row>
    <row r="91" spans="14:26" ht="15">
      <c r="N91" s="232" t="s">
        <v>7221</v>
      </c>
      <c r="O91" s="167" t="str">
        <f ca="1">IFERROR(__xludf.DUMMYFUNCTION("QUERY('030523 INVENTARIO'!$T$2:$T$1015,""select R where R like  '%""&amp;N91&amp;""%'"")"),"#VALUE!")</f>
        <v>#VALUE!</v>
      </c>
      <c r="S91" s="170" t="s">
        <v>8250</v>
      </c>
      <c r="T91" s="167" t="str">
        <f t="shared" si="0"/>
        <v>649598</v>
      </c>
      <c r="U91" s="167" t="str">
        <f ca="1">IFERROR(__xludf.DUMMYFUNCTION("QUERY('030523 INVENTARIO'!$T$2:$T$1015,""select R where R like  '%""&amp;T91&amp;""%'"")"),"#VALUE!")</f>
        <v>#VALUE!</v>
      </c>
      <c r="X91" s="86" t="s">
        <v>7221</v>
      </c>
      <c r="Y91" s="230" t="str">
        <f t="shared" si="1"/>
        <v>518541</v>
      </c>
      <c r="Z91" s="230" t="str">
        <f ca="1">IFERROR(__xludf.DUMMYFUNCTION("QUERY($S$2:$S$195,""select S where S like '%""&amp;Y91&amp;""%'"")"),"#N/A")</f>
        <v>#N/A</v>
      </c>
    </row>
    <row r="92" spans="14:26" ht="15">
      <c r="N92" s="232" t="s">
        <v>9638</v>
      </c>
      <c r="O92" s="167" t="str">
        <f ca="1">IFERROR(__xludf.DUMMYFUNCTION("QUERY('030523 INVENTARIO'!$T$2:$T$1015,""select R where R like  '%""&amp;N92&amp;""%'"")"),"#VALUE!")</f>
        <v>#VALUE!</v>
      </c>
      <c r="S92" s="170" t="s">
        <v>8251</v>
      </c>
      <c r="T92" s="167" t="str">
        <f t="shared" si="0"/>
        <v>649599</v>
      </c>
      <c r="U92" s="167" t="str">
        <f ca="1">IFERROR(__xludf.DUMMYFUNCTION("QUERY('030523 INVENTARIO'!$T$2:$T$1015,""select R where R like  '%""&amp;T92&amp;""%'"")"),"#VALUE!")</f>
        <v>#VALUE!</v>
      </c>
      <c r="X92" s="86" t="s">
        <v>9638</v>
      </c>
      <c r="Y92" s="230" t="str">
        <f t="shared" si="1"/>
        <v>539071</v>
      </c>
      <c r="Z92" s="230" t="str">
        <f ca="1">IFERROR(__xludf.DUMMYFUNCTION("QUERY($S$2:$S$195,""select S where S like '%""&amp;Y92&amp;""%'"")"),"82DJ0515010016000539071")</f>
        <v>82DJ0515010016000539071</v>
      </c>
    </row>
    <row r="93" spans="14:26" ht="15">
      <c r="N93" s="232" t="s">
        <v>9639</v>
      </c>
      <c r="O93" s="167" t="str">
        <f ca="1">IFERROR(__xludf.DUMMYFUNCTION("QUERY('030523 INVENTARIO'!$T$2:$T$1015,""select R where R like  '%""&amp;N93&amp;""%'"")"),"#VALUE!")</f>
        <v>#VALUE!</v>
      </c>
      <c r="S93" s="170" t="s">
        <v>8252</v>
      </c>
      <c r="T93" s="167" t="str">
        <f t="shared" si="0"/>
        <v>649600</v>
      </c>
      <c r="U93" s="167" t="str">
        <f ca="1">IFERROR(__xludf.DUMMYFUNCTION("QUERY('030523 INVENTARIO'!$T$2:$T$1015,""select R where R like  '%""&amp;T93&amp;""%'"")"),"#VALUE!")</f>
        <v>#VALUE!</v>
      </c>
      <c r="X93" s="86" t="s">
        <v>9639</v>
      </c>
      <c r="Y93" s="230" t="str">
        <f t="shared" si="1"/>
        <v>649501</v>
      </c>
      <c r="Z93" s="230" t="str">
        <f ca="1">IFERROR(__xludf.DUMMYFUNCTION("QUERY($S$2:$S$195,""select S where S like '%""&amp;Y93&amp;""%'"")"),"#N/A")</f>
        <v>#N/A</v>
      </c>
    </row>
    <row r="94" spans="14:26" ht="15">
      <c r="N94" s="232" t="s">
        <v>9640</v>
      </c>
      <c r="O94" s="167" t="str">
        <f ca="1">IFERROR(__xludf.DUMMYFUNCTION("QUERY('030523 INVENTARIO'!$T$2:$T$1015,""select R where R like  '%""&amp;N94&amp;""%'"")"),"#VALUE!")</f>
        <v>#VALUE!</v>
      </c>
      <c r="S94" s="170" t="s">
        <v>8253</v>
      </c>
      <c r="T94" s="167" t="str">
        <f t="shared" si="0"/>
        <v>649601</v>
      </c>
      <c r="U94" s="167" t="str">
        <f ca="1">IFERROR(__xludf.DUMMYFUNCTION("QUERY('030523 INVENTARIO'!$T$2:$T$1015,""select R where R like  '%""&amp;T94&amp;""%'"")"),"#VALUE!")</f>
        <v>#VALUE!</v>
      </c>
      <c r="X94" s="86" t="s">
        <v>9640</v>
      </c>
      <c r="Y94" s="230" t="str">
        <f t="shared" si="1"/>
        <v>649477</v>
      </c>
      <c r="Z94" s="230" t="str">
        <f ca="1">IFERROR(__xludf.DUMMYFUNCTION("QUERY($S$2:$S$195,""select S where S like '%""&amp;Y94&amp;""%'"")"),"#N/A")</f>
        <v>#N/A</v>
      </c>
    </row>
    <row r="95" spans="14:26" ht="15">
      <c r="N95" s="231" t="s">
        <v>7574</v>
      </c>
      <c r="O95" s="167" t="str">
        <f ca="1">IFERROR(__xludf.DUMMYFUNCTION("QUERY('030523 INVENTARIO'!$T$2:$T$1015,""select R where R like  '%""&amp;N95&amp;""%'"")"),"#VALUE!")</f>
        <v>#VALUE!</v>
      </c>
      <c r="S95" s="170" t="s">
        <v>8254</v>
      </c>
      <c r="T95" s="167" t="str">
        <f t="shared" si="0"/>
        <v>649602</v>
      </c>
      <c r="U95" s="167" t="str">
        <f ca="1">IFERROR(__xludf.DUMMYFUNCTION("QUERY('030523 INVENTARIO'!$T$2:$T$1015,""select R where R like  '%""&amp;T95&amp;""%'"")"),"#VALUE!")</f>
        <v>#VALUE!</v>
      </c>
      <c r="X95" s="86" t="s">
        <v>7574</v>
      </c>
      <c r="Y95" s="230" t="str">
        <f t="shared" si="1"/>
        <v>518543</v>
      </c>
      <c r="Z95" s="230" t="str">
        <f ca="1">IFERROR(__xludf.DUMMYFUNCTION("QUERY($S$2:$S$195,""select S where S like '%""&amp;Y95&amp;""%'"")"),"#N/A")</f>
        <v>#N/A</v>
      </c>
    </row>
    <row r="96" spans="14:26" ht="15">
      <c r="N96" s="232" t="s">
        <v>9616</v>
      </c>
      <c r="O96" s="167" t="str">
        <f ca="1">IFERROR(__xludf.DUMMYFUNCTION("QUERY('030523 INVENTARIO'!$T$2:$T$1015,""select R where R like  '%""&amp;N96&amp;""%'"")"),"#VALUE!")</f>
        <v>#VALUE!</v>
      </c>
      <c r="S96" s="170" t="s">
        <v>8255</v>
      </c>
      <c r="T96" s="167" t="str">
        <f t="shared" si="0"/>
        <v>649603</v>
      </c>
      <c r="U96" s="167" t="str">
        <f ca="1">IFERROR(__xludf.DUMMYFUNCTION("QUERY('030523 INVENTARIO'!$T$2:$T$1015,""select R where R like  '%""&amp;T96&amp;""%'"")"),"#VALUE!")</f>
        <v>#VALUE!</v>
      </c>
      <c r="X96" s="86" t="s">
        <v>9616</v>
      </c>
      <c r="Y96" s="230" t="str">
        <f t="shared" si="1"/>
        <v>600317</v>
      </c>
      <c r="Z96" s="230" t="str">
        <f ca="1">IFERROR(__xludf.DUMMYFUNCTION("QUERY($S$2:$S$195,""select S where S like '%""&amp;Y96&amp;""%'"")"),"82DJ0515010006000600317")</f>
        <v>82DJ0515010006000600317</v>
      </c>
    </row>
    <row r="97" spans="14:26" ht="15">
      <c r="N97" s="232" t="s">
        <v>9605</v>
      </c>
      <c r="O97" s="167" t="str">
        <f ca="1">IFERROR(__xludf.DUMMYFUNCTION("QUERY('030523 INVENTARIO'!$T$2:$T$1015,""select R where R like  '%""&amp;N97&amp;""%'"")"),"#VALUE!")</f>
        <v>#VALUE!</v>
      </c>
      <c r="S97" s="170" t="s">
        <v>8256</v>
      </c>
      <c r="T97" s="167" t="str">
        <f t="shared" si="0"/>
        <v>649604</v>
      </c>
      <c r="U97" s="167" t="str">
        <f ca="1">IFERROR(__xludf.DUMMYFUNCTION("QUERY('030523 INVENTARIO'!$T$2:$T$1015,""select R where R like  '%""&amp;T97&amp;""%'"")"),"#VALUE!")</f>
        <v>#VALUE!</v>
      </c>
      <c r="X97" s="86" t="s">
        <v>9605</v>
      </c>
      <c r="Y97" s="230" t="str">
        <f t="shared" si="1"/>
        <v>533213</v>
      </c>
      <c r="Z97" s="230" t="str">
        <f ca="1">IFERROR(__xludf.DUMMYFUNCTION("QUERY($S$2:$S$195,""select S where S like '%""&amp;Y97&amp;""%'"")"),"82DJ0515010002000533213")</f>
        <v>82DJ0515010002000533213</v>
      </c>
    </row>
    <row r="98" spans="14:26" ht="15">
      <c r="N98" s="232" t="s">
        <v>9641</v>
      </c>
      <c r="O98" s="167" t="str">
        <f ca="1">IFERROR(__xludf.DUMMYFUNCTION("QUERY('030523 INVENTARIO'!$T$2:$T$1015,""select R where R like  '%""&amp;N98&amp;""%'"")"),"#VALUE!")</f>
        <v>#VALUE!</v>
      </c>
      <c r="S98" s="170" t="s">
        <v>8257</v>
      </c>
      <c r="T98" s="167" t="str">
        <f t="shared" si="0"/>
        <v>649605</v>
      </c>
      <c r="U98" s="167" t="str">
        <f ca="1">IFERROR(__xludf.DUMMYFUNCTION("QUERY('030523 INVENTARIO'!$T$2:$T$1015,""select R where R like  '%""&amp;T98&amp;""%'"")"),"#VALUE!")</f>
        <v>#VALUE!</v>
      </c>
      <c r="X98" s="86" t="s">
        <v>9641</v>
      </c>
      <c r="Y98" s="230" t="str">
        <f t="shared" si="1"/>
        <v>515365</v>
      </c>
      <c r="Z98" s="230" t="str">
        <f ca="1">IFERROR(__xludf.DUMMYFUNCTION("QUERY($S$2:$S$195,""select S where S like '%""&amp;Y98&amp;""%'"")"),"82DJ0512010011000515365")</f>
        <v>82DJ0512010011000515365</v>
      </c>
    </row>
    <row r="99" spans="14:26" ht="15">
      <c r="N99" s="231" t="s">
        <v>9642</v>
      </c>
      <c r="O99" s="167" t="str">
        <f ca="1">IFERROR(__xludf.DUMMYFUNCTION("QUERY('030523 INVENTARIO'!$T$2:$T$1015,""select R where R like  '%""&amp;N99&amp;""%'"")"),"#VALUE!")</f>
        <v>#VALUE!</v>
      </c>
      <c r="S99" s="170" t="s">
        <v>8258</v>
      </c>
      <c r="T99" s="167" t="str">
        <f t="shared" si="0"/>
        <v>649606</v>
      </c>
      <c r="U99" s="167" t="str">
        <f ca="1">IFERROR(__xludf.DUMMYFUNCTION("QUERY('030523 INVENTARIO'!$T$2:$T$1015,""select R where R like  '%""&amp;T99&amp;""%'"")"),"#VALUE!")</f>
        <v>#VALUE!</v>
      </c>
      <c r="X99" s="86" t="s">
        <v>9642</v>
      </c>
      <c r="Y99" s="230" t="str">
        <f t="shared" si="1"/>
        <v>649502</v>
      </c>
      <c r="Z99" s="230" t="str">
        <f ca="1">IFERROR(__xludf.DUMMYFUNCTION("QUERY($S$2:$S$195,""select S where S like '%""&amp;Y99&amp;""%'"")"),"#N/A")</f>
        <v>#N/A</v>
      </c>
    </row>
    <row r="100" spans="14:26" ht="15">
      <c r="N100" s="232" t="s">
        <v>8197</v>
      </c>
      <c r="O100" s="167" t="str">
        <f ca="1">IFERROR(__xludf.DUMMYFUNCTION("QUERY('030523 INVENTARIO'!$T$2:$T$1015,""select R where R like  '%""&amp;N100&amp;""%'"")"),"#VALUE!")</f>
        <v>#VALUE!</v>
      </c>
      <c r="S100" s="170" t="s">
        <v>8259</v>
      </c>
      <c r="T100" s="167" t="str">
        <f t="shared" si="0"/>
        <v>649607</v>
      </c>
      <c r="U100" s="167" t="str">
        <f ca="1">IFERROR(__xludf.DUMMYFUNCTION("QUERY('030523 INVENTARIO'!$T$2:$T$1015,""select R where R like  '%""&amp;T100&amp;""%'"")"),"#VALUE!")</f>
        <v>#VALUE!</v>
      </c>
      <c r="X100" s="86" t="s">
        <v>8197</v>
      </c>
      <c r="Y100" s="230" t="str">
        <f t="shared" si="1"/>
        <v>649495</v>
      </c>
      <c r="Z100" s="230" t="str">
        <f ca="1">IFERROR(__xludf.DUMMYFUNCTION("QUERY($S$2:$S$195,""select S where S like '%""&amp;Y100&amp;""%'"")"),"#N/A")</f>
        <v>#N/A</v>
      </c>
    </row>
    <row r="101" spans="14:26" ht="15">
      <c r="N101" s="232" t="s">
        <v>8214</v>
      </c>
      <c r="O101" s="167" t="str">
        <f ca="1">IFERROR(__xludf.DUMMYFUNCTION("QUERY('030523 INVENTARIO'!$T$2:$T$1015,""select R where R like  '%""&amp;N101&amp;""%'"")"),"#VALUE!")</f>
        <v>#VALUE!</v>
      </c>
      <c r="S101" s="170" t="s">
        <v>8260</v>
      </c>
      <c r="T101" s="167" t="str">
        <f t="shared" si="0"/>
        <v>649608</v>
      </c>
      <c r="U101" s="167" t="str">
        <f ca="1">IFERROR(__xludf.DUMMYFUNCTION("QUERY('030523 INVENTARIO'!$T$2:$T$1015,""select R where R like  '%""&amp;T101&amp;""%'"")"),"#VALUE!")</f>
        <v>#VALUE!</v>
      </c>
      <c r="X101" s="86" t="s">
        <v>8214</v>
      </c>
      <c r="Y101" s="230" t="str">
        <f t="shared" si="1"/>
        <v>649544</v>
      </c>
      <c r="Z101" s="230" t="str">
        <f ca="1">IFERROR(__xludf.DUMMYFUNCTION("QUERY($S$2:$S$195,""select S where S like '%""&amp;Y101&amp;""%'"")"),"82DJ0565010001000649544")</f>
        <v>82DJ0565010001000649544</v>
      </c>
    </row>
    <row r="102" spans="14:26" ht="15">
      <c r="N102" s="232" t="s">
        <v>8215</v>
      </c>
      <c r="O102" s="167" t="str">
        <f ca="1">IFERROR(__xludf.DUMMYFUNCTION("QUERY('030523 INVENTARIO'!$T$2:$T$1015,""select R where R like  '%""&amp;N102&amp;""%'"")"),"#VALUE!")</f>
        <v>#VALUE!</v>
      </c>
      <c r="S102" s="170" t="s">
        <v>8261</v>
      </c>
      <c r="T102" s="167" t="str">
        <f t="shared" si="0"/>
        <v>649609</v>
      </c>
      <c r="U102" s="167" t="str">
        <f ca="1">IFERROR(__xludf.DUMMYFUNCTION("QUERY('030523 INVENTARIO'!$T$2:$T$1015,""select R where R like  '%""&amp;T102&amp;""%'"")"),"#VALUE!")</f>
        <v>#VALUE!</v>
      </c>
      <c r="X102" s="86" t="s">
        <v>8215</v>
      </c>
      <c r="Y102" s="230" t="str">
        <f t="shared" si="1"/>
        <v>649545</v>
      </c>
      <c r="Z102" s="230" t="str">
        <f ca="1">IFERROR(__xludf.DUMMYFUNCTION("QUERY($S$2:$S$195,""select S where S like '%""&amp;Y102&amp;""%'"")"),"#N/A")</f>
        <v>#N/A</v>
      </c>
    </row>
    <row r="103" spans="14:26" ht="15">
      <c r="N103" s="231" t="s">
        <v>8213</v>
      </c>
      <c r="O103" s="167" t="str">
        <f ca="1">IFERROR(__xludf.DUMMYFUNCTION("QUERY('030523 INVENTARIO'!$T$2:$T$1015,""select R where R like  '%""&amp;N103&amp;""%'"")"),"#VALUE!")</f>
        <v>#VALUE!</v>
      </c>
      <c r="S103" s="170" t="s">
        <v>8262</v>
      </c>
      <c r="T103" s="167" t="str">
        <f t="shared" si="0"/>
        <v>649610</v>
      </c>
      <c r="U103" s="167" t="str">
        <f ca="1">IFERROR(__xludf.DUMMYFUNCTION("QUERY('030523 INVENTARIO'!$T$2:$T$1015,""select R where R like  '%""&amp;T103&amp;""%'"")"),"#VALUE!")</f>
        <v>#VALUE!</v>
      </c>
      <c r="X103" s="86" t="s">
        <v>8213</v>
      </c>
      <c r="Y103" s="230" t="str">
        <f t="shared" si="1"/>
        <v>649537</v>
      </c>
      <c r="Z103" s="230" t="str">
        <f ca="1">IFERROR(__xludf.DUMMYFUNCTION("QUERY($S$2:$S$195,""select S where S like '%""&amp;Y103&amp;""%'"")"),"82DJ0512010014000649537")</f>
        <v>82DJ0512010014000649537</v>
      </c>
    </row>
    <row r="104" spans="14:26" ht="15">
      <c r="N104" s="232" t="s">
        <v>3436</v>
      </c>
      <c r="O104" s="167" t="str">
        <f ca="1">IFERROR(__xludf.DUMMYFUNCTION("QUERY('030523 INVENTARIO'!$T$2:$T$1015,""select R where R like  '%""&amp;N104&amp;""%'"")"),"#VALUE!")</f>
        <v>#VALUE!</v>
      </c>
      <c r="S104" s="170" t="s">
        <v>7402</v>
      </c>
      <c r="T104" s="167" t="str">
        <f t="shared" si="0"/>
        <v>515122</v>
      </c>
      <c r="U104" s="167" t="str">
        <f ca="1">IFERROR(__xludf.DUMMYFUNCTION("QUERY('030523 INVENTARIO'!$T$2:$T$1015,""select R where R like  '%""&amp;T104&amp;""%'"")"),"#VALUE!")</f>
        <v>#VALUE!</v>
      </c>
      <c r="X104" s="86" t="s">
        <v>3436</v>
      </c>
      <c r="Y104" s="230" t="str">
        <f t="shared" si="1"/>
        <v>649549</v>
      </c>
      <c r="Z104" s="230" t="str">
        <f ca="1">IFERROR(__xludf.DUMMYFUNCTION("QUERY($S$2:$S$195,""select S where S like '%""&amp;Y104&amp;""%'"")"),"82DJ0511010029000649549")</f>
        <v>82DJ0511010029000649549</v>
      </c>
    </row>
    <row r="105" spans="14:26" ht="15">
      <c r="N105" s="232" t="s">
        <v>8217</v>
      </c>
      <c r="O105" s="167" t="str">
        <f ca="1">IFERROR(__xludf.DUMMYFUNCTION("QUERY('030523 INVENTARIO'!$T$2:$T$1015,""select R where R like  '%""&amp;N105&amp;""%'"")"),"#VALUE!")</f>
        <v>#VALUE!</v>
      </c>
      <c r="S105" s="170" t="s">
        <v>8312</v>
      </c>
      <c r="T105" s="167" t="str">
        <f t="shared" si="0"/>
        <v>649672</v>
      </c>
      <c r="U105" s="167" t="str">
        <f ca="1">IFERROR(__xludf.DUMMYFUNCTION("QUERY('030523 INVENTARIO'!$T$2:$T$1015,""select R where R like  '%""&amp;T105&amp;""%'"")"),"#VALUE!")</f>
        <v>#VALUE!</v>
      </c>
      <c r="X105" s="86" t="s">
        <v>8217</v>
      </c>
      <c r="Y105" s="230" t="str">
        <f t="shared" si="1"/>
        <v>649554</v>
      </c>
      <c r="Z105" s="230" t="str">
        <f ca="1">IFERROR(__xludf.DUMMYFUNCTION("QUERY($S$2:$S$195,""select S where S like '%""&amp;Y105&amp;""%'"")"),"82DJ0511010020000649554")</f>
        <v>82DJ0511010020000649554</v>
      </c>
    </row>
    <row r="106" spans="14:26" ht="15">
      <c r="N106" s="232" t="s">
        <v>8216</v>
      </c>
      <c r="O106" s="167" t="str">
        <f ca="1">IFERROR(__xludf.DUMMYFUNCTION("QUERY('030523 INVENTARIO'!$T$2:$T$1015,""select R where R like  '%""&amp;N106&amp;""%'"")"),"#VALUE!")</f>
        <v>#VALUE!</v>
      </c>
      <c r="S106" s="170" t="s">
        <v>8211</v>
      </c>
      <c r="T106" s="167" t="str">
        <f t="shared" si="0"/>
        <v>649530</v>
      </c>
      <c r="U106" s="167" t="str">
        <f ca="1">IFERROR(__xludf.DUMMYFUNCTION("QUERY('030523 INVENTARIO'!$T$2:$T$1015,""select R where R like  '%""&amp;T106&amp;""%'"")"),"#VALUE!")</f>
        <v>#VALUE!</v>
      </c>
      <c r="X106" s="86" t="s">
        <v>8216</v>
      </c>
      <c r="Y106" s="230" t="str">
        <f t="shared" si="1"/>
        <v>649553</v>
      </c>
      <c r="Z106" s="230" t="str">
        <f ca="1">IFERROR(__xludf.DUMMYFUNCTION("QUERY($S$2:$S$195,""select S where S like '%""&amp;Y106&amp;""%'"")"),"82DJ0511010020000649553")</f>
        <v>82DJ0511010020000649553</v>
      </c>
    </row>
    <row r="107" spans="14:26" ht="15">
      <c r="N107" s="232" t="s">
        <v>7254</v>
      </c>
      <c r="O107" s="167" t="str">
        <f ca="1">IFERROR(__xludf.DUMMYFUNCTION("QUERY('030523 INVENTARIO'!$T$2:$T$1015,""select R where R like  '%""&amp;N107&amp;""%'"")"),"#VALUE!")</f>
        <v>#VALUE!</v>
      </c>
      <c r="S107" s="170" t="s">
        <v>8058</v>
      </c>
      <c r="T107" s="167" t="str">
        <f t="shared" si="0"/>
        <v>566299</v>
      </c>
      <c r="U107" s="167" t="str">
        <f ca="1">IFERROR(__xludf.DUMMYFUNCTION("QUERY('030523 INVENTARIO'!$T$2:$T$1015,""select R where R like  '%""&amp;T107&amp;""%'"")"),"#VALUE!")</f>
        <v>#VALUE!</v>
      </c>
      <c r="X107" s="86" t="s">
        <v>7254</v>
      </c>
      <c r="Y107" s="230" t="str">
        <f t="shared" si="1"/>
        <v>649552</v>
      </c>
      <c r="Z107" s="230" t="str">
        <f ca="1">IFERROR(__xludf.DUMMYFUNCTION("QUERY($S$2:$S$195,""select S where S like '%""&amp;Y107&amp;""%'"")"),"82DJ0511010020000649552")</f>
        <v>82DJ0511010020000649552</v>
      </c>
    </row>
    <row r="108" spans="14:26" ht="15">
      <c r="N108" s="232" t="s">
        <v>7278</v>
      </c>
      <c r="O108" s="167" t="str">
        <f ca="1">IFERROR(__xludf.DUMMYFUNCTION("QUERY('030523 INVENTARIO'!$T$2:$T$1015,""select R where R like  '%""&amp;N108&amp;""%'"")"),"#VALUE!")</f>
        <v>#VALUE!</v>
      </c>
      <c r="S108" s="229" t="s">
        <v>1848</v>
      </c>
      <c r="T108" s="167" t="str">
        <f t="shared" si="0"/>
        <v>649636</v>
      </c>
      <c r="U108" s="167" t="str">
        <f ca="1">IFERROR(__xludf.DUMMYFUNCTION("QUERY('030523 INVENTARIO'!$T$2:$T$1015,""select R where R like  '%""&amp;T108&amp;""%'"")"),"#VALUE!")</f>
        <v>#VALUE!</v>
      </c>
      <c r="X108" s="86" t="s">
        <v>7278</v>
      </c>
      <c r="Y108" s="230" t="str">
        <f t="shared" si="1"/>
        <v>649542</v>
      </c>
      <c r="Z108" s="230" t="str">
        <f ca="1">IFERROR(__xludf.DUMMYFUNCTION("QUERY($S$2:$S$195,""select S where S like '%""&amp;Y108&amp;""%'"")"),"82DJ0511010020000649542")</f>
        <v>82DJ0511010020000649542</v>
      </c>
    </row>
    <row r="109" spans="14:26" ht="15">
      <c r="N109" s="232" t="s">
        <v>7279</v>
      </c>
      <c r="O109" s="167" t="str">
        <f ca="1">IFERROR(__xludf.DUMMYFUNCTION("QUERY('030523 INVENTARIO'!$T$2:$T$1015,""select R where R like  '%""&amp;N109&amp;""%'"")"),"#VALUE!")</f>
        <v>#VALUE!</v>
      </c>
      <c r="S109" s="170" t="s">
        <v>9643</v>
      </c>
      <c r="T109" s="167" t="str">
        <f t="shared" si="0"/>
        <v>649645</v>
      </c>
      <c r="U109" s="167" t="str">
        <f ca="1">IFERROR(__xludf.DUMMYFUNCTION("QUERY('030523 INVENTARIO'!$T$2:$T$1015,""select R where R like  '%""&amp;T109&amp;""%'"")"),"#VALUE!")</f>
        <v>#VALUE!</v>
      </c>
      <c r="X109" s="86" t="s">
        <v>7279</v>
      </c>
      <c r="Y109" s="230" t="str">
        <f t="shared" si="1"/>
        <v>649541</v>
      </c>
      <c r="Z109" s="230" t="str">
        <f ca="1">IFERROR(__xludf.DUMMYFUNCTION("QUERY($S$2:$S$195,""select S where S like '%""&amp;Y109&amp;""%'"")"),"82DJ0511010020000649541")</f>
        <v>82DJ0511010020000649541</v>
      </c>
    </row>
    <row r="110" spans="14:26" ht="15">
      <c r="N110" s="232" t="s">
        <v>7637</v>
      </c>
      <c r="O110" s="167" t="str">
        <f ca="1">IFERROR(__xludf.DUMMYFUNCTION("QUERY('030523 INVENTARIO'!$T$2:$T$1015,""select R where R like  '%""&amp;N110&amp;""%'"")"),"#VALUE!")</f>
        <v>#VALUE!</v>
      </c>
      <c r="S110" s="170" t="s">
        <v>9644</v>
      </c>
      <c r="T110" s="167" t="str">
        <f t="shared" si="0"/>
        <v>649655</v>
      </c>
      <c r="U110" s="167" t="str">
        <f ca="1">IFERROR(__xludf.DUMMYFUNCTION("QUERY('030523 INVENTARIO'!$T$2:$T$1015,""select R where R like  '%""&amp;T110&amp;""%'"")"),"#VALUE!")</f>
        <v>#VALUE!</v>
      </c>
      <c r="X110" s="86" t="s">
        <v>7637</v>
      </c>
      <c r="Y110" s="230" t="str">
        <f t="shared" si="1"/>
        <v>530456</v>
      </c>
      <c r="Z110" s="230" t="str">
        <f ca="1">IFERROR(__xludf.DUMMYFUNCTION("QUERY($S$2:$S$195,""select S where S like '%""&amp;Y110&amp;""%'"")"),"82DJ0565010041000530456")</f>
        <v>82DJ0565010041000530456</v>
      </c>
    </row>
    <row r="111" spans="14:26" ht="15">
      <c r="N111" s="231" t="s">
        <v>7635</v>
      </c>
      <c r="O111" s="167" t="str">
        <f ca="1">IFERROR(__xludf.DUMMYFUNCTION("QUERY('030523 INVENTARIO'!$T$2:$T$1015,""select R where R like  '%""&amp;N111&amp;""%'"")"),"#VALUE!")</f>
        <v>#VALUE!</v>
      </c>
      <c r="S111" s="170" t="s">
        <v>9645</v>
      </c>
      <c r="T111" s="167" t="str">
        <f t="shared" si="0"/>
        <v>649656</v>
      </c>
      <c r="U111" s="167" t="str">
        <f ca="1">IFERROR(__xludf.DUMMYFUNCTION("QUERY('030523 INVENTARIO'!$T$2:$T$1015,""select R where R like  '%""&amp;T111&amp;""%'"")"),"#VALUE!")</f>
        <v>#VALUE!</v>
      </c>
      <c r="X111" s="86" t="s">
        <v>7635</v>
      </c>
      <c r="Y111" s="230" t="str">
        <f t="shared" si="1"/>
        <v>530455</v>
      </c>
      <c r="Z111" s="230" t="str">
        <f ca="1">IFERROR(__xludf.DUMMYFUNCTION("QUERY($S$2:$S$195,""select S where S like '%""&amp;Y111&amp;""%'"")"),"82DJ0565010041000530455")</f>
        <v>82DJ0565010041000530455</v>
      </c>
    </row>
    <row r="112" spans="14:26" ht="15">
      <c r="N112" s="232" t="s">
        <v>8426</v>
      </c>
      <c r="O112" s="167" t="str">
        <f ca="1">IFERROR(__xludf.DUMMYFUNCTION("QUERY('030523 INVENTARIO'!$T$2:$T$1015,""select R where R like  '%""&amp;N112&amp;""%'"")"),"#VALUE!")</f>
        <v>#VALUE!</v>
      </c>
      <c r="S112" s="170" t="s">
        <v>9646</v>
      </c>
      <c r="T112" s="167" t="str">
        <f t="shared" si="0"/>
        <v>649657</v>
      </c>
      <c r="U112" s="167" t="str">
        <f ca="1">IFERROR(__xludf.DUMMYFUNCTION("QUERY('030523 INVENTARIO'!$T$2:$T$1015,""select R where R like  '%""&amp;T112&amp;""%'"")"),"#VALUE!")</f>
        <v>#VALUE!</v>
      </c>
      <c r="X112" s="86" t="s">
        <v>8426</v>
      </c>
      <c r="Y112" s="230" t="str">
        <f t="shared" si="1"/>
        <v>541888</v>
      </c>
      <c r="Z112" s="230" t="str">
        <f ca="1">IFERROR(__xludf.DUMMYFUNCTION("QUERY($S$2:$S$195,""select S where S like '%""&amp;Y112&amp;""%'"")"),"#N/A")</f>
        <v>#N/A</v>
      </c>
    </row>
    <row r="113" spans="14:26" ht="15">
      <c r="N113" s="231" t="s">
        <v>9647</v>
      </c>
      <c r="O113" s="167" t="str">
        <f ca="1">IFERROR(__xludf.DUMMYFUNCTION("QUERY('030523 INVENTARIO'!$T$2:$T$1015,""select R where R like  '%""&amp;N113&amp;""%'"")"),"#VALUE!")</f>
        <v>#VALUE!</v>
      </c>
      <c r="S113" s="229" t="s">
        <v>4201</v>
      </c>
      <c r="T113" s="167" t="str">
        <f t="shared" si="0"/>
        <v>649703</v>
      </c>
      <c r="U113" s="167" t="str">
        <f ca="1">IFERROR(__xludf.DUMMYFUNCTION("QUERY('030523 INVENTARIO'!$T$2:$T$1015,""select R where R like  '%""&amp;T113&amp;""%'"")"),"#VALUE!")</f>
        <v>#VALUE!</v>
      </c>
      <c r="X113" s="86" t="s">
        <v>9647</v>
      </c>
      <c r="Y113" s="230" t="str">
        <f t="shared" si="1"/>
        <v>564829</v>
      </c>
      <c r="Z113" s="230" t="str">
        <f ca="1">IFERROR(__xludf.DUMMYFUNCTION("QUERY($S$2:$S$195,""select S where S like '%""&amp;Y113&amp;""%'"")"),"#N/A")</f>
        <v>#N/A</v>
      </c>
    </row>
    <row r="114" spans="14:26" ht="15">
      <c r="N114" s="231" t="s">
        <v>8425</v>
      </c>
      <c r="O114" s="167" t="str">
        <f ca="1">IFERROR(__xludf.DUMMYFUNCTION("QUERY('030523 INVENTARIO'!$T$2:$T$1015,""select R where R like  '%""&amp;N114&amp;""%'"")"),"#VALUE!")</f>
        <v>#VALUE!</v>
      </c>
      <c r="S114" s="229" t="s">
        <v>6479</v>
      </c>
      <c r="T114" s="167" t="str">
        <f t="shared" si="0"/>
        <v>564716</v>
      </c>
      <c r="U114" s="167" t="str">
        <f ca="1">IFERROR(__xludf.DUMMYFUNCTION("QUERY('030523 INVENTARIO'!$T$2:$T$1015,""select R where R like  '%""&amp;T114&amp;""%'"")"),"#VALUE!")</f>
        <v>#VALUE!</v>
      </c>
      <c r="X114" s="86" t="s">
        <v>8425</v>
      </c>
      <c r="Y114" s="230" t="str">
        <f t="shared" si="1"/>
        <v>564827</v>
      </c>
      <c r="Z114" s="230" t="str">
        <f ca="1">IFERROR(__xludf.DUMMYFUNCTION("QUERY($S$2:$S$195,""select S where S like '%""&amp;Y114&amp;""%'"")"),"#N/A")</f>
        <v>#N/A</v>
      </c>
    </row>
    <row r="115" spans="14:26" ht="15">
      <c r="N115" s="231" t="s">
        <v>9648</v>
      </c>
      <c r="O115" s="167" t="str">
        <f ca="1">IFERROR(__xludf.DUMMYFUNCTION("QUERY('030523 INVENTARIO'!$T$2:$T$1015,""select R where R like  '%""&amp;N115&amp;""%'"")"),"#VALUE!")</f>
        <v>#VALUE!</v>
      </c>
      <c r="S115" s="170" t="s">
        <v>9649</v>
      </c>
      <c r="T115" s="167" t="str">
        <f t="shared" si="0"/>
        <v>564741</v>
      </c>
      <c r="U115" s="167" t="str">
        <f ca="1">IFERROR(__xludf.DUMMYFUNCTION("QUERY('030523 INVENTARIO'!$T$2:$T$1015,""select R where R like  '%""&amp;T115&amp;""%'"")"),"#VALUE!")</f>
        <v>#VALUE!</v>
      </c>
      <c r="X115" s="86" t="s">
        <v>9648</v>
      </c>
      <c r="Y115" s="230" t="str">
        <f t="shared" si="1"/>
        <v>566299</v>
      </c>
      <c r="Z115" s="230" t="str">
        <f ca="1">IFERROR(__xludf.DUMMYFUNCTION("QUERY($S$2:$S$195,""select S where S like '%""&amp;Y115&amp;""%'"")"),"82DJ0519010030000566299")</f>
        <v>82DJ0519010030000566299</v>
      </c>
    </row>
    <row r="116" spans="14:26" ht="15">
      <c r="N116" s="231" t="s">
        <v>8421</v>
      </c>
      <c r="O116" s="167" t="str">
        <f ca="1">IFERROR(__xludf.DUMMYFUNCTION("QUERY('030523 INVENTARIO'!$T$2:$T$1015,""select R where R like  '%""&amp;N116&amp;""%'"")"),"#VALUE!")</f>
        <v>#VALUE!</v>
      </c>
      <c r="S116" s="170" t="s">
        <v>7320</v>
      </c>
      <c r="T116" s="167" t="str">
        <f t="shared" si="0"/>
        <v>564765</v>
      </c>
      <c r="U116" s="167" t="str">
        <f ca="1">IFERROR(__xludf.DUMMYFUNCTION("QUERY('030523 INVENTARIO'!$T$2:$T$1015,""select R where R like  '%""&amp;T116&amp;""%'"")"),"#VALUE!")</f>
        <v>#VALUE!</v>
      </c>
      <c r="X116" s="86" t="s">
        <v>8421</v>
      </c>
      <c r="Y116" s="230" t="str">
        <f t="shared" si="1"/>
        <v>566297</v>
      </c>
      <c r="Z116" s="230" t="str">
        <f ca="1">IFERROR(__xludf.DUMMYFUNCTION("QUERY($S$2:$S$195,""select S where S like '%""&amp;Y116&amp;""%'"")"),"#N/A")</f>
        <v>#N/A</v>
      </c>
    </row>
    <row r="117" spans="14:26" ht="15">
      <c r="N117" s="232" t="s">
        <v>7285</v>
      </c>
      <c r="O117" s="167" t="str">
        <f ca="1">IFERROR(__xludf.DUMMYFUNCTION("QUERY('030523 INVENTARIO'!$T$2:$T$1015,""select R where R like  '%""&amp;N117&amp;""%'"")"),"#VALUE!")</f>
        <v>#VALUE!</v>
      </c>
      <c r="S117" s="170" t="s">
        <v>7301</v>
      </c>
      <c r="T117" s="167" t="str">
        <f t="shared" si="0"/>
        <v>564800</v>
      </c>
      <c r="U117" s="167" t="str">
        <f ca="1">IFERROR(__xludf.DUMMYFUNCTION("QUERY('030523 INVENTARIO'!$T$2:$T$1015,""select R where R like  '%""&amp;T117&amp;""%'"")"),"#VALUE!")</f>
        <v>#VALUE!</v>
      </c>
      <c r="X117" s="86" t="s">
        <v>7285</v>
      </c>
      <c r="Y117" s="230" t="str">
        <f t="shared" si="1"/>
        <v>564659</v>
      </c>
      <c r="Z117" s="230" t="str">
        <f ca="1">IFERROR(__xludf.DUMMYFUNCTION("QUERY($S$2:$S$195,""select S where S like '%""&amp;Y117&amp;""%'"")"),"#N/A")</f>
        <v>#N/A</v>
      </c>
    </row>
    <row r="118" spans="14:26" ht="15">
      <c r="N118" s="231" t="s">
        <v>8424</v>
      </c>
      <c r="O118" s="167" t="str">
        <f ca="1">IFERROR(__xludf.DUMMYFUNCTION("QUERY('030523 INVENTARIO'!$T$2:$T$1015,""select R where R like  '%""&amp;N118&amp;""%'"")"),"#VALUE!")</f>
        <v>#VALUE!</v>
      </c>
      <c r="S118" s="170" t="s">
        <v>7325</v>
      </c>
      <c r="T118" s="167" t="str">
        <f t="shared" si="0"/>
        <v>564846</v>
      </c>
      <c r="U118" s="167" t="str">
        <f ca="1">IFERROR(__xludf.DUMMYFUNCTION("QUERY('030523 INVENTARIO'!$T$2:$T$1015,""select R where R like  '%""&amp;T118&amp;""%'"")"),"#VALUE!")</f>
        <v>#VALUE!</v>
      </c>
      <c r="X118" s="86" t="s">
        <v>8424</v>
      </c>
      <c r="Y118" s="230" t="str">
        <f t="shared" si="1"/>
        <v>538130</v>
      </c>
      <c r="Z118" s="230" t="str">
        <f ca="1">IFERROR(__xludf.DUMMYFUNCTION("QUERY($S$2:$S$195,""select S where S like '%""&amp;Y118&amp;""%'"")"),"#N/A")</f>
        <v>#N/A</v>
      </c>
    </row>
    <row r="119" spans="14:26" ht="15">
      <c r="N119" s="232" t="s">
        <v>8423</v>
      </c>
      <c r="O119" s="167" t="str">
        <f ca="1">IFERROR(__xludf.DUMMYFUNCTION("QUERY('030523 INVENTARIO'!$T$2:$T$1015,""select R where R like  '%""&amp;N119&amp;""%'"")"),"#VALUE!")</f>
        <v>#VALUE!</v>
      </c>
      <c r="S119" s="170" t="s">
        <v>8010</v>
      </c>
      <c r="T119" s="167" t="str">
        <f t="shared" si="0"/>
        <v>564878</v>
      </c>
      <c r="U119" s="167" t="str">
        <f ca="1">IFERROR(__xludf.DUMMYFUNCTION("QUERY('030523 INVENTARIO'!$T$2:$T$1015,""select R where R like  '%""&amp;T119&amp;""%'"")"),"#VALUE!")</f>
        <v>#VALUE!</v>
      </c>
      <c r="X119" s="86" t="s">
        <v>8423</v>
      </c>
      <c r="Y119" s="230" t="str">
        <f t="shared" si="1"/>
        <v>522300</v>
      </c>
      <c r="Z119" s="230" t="str">
        <f ca="1">IFERROR(__xludf.DUMMYFUNCTION("QUERY($S$2:$S$195,""select S where S like '%""&amp;Y119&amp;""%'"")"),"#N/A")</f>
        <v>#N/A</v>
      </c>
    </row>
    <row r="120" spans="14:26" ht="15">
      <c r="N120" s="232" t="s">
        <v>9650</v>
      </c>
      <c r="O120" s="167" t="str">
        <f ca="1">IFERROR(__xludf.DUMMYFUNCTION("QUERY('030523 INVENTARIO'!$T$2:$T$1015,""select R where R like  '%""&amp;N120&amp;""%'"")"),"#VALUE!")</f>
        <v>#VALUE!</v>
      </c>
      <c r="S120" s="170" t="s">
        <v>9651</v>
      </c>
      <c r="T120" s="167" t="str">
        <f t="shared" si="0"/>
        <v>564879</v>
      </c>
      <c r="U120" s="167" t="str">
        <f ca="1">IFERROR(__xludf.DUMMYFUNCTION("QUERY('030523 INVENTARIO'!$T$2:$T$1015,""select R where R like  '%""&amp;T120&amp;""%'"")"),"#VALUE!")</f>
        <v>#VALUE!</v>
      </c>
      <c r="X120" s="86" t="s">
        <v>9650</v>
      </c>
      <c r="Y120" s="230" t="str">
        <f t="shared" si="1"/>
        <v>649401</v>
      </c>
      <c r="Z120" s="230" t="str">
        <f ca="1">IFERROR(__xludf.DUMMYFUNCTION("QUERY($S$2:$S$195,""select S where S like '%""&amp;Y120&amp;""%'"")"),"#N/A")</f>
        <v>#N/A</v>
      </c>
    </row>
    <row r="121" spans="14:26" ht="15">
      <c r="N121" s="231" t="s">
        <v>8427</v>
      </c>
      <c r="O121" s="167" t="str">
        <f ca="1">IFERROR(__xludf.DUMMYFUNCTION("QUERY('030523 INVENTARIO'!$T$2:$T$1015,""select R where R like  '%""&amp;N121&amp;""%'"")"),"#VALUE!")</f>
        <v>#VALUE!</v>
      </c>
      <c r="S121" s="170" t="s">
        <v>7316</v>
      </c>
      <c r="T121" s="167" t="str">
        <f t="shared" si="0"/>
        <v>566539</v>
      </c>
      <c r="U121" s="167" t="str">
        <f ca="1">IFERROR(__xludf.DUMMYFUNCTION("QUERY('030523 INVENTARIO'!$T$2:$T$1015,""select R where R like  '%""&amp;T121&amp;""%'"")"),"#VALUE!")</f>
        <v>#VALUE!</v>
      </c>
      <c r="X121" s="86" t="s">
        <v>8427</v>
      </c>
      <c r="Y121" s="230" t="str">
        <f t="shared" si="1"/>
        <v>539035</v>
      </c>
      <c r="Z121" s="230" t="str">
        <f ca="1">IFERROR(__xludf.DUMMYFUNCTION("QUERY($S$2:$S$195,""select S where S like '%""&amp;Y121&amp;""%'"")"),"#N/A")</f>
        <v>#N/A</v>
      </c>
    </row>
    <row r="122" spans="14:26" ht="15">
      <c r="N122" s="231" t="s">
        <v>9652</v>
      </c>
      <c r="O122" s="167" t="str">
        <f ca="1">IFERROR(__xludf.DUMMYFUNCTION("QUERY('030523 INVENTARIO'!$T$2:$T$1015,""select R where R like  '%""&amp;N122&amp;""%'"")"),"#VALUE!")</f>
        <v>#VALUE!</v>
      </c>
      <c r="S122" s="170" t="s">
        <v>8099</v>
      </c>
      <c r="T122" s="167" t="str">
        <f t="shared" si="0"/>
        <v>580847</v>
      </c>
      <c r="U122" s="167" t="str">
        <f ca="1">IFERROR(__xludf.DUMMYFUNCTION("QUERY('030523 INVENTARIO'!$T$2:$T$1015,""select R where R like  '%""&amp;T122&amp;""%'"")"),"#VALUE!")</f>
        <v>#VALUE!</v>
      </c>
      <c r="X122" s="86" t="s">
        <v>9652</v>
      </c>
      <c r="Y122" s="230" t="str">
        <f t="shared" si="1"/>
        <v>539034</v>
      </c>
      <c r="Z122" s="230" t="str">
        <f ca="1">IFERROR(__xludf.DUMMYFUNCTION("QUERY($S$2:$S$195,""select S where S like '%""&amp;Y122&amp;""%'"")"),"82DJ0515010001000539034")</f>
        <v>82DJ0515010001000539034</v>
      </c>
    </row>
    <row r="123" spans="14:26" ht="15">
      <c r="N123" s="232" t="s">
        <v>9653</v>
      </c>
      <c r="O123" s="167" t="str">
        <f ca="1">IFERROR(__xludf.DUMMYFUNCTION("QUERY('030523 INVENTARIO'!$T$2:$T$1015,""select R where R like  '%""&amp;N123&amp;""%'"")"),"#VALUE!")</f>
        <v>#VALUE!</v>
      </c>
      <c r="S123" s="229" t="s">
        <v>3526</v>
      </c>
      <c r="T123" s="167" t="str">
        <f t="shared" si="0"/>
        <v>649737</v>
      </c>
      <c r="U123" s="167" t="str">
        <f ca="1">IFERROR(__xludf.DUMMYFUNCTION("QUERY('030523 INVENTARIO'!$T$2:$T$1015,""select R where R like  '%""&amp;T123&amp;""%'"")"),"#VALUE!")</f>
        <v>#VALUE!</v>
      </c>
      <c r="X123" s="86" t="s">
        <v>9653</v>
      </c>
      <c r="Y123" s="230" t="str">
        <f t="shared" si="1"/>
        <v>649635</v>
      </c>
      <c r="Z123" s="230" t="str">
        <f ca="1">IFERROR(__xludf.DUMMYFUNCTION("QUERY($S$2:$S$195,""select S where S like '%""&amp;Y123&amp;""%'"")"),"82DJ0511010027000649635")</f>
        <v>82DJ0511010027000649635</v>
      </c>
    </row>
    <row r="124" spans="14:26" ht="15">
      <c r="N124" s="232" t="s">
        <v>8422</v>
      </c>
      <c r="O124" s="167" t="str">
        <f ca="1">IFERROR(__xludf.DUMMYFUNCTION("QUERY('030523 INVENTARIO'!$T$2:$T$1015,""select R where R like  '%""&amp;N124&amp;""%'"")"),"#VALUE!")</f>
        <v>#VALUE!</v>
      </c>
      <c r="S124" s="229" t="s">
        <v>3436</v>
      </c>
      <c r="T124" s="167" t="str">
        <f t="shared" si="0"/>
        <v>649549</v>
      </c>
      <c r="U124" s="167" t="str">
        <f ca="1">IFERROR(__xludf.DUMMYFUNCTION("QUERY('030523 INVENTARIO'!$T$2:$T$1015,""select R where R like  '%""&amp;T124&amp;""%'"")"),"#VALUE!")</f>
        <v>#VALUE!</v>
      </c>
      <c r="X124" s="86" t="s">
        <v>8422</v>
      </c>
      <c r="Y124" s="230" t="str">
        <f t="shared" si="1"/>
        <v>516283</v>
      </c>
      <c r="Z124" s="230" t="str">
        <f ca="1">IFERROR(__xludf.DUMMYFUNCTION("QUERY($S$2:$S$195,""select S where S like '%""&amp;Y124&amp;""%'"")"),"#N/A")</f>
        <v>#N/A</v>
      </c>
    </row>
    <row r="125" spans="14:26" ht="15">
      <c r="N125" s="232" t="s">
        <v>9654</v>
      </c>
      <c r="O125" s="167" t="str">
        <f ca="1">IFERROR(__xludf.DUMMYFUNCTION("QUERY('030523 INVENTARIO'!$T$2:$T$1015,""select R where R like  '%""&amp;N125&amp;""%'"")"),"#VALUE!")</f>
        <v>#VALUE!</v>
      </c>
      <c r="S125" s="229" t="s">
        <v>3396</v>
      </c>
      <c r="T125" s="167" t="str">
        <f t="shared" si="0"/>
        <v>649548</v>
      </c>
      <c r="U125" s="167" t="str">
        <f ca="1">IFERROR(__xludf.DUMMYFUNCTION("QUERY('030523 INVENTARIO'!$T$2:$T$1015,""select R where R like  '%""&amp;T125&amp;""%'"")"),"#VALUE!")</f>
        <v>#VALUE!</v>
      </c>
      <c r="X125" s="86" t="s">
        <v>9654</v>
      </c>
      <c r="Y125" s="230" t="str">
        <f t="shared" si="1"/>
        <v>583323</v>
      </c>
      <c r="Z125" s="230" t="str">
        <f ca="1">IFERROR(__xludf.DUMMYFUNCTION("QUERY($S$2:$S$195,""select S where S like '%""&amp;Y125&amp;""%'"")"),"82DJ0511010005000583323")</f>
        <v>82DJ0511010005000583323</v>
      </c>
    </row>
    <row r="126" spans="14:26" ht="15">
      <c r="N126" s="232" t="s">
        <v>8039</v>
      </c>
      <c r="O126" s="167" t="str">
        <f ca="1">IFERROR(__xludf.DUMMYFUNCTION("QUERY('030523 INVENTARIO'!$T$2:$T$1015,""select R where R like  '%""&amp;N126&amp;""%'"")"),"#VALUE!")</f>
        <v>#VALUE!</v>
      </c>
      <c r="S126" s="170" t="s">
        <v>8361</v>
      </c>
      <c r="T126" s="167" t="str">
        <f t="shared" si="0"/>
        <v>649759</v>
      </c>
      <c r="U126" s="167" t="str">
        <f ca="1">IFERROR(__xludf.DUMMYFUNCTION("QUERY('030523 INVENTARIO'!$T$2:$T$1015,""select R where R like  '%""&amp;T126&amp;""%'"")"),"#VALUE!")</f>
        <v>#VALUE!</v>
      </c>
      <c r="X126" s="86" t="s">
        <v>8039</v>
      </c>
      <c r="Y126" s="230" t="str">
        <f t="shared" si="1"/>
        <v>565751</v>
      </c>
      <c r="Z126" s="230" t="str">
        <f ca="1">IFERROR(__xludf.DUMMYFUNCTION("QUERY($S$2:$S$195,""select S where S like '%""&amp;Y126&amp;""%'"")"),"#N/A")</f>
        <v>#N/A</v>
      </c>
    </row>
    <row r="127" spans="14:26" ht="15">
      <c r="N127" s="231" t="s">
        <v>7698</v>
      </c>
      <c r="O127" s="167" t="str">
        <f ca="1">IFERROR(__xludf.DUMMYFUNCTION("QUERY('030523 INVENTARIO'!$T$2:$T$1015,""select R where R like  '%""&amp;N127&amp;""%'"")"),"#VALUE!")</f>
        <v>#VALUE!</v>
      </c>
      <c r="S127" s="170" t="s">
        <v>9655</v>
      </c>
      <c r="T127" s="167" t="str">
        <f t="shared" si="0"/>
        <v>649684</v>
      </c>
      <c r="U127" s="167" t="str">
        <f ca="1">IFERROR(__xludf.DUMMYFUNCTION("QUERY('030523 INVENTARIO'!$T$2:$T$1015,""select R where R like  '%""&amp;T127&amp;""%'"")"),"#VALUE!")</f>
        <v>#VALUE!</v>
      </c>
      <c r="X127" s="86" t="s">
        <v>7698</v>
      </c>
      <c r="Y127" s="230" t="str">
        <f t="shared" si="1"/>
        <v>535486</v>
      </c>
      <c r="Z127" s="230" t="str">
        <f ca="1">IFERROR(__xludf.DUMMYFUNCTION("QUERY($S$2:$S$195,""select S where S like '%""&amp;Y127&amp;""%'"")"),"#N/A")</f>
        <v>#N/A</v>
      </c>
    </row>
    <row r="128" spans="14:26" ht="15">
      <c r="N128" s="231" t="s">
        <v>8285</v>
      </c>
      <c r="O128" s="167" t="str">
        <f ca="1">IFERROR(__xludf.DUMMYFUNCTION("QUERY('030523 INVENTARIO'!$T$2:$T$1015,""select R where R like  '%""&amp;N128&amp;""%'"")"),"#VALUE!")</f>
        <v>#VALUE!</v>
      </c>
      <c r="S128" s="170" t="s">
        <v>9656</v>
      </c>
      <c r="T128" s="167" t="str">
        <f t="shared" si="0"/>
        <v>649643</v>
      </c>
      <c r="U128" s="167" t="str">
        <f ca="1">IFERROR(__xludf.DUMMYFUNCTION("QUERY('030523 INVENTARIO'!$T$2:$T$1015,""select R where R like  '%""&amp;T128&amp;""%'"")"),"#VALUE!")</f>
        <v>#VALUE!</v>
      </c>
      <c r="X128" s="86" t="s">
        <v>8285</v>
      </c>
      <c r="Y128" s="230" t="str">
        <f t="shared" si="1"/>
        <v>649639</v>
      </c>
      <c r="Z128" s="230" t="str">
        <f ca="1">IFERROR(__xludf.DUMMYFUNCTION("QUERY($S$2:$S$195,""select S where S like '%""&amp;Y128&amp;""%'"")"),"82DJ0511010020000649639")</f>
        <v>82DJ0511010020000649639</v>
      </c>
    </row>
    <row r="129" spans="14:26" ht="15">
      <c r="N129" s="231" t="s">
        <v>8284</v>
      </c>
      <c r="O129" s="167" t="str">
        <f ca="1">IFERROR(__xludf.DUMMYFUNCTION("QUERY('030523 INVENTARIO'!$T$2:$T$1015,""select R where R like  '%""&amp;N129&amp;""%'"")"),"#VALUE!")</f>
        <v>#VALUE!</v>
      </c>
      <c r="S129" s="170" t="s">
        <v>7813</v>
      </c>
      <c r="T129" s="167" t="str">
        <f t="shared" si="0"/>
        <v>539120</v>
      </c>
      <c r="U129" s="167" t="str">
        <f ca="1">IFERROR(__xludf.DUMMYFUNCTION("QUERY('030523 INVENTARIO'!$T$2:$T$1015,""select R where R like  '%""&amp;T129&amp;""%'"")"),"#VALUE!")</f>
        <v>#VALUE!</v>
      </c>
      <c r="X129" s="86" t="s">
        <v>8284</v>
      </c>
      <c r="Y129" s="230" t="str">
        <f t="shared" si="1"/>
        <v>649638</v>
      </c>
      <c r="Z129" s="230" t="str">
        <f ca="1">IFERROR(__xludf.DUMMYFUNCTION("QUERY($S$2:$S$195,""select S where S like '%""&amp;Y129&amp;""%'"")"),"82DJ0511010020000649638")</f>
        <v>82DJ0511010020000649638</v>
      </c>
    </row>
    <row r="130" spans="14:26" ht="15">
      <c r="N130" s="231" t="s">
        <v>8279</v>
      </c>
      <c r="O130" s="167" t="str">
        <f ca="1">IFERROR(__xludf.DUMMYFUNCTION("QUERY('030523 INVENTARIO'!$T$2:$T$1015,""select R where R like  '%""&amp;N130&amp;""%'"")"),"#VALUE!")</f>
        <v>#VALUE!</v>
      </c>
      <c r="S130" s="170" t="s">
        <v>7637</v>
      </c>
      <c r="T130" s="167" t="str">
        <f t="shared" si="0"/>
        <v>530456</v>
      </c>
      <c r="U130" s="167" t="str">
        <f ca="1">IFERROR(__xludf.DUMMYFUNCTION("QUERY('030523 INVENTARIO'!$T$2:$T$1015,""select R where R like  '%""&amp;T130&amp;""%'"")"),"#VALUE!")</f>
        <v>#VALUE!</v>
      </c>
      <c r="X130" s="86" t="s">
        <v>8279</v>
      </c>
      <c r="Y130" s="230" t="str">
        <f t="shared" si="1"/>
        <v>649627</v>
      </c>
      <c r="Z130" s="230" t="str">
        <f ca="1">IFERROR(__xludf.DUMMYFUNCTION("QUERY($S$2:$S$195,""select S where S like '%""&amp;Y130&amp;""%'"")"),"82DJ0511010020000649627")</f>
        <v>82DJ0511010020000649627</v>
      </c>
    </row>
    <row r="131" spans="14:26" ht="15">
      <c r="N131" s="231" t="s">
        <v>8278</v>
      </c>
      <c r="O131" s="167" t="str">
        <f ca="1">IFERROR(__xludf.DUMMYFUNCTION("QUERY('030523 INVENTARIO'!$T$2:$T$1015,""select R where R like  '%""&amp;N131&amp;""%'"")"),"#VALUE!")</f>
        <v>#VALUE!</v>
      </c>
      <c r="S131" s="170" t="s">
        <v>7635</v>
      </c>
      <c r="T131" s="167" t="str">
        <f t="shared" si="0"/>
        <v>530455</v>
      </c>
      <c r="U131" s="167" t="str">
        <f ca="1">IFERROR(__xludf.DUMMYFUNCTION("QUERY('030523 INVENTARIO'!$T$2:$T$1015,""select R where R like  '%""&amp;T131&amp;""%'"")"),"#VALUE!")</f>
        <v>#VALUE!</v>
      </c>
      <c r="X131" s="86" t="s">
        <v>8278</v>
      </c>
      <c r="Y131" s="230" t="str">
        <f t="shared" si="1"/>
        <v>649626</v>
      </c>
      <c r="Z131" s="230" t="str">
        <f ca="1">IFERROR(__xludf.DUMMYFUNCTION("QUERY($S$2:$S$195,""select S where S like '%""&amp;Y131&amp;""%'"")"),"82DJ0511010020000649626")</f>
        <v>82DJ0511010020000649626</v>
      </c>
    </row>
    <row r="132" spans="14:26" ht="15">
      <c r="N132" s="231" t="s">
        <v>8277</v>
      </c>
      <c r="O132" s="167" t="str">
        <f ca="1">IFERROR(__xludf.DUMMYFUNCTION("QUERY('030523 INVENTARIO'!$T$2:$T$1015,""select R where R like  '%""&amp;N132&amp;""%'"")"),"#VALUE!")</f>
        <v>#VALUE!</v>
      </c>
      <c r="S132" s="170" t="s">
        <v>9631</v>
      </c>
      <c r="T132" s="167" t="str">
        <f t="shared" si="0"/>
        <v>566535</v>
      </c>
      <c r="U132" s="167" t="str">
        <f ca="1">IFERROR(__xludf.DUMMYFUNCTION("QUERY('030523 INVENTARIO'!$T$2:$T$1015,""select R where R like  '%""&amp;T132&amp;""%'"")"),"#VALUE!")</f>
        <v>#VALUE!</v>
      </c>
      <c r="X132" s="86" t="s">
        <v>8277</v>
      </c>
      <c r="Y132" s="230" t="str">
        <f t="shared" si="1"/>
        <v>649625</v>
      </c>
      <c r="Z132" s="230" t="str">
        <f ca="1">IFERROR(__xludf.DUMMYFUNCTION("QUERY($S$2:$S$195,""select S where S like '%""&amp;Y132&amp;""%'"")"),"82DJ0511010020000649625")</f>
        <v>82DJ0511010020000649625</v>
      </c>
    </row>
    <row r="133" spans="14:26" ht="15">
      <c r="N133" s="231" t="s">
        <v>8276</v>
      </c>
      <c r="O133" s="167" t="str">
        <f ca="1">IFERROR(__xludf.DUMMYFUNCTION("QUERY('030523 INVENTARIO'!$T$2:$T$1015,""select R where R like  '%""&amp;N133&amp;""%'"")"),"#VALUE!")</f>
        <v>#VALUE!</v>
      </c>
      <c r="S133" s="170" t="s">
        <v>9632</v>
      </c>
      <c r="T133" s="167" t="str">
        <f t="shared" si="0"/>
        <v>579561</v>
      </c>
      <c r="U133" s="167" t="str">
        <f ca="1">IFERROR(__xludf.DUMMYFUNCTION("QUERY('030523 INVENTARIO'!$T$2:$T$1015,""select R where R like  '%""&amp;T133&amp;""%'"")"),"#VALUE!")</f>
        <v>#VALUE!</v>
      </c>
      <c r="X133" s="86" t="s">
        <v>8276</v>
      </c>
      <c r="Y133" s="230" t="str">
        <f t="shared" si="1"/>
        <v>649624</v>
      </c>
      <c r="Z133" s="230" t="str">
        <f ca="1">IFERROR(__xludf.DUMMYFUNCTION("QUERY($S$2:$S$195,""select S where S like '%""&amp;Y133&amp;""%'"")"),"82DJ0511010020000649624")</f>
        <v>82DJ0511010020000649624</v>
      </c>
    </row>
    <row r="134" spans="14:26" ht="15">
      <c r="N134" s="231" t="s">
        <v>8275</v>
      </c>
      <c r="O134" s="167" t="str">
        <f ca="1">IFERROR(__xludf.DUMMYFUNCTION("QUERY('030523 INVENTARIO'!$T$2:$T$1015,""select R where R like  '%""&amp;N134&amp;""%'"")"),"#VALUE!")</f>
        <v>#VALUE!</v>
      </c>
      <c r="S134" s="170" t="s">
        <v>9657</v>
      </c>
      <c r="T134" s="167" t="str">
        <f t="shared" si="0"/>
        <v>651132</v>
      </c>
      <c r="U134" s="167" t="str">
        <f ca="1">IFERROR(__xludf.DUMMYFUNCTION("QUERY('030523 INVENTARIO'!$T$2:$T$1015,""select R where R like  '%""&amp;T134&amp;""%'"")"),"#VALUE!")</f>
        <v>#VALUE!</v>
      </c>
      <c r="X134" s="86" t="s">
        <v>8275</v>
      </c>
      <c r="Y134" s="230" t="str">
        <f t="shared" si="1"/>
        <v>649623</v>
      </c>
      <c r="Z134" s="230" t="str">
        <f ca="1">IFERROR(__xludf.DUMMYFUNCTION("QUERY($S$2:$S$195,""select S where S like '%""&amp;Y134&amp;""%'"")"),"82DJ0511010020000649623")</f>
        <v>82DJ0511010020000649623</v>
      </c>
    </row>
    <row r="135" spans="14:26" ht="15">
      <c r="N135" s="231" t="s">
        <v>8274</v>
      </c>
      <c r="O135" s="167" t="str">
        <f ca="1">IFERROR(__xludf.DUMMYFUNCTION("QUERY('030523 INVENTARIO'!$T$2:$T$1015,""select R where R like  '%""&amp;N135&amp;""%'"")"),"#VALUE!")</f>
        <v>#VALUE!</v>
      </c>
      <c r="S135" s="170" t="s">
        <v>7723</v>
      </c>
      <c r="T135" s="167" t="str">
        <f t="shared" si="0"/>
        <v>537672</v>
      </c>
      <c r="U135" s="167" t="str">
        <f ca="1">IFERROR(__xludf.DUMMYFUNCTION("QUERY('030523 INVENTARIO'!$T$2:$T$1015,""select R where R like  '%""&amp;T135&amp;""%'"")"),"#VALUE!")</f>
        <v>#VALUE!</v>
      </c>
      <c r="X135" s="86" t="s">
        <v>8274</v>
      </c>
      <c r="Y135" s="230" t="str">
        <f t="shared" si="1"/>
        <v>649622</v>
      </c>
      <c r="Z135" s="230" t="str">
        <f ca="1">IFERROR(__xludf.DUMMYFUNCTION("QUERY($S$2:$S$195,""select S where S like '%""&amp;Y135&amp;""%'"")"),"82DJ0511010020000649622")</f>
        <v>82DJ0511010020000649622</v>
      </c>
    </row>
    <row r="136" spans="14:26" ht="15">
      <c r="N136" s="231" t="s">
        <v>8273</v>
      </c>
      <c r="O136" s="167" t="str">
        <f ca="1">IFERROR(__xludf.DUMMYFUNCTION("QUERY('030523 INVENTARIO'!$T$2:$T$1015,""select R where R like  '%""&amp;N136&amp;""%'"")"),"#VALUE!")</f>
        <v>#VALUE!</v>
      </c>
      <c r="S136" s="170" t="s">
        <v>7758</v>
      </c>
      <c r="T136" s="167" t="str">
        <f t="shared" si="0"/>
        <v>539049</v>
      </c>
      <c r="U136" s="167" t="str">
        <f ca="1">IFERROR(__xludf.DUMMYFUNCTION("QUERY('030523 INVENTARIO'!$T$2:$T$1015,""select R where R like  '%""&amp;T136&amp;""%'"")"),"#VALUE!")</f>
        <v>#VALUE!</v>
      </c>
      <c r="X136" s="86" t="s">
        <v>8273</v>
      </c>
      <c r="Y136" s="230" t="str">
        <f t="shared" si="1"/>
        <v>649621</v>
      </c>
      <c r="Z136" s="230" t="str">
        <f ca="1">IFERROR(__xludf.DUMMYFUNCTION("QUERY($S$2:$S$195,""select S where S like '%""&amp;Y136&amp;""%'"")"),"82DJ0511010020000649621")</f>
        <v>82DJ0511010020000649621</v>
      </c>
    </row>
    <row r="137" spans="14:26" ht="15">
      <c r="N137" s="231" t="s">
        <v>8272</v>
      </c>
      <c r="O137" s="167" t="str">
        <f ca="1">IFERROR(__xludf.DUMMYFUNCTION("QUERY('030523 INVENTARIO'!$T$2:$T$1015,""select R where R like  '%""&amp;N137&amp;""%'"")"),"#VALUE!")</f>
        <v>#VALUE!</v>
      </c>
      <c r="S137" s="170" t="s">
        <v>9641</v>
      </c>
      <c r="T137" s="167" t="str">
        <f t="shared" si="0"/>
        <v>515365</v>
      </c>
      <c r="U137" s="167" t="str">
        <f ca="1">IFERROR(__xludf.DUMMYFUNCTION("QUERY('030523 INVENTARIO'!$T$2:$T$1015,""select R where R like  '%""&amp;T137&amp;""%'"")"),"#VALUE!")</f>
        <v>#VALUE!</v>
      </c>
      <c r="X137" s="86" t="s">
        <v>8272</v>
      </c>
      <c r="Y137" s="230" t="str">
        <f t="shared" si="1"/>
        <v>649620</v>
      </c>
      <c r="Z137" s="230" t="str">
        <f ca="1">IFERROR(__xludf.DUMMYFUNCTION("QUERY($S$2:$S$195,""select S where S like '%""&amp;Y137&amp;""%'"")"),"82DJ0511010020000649620")</f>
        <v>82DJ0511010020000649620</v>
      </c>
    </row>
    <row r="138" spans="14:26" ht="15">
      <c r="N138" s="231" t="s">
        <v>8271</v>
      </c>
      <c r="O138" s="167" t="str">
        <f ca="1">IFERROR(__xludf.DUMMYFUNCTION("QUERY('030523 INVENTARIO'!$T$2:$T$1015,""select R where R like  '%""&amp;N138&amp;""%'"")"),"#VALUE!")</f>
        <v>#VALUE!</v>
      </c>
      <c r="S138" s="170" t="s">
        <v>7242</v>
      </c>
      <c r="T138" s="167" t="str">
        <f t="shared" si="0"/>
        <v>564543</v>
      </c>
      <c r="U138" s="167" t="str">
        <f ca="1">IFERROR(__xludf.DUMMYFUNCTION("QUERY('030523 INVENTARIO'!$T$2:$T$1015,""select R where R like  '%""&amp;T138&amp;""%'"")"),"#VALUE!")</f>
        <v>#VALUE!</v>
      </c>
      <c r="X138" s="86" t="s">
        <v>8271</v>
      </c>
      <c r="Y138" s="230" t="str">
        <f t="shared" si="1"/>
        <v>649619</v>
      </c>
      <c r="Z138" s="230" t="str">
        <f ca="1">IFERROR(__xludf.DUMMYFUNCTION("QUERY($S$2:$S$195,""select S where S like '%""&amp;Y138&amp;""%'"")"),"82DJ0511010020000649619")</f>
        <v>82DJ0511010020000649619</v>
      </c>
    </row>
    <row r="139" spans="14:26" ht="15">
      <c r="N139" s="231" t="s">
        <v>8270</v>
      </c>
      <c r="O139" s="167" t="str">
        <f ca="1">IFERROR(__xludf.DUMMYFUNCTION("QUERY('030523 INVENTARIO'!$T$2:$T$1015,""select R where R like  '%""&amp;N139&amp;""%'"")"),"#VALUE!")</f>
        <v>#VALUE!</v>
      </c>
      <c r="S139" s="170" t="s">
        <v>9630</v>
      </c>
      <c r="T139" s="167" t="str">
        <f t="shared" si="0"/>
        <v>515317</v>
      </c>
      <c r="U139" s="167" t="str">
        <f ca="1">IFERROR(__xludf.DUMMYFUNCTION("QUERY('030523 INVENTARIO'!$T$2:$T$1015,""select R where R like  '%""&amp;T139&amp;""%'"")"),"#VALUE!")</f>
        <v>#VALUE!</v>
      </c>
      <c r="X139" s="86" t="s">
        <v>8270</v>
      </c>
      <c r="Y139" s="230" t="str">
        <f t="shared" si="1"/>
        <v>649618</v>
      </c>
      <c r="Z139" s="230" t="str">
        <f ca="1">IFERROR(__xludf.DUMMYFUNCTION("QUERY($S$2:$S$195,""select S where S like '%""&amp;Y139&amp;""%'"")"),"82DJ0511010020000649618")</f>
        <v>82DJ0511010020000649618</v>
      </c>
    </row>
    <row r="140" spans="14:26" ht="15">
      <c r="N140" s="231" t="s">
        <v>8269</v>
      </c>
      <c r="O140" s="167" t="str">
        <f ca="1">IFERROR(__xludf.DUMMYFUNCTION("QUERY('030523 INVENTARIO'!$T$2:$T$1015,""select R where R like  '%""&amp;N140&amp;""%'"")"),"#VALUE!")</f>
        <v>#VALUE!</v>
      </c>
      <c r="S140" s="170" t="s">
        <v>7241</v>
      </c>
      <c r="T140" s="167" t="str">
        <f t="shared" si="0"/>
        <v>515364</v>
      </c>
      <c r="U140" s="167" t="str">
        <f ca="1">IFERROR(__xludf.DUMMYFUNCTION("QUERY('030523 INVENTARIO'!$T$2:$T$1015,""select R where R like  '%""&amp;T140&amp;""%'"")"),"#VALUE!")</f>
        <v>#VALUE!</v>
      </c>
      <c r="X140" s="86" t="s">
        <v>8269</v>
      </c>
      <c r="Y140" s="230" t="str">
        <f t="shared" si="1"/>
        <v>649617</v>
      </c>
      <c r="Z140" s="230" t="str">
        <f ca="1">IFERROR(__xludf.DUMMYFUNCTION("QUERY($S$2:$S$195,""select S where S like '%""&amp;Y140&amp;""%'"")"),"82DJ0511010020000649617")</f>
        <v>82DJ0511010020000649617</v>
      </c>
    </row>
    <row r="141" spans="14:26" ht="15">
      <c r="N141" s="231" t="s">
        <v>8268</v>
      </c>
      <c r="O141" s="167" t="str">
        <f ca="1">IFERROR(__xludf.DUMMYFUNCTION("QUERY('030523 INVENTARIO'!$T$2:$T$1015,""select R where R like  '%""&amp;N141&amp;""%'"")"),"#VALUE!")</f>
        <v>#VALUE!</v>
      </c>
      <c r="S141" s="170" t="s">
        <v>9627</v>
      </c>
      <c r="T141" s="167" t="str">
        <f t="shared" si="0"/>
        <v>516043</v>
      </c>
      <c r="U141" s="167" t="str">
        <f ca="1">IFERROR(__xludf.DUMMYFUNCTION("QUERY('030523 INVENTARIO'!$T$2:$T$1015,""select R where R like  '%""&amp;T141&amp;""%'"")"),"#VALUE!")</f>
        <v>#VALUE!</v>
      </c>
      <c r="X141" s="86" t="s">
        <v>8268</v>
      </c>
      <c r="Y141" s="230" t="str">
        <f t="shared" si="1"/>
        <v>649616</v>
      </c>
      <c r="Z141" s="230" t="str">
        <f ca="1">IFERROR(__xludf.DUMMYFUNCTION("QUERY($S$2:$S$195,""select S where S like '%""&amp;Y141&amp;""%'"")"),"82DJ0511010020000649616")</f>
        <v>82DJ0511010020000649616</v>
      </c>
    </row>
    <row r="142" spans="14:26" ht="15">
      <c r="N142" s="231" t="s">
        <v>8267</v>
      </c>
      <c r="O142" s="167" t="str">
        <f ca="1">IFERROR(__xludf.DUMMYFUNCTION("QUERY('030523 INVENTARIO'!$T$2:$T$1015,""select R where R like  '%""&amp;N142&amp;""%'"")"),"#VALUE!")</f>
        <v>#VALUE!</v>
      </c>
      <c r="S142" s="170" t="s">
        <v>9626</v>
      </c>
      <c r="T142" s="167" t="str">
        <f t="shared" si="0"/>
        <v>522284</v>
      </c>
      <c r="U142" s="167" t="str">
        <f ca="1">IFERROR(__xludf.DUMMYFUNCTION("QUERY('030523 INVENTARIO'!$T$2:$T$1015,""select R where R like  '%""&amp;T142&amp;""%'"")"),"#VALUE!")</f>
        <v>#VALUE!</v>
      </c>
      <c r="X142" s="86" t="s">
        <v>8267</v>
      </c>
      <c r="Y142" s="230" t="str">
        <f t="shared" si="1"/>
        <v>649615</v>
      </c>
      <c r="Z142" s="230" t="str">
        <f ca="1">IFERROR(__xludf.DUMMYFUNCTION("QUERY($S$2:$S$195,""select S where S like '%""&amp;Y142&amp;""%'"")"),"82DJ0511010020000649615")</f>
        <v>82DJ0511010020000649615</v>
      </c>
    </row>
    <row r="143" spans="14:26" ht="15">
      <c r="N143" s="231" t="s">
        <v>8266</v>
      </c>
      <c r="O143" s="167" t="str">
        <f ca="1">IFERROR(__xludf.DUMMYFUNCTION("QUERY('030523 INVENTARIO'!$T$2:$T$1015,""select R where R like  '%""&amp;N143&amp;""%'"")"),"#VALUE!")</f>
        <v>#VALUE!</v>
      </c>
      <c r="S143" s="170" t="s">
        <v>7587</v>
      </c>
      <c r="T143" s="167" t="str">
        <f t="shared" si="0"/>
        <v>522285</v>
      </c>
      <c r="U143" s="167" t="str">
        <f ca="1">IFERROR(__xludf.DUMMYFUNCTION("QUERY('030523 INVENTARIO'!$T$2:$T$1015,""select R where R like  '%""&amp;T143&amp;""%'"")"),"#VALUE!")</f>
        <v>#VALUE!</v>
      </c>
      <c r="X143" s="86" t="s">
        <v>8266</v>
      </c>
      <c r="Y143" s="230" t="str">
        <f t="shared" si="1"/>
        <v>649614</v>
      </c>
      <c r="Z143" s="230" t="str">
        <f ca="1">IFERROR(__xludf.DUMMYFUNCTION("QUERY($S$2:$S$195,""select S where S like '%""&amp;Y143&amp;""%'"")"),"82DJ0511010020000649614")</f>
        <v>82DJ0511010020000649614</v>
      </c>
    </row>
    <row r="144" spans="14:26" ht="15">
      <c r="N144" s="231" t="s">
        <v>8265</v>
      </c>
      <c r="O144" s="167" t="str">
        <f ca="1">IFERROR(__xludf.DUMMYFUNCTION("QUERY('030523 INVENTARIO'!$T$2:$T$1015,""select R where R like  '%""&amp;N144&amp;""%'"")"),"#VALUE!")</f>
        <v>#VALUE!</v>
      </c>
      <c r="S144" s="170" t="s">
        <v>7725</v>
      </c>
      <c r="T144" s="167" t="str">
        <f t="shared" si="0"/>
        <v>537738</v>
      </c>
      <c r="U144" s="167" t="str">
        <f ca="1">IFERROR(__xludf.DUMMYFUNCTION("QUERY('030523 INVENTARIO'!$T$2:$T$1015,""select R where R like  '%""&amp;T144&amp;""%'"")"),"#VALUE!")</f>
        <v>#VALUE!</v>
      </c>
      <c r="X144" s="86" t="s">
        <v>8265</v>
      </c>
      <c r="Y144" s="230" t="str">
        <f t="shared" si="1"/>
        <v>649613</v>
      </c>
      <c r="Z144" s="230" t="str">
        <f ca="1">IFERROR(__xludf.DUMMYFUNCTION("QUERY($S$2:$S$195,""select S where S like '%""&amp;Y144&amp;""%'"")"),"82DJ0511010020000649613")</f>
        <v>82DJ0511010020000649613</v>
      </c>
    </row>
    <row r="145" spans="14:26" ht="15">
      <c r="N145" s="231" t="s">
        <v>8264</v>
      </c>
      <c r="O145" s="167" t="str">
        <f ca="1">IFERROR(__xludf.DUMMYFUNCTION("QUERY('030523 INVENTARIO'!$T$2:$T$1015,""select R where R like  '%""&amp;N145&amp;""%'"")"),"#VALUE!")</f>
        <v>#VALUE!</v>
      </c>
      <c r="S145" s="170" t="s">
        <v>7727</v>
      </c>
      <c r="T145" s="167" t="str">
        <f t="shared" si="0"/>
        <v>538163</v>
      </c>
      <c r="U145" s="167" t="str">
        <f ca="1">IFERROR(__xludf.DUMMYFUNCTION("QUERY('030523 INVENTARIO'!$T$2:$T$1015,""select R where R like  '%""&amp;T145&amp;""%'"")"),"#VALUE!")</f>
        <v>#VALUE!</v>
      </c>
      <c r="X145" s="86" t="s">
        <v>8264</v>
      </c>
      <c r="Y145" s="230" t="str">
        <f t="shared" si="1"/>
        <v>649612</v>
      </c>
      <c r="Z145" s="230" t="str">
        <f ca="1">IFERROR(__xludf.DUMMYFUNCTION("QUERY($S$2:$S$195,""select S where S like '%""&amp;Y145&amp;""%'"")"),"82DJ0511010020000649612")</f>
        <v>82DJ0511010020000649612</v>
      </c>
    </row>
    <row r="146" spans="14:26" ht="15">
      <c r="N146" s="231" t="s">
        <v>8263</v>
      </c>
      <c r="O146" s="167" t="str">
        <f ca="1">IFERROR(__xludf.DUMMYFUNCTION("QUERY('030523 INVENTARIO'!$T$2:$T$1015,""select R where R like  '%""&amp;N146&amp;""%'"")"),"#VALUE!")</f>
        <v>#VALUE!</v>
      </c>
      <c r="S146" s="170" t="s">
        <v>9628</v>
      </c>
      <c r="T146" s="167" t="str">
        <f t="shared" si="0"/>
        <v>539065</v>
      </c>
      <c r="U146" s="167" t="str">
        <f ca="1">IFERROR(__xludf.DUMMYFUNCTION("QUERY('030523 INVENTARIO'!$T$2:$T$1015,""select R where R like  '%""&amp;T146&amp;""%'"")"),"#VALUE!")</f>
        <v>#VALUE!</v>
      </c>
      <c r="X146" s="86" t="s">
        <v>8263</v>
      </c>
      <c r="Y146" s="230" t="str">
        <f t="shared" si="1"/>
        <v>649611</v>
      </c>
      <c r="Z146" s="230" t="str">
        <f ca="1">IFERROR(__xludf.DUMMYFUNCTION("QUERY($S$2:$S$195,""select S where S like '%""&amp;Y146&amp;""%'"")"),"82DJ0511010020000649611")</f>
        <v>82DJ0511010020000649611</v>
      </c>
    </row>
    <row r="147" spans="14:26" ht="15">
      <c r="N147" s="231" t="s">
        <v>8262</v>
      </c>
      <c r="O147" s="167" t="str">
        <f ca="1">IFERROR(__xludf.DUMMYFUNCTION("QUERY('030523 INVENTARIO'!$T$2:$T$1015,""select R where R like  '%""&amp;N147&amp;""%'"")"),"#VALUE!")</f>
        <v>#VALUE!</v>
      </c>
      <c r="S147" s="170" t="s">
        <v>7769</v>
      </c>
      <c r="T147" s="167" t="str">
        <f t="shared" si="0"/>
        <v>539068</v>
      </c>
      <c r="U147" s="167" t="str">
        <f ca="1">IFERROR(__xludf.DUMMYFUNCTION("QUERY('030523 INVENTARIO'!$T$2:$T$1015,""select R where R like  '%""&amp;T147&amp;""%'"")"),"#VALUE!")</f>
        <v>#VALUE!</v>
      </c>
      <c r="X147" s="86" t="s">
        <v>8262</v>
      </c>
      <c r="Y147" s="230" t="str">
        <f t="shared" si="1"/>
        <v>649610</v>
      </c>
      <c r="Z147" s="230" t="str">
        <f ca="1">IFERROR(__xludf.DUMMYFUNCTION("QUERY($S$2:$S$195,""select S where S like '%""&amp;Y147&amp;""%'"")"),"82DJ0511010020000649610")</f>
        <v>82DJ0511010020000649610</v>
      </c>
    </row>
    <row r="148" spans="14:26" ht="15">
      <c r="N148" s="231" t="s">
        <v>8261</v>
      </c>
      <c r="O148" s="167" t="str">
        <f ca="1">IFERROR(__xludf.DUMMYFUNCTION("QUERY('030523 INVENTARIO'!$T$2:$T$1015,""select R where R like  '%""&amp;N148&amp;""%'"")"),"#VALUE!")</f>
        <v>#VALUE!</v>
      </c>
      <c r="S148" s="170" t="s">
        <v>9638</v>
      </c>
      <c r="T148" s="167" t="str">
        <f t="shared" si="0"/>
        <v>539071</v>
      </c>
      <c r="U148" s="167" t="str">
        <f ca="1">IFERROR(__xludf.DUMMYFUNCTION("QUERY('030523 INVENTARIO'!$T$2:$T$1015,""select R where R like  '%""&amp;T148&amp;""%'"")"),"#VALUE!")</f>
        <v>#VALUE!</v>
      </c>
      <c r="X148" s="86" t="s">
        <v>8261</v>
      </c>
      <c r="Y148" s="230" t="str">
        <f t="shared" si="1"/>
        <v>649609</v>
      </c>
      <c r="Z148" s="230" t="str">
        <f ca="1">IFERROR(__xludf.DUMMYFUNCTION("QUERY($S$2:$S$195,""select S where S like '%""&amp;Y148&amp;""%'"")"),"82DJ0511010020000649609")</f>
        <v>82DJ0511010020000649609</v>
      </c>
    </row>
    <row r="149" spans="14:26" ht="15">
      <c r="N149" s="231" t="s">
        <v>8260</v>
      </c>
      <c r="O149" s="167" t="str">
        <f ca="1">IFERROR(__xludf.DUMMYFUNCTION("QUERY('030523 INVENTARIO'!$T$2:$T$1015,""select R where R like  '%""&amp;N149&amp;""%'"")"),"#VALUE!")</f>
        <v>#VALUE!</v>
      </c>
      <c r="S149" s="170" t="s">
        <v>9629</v>
      </c>
      <c r="T149" s="167" t="str">
        <f t="shared" si="0"/>
        <v>564571</v>
      </c>
      <c r="U149" s="167" t="str">
        <f ca="1">IFERROR(__xludf.DUMMYFUNCTION("QUERY('030523 INVENTARIO'!$T$2:$T$1015,""select R where R like  '%""&amp;T149&amp;""%'"")"),"#VALUE!")</f>
        <v>#VALUE!</v>
      </c>
      <c r="X149" s="86" t="s">
        <v>8260</v>
      </c>
      <c r="Y149" s="230" t="str">
        <f t="shared" si="1"/>
        <v>649608</v>
      </c>
      <c r="Z149" s="230" t="str">
        <f ca="1">IFERROR(__xludf.DUMMYFUNCTION("QUERY($S$2:$S$195,""select S where S like '%""&amp;Y149&amp;""%'"")"),"82DJ0511010020000649608")</f>
        <v>82DJ0511010020000649608</v>
      </c>
    </row>
    <row r="150" spans="14:26" ht="15">
      <c r="N150" s="231" t="s">
        <v>8259</v>
      </c>
      <c r="O150" s="167" t="str">
        <f ca="1">IFERROR(__xludf.DUMMYFUNCTION("QUERY('030523 INVENTARIO'!$T$2:$T$1015,""select R where R like  '%""&amp;N150&amp;""%'"")"),"#VALUE!")</f>
        <v>#VALUE!</v>
      </c>
      <c r="S150" s="170" t="s">
        <v>9658</v>
      </c>
      <c r="T150" s="167" t="str">
        <f t="shared" si="0"/>
        <v>649686</v>
      </c>
      <c r="U150" s="167" t="str">
        <f ca="1">IFERROR(__xludf.DUMMYFUNCTION("QUERY('030523 INVENTARIO'!$T$2:$T$1015,""select R where R like  '%""&amp;T150&amp;""%'"")"),"#VALUE!")</f>
        <v>#VALUE!</v>
      </c>
      <c r="X150" s="86" t="s">
        <v>8259</v>
      </c>
      <c r="Y150" s="230" t="str">
        <f t="shared" si="1"/>
        <v>649607</v>
      </c>
      <c r="Z150" s="230" t="str">
        <f ca="1">IFERROR(__xludf.DUMMYFUNCTION("QUERY($S$2:$S$195,""select S where S like '%""&amp;Y150&amp;""%'"")"),"82DJ0511010020000649607")</f>
        <v>82DJ0511010020000649607</v>
      </c>
    </row>
    <row r="151" spans="14:26" ht="15">
      <c r="N151" s="231" t="s">
        <v>8258</v>
      </c>
      <c r="O151" s="167" t="str">
        <f ca="1">IFERROR(__xludf.DUMMYFUNCTION("QUERY('030523 INVENTARIO'!$T$2:$T$1015,""select R where R like  '%""&amp;N151&amp;""%'"")"),"#VALUE!")</f>
        <v>#VALUE!</v>
      </c>
      <c r="S151" s="170" t="s">
        <v>8327</v>
      </c>
      <c r="T151" s="167" t="str">
        <f t="shared" si="0"/>
        <v>649687</v>
      </c>
      <c r="U151" s="167" t="str">
        <f ca="1">IFERROR(__xludf.DUMMYFUNCTION("QUERY('030523 INVENTARIO'!$T$2:$T$1015,""select R where R like  '%""&amp;T151&amp;""%'"")"),"#VALUE!")</f>
        <v>#VALUE!</v>
      </c>
      <c r="X151" s="86" t="s">
        <v>8258</v>
      </c>
      <c r="Y151" s="230" t="str">
        <f t="shared" si="1"/>
        <v>649606</v>
      </c>
      <c r="Z151" s="230" t="str">
        <f ca="1">IFERROR(__xludf.DUMMYFUNCTION("QUERY($S$2:$S$195,""select S where S like '%""&amp;Y151&amp;""%'"")"),"82DJ0511010020000649606")</f>
        <v>82DJ0511010020000649606</v>
      </c>
    </row>
    <row r="152" spans="14:26" ht="15">
      <c r="N152" s="231" t="s">
        <v>8257</v>
      </c>
      <c r="O152" s="167" t="str">
        <f ca="1">IFERROR(__xludf.DUMMYFUNCTION("QUERY('030523 INVENTARIO'!$T$2:$T$1015,""select R where R like  '%""&amp;N152&amp;""%'"")"),"#VALUE!")</f>
        <v>#VALUE!</v>
      </c>
      <c r="S152" s="170" t="s">
        <v>9659</v>
      </c>
      <c r="T152" s="167" t="str">
        <f t="shared" si="0"/>
        <v>651125</v>
      </c>
      <c r="U152" s="167" t="str">
        <f ca="1">IFERROR(__xludf.DUMMYFUNCTION("QUERY('030523 INVENTARIO'!$T$2:$T$1015,""select R where R like  '%""&amp;T152&amp;""%'"")"),"#VALUE!")</f>
        <v>#VALUE!</v>
      </c>
      <c r="X152" s="86" t="s">
        <v>8257</v>
      </c>
      <c r="Y152" s="230" t="str">
        <f t="shared" si="1"/>
        <v>649605</v>
      </c>
      <c r="Z152" s="230" t="str">
        <f ca="1">IFERROR(__xludf.DUMMYFUNCTION("QUERY($S$2:$S$195,""select S where S like '%""&amp;Y152&amp;""%'"")"),"82DJ0511010020000649605")</f>
        <v>82DJ0511010020000649605</v>
      </c>
    </row>
    <row r="153" spans="14:26" ht="15">
      <c r="N153" s="231" t="s">
        <v>8256</v>
      </c>
      <c r="O153" s="167" t="str">
        <f ca="1">IFERROR(__xludf.DUMMYFUNCTION("QUERY('030523 INVENTARIO'!$T$2:$T$1015,""select R where R like  '%""&amp;N153&amp;""%'"")"),"#VALUE!")</f>
        <v>#VALUE!</v>
      </c>
      <c r="S153" s="170" t="s">
        <v>7415</v>
      </c>
      <c r="T153" s="167" t="str">
        <f t="shared" si="0"/>
        <v>515490</v>
      </c>
      <c r="U153" s="167" t="str">
        <f ca="1">IFERROR(__xludf.DUMMYFUNCTION("QUERY('030523 INVENTARIO'!$T$2:$T$1015,""select R where R like  '%""&amp;T153&amp;""%'"")"),"#VALUE!")</f>
        <v>#VALUE!</v>
      </c>
      <c r="X153" s="86" t="s">
        <v>8256</v>
      </c>
      <c r="Y153" s="230" t="str">
        <f t="shared" si="1"/>
        <v>649604</v>
      </c>
      <c r="Z153" s="230" t="str">
        <f ca="1">IFERROR(__xludf.DUMMYFUNCTION("QUERY($S$2:$S$195,""select S where S like '%""&amp;Y153&amp;""%'"")"),"82DJ0511010020000649604")</f>
        <v>82DJ0511010020000649604</v>
      </c>
    </row>
    <row r="154" spans="14:26" ht="15">
      <c r="N154" s="231" t="s">
        <v>8255</v>
      </c>
      <c r="O154" s="167" t="str">
        <f ca="1">IFERROR(__xludf.DUMMYFUNCTION("QUERY('030523 INVENTARIO'!$T$2:$T$1015,""select R where R like  '%""&amp;N154&amp;""%'"")"),"#VALUE!")</f>
        <v>#VALUE!</v>
      </c>
      <c r="S154" s="170" t="s">
        <v>7274</v>
      </c>
      <c r="T154" s="167" t="str">
        <f t="shared" si="0"/>
        <v>649634</v>
      </c>
      <c r="U154" s="167" t="str">
        <f ca="1">IFERROR(__xludf.DUMMYFUNCTION("QUERY('030523 INVENTARIO'!$T$2:$T$1015,""select R where R like  '%""&amp;T154&amp;""%'"")"),"#VALUE!")</f>
        <v>#VALUE!</v>
      </c>
      <c r="X154" s="86" t="s">
        <v>8255</v>
      </c>
      <c r="Y154" s="230" t="str">
        <f t="shared" si="1"/>
        <v>649603</v>
      </c>
      <c r="Z154" s="230" t="str">
        <f ca="1">IFERROR(__xludf.DUMMYFUNCTION("QUERY($S$2:$S$195,""select S where S like '%""&amp;Y154&amp;""%'"")"),"82DJ0511010020000649603")</f>
        <v>82DJ0511010020000649603</v>
      </c>
    </row>
    <row r="155" spans="14:26" ht="15">
      <c r="N155" s="231" t="s">
        <v>8254</v>
      </c>
      <c r="O155" s="167" t="str">
        <f ca="1">IFERROR(__xludf.DUMMYFUNCTION("QUERY('030523 INVENTARIO'!$T$2:$T$1015,""select R where R like  '%""&amp;N155&amp;""%'"")"),"#VALUE!")</f>
        <v>#VALUE!</v>
      </c>
      <c r="S155" s="170" t="s">
        <v>9660</v>
      </c>
      <c r="T155" s="167" t="str">
        <f t="shared" si="0"/>
        <v>649677</v>
      </c>
      <c r="U155" s="167" t="str">
        <f ca="1">IFERROR(__xludf.DUMMYFUNCTION("QUERY('030523 INVENTARIO'!$T$2:$T$1015,""select R where R like  '%""&amp;T155&amp;""%'"")"),"#VALUE!")</f>
        <v>#VALUE!</v>
      </c>
      <c r="X155" s="86" t="s">
        <v>8254</v>
      </c>
      <c r="Y155" s="230" t="str">
        <f t="shared" si="1"/>
        <v>649602</v>
      </c>
      <c r="Z155" s="230" t="str">
        <f ca="1">IFERROR(__xludf.DUMMYFUNCTION("QUERY($S$2:$S$195,""select S where S like '%""&amp;Y155&amp;""%'"")"),"82DJ0511010020000649602")</f>
        <v>82DJ0511010020000649602</v>
      </c>
    </row>
    <row r="156" spans="14:26" ht="15">
      <c r="N156" s="231" t="s">
        <v>8253</v>
      </c>
      <c r="O156" s="167" t="str">
        <f ca="1">IFERROR(__xludf.DUMMYFUNCTION("QUERY('030523 INVENTARIO'!$T$2:$T$1015,""select R where R like  '%""&amp;N156&amp;""%'"")"),"#VALUE!")</f>
        <v>#VALUE!</v>
      </c>
      <c r="S156" s="229" t="s">
        <v>3383</v>
      </c>
      <c r="T156" s="167" t="str">
        <f t="shared" si="0"/>
        <v>650901</v>
      </c>
      <c r="U156" s="167" t="str">
        <f ca="1">IFERROR(__xludf.DUMMYFUNCTION("QUERY('030523 INVENTARIO'!$T$2:$T$1015,""select R where R like  '%""&amp;T156&amp;""%'"")"),"#VALUE!")</f>
        <v>#VALUE!</v>
      </c>
      <c r="X156" s="86" t="s">
        <v>8253</v>
      </c>
      <c r="Y156" s="230" t="str">
        <f t="shared" si="1"/>
        <v>649601</v>
      </c>
      <c r="Z156" s="230" t="str">
        <f ca="1">IFERROR(__xludf.DUMMYFUNCTION("QUERY($S$2:$S$195,""select S where S like '%""&amp;Y156&amp;""%'"")"),"82DJ0511010020000649601")</f>
        <v>82DJ0511010020000649601</v>
      </c>
    </row>
    <row r="157" spans="14:26" ht="15">
      <c r="N157" s="231" t="s">
        <v>8252</v>
      </c>
      <c r="O157" s="167" t="str">
        <f ca="1">IFERROR(__xludf.DUMMYFUNCTION("QUERY('030523 INVENTARIO'!$T$2:$T$1015,""select R where R like  '%""&amp;N157&amp;""%'"")"),"#VALUE!")</f>
        <v>#VALUE!</v>
      </c>
      <c r="S157" s="229" t="s">
        <v>362</v>
      </c>
      <c r="T157" s="167" t="str">
        <f t="shared" si="0"/>
        <v>650900</v>
      </c>
      <c r="U157" s="167" t="str">
        <f ca="1">IFERROR(__xludf.DUMMYFUNCTION("QUERY('030523 INVENTARIO'!$T$2:$T$1015,""select R where R like  '%""&amp;T157&amp;""%'"")"),"#VALUE!")</f>
        <v>#VALUE!</v>
      </c>
      <c r="X157" s="86" t="s">
        <v>8252</v>
      </c>
      <c r="Y157" s="230" t="str">
        <f t="shared" si="1"/>
        <v>649600</v>
      </c>
      <c r="Z157" s="230" t="str">
        <f ca="1">IFERROR(__xludf.DUMMYFUNCTION("QUERY($S$2:$S$195,""select S where S like '%""&amp;Y157&amp;""%'"")"),"82DJ0511010020000649600")</f>
        <v>82DJ0511010020000649600</v>
      </c>
    </row>
    <row r="158" spans="14:26" ht="15">
      <c r="N158" s="231" t="s">
        <v>8251</v>
      </c>
      <c r="O158" s="167" t="str">
        <f ca="1">IFERROR(__xludf.DUMMYFUNCTION("QUERY('030523 INVENTARIO'!$T$2:$T$1015,""select R where R like  '%""&amp;N158&amp;""%'"")"),"#VALUE!")</f>
        <v>#VALUE!</v>
      </c>
      <c r="S158" s="170" t="s">
        <v>9624</v>
      </c>
      <c r="T158" s="167" t="str">
        <f t="shared" si="0"/>
        <v>542043</v>
      </c>
      <c r="U158" s="167" t="str">
        <f ca="1">IFERROR(__xludf.DUMMYFUNCTION("QUERY('030523 INVENTARIO'!$T$2:$T$1015,""select R where R like  '%""&amp;T158&amp;""%'"")"),"#VALUE!")</f>
        <v>#VALUE!</v>
      </c>
      <c r="X158" s="86" t="s">
        <v>8251</v>
      </c>
      <c r="Y158" s="230" t="str">
        <f t="shared" si="1"/>
        <v>649599</v>
      </c>
      <c r="Z158" s="230" t="str">
        <f ca="1">IFERROR(__xludf.DUMMYFUNCTION("QUERY($S$2:$S$195,""select S where S like '%""&amp;Y158&amp;""%'"")"),"82DJ0511010020000649599")</f>
        <v>82DJ0511010020000649599</v>
      </c>
    </row>
    <row r="159" spans="14:26" ht="15">
      <c r="N159" s="231" t="s">
        <v>8250</v>
      </c>
      <c r="O159" s="167" t="str">
        <f ca="1">IFERROR(__xludf.DUMMYFUNCTION("QUERY('030523 INVENTARIO'!$T$2:$T$1015,""select R where R like  '%""&amp;N159&amp;""%'"")"),"#VALUE!")</f>
        <v>#VALUE!</v>
      </c>
      <c r="S159" s="170" t="s">
        <v>8204</v>
      </c>
      <c r="T159" s="167" t="str">
        <f t="shared" si="0"/>
        <v>649504</v>
      </c>
      <c r="U159" s="167" t="str">
        <f ca="1">IFERROR(__xludf.DUMMYFUNCTION("QUERY('030523 INVENTARIO'!$T$2:$T$1015,""select R where R like  '%""&amp;T159&amp;""%'"")"),"#VALUE!")</f>
        <v>#VALUE!</v>
      </c>
      <c r="X159" s="86" t="s">
        <v>8250</v>
      </c>
      <c r="Y159" s="230" t="str">
        <f t="shared" si="1"/>
        <v>649598</v>
      </c>
      <c r="Z159" s="230" t="str">
        <f ca="1">IFERROR(__xludf.DUMMYFUNCTION("QUERY($S$2:$S$195,""select S where S like '%""&amp;Y159&amp;""%'"")"),"82DJ0511010020000649598")</f>
        <v>82DJ0511010020000649598</v>
      </c>
    </row>
    <row r="160" spans="14:26" ht="15">
      <c r="N160" s="231" t="s">
        <v>8249</v>
      </c>
      <c r="O160" s="167" t="str">
        <f ca="1">IFERROR(__xludf.DUMMYFUNCTION("QUERY('030523 INVENTARIO'!$T$2:$T$1015,""select R where R like  '%""&amp;N160&amp;""%'"")"),"#VALUE!")</f>
        <v>#VALUE!</v>
      </c>
      <c r="S160" s="170" t="s">
        <v>9661</v>
      </c>
      <c r="T160" s="167" t="str">
        <f t="shared" si="0"/>
        <v>649678</v>
      </c>
      <c r="U160" s="167" t="str">
        <f ca="1">IFERROR(__xludf.DUMMYFUNCTION("QUERY('030523 INVENTARIO'!$T$2:$T$1015,""select R where R like  '%""&amp;T160&amp;""%'"")"),"#VALUE!")</f>
        <v>#VALUE!</v>
      </c>
      <c r="X160" s="86" t="s">
        <v>8249</v>
      </c>
      <c r="Y160" s="230" t="str">
        <f t="shared" si="1"/>
        <v>649597</v>
      </c>
      <c r="Z160" s="230" t="str">
        <f ca="1">IFERROR(__xludf.DUMMYFUNCTION("QUERY($S$2:$S$195,""select S where S like '%""&amp;Y160&amp;""%'"")"),"82DJ0511010020000649597")</f>
        <v>82DJ0511010020000649597</v>
      </c>
    </row>
    <row r="161" spans="14:26" ht="15">
      <c r="N161" s="231" t="s">
        <v>8248</v>
      </c>
      <c r="O161" s="167" t="str">
        <f ca="1">IFERROR(__xludf.DUMMYFUNCTION("QUERY('030523 INVENTARIO'!$T$2:$T$1015,""select R where R like  '%""&amp;N161&amp;""%'"")"),"#VALUE!")</f>
        <v>#VALUE!</v>
      </c>
      <c r="S161" s="170" t="s">
        <v>9662</v>
      </c>
      <c r="T161" s="167" t="str">
        <f t="shared" si="0"/>
        <v>649679</v>
      </c>
      <c r="U161" s="167" t="str">
        <f ca="1">IFERROR(__xludf.DUMMYFUNCTION("QUERY('030523 INVENTARIO'!$T$2:$T$1015,""select R where R like  '%""&amp;T161&amp;""%'"")"),"#VALUE!")</f>
        <v>#VALUE!</v>
      </c>
      <c r="X161" s="86" t="s">
        <v>8248</v>
      </c>
      <c r="Y161" s="230" t="str">
        <f t="shared" si="1"/>
        <v>649596</v>
      </c>
      <c r="Z161" s="230" t="str">
        <f ca="1">IFERROR(__xludf.DUMMYFUNCTION("QUERY($S$2:$S$195,""select S where S like '%""&amp;Y161&amp;""%'"")"),"82DJ0511010020000649596")</f>
        <v>82DJ0511010020000649596</v>
      </c>
    </row>
    <row r="162" spans="14:26" ht="15">
      <c r="N162" s="231" t="s">
        <v>8247</v>
      </c>
      <c r="O162" s="167" t="str">
        <f ca="1">IFERROR(__xludf.DUMMYFUNCTION("QUERY('030523 INVENTARIO'!$T$2:$T$1015,""select R where R like  '%""&amp;N162&amp;""%'"")"),"#VALUE!")</f>
        <v>#VALUE!</v>
      </c>
      <c r="S162" s="170" t="s">
        <v>9663</v>
      </c>
      <c r="T162" s="167" t="str">
        <f t="shared" si="0"/>
        <v>649685</v>
      </c>
      <c r="U162" s="167" t="str">
        <f ca="1">IFERROR(__xludf.DUMMYFUNCTION("QUERY('030523 INVENTARIO'!$T$2:$T$1015,""select R where R like  '%""&amp;T162&amp;""%'"")"),"#VALUE!")</f>
        <v>#VALUE!</v>
      </c>
      <c r="X162" s="86" t="s">
        <v>8247</v>
      </c>
      <c r="Y162" s="230" t="str">
        <f t="shared" si="1"/>
        <v>649595</v>
      </c>
      <c r="Z162" s="230" t="str">
        <f ca="1">IFERROR(__xludf.DUMMYFUNCTION("QUERY($S$2:$S$195,""select S where S like '%""&amp;Y162&amp;""%'"")"),"82DJ0511010020000649595")</f>
        <v>82DJ0511010020000649595</v>
      </c>
    </row>
    <row r="163" spans="14:26" ht="15">
      <c r="N163" s="231" t="s">
        <v>8246</v>
      </c>
      <c r="O163" s="167" t="str">
        <f ca="1">IFERROR(__xludf.DUMMYFUNCTION("QUERY('030523 INVENTARIO'!$T$2:$T$1015,""select R where R like  '%""&amp;N163&amp;""%'"")"),"#VALUE!")</f>
        <v>#VALUE!</v>
      </c>
      <c r="S163" s="170" t="s">
        <v>9623</v>
      </c>
      <c r="T163" s="167" t="str">
        <f t="shared" si="0"/>
        <v>539102</v>
      </c>
      <c r="U163" s="167" t="str">
        <f ca="1">IFERROR(__xludf.DUMMYFUNCTION("QUERY('030523 INVENTARIO'!$T$2:$T$1015,""select R where R like  '%""&amp;T163&amp;""%'"")"),"#VALUE!")</f>
        <v>#VALUE!</v>
      </c>
      <c r="X163" s="86" t="s">
        <v>8246</v>
      </c>
      <c r="Y163" s="230" t="str">
        <f t="shared" si="1"/>
        <v>649594</v>
      </c>
      <c r="Z163" s="230" t="str">
        <f ca="1">IFERROR(__xludf.DUMMYFUNCTION("QUERY($S$2:$S$195,""select S where S like '%""&amp;Y163&amp;""%'"")"),"82DJ0511010020000649594")</f>
        <v>82DJ0511010020000649594</v>
      </c>
    </row>
    <row r="164" spans="14:26" ht="15">
      <c r="N164" s="231" t="s">
        <v>8245</v>
      </c>
      <c r="O164" s="167" t="str">
        <f ca="1">IFERROR(__xludf.DUMMYFUNCTION("QUERY('030523 INVENTARIO'!$T$2:$T$1015,""select R where R like  '%""&amp;N164&amp;""%'"")"),"#VALUE!")</f>
        <v>#VALUE!</v>
      </c>
      <c r="S164" s="229" t="s">
        <v>4905</v>
      </c>
      <c r="T164" s="167" t="str">
        <f t="shared" si="0"/>
        <v>651379</v>
      </c>
      <c r="U164" s="167" t="str">
        <f ca="1">IFERROR(__xludf.DUMMYFUNCTION("QUERY('030523 INVENTARIO'!$T$2:$T$1015,""select R where R like  '%""&amp;T164&amp;""%'"")"),"#VALUE!")</f>
        <v>#VALUE!</v>
      </c>
      <c r="X164" s="86" t="s">
        <v>8245</v>
      </c>
      <c r="Y164" s="230" t="str">
        <f t="shared" si="1"/>
        <v>649593</v>
      </c>
      <c r="Z164" s="230" t="str">
        <f ca="1">IFERROR(__xludf.DUMMYFUNCTION("QUERY($S$2:$S$195,""select S where S like '%""&amp;Y164&amp;""%'"")"),"82DJ0511010020000649593")</f>
        <v>82DJ0511010020000649593</v>
      </c>
    </row>
    <row r="165" spans="14:26" ht="15">
      <c r="N165" s="231" t="s">
        <v>8244</v>
      </c>
      <c r="O165" s="167" t="str">
        <f ca="1">IFERROR(__xludf.DUMMYFUNCTION("QUERY('030523 INVENTARIO'!$T$2:$T$1015,""select R where R like  '%""&amp;N165&amp;""%'"")"),"#VALUE!")</f>
        <v>#VALUE!</v>
      </c>
      <c r="S165" s="170" t="s">
        <v>7275</v>
      </c>
      <c r="T165" s="167" t="str">
        <f t="shared" si="0"/>
        <v>649701</v>
      </c>
      <c r="U165" s="167" t="str">
        <f ca="1">IFERROR(__xludf.DUMMYFUNCTION("QUERY('030523 INVENTARIO'!$T$2:$T$1015,""select R where R like  '%""&amp;T165&amp;""%'"")"),"#VALUE!")</f>
        <v>#VALUE!</v>
      </c>
      <c r="X165" s="86" t="s">
        <v>8244</v>
      </c>
      <c r="Y165" s="230" t="str">
        <f t="shared" si="1"/>
        <v>649592</v>
      </c>
      <c r="Z165" s="230" t="str">
        <f ca="1">IFERROR(__xludf.DUMMYFUNCTION("QUERY($S$2:$S$195,""select S where S like '%""&amp;Y165&amp;""%'"")"),"82DJ0511010020000649592")</f>
        <v>82DJ0511010020000649592</v>
      </c>
    </row>
    <row r="166" spans="14:26" ht="15">
      <c r="N166" s="231" t="s">
        <v>8243</v>
      </c>
      <c r="O166" s="167" t="str">
        <f ca="1">IFERROR(__xludf.DUMMYFUNCTION("QUERY('030523 INVENTARIO'!$T$2:$T$1015,""select R where R like  '%""&amp;N166&amp;""%'"")"),"#VALUE!")</f>
        <v>#VALUE!</v>
      </c>
      <c r="S166" s="170" t="s">
        <v>7264</v>
      </c>
      <c r="T166" s="167" t="str">
        <f t="shared" si="0"/>
        <v>522825</v>
      </c>
      <c r="U166" s="167" t="str">
        <f ca="1">IFERROR(__xludf.DUMMYFUNCTION("QUERY('030523 INVENTARIO'!$T$2:$T$1015,""select R where R like  '%""&amp;T166&amp;""%'"")"),"#VALUE!")</f>
        <v>#VALUE!</v>
      </c>
      <c r="X166" s="86" t="s">
        <v>8243</v>
      </c>
      <c r="Y166" s="230" t="str">
        <f t="shared" si="1"/>
        <v>649591</v>
      </c>
      <c r="Z166" s="230" t="str">
        <f ca="1">IFERROR(__xludf.DUMMYFUNCTION("QUERY($S$2:$S$195,""select S where S like '%""&amp;Y166&amp;""%'"")"),"82DJ0511010020000649591")</f>
        <v>82DJ0511010020000649591</v>
      </c>
    </row>
    <row r="167" spans="14:26" ht="15">
      <c r="N167" s="231" t="s">
        <v>8242</v>
      </c>
      <c r="O167" s="167" t="str">
        <f ca="1">IFERROR(__xludf.DUMMYFUNCTION("QUERY('030523 INVENTARIO'!$T$2:$T$1015,""select R where R like  '%""&amp;N167&amp;""%'"")"),"#VALUE!")</f>
        <v>#VALUE!</v>
      </c>
      <c r="S167" s="170" t="s">
        <v>7326</v>
      </c>
      <c r="T167" s="167" t="str">
        <f t="shared" si="0"/>
        <v>518539</v>
      </c>
      <c r="U167" s="167" t="str">
        <f ca="1">IFERROR(__xludf.DUMMYFUNCTION("QUERY('030523 INVENTARIO'!$T$2:$T$1015,""select R where R like  '%""&amp;T167&amp;""%'"")"),"#VALUE!")</f>
        <v>#VALUE!</v>
      </c>
      <c r="X167" s="86" t="s">
        <v>8242</v>
      </c>
      <c r="Y167" s="230" t="str">
        <f t="shared" si="1"/>
        <v>649590</v>
      </c>
      <c r="Z167" s="230" t="str">
        <f ca="1">IFERROR(__xludf.DUMMYFUNCTION("QUERY($S$2:$S$195,""select S where S like '%""&amp;Y167&amp;""%'"")"),"82DJ0511010020000649590")</f>
        <v>82DJ0511010020000649590</v>
      </c>
    </row>
    <row r="168" spans="14:26" ht="15">
      <c r="N168" s="231" t="s">
        <v>8241</v>
      </c>
      <c r="O168" s="167" t="str">
        <f ca="1">IFERROR(__xludf.DUMMYFUNCTION("QUERY('030523 INVENTARIO'!$T$2:$T$1015,""select R where R like  '%""&amp;N168&amp;""%'"")"),"#VALUE!")</f>
        <v>#VALUE!</v>
      </c>
      <c r="S168" s="229" t="s">
        <v>5824</v>
      </c>
      <c r="T168" s="167" t="str">
        <f t="shared" si="0"/>
        <v>516299</v>
      </c>
      <c r="U168" s="167" t="str">
        <f ca="1">IFERROR(__xludf.DUMMYFUNCTION("QUERY('030523 INVENTARIO'!$T$2:$T$1015,""select R where R like  '%""&amp;T168&amp;""%'"")"),"#VALUE!")</f>
        <v>#VALUE!</v>
      </c>
      <c r="X168" s="86" t="s">
        <v>8241</v>
      </c>
      <c r="Y168" s="230" t="str">
        <f t="shared" si="1"/>
        <v>649589</v>
      </c>
      <c r="Z168" s="230" t="str">
        <f ca="1">IFERROR(__xludf.DUMMYFUNCTION("QUERY($S$2:$S$195,""select S where S like '%""&amp;Y168&amp;""%'"")"),"82DJ0511010020000649589")</f>
        <v>82DJ0511010020000649589</v>
      </c>
    </row>
    <row r="169" spans="14:26" ht="15">
      <c r="N169" s="231" t="s">
        <v>8240</v>
      </c>
      <c r="O169" s="167" t="str">
        <f ca="1">IFERROR(__xludf.DUMMYFUNCTION("QUERY('030523 INVENTARIO'!$T$2:$T$1015,""select R where R like  '%""&amp;N169&amp;""%'"")"),"#VALUE!")</f>
        <v>#VALUE!</v>
      </c>
      <c r="S169" s="229" t="s">
        <v>6069</v>
      </c>
      <c r="T169" s="167" t="str">
        <f t="shared" si="0"/>
        <v>651393</v>
      </c>
      <c r="U169" s="167" t="str">
        <f ca="1">IFERROR(__xludf.DUMMYFUNCTION("QUERY('030523 INVENTARIO'!$T$2:$T$1015,""select R where R like  '%""&amp;T169&amp;""%'"")"),"#VALUE!")</f>
        <v>#VALUE!</v>
      </c>
      <c r="X169" s="86" t="s">
        <v>8240</v>
      </c>
      <c r="Y169" s="230" t="str">
        <f t="shared" si="1"/>
        <v>649588</v>
      </c>
      <c r="Z169" s="230" t="str">
        <f ca="1">IFERROR(__xludf.DUMMYFUNCTION("QUERY($S$2:$S$195,""select S where S like '%""&amp;Y169&amp;""%'"")"),"82DJ0511010020000649588")</f>
        <v>82DJ0511010020000649588</v>
      </c>
    </row>
    <row r="170" spans="14:26" ht="15">
      <c r="N170" s="231" t="s">
        <v>8239</v>
      </c>
      <c r="O170" s="167" t="str">
        <f ca="1">IFERROR(__xludf.DUMMYFUNCTION("QUERY('030523 INVENTARIO'!$T$2:$T$1015,""select R where R like  '%""&amp;N170&amp;""%'"")"),"#VALUE!")</f>
        <v>#VALUE!</v>
      </c>
      <c r="S170" s="229" t="s">
        <v>5433</v>
      </c>
      <c r="T170" s="167" t="str">
        <f t="shared" si="0"/>
        <v>651388</v>
      </c>
      <c r="U170" s="167" t="str">
        <f ca="1">IFERROR(__xludf.DUMMYFUNCTION("QUERY('030523 INVENTARIO'!$T$2:$T$1015,""select R where R like  '%""&amp;T170&amp;""%'"")"),"#VALUE!")</f>
        <v>#VALUE!</v>
      </c>
      <c r="X170" s="86" t="s">
        <v>8239</v>
      </c>
      <c r="Y170" s="230" t="str">
        <f t="shared" si="1"/>
        <v>649587</v>
      </c>
      <c r="Z170" s="230" t="str">
        <f ca="1">IFERROR(__xludf.DUMMYFUNCTION("QUERY($S$2:$S$195,""select S where S like '%""&amp;Y170&amp;""%'"")"),"82DJ0511010020000649587")</f>
        <v>82DJ0511010020000649587</v>
      </c>
    </row>
    <row r="171" spans="14:26" ht="15">
      <c r="N171" s="231" t="s">
        <v>8238</v>
      </c>
      <c r="O171" s="167" t="str">
        <f ca="1">IFERROR(__xludf.DUMMYFUNCTION("QUERY('030523 INVENTARIO'!$T$2:$T$1015,""select R where R like  '%""&amp;N171&amp;""%'"")"),"#VALUE!")</f>
        <v>#VALUE!</v>
      </c>
      <c r="S171" s="170" t="s">
        <v>9621</v>
      </c>
      <c r="T171" s="167" t="str">
        <f t="shared" si="0"/>
        <v>515606</v>
      </c>
      <c r="U171" s="167" t="str">
        <f ca="1">IFERROR(__xludf.DUMMYFUNCTION("QUERY('030523 INVENTARIO'!$T$2:$T$1015,""select R where R like  '%""&amp;T171&amp;""%'"")"),"#VALUE!")</f>
        <v>#VALUE!</v>
      </c>
      <c r="X171" s="86" t="s">
        <v>8238</v>
      </c>
      <c r="Y171" s="230" t="str">
        <f t="shared" si="1"/>
        <v>649586</v>
      </c>
      <c r="Z171" s="230" t="str">
        <f ca="1">IFERROR(__xludf.DUMMYFUNCTION("QUERY($S$2:$S$195,""select S where S like '%""&amp;Y171&amp;""%'"")"),"82DJ0511010020000649586")</f>
        <v>82DJ0511010020000649586</v>
      </c>
    </row>
    <row r="172" spans="14:26" ht="15">
      <c r="N172" s="231" t="s">
        <v>8237</v>
      </c>
      <c r="O172" s="167" t="str">
        <f ca="1">IFERROR(__xludf.DUMMYFUNCTION("QUERY('030523 INVENTARIO'!$T$2:$T$1015,""select R where R like  '%""&amp;N172&amp;""%'"")"),"#VALUE!")</f>
        <v>#VALUE!</v>
      </c>
      <c r="S172" s="170" t="s">
        <v>8334</v>
      </c>
      <c r="T172" s="167" t="str">
        <f t="shared" si="0"/>
        <v>649711</v>
      </c>
      <c r="U172" s="167" t="str">
        <f ca="1">IFERROR(__xludf.DUMMYFUNCTION("QUERY('030523 INVENTARIO'!$T$2:$T$1015,""select R where R like  '%""&amp;T172&amp;""%'"")"),"#VALUE!")</f>
        <v>#VALUE!</v>
      </c>
      <c r="X172" s="86" t="s">
        <v>8237</v>
      </c>
      <c r="Y172" s="230" t="str">
        <f t="shared" si="1"/>
        <v>649585</v>
      </c>
      <c r="Z172" s="230" t="str">
        <f ca="1">IFERROR(__xludf.DUMMYFUNCTION("QUERY($S$2:$S$195,""select S where S like '%""&amp;Y172&amp;""%'"")"),"82DJ0511010020000649585")</f>
        <v>82DJ0511010020000649585</v>
      </c>
    </row>
    <row r="173" spans="14:26" ht="15">
      <c r="N173" s="231" t="s">
        <v>8236</v>
      </c>
      <c r="O173" s="167" t="str">
        <f ca="1">IFERROR(__xludf.DUMMYFUNCTION("QUERY('030523 INVENTARIO'!$T$2:$T$1015,""select R where R like  '%""&amp;N173&amp;""%'"")"),"#VALUE!")</f>
        <v>#VALUE!</v>
      </c>
      <c r="S173" s="229" t="s">
        <v>3442</v>
      </c>
      <c r="T173" s="167" t="str">
        <f t="shared" si="0"/>
        <v>649535</v>
      </c>
      <c r="U173" s="167" t="str">
        <f ca="1">IFERROR(__xludf.DUMMYFUNCTION("QUERY('030523 INVENTARIO'!$T$2:$T$1015,""select R where R like  '%""&amp;T173&amp;""%'"")"),"#VALUE!")</f>
        <v>#VALUE!</v>
      </c>
      <c r="X173" s="86" t="s">
        <v>8236</v>
      </c>
      <c r="Y173" s="230" t="str">
        <f t="shared" si="1"/>
        <v>649584</v>
      </c>
      <c r="Z173" s="230" t="str">
        <f ca="1">IFERROR(__xludf.DUMMYFUNCTION("QUERY($S$2:$S$195,""select S where S like '%""&amp;Y173&amp;""%'"")"),"82DJ0511010020000649584")</f>
        <v>82DJ0511010020000649584</v>
      </c>
    </row>
    <row r="174" spans="14:26" ht="15">
      <c r="N174" s="231" t="s">
        <v>8235</v>
      </c>
      <c r="O174" s="167" t="str">
        <f ca="1">IFERROR(__xludf.DUMMYFUNCTION("QUERY('030523 INVENTARIO'!$T$2:$T$1015,""select R where R like  '%""&amp;N174&amp;""%'"")"),"#VALUE!")</f>
        <v>#VALUE!</v>
      </c>
      <c r="S174" s="170" t="s">
        <v>8213</v>
      </c>
      <c r="T174" s="167" t="str">
        <f t="shared" si="0"/>
        <v>649537</v>
      </c>
      <c r="U174" s="167" t="str">
        <f ca="1">IFERROR(__xludf.DUMMYFUNCTION("QUERY('030523 INVENTARIO'!$T$2:$T$1015,""select R where R like  '%""&amp;T174&amp;""%'"")"),"#VALUE!")</f>
        <v>#VALUE!</v>
      </c>
      <c r="X174" s="86" t="s">
        <v>8235</v>
      </c>
      <c r="Y174" s="230" t="str">
        <f t="shared" si="1"/>
        <v>649580</v>
      </c>
      <c r="Z174" s="230" t="str">
        <f ca="1">IFERROR(__xludf.DUMMYFUNCTION("QUERY($S$2:$S$195,""select S where S like '%""&amp;Y174&amp;""%'"")"),"82DJ0511010020000649580")</f>
        <v>82DJ0511010020000649580</v>
      </c>
    </row>
    <row r="175" spans="14:26" ht="15">
      <c r="N175" s="231" t="s">
        <v>8234</v>
      </c>
      <c r="O175" s="167" t="str">
        <f ca="1">IFERROR(__xludf.DUMMYFUNCTION("QUERY('030523 INVENTARIO'!$T$2:$T$1015,""select R where R like  '%""&amp;N175&amp;""%'"")"),"#VALUE!")</f>
        <v>#VALUE!</v>
      </c>
      <c r="S175" s="170" t="s">
        <v>9664</v>
      </c>
      <c r="T175" s="167" t="str">
        <f t="shared" si="0"/>
        <v>649647</v>
      </c>
      <c r="U175" s="167" t="str">
        <f ca="1">IFERROR(__xludf.DUMMYFUNCTION("QUERY('030523 INVENTARIO'!$T$2:$T$1015,""select R where R like  '%""&amp;T175&amp;""%'"")"),"#VALUE!")</f>
        <v>#VALUE!</v>
      </c>
      <c r="X175" s="86" t="s">
        <v>8234</v>
      </c>
      <c r="Y175" s="230" t="str">
        <f t="shared" si="1"/>
        <v>649579</v>
      </c>
      <c r="Z175" s="230" t="str">
        <f ca="1">IFERROR(__xludf.DUMMYFUNCTION("QUERY($S$2:$S$195,""select S where S like '%""&amp;Y175&amp;""%'"")"),"82DJ0511010020000649579")</f>
        <v>82DJ0511010020000649579</v>
      </c>
    </row>
    <row r="176" spans="14:26" ht="15">
      <c r="N176" s="231" t="s">
        <v>8233</v>
      </c>
      <c r="O176" s="167" t="str">
        <f ca="1">IFERROR(__xludf.DUMMYFUNCTION("QUERY('030523 INVENTARIO'!$T$2:$T$1015,""select R where R like  '%""&amp;N176&amp;""%'"")"),"#VALUE!")</f>
        <v>#VALUE!</v>
      </c>
      <c r="S176" s="170" t="s">
        <v>9665</v>
      </c>
      <c r="T176" s="167" t="str">
        <f t="shared" si="0"/>
        <v>651139</v>
      </c>
      <c r="U176" s="167" t="str">
        <f ca="1">IFERROR(__xludf.DUMMYFUNCTION("QUERY('030523 INVENTARIO'!$T$2:$T$1015,""select R where R like  '%""&amp;T176&amp;""%'"")"),"#VALUE!")</f>
        <v>#VALUE!</v>
      </c>
      <c r="X176" s="86" t="s">
        <v>8233</v>
      </c>
      <c r="Y176" s="230" t="str">
        <f t="shared" si="1"/>
        <v>649578</v>
      </c>
      <c r="Z176" s="230" t="str">
        <f ca="1">IFERROR(__xludf.DUMMYFUNCTION("QUERY($S$2:$S$195,""select S where S like '%""&amp;Y176&amp;""%'"")"),"82DJ0511010020000649578")</f>
        <v>82DJ0511010020000649578</v>
      </c>
    </row>
    <row r="177" spans="14:26" ht="15">
      <c r="N177" s="231" t="s">
        <v>8232</v>
      </c>
      <c r="O177" s="167" t="str">
        <f ca="1">IFERROR(__xludf.DUMMYFUNCTION("QUERY('030523 INVENTARIO'!$T$2:$T$1015,""select R where R like  '%""&amp;N177&amp;""%'"")"),"#VALUE!")</f>
        <v>#VALUE!</v>
      </c>
      <c r="S177" s="170" t="s">
        <v>7709</v>
      </c>
      <c r="T177" s="167" t="str">
        <f t="shared" si="0"/>
        <v>535517</v>
      </c>
      <c r="U177" s="167" t="str">
        <f ca="1">IFERROR(__xludf.DUMMYFUNCTION("QUERY('030523 INVENTARIO'!$T$2:$T$1015,""select R where R like  '%""&amp;T177&amp;""%'"")"),"#VALUE!")</f>
        <v>#VALUE!</v>
      </c>
      <c r="X177" s="86" t="s">
        <v>8232</v>
      </c>
      <c r="Y177" s="230" t="str">
        <f t="shared" si="1"/>
        <v>649577</v>
      </c>
      <c r="Z177" s="230" t="str">
        <f ca="1">IFERROR(__xludf.DUMMYFUNCTION("QUERY($S$2:$S$195,""select S where S like '%""&amp;Y177&amp;""%'"")"),"82DJ0511010020000649577")</f>
        <v>82DJ0511010020000649577</v>
      </c>
    </row>
    <row r="178" spans="14:26" ht="15">
      <c r="N178" s="231" t="s">
        <v>7280</v>
      </c>
      <c r="O178" s="167" t="str">
        <f ca="1">IFERROR(__xludf.DUMMYFUNCTION("QUERY('030523 INVENTARIO'!$T$2:$T$1015,""select R where R like  '%""&amp;N178&amp;""%'"")"),"#VALUE!")</f>
        <v>#VALUE!</v>
      </c>
      <c r="S178" s="170" t="s">
        <v>9618</v>
      </c>
      <c r="T178" s="167" t="str">
        <f t="shared" si="0"/>
        <v>533071</v>
      </c>
      <c r="U178" s="167" t="str">
        <f ca="1">IFERROR(__xludf.DUMMYFUNCTION("QUERY('030523 INVENTARIO'!$T$2:$T$1015,""select R where R like  '%""&amp;T178&amp;""%'"")"),"#VALUE!")</f>
        <v>#VALUE!</v>
      </c>
      <c r="X178" s="86" t="s">
        <v>7280</v>
      </c>
      <c r="Y178" s="230" t="str">
        <f t="shared" si="1"/>
        <v>649576</v>
      </c>
      <c r="Z178" s="230" t="str">
        <f ca="1">IFERROR(__xludf.DUMMYFUNCTION("QUERY($S$2:$S$195,""select S where S like '%""&amp;Y178&amp;""%'"")"),"82DJ0511010020000649576")</f>
        <v>82DJ0511010020000649576</v>
      </c>
    </row>
    <row r="179" spans="14:26" ht="15">
      <c r="N179" s="235" t="s">
        <v>8366</v>
      </c>
      <c r="O179" s="167" t="str">
        <f ca="1">IFERROR(__xludf.DUMMYFUNCTION("QUERY('030523 INVENTARIO'!$T$2:$T$1015,""select R where R like  '%""&amp;N179&amp;""%'"")"),"#VALUE!")</f>
        <v>#VALUE!</v>
      </c>
      <c r="S179" s="170" t="s">
        <v>8214</v>
      </c>
      <c r="T179" s="167" t="str">
        <f t="shared" si="0"/>
        <v>649544</v>
      </c>
      <c r="U179" s="167" t="str">
        <f ca="1">IFERROR(__xludf.DUMMYFUNCTION("QUERY('030523 INVENTARIO'!$T$2:$T$1015,""select R where R like  '%""&amp;T179&amp;""%'"")"),"#VALUE!")</f>
        <v>#VALUE!</v>
      </c>
      <c r="X179" s="86" t="s">
        <v>8366</v>
      </c>
      <c r="Y179" s="230" t="str">
        <f t="shared" si="1"/>
        <v>650656</v>
      </c>
      <c r="Z179" s="230" t="str">
        <f ca="1">IFERROR(__xludf.DUMMYFUNCTION("QUERY($S$2:$S$195,""select S where S like '%""&amp;Y179&amp;""%'"")"),"#N/A")</f>
        <v>#N/A</v>
      </c>
    </row>
    <row r="180" spans="14:26" ht="15">
      <c r="N180" s="235" t="s">
        <v>7304</v>
      </c>
      <c r="O180" s="167" t="str">
        <f ca="1">IFERROR(__xludf.DUMMYFUNCTION("QUERY('030523 INVENTARIO'!$T$2:$T$1015,""select R where R like  '%""&amp;N180&amp;""%'"")"),"#VALUE!")</f>
        <v>#VALUE!</v>
      </c>
      <c r="S180" s="170" t="s">
        <v>9636</v>
      </c>
      <c r="T180" s="167" t="str">
        <f t="shared" si="0"/>
        <v>649568</v>
      </c>
      <c r="U180" s="167" t="str">
        <f ca="1">IFERROR(__xludf.DUMMYFUNCTION("QUERY('030523 INVENTARIO'!$T$2:$T$1015,""select R where R like  '%""&amp;T180&amp;""%'"")"),"#VALUE!")</f>
        <v>#VALUE!</v>
      </c>
      <c r="X180" s="86" t="s">
        <v>7304</v>
      </c>
      <c r="Y180" s="230" t="str">
        <f t="shared" si="1"/>
        <v>650666</v>
      </c>
      <c r="Z180" s="230" t="str">
        <f ca="1">IFERROR(__xludf.DUMMYFUNCTION("QUERY($S$2:$S$195,""select S where S like '%""&amp;Y180&amp;""%'"")"),"#N/A")</f>
        <v>#N/A</v>
      </c>
    </row>
    <row r="181" spans="14:26" ht="15">
      <c r="N181" s="236" t="s">
        <v>3117</v>
      </c>
      <c r="O181" s="167" t="str">
        <f ca="1">IFERROR(__xludf.DUMMYFUNCTION("QUERY('030523 INVENTARIO'!$T$2:$T$1015,""select R where R like  '%""&amp;N181&amp;""%'"")"),"#VALUE!")</f>
        <v>#VALUE!</v>
      </c>
      <c r="S181" s="170" t="s">
        <v>9666</v>
      </c>
      <c r="T181" s="167" t="str">
        <f t="shared" si="0"/>
        <v>649680</v>
      </c>
      <c r="U181" s="167" t="str">
        <f ca="1">IFERROR(__xludf.DUMMYFUNCTION("QUERY('030523 INVENTARIO'!$T$2:$T$1015,""select R where R like  '%""&amp;T181&amp;""%'"")"),"#VALUE!")</f>
        <v>#VALUE!</v>
      </c>
      <c r="X181" s="86" t="s">
        <v>3117</v>
      </c>
      <c r="Y181" s="230" t="str">
        <f t="shared" si="1"/>
        <v>649555</v>
      </c>
      <c r="Z181" s="230" t="str">
        <f ca="1">IFERROR(__xludf.DUMMYFUNCTION("QUERY($S$2:$S$195,""select S where S like '%""&amp;Y181&amp;""%'"")"),"#N/A")</f>
        <v>#N/A</v>
      </c>
    </row>
    <row r="182" spans="14:26" ht="15">
      <c r="N182" s="232" t="s">
        <v>9666</v>
      </c>
      <c r="O182" s="167" t="str">
        <f ca="1">IFERROR(__xludf.DUMMYFUNCTION("QUERY('030523 INVENTARIO'!$T$2:$T$1015,""select R where R like  '%""&amp;N182&amp;""%'"")"),"#VALUE!")</f>
        <v>#VALUE!</v>
      </c>
      <c r="S182" s="170" t="s">
        <v>8020</v>
      </c>
      <c r="T182" s="167" t="str">
        <f t="shared" si="0"/>
        <v>564890</v>
      </c>
      <c r="U182" s="167" t="str">
        <f ca="1">IFERROR(__xludf.DUMMYFUNCTION("QUERY('030523 INVENTARIO'!$T$2:$T$1015,""select R where R like  '%""&amp;T182&amp;""%'"")"),"#VALUE!")</f>
        <v>#VALUE!</v>
      </c>
      <c r="X182" s="86" t="s">
        <v>9666</v>
      </c>
      <c r="Y182" s="230" t="str">
        <f t="shared" si="1"/>
        <v>649680</v>
      </c>
      <c r="Z182" s="230" t="str">
        <f ca="1">IFERROR(__xludf.DUMMYFUNCTION("QUERY($S$2:$S$195,""select S where S like '%""&amp;Y182&amp;""%'"")"),"82DH0565010001000649680")</f>
        <v>82DH0565010001000649680</v>
      </c>
    </row>
    <row r="183" spans="14:26" ht="15">
      <c r="N183" s="232" t="s">
        <v>9667</v>
      </c>
      <c r="O183" s="167" t="str">
        <f ca="1">IFERROR(__xludf.DUMMYFUNCTION("QUERY('030523 INVENTARIO'!$T$2:$T$1015,""select R where R like  '%""&amp;N183&amp;""%'"")"),"#VALUE!")</f>
        <v>#VALUE!</v>
      </c>
      <c r="S183" s="170" t="s">
        <v>7276</v>
      </c>
      <c r="T183" s="167" t="str">
        <f t="shared" si="0"/>
        <v>564889</v>
      </c>
      <c r="U183" s="167" t="str">
        <f ca="1">IFERROR(__xludf.DUMMYFUNCTION("QUERY('030523 INVENTARIO'!$T$2:$T$1015,""select R where R like  '%""&amp;T183&amp;""%'"")"),"#VALUE!")</f>
        <v>#VALUE!</v>
      </c>
      <c r="X183" s="86" t="s">
        <v>9667</v>
      </c>
      <c r="Y183" s="230" t="str">
        <f t="shared" si="1"/>
        <v>539085</v>
      </c>
      <c r="Z183" s="230" t="str">
        <f ca="1">IFERROR(__xludf.DUMMYFUNCTION("QUERY($S$2:$S$195,""select S where S like '%""&amp;Y183&amp;""%'"")"),"#N/A")</f>
        <v>#N/A</v>
      </c>
    </row>
    <row r="184" spans="14:26" ht="15">
      <c r="N184" s="232" t="s">
        <v>9651</v>
      </c>
      <c r="O184" s="167" t="str">
        <f ca="1">IFERROR(__xludf.DUMMYFUNCTION("QUERY('030523 INVENTARIO'!$T$2:$T$1015,""select R where R like  '%""&amp;N184&amp;""%'"")"),"#VALUE!")</f>
        <v>#VALUE!</v>
      </c>
      <c r="S184" s="170" t="s">
        <v>7271</v>
      </c>
      <c r="T184" s="167" t="str">
        <f t="shared" si="0"/>
        <v>564884</v>
      </c>
      <c r="U184" s="167" t="str">
        <f ca="1">IFERROR(__xludf.DUMMYFUNCTION("QUERY('030523 INVENTARIO'!$T$2:$T$1015,""select R where R like  '%""&amp;T184&amp;""%'"")"),"#VALUE!")</f>
        <v>#VALUE!</v>
      </c>
      <c r="X184" s="86" t="s">
        <v>9651</v>
      </c>
      <c r="Y184" s="230" t="str">
        <f t="shared" si="1"/>
        <v>564879</v>
      </c>
      <c r="Z184" s="230" t="str">
        <f ca="1">IFERROR(__xludf.DUMMYFUNCTION("QUERY($S$2:$S$195,""select S where S like '%""&amp;Y184&amp;""%'"")"),"82DH0531010065000564879")</f>
        <v>82DH0531010065000564879</v>
      </c>
    </row>
    <row r="185" spans="14:26" ht="15">
      <c r="N185" s="232" t="s">
        <v>9649</v>
      </c>
      <c r="O185" s="167" t="str">
        <f ca="1">IFERROR(__xludf.DUMMYFUNCTION("QUERY('030523 INVENTARIO'!$T$2:$T$1015,""select R where R like  '%""&amp;N185&amp;""%'"")"),"#VALUE!")</f>
        <v>#VALUE!</v>
      </c>
      <c r="S185" s="170" t="s">
        <v>7296</v>
      </c>
      <c r="T185" s="167" t="str">
        <f t="shared" si="0"/>
        <v>564883</v>
      </c>
      <c r="U185" s="167" t="str">
        <f ca="1">IFERROR(__xludf.DUMMYFUNCTION("QUERY('030523 INVENTARIO'!$T$2:$T$1015,""select R where R like  '%""&amp;T185&amp;""%'"")"),"#VALUE!")</f>
        <v>#VALUE!</v>
      </c>
      <c r="X185" s="86" t="s">
        <v>9649</v>
      </c>
      <c r="Y185" s="230" t="str">
        <f t="shared" si="1"/>
        <v>564741</v>
      </c>
      <c r="Z185" s="230" t="str">
        <f ca="1">IFERROR(__xludf.DUMMYFUNCTION("QUERY($S$2:$S$195,""select S where S like '%""&amp;Y185&amp;""%'"")"),"82DH0531010065000564741")</f>
        <v>82DH0531010065000564741</v>
      </c>
    </row>
    <row r="186" spans="14:26" ht="15">
      <c r="N186" s="232" t="s">
        <v>9668</v>
      </c>
      <c r="O186" s="167" t="str">
        <f ca="1">IFERROR(__xludf.DUMMYFUNCTION("QUERY('030523 INVENTARIO'!$T$2:$T$1015,""select R where R like  '%""&amp;N186&amp;""%'"")"),"#VALUE!")</f>
        <v>#VALUE!</v>
      </c>
      <c r="S186" s="170" t="s">
        <v>9617</v>
      </c>
      <c r="T186" s="167" t="str">
        <f t="shared" si="0"/>
        <v>539195</v>
      </c>
      <c r="U186" s="167" t="str">
        <f ca="1">IFERROR(__xludf.DUMMYFUNCTION("QUERY('030523 INVENTARIO'!$T$2:$T$1015,""select R where R like  '%""&amp;T186&amp;""%'"")"),"#VALUE!")</f>
        <v>#VALUE!</v>
      </c>
      <c r="X186" s="86" t="s">
        <v>9668</v>
      </c>
      <c r="Y186" s="230" t="str">
        <f t="shared" si="1"/>
        <v>649654</v>
      </c>
      <c r="Z186" s="230" t="str">
        <f ca="1">IFERROR(__xludf.DUMMYFUNCTION("QUERY($S$2:$S$195,""select S where S like '%""&amp;Y186&amp;""%'"")"),"#N/A")</f>
        <v>#N/A</v>
      </c>
    </row>
    <row r="187" spans="14:26" ht="15">
      <c r="N187" s="232" t="s">
        <v>9663</v>
      </c>
      <c r="O187" s="167" t="str">
        <f ca="1">IFERROR(__xludf.DUMMYFUNCTION("QUERY('030523 INVENTARIO'!$T$2:$T$1015,""select R where R like  '%""&amp;N187&amp;""%'"")"),"#VALUE!")</f>
        <v>#VALUE!</v>
      </c>
      <c r="S187" s="229" t="s">
        <v>6833</v>
      </c>
      <c r="T187" s="167" t="str">
        <f t="shared" si="0"/>
        <v>531946</v>
      </c>
      <c r="U187" s="167" t="str">
        <f ca="1">IFERROR(__xludf.DUMMYFUNCTION("QUERY('030523 INVENTARIO'!$T$2:$T$1015,""select R where R like  '%""&amp;T187&amp;""%'"")"),"#VALUE!")</f>
        <v>#VALUE!</v>
      </c>
      <c r="X187" s="86" t="s">
        <v>9663</v>
      </c>
      <c r="Y187" s="230" t="str">
        <f t="shared" si="1"/>
        <v>649685</v>
      </c>
      <c r="Z187" s="230" t="str">
        <f ca="1">IFERROR(__xludf.DUMMYFUNCTION("QUERY($S$2:$S$195,""select S where S like '%""&amp;Y187&amp;""%'"")"),"82DH0515010042000649685")</f>
        <v>82DH0515010042000649685</v>
      </c>
    </row>
    <row r="188" spans="14:26" ht="15">
      <c r="N188" s="232" t="s">
        <v>9662</v>
      </c>
      <c r="O188" s="167" t="str">
        <f ca="1">IFERROR(__xludf.DUMMYFUNCTION("QUERY('030523 INVENTARIO'!$T$2:$T$1015,""select R where R like  '%""&amp;N188&amp;""%'"")"),"#VALUE!")</f>
        <v>#VALUE!</v>
      </c>
      <c r="S188" s="229" t="s">
        <v>1497</v>
      </c>
      <c r="T188" s="167" t="str">
        <f t="shared" si="0"/>
        <v>649363</v>
      </c>
      <c r="U188" s="167" t="str">
        <f ca="1">IFERROR(__xludf.DUMMYFUNCTION("QUERY('030523 INVENTARIO'!$T$2:$T$1015,""select R where R like  '%""&amp;T188&amp;""%'"")"),"#VALUE!")</f>
        <v>#VALUE!</v>
      </c>
      <c r="X188" s="86" t="s">
        <v>9662</v>
      </c>
      <c r="Y188" s="230" t="str">
        <f t="shared" si="1"/>
        <v>649679</v>
      </c>
      <c r="Z188" s="230" t="str">
        <f ca="1">IFERROR(__xludf.DUMMYFUNCTION("QUERY($S$2:$S$195,""select S where S like '%""&amp;Y188&amp;""%'"")"),"82DH0515010042000649679")</f>
        <v>82DH0515010042000649679</v>
      </c>
    </row>
    <row r="189" spans="14:26" ht="15">
      <c r="N189" s="232" t="s">
        <v>9661</v>
      </c>
      <c r="O189" s="167" t="str">
        <f ca="1">IFERROR(__xludf.DUMMYFUNCTION("QUERY('030523 INVENTARIO'!$T$2:$T$1015,""select R where R like  '%""&amp;N189&amp;""%'"")"),"#VALUE!")</f>
        <v>#VALUE!</v>
      </c>
      <c r="S189" s="229" t="s">
        <v>4934</v>
      </c>
      <c r="T189" s="167" t="str">
        <f t="shared" si="0"/>
        <v>649723</v>
      </c>
      <c r="U189" s="167" t="str">
        <f ca="1">IFERROR(__xludf.DUMMYFUNCTION("QUERY('030523 INVENTARIO'!$T$2:$T$1015,""select R where R like  '%""&amp;T189&amp;""%'"")"),"#VALUE!")</f>
        <v>#VALUE!</v>
      </c>
      <c r="X189" s="86" t="s">
        <v>9661</v>
      </c>
      <c r="Y189" s="230" t="str">
        <f t="shared" si="1"/>
        <v>649678</v>
      </c>
      <c r="Z189" s="230" t="str">
        <f ca="1">IFERROR(__xludf.DUMMYFUNCTION("QUERY($S$2:$S$195,""select S where S like '%""&amp;Y189&amp;""%'"")"),"82DH0515010042000649678")</f>
        <v>82DH0515010042000649678</v>
      </c>
    </row>
    <row r="190" spans="14:26" ht="15">
      <c r="N190" s="232" t="s">
        <v>9665</v>
      </c>
      <c r="O190" s="167" t="str">
        <f ca="1">IFERROR(__xludf.DUMMYFUNCTION("QUERY('030523 INVENTARIO'!$T$2:$T$1015,""select R where R like  '%""&amp;N190&amp;""%'"")"),"#VALUE!")</f>
        <v>#VALUE!</v>
      </c>
      <c r="S190" s="229" t="s">
        <v>4955</v>
      </c>
      <c r="T190" s="167" t="str">
        <f t="shared" si="0"/>
        <v>649724</v>
      </c>
      <c r="U190" s="167" t="str">
        <f ca="1">IFERROR(__xludf.DUMMYFUNCTION("QUERY('030523 INVENTARIO'!$T$2:$T$1015,""select R where R like  '%""&amp;T190&amp;""%'"")"),"#VALUE!")</f>
        <v>#VALUE!</v>
      </c>
      <c r="X190" s="86" t="s">
        <v>9665</v>
      </c>
      <c r="Y190" s="230" t="str">
        <f t="shared" si="1"/>
        <v>651139</v>
      </c>
      <c r="Z190" s="230" t="str">
        <f ca="1">IFERROR(__xludf.DUMMYFUNCTION("QUERY($S$2:$S$195,""select S where S like '%""&amp;Y190&amp;""%'"")"),"82DH0515010026000651139")</f>
        <v>82DH0515010026000651139</v>
      </c>
    </row>
    <row r="191" spans="14:26" ht="15">
      <c r="N191" s="232" t="s">
        <v>9664</v>
      </c>
      <c r="O191" s="167" t="str">
        <f ca="1">IFERROR(__xludf.DUMMYFUNCTION("QUERY('030523 INVENTARIO'!$T$2:$T$1015,""select R where R like  '%""&amp;N191&amp;""%'"")"),"#VALUE!")</f>
        <v>#VALUE!</v>
      </c>
      <c r="S191" s="170" t="s">
        <v>8352</v>
      </c>
      <c r="T191" s="167" t="str">
        <f t="shared" si="0"/>
        <v>649735</v>
      </c>
      <c r="U191" s="167" t="str">
        <f ca="1">IFERROR(__xludf.DUMMYFUNCTION("QUERY('030523 INVENTARIO'!$T$2:$T$1015,""select R where R like  '%""&amp;T191&amp;""%'"")"),"#VALUE!")</f>
        <v>#VALUE!</v>
      </c>
      <c r="X191" s="86" t="s">
        <v>9664</v>
      </c>
      <c r="Y191" s="230" t="str">
        <f t="shared" si="1"/>
        <v>649647</v>
      </c>
      <c r="Z191" s="230" t="str">
        <f ca="1">IFERROR(__xludf.DUMMYFUNCTION("QUERY($S$2:$S$195,""select S where S like '%""&amp;Y191&amp;""%'"")"),"82DH0515010026000649647")</f>
        <v>82DH0515010026000649647</v>
      </c>
    </row>
    <row r="192" spans="14:26" ht="15">
      <c r="N192" s="232" t="s">
        <v>9669</v>
      </c>
      <c r="O192" s="167" t="str">
        <f ca="1">IFERROR(__xludf.DUMMYFUNCTION("QUERY('030523 INVENTARIO'!$T$2:$T$1015,""select R where R like  '%""&amp;N192&amp;""%'"")"),"#VALUE!")</f>
        <v>#VALUE!</v>
      </c>
      <c r="X192" s="86" t="s">
        <v>9669</v>
      </c>
      <c r="Y192" s="230" t="str">
        <f t="shared" si="1"/>
        <v>542282</v>
      </c>
      <c r="Z192" s="230" t="str">
        <f ca="1">IFERROR(__xludf.DUMMYFUNCTION("QUERY($S$2:$S$195,""select S where S like '%""&amp;Y192&amp;""%'"")"),"#N/A")</f>
        <v>#N/A</v>
      </c>
    </row>
    <row r="193" spans="14:26" ht="15">
      <c r="N193" s="228" t="s">
        <v>3084</v>
      </c>
      <c r="O193" s="167" t="str">
        <f ca="1">IFERROR(__xludf.DUMMYFUNCTION("QUERY('030523 INVENTARIO'!$T$2:$T$1015,""select R where R like  '%""&amp;N193&amp;""%'"")"),"#VALUE!")</f>
        <v>#VALUE!</v>
      </c>
      <c r="X193" s="86" t="s">
        <v>3084</v>
      </c>
      <c r="Y193" s="230" t="str">
        <f t="shared" si="1"/>
        <v>651131</v>
      </c>
      <c r="Z193" s="230" t="str">
        <f ca="1">IFERROR(__xludf.DUMMYFUNCTION("QUERY($S$2:$S$195,""select S where S like '%""&amp;Y193&amp;""%'"")"),"#N/A")</f>
        <v>#N/A</v>
      </c>
    </row>
    <row r="194" spans="14:26" ht="15">
      <c r="N194" s="232" t="s">
        <v>9624</v>
      </c>
      <c r="O194" s="167" t="str">
        <f ca="1">IFERROR(__xludf.DUMMYFUNCTION("QUERY('030523 INVENTARIO'!$T$2:$T$1015,""select R where R like  '%""&amp;N194&amp;""%'"")"),"#VALUE!")</f>
        <v>#VALUE!</v>
      </c>
      <c r="X194" s="86" t="s">
        <v>9624</v>
      </c>
      <c r="Y194" s="230" t="str">
        <f t="shared" si="1"/>
        <v>542043</v>
      </c>
      <c r="Z194" s="230" t="str">
        <f ca="1">IFERROR(__xludf.DUMMYFUNCTION("QUERY($S$2:$S$195,""select S where S like '%""&amp;Y194&amp;""%'"")"),"82DH0515010022000542043")</f>
        <v>82DH0515010022000542043</v>
      </c>
    </row>
    <row r="195" spans="14:26" ht="15">
      <c r="N195" s="232" t="s">
        <v>9625</v>
      </c>
      <c r="O195" s="167" t="str">
        <f ca="1">IFERROR(__xludf.DUMMYFUNCTION("QUERY('030523 INVENTARIO'!$T$2:$T$1015,""select R where R like  '%""&amp;N195&amp;""%'"")"),"#VALUE!")</f>
        <v>#VALUE!</v>
      </c>
      <c r="X195" s="86" t="s">
        <v>9625</v>
      </c>
      <c r="Y195" s="230" t="str">
        <f t="shared" si="1"/>
        <v>542042</v>
      </c>
      <c r="Z195" s="230" t="str">
        <f ca="1">IFERROR(__xludf.DUMMYFUNCTION("QUERY($S$2:$S$195,""select S where S like '%""&amp;Y195&amp;""%'"")"),"#N/A")</f>
        <v>#N/A</v>
      </c>
    </row>
    <row r="196" spans="14:26" ht="15">
      <c r="N196" s="232" t="s">
        <v>9660</v>
      </c>
      <c r="O196" s="167" t="str">
        <f ca="1">IFERROR(__xludf.DUMMYFUNCTION("QUERY('030523 INVENTARIO'!$T$2:$T$1015,""select R where R like  '%""&amp;N196&amp;""%'"")"),"#VALUE!")</f>
        <v>#VALUE!</v>
      </c>
      <c r="X196" s="86" t="s">
        <v>9660</v>
      </c>
      <c r="Y196" s="230" t="str">
        <f t="shared" si="1"/>
        <v>649677</v>
      </c>
      <c r="Z196" s="230" t="str">
        <f ca="1">IFERROR(__xludf.DUMMYFUNCTION("QUERY($S$2:$S$195,""select S where S like '%""&amp;Y196&amp;""%'"")"),"82DH0515010020000649677")</f>
        <v>82DH0515010020000649677</v>
      </c>
    </row>
    <row r="197" spans="14:26" ht="15">
      <c r="N197" s="232" t="s">
        <v>9670</v>
      </c>
      <c r="O197" s="167" t="str">
        <f ca="1">IFERROR(__xludf.DUMMYFUNCTION("QUERY('030523 INVENTARIO'!$T$2:$T$1015,""select R where R like  '%""&amp;N197&amp;""%'"")"),"#VALUE!")</f>
        <v>#VALUE!</v>
      </c>
      <c r="X197" s="86" t="s">
        <v>9670</v>
      </c>
      <c r="Y197" s="230" t="str">
        <f t="shared" si="1"/>
        <v>565919</v>
      </c>
      <c r="Z197" s="230" t="str">
        <f ca="1">IFERROR(__xludf.DUMMYFUNCTION("QUERY($S$2:$S$195,""select S where S like '%""&amp;Y197&amp;""%'"")"),"#N/A")</f>
        <v>#N/A</v>
      </c>
    </row>
    <row r="198" spans="14:26" ht="15">
      <c r="N198" s="231" t="s">
        <v>9670</v>
      </c>
      <c r="O198" s="167" t="str">
        <f ca="1">IFERROR(__xludf.DUMMYFUNCTION("QUERY('030523 INVENTARIO'!$T$2:$T$1015,""select R where R like  '%""&amp;N198&amp;""%'"")"),"#VALUE!")</f>
        <v>#VALUE!</v>
      </c>
      <c r="X198" s="86" t="s">
        <v>9670</v>
      </c>
      <c r="Y198" s="230" t="str">
        <f t="shared" si="1"/>
        <v>565919</v>
      </c>
      <c r="Z198" s="230" t="str">
        <f ca="1">IFERROR(__xludf.DUMMYFUNCTION("QUERY($S$2:$S$195,""select S where S like '%""&amp;Y198&amp;""%'"")"),"#N/A")</f>
        <v>#N/A</v>
      </c>
    </row>
    <row r="199" spans="14:26" ht="15">
      <c r="N199" s="231" t="s">
        <v>9623</v>
      </c>
      <c r="O199" s="167" t="str">
        <f ca="1">IFERROR(__xludf.DUMMYFUNCTION("QUERY('030523 INVENTARIO'!$T$2:$T$1015,""select R where R like  '%""&amp;N199&amp;""%'"")"),"#VALUE!")</f>
        <v>#VALUE!</v>
      </c>
      <c r="X199" s="86" t="s">
        <v>9623</v>
      </c>
      <c r="Y199" s="230" t="str">
        <f t="shared" si="1"/>
        <v>539102</v>
      </c>
      <c r="Z199" s="230" t="str">
        <f ca="1">IFERROR(__xludf.DUMMYFUNCTION("QUERY($S$2:$S$195,""select S where S like '%""&amp;Y199&amp;""%'"")"),"82DH0515010025000539102")</f>
        <v>82DH0515010025000539102</v>
      </c>
    </row>
    <row r="200" spans="14:26" ht="15">
      <c r="N200" s="232" t="s">
        <v>9659</v>
      </c>
      <c r="O200" s="167" t="str">
        <f ca="1">IFERROR(__xludf.DUMMYFUNCTION("QUERY('030523 INVENTARIO'!$T$2:$T$1015,""select R where R like  '%""&amp;N200&amp;""%'"")"),"#VALUE!")</f>
        <v>#VALUE!</v>
      </c>
      <c r="X200" s="86" t="s">
        <v>9659</v>
      </c>
      <c r="Y200" s="230" t="str">
        <f t="shared" si="1"/>
        <v>651125</v>
      </c>
      <c r="Z200" s="230" t="str">
        <f ca="1">IFERROR(__xludf.DUMMYFUNCTION("QUERY($S$2:$S$195,""select S where S like '%""&amp;Y200&amp;""%'"")"),"82DH0515010016000651125")</f>
        <v>82DH0515010016000651125</v>
      </c>
    </row>
    <row r="201" spans="14:26" ht="15">
      <c r="N201" s="232" t="s">
        <v>9658</v>
      </c>
      <c r="O201" s="167" t="str">
        <f ca="1">IFERROR(__xludf.DUMMYFUNCTION("QUERY('030523 INVENTARIO'!$T$2:$T$1015,""select R where R like  '%""&amp;N201&amp;""%'"")"),"#VALUE!")</f>
        <v>#VALUE!</v>
      </c>
      <c r="X201" s="86" t="s">
        <v>9658</v>
      </c>
      <c r="Y201" s="230" t="str">
        <f t="shared" si="1"/>
        <v>649686</v>
      </c>
      <c r="Z201" s="230" t="str">
        <f ca="1">IFERROR(__xludf.DUMMYFUNCTION("QUERY($S$2:$S$195,""select S where S like '%""&amp;Y201&amp;""%'"")"),"82DH0515010016000649686")</f>
        <v>82DH0515010016000649686</v>
      </c>
    </row>
    <row r="202" spans="14:26" ht="15">
      <c r="N202" s="232" t="s">
        <v>9629</v>
      </c>
      <c r="O202" s="167" t="str">
        <f ca="1">IFERROR(__xludf.DUMMYFUNCTION("QUERY('030523 INVENTARIO'!$T$2:$T$1015,""select R where R like  '%""&amp;N202&amp;""%'"")"),"#VALUE!")</f>
        <v>#VALUE!</v>
      </c>
      <c r="X202" s="86" t="s">
        <v>9629</v>
      </c>
      <c r="Y202" s="230" t="str">
        <f t="shared" si="1"/>
        <v>564571</v>
      </c>
      <c r="Z202" s="230" t="str">
        <f ca="1">IFERROR(__xludf.DUMMYFUNCTION("QUERY($S$2:$S$195,""select S where S like '%""&amp;Y202&amp;""%'"")"),"82DH0515010016000564571")</f>
        <v>82DH0515010016000564571</v>
      </c>
    </row>
    <row r="203" spans="14:26" ht="15">
      <c r="N203" s="232" t="s">
        <v>9626</v>
      </c>
      <c r="O203" s="167" t="str">
        <f ca="1">IFERROR(__xludf.DUMMYFUNCTION("QUERY('030523 INVENTARIO'!$T$2:$T$1015,""select R where R like  '%""&amp;N203&amp;""%'"")"),"#VALUE!")</f>
        <v>#VALUE!</v>
      </c>
      <c r="X203" s="86" t="s">
        <v>9626</v>
      </c>
      <c r="Y203" s="230" t="str">
        <f t="shared" si="1"/>
        <v>522284</v>
      </c>
      <c r="Z203" s="230" t="str">
        <f ca="1">IFERROR(__xludf.DUMMYFUNCTION("QUERY($S$2:$S$195,""select S where S like '%""&amp;Y203&amp;""%'"")"),"82DH0515010016000522284")</f>
        <v>82DH0515010016000522284</v>
      </c>
    </row>
    <row r="204" spans="14:26" ht="15">
      <c r="N204" s="232" t="s">
        <v>9657</v>
      </c>
      <c r="O204" s="167" t="str">
        <f ca="1">IFERROR(__xludf.DUMMYFUNCTION("QUERY('030523 INVENTARIO'!$T$2:$T$1015,""select R where R like  '%""&amp;N204&amp;""%'"")"),"#VALUE!")</f>
        <v>#VALUE!</v>
      </c>
      <c r="X204" s="86" t="s">
        <v>9657</v>
      </c>
      <c r="Y204" s="230" t="str">
        <f t="shared" si="1"/>
        <v>651132</v>
      </c>
      <c r="Z204" s="230" t="str">
        <f ca="1">IFERROR(__xludf.DUMMYFUNCTION("QUERY($S$2:$S$195,""select S where S like '%""&amp;Y204&amp;""%'"")"),"82DH0515010013000651132")</f>
        <v>82DH0515010013000651132</v>
      </c>
    </row>
    <row r="205" spans="14:26" ht="15">
      <c r="N205" s="232" t="s">
        <v>9655</v>
      </c>
      <c r="O205" s="167" t="str">
        <f ca="1">IFERROR(__xludf.DUMMYFUNCTION("QUERY('030523 INVENTARIO'!$T$2:$T$1015,""select R where R like  '%""&amp;N205&amp;""%'"")"),"#VALUE!")</f>
        <v>#VALUE!</v>
      </c>
      <c r="X205" s="86" t="s">
        <v>9655</v>
      </c>
      <c r="Y205" s="230" t="str">
        <f t="shared" si="1"/>
        <v>649684</v>
      </c>
      <c r="Z205" s="230" t="str">
        <f ca="1">IFERROR(__xludf.DUMMYFUNCTION("QUERY($S$2:$S$195,""select S where S like '%""&amp;Y205&amp;""%'"")"),"82DH0515010013000649684")</f>
        <v>82DH0515010013000649684</v>
      </c>
    </row>
    <row r="206" spans="14:26" ht="15">
      <c r="N206" s="232" t="s">
        <v>9671</v>
      </c>
      <c r="O206" s="167" t="str">
        <f ca="1">IFERROR(__xludf.DUMMYFUNCTION("QUERY('030523 INVENTARIO'!$T$2:$T$1015,""select R where R like  '%""&amp;N206&amp;""%'"")"),"#VALUE!")</f>
        <v>#VALUE!</v>
      </c>
      <c r="X206" s="86" t="s">
        <v>9671</v>
      </c>
      <c r="Y206" s="230" t="str">
        <f t="shared" si="1"/>
        <v>649675</v>
      </c>
      <c r="Z206" s="230" t="str">
        <f ca="1">IFERROR(__xludf.DUMMYFUNCTION("QUERY($S$2:$S$195,""select S where S like '%""&amp;Y206&amp;""%'"")"),"#N/A")</f>
        <v>#N/A</v>
      </c>
    </row>
    <row r="207" spans="14:26" ht="15">
      <c r="N207" s="232" t="s">
        <v>9656</v>
      </c>
      <c r="O207" s="167" t="str">
        <f ca="1">IFERROR(__xludf.DUMMYFUNCTION("QUERY('030523 INVENTARIO'!$T$2:$T$1015,""select R where R like  '%""&amp;N207&amp;""%'"")"),"#VALUE!")</f>
        <v>#VALUE!</v>
      </c>
      <c r="X207" s="86" t="s">
        <v>9656</v>
      </c>
      <c r="Y207" s="230" t="str">
        <f t="shared" si="1"/>
        <v>649643</v>
      </c>
      <c r="Z207" s="230" t="str">
        <f ca="1">IFERROR(__xludf.DUMMYFUNCTION("QUERY($S$2:$S$195,""select S where S like '%""&amp;Y207&amp;""%'"")"),"82DH0515010013000649643")</f>
        <v>82DH0515010013000649643</v>
      </c>
    </row>
    <row r="208" spans="14:26" ht="15">
      <c r="N208" s="232" t="s">
        <v>7402</v>
      </c>
      <c r="O208" s="167" t="str">
        <f ca="1">IFERROR(__xludf.DUMMYFUNCTION("QUERY('030523 INVENTARIO'!$T$2:$T$1015,""select R where R like  '%""&amp;N208&amp;""%'"")"),"#VALUE!")</f>
        <v>#VALUE!</v>
      </c>
      <c r="X208" s="86" t="s">
        <v>7402</v>
      </c>
      <c r="Y208" s="230" t="str">
        <f t="shared" si="1"/>
        <v>515122</v>
      </c>
      <c r="Z208" s="230" t="str">
        <f ca="1">IFERROR(__xludf.DUMMYFUNCTION("QUERY($S$2:$S$195,""select S where S like '%""&amp;Y208&amp;""%'"")"),"82DH0515010010000515122")</f>
        <v>82DH0515010010000515122</v>
      </c>
    </row>
    <row r="209" spans="14:26" ht="15">
      <c r="N209" s="232" t="s">
        <v>9634</v>
      </c>
      <c r="O209" s="167" t="str">
        <f ca="1">IFERROR(__xludf.DUMMYFUNCTION("QUERY('030523 INVENTARIO'!$T$2:$T$1015,""select R where R like  '%""&amp;N209&amp;""%'"")"),"#VALUE!")</f>
        <v>#VALUE!</v>
      </c>
      <c r="X209" s="86" t="s">
        <v>9634</v>
      </c>
      <c r="Y209" s="230" t="str">
        <f t="shared" si="1"/>
        <v>535083</v>
      </c>
      <c r="Z209" s="230" t="str">
        <f ca="1">IFERROR(__xludf.DUMMYFUNCTION("QUERY($S$2:$S$195,""select S where S like '%""&amp;Y209&amp;""%'"")"),"#N/A")</f>
        <v>#N/A</v>
      </c>
    </row>
    <row r="210" spans="14:26" ht="15">
      <c r="N210" s="232" t="s">
        <v>9592</v>
      </c>
      <c r="O210" s="167" t="str">
        <f ca="1">IFERROR(__xludf.DUMMYFUNCTION("QUERY('030523 INVENTARIO'!$T$2:$T$1015,""select R where R like  '%""&amp;N210&amp;""%'"")"),"#VALUE!")</f>
        <v>#VALUE!</v>
      </c>
      <c r="X210" s="86" t="s">
        <v>9592</v>
      </c>
      <c r="Y210" s="230" t="str">
        <f t="shared" si="1"/>
        <v>649692</v>
      </c>
      <c r="Z210" s="230" t="str">
        <f ca="1">IFERROR(__xludf.DUMMYFUNCTION("QUERY($S$2:$S$195,""select S where S like '%""&amp;Y210&amp;""%'"")"),"82DH0515010003000649692")</f>
        <v>82DH0515010003000649692</v>
      </c>
    </row>
    <row r="211" spans="14:26" ht="15">
      <c r="N211" s="232" t="s">
        <v>9596</v>
      </c>
      <c r="O211" s="167" t="str">
        <f ca="1">IFERROR(__xludf.DUMMYFUNCTION("QUERY('030523 INVENTARIO'!$T$2:$T$1015,""select R where R like  '%""&amp;N211&amp;""%'"")"),"#VALUE!")</f>
        <v>#VALUE!</v>
      </c>
      <c r="X211" s="86" t="s">
        <v>9596</v>
      </c>
      <c r="Y211" s="230" t="str">
        <f t="shared" si="1"/>
        <v>649673</v>
      </c>
      <c r="Z211" s="230" t="str">
        <f ca="1">IFERROR(__xludf.DUMMYFUNCTION("QUERY($S$2:$S$195,""select S where S like '%""&amp;Y211&amp;""%'"")"),"82DH0515010003000649673")</f>
        <v>82DH0515010003000649673</v>
      </c>
    </row>
    <row r="212" spans="14:26" ht="15">
      <c r="N212" s="232" t="s">
        <v>9599</v>
      </c>
      <c r="O212" s="167" t="str">
        <f ca="1">IFERROR(__xludf.DUMMYFUNCTION("QUERY('030523 INVENTARIO'!$T$2:$T$1015,""select R where R like  '%""&amp;N212&amp;""%'"")"),"#VALUE!")</f>
        <v>#VALUE!</v>
      </c>
      <c r="X212" s="86" t="s">
        <v>9599</v>
      </c>
      <c r="Y212" s="230" t="str">
        <f t="shared" si="1"/>
        <v>649649</v>
      </c>
      <c r="Z212" s="230" t="str">
        <f ca="1">IFERROR(__xludf.DUMMYFUNCTION("QUERY($S$2:$S$195,""select S where S like '%""&amp;Y212&amp;""%'"")"),"82DH0515010003000649649")</f>
        <v>82DH0515010003000649649</v>
      </c>
    </row>
    <row r="213" spans="14:26" ht="15">
      <c r="N213" s="232" t="s">
        <v>9606</v>
      </c>
      <c r="O213" s="167" t="str">
        <f ca="1">IFERROR(__xludf.DUMMYFUNCTION("QUERY('030523 INVENTARIO'!$T$2:$T$1015,""select R where R like  '%""&amp;N213&amp;""%'"")"),"#VALUE!")</f>
        <v>#VALUE!</v>
      </c>
      <c r="X213" s="86" t="s">
        <v>9606</v>
      </c>
      <c r="Y213" s="230" t="str">
        <f t="shared" si="1"/>
        <v>649674</v>
      </c>
      <c r="Z213" s="230" t="str">
        <f ca="1">IFERROR(__xludf.DUMMYFUNCTION("QUERY($S$2:$S$195,""select S where S like '%""&amp;Y213&amp;""%'"")"),"82DH0515010002000649674")</f>
        <v>82DH0515010002000649674</v>
      </c>
    </row>
    <row r="214" spans="14:26" ht="15">
      <c r="N214" s="232" t="s">
        <v>8300</v>
      </c>
      <c r="O214" s="167" t="str">
        <f ca="1">IFERROR(__xludf.DUMMYFUNCTION("QUERY('030523 INVENTARIO'!$T$2:$T$1015,""select R where R like  '%""&amp;N214&amp;""%'"")"),"#VALUE!")</f>
        <v>#VALUE!</v>
      </c>
      <c r="X214" s="86" t="s">
        <v>8300</v>
      </c>
      <c r="Y214" s="230" t="str">
        <f t="shared" si="1"/>
        <v>649659</v>
      </c>
      <c r="Z214" s="230" t="str">
        <f ca="1">IFERROR(__xludf.DUMMYFUNCTION("QUERY($S$2:$S$195,""select S where S like '%""&amp;Y214&amp;""%'"")"),"82DH0515010002000649659")</f>
        <v>82DH0515010002000649659</v>
      </c>
    </row>
    <row r="215" spans="14:26" ht="15">
      <c r="N215" s="232" t="s">
        <v>9613</v>
      </c>
      <c r="O215" s="167" t="str">
        <f ca="1">IFERROR(__xludf.DUMMYFUNCTION("QUERY('030523 INVENTARIO'!$T$2:$T$1015,""select R where R like  '%""&amp;N215&amp;""%'"")"),"#VALUE!")</f>
        <v>#VALUE!</v>
      </c>
      <c r="X215" s="86" t="s">
        <v>9613</v>
      </c>
      <c r="Y215" s="230" t="str">
        <f t="shared" si="1"/>
        <v>539981</v>
      </c>
      <c r="Z215" s="230" t="str">
        <f ca="1">IFERROR(__xludf.DUMMYFUNCTION("QUERY($S$2:$S$195,""select S where S like '%""&amp;Y215&amp;""%'"")"),"82DH0515010002000539981")</f>
        <v>82DH0515010002000539981</v>
      </c>
    </row>
    <row r="216" spans="14:26" ht="15">
      <c r="N216" s="232" t="s">
        <v>9611</v>
      </c>
      <c r="O216" s="167" t="str">
        <f ca="1">IFERROR(__xludf.DUMMYFUNCTION("QUERY('030523 INVENTARIO'!$T$2:$T$1015,""select R where R like  '%""&amp;N216&amp;""%'"")"),"#VALUE!")</f>
        <v>#VALUE!</v>
      </c>
      <c r="X216" s="86" t="s">
        <v>9611</v>
      </c>
      <c r="Y216" s="230" t="str">
        <f t="shared" si="1"/>
        <v>539099</v>
      </c>
      <c r="Z216" s="230" t="str">
        <f ca="1">IFERROR(__xludf.DUMMYFUNCTION("QUERY($S$2:$S$195,""select S where S like '%""&amp;Y216&amp;""%'"")"),"82DH0515010002000539099")</f>
        <v>82DH0515010002000539099</v>
      </c>
    </row>
    <row r="217" spans="14:26" ht="15">
      <c r="N217" s="232" t="s">
        <v>9610</v>
      </c>
      <c r="O217" s="167" t="str">
        <f ca="1">IFERROR(__xludf.DUMMYFUNCTION("QUERY('030523 INVENTARIO'!$T$2:$T$1015,""select R where R like  '%""&amp;N217&amp;""%'"")"),"#VALUE!")</f>
        <v>#VALUE!</v>
      </c>
      <c r="X217" s="86" t="s">
        <v>9610</v>
      </c>
      <c r="Y217" s="230" t="str">
        <f t="shared" si="1"/>
        <v>539098</v>
      </c>
      <c r="Z217" s="230" t="str">
        <f ca="1">IFERROR(__xludf.DUMMYFUNCTION("QUERY($S$2:$S$195,""select S where S like '%""&amp;Y217&amp;""%'"")"),"82DH0515010002000539098")</f>
        <v>82DH0515010002000539098</v>
      </c>
    </row>
    <row r="218" spans="14:26" ht="15">
      <c r="N218" s="232" t="s">
        <v>9608</v>
      </c>
      <c r="O218" s="167" t="str">
        <f ca="1">IFERROR(__xludf.DUMMYFUNCTION("QUERY('030523 INVENTARIO'!$T$2:$T$1015,""select R where R like  '%""&amp;N218&amp;""%'"")"),"#VALUE!")</f>
        <v>#VALUE!</v>
      </c>
      <c r="X218" s="86" t="s">
        <v>9608</v>
      </c>
      <c r="Y218" s="230" t="str">
        <f t="shared" si="1"/>
        <v>535852</v>
      </c>
      <c r="Z218" s="230" t="str">
        <f ca="1">IFERROR(__xludf.DUMMYFUNCTION("QUERY($S$2:$S$195,""select S where S like '%""&amp;Y218&amp;""%'"")"),"82DH0515010002000535852")</f>
        <v>82DH0515010002000535852</v>
      </c>
    </row>
    <row r="219" spans="14:26" ht="15">
      <c r="N219" s="232" t="s">
        <v>9672</v>
      </c>
      <c r="O219" s="167" t="str">
        <f ca="1">IFERROR(__xludf.DUMMYFUNCTION("QUERY('030523 INVENTARIO'!$T$2:$T$1015,""select R where R like  '%""&amp;N219&amp;""%'"")"),"#VALUE!")</f>
        <v>#VALUE!</v>
      </c>
      <c r="X219" s="86" t="s">
        <v>9672</v>
      </c>
      <c r="Y219" s="230" t="str">
        <f t="shared" si="1"/>
        <v>535815</v>
      </c>
      <c r="Z219" s="230" t="str">
        <f ca="1">IFERROR(__xludf.DUMMYFUNCTION("QUERY($S$2:$S$195,""select S where S like '%""&amp;Y219&amp;""%'"")"),"#N/A")</f>
        <v>#N/A</v>
      </c>
    </row>
    <row r="220" spans="14:26" ht="15">
      <c r="N220" s="232" t="s">
        <v>9673</v>
      </c>
      <c r="O220" s="167" t="str">
        <f ca="1">IFERROR(__xludf.DUMMYFUNCTION("QUERY('030523 INVENTARIO'!$T$2:$T$1015,""select R where R like  '%""&amp;N220&amp;""%'"")"),"#VALUE!")</f>
        <v>#VALUE!</v>
      </c>
      <c r="X220" s="86" t="s">
        <v>9673</v>
      </c>
      <c r="Y220" s="230" t="str">
        <f t="shared" si="1"/>
        <v>564516</v>
      </c>
      <c r="Z220" s="230" t="str">
        <f ca="1">IFERROR(__xludf.DUMMYFUNCTION("QUERY($S$2:$S$195,""select S where S like '%""&amp;Y220&amp;""%'"")"),"#N/A")</f>
        <v>#N/A</v>
      </c>
    </row>
    <row r="221" spans="14:26" ht="15">
      <c r="N221" s="232" t="s">
        <v>9674</v>
      </c>
      <c r="O221" s="167" t="str">
        <f ca="1">IFERROR(__xludf.DUMMYFUNCTION("QUERY('030523 INVENTARIO'!$T$2:$T$1015,""select R where R like  '%""&amp;N221&amp;""%'"")"),"#VALUE!")</f>
        <v>#VALUE!</v>
      </c>
      <c r="X221" s="86" t="s">
        <v>9674</v>
      </c>
      <c r="Y221" s="230" t="str">
        <f t="shared" si="1"/>
        <v>539015</v>
      </c>
      <c r="Z221" s="230" t="str">
        <f ca="1">IFERROR(__xludf.DUMMYFUNCTION("QUERY($S$2:$S$195,""select S where S like '%""&amp;Y221&amp;""%'"")"),"#N/A")</f>
        <v>#N/A</v>
      </c>
    </row>
    <row r="222" spans="14:26" ht="15">
      <c r="N222" s="231" t="s">
        <v>9630</v>
      </c>
      <c r="O222" s="167" t="str">
        <f ca="1">IFERROR(__xludf.DUMMYFUNCTION("QUERY('030523 INVENTARIO'!$T$2:$T$1015,""select R where R like  '%""&amp;N222&amp;""%'"")"),"#VALUE!")</f>
        <v>#VALUE!</v>
      </c>
      <c r="X222" s="86" t="s">
        <v>9630</v>
      </c>
      <c r="Y222" s="230" t="str">
        <f t="shared" si="1"/>
        <v>515317</v>
      </c>
      <c r="Z222" s="230" t="str">
        <f ca="1">IFERROR(__xludf.DUMMYFUNCTION("QUERY($S$2:$S$195,""select S where S like '%""&amp;Y222&amp;""%'"")"),"82DH0512010011000515317")</f>
        <v>82DH0512010011000515317</v>
      </c>
    </row>
    <row r="223" spans="14:26" ht="15">
      <c r="N223" s="232" t="s">
        <v>9635</v>
      </c>
      <c r="O223" s="167" t="str">
        <f ca="1">IFERROR(__xludf.DUMMYFUNCTION("QUERY('030523 INVENTARIO'!$T$2:$T$1015,""select R where R like  '%""&amp;N223&amp;""%'"")"),"#VALUE!")</f>
        <v>#VALUE!</v>
      </c>
      <c r="X223" s="86" t="s">
        <v>9635</v>
      </c>
      <c r="Y223" s="230" t="str">
        <f t="shared" si="1"/>
        <v>649681</v>
      </c>
      <c r="Z223" s="230" t="str">
        <f ca="1">IFERROR(__xludf.DUMMYFUNCTION("QUERY($S$2:$S$195,""select S where S like '%""&amp;Y223&amp;""%'"")"),"82DH0511010020000649681")</f>
        <v>82DH0511010020000649681</v>
      </c>
    </row>
    <row r="224" spans="14:26" ht="15">
      <c r="N224" s="232" t="s">
        <v>9675</v>
      </c>
      <c r="O224" s="167" t="str">
        <f ca="1">IFERROR(__xludf.DUMMYFUNCTION("QUERY('030523 INVENTARIO'!$T$2:$T$1015,""select R where R like  '%""&amp;N224&amp;""%'"")"),"#VALUE!")</f>
        <v>#VALUE!</v>
      </c>
      <c r="X224" s="86" t="s">
        <v>9675</v>
      </c>
      <c r="Y224" s="230" t="str">
        <f t="shared" si="1"/>
        <v>522523</v>
      </c>
      <c r="Z224" s="230" t="str">
        <f ca="1">IFERROR(__xludf.DUMMYFUNCTION("QUERY($S$2:$S$195,""select S where S like '%""&amp;Y224&amp;""%'"")"),"#N/A")</f>
        <v>#N/A</v>
      </c>
    </row>
    <row r="225" spans="14:26" ht="15">
      <c r="N225" s="232" t="s">
        <v>9646</v>
      </c>
      <c r="O225" s="167" t="str">
        <f ca="1">IFERROR(__xludf.DUMMYFUNCTION("QUERY('030523 INVENTARIO'!$T$2:$T$1015,""select R where R like  '%""&amp;N225&amp;""%'"")"),"#VALUE!")</f>
        <v>#VALUE!</v>
      </c>
      <c r="X225" s="86" t="s">
        <v>9646</v>
      </c>
      <c r="Y225" s="230" t="str">
        <f t="shared" si="1"/>
        <v>649657</v>
      </c>
      <c r="Z225" s="230" t="str">
        <f ca="1">IFERROR(__xludf.DUMMYFUNCTION("QUERY($S$2:$S$195,""select S where S like '%""&amp;Y225&amp;""%'"")"),"82DH0511010010000649657")</f>
        <v>82DH0511010010000649657</v>
      </c>
    </row>
    <row r="226" spans="14:26" ht="15">
      <c r="N226" s="232" t="s">
        <v>9645</v>
      </c>
      <c r="O226" s="167" t="str">
        <f ca="1">IFERROR(__xludf.DUMMYFUNCTION("QUERY('030523 INVENTARIO'!$T$2:$T$1015,""select R where R like  '%""&amp;N226&amp;""%'"")"),"#VALUE!")</f>
        <v>#VALUE!</v>
      </c>
      <c r="X226" s="86" t="s">
        <v>9645</v>
      </c>
      <c r="Y226" s="230" t="str">
        <f t="shared" si="1"/>
        <v>649656</v>
      </c>
      <c r="Z226" s="230" t="str">
        <f ca="1">IFERROR(__xludf.DUMMYFUNCTION("QUERY($S$2:$S$195,""select S where S like '%""&amp;Y226&amp;""%'"")"),"82DH0511010010000649656")</f>
        <v>82DH0511010010000649656</v>
      </c>
    </row>
    <row r="227" spans="14:26" ht="15">
      <c r="N227" s="232" t="s">
        <v>9644</v>
      </c>
      <c r="O227" s="167" t="str">
        <f ca="1">IFERROR(__xludf.DUMMYFUNCTION("QUERY('030523 INVENTARIO'!$T$2:$T$1015,""select R where R like  '%""&amp;N227&amp;""%'"")"),"#VALUE!")</f>
        <v>#VALUE!</v>
      </c>
      <c r="X227" s="86" t="s">
        <v>9644</v>
      </c>
      <c r="Y227" s="230" t="str">
        <f t="shared" si="1"/>
        <v>649655</v>
      </c>
      <c r="Z227" s="230" t="str">
        <f ca="1">IFERROR(__xludf.DUMMYFUNCTION("QUERY($S$2:$S$195,""select S where S like '%""&amp;Y227&amp;""%'"")"),"82DH0511010010000649655")</f>
        <v>82DH0511010010000649655</v>
      </c>
    </row>
    <row r="228" spans="14:26" ht="15">
      <c r="N228" s="231" t="s">
        <v>9643</v>
      </c>
      <c r="O228" s="167" t="str">
        <f ca="1">IFERROR(__xludf.DUMMYFUNCTION("QUERY('030523 INVENTARIO'!$T$2:$T$1015,""select R where R like  '%""&amp;N228&amp;""%'"")"),"#VALUE!")</f>
        <v>#VALUE!</v>
      </c>
      <c r="X228" s="86" t="s">
        <v>9643</v>
      </c>
      <c r="Y228" s="230" t="str">
        <f t="shared" si="1"/>
        <v>649645</v>
      </c>
      <c r="Z228" s="230" t="str">
        <f ca="1">IFERROR(__xludf.DUMMYFUNCTION("QUERY($S$2:$S$195,""select S where S like '%""&amp;Y228&amp;""%'"")"),"82DH0511010010000649645")</f>
        <v>82DH0511010010000649645</v>
      </c>
    </row>
    <row r="229" spans="14:26" ht="15">
      <c r="N229" s="232" t="s">
        <v>9620</v>
      </c>
      <c r="O229" s="167" t="str">
        <f ca="1">IFERROR(__xludf.DUMMYFUNCTION("QUERY('030523 INVENTARIO'!$T$2:$T$1015,""select R where R like  '%""&amp;N229&amp;""%'"")"),"#VALUE!")</f>
        <v>#VALUE!</v>
      </c>
      <c r="X229" s="86" t="s">
        <v>9620</v>
      </c>
      <c r="Y229" s="230" t="str">
        <f t="shared" si="1"/>
        <v>649652</v>
      </c>
      <c r="Z229" s="230" t="str">
        <f ca="1">IFERROR(__xludf.DUMMYFUNCTION("QUERY($S$2:$S$195,""select S where S like '%""&amp;Y229&amp;""%'"")"),"82DH0511010006000649652")</f>
        <v>82DH0511010006000649652</v>
      </c>
    </row>
    <row r="230" spans="14:26" ht="15">
      <c r="N230" s="232" t="s">
        <v>9619</v>
      </c>
      <c r="O230" s="167" t="str">
        <f ca="1">IFERROR(__xludf.DUMMYFUNCTION("QUERY('030523 INVENTARIO'!$T$2:$T$1015,""select R where R like  '%""&amp;N230&amp;""%'"")"),"#VALUE!")</f>
        <v>#VALUE!</v>
      </c>
      <c r="X230" s="86" t="s">
        <v>9619</v>
      </c>
      <c r="Y230" s="230" t="str">
        <f t="shared" si="1"/>
        <v>649642</v>
      </c>
      <c r="Z230" s="230" t="str">
        <f ca="1">IFERROR(__xludf.DUMMYFUNCTION("QUERY($S$2:$S$195,""select S where S like '%""&amp;Y230&amp;""%'"")"),"82DH0511010006000649642")</f>
        <v>82DH0511010006000649642</v>
      </c>
    </row>
    <row r="231" spans="14:26" ht="15">
      <c r="N231" s="232" t="s">
        <v>8327</v>
      </c>
      <c r="O231" s="167" t="str">
        <f ca="1">IFERROR(__xludf.DUMMYFUNCTION("QUERY('030523 INVENTARIO'!$T$2:$T$1015,""select R where R like  '%""&amp;N231&amp;""%'"")"),"#VALUE!")</f>
        <v>#VALUE!</v>
      </c>
      <c r="X231" s="86" t="s">
        <v>8327</v>
      </c>
      <c r="Y231" s="230" t="str">
        <f t="shared" si="1"/>
        <v>649687</v>
      </c>
      <c r="Z231" s="230" t="str">
        <f ca="1">IFERROR(__xludf.DUMMYFUNCTION("QUERY($S$2:$S$195,""select S where S like '%""&amp;Y231&amp;""%'"")"),"82DJ0515010016000649687")</f>
        <v>82DJ0515010016000649687</v>
      </c>
    </row>
    <row r="232" spans="14:26" ht="15">
      <c r="N232" s="232" t="s">
        <v>8329</v>
      </c>
      <c r="O232" s="167" t="str">
        <f ca="1">IFERROR(__xludf.DUMMYFUNCTION("QUERY('030523 INVENTARIO'!$T$2:$T$1015,""select R where R like  '%""&amp;N232&amp;""%'"")"),"#VALUE!")</f>
        <v>#VALUE!</v>
      </c>
      <c r="X232" s="86" t="s">
        <v>8329</v>
      </c>
      <c r="Y232" s="230" t="str">
        <f t="shared" si="1"/>
        <v>649689</v>
      </c>
      <c r="Z232" s="230" t="str">
        <f ca="1">IFERROR(__xludf.DUMMYFUNCTION("QUERY($S$2:$S$195,""select S where S like '%""&amp;Y232&amp;""%'"")"),"#N/A")</f>
        <v>#N/A</v>
      </c>
    </row>
    <row r="233" spans="14:26" ht="15">
      <c r="N233" s="232" t="s">
        <v>8312</v>
      </c>
      <c r="O233" s="167" t="str">
        <f ca="1">IFERROR(__xludf.DUMMYFUNCTION("QUERY('030523 INVENTARIO'!$T$2:$T$1015,""select R where R like  '%""&amp;N233&amp;""%'"")"),"#VALUE!")</f>
        <v>#VALUE!</v>
      </c>
      <c r="X233" s="86" t="s">
        <v>8312</v>
      </c>
      <c r="Y233" s="230" t="str">
        <f t="shared" si="1"/>
        <v>649672</v>
      </c>
      <c r="Z233" s="230" t="str">
        <f ca="1">IFERROR(__xludf.DUMMYFUNCTION("QUERY($S$2:$S$195,""select S where S like '%""&amp;Y233&amp;""%'"")"),"82DJ0515010010000649672")</f>
        <v>82DJ0515010010000649672</v>
      </c>
    </row>
    <row r="234" spans="14:26" ht="15">
      <c r="N234" s="232" t="s">
        <v>8328</v>
      </c>
      <c r="O234" s="167" t="str">
        <f ca="1">IFERROR(__xludf.DUMMYFUNCTION("QUERY('030523 INVENTARIO'!$T$2:$T$1015,""select R where R like  '%""&amp;N234&amp;""%'"")"),"#VALUE!")</f>
        <v>#VALUE!</v>
      </c>
      <c r="X234" s="86" t="s">
        <v>8328</v>
      </c>
      <c r="Y234" s="230" t="str">
        <f t="shared" si="1"/>
        <v>649688</v>
      </c>
      <c r="Z234" s="230" t="str">
        <f ca="1">IFERROR(__xludf.DUMMYFUNCTION("QUERY($S$2:$S$195,""select S where S like '%""&amp;Y234&amp;""%'"")"),"82DJ0515010003000649688")</f>
        <v>82DJ0515010003000649688</v>
      </c>
    </row>
    <row r="235" spans="14:26" ht="15">
      <c r="N235" s="232" t="s">
        <v>9575</v>
      </c>
      <c r="O235" s="167" t="str">
        <f ca="1">IFERROR(__xludf.DUMMYFUNCTION("QUERY('030523 INVENTARIO'!$T$2:$T$1015,""select R where R like  '%""&amp;N235&amp;""%'"")"),"#VALUE!")</f>
        <v>#VALUE!</v>
      </c>
      <c r="X235" s="86" t="s">
        <v>9575</v>
      </c>
      <c r="Y235" s="230" t="str">
        <f t="shared" si="1"/>
        <v>564515</v>
      </c>
      <c r="Z235" s="230" t="str">
        <f ca="1">IFERROR(__xludf.DUMMYFUNCTION("QUERY($S$2:$S$195,""select S where S like '%""&amp;Y235&amp;""%'"")"),"82DH0515010001000564515")</f>
        <v>82DH0515010001000564515</v>
      </c>
    </row>
    <row r="236" spans="14:26" ht="15">
      <c r="N236" s="232" t="s">
        <v>9579</v>
      </c>
      <c r="O236" s="167" t="str">
        <f ca="1">IFERROR(__xludf.DUMMYFUNCTION("QUERY('030523 INVENTARIO'!$T$2:$T$1015,""select R where R like  '%""&amp;N236&amp;""%'"")"),"#VALUE!")</f>
        <v>#VALUE!</v>
      </c>
      <c r="X236" s="86" t="s">
        <v>9579</v>
      </c>
      <c r="Y236" s="230" t="str">
        <f t="shared" si="1"/>
        <v>539016</v>
      </c>
      <c r="Z236" s="230" t="str">
        <f ca="1">IFERROR(__xludf.DUMMYFUNCTION("QUERY($S$2:$S$195,""select S where S like '%""&amp;Y236&amp;""%'"")"),"82DH0515010001000539016")</f>
        <v>82DH0515010001000539016</v>
      </c>
    </row>
    <row r="237" spans="14:26" ht="15">
      <c r="N237" s="232" t="s">
        <v>9676</v>
      </c>
      <c r="O237" s="167" t="str">
        <f ca="1">IFERROR(__xludf.DUMMYFUNCTION("QUERY('030523 INVENTARIO'!$T$2:$T$1015,""select R where R like  '%""&amp;N237&amp;""%'"")"),"#VALUE!")</f>
        <v>#VALUE!</v>
      </c>
      <c r="X237" s="86" t="s">
        <v>9676</v>
      </c>
      <c r="Y237" s="230" t="str">
        <f t="shared" si="1"/>
        <v>580847</v>
      </c>
      <c r="Z237" s="230" t="str">
        <f ca="1">IFERROR(__xludf.DUMMYFUNCTION("QUERY($S$2:$S$195,""select S where S like '%""&amp;Y237&amp;""%'"")"),"82DJ0531010065000580847")</f>
        <v>82DJ0531010065000580847</v>
      </c>
    </row>
    <row r="238" spans="14:26" ht="15">
      <c r="N238" s="232" t="s">
        <v>9631</v>
      </c>
      <c r="O238" s="167" t="str">
        <f ca="1">IFERROR(__xludf.DUMMYFUNCTION("QUERY('030523 INVENTARIO'!$T$2:$T$1015,""select R where R like  '%""&amp;N238&amp;""%'"")"),"#VALUE!")</f>
        <v>#VALUE!</v>
      </c>
      <c r="X238" s="86" t="s">
        <v>9631</v>
      </c>
      <c r="Y238" s="230" t="str">
        <f t="shared" si="1"/>
        <v>566535</v>
      </c>
      <c r="Z238" s="230" t="str">
        <f ca="1">IFERROR(__xludf.DUMMYFUNCTION("QUERY($S$2:$S$195,""select S where S like '%""&amp;Y238&amp;""%'"")"),"82DH0565010041000566535")</f>
        <v>82DH0565010041000566535</v>
      </c>
    </row>
    <row r="239" spans="14:26" ht="15">
      <c r="N239" s="232" t="s">
        <v>9677</v>
      </c>
      <c r="O239" s="167" t="str">
        <f ca="1">IFERROR(__xludf.DUMMYFUNCTION("QUERY('030523 INVENTARIO'!$T$2:$T$1015,""select R where R like  '%""&amp;N239&amp;""%'"")"),"#VALUE!")</f>
        <v>#VALUE!</v>
      </c>
      <c r="X239" s="86" t="s">
        <v>9677</v>
      </c>
      <c r="Y239" s="230" t="str">
        <f t="shared" si="1"/>
        <v>539120</v>
      </c>
      <c r="Z239" s="230" t="str">
        <f ca="1">IFERROR(__xludf.DUMMYFUNCTION("QUERY($S$2:$S$195,""select S where S like '%""&amp;Y239&amp;""%'"")"),"82DJ0565010041000539120")</f>
        <v>82DJ0565010041000539120</v>
      </c>
    </row>
    <row r="240" spans="14:26" ht="15">
      <c r="N240" s="232" t="s">
        <v>9678</v>
      </c>
      <c r="O240" s="167" t="str">
        <f ca="1">IFERROR(__xludf.DUMMYFUNCTION("QUERY('030523 INVENTARIO'!$T$2:$T$1015,""select R where R like  '%""&amp;N240&amp;""%'"")"),"#VALUE!")</f>
        <v>#VALUE!</v>
      </c>
      <c r="X240" s="86" t="s">
        <v>9678</v>
      </c>
      <c r="Y240" s="230" t="str">
        <f t="shared" si="1"/>
        <v>522285</v>
      </c>
      <c r="Z240" s="230" t="str">
        <f ca="1">IFERROR(__xludf.DUMMYFUNCTION("QUERY($S$2:$S$195,""select S where S like '%""&amp;Y240&amp;""%'"")"),"82DJ0515010016000522285")</f>
        <v>82DJ0515010016000522285</v>
      </c>
    </row>
    <row r="241" spans="14:26" ht="15">
      <c r="N241" s="232" t="s">
        <v>9618</v>
      </c>
      <c r="O241" s="167" t="str">
        <f ca="1">IFERROR(__xludf.DUMMYFUNCTION("QUERY('030523 INVENTARIO'!$T$2:$T$1015,""select R where R like  '%""&amp;N241&amp;""%'"")"),"#VALUE!")</f>
        <v>#VALUE!</v>
      </c>
      <c r="X241" s="86" t="s">
        <v>9618</v>
      </c>
      <c r="Y241" s="230" t="str">
        <f t="shared" si="1"/>
        <v>533071</v>
      </c>
      <c r="Z241" s="230" t="str">
        <f ca="1">IFERROR(__xludf.DUMMYFUNCTION("QUERY($S$2:$S$195,""select S where S like '%""&amp;Y241&amp;""%'"")"),"82DH0565010001000533071")</f>
        <v>82DH0565010001000533071</v>
      </c>
    </row>
    <row r="242" spans="14:26" ht="15">
      <c r="N242" s="232" t="s">
        <v>9679</v>
      </c>
      <c r="O242" s="167" t="str">
        <f ca="1">IFERROR(__xludf.DUMMYFUNCTION("QUERY('030523 INVENTARIO'!$T$2:$T$1015,""select R where R like  '%""&amp;N242&amp;""%'"")"),"#VALUE!")</f>
        <v>#VALUE!</v>
      </c>
      <c r="X242" s="86" t="s">
        <v>9679</v>
      </c>
      <c r="Y242" s="230" t="str">
        <f t="shared" si="1"/>
        <v>564890</v>
      </c>
      <c r="Z242" s="230" t="str">
        <f ca="1">IFERROR(__xludf.DUMMYFUNCTION("QUERY($S$2:$S$195,""select S where S like '%""&amp;Y242&amp;""%'"")"),"82DJ0531010094000564890")</f>
        <v>82DJ0531010094000564890</v>
      </c>
    </row>
    <row r="243" spans="14:26" ht="15">
      <c r="N243" s="232" t="s">
        <v>9680</v>
      </c>
      <c r="O243" s="167" t="str">
        <f ca="1">IFERROR(__xludf.DUMMYFUNCTION("QUERY('030523 INVENTARIO'!$T$2:$T$1015,""select R where R like  '%""&amp;N243&amp;""%'"")"),"#VALUE!")</f>
        <v>#VALUE!</v>
      </c>
      <c r="X243" s="86" t="s">
        <v>9680</v>
      </c>
      <c r="Y243" s="230" t="str">
        <f t="shared" si="1"/>
        <v>564889</v>
      </c>
      <c r="Z243" s="230" t="str">
        <f ca="1">IFERROR(__xludf.DUMMYFUNCTION("QUERY($S$2:$S$195,""select S where S like '%""&amp;Y243&amp;""%'"")"),"82DJ0531010094000564889")</f>
        <v>82DJ0531010094000564889</v>
      </c>
    </row>
    <row r="244" spans="14:26" ht="15">
      <c r="N244" s="232" t="s">
        <v>9617</v>
      </c>
      <c r="O244" s="167" t="str">
        <f ca="1">IFERROR(__xludf.DUMMYFUNCTION("QUERY('030523 INVENTARIO'!$T$2:$T$1015,""select R where R like  '%""&amp;N244&amp;""%'"")"),"#VALUE!")</f>
        <v>#VALUE!</v>
      </c>
      <c r="X244" s="86" t="s">
        <v>9617</v>
      </c>
      <c r="Y244" s="230" t="str">
        <f t="shared" si="1"/>
        <v>539195</v>
      </c>
      <c r="Z244" s="230" t="str">
        <f ca="1">IFERROR(__xludf.DUMMYFUNCTION("QUERY($S$2:$S$195,""select S where S like '%""&amp;Y244&amp;""%'"")"),"82DH0531010094000539195")</f>
        <v>82DH0531010094000539195</v>
      </c>
    </row>
    <row r="245" spans="14:26" ht="15">
      <c r="N245" s="232" t="s">
        <v>7887</v>
      </c>
      <c r="O245" s="167" t="str">
        <f ca="1">IFERROR(__xludf.DUMMYFUNCTION("QUERY('030523 INVENTARIO'!$T$2:$T$1015,""select R where R like  '%""&amp;N245&amp;""%'"")"),"#VALUE!")</f>
        <v>#VALUE!</v>
      </c>
      <c r="X245" s="86" t="s">
        <v>7887</v>
      </c>
      <c r="Y245" s="230" t="str">
        <f t="shared" si="1"/>
        <v>564631</v>
      </c>
      <c r="Z245" s="230" t="str">
        <f ca="1">IFERROR(__xludf.DUMMYFUNCTION("QUERY($S$2:$S$195,""select S where S like '%""&amp;Y245&amp;""%'"")"),"#N/A")</f>
        <v>#N/A</v>
      </c>
    </row>
    <row r="246" spans="14:26" ht="15">
      <c r="N246" s="231" t="s">
        <v>7270</v>
      </c>
      <c r="O246" s="167" t="str">
        <f ca="1">IFERROR(__xludf.DUMMYFUNCTION("QUERY('030523 INVENTARIO'!$T$2:$T$1015,""select R where R like  '%""&amp;N246&amp;""%'"")"),"#VALUE!")</f>
        <v>#VALUE!</v>
      </c>
      <c r="X246" s="86" t="s">
        <v>7270</v>
      </c>
      <c r="Y246" s="230" t="str">
        <f t="shared" si="1"/>
        <v>537739</v>
      </c>
      <c r="Z246" s="230" t="str">
        <f ca="1">IFERROR(__xludf.DUMMYFUNCTION("QUERY($S$2:$S$195,""select S where S like '%""&amp;Y246&amp;""%'"")"),"#N/A")</f>
        <v>#N/A</v>
      </c>
    </row>
    <row r="247" spans="14:26" ht="15">
      <c r="N247" s="228" t="s">
        <v>8060</v>
      </c>
      <c r="O247" s="167" t="str">
        <f ca="1">IFERROR(__xludf.DUMMYFUNCTION("QUERY('030523 INVENTARIO'!$T$2:$T$1015,""select R where R like  '%""&amp;N247&amp;""%'"")"),"#VALUE!")</f>
        <v>#VALUE!</v>
      </c>
      <c r="X247" s="86" t="s">
        <v>8060</v>
      </c>
      <c r="Y247" s="230" t="str">
        <f t="shared" si="1"/>
        <v>566311</v>
      </c>
      <c r="Z247" s="230" t="str">
        <f ca="1">IFERROR(__xludf.DUMMYFUNCTION("QUERY($S$2:$S$195,""select S where S like '%""&amp;Y247&amp;""%'"")"),"#N/A")</f>
        <v>#N/A</v>
      </c>
    </row>
    <row r="248" spans="14:26" ht="15">
      <c r="N248" s="228" t="s">
        <v>7222</v>
      </c>
      <c r="O248" s="167" t="str">
        <f ca="1">IFERROR(__xludf.DUMMYFUNCTION("QUERY('030523 INVENTARIO'!$T$2:$T$1015,""select R where R like  '%""&amp;N248&amp;""%'"")"),"#VALUE!")</f>
        <v>#VALUE!</v>
      </c>
      <c r="X248" s="86" t="s">
        <v>7222</v>
      </c>
      <c r="Y248" s="230" t="str">
        <f t="shared" si="1"/>
        <v>542568</v>
      </c>
      <c r="Z248" s="230" t="str">
        <f ca="1">IFERROR(__xludf.DUMMYFUNCTION("QUERY($S$2:$S$195,""select S where S like '%""&amp;Y248&amp;""%'"")"),"#N/A")</f>
        <v>#N/A</v>
      </c>
    </row>
    <row r="249" spans="14:26" ht="15">
      <c r="N249" s="228" t="s">
        <v>7708</v>
      </c>
      <c r="O249" s="167" t="str">
        <f ca="1">IFERROR(__xludf.DUMMYFUNCTION("QUERY('030523 INVENTARIO'!$T$2:$T$1015,""select R where R like  '%""&amp;N249&amp;""%'"")"),"#VALUE!")</f>
        <v>#VALUE!</v>
      </c>
      <c r="X249" s="86" t="s">
        <v>7708</v>
      </c>
      <c r="Y249" s="230" t="str">
        <f t="shared" si="1"/>
        <v>535516</v>
      </c>
      <c r="Z249" s="230" t="str">
        <f ca="1">IFERROR(__xludf.DUMMYFUNCTION("QUERY($S$2:$S$195,""select S where S like '%""&amp;Y249&amp;""%'"")"),"#N/A")</f>
        <v>#N/A</v>
      </c>
    </row>
    <row r="250" spans="14:26" ht="15">
      <c r="N250" s="228" t="s">
        <v>8121</v>
      </c>
      <c r="O250" s="167" t="str">
        <f ca="1">IFERROR(__xludf.DUMMYFUNCTION("QUERY('030523 INVENTARIO'!$T$2:$T$1015,""select R where R like  '%""&amp;N250&amp;""%'"")"),"#VALUE!")</f>
        <v>#VALUE!</v>
      </c>
      <c r="X250" s="86" t="s">
        <v>8121</v>
      </c>
      <c r="Y250" s="230" t="str">
        <f t="shared" si="1"/>
        <v>583369</v>
      </c>
      <c r="Z250" s="230" t="str">
        <f ca="1">IFERROR(__xludf.DUMMYFUNCTION("QUERY($S$2:$S$195,""select S where S like '%""&amp;Y250&amp;""%'"")"),"#N/A")</f>
        <v>#N/A</v>
      </c>
    </row>
    <row r="251" spans="14:26" ht="15">
      <c r="N251" s="228" t="s">
        <v>7846</v>
      </c>
      <c r="O251" s="167" t="str">
        <f ca="1">IFERROR(__xludf.DUMMYFUNCTION("QUERY('030523 INVENTARIO'!$T$2:$T$1015,""select R where R like  '%""&amp;N251&amp;""%'"")"),"#VALUE!")</f>
        <v>#VALUE!</v>
      </c>
      <c r="X251" s="86" t="s">
        <v>7846</v>
      </c>
      <c r="Y251" s="230" t="str">
        <f t="shared" si="1"/>
        <v>542541</v>
      </c>
      <c r="Z251" s="230" t="str">
        <f ca="1">IFERROR(__xludf.DUMMYFUNCTION("QUERY($S$2:$S$195,""select S where S like '%""&amp;Y251&amp;""%'"")"),"#N/A")</f>
        <v>#N/A</v>
      </c>
    </row>
    <row r="252" spans="14:26" ht="15">
      <c r="N252" s="228" t="s">
        <v>7580</v>
      </c>
      <c r="O252" s="167" t="str">
        <f ca="1">IFERROR(__xludf.DUMMYFUNCTION("QUERY('030523 INVENTARIO'!$T$2:$T$1015,""select R where R like  '%""&amp;N252&amp;""%'"")"),"#VALUE!")</f>
        <v>#VALUE!</v>
      </c>
      <c r="X252" s="86" t="s">
        <v>7580</v>
      </c>
      <c r="Y252" s="230" t="str">
        <f t="shared" si="1"/>
        <v>519363</v>
      </c>
      <c r="Z252" s="230" t="str">
        <f ca="1">IFERROR(__xludf.DUMMYFUNCTION("QUERY($S$2:$S$195,""select S where S like '%""&amp;Y252&amp;""%'"")"),"#N/A")</f>
        <v>#N/A</v>
      </c>
    </row>
    <row r="253" spans="14:26" ht="15">
      <c r="N253" s="228" t="s">
        <v>7255</v>
      </c>
      <c r="O253" s="167" t="str">
        <f ca="1">IFERROR(__xludf.DUMMYFUNCTION("QUERY('030523 INVENTARIO'!$T$2:$T$1015,""select R where R like  '%""&amp;N253&amp;""%'"")"),"#VALUE!")</f>
        <v>#VALUE!</v>
      </c>
      <c r="X253" s="86" t="s">
        <v>7255</v>
      </c>
      <c r="Y253" s="230" t="str">
        <f t="shared" si="1"/>
        <v>518538</v>
      </c>
      <c r="Z253" s="230" t="str">
        <f ca="1">IFERROR(__xludf.DUMMYFUNCTION("QUERY($S$2:$S$195,""select S where S like '%""&amp;Y253&amp;""%'"")"),"#N/A")</f>
        <v>#N/A</v>
      </c>
    </row>
    <row r="254" spans="14:26" ht="15">
      <c r="N254" s="228" t="s">
        <v>8490</v>
      </c>
      <c r="O254" s="167" t="str">
        <f ca="1">IFERROR(__xludf.DUMMYFUNCTION("QUERY('030523 INVENTARIO'!$T$2:$T$1015,""select R where R like  '%""&amp;N254&amp;""%'"")"),"#VALUE!")</f>
        <v>#VALUE!</v>
      </c>
      <c r="X254" s="86" t="s">
        <v>8490</v>
      </c>
      <c r="Y254" s="230" t="str">
        <f t="shared" si="1"/>
        <v>535502</v>
      </c>
      <c r="Z254" s="230" t="str">
        <f ca="1">IFERROR(__xludf.DUMMYFUNCTION("QUERY($S$2:$S$195,""select S where S like '%""&amp;Y254&amp;""%'"")"),"82DK0515010001000535502")</f>
        <v>82DK0515010001000535502</v>
      </c>
    </row>
    <row r="255" spans="14:26" ht="15">
      <c r="N255" s="228" t="s">
        <v>8420</v>
      </c>
      <c r="O255" s="167" t="str">
        <f ca="1">IFERROR(__xludf.DUMMYFUNCTION("QUERY('030523 INVENTARIO'!$T$2:$T$1015,""select R where R like  '%""&amp;N255&amp;""%'"")"),"#VALUE!")</f>
        <v>#VALUE!</v>
      </c>
      <c r="X255" s="86" t="s">
        <v>8420</v>
      </c>
      <c r="Y255" s="230" t="str">
        <f t="shared" si="1"/>
        <v>516041</v>
      </c>
      <c r="Z255" s="230" t="str">
        <f ca="1">IFERROR(__xludf.DUMMYFUNCTION("QUERY($S$2:$S$195,""select S where S like '%""&amp;Y255&amp;""%'"")"),"#N/A")</f>
        <v>#N/A</v>
      </c>
    </row>
    <row r="256" spans="14:26" ht="15">
      <c r="N256" s="228" t="s">
        <v>7286</v>
      </c>
      <c r="O256" s="167" t="str">
        <f ca="1">IFERROR(__xludf.DUMMYFUNCTION("QUERY('030523 INVENTARIO'!$T$2:$T$1015,""select R where R like  '%""&amp;N256&amp;""%'"")"),"#VALUE!")</f>
        <v>#VALUE!</v>
      </c>
      <c r="X256" s="86" t="s">
        <v>7286</v>
      </c>
      <c r="Y256" s="230" t="str">
        <f t="shared" si="1"/>
        <v>515591</v>
      </c>
      <c r="Z256" s="230" t="str">
        <f ca="1">IFERROR(__xludf.DUMMYFUNCTION("QUERY($S$2:$S$195,""select S where S like '%""&amp;Y256&amp;""%'"")"),"#N/A")</f>
        <v>#N/A</v>
      </c>
    </row>
    <row r="257" spans="14:26" ht="15">
      <c r="N257" s="228" t="s">
        <v>7249</v>
      </c>
      <c r="O257" s="167" t="str">
        <f ca="1">IFERROR(__xludf.DUMMYFUNCTION("QUERY('030523 INVENTARIO'!$T$2:$T$1015,""select R where R like  '%""&amp;N257&amp;""%'"")"),"#VALUE!")</f>
        <v>#VALUE!</v>
      </c>
      <c r="X257" s="86" t="s">
        <v>7249</v>
      </c>
      <c r="Y257" s="230" t="str">
        <f t="shared" si="1"/>
        <v>535800</v>
      </c>
      <c r="Z257" s="230" t="str">
        <f ca="1">IFERROR(__xludf.DUMMYFUNCTION("QUERY($S$2:$S$195,""select S where S like '%""&amp;Y257&amp;""%'"")"),"#N/A")</f>
        <v>#N/A</v>
      </c>
    </row>
    <row r="258" spans="14:26" ht="15">
      <c r="N258" s="228" t="s">
        <v>7623</v>
      </c>
      <c r="O258" s="167" t="str">
        <f ca="1">IFERROR(__xludf.DUMMYFUNCTION("QUERY('030523 INVENTARIO'!$T$2:$T$1015,""select R where R like  '%""&amp;N258&amp;""%'"")"),"#VALUE!")</f>
        <v>#VALUE!</v>
      </c>
      <c r="X258" s="86" t="s">
        <v>7623</v>
      </c>
      <c r="Y258" s="230" t="str">
        <f t="shared" si="1"/>
        <v>527083</v>
      </c>
      <c r="Z258" s="230" t="str">
        <f ca="1">IFERROR(__xludf.DUMMYFUNCTION("QUERY($S$2:$S$195,""select S where S like '%""&amp;Y258&amp;""%'"")"),"#N/A")</f>
        <v>#N/A</v>
      </c>
    </row>
    <row r="259" spans="14:26" ht="15">
      <c r="N259" s="228" t="s">
        <v>8160</v>
      </c>
      <c r="O259" s="167" t="str">
        <f ca="1">IFERROR(__xludf.DUMMYFUNCTION("QUERY('030523 INVENTARIO'!$T$2:$T$1015,""select R where R like  '%""&amp;N259&amp;""%'"")"),"#VALUE!")</f>
        <v>#VALUE!</v>
      </c>
      <c r="X259" s="86" t="s">
        <v>8160</v>
      </c>
      <c r="Y259" s="230" t="str">
        <f t="shared" si="1"/>
        <v>584096</v>
      </c>
      <c r="Z259" s="230" t="str">
        <f ca="1">IFERROR(__xludf.DUMMYFUNCTION("QUERY($S$2:$S$195,""select S where S like '%""&amp;Y259&amp;""%'"")"),"#N/A")</f>
        <v>#N/A</v>
      </c>
    </row>
    <row r="260" spans="14:26" ht="15">
      <c r="N260" s="228" t="s">
        <v>7581</v>
      </c>
      <c r="O260" s="167" t="str">
        <f ca="1">IFERROR(__xludf.DUMMYFUNCTION("QUERY('030523 INVENTARIO'!$T$2:$T$1015,""select R where R like  '%""&amp;N260&amp;""%'"")"),"#VALUE!")</f>
        <v>#VALUE!</v>
      </c>
      <c r="X260" s="86" t="s">
        <v>7581</v>
      </c>
      <c r="Y260" s="230" t="str">
        <f t="shared" si="1"/>
        <v>520302</v>
      </c>
      <c r="Z260" s="230" t="str">
        <f ca="1">IFERROR(__xludf.DUMMYFUNCTION("QUERY($S$2:$S$195,""select S where S like '%""&amp;Y260&amp;""%'"")"),"#N/A")</f>
        <v>#N/A</v>
      </c>
    </row>
    <row r="261" spans="14:26" ht="15">
      <c r="N261" s="228" t="s">
        <v>7291</v>
      </c>
      <c r="O261" s="167" t="str">
        <f ca="1">IFERROR(__xludf.DUMMYFUNCTION("QUERY('030523 INVENTARIO'!$T$2:$T$1015,""select R where R like  '%""&amp;N261&amp;""%'"")"),"#VALUE!")</f>
        <v>#VALUE!</v>
      </c>
      <c r="X261" s="86" t="s">
        <v>7291</v>
      </c>
      <c r="Y261" s="230" t="str">
        <f t="shared" si="1"/>
        <v>535310</v>
      </c>
      <c r="Z261" s="230" t="str">
        <f ca="1">IFERROR(__xludf.DUMMYFUNCTION("QUERY($S$2:$S$195,""select S where S like '%""&amp;Y261&amp;""%'"")"),"#N/A")</f>
        <v>#N/A</v>
      </c>
    </row>
    <row r="262" spans="14:26" ht="15">
      <c r="N262" s="228" t="s">
        <v>7250</v>
      </c>
      <c r="O262" s="167" t="str">
        <f ca="1">IFERROR(__xludf.DUMMYFUNCTION("QUERY('030523 INVENTARIO'!$T$2:$T$1015,""select R where R like  '%""&amp;N262&amp;""%'"")"),"#VALUE!")</f>
        <v>#VALUE!</v>
      </c>
      <c r="X262" s="86" t="s">
        <v>7250</v>
      </c>
      <c r="Y262" s="230" t="str">
        <f t="shared" si="1"/>
        <v>515598</v>
      </c>
      <c r="Z262" s="230" t="str">
        <f ca="1">IFERROR(__xludf.DUMMYFUNCTION("QUERY($S$2:$S$195,""select S where S like '%""&amp;Y262&amp;""%'"")"),"#N/A")</f>
        <v>#N/A</v>
      </c>
    </row>
    <row r="263" spans="14:26" ht="15">
      <c r="N263" s="228" t="s">
        <v>7834</v>
      </c>
      <c r="O263" s="167" t="str">
        <f ca="1">IFERROR(__xludf.DUMMYFUNCTION("QUERY('030523 INVENTARIO'!$T$2:$T$1015,""select R where R like  '%""&amp;N263&amp;""%'"")"),"#VALUE!")</f>
        <v>#VALUE!</v>
      </c>
      <c r="X263" s="86" t="s">
        <v>7834</v>
      </c>
      <c r="Y263" s="230" t="str">
        <f t="shared" si="1"/>
        <v>539861</v>
      </c>
      <c r="Z263" s="230" t="str">
        <f ca="1">IFERROR(__xludf.DUMMYFUNCTION("QUERY($S$2:$S$195,""select S where S like '%""&amp;Y263&amp;""%'"")"),"#N/A")</f>
        <v>#N/A</v>
      </c>
    </row>
    <row r="264" spans="14:26" ht="15">
      <c r="N264" s="228" t="s">
        <v>8152</v>
      </c>
      <c r="O264" s="167" t="str">
        <f ca="1">IFERROR(__xludf.DUMMYFUNCTION("QUERY('030523 INVENTARIO'!$T$2:$T$1015,""select R where R like  '%""&amp;N264&amp;""%'"")"),"#VALUE!")</f>
        <v>#VALUE!</v>
      </c>
      <c r="X264" s="86" t="s">
        <v>8152</v>
      </c>
      <c r="Y264" s="230" t="str">
        <f t="shared" si="1"/>
        <v>584035</v>
      </c>
      <c r="Z264" s="230" t="str">
        <f ca="1">IFERROR(__xludf.DUMMYFUNCTION("QUERY($S$2:$S$195,""select S where S like '%""&amp;Y264&amp;""%'"")"),"#N/A")</f>
        <v>#N/A</v>
      </c>
    </row>
    <row r="265" spans="14:26" ht="15">
      <c r="N265" s="228" t="s">
        <v>7765</v>
      </c>
      <c r="O265" s="167" t="str">
        <f ca="1">IFERROR(__xludf.DUMMYFUNCTION("QUERY('030523 INVENTARIO'!$T$2:$T$1015,""select R where R like  '%""&amp;N265&amp;""%'"")"),"#VALUE!")</f>
        <v>#VALUE!</v>
      </c>
      <c r="X265" s="86" t="s">
        <v>7765</v>
      </c>
      <c r="Y265" s="230" t="str">
        <f t="shared" si="1"/>
        <v>539060</v>
      </c>
      <c r="Z265" s="230" t="str">
        <f ca="1">IFERROR(__xludf.DUMMYFUNCTION("QUERY($S$2:$S$195,""select S where S like '%""&amp;Y265&amp;""%'"")"),"#N/A")</f>
        <v>#N/A</v>
      </c>
    </row>
    <row r="266" spans="14:26" ht="15">
      <c r="N266" s="228" t="s">
        <v>7248</v>
      </c>
      <c r="O266" s="167" t="str">
        <f ca="1">IFERROR(__xludf.DUMMYFUNCTION("QUERY('030523 INVENTARIO'!$T$2:$T$1015,""select R where R like  '%""&amp;N266&amp;""%'"")"),"#VALUE!")</f>
        <v>#VALUE!</v>
      </c>
      <c r="X266" s="86" t="s">
        <v>7248</v>
      </c>
      <c r="Y266" s="230" t="str">
        <f t="shared" si="1"/>
        <v>535528</v>
      </c>
      <c r="Z266" s="230" t="str">
        <f ca="1">IFERROR(__xludf.DUMMYFUNCTION("QUERY($S$2:$S$195,""select S where S like '%""&amp;Y266&amp;""%'"")"),"82DH0515010001000535528")</f>
        <v>82DH0515010001000535528</v>
      </c>
    </row>
    <row r="267" spans="14:26" ht="15">
      <c r="N267" s="228" t="s">
        <v>8357</v>
      </c>
      <c r="O267" s="167" t="str">
        <f ca="1">IFERROR(__xludf.DUMMYFUNCTION("QUERY('030523 INVENTARIO'!$T$2:$T$1015,""select R where R like  '%""&amp;N267&amp;""%'"")"),"#VALUE!")</f>
        <v>#VALUE!</v>
      </c>
      <c r="X267" s="86" t="s">
        <v>8357</v>
      </c>
      <c r="Y267" s="230" t="str">
        <f t="shared" si="1"/>
        <v>649748</v>
      </c>
      <c r="Z267" s="230" t="str">
        <f ca="1">IFERROR(__xludf.DUMMYFUNCTION("QUERY($S$2:$S$195,""select S where S like '%""&amp;Y267&amp;""%'"")"),"#N/A")</f>
        <v>#N/A</v>
      </c>
    </row>
    <row r="268" spans="14:26" ht="15">
      <c r="N268" s="228" t="s">
        <v>7294</v>
      </c>
      <c r="O268" s="167" t="str">
        <f ca="1">IFERROR(__xludf.DUMMYFUNCTION("QUERY('030523 INVENTARIO'!$T$2:$T$1015,""select R where R like  '%""&amp;N268&amp;""%'"")"),"#VALUE!")</f>
        <v>#VALUE!</v>
      </c>
      <c r="X268" s="86" t="s">
        <v>7294</v>
      </c>
      <c r="Y268" s="230" t="str">
        <f t="shared" si="1"/>
        <v>649691</v>
      </c>
      <c r="Z268" s="230" t="str">
        <f ca="1">IFERROR(__xludf.DUMMYFUNCTION("QUERY($S$2:$S$195,""select S where S like '%""&amp;Y268&amp;""%'"")"),"#N/A")</f>
        <v>#N/A</v>
      </c>
    </row>
    <row r="269" spans="14:26" ht="15">
      <c r="N269" s="228" t="s">
        <v>8385</v>
      </c>
      <c r="O269" s="167" t="str">
        <f ca="1">IFERROR(__xludf.DUMMYFUNCTION("QUERY('030523 INVENTARIO'!$T$2:$T$1015,""select R where R like  '%""&amp;N269&amp;""%'"")"),"#VALUE!")</f>
        <v>#VALUE!</v>
      </c>
      <c r="X269" s="86" t="s">
        <v>8385</v>
      </c>
      <c r="Y269" s="230" t="str">
        <f t="shared" si="1"/>
        <v>651120</v>
      </c>
      <c r="Z269" s="230" t="str">
        <f ca="1">IFERROR(__xludf.DUMMYFUNCTION("QUERY($S$2:$S$195,""select S where S like '%""&amp;Y269&amp;""%'"")"),"82DJ0515010002000651120")</f>
        <v>82DJ0515010002000651120</v>
      </c>
    </row>
    <row r="270" spans="14:26" ht="12.75">
      <c r="O270" s="167"/>
    </row>
    <row r="271" spans="14:26" ht="12.75">
      <c r="O271" s="167"/>
    </row>
    <row r="272" spans="14:26" ht="12.75">
      <c r="O272" s="167"/>
    </row>
    <row r="273" spans="15:15" ht="12.75">
      <c r="O273" s="167"/>
    </row>
    <row r="274" spans="15:15" ht="12.75">
      <c r="O274" s="167"/>
    </row>
    <row r="275" spans="15:15" ht="12.75">
      <c r="O275" s="167"/>
    </row>
    <row r="276" spans="15:15" ht="12.75">
      <c r="O276" s="167"/>
    </row>
    <row r="277" spans="15:15" ht="12.75">
      <c r="O277" s="167"/>
    </row>
    <row r="278" spans="15:15" ht="12.75">
      <c r="O278" s="167"/>
    </row>
    <row r="279" spans="15:15" ht="12.75">
      <c r="O279" s="167"/>
    </row>
    <row r="280" spans="15:15" ht="12.75">
      <c r="O280" s="167"/>
    </row>
    <row r="281" spans="15:15" ht="12.75">
      <c r="O281" s="167"/>
    </row>
    <row r="282" spans="15:15" ht="12.75">
      <c r="O282" s="167"/>
    </row>
    <row r="283" spans="15:15" ht="12.75">
      <c r="O283" s="167"/>
    </row>
    <row r="284" spans="15:15" ht="12.75">
      <c r="O284" s="167"/>
    </row>
    <row r="285" spans="15:15" ht="12.75">
      <c r="O285" s="167"/>
    </row>
    <row r="286" spans="15:15" ht="12.75">
      <c r="O286" s="167"/>
    </row>
    <row r="287" spans="15:15" ht="12.75">
      <c r="O287" s="167"/>
    </row>
    <row r="288" spans="15:15" ht="12.75">
      <c r="O288" s="167"/>
    </row>
    <row r="289" spans="15:15" ht="12.75">
      <c r="O289" s="167"/>
    </row>
    <row r="290" spans="15:15" ht="12.75">
      <c r="O290" s="167"/>
    </row>
    <row r="291" spans="15:15" ht="12.75">
      <c r="O291" s="167"/>
    </row>
    <row r="292" spans="15:15" ht="12.75">
      <c r="O292" s="167"/>
    </row>
    <row r="293" spans="15:15" ht="12.75">
      <c r="O293" s="167"/>
    </row>
    <row r="294" spans="15:15" ht="12.75">
      <c r="O294" s="167"/>
    </row>
    <row r="295" spans="15:15" ht="12.75">
      <c r="O295" s="167"/>
    </row>
    <row r="296" spans="15:15" ht="12.75">
      <c r="O296" s="167"/>
    </row>
    <row r="297" spans="15:15" ht="12.75">
      <c r="O297" s="167"/>
    </row>
    <row r="298" spans="15:15" ht="12.75">
      <c r="O298" s="167"/>
    </row>
    <row r="299" spans="15:15" ht="12.75">
      <c r="O299" s="167"/>
    </row>
    <row r="300" spans="15:15" ht="12.75">
      <c r="O300" s="167"/>
    </row>
    <row r="301" spans="15:15" ht="12.75">
      <c r="O301" s="167"/>
    </row>
    <row r="302" spans="15:15" ht="12.75">
      <c r="O302" s="167"/>
    </row>
    <row r="303" spans="15:15" ht="12.75">
      <c r="O303" s="167"/>
    </row>
    <row r="304" spans="15:15" ht="12.75">
      <c r="O304" s="167"/>
    </row>
    <row r="305" spans="15:15" ht="12.75">
      <c r="O305" s="167"/>
    </row>
    <row r="306" spans="15:15" ht="12.75">
      <c r="O306" s="167"/>
    </row>
    <row r="307" spans="15:15" ht="12.75">
      <c r="O307" s="167"/>
    </row>
    <row r="308" spans="15:15" ht="12.75">
      <c r="O308" s="167"/>
    </row>
    <row r="309" spans="15:15" ht="12.75">
      <c r="O309" s="167"/>
    </row>
    <row r="310" spans="15:15" ht="12.75">
      <c r="O310" s="167"/>
    </row>
    <row r="311" spans="15:15" ht="12.75">
      <c r="O311" s="167"/>
    </row>
    <row r="312" spans="15:15" ht="12.75">
      <c r="O312" s="167"/>
    </row>
    <row r="313" spans="15:15" ht="12.75">
      <c r="O313" s="167"/>
    </row>
    <row r="314" spans="15:15" ht="12.75">
      <c r="O314" s="167"/>
    </row>
    <row r="315" spans="15:15" ht="12.75">
      <c r="O315" s="167"/>
    </row>
    <row r="316" spans="15:15" ht="12.75">
      <c r="O316" s="167"/>
    </row>
    <row r="317" spans="15:15" ht="12.75">
      <c r="O317" s="167"/>
    </row>
    <row r="318" spans="15:15" ht="12.75">
      <c r="O318" s="167"/>
    </row>
    <row r="319" spans="15:15" ht="12.75">
      <c r="O319" s="167"/>
    </row>
    <row r="320" spans="15:15" ht="12.75">
      <c r="O320" s="167"/>
    </row>
    <row r="321" spans="15:15" ht="12.75">
      <c r="O321" s="167"/>
    </row>
    <row r="322" spans="15:15" ht="12.75">
      <c r="O322" s="167"/>
    </row>
    <row r="323" spans="15:15" ht="12.75">
      <c r="O323" s="167"/>
    </row>
    <row r="324" spans="15:15" ht="12.75">
      <c r="O324" s="167"/>
    </row>
    <row r="325" spans="15:15" ht="12.75">
      <c r="O325" s="167"/>
    </row>
    <row r="326" spans="15:15" ht="12.75">
      <c r="O326" s="167"/>
    </row>
    <row r="327" spans="15:15" ht="12.75">
      <c r="O327" s="167"/>
    </row>
    <row r="328" spans="15:15" ht="12.75">
      <c r="O328" s="167"/>
    </row>
    <row r="329" spans="15:15" ht="12.75">
      <c r="O329" s="167"/>
    </row>
    <row r="330" spans="15:15" ht="12.75">
      <c r="O330" s="167"/>
    </row>
    <row r="331" spans="15:15" ht="12.75">
      <c r="O331" s="167"/>
    </row>
    <row r="332" spans="15:15" ht="12.75">
      <c r="O332" s="167"/>
    </row>
    <row r="333" spans="15:15" ht="12.75">
      <c r="O333" s="167"/>
    </row>
    <row r="334" spans="15:15" ht="12.75">
      <c r="O334" s="167"/>
    </row>
    <row r="335" spans="15:15" ht="12.75">
      <c r="O335" s="167"/>
    </row>
    <row r="336" spans="15:15" ht="12.75">
      <c r="O336" s="167"/>
    </row>
    <row r="337" spans="15:15" ht="12.75">
      <c r="O337" s="167"/>
    </row>
    <row r="338" spans="15:15" ht="12.75">
      <c r="O338" s="167"/>
    </row>
    <row r="339" spans="15:15" ht="12.75">
      <c r="O339" s="167"/>
    </row>
    <row r="340" spans="15:15" ht="12.75">
      <c r="O340" s="167"/>
    </row>
    <row r="341" spans="15:15" ht="12.75">
      <c r="O341" s="167"/>
    </row>
    <row r="342" spans="15:15" ht="12.75">
      <c r="O342" s="167"/>
    </row>
    <row r="343" spans="15:15" ht="12.75">
      <c r="O343" s="167"/>
    </row>
    <row r="344" spans="15:15" ht="12.75">
      <c r="O344" s="167"/>
    </row>
    <row r="345" spans="15:15" ht="12.75">
      <c r="O345" s="167"/>
    </row>
    <row r="346" spans="15:15" ht="12.75">
      <c r="O346" s="167"/>
    </row>
    <row r="347" spans="15:15" ht="12.75">
      <c r="O347" s="167"/>
    </row>
    <row r="348" spans="15:15" ht="12.75">
      <c r="O348" s="167"/>
    </row>
    <row r="349" spans="15:15" ht="12.75">
      <c r="O349" s="167"/>
    </row>
    <row r="350" spans="15:15" ht="12.75">
      <c r="O350" s="167"/>
    </row>
    <row r="351" spans="15:15" ht="12.75">
      <c r="O351" s="167"/>
    </row>
    <row r="352" spans="15:15" ht="12.75">
      <c r="O352" s="167"/>
    </row>
    <row r="353" spans="15:15" ht="12.75">
      <c r="O353" s="167"/>
    </row>
    <row r="354" spans="15:15" ht="12.75">
      <c r="O354" s="167"/>
    </row>
    <row r="355" spans="15:15" ht="12.75">
      <c r="O355" s="167"/>
    </row>
    <row r="356" spans="15:15" ht="12.75">
      <c r="O356" s="167"/>
    </row>
    <row r="357" spans="15:15" ht="12.75">
      <c r="O357" s="167"/>
    </row>
    <row r="358" spans="15:15" ht="12.75">
      <c r="O358" s="167"/>
    </row>
    <row r="359" spans="15:15" ht="12.75">
      <c r="O359" s="167"/>
    </row>
    <row r="360" spans="15:15" ht="12.75">
      <c r="O360" s="167"/>
    </row>
    <row r="361" spans="15:15" ht="12.75">
      <c r="O361" s="167"/>
    </row>
    <row r="362" spans="15:15" ht="12.75">
      <c r="O362" s="167"/>
    </row>
    <row r="363" spans="15:15" ht="12.75">
      <c r="O363" s="167"/>
    </row>
    <row r="364" spans="15:15" ht="12.75">
      <c r="O364" s="167"/>
    </row>
    <row r="365" spans="15:15" ht="12.75">
      <c r="O365" s="167"/>
    </row>
    <row r="366" spans="15:15" ht="12.75">
      <c r="O366" s="167"/>
    </row>
    <row r="367" spans="15:15" ht="12.75">
      <c r="O367" s="167"/>
    </row>
    <row r="368" spans="15:15" ht="12.75">
      <c r="O368" s="167"/>
    </row>
    <row r="369" spans="15:15" ht="12.75">
      <c r="O369" s="167"/>
    </row>
    <row r="370" spans="15:15" ht="12.75">
      <c r="O370" s="167"/>
    </row>
    <row r="371" spans="15:15" ht="12.75">
      <c r="O371" s="167"/>
    </row>
    <row r="372" spans="15:15" ht="12.75">
      <c r="O372" s="167"/>
    </row>
    <row r="373" spans="15:15" ht="12.75">
      <c r="O373" s="167"/>
    </row>
    <row r="374" spans="15:15" ht="12.75">
      <c r="O374" s="167"/>
    </row>
    <row r="375" spans="15:15" ht="12.75">
      <c r="O375" s="167"/>
    </row>
    <row r="376" spans="15:15" ht="12.75">
      <c r="O376" s="167"/>
    </row>
    <row r="377" spans="15:15" ht="12.75">
      <c r="O377" s="167"/>
    </row>
    <row r="378" spans="15:15" ht="12.75">
      <c r="O378" s="167"/>
    </row>
    <row r="379" spans="15:15" ht="12.75">
      <c r="O379" s="167"/>
    </row>
    <row r="380" spans="15:15" ht="12.75">
      <c r="O380" s="167"/>
    </row>
    <row r="381" spans="15:15" ht="12.75">
      <c r="O381" s="167"/>
    </row>
    <row r="382" spans="15:15" ht="12.75">
      <c r="O382" s="167"/>
    </row>
    <row r="383" spans="15:15" ht="12.75">
      <c r="O383" s="167"/>
    </row>
    <row r="384" spans="15:15" ht="12.75">
      <c r="O384" s="167"/>
    </row>
    <row r="385" spans="15:15" ht="12.75">
      <c r="O385" s="167"/>
    </row>
    <row r="386" spans="15:15" ht="12.75">
      <c r="O386" s="167"/>
    </row>
    <row r="387" spans="15:15" ht="12.75">
      <c r="O387" s="167"/>
    </row>
    <row r="388" spans="15:15" ht="12.75">
      <c r="O388" s="167"/>
    </row>
    <row r="389" spans="15:15" ht="12.75">
      <c r="O389" s="167"/>
    </row>
    <row r="390" spans="15:15" ht="12.75">
      <c r="O390" s="167"/>
    </row>
    <row r="391" spans="15:15" ht="12.75">
      <c r="O391" s="167"/>
    </row>
    <row r="392" spans="15:15" ht="12.75">
      <c r="O392" s="167"/>
    </row>
    <row r="393" spans="15:15" ht="12.75">
      <c r="O393" s="167"/>
    </row>
    <row r="394" spans="15:15" ht="12.75">
      <c r="O394" s="167"/>
    </row>
    <row r="395" spans="15:15" ht="12.75">
      <c r="O395" s="167"/>
    </row>
    <row r="396" spans="15:15" ht="12.75">
      <c r="O396" s="167"/>
    </row>
    <row r="397" spans="15:15" ht="12.75">
      <c r="O397" s="167"/>
    </row>
    <row r="398" spans="15:15" ht="12.75">
      <c r="O398" s="167"/>
    </row>
    <row r="399" spans="15:15" ht="12.75">
      <c r="O399" s="167"/>
    </row>
    <row r="400" spans="15:15" ht="12.75">
      <c r="O400" s="167"/>
    </row>
    <row r="401" spans="15:15" ht="12.75">
      <c r="O401" s="167"/>
    </row>
    <row r="402" spans="15:15" ht="12.75">
      <c r="O402" s="167"/>
    </row>
    <row r="403" spans="15:15" ht="12.75">
      <c r="O403" s="167"/>
    </row>
    <row r="404" spans="15:15" ht="12.75">
      <c r="O404" s="167"/>
    </row>
    <row r="405" spans="15:15" ht="12.75">
      <c r="O405" s="167"/>
    </row>
    <row r="406" spans="15:15" ht="12.75">
      <c r="O406" s="167"/>
    </row>
    <row r="407" spans="15:15" ht="12.75">
      <c r="O407" s="167"/>
    </row>
    <row r="408" spans="15:15" ht="12.75">
      <c r="O408" s="167"/>
    </row>
    <row r="409" spans="15:15" ht="12.75">
      <c r="O409" s="167"/>
    </row>
    <row r="410" spans="15:15" ht="12.75">
      <c r="O410" s="167"/>
    </row>
    <row r="411" spans="15:15" ht="12.75">
      <c r="O411" s="167"/>
    </row>
    <row r="412" spans="15:15" ht="12.75">
      <c r="O412" s="167"/>
    </row>
    <row r="413" spans="15:15" ht="12.75">
      <c r="O413" s="167"/>
    </row>
    <row r="414" spans="15:15" ht="12.75">
      <c r="O414" s="167"/>
    </row>
    <row r="415" spans="15:15" ht="12.75">
      <c r="O415" s="167"/>
    </row>
    <row r="416" spans="15:15" ht="12.75">
      <c r="O416" s="167"/>
    </row>
    <row r="417" spans="15:15" ht="12.75">
      <c r="O417" s="167"/>
    </row>
    <row r="418" spans="15:15" ht="12.75">
      <c r="O418" s="167"/>
    </row>
    <row r="419" spans="15:15" ht="12.75">
      <c r="O419" s="167"/>
    </row>
    <row r="420" spans="15:15" ht="12.75">
      <c r="O420" s="167"/>
    </row>
    <row r="421" spans="15:15" ht="12.75">
      <c r="O421" s="167"/>
    </row>
    <row r="422" spans="15:15" ht="12.75">
      <c r="O422" s="167"/>
    </row>
    <row r="423" spans="15:15" ht="12.75">
      <c r="O423" s="167"/>
    </row>
    <row r="424" spans="15:15" ht="12.75">
      <c r="O424" s="167"/>
    </row>
    <row r="425" spans="15:15" ht="12.75">
      <c r="O425" s="167"/>
    </row>
    <row r="426" spans="15:15" ht="12.75">
      <c r="O426" s="167"/>
    </row>
    <row r="427" spans="15:15" ht="12.75">
      <c r="O427" s="167"/>
    </row>
    <row r="428" spans="15:15" ht="12.75">
      <c r="O428" s="167"/>
    </row>
    <row r="429" spans="15:15" ht="12.75">
      <c r="O429" s="167"/>
    </row>
    <row r="430" spans="15:15" ht="12.75">
      <c r="O430" s="167"/>
    </row>
    <row r="431" spans="15:15" ht="12.75">
      <c r="O431" s="167"/>
    </row>
    <row r="432" spans="15:15" ht="12.75">
      <c r="O432" s="167"/>
    </row>
    <row r="433" spans="15:15" ht="12.75">
      <c r="O433" s="167"/>
    </row>
    <row r="434" spans="15:15" ht="12.75">
      <c r="O434" s="167"/>
    </row>
    <row r="435" spans="15:15" ht="12.75">
      <c r="O435" s="167"/>
    </row>
    <row r="436" spans="15:15" ht="12.75">
      <c r="O436" s="167"/>
    </row>
    <row r="437" spans="15:15" ht="12.75">
      <c r="O437" s="167"/>
    </row>
    <row r="438" spans="15:15" ht="12.75">
      <c r="O438" s="167"/>
    </row>
    <row r="439" spans="15:15" ht="12.75">
      <c r="O439" s="167"/>
    </row>
    <row r="440" spans="15:15" ht="12.75">
      <c r="O440" s="167"/>
    </row>
    <row r="441" spans="15:15" ht="12.75">
      <c r="O441" s="167"/>
    </row>
    <row r="442" spans="15:15" ht="12.75">
      <c r="O442" s="167"/>
    </row>
    <row r="443" spans="15:15" ht="12.75">
      <c r="O443" s="167"/>
    </row>
    <row r="444" spans="15:15" ht="12.75">
      <c r="O444" s="167"/>
    </row>
    <row r="445" spans="15:15" ht="12.75">
      <c r="O445" s="167"/>
    </row>
    <row r="446" spans="15:15" ht="12.75">
      <c r="O446" s="167"/>
    </row>
    <row r="447" spans="15:15" ht="12.75">
      <c r="O447" s="167"/>
    </row>
    <row r="448" spans="15:15" ht="12.75">
      <c r="O448" s="167"/>
    </row>
    <row r="449" spans="15:15" ht="12.75">
      <c r="O449" s="167"/>
    </row>
    <row r="450" spans="15:15" ht="12.75">
      <c r="O450" s="167"/>
    </row>
    <row r="451" spans="15:15" ht="12.75">
      <c r="O451" s="167"/>
    </row>
    <row r="452" spans="15:15" ht="12.75">
      <c r="O452" s="167"/>
    </row>
    <row r="453" spans="15:15" ht="12.75">
      <c r="O453" s="167"/>
    </row>
    <row r="454" spans="15:15" ht="12.75">
      <c r="O454" s="167"/>
    </row>
    <row r="455" spans="15:15" ht="12.75">
      <c r="O455" s="167"/>
    </row>
    <row r="456" spans="15:15" ht="12.75">
      <c r="O456" s="167"/>
    </row>
    <row r="457" spans="15:15" ht="12.75">
      <c r="O457" s="167"/>
    </row>
    <row r="458" spans="15:15" ht="12.75">
      <c r="O458" s="167"/>
    </row>
    <row r="459" spans="15:15" ht="12.75">
      <c r="O459" s="167"/>
    </row>
    <row r="460" spans="15:15" ht="12.75">
      <c r="O460" s="167"/>
    </row>
    <row r="461" spans="15:15" ht="12.75">
      <c r="O461" s="167"/>
    </row>
    <row r="462" spans="15:15" ht="12.75">
      <c r="O462" s="167"/>
    </row>
    <row r="463" spans="15:15" ht="12.75">
      <c r="O463" s="167"/>
    </row>
    <row r="464" spans="15:15" ht="12.75">
      <c r="O464" s="167"/>
    </row>
    <row r="465" spans="15:15" ht="12.75">
      <c r="O465" s="167"/>
    </row>
    <row r="466" spans="15:15" ht="12.75">
      <c r="O466" s="167"/>
    </row>
    <row r="467" spans="15:15" ht="12.75">
      <c r="O467" s="167"/>
    </row>
    <row r="468" spans="15:15" ht="12.75">
      <c r="O468" s="167"/>
    </row>
    <row r="469" spans="15:15" ht="12.75">
      <c r="O469" s="167"/>
    </row>
    <row r="470" spans="15:15" ht="12.75">
      <c r="O470" s="167"/>
    </row>
    <row r="471" spans="15:15" ht="12.75">
      <c r="O471" s="167"/>
    </row>
    <row r="472" spans="15:15" ht="12.75">
      <c r="O472" s="167"/>
    </row>
    <row r="473" spans="15:15" ht="12.75">
      <c r="O473" s="167"/>
    </row>
    <row r="474" spans="15:15" ht="12.75">
      <c r="O474" s="167"/>
    </row>
    <row r="475" spans="15:15" ht="12.75">
      <c r="O475" s="167"/>
    </row>
    <row r="476" spans="15:15" ht="12.75">
      <c r="O476" s="167"/>
    </row>
    <row r="477" spans="15:15" ht="12.75">
      <c r="O477" s="167"/>
    </row>
    <row r="478" spans="15:15" ht="12.75">
      <c r="O478" s="167"/>
    </row>
    <row r="479" spans="15:15" ht="12.75">
      <c r="O479" s="167"/>
    </row>
    <row r="480" spans="15:15" ht="12.75">
      <c r="O480" s="167"/>
    </row>
    <row r="481" spans="15:15" ht="12.75">
      <c r="O481" s="167"/>
    </row>
    <row r="482" spans="15:15" ht="12.75">
      <c r="O482" s="167"/>
    </row>
    <row r="483" spans="15:15" ht="12.75">
      <c r="O483" s="167"/>
    </row>
    <row r="484" spans="15:15" ht="12.75">
      <c r="O484" s="167"/>
    </row>
    <row r="485" spans="15:15" ht="12.75">
      <c r="O485" s="167"/>
    </row>
    <row r="486" spans="15:15" ht="12.75">
      <c r="O486" s="167"/>
    </row>
    <row r="487" spans="15:15" ht="12.75">
      <c r="O487" s="167"/>
    </row>
    <row r="488" spans="15:15" ht="12.75">
      <c r="O488" s="167"/>
    </row>
    <row r="489" spans="15:15" ht="12.75">
      <c r="O489" s="167"/>
    </row>
    <row r="490" spans="15:15" ht="12.75">
      <c r="O490" s="167"/>
    </row>
    <row r="491" spans="15:15" ht="12.75">
      <c r="O491" s="167"/>
    </row>
    <row r="492" spans="15:15" ht="12.75">
      <c r="O492" s="167"/>
    </row>
    <row r="493" spans="15:15" ht="12.75">
      <c r="O493" s="167"/>
    </row>
    <row r="494" spans="15:15" ht="12.75">
      <c r="O494" s="167"/>
    </row>
    <row r="495" spans="15:15" ht="12.75">
      <c r="O495" s="167"/>
    </row>
    <row r="496" spans="15:15" ht="12.75">
      <c r="O496" s="167"/>
    </row>
    <row r="497" spans="15:15" ht="12.75">
      <c r="O497" s="167"/>
    </row>
    <row r="498" spans="15:15" ht="12.75">
      <c r="O498" s="167"/>
    </row>
    <row r="499" spans="15:15" ht="12.75">
      <c r="O499" s="167"/>
    </row>
    <row r="500" spans="15:15" ht="12.75">
      <c r="O500" s="167"/>
    </row>
    <row r="501" spans="15:15" ht="12.75">
      <c r="O501" s="167"/>
    </row>
    <row r="502" spans="15:15" ht="12.75">
      <c r="O502" s="167"/>
    </row>
    <row r="503" spans="15:15" ht="12.75">
      <c r="O503" s="167"/>
    </row>
    <row r="504" spans="15:15" ht="12.75">
      <c r="O504" s="167"/>
    </row>
    <row r="505" spans="15:15" ht="12.75">
      <c r="O505" s="167"/>
    </row>
    <row r="506" spans="15:15" ht="12.75">
      <c r="O506" s="167"/>
    </row>
    <row r="507" spans="15:15" ht="12.75">
      <c r="O507" s="167"/>
    </row>
    <row r="508" spans="15:15" ht="12.75">
      <c r="O508" s="167"/>
    </row>
    <row r="509" spans="15:15" ht="12.75">
      <c r="O509" s="167"/>
    </row>
    <row r="510" spans="15:15" ht="12.75">
      <c r="O510" s="167"/>
    </row>
    <row r="511" spans="15:15" ht="12.75">
      <c r="O511" s="167"/>
    </row>
    <row r="512" spans="15:15" ht="12.75">
      <c r="O512" s="167"/>
    </row>
    <row r="513" spans="15:15" ht="12.75">
      <c r="O513" s="167"/>
    </row>
    <row r="514" spans="15:15" ht="12.75">
      <c r="O514" s="167"/>
    </row>
    <row r="515" spans="15:15" ht="12.75">
      <c r="O515" s="167"/>
    </row>
    <row r="516" spans="15:15" ht="12.75">
      <c r="O516" s="167"/>
    </row>
    <row r="517" spans="15:15" ht="12.75">
      <c r="O517" s="167"/>
    </row>
    <row r="518" spans="15:15" ht="12.75">
      <c r="O518" s="167"/>
    </row>
    <row r="519" spans="15:15" ht="12.75">
      <c r="O519" s="167"/>
    </row>
    <row r="520" spans="15:15" ht="12.75">
      <c r="O520" s="167"/>
    </row>
    <row r="521" spans="15:15" ht="12.75">
      <c r="O521" s="167"/>
    </row>
    <row r="522" spans="15:15" ht="12.75">
      <c r="O522" s="167"/>
    </row>
    <row r="523" spans="15:15" ht="12.75">
      <c r="O523" s="167"/>
    </row>
    <row r="524" spans="15:15" ht="12.75">
      <c r="O524" s="167"/>
    </row>
    <row r="525" spans="15:15" ht="12.75">
      <c r="O525" s="167"/>
    </row>
    <row r="526" spans="15:15" ht="12.75">
      <c r="O526" s="167"/>
    </row>
    <row r="527" spans="15:15" ht="12.75">
      <c r="O527" s="167"/>
    </row>
    <row r="528" spans="15:15" ht="12.75">
      <c r="O528" s="167"/>
    </row>
    <row r="529" spans="15:15" ht="12.75">
      <c r="O529" s="167"/>
    </row>
    <row r="530" spans="15:15" ht="12.75">
      <c r="O530" s="167"/>
    </row>
    <row r="531" spans="15:15" ht="12.75">
      <c r="O531" s="167"/>
    </row>
    <row r="532" spans="15:15" ht="12.75">
      <c r="O532" s="167"/>
    </row>
    <row r="533" spans="15:15" ht="12.75">
      <c r="O533" s="167"/>
    </row>
    <row r="534" spans="15:15" ht="12.75">
      <c r="O534" s="167"/>
    </row>
    <row r="535" spans="15:15" ht="12.75">
      <c r="O535" s="167"/>
    </row>
    <row r="536" spans="15:15" ht="12.75">
      <c r="O536" s="167"/>
    </row>
    <row r="537" spans="15:15" ht="12.75">
      <c r="O537" s="167"/>
    </row>
    <row r="538" spans="15:15" ht="12.75">
      <c r="O538" s="167"/>
    </row>
    <row r="539" spans="15:15" ht="12.75">
      <c r="O539" s="167"/>
    </row>
    <row r="540" spans="15:15" ht="12.75">
      <c r="O540" s="167"/>
    </row>
    <row r="541" spans="15:15" ht="12.75">
      <c r="O541" s="167"/>
    </row>
    <row r="542" spans="15:15" ht="12.75">
      <c r="O542" s="167"/>
    </row>
    <row r="543" spans="15:15" ht="12.75">
      <c r="O543" s="167"/>
    </row>
    <row r="544" spans="15:15" ht="12.75">
      <c r="O544" s="167"/>
    </row>
    <row r="545" spans="15:15" ht="12.75">
      <c r="O545" s="167"/>
    </row>
    <row r="546" spans="15:15" ht="12.75">
      <c r="O546" s="167"/>
    </row>
    <row r="547" spans="15:15" ht="12.75">
      <c r="O547" s="167"/>
    </row>
    <row r="548" spans="15:15" ht="12.75">
      <c r="O548" s="167"/>
    </row>
    <row r="549" spans="15:15" ht="12.75">
      <c r="O549" s="167"/>
    </row>
    <row r="550" spans="15:15" ht="12.75">
      <c r="O550" s="167"/>
    </row>
    <row r="551" spans="15:15" ht="12.75">
      <c r="O551" s="167"/>
    </row>
    <row r="552" spans="15:15" ht="12.75">
      <c r="O552" s="167"/>
    </row>
    <row r="553" spans="15:15" ht="12.75">
      <c r="O553" s="167"/>
    </row>
    <row r="554" spans="15:15" ht="12.75">
      <c r="O554" s="167"/>
    </row>
    <row r="555" spans="15:15" ht="12.75">
      <c r="O555" s="167"/>
    </row>
    <row r="556" spans="15:15" ht="12.75">
      <c r="O556" s="167"/>
    </row>
    <row r="557" spans="15:15" ht="12.75">
      <c r="O557" s="167"/>
    </row>
    <row r="558" spans="15:15" ht="12.75">
      <c r="O558" s="167"/>
    </row>
    <row r="559" spans="15:15" ht="12.75">
      <c r="O559" s="167"/>
    </row>
    <row r="560" spans="15:15" ht="12.75">
      <c r="O560" s="167"/>
    </row>
    <row r="561" spans="15:15" ht="12.75">
      <c r="O561" s="167"/>
    </row>
    <row r="562" spans="15:15" ht="12.75">
      <c r="O562" s="167"/>
    </row>
    <row r="563" spans="15:15" ht="12.75">
      <c r="O563" s="167"/>
    </row>
    <row r="564" spans="15:15" ht="12.75">
      <c r="O564" s="167"/>
    </row>
    <row r="565" spans="15:15" ht="12.75">
      <c r="O565" s="167"/>
    </row>
    <row r="566" spans="15:15" ht="12.75">
      <c r="O566" s="167"/>
    </row>
    <row r="567" spans="15:15" ht="12.75">
      <c r="O567" s="167"/>
    </row>
    <row r="568" spans="15:15" ht="12.75">
      <c r="O568" s="167"/>
    </row>
    <row r="569" spans="15:15" ht="12.75">
      <c r="O569" s="167"/>
    </row>
    <row r="570" spans="15:15" ht="12.75">
      <c r="O570" s="167"/>
    </row>
    <row r="571" spans="15:15" ht="12.75">
      <c r="O571" s="167"/>
    </row>
    <row r="572" spans="15:15" ht="12.75">
      <c r="O572" s="167"/>
    </row>
    <row r="573" spans="15:15" ht="12.75">
      <c r="O573" s="167"/>
    </row>
    <row r="574" spans="15:15" ht="12.75">
      <c r="O574" s="167"/>
    </row>
    <row r="575" spans="15:15" ht="12.75">
      <c r="O575" s="167"/>
    </row>
    <row r="576" spans="15:15" ht="12.75">
      <c r="O576" s="167"/>
    </row>
    <row r="577" spans="15:15" ht="12.75">
      <c r="O577" s="167"/>
    </row>
    <row r="578" spans="15:15" ht="12.75">
      <c r="O578" s="167"/>
    </row>
    <row r="579" spans="15:15" ht="12.75">
      <c r="O579" s="167"/>
    </row>
    <row r="580" spans="15:15" ht="12.75">
      <c r="O580" s="167"/>
    </row>
    <row r="581" spans="15:15" ht="12.75">
      <c r="O581" s="167"/>
    </row>
    <row r="582" spans="15:15" ht="12.75">
      <c r="O582" s="167"/>
    </row>
    <row r="583" spans="15:15" ht="12.75">
      <c r="O583" s="167"/>
    </row>
    <row r="584" spans="15:15" ht="12.75">
      <c r="O584" s="167"/>
    </row>
    <row r="585" spans="15:15" ht="12.75">
      <c r="O585" s="167"/>
    </row>
    <row r="586" spans="15:15" ht="12.75">
      <c r="O586" s="167"/>
    </row>
    <row r="587" spans="15:15" ht="12.75">
      <c r="O587" s="167"/>
    </row>
    <row r="588" spans="15:15" ht="12.75">
      <c r="O588" s="167"/>
    </row>
    <row r="589" spans="15:15" ht="12.75">
      <c r="O589" s="167"/>
    </row>
    <row r="590" spans="15:15" ht="12.75">
      <c r="O590" s="167"/>
    </row>
    <row r="591" spans="15:15" ht="12.75">
      <c r="O591" s="167"/>
    </row>
    <row r="592" spans="15:15" ht="12.75">
      <c r="O592" s="167"/>
    </row>
    <row r="593" spans="15:15" ht="12.75">
      <c r="O593" s="167"/>
    </row>
    <row r="594" spans="15:15" ht="12.75">
      <c r="O594" s="167"/>
    </row>
    <row r="595" spans="15:15" ht="12.75">
      <c r="O595" s="167"/>
    </row>
    <row r="596" spans="15:15" ht="12.75">
      <c r="O596" s="167"/>
    </row>
    <row r="597" spans="15:15" ht="12.75">
      <c r="O597" s="167"/>
    </row>
    <row r="598" spans="15:15" ht="12.75">
      <c r="O598" s="167"/>
    </row>
    <row r="599" spans="15:15" ht="12.75">
      <c r="O599" s="167"/>
    </row>
    <row r="600" spans="15:15" ht="12.75">
      <c r="O600" s="167"/>
    </row>
    <row r="601" spans="15:15" ht="12.75">
      <c r="O601" s="167"/>
    </row>
    <row r="602" spans="15:15" ht="12.75">
      <c r="O602" s="167"/>
    </row>
    <row r="603" spans="15:15" ht="12.75">
      <c r="O603" s="167"/>
    </row>
    <row r="604" spans="15:15" ht="12.75">
      <c r="O604" s="167"/>
    </row>
    <row r="605" spans="15:15" ht="12.75">
      <c r="O605" s="167"/>
    </row>
    <row r="606" spans="15:15" ht="12.75">
      <c r="O606" s="167"/>
    </row>
    <row r="607" spans="15:15" ht="12.75">
      <c r="O607" s="167"/>
    </row>
    <row r="608" spans="15:15" ht="12.75">
      <c r="O608" s="167"/>
    </row>
    <row r="609" spans="15:15" ht="12.75">
      <c r="O609" s="167"/>
    </row>
    <row r="610" spans="15:15" ht="12.75">
      <c r="O610" s="167"/>
    </row>
    <row r="611" spans="15:15" ht="12.75">
      <c r="O611" s="167"/>
    </row>
    <row r="612" spans="15:15" ht="12.75">
      <c r="O612" s="167"/>
    </row>
    <row r="613" spans="15:15" ht="12.75">
      <c r="O613" s="167"/>
    </row>
    <row r="614" spans="15:15" ht="12.75">
      <c r="O614" s="167"/>
    </row>
    <row r="615" spans="15:15" ht="12.75">
      <c r="O615" s="167"/>
    </row>
    <row r="616" spans="15:15" ht="12.75">
      <c r="O616" s="167"/>
    </row>
    <row r="617" spans="15:15" ht="12.75">
      <c r="O617" s="167"/>
    </row>
    <row r="618" spans="15:15" ht="12.75">
      <c r="O618" s="167"/>
    </row>
    <row r="619" spans="15:15" ht="12.75">
      <c r="O619" s="167"/>
    </row>
    <row r="620" spans="15:15" ht="12.75">
      <c r="O620" s="167"/>
    </row>
    <row r="621" spans="15:15" ht="12.75">
      <c r="O621" s="167"/>
    </row>
    <row r="622" spans="15:15" ht="12.75">
      <c r="O622" s="167"/>
    </row>
    <row r="623" spans="15:15" ht="12.75">
      <c r="O623" s="167"/>
    </row>
    <row r="624" spans="15:15" ht="12.75">
      <c r="O624" s="167"/>
    </row>
    <row r="625" spans="15:15" ht="12.75">
      <c r="O625" s="167"/>
    </row>
    <row r="626" spans="15:15" ht="12.75">
      <c r="O626" s="167"/>
    </row>
    <row r="627" spans="15:15" ht="12.75">
      <c r="O627" s="167"/>
    </row>
    <row r="628" spans="15:15" ht="12.75">
      <c r="O628" s="167"/>
    </row>
    <row r="629" spans="15:15" ht="12.75">
      <c r="O629" s="167"/>
    </row>
    <row r="630" spans="15:15" ht="12.75">
      <c r="O630" s="167"/>
    </row>
    <row r="631" spans="15:15" ht="12.75">
      <c r="O631" s="167"/>
    </row>
    <row r="632" spans="15:15" ht="12.75">
      <c r="O632" s="167"/>
    </row>
    <row r="633" spans="15:15" ht="12.75">
      <c r="O633" s="167"/>
    </row>
    <row r="634" spans="15:15" ht="12.75">
      <c r="O634" s="167"/>
    </row>
    <row r="635" spans="15:15" ht="12.75">
      <c r="O635" s="167"/>
    </row>
    <row r="636" spans="15:15" ht="12.75">
      <c r="O636" s="167"/>
    </row>
    <row r="637" spans="15:15" ht="12.75">
      <c r="O637" s="167"/>
    </row>
    <row r="638" spans="15:15" ht="12.75">
      <c r="O638" s="167"/>
    </row>
    <row r="639" spans="15:15" ht="12.75">
      <c r="O639" s="167"/>
    </row>
    <row r="640" spans="15:15" ht="12.75">
      <c r="O640" s="167"/>
    </row>
    <row r="641" spans="15:15" ht="12.75">
      <c r="O641" s="167"/>
    </row>
    <row r="642" spans="15:15" ht="12.75">
      <c r="O642" s="167"/>
    </row>
    <row r="643" spans="15:15" ht="12.75">
      <c r="O643" s="167"/>
    </row>
    <row r="644" spans="15:15" ht="12.75">
      <c r="O644" s="167"/>
    </row>
    <row r="645" spans="15:15" ht="12.75">
      <c r="O645" s="167"/>
    </row>
    <row r="646" spans="15:15" ht="12.75">
      <c r="O646" s="167"/>
    </row>
    <row r="647" spans="15:15" ht="12.75">
      <c r="O647" s="167"/>
    </row>
    <row r="648" spans="15:15" ht="12.75">
      <c r="O648" s="167"/>
    </row>
    <row r="649" spans="15:15" ht="12.75">
      <c r="O649" s="167"/>
    </row>
    <row r="650" spans="15:15" ht="12.75">
      <c r="O650" s="167"/>
    </row>
    <row r="651" spans="15:15" ht="12.75">
      <c r="O651" s="167"/>
    </row>
    <row r="652" spans="15:15" ht="12.75">
      <c r="O652" s="167"/>
    </row>
    <row r="653" spans="15:15" ht="12.75">
      <c r="O653" s="167"/>
    </row>
    <row r="654" spans="15:15" ht="12.75">
      <c r="O654" s="167"/>
    </row>
    <row r="655" spans="15:15" ht="12.75">
      <c r="O655" s="167"/>
    </row>
    <row r="656" spans="15:15" ht="12.75">
      <c r="O656" s="167"/>
    </row>
    <row r="657" spans="15:15" ht="12.75">
      <c r="O657" s="167"/>
    </row>
    <row r="658" spans="15:15" ht="12.75">
      <c r="O658" s="167"/>
    </row>
    <row r="659" spans="15:15" ht="12.75">
      <c r="O659" s="167"/>
    </row>
    <row r="660" spans="15:15" ht="12.75">
      <c r="O660" s="167"/>
    </row>
    <row r="661" spans="15:15" ht="12.75">
      <c r="O661" s="167"/>
    </row>
    <row r="662" spans="15:15" ht="12.75">
      <c r="O662" s="167"/>
    </row>
    <row r="663" spans="15:15" ht="12.75">
      <c r="O663" s="167"/>
    </row>
    <row r="664" spans="15:15" ht="12.75">
      <c r="O664" s="167"/>
    </row>
    <row r="665" spans="15:15" ht="12.75">
      <c r="O665" s="167"/>
    </row>
    <row r="666" spans="15:15" ht="12.75">
      <c r="O666" s="167"/>
    </row>
    <row r="667" spans="15:15" ht="12.75">
      <c r="O667" s="167"/>
    </row>
    <row r="668" spans="15:15" ht="12.75">
      <c r="O668" s="167"/>
    </row>
    <row r="669" spans="15:15" ht="12.75">
      <c r="O669" s="167"/>
    </row>
    <row r="670" spans="15:15" ht="12.75">
      <c r="O670" s="167"/>
    </row>
    <row r="671" spans="15:15" ht="12.75">
      <c r="O671" s="167"/>
    </row>
    <row r="672" spans="15:15" ht="12.75">
      <c r="O672" s="167"/>
    </row>
    <row r="673" spans="15:15" ht="12.75">
      <c r="O673" s="167"/>
    </row>
    <row r="674" spans="15:15" ht="12.75">
      <c r="O674" s="167"/>
    </row>
    <row r="675" spans="15:15" ht="12.75">
      <c r="O675" s="167"/>
    </row>
    <row r="676" spans="15:15" ht="12.75">
      <c r="O676" s="167"/>
    </row>
    <row r="677" spans="15:15" ht="12.75">
      <c r="O677" s="167"/>
    </row>
    <row r="678" spans="15:15" ht="12.75">
      <c r="O678" s="167"/>
    </row>
    <row r="679" spans="15:15" ht="12.75">
      <c r="O679" s="167"/>
    </row>
    <row r="680" spans="15:15" ht="12.75">
      <c r="O680" s="167"/>
    </row>
    <row r="681" spans="15:15" ht="12.75">
      <c r="O681" s="167"/>
    </row>
    <row r="682" spans="15:15" ht="12.75">
      <c r="O682" s="167"/>
    </row>
    <row r="683" spans="15:15" ht="12.75">
      <c r="O683" s="167"/>
    </row>
    <row r="684" spans="15:15" ht="12.75">
      <c r="O684" s="167"/>
    </row>
    <row r="685" spans="15:15" ht="12.75">
      <c r="O685" s="167"/>
    </row>
    <row r="686" spans="15:15" ht="12.75">
      <c r="O686" s="167"/>
    </row>
    <row r="687" spans="15:15" ht="12.75">
      <c r="O687" s="167"/>
    </row>
    <row r="688" spans="15:15" ht="12.75">
      <c r="O688" s="167"/>
    </row>
    <row r="689" spans="15:15" ht="12.75">
      <c r="O689" s="167"/>
    </row>
    <row r="690" spans="15:15" ht="12.75">
      <c r="O690" s="167"/>
    </row>
    <row r="691" spans="15:15" ht="12.75">
      <c r="O691" s="167"/>
    </row>
    <row r="692" spans="15:15" ht="12.75">
      <c r="O692" s="167"/>
    </row>
    <row r="693" spans="15:15" ht="12.75">
      <c r="O693" s="167"/>
    </row>
    <row r="694" spans="15:15" ht="12.75">
      <c r="O694" s="167"/>
    </row>
    <row r="695" spans="15:15" ht="12.75">
      <c r="O695" s="167"/>
    </row>
    <row r="696" spans="15:15" ht="12.75">
      <c r="O696" s="167"/>
    </row>
    <row r="697" spans="15:15" ht="12.75">
      <c r="O697" s="167"/>
    </row>
    <row r="698" spans="15:15" ht="12.75">
      <c r="O698" s="167"/>
    </row>
    <row r="699" spans="15:15" ht="12.75">
      <c r="O699" s="167"/>
    </row>
    <row r="700" spans="15:15" ht="12.75">
      <c r="O700" s="167"/>
    </row>
    <row r="701" spans="15:15" ht="12.75">
      <c r="O701" s="167"/>
    </row>
    <row r="702" spans="15:15" ht="12.75">
      <c r="O702" s="167"/>
    </row>
    <row r="703" spans="15:15" ht="12.75">
      <c r="O703" s="167"/>
    </row>
    <row r="704" spans="15:15" ht="12.75">
      <c r="O704" s="167"/>
    </row>
    <row r="705" spans="15:15" ht="12.75">
      <c r="O705" s="167"/>
    </row>
    <row r="706" spans="15:15" ht="12.75">
      <c r="O706" s="167"/>
    </row>
    <row r="707" spans="15:15" ht="12.75">
      <c r="O707" s="167"/>
    </row>
    <row r="708" spans="15:15" ht="12.75">
      <c r="O708" s="167"/>
    </row>
    <row r="709" spans="15:15" ht="12.75">
      <c r="O709" s="167"/>
    </row>
    <row r="710" spans="15:15" ht="12.75">
      <c r="O710" s="167"/>
    </row>
    <row r="711" spans="15:15" ht="12.75">
      <c r="O711" s="167"/>
    </row>
    <row r="712" spans="15:15" ht="12.75">
      <c r="O712" s="167"/>
    </row>
    <row r="713" spans="15:15" ht="12.75">
      <c r="O713" s="167"/>
    </row>
    <row r="714" spans="15:15" ht="12.75">
      <c r="O714" s="167"/>
    </row>
    <row r="715" spans="15:15" ht="12.75">
      <c r="O715" s="167"/>
    </row>
    <row r="716" spans="15:15" ht="12.75">
      <c r="O716" s="167"/>
    </row>
    <row r="717" spans="15:15" ht="12.75">
      <c r="O717" s="167"/>
    </row>
    <row r="718" spans="15:15" ht="12.75">
      <c r="O718" s="167"/>
    </row>
    <row r="719" spans="15:15" ht="12.75">
      <c r="O719" s="167"/>
    </row>
    <row r="720" spans="15:15" ht="12.75">
      <c r="O720" s="167"/>
    </row>
    <row r="721" spans="15:15" ht="12.75">
      <c r="O721" s="167"/>
    </row>
    <row r="722" spans="15:15" ht="12.75">
      <c r="O722" s="167"/>
    </row>
    <row r="723" spans="15:15" ht="12.75">
      <c r="O723" s="167"/>
    </row>
    <row r="724" spans="15:15" ht="12.75">
      <c r="O724" s="167"/>
    </row>
    <row r="725" spans="15:15" ht="12.75">
      <c r="O725" s="167"/>
    </row>
    <row r="726" spans="15:15" ht="12.75">
      <c r="O726" s="167"/>
    </row>
    <row r="727" spans="15:15" ht="12.75">
      <c r="O727" s="167"/>
    </row>
    <row r="728" spans="15:15" ht="12.75">
      <c r="O728" s="167"/>
    </row>
    <row r="729" spans="15:15" ht="12.75">
      <c r="O729" s="167"/>
    </row>
    <row r="730" spans="15:15" ht="12.75">
      <c r="O730" s="167"/>
    </row>
    <row r="731" spans="15:15" ht="12.75">
      <c r="O731" s="167"/>
    </row>
    <row r="732" spans="15:15" ht="12.75">
      <c r="O732" s="167"/>
    </row>
    <row r="733" spans="15:15" ht="12.75">
      <c r="O733" s="167"/>
    </row>
    <row r="734" spans="15:15" ht="12.75">
      <c r="O734" s="167"/>
    </row>
    <row r="735" spans="15:15" ht="12.75">
      <c r="O735" s="167"/>
    </row>
    <row r="736" spans="15:15" ht="12.75">
      <c r="O736" s="167"/>
    </row>
    <row r="737" spans="15:15" ht="12.75">
      <c r="O737" s="167"/>
    </row>
    <row r="738" spans="15:15" ht="12.75">
      <c r="O738" s="167"/>
    </row>
    <row r="739" spans="15:15" ht="12.75">
      <c r="O739" s="167"/>
    </row>
    <row r="740" spans="15:15" ht="12.75">
      <c r="O740" s="167"/>
    </row>
    <row r="741" spans="15:15" ht="12.75">
      <c r="O741" s="167"/>
    </row>
    <row r="742" spans="15:15" ht="12.75">
      <c r="O742" s="167"/>
    </row>
    <row r="743" spans="15:15" ht="12.75">
      <c r="O743" s="167"/>
    </row>
    <row r="744" spans="15:15" ht="12.75">
      <c r="O744" s="167"/>
    </row>
    <row r="745" spans="15:15" ht="12.75">
      <c r="O745" s="167"/>
    </row>
    <row r="746" spans="15:15" ht="12.75">
      <c r="O746" s="167"/>
    </row>
    <row r="747" spans="15:15" ht="12.75">
      <c r="O747" s="167"/>
    </row>
    <row r="748" spans="15:15" ht="12.75">
      <c r="O748" s="167"/>
    </row>
    <row r="749" spans="15:15" ht="12.75">
      <c r="O749" s="167"/>
    </row>
    <row r="750" spans="15:15" ht="12.75">
      <c r="O750" s="167"/>
    </row>
    <row r="751" spans="15:15" ht="12.75">
      <c r="O751" s="167"/>
    </row>
    <row r="752" spans="15:15" ht="12.75">
      <c r="O752" s="167"/>
    </row>
    <row r="753" spans="15:15" ht="12.75">
      <c r="O753" s="167"/>
    </row>
    <row r="754" spans="15:15" ht="12.75">
      <c r="O754" s="167"/>
    </row>
    <row r="755" spans="15:15" ht="12.75">
      <c r="O755" s="167"/>
    </row>
    <row r="756" spans="15:15" ht="12.75">
      <c r="O756" s="167"/>
    </row>
    <row r="757" spans="15:15" ht="12.75">
      <c r="O757" s="167"/>
    </row>
    <row r="758" spans="15:15" ht="12.75">
      <c r="O758" s="167"/>
    </row>
    <row r="759" spans="15:15" ht="12.75">
      <c r="O759" s="167"/>
    </row>
    <row r="760" spans="15:15" ht="12.75">
      <c r="O760" s="167"/>
    </row>
    <row r="761" spans="15:15" ht="12.75">
      <c r="O761" s="167"/>
    </row>
    <row r="762" spans="15:15" ht="12.75">
      <c r="O762" s="167"/>
    </row>
    <row r="763" spans="15:15" ht="12.75">
      <c r="O763" s="167"/>
    </row>
    <row r="764" spans="15:15" ht="12.75">
      <c r="O764" s="167"/>
    </row>
    <row r="765" spans="15:15" ht="12.75">
      <c r="O765" s="167"/>
    </row>
    <row r="766" spans="15:15" ht="12.75">
      <c r="O766" s="167"/>
    </row>
    <row r="767" spans="15:15" ht="12.75">
      <c r="O767" s="167"/>
    </row>
    <row r="768" spans="15:15" ht="12.75">
      <c r="O768" s="167"/>
    </row>
    <row r="769" spans="15:15" ht="12.75">
      <c r="O769" s="167"/>
    </row>
    <row r="770" spans="15:15" ht="12.75">
      <c r="O770" s="167"/>
    </row>
    <row r="771" spans="15:15" ht="12.75">
      <c r="O771" s="167"/>
    </row>
    <row r="772" spans="15:15" ht="12.75">
      <c r="O772" s="167"/>
    </row>
    <row r="773" spans="15:15" ht="12.75">
      <c r="O773" s="167"/>
    </row>
    <row r="774" spans="15:15" ht="12.75">
      <c r="O774" s="167"/>
    </row>
    <row r="775" spans="15:15" ht="12.75">
      <c r="O775" s="167"/>
    </row>
    <row r="776" spans="15:15" ht="12.75">
      <c r="O776" s="167"/>
    </row>
    <row r="777" spans="15:15" ht="12.75">
      <c r="O777" s="167"/>
    </row>
    <row r="778" spans="15:15" ht="12.75">
      <c r="O778" s="167"/>
    </row>
    <row r="779" spans="15:15" ht="12.75">
      <c r="O779" s="167"/>
    </row>
    <row r="780" spans="15:15" ht="12.75">
      <c r="O780" s="167"/>
    </row>
    <row r="781" spans="15:15" ht="12.75">
      <c r="O781" s="167"/>
    </row>
    <row r="782" spans="15:15" ht="12.75">
      <c r="O782" s="167"/>
    </row>
    <row r="783" spans="15:15" ht="12.75">
      <c r="O783" s="167"/>
    </row>
    <row r="784" spans="15:15" ht="12.75">
      <c r="O784" s="167"/>
    </row>
    <row r="785" spans="15:15" ht="12.75">
      <c r="O785" s="167"/>
    </row>
    <row r="786" spans="15:15" ht="12.75">
      <c r="O786" s="167"/>
    </row>
    <row r="787" spans="15:15" ht="12.75">
      <c r="O787" s="167"/>
    </row>
    <row r="788" spans="15:15" ht="12.75">
      <c r="O788" s="167"/>
    </row>
    <row r="789" spans="15:15" ht="12.75">
      <c r="O789" s="167"/>
    </row>
    <row r="790" spans="15:15" ht="12.75">
      <c r="O790" s="167"/>
    </row>
    <row r="791" spans="15:15" ht="12.75">
      <c r="O791" s="167"/>
    </row>
    <row r="792" spans="15:15" ht="12.75">
      <c r="O792" s="167"/>
    </row>
    <row r="793" spans="15:15" ht="12.75">
      <c r="O793" s="167"/>
    </row>
    <row r="794" spans="15:15" ht="12.75">
      <c r="O794" s="167"/>
    </row>
    <row r="795" spans="15:15" ht="12.75">
      <c r="O795" s="167"/>
    </row>
    <row r="796" spans="15:15" ht="12.75">
      <c r="O796" s="167"/>
    </row>
    <row r="797" spans="15:15" ht="12.75">
      <c r="O797" s="167"/>
    </row>
    <row r="798" spans="15:15" ht="12.75">
      <c r="O798" s="167"/>
    </row>
    <row r="799" spans="15:15" ht="12.75">
      <c r="O799" s="167"/>
    </row>
    <row r="800" spans="15:15" ht="12.75">
      <c r="O800" s="167"/>
    </row>
    <row r="801" spans="15:15" ht="12.75">
      <c r="O801" s="167"/>
    </row>
    <row r="802" spans="15:15" ht="12.75">
      <c r="O802" s="167"/>
    </row>
    <row r="803" spans="15:15" ht="12.75">
      <c r="O803" s="167"/>
    </row>
    <row r="804" spans="15:15" ht="12.75">
      <c r="O804" s="167"/>
    </row>
    <row r="805" spans="15:15" ht="12.75">
      <c r="O805" s="167"/>
    </row>
    <row r="806" spans="15:15" ht="12.75">
      <c r="O806" s="167"/>
    </row>
    <row r="807" spans="15:15" ht="12.75">
      <c r="O807" s="167"/>
    </row>
    <row r="808" spans="15:15" ht="12.75">
      <c r="O808" s="167"/>
    </row>
    <row r="809" spans="15:15" ht="12.75">
      <c r="O809" s="167"/>
    </row>
    <row r="810" spans="15:15" ht="12.75">
      <c r="O810" s="167"/>
    </row>
    <row r="811" spans="15:15" ht="12.75">
      <c r="O811" s="167"/>
    </row>
    <row r="812" spans="15:15" ht="12.75">
      <c r="O812" s="167"/>
    </row>
    <row r="813" spans="15:15" ht="12.75">
      <c r="O813" s="167"/>
    </row>
    <row r="814" spans="15:15" ht="12.75">
      <c r="O814" s="167"/>
    </row>
    <row r="815" spans="15:15" ht="12.75">
      <c r="O815" s="167"/>
    </row>
    <row r="816" spans="15:15" ht="12.75">
      <c r="O816" s="167"/>
    </row>
    <row r="817" spans="15:15" ht="12.75">
      <c r="O817" s="167"/>
    </row>
    <row r="818" spans="15:15" ht="12.75">
      <c r="O818" s="167"/>
    </row>
    <row r="819" spans="15:15" ht="12.75">
      <c r="O819" s="167"/>
    </row>
    <row r="820" spans="15:15" ht="12.75">
      <c r="O820" s="167"/>
    </row>
    <row r="821" spans="15:15" ht="12.75">
      <c r="O821" s="167"/>
    </row>
    <row r="822" spans="15:15" ht="12.75">
      <c r="O822" s="167"/>
    </row>
    <row r="823" spans="15:15" ht="12.75">
      <c r="O823" s="167"/>
    </row>
    <row r="824" spans="15:15" ht="12.75">
      <c r="O824" s="167"/>
    </row>
    <row r="825" spans="15:15" ht="12.75">
      <c r="O825" s="167"/>
    </row>
    <row r="826" spans="15:15" ht="12.75">
      <c r="O826" s="167"/>
    </row>
    <row r="827" spans="15:15" ht="12.75">
      <c r="O827" s="167"/>
    </row>
    <row r="828" spans="15:15" ht="12.75">
      <c r="O828" s="167"/>
    </row>
    <row r="829" spans="15:15" ht="12.75">
      <c r="O829" s="167"/>
    </row>
    <row r="830" spans="15:15" ht="12.75">
      <c r="O830" s="167"/>
    </row>
    <row r="831" spans="15:15" ht="12.75">
      <c r="O831" s="167"/>
    </row>
    <row r="832" spans="15:15" ht="12.75">
      <c r="O832" s="167"/>
    </row>
    <row r="833" spans="15:15" ht="12.75">
      <c r="O833" s="167"/>
    </row>
    <row r="834" spans="15:15" ht="12.75">
      <c r="O834" s="167"/>
    </row>
    <row r="835" spans="15:15" ht="12.75">
      <c r="O835" s="167"/>
    </row>
    <row r="836" spans="15:15" ht="12.75">
      <c r="O836" s="167"/>
    </row>
    <row r="837" spans="15:15" ht="12.75">
      <c r="O837" s="167"/>
    </row>
    <row r="838" spans="15:15" ht="12.75">
      <c r="O838" s="167"/>
    </row>
    <row r="839" spans="15:15" ht="12.75">
      <c r="O839" s="167"/>
    </row>
    <row r="840" spans="15:15" ht="12.75">
      <c r="O840" s="167"/>
    </row>
    <row r="841" spans="15:15" ht="12.75">
      <c r="O841" s="167"/>
    </row>
    <row r="842" spans="15:15" ht="12.75">
      <c r="O842" s="167"/>
    </row>
    <row r="843" spans="15:15" ht="12.75">
      <c r="O843" s="167"/>
    </row>
    <row r="844" spans="15:15" ht="12.75">
      <c r="O844" s="167"/>
    </row>
    <row r="845" spans="15:15" ht="12.75">
      <c r="O845" s="167"/>
    </row>
    <row r="846" spans="15:15" ht="12.75">
      <c r="O846" s="167"/>
    </row>
    <row r="847" spans="15:15" ht="12.75">
      <c r="O847" s="167"/>
    </row>
    <row r="848" spans="15:15" ht="12.75">
      <c r="O848" s="167"/>
    </row>
    <row r="849" spans="15:15" ht="12.75">
      <c r="O849" s="167"/>
    </row>
    <row r="850" spans="15:15" ht="12.75">
      <c r="O850" s="167"/>
    </row>
    <row r="851" spans="15:15" ht="12.75">
      <c r="O851" s="167"/>
    </row>
    <row r="852" spans="15:15" ht="12.75">
      <c r="O852" s="167"/>
    </row>
    <row r="853" spans="15:15" ht="12.75">
      <c r="O853" s="167"/>
    </row>
    <row r="854" spans="15:15" ht="12.75">
      <c r="O854" s="167"/>
    </row>
    <row r="855" spans="15:15" ht="12.75">
      <c r="O855" s="167"/>
    </row>
    <row r="856" spans="15:15" ht="12.75">
      <c r="O856" s="167"/>
    </row>
    <row r="857" spans="15:15" ht="12.75">
      <c r="O857" s="167"/>
    </row>
    <row r="858" spans="15:15" ht="12.75">
      <c r="O858" s="167"/>
    </row>
    <row r="859" spans="15:15" ht="12.75">
      <c r="O859" s="167"/>
    </row>
    <row r="860" spans="15:15" ht="12.75">
      <c r="O860" s="167"/>
    </row>
    <row r="861" spans="15:15" ht="12.75">
      <c r="O861" s="167"/>
    </row>
    <row r="862" spans="15:15" ht="12.75">
      <c r="O862" s="167"/>
    </row>
    <row r="863" spans="15:15" ht="12.75">
      <c r="O863" s="167"/>
    </row>
    <row r="864" spans="15:15" ht="12.75">
      <c r="O864" s="167"/>
    </row>
    <row r="865" spans="15:15" ht="12.75">
      <c r="O865" s="167"/>
    </row>
    <row r="866" spans="15:15" ht="12.75">
      <c r="O866" s="167"/>
    </row>
    <row r="867" spans="15:15" ht="12.75">
      <c r="O867" s="167"/>
    </row>
    <row r="868" spans="15:15" ht="12.75">
      <c r="O868" s="167"/>
    </row>
    <row r="869" spans="15:15" ht="12.75">
      <c r="O869" s="167"/>
    </row>
    <row r="870" spans="15:15" ht="12.75">
      <c r="O870" s="167"/>
    </row>
    <row r="871" spans="15:15" ht="12.75">
      <c r="O871" s="167"/>
    </row>
    <row r="872" spans="15:15" ht="12.75">
      <c r="O872" s="167"/>
    </row>
    <row r="873" spans="15:15" ht="12.75">
      <c r="O873" s="167"/>
    </row>
    <row r="874" spans="15:15" ht="12.75">
      <c r="O874" s="167"/>
    </row>
    <row r="875" spans="15:15" ht="12.75">
      <c r="O875" s="167"/>
    </row>
    <row r="876" spans="15:15" ht="12.75">
      <c r="O876" s="167"/>
    </row>
    <row r="877" spans="15:15" ht="12.75">
      <c r="O877" s="167"/>
    </row>
    <row r="878" spans="15:15" ht="12.75">
      <c r="O878" s="167"/>
    </row>
    <row r="879" spans="15:15" ht="12.75">
      <c r="O879" s="167"/>
    </row>
    <row r="880" spans="15:15" ht="12.75">
      <c r="O880" s="167"/>
    </row>
    <row r="881" spans="15:15" ht="12.75">
      <c r="O881" s="167"/>
    </row>
    <row r="882" spans="15:15" ht="12.75">
      <c r="O882" s="167"/>
    </row>
    <row r="883" spans="15:15" ht="12.75">
      <c r="O883" s="167"/>
    </row>
    <row r="884" spans="15:15" ht="12.75">
      <c r="O884" s="167"/>
    </row>
    <row r="885" spans="15:15" ht="12.75">
      <c r="O885" s="167"/>
    </row>
    <row r="886" spans="15:15" ht="12.75">
      <c r="O886" s="167"/>
    </row>
    <row r="887" spans="15:15" ht="12.75">
      <c r="O887" s="167"/>
    </row>
    <row r="888" spans="15:15" ht="12.75">
      <c r="O888" s="167"/>
    </row>
    <row r="889" spans="15:15" ht="12.75">
      <c r="O889" s="167"/>
    </row>
    <row r="890" spans="15:15" ht="12.75">
      <c r="O890" s="167"/>
    </row>
    <row r="891" spans="15:15" ht="12.75">
      <c r="O891" s="167"/>
    </row>
    <row r="892" spans="15:15" ht="12.75">
      <c r="O892" s="167"/>
    </row>
    <row r="893" spans="15:15" ht="12.75">
      <c r="O893" s="167"/>
    </row>
    <row r="894" spans="15:15" ht="12.75">
      <c r="O894" s="167"/>
    </row>
    <row r="895" spans="15:15" ht="12.75">
      <c r="O895" s="167"/>
    </row>
    <row r="896" spans="15:15" ht="12.75">
      <c r="O896" s="167"/>
    </row>
    <row r="897" spans="15:15" ht="12.75">
      <c r="O897" s="167"/>
    </row>
    <row r="898" spans="15:15" ht="12.75">
      <c r="O898" s="167"/>
    </row>
    <row r="899" spans="15:15" ht="12.75">
      <c r="O899" s="167"/>
    </row>
    <row r="900" spans="15:15" ht="12.75">
      <c r="O900" s="167"/>
    </row>
    <row r="901" spans="15:15" ht="12.75">
      <c r="O901" s="167"/>
    </row>
    <row r="902" spans="15:15" ht="12.75">
      <c r="O902" s="167"/>
    </row>
    <row r="903" spans="15:15" ht="12.75">
      <c r="O903" s="167"/>
    </row>
    <row r="904" spans="15:15" ht="12.75">
      <c r="O904" s="167"/>
    </row>
    <row r="905" spans="15:15" ht="12.75">
      <c r="O905" s="167"/>
    </row>
    <row r="906" spans="15:15" ht="12.75">
      <c r="O906" s="167"/>
    </row>
    <row r="907" spans="15:15" ht="12.75">
      <c r="O907" s="167"/>
    </row>
    <row r="908" spans="15:15" ht="12.75">
      <c r="O908" s="167"/>
    </row>
    <row r="909" spans="15:15" ht="12.75">
      <c r="O909" s="167"/>
    </row>
    <row r="910" spans="15:15" ht="12.75">
      <c r="O910" s="167"/>
    </row>
    <row r="911" spans="15:15" ht="12.75">
      <c r="O911" s="167"/>
    </row>
    <row r="912" spans="15:15" ht="12.75">
      <c r="O912" s="167"/>
    </row>
    <row r="913" spans="15:15" ht="12.75">
      <c r="O913" s="167"/>
    </row>
    <row r="914" spans="15:15" ht="12.75">
      <c r="O914" s="167"/>
    </row>
    <row r="915" spans="15:15" ht="12.75">
      <c r="O915" s="167"/>
    </row>
    <row r="916" spans="15:15" ht="12.75">
      <c r="O916" s="167"/>
    </row>
    <row r="917" spans="15:15" ht="12.75">
      <c r="O917" s="167"/>
    </row>
    <row r="918" spans="15:15" ht="12.75">
      <c r="O918" s="167"/>
    </row>
    <row r="919" spans="15:15" ht="12.75">
      <c r="O919" s="167"/>
    </row>
    <row r="920" spans="15:15" ht="12.75">
      <c r="O920" s="167"/>
    </row>
    <row r="921" spans="15:15" ht="12.75">
      <c r="O921" s="167"/>
    </row>
    <row r="922" spans="15:15" ht="12.75">
      <c r="O922" s="167"/>
    </row>
    <row r="923" spans="15:15" ht="12.75">
      <c r="O923" s="167"/>
    </row>
    <row r="924" spans="15:15" ht="12.75">
      <c r="O924" s="167"/>
    </row>
    <row r="925" spans="15:15" ht="12.75">
      <c r="O925" s="167"/>
    </row>
    <row r="926" spans="15:15" ht="12.75">
      <c r="O926" s="167"/>
    </row>
    <row r="927" spans="15:15" ht="12.75">
      <c r="O927" s="167"/>
    </row>
    <row r="928" spans="15:15" ht="12.75">
      <c r="O928" s="167"/>
    </row>
    <row r="929" spans="15:15" ht="12.75">
      <c r="O929" s="167"/>
    </row>
    <row r="930" spans="15:15" ht="12.75">
      <c r="O930" s="167"/>
    </row>
    <row r="931" spans="15:15" ht="12.75">
      <c r="O931" s="167"/>
    </row>
    <row r="932" spans="15:15" ht="12.75">
      <c r="O932" s="167"/>
    </row>
    <row r="933" spans="15:15" ht="12.75">
      <c r="O933" s="167"/>
    </row>
    <row r="934" spans="15:15" ht="12.75">
      <c r="O934" s="167"/>
    </row>
    <row r="935" spans="15:15" ht="12.75">
      <c r="O935" s="167"/>
    </row>
    <row r="936" spans="15:15" ht="12.75">
      <c r="O936" s="167"/>
    </row>
    <row r="937" spans="15:15" ht="12.75">
      <c r="O937" s="167"/>
    </row>
    <row r="938" spans="15:15" ht="12.75">
      <c r="O938" s="167"/>
    </row>
    <row r="939" spans="15:15" ht="12.75">
      <c r="O939" s="167"/>
    </row>
    <row r="940" spans="15:15" ht="12.75">
      <c r="O940" s="167"/>
    </row>
    <row r="941" spans="15:15" ht="12.75">
      <c r="O941" s="167"/>
    </row>
    <row r="942" spans="15:15" ht="12.75">
      <c r="O942" s="167"/>
    </row>
    <row r="943" spans="15:15" ht="12.75">
      <c r="O943" s="167"/>
    </row>
    <row r="944" spans="15:15" ht="12.75">
      <c r="O944" s="167"/>
    </row>
    <row r="945" spans="15:15" ht="12.75">
      <c r="O945" s="167"/>
    </row>
    <row r="946" spans="15:15" ht="12.75">
      <c r="O946" s="167"/>
    </row>
    <row r="947" spans="15:15" ht="12.75">
      <c r="O947" s="167"/>
    </row>
    <row r="948" spans="15:15" ht="12.75">
      <c r="O948" s="167"/>
    </row>
    <row r="949" spans="15:15" ht="12.75">
      <c r="O949" s="167"/>
    </row>
    <row r="950" spans="15:15" ht="12.75">
      <c r="O950" s="167"/>
    </row>
    <row r="951" spans="15:15" ht="12.75">
      <c r="O951" s="167"/>
    </row>
    <row r="952" spans="15:15" ht="12.75">
      <c r="O952" s="167"/>
    </row>
    <row r="953" spans="15:15" ht="12.75">
      <c r="O953" s="167"/>
    </row>
    <row r="954" spans="15:15" ht="12.75">
      <c r="O954" s="167"/>
    </row>
    <row r="955" spans="15:15" ht="12.75">
      <c r="O955" s="167"/>
    </row>
    <row r="956" spans="15:15" ht="12.75">
      <c r="O956" s="167"/>
    </row>
    <row r="957" spans="15:15" ht="12.75">
      <c r="O957" s="167"/>
    </row>
    <row r="958" spans="15:15" ht="12.75">
      <c r="O958" s="167"/>
    </row>
    <row r="959" spans="15:15" ht="12.75">
      <c r="O959" s="167"/>
    </row>
    <row r="960" spans="15:15" ht="12.75">
      <c r="O960" s="167"/>
    </row>
    <row r="961" spans="15:15" ht="12.75">
      <c r="O961" s="167"/>
    </row>
    <row r="962" spans="15:15" ht="12.75">
      <c r="O962" s="167"/>
    </row>
    <row r="963" spans="15:15" ht="12.75">
      <c r="O963" s="167"/>
    </row>
    <row r="964" spans="15:15" ht="12.75">
      <c r="O964" s="167"/>
    </row>
    <row r="965" spans="15:15" ht="12.75">
      <c r="O965" s="167"/>
    </row>
    <row r="966" spans="15:15" ht="12.75">
      <c r="O966" s="167"/>
    </row>
    <row r="967" spans="15:15" ht="12.75">
      <c r="O967" s="167"/>
    </row>
    <row r="968" spans="15:15" ht="12.75">
      <c r="O968" s="167"/>
    </row>
    <row r="969" spans="15:15" ht="12.75">
      <c r="O969" s="167"/>
    </row>
    <row r="970" spans="15:15" ht="12.75">
      <c r="O970" s="167"/>
    </row>
    <row r="971" spans="15:15" ht="12.75">
      <c r="O971" s="167"/>
    </row>
    <row r="972" spans="15:15" ht="12.75">
      <c r="O972" s="167"/>
    </row>
    <row r="973" spans="15:15" ht="12.75">
      <c r="O973" s="167"/>
    </row>
    <row r="974" spans="15:15" ht="12.75">
      <c r="O974" s="167"/>
    </row>
    <row r="975" spans="15:15" ht="12.75">
      <c r="O975" s="167"/>
    </row>
    <row r="976" spans="15:15" ht="12.75">
      <c r="O976" s="167"/>
    </row>
    <row r="977" spans="15:15" ht="12.75">
      <c r="O977" s="167"/>
    </row>
    <row r="978" spans="15:15" ht="12.75">
      <c r="O978" s="167"/>
    </row>
    <row r="979" spans="15:15" ht="12.75">
      <c r="O979" s="167"/>
    </row>
    <row r="980" spans="15:15" ht="12.75">
      <c r="O980" s="167"/>
    </row>
    <row r="981" spans="15:15" ht="12.75">
      <c r="O981" s="167"/>
    </row>
    <row r="982" spans="15:15" ht="12.75">
      <c r="O982" s="167"/>
    </row>
    <row r="983" spans="15:15" ht="12.75">
      <c r="O983" s="167"/>
    </row>
    <row r="984" spans="15:15" ht="12.75">
      <c r="O984" s="167"/>
    </row>
    <row r="985" spans="15:15" ht="12.75">
      <c r="O985" s="167"/>
    </row>
    <row r="986" spans="15:15" ht="12.75">
      <c r="O986" s="167"/>
    </row>
    <row r="987" spans="15:15" ht="12.75">
      <c r="O987" s="167"/>
    </row>
    <row r="988" spans="15:15" ht="12.75">
      <c r="O988" s="167"/>
    </row>
    <row r="989" spans="15:15" ht="12.75">
      <c r="O989" s="167"/>
    </row>
    <row r="990" spans="15:15" ht="12.75">
      <c r="O990" s="167"/>
    </row>
    <row r="991" spans="15:15" ht="12.75">
      <c r="O991" s="167"/>
    </row>
    <row r="992" spans="15:15" ht="12.75">
      <c r="O992" s="167"/>
    </row>
    <row r="993" spans="15:15" ht="12.75">
      <c r="O993" s="167"/>
    </row>
    <row r="994" spans="15:15" ht="12.75">
      <c r="O994" s="167"/>
    </row>
    <row r="995" spans="15:15" ht="12.75">
      <c r="O995" s="167"/>
    </row>
    <row r="996" spans="15:15" ht="12.75">
      <c r="O996" s="167"/>
    </row>
    <row r="997" spans="15:15" ht="12.75">
      <c r="O997" s="167"/>
    </row>
    <row r="998" spans="15:15" ht="12.75">
      <c r="O998" s="167"/>
    </row>
    <row r="999" spans="15:15" ht="12.75">
      <c r="O999" s="167"/>
    </row>
    <row r="1000" spans="15:15" ht="12.75">
      <c r="O1000" s="167"/>
    </row>
    <row r="1001" spans="15:15" ht="12.75">
      <c r="O1001" s="167"/>
    </row>
    <row r="1002" spans="15:15" ht="12.75">
      <c r="O1002" s="167"/>
    </row>
    <row r="1003" spans="15:15" ht="12.75">
      <c r="O1003" s="167"/>
    </row>
    <row r="1004" spans="15:15" ht="12.75">
      <c r="O1004" s="167"/>
    </row>
    <row r="1005" spans="15:15" ht="12.75">
      <c r="O1005" s="167"/>
    </row>
    <row r="1006" spans="15:15" ht="12.75">
      <c r="O1006" s="167"/>
    </row>
    <row r="1007" spans="15:15" ht="12.75">
      <c r="O1007" s="167"/>
    </row>
    <row r="1008" spans="15:15" ht="12.75">
      <c r="O1008" s="167"/>
    </row>
    <row r="1009" spans="15:15" ht="12.75">
      <c r="O1009" s="167"/>
    </row>
    <row r="1010" spans="15:15" ht="12.75">
      <c r="O1010" s="167"/>
    </row>
    <row r="1011" spans="15:15" ht="12.75">
      <c r="O1011" s="167"/>
    </row>
    <row r="1012" spans="15:15" ht="12.75">
      <c r="O1012" s="167"/>
    </row>
    <row r="1013" spans="15:15" ht="12.75">
      <c r="O1013" s="167"/>
    </row>
    <row r="1014" spans="15:15" ht="12.75">
      <c r="O1014" s="167"/>
    </row>
    <row r="1015" spans="15:15" ht="12.75">
      <c r="O1015" s="167"/>
    </row>
    <row r="1016" spans="15:15" ht="12.75">
      <c r="O1016" s="167"/>
    </row>
    <row r="1017" spans="15:15" ht="12.75">
      <c r="O1017" s="167"/>
    </row>
    <row r="1018" spans="15:15" ht="12.75">
      <c r="O1018" s="167"/>
    </row>
    <row r="1019" spans="15:15" ht="12.75">
      <c r="O1019" s="167"/>
    </row>
    <row r="1020" spans="15:15" ht="12.75">
      <c r="O1020" s="167"/>
    </row>
    <row r="1021" spans="15:15" ht="12.75">
      <c r="O1021" s="167"/>
    </row>
    <row r="1022" spans="15:15" ht="12.75">
      <c r="O1022" s="167"/>
    </row>
    <row r="1023" spans="15:15" ht="12.75">
      <c r="O1023" s="167"/>
    </row>
    <row r="1024" spans="15:15" ht="12.75">
      <c r="O1024" s="167"/>
    </row>
    <row r="1025" spans="15:15" ht="12.75">
      <c r="O1025" s="167"/>
    </row>
    <row r="1026" spans="15:15" ht="12.75">
      <c r="O1026" s="167"/>
    </row>
    <row r="1027" spans="15:15" ht="12.75">
      <c r="O1027" s="167"/>
    </row>
    <row r="1028" spans="15:15" ht="12.75">
      <c r="O1028" s="167"/>
    </row>
    <row r="1029" spans="15:15" ht="12.75">
      <c r="O1029" s="167"/>
    </row>
    <row r="1030" spans="15:15" ht="12.75">
      <c r="O1030" s="167"/>
    </row>
    <row r="1031" spans="15:15" ht="12.75">
      <c r="O1031" s="167"/>
    </row>
    <row r="1032" spans="15:15" ht="12.75">
      <c r="O1032" s="167"/>
    </row>
    <row r="1033" spans="15:15" ht="12.75">
      <c r="O1033" s="167"/>
    </row>
    <row r="1034" spans="15:15" ht="12.75">
      <c r="O1034" s="167"/>
    </row>
    <row r="1035" spans="15:15" ht="12.75">
      <c r="O1035" s="167"/>
    </row>
    <row r="1036" spans="15:15" ht="12.75">
      <c r="O1036" s="167"/>
    </row>
    <row r="1037" spans="15:15" ht="12.75">
      <c r="O1037" s="167"/>
    </row>
    <row r="1038" spans="15:15" ht="12.75">
      <c r="O1038" s="167"/>
    </row>
    <row r="1039" spans="15:15" ht="12.75">
      <c r="O1039" s="167"/>
    </row>
    <row r="1040" spans="15:15" ht="12.75">
      <c r="O1040" s="167"/>
    </row>
    <row r="1041" spans="15:15" ht="12.75">
      <c r="O1041" s="167"/>
    </row>
    <row r="1042" spans="15:15" ht="12.75">
      <c r="O1042" s="167"/>
    </row>
    <row r="1043" spans="15:15" ht="12.75">
      <c r="O1043" s="167"/>
    </row>
    <row r="1044" spans="15:15" ht="12.75">
      <c r="O1044" s="167"/>
    </row>
    <row r="1045" spans="15:15" ht="12.75">
      <c r="O1045" s="167"/>
    </row>
    <row r="1046" spans="15:15" ht="12.75">
      <c r="O1046" s="167"/>
    </row>
    <row r="1047" spans="15:15" ht="12.75">
      <c r="O1047" s="167"/>
    </row>
    <row r="1048" spans="15:15" ht="12.75">
      <c r="O1048" s="167"/>
    </row>
    <row r="1049" spans="15:15" ht="12.75">
      <c r="O1049" s="167"/>
    </row>
    <row r="1050" spans="15:15" ht="12.75">
      <c r="O1050" s="167"/>
    </row>
    <row r="1051" spans="15:15" ht="12.75">
      <c r="O1051" s="167"/>
    </row>
    <row r="1052" spans="15:15" ht="12.75">
      <c r="O1052" s="167"/>
    </row>
    <row r="1053" spans="15:15" ht="12.75">
      <c r="O1053" s="167"/>
    </row>
    <row r="1054" spans="15:15" ht="12.75">
      <c r="O1054" s="167"/>
    </row>
    <row r="1055" spans="15:15" ht="12.75">
      <c r="O1055" s="167"/>
    </row>
    <row r="1056" spans="15:15" ht="12.75">
      <c r="O1056" s="167"/>
    </row>
    <row r="1057" spans="15:15" ht="12.75">
      <c r="O1057" s="167"/>
    </row>
    <row r="1058" spans="15:15" ht="12.75">
      <c r="O1058" s="167"/>
    </row>
    <row r="1059" spans="15:15" ht="12.75">
      <c r="O1059" s="167"/>
    </row>
    <row r="1060" spans="15:15" ht="12.75">
      <c r="O1060" s="167"/>
    </row>
    <row r="1061" spans="15:15" ht="12.75">
      <c r="O1061" s="167"/>
    </row>
    <row r="1062" spans="15:15" ht="12.75">
      <c r="O1062" s="167"/>
    </row>
    <row r="1063" spans="15:15" ht="12.75">
      <c r="O1063" s="167"/>
    </row>
    <row r="1064" spans="15:15" ht="12.75">
      <c r="O1064" s="167"/>
    </row>
    <row r="1065" spans="15:15" ht="12.75">
      <c r="O1065" s="167"/>
    </row>
    <row r="1066" spans="15:15" ht="12.75">
      <c r="O1066" s="167"/>
    </row>
    <row r="1067" spans="15:15" ht="12.75">
      <c r="O1067" s="167"/>
    </row>
    <row r="1068" spans="15:15" ht="12.75">
      <c r="O1068" s="167"/>
    </row>
    <row r="1069" spans="15:15" ht="12.75">
      <c r="O1069" s="167"/>
    </row>
    <row r="1070" spans="15:15" ht="12.75">
      <c r="O1070" s="167"/>
    </row>
    <row r="1071" spans="15:15" ht="12.75">
      <c r="O1071" s="167"/>
    </row>
    <row r="1072" spans="15:15" ht="12.75">
      <c r="O1072" s="167"/>
    </row>
    <row r="1073" spans="15:15" ht="12.75">
      <c r="O1073" s="167"/>
    </row>
    <row r="1074" spans="15:15" ht="12.75">
      <c r="O1074" s="167"/>
    </row>
    <row r="1075" spans="15:15" ht="12.75">
      <c r="O1075" s="167"/>
    </row>
    <row r="1076" spans="15:15" ht="12.75">
      <c r="O1076" s="167"/>
    </row>
    <row r="1077" spans="15:15" ht="12.75">
      <c r="O1077" s="167"/>
    </row>
    <row r="1078" spans="15:15" ht="12.75">
      <c r="O1078" s="167"/>
    </row>
    <row r="1079" spans="15:15" ht="12.75">
      <c r="O1079" s="167"/>
    </row>
    <row r="1080" spans="15:15" ht="12.75">
      <c r="O1080" s="167"/>
    </row>
    <row r="1081" spans="15:15" ht="12.75">
      <c r="O1081" s="167"/>
    </row>
    <row r="1082" spans="15:15" ht="12.75">
      <c r="O1082" s="167"/>
    </row>
    <row r="1083" spans="15:15" ht="12.75">
      <c r="O1083" s="167"/>
    </row>
    <row r="1084" spans="15:15" ht="12.75">
      <c r="O1084" s="167"/>
    </row>
    <row r="1085" spans="15:15" ht="12.75">
      <c r="O1085" s="167"/>
    </row>
    <row r="1086" spans="15:15" ht="12.75">
      <c r="O1086" s="167"/>
    </row>
    <row r="1087" spans="15:15" ht="12.75">
      <c r="O1087" s="167"/>
    </row>
    <row r="1088" spans="15:15" ht="12.75">
      <c r="O1088" s="167"/>
    </row>
    <row r="1089" spans="15:15" ht="12.75">
      <c r="O1089" s="167"/>
    </row>
    <row r="1090" spans="15:15" ht="12.75">
      <c r="O1090" s="167"/>
    </row>
    <row r="1091" spans="15:15" ht="12.75">
      <c r="O1091" s="167"/>
    </row>
    <row r="1092" spans="15:15" ht="12.75">
      <c r="O1092" s="167"/>
    </row>
    <row r="1093" spans="15:15" ht="12.75">
      <c r="O1093" s="167"/>
    </row>
    <row r="1094" spans="15:15" ht="12.75">
      <c r="O1094" s="167"/>
    </row>
    <row r="1095" spans="15:15" ht="12.75">
      <c r="O1095" s="167"/>
    </row>
    <row r="1096" spans="15:15" ht="12.75">
      <c r="O1096" s="167"/>
    </row>
    <row r="1097" spans="15:15" ht="12.75">
      <c r="O1097" s="167"/>
    </row>
    <row r="1098" spans="15:15" ht="12.75">
      <c r="O1098" s="167"/>
    </row>
    <row r="1099" spans="15:15" ht="12.75">
      <c r="O1099" s="167"/>
    </row>
    <row r="1100" spans="15:15" ht="12.75">
      <c r="O1100" s="167"/>
    </row>
    <row r="1101" spans="15:15" ht="12.75">
      <c r="O1101" s="167"/>
    </row>
    <row r="1102" spans="15:15" ht="12.75">
      <c r="O1102" s="167"/>
    </row>
    <row r="1103" spans="15:15" ht="12.75">
      <c r="O1103" s="167"/>
    </row>
    <row r="1104" spans="15:15" ht="12.75">
      <c r="O1104" s="167"/>
    </row>
    <row r="1105" spans="15:15" ht="12.75">
      <c r="O1105" s="167"/>
    </row>
    <row r="1106" spans="15:15" ht="12.75">
      <c r="O1106" s="167"/>
    </row>
    <row r="1107" spans="15:15" ht="12.75">
      <c r="O1107" s="167"/>
    </row>
    <row r="1108" spans="15:15" ht="12.75">
      <c r="O1108" s="167"/>
    </row>
    <row r="1109" spans="15:15" ht="12.75">
      <c r="O1109" s="167"/>
    </row>
    <row r="1110" spans="15:15" ht="12.75">
      <c r="O1110" s="167"/>
    </row>
    <row r="1111" spans="15:15" ht="12.75">
      <c r="O1111" s="167"/>
    </row>
    <row r="1112" spans="15:15" ht="12.75">
      <c r="O1112" s="167"/>
    </row>
    <row r="1113" spans="15:15" ht="12.75">
      <c r="O1113" s="167"/>
    </row>
    <row r="1114" spans="15:15" ht="12.75">
      <c r="O1114" s="167"/>
    </row>
    <row r="1115" spans="15:15" ht="12.75">
      <c r="O1115" s="167"/>
    </row>
    <row r="1116" spans="15:15" ht="12.75">
      <c r="O1116" s="167"/>
    </row>
    <row r="1117" spans="15:15" ht="12.75">
      <c r="O1117" s="167"/>
    </row>
    <row r="1118" spans="15:15" ht="12.75">
      <c r="O1118" s="167"/>
    </row>
    <row r="1119" spans="15:15" ht="12.75">
      <c r="O1119" s="167"/>
    </row>
    <row r="1120" spans="15:15" ht="12.75">
      <c r="O1120" s="167"/>
    </row>
    <row r="1121" spans="15:15" ht="12.75">
      <c r="O1121" s="167"/>
    </row>
    <row r="1122" spans="15:15" ht="12.75">
      <c r="O1122" s="167"/>
    </row>
    <row r="1123" spans="15:15" ht="12.75">
      <c r="O1123" s="167"/>
    </row>
    <row r="1124" spans="15:15" ht="12.75">
      <c r="O1124" s="167"/>
    </row>
    <row r="1125" spans="15:15" ht="12.75">
      <c r="O1125" s="167"/>
    </row>
    <row r="1126" spans="15:15" ht="12.75">
      <c r="O1126" s="167"/>
    </row>
    <row r="1127" spans="15:15" ht="12.75">
      <c r="O1127" s="167"/>
    </row>
    <row r="1128" spans="15:15" ht="12.75">
      <c r="O1128" s="167"/>
    </row>
    <row r="1129" spans="15:15" ht="12.75">
      <c r="O1129" s="167"/>
    </row>
    <row r="1130" spans="15:15" ht="12.75">
      <c r="O1130" s="167"/>
    </row>
    <row r="1131" spans="15:15" ht="12.75">
      <c r="O1131" s="167"/>
    </row>
    <row r="1132" spans="15:15" ht="12.75">
      <c r="O1132" s="167"/>
    </row>
    <row r="1133" spans="15:15" ht="12.75">
      <c r="O1133" s="167"/>
    </row>
    <row r="1134" spans="15:15" ht="12.75">
      <c r="O1134" s="167"/>
    </row>
    <row r="1135" spans="15:15" ht="12.75">
      <c r="O1135" s="167"/>
    </row>
    <row r="1136" spans="15:15" ht="12.75">
      <c r="O1136" s="167"/>
    </row>
    <row r="1137" spans="15:15" ht="12.75">
      <c r="O1137" s="167"/>
    </row>
    <row r="1138" spans="15:15" ht="12.75">
      <c r="O1138" s="167"/>
    </row>
    <row r="1139" spans="15:15" ht="12.75">
      <c r="O1139" s="167"/>
    </row>
    <row r="1140" spans="15:15" ht="12.75">
      <c r="O1140" s="167"/>
    </row>
    <row r="1141" spans="15:15" ht="12.75">
      <c r="O1141" s="167"/>
    </row>
    <row r="1142" spans="15:15" ht="12.75">
      <c r="O1142" s="167"/>
    </row>
    <row r="1143" spans="15:15" ht="12.75">
      <c r="O1143" s="167"/>
    </row>
    <row r="1144" spans="15:15" ht="12.75">
      <c r="O1144" s="167"/>
    </row>
    <row r="1145" spans="15:15" ht="12.75">
      <c r="O1145" s="167"/>
    </row>
    <row r="1146" spans="15:15" ht="12.75">
      <c r="O1146" s="167"/>
    </row>
    <row r="1147" spans="15:15" ht="12.75">
      <c r="O1147" s="167"/>
    </row>
    <row r="1148" spans="15:15" ht="12.75">
      <c r="O1148" s="167"/>
    </row>
    <row r="1149" spans="15:15" ht="12.75">
      <c r="O1149" s="167"/>
    </row>
    <row r="1150" spans="15:15" ht="12.75">
      <c r="O1150" s="167"/>
    </row>
    <row r="1151" spans="15:15" ht="12.75">
      <c r="O1151" s="167"/>
    </row>
    <row r="1152" spans="15:15" ht="12.75">
      <c r="O1152" s="167"/>
    </row>
    <row r="1153" spans="15:15" ht="12.75">
      <c r="O1153" s="167"/>
    </row>
    <row r="1154" spans="15:15" ht="12.75">
      <c r="O1154" s="167"/>
    </row>
    <row r="1155" spans="15:15" ht="12.75">
      <c r="O1155" s="167"/>
    </row>
    <row r="1156" spans="15:15" ht="12.75">
      <c r="O1156" s="167"/>
    </row>
    <row r="1157" spans="15:15" ht="12.75">
      <c r="O1157" s="167"/>
    </row>
    <row r="1158" spans="15:15" ht="12.75">
      <c r="O1158" s="167"/>
    </row>
    <row r="1159" spans="15:15" ht="12.75">
      <c r="O1159" s="167"/>
    </row>
    <row r="1160" spans="15:15" ht="12.75">
      <c r="O1160" s="167"/>
    </row>
    <row r="1161" spans="15:15" ht="12.75">
      <c r="O1161" s="167"/>
    </row>
    <row r="1162" spans="15:15" ht="12.75">
      <c r="O1162" s="167"/>
    </row>
    <row r="1163" spans="15:15" ht="12.75">
      <c r="O1163" s="167"/>
    </row>
    <row r="1164" spans="15:15" ht="12.75">
      <c r="O1164" s="167"/>
    </row>
    <row r="1165" spans="15:15" ht="12.75">
      <c r="O1165" s="167"/>
    </row>
    <row r="1166" spans="15:15" ht="12.75">
      <c r="O1166" s="167"/>
    </row>
    <row r="1167" spans="15:15" ht="12.75">
      <c r="O1167" s="167"/>
    </row>
    <row r="1168" spans="15:15" ht="12.75">
      <c r="O1168" s="167"/>
    </row>
    <row r="1169" spans="15:15" ht="12.75">
      <c r="O1169" s="167"/>
    </row>
    <row r="1170" spans="15:15" ht="12.75">
      <c r="O1170" s="167"/>
    </row>
    <row r="1171" spans="15:15" ht="12.75">
      <c r="O1171" s="167"/>
    </row>
    <row r="1172" spans="15:15" ht="12.75">
      <c r="O1172" s="167"/>
    </row>
    <row r="1173" spans="15:15" ht="12.75">
      <c r="O1173" s="167"/>
    </row>
    <row r="1174" spans="15:15" ht="12.75">
      <c r="O1174" s="167"/>
    </row>
    <row r="1175" spans="15:15" ht="12.75">
      <c r="O1175" s="167"/>
    </row>
    <row r="1176" spans="15:15" ht="12.75">
      <c r="O1176" s="167"/>
    </row>
    <row r="1177" spans="15:15" ht="12.75">
      <c r="O1177" s="167"/>
    </row>
    <row r="1178" spans="15:15" ht="12.75">
      <c r="O1178" s="167"/>
    </row>
    <row r="1179" spans="15:15" ht="12.75">
      <c r="O1179" s="167"/>
    </row>
    <row r="1180" spans="15:15" ht="12.75">
      <c r="O1180" s="167"/>
    </row>
    <row r="1181" spans="15:15" ht="12.75">
      <c r="O1181" s="167"/>
    </row>
    <row r="1182" spans="15:15" ht="12.75">
      <c r="O1182" s="167"/>
    </row>
    <row r="1183" spans="15:15" ht="12.75">
      <c r="O1183" s="167"/>
    </row>
    <row r="1184" spans="15:15" ht="12.75">
      <c r="O1184" s="167"/>
    </row>
    <row r="1185" spans="15:15" ht="12.75">
      <c r="O1185" s="167"/>
    </row>
    <row r="1186" spans="15:15" ht="12.75">
      <c r="O1186" s="167"/>
    </row>
    <row r="1187" spans="15:15" ht="12.75">
      <c r="O1187" s="167"/>
    </row>
    <row r="1188" spans="15:15" ht="12.75">
      <c r="O1188" s="167"/>
    </row>
    <row r="1189" spans="15:15" ht="12.75">
      <c r="O1189" s="167"/>
    </row>
    <row r="1190" spans="15:15" ht="12.75">
      <c r="O1190" s="167"/>
    </row>
    <row r="1191" spans="15:15" ht="12.75">
      <c r="O1191" s="167"/>
    </row>
    <row r="1192" spans="15:15" ht="12.75">
      <c r="O1192" s="167"/>
    </row>
    <row r="1193" spans="15:15" ht="12.75">
      <c r="O1193" s="167"/>
    </row>
    <row r="1194" spans="15:15" ht="12.75">
      <c r="O1194" s="167"/>
    </row>
    <row r="1195" spans="15:15" ht="12.75">
      <c r="O1195" s="167"/>
    </row>
    <row r="1196" spans="15:15" ht="12.75">
      <c r="O1196" s="167"/>
    </row>
    <row r="1197" spans="15:15" ht="12.75">
      <c r="O1197" s="167"/>
    </row>
    <row r="1198" spans="15:15" ht="12.75">
      <c r="O1198" s="167"/>
    </row>
    <row r="1199" spans="15:15" ht="12.75">
      <c r="O1199" s="167"/>
    </row>
    <row r="1200" spans="15:15" ht="12.75">
      <c r="O1200" s="167"/>
    </row>
    <row r="1201" spans="15:15" ht="12.75">
      <c r="O1201" s="167"/>
    </row>
    <row r="1202" spans="15:15" ht="12.75">
      <c r="O1202" s="167"/>
    </row>
    <row r="1203" spans="15:15" ht="12.75">
      <c r="O1203" s="167"/>
    </row>
    <row r="1204" spans="15:15" ht="12.75">
      <c r="O1204" s="167"/>
    </row>
    <row r="1205" spans="15:15" ht="12.75">
      <c r="O1205" s="167"/>
    </row>
    <row r="1206" spans="15:15" ht="12.75">
      <c r="O1206" s="167"/>
    </row>
    <row r="1207" spans="15:15" ht="12.75">
      <c r="O1207" s="167"/>
    </row>
    <row r="1208" spans="15:15" ht="12.75">
      <c r="O1208" s="167"/>
    </row>
    <row r="1209" spans="15:15" ht="12.75">
      <c r="O1209" s="167"/>
    </row>
    <row r="1210" spans="15:15" ht="12.75">
      <c r="O1210" s="167"/>
    </row>
    <row r="1211" spans="15:15" ht="12.75">
      <c r="O1211" s="167"/>
    </row>
    <row r="1212" spans="15:15" ht="12.75">
      <c r="O1212" s="167"/>
    </row>
    <row r="1213" spans="15:15" ht="12.75">
      <c r="O1213" s="167"/>
    </row>
    <row r="1214" spans="15:15" ht="12.75">
      <c r="O1214" s="167"/>
    </row>
    <row r="1215" spans="15:15" ht="12.75">
      <c r="O1215" s="167"/>
    </row>
    <row r="1216" spans="15:15" ht="12.75">
      <c r="O1216" s="167"/>
    </row>
    <row r="1217" spans="15:15" ht="12.75">
      <c r="O1217" s="167"/>
    </row>
    <row r="1218" spans="15:15" ht="12.75">
      <c r="O1218" s="167"/>
    </row>
    <row r="1219" spans="15:15" ht="12.75">
      <c r="O1219" s="167"/>
    </row>
    <row r="1220" spans="15:15" ht="12.75">
      <c r="O1220" s="167"/>
    </row>
    <row r="1221" spans="15:15" ht="12.75">
      <c r="O1221" s="167"/>
    </row>
    <row r="1222" spans="15:15" ht="12.75">
      <c r="O1222" s="167"/>
    </row>
    <row r="1223" spans="15:15" ht="12.75">
      <c r="O1223" s="167"/>
    </row>
    <row r="1224" spans="15:15" ht="12.75">
      <c r="O1224" s="167"/>
    </row>
    <row r="1225" spans="15:15" ht="12.75">
      <c r="O1225" s="167"/>
    </row>
    <row r="1226" spans="15:15" ht="12.75">
      <c r="O1226" s="167"/>
    </row>
    <row r="1227" spans="15:15" ht="12.75">
      <c r="O1227" s="167"/>
    </row>
    <row r="1228" spans="15:15" ht="12.75">
      <c r="O1228" s="167"/>
    </row>
    <row r="1229" spans="15:15" ht="12.75">
      <c r="O1229" s="167"/>
    </row>
    <row r="1230" spans="15:15" ht="12.75">
      <c r="O1230" s="167"/>
    </row>
    <row r="1231" spans="15:15" ht="12.75">
      <c r="O1231" s="167"/>
    </row>
    <row r="1232" spans="15:15" ht="12.75">
      <c r="O1232" s="167"/>
    </row>
    <row r="1233" spans="15:15" ht="12.75">
      <c r="O1233" s="167"/>
    </row>
    <row r="1234" spans="15:15" ht="12.75">
      <c r="O1234" s="167"/>
    </row>
    <row r="1235" spans="15:15" ht="12.75">
      <c r="O1235" s="167"/>
    </row>
    <row r="1236" spans="15:15" ht="12.75">
      <c r="O1236" s="167"/>
    </row>
    <row r="1237" spans="15:15" ht="12.75">
      <c r="O1237" s="167"/>
    </row>
    <row r="1238" spans="15:15" ht="12.75">
      <c r="O1238" s="167"/>
    </row>
    <row r="1239" spans="15:15" ht="12.75">
      <c r="O1239" s="167"/>
    </row>
    <row r="1240" spans="15:15" ht="12.75">
      <c r="O1240" s="167"/>
    </row>
    <row r="1241" spans="15:15" ht="12.75">
      <c r="O1241" s="167"/>
    </row>
    <row r="1242" spans="15:15" ht="12.75">
      <c r="O1242" s="167"/>
    </row>
    <row r="1243" spans="15:15" ht="12.75">
      <c r="O1243" s="167"/>
    </row>
    <row r="1244" spans="15:15" ht="12.75">
      <c r="O1244" s="167"/>
    </row>
    <row r="1245" spans="15:15" ht="12.75">
      <c r="O1245" s="167"/>
    </row>
    <row r="1246" spans="15:15" ht="12.75">
      <c r="O1246" s="167"/>
    </row>
    <row r="1247" spans="15:15" ht="12.75">
      <c r="O1247" s="167"/>
    </row>
    <row r="1248" spans="15:15" ht="12.75">
      <c r="O1248" s="167"/>
    </row>
    <row r="1249" spans="15:15" ht="12.75">
      <c r="O1249" s="167"/>
    </row>
    <row r="1250" spans="15:15" ht="12.75">
      <c r="O1250" s="167"/>
    </row>
    <row r="1251" spans="15:15" ht="12.75">
      <c r="O1251" s="167"/>
    </row>
    <row r="1252" spans="15:15" ht="12.75">
      <c r="O1252" s="167"/>
    </row>
    <row r="1253" spans="15:15" ht="12.75">
      <c r="O1253" s="167"/>
    </row>
    <row r="1254" spans="15:15" ht="12.75">
      <c r="O1254" s="167"/>
    </row>
    <row r="1255" spans="15:15" ht="12.75">
      <c r="O1255" s="167"/>
    </row>
    <row r="1256" spans="15:15" ht="12.75">
      <c r="O1256" s="167"/>
    </row>
    <row r="1257" spans="15:15" ht="12.75">
      <c r="O1257" s="167"/>
    </row>
    <row r="1258" spans="15:15" ht="12.75">
      <c r="O1258" s="167"/>
    </row>
    <row r="1259" spans="15:15" ht="12.75">
      <c r="O1259" s="167"/>
    </row>
    <row r="1260" spans="15:15" ht="12.75">
      <c r="O1260" s="167"/>
    </row>
    <row r="1261" spans="15:15" ht="12.75">
      <c r="O1261" s="167"/>
    </row>
    <row r="1262" spans="15:15" ht="12.75">
      <c r="O1262" s="167"/>
    </row>
    <row r="1263" spans="15:15" ht="12.75">
      <c r="O1263" s="167"/>
    </row>
    <row r="1264" spans="15:15" ht="12.75">
      <c r="O1264" s="167"/>
    </row>
    <row r="1265" spans="15:15" ht="12.75">
      <c r="O1265" s="167"/>
    </row>
    <row r="1266" spans="15:15" ht="12.75">
      <c r="O1266" s="167"/>
    </row>
    <row r="1267" spans="15:15" ht="12.75">
      <c r="O1267" s="167"/>
    </row>
    <row r="1268" spans="15:15" ht="12.75">
      <c r="O1268" s="167"/>
    </row>
    <row r="1269" spans="15:15" ht="12.75">
      <c r="O1269" s="167"/>
    </row>
    <row r="1270" spans="15:15" ht="12.75">
      <c r="O1270" s="167"/>
    </row>
    <row r="1271" spans="15:15" ht="12.75">
      <c r="O1271" s="167"/>
    </row>
    <row r="1272" spans="15:15" ht="12.75">
      <c r="O1272" s="167"/>
    </row>
    <row r="1273" spans="15:15" ht="12.75">
      <c r="O1273" s="167"/>
    </row>
    <row r="1274" spans="15:15" ht="12.75">
      <c r="O1274" s="167"/>
    </row>
    <row r="1275" spans="15:15" ht="12.75">
      <c r="O1275" s="167"/>
    </row>
    <row r="1276" spans="15:15" ht="12.75">
      <c r="O1276" s="167"/>
    </row>
    <row r="1277" spans="15:15" ht="12.75">
      <c r="O1277" s="167"/>
    </row>
    <row r="1278" spans="15:15" ht="12.75">
      <c r="O1278" s="167"/>
    </row>
    <row r="1279" spans="15:15" ht="12.75">
      <c r="O1279" s="167"/>
    </row>
    <row r="1280" spans="15:15" ht="12.75">
      <c r="O1280" s="167"/>
    </row>
  </sheetData>
  <autoFilter ref="S1:U19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995"/>
  <sheetViews>
    <sheetView workbookViewId="0"/>
  </sheetViews>
  <sheetFormatPr baseColWidth="10" defaultColWidth="12.5703125" defaultRowHeight="15.75" customHeight="1"/>
  <cols>
    <col min="1" max="1" width="28.42578125" customWidth="1"/>
    <col min="2" max="2" width="25" customWidth="1"/>
    <col min="4" max="4" width="18.140625" customWidth="1"/>
    <col min="5" max="5" width="32" customWidth="1"/>
    <col min="7" max="7" width="36.140625" customWidth="1"/>
  </cols>
  <sheetData>
    <row r="1" spans="1:10" ht="15">
      <c r="A1" s="6"/>
      <c r="B1" s="6"/>
      <c r="C1" s="6"/>
      <c r="D1" s="6"/>
      <c r="E1" s="17"/>
      <c r="F1" s="17"/>
      <c r="G1" s="17"/>
      <c r="H1" s="6"/>
      <c r="I1" s="6"/>
      <c r="J1" s="10"/>
    </row>
    <row r="2" spans="1:10" ht="207" customHeight="1">
      <c r="A2" s="6" t="s">
        <v>30</v>
      </c>
      <c r="B2" s="6" t="s">
        <v>9681</v>
      </c>
      <c r="C2" s="6" t="s">
        <v>31</v>
      </c>
      <c r="D2" s="6" t="s">
        <v>34</v>
      </c>
      <c r="E2" s="10" t="s">
        <v>37</v>
      </c>
      <c r="F2" s="17"/>
      <c r="G2" s="17" t="e">
        <f t="shared" ref="G2:G995" ca="1" si="0">IMAGE("https://chart.googleapis.com/chart?chs=150x150&amp;cht=qr&amp;chl="&amp;B2&amp;"/NII:_"&amp;C2&amp;"/SAACG:_"&amp;D2&amp;"/NIP:_"&amp;E2)</f>
        <v>#NAME?</v>
      </c>
      <c r="H2" s="6"/>
      <c r="I2" s="6"/>
      <c r="J2" s="10"/>
    </row>
    <row r="3" spans="1:10" ht="171.75" customHeight="1">
      <c r="A3" s="6" t="s">
        <v>44</v>
      </c>
      <c r="B3" s="6" t="s">
        <v>9682</v>
      </c>
      <c r="C3" s="6" t="s">
        <v>45</v>
      </c>
      <c r="D3" s="6" t="s">
        <v>48</v>
      </c>
      <c r="E3" s="10" t="s">
        <v>50</v>
      </c>
      <c r="F3" s="17"/>
      <c r="G3" s="17" t="e">
        <f t="shared" ca="1" si="0"/>
        <v>#NAME?</v>
      </c>
      <c r="H3" s="6"/>
      <c r="I3" s="6"/>
      <c r="J3" s="10"/>
    </row>
    <row r="4" spans="1:10" ht="171.75" customHeight="1">
      <c r="A4" s="6" t="s">
        <v>9267</v>
      </c>
      <c r="B4" s="6" t="s">
        <v>9683</v>
      </c>
      <c r="C4" s="6" t="s">
        <v>55</v>
      </c>
      <c r="D4" s="6" t="s">
        <v>58</v>
      </c>
      <c r="E4" s="10" t="s">
        <v>59</v>
      </c>
      <c r="F4" s="17"/>
      <c r="G4" s="17" t="e">
        <f t="shared" ca="1" si="0"/>
        <v>#NAME?</v>
      </c>
      <c r="H4" s="6"/>
      <c r="I4" s="6"/>
      <c r="J4" s="10"/>
    </row>
    <row r="5" spans="1:10" ht="171.75" customHeight="1">
      <c r="A5" s="6" t="s">
        <v>63</v>
      </c>
      <c r="B5" s="6" t="s">
        <v>9684</v>
      </c>
      <c r="C5" s="6" t="s">
        <v>64</v>
      </c>
      <c r="D5" s="6" t="s">
        <v>67</v>
      </c>
      <c r="E5" s="10" t="s">
        <v>68</v>
      </c>
      <c r="F5" s="17"/>
      <c r="G5" s="17" t="e">
        <f t="shared" ca="1" si="0"/>
        <v>#NAME?</v>
      </c>
      <c r="H5" s="6"/>
      <c r="I5" s="6"/>
      <c r="J5" s="10"/>
    </row>
    <row r="6" spans="1:10" ht="171.75" customHeight="1">
      <c r="A6" s="6" t="s">
        <v>72</v>
      </c>
      <c r="B6" s="6" t="s">
        <v>9685</v>
      </c>
      <c r="C6" s="6" t="s">
        <v>73</v>
      </c>
      <c r="D6" s="6" t="s">
        <v>76</v>
      </c>
      <c r="E6" s="10" t="s">
        <v>77</v>
      </c>
      <c r="F6" s="17"/>
      <c r="G6" s="17" t="e">
        <f t="shared" ca="1" si="0"/>
        <v>#NAME?</v>
      </c>
      <c r="H6" s="6"/>
      <c r="I6" s="6"/>
      <c r="J6" s="10"/>
    </row>
    <row r="7" spans="1:10" ht="171.75" customHeight="1">
      <c r="A7" s="6" t="s">
        <v>81</v>
      </c>
      <c r="B7" s="6" t="s">
        <v>9686</v>
      </c>
      <c r="C7" s="6" t="s">
        <v>82</v>
      </c>
      <c r="D7" s="32" t="s">
        <v>84</v>
      </c>
      <c r="E7" s="10" t="s">
        <v>9687</v>
      </c>
      <c r="F7" s="17"/>
      <c r="G7" s="17" t="e">
        <f t="shared" ca="1" si="0"/>
        <v>#NAME?</v>
      </c>
      <c r="H7" s="6"/>
      <c r="I7" s="6"/>
      <c r="J7" s="10"/>
    </row>
    <row r="8" spans="1:10" ht="171.75" customHeight="1">
      <c r="A8" s="6" t="s">
        <v>8429</v>
      </c>
      <c r="B8" s="6" t="s">
        <v>9688</v>
      </c>
      <c r="C8" s="6" t="s">
        <v>7389</v>
      </c>
      <c r="D8" s="6" t="s">
        <v>8430</v>
      </c>
      <c r="E8" s="10" t="s">
        <v>91</v>
      </c>
      <c r="F8" s="17"/>
      <c r="G8" s="17" t="e">
        <f t="shared" ca="1" si="0"/>
        <v>#NAME?</v>
      </c>
      <c r="H8" s="6"/>
      <c r="I8" s="6"/>
      <c r="J8" s="10"/>
    </row>
    <row r="9" spans="1:10" ht="171.75" customHeight="1">
      <c r="A9" s="6" t="s">
        <v>94</v>
      </c>
      <c r="B9" s="6" t="s">
        <v>9689</v>
      </c>
      <c r="C9" s="6" t="s">
        <v>95</v>
      </c>
      <c r="D9" s="6" t="s">
        <v>98</v>
      </c>
      <c r="E9" s="10" t="s">
        <v>99</v>
      </c>
      <c r="F9" s="17"/>
      <c r="G9" s="17" t="e">
        <f t="shared" ca="1" si="0"/>
        <v>#NAME?</v>
      </c>
      <c r="H9" s="6"/>
      <c r="I9" s="6"/>
      <c r="J9" s="10"/>
    </row>
    <row r="10" spans="1:10" ht="171.75" customHeight="1">
      <c r="A10" s="6" t="s">
        <v>103</v>
      </c>
      <c r="B10" s="6" t="s">
        <v>9690</v>
      </c>
      <c r="C10" s="6" t="s">
        <v>104</v>
      </c>
      <c r="D10" s="6" t="s">
        <v>107</v>
      </c>
      <c r="E10" s="10" t="s">
        <v>108</v>
      </c>
      <c r="F10" s="17"/>
      <c r="G10" s="17" t="e">
        <f t="shared" ca="1" si="0"/>
        <v>#NAME?</v>
      </c>
      <c r="H10" s="6"/>
      <c r="I10" s="6"/>
      <c r="J10" s="10"/>
    </row>
    <row r="11" spans="1:10" ht="171.75" customHeight="1">
      <c r="A11" s="6" t="s">
        <v>110</v>
      </c>
      <c r="B11" s="6" t="s">
        <v>9691</v>
      </c>
      <c r="C11" s="6" t="s">
        <v>111</v>
      </c>
      <c r="D11" s="6" t="s">
        <v>113</v>
      </c>
      <c r="E11" s="10" t="s">
        <v>114</v>
      </c>
      <c r="F11" s="17"/>
      <c r="G11" s="17" t="e">
        <f t="shared" ca="1" si="0"/>
        <v>#NAME?</v>
      </c>
      <c r="H11" s="6"/>
      <c r="I11" s="6"/>
      <c r="J11" s="10"/>
    </row>
    <row r="12" spans="1:10" ht="171.75" customHeight="1">
      <c r="A12" s="6" t="s">
        <v>117</v>
      </c>
      <c r="B12" s="6" t="s">
        <v>9692</v>
      </c>
      <c r="C12" s="6" t="s">
        <v>118</v>
      </c>
      <c r="D12" s="6" t="s">
        <v>120</v>
      </c>
      <c r="E12" s="10" t="s">
        <v>121</v>
      </c>
      <c r="F12" s="17"/>
      <c r="G12" s="17" t="e">
        <f t="shared" ca="1" si="0"/>
        <v>#NAME?</v>
      </c>
      <c r="H12" s="6"/>
      <c r="I12" s="6"/>
      <c r="J12" s="10"/>
    </row>
    <row r="13" spans="1:10" ht="171.75" customHeight="1">
      <c r="A13" s="6" t="s">
        <v>123</v>
      </c>
      <c r="B13" s="6" t="s">
        <v>9693</v>
      </c>
      <c r="C13" s="6" t="s">
        <v>124</v>
      </c>
      <c r="D13" s="6" t="s">
        <v>126</v>
      </c>
      <c r="E13" s="10" t="s">
        <v>127</v>
      </c>
      <c r="F13" s="17"/>
      <c r="G13" s="17" t="e">
        <f t="shared" ca="1" si="0"/>
        <v>#NAME?</v>
      </c>
      <c r="H13" s="6"/>
      <c r="I13" s="6"/>
      <c r="J13" s="10"/>
    </row>
    <row r="14" spans="1:10" ht="171.75" customHeight="1">
      <c r="A14" s="6" t="s">
        <v>129</v>
      </c>
      <c r="B14" s="6" t="s">
        <v>9694</v>
      </c>
      <c r="C14" s="6" t="s">
        <v>130</v>
      </c>
      <c r="D14" s="6" t="s">
        <v>133</v>
      </c>
      <c r="E14" s="10" t="s">
        <v>134</v>
      </c>
      <c r="F14" s="17"/>
      <c r="G14" s="17" t="e">
        <f t="shared" ca="1" si="0"/>
        <v>#NAME?</v>
      </c>
      <c r="H14" s="6"/>
      <c r="I14" s="6"/>
      <c r="J14" s="10"/>
    </row>
    <row r="15" spans="1:10" ht="171.75" customHeight="1">
      <c r="A15" s="6" t="s">
        <v>137</v>
      </c>
      <c r="B15" s="6" t="s">
        <v>9695</v>
      </c>
      <c r="C15" s="6" t="s">
        <v>138</v>
      </c>
      <c r="D15" s="6" t="s">
        <v>141</v>
      </c>
      <c r="E15" s="10" t="s">
        <v>146</v>
      </c>
      <c r="F15" s="17"/>
      <c r="G15" s="17" t="e">
        <f t="shared" ca="1" si="0"/>
        <v>#NAME?</v>
      </c>
      <c r="H15" s="6"/>
      <c r="I15" s="6"/>
      <c r="J15" s="10"/>
    </row>
    <row r="16" spans="1:10" ht="171.75" customHeight="1">
      <c r="A16" s="6" t="s">
        <v>152</v>
      </c>
      <c r="B16" s="6" t="s">
        <v>9696</v>
      </c>
      <c r="C16" s="6" t="s">
        <v>153</v>
      </c>
      <c r="D16" s="6" t="s">
        <v>156</v>
      </c>
      <c r="E16" s="10" t="s">
        <v>160</v>
      </c>
      <c r="F16" s="17"/>
      <c r="G16" s="17" t="e">
        <f t="shared" ca="1" si="0"/>
        <v>#NAME?</v>
      </c>
      <c r="H16" s="6"/>
      <c r="I16" s="6"/>
      <c r="J16" s="10"/>
    </row>
    <row r="17" spans="1:10" ht="171.75" customHeight="1">
      <c r="A17" s="6" t="s">
        <v>163</v>
      </c>
      <c r="B17" s="6" t="s">
        <v>9697</v>
      </c>
      <c r="C17" s="6" t="s">
        <v>164</v>
      </c>
      <c r="D17" s="32" t="s">
        <v>167</v>
      </c>
      <c r="E17" s="10" t="s">
        <v>171</v>
      </c>
      <c r="F17" s="17"/>
      <c r="G17" s="17" t="e">
        <f t="shared" ca="1" si="0"/>
        <v>#NAME?</v>
      </c>
      <c r="H17" s="6"/>
      <c r="I17" s="6"/>
      <c r="J17" s="10"/>
    </row>
    <row r="18" spans="1:10" ht="171.75" customHeight="1">
      <c r="A18" s="6" t="s">
        <v>174</v>
      </c>
      <c r="B18" s="6" t="s">
        <v>9698</v>
      </c>
      <c r="C18" s="6" t="s">
        <v>175</v>
      </c>
      <c r="D18" s="6" t="s">
        <v>178</v>
      </c>
      <c r="E18" s="10" t="s">
        <v>182</v>
      </c>
      <c r="F18" s="17"/>
      <c r="G18" s="17" t="e">
        <f t="shared" ca="1" si="0"/>
        <v>#NAME?</v>
      </c>
      <c r="H18" s="81"/>
      <c r="I18" s="37"/>
      <c r="J18" s="32"/>
    </row>
    <row r="19" spans="1:10" ht="171.75" customHeight="1">
      <c r="A19" s="6" t="s">
        <v>185</v>
      </c>
      <c r="B19" s="6" t="s">
        <v>9699</v>
      </c>
      <c r="C19" s="6" t="s">
        <v>186</v>
      </c>
      <c r="D19" s="6" t="s">
        <v>189</v>
      </c>
      <c r="E19" s="32" t="s">
        <v>190</v>
      </c>
      <c r="F19" s="17"/>
      <c r="G19" s="17" t="e">
        <f t="shared" ca="1" si="0"/>
        <v>#NAME?</v>
      </c>
      <c r="H19" s="81"/>
      <c r="I19" s="37"/>
      <c r="J19" s="32"/>
    </row>
    <row r="20" spans="1:10" ht="171.75" customHeight="1">
      <c r="A20" s="6" t="s">
        <v>192</v>
      </c>
      <c r="B20" s="6" t="s">
        <v>9700</v>
      </c>
      <c r="C20" s="6" t="s">
        <v>193</v>
      </c>
      <c r="D20" s="6" t="s">
        <v>196</v>
      </c>
      <c r="E20" s="32" t="s">
        <v>197</v>
      </c>
      <c r="F20" s="17"/>
      <c r="G20" s="17" t="e">
        <f t="shared" ca="1" si="0"/>
        <v>#NAME?</v>
      </c>
      <c r="H20" s="6"/>
      <c r="I20" s="6"/>
      <c r="J20" s="10"/>
    </row>
    <row r="21" spans="1:10" ht="171.75" customHeight="1">
      <c r="A21" s="6" t="s">
        <v>200</v>
      </c>
      <c r="B21" s="6" t="s">
        <v>9701</v>
      </c>
      <c r="C21" s="6" t="s">
        <v>201</v>
      </c>
      <c r="D21" s="6" t="s">
        <v>204</v>
      </c>
      <c r="E21" s="10" t="s">
        <v>208</v>
      </c>
      <c r="F21" s="17"/>
      <c r="G21" s="17" t="e">
        <f t="shared" ca="1" si="0"/>
        <v>#NAME?</v>
      </c>
      <c r="H21" s="6"/>
      <c r="I21" s="6"/>
      <c r="J21" s="10"/>
    </row>
    <row r="22" spans="1:10" ht="171.75" customHeight="1">
      <c r="A22" s="6" t="s">
        <v>211</v>
      </c>
      <c r="B22" s="6" t="s">
        <v>9702</v>
      </c>
      <c r="C22" s="6" t="s">
        <v>212</v>
      </c>
      <c r="D22" s="6" t="s">
        <v>215</v>
      </c>
      <c r="E22" s="10" t="s">
        <v>219</v>
      </c>
      <c r="F22" s="17"/>
      <c r="G22" s="17" t="e">
        <f t="shared" ca="1" si="0"/>
        <v>#NAME?</v>
      </c>
      <c r="H22" s="6"/>
      <c r="I22" s="81"/>
      <c r="J22" s="10"/>
    </row>
    <row r="23" spans="1:10" ht="171.75" customHeight="1">
      <c r="A23" s="6" t="s">
        <v>221</v>
      </c>
      <c r="B23" s="6" t="s">
        <v>9703</v>
      </c>
      <c r="C23" s="6" t="s">
        <v>222</v>
      </c>
      <c r="D23" s="6" t="s">
        <v>225</v>
      </c>
      <c r="E23" s="10" t="s">
        <v>226</v>
      </c>
      <c r="F23" s="17"/>
      <c r="G23" s="17" t="e">
        <f t="shared" ca="1" si="0"/>
        <v>#NAME?</v>
      </c>
      <c r="H23" s="6"/>
      <c r="I23" s="17"/>
      <c r="J23" s="17"/>
    </row>
    <row r="24" spans="1:10" ht="171.75" customHeight="1">
      <c r="A24" s="6" t="s">
        <v>221</v>
      </c>
      <c r="B24" s="6" t="s">
        <v>9703</v>
      </c>
      <c r="C24" s="6" t="s">
        <v>228</v>
      </c>
      <c r="D24" s="6" t="s">
        <v>231</v>
      </c>
      <c r="E24" s="17" t="s">
        <v>232</v>
      </c>
      <c r="F24" s="17"/>
      <c r="G24" s="17" t="e">
        <f t="shared" ca="1" si="0"/>
        <v>#NAME?</v>
      </c>
      <c r="H24" s="6"/>
      <c r="I24" s="17"/>
      <c r="J24" s="17"/>
    </row>
    <row r="25" spans="1:10" ht="171.75" customHeight="1">
      <c r="A25" s="6" t="s">
        <v>235</v>
      </c>
      <c r="B25" s="6" t="s">
        <v>9704</v>
      </c>
      <c r="C25" s="6" t="s">
        <v>236</v>
      </c>
      <c r="D25" s="6" t="s">
        <v>239</v>
      </c>
      <c r="E25" s="17" t="s">
        <v>240</v>
      </c>
      <c r="F25" s="17"/>
      <c r="G25" s="17" t="e">
        <f t="shared" ca="1" si="0"/>
        <v>#NAME?</v>
      </c>
      <c r="H25" s="6"/>
      <c r="I25" s="6"/>
      <c r="J25" s="10"/>
    </row>
    <row r="26" spans="1:10" ht="171.75" customHeight="1">
      <c r="A26" s="6" t="s">
        <v>242</v>
      </c>
      <c r="B26" s="6" t="s">
        <v>9705</v>
      </c>
      <c r="C26" s="6" t="s">
        <v>243</v>
      </c>
      <c r="D26" s="6" t="s">
        <v>141</v>
      </c>
      <c r="E26" s="10" t="s">
        <v>9687</v>
      </c>
      <c r="F26" s="17"/>
      <c r="G26" s="17" t="e">
        <f t="shared" ca="1" si="0"/>
        <v>#NAME?</v>
      </c>
      <c r="H26" s="6"/>
      <c r="I26" s="17"/>
      <c r="J26" s="17"/>
    </row>
    <row r="27" spans="1:10" ht="171.75" customHeight="1">
      <c r="A27" s="6" t="s">
        <v>254</v>
      </c>
      <c r="B27" s="6" t="s">
        <v>9706</v>
      </c>
      <c r="C27" s="6" t="s">
        <v>255</v>
      </c>
      <c r="D27" s="6" t="s">
        <v>258</v>
      </c>
      <c r="E27" s="17" t="s">
        <v>259</v>
      </c>
      <c r="F27" s="17"/>
      <c r="G27" s="17" t="e">
        <f t="shared" ca="1" si="0"/>
        <v>#NAME?</v>
      </c>
      <c r="H27" s="6"/>
      <c r="I27" s="17"/>
      <c r="J27" s="17"/>
    </row>
    <row r="28" spans="1:10" ht="171.75" customHeight="1">
      <c r="A28" s="6" t="s">
        <v>263</v>
      </c>
      <c r="B28" s="6" t="s">
        <v>9707</v>
      </c>
      <c r="C28" s="6" t="s">
        <v>264</v>
      </c>
      <c r="D28" s="6" t="s">
        <v>267</v>
      </c>
      <c r="E28" s="17" t="s">
        <v>268</v>
      </c>
      <c r="F28" s="17"/>
      <c r="G28" s="17" t="e">
        <f t="shared" ca="1" si="0"/>
        <v>#NAME?</v>
      </c>
      <c r="H28" s="6"/>
      <c r="I28" s="6"/>
      <c r="J28" s="10"/>
    </row>
    <row r="29" spans="1:10" ht="171.75" customHeight="1">
      <c r="A29" s="6" t="s">
        <v>199</v>
      </c>
      <c r="B29" s="6" t="s">
        <v>9708</v>
      </c>
      <c r="C29" s="6" t="s">
        <v>270</v>
      </c>
      <c r="D29" s="6" t="s">
        <v>272</v>
      </c>
      <c r="E29" s="10" t="s">
        <v>9687</v>
      </c>
      <c r="F29" s="17"/>
      <c r="G29" s="17" t="e">
        <f t="shared" ca="1" si="0"/>
        <v>#NAME?</v>
      </c>
      <c r="H29" s="6"/>
      <c r="I29" s="17"/>
      <c r="J29" s="17"/>
    </row>
    <row r="30" spans="1:10" ht="171.75" customHeight="1">
      <c r="A30" s="43" t="s">
        <v>278</v>
      </c>
      <c r="B30" s="6" t="s">
        <v>9709</v>
      </c>
      <c r="C30" s="6" t="s">
        <v>279</v>
      </c>
      <c r="D30" s="6" t="s">
        <v>282</v>
      </c>
      <c r="E30" s="17" t="s">
        <v>283</v>
      </c>
      <c r="F30" s="17"/>
      <c r="G30" s="17" t="e">
        <f t="shared" ca="1" si="0"/>
        <v>#NAME?</v>
      </c>
      <c r="H30" s="6"/>
      <c r="I30" s="17"/>
      <c r="J30" s="17"/>
    </row>
    <row r="31" spans="1:10" ht="171.75" customHeight="1">
      <c r="A31" s="6" t="s">
        <v>285</v>
      </c>
      <c r="B31" s="6" t="s">
        <v>9710</v>
      </c>
      <c r="C31" s="6" t="s">
        <v>286</v>
      </c>
      <c r="D31" s="6" t="s">
        <v>289</v>
      </c>
      <c r="E31" s="17" t="s">
        <v>291</v>
      </c>
      <c r="F31" s="17"/>
      <c r="G31" s="17" t="e">
        <f t="shared" ca="1" si="0"/>
        <v>#NAME?</v>
      </c>
      <c r="H31" s="6"/>
      <c r="I31" s="6"/>
      <c r="J31" s="10"/>
    </row>
    <row r="32" spans="1:10" ht="171.75" customHeight="1">
      <c r="A32" s="6" t="s">
        <v>293</v>
      </c>
      <c r="B32" s="6" t="s">
        <v>9711</v>
      </c>
      <c r="C32" s="6" t="s">
        <v>294</v>
      </c>
      <c r="D32" s="6" t="s">
        <v>296</v>
      </c>
      <c r="E32" s="10" t="s">
        <v>9687</v>
      </c>
      <c r="F32" s="17"/>
      <c r="G32" s="17" t="e">
        <f t="shared" ca="1" si="0"/>
        <v>#NAME?</v>
      </c>
      <c r="H32" s="6"/>
      <c r="I32" s="6"/>
      <c r="J32" s="10"/>
    </row>
    <row r="33" spans="1:10" ht="171.75" customHeight="1">
      <c r="A33" s="6" t="s">
        <v>248</v>
      </c>
      <c r="B33" s="6" t="s">
        <v>9712</v>
      </c>
      <c r="C33" s="6" t="s">
        <v>301</v>
      </c>
      <c r="D33" s="6" t="s">
        <v>141</v>
      </c>
      <c r="E33" s="10" t="s">
        <v>306</v>
      </c>
      <c r="F33" s="17"/>
      <c r="G33" s="17" t="e">
        <f t="shared" ca="1" si="0"/>
        <v>#NAME?</v>
      </c>
      <c r="H33" s="6"/>
      <c r="I33" s="17"/>
      <c r="J33" s="17"/>
    </row>
    <row r="34" spans="1:10" ht="171.75" customHeight="1">
      <c r="A34" s="6" t="s">
        <v>308</v>
      </c>
      <c r="B34" s="6" t="s">
        <v>9713</v>
      </c>
      <c r="C34" s="6" t="s">
        <v>309</v>
      </c>
      <c r="D34" s="6" t="s">
        <v>312</v>
      </c>
      <c r="E34" s="17" t="s">
        <v>313</v>
      </c>
      <c r="F34" s="17"/>
      <c r="G34" s="17" t="e">
        <f t="shared" ca="1" si="0"/>
        <v>#NAME?</v>
      </c>
      <c r="H34" s="6"/>
      <c r="I34" s="6"/>
      <c r="J34" s="10"/>
    </row>
    <row r="35" spans="1:10" ht="171.75" customHeight="1">
      <c r="A35" s="6" t="s">
        <v>315</v>
      </c>
      <c r="B35" s="6" t="s">
        <v>9714</v>
      </c>
      <c r="C35" s="6" t="s">
        <v>316</v>
      </c>
      <c r="D35" s="6" t="s">
        <v>141</v>
      </c>
      <c r="E35" s="10" t="s">
        <v>319</v>
      </c>
      <c r="F35" s="17"/>
      <c r="G35" s="17" t="e">
        <f t="shared" ca="1" si="0"/>
        <v>#NAME?</v>
      </c>
      <c r="H35" s="6"/>
      <c r="I35" s="6"/>
      <c r="J35" s="32"/>
    </row>
    <row r="36" spans="1:10" ht="171.75" customHeight="1">
      <c r="A36" s="6" t="s">
        <v>322</v>
      </c>
      <c r="B36" s="6" t="s">
        <v>9715</v>
      </c>
      <c r="C36" s="6" t="s">
        <v>323</v>
      </c>
      <c r="D36" s="6" t="s">
        <v>141</v>
      </c>
      <c r="E36" s="10" t="s">
        <v>9687</v>
      </c>
      <c r="F36" s="17"/>
      <c r="G36" s="17" t="e">
        <f t="shared" ca="1" si="0"/>
        <v>#NAME?</v>
      </c>
      <c r="H36" s="6"/>
      <c r="I36" s="6"/>
      <c r="J36" s="10"/>
    </row>
    <row r="37" spans="1:10" ht="171.75" customHeight="1">
      <c r="A37" s="6" t="s">
        <v>293</v>
      </c>
      <c r="B37" s="6" t="s">
        <v>9711</v>
      </c>
      <c r="C37" s="6" t="s">
        <v>328</v>
      </c>
      <c r="D37" s="6" t="s">
        <v>330</v>
      </c>
      <c r="E37" s="10" t="s">
        <v>9687</v>
      </c>
      <c r="F37" s="17"/>
      <c r="G37" s="17" t="e">
        <f t="shared" ca="1" si="0"/>
        <v>#NAME?</v>
      </c>
      <c r="H37" s="6"/>
      <c r="I37" s="17"/>
      <c r="J37" s="17"/>
    </row>
    <row r="38" spans="1:10" ht="171.75" customHeight="1">
      <c r="A38" s="6" t="s">
        <v>285</v>
      </c>
      <c r="B38" s="6" t="s">
        <v>9710</v>
      </c>
      <c r="C38" s="6" t="s">
        <v>334</v>
      </c>
      <c r="D38" s="6" t="s">
        <v>337</v>
      </c>
      <c r="E38" s="17" t="s">
        <v>339</v>
      </c>
      <c r="F38" s="17"/>
      <c r="G38" s="17" t="e">
        <f t="shared" ca="1" si="0"/>
        <v>#NAME?</v>
      </c>
      <c r="H38" s="6"/>
      <c r="I38" s="6"/>
      <c r="J38" s="10"/>
    </row>
    <row r="39" spans="1:10" ht="171.75" customHeight="1">
      <c r="A39" s="6" t="s">
        <v>199</v>
      </c>
      <c r="B39" s="6" t="s">
        <v>9708</v>
      </c>
      <c r="C39" s="6" t="s">
        <v>342</v>
      </c>
      <c r="D39" s="6" t="s">
        <v>344</v>
      </c>
      <c r="E39" s="10" t="s">
        <v>9687</v>
      </c>
      <c r="F39" s="17"/>
      <c r="G39" s="17" t="e">
        <f t="shared" ca="1" si="0"/>
        <v>#NAME?</v>
      </c>
      <c r="H39" s="6"/>
      <c r="I39" s="108"/>
      <c r="J39" s="17"/>
    </row>
    <row r="40" spans="1:10" ht="171.75" customHeight="1">
      <c r="A40" s="6" t="s">
        <v>346</v>
      </c>
      <c r="B40" s="6" t="s">
        <v>9716</v>
      </c>
      <c r="C40" s="6" t="s">
        <v>347</v>
      </c>
      <c r="D40" s="6" t="s">
        <v>350</v>
      </c>
      <c r="E40" s="17" t="s">
        <v>351</v>
      </c>
      <c r="F40" s="17"/>
      <c r="G40" s="17" t="e">
        <f t="shared" ca="1" si="0"/>
        <v>#NAME?</v>
      </c>
      <c r="H40" s="6"/>
      <c r="I40" s="17"/>
      <c r="J40" s="17"/>
    </row>
    <row r="41" spans="1:10" ht="171.75" customHeight="1">
      <c r="A41" s="6" t="s">
        <v>354</v>
      </c>
      <c r="B41" s="6" t="s">
        <v>9717</v>
      </c>
      <c r="C41" s="6" t="s">
        <v>355</v>
      </c>
      <c r="D41" s="6" t="s">
        <v>358</v>
      </c>
      <c r="E41" s="17" t="s">
        <v>362</v>
      </c>
      <c r="F41" s="17"/>
      <c r="G41" s="17" t="e">
        <f t="shared" ca="1" si="0"/>
        <v>#NAME?</v>
      </c>
      <c r="H41" s="6"/>
      <c r="I41" s="17"/>
      <c r="J41" s="17"/>
    </row>
    <row r="42" spans="1:10" ht="171.75" customHeight="1">
      <c r="A42" s="6" t="s">
        <v>364</v>
      </c>
      <c r="B42" s="6" t="s">
        <v>9718</v>
      </c>
      <c r="C42" s="6" t="s">
        <v>365</v>
      </c>
      <c r="D42" s="6" t="s">
        <v>368</v>
      </c>
      <c r="E42" s="17" t="s">
        <v>369</v>
      </c>
      <c r="F42" s="17"/>
      <c r="G42" s="17" t="e">
        <f t="shared" ca="1" si="0"/>
        <v>#NAME?</v>
      </c>
      <c r="H42" s="6"/>
      <c r="I42" s="17"/>
      <c r="J42" s="17"/>
    </row>
    <row r="43" spans="1:10" ht="171.75" customHeight="1">
      <c r="A43" s="6" t="s">
        <v>371</v>
      </c>
      <c r="B43" s="6" t="s">
        <v>9719</v>
      </c>
      <c r="C43" s="6" t="s">
        <v>372</v>
      </c>
      <c r="D43" s="6" t="s">
        <v>375</v>
      </c>
      <c r="E43" s="17" t="s">
        <v>376</v>
      </c>
      <c r="F43" s="17"/>
      <c r="G43" s="17" t="e">
        <f t="shared" ca="1" si="0"/>
        <v>#NAME?</v>
      </c>
      <c r="H43" s="6"/>
      <c r="I43" s="46"/>
      <c r="J43" s="17"/>
    </row>
    <row r="44" spans="1:10" ht="171.75" customHeight="1">
      <c r="A44" s="6" t="s">
        <v>379</v>
      </c>
      <c r="B44" s="6" t="s">
        <v>9720</v>
      </c>
      <c r="C44" s="6" t="s">
        <v>380</v>
      </c>
      <c r="D44" s="6" t="s">
        <v>383</v>
      </c>
      <c r="E44" s="17" t="s">
        <v>384</v>
      </c>
      <c r="F44" s="17"/>
      <c r="G44" s="17" t="e">
        <f t="shared" ca="1" si="0"/>
        <v>#NAME?</v>
      </c>
      <c r="H44" s="6"/>
      <c r="I44" s="6"/>
      <c r="J44" s="10"/>
    </row>
    <row r="45" spans="1:10" ht="171.75" customHeight="1">
      <c r="A45" s="6" t="s">
        <v>387</v>
      </c>
      <c r="B45" s="6" t="s">
        <v>387</v>
      </c>
      <c r="C45" s="6" t="s">
        <v>388</v>
      </c>
      <c r="D45" s="6" t="s">
        <v>141</v>
      </c>
      <c r="E45" s="10" t="s">
        <v>9687</v>
      </c>
      <c r="F45" s="17"/>
      <c r="G45" s="17" t="e">
        <f t="shared" ca="1" si="0"/>
        <v>#NAME?</v>
      </c>
      <c r="H45" s="6"/>
      <c r="I45" s="6"/>
      <c r="J45" s="10"/>
    </row>
    <row r="46" spans="1:10" ht="171.75" customHeight="1">
      <c r="A46" s="6" t="s">
        <v>394</v>
      </c>
      <c r="B46" s="6" t="s">
        <v>9721</v>
      </c>
      <c r="C46" s="6" t="s">
        <v>395</v>
      </c>
      <c r="D46" s="43" t="s">
        <v>398</v>
      </c>
      <c r="E46" s="10" t="s">
        <v>399</v>
      </c>
      <c r="F46" s="17"/>
      <c r="G46" s="17" t="e">
        <f t="shared" ca="1" si="0"/>
        <v>#NAME?</v>
      </c>
      <c r="H46" s="10"/>
      <c r="I46" s="17"/>
      <c r="J46" s="17"/>
    </row>
    <row r="47" spans="1:10" ht="171.75" customHeight="1">
      <c r="A47" s="6" t="s">
        <v>401</v>
      </c>
      <c r="B47" s="6" t="s">
        <v>9722</v>
      </c>
      <c r="C47" s="6" t="s">
        <v>402</v>
      </c>
      <c r="D47" s="6" t="s">
        <v>405</v>
      </c>
      <c r="E47" s="17" t="s">
        <v>409</v>
      </c>
      <c r="F47" s="17"/>
      <c r="G47" s="17" t="e">
        <f t="shared" ca="1" si="0"/>
        <v>#NAME?</v>
      </c>
      <c r="H47" s="6"/>
      <c r="I47" s="17"/>
      <c r="J47" s="17"/>
    </row>
    <row r="48" spans="1:10" ht="171.75" customHeight="1">
      <c r="A48" s="6" t="s">
        <v>401</v>
      </c>
      <c r="B48" s="6" t="s">
        <v>9722</v>
      </c>
      <c r="C48" s="6" t="s">
        <v>411</v>
      </c>
      <c r="D48" s="6" t="s">
        <v>414</v>
      </c>
      <c r="E48" s="17" t="s">
        <v>416</v>
      </c>
      <c r="F48" s="17"/>
      <c r="G48" s="17" t="e">
        <f t="shared" ca="1" si="0"/>
        <v>#NAME?</v>
      </c>
      <c r="H48" s="6"/>
      <c r="I48" s="17"/>
      <c r="J48" s="17"/>
    </row>
    <row r="49" spans="1:10" ht="171.75" customHeight="1">
      <c r="A49" s="6" t="s">
        <v>401</v>
      </c>
      <c r="B49" s="6" t="s">
        <v>9722</v>
      </c>
      <c r="C49" s="6" t="s">
        <v>418</v>
      </c>
      <c r="D49" s="6" t="s">
        <v>421</v>
      </c>
      <c r="E49" s="17" t="s">
        <v>423</v>
      </c>
      <c r="F49" s="17"/>
      <c r="G49" s="17" t="e">
        <f t="shared" ca="1" si="0"/>
        <v>#NAME?</v>
      </c>
      <c r="H49" s="6"/>
      <c r="I49" s="17"/>
      <c r="J49" s="17"/>
    </row>
    <row r="50" spans="1:10" ht="171.75" customHeight="1">
      <c r="A50" s="43" t="s">
        <v>426</v>
      </c>
      <c r="B50" s="6" t="s">
        <v>9723</v>
      </c>
      <c r="C50" s="6" t="s">
        <v>427</v>
      </c>
      <c r="D50" s="6" t="s">
        <v>430</v>
      </c>
      <c r="E50" s="17" t="s">
        <v>431</v>
      </c>
      <c r="F50" s="17"/>
      <c r="G50" s="17" t="e">
        <f t="shared" ca="1" si="0"/>
        <v>#NAME?</v>
      </c>
      <c r="H50" s="6"/>
      <c r="I50" s="17"/>
      <c r="J50" s="17"/>
    </row>
    <row r="51" spans="1:10" ht="171.75" customHeight="1">
      <c r="A51" s="43" t="s">
        <v>434</v>
      </c>
      <c r="B51" s="6" t="s">
        <v>9724</v>
      </c>
      <c r="C51" s="6" t="s">
        <v>435</v>
      </c>
      <c r="D51" s="6" t="s">
        <v>438</v>
      </c>
      <c r="E51" s="17" t="s">
        <v>439</v>
      </c>
      <c r="F51" s="17"/>
      <c r="G51" s="17" t="e">
        <f t="shared" ca="1" si="0"/>
        <v>#NAME?</v>
      </c>
      <c r="H51" s="6"/>
      <c r="I51" s="17"/>
      <c r="J51" s="17"/>
    </row>
    <row r="52" spans="1:10" ht="171.75" customHeight="1">
      <c r="A52" s="43" t="s">
        <v>9725</v>
      </c>
      <c r="B52" s="6" t="s">
        <v>9726</v>
      </c>
      <c r="C52" s="6" t="s">
        <v>443</v>
      </c>
      <c r="D52" s="6" t="s">
        <v>446</v>
      </c>
      <c r="E52" s="17" t="s">
        <v>447</v>
      </c>
      <c r="F52" s="17"/>
      <c r="G52" s="17" t="e">
        <f t="shared" ca="1" si="0"/>
        <v>#NAME?</v>
      </c>
      <c r="H52" s="6"/>
      <c r="I52" s="17"/>
      <c r="J52" s="17"/>
    </row>
    <row r="53" spans="1:10" ht="171.75" customHeight="1">
      <c r="A53" s="6" t="s">
        <v>449</v>
      </c>
      <c r="B53" s="6" t="s">
        <v>9727</v>
      </c>
      <c r="C53" s="6" t="s">
        <v>450</v>
      </c>
      <c r="D53" s="6" t="s">
        <v>453</v>
      </c>
      <c r="E53" s="17" t="s">
        <v>454</v>
      </c>
      <c r="F53" s="17"/>
      <c r="G53" s="17" t="e">
        <f t="shared" ca="1" si="0"/>
        <v>#NAME?</v>
      </c>
      <c r="H53" s="6"/>
      <c r="I53" s="17"/>
      <c r="J53" s="17"/>
    </row>
    <row r="54" spans="1:10" ht="171.75" customHeight="1">
      <c r="A54" s="43" t="s">
        <v>457</v>
      </c>
      <c r="B54" s="6" t="s">
        <v>9728</v>
      </c>
      <c r="C54" s="6" t="s">
        <v>458</v>
      </c>
      <c r="D54" s="6" t="s">
        <v>461</v>
      </c>
      <c r="E54" s="17" t="s">
        <v>464</v>
      </c>
      <c r="F54" s="17"/>
      <c r="G54" s="17" t="e">
        <f t="shared" ca="1" si="0"/>
        <v>#NAME?</v>
      </c>
      <c r="H54" s="6"/>
      <c r="I54" s="17"/>
      <c r="J54" s="17"/>
    </row>
    <row r="55" spans="1:10" ht="171.75" customHeight="1">
      <c r="A55" s="6" t="s">
        <v>467</v>
      </c>
      <c r="B55" s="6" t="s">
        <v>9729</v>
      </c>
      <c r="C55" s="6" t="s">
        <v>468</v>
      </c>
      <c r="D55" s="6" t="s">
        <v>471</v>
      </c>
      <c r="E55" s="17" t="s">
        <v>472</v>
      </c>
      <c r="F55" s="17"/>
      <c r="G55" s="17" t="e">
        <f t="shared" ca="1" si="0"/>
        <v>#NAME?</v>
      </c>
      <c r="H55" s="6"/>
      <c r="I55" s="17"/>
      <c r="J55" s="17"/>
    </row>
    <row r="56" spans="1:10" ht="171.75" customHeight="1">
      <c r="A56" s="43" t="s">
        <v>475</v>
      </c>
      <c r="B56" s="6" t="s">
        <v>9730</v>
      </c>
      <c r="C56" s="6" t="s">
        <v>476</v>
      </c>
      <c r="D56" s="43" t="s">
        <v>479</v>
      </c>
      <c r="E56" s="17" t="s">
        <v>482</v>
      </c>
      <c r="F56" s="17"/>
      <c r="G56" s="17" t="e">
        <f t="shared" ca="1" si="0"/>
        <v>#NAME?</v>
      </c>
      <c r="H56" s="6"/>
      <c r="I56" s="17"/>
      <c r="J56" s="17"/>
    </row>
    <row r="57" spans="1:10" ht="171.75" customHeight="1">
      <c r="A57" s="43" t="s">
        <v>486</v>
      </c>
      <c r="B57" s="6" t="s">
        <v>9731</v>
      </c>
      <c r="C57" s="6" t="s">
        <v>487</v>
      </c>
      <c r="D57" s="6" t="s">
        <v>490</v>
      </c>
      <c r="E57" s="17" t="s">
        <v>491</v>
      </c>
      <c r="F57" s="17"/>
      <c r="G57" s="17" t="e">
        <f t="shared" ca="1" si="0"/>
        <v>#NAME?</v>
      </c>
      <c r="H57" s="6"/>
      <c r="I57" s="17"/>
      <c r="J57" s="17"/>
    </row>
    <row r="58" spans="1:10" ht="171.75" customHeight="1">
      <c r="A58" s="43" t="s">
        <v>426</v>
      </c>
      <c r="B58" s="6" t="s">
        <v>9723</v>
      </c>
      <c r="C58" s="6" t="s">
        <v>495</v>
      </c>
      <c r="D58" s="6" t="s">
        <v>498</v>
      </c>
      <c r="E58" s="17" t="s">
        <v>499</v>
      </c>
      <c r="F58" s="17"/>
      <c r="G58" s="17" t="e">
        <f t="shared" ca="1" si="0"/>
        <v>#NAME?</v>
      </c>
      <c r="H58" s="6"/>
      <c r="I58" s="17"/>
      <c r="J58" s="17"/>
    </row>
    <row r="59" spans="1:10" ht="171.75" customHeight="1">
      <c r="A59" s="6" t="s">
        <v>502</v>
      </c>
      <c r="B59" s="6" t="s">
        <v>9732</v>
      </c>
      <c r="C59" s="6" t="s">
        <v>503</v>
      </c>
      <c r="D59" s="6" t="s">
        <v>506</v>
      </c>
      <c r="E59" s="17" t="s">
        <v>507</v>
      </c>
      <c r="F59" s="17"/>
      <c r="G59" s="17" t="e">
        <f t="shared" ca="1" si="0"/>
        <v>#NAME?</v>
      </c>
      <c r="H59" s="6"/>
      <c r="I59" s="17"/>
      <c r="J59" s="17"/>
    </row>
    <row r="60" spans="1:10" ht="171.75" customHeight="1">
      <c r="A60" s="43" t="s">
        <v>511</v>
      </c>
      <c r="B60" s="6" t="s">
        <v>9733</v>
      </c>
      <c r="C60" s="6" t="s">
        <v>512</v>
      </c>
      <c r="D60" s="6" t="s">
        <v>515</v>
      </c>
      <c r="E60" s="17" t="s">
        <v>516</v>
      </c>
      <c r="F60" s="17"/>
      <c r="G60" s="17" t="e">
        <f t="shared" ca="1" si="0"/>
        <v>#NAME?</v>
      </c>
      <c r="H60" s="6"/>
      <c r="I60" s="17"/>
      <c r="J60" s="17"/>
    </row>
    <row r="61" spans="1:10" ht="171.75" customHeight="1">
      <c r="A61" s="6" t="s">
        <v>520</v>
      </c>
      <c r="B61" s="6" t="s">
        <v>9734</v>
      </c>
      <c r="C61" s="6" t="s">
        <v>521</v>
      </c>
      <c r="D61" s="6" t="s">
        <v>524</v>
      </c>
      <c r="E61" s="17" t="s">
        <v>525</v>
      </c>
      <c r="F61" s="17"/>
      <c r="G61" s="17" t="e">
        <f t="shared" ca="1" si="0"/>
        <v>#NAME?</v>
      </c>
      <c r="H61" s="6"/>
      <c r="I61" s="17"/>
      <c r="J61" s="17"/>
    </row>
    <row r="62" spans="1:10" ht="171.75" customHeight="1">
      <c r="A62" s="6" t="s">
        <v>528</v>
      </c>
      <c r="B62" s="6" t="s">
        <v>9735</v>
      </c>
      <c r="C62" s="6" t="s">
        <v>529</v>
      </c>
      <c r="D62" s="6" t="s">
        <v>532</v>
      </c>
      <c r="E62" s="17" t="s">
        <v>533</v>
      </c>
      <c r="F62" s="17"/>
      <c r="G62" s="17" t="e">
        <f t="shared" ca="1" si="0"/>
        <v>#NAME?</v>
      </c>
      <c r="H62" s="6"/>
      <c r="I62" s="17"/>
      <c r="J62" s="17"/>
    </row>
    <row r="63" spans="1:10" ht="171.75" customHeight="1">
      <c r="A63" s="6" t="s">
        <v>535</v>
      </c>
      <c r="B63" s="6" t="s">
        <v>9736</v>
      </c>
      <c r="C63" s="6" t="s">
        <v>536</v>
      </c>
      <c r="D63" s="6" t="s">
        <v>539</v>
      </c>
      <c r="E63" s="17" t="s">
        <v>540</v>
      </c>
      <c r="F63" s="17"/>
      <c r="G63" s="17" t="e">
        <f t="shared" ca="1" si="0"/>
        <v>#NAME?</v>
      </c>
      <c r="H63" s="6"/>
      <c r="I63" s="17"/>
      <c r="J63" s="17"/>
    </row>
    <row r="64" spans="1:10" ht="171.75" customHeight="1">
      <c r="A64" s="6" t="s">
        <v>543</v>
      </c>
      <c r="B64" s="6" t="s">
        <v>9737</v>
      </c>
      <c r="C64" s="6" t="s">
        <v>544</v>
      </c>
      <c r="D64" s="6" t="s">
        <v>547</v>
      </c>
      <c r="E64" s="17" t="s">
        <v>548</v>
      </c>
      <c r="F64" s="17"/>
      <c r="G64" s="17" t="e">
        <f t="shared" ca="1" si="0"/>
        <v>#NAME?</v>
      </c>
      <c r="H64" s="6"/>
      <c r="I64" s="17"/>
      <c r="J64" s="17"/>
    </row>
    <row r="65" spans="1:10" ht="171.75" customHeight="1">
      <c r="A65" s="6" t="s">
        <v>551</v>
      </c>
      <c r="B65" s="6" t="s">
        <v>9738</v>
      </c>
      <c r="C65" s="6" t="s">
        <v>552</v>
      </c>
      <c r="D65" s="6" t="s">
        <v>555</v>
      </c>
      <c r="E65" s="17" t="s">
        <v>556</v>
      </c>
      <c r="F65" s="17"/>
      <c r="G65" s="17" t="e">
        <f t="shared" ca="1" si="0"/>
        <v>#NAME?</v>
      </c>
      <c r="H65" s="6"/>
      <c r="I65" s="17"/>
      <c r="J65" s="17"/>
    </row>
    <row r="66" spans="1:10" ht="171.75" customHeight="1">
      <c r="A66" s="6" t="s">
        <v>558</v>
      </c>
      <c r="B66" s="6" t="s">
        <v>9739</v>
      </c>
      <c r="C66" s="6" t="s">
        <v>559</v>
      </c>
      <c r="D66" s="6" t="s">
        <v>562</v>
      </c>
      <c r="E66" s="17" t="s">
        <v>563</v>
      </c>
      <c r="F66" s="17"/>
      <c r="G66" s="17" t="e">
        <f t="shared" ca="1" si="0"/>
        <v>#NAME?</v>
      </c>
      <c r="H66" s="6"/>
      <c r="I66" s="46"/>
      <c r="J66" s="17"/>
    </row>
    <row r="67" spans="1:10" ht="171.75" customHeight="1">
      <c r="A67" s="6" t="s">
        <v>566</v>
      </c>
      <c r="B67" s="6" t="s">
        <v>566</v>
      </c>
      <c r="C67" s="6" t="s">
        <v>567</v>
      </c>
      <c r="D67" s="6" t="s">
        <v>570</v>
      </c>
      <c r="E67" s="10" t="s">
        <v>9687</v>
      </c>
      <c r="F67" s="17"/>
      <c r="G67" s="17" t="e">
        <f t="shared" ca="1" si="0"/>
        <v>#NAME?</v>
      </c>
      <c r="H67" s="6"/>
      <c r="I67" s="17"/>
      <c r="J67" s="17"/>
    </row>
    <row r="68" spans="1:10" ht="171.75" customHeight="1">
      <c r="A68" s="6" t="s">
        <v>572</v>
      </c>
      <c r="B68" s="6" t="s">
        <v>9740</v>
      </c>
      <c r="C68" s="6" t="s">
        <v>573</v>
      </c>
      <c r="D68" s="6" t="s">
        <v>576</v>
      </c>
      <c r="E68" s="17" t="s">
        <v>577</v>
      </c>
      <c r="F68" s="17"/>
      <c r="G68" s="17" t="e">
        <f t="shared" ca="1" si="0"/>
        <v>#NAME?</v>
      </c>
      <c r="H68" s="6"/>
      <c r="I68" s="17"/>
      <c r="J68" s="17"/>
    </row>
    <row r="69" spans="1:10" ht="171.75" customHeight="1">
      <c r="A69" s="6" t="s">
        <v>579</v>
      </c>
      <c r="B69" s="6" t="s">
        <v>9741</v>
      </c>
      <c r="C69" s="6" t="s">
        <v>580</v>
      </c>
      <c r="D69" s="6" t="s">
        <v>583</v>
      </c>
      <c r="E69" s="17" t="s">
        <v>584</v>
      </c>
      <c r="F69" s="17"/>
      <c r="G69" s="17" t="e">
        <f t="shared" ca="1" si="0"/>
        <v>#NAME?</v>
      </c>
      <c r="H69" s="6"/>
      <c r="I69" s="17"/>
      <c r="J69" s="17"/>
    </row>
    <row r="70" spans="1:10" ht="171.75" customHeight="1">
      <c r="A70" s="6" t="s">
        <v>9742</v>
      </c>
      <c r="B70" s="6" t="s">
        <v>9743</v>
      </c>
      <c r="C70" s="6" t="s">
        <v>586</v>
      </c>
      <c r="D70" s="6" t="s">
        <v>589</v>
      </c>
      <c r="E70" s="17" t="s">
        <v>590</v>
      </c>
      <c r="F70" s="17"/>
      <c r="G70" s="17" t="e">
        <f t="shared" ca="1" si="0"/>
        <v>#NAME?</v>
      </c>
      <c r="H70" s="49"/>
      <c r="I70" s="17"/>
      <c r="J70" s="17"/>
    </row>
    <row r="71" spans="1:10" ht="171.75" customHeight="1">
      <c r="A71" s="6" t="s">
        <v>592</v>
      </c>
      <c r="B71" s="6" t="s">
        <v>9744</v>
      </c>
      <c r="C71" s="6" t="s">
        <v>593</v>
      </c>
      <c r="D71" s="6" t="s">
        <v>596</v>
      </c>
      <c r="E71" s="17" t="s">
        <v>597</v>
      </c>
      <c r="F71" s="17"/>
      <c r="G71" s="17" t="e">
        <f t="shared" ca="1" si="0"/>
        <v>#NAME?</v>
      </c>
      <c r="H71" s="6"/>
      <c r="I71" s="17"/>
      <c r="J71" s="17"/>
    </row>
    <row r="72" spans="1:10" ht="171.75" customHeight="1">
      <c r="A72" s="6" t="s">
        <v>599</v>
      </c>
      <c r="B72" s="6" t="s">
        <v>9745</v>
      </c>
      <c r="C72" s="6" t="s">
        <v>600</v>
      </c>
      <c r="D72" s="6" t="s">
        <v>603</v>
      </c>
      <c r="E72" s="17" t="s">
        <v>604</v>
      </c>
      <c r="F72" s="17"/>
      <c r="G72" s="17" t="e">
        <f t="shared" ca="1" si="0"/>
        <v>#NAME?</v>
      </c>
      <c r="H72" s="6"/>
      <c r="I72" s="17"/>
      <c r="J72" s="17"/>
    </row>
    <row r="73" spans="1:10" ht="171.75" customHeight="1">
      <c r="A73" s="6" t="s">
        <v>606</v>
      </c>
      <c r="B73" s="6" t="s">
        <v>9746</v>
      </c>
      <c r="C73" s="6" t="s">
        <v>607</v>
      </c>
      <c r="D73" s="6" t="s">
        <v>610</v>
      </c>
      <c r="E73" s="17" t="s">
        <v>611</v>
      </c>
      <c r="F73" s="17"/>
      <c r="G73" s="17" t="e">
        <f t="shared" ca="1" si="0"/>
        <v>#NAME?</v>
      </c>
      <c r="H73" s="6"/>
      <c r="I73" s="17"/>
      <c r="J73" s="17"/>
    </row>
    <row r="74" spans="1:10" ht="171.75" customHeight="1">
      <c r="A74" s="6" t="s">
        <v>606</v>
      </c>
      <c r="B74" s="6" t="s">
        <v>9746</v>
      </c>
      <c r="C74" s="6" t="s">
        <v>613</v>
      </c>
      <c r="D74" s="6" t="s">
        <v>616</v>
      </c>
      <c r="E74" s="17" t="s">
        <v>617</v>
      </c>
      <c r="F74" s="17"/>
      <c r="G74" s="17" t="e">
        <f t="shared" ca="1" si="0"/>
        <v>#NAME?</v>
      </c>
      <c r="H74" s="6"/>
      <c r="I74" s="17"/>
      <c r="J74" s="10"/>
    </row>
    <row r="75" spans="1:10" ht="171.75" customHeight="1">
      <c r="A75" s="6" t="s">
        <v>152</v>
      </c>
      <c r="B75" s="6" t="s">
        <v>9696</v>
      </c>
      <c r="C75" s="6" t="s">
        <v>619</v>
      </c>
      <c r="D75" s="6" t="s">
        <v>141</v>
      </c>
      <c r="E75" s="10" t="s">
        <v>622</v>
      </c>
      <c r="F75" s="17"/>
      <c r="G75" s="17" t="e">
        <f t="shared" ca="1" si="0"/>
        <v>#NAME?</v>
      </c>
      <c r="H75" s="6"/>
      <c r="I75" s="17"/>
      <c r="J75" s="17"/>
    </row>
    <row r="76" spans="1:10" ht="171.75" customHeight="1">
      <c r="A76" s="6" t="s">
        <v>199</v>
      </c>
      <c r="B76" s="6" t="s">
        <v>9708</v>
      </c>
      <c r="C76" s="6" t="s">
        <v>624</v>
      </c>
      <c r="D76" s="6" t="s">
        <v>627</v>
      </c>
      <c r="E76" s="17" t="s">
        <v>629</v>
      </c>
      <c r="F76" s="17"/>
      <c r="G76" s="17" t="e">
        <f t="shared" ca="1" si="0"/>
        <v>#NAME?</v>
      </c>
      <c r="H76" s="6"/>
      <c r="I76" s="17"/>
      <c r="J76" s="10"/>
    </row>
    <row r="77" spans="1:10" ht="171.75" customHeight="1">
      <c r="A77" s="6" t="s">
        <v>152</v>
      </c>
      <c r="B77" s="6" t="s">
        <v>9696</v>
      </c>
      <c r="C77" s="6" t="s">
        <v>631</v>
      </c>
      <c r="D77" s="6" t="s">
        <v>634</v>
      </c>
      <c r="E77" s="10" t="s">
        <v>636</v>
      </c>
      <c r="F77" s="17"/>
      <c r="G77" s="17" t="e">
        <f t="shared" ca="1" si="0"/>
        <v>#NAME?</v>
      </c>
      <c r="H77" s="6"/>
      <c r="I77" s="17"/>
      <c r="J77" s="17"/>
    </row>
    <row r="78" spans="1:10" ht="171.75" customHeight="1">
      <c r="A78" s="43" t="s">
        <v>638</v>
      </c>
      <c r="B78" s="6" t="s">
        <v>638</v>
      </c>
      <c r="C78" s="6" t="s">
        <v>639</v>
      </c>
      <c r="D78" s="6" t="s">
        <v>642</v>
      </c>
      <c r="E78" s="17" t="s">
        <v>644</v>
      </c>
      <c r="F78" s="17"/>
      <c r="G78" s="17" t="e">
        <f t="shared" ca="1" si="0"/>
        <v>#NAME?</v>
      </c>
      <c r="H78" s="6"/>
      <c r="I78" s="17"/>
      <c r="J78" s="17"/>
    </row>
    <row r="79" spans="1:10" ht="171.75" customHeight="1">
      <c r="A79" s="6" t="s">
        <v>646</v>
      </c>
      <c r="B79" s="6" t="s">
        <v>9747</v>
      </c>
      <c r="C79" s="6" t="s">
        <v>647</v>
      </c>
      <c r="D79" s="6" t="s">
        <v>650</v>
      </c>
      <c r="E79" s="17" t="s">
        <v>651</v>
      </c>
      <c r="F79" s="17"/>
      <c r="G79" s="17" t="e">
        <f t="shared" ca="1" si="0"/>
        <v>#NAME?</v>
      </c>
      <c r="H79" s="6"/>
      <c r="I79" s="17"/>
      <c r="J79" s="17"/>
    </row>
    <row r="80" spans="1:10" ht="171.75" customHeight="1">
      <c r="A80" s="6" t="s">
        <v>653</v>
      </c>
      <c r="B80" s="6" t="s">
        <v>9748</v>
      </c>
      <c r="C80" s="6" t="s">
        <v>654</v>
      </c>
      <c r="D80" s="6" t="s">
        <v>657</v>
      </c>
      <c r="E80" s="17" t="s">
        <v>658</v>
      </c>
      <c r="F80" s="17"/>
      <c r="G80" s="17" t="e">
        <f t="shared" ca="1" si="0"/>
        <v>#NAME?</v>
      </c>
      <c r="H80" s="6"/>
      <c r="I80" s="17"/>
      <c r="J80" s="17"/>
    </row>
    <row r="81" spans="1:10" ht="171.75" customHeight="1">
      <c r="A81" s="6" t="s">
        <v>162</v>
      </c>
      <c r="B81" s="6" t="s">
        <v>162</v>
      </c>
      <c r="C81" s="6" t="s">
        <v>660</v>
      </c>
      <c r="D81" s="6" t="s">
        <v>141</v>
      </c>
      <c r="E81" s="10" t="s">
        <v>9687</v>
      </c>
      <c r="F81" s="17"/>
      <c r="G81" s="17" t="e">
        <f t="shared" ca="1" si="0"/>
        <v>#NAME?</v>
      </c>
      <c r="H81" s="6"/>
      <c r="I81" s="46"/>
      <c r="J81" s="17"/>
    </row>
    <row r="82" spans="1:10" ht="171.75" customHeight="1">
      <c r="A82" s="6" t="s">
        <v>667</v>
      </c>
      <c r="B82" s="6" t="s">
        <v>9749</v>
      </c>
      <c r="C82" s="6" t="s">
        <v>668</v>
      </c>
      <c r="D82" s="6" t="s">
        <v>671</v>
      </c>
      <c r="E82" s="17" t="s">
        <v>675</v>
      </c>
      <c r="F82" s="17"/>
      <c r="G82" s="17" t="e">
        <f t="shared" ca="1" si="0"/>
        <v>#NAME?</v>
      </c>
      <c r="H82" s="6"/>
      <c r="I82" s="6"/>
      <c r="J82" s="10"/>
    </row>
    <row r="83" spans="1:10" ht="171.75" customHeight="1">
      <c r="A83" s="6" t="s">
        <v>677</v>
      </c>
      <c r="B83" s="6" t="s">
        <v>9750</v>
      </c>
      <c r="C83" s="6" t="s">
        <v>678</v>
      </c>
      <c r="D83" s="6" t="s">
        <v>681</v>
      </c>
      <c r="E83" s="10" t="s">
        <v>685</v>
      </c>
      <c r="F83" s="17"/>
      <c r="G83" s="17" t="e">
        <f t="shared" ca="1" si="0"/>
        <v>#NAME?</v>
      </c>
      <c r="H83" s="6"/>
      <c r="I83" s="17"/>
      <c r="J83" s="17"/>
    </row>
    <row r="84" spans="1:10" ht="171.75" customHeight="1">
      <c r="A84" s="6" t="s">
        <v>689</v>
      </c>
      <c r="B84" s="6" t="s">
        <v>9751</v>
      </c>
      <c r="C84" s="6" t="s">
        <v>690</v>
      </c>
      <c r="D84" s="6" t="s">
        <v>693</v>
      </c>
      <c r="E84" s="17" t="s">
        <v>696</v>
      </c>
      <c r="F84" s="17"/>
      <c r="G84" s="17" t="e">
        <f t="shared" ca="1" si="0"/>
        <v>#NAME?</v>
      </c>
      <c r="H84" s="6"/>
      <c r="I84" s="32"/>
      <c r="J84" s="32"/>
    </row>
    <row r="85" spans="1:10" ht="171.75" customHeight="1">
      <c r="A85" s="6" t="s">
        <v>698</v>
      </c>
      <c r="B85" s="6" t="s">
        <v>9752</v>
      </c>
      <c r="C85" s="6" t="s">
        <v>699</v>
      </c>
      <c r="D85" s="43" t="s">
        <v>702</v>
      </c>
      <c r="E85" s="32" t="s">
        <v>8373</v>
      </c>
      <c r="F85" s="17"/>
      <c r="G85" s="17" t="e">
        <f t="shared" ca="1" si="0"/>
        <v>#NAME?</v>
      </c>
      <c r="H85" s="6"/>
      <c r="I85" s="32"/>
      <c r="J85" s="32"/>
    </row>
    <row r="86" spans="1:10" ht="171.75" customHeight="1">
      <c r="A86" s="6" t="s">
        <v>698</v>
      </c>
      <c r="B86" s="6" t="s">
        <v>9752</v>
      </c>
      <c r="C86" s="6" t="s">
        <v>707</v>
      </c>
      <c r="D86" s="6" t="s">
        <v>710</v>
      </c>
      <c r="E86" s="32" t="s">
        <v>712</v>
      </c>
      <c r="F86" s="17"/>
      <c r="G86" s="17" t="e">
        <f t="shared" ca="1" si="0"/>
        <v>#NAME?</v>
      </c>
      <c r="H86" s="6"/>
      <c r="I86" s="17"/>
      <c r="J86" s="17"/>
    </row>
    <row r="87" spans="1:10" ht="171.75" customHeight="1">
      <c r="A87" s="6" t="s">
        <v>714</v>
      </c>
      <c r="B87" s="6" t="s">
        <v>9753</v>
      </c>
      <c r="C87" s="6" t="s">
        <v>715</v>
      </c>
      <c r="D87" s="6" t="s">
        <v>718</v>
      </c>
      <c r="E87" s="17" t="s">
        <v>722</v>
      </c>
      <c r="F87" s="17"/>
      <c r="G87" s="17" t="e">
        <f t="shared" ca="1" si="0"/>
        <v>#NAME?</v>
      </c>
      <c r="H87" s="6"/>
      <c r="I87" s="17"/>
      <c r="J87" s="17"/>
    </row>
    <row r="88" spans="1:10" ht="171.75" customHeight="1">
      <c r="A88" s="6" t="s">
        <v>726</v>
      </c>
      <c r="B88" s="6" t="s">
        <v>9754</v>
      </c>
      <c r="C88" s="6" t="s">
        <v>727</v>
      </c>
      <c r="D88" s="6" t="s">
        <v>730</v>
      </c>
      <c r="E88" s="17" t="s">
        <v>731</v>
      </c>
      <c r="F88" s="17"/>
      <c r="G88" s="17" t="e">
        <f t="shared" ca="1" si="0"/>
        <v>#NAME?</v>
      </c>
      <c r="H88" s="6"/>
      <c r="I88" s="6"/>
      <c r="J88" s="10"/>
    </row>
    <row r="89" spans="1:10" ht="171.75" customHeight="1">
      <c r="A89" s="6" t="s">
        <v>733</v>
      </c>
      <c r="B89" s="6" t="s">
        <v>9755</v>
      </c>
      <c r="C89" s="6" t="s">
        <v>734</v>
      </c>
      <c r="D89" s="6" t="s">
        <v>736</v>
      </c>
      <c r="E89" s="10" t="s">
        <v>9687</v>
      </c>
      <c r="F89" s="17"/>
      <c r="G89" s="17" t="e">
        <f t="shared" ca="1" si="0"/>
        <v>#NAME?</v>
      </c>
      <c r="H89" s="6"/>
      <c r="I89" s="32"/>
      <c r="J89" s="32"/>
    </row>
    <row r="90" spans="1:10" ht="171.75" customHeight="1">
      <c r="A90" s="6" t="s">
        <v>739</v>
      </c>
      <c r="B90" s="6" t="s">
        <v>9756</v>
      </c>
      <c r="C90" s="6" t="s">
        <v>740</v>
      </c>
      <c r="D90" s="6" t="s">
        <v>141</v>
      </c>
      <c r="E90" s="10" t="s">
        <v>9687</v>
      </c>
      <c r="F90" s="17"/>
      <c r="G90" s="17" t="e">
        <f t="shared" ca="1" si="0"/>
        <v>#NAME?</v>
      </c>
      <c r="H90" s="6"/>
      <c r="I90" s="17"/>
      <c r="J90" s="17"/>
    </row>
    <row r="91" spans="1:10" ht="171.75" customHeight="1">
      <c r="A91" s="6" t="s">
        <v>743</v>
      </c>
      <c r="B91" s="6" t="s">
        <v>9757</v>
      </c>
      <c r="C91" s="6" t="s">
        <v>744</v>
      </c>
      <c r="D91" s="6" t="s">
        <v>747</v>
      </c>
      <c r="E91" s="17" t="s">
        <v>748</v>
      </c>
      <c r="F91" s="17"/>
      <c r="G91" s="17" t="e">
        <f t="shared" ca="1" si="0"/>
        <v>#NAME?</v>
      </c>
      <c r="H91" s="6"/>
      <c r="I91" s="17"/>
      <c r="J91" s="17"/>
    </row>
    <row r="92" spans="1:10" ht="171.75" customHeight="1">
      <c r="A92" s="6" t="s">
        <v>751</v>
      </c>
      <c r="B92" s="6" t="s">
        <v>9758</v>
      </c>
      <c r="C92" s="6" t="s">
        <v>752</v>
      </c>
      <c r="D92" s="43" t="s">
        <v>755</v>
      </c>
      <c r="E92" s="17" t="s">
        <v>756</v>
      </c>
      <c r="F92" s="17"/>
      <c r="G92" s="17" t="e">
        <f t="shared" ca="1" si="0"/>
        <v>#NAME?</v>
      </c>
      <c r="H92" s="6"/>
      <c r="I92" s="17"/>
      <c r="J92" s="17"/>
    </row>
    <row r="93" spans="1:10" ht="171.75" customHeight="1">
      <c r="A93" s="6" t="s">
        <v>758</v>
      </c>
      <c r="B93" s="6" t="s">
        <v>9759</v>
      </c>
      <c r="C93" s="6" t="s">
        <v>759</v>
      </c>
      <c r="D93" s="6" t="s">
        <v>762</v>
      </c>
      <c r="E93" s="17" t="s">
        <v>763</v>
      </c>
      <c r="F93" s="17"/>
      <c r="G93" s="17" t="e">
        <f t="shared" ca="1" si="0"/>
        <v>#NAME?</v>
      </c>
      <c r="H93" s="6"/>
      <c r="I93" s="17"/>
      <c r="J93" s="17"/>
    </row>
    <row r="94" spans="1:10" ht="171.75" customHeight="1">
      <c r="A94" s="6" t="s">
        <v>765</v>
      </c>
      <c r="B94" s="6" t="s">
        <v>9760</v>
      </c>
      <c r="C94" s="6" t="s">
        <v>766</v>
      </c>
      <c r="D94" s="6" t="s">
        <v>769</v>
      </c>
      <c r="E94" s="17" t="s">
        <v>770</v>
      </c>
      <c r="F94" s="17"/>
      <c r="G94" s="17" t="e">
        <f t="shared" ca="1" si="0"/>
        <v>#NAME?</v>
      </c>
      <c r="H94" s="6"/>
      <c r="I94" s="17"/>
      <c r="J94" s="17"/>
    </row>
    <row r="95" spans="1:10" ht="171.75" customHeight="1">
      <c r="A95" s="6" t="s">
        <v>772</v>
      </c>
      <c r="B95" s="6" t="s">
        <v>9761</v>
      </c>
      <c r="C95" s="6" t="s">
        <v>773</v>
      </c>
      <c r="D95" s="6" t="s">
        <v>776</v>
      </c>
      <c r="E95" s="17" t="s">
        <v>777</v>
      </c>
      <c r="F95" s="17"/>
      <c r="G95" s="17" t="e">
        <f t="shared" ca="1" si="0"/>
        <v>#NAME?</v>
      </c>
      <c r="H95" s="32"/>
      <c r="I95" s="32"/>
      <c r="J95" s="32"/>
    </row>
    <row r="96" spans="1:10" ht="171.75" customHeight="1">
      <c r="A96" s="6" t="s">
        <v>779</v>
      </c>
      <c r="B96" s="6" t="s">
        <v>9762</v>
      </c>
      <c r="C96" s="6" t="s">
        <v>780</v>
      </c>
      <c r="D96" s="6" t="s">
        <v>141</v>
      </c>
      <c r="E96" s="10" t="s">
        <v>9687</v>
      </c>
      <c r="F96" s="17"/>
      <c r="G96" s="17" t="e">
        <f t="shared" ca="1" si="0"/>
        <v>#NAME?</v>
      </c>
      <c r="H96" s="6"/>
      <c r="I96" s="17"/>
      <c r="J96" s="17"/>
    </row>
    <row r="97" spans="1:10" ht="171.75" customHeight="1">
      <c r="A97" s="6" t="s">
        <v>783</v>
      </c>
      <c r="B97" s="6" t="s">
        <v>9763</v>
      </c>
      <c r="C97" s="6" t="s">
        <v>784</v>
      </c>
      <c r="D97" s="6" t="s">
        <v>787</v>
      </c>
      <c r="E97" s="17" t="s">
        <v>788</v>
      </c>
      <c r="F97" s="17"/>
      <c r="G97" s="17" t="e">
        <f t="shared" ca="1" si="0"/>
        <v>#NAME?</v>
      </c>
      <c r="H97" s="6"/>
      <c r="I97" s="17"/>
      <c r="J97" s="17"/>
    </row>
    <row r="98" spans="1:10" ht="171.75" customHeight="1">
      <c r="A98" s="6" t="s">
        <v>199</v>
      </c>
      <c r="B98" s="6" t="s">
        <v>9708</v>
      </c>
      <c r="C98" s="6" t="s">
        <v>790</v>
      </c>
      <c r="D98" s="6" t="s">
        <v>793</v>
      </c>
      <c r="E98" s="17" t="s">
        <v>796</v>
      </c>
      <c r="F98" s="17"/>
      <c r="G98" s="17" t="e">
        <f t="shared" ca="1" si="0"/>
        <v>#NAME?</v>
      </c>
      <c r="H98" s="6"/>
      <c r="I98" s="17"/>
      <c r="J98" s="10"/>
    </row>
    <row r="99" spans="1:10" ht="171.75" customHeight="1">
      <c r="A99" s="6" t="s">
        <v>798</v>
      </c>
      <c r="B99" s="6" t="s">
        <v>9764</v>
      </c>
      <c r="C99" s="6" t="s">
        <v>799</v>
      </c>
      <c r="D99" s="43" t="s">
        <v>141</v>
      </c>
      <c r="E99" s="10" t="s">
        <v>804</v>
      </c>
      <c r="F99" s="17"/>
      <c r="G99" s="17" t="e">
        <f t="shared" ca="1" si="0"/>
        <v>#NAME?</v>
      </c>
      <c r="H99" s="6"/>
      <c r="I99" s="17"/>
      <c r="J99" s="17"/>
    </row>
    <row r="100" spans="1:10" ht="171.75" customHeight="1">
      <c r="A100" s="6" t="s">
        <v>199</v>
      </c>
      <c r="B100" s="6" t="s">
        <v>9708</v>
      </c>
      <c r="C100" s="6" t="s">
        <v>806</v>
      </c>
      <c r="D100" s="43" t="s">
        <v>141</v>
      </c>
      <c r="E100" s="17" t="s">
        <v>810</v>
      </c>
      <c r="F100" s="17"/>
      <c r="G100" s="17" t="e">
        <f t="shared" ca="1" si="0"/>
        <v>#NAME?</v>
      </c>
      <c r="H100" s="6"/>
      <c r="I100" s="6"/>
      <c r="J100" s="10"/>
    </row>
    <row r="101" spans="1:10" ht="171.75" customHeight="1">
      <c r="A101" s="6" t="s">
        <v>199</v>
      </c>
      <c r="B101" s="6" t="s">
        <v>9708</v>
      </c>
      <c r="C101" s="6" t="s">
        <v>812</v>
      </c>
      <c r="D101" s="6" t="s">
        <v>814</v>
      </c>
      <c r="E101" s="10" t="s">
        <v>816</v>
      </c>
      <c r="F101" s="17"/>
      <c r="G101" s="17" t="e">
        <f t="shared" ca="1" si="0"/>
        <v>#NAME?</v>
      </c>
      <c r="H101" s="6"/>
      <c r="I101" s="17"/>
      <c r="J101" s="17"/>
    </row>
    <row r="102" spans="1:10" ht="171.75" customHeight="1">
      <c r="A102" s="6" t="s">
        <v>199</v>
      </c>
      <c r="B102" s="6" t="s">
        <v>9708</v>
      </c>
      <c r="C102" s="6" t="s">
        <v>819</v>
      </c>
      <c r="D102" s="43" t="s">
        <v>141</v>
      </c>
      <c r="E102" s="17" t="s">
        <v>823</v>
      </c>
      <c r="F102" s="17"/>
      <c r="G102" s="17" t="e">
        <f t="shared" ca="1" si="0"/>
        <v>#NAME?</v>
      </c>
      <c r="H102" s="6"/>
      <c r="I102" s="6"/>
      <c r="J102" s="10"/>
    </row>
    <row r="103" spans="1:10" ht="171.75" customHeight="1">
      <c r="A103" s="6" t="s">
        <v>354</v>
      </c>
      <c r="B103" s="6" t="s">
        <v>9717</v>
      </c>
      <c r="C103" s="6" t="s">
        <v>825</v>
      </c>
      <c r="D103" s="6" t="s">
        <v>141</v>
      </c>
      <c r="E103" s="10" t="s">
        <v>9687</v>
      </c>
      <c r="F103" s="17"/>
      <c r="G103" s="17" t="e">
        <f t="shared" ca="1" si="0"/>
        <v>#NAME?</v>
      </c>
      <c r="H103" s="6"/>
      <c r="I103" s="32"/>
      <c r="J103" s="32"/>
    </row>
    <row r="104" spans="1:10" ht="171.75" customHeight="1">
      <c r="A104" s="6" t="s">
        <v>831</v>
      </c>
      <c r="B104" s="6" t="s">
        <v>9765</v>
      </c>
      <c r="C104" s="6" t="s">
        <v>832</v>
      </c>
      <c r="D104" s="6" t="s">
        <v>141</v>
      </c>
      <c r="E104" s="10" t="s">
        <v>9687</v>
      </c>
      <c r="F104" s="17"/>
      <c r="G104" s="17" t="e">
        <f t="shared" ca="1" si="0"/>
        <v>#NAME?</v>
      </c>
      <c r="H104" s="6"/>
      <c r="I104" s="6"/>
      <c r="J104" s="17"/>
    </row>
    <row r="105" spans="1:10" ht="171.75" customHeight="1">
      <c r="A105" s="43" t="s">
        <v>836</v>
      </c>
      <c r="B105" s="6" t="s">
        <v>9766</v>
      </c>
      <c r="C105" s="6" t="s">
        <v>837</v>
      </c>
      <c r="D105" s="6" t="s">
        <v>141</v>
      </c>
      <c r="E105" s="17" t="s">
        <v>841</v>
      </c>
      <c r="F105" s="17"/>
      <c r="G105" s="17" t="e">
        <f t="shared" ca="1" si="0"/>
        <v>#NAME?</v>
      </c>
      <c r="H105" s="6"/>
      <c r="I105" s="17"/>
      <c r="J105" s="17"/>
    </row>
    <row r="106" spans="1:10" ht="171.75" customHeight="1">
      <c r="A106" s="6" t="s">
        <v>843</v>
      </c>
      <c r="B106" s="6" t="s">
        <v>843</v>
      </c>
      <c r="C106" s="6" t="s">
        <v>844</v>
      </c>
      <c r="D106" s="43" t="s">
        <v>141</v>
      </c>
      <c r="E106" s="17" t="s">
        <v>847</v>
      </c>
      <c r="F106" s="17"/>
      <c r="G106" s="17" t="e">
        <f t="shared" ca="1" si="0"/>
        <v>#NAME?</v>
      </c>
      <c r="H106" s="6"/>
      <c r="I106" s="6"/>
      <c r="J106" s="10"/>
    </row>
    <row r="107" spans="1:10" ht="171.75" customHeight="1">
      <c r="A107" s="43" t="s">
        <v>851</v>
      </c>
      <c r="B107" s="6" t="s">
        <v>9767</v>
      </c>
      <c r="C107" s="6" t="s">
        <v>852</v>
      </c>
      <c r="D107" s="6" t="s">
        <v>855</v>
      </c>
      <c r="E107" s="10" t="s">
        <v>859</v>
      </c>
      <c r="F107" s="17"/>
      <c r="G107" s="17" t="e">
        <f t="shared" ca="1" si="0"/>
        <v>#NAME?</v>
      </c>
      <c r="H107" s="6"/>
      <c r="I107" s="17"/>
      <c r="J107" s="17"/>
    </row>
    <row r="108" spans="1:10" ht="171.75" customHeight="1">
      <c r="A108" s="6" t="s">
        <v>861</v>
      </c>
      <c r="B108" s="6" t="s">
        <v>9768</v>
      </c>
      <c r="C108" s="6" t="s">
        <v>862</v>
      </c>
      <c r="D108" s="6" t="s">
        <v>865</v>
      </c>
      <c r="E108" s="17" t="s">
        <v>866</v>
      </c>
      <c r="F108" s="17"/>
      <c r="G108" s="17" t="e">
        <f t="shared" ca="1" si="0"/>
        <v>#NAME?</v>
      </c>
      <c r="H108" s="6"/>
      <c r="I108" s="17"/>
      <c r="J108" s="17"/>
    </row>
    <row r="109" spans="1:10" ht="171.75" customHeight="1">
      <c r="A109" s="6" t="s">
        <v>869</v>
      </c>
      <c r="B109" s="6" t="s">
        <v>9769</v>
      </c>
      <c r="C109" s="6" t="s">
        <v>870</v>
      </c>
      <c r="D109" s="6" t="s">
        <v>873</v>
      </c>
      <c r="E109" s="17" t="s">
        <v>874</v>
      </c>
      <c r="F109" s="17"/>
      <c r="G109" s="17" t="e">
        <f t="shared" ca="1" si="0"/>
        <v>#NAME?</v>
      </c>
      <c r="H109" s="6"/>
      <c r="I109" s="17"/>
      <c r="J109" s="17"/>
    </row>
    <row r="110" spans="1:10" ht="171.75" customHeight="1">
      <c r="A110" s="6" t="s">
        <v>878</v>
      </c>
      <c r="B110" s="6" t="s">
        <v>9770</v>
      </c>
      <c r="C110" s="6" t="s">
        <v>879</v>
      </c>
      <c r="D110" s="6" t="s">
        <v>882</v>
      </c>
      <c r="E110" s="17" t="s">
        <v>883</v>
      </c>
      <c r="F110" s="17"/>
      <c r="G110" s="17" t="e">
        <f t="shared" ca="1" si="0"/>
        <v>#NAME?</v>
      </c>
      <c r="H110" s="6"/>
      <c r="I110" s="17"/>
      <c r="J110" s="17"/>
    </row>
    <row r="111" spans="1:10" ht="171.75" customHeight="1">
      <c r="A111" s="6" t="s">
        <v>885</v>
      </c>
      <c r="B111" s="6" t="s">
        <v>9771</v>
      </c>
      <c r="C111" s="6" t="s">
        <v>886</v>
      </c>
      <c r="D111" s="43" t="s">
        <v>889</v>
      </c>
      <c r="E111" s="17" t="s">
        <v>891</v>
      </c>
      <c r="F111" s="17"/>
      <c r="G111" s="17" t="e">
        <f t="shared" ca="1" si="0"/>
        <v>#NAME?</v>
      </c>
      <c r="H111" s="6"/>
      <c r="I111" s="6"/>
      <c r="J111" s="17"/>
    </row>
    <row r="112" spans="1:10" ht="171.75" customHeight="1">
      <c r="A112" s="6" t="s">
        <v>893</v>
      </c>
      <c r="B112" s="6" t="s">
        <v>9772</v>
      </c>
      <c r="C112" s="6" t="s">
        <v>894</v>
      </c>
      <c r="D112" s="6" t="s">
        <v>897</v>
      </c>
      <c r="E112" s="10" t="s">
        <v>9687</v>
      </c>
      <c r="F112" s="17"/>
      <c r="G112" s="17" t="e">
        <f t="shared" ca="1" si="0"/>
        <v>#NAME?</v>
      </c>
      <c r="H112" s="6"/>
      <c r="I112" s="32"/>
      <c r="J112" s="32"/>
    </row>
    <row r="113" spans="1:10" ht="171.75" customHeight="1">
      <c r="A113" s="6" t="s">
        <v>901</v>
      </c>
      <c r="B113" s="6" t="s">
        <v>9773</v>
      </c>
      <c r="C113" s="6" t="s">
        <v>902</v>
      </c>
      <c r="D113" s="6" t="s">
        <v>141</v>
      </c>
      <c r="E113" s="10" t="s">
        <v>9687</v>
      </c>
      <c r="F113" s="17"/>
      <c r="G113" s="17" t="e">
        <f t="shared" ca="1" si="0"/>
        <v>#NAME?</v>
      </c>
      <c r="H113" s="6"/>
      <c r="I113" s="17"/>
      <c r="J113" s="10"/>
    </row>
    <row r="114" spans="1:10" ht="171.75" customHeight="1">
      <c r="A114" s="6" t="s">
        <v>152</v>
      </c>
      <c r="B114" s="6" t="s">
        <v>9696</v>
      </c>
      <c r="C114" s="6" t="s">
        <v>905</v>
      </c>
      <c r="D114" s="6" t="s">
        <v>908</v>
      </c>
      <c r="E114" s="10" t="s">
        <v>910</v>
      </c>
      <c r="F114" s="17"/>
      <c r="G114" s="17" t="e">
        <f t="shared" ca="1" si="0"/>
        <v>#NAME?</v>
      </c>
      <c r="H114" s="6"/>
      <c r="I114" s="17"/>
      <c r="J114" s="17"/>
    </row>
    <row r="115" spans="1:10" ht="171.75" customHeight="1">
      <c r="A115" s="6" t="s">
        <v>714</v>
      </c>
      <c r="B115" s="6" t="s">
        <v>9753</v>
      </c>
      <c r="C115" s="6" t="s">
        <v>912</v>
      </c>
      <c r="D115" s="6" t="s">
        <v>915</v>
      </c>
      <c r="E115" s="17" t="s">
        <v>918</v>
      </c>
      <c r="F115" s="17"/>
      <c r="G115" s="17" t="e">
        <f t="shared" ca="1" si="0"/>
        <v>#NAME?</v>
      </c>
      <c r="H115" s="6"/>
      <c r="I115" s="17"/>
      <c r="J115" s="17"/>
    </row>
    <row r="116" spans="1:10" ht="171.75" customHeight="1">
      <c r="A116" s="6" t="s">
        <v>920</v>
      </c>
      <c r="B116" s="6" t="s">
        <v>9774</v>
      </c>
      <c r="C116" s="6" t="s">
        <v>921</v>
      </c>
      <c r="D116" s="43" t="s">
        <v>924</v>
      </c>
      <c r="E116" s="17" t="s">
        <v>925</v>
      </c>
      <c r="F116" s="17"/>
      <c r="G116" s="17" t="e">
        <f t="shared" ca="1" si="0"/>
        <v>#NAME?</v>
      </c>
      <c r="H116" s="6"/>
      <c r="I116" s="17"/>
      <c r="J116" s="17"/>
    </row>
    <row r="117" spans="1:10" ht="171.75" customHeight="1">
      <c r="A117" s="6" t="s">
        <v>927</v>
      </c>
      <c r="B117" s="6" t="s">
        <v>9775</v>
      </c>
      <c r="C117" s="6" t="s">
        <v>928</v>
      </c>
      <c r="D117" s="6" t="s">
        <v>931</v>
      </c>
      <c r="E117" s="17" t="s">
        <v>932</v>
      </c>
      <c r="F117" s="17"/>
      <c r="G117" s="17" t="e">
        <f t="shared" ca="1" si="0"/>
        <v>#NAME?</v>
      </c>
      <c r="H117" s="6"/>
      <c r="I117" s="17"/>
      <c r="J117" s="10"/>
    </row>
    <row r="118" spans="1:10" ht="171.75" customHeight="1">
      <c r="A118" s="6" t="s">
        <v>638</v>
      </c>
      <c r="B118" s="6" t="s">
        <v>638</v>
      </c>
      <c r="C118" s="6" t="s">
        <v>934</v>
      </c>
      <c r="D118" s="6" t="s">
        <v>937</v>
      </c>
      <c r="E118" s="10" t="s">
        <v>940</v>
      </c>
      <c r="F118" s="17"/>
      <c r="G118" s="17" t="e">
        <f t="shared" ca="1" si="0"/>
        <v>#NAME?</v>
      </c>
      <c r="H118" s="6"/>
      <c r="I118" s="17"/>
      <c r="J118" s="17"/>
    </row>
    <row r="119" spans="1:10" ht="171.75" customHeight="1">
      <c r="A119" s="6" t="s">
        <v>199</v>
      </c>
      <c r="B119" s="6" t="s">
        <v>9708</v>
      </c>
      <c r="C119" s="6" t="s">
        <v>942</v>
      </c>
      <c r="D119" s="6" t="s">
        <v>945</v>
      </c>
      <c r="E119" s="17" t="s">
        <v>947</v>
      </c>
      <c r="F119" s="17"/>
      <c r="G119" s="17" t="e">
        <f t="shared" ca="1" si="0"/>
        <v>#NAME?</v>
      </c>
      <c r="H119" s="6"/>
      <c r="I119" s="17"/>
      <c r="J119" s="17"/>
    </row>
    <row r="120" spans="1:10" ht="171.75" customHeight="1">
      <c r="A120" s="6" t="s">
        <v>949</v>
      </c>
      <c r="B120" s="6" t="s">
        <v>9776</v>
      </c>
      <c r="C120" s="6" t="s">
        <v>950</v>
      </c>
      <c r="D120" s="6" t="s">
        <v>953</v>
      </c>
      <c r="E120" s="10" t="s">
        <v>9687</v>
      </c>
      <c r="F120" s="17"/>
      <c r="G120" s="17" t="e">
        <f t="shared" ca="1" si="0"/>
        <v>#NAME?</v>
      </c>
      <c r="H120" s="6"/>
      <c r="I120" s="46"/>
      <c r="J120" s="17"/>
    </row>
    <row r="121" spans="1:10" ht="171.75" customHeight="1">
      <c r="A121" s="6" t="s">
        <v>956</v>
      </c>
      <c r="B121" s="6" t="s">
        <v>9777</v>
      </c>
      <c r="C121" s="6" t="s">
        <v>957</v>
      </c>
      <c r="D121" s="6" t="s">
        <v>960</v>
      </c>
      <c r="E121" s="17" t="s">
        <v>961</v>
      </c>
      <c r="F121" s="17"/>
      <c r="G121" s="17" t="e">
        <f t="shared" ca="1" si="0"/>
        <v>#NAME?</v>
      </c>
      <c r="H121" s="6"/>
      <c r="I121" s="17"/>
      <c r="J121" s="10"/>
    </row>
    <row r="122" spans="1:10" ht="171.75" customHeight="1">
      <c r="A122" s="6" t="s">
        <v>963</v>
      </c>
      <c r="B122" s="6" t="s">
        <v>9778</v>
      </c>
      <c r="C122" s="6" t="s">
        <v>964</v>
      </c>
      <c r="D122" s="43" t="s">
        <v>967</v>
      </c>
      <c r="E122" s="10" t="s">
        <v>970</v>
      </c>
      <c r="F122" s="17"/>
      <c r="G122" s="17" t="e">
        <f t="shared" ca="1" si="0"/>
        <v>#NAME?</v>
      </c>
      <c r="H122" s="6"/>
      <c r="I122" s="17"/>
      <c r="J122" s="17"/>
    </row>
    <row r="123" spans="1:10" ht="171.75" customHeight="1">
      <c r="A123" s="6" t="s">
        <v>973</v>
      </c>
      <c r="B123" s="6" t="s">
        <v>9779</v>
      </c>
      <c r="C123" s="6" t="s">
        <v>974</v>
      </c>
      <c r="D123" s="6" t="s">
        <v>977</v>
      </c>
      <c r="E123" s="17" t="s">
        <v>981</v>
      </c>
      <c r="F123" s="17"/>
      <c r="G123" s="17" t="e">
        <f t="shared" ca="1" si="0"/>
        <v>#NAME?</v>
      </c>
      <c r="H123" s="6"/>
      <c r="I123" s="17"/>
      <c r="J123" s="17"/>
    </row>
    <row r="124" spans="1:10" ht="171.75" customHeight="1">
      <c r="A124" s="6" t="s">
        <v>869</v>
      </c>
      <c r="B124" s="6" t="s">
        <v>9769</v>
      </c>
      <c r="C124" s="6" t="s">
        <v>983</v>
      </c>
      <c r="D124" s="43" t="s">
        <v>986</v>
      </c>
      <c r="E124" s="17" t="s">
        <v>987</v>
      </c>
      <c r="F124" s="17"/>
      <c r="G124" s="17" t="e">
        <f t="shared" ca="1" si="0"/>
        <v>#NAME?</v>
      </c>
      <c r="H124" s="6"/>
      <c r="I124" s="17"/>
      <c r="J124" s="17"/>
    </row>
    <row r="125" spans="1:10" ht="171.75" customHeight="1">
      <c r="A125" s="6" t="s">
        <v>199</v>
      </c>
      <c r="B125" s="6" t="s">
        <v>9708</v>
      </c>
      <c r="C125" s="6" t="s">
        <v>989</v>
      </c>
      <c r="D125" s="6" t="s">
        <v>992</v>
      </c>
      <c r="E125" s="17" t="s">
        <v>995</v>
      </c>
      <c r="F125" s="17"/>
      <c r="G125" s="17" t="e">
        <f t="shared" ca="1" si="0"/>
        <v>#NAME?</v>
      </c>
      <c r="H125" s="6"/>
      <c r="I125" s="17"/>
      <c r="J125" s="17"/>
    </row>
    <row r="126" spans="1:10" ht="171.75" customHeight="1">
      <c r="A126" s="6" t="s">
        <v>963</v>
      </c>
      <c r="B126" s="6" t="s">
        <v>9778</v>
      </c>
      <c r="C126" s="6" t="s">
        <v>997</v>
      </c>
      <c r="D126" s="6" t="s">
        <v>1000</v>
      </c>
      <c r="E126" s="17" t="s">
        <v>1003</v>
      </c>
      <c r="F126" s="17"/>
      <c r="G126" s="17" t="e">
        <f t="shared" ca="1" si="0"/>
        <v>#NAME?</v>
      </c>
      <c r="H126" s="6"/>
      <c r="I126" s="46"/>
      <c r="J126" s="17"/>
    </row>
    <row r="127" spans="1:10" ht="171.75" customHeight="1">
      <c r="A127" s="6" t="s">
        <v>1006</v>
      </c>
      <c r="B127" s="6" t="s">
        <v>9780</v>
      </c>
      <c r="C127" s="6" t="s">
        <v>1007</v>
      </c>
      <c r="D127" s="6" t="s">
        <v>1010</v>
      </c>
      <c r="E127" s="17" t="s">
        <v>1011</v>
      </c>
      <c r="F127" s="17"/>
      <c r="G127" s="17" t="e">
        <f t="shared" ca="1" si="0"/>
        <v>#NAME?</v>
      </c>
      <c r="H127" s="6"/>
      <c r="I127" s="32"/>
      <c r="J127" s="32"/>
    </row>
    <row r="128" spans="1:10" ht="171.75" customHeight="1">
      <c r="A128" s="6" t="s">
        <v>1013</v>
      </c>
      <c r="B128" s="6" t="s">
        <v>9781</v>
      </c>
      <c r="C128" s="6" t="s">
        <v>1014</v>
      </c>
      <c r="D128" s="6" t="s">
        <v>1016</v>
      </c>
      <c r="E128" s="10" t="s">
        <v>9687</v>
      </c>
      <c r="F128" s="17"/>
      <c r="G128" s="17" t="e">
        <f t="shared" ca="1" si="0"/>
        <v>#NAME?</v>
      </c>
      <c r="H128" s="6"/>
      <c r="I128" s="17"/>
      <c r="J128" s="17"/>
    </row>
    <row r="129" spans="1:10" ht="171.75" customHeight="1">
      <c r="A129" s="6" t="s">
        <v>1018</v>
      </c>
      <c r="B129" s="6" t="s">
        <v>9782</v>
      </c>
      <c r="C129" s="6" t="s">
        <v>1019</v>
      </c>
      <c r="D129" s="6" t="s">
        <v>1022</v>
      </c>
      <c r="E129" s="17" t="s">
        <v>1023</v>
      </c>
      <c r="F129" s="17"/>
      <c r="G129" s="17" t="e">
        <f t="shared" ca="1" si="0"/>
        <v>#NAME?</v>
      </c>
      <c r="H129" s="6"/>
      <c r="I129" s="17"/>
      <c r="J129" s="17"/>
    </row>
    <row r="130" spans="1:10" ht="171.75" customHeight="1">
      <c r="A130" s="6" t="s">
        <v>199</v>
      </c>
      <c r="B130" s="6" t="s">
        <v>9708</v>
      </c>
      <c r="C130" s="6" t="s">
        <v>1025</v>
      </c>
      <c r="D130" s="6" t="s">
        <v>1028</v>
      </c>
      <c r="E130" s="17" t="s">
        <v>1031</v>
      </c>
      <c r="F130" s="17"/>
      <c r="G130" s="17" t="e">
        <f t="shared" ca="1" si="0"/>
        <v>#NAME?</v>
      </c>
      <c r="H130" s="6"/>
      <c r="I130" s="17"/>
      <c r="J130" s="17"/>
    </row>
    <row r="131" spans="1:10" ht="171.75" customHeight="1">
      <c r="A131" s="6" t="s">
        <v>963</v>
      </c>
      <c r="B131" s="6" t="s">
        <v>9778</v>
      </c>
      <c r="C131" s="6" t="s">
        <v>1033</v>
      </c>
      <c r="D131" s="6" t="s">
        <v>1036</v>
      </c>
      <c r="E131" s="17" t="s">
        <v>1039</v>
      </c>
      <c r="F131" s="17"/>
      <c r="G131" s="17" t="e">
        <f t="shared" ca="1" si="0"/>
        <v>#NAME?</v>
      </c>
      <c r="H131" s="6"/>
      <c r="I131" s="46"/>
      <c r="J131" s="17"/>
    </row>
    <row r="132" spans="1:10" ht="171.75" customHeight="1">
      <c r="A132" s="43" t="s">
        <v>354</v>
      </c>
      <c r="B132" s="6" t="s">
        <v>9717</v>
      </c>
      <c r="C132" s="6" t="s">
        <v>1041</v>
      </c>
      <c r="D132" s="6" t="s">
        <v>1044</v>
      </c>
      <c r="E132" s="17" t="s">
        <v>1046</v>
      </c>
      <c r="F132" s="17"/>
      <c r="G132" s="17" t="e">
        <f t="shared" ca="1" si="0"/>
        <v>#NAME?</v>
      </c>
      <c r="H132" s="6"/>
      <c r="I132" s="17"/>
      <c r="J132" s="17"/>
    </row>
    <row r="133" spans="1:10" ht="171.75" customHeight="1">
      <c r="A133" s="6" t="s">
        <v>1048</v>
      </c>
      <c r="B133" s="6" t="s">
        <v>9783</v>
      </c>
      <c r="C133" s="6" t="s">
        <v>1049</v>
      </c>
      <c r="D133" s="6" t="s">
        <v>1052</v>
      </c>
      <c r="E133" s="17" t="s">
        <v>1053</v>
      </c>
      <c r="F133" s="17"/>
      <c r="G133" s="17" t="e">
        <f t="shared" ca="1" si="0"/>
        <v>#NAME?</v>
      </c>
      <c r="H133" s="6"/>
      <c r="I133" s="17"/>
      <c r="J133" s="17"/>
    </row>
    <row r="134" spans="1:10" ht="171.75" customHeight="1">
      <c r="A134" s="6" t="s">
        <v>1048</v>
      </c>
      <c r="B134" s="6" t="s">
        <v>9783</v>
      </c>
      <c r="C134" s="6" t="s">
        <v>1055</v>
      </c>
      <c r="D134" s="6" t="s">
        <v>1058</v>
      </c>
      <c r="E134" s="17" t="s">
        <v>1059</v>
      </c>
      <c r="F134" s="17"/>
      <c r="G134" s="17" t="e">
        <f t="shared" ca="1" si="0"/>
        <v>#NAME?</v>
      </c>
      <c r="H134" s="6"/>
      <c r="I134" s="17"/>
      <c r="J134" s="17"/>
    </row>
    <row r="135" spans="1:10" ht="171.75" customHeight="1">
      <c r="A135" s="6" t="s">
        <v>1061</v>
      </c>
      <c r="B135" s="6" t="s">
        <v>9784</v>
      </c>
      <c r="C135" s="6" t="s">
        <v>1062</v>
      </c>
      <c r="D135" s="6" t="s">
        <v>141</v>
      </c>
      <c r="E135" s="17" t="s">
        <v>1065</v>
      </c>
      <c r="F135" s="17"/>
      <c r="G135" s="17" t="e">
        <f t="shared" ca="1" si="0"/>
        <v>#NAME?</v>
      </c>
      <c r="H135" s="6"/>
      <c r="I135" s="17"/>
      <c r="J135" s="17"/>
    </row>
    <row r="136" spans="1:10" ht="171.75" customHeight="1">
      <c r="A136" s="6" t="s">
        <v>1048</v>
      </c>
      <c r="B136" s="6" t="s">
        <v>9783</v>
      </c>
      <c r="C136" s="6" t="s">
        <v>1067</v>
      </c>
      <c r="D136" s="6" t="s">
        <v>1070</v>
      </c>
      <c r="E136" s="17" t="s">
        <v>1071</v>
      </c>
      <c r="F136" s="17"/>
      <c r="G136" s="17" t="e">
        <f t="shared" ca="1" si="0"/>
        <v>#NAME?</v>
      </c>
      <c r="H136" s="6"/>
      <c r="I136" s="17"/>
      <c r="J136" s="17"/>
    </row>
    <row r="137" spans="1:10" ht="171.75" customHeight="1">
      <c r="A137" s="6" t="s">
        <v>1048</v>
      </c>
      <c r="B137" s="6" t="s">
        <v>9783</v>
      </c>
      <c r="C137" s="6" t="s">
        <v>1073</v>
      </c>
      <c r="D137" s="6" t="s">
        <v>1076</v>
      </c>
      <c r="E137" s="17" t="s">
        <v>1077</v>
      </c>
      <c r="F137" s="17"/>
      <c r="G137" s="17" t="e">
        <f t="shared" ca="1" si="0"/>
        <v>#NAME?</v>
      </c>
      <c r="H137" s="6"/>
      <c r="I137" s="17"/>
      <c r="J137" s="17"/>
    </row>
    <row r="138" spans="1:10" ht="171.75" customHeight="1">
      <c r="A138" s="6" t="s">
        <v>1048</v>
      </c>
      <c r="B138" s="6" t="s">
        <v>9783</v>
      </c>
      <c r="C138" s="6" t="s">
        <v>1079</v>
      </c>
      <c r="D138" s="6" t="s">
        <v>1082</v>
      </c>
      <c r="E138" s="17" t="s">
        <v>1083</v>
      </c>
      <c r="F138" s="17"/>
      <c r="G138" s="17" t="e">
        <f t="shared" ca="1" si="0"/>
        <v>#NAME?</v>
      </c>
      <c r="H138" s="6"/>
      <c r="I138" s="17"/>
      <c r="J138" s="17"/>
    </row>
    <row r="139" spans="1:10" ht="171.75" customHeight="1">
      <c r="A139" s="6" t="s">
        <v>1048</v>
      </c>
      <c r="B139" s="6" t="s">
        <v>9783</v>
      </c>
      <c r="C139" s="6" t="s">
        <v>1085</v>
      </c>
      <c r="D139" s="6" t="s">
        <v>1088</v>
      </c>
      <c r="E139" s="17" t="s">
        <v>1089</v>
      </c>
      <c r="F139" s="17"/>
      <c r="G139" s="17" t="e">
        <f t="shared" ca="1" si="0"/>
        <v>#NAME?</v>
      </c>
      <c r="H139" s="6"/>
      <c r="I139" s="6"/>
      <c r="J139" s="10"/>
    </row>
    <row r="140" spans="1:10" ht="171.75" customHeight="1">
      <c r="A140" s="6" t="s">
        <v>1091</v>
      </c>
      <c r="B140" s="6" t="s">
        <v>9784</v>
      </c>
      <c r="C140" s="6" t="s">
        <v>1092</v>
      </c>
      <c r="D140" s="6" t="s">
        <v>141</v>
      </c>
      <c r="E140" s="10" t="s">
        <v>1094</v>
      </c>
      <c r="F140" s="17"/>
      <c r="G140" s="17" t="e">
        <f t="shared" ca="1" si="0"/>
        <v>#NAME?</v>
      </c>
      <c r="H140" s="6"/>
      <c r="I140" s="6"/>
      <c r="J140" s="10"/>
    </row>
    <row r="141" spans="1:10" ht="171.75" customHeight="1">
      <c r="A141" s="6" t="s">
        <v>1091</v>
      </c>
      <c r="B141" s="6" t="s">
        <v>9784</v>
      </c>
      <c r="C141" s="6" t="s">
        <v>1096</v>
      </c>
      <c r="D141" s="6" t="s">
        <v>141</v>
      </c>
      <c r="E141" s="10" t="s">
        <v>1098</v>
      </c>
      <c r="F141" s="17"/>
      <c r="G141" s="17" t="e">
        <f t="shared" ca="1" si="0"/>
        <v>#NAME?</v>
      </c>
      <c r="H141" s="6"/>
      <c r="I141" s="6"/>
      <c r="J141" s="6"/>
    </row>
    <row r="142" spans="1:10" ht="171.75" customHeight="1">
      <c r="A142" s="6" t="s">
        <v>1091</v>
      </c>
      <c r="B142" s="6" t="s">
        <v>9784</v>
      </c>
      <c r="C142" s="6" t="s">
        <v>1100</v>
      </c>
      <c r="D142" s="6" t="s">
        <v>141</v>
      </c>
      <c r="E142" s="6" t="s">
        <v>1102</v>
      </c>
      <c r="F142" s="17"/>
      <c r="G142" s="17" t="e">
        <f t="shared" ca="1" si="0"/>
        <v>#NAME?</v>
      </c>
      <c r="H142" s="6"/>
      <c r="I142" s="6"/>
      <c r="J142" s="6"/>
    </row>
    <row r="143" spans="1:10" ht="171.75" customHeight="1">
      <c r="A143" s="6" t="s">
        <v>1091</v>
      </c>
      <c r="B143" s="6" t="s">
        <v>9784</v>
      </c>
      <c r="C143" s="6" t="s">
        <v>1104</v>
      </c>
      <c r="D143" s="6" t="s">
        <v>141</v>
      </c>
      <c r="E143" s="6" t="s">
        <v>1106</v>
      </c>
      <c r="F143" s="17"/>
      <c r="G143" s="17" t="e">
        <f t="shared" ca="1" si="0"/>
        <v>#NAME?</v>
      </c>
      <c r="H143" s="6"/>
      <c r="I143" s="6"/>
      <c r="J143" s="6"/>
    </row>
    <row r="144" spans="1:10" ht="171.75" customHeight="1">
      <c r="A144" s="6" t="s">
        <v>1091</v>
      </c>
      <c r="B144" s="6" t="s">
        <v>9784</v>
      </c>
      <c r="C144" s="6" t="s">
        <v>1108</v>
      </c>
      <c r="D144" s="6" t="s">
        <v>141</v>
      </c>
      <c r="E144" s="6" t="s">
        <v>1110</v>
      </c>
      <c r="F144" s="17"/>
      <c r="G144" s="17" t="e">
        <f t="shared" ca="1" si="0"/>
        <v>#NAME?</v>
      </c>
      <c r="H144" s="6"/>
      <c r="I144" s="6"/>
      <c r="J144" s="6"/>
    </row>
    <row r="145" spans="1:10" ht="171.75" customHeight="1">
      <c r="A145" s="6" t="s">
        <v>1091</v>
      </c>
      <c r="B145" s="6" t="s">
        <v>9784</v>
      </c>
      <c r="C145" s="6" t="s">
        <v>1112</v>
      </c>
      <c r="D145" s="6" t="s">
        <v>141</v>
      </c>
      <c r="E145" s="6" t="s">
        <v>1114</v>
      </c>
      <c r="F145" s="17"/>
      <c r="G145" s="17" t="e">
        <f t="shared" ca="1" si="0"/>
        <v>#NAME?</v>
      </c>
      <c r="H145" s="6"/>
      <c r="I145" s="6"/>
      <c r="J145" s="6"/>
    </row>
    <row r="146" spans="1:10" ht="171.75" customHeight="1">
      <c r="A146" s="6" t="s">
        <v>1091</v>
      </c>
      <c r="B146" s="6" t="s">
        <v>9784</v>
      </c>
      <c r="C146" s="6" t="s">
        <v>1116</v>
      </c>
      <c r="D146" s="6" t="s">
        <v>141</v>
      </c>
      <c r="E146" s="6" t="s">
        <v>1118</v>
      </c>
      <c r="F146" s="17"/>
      <c r="G146" s="17" t="e">
        <f t="shared" ca="1" si="0"/>
        <v>#NAME?</v>
      </c>
      <c r="H146" s="6"/>
      <c r="I146" s="6"/>
      <c r="J146" s="6"/>
    </row>
    <row r="147" spans="1:10" ht="171.75" customHeight="1">
      <c r="A147" s="6" t="s">
        <v>1091</v>
      </c>
      <c r="B147" s="6" t="s">
        <v>9784</v>
      </c>
      <c r="C147" s="6" t="s">
        <v>1120</v>
      </c>
      <c r="D147" s="6" t="s">
        <v>141</v>
      </c>
      <c r="E147" s="6" t="s">
        <v>1122</v>
      </c>
      <c r="F147" s="17"/>
      <c r="G147" s="17" t="e">
        <f t="shared" ca="1" si="0"/>
        <v>#NAME?</v>
      </c>
      <c r="H147" s="6"/>
      <c r="I147" s="6"/>
      <c r="J147" s="6"/>
    </row>
    <row r="148" spans="1:10" ht="171.75" customHeight="1">
      <c r="A148" s="6" t="s">
        <v>1091</v>
      </c>
      <c r="B148" s="6" t="s">
        <v>9784</v>
      </c>
      <c r="C148" s="6" t="s">
        <v>1124</v>
      </c>
      <c r="D148" s="6" t="s">
        <v>141</v>
      </c>
      <c r="E148" s="10" t="s">
        <v>9687</v>
      </c>
      <c r="F148" s="17"/>
      <c r="G148" s="17" t="e">
        <f t="shared" ca="1" si="0"/>
        <v>#NAME?</v>
      </c>
      <c r="H148" s="6"/>
      <c r="I148" s="46"/>
      <c r="J148" s="17"/>
    </row>
    <row r="149" spans="1:10" ht="171.75" customHeight="1">
      <c r="A149" s="6" t="s">
        <v>698</v>
      </c>
      <c r="B149" s="6" t="s">
        <v>9752</v>
      </c>
      <c r="C149" s="6" t="s">
        <v>1127</v>
      </c>
      <c r="D149" s="6" t="s">
        <v>1130</v>
      </c>
      <c r="E149" s="17" t="s">
        <v>1140</v>
      </c>
      <c r="F149" s="17"/>
      <c r="G149" s="17" t="e">
        <f t="shared" ca="1" si="0"/>
        <v>#NAME?</v>
      </c>
      <c r="H149" s="6"/>
      <c r="I149" s="46"/>
      <c r="J149" s="17"/>
    </row>
    <row r="150" spans="1:10" ht="171.75" customHeight="1">
      <c r="A150" s="6" t="s">
        <v>698</v>
      </c>
      <c r="B150" s="6" t="s">
        <v>9752</v>
      </c>
      <c r="C150" s="6" t="s">
        <v>1135</v>
      </c>
      <c r="D150" s="6" t="s">
        <v>1138</v>
      </c>
      <c r="E150" s="17" t="s">
        <v>1133</v>
      </c>
      <c r="F150" s="17"/>
      <c r="G150" s="17" t="e">
        <f t="shared" ca="1" si="0"/>
        <v>#NAME?</v>
      </c>
      <c r="H150" s="6"/>
      <c r="I150" s="46"/>
      <c r="J150" s="17"/>
    </row>
    <row r="151" spans="1:10" ht="171.75" customHeight="1">
      <c r="A151" s="6" t="s">
        <v>1143</v>
      </c>
      <c r="B151" s="6" t="s">
        <v>1143</v>
      </c>
      <c r="C151" s="6" t="s">
        <v>1144</v>
      </c>
      <c r="D151" s="6" t="s">
        <v>1147</v>
      </c>
      <c r="E151" s="17" t="s">
        <v>1149</v>
      </c>
      <c r="F151" s="17"/>
      <c r="G151" s="17" t="e">
        <f t="shared" ca="1" si="0"/>
        <v>#NAME?</v>
      </c>
      <c r="H151" s="6"/>
      <c r="I151" s="17"/>
      <c r="J151" s="17"/>
    </row>
    <row r="152" spans="1:10" ht="171.75" customHeight="1">
      <c r="A152" s="6" t="s">
        <v>963</v>
      </c>
      <c r="B152" s="6" t="s">
        <v>9778</v>
      </c>
      <c r="C152" s="6" t="s">
        <v>1151</v>
      </c>
      <c r="D152" s="6" t="s">
        <v>1153</v>
      </c>
      <c r="E152" s="17" t="s">
        <v>1156</v>
      </c>
      <c r="F152" s="17"/>
      <c r="G152" s="17" t="e">
        <f t="shared" ca="1" si="0"/>
        <v>#NAME?</v>
      </c>
      <c r="H152" s="6"/>
      <c r="I152" s="17"/>
      <c r="J152" s="17"/>
    </row>
    <row r="153" spans="1:10" ht="171.75" customHeight="1">
      <c r="A153" s="6" t="s">
        <v>1158</v>
      </c>
      <c r="B153" s="6" t="s">
        <v>9785</v>
      </c>
      <c r="C153" s="6" t="s">
        <v>1159</v>
      </c>
      <c r="D153" s="6" t="s">
        <v>1162</v>
      </c>
      <c r="E153" s="17" t="s">
        <v>1163</v>
      </c>
      <c r="F153" s="17"/>
      <c r="G153" s="17" t="e">
        <f t="shared" ca="1" si="0"/>
        <v>#NAME?</v>
      </c>
      <c r="H153" s="49"/>
      <c r="I153" s="17"/>
      <c r="J153" s="17"/>
    </row>
    <row r="154" spans="1:10" ht="171.75" customHeight="1">
      <c r="A154" s="43" t="s">
        <v>1166</v>
      </c>
      <c r="B154" s="6" t="s">
        <v>9786</v>
      </c>
      <c r="C154" s="6" t="s">
        <v>1167</v>
      </c>
      <c r="D154" s="43" t="s">
        <v>1170</v>
      </c>
      <c r="E154" s="17" t="s">
        <v>1171</v>
      </c>
      <c r="F154" s="17"/>
      <c r="G154" s="17" t="e">
        <f t="shared" ca="1" si="0"/>
        <v>#NAME?</v>
      </c>
      <c r="H154" s="6"/>
      <c r="I154" s="17"/>
      <c r="J154" s="17"/>
    </row>
    <row r="155" spans="1:10" ht="171.75" customHeight="1">
      <c r="A155" s="6" t="s">
        <v>1173</v>
      </c>
      <c r="B155" s="6" t="s">
        <v>9787</v>
      </c>
      <c r="C155" s="6" t="s">
        <v>1174</v>
      </c>
      <c r="D155" s="6" t="s">
        <v>1176</v>
      </c>
      <c r="E155" s="17" t="s">
        <v>1177</v>
      </c>
      <c r="F155" s="17"/>
      <c r="G155" s="17" t="e">
        <f t="shared" ca="1" si="0"/>
        <v>#NAME?</v>
      </c>
      <c r="H155" s="6"/>
      <c r="I155" s="17"/>
      <c r="J155" s="35"/>
    </row>
    <row r="156" spans="1:10" ht="171.75" customHeight="1">
      <c r="A156" s="6" t="s">
        <v>1179</v>
      </c>
      <c r="B156" s="6" t="s">
        <v>9788</v>
      </c>
      <c r="C156" s="6" t="s">
        <v>1180</v>
      </c>
      <c r="D156" s="6" t="s">
        <v>1183</v>
      </c>
      <c r="E156" s="35" t="s">
        <v>1184</v>
      </c>
      <c r="F156" s="17"/>
      <c r="G156" s="17" t="e">
        <f t="shared" ca="1" si="0"/>
        <v>#NAME?</v>
      </c>
      <c r="H156" s="6"/>
      <c r="I156" s="17"/>
      <c r="J156" s="17"/>
    </row>
    <row r="157" spans="1:10" ht="171.75" customHeight="1">
      <c r="A157" s="6" t="s">
        <v>878</v>
      </c>
      <c r="B157" s="6" t="s">
        <v>9770</v>
      </c>
      <c r="C157" s="6" t="s">
        <v>1187</v>
      </c>
      <c r="D157" s="6" t="s">
        <v>1190</v>
      </c>
      <c r="E157" s="17" t="s">
        <v>1191</v>
      </c>
      <c r="F157" s="17"/>
      <c r="G157" s="17" t="e">
        <f t="shared" ca="1" si="0"/>
        <v>#NAME?</v>
      </c>
      <c r="H157" s="6"/>
      <c r="I157" s="17"/>
      <c r="J157" s="17"/>
    </row>
    <row r="158" spans="1:10" ht="171.75" customHeight="1">
      <c r="A158" s="55" t="s">
        <v>878</v>
      </c>
      <c r="B158" s="6" t="s">
        <v>9770</v>
      </c>
      <c r="C158" s="6" t="s">
        <v>1193</v>
      </c>
      <c r="D158" s="6" t="s">
        <v>1196</v>
      </c>
      <c r="E158" s="17" t="s">
        <v>1197</v>
      </c>
      <c r="F158" s="17"/>
      <c r="G158" s="17" t="e">
        <f t="shared" ca="1" si="0"/>
        <v>#NAME?</v>
      </c>
      <c r="H158" s="6"/>
      <c r="I158" s="17"/>
      <c r="J158" s="17"/>
    </row>
    <row r="159" spans="1:10" ht="171.75" customHeight="1">
      <c r="A159" s="6" t="s">
        <v>1200</v>
      </c>
      <c r="B159" s="6" t="s">
        <v>9789</v>
      </c>
      <c r="C159" s="6" t="s">
        <v>1201</v>
      </c>
      <c r="D159" s="6" t="s">
        <v>1204</v>
      </c>
      <c r="E159" s="17" t="s">
        <v>1207</v>
      </c>
      <c r="F159" s="17"/>
      <c r="G159" s="17" t="e">
        <f t="shared" ca="1" si="0"/>
        <v>#NAME?</v>
      </c>
      <c r="H159" s="6"/>
      <c r="I159" s="17"/>
      <c r="J159" s="17"/>
    </row>
    <row r="160" spans="1:10" ht="171.75" customHeight="1">
      <c r="A160" s="6" t="s">
        <v>285</v>
      </c>
      <c r="B160" s="6" t="s">
        <v>9710</v>
      </c>
      <c r="C160" s="6" t="s">
        <v>1209</v>
      </c>
      <c r="D160" s="6" t="s">
        <v>1212</v>
      </c>
      <c r="E160" s="17" t="s">
        <v>1214</v>
      </c>
      <c r="F160" s="17"/>
      <c r="G160" s="17" t="e">
        <f t="shared" ca="1" si="0"/>
        <v>#NAME?</v>
      </c>
      <c r="H160" s="6"/>
      <c r="I160" s="17"/>
      <c r="J160" s="32"/>
    </row>
    <row r="161" spans="1:10" ht="171.75" customHeight="1">
      <c r="A161" s="6" t="s">
        <v>714</v>
      </c>
      <c r="B161" s="6" t="s">
        <v>9753</v>
      </c>
      <c r="C161" s="6" t="s">
        <v>1216</v>
      </c>
      <c r="D161" s="6" t="s">
        <v>1219</v>
      </c>
      <c r="E161" s="32" t="s">
        <v>1222</v>
      </c>
      <c r="F161" s="17"/>
      <c r="G161" s="17" t="e">
        <f t="shared" ca="1" si="0"/>
        <v>#NAME?</v>
      </c>
      <c r="H161" s="6"/>
      <c r="I161" s="6"/>
      <c r="J161" s="10"/>
    </row>
    <row r="162" spans="1:10" ht="171.75" customHeight="1">
      <c r="A162" s="6" t="s">
        <v>293</v>
      </c>
      <c r="B162" s="6" t="s">
        <v>9711</v>
      </c>
      <c r="C162" s="6" t="s">
        <v>1224</v>
      </c>
      <c r="D162" s="6" t="s">
        <v>1226</v>
      </c>
      <c r="E162" s="10" t="s">
        <v>9687</v>
      </c>
      <c r="F162" s="17"/>
      <c r="G162" s="17" t="e">
        <f t="shared" ca="1" si="0"/>
        <v>#NAME?</v>
      </c>
      <c r="H162" s="6"/>
      <c r="I162" s="17"/>
      <c r="J162" s="17"/>
    </row>
    <row r="163" spans="1:10" ht="171.75" customHeight="1">
      <c r="A163" s="6" t="s">
        <v>249</v>
      </c>
      <c r="B163" s="6" t="s">
        <v>9779</v>
      </c>
      <c r="C163" s="6" t="s">
        <v>1229</v>
      </c>
      <c r="D163" s="43" t="s">
        <v>1232</v>
      </c>
      <c r="E163" s="17" t="s">
        <v>1234</v>
      </c>
      <c r="F163" s="17"/>
      <c r="G163" s="17" t="e">
        <f t="shared" ca="1" si="0"/>
        <v>#NAME?</v>
      </c>
      <c r="H163" s="6"/>
      <c r="I163" s="6"/>
      <c r="J163" s="10"/>
    </row>
    <row r="164" spans="1:10" ht="171.75" customHeight="1">
      <c r="A164" s="6" t="s">
        <v>199</v>
      </c>
      <c r="B164" s="6" t="s">
        <v>9708</v>
      </c>
      <c r="C164" s="6" t="s">
        <v>1236</v>
      </c>
      <c r="D164" s="6" t="s">
        <v>1238</v>
      </c>
      <c r="E164" s="10" t="s">
        <v>9687</v>
      </c>
      <c r="F164" s="17"/>
      <c r="G164" s="17" t="e">
        <f t="shared" ca="1" si="0"/>
        <v>#NAME?</v>
      </c>
      <c r="H164" s="6"/>
      <c r="I164" s="17"/>
      <c r="J164" s="17"/>
    </row>
    <row r="165" spans="1:10" ht="171.75" customHeight="1">
      <c r="A165" s="43" t="s">
        <v>278</v>
      </c>
      <c r="B165" s="6" t="s">
        <v>9709</v>
      </c>
      <c r="C165" s="6" t="s">
        <v>1241</v>
      </c>
      <c r="D165" s="6" t="s">
        <v>1244</v>
      </c>
      <c r="E165" s="17" t="s">
        <v>1245</v>
      </c>
      <c r="F165" s="17"/>
      <c r="G165" s="17" t="e">
        <f t="shared" ca="1" si="0"/>
        <v>#NAME?</v>
      </c>
      <c r="H165" s="6"/>
      <c r="I165" s="17"/>
      <c r="J165" s="17"/>
    </row>
    <row r="166" spans="1:10" ht="171.75" customHeight="1">
      <c r="A166" s="6" t="s">
        <v>379</v>
      </c>
      <c r="B166" s="6" t="s">
        <v>9720</v>
      </c>
      <c r="C166" s="6" t="s">
        <v>1247</v>
      </c>
      <c r="D166" s="6" t="s">
        <v>1250</v>
      </c>
      <c r="E166" s="17" t="s">
        <v>1251</v>
      </c>
      <c r="F166" s="17"/>
      <c r="G166" s="17" t="e">
        <f t="shared" ca="1" si="0"/>
        <v>#NAME?</v>
      </c>
      <c r="H166" s="6"/>
      <c r="I166" s="17"/>
      <c r="J166" s="17"/>
    </row>
    <row r="167" spans="1:10" ht="171.75" customHeight="1">
      <c r="A167" s="6" t="s">
        <v>1253</v>
      </c>
      <c r="B167" s="6" t="s">
        <v>9790</v>
      </c>
      <c r="C167" s="6" t="s">
        <v>1254</v>
      </c>
      <c r="D167" s="6" t="s">
        <v>1257</v>
      </c>
      <c r="E167" s="17" t="s">
        <v>1258</v>
      </c>
      <c r="F167" s="17"/>
      <c r="G167" s="17" t="e">
        <f t="shared" ca="1" si="0"/>
        <v>#NAME?</v>
      </c>
      <c r="H167" s="6"/>
      <c r="I167" s="17"/>
      <c r="J167" s="17"/>
    </row>
    <row r="168" spans="1:10" ht="171.75" customHeight="1">
      <c r="A168" s="6" t="s">
        <v>1260</v>
      </c>
      <c r="B168" s="6" t="s">
        <v>9791</v>
      </c>
      <c r="C168" s="6" t="s">
        <v>1261</v>
      </c>
      <c r="D168" s="6" t="s">
        <v>1264</v>
      </c>
      <c r="E168" s="17" t="s">
        <v>1265</v>
      </c>
      <c r="F168" s="17"/>
      <c r="G168" s="17" t="e">
        <f t="shared" ca="1" si="0"/>
        <v>#NAME?</v>
      </c>
      <c r="H168" s="6"/>
      <c r="I168" s="17"/>
      <c r="J168" s="17"/>
    </row>
    <row r="169" spans="1:10" ht="171.75" customHeight="1">
      <c r="A169" s="6" t="s">
        <v>885</v>
      </c>
      <c r="B169" s="6" t="s">
        <v>9771</v>
      </c>
      <c r="C169" s="6" t="s">
        <v>1267</v>
      </c>
      <c r="D169" s="43" t="s">
        <v>1270</v>
      </c>
      <c r="E169" s="17" t="s">
        <v>1273</v>
      </c>
      <c r="F169" s="17"/>
      <c r="G169" s="17" t="e">
        <f t="shared" ca="1" si="0"/>
        <v>#NAME?</v>
      </c>
      <c r="H169" s="6"/>
      <c r="I169" s="46"/>
      <c r="J169" s="17"/>
    </row>
    <row r="170" spans="1:10" ht="171.75" customHeight="1">
      <c r="A170" s="6" t="s">
        <v>1276</v>
      </c>
      <c r="B170" s="6" t="s">
        <v>9792</v>
      </c>
      <c r="C170" s="6" t="s">
        <v>1277</v>
      </c>
      <c r="D170" s="6" t="s">
        <v>1280</v>
      </c>
      <c r="E170" s="17" t="s">
        <v>1283</v>
      </c>
      <c r="F170" s="17"/>
      <c r="G170" s="17" t="e">
        <f t="shared" ca="1" si="0"/>
        <v>#NAME?</v>
      </c>
      <c r="H170" s="6"/>
      <c r="I170" s="17"/>
      <c r="J170" s="17"/>
    </row>
    <row r="171" spans="1:10" ht="171.75" customHeight="1">
      <c r="A171" s="6" t="s">
        <v>1285</v>
      </c>
      <c r="B171" s="6" t="s">
        <v>9793</v>
      </c>
      <c r="C171" s="6" t="s">
        <v>1286</v>
      </c>
      <c r="D171" s="6" t="s">
        <v>1289</v>
      </c>
      <c r="E171" s="17" t="s">
        <v>1290</v>
      </c>
      <c r="F171" s="17"/>
      <c r="G171" s="17" t="e">
        <f t="shared" ca="1" si="0"/>
        <v>#NAME?</v>
      </c>
      <c r="H171" s="6"/>
      <c r="I171" s="32"/>
      <c r="J171" s="10"/>
    </row>
    <row r="172" spans="1:10" ht="171.75" customHeight="1">
      <c r="A172" s="6" t="s">
        <v>1292</v>
      </c>
      <c r="B172" s="6" t="s">
        <v>9780</v>
      </c>
      <c r="C172" s="6" t="s">
        <v>1293</v>
      </c>
      <c r="D172" s="6" t="s">
        <v>1295</v>
      </c>
      <c r="E172" s="10" t="s">
        <v>1296</v>
      </c>
      <c r="F172" s="17"/>
      <c r="G172" s="17" t="e">
        <f t="shared" ca="1" si="0"/>
        <v>#NAME?</v>
      </c>
      <c r="H172" s="6"/>
      <c r="I172" s="17"/>
      <c r="J172" s="17"/>
    </row>
    <row r="173" spans="1:10" ht="171.75" customHeight="1">
      <c r="A173" s="6" t="s">
        <v>1306</v>
      </c>
      <c r="B173" s="6" t="s">
        <v>9794</v>
      </c>
      <c r="C173" s="6" t="s">
        <v>1307</v>
      </c>
      <c r="D173" s="43" t="s">
        <v>1310</v>
      </c>
      <c r="E173" s="17" t="s">
        <v>1311</v>
      </c>
      <c r="F173" s="17"/>
      <c r="G173" s="17" t="e">
        <f t="shared" ca="1" si="0"/>
        <v>#NAME?</v>
      </c>
      <c r="H173" s="49"/>
      <c r="I173" s="17"/>
      <c r="J173" s="17"/>
    </row>
    <row r="174" spans="1:10" ht="171.75" customHeight="1">
      <c r="A174" s="6" t="s">
        <v>364</v>
      </c>
      <c r="B174" s="6" t="s">
        <v>9718</v>
      </c>
      <c r="C174" s="6" t="s">
        <v>1313</v>
      </c>
      <c r="D174" s="6" t="s">
        <v>1316</v>
      </c>
      <c r="E174" s="17" t="s">
        <v>1317</v>
      </c>
      <c r="F174" s="17"/>
      <c r="G174" s="17" t="e">
        <f t="shared" ca="1" si="0"/>
        <v>#NAME?</v>
      </c>
      <c r="H174" s="6"/>
      <c r="I174" s="17"/>
      <c r="J174" s="17"/>
    </row>
    <row r="175" spans="1:10" ht="171.75" customHeight="1">
      <c r="A175" s="6" t="s">
        <v>152</v>
      </c>
      <c r="B175" s="6" t="s">
        <v>9696</v>
      </c>
      <c r="C175" s="6" t="s">
        <v>1298</v>
      </c>
      <c r="D175" s="6" t="s">
        <v>1301</v>
      </c>
      <c r="E175" s="17" t="s">
        <v>1303</v>
      </c>
      <c r="F175" s="17"/>
      <c r="G175" s="17" t="e">
        <f t="shared" ca="1" si="0"/>
        <v>#NAME?</v>
      </c>
      <c r="H175" s="6"/>
      <c r="I175" s="17"/>
      <c r="J175" s="17"/>
    </row>
    <row r="176" spans="1:10" ht="171.75" customHeight="1">
      <c r="A176" s="6" t="s">
        <v>199</v>
      </c>
      <c r="B176" s="6" t="s">
        <v>9708</v>
      </c>
      <c r="C176" s="6" t="s">
        <v>1319</v>
      </c>
      <c r="D176" s="6" t="s">
        <v>1322</v>
      </c>
      <c r="E176" s="17" t="s">
        <v>1324</v>
      </c>
      <c r="F176" s="17"/>
      <c r="G176" s="17" t="e">
        <f t="shared" ca="1" si="0"/>
        <v>#NAME?</v>
      </c>
      <c r="H176" s="6"/>
      <c r="I176" s="32"/>
      <c r="J176" s="17"/>
    </row>
    <row r="177" spans="1:10" ht="171.75" customHeight="1">
      <c r="A177" s="6" t="s">
        <v>689</v>
      </c>
      <c r="B177" s="6" t="s">
        <v>9751</v>
      </c>
      <c r="C177" s="6" t="s">
        <v>1326</v>
      </c>
      <c r="D177" s="6" t="s">
        <v>1329</v>
      </c>
      <c r="E177" s="17" t="s">
        <v>1332</v>
      </c>
      <c r="F177" s="17"/>
      <c r="G177" s="17" t="e">
        <f t="shared" ca="1" si="0"/>
        <v>#NAME?</v>
      </c>
      <c r="H177" s="6"/>
      <c r="I177" s="17"/>
      <c r="J177" s="17"/>
    </row>
    <row r="178" spans="1:10" ht="171.75" customHeight="1">
      <c r="A178" s="43" t="s">
        <v>638</v>
      </c>
      <c r="B178" s="6" t="s">
        <v>638</v>
      </c>
      <c r="C178" s="6" t="s">
        <v>1334</v>
      </c>
      <c r="D178" s="6" t="s">
        <v>1337</v>
      </c>
      <c r="E178" s="17" t="s">
        <v>1339</v>
      </c>
      <c r="F178" s="17"/>
      <c r="G178" s="17" t="e">
        <f t="shared" ca="1" si="0"/>
        <v>#NAME?</v>
      </c>
      <c r="H178" s="6"/>
      <c r="I178" s="46"/>
      <c r="J178" s="17"/>
    </row>
    <row r="179" spans="1:10" ht="171.75" customHeight="1">
      <c r="A179" s="6" t="s">
        <v>278</v>
      </c>
      <c r="B179" s="6" t="s">
        <v>9709</v>
      </c>
      <c r="C179" s="6" t="s">
        <v>1341</v>
      </c>
      <c r="D179" s="6" t="s">
        <v>1344</v>
      </c>
      <c r="E179" s="17" t="s">
        <v>1345</v>
      </c>
      <c r="F179" s="17"/>
      <c r="G179" s="17" t="e">
        <f t="shared" ca="1" si="0"/>
        <v>#NAME?</v>
      </c>
      <c r="H179" s="6"/>
      <c r="I179" s="6"/>
      <c r="J179" s="10"/>
    </row>
    <row r="180" spans="1:10" ht="171.75" customHeight="1">
      <c r="A180" s="6" t="s">
        <v>1347</v>
      </c>
      <c r="B180" s="6" t="s">
        <v>9795</v>
      </c>
      <c r="C180" s="6" t="s">
        <v>1348</v>
      </c>
      <c r="D180" s="6" t="s">
        <v>141</v>
      </c>
      <c r="E180" s="10" t="s">
        <v>9687</v>
      </c>
      <c r="F180" s="17"/>
      <c r="G180" s="17" t="e">
        <f t="shared" ca="1" si="0"/>
        <v>#NAME?</v>
      </c>
      <c r="H180" s="6"/>
      <c r="I180" s="6"/>
      <c r="J180" s="10"/>
    </row>
    <row r="181" spans="1:10" ht="171.75" customHeight="1">
      <c r="A181" s="6" t="s">
        <v>293</v>
      </c>
      <c r="B181" s="6" t="s">
        <v>9711</v>
      </c>
      <c r="C181" s="6" t="s">
        <v>1352</v>
      </c>
      <c r="D181" s="6" t="s">
        <v>1354</v>
      </c>
      <c r="E181" s="10" t="s">
        <v>9687</v>
      </c>
      <c r="F181" s="17"/>
      <c r="G181" s="17" t="e">
        <f t="shared" ca="1" si="0"/>
        <v>#NAME?</v>
      </c>
      <c r="H181" s="6"/>
      <c r="I181" s="6"/>
      <c r="J181" s="10"/>
    </row>
    <row r="182" spans="1:10" ht="171.75" customHeight="1">
      <c r="A182" s="6" t="s">
        <v>199</v>
      </c>
      <c r="B182" s="6" t="s">
        <v>9708</v>
      </c>
      <c r="C182" s="6" t="s">
        <v>1357</v>
      </c>
      <c r="D182" s="6" t="s">
        <v>1359</v>
      </c>
      <c r="E182" s="10" t="s">
        <v>9687</v>
      </c>
      <c r="F182" s="17"/>
      <c r="G182" s="17" t="e">
        <f t="shared" ca="1" si="0"/>
        <v>#NAME?</v>
      </c>
      <c r="H182" s="6"/>
      <c r="I182" s="17"/>
      <c r="J182" s="17"/>
    </row>
    <row r="183" spans="1:10" ht="171.75" customHeight="1">
      <c r="A183" s="6" t="s">
        <v>379</v>
      </c>
      <c r="B183" s="6" t="s">
        <v>9720</v>
      </c>
      <c r="C183" s="6" t="s">
        <v>1361</v>
      </c>
      <c r="D183" s="6" t="s">
        <v>1364</v>
      </c>
      <c r="E183" s="17" t="s">
        <v>1365</v>
      </c>
      <c r="F183" s="17"/>
      <c r="G183" s="17" t="e">
        <f t="shared" ca="1" si="0"/>
        <v>#NAME?</v>
      </c>
      <c r="H183" s="6"/>
      <c r="I183" s="6"/>
      <c r="J183" s="32"/>
    </row>
    <row r="184" spans="1:10" ht="171.75" customHeight="1">
      <c r="A184" s="6" t="s">
        <v>354</v>
      </c>
      <c r="B184" s="6" t="s">
        <v>9717</v>
      </c>
      <c r="C184" s="6" t="s">
        <v>1367</v>
      </c>
      <c r="D184" s="6" t="s">
        <v>1369</v>
      </c>
      <c r="E184" s="32" t="s">
        <v>1372</v>
      </c>
      <c r="F184" s="17"/>
      <c r="G184" s="17" t="e">
        <f t="shared" ca="1" si="0"/>
        <v>#NAME?</v>
      </c>
      <c r="H184" s="6"/>
      <c r="I184" s="17"/>
      <c r="J184" s="17"/>
    </row>
    <row r="185" spans="1:10" ht="171.75" customHeight="1">
      <c r="A185" s="43" t="s">
        <v>278</v>
      </c>
      <c r="B185" s="6" t="s">
        <v>9709</v>
      </c>
      <c r="C185" s="6" t="s">
        <v>1374</v>
      </c>
      <c r="D185" s="6" t="s">
        <v>1377</v>
      </c>
      <c r="E185" s="17" t="s">
        <v>1378</v>
      </c>
      <c r="F185" s="17"/>
      <c r="G185" s="17" t="e">
        <f t="shared" ca="1" si="0"/>
        <v>#NAME?</v>
      </c>
      <c r="H185" s="6"/>
      <c r="I185" s="17"/>
      <c r="J185" s="17"/>
    </row>
    <row r="186" spans="1:10" ht="171.75" customHeight="1">
      <c r="A186" s="6" t="s">
        <v>1380</v>
      </c>
      <c r="B186" s="6" t="s">
        <v>9796</v>
      </c>
      <c r="C186" s="6" t="s">
        <v>1381</v>
      </c>
      <c r="D186" s="6" t="s">
        <v>1384</v>
      </c>
      <c r="E186" s="17" t="s">
        <v>1385</v>
      </c>
      <c r="F186" s="17"/>
      <c r="G186" s="17" t="e">
        <f t="shared" ca="1" si="0"/>
        <v>#NAME?</v>
      </c>
      <c r="H186" s="6"/>
      <c r="I186" s="17"/>
      <c r="J186" s="17"/>
    </row>
    <row r="187" spans="1:10" ht="171.75" customHeight="1">
      <c r="A187" s="6" t="s">
        <v>364</v>
      </c>
      <c r="B187" s="6" t="s">
        <v>9718</v>
      </c>
      <c r="C187" s="6" t="s">
        <v>1388</v>
      </c>
      <c r="D187" s="6" t="s">
        <v>1391</v>
      </c>
      <c r="E187" s="17" t="s">
        <v>1392</v>
      </c>
      <c r="F187" s="17"/>
      <c r="G187" s="17" t="e">
        <f t="shared" ca="1" si="0"/>
        <v>#NAME?</v>
      </c>
      <c r="H187" s="6"/>
      <c r="I187" s="17"/>
      <c r="J187" s="17"/>
    </row>
    <row r="188" spans="1:10" ht="171.75" customHeight="1">
      <c r="A188" s="43" t="s">
        <v>1394</v>
      </c>
      <c r="B188" s="6" t="s">
        <v>9797</v>
      </c>
      <c r="C188" s="6" t="s">
        <v>1395</v>
      </c>
      <c r="D188" s="43" t="s">
        <v>1398</v>
      </c>
      <c r="E188" s="17" t="s">
        <v>1401</v>
      </c>
      <c r="F188" s="17"/>
      <c r="G188" s="17" t="e">
        <f t="shared" ca="1" si="0"/>
        <v>#NAME?</v>
      </c>
      <c r="H188" s="6"/>
      <c r="I188" s="17"/>
      <c r="J188" s="17"/>
    </row>
    <row r="189" spans="1:10" ht="171.75" customHeight="1">
      <c r="A189" s="6" t="s">
        <v>963</v>
      </c>
      <c r="B189" s="6" t="s">
        <v>9778</v>
      </c>
      <c r="C189" s="6" t="s">
        <v>1403</v>
      </c>
      <c r="D189" s="6" t="s">
        <v>1406</v>
      </c>
      <c r="E189" s="17" t="s">
        <v>1409</v>
      </c>
      <c r="F189" s="17"/>
      <c r="G189" s="17" t="e">
        <f t="shared" ca="1" si="0"/>
        <v>#NAME?</v>
      </c>
      <c r="H189" s="6"/>
      <c r="I189" s="6"/>
      <c r="J189" s="10"/>
    </row>
    <row r="190" spans="1:10" ht="171.75" customHeight="1">
      <c r="A190" s="6" t="s">
        <v>638</v>
      </c>
      <c r="B190" s="6" t="s">
        <v>638</v>
      </c>
      <c r="C190" s="6" t="s">
        <v>1411</v>
      </c>
      <c r="D190" s="6" t="s">
        <v>1413</v>
      </c>
      <c r="E190" s="10" t="s">
        <v>1415</v>
      </c>
      <c r="F190" s="17"/>
      <c r="G190" s="17" t="e">
        <f t="shared" ca="1" si="0"/>
        <v>#NAME?</v>
      </c>
      <c r="H190" s="6"/>
      <c r="I190" s="46"/>
      <c r="J190" s="17"/>
    </row>
    <row r="191" spans="1:10" ht="171.75" customHeight="1">
      <c r="A191" s="6" t="s">
        <v>1006</v>
      </c>
      <c r="B191" s="6" t="s">
        <v>9780</v>
      </c>
      <c r="C191" s="6" t="s">
        <v>1417</v>
      </c>
      <c r="D191" s="43" t="s">
        <v>1420</v>
      </c>
      <c r="E191" s="17" t="s">
        <v>1421</v>
      </c>
      <c r="F191" s="17"/>
      <c r="G191" s="17" t="e">
        <f t="shared" ca="1" si="0"/>
        <v>#NAME?</v>
      </c>
      <c r="H191" s="6"/>
      <c r="I191" s="17"/>
      <c r="J191" s="17"/>
    </row>
    <row r="192" spans="1:10" ht="171.75" customHeight="1">
      <c r="A192" s="6" t="s">
        <v>364</v>
      </c>
      <c r="B192" s="6" t="s">
        <v>9718</v>
      </c>
      <c r="C192" s="6" t="s">
        <v>1423</v>
      </c>
      <c r="D192" s="6" t="s">
        <v>141</v>
      </c>
      <c r="E192" s="17" t="s">
        <v>1426</v>
      </c>
      <c r="F192" s="17"/>
      <c r="G192" s="17" t="e">
        <f t="shared" ca="1" si="0"/>
        <v>#NAME?</v>
      </c>
      <c r="H192" s="6"/>
      <c r="I192" s="17"/>
      <c r="J192" s="10"/>
    </row>
    <row r="193" spans="1:10" ht="171.75" customHeight="1">
      <c r="A193" s="6" t="s">
        <v>677</v>
      </c>
      <c r="B193" s="6" t="s">
        <v>9750</v>
      </c>
      <c r="C193" s="6" t="s">
        <v>1429</v>
      </c>
      <c r="D193" s="6" t="s">
        <v>141</v>
      </c>
      <c r="E193" s="10" t="s">
        <v>1434</v>
      </c>
      <c r="F193" s="17"/>
      <c r="G193" s="17" t="e">
        <f t="shared" ca="1" si="0"/>
        <v>#NAME?</v>
      </c>
      <c r="H193" s="6"/>
      <c r="I193" s="17"/>
      <c r="J193" s="10"/>
    </row>
    <row r="194" spans="1:10" ht="171.75" customHeight="1">
      <c r="A194" s="6" t="s">
        <v>248</v>
      </c>
      <c r="B194" s="6" t="s">
        <v>9712</v>
      </c>
      <c r="C194" s="6" t="s">
        <v>1436</v>
      </c>
      <c r="D194" s="6" t="s">
        <v>1439</v>
      </c>
      <c r="E194" s="10" t="s">
        <v>1441</v>
      </c>
      <c r="F194" s="17"/>
      <c r="G194" s="17" t="e">
        <f t="shared" ca="1" si="0"/>
        <v>#NAME?</v>
      </c>
      <c r="H194" s="6"/>
      <c r="I194" s="17"/>
      <c r="J194" s="17"/>
    </row>
    <row r="195" spans="1:10" ht="171.75" customHeight="1">
      <c r="A195" s="6" t="s">
        <v>1443</v>
      </c>
      <c r="B195" s="6" t="s">
        <v>9707</v>
      </c>
      <c r="C195" s="6" t="s">
        <v>1444</v>
      </c>
      <c r="D195" s="6" t="s">
        <v>1447</v>
      </c>
      <c r="E195" s="17" t="s">
        <v>1448</v>
      </c>
      <c r="F195" s="17"/>
      <c r="G195" s="17" t="e">
        <f t="shared" ca="1" si="0"/>
        <v>#NAME?</v>
      </c>
      <c r="H195" s="6"/>
      <c r="I195" s="17"/>
      <c r="J195" s="17"/>
    </row>
    <row r="196" spans="1:10" ht="171.75" customHeight="1">
      <c r="A196" s="6" t="s">
        <v>1450</v>
      </c>
      <c r="B196" s="6" t="s">
        <v>9798</v>
      </c>
      <c r="C196" s="6" t="s">
        <v>1451</v>
      </c>
      <c r="D196" s="6" t="s">
        <v>1454</v>
      </c>
      <c r="E196" s="17" t="s">
        <v>1455</v>
      </c>
      <c r="F196" s="17"/>
      <c r="G196" s="17" t="e">
        <f t="shared" ca="1" si="0"/>
        <v>#NAME?</v>
      </c>
      <c r="H196" s="6"/>
      <c r="I196" s="17"/>
      <c r="J196" s="17"/>
    </row>
    <row r="197" spans="1:10" ht="171.75" customHeight="1">
      <c r="A197" s="6" t="s">
        <v>1306</v>
      </c>
      <c r="B197" s="6" t="s">
        <v>9794</v>
      </c>
      <c r="C197" s="6" t="s">
        <v>1457</v>
      </c>
      <c r="D197" s="6" t="s">
        <v>1460</v>
      </c>
      <c r="E197" s="17" t="s">
        <v>1461</v>
      </c>
      <c r="F197" s="17"/>
      <c r="G197" s="17" t="e">
        <f t="shared" ca="1" si="0"/>
        <v>#NAME?</v>
      </c>
      <c r="H197" s="6"/>
      <c r="I197" s="6"/>
      <c r="J197" s="32"/>
    </row>
    <row r="198" spans="1:10" ht="171.75" customHeight="1">
      <c r="A198" s="6" t="s">
        <v>1464</v>
      </c>
      <c r="B198" s="6" t="s">
        <v>9799</v>
      </c>
      <c r="C198" s="6" t="s">
        <v>1465</v>
      </c>
      <c r="D198" s="6" t="s">
        <v>141</v>
      </c>
      <c r="E198" s="32" t="s">
        <v>1467</v>
      </c>
      <c r="F198" s="17"/>
      <c r="G198" s="17" t="e">
        <f t="shared" ca="1" si="0"/>
        <v>#NAME?</v>
      </c>
      <c r="H198" s="49"/>
      <c r="I198" s="46"/>
      <c r="J198" s="17"/>
    </row>
    <row r="199" spans="1:10" ht="171.75" customHeight="1">
      <c r="A199" s="6" t="s">
        <v>1471</v>
      </c>
      <c r="B199" s="6" t="s">
        <v>9800</v>
      </c>
      <c r="C199" s="6" t="s">
        <v>1472</v>
      </c>
      <c r="D199" s="6" t="s">
        <v>1475</v>
      </c>
      <c r="E199" s="17" t="s">
        <v>1476</v>
      </c>
      <c r="F199" s="17"/>
      <c r="G199" s="17" t="e">
        <f t="shared" ca="1" si="0"/>
        <v>#NAME?</v>
      </c>
      <c r="H199" s="6"/>
      <c r="I199" s="17"/>
      <c r="J199" s="17"/>
    </row>
    <row r="200" spans="1:10" ht="171.75" customHeight="1">
      <c r="A200" s="6" t="s">
        <v>878</v>
      </c>
      <c r="B200" s="6" t="s">
        <v>9770</v>
      </c>
      <c r="C200" s="6" t="s">
        <v>1479</v>
      </c>
      <c r="D200" s="6" t="s">
        <v>1482</v>
      </c>
      <c r="E200" s="10" t="s">
        <v>9687</v>
      </c>
      <c r="F200" s="17"/>
      <c r="G200" s="17" t="e">
        <f t="shared" ca="1" si="0"/>
        <v>#NAME?</v>
      </c>
      <c r="H200" s="6"/>
      <c r="I200" s="17"/>
      <c r="J200" s="17"/>
    </row>
    <row r="201" spans="1:10" ht="171.75" customHeight="1">
      <c r="A201" s="6" t="s">
        <v>1486</v>
      </c>
      <c r="B201" s="6" t="s">
        <v>9801</v>
      </c>
      <c r="C201" s="6" t="s">
        <v>1487</v>
      </c>
      <c r="D201" s="6" t="s">
        <v>1490</v>
      </c>
      <c r="E201" s="10" t="s">
        <v>9687</v>
      </c>
      <c r="F201" s="17"/>
      <c r="G201" s="17" t="e">
        <f t="shared" ca="1" si="0"/>
        <v>#NAME?</v>
      </c>
      <c r="H201" s="6"/>
      <c r="I201" s="17"/>
      <c r="J201" s="17"/>
    </row>
    <row r="202" spans="1:10" ht="171.75" customHeight="1">
      <c r="A202" s="6" t="s">
        <v>1492</v>
      </c>
      <c r="B202" s="6" t="s">
        <v>9722</v>
      </c>
      <c r="C202" s="6" t="s">
        <v>1493</v>
      </c>
      <c r="D202" s="6" t="s">
        <v>1496</v>
      </c>
      <c r="E202" s="17" t="s">
        <v>1497</v>
      </c>
      <c r="F202" s="17"/>
      <c r="G202" s="17" t="e">
        <f t="shared" ca="1" si="0"/>
        <v>#NAME?</v>
      </c>
      <c r="H202" s="6"/>
      <c r="I202" s="17"/>
      <c r="J202" s="17"/>
    </row>
    <row r="203" spans="1:10" ht="171.75" customHeight="1">
      <c r="A203" s="6" t="s">
        <v>129</v>
      </c>
      <c r="B203" s="6" t="s">
        <v>9694</v>
      </c>
      <c r="C203" s="6" t="s">
        <v>1499</v>
      </c>
      <c r="D203" s="6" t="s">
        <v>1502</v>
      </c>
      <c r="E203" s="17" t="s">
        <v>1503</v>
      </c>
      <c r="F203" s="17"/>
      <c r="G203" s="17" t="e">
        <f t="shared" ca="1" si="0"/>
        <v>#NAME?</v>
      </c>
      <c r="H203" s="6"/>
      <c r="I203" s="17"/>
      <c r="J203" s="17"/>
    </row>
    <row r="204" spans="1:10" ht="171.75" customHeight="1">
      <c r="A204" s="6" t="s">
        <v>72</v>
      </c>
      <c r="B204" s="6" t="s">
        <v>9685</v>
      </c>
      <c r="C204" s="6" t="s">
        <v>1505</v>
      </c>
      <c r="D204" s="6" t="s">
        <v>1507</v>
      </c>
      <c r="E204" s="17" t="s">
        <v>1508</v>
      </c>
      <c r="F204" s="17"/>
      <c r="G204" s="17" t="e">
        <f t="shared" ca="1" si="0"/>
        <v>#NAME?</v>
      </c>
      <c r="H204" s="6"/>
      <c r="I204" s="17"/>
      <c r="J204" s="17"/>
    </row>
    <row r="205" spans="1:10" ht="171.75" customHeight="1">
      <c r="A205" s="6" t="s">
        <v>1510</v>
      </c>
      <c r="B205" s="6" t="s">
        <v>9802</v>
      </c>
      <c r="C205" s="6" t="s">
        <v>1511</v>
      </c>
      <c r="D205" s="6" t="s">
        <v>1513</v>
      </c>
      <c r="E205" s="17" t="s">
        <v>1514</v>
      </c>
      <c r="F205" s="17"/>
      <c r="G205" s="17" t="e">
        <f t="shared" ca="1" si="0"/>
        <v>#NAME?</v>
      </c>
      <c r="H205" s="6"/>
      <c r="I205" s="17"/>
      <c r="J205" s="17"/>
    </row>
    <row r="206" spans="1:10" ht="171.75" customHeight="1">
      <c r="A206" s="6" t="s">
        <v>117</v>
      </c>
      <c r="B206" s="6" t="s">
        <v>9692</v>
      </c>
      <c r="C206" s="6" t="s">
        <v>1516</v>
      </c>
      <c r="D206" s="6" t="s">
        <v>1518</v>
      </c>
      <c r="E206" s="17" t="s">
        <v>1519</v>
      </c>
      <c r="F206" s="17"/>
      <c r="G206" s="17" t="e">
        <f t="shared" ca="1" si="0"/>
        <v>#NAME?</v>
      </c>
      <c r="H206" s="6"/>
      <c r="I206" s="17"/>
      <c r="J206" s="17"/>
    </row>
    <row r="207" spans="1:10" ht="171.75" customHeight="1">
      <c r="A207" s="43" t="s">
        <v>1521</v>
      </c>
      <c r="B207" s="6" t="s">
        <v>9803</v>
      </c>
      <c r="C207" s="6" t="s">
        <v>1522</v>
      </c>
      <c r="D207" s="6" t="s">
        <v>1525</v>
      </c>
      <c r="E207" s="17" t="s">
        <v>1526</v>
      </c>
      <c r="F207" s="17"/>
      <c r="G207" s="17" t="e">
        <f t="shared" ca="1" si="0"/>
        <v>#NAME?</v>
      </c>
      <c r="H207" s="6"/>
      <c r="I207" s="17"/>
      <c r="J207" s="17"/>
    </row>
    <row r="208" spans="1:10" ht="171.75" customHeight="1">
      <c r="A208" s="6" t="s">
        <v>199</v>
      </c>
      <c r="B208" s="6" t="s">
        <v>9708</v>
      </c>
      <c r="C208" s="6" t="s">
        <v>1528</v>
      </c>
      <c r="D208" s="6" t="s">
        <v>1531</v>
      </c>
      <c r="E208" s="17" t="s">
        <v>1534</v>
      </c>
      <c r="F208" s="17"/>
      <c r="G208" s="17" t="e">
        <f t="shared" ca="1" si="0"/>
        <v>#NAME?</v>
      </c>
      <c r="H208" s="6"/>
      <c r="I208" s="17"/>
      <c r="J208" s="17"/>
    </row>
    <row r="209" spans="1:10" ht="171.75" customHeight="1">
      <c r="A209" s="6" t="s">
        <v>714</v>
      </c>
      <c r="B209" s="6" t="s">
        <v>9753</v>
      </c>
      <c r="C209" s="6" t="s">
        <v>1536</v>
      </c>
      <c r="D209" s="6" t="s">
        <v>1539</v>
      </c>
      <c r="E209" s="17" t="s">
        <v>1541</v>
      </c>
      <c r="F209" s="17"/>
      <c r="G209" s="17" t="e">
        <f t="shared" ca="1" si="0"/>
        <v>#NAME?</v>
      </c>
      <c r="H209" s="6"/>
      <c r="I209" s="17"/>
      <c r="J209" s="17"/>
    </row>
    <row r="210" spans="1:10" ht="171.75" customHeight="1">
      <c r="A210" s="6" t="s">
        <v>285</v>
      </c>
      <c r="B210" s="6" t="s">
        <v>9710</v>
      </c>
      <c r="C210" s="6" t="s">
        <v>1543</v>
      </c>
      <c r="D210" s="6" t="s">
        <v>141</v>
      </c>
      <c r="E210" s="17" t="s">
        <v>1547</v>
      </c>
      <c r="F210" s="17"/>
      <c r="G210" s="17" t="e">
        <f t="shared" ca="1" si="0"/>
        <v>#NAME?</v>
      </c>
      <c r="H210" s="6"/>
      <c r="I210" s="17"/>
      <c r="J210" s="17"/>
    </row>
    <row r="211" spans="1:10" ht="171.75" customHeight="1">
      <c r="A211" s="43" t="s">
        <v>1552</v>
      </c>
      <c r="B211" s="6" t="s">
        <v>9804</v>
      </c>
      <c r="C211" s="6" t="s">
        <v>1553</v>
      </c>
      <c r="D211" s="6" t="s">
        <v>1556</v>
      </c>
      <c r="E211" s="17" t="s">
        <v>1559</v>
      </c>
      <c r="F211" s="17"/>
      <c r="G211" s="17" t="e">
        <f t="shared" ca="1" si="0"/>
        <v>#NAME?</v>
      </c>
      <c r="H211" s="6"/>
      <c r="I211" s="17"/>
      <c r="J211" s="17"/>
    </row>
    <row r="212" spans="1:10" ht="171.75" customHeight="1">
      <c r="A212" s="43" t="s">
        <v>1561</v>
      </c>
      <c r="B212" s="6" t="s">
        <v>9805</v>
      </c>
      <c r="C212" s="6" t="s">
        <v>1562</v>
      </c>
      <c r="D212" s="6" t="s">
        <v>1565</v>
      </c>
      <c r="E212" s="17" t="s">
        <v>1566</v>
      </c>
      <c r="F212" s="17"/>
      <c r="G212" s="17" t="e">
        <f t="shared" ca="1" si="0"/>
        <v>#NAME?</v>
      </c>
      <c r="H212" s="6"/>
      <c r="I212" s="17"/>
      <c r="J212" s="17"/>
    </row>
    <row r="213" spans="1:10" ht="171.75" customHeight="1">
      <c r="A213" s="43" t="s">
        <v>1561</v>
      </c>
      <c r="B213" s="6" t="s">
        <v>9805</v>
      </c>
      <c r="C213" s="6" t="s">
        <v>1568</v>
      </c>
      <c r="D213" s="6" t="s">
        <v>1571</v>
      </c>
      <c r="E213" s="17" t="s">
        <v>1572</v>
      </c>
      <c r="F213" s="17"/>
      <c r="G213" s="17" t="e">
        <f t="shared" ca="1" si="0"/>
        <v>#NAME?</v>
      </c>
      <c r="H213" s="6"/>
      <c r="I213" s="6"/>
      <c r="J213" s="10"/>
    </row>
    <row r="214" spans="1:10" ht="171.75" customHeight="1">
      <c r="A214" s="6" t="s">
        <v>387</v>
      </c>
      <c r="B214" s="6" t="s">
        <v>387</v>
      </c>
      <c r="C214" s="6" t="s">
        <v>1574</v>
      </c>
      <c r="D214" s="6" t="s">
        <v>141</v>
      </c>
      <c r="E214" s="10" t="s">
        <v>9687</v>
      </c>
      <c r="F214" s="17"/>
      <c r="G214" s="17" t="e">
        <f t="shared" ca="1" si="0"/>
        <v>#NAME?</v>
      </c>
      <c r="H214" s="6"/>
      <c r="I214" s="17"/>
      <c r="J214" s="17"/>
    </row>
    <row r="215" spans="1:10" ht="171.75" customHeight="1">
      <c r="A215" s="6" t="s">
        <v>1579</v>
      </c>
      <c r="B215" s="6" t="s">
        <v>9806</v>
      </c>
      <c r="C215" s="6" t="s">
        <v>1580</v>
      </c>
      <c r="D215" s="6" t="s">
        <v>1583</v>
      </c>
      <c r="E215" s="10" t="s">
        <v>9687</v>
      </c>
      <c r="F215" s="17"/>
      <c r="G215" s="17" t="e">
        <f t="shared" ca="1" si="0"/>
        <v>#NAME?</v>
      </c>
      <c r="H215" s="6"/>
      <c r="I215" s="17"/>
      <c r="J215" s="17"/>
    </row>
    <row r="216" spans="1:10" ht="171.75" customHeight="1">
      <c r="A216" s="43" t="s">
        <v>1492</v>
      </c>
      <c r="B216" s="6" t="s">
        <v>9722</v>
      </c>
      <c r="C216" s="6" t="s">
        <v>1585</v>
      </c>
      <c r="D216" s="6" t="s">
        <v>1588</v>
      </c>
      <c r="E216" s="17" t="s">
        <v>1589</v>
      </c>
      <c r="F216" s="17"/>
      <c r="G216" s="17" t="e">
        <f t="shared" ca="1" si="0"/>
        <v>#NAME?</v>
      </c>
      <c r="H216" s="6"/>
      <c r="I216" s="46"/>
      <c r="J216" s="17"/>
    </row>
    <row r="217" spans="1:10" ht="171.75" customHeight="1">
      <c r="A217" s="6" t="s">
        <v>1591</v>
      </c>
      <c r="B217" s="6" t="s">
        <v>9807</v>
      </c>
      <c r="C217" s="6" t="s">
        <v>1592</v>
      </c>
      <c r="D217" s="6" t="s">
        <v>1595</v>
      </c>
      <c r="E217" s="17" t="s">
        <v>1596</v>
      </c>
      <c r="F217" s="17"/>
      <c r="G217" s="17" t="e">
        <f t="shared" ca="1" si="0"/>
        <v>#NAME?</v>
      </c>
      <c r="H217" s="6"/>
      <c r="I217" s="17"/>
      <c r="J217" s="17"/>
    </row>
    <row r="218" spans="1:10" ht="171.75" customHeight="1">
      <c r="A218" s="6" t="s">
        <v>137</v>
      </c>
      <c r="B218" s="6" t="s">
        <v>9695</v>
      </c>
      <c r="C218" s="6" t="s">
        <v>1600</v>
      </c>
      <c r="D218" s="6" t="s">
        <v>1603</v>
      </c>
      <c r="E218" s="17" t="s">
        <v>1607</v>
      </c>
      <c r="F218" s="17"/>
      <c r="G218" s="17" t="e">
        <f t="shared" ca="1" si="0"/>
        <v>#NAME?</v>
      </c>
      <c r="H218" s="6"/>
      <c r="I218" s="17"/>
      <c r="J218" s="17"/>
    </row>
    <row r="219" spans="1:10" ht="171.75" customHeight="1">
      <c r="A219" s="43" t="s">
        <v>285</v>
      </c>
      <c r="B219" s="6" t="s">
        <v>9710</v>
      </c>
      <c r="C219" s="6" t="s">
        <v>1609</v>
      </c>
      <c r="D219" s="6" t="s">
        <v>1612</v>
      </c>
      <c r="E219" s="17" t="s">
        <v>1614</v>
      </c>
      <c r="F219" s="17"/>
      <c r="G219" s="17" t="e">
        <f t="shared" ca="1" si="0"/>
        <v>#NAME?</v>
      </c>
      <c r="H219" s="6"/>
      <c r="I219" s="17"/>
      <c r="J219" s="17"/>
    </row>
    <row r="220" spans="1:10" ht="171.75" customHeight="1">
      <c r="A220" s="6" t="s">
        <v>152</v>
      </c>
      <c r="B220" s="6" t="s">
        <v>9696</v>
      </c>
      <c r="C220" s="6" t="s">
        <v>1616</v>
      </c>
      <c r="D220" s="6" t="s">
        <v>1619</v>
      </c>
      <c r="E220" s="17" t="s">
        <v>1622</v>
      </c>
      <c r="F220" s="17"/>
      <c r="G220" s="17" t="e">
        <f t="shared" ca="1" si="0"/>
        <v>#NAME?</v>
      </c>
      <c r="H220" s="6"/>
      <c r="I220" s="17"/>
      <c r="J220" s="17"/>
    </row>
    <row r="221" spans="1:10" ht="171.75" customHeight="1">
      <c r="A221" s="6" t="s">
        <v>293</v>
      </c>
      <c r="B221" s="6" t="s">
        <v>9711</v>
      </c>
      <c r="C221" s="6" t="s">
        <v>1624</v>
      </c>
      <c r="D221" s="6" t="s">
        <v>1627</v>
      </c>
      <c r="E221" s="10" t="s">
        <v>9687</v>
      </c>
      <c r="F221" s="17"/>
      <c r="G221" s="17" t="e">
        <f t="shared" ca="1" si="0"/>
        <v>#NAME?</v>
      </c>
      <c r="H221" s="6"/>
      <c r="I221" s="17"/>
      <c r="J221" s="10"/>
    </row>
    <row r="222" spans="1:10" ht="171.75" customHeight="1">
      <c r="A222" s="6" t="s">
        <v>199</v>
      </c>
      <c r="B222" s="6" t="s">
        <v>9708</v>
      </c>
      <c r="C222" s="6" t="s">
        <v>1630</v>
      </c>
      <c r="D222" s="6" t="s">
        <v>1633</v>
      </c>
      <c r="E222" s="10" t="s">
        <v>9687</v>
      </c>
      <c r="F222" s="17"/>
      <c r="G222" s="17" t="e">
        <f t="shared" ca="1" si="0"/>
        <v>#NAME?</v>
      </c>
      <c r="H222" s="6"/>
      <c r="I222" s="17"/>
      <c r="J222" s="17"/>
    </row>
    <row r="223" spans="1:10" ht="171.75" customHeight="1">
      <c r="A223" s="43" t="s">
        <v>278</v>
      </c>
      <c r="B223" s="6" t="s">
        <v>9709</v>
      </c>
      <c r="C223" s="6" t="s">
        <v>1637</v>
      </c>
      <c r="D223" s="6" t="s">
        <v>1640</v>
      </c>
      <c r="E223" s="17" t="s">
        <v>1641</v>
      </c>
      <c r="F223" s="17"/>
      <c r="G223" s="17" t="e">
        <f t="shared" ca="1" si="0"/>
        <v>#NAME?</v>
      </c>
      <c r="H223" s="6"/>
      <c r="I223" s="17"/>
      <c r="J223" s="17"/>
    </row>
    <row r="224" spans="1:10" ht="171.75" customHeight="1">
      <c r="A224" s="6" t="s">
        <v>129</v>
      </c>
      <c r="B224" s="6" t="s">
        <v>9694</v>
      </c>
      <c r="C224" s="6" t="s">
        <v>1643</v>
      </c>
      <c r="D224" s="6" t="s">
        <v>1646</v>
      </c>
      <c r="E224" s="17" t="s">
        <v>1647</v>
      </c>
      <c r="F224" s="17"/>
      <c r="G224" s="17" t="e">
        <f t="shared" ca="1" si="0"/>
        <v>#NAME?</v>
      </c>
      <c r="H224" s="6"/>
      <c r="I224" s="32"/>
      <c r="J224" s="32"/>
    </row>
    <row r="225" spans="1:10" ht="171.75" customHeight="1">
      <c r="A225" s="6" t="s">
        <v>1173</v>
      </c>
      <c r="B225" s="6" t="s">
        <v>9787</v>
      </c>
      <c r="C225" s="6" t="s">
        <v>1649</v>
      </c>
      <c r="D225" s="6" t="s">
        <v>1651</v>
      </c>
      <c r="E225" s="10" t="s">
        <v>9687</v>
      </c>
      <c r="F225" s="17"/>
      <c r="G225" s="17" t="e">
        <f t="shared" ca="1" si="0"/>
        <v>#NAME?</v>
      </c>
      <c r="H225" s="6"/>
      <c r="I225" s="17"/>
      <c r="J225" s="17"/>
    </row>
    <row r="226" spans="1:10" ht="171.75" customHeight="1">
      <c r="A226" s="43" t="s">
        <v>1166</v>
      </c>
      <c r="B226" s="6" t="s">
        <v>9786</v>
      </c>
      <c r="C226" s="6" t="s">
        <v>1653</v>
      </c>
      <c r="D226" s="6" t="s">
        <v>1655</v>
      </c>
      <c r="E226" s="17" t="s">
        <v>1656</v>
      </c>
      <c r="F226" s="17"/>
      <c r="G226" s="17" t="e">
        <f t="shared" ca="1" si="0"/>
        <v>#NAME?</v>
      </c>
      <c r="H226" s="6"/>
      <c r="I226" s="32"/>
      <c r="J226" s="32"/>
    </row>
    <row r="227" spans="1:10" ht="171.75" customHeight="1">
      <c r="A227" s="6" t="s">
        <v>117</v>
      </c>
      <c r="B227" s="6" t="s">
        <v>9692</v>
      </c>
      <c r="C227" s="6" t="s">
        <v>1658</v>
      </c>
      <c r="D227" s="6" t="s">
        <v>141</v>
      </c>
      <c r="E227" s="10" t="s">
        <v>9687</v>
      </c>
      <c r="F227" s="17"/>
      <c r="G227" s="17" t="e">
        <f t="shared" ca="1" si="0"/>
        <v>#NAME?</v>
      </c>
      <c r="H227" s="6"/>
      <c r="I227" s="17"/>
      <c r="J227" s="17"/>
    </row>
    <row r="228" spans="1:10" ht="171.75" customHeight="1">
      <c r="A228" s="43" t="s">
        <v>927</v>
      </c>
      <c r="B228" s="6" t="s">
        <v>9775</v>
      </c>
      <c r="C228" s="6" t="s">
        <v>1660</v>
      </c>
      <c r="D228" s="6" t="s">
        <v>1663</v>
      </c>
      <c r="E228" s="17" t="s">
        <v>1664</v>
      </c>
      <c r="F228" s="17"/>
      <c r="G228" s="17" t="e">
        <f t="shared" ca="1" si="0"/>
        <v>#NAME?</v>
      </c>
      <c r="H228" s="6"/>
      <c r="I228" s="17"/>
      <c r="J228" s="17"/>
    </row>
    <row r="229" spans="1:10" ht="171.75" customHeight="1">
      <c r="A229" s="43" t="s">
        <v>831</v>
      </c>
      <c r="B229" s="6" t="s">
        <v>9765</v>
      </c>
      <c r="C229" s="6" t="s">
        <v>1667</v>
      </c>
      <c r="D229" s="6" t="s">
        <v>1670</v>
      </c>
      <c r="E229" s="17" t="s">
        <v>1671</v>
      </c>
      <c r="F229" s="17"/>
      <c r="G229" s="17" t="e">
        <f t="shared" ca="1" si="0"/>
        <v>#NAME?</v>
      </c>
      <c r="H229" s="6"/>
      <c r="I229" s="17"/>
      <c r="J229" s="17"/>
    </row>
    <row r="230" spans="1:10" ht="171.75" customHeight="1">
      <c r="A230" s="43" t="s">
        <v>1674</v>
      </c>
      <c r="B230" s="6" t="s">
        <v>9808</v>
      </c>
      <c r="C230" s="6" t="s">
        <v>1675</v>
      </c>
      <c r="D230" s="6" t="s">
        <v>1678</v>
      </c>
      <c r="E230" s="17" t="s">
        <v>1679</v>
      </c>
      <c r="F230" s="17"/>
      <c r="G230" s="17" t="e">
        <f t="shared" ca="1" si="0"/>
        <v>#NAME?</v>
      </c>
      <c r="H230" s="6"/>
      <c r="I230" s="17"/>
      <c r="J230" s="17"/>
    </row>
    <row r="231" spans="1:10" ht="171.75" customHeight="1">
      <c r="A231" s="6" t="s">
        <v>1681</v>
      </c>
      <c r="B231" s="6" t="s">
        <v>9809</v>
      </c>
      <c r="C231" s="6" t="s">
        <v>1682</v>
      </c>
      <c r="D231" s="6" t="s">
        <v>1685</v>
      </c>
      <c r="E231" s="17" t="s">
        <v>1686</v>
      </c>
      <c r="F231" s="17"/>
      <c r="G231" s="17" t="e">
        <f t="shared" ca="1" si="0"/>
        <v>#NAME?</v>
      </c>
      <c r="H231" s="6"/>
      <c r="I231" s="17"/>
      <c r="J231" s="17"/>
    </row>
    <row r="232" spans="1:10" ht="171.75" customHeight="1">
      <c r="A232" s="43" t="s">
        <v>1688</v>
      </c>
      <c r="B232" s="6" t="s">
        <v>9810</v>
      </c>
      <c r="C232" s="6" t="s">
        <v>1689</v>
      </c>
      <c r="D232" s="6" t="s">
        <v>1692</v>
      </c>
      <c r="E232" s="17" t="s">
        <v>1694</v>
      </c>
      <c r="F232" s="17"/>
      <c r="G232" s="17" t="e">
        <f t="shared" ca="1" si="0"/>
        <v>#NAME?</v>
      </c>
      <c r="H232" s="6"/>
      <c r="I232" s="17"/>
      <c r="J232" s="17"/>
    </row>
    <row r="233" spans="1:10" ht="171.75" customHeight="1">
      <c r="A233" s="43" t="s">
        <v>1696</v>
      </c>
      <c r="B233" s="6" t="s">
        <v>9811</v>
      </c>
      <c r="C233" s="6" t="s">
        <v>1697</v>
      </c>
      <c r="D233" s="6" t="s">
        <v>1700</v>
      </c>
      <c r="E233" s="17" t="s">
        <v>1701</v>
      </c>
      <c r="F233" s="17"/>
      <c r="G233" s="17" t="e">
        <f t="shared" ca="1" si="0"/>
        <v>#NAME?</v>
      </c>
      <c r="H233" s="6"/>
      <c r="I233" s="17"/>
      <c r="J233" s="17"/>
    </row>
    <row r="234" spans="1:10" ht="171.75" customHeight="1">
      <c r="A234" s="43" t="s">
        <v>1703</v>
      </c>
      <c r="B234" s="6" t="s">
        <v>9812</v>
      </c>
      <c r="C234" s="6" t="s">
        <v>1704</v>
      </c>
      <c r="D234" s="6" t="s">
        <v>1707</v>
      </c>
      <c r="E234" s="17" t="s">
        <v>1708</v>
      </c>
      <c r="F234" s="17"/>
      <c r="G234" s="17" t="e">
        <f t="shared" ca="1" si="0"/>
        <v>#NAME?</v>
      </c>
      <c r="H234" s="6"/>
      <c r="I234" s="17"/>
      <c r="J234" s="17"/>
    </row>
    <row r="235" spans="1:10" ht="171.75" customHeight="1">
      <c r="A235" s="43" t="s">
        <v>1703</v>
      </c>
      <c r="B235" s="6" t="s">
        <v>9812</v>
      </c>
      <c r="C235" s="6" t="s">
        <v>1710</v>
      </c>
      <c r="D235" s="6" t="s">
        <v>1713</v>
      </c>
      <c r="E235" s="17" t="s">
        <v>1714</v>
      </c>
      <c r="F235" s="17"/>
      <c r="G235" s="17" t="e">
        <f t="shared" ca="1" si="0"/>
        <v>#NAME?</v>
      </c>
      <c r="H235" s="6"/>
      <c r="I235" s="17"/>
      <c r="J235" s="17"/>
    </row>
    <row r="236" spans="1:10" ht="171.75" customHeight="1">
      <c r="A236" s="43" t="s">
        <v>1716</v>
      </c>
      <c r="B236" s="6" t="s">
        <v>9813</v>
      </c>
      <c r="C236" s="6" t="s">
        <v>1717</v>
      </c>
      <c r="D236" s="6" t="s">
        <v>1720</v>
      </c>
      <c r="E236" s="10" t="s">
        <v>9687</v>
      </c>
      <c r="F236" s="17"/>
      <c r="G236" s="17" t="e">
        <f t="shared" ca="1" si="0"/>
        <v>#NAME?</v>
      </c>
      <c r="H236" s="6"/>
      <c r="I236" s="46"/>
      <c r="J236" s="17"/>
    </row>
    <row r="237" spans="1:10" ht="171.75" customHeight="1">
      <c r="A237" s="43" t="s">
        <v>249</v>
      </c>
      <c r="B237" s="6" t="s">
        <v>9779</v>
      </c>
      <c r="C237" s="6" t="s">
        <v>1722</v>
      </c>
      <c r="D237" s="17" t="s">
        <v>1725</v>
      </c>
      <c r="E237" s="17" t="s">
        <v>1728</v>
      </c>
      <c r="F237" s="17"/>
      <c r="G237" s="17" t="e">
        <f t="shared" ca="1" si="0"/>
        <v>#NAME?</v>
      </c>
      <c r="H237" s="6"/>
      <c r="I237" s="17"/>
      <c r="J237" s="17"/>
    </row>
    <row r="238" spans="1:10" ht="171.75" customHeight="1">
      <c r="A238" s="6" t="s">
        <v>1730</v>
      </c>
      <c r="B238" s="6" t="s">
        <v>9814</v>
      </c>
      <c r="C238" s="6" t="s">
        <v>1731</v>
      </c>
      <c r="D238" s="6" t="s">
        <v>1734</v>
      </c>
      <c r="E238" s="17" t="s">
        <v>1735</v>
      </c>
      <c r="F238" s="17"/>
      <c r="G238" s="17" t="e">
        <f t="shared" ca="1" si="0"/>
        <v>#NAME?</v>
      </c>
      <c r="H238" s="6"/>
      <c r="I238" s="17"/>
      <c r="J238" s="17"/>
    </row>
    <row r="239" spans="1:10" ht="171.75" customHeight="1">
      <c r="A239" s="6" t="s">
        <v>1739</v>
      </c>
      <c r="B239" s="6" t="s">
        <v>9815</v>
      </c>
      <c r="C239" s="6" t="s">
        <v>1740</v>
      </c>
      <c r="D239" s="6" t="s">
        <v>1743</v>
      </c>
      <c r="E239" s="17" t="s">
        <v>1744</v>
      </c>
      <c r="F239" s="17"/>
      <c r="G239" s="17" t="e">
        <f t="shared" ca="1" si="0"/>
        <v>#NAME?</v>
      </c>
      <c r="H239" s="6"/>
      <c r="I239" s="17"/>
      <c r="J239" s="17"/>
    </row>
    <row r="240" spans="1:10" ht="171.75" customHeight="1">
      <c r="A240" s="6" t="s">
        <v>1746</v>
      </c>
      <c r="B240" s="6" t="s">
        <v>9816</v>
      </c>
      <c r="C240" s="6" t="s">
        <v>1747</v>
      </c>
      <c r="D240" s="6" t="s">
        <v>141</v>
      </c>
      <c r="E240" s="17" t="s">
        <v>1752</v>
      </c>
      <c r="F240" s="17"/>
      <c r="G240" s="17" t="e">
        <f t="shared" ca="1" si="0"/>
        <v>#NAME?</v>
      </c>
      <c r="H240" s="6"/>
      <c r="I240" s="46"/>
      <c r="J240" s="17"/>
    </row>
    <row r="241" spans="1:10" ht="171.75" customHeight="1">
      <c r="A241" s="6" t="s">
        <v>249</v>
      </c>
      <c r="B241" s="6" t="s">
        <v>9779</v>
      </c>
      <c r="C241" s="6" t="s">
        <v>1754</v>
      </c>
      <c r="D241" s="6" t="s">
        <v>1757</v>
      </c>
      <c r="E241" s="17" t="s">
        <v>1759</v>
      </c>
      <c r="F241" s="17"/>
      <c r="G241" s="17" t="e">
        <f t="shared" ca="1" si="0"/>
        <v>#NAME?</v>
      </c>
      <c r="H241" s="6"/>
      <c r="I241" s="17"/>
      <c r="J241" s="17"/>
    </row>
    <row r="242" spans="1:10" ht="171.75" customHeight="1">
      <c r="A242" s="6" t="s">
        <v>1730</v>
      </c>
      <c r="B242" s="6" t="s">
        <v>9814</v>
      </c>
      <c r="C242" s="6" t="s">
        <v>1761</v>
      </c>
      <c r="D242" s="6" t="s">
        <v>1764</v>
      </c>
      <c r="E242" s="17" t="s">
        <v>1765</v>
      </c>
      <c r="F242" s="17"/>
      <c r="G242" s="17" t="e">
        <f t="shared" ca="1" si="0"/>
        <v>#NAME?</v>
      </c>
      <c r="H242" s="6"/>
      <c r="I242" s="17"/>
      <c r="J242" s="17"/>
    </row>
    <row r="243" spans="1:10" ht="171.75" customHeight="1">
      <c r="A243" s="6" t="s">
        <v>1739</v>
      </c>
      <c r="B243" s="6" t="s">
        <v>9815</v>
      </c>
      <c r="C243" s="6" t="s">
        <v>1767</v>
      </c>
      <c r="D243" s="6" t="s">
        <v>1770</v>
      </c>
      <c r="E243" s="17" t="s">
        <v>1771</v>
      </c>
      <c r="F243" s="17"/>
      <c r="G243" s="17" t="e">
        <f t="shared" ca="1" si="0"/>
        <v>#NAME?</v>
      </c>
      <c r="H243" s="6"/>
      <c r="I243" s="17"/>
      <c r="J243" s="17"/>
    </row>
    <row r="244" spans="1:10" ht="171.75" customHeight="1">
      <c r="A244" s="43" t="s">
        <v>278</v>
      </c>
      <c r="B244" s="6" t="s">
        <v>9709</v>
      </c>
      <c r="C244" s="6" t="s">
        <v>1773</v>
      </c>
      <c r="D244" s="6" t="s">
        <v>1776</v>
      </c>
      <c r="E244" s="17" t="s">
        <v>1777</v>
      </c>
      <c r="F244" s="17"/>
      <c r="G244" s="17" t="e">
        <f t="shared" ca="1" si="0"/>
        <v>#NAME?</v>
      </c>
      <c r="H244" s="6"/>
      <c r="I244" s="17"/>
      <c r="J244" s="10"/>
    </row>
    <row r="245" spans="1:10" ht="171.75" customHeight="1">
      <c r="A245" s="6" t="s">
        <v>199</v>
      </c>
      <c r="B245" s="6" t="s">
        <v>9708</v>
      </c>
      <c r="C245" s="6" t="s">
        <v>1779</v>
      </c>
      <c r="D245" s="6" t="s">
        <v>1782</v>
      </c>
      <c r="E245" s="10" t="s">
        <v>9687</v>
      </c>
      <c r="F245" s="17"/>
      <c r="G245" s="17" t="e">
        <f t="shared" ca="1" si="0"/>
        <v>#NAME?</v>
      </c>
      <c r="H245" s="6"/>
      <c r="I245" s="17"/>
      <c r="J245" s="17"/>
    </row>
    <row r="246" spans="1:10" ht="171.75" customHeight="1">
      <c r="A246" s="6" t="s">
        <v>293</v>
      </c>
      <c r="B246" s="6" t="s">
        <v>9711</v>
      </c>
      <c r="C246" s="6" t="s">
        <v>1785</v>
      </c>
      <c r="D246" s="6" t="s">
        <v>1788</v>
      </c>
      <c r="E246" s="10" t="s">
        <v>9687</v>
      </c>
      <c r="F246" s="17"/>
      <c r="G246" s="17" t="e">
        <f t="shared" ca="1" si="0"/>
        <v>#NAME?</v>
      </c>
      <c r="H246" s="6"/>
      <c r="I246" s="46"/>
      <c r="J246" s="17"/>
    </row>
    <row r="247" spans="1:10" ht="171.75" customHeight="1">
      <c r="A247" s="43" t="s">
        <v>248</v>
      </c>
      <c r="B247" s="6" t="s">
        <v>9712</v>
      </c>
      <c r="C247" s="6" t="s">
        <v>1791</v>
      </c>
      <c r="D247" s="6" t="s">
        <v>1794</v>
      </c>
      <c r="E247" s="17" t="s">
        <v>1796</v>
      </c>
      <c r="F247" s="17"/>
      <c r="G247" s="17" t="e">
        <f t="shared" ca="1" si="0"/>
        <v>#NAME?</v>
      </c>
      <c r="H247" s="6"/>
      <c r="I247" s="32"/>
      <c r="J247" s="32"/>
    </row>
    <row r="248" spans="1:10" ht="171.75" customHeight="1">
      <c r="A248" s="6" t="s">
        <v>1450</v>
      </c>
      <c r="B248" s="6" t="s">
        <v>9798</v>
      </c>
      <c r="C248" s="6" t="s">
        <v>1798</v>
      </c>
      <c r="D248" s="6" t="s">
        <v>1800</v>
      </c>
      <c r="E248" s="10" t="s">
        <v>9687</v>
      </c>
      <c r="F248" s="17"/>
      <c r="G248" s="17" t="e">
        <f t="shared" ca="1" si="0"/>
        <v>#NAME?</v>
      </c>
      <c r="H248" s="6"/>
      <c r="I248" s="17"/>
      <c r="J248" s="17"/>
    </row>
    <row r="249" spans="1:10" ht="171.75" customHeight="1">
      <c r="A249" s="6" t="s">
        <v>878</v>
      </c>
      <c r="B249" s="6" t="s">
        <v>9770</v>
      </c>
      <c r="C249" s="6" t="s">
        <v>1802</v>
      </c>
      <c r="D249" s="6" t="s">
        <v>1805</v>
      </c>
      <c r="E249" s="17" t="s">
        <v>1806</v>
      </c>
      <c r="F249" s="17"/>
      <c r="G249" s="17" t="e">
        <f t="shared" ca="1" si="0"/>
        <v>#NAME?</v>
      </c>
      <c r="H249" s="6"/>
      <c r="I249" s="46"/>
      <c r="J249" s="17"/>
    </row>
    <row r="250" spans="1:10" ht="171.75" customHeight="1">
      <c r="A250" s="6" t="s">
        <v>878</v>
      </c>
      <c r="B250" s="6" t="s">
        <v>9770</v>
      </c>
      <c r="C250" s="6" t="s">
        <v>1808</v>
      </c>
      <c r="D250" s="6" t="s">
        <v>1811</v>
      </c>
      <c r="E250" s="17" t="s">
        <v>1812</v>
      </c>
      <c r="F250" s="17"/>
      <c r="G250" s="17" t="e">
        <f t="shared" ca="1" si="0"/>
        <v>#NAME?</v>
      </c>
      <c r="H250" s="6"/>
      <c r="I250" s="46"/>
      <c r="J250" s="17"/>
    </row>
    <row r="251" spans="1:10" ht="171.75" customHeight="1">
      <c r="A251" s="6" t="s">
        <v>878</v>
      </c>
      <c r="B251" s="6" t="s">
        <v>9770</v>
      </c>
      <c r="C251" s="6" t="s">
        <v>1814</v>
      </c>
      <c r="D251" s="6" t="s">
        <v>1817</v>
      </c>
      <c r="E251" s="17" t="s">
        <v>1818</v>
      </c>
      <c r="F251" s="17"/>
      <c r="G251" s="17" t="e">
        <f t="shared" ca="1" si="0"/>
        <v>#NAME?</v>
      </c>
      <c r="H251" s="6"/>
      <c r="I251" s="17"/>
      <c r="J251" s="17"/>
    </row>
    <row r="252" spans="1:10" ht="171.75" customHeight="1">
      <c r="A252" s="6" t="s">
        <v>878</v>
      </c>
      <c r="B252" s="6" t="s">
        <v>9770</v>
      </c>
      <c r="C252" s="6" t="s">
        <v>1820</v>
      </c>
      <c r="D252" s="43" t="s">
        <v>1823</v>
      </c>
      <c r="E252" s="17" t="s">
        <v>1824</v>
      </c>
      <c r="F252" s="17"/>
      <c r="G252" s="17" t="e">
        <f t="shared" ca="1" si="0"/>
        <v>#NAME?</v>
      </c>
      <c r="H252" s="6"/>
      <c r="I252" s="17"/>
      <c r="J252" s="17"/>
    </row>
    <row r="253" spans="1:10" ht="171.75" customHeight="1">
      <c r="A253" s="6" t="s">
        <v>878</v>
      </c>
      <c r="B253" s="6" t="s">
        <v>9770</v>
      </c>
      <c r="C253" s="6" t="s">
        <v>1826</v>
      </c>
      <c r="D253" s="6" t="s">
        <v>1829</v>
      </c>
      <c r="E253" s="17" t="s">
        <v>1830</v>
      </c>
      <c r="F253" s="17"/>
      <c r="G253" s="17" t="e">
        <f t="shared" ca="1" si="0"/>
        <v>#NAME?</v>
      </c>
      <c r="H253" s="6"/>
      <c r="I253" s="17"/>
      <c r="J253" s="17"/>
    </row>
    <row r="254" spans="1:10" ht="171.75" customHeight="1">
      <c r="A254" s="6" t="s">
        <v>1739</v>
      </c>
      <c r="B254" s="6" t="s">
        <v>9815</v>
      </c>
      <c r="C254" s="6" t="s">
        <v>1832</v>
      </c>
      <c r="D254" s="6" t="s">
        <v>1835</v>
      </c>
      <c r="E254" s="17" t="s">
        <v>1836</v>
      </c>
      <c r="F254" s="17"/>
      <c r="G254" s="17" t="e">
        <f t="shared" ca="1" si="0"/>
        <v>#NAME?</v>
      </c>
      <c r="H254" s="6"/>
      <c r="I254" s="17"/>
      <c r="J254" s="17"/>
    </row>
    <row r="255" spans="1:10" ht="171.75" customHeight="1">
      <c r="A255" s="6" t="s">
        <v>1730</v>
      </c>
      <c r="B255" s="6" t="s">
        <v>9814</v>
      </c>
      <c r="C255" s="6" t="s">
        <v>1838</v>
      </c>
      <c r="D255" s="6" t="s">
        <v>1841</v>
      </c>
      <c r="E255" s="17" t="s">
        <v>1842</v>
      </c>
      <c r="F255" s="17"/>
      <c r="G255" s="17" t="e">
        <f t="shared" ca="1" si="0"/>
        <v>#NAME?</v>
      </c>
      <c r="H255" s="6"/>
      <c r="I255" s="17"/>
      <c r="J255" s="17"/>
    </row>
    <row r="256" spans="1:10" ht="171.75" customHeight="1">
      <c r="A256" s="43" t="s">
        <v>528</v>
      </c>
      <c r="B256" s="6" t="s">
        <v>9735</v>
      </c>
      <c r="C256" s="6" t="s">
        <v>1844</v>
      </c>
      <c r="D256" s="6" t="s">
        <v>1847</v>
      </c>
      <c r="E256" s="17" t="s">
        <v>1848</v>
      </c>
      <c r="F256" s="17"/>
      <c r="G256" s="17" t="e">
        <f t="shared" ca="1" si="0"/>
        <v>#NAME?</v>
      </c>
      <c r="H256" s="6"/>
      <c r="I256" s="17"/>
      <c r="J256" s="17"/>
    </row>
    <row r="257" spans="1:10" ht="171.75" customHeight="1">
      <c r="A257" s="43" t="s">
        <v>1850</v>
      </c>
      <c r="B257" s="6" t="s">
        <v>9817</v>
      </c>
      <c r="C257" s="6" t="s">
        <v>1851</v>
      </c>
      <c r="D257" s="6" t="s">
        <v>1854</v>
      </c>
      <c r="E257" s="17" t="s">
        <v>1856</v>
      </c>
      <c r="F257" s="17"/>
      <c r="G257" s="17" t="e">
        <f t="shared" ca="1" si="0"/>
        <v>#NAME?</v>
      </c>
      <c r="H257" s="6"/>
      <c r="I257" s="17"/>
      <c r="J257" s="17"/>
    </row>
    <row r="258" spans="1:10" ht="171.75" customHeight="1">
      <c r="A258" s="43" t="s">
        <v>354</v>
      </c>
      <c r="B258" s="6" t="s">
        <v>9717</v>
      </c>
      <c r="C258" s="6" t="s">
        <v>1858</v>
      </c>
      <c r="D258" s="6" t="s">
        <v>1861</v>
      </c>
      <c r="E258" s="17" t="s">
        <v>1862</v>
      </c>
      <c r="F258" s="17"/>
      <c r="G258" s="17" t="e">
        <f t="shared" ca="1" si="0"/>
        <v>#NAME?</v>
      </c>
      <c r="H258" s="6"/>
      <c r="I258" s="17"/>
      <c r="J258" s="17"/>
    </row>
    <row r="259" spans="1:10" ht="171.75" customHeight="1">
      <c r="A259" s="6" t="s">
        <v>199</v>
      </c>
      <c r="B259" s="6" t="s">
        <v>9708</v>
      </c>
      <c r="C259" s="6" t="s">
        <v>1864</v>
      </c>
      <c r="D259" s="6" t="s">
        <v>1867</v>
      </c>
      <c r="E259" s="17" t="s">
        <v>1869</v>
      </c>
      <c r="F259" s="17"/>
      <c r="G259" s="17" t="e">
        <f t="shared" ca="1" si="0"/>
        <v>#NAME?</v>
      </c>
      <c r="H259" s="6"/>
      <c r="I259" s="17"/>
      <c r="J259" s="17"/>
    </row>
    <row r="260" spans="1:10" ht="171.75" customHeight="1">
      <c r="A260" s="6" t="s">
        <v>152</v>
      </c>
      <c r="B260" s="6" t="s">
        <v>9696</v>
      </c>
      <c r="C260" s="6" t="s">
        <v>1871</v>
      </c>
      <c r="D260" s="6" t="s">
        <v>1874</v>
      </c>
      <c r="E260" s="17" t="s">
        <v>1878</v>
      </c>
      <c r="F260" s="17"/>
      <c r="G260" s="17" t="e">
        <f t="shared" ca="1" si="0"/>
        <v>#NAME?</v>
      </c>
      <c r="H260" s="6"/>
      <c r="I260" s="46"/>
      <c r="J260" s="17"/>
    </row>
    <row r="261" spans="1:10" ht="171.75" customHeight="1">
      <c r="A261" s="43" t="s">
        <v>379</v>
      </c>
      <c r="B261" s="6" t="s">
        <v>9720</v>
      </c>
      <c r="C261" s="6" t="s">
        <v>1880</v>
      </c>
      <c r="D261" s="6" t="s">
        <v>1883</v>
      </c>
      <c r="E261" s="17" t="s">
        <v>1884</v>
      </c>
      <c r="F261" s="17"/>
      <c r="G261" s="17" t="e">
        <f t="shared" ca="1" si="0"/>
        <v>#NAME?</v>
      </c>
      <c r="H261" s="6"/>
      <c r="I261" s="17"/>
      <c r="J261" s="17"/>
    </row>
    <row r="262" spans="1:10" ht="171.75" customHeight="1">
      <c r="A262" s="6" t="s">
        <v>878</v>
      </c>
      <c r="B262" s="6" t="s">
        <v>9770</v>
      </c>
      <c r="C262" s="6" t="s">
        <v>1886</v>
      </c>
      <c r="D262" s="6" t="s">
        <v>1889</v>
      </c>
      <c r="E262" s="10" t="s">
        <v>9687</v>
      </c>
      <c r="F262" s="17"/>
      <c r="G262" s="17" t="e">
        <f t="shared" ca="1" si="0"/>
        <v>#NAME?</v>
      </c>
      <c r="H262" s="6"/>
      <c r="I262" s="17"/>
      <c r="J262" s="17"/>
    </row>
    <row r="263" spans="1:10" ht="171.75" customHeight="1">
      <c r="A263" s="6" t="s">
        <v>878</v>
      </c>
      <c r="B263" s="6" t="s">
        <v>9770</v>
      </c>
      <c r="C263" s="6" t="s">
        <v>1892</v>
      </c>
      <c r="D263" s="6" t="s">
        <v>1895</v>
      </c>
      <c r="E263" s="10" t="s">
        <v>9687</v>
      </c>
      <c r="F263" s="17"/>
      <c r="G263" s="17" t="e">
        <f t="shared" ca="1" si="0"/>
        <v>#NAME?</v>
      </c>
      <c r="H263" s="6"/>
      <c r="I263" s="17"/>
      <c r="J263" s="17"/>
    </row>
    <row r="264" spans="1:10" ht="171.75" customHeight="1">
      <c r="A264" s="6" t="s">
        <v>1739</v>
      </c>
      <c r="B264" s="6" t="s">
        <v>9815</v>
      </c>
      <c r="C264" s="6" t="s">
        <v>1897</v>
      </c>
      <c r="D264" s="6" t="s">
        <v>1900</v>
      </c>
      <c r="E264" s="17" t="s">
        <v>1901</v>
      </c>
      <c r="F264" s="17"/>
      <c r="G264" s="17" t="e">
        <f t="shared" ca="1" si="0"/>
        <v>#NAME?</v>
      </c>
      <c r="H264" s="6"/>
      <c r="I264" s="17"/>
      <c r="J264" s="17"/>
    </row>
    <row r="265" spans="1:10" ht="171.75" customHeight="1">
      <c r="A265" s="6" t="s">
        <v>1730</v>
      </c>
      <c r="B265" s="6" t="s">
        <v>9814</v>
      </c>
      <c r="C265" s="6" t="s">
        <v>1903</v>
      </c>
      <c r="D265" s="6" t="s">
        <v>1906</v>
      </c>
      <c r="E265" s="17" t="s">
        <v>1907</v>
      </c>
      <c r="F265" s="17"/>
      <c r="G265" s="17" t="e">
        <f t="shared" ca="1" si="0"/>
        <v>#NAME?</v>
      </c>
      <c r="H265" s="6"/>
      <c r="I265" s="17"/>
      <c r="J265" s="17"/>
    </row>
    <row r="266" spans="1:10" ht="171.75" customHeight="1">
      <c r="A266" s="6" t="s">
        <v>885</v>
      </c>
      <c r="B266" s="6" t="s">
        <v>9771</v>
      </c>
      <c r="C266" s="6" t="s">
        <v>1909</v>
      </c>
      <c r="D266" s="6" t="s">
        <v>1912</v>
      </c>
      <c r="E266" s="17" t="s">
        <v>1915</v>
      </c>
      <c r="F266" s="17"/>
      <c r="G266" s="17" t="e">
        <f t="shared" ca="1" si="0"/>
        <v>#NAME?</v>
      </c>
      <c r="H266" s="6"/>
      <c r="I266" s="17"/>
      <c r="J266" s="17"/>
    </row>
    <row r="267" spans="1:10" ht="171.75" customHeight="1">
      <c r="A267" s="43" t="s">
        <v>285</v>
      </c>
      <c r="B267" s="6" t="s">
        <v>9710</v>
      </c>
      <c r="C267" s="6" t="s">
        <v>1917</v>
      </c>
      <c r="D267" s="6" t="s">
        <v>1920</v>
      </c>
      <c r="E267" s="17" t="s">
        <v>1922</v>
      </c>
      <c r="F267" s="17"/>
      <c r="G267" s="17" t="e">
        <f t="shared" ca="1" si="0"/>
        <v>#NAME?</v>
      </c>
      <c r="H267" s="6"/>
      <c r="I267" s="17"/>
      <c r="J267" s="17"/>
    </row>
    <row r="268" spans="1:10" ht="171.75" customHeight="1">
      <c r="A268" s="6" t="s">
        <v>698</v>
      </c>
      <c r="B268" s="6" t="s">
        <v>9752</v>
      </c>
      <c r="C268" s="6" t="s">
        <v>1924</v>
      </c>
      <c r="D268" s="6" t="s">
        <v>1927</v>
      </c>
      <c r="E268" s="17" t="s">
        <v>1929</v>
      </c>
      <c r="F268" s="17"/>
      <c r="G268" s="17" t="e">
        <f t="shared" ca="1" si="0"/>
        <v>#NAME?</v>
      </c>
      <c r="H268" s="6"/>
      <c r="I268" s="17"/>
      <c r="J268" s="17"/>
    </row>
    <row r="269" spans="1:10" ht="171.75" customHeight="1">
      <c r="A269" s="6" t="s">
        <v>152</v>
      </c>
      <c r="B269" s="6" t="s">
        <v>9696</v>
      </c>
      <c r="C269" s="6" t="s">
        <v>1931</v>
      </c>
      <c r="D269" s="6" t="s">
        <v>141</v>
      </c>
      <c r="E269" s="17" t="s">
        <v>1935</v>
      </c>
      <c r="F269" s="17"/>
      <c r="G269" s="17" t="e">
        <f t="shared" ca="1" si="0"/>
        <v>#NAME?</v>
      </c>
      <c r="H269" s="6"/>
      <c r="I269" s="17"/>
      <c r="J269" s="17"/>
    </row>
    <row r="270" spans="1:10" ht="171.75" customHeight="1">
      <c r="A270" s="6" t="s">
        <v>199</v>
      </c>
      <c r="B270" s="6" t="s">
        <v>9708</v>
      </c>
      <c r="C270" s="6" t="s">
        <v>1937</v>
      </c>
      <c r="D270" s="6" t="s">
        <v>1940</v>
      </c>
      <c r="E270" s="17" t="s">
        <v>1942</v>
      </c>
      <c r="F270" s="17"/>
      <c r="G270" s="17" t="e">
        <f t="shared" ca="1" si="0"/>
        <v>#NAME?</v>
      </c>
      <c r="H270" s="6"/>
      <c r="I270" s="17"/>
      <c r="J270" s="17"/>
    </row>
    <row r="271" spans="1:10" ht="171.75" customHeight="1">
      <c r="A271" s="43" t="s">
        <v>278</v>
      </c>
      <c r="B271" s="6" t="s">
        <v>9709</v>
      </c>
      <c r="C271" s="6" t="s">
        <v>1944</v>
      </c>
      <c r="D271" s="6" t="s">
        <v>1947</v>
      </c>
      <c r="E271" s="17" t="s">
        <v>1948</v>
      </c>
      <c r="F271" s="17"/>
      <c r="G271" s="17" t="e">
        <f t="shared" ca="1" si="0"/>
        <v>#NAME?</v>
      </c>
      <c r="H271" s="6"/>
      <c r="I271" s="17"/>
      <c r="J271" s="17"/>
    </row>
    <row r="272" spans="1:10" ht="171.75" customHeight="1">
      <c r="A272" s="43" t="s">
        <v>249</v>
      </c>
      <c r="B272" s="6" t="s">
        <v>9779</v>
      </c>
      <c r="C272" s="6" t="s">
        <v>1950</v>
      </c>
      <c r="D272" s="6" t="s">
        <v>1953</v>
      </c>
      <c r="E272" s="17" t="s">
        <v>1956</v>
      </c>
      <c r="F272" s="17"/>
      <c r="G272" s="17" t="e">
        <f t="shared" ca="1" si="0"/>
        <v>#NAME?</v>
      </c>
      <c r="H272" s="6"/>
      <c r="I272" s="17"/>
      <c r="J272" s="17"/>
    </row>
    <row r="273" spans="1:10" ht="171.75" customHeight="1">
      <c r="A273" s="43" t="s">
        <v>1958</v>
      </c>
      <c r="B273" s="6" t="s">
        <v>9818</v>
      </c>
      <c r="C273" s="6" t="s">
        <v>1959</v>
      </c>
      <c r="D273" s="6" t="s">
        <v>1962</v>
      </c>
      <c r="E273" s="17" t="s">
        <v>1963</v>
      </c>
      <c r="F273" s="17"/>
      <c r="G273" s="17" t="e">
        <f t="shared" ca="1" si="0"/>
        <v>#NAME?</v>
      </c>
      <c r="H273" s="6"/>
      <c r="I273" s="46"/>
      <c r="J273" s="17"/>
    </row>
    <row r="274" spans="1:10" ht="171.75" customHeight="1">
      <c r="A274" s="43" t="s">
        <v>927</v>
      </c>
      <c r="B274" s="6" t="s">
        <v>9775</v>
      </c>
      <c r="C274" s="6" t="s">
        <v>1965</v>
      </c>
      <c r="D274" s="43" t="s">
        <v>1968</v>
      </c>
      <c r="E274" s="17" t="s">
        <v>1969</v>
      </c>
      <c r="F274" s="17"/>
      <c r="G274" s="17" t="e">
        <f t="shared" ca="1" si="0"/>
        <v>#NAME?</v>
      </c>
      <c r="H274" s="6"/>
      <c r="I274" s="6"/>
      <c r="J274" s="10"/>
    </row>
    <row r="275" spans="1:10" ht="171.75" customHeight="1">
      <c r="A275" s="6" t="s">
        <v>210</v>
      </c>
      <c r="B275" s="6" t="s">
        <v>9819</v>
      </c>
      <c r="C275" s="6" t="s">
        <v>1971</v>
      </c>
      <c r="D275" s="6" t="s">
        <v>1973</v>
      </c>
      <c r="E275" s="10" t="s">
        <v>1975</v>
      </c>
      <c r="F275" s="17"/>
      <c r="G275" s="17" t="e">
        <f t="shared" ca="1" si="0"/>
        <v>#NAME?</v>
      </c>
      <c r="H275" s="6"/>
      <c r="I275" s="17"/>
      <c r="J275" s="17"/>
    </row>
    <row r="276" spans="1:10" ht="171.75" customHeight="1">
      <c r="A276" s="6" t="s">
        <v>1977</v>
      </c>
      <c r="B276" s="6" t="s">
        <v>9820</v>
      </c>
      <c r="C276" s="6" t="s">
        <v>1978</v>
      </c>
      <c r="D276" s="6" t="s">
        <v>1981</v>
      </c>
      <c r="E276" s="17" t="s">
        <v>1982</v>
      </c>
      <c r="F276" s="17"/>
      <c r="G276" s="17" t="e">
        <f t="shared" ca="1" si="0"/>
        <v>#NAME?</v>
      </c>
      <c r="H276" s="6"/>
      <c r="I276" s="17"/>
      <c r="J276" s="10"/>
    </row>
    <row r="277" spans="1:10" ht="171.75" customHeight="1">
      <c r="A277" s="6" t="s">
        <v>1688</v>
      </c>
      <c r="B277" s="6" t="s">
        <v>9810</v>
      </c>
      <c r="C277" s="6" t="s">
        <v>1985</v>
      </c>
      <c r="D277" s="6" t="s">
        <v>1988</v>
      </c>
      <c r="E277" s="10" t="s">
        <v>1990</v>
      </c>
      <c r="F277" s="17"/>
      <c r="G277" s="17" t="e">
        <f t="shared" ca="1" si="0"/>
        <v>#NAME?</v>
      </c>
      <c r="H277" s="6"/>
      <c r="I277" s="17"/>
      <c r="J277" s="17"/>
    </row>
    <row r="278" spans="1:10" ht="171.75" customHeight="1">
      <c r="A278" s="6" t="s">
        <v>1992</v>
      </c>
      <c r="B278" s="6" t="s">
        <v>9821</v>
      </c>
      <c r="C278" s="6" t="s">
        <v>1993</v>
      </c>
      <c r="D278" s="43" t="s">
        <v>1996</v>
      </c>
      <c r="E278" s="17" t="s">
        <v>1997</v>
      </c>
      <c r="F278" s="17"/>
      <c r="G278" s="17" t="e">
        <f t="shared" ca="1" si="0"/>
        <v>#NAME?</v>
      </c>
      <c r="H278" s="6"/>
      <c r="I278" s="17"/>
      <c r="J278" s="17"/>
    </row>
    <row r="279" spans="1:10" ht="171.75" customHeight="1">
      <c r="A279" s="6" t="s">
        <v>599</v>
      </c>
      <c r="B279" s="6" t="s">
        <v>9745</v>
      </c>
      <c r="C279" s="6" t="s">
        <v>1999</v>
      </c>
      <c r="D279" s="6" t="s">
        <v>2002</v>
      </c>
      <c r="E279" s="17" t="s">
        <v>2003</v>
      </c>
      <c r="F279" s="17"/>
      <c r="G279" s="17" t="e">
        <f t="shared" ca="1" si="0"/>
        <v>#NAME?</v>
      </c>
      <c r="H279" s="6"/>
      <c r="I279" s="17"/>
      <c r="J279" s="17"/>
    </row>
    <row r="280" spans="1:10" ht="171.75" customHeight="1">
      <c r="A280" s="6" t="s">
        <v>199</v>
      </c>
      <c r="B280" s="6" t="s">
        <v>9708</v>
      </c>
      <c r="C280" s="6" t="s">
        <v>2005</v>
      </c>
      <c r="D280" s="6" t="s">
        <v>2008</v>
      </c>
      <c r="E280" s="17" t="s">
        <v>2011</v>
      </c>
      <c r="F280" s="17"/>
      <c r="G280" s="17" t="e">
        <f t="shared" ca="1" si="0"/>
        <v>#NAME?</v>
      </c>
      <c r="H280" s="6"/>
      <c r="I280" s="17"/>
      <c r="J280" s="17"/>
    </row>
    <row r="281" spans="1:10" ht="171.75" customHeight="1">
      <c r="A281" s="6" t="s">
        <v>152</v>
      </c>
      <c r="B281" s="6" t="s">
        <v>9696</v>
      </c>
      <c r="C281" s="6" t="s">
        <v>2013</v>
      </c>
      <c r="D281" s="6" t="s">
        <v>2016</v>
      </c>
      <c r="E281" s="17" t="s">
        <v>2018</v>
      </c>
      <c r="F281" s="17"/>
      <c r="G281" s="17" t="e">
        <f t="shared" ca="1" si="0"/>
        <v>#NAME?</v>
      </c>
      <c r="H281" s="6"/>
      <c r="I281" s="6"/>
      <c r="J281" s="32"/>
    </row>
    <row r="282" spans="1:10" ht="171.75" customHeight="1">
      <c r="A282" s="6" t="s">
        <v>248</v>
      </c>
      <c r="B282" s="6" t="s">
        <v>9712</v>
      </c>
      <c r="C282" s="6" t="s">
        <v>2020</v>
      </c>
      <c r="D282" s="6" t="s">
        <v>141</v>
      </c>
      <c r="E282" s="32" t="s">
        <v>2024</v>
      </c>
      <c r="F282" s="17"/>
      <c r="G282" s="17" t="e">
        <f t="shared" ca="1" si="0"/>
        <v>#NAME?</v>
      </c>
      <c r="H282" s="6"/>
      <c r="I282" s="6"/>
      <c r="J282" s="10"/>
    </row>
    <row r="283" spans="1:10" ht="171.75" customHeight="1">
      <c r="A283" s="6" t="s">
        <v>2026</v>
      </c>
      <c r="B283" s="6" t="s">
        <v>9822</v>
      </c>
      <c r="C283" s="6" t="s">
        <v>2027</v>
      </c>
      <c r="D283" s="6" t="s">
        <v>141</v>
      </c>
      <c r="E283" s="10" t="s">
        <v>9687</v>
      </c>
      <c r="F283" s="17"/>
      <c r="G283" s="17" t="e">
        <f t="shared" ca="1" si="0"/>
        <v>#NAME?</v>
      </c>
      <c r="H283" s="6"/>
      <c r="I283" s="6"/>
      <c r="J283" s="10"/>
    </row>
    <row r="284" spans="1:10" ht="171.75" customHeight="1">
      <c r="A284" s="6" t="s">
        <v>2030</v>
      </c>
      <c r="B284" s="6" t="s">
        <v>2030</v>
      </c>
      <c r="C284" s="6" t="s">
        <v>2031</v>
      </c>
      <c r="D284" s="6" t="s">
        <v>141</v>
      </c>
      <c r="E284" s="10" t="s">
        <v>9687</v>
      </c>
      <c r="F284" s="17"/>
      <c r="G284" s="17" t="e">
        <f t="shared" ca="1" si="0"/>
        <v>#NAME?</v>
      </c>
      <c r="H284" s="6"/>
      <c r="I284" s="6"/>
      <c r="J284" s="32"/>
    </row>
    <row r="285" spans="1:10" ht="171.75" customHeight="1">
      <c r="A285" s="6" t="s">
        <v>322</v>
      </c>
      <c r="B285" s="6" t="s">
        <v>9715</v>
      </c>
      <c r="C285" s="6" t="s">
        <v>2036</v>
      </c>
      <c r="D285" s="6" t="s">
        <v>141</v>
      </c>
      <c r="E285" s="10" t="s">
        <v>9687</v>
      </c>
      <c r="F285" s="17"/>
      <c r="G285" s="17" t="e">
        <f t="shared" ca="1" si="0"/>
        <v>#NAME?</v>
      </c>
      <c r="H285" s="6"/>
      <c r="I285" s="46"/>
      <c r="J285" s="17"/>
    </row>
    <row r="286" spans="1:10" ht="171.75" customHeight="1">
      <c r="A286" s="43" t="s">
        <v>2040</v>
      </c>
      <c r="B286" s="6" t="s">
        <v>9823</v>
      </c>
      <c r="C286" s="6" t="s">
        <v>2041</v>
      </c>
      <c r="D286" s="6" t="s">
        <v>2044</v>
      </c>
      <c r="E286" s="10" t="s">
        <v>9687</v>
      </c>
      <c r="F286" s="17"/>
      <c r="G286" s="17" t="e">
        <f t="shared" ca="1" si="0"/>
        <v>#NAME?</v>
      </c>
      <c r="H286" s="6"/>
      <c r="I286" s="17"/>
      <c r="J286" s="17"/>
    </row>
    <row r="287" spans="1:10" ht="171.75" customHeight="1">
      <c r="A287" s="6" t="s">
        <v>2046</v>
      </c>
      <c r="B287" s="6" t="s">
        <v>9824</v>
      </c>
      <c r="C287" s="6" t="s">
        <v>2047</v>
      </c>
      <c r="D287" s="43" t="s">
        <v>2050</v>
      </c>
      <c r="E287" s="17" t="s">
        <v>2051</v>
      </c>
      <c r="F287" s="17"/>
      <c r="G287" s="17" t="e">
        <f t="shared" ca="1" si="0"/>
        <v>#NAME?</v>
      </c>
      <c r="H287" s="6"/>
      <c r="I287" s="17"/>
      <c r="J287" s="17"/>
    </row>
    <row r="288" spans="1:10" ht="171.75" customHeight="1">
      <c r="A288" s="6" t="s">
        <v>2046</v>
      </c>
      <c r="B288" s="6" t="s">
        <v>9824</v>
      </c>
      <c r="C288" s="6" t="s">
        <v>2054</v>
      </c>
      <c r="D288" s="43" t="s">
        <v>2057</v>
      </c>
      <c r="E288" s="17" t="s">
        <v>2058</v>
      </c>
      <c r="F288" s="17"/>
      <c r="G288" s="17" t="e">
        <f t="shared" ca="1" si="0"/>
        <v>#NAME?</v>
      </c>
      <c r="H288" s="6"/>
      <c r="I288" s="17"/>
      <c r="J288" s="17"/>
    </row>
    <row r="289" spans="1:10" ht="171.75" customHeight="1">
      <c r="A289" s="6" t="s">
        <v>2061</v>
      </c>
      <c r="B289" s="6" t="s">
        <v>9825</v>
      </c>
      <c r="C289" s="6" t="s">
        <v>2062</v>
      </c>
      <c r="D289" s="43" t="s">
        <v>2065</v>
      </c>
      <c r="E289" s="17" t="s">
        <v>2066</v>
      </c>
      <c r="F289" s="17"/>
      <c r="G289" s="17" t="e">
        <f t="shared" ca="1" si="0"/>
        <v>#NAME?</v>
      </c>
      <c r="H289" s="6"/>
      <c r="I289" s="17"/>
      <c r="J289" s="17"/>
    </row>
    <row r="290" spans="1:10" ht="171.75" customHeight="1">
      <c r="A290" s="6" t="s">
        <v>2061</v>
      </c>
      <c r="B290" s="6" t="s">
        <v>9825</v>
      </c>
      <c r="C290" s="6" t="s">
        <v>2068</v>
      </c>
      <c r="D290" s="43" t="s">
        <v>2071</v>
      </c>
      <c r="E290" s="17" t="s">
        <v>2072</v>
      </c>
      <c r="F290" s="17"/>
      <c r="G290" s="17" t="e">
        <f t="shared" ca="1" si="0"/>
        <v>#NAME?</v>
      </c>
      <c r="H290" s="6"/>
      <c r="I290" s="17"/>
      <c r="J290" s="17"/>
    </row>
    <row r="291" spans="1:10" ht="171.75" customHeight="1">
      <c r="A291" s="6" t="s">
        <v>2046</v>
      </c>
      <c r="B291" s="6" t="s">
        <v>9824</v>
      </c>
      <c r="C291" s="6" t="s">
        <v>2074</v>
      </c>
      <c r="D291" s="43" t="s">
        <v>2077</v>
      </c>
      <c r="E291" s="17" t="s">
        <v>2078</v>
      </c>
      <c r="F291" s="17"/>
      <c r="G291" s="17" t="e">
        <f t="shared" ca="1" si="0"/>
        <v>#NAME?</v>
      </c>
      <c r="H291" s="6"/>
      <c r="I291" s="17"/>
      <c r="J291" s="17"/>
    </row>
    <row r="292" spans="1:10" ht="171.75" customHeight="1">
      <c r="A292" s="6" t="s">
        <v>2061</v>
      </c>
      <c r="B292" s="6" t="s">
        <v>9825</v>
      </c>
      <c r="C292" s="6" t="s">
        <v>2080</v>
      </c>
      <c r="D292" s="6" t="s">
        <v>2083</v>
      </c>
      <c r="E292" s="17" t="s">
        <v>2084</v>
      </c>
      <c r="F292" s="17"/>
      <c r="G292" s="17" t="e">
        <f t="shared" ca="1" si="0"/>
        <v>#NAME?</v>
      </c>
      <c r="H292" s="6"/>
      <c r="I292" s="17"/>
      <c r="J292" s="17"/>
    </row>
    <row r="293" spans="1:10" ht="171.75" customHeight="1">
      <c r="A293" s="6" t="s">
        <v>2061</v>
      </c>
      <c r="B293" s="6" t="s">
        <v>9825</v>
      </c>
      <c r="C293" s="6" t="s">
        <v>2086</v>
      </c>
      <c r="D293" s="6" t="s">
        <v>2089</v>
      </c>
      <c r="E293" s="17" t="s">
        <v>2090</v>
      </c>
      <c r="F293" s="17"/>
      <c r="G293" s="17" t="e">
        <f t="shared" ca="1" si="0"/>
        <v>#NAME?</v>
      </c>
      <c r="H293" s="6"/>
      <c r="I293" s="17"/>
      <c r="J293" s="17"/>
    </row>
    <row r="294" spans="1:10" ht="171.75" customHeight="1">
      <c r="A294" s="6" t="s">
        <v>2092</v>
      </c>
      <c r="B294" s="6" t="s">
        <v>9826</v>
      </c>
      <c r="C294" s="6" t="s">
        <v>2093</v>
      </c>
      <c r="D294" s="6" t="s">
        <v>2096</v>
      </c>
      <c r="E294" s="17" t="s">
        <v>2097</v>
      </c>
      <c r="F294" s="17"/>
      <c r="G294" s="17" t="e">
        <f t="shared" ca="1" si="0"/>
        <v>#NAME?</v>
      </c>
      <c r="H294" s="6"/>
      <c r="I294" s="17"/>
      <c r="J294" s="17"/>
    </row>
    <row r="295" spans="1:10" ht="171.75" customHeight="1">
      <c r="A295" s="6" t="s">
        <v>2046</v>
      </c>
      <c r="B295" s="6" t="s">
        <v>9824</v>
      </c>
      <c r="C295" s="6" t="s">
        <v>2099</v>
      </c>
      <c r="D295" s="6" t="s">
        <v>2102</v>
      </c>
      <c r="E295" s="17" t="s">
        <v>2103</v>
      </c>
      <c r="F295" s="17"/>
      <c r="G295" s="17" t="e">
        <f t="shared" ca="1" si="0"/>
        <v>#NAME?</v>
      </c>
      <c r="H295" s="6"/>
      <c r="I295" s="17"/>
      <c r="J295" s="17"/>
    </row>
    <row r="296" spans="1:10" ht="171.75" customHeight="1">
      <c r="A296" s="6" t="s">
        <v>2061</v>
      </c>
      <c r="B296" s="6" t="s">
        <v>9825</v>
      </c>
      <c r="C296" s="6" t="s">
        <v>2105</v>
      </c>
      <c r="D296" s="6" t="s">
        <v>2108</v>
      </c>
      <c r="E296" s="17" t="s">
        <v>2109</v>
      </c>
      <c r="F296" s="17"/>
      <c r="G296" s="17" t="e">
        <f t="shared" ca="1" si="0"/>
        <v>#NAME?</v>
      </c>
      <c r="H296" s="6"/>
      <c r="I296" s="17"/>
      <c r="J296" s="17"/>
    </row>
    <row r="297" spans="1:10" ht="171.75" customHeight="1">
      <c r="A297" s="6" t="s">
        <v>2061</v>
      </c>
      <c r="B297" s="6" t="s">
        <v>9825</v>
      </c>
      <c r="C297" s="6" t="s">
        <v>2111</v>
      </c>
      <c r="D297" s="43" t="s">
        <v>2114</v>
      </c>
      <c r="E297" s="17" t="s">
        <v>2115</v>
      </c>
      <c r="F297" s="17"/>
      <c r="G297" s="17" t="e">
        <f t="shared" ca="1" si="0"/>
        <v>#NAME?</v>
      </c>
      <c r="H297" s="6"/>
      <c r="I297" s="17"/>
      <c r="J297" s="17"/>
    </row>
    <row r="298" spans="1:10" ht="171.75" customHeight="1">
      <c r="A298" s="6" t="s">
        <v>2092</v>
      </c>
      <c r="B298" s="6" t="s">
        <v>9826</v>
      </c>
      <c r="C298" s="6" t="s">
        <v>2117</v>
      </c>
      <c r="D298" s="6" t="s">
        <v>2120</v>
      </c>
      <c r="E298" s="17" t="s">
        <v>2121</v>
      </c>
      <c r="F298" s="17"/>
      <c r="G298" s="17" t="e">
        <f t="shared" ca="1" si="0"/>
        <v>#NAME?</v>
      </c>
      <c r="H298" s="6"/>
      <c r="I298" s="17"/>
      <c r="J298" s="17"/>
    </row>
    <row r="299" spans="1:10" ht="171.75" customHeight="1">
      <c r="A299" s="6" t="s">
        <v>2061</v>
      </c>
      <c r="B299" s="6" t="s">
        <v>9825</v>
      </c>
      <c r="C299" s="6" t="s">
        <v>2123</v>
      </c>
      <c r="D299" s="6" t="s">
        <v>2126</v>
      </c>
      <c r="E299" s="17" t="s">
        <v>2127</v>
      </c>
      <c r="F299" s="17"/>
      <c r="G299" s="17" t="e">
        <f t="shared" ca="1" si="0"/>
        <v>#NAME?</v>
      </c>
      <c r="H299" s="6"/>
      <c r="I299" s="17"/>
      <c r="J299" s="17"/>
    </row>
    <row r="300" spans="1:10" ht="171.75" customHeight="1">
      <c r="A300" s="6" t="s">
        <v>2046</v>
      </c>
      <c r="B300" s="6" t="s">
        <v>9824</v>
      </c>
      <c r="C300" s="6" t="s">
        <v>2129</v>
      </c>
      <c r="D300" s="6" t="s">
        <v>2132</v>
      </c>
      <c r="E300" s="17" t="s">
        <v>2133</v>
      </c>
      <c r="F300" s="17"/>
      <c r="G300" s="17" t="e">
        <f t="shared" ca="1" si="0"/>
        <v>#NAME?</v>
      </c>
      <c r="H300" s="6"/>
      <c r="I300" s="17"/>
      <c r="J300" s="17"/>
    </row>
    <row r="301" spans="1:10" ht="171.75" customHeight="1">
      <c r="A301" s="6" t="s">
        <v>2046</v>
      </c>
      <c r="B301" s="6" t="s">
        <v>9824</v>
      </c>
      <c r="C301" s="6" t="s">
        <v>2135</v>
      </c>
      <c r="D301" s="6" t="s">
        <v>2138</v>
      </c>
      <c r="E301" s="17" t="s">
        <v>2139</v>
      </c>
      <c r="F301" s="17"/>
      <c r="G301" s="17" t="e">
        <f t="shared" ca="1" si="0"/>
        <v>#NAME?</v>
      </c>
      <c r="H301" s="6"/>
      <c r="I301" s="17"/>
      <c r="J301" s="17"/>
    </row>
    <row r="302" spans="1:10" ht="171.75" customHeight="1">
      <c r="A302" s="6" t="s">
        <v>2061</v>
      </c>
      <c r="B302" s="6" t="s">
        <v>9825</v>
      </c>
      <c r="C302" s="6" t="s">
        <v>2141</v>
      </c>
      <c r="D302" s="6" t="s">
        <v>2144</v>
      </c>
      <c r="E302" s="17" t="s">
        <v>2145</v>
      </c>
      <c r="F302" s="17"/>
      <c r="G302" s="17" t="e">
        <f t="shared" ca="1" si="0"/>
        <v>#NAME?</v>
      </c>
      <c r="H302" s="6"/>
      <c r="I302" s="17"/>
      <c r="J302" s="17"/>
    </row>
    <row r="303" spans="1:10" ht="171.75" customHeight="1">
      <c r="A303" s="6" t="s">
        <v>2061</v>
      </c>
      <c r="B303" s="6" t="s">
        <v>9825</v>
      </c>
      <c r="C303" s="6" t="s">
        <v>2147</v>
      </c>
      <c r="D303" s="6" t="s">
        <v>2150</v>
      </c>
      <c r="E303" s="17" t="s">
        <v>2151</v>
      </c>
      <c r="F303" s="17"/>
      <c r="G303" s="17" t="e">
        <f t="shared" ca="1" si="0"/>
        <v>#NAME?</v>
      </c>
      <c r="H303" s="6"/>
      <c r="I303" s="17"/>
      <c r="J303" s="17"/>
    </row>
    <row r="304" spans="1:10" ht="171.75" customHeight="1">
      <c r="A304" s="6" t="s">
        <v>2046</v>
      </c>
      <c r="B304" s="6" t="s">
        <v>9824</v>
      </c>
      <c r="C304" s="6" t="s">
        <v>2153</v>
      </c>
      <c r="D304" s="6" t="s">
        <v>2156</v>
      </c>
      <c r="E304" s="17" t="s">
        <v>2157</v>
      </c>
      <c r="F304" s="17"/>
      <c r="G304" s="17" t="e">
        <f t="shared" ca="1" si="0"/>
        <v>#NAME?</v>
      </c>
      <c r="H304" s="6"/>
      <c r="I304" s="17"/>
      <c r="J304" s="17"/>
    </row>
    <row r="305" spans="1:10" ht="171.75" customHeight="1">
      <c r="A305" s="6" t="s">
        <v>2061</v>
      </c>
      <c r="B305" s="6" t="s">
        <v>9825</v>
      </c>
      <c r="C305" s="6" t="s">
        <v>2159</v>
      </c>
      <c r="D305" s="6" t="s">
        <v>2162</v>
      </c>
      <c r="E305" s="17" t="s">
        <v>2163</v>
      </c>
      <c r="F305" s="17"/>
      <c r="G305" s="17" t="e">
        <f t="shared" ca="1" si="0"/>
        <v>#NAME?</v>
      </c>
      <c r="H305" s="6"/>
      <c r="I305" s="17"/>
      <c r="J305" s="17"/>
    </row>
    <row r="306" spans="1:10" ht="171.75" customHeight="1">
      <c r="A306" s="6" t="s">
        <v>2061</v>
      </c>
      <c r="B306" s="6" t="s">
        <v>9825</v>
      </c>
      <c r="C306" s="6" t="s">
        <v>2165</v>
      </c>
      <c r="D306" s="6" t="s">
        <v>2168</v>
      </c>
      <c r="E306" s="17" t="s">
        <v>2169</v>
      </c>
      <c r="F306" s="17"/>
      <c r="G306" s="17" t="e">
        <f t="shared" ca="1" si="0"/>
        <v>#NAME?</v>
      </c>
      <c r="H306" s="6"/>
      <c r="I306" s="17"/>
      <c r="J306" s="17"/>
    </row>
    <row r="307" spans="1:10" ht="171.75" customHeight="1">
      <c r="A307" s="6" t="s">
        <v>2046</v>
      </c>
      <c r="B307" s="6" t="s">
        <v>9824</v>
      </c>
      <c r="C307" s="6" t="s">
        <v>2171</v>
      </c>
      <c r="D307" s="6" t="s">
        <v>2174</v>
      </c>
      <c r="E307" s="17" t="s">
        <v>2175</v>
      </c>
      <c r="F307" s="17"/>
      <c r="G307" s="17" t="e">
        <f t="shared" ca="1" si="0"/>
        <v>#NAME?</v>
      </c>
      <c r="H307" s="6"/>
      <c r="I307" s="17"/>
      <c r="J307" s="17"/>
    </row>
    <row r="308" spans="1:10" ht="171.75" customHeight="1">
      <c r="A308" s="6" t="s">
        <v>2061</v>
      </c>
      <c r="B308" s="6" t="s">
        <v>9825</v>
      </c>
      <c r="C308" s="6" t="s">
        <v>2177</v>
      </c>
      <c r="D308" s="6" t="s">
        <v>2180</v>
      </c>
      <c r="E308" s="17" t="s">
        <v>2181</v>
      </c>
      <c r="F308" s="17"/>
      <c r="G308" s="17" t="e">
        <f t="shared" ca="1" si="0"/>
        <v>#NAME?</v>
      </c>
      <c r="H308" s="6"/>
      <c r="I308" s="17"/>
      <c r="J308" s="17"/>
    </row>
    <row r="309" spans="1:10" ht="171.75" customHeight="1">
      <c r="A309" s="6" t="s">
        <v>2061</v>
      </c>
      <c r="B309" s="6" t="s">
        <v>9825</v>
      </c>
      <c r="C309" s="6" t="s">
        <v>2183</v>
      </c>
      <c r="D309" s="6" t="s">
        <v>2186</v>
      </c>
      <c r="E309" s="17" t="s">
        <v>2187</v>
      </c>
      <c r="F309" s="17"/>
      <c r="G309" s="17" t="e">
        <f t="shared" ca="1" si="0"/>
        <v>#NAME?</v>
      </c>
      <c r="H309" s="6"/>
      <c r="I309" s="17"/>
      <c r="J309" s="17"/>
    </row>
    <row r="310" spans="1:10" ht="171.75" customHeight="1">
      <c r="A310" s="6" t="s">
        <v>2046</v>
      </c>
      <c r="B310" s="6" t="s">
        <v>9824</v>
      </c>
      <c r="C310" s="6" t="s">
        <v>2189</v>
      </c>
      <c r="D310" s="6" t="s">
        <v>2192</v>
      </c>
      <c r="E310" s="17" t="s">
        <v>2193</v>
      </c>
      <c r="F310" s="17"/>
      <c r="G310" s="17" t="e">
        <f t="shared" ca="1" si="0"/>
        <v>#NAME?</v>
      </c>
      <c r="H310" s="6"/>
      <c r="I310" s="17"/>
      <c r="J310" s="17"/>
    </row>
    <row r="311" spans="1:10" ht="171.75" customHeight="1">
      <c r="A311" s="6" t="s">
        <v>2061</v>
      </c>
      <c r="B311" s="6" t="s">
        <v>9825</v>
      </c>
      <c r="C311" s="6" t="s">
        <v>2195</v>
      </c>
      <c r="D311" s="6" t="s">
        <v>2198</v>
      </c>
      <c r="E311" s="17" t="s">
        <v>2199</v>
      </c>
      <c r="F311" s="17"/>
      <c r="G311" s="17" t="e">
        <f t="shared" ca="1" si="0"/>
        <v>#NAME?</v>
      </c>
      <c r="H311" s="6"/>
      <c r="I311" s="17"/>
      <c r="J311" s="17"/>
    </row>
    <row r="312" spans="1:10" ht="171.75" customHeight="1">
      <c r="A312" s="6" t="s">
        <v>2201</v>
      </c>
      <c r="B312" s="6" t="s">
        <v>9827</v>
      </c>
      <c r="C312" s="6" t="s">
        <v>2202</v>
      </c>
      <c r="D312" s="6" t="s">
        <v>2205</v>
      </c>
      <c r="E312" s="17" t="s">
        <v>2206</v>
      </c>
      <c r="F312" s="17"/>
      <c r="G312" s="17" t="e">
        <f t="shared" ca="1" si="0"/>
        <v>#NAME?</v>
      </c>
      <c r="H312" s="6"/>
      <c r="I312" s="17"/>
      <c r="J312" s="17"/>
    </row>
    <row r="313" spans="1:10" ht="171.75" customHeight="1">
      <c r="A313" s="6" t="s">
        <v>2208</v>
      </c>
      <c r="B313" s="6" t="s">
        <v>9828</v>
      </c>
      <c r="C313" s="6" t="s">
        <v>2209</v>
      </c>
      <c r="D313" s="6" t="s">
        <v>2212</v>
      </c>
      <c r="E313" s="17" t="s">
        <v>2213</v>
      </c>
      <c r="F313" s="17"/>
      <c r="G313" s="17" t="e">
        <f t="shared" ca="1" si="0"/>
        <v>#NAME?</v>
      </c>
      <c r="H313" s="6"/>
      <c r="I313" s="17"/>
      <c r="J313" s="17"/>
    </row>
    <row r="314" spans="1:10" ht="171.75" customHeight="1">
      <c r="A314" s="6" t="s">
        <v>2215</v>
      </c>
      <c r="B314" s="6" t="s">
        <v>9829</v>
      </c>
      <c r="C314" s="6" t="s">
        <v>2216</v>
      </c>
      <c r="D314" s="6" t="s">
        <v>2219</v>
      </c>
      <c r="E314" s="17" t="s">
        <v>2220</v>
      </c>
      <c r="F314" s="17"/>
      <c r="G314" s="17" t="e">
        <f t="shared" ca="1" si="0"/>
        <v>#NAME?</v>
      </c>
      <c r="H314" s="6"/>
      <c r="I314" s="17"/>
      <c r="J314" s="17"/>
    </row>
    <row r="315" spans="1:10" ht="171.75" customHeight="1">
      <c r="A315" s="6" t="s">
        <v>2222</v>
      </c>
      <c r="B315" s="6" t="s">
        <v>9830</v>
      </c>
      <c r="C315" s="6" t="s">
        <v>2223</v>
      </c>
      <c r="D315" s="6" t="s">
        <v>2226</v>
      </c>
      <c r="E315" s="17" t="s">
        <v>2227</v>
      </c>
      <c r="F315" s="17"/>
      <c r="G315" s="17" t="e">
        <f t="shared" ca="1" si="0"/>
        <v>#NAME?</v>
      </c>
      <c r="H315" s="6"/>
      <c r="I315" s="17"/>
      <c r="J315" s="17"/>
    </row>
    <row r="316" spans="1:10" ht="171.75" customHeight="1">
      <c r="A316" s="6" t="s">
        <v>2229</v>
      </c>
      <c r="B316" s="6" t="s">
        <v>9831</v>
      </c>
      <c r="C316" s="6" t="s">
        <v>2230</v>
      </c>
      <c r="D316" s="6" t="s">
        <v>2233</v>
      </c>
      <c r="E316" s="17" t="s">
        <v>2234</v>
      </c>
      <c r="F316" s="17"/>
      <c r="G316" s="17" t="e">
        <f t="shared" ca="1" si="0"/>
        <v>#NAME?</v>
      </c>
      <c r="H316" s="6"/>
      <c r="I316" s="17"/>
      <c r="J316" s="10"/>
    </row>
    <row r="317" spans="1:10" ht="171.75" customHeight="1">
      <c r="A317" s="6" t="s">
        <v>2236</v>
      </c>
      <c r="B317" s="6" t="s">
        <v>9832</v>
      </c>
      <c r="C317" s="6" t="s">
        <v>2237</v>
      </c>
      <c r="D317" s="6" t="s">
        <v>2240</v>
      </c>
      <c r="E317" s="10" t="s">
        <v>2243</v>
      </c>
      <c r="F317" s="17"/>
      <c r="G317" s="17" t="e">
        <f t="shared" ca="1" si="0"/>
        <v>#NAME?</v>
      </c>
      <c r="H317" s="6"/>
      <c r="I317" s="17"/>
      <c r="J317" s="17"/>
    </row>
    <row r="318" spans="1:10" ht="171.75" customHeight="1">
      <c r="A318" s="6" t="s">
        <v>199</v>
      </c>
      <c r="B318" s="6" t="s">
        <v>9708</v>
      </c>
      <c r="C318" s="6" t="s">
        <v>2245</v>
      </c>
      <c r="D318" s="6" t="s">
        <v>2248</v>
      </c>
      <c r="E318" s="17" t="s">
        <v>2250</v>
      </c>
      <c r="F318" s="17"/>
      <c r="G318" s="17" t="e">
        <f t="shared" ca="1" si="0"/>
        <v>#NAME?</v>
      </c>
      <c r="H318" s="6"/>
      <c r="I318" s="17"/>
      <c r="J318" s="10"/>
    </row>
    <row r="319" spans="1:10" ht="171.75" customHeight="1">
      <c r="A319" s="6" t="s">
        <v>1688</v>
      </c>
      <c r="B319" s="6" t="s">
        <v>9810</v>
      </c>
      <c r="C319" s="6" t="s">
        <v>2252</v>
      </c>
      <c r="D319" s="6" t="s">
        <v>2255</v>
      </c>
      <c r="E319" s="10" t="s">
        <v>2256</v>
      </c>
      <c r="F319" s="17"/>
      <c r="G319" s="17" t="e">
        <f t="shared" ca="1" si="0"/>
        <v>#NAME?</v>
      </c>
      <c r="H319" s="6"/>
      <c r="I319" s="6"/>
      <c r="J319" s="10"/>
    </row>
    <row r="320" spans="1:10" ht="171.75" customHeight="1">
      <c r="A320" s="6" t="s">
        <v>2258</v>
      </c>
      <c r="B320" s="6" t="s">
        <v>9833</v>
      </c>
      <c r="C320" s="6" t="s">
        <v>2259</v>
      </c>
      <c r="D320" s="6" t="s">
        <v>141</v>
      </c>
      <c r="E320" s="10" t="s">
        <v>9687</v>
      </c>
      <c r="F320" s="17"/>
      <c r="G320" s="17" t="e">
        <f t="shared" ca="1" si="0"/>
        <v>#NAME?</v>
      </c>
      <c r="H320" s="6"/>
      <c r="I320" s="6"/>
      <c r="J320" s="10"/>
    </row>
    <row r="321" spans="1:10" ht="171.75" customHeight="1">
      <c r="A321" s="6" t="s">
        <v>2262</v>
      </c>
      <c r="B321" s="6" t="s">
        <v>9834</v>
      </c>
      <c r="C321" s="6" t="s">
        <v>2263</v>
      </c>
      <c r="D321" s="6" t="s">
        <v>141</v>
      </c>
      <c r="E321" s="10" t="s">
        <v>9687</v>
      </c>
      <c r="F321" s="17"/>
      <c r="G321" s="17" t="e">
        <f t="shared" ca="1" si="0"/>
        <v>#NAME?</v>
      </c>
      <c r="H321" s="6"/>
      <c r="I321" s="46"/>
      <c r="J321" s="32"/>
    </row>
    <row r="322" spans="1:10" ht="171.75" customHeight="1">
      <c r="A322" s="6" t="s">
        <v>638</v>
      </c>
      <c r="B322" s="6" t="s">
        <v>638</v>
      </c>
      <c r="C322" s="6" t="s">
        <v>2266</v>
      </c>
      <c r="D322" s="6" t="s">
        <v>2269</v>
      </c>
      <c r="E322" s="32" t="s">
        <v>2271</v>
      </c>
      <c r="F322" s="17"/>
      <c r="G322" s="17" t="e">
        <f t="shared" ca="1" si="0"/>
        <v>#NAME?</v>
      </c>
      <c r="H322" s="6"/>
      <c r="I322" s="6"/>
      <c r="J322" s="10"/>
    </row>
    <row r="323" spans="1:10" ht="171.75" customHeight="1">
      <c r="A323" s="6" t="s">
        <v>9835</v>
      </c>
      <c r="B323" s="6" t="s">
        <v>9836</v>
      </c>
      <c r="C323" s="6" t="s">
        <v>2274</v>
      </c>
      <c r="D323" s="6" t="s">
        <v>141</v>
      </c>
      <c r="E323" s="10" t="s">
        <v>9687</v>
      </c>
      <c r="F323" s="17"/>
      <c r="G323" s="17" t="e">
        <f t="shared" ca="1" si="0"/>
        <v>#NAME?</v>
      </c>
      <c r="H323" s="6"/>
      <c r="I323" s="6"/>
      <c r="J323" s="10"/>
    </row>
    <row r="324" spans="1:10" ht="171.75" customHeight="1">
      <c r="A324" s="6" t="s">
        <v>2277</v>
      </c>
      <c r="B324" s="6" t="s">
        <v>9837</v>
      </c>
      <c r="C324" s="6" t="s">
        <v>2278</v>
      </c>
      <c r="D324" s="6" t="s">
        <v>141</v>
      </c>
      <c r="E324" s="10" t="s">
        <v>9687</v>
      </c>
      <c r="F324" s="17"/>
      <c r="G324" s="17" t="e">
        <f t="shared" ca="1" si="0"/>
        <v>#NAME?</v>
      </c>
      <c r="H324" s="6"/>
      <c r="I324" s="6"/>
      <c r="J324" s="32"/>
    </row>
    <row r="325" spans="1:10" ht="171.75" customHeight="1">
      <c r="A325" s="6" t="s">
        <v>2281</v>
      </c>
      <c r="B325" s="6" t="s">
        <v>9838</v>
      </c>
      <c r="C325" s="6" t="s">
        <v>2282</v>
      </c>
      <c r="D325" s="6" t="s">
        <v>141</v>
      </c>
      <c r="E325" s="10" t="s">
        <v>9687</v>
      </c>
      <c r="F325" s="17"/>
      <c r="G325" s="17" t="e">
        <f t="shared" ca="1" si="0"/>
        <v>#NAME?</v>
      </c>
      <c r="H325" s="6"/>
      <c r="I325" s="17"/>
      <c r="J325" s="17"/>
    </row>
    <row r="326" spans="1:10" ht="171.75" customHeight="1">
      <c r="A326" s="6" t="s">
        <v>2285</v>
      </c>
      <c r="B326" s="6" t="s">
        <v>9839</v>
      </c>
      <c r="C326" s="6" t="s">
        <v>2286</v>
      </c>
      <c r="D326" s="6" t="s">
        <v>2289</v>
      </c>
      <c r="E326" s="17" t="s">
        <v>2290</v>
      </c>
      <c r="F326" s="17"/>
      <c r="G326" s="17" t="e">
        <f t="shared" ca="1" si="0"/>
        <v>#NAME?</v>
      </c>
      <c r="H326" s="6"/>
      <c r="I326" s="17"/>
      <c r="J326" s="17"/>
    </row>
    <row r="327" spans="1:10" ht="171.75" customHeight="1">
      <c r="A327" s="43" t="s">
        <v>2292</v>
      </c>
      <c r="B327" s="6" t="s">
        <v>9840</v>
      </c>
      <c r="C327" s="6" t="s">
        <v>2293</v>
      </c>
      <c r="D327" s="6" t="s">
        <v>2296</v>
      </c>
      <c r="E327" s="17" t="s">
        <v>2297</v>
      </c>
      <c r="F327" s="17"/>
      <c r="G327" s="17" t="e">
        <f t="shared" ca="1" si="0"/>
        <v>#NAME?</v>
      </c>
      <c r="H327" s="6"/>
      <c r="I327" s="17"/>
      <c r="J327" s="17"/>
    </row>
    <row r="328" spans="1:10" ht="171.75" customHeight="1">
      <c r="A328" s="43" t="s">
        <v>2300</v>
      </c>
      <c r="B328" s="6" t="s">
        <v>2300</v>
      </c>
      <c r="C328" s="6" t="s">
        <v>2301</v>
      </c>
      <c r="D328" s="6" t="s">
        <v>2304</v>
      </c>
      <c r="E328" s="17" t="s">
        <v>2308</v>
      </c>
      <c r="F328" s="17"/>
      <c r="G328" s="17" t="e">
        <f t="shared" ca="1" si="0"/>
        <v>#NAME?</v>
      </c>
      <c r="H328" s="6"/>
      <c r="I328" s="17"/>
      <c r="J328" s="17"/>
    </row>
    <row r="329" spans="1:10" ht="171.75" customHeight="1">
      <c r="A329" s="43" t="s">
        <v>2312</v>
      </c>
      <c r="B329" s="6" t="s">
        <v>9841</v>
      </c>
      <c r="C329" s="6" t="s">
        <v>2313</v>
      </c>
      <c r="D329" s="6" t="s">
        <v>2316</v>
      </c>
      <c r="E329" s="17" t="s">
        <v>2320</v>
      </c>
      <c r="F329" s="17"/>
      <c r="G329" s="17" t="e">
        <f t="shared" ca="1" si="0"/>
        <v>#NAME?</v>
      </c>
      <c r="H329" s="6"/>
      <c r="I329" s="17"/>
      <c r="J329" s="17"/>
    </row>
    <row r="330" spans="1:10" ht="171.75" customHeight="1">
      <c r="A330" s="6" t="s">
        <v>2322</v>
      </c>
      <c r="B330" s="6" t="s">
        <v>9842</v>
      </c>
      <c r="C330" s="6" t="s">
        <v>2323</v>
      </c>
      <c r="D330" s="6" t="s">
        <v>2326</v>
      </c>
      <c r="E330" s="17" t="s">
        <v>2327</v>
      </c>
      <c r="F330" s="17"/>
      <c r="G330" s="17" t="e">
        <f t="shared" ca="1" si="0"/>
        <v>#NAME?</v>
      </c>
      <c r="H330" s="6"/>
      <c r="I330" s="17"/>
      <c r="J330" s="17"/>
    </row>
    <row r="331" spans="1:10" ht="171.75" customHeight="1">
      <c r="A331" s="6" t="s">
        <v>2331</v>
      </c>
      <c r="B331" s="6" t="s">
        <v>9843</v>
      </c>
      <c r="C331" s="6" t="s">
        <v>2332</v>
      </c>
      <c r="D331" s="6" t="s">
        <v>2335</v>
      </c>
      <c r="E331" s="17" t="s">
        <v>2336</v>
      </c>
      <c r="F331" s="17"/>
      <c r="G331" s="17" t="e">
        <f t="shared" ca="1" si="0"/>
        <v>#NAME?</v>
      </c>
      <c r="H331" s="6"/>
      <c r="I331" s="6"/>
      <c r="J331" s="10"/>
    </row>
    <row r="332" spans="1:10" ht="171.75" customHeight="1">
      <c r="A332" s="6" t="s">
        <v>249</v>
      </c>
      <c r="B332" s="6" t="s">
        <v>9779</v>
      </c>
      <c r="C332" s="6" t="s">
        <v>2339</v>
      </c>
      <c r="D332" s="6" t="s">
        <v>141</v>
      </c>
      <c r="E332" s="10" t="s">
        <v>9687</v>
      </c>
      <c r="F332" s="17"/>
      <c r="G332" s="17" t="e">
        <f t="shared" ca="1" si="0"/>
        <v>#NAME?</v>
      </c>
      <c r="H332" s="6"/>
      <c r="I332" s="17"/>
      <c r="J332" s="17"/>
    </row>
    <row r="333" spans="1:10" ht="171.75" customHeight="1">
      <c r="A333" s="43" t="s">
        <v>248</v>
      </c>
      <c r="B333" s="6" t="s">
        <v>9712</v>
      </c>
      <c r="C333" s="6" t="s">
        <v>2343</v>
      </c>
      <c r="D333" s="6" t="s">
        <v>2346</v>
      </c>
      <c r="E333" s="17" t="s">
        <v>2349</v>
      </c>
      <c r="F333" s="17"/>
      <c r="G333" s="17" t="e">
        <f t="shared" ca="1" si="0"/>
        <v>#NAME?</v>
      </c>
      <c r="H333" s="6"/>
      <c r="I333" s="17"/>
      <c r="J333" s="17"/>
    </row>
    <row r="334" spans="1:10" ht="171.75" customHeight="1">
      <c r="A334" s="43" t="s">
        <v>2352</v>
      </c>
      <c r="B334" s="6" t="s">
        <v>2352</v>
      </c>
      <c r="C334" s="6" t="s">
        <v>2353</v>
      </c>
      <c r="D334" s="6" t="s">
        <v>2356</v>
      </c>
      <c r="E334" s="17" t="s">
        <v>2360</v>
      </c>
      <c r="F334" s="17"/>
      <c r="G334" s="17" t="e">
        <f t="shared" ca="1" si="0"/>
        <v>#NAME?</v>
      </c>
      <c r="H334" s="6"/>
      <c r="I334" s="17"/>
      <c r="J334" s="17"/>
    </row>
    <row r="335" spans="1:10" ht="171.75" customHeight="1">
      <c r="A335" s="6" t="s">
        <v>2362</v>
      </c>
      <c r="B335" s="6" t="s">
        <v>9844</v>
      </c>
      <c r="C335" s="6" t="s">
        <v>2363</v>
      </c>
      <c r="D335" s="6" t="s">
        <v>2366</v>
      </c>
      <c r="E335" s="17" t="s">
        <v>2367</v>
      </c>
      <c r="F335" s="17"/>
      <c r="G335" s="17" t="e">
        <f t="shared" ca="1" si="0"/>
        <v>#NAME?</v>
      </c>
      <c r="H335" s="32"/>
      <c r="I335" s="17"/>
      <c r="J335" s="17"/>
    </row>
    <row r="336" spans="1:10" ht="171.75" customHeight="1">
      <c r="A336" s="6" t="s">
        <v>199</v>
      </c>
      <c r="B336" s="6" t="s">
        <v>9708</v>
      </c>
      <c r="C336" s="6" t="s">
        <v>2369</v>
      </c>
      <c r="D336" s="237"/>
      <c r="E336" s="17" t="s">
        <v>2373</v>
      </c>
      <c r="F336" s="17"/>
      <c r="G336" s="17" t="e">
        <f t="shared" ca="1" si="0"/>
        <v>#NAME?</v>
      </c>
      <c r="H336" s="6"/>
      <c r="I336" s="17"/>
      <c r="J336" s="17"/>
    </row>
    <row r="337" spans="1:10" ht="171.75" customHeight="1">
      <c r="A337" s="6" t="s">
        <v>963</v>
      </c>
      <c r="B337" s="6" t="s">
        <v>9778</v>
      </c>
      <c r="C337" s="6" t="s">
        <v>2375</v>
      </c>
      <c r="D337" s="6" t="s">
        <v>2378</v>
      </c>
      <c r="E337" s="17" t="s">
        <v>2380</v>
      </c>
      <c r="F337" s="17"/>
      <c r="G337" s="17" t="e">
        <f t="shared" ca="1" si="0"/>
        <v>#NAME?</v>
      </c>
      <c r="H337" s="6"/>
      <c r="I337" s="17"/>
      <c r="J337" s="17"/>
    </row>
    <row r="338" spans="1:10" ht="171.75" customHeight="1">
      <c r="A338" s="6" t="s">
        <v>2383</v>
      </c>
      <c r="B338" s="6" t="s">
        <v>9845</v>
      </c>
      <c r="C338" s="6" t="s">
        <v>2384</v>
      </c>
      <c r="D338" s="43" t="s">
        <v>2387</v>
      </c>
      <c r="E338" s="17" t="s">
        <v>2388</v>
      </c>
      <c r="F338" s="17"/>
      <c r="G338" s="17" t="e">
        <f t="shared" ca="1" si="0"/>
        <v>#NAME?</v>
      </c>
      <c r="H338" s="6"/>
      <c r="I338" s="17"/>
      <c r="J338" s="17"/>
    </row>
    <row r="339" spans="1:10" ht="171.75" customHeight="1">
      <c r="A339" s="6" t="s">
        <v>698</v>
      </c>
      <c r="B339" s="6" t="s">
        <v>9752</v>
      </c>
      <c r="C339" s="6" t="s">
        <v>2390</v>
      </c>
      <c r="D339" s="6" t="s">
        <v>2393</v>
      </c>
      <c r="E339" s="17" t="s">
        <v>2395</v>
      </c>
      <c r="F339" s="17"/>
      <c r="G339" s="17" t="e">
        <f t="shared" ca="1" si="0"/>
        <v>#NAME?</v>
      </c>
      <c r="H339" s="6"/>
      <c r="I339" s="17"/>
      <c r="J339" s="17"/>
    </row>
    <row r="340" spans="1:10" ht="171.75" customHeight="1">
      <c r="A340" s="6" t="s">
        <v>2398</v>
      </c>
      <c r="B340" s="6" t="s">
        <v>2398</v>
      </c>
      <c r="C340" s="6" t="s">
        <v>2399</v>
      </c>
      <c r="D340" s="6" t="s">
        <v>2402</v>
      </c>
      <c r="E340" s="17" t="s">
        <v>2406</v>
      </c>
      <c r="F340" s="17"/>
      <c r="G340" s="17" t="e">
        <f t="shared" ca="1" si="0"/>
        <v>#NAME?</v>
      </c>
      <c r="H340" s="6"/>
      <c r="I340" s="17"/>
      <c r="J340" s="17"/>
    </row>
    <row r="341" spans="1:10" ht="171.75" customHeight="1">
      <c r="A341" s="43" t="s">
        <v>248</v>
      </c>
      <c r="B341" s="6" t="s">
        <v>9712</v>
      </c>
      <c r="C341" s="6" t="s">
        <v>2408</v>
      </c>
      <c r="D341" s="6" t="s">
        <v>2411</v>
      </c>
      <c r="E341" s="17" t="s">
        <v>2413</v>
      </c>
      <c r="F341" s="17"/>
      <c r="G341" s="17" t="e">
        <f t="shared" ca="1" si="0"/>
        <v>#NAME?</v>
      </c>
      <c r="H341" s="6"/>
      <c r="I341" s="17"/>
      <c r="J341" s="17"/>
    </row>
    <row r="342" spans="1:10" ht="171.75" customHeight="1">
      <c r="A342" s="6" t="s">
        <v>199</v>
      </c>
      <c r="B342" s="6" t="s">
        <v>9708</v>
      </c>
      <c r="C342" s="6" t="s">
        <v>2415</v>
      </c>
      <c r="D342" s="6" t="s">
        <v>2418</v>
      </c>
      <c r="E342" s="17" t="s">
        <v>2422</v>
      </c>
      <c r="F342" s="17"/>
      <c r="G342" s="17" t="e">
        <f t="shared" ca="1" si="0"/>
        <v>#NAME?</v>
      </c>
      <c r="H342" s="32"/>
      <c r="I342" s="17"/>
      <c r="J342" s="17"/>
    </row>
    <row r="343" spans="1:10" ht="171.75" customHeight="1">
      <c r="A343" s="43" t="s">
        <v>285</v>
      </c>
      <c r="B343" s="6" t="s">
        <v>9710</v>
      </c>
      <c r="C343" s="6" t="s">
        <v>2424</v>
      </c>
      <c r="D343" s="6" t="s">
        <v>141</v>
      </c>
      <c r="E343" s="17" t="s">
        <v>2428</v>
      </c>
      <c r="F343" s="17"/>
      <c r="G343" s="17" t="e">
        <f t="shared" ca="1" si="0"/>
        <v>#NAME?</v>
      </c>
      <c r="H343" s="6"/>
      <c r="I343" s="17"/>
      <c r="J343" s="17"/>
    </row>
    <row r="344" spans="1:10" ht="171.75" customHeight="1">
      <c r="A344" s="6" t="s">
        <v>2430</v>
      </c>
      <c r="B344" s="6" t="s">
        <v>9846</v>
      </c>
      <c r="C344" s="6" t="s">
        <v>2431</v>
      </c>
      <c r="D344" s="6" t="s">
        <v>2434</v>
      </c>
      <c r="E344" s="17" t="s">
        <v>2437</v>
      </c>
      <c r="F344" s="17"/>
      <c r="G344" s="17" t="e">
        <f t="shared" ca="1" si="0"/>
        <v>#NAME?</v>
      </c>
      <c r="H344" s="6"/>
      <c r="I344" s="17"/>
      <c r="J344" s="17"/>
    </row>
    <row r="345" spans="1:10" ht="171.75" customHeight="1">
      <c r="A345" s="6" t="s">
        <v>2439</v>
      </c>
      <c r="B345" s="6" t="s">
        <v>9847</v>
      </c>
      <c r="C345" s="6" t="s">
        <v>2440</v>
      </c>
      <c r="D345" s="6" t="s">
        <v>2443</v>
      </c>
      <c r="E345" s="17" t="s">
        <v>2446</v>
      </c>
      <c r="F345" s="17"/>
      <c r="G345" s="17" t="e">
        <f t="shared" ca="1" si="0"/>
        <v>#NAME?</v>
      </c>
      <c r="H345" s="49"/>
      <c r="I345" s="17"/>
      <c r="J345" s="17"/>
    </row>
    <row r="346" spans="1:10" ht="171.75" customHeight="1">
      <c r="A346" s="6" t="s">
        <v>1380</v>
      </c>
      <c r="B346" s="6" t="s">
        <v>9796</v>
      </c>
      <c r="C346" s="6" t="s">
        <v>2448</v>
      </c>
      <c r="D346" s="6" t="s">
        <v>2450</v>
      </c>
      <c r="E346" s="17" t="s">
        <v>2451</v>
      </c>
      <c r="F346" s="17"/>
      <c r="G346" s="17" t="e">
        <f t="shared" ca="1" si="0"/>
        <v>#NAME?</v>
      </c>
      <c r="H346" s="49"/>
      <c r="I346" s="17"/>
      <c r="J346" s="17"/>
    </row>
    <row r="347" spans="1:10" ht="171.75" customHeight="1">
      <c r="A347" s="43" t="s">
        <v>8437</v>
      </c>
      <c r="B347" s="6" t="s">
        <v>9848</v>
      </c>
      <c r="C347" s="6" t="s">
        <v>2454</v>
      </c>
      <c r="D347" s="6" t="s">
        <v>2457</v>
      </c>
      <c r="E347" s="17" t="s">
        <v>2458</v>
      </c>
      <c r="F347" s="17"/>
      <c r="G347" s="17" t="e">
        <f t="shared" ca="1" si="0"/>
        <v>#NAME?</v>
      </c>
      <c r="H347" s="6"/>
      <c r="I347" s="17"/>
      <c r="J347" s="17"/>
    </row>
    <row r="348" spans="1:10" ht="171.75" customHeight="1">
      <c r="A348" s="6" t="s">
        <v>9849</v>
      </c>
      <c r="B348" s="6" t="s">
        <v>9850</v>
      </c>
      <c r="C348" s="6" t="s">
        <v>2461</v>
      </c>
      <c r="D348" s="6" t="s">
        <v>2464</v>
      </c>
      <c r="E348" s="17" t="s">
        <v>2465</v>
      </c>
      <c r="F348" s="17"/>
      <c r="G348" s="17" t="e">
        <f t="shared" ca="1" si="0"/>
        <v>#NAME?</v>
      </c>
      <c r="H348" s="6"/>
      <c r="I348" s="17"/>
      <c r="J348" s="17"/>
    </row>
    <row r="349" spans="1:10" ht="171.75" customHeight="1">
      <c r="A349" s="6" t="s">
        <v>878</v>
      </c>
      <c r="B349" s="6" t="s">
        <v>9770</v>
      </c>
      <c r="C349" s="6" t="s">
        <v>2468</v>
      </c>
      <c r="D349" s="6" t="s">
        <v>2471</v>
      </c>
      <c r="E349" s="17" t="s">
        <v>2472</v>
      </c>
      <c r="F349" s="17"/>
      <c r="G349" s="17" t="e">
        <f t="shared" ca="1" si="0"/>
        <v>#NAME?</v>
      </c>
      <c r="H349" s="6"/>
      <c r="I349" s="17"/>
      <c r="J349" s="17"/>
    </row>
    <row r="350" spans="1:10" ht="171.75" customHeight="1">
      <c r="A350" s="6" t="s">
        <v>878</v>
      </c>
      <c r="B350" s="6" t="s">
        <v>9770</v>
      </c>
      <c r="C350" s="6" t="s">
        <v>2474</v>
      </c>
      <c r="D350" s="6" t="s">
        <v>2477</v>
      </c>
      <c r="E350" s="17" t="s">
        <v>2478</v>
      </c>
      <c r="F350" s="17"/>
      <c r="G350" s="17" t="e">
        <f t="shared" ca="1" si="0"/>
        <v>#NAME?</v>
      </c>
      <c r="H350" s="6"/>
      <c r="I350" s="17"/>
      <c r="J350" s="17"/>
    </row>
    <row r="351" spans="1:10" ht="171.75" customHeight="1">
      <c r="A351" s="43" t="s">
        <v>2480</v>
      </c>
      <c r="B351" s="6" t="s">
        <v>9851</v>
      </c>
      <c r="C351" s="6" t="s">
        <v>2481</v>
      </c>
      <c r="D351" s="6" t="s">
        <v>2484</v>
      </c>
      <c r="E351" s="17" t="s">
        <v>2485</v>
      </c>
      <c r="F351" s="17"/>
      <c r="G351" s="17" t="e">
        <f t="shared" ca="1" si="0"/>
        <v>#NAME?</v>
      </c>
      <c r="H351" s="6"/>
      <c r="I351" s="17"/>
      <c r="J351" s="17"/>
    </row>
    <row r="352" spans="1:10" ht="171.75" customHeight="1">
      <c r="A352" s="43" t="s">
        <v>2487</v>
      </c>
      <c r="B352" s="6" t="s">
        <v>9852</v>
      </c>
      <c r="C352" s="6" t="s">
        <v>2488</v>
      </c>
      <c r="D352" s="6" t="s">
        <v>2491</v>
      </c>
      <c r="E352" s="17" t="s">
        <v>2492</v>
      </c>
      <c r="F352" s="17"/>
      <c r="G352" s="17" t="e">
        <f t="shared" ca="1" si="0"/>
        <v>#NAME?</v>
      </c>
      <c r="H352" s="32"/>
      <c r="I352" s="17"/>
      <c r="J352" s="17"/>
    </row>
    <row r="353" spans="1:10" ht="171.75" customHeight="1">
      <c r="A353" s="6" t="s">
        <v>677</v>
      </c>
      <c r="B353" s="6" t="s">
        <v>9750</v>
      </c>
      <c r="C353" s="6" t="s">
        <v>2494</v>
      </c>
      <c r="D353" s="6" t="s">
        <v>141</v>
      </c>
      <c r="E353" s="17" t="s">
        <v>2499</v>
      </c>
      <c r="F353" s="17"/>
      <c r="G353" s="17" t="e">
        <f t="shared" ca="1" si="0"/>
        <v>#NAME?</v>
      </c>
      <c r="H353" s="6"/>
      <c r="I353" s="17"/>
      <c r="J353" s="17"/>
    </row>
    <row r="354" spans="1:10" ht="171.75" customHeight="1">
      <c r="A354" s="43" t="s">
        <v>2503</v>
      </c>
      <c r="B354" s="6" t="s">
        <v>9853</v>
      </c>
      <c r="C354" s="6" t="s">
        <v>2504</v>
      </c>
      <c r="D354" s="6" t="s">
        <v>2507</v>
      </c>
      <c r="E354" s="10" t="s">
        <v>9687</v>
      </c>
      <c r="F354" s="17"/>
      <c r="G354" s="17" t="e">
        <f t="shared" ca="1" si="0"/>
        <v>#NAME?</v>
      </c>
      <c r="H354" s="6"/>
      <c r="I354" s="17"/>
      <c r="J354" s="17"/>
    </row>
    <row r="355" spans="1:10" ht="171.75" customHeight="1">
      <c r="A355" s="6" t="s">
        <v>152</v>
      </c>
      <c r="B355" s="6" t="s">
        <v>9696</v>
      </c>
      <c r="C355" s="6" t="s">
        <v>2513</v>
      </c>
      <c r="D355" s="6" t="s">
        <v>2516</v>
      </c>
      <c r="E355" s="10" t="s">
        <v>9687</v>
      </c>
      <c r="F355" s="17"/>
      <c r="G355" s="17" t="e">
        <f t="shared" ca="1" si="0"/>
        <v>#NAME?</v>
      </c>
      <c r="H355" s="6"/>
      <c r="I355" s="17"/>
      <c r="J355" s="17"/>
    </row>
    <row r="356" spans="1:10" ht="171.75" customHeight="1">
      <c r="A356" s="43" t="s">
        <v>285</v>
      </c>
      <c r="B356" s="6" t="s">
        <v>9710</v>
      </c>
      <c r="C356" s="6" t="s">
        <v>2520</v>
      </c>
      <c r="D356" s="6" t="s">
        <v>2523</v>
      </c>
      <c r="E356" s="17" t="s">
        <v>2525</v>
      </c>
      <c r="F356" s="17"/>
      <c r="G356" s="17" t="e">
        <f t="shared" ca="1" si="0"/>
        <v>#NAME?</v>
      </c>
      <c r="H356" s="6"/>
      <c r="I356" s="17"/>
      <c r="J356" s="17"/>
    </row>
    <row r="357" spans="1:10" ht="171.75" customHeight="1">
      <c r="A357" s="6" t="s">
        <v>2527</v>
      </c>
      <c r="B357" s="6" t="s">
        <v>9854</v>
      </c>
      <c r="C357" s="6" t="s">
        <v>2528</v>
      </c>
      <c r="D357" s="6" t="s">
        <v>2531</v>
      </c>
      <c r="E357" s="17" t="s">
        <v>2532</v>
      </c>
      <c r="F357" s="17"/>
      <c r="G357" s="17" t="e">
        <f t="shared" ca="1" si="0"/>
        <v>#NAME?</v>
      </c>
      <c r="H357" s="6"/>
      <c r="I357" s="46"/>
      <c r="J357" s="17"/>
    </row>
    <row r="358" spans="1:10" ht="171.75" customHeight="1">
      <c r="A358" s="6" t="s">
        <v>2535</v>
      </c>
      <c r="B358" s="6" t="s">
        <v>9855</v>
      </c>
      <c r="C358" s="6" t="s">
        <v>2536</v>
      </c>
      <c r="D358" s="6" t="s">
        <v>2539</v>
      </c>
      <c r="E358" s="17" t="s">
        <v>2543</v>
      </c>
      <c r="F358" s="17"/>
      <c r="G358" s="17" t="e">
        <f t="shared" ca="1" si="0"/>
        <v>#NAME?</v>
      </c>
      <c r="H358" s="49"/>
      <c r="I358" s="17"/>
      <c r="J358" s="17"/>
    </row>
    <row r="359" spans="1:10" ht="171.75" customHeight="1">
      <c r="A359" s="43" t="s">
        <v>2546</v>
      </c>
      <c r="B359" s="6" t="s">
        <v>9856</v>
      </c>
      <c r="C359" s="6" t="s">
        <v>2547</v>
      </c>
      <c r="D359" s="6" t="s">
        <v>2550</v>
      </c>
      <c r="E359" s="17" t="s">
        <v>2551</v>
      </c>
      <c r="F359" s="17"/>
      <c r="G359" s="17" t="e">
        <f t="shared" ca="1" si="0"/>
        <v>#NAME?</v>
      </c>
      <c r="H359" s="6"/>
      <c r="I359" s="17"/>
      <c r="J359" s="17"/>
    </row>
    <row r="360" spans="1:10" ht="171.75" customHeight="1">
      <c r="A360" s="6" t="s">
        <v>152</v>
      </c>
      <c r="B360" s="6" t="s">
        <v>9696</v>
      </c>
      <c r="C360" s="6" t="s">
        <v>2554</v>
      </c>
      <c r="D360" s="6" t="s">
        <v>2557</v>
      </c>
      <c r="E360" s="17" t="s">
        <v>2559</v>
      </c>
      <c r="F360" s="17"/>
      <c r="G360" s="17" t="e">
        <f t="shared" ca="1" si="0"/>
        <v>#NAME?</v>
      </c>
      <c r="H360" s="6"/>
      <c r="I360" s="17"/>
      <c r="J360" s="17"/>
    </row>
    <row r="361" spans="1:10" ht="171.75" customHeight="1">
      <c r="A361" s="43" t="s">
        <v>278</v>
      </c>
      <c r="B361" s="6" t="s">
        <v>9709</v>
      </c>
      <c r="C361" s="6" t="s">
        <v>2561</v>
      </c>
      <c r="D361" s="6" t="s">
        <v>2564</v>
      </c>
      <c r="E361" s="17" t="s">
        <v>2565</v>
      </c>
      <c r="F361" s="17"/>
      <c r="G361" s="17" t="e">
        <f t="shared" ca="1" si="0"/>
        <v>#NAME?</v>
      </c>
      <c r="H361" s="6"/>
      <c r="I361" s="17"/>
      <c r="J361" s="17"/>
    </row>
    <row r="362" spans="1:10" ht="171.75" customHeight="1">
      <c r="A362" s="43" t="s">
        <v>248</v>
      </c>
      <c r="B362" s="6" t="s">
        <v>9712</v>
      </c>
      <c r="C362" s="6" t="s">
        <v>2567</v>
      </c>
      <c r="D362" s="6" t="s">
        <v>2570</v>
      </c>
      <c r="E362" s="17" t="s">
        <v>2572</v>
      </c>
      <c r="F362" s="17"/>
      <c r="G362" s="17" t="e">
        <f t="shared" ca="1" si="0"/>
        <v>#NAME?</v>
      </c>
      <c r="H362" s="6"/>
      <c r="I362" s="17"/>
      <c r="J362" s="17"/>
    </row>
    <row r="363" spans="1:10" ht="171.75" customHeight="1">
      <c r="A363" s="43" t="s">
        <v>1394</v>
      </c>
      <c r="B363" s="6" t="s">
        <v>9797</v>
      </c>
      <c r="C363" s="6" t="s">
        <v>2574</v>
      </c>
      <c r="D363" s="6" t="s">
        <v>2577</v>
      </c>
      <c r="E363" s="17" t="s">
        <v>2579</v>
      </c>
      <c r="F363" s="17"/>
      <c r="G363" s="17" t="e">
        <f t="shared" ca="1" si="0"/>
        <v>#NAME?</v>
      </c>
      <c r="H363" s="6"/>
      <c r="I363" s="17"/>
      <c r="J363" s="10"/>
    </row>
    <row r="364" spans="1:10" ht="171.75" customHeight="1">
      <c r="A364" s="6" t="s">
        <v>2581</v>
      </c>
      <c r="B364" s="6" t="s">
        <v>9857</v>
      </c>
      <c r="C364" s="6" t="s">
        <v>2582</v>
      </c>
      <c r="D364" s="6" t="s">
        <v>2585</v>
      </c>
      <c r="E364" s="10" t="s">
        <v>2588</v>
      </c>
      <c r="F364" s="17"/>
      <c r="G364" s="17" t="e">
        <f t="shared" ca="1" si="0"/>
        <v>#NAME?</v>
      </c>
      <c r="H364" s="6"/>
      <c r="I364" s="17"/>
      <c r="J364" s="17"/>
    </row>
    <row r="365" spans="1:10" ht="171.75" customHeight="1">
      <c r="A365" s="6" t="s">
        <v>927</v>
      </c>
      <c r="B365" s="6" t="s">
        <v>9775</v>
      </c>
      <c r="C365" s="6" t="s">
        <v>2590</v>
      </c>
      <c r="D365" s="6" t="s">
        <v>2593</v>
      </c>
      <c r="E365" s="17" t="s">
        <v>2594</v>
      </c>
      <c r="F365" s="17"/>
      <c r="G365" s="17" t="e">
        <f t="shared" ca="1" si="0"/>
        <v>#NAME?</v>
      </c>
      <c r="H365" s="6"/>
      <c r="I365" s="6"/>
      <c r="J365" s="32"/>
    </row>
    <row r="366" spans="1:10" ht="171.75" customHeight="1">
      <c r="A366" s="6" t="s">
        <v>2596</v>
      </c>
      <c r="B366" s="6" t="s">
        <v>9858</v>
      </c>
      <c r="C366" s="6" t="s">
        <v>2597</v>
      </c>
      <c r="D366" s="6" t="s">
        <v>141</v>
      </c>
      <c r="E366" s="10" t="s">
        <v>9687</v>
      </c>
      <c r="F366" s="17"/>
      <c r="G366" s="17" t="e">
        <f t="shared" ca="1" si="0"/>
        <v>#NAME?</v>
      </c>
      <c r="H366" s="6"/>
      <c r="I366" s="17"/>
      <c r="J366" s="10"/>
    </row>
    <row r="367" spans="1:10" ht="171.75" customHeight="1">
      <c r="A367" s="6" t="s">
        <v>151</v>
      </c>
      <c r="B367" s="6" t="s">
        <v>151</v>
      </c>
      <c r="C367" s="6" t="s">
        <v>2603</v>
      </c>
      <c r="D367" s="6" t="s">
        <v>2606</v>
      </c>
      <c r="E367" s="10" t="s">
        <v>2608</v>
      </c>
      <c r="F367" s="17"/>
      <c r="G367" s="17" t="e">
        <f t="shared" ca="1" si="0"/>
        <v>#NAME?</v>
      </c>
      <c r="H367" s="6"/>
      <c r="I367" s="17"/>
      <c r="J367" s="10"/>
    </row>
    <row r="368" spans="1:10" ht="171.75" customHeight="1">
      <c r="A368" s="6" t="s">
        <v>151</v>
      </c>
      <c r="B368" s="6" t="s">
        <v>151</v>
      </c>
      <c r="C368" s="6" t="s">
        <v>2610</v>
      </c>
      <c r="D368" s="6" t="s">
        <v>2613</v>
      </c>
      <c r="E368" s="10" t="s">
        <v>2615</v>
      </c>
      <c r="F368" s="17"/>
      <c r="G368" s="17" t="e">
        <f t="shared" ca="1" si="0"/>
        <v>#NAME?</v>
      </c>
      <c r="H368" s="32"/>
      <c r="I368" s="17"/>
      <c r="J368" s="17"/>
    </row>
    <row r="369" spans="1:10" ht="171.75" customHeight="1">
      <c r="A369" s="43" t="s">
        <v>1394</v>
      </c>
      <c r="B369" s="6" t="s">
        <v>9797</v>
      </c>
      <c r="C369" s="6" t="s">
        <v>2617</v>
      </c>
      <c r="D369" s="6" t="s">
        <v>141</v>
      </c>
      <c r="E369" s="17" t="s">
        <v>2622</v>
      </c>
      <c r="F369" s="17"/>
      <c r="G369" s="17" t="e">
        <f t="shared" ca="1" si="0"/>
        <v>#NAME?</v>
      </c>
      <c r="H369" s="6"/>
      <c r="I369" s="17"/>
      <c r="J369" s="10"/>
    </row>
    <row r="370" spans="1:10" ht="171.75" customHeight="1">
      <c r="A370" s="6" t="s">
        <v>2624</v>
      </c>
      <c r="B370" s="6" t="s">
        <v>9859</v>
      </c>
      <c r="C370" s="6" t="s">
        <v>2625</v>
      </c>
      <c r="D370" s="6" t="s">
        <v>2628</v>
      </c>
      <c r="E370" s="10" t="s">
        <v>2632</v>
      </c>
      <c r="F370" s="17"/>
      <c r="G370" s="17" t="e">
        <f t="shared" ca="1" si="0"/>
        <v>#NAME?</v>
      </c>
      <c r="H370" s="6"/>
      <c r="I370" s="17"/>
      <c r="J370" s="10"/>
    </row>
    <row r="371" spans="1:10" ht="171.75" customHeight="1">
      <c r="A371" s="43" t="s">
        <v>136</v>
      </c>
      <c r="B371" s="6" t="s">
        <v>136</v>
      </c>
      <c r="C371" s="6" t="s">
        <v>2634</v>
      </c>
      <c r="D371" s="6" t="s">
        <v>2637</v>
      </c>
      <c r="E371" s="10" t="s">
        <v>2639</v>
      </c>
      <c r="F371" s="17"/>
      <c r="G371" s="17" t="e">
        <f t="shared" ca="1" si="0"/>
        <v>#NAME?</v>
      </c>
      <c r="H371" s="6"/>
      <c r="I371" s="17"/>
      <c r="J371" s="17"/>
    </row>
    <row r="372" spans="1:10" ht="171.75" customHeight="1">
      <c r="A372" s="6" t="s">
        <v>2641</v>
      </c>
      <c r="B372" s="6" t="s">
        <v>9860</v>
      </c>
      <c r="C372" s="6" t="s">
        <v>2642</v>
      </c>
      <c r="D372" s="6" t="s">
        <v>2645</v>
      </c>
      <c r="E372" s="17" t="s">
        <v>2647</v>
      </c>
      <c r="F372" s="17"/>
      <c r="G372" s="17" t="e">
        <f t="shared" ca="1" si="0"/>
        <v>#NAME?</v>
      </c>
      <c r="H372" s="6"/>
      <c r="I372" s="17"/>
      <c r="J372" s="10"/>
    </row>
    <row r="373" spans="1:10" ht="171.75" customHeight="1">
      <c r="A373" s="6" t="s">
        <v>248</v>
      </c>
      <c r="B373" s="6" t="s">
        <v>9712</v>
      </c>
      <c r="C373" s="6" t="s">
        <v>2649</v>
      </c>
      <c r="D373" s="6" t="s">
        <v>2652</v>
      </c>
      <c r="E373" s="10" t="s">
        <v>2654</v>
      </c>
      <c r="F373" s="17"/>
      <c r="G373" s="17" t="e">
        <f t="shared" ca="1" si="0"/>
        <v>#NAME?</v>
      </c>
      <c r="H373" s="6"/>
      <c r="I373" s="17"/>
      <c r="J373" s="17"/>
    </row>
    <row r="374" spans="1:10" ht="171.75" customHeight="1">
      <c r="A374" s="6" t="s">
        <v>927</v>
      </c>
      <c r="B374" s="6" t="s">
        <v>9775</v>
      </c>
      <c r="C374" s="6" t="s">
        <v>2656</v>
      </c>
      <c r="D374" s="6" t="s">
        <v>2659</v>
      </c>
      <c r="E374" s="17" t="s">
        <v>2660</v>
      </c>
      <c r="F374" s="17"/>
      <c r="G374" s="17" t="e">
        <f t="shared" ca="1" si="0"/>
        <v>#NAME?</v>
      </c>
      <c r="H374" s="6"/>
      <c r="I374" s="46"/>
      <c r="J374" s="17"/>
    </row>
    <row r="375" spans="1:10" ht="171.75" customHeight="1">
      <c r="A375" s="6" t="s">
        <v>2662</v>
      </c>
      <c r="B375" s="6" t="s">
        <v>9861</v>
      </c>
      <c r="C375" s="6" t="s">
        <v>2663</v>
      </c>
      <c r="D375" s="6" t="s">
        <v>2666</v>
      </c>
      <c r="E375" s="17" t="s">
        <v>2667</v>
      </c>
      <c r="F375" s="17"/>
      <c r="G375" s="17" t="e">
        <f t="shared" ca="1" si="0"/>
        <v>#NAME?</v>
      </c>
      <c r="H375" s="6"/>
      <c r="I375" s="17"/>
      <c r="J375" s="17"/>
    </row>
    <row r="376" spans="1:10" ht="171.75" customHeight="1">
      <c r="A376" s="43" t="s">
        <v>2669</v>
      </c>
      <c r="B376" s="6" t="s">
        <v>9862</v>
      </c>
      <c r="C376" s="6" t="s">
        <v>2670</v>
      </c>
      <c r="D376" s="6" t="s">
        <v>2673</v>
      </c>
      <c r="E376" s="17" t="s">
        <v>2675</v>
      </c>
      <c r="F376" s="17"/>
      <c r="G376" s="17" t="e">
        <f t="shared" ca="1" si="0"/>
        <v>#NAME?</v>
      </c>
      <c r="H376" s="6"/>
      <c r="I376" s="17"/>
      <c r="J376" s="17"/>
    </row>
    <row r="377" spans="1:10" ht="171.75" customHeight="1">
      <c r="A377" s="43" t="s">
        <v>2677</v>
      </c>
      <c r="B377" s="6" t="s">
        <v>9748</v>
      </c>
      <c r="C377" s="6" t="s">
        <v>2678</v>
      </c>
      <c r="D377" s="6" t="s">
        <v>2681</v>
      </c>
      <c r="E377" s="17" t="s">
        <v>2682</v>
      </c>
      <c r="F377" s="17"/>
      <c r="G377" s="17" t="e">
        <f t="shared" ca="1" si="0"/>
        <v>#NAME?</v>
      </c>
      <c r="H377" s="6"/>
      <c r="I377" s="6"/>
      <c r="J377" s="10"/>
    </row>
    <row r="378" spans="1:10" ht="171.75" customHeight="1">
      <c r="A378" s="6" t="s">
        <v>2300</v>
      </c>
      <c r="B378" s="6" t="s">
        <v>2300</v>
      </c>
      <c r="C378" s="6" t="s">
        <v>2684</v>
      </c>
      <c r="D378" s="6" t="s">
        <v>141</v>
      </c>
      <c r="E378" s="10" t="s">
        <v>9687</v>
      </c>
      <c r="F378" s="17"/>
      <c r="G378" s="17" t="e">
        <f t="shared" ca="1" si="0"/>
        <v>#NAME?</v>
      </c>
      <c r="H378" s="6"/>
      <c r="I378" s="17"/>
      <c r="J378" s="10"/>
    </row>
    <row r="379" spans="1:10" ht="171.75" customHeight="1">
      <c r="A379" s="43" t="s">
        <v>2688</v>
      </c>
      <c r="B379" s="6" t="s">
        <v>9863</v>
      </c>
      <c r="C379" s="6" t="s">
        <v>2689</v>
      </c>
      <c r="D379" s="6" t="s">
        <v>2692</v>
      </c>
      <c r="E379" s="10" t="s">
        <v>2695</v>
      </c>
      <c r="F379" s="17"/>
      <c r="G379" s="17" t="e">
        <f t="shared" ca="1" si="0"/>
        <v>#NAME?</v>
      </c>
      <c r="H379" s="6"/>
      <c r="I379" s="6"/>
      <c r="J379" s="10"/>
    </row>
    <row r="380" spans="1:10" ht="171.75" customHeight="1">
      <c r="A380" s="6" t="s">
        <v>2697</v>
      </c>
      <c r="B380" s="6" t="s">
        <v>9864</v>
      </c>
      <c r="C380" s="6" t="s">
        <v>2698</v>
      </c>
      <c r="D380" s="6" t="s">
        <v>2700</v>
      </c>
      <c r="E380" s="10" t="s">
        <v>2703</v>
      </c>
      <c r="F380" s="17"/>
      <c r="G380" s="17" t="e">
        <f t="shared" ca="1" si="0"/>
        <v>#NAME?</v>
      </c>
      <c r="H380" s="6"/>
      <c r="I380" s="6"/>
      <c r="J380" s="32"/>
    </row>
    <row r="381" spans="1:10" ht="171.75" customHeight="1">
      <c r="A381" s="6" t="s">
        <v>9865</v>
      </c>
      <c r="B381" s="6" t="s">
        <v>9866</v>
      </c>
      <c r="C381" s="6" t="s">
        <v>2706</v>
      </c>
      <c r="D381" s="6" t="s">
        <v>2708</v>
      </c>
      <c r="E381" s="32" t="s">
        <v>2710</v>
      </c>
      <c r="F381" s="17"/>
      <c r="G381" s="17" t="e">
        <f t="shared" ca="1" si="0"/>
        <v>#NAME?</v>
      </c>
      <c r="H381" s="6"/>
      <c r="I381" s="6"/>
      <c r="J381" s="10"/>
    </row>
    <row r="382" spans="1:10" ht="171.75" customHeight="1">
      <c r="A382" s="6" t="s">
        <v>2712</v>
      </c>
      <c r="B382" s="6" t="s">
        <v>9867</v>
      </c>
      <c r="C382" s="6" t="s">
        <v>2713</v>
      </c>
      <c r="D382" s="6" t="s">
        <v>2715</v>
      </c>
      <c r="E382" s="10" t="s">
        <v>2718</v>
      </c>
      <c r="F382" s="17"/>
      <c r="G382" s="17" t="e">
        <f t="shared" ca="1" si="0"/>
        <v>#NAME?</v>
      </c>
      <c r="H382" s="6"/>
      <c r="I382" s="6"/>
      <c r="J382" s="10"/>
    </row>
    <row r="383" spans="1:10" ht="171.75" customHeight="1">
      <c r="A383" s="6" t="s">
        <v>210</v>
      </c>
      <c r="B383" s="6" t="s">
        <v>9819</v>
      </c>
      <c r="C383" s="6" t="s">
        <v>2721</v>
      </c>
      <c r="D383" s="6" t="s">
        <v>2723</v>
      </c>
      <c r="E383" s="10" t="s">
        <v>2726</v>
      </c>
      <c r="F383" s="17"/>
      <c r="G383" s="17" t="e">
        <f t="shared" ca="1" si="0"/>
        <v>#NAME?</v>
      </c>
      <c r="H383" s="6"/>
      <c r="I383" s="6"/>
      <c r="J383" s="10"/>
    </row>
    <row r="384" spans="1:10" ht="171.75" customHeight="1">
      <c r="A384" s="6" t="s">
        <v>210</v>
      </c>
      <c r="B384" s="6" t="s">
        <v>9819</v>
      </c>
      <c r="C384" s="6" t="s">
        <v>2728</v>
      </c>
      <c r="D384" s="6" t="s">
        <v>2730</v>
      </c>
      <c r="E384" s="10" t="s">
        <v>2732</v>
      </c>
      <c r="F384" s="17"/>
      <c r="G384" s="17" t="e">
        <f t="shared" ca="1" si="0"/>
        <v>#NAME?</v>
      </c>
      <c r="H384" s="6"/>
      <c r="I384" s="17"/>
      <c r="J384" s="17"/>
    </row>
    <row r="385" spans="1:10" ht="171.75" customHeight="1">
      <c r="A385" s="6" t="s">
        <v>2734</v>
      </c>
      <c r="B385" s="6" t="s">
        <v>2734</v>
      </c>
      <c r="C385" s="6" t="s">
        <v>2735</v>
      </c>
      <c r="D385" s="6" t="s">
        <v>2738</v>
      </c>
      <c r="E385" s="17" t="s">
        <v>2741</v>
      </c>
      <c r="F385" s="17"/>
      <c r="G385" s="17" t="e">
        <f t="shared" ca="1" si="0"/>
        <v>#NAME?</v>
      </c>
      <c r="H385" s="6"/>
      <c r="I385" s="17"/>
      <c r="J385" s="17"/>
    </row>
    <row r="386" spans="1:10" ht="171.75" customHeight="1">
      <c r="A386" s="43" t="s">
        <v>2743</v>
      </c>
      <c r="B386" s="6" t="s">
        <v>2743</v>
      </c>
      <c r="C386" s="6" t="s">
        <v>2744</v>
      </c>
      <c r="D386" s="6" t="s">
        <v>2747</v>
      </c>
      <c r="E386" s="17" t="s">
        <v>2751</v>
      </c>
      <c r="F386" s="17"/>
      <c r="G386" s="17" t="e">
        <f t="shared" ca="1" si="0"/>
        <v>#NAME?</v>
      </c>
      <c r="H386" s="6"/>
      <c r="I386" s="17"/>
      <c r="J386" s="17"/>
    </row>
    <row r="387" spans="1:10" ht="171.75" customHeight="1">
      <c r="A387" s="43" t="s">
        <v>2743</v>
      </c>
      <c r="B387" s="6" t="s">
        <v>2743</v>
      </c>
      <c r="C387" s="6" t="s">
        <v>2753</v>
      </c>
      <c r="D387" s="6" t="s">
        <v>2756</v>
      </c>
      <c r="E387" s="17" t="s">
        <v>2759</v>
      </c>
      <c r="F387" s="17"/>
      <c r="G387" s="17" t="e">
        <f t="shared" ca="1" si="0"/>
        <v>#NAME?</v>
      </c>
      <c r="H387" s="6"/>
      <c r="I387" s="17"/>
      <c r="J387" s="10"/>
    </row>
    <row r="388" spans="1:10" ht="171.75" customHeight="1">
      <c r="A388" s="6" t="s">
        <v>698</v>
      </c>
      <c r="B388" s="6" t="s">
        <v>9752</v>
      </c>
      <c r="C388" s="6" t="s">
        <v>2761</v>
      </c>
      <c r="D388" s="6" t="s">
        <v>2764</v>
      </c>
      <c r="E388" s="10" t="s">
        <v>2767</v>
      </c>
      <c r="F388" s="17"/>
      <c r="G388" s="17" t="e">
        <f t="shared" ca="1" si="0"/>
        <v>#NAME?</v>
      </c>
      <c r="H388" s="32"/>
      <c r="I388" s="17"/>
      <c r="J388" s="10"/>
    </row>
    <row r="389" spans="1:10" ht="171.75" customHeight="1">
      <c r="A389" s="6" t="s">
        <v>199</v>
      </c>
      <c r="B389" s="6" t="s">
        <v>9708</v>
      </c>
      <c r="C389" s="6" t="s">
        <v>2769</v>
      </c>
      <c r="D389" s="6" t="s">
        <v>141</v>
      </c>
      <c r="E389" s="10" t="s">
        <v>2774</v>
      </c>
      <c r="F389" s="17"/>
      <c r="G389" s="17" t="e">
        <f t="shared" ca="1" si="0"/>
        <v>#NAME?</v>
      </c>
      <c r="H389" s="6"/>
      <c r="I389" s="17"/>
      <c r="J389" s="10"/>
    </row>
    <row r="390" spans="1:10" ht="171.75" customHeight="1">
      <c r="A390" s="43" t="s">
        <v>2776</v>
      </c>
      <c r="B390" s="6" t="s">
        <v>9868</v>
      </c>
      <c r="C390" s="6" t="s">
        <v>2777</v>
      </c>
      <c r="D390" s="43" t="s">
        <v>2780</v>
      </c>
      <c r="E390" s="10" t="s">
        <v>2784</v>
      </c>
      <c r="F390" s="17"/>
      <c r="G390" s="17" t="e">
        <f t="shared" ca="1" si="0"/>
        <v>#NAME?</v>
      </c>
      <c r="H390" s="6"/>
      <c r="I390" s="17"/>
      <c r="J390" s="10"/>
    </row>
    <row r="391" spans="1:10" ht="171.75" customHeight="1">
      <c r="A391" s="43" t="s">
        <v>2776</v>
      </c>
      <c r="B391" s="6" t="s">
        <v>9868</v>
      </c>
      <c r="C391" s="6" t="s">
        <v>2786</v>
      </c>
      <c r="D391" s="43" t="s">
        <v>2789</v>
      </c>
      <c r="E391" s="10" t="s">
        <v>2791</v>
      </c>
      <c r="F391" s="17"/>
      <c r="G391" s="17" t="e">
        <f t="shared" ca="1" si="0"/>
        <v>#NAME?</v>
      </c>
      <c r="H391" s="6"/>
      <c r="I391" s="17"/>
      <c r="J391" s="17"/>
    </row>
    <row r="392" spans="1:10" ht="171.75" customHeight="1">
      <c r="A392" s="43" t="s">
        <v>248</v>
      </c>
      <c r="B392" s="6" t="s">
        <v>9712</v>
      </c>
      <c r="C392" s="6" t="s">
        <v>2793</v>
      </c>
      <c r="D392" s="43" t="s">
        <v>2796</v>
      </c>
      <c r="E392" s="17" t="s">
        <v>2799</v>
      </c>
      <c r="F392" s="17"/>
      <c r="G392" s="17" t="e">
        <f t="shared" ca="1" si="0"/>
        <v>#NAME?</v>
      </c>
      <c r="H392" s="6"/>
      <c r="I392" s="17"/>
      <c r="J392" s="17"/>
    </row>
    <row r="393" spans="1:10" ht="171.75" customHeight="1">
      <c r="A393" s="6" t="s">
        <v>2801</v>
      </c>
      <c r="B393" s="6" t="s">
        <v>9869</v>
      </c>
      <c r="C393" s="6" t="s">
        <v>2802</v>
      </c>
      <c r="D393" s="6" t="s">
        <v>2805</v>
      </c>
      <c r="E393" s="17" t="s">
        <v>2807</v>
      </c>
      <c r="F393" s="17"/>
      <c r="G393" s="17" t="e">
        <f t="shared" ca="1" si="0"/>
        <v>#NAME?</v>
      </c>
      <c r="H393" s="6"/>
      <c r="I393" s="17"/>
      <c r="J393" s="17"/>
    </row>
    <row r="394" spans="1:10" ht="171.75" customHeight="1">
      <c r="A394" s="43" t="s">
        <v>2352</v>
      </c>
      <c r="B394" s="6" t="s">
        <v>2352</v>
      </c>
      <c r="C394" s="6" t="s">
        <v>2809</v>
      </c>
      <c r="D394" s="6" t="s">
        <v>2812</v>
      </c>
      <c r="E394" s="17" t="s">
        <v>2815</v>
      </c>
      <c r="F394" s="17"/>
      <c r="G394" s="17" t="e">
        <f t="shared" ca="1" si="0"/>
        <v>#NAME?</v>
      </c>
      <c r="H394" s="6"/>
      <c r="I394" s="17"/>
      <c r="J394" s="17"/>
    </row>
    <row r="395" spans="1:10" ht="171.75" customHeight="1">
      <c r="A395" s="43" t="s">
        <v>2817</v>
      </c>
      <c r="B395" s="6" t="s">
        <v>9870</v>
      </c>
      <c r="C395" s="6" t="s">
        <v>2818</v>
      </c>
      <c r="D395" s="6" t="s">
        <v>2821</v>
      </c>
      <c r="E395" s="17" t="s">
        <v>2823</v>
      </c>
      <c r="F395" s="17"/>
      <c r="G395" s="17" t="e">
        <f t="shared" ca="1" si="0"/>
        <v>#NAME?</v>
      </c>
      <c r="H395" s="6"/>
      <c r="I395" s="17"/>
      <c r="J395" s="17"/>
    </row>
    <row r="396" spans="1:10" ht="171.75" customHeight="1">
      <c r="A396" s="43" t="s">
        <v>2817</v>
      </c>
      <c r="B396" s="6" t="s">
        <v>9870</v>
      </c>
      <c r="C396" s="6" t="s">
        <v>2825</v>
      </c>
      <c r="D396" s="6" t="s">
        <v>2828</v>
      </c>
      <c r="E396" s="10" t="s">
        <v>9687</v>
      </c>
      <c r="F396" s="17"/>
      <c r="G396" s="17" t="e">
        <f t="shared" ca="1" si="0"/>
        <v>#NAME?</v>
      </c>
      <c r="H396" s="6"/>
      <c r="I396" s="17"/>
      <c r="J396" s="17"/>
    </row>
    <row r="397" spans="1:10" ht="171.75" customHeight="1">
      <c r="A397" s="43" t="s">
        <v>2688</v>
      </c>
      <c r="B397" s="6" t="s">
        <v>9863</v>
      </c>
      <c r="C397" s="6" t="s">
        <v>2830</v>
      </c>
      <c r="D397" s="6" t="s">
        <v>2833</v>
      </c>
      <c r="E397" s="17" t="s">
        <v>2835</v>
      </c>
      <c r="F397" s="17"/>
      <c r="G397" s="17" t="e">
        <f t="shared" ca="1" si="0"/>
        <v>#NAME?</v>
      </c>
      <c r="H397" s="6"/>
      <c r="I397" s="17"/>
      <c r="J397" s="17"/>
    </row>
    <row r="398" spans="1:10" ht="171.75" customHeight="1">
      <c r="A398" s="43" t="s">
        <v>2743</v>
      </c>
      <c r="B398" s="6" t="s">
        <v>2743</v>
      </c>
      <c r="C398" s="6" t="s">
        <v>2837</v>
      </c>
      <c r="D398" s="43" t="s">
        <v>2840</v>
      </c>
      <c r="E398" s="17" t="s">
        <v>2843</v>
      </c>
      <c r="F398" s="17"/>
      <c r="G398" s="17" t="e">
        <f t="shared" ca="1" si="0"/>
        <v>#NAME?</v>
      </c>
      <c r="H398" s="6"/>
      <c r="I398" s="17"/>
      <c r="J398" s="10"/>
    </row>
    <row r="399" spans="1:10" ht="171.75" customHeight="1">
      <c r="A399" s="6" t="s">
        <v>249</v>
      </c>
      <c r="B399" s="6" t="s">
        <v>9779</v>
      </c>
      <c r="C399" s="6" t="s">
        <v>2845</v>
      </c>
      <c r="D399" s="43" t="s">
        <v>2848</v>
      </c>
      <c r="E399" s="10" t="s">
        <v>2851</v>
      </c>
      <c r="F399" s="17"/>
      <c r="G399" s="17" t="e">
        <f t="shared" ca="1" si="0"/>
        <v>#NAME?</v>
      </c>
      <c r="H399" s="6"/>
      <c r="I399" s="17"/>
      <c r="J399" s="10"/>
    </row>
    <row r="400" spans="1:10" ht="171.75" customHeight="1">
      <c r="A400" s="43" t="s">
        <v>2535</v>
      </c>
      <c r="B400" s="6" t="s">
        <v>9855</v>
      </c>
      <c r="C400" s="6" t="s">
        <v>2853</v>
      </c>
      <c r="D400" s="6" t="s">
        <v>141</v>
      </c>
      <c r="E400" s="10" t="s">
        <v>2858</v>
      </c>
      <c r="F400" s="17"/>
      <c r="G400" s="17" t="e">
        <f t="shared" ca="1" si="0"/>
        <v>#NAME?</v>
      </c>
      <c r="H400" s="6"/>
      <c r="I400" s="17"/>
      <c r="J400" s="17"/>
    </row>
    <row r="401" spans="1:10" ht="171.75" customHeight="1">
      <c r="A401" s="43" t="s">
        <v>2861</v>
      </c>
      <c r="B401" s="6" t="s">
        <v>9871</v>
      </c>
      <c r="C401" s="6" t="s">
        <v>2862</v>
      </c>
      <c r="D401" s="6" t="s">
        <v>2865</v>
      </c>
      <c r="E401" s="10" t="s">
        <v>9687</v>
      </c>
      <c r="F401" s="17"/>
      <c r="G401" s="17" t="e">
        <f t="shared" ca="1" si="0"/>
        <v>#NAME?</v>
      </c>
      <c r="H401" s="6"/>
      <c r="I401" s="17"/>
      <c r="J401" s="17"/>
    </row>
    <row r="402" spans="1:10" ht="171.75" customHeight="1">
      <c r="A402" s="6" t="s">
        <v>698</v>
      </c>
      <c r="B402" s="6" t="s">
        <v>9752</v>
      </c>
      <c r="C402" s="6" t="s">
        <v>2870</v>
      </c>
      <c r="D402" s="6" t="s">
        <v>2873</v>
      </c>
      <c r="E402" s="17" t="s">
        <v>2876</v>
      </c>
      <c r="F402" s="17"/>
      <c r="G402" s="17" t="e">
        <f t="shared" ca="1" si="0"/>
        <v>#NAME?</v>
      </c>
      <c r="H402" s="32"/>
      <c r="I402" s="17"/>
      <c r="J402" s="17"/>
    </row>
    <row r="403" spans="1:10" ht="171.75" customHeight="1">
      <c r="A403" s="6" t="s">
        <v>677</v>
      </c>
      <c r="B403" s="6" t="s">
        <v>9750</v>
      </c>
      <c r="C403" s="6" t="s">
        <v>2878</v>
      </c>
      <c r="D403" s="6" t="s">
        <v>141</v>
      </c>
      <c r="E403" s="17" t="s">
        <v>2883</v>
      </c>
      <c r="F403" s="17"/>
      <c r="G403" s="17" t="e">
        <f t="shared" ca="1" si="0"/>
        <v>#NAME?</v>
      </c>
      <c r="H403" s="32"/>
      <c r="I403" s="17"/>
      <c r="J403" s="17"/>
    </row>
    <row r="404" spans="1:10" ht="171.75" customHeight="1">
      <c r="A404" s="6" t="s">
        <v>677</v>
      </c>
      <c r="B404" s="6" t="s">
        <v>9750</v>
      </c>
      <c r="C404" s="6" t="s">
        <v>2887</v>
      </c>
      <c r="D404" s="6" t="s">
        <v>141</v>
      </c>
      <c r="E404" s="17" t="s">
        <v>2892</v>
      </c>
      <c r="F404" s="17"/>
      <c r="G404" s="17" t="e">
        <f t="shared" ca="1" si="0"/>
        <v>#NAME?</v>
      </c>
      <c r="H404" s="32"/>
      <c r="I404" s="17"/>
      <c r="J404" s="17"/>
    </row>
    <row r="405" spans="1:10" ht="171.75" customHeight="1">
      <c r="A405" s="6" t="s">
        <v>677</v>
      </c>
      <c r="B405" s="6" t="s">
        <v>9750</v>
      </c>
      <c r="C405" s="6" t="s">
        <v>2894</v>
      </c>
      <c r="D405" s="6" t="s">
        <v>141</v>
      </c>
      <c r="E405" s="17" t="s">
        <v>2899</v>
      </c>
      <c r="F405" s="17"/>
      <c r="G405" s="17" t="e">
        <f t="shared" ca="1" si="0"/>
        <v>#NAME?</v>
      </c>
      <c r="H405" s="6"/>
      <c r="I405" s="17"/>
      <c r="J405" s="10"/>
    </row>
    <row r="406" spans="1:10" ht="171.75" customHeight="1">
      <c r="A406" s="43" t="s">
        <v>2901</v>
      </c>
      <c r="B406" s="6" t="s">
        <v>9872</v>
      </c>
      <c r="C406" s="6" t="s">
        <v>2902</v>
      </c>
      <c r="D406" s="6" t="s">
        <v>2905</v>
      </c>
      <c r="E406" s="10" t="s">
        <v>9687</v>
      </c>
      <c r="F406" s="17"/>
      <c r="G406" s="17" t="e">
        <f t="shared" ca="1" si="0"/>
        <v>#NAME?</v>
      </c>
      <c r="H406" s="6"/>
      <c r="I406" s="17"/>
      <c r="J406" s="17"/>
    </row>
    <row r="407" spans="1:10" ht="171.75" customHeight="1">
      <c r="A407" s="6" t="s">
        <v>152</v>
      </c>
      <c r="B407" s="6" t="s">
        <v>9696</v>
      </c>
      <c r="C407" s="6" t="s">
        <v>2909</v>
      </c>
      <c r="D407" s="6" t="s">
        <v>2912</v>
      </c>
      <c r="E407" s="17" t="s">
        <v>2914</v>
      </c>
      <c r="F407" s="17"/>
      <c r="G407" s="17" t="e">
        <f t="shared" ca="1" si="0"/>
        <v>#NAME?</v>
      </c>
      <c r="H407" s="6"/>
      <c r="I407" s="17"/>
      <c r="J407" s="10"/>
    </row>
    <row r="408" spans="1:10" ht="171.75" customHeight="1">
      <c r="A408" s="43" t="s">
        <v>638</v>
      </c>
      <c r="B408" s="6" t="s">
        <v>638</v>
      </c>
      <c r="C408" s="6" t="s">
        <v>2917</v>
      </c>
      <c r="D408" s="43" t="s">
        <v>2920</v>
      </c>
      <c r="E408" s="10" t="s">
        <v>2922</v>
      </c>
      <c r="F408" s="17"/>
      <c r="G408" s="17" t="e">
        <f t="shared" ca="1" si="0"/>
        <v>#NAME?</v>
      </c>
      <c r="H408" s="6"/>
      <c r="I408" s="17"/>
      <c r="J408" s="10"/>
    </row>
    <row r="409" spans="1:10" ht="171.75" customHeight="1">
      <c r="A409" s="6" t="s">
        <v>698</v>
      </c>
      <c r="B409" s="6" t="s">
        <v>9752</v>
      </c>
      <c r="C409" s="6" t="s">
        <v>2924</v>
      </c>
      <c r="D409" s="6" t="s">
        <v>2927</v>
      </c>
      <c r="E409" s="10" t="s">
        <v>2929</v>
      </c>
      <c r="F409" s="17"/>
      <c r="G409" s="17" t="e">
        <f t="shared" ca="1" si="0"/>
        <v>#NAME?</v>
      </c>
      <c r="H409" s="6"/>
      <c r="I409" s="17"/>
      <c r="J409" s="17"/>
    </row>
    <row r="410" spans="1:10" ht="171.75" customHeight="1">
      <c r="A410" s="43" t="s">
        <v>2734</v>
      </c>
      <c r="B410" s="6" t="s">
        <v>2734</v>
      </c>
      <c r="C410" s="6" t="s">
        <v>2932</v>
      </c>
      <c r="D410" s="6" t="s">
        <v>2935</v>
      </c>
      <c r="E410" s="17" t="s">
        <v>2936</v>
      </c>
      <c r="F410" s="17"/>
      <c r="G410" s="17" t="e">
        <f t="shared" ca="1" si="0"/>
        <v>#NAME?</v>
      </c>
      <c r="H410" s="6"/>
      <c r="I410" s="17"/>
      <c r="J410" s="17"/>
    </row>
    <row r="411" spans="1:10" ht="171.75" customHeight="1">
      <c r="A411" s="43" t="s">
        <v>2817</v>
      </c>
      <c r="B411" s="6" t="s">
        <v>9870</v>
      </c>
      <c r="C411" s="6" t="s">
        <v>2939</v>
      </c>
      <c r="D411" s="6" t="s">
        <v>2942</v>
      </c>
      <c r="E411" s="17" t="s">
        <v>2944</v>
      </c>
      <c r="F411" s="17"/>
      <c r="G411" s="17" t="e">
        <f t="shared" ca="1" si="0"/>
        <v>#NAME?</v>
      </c>
      <c r="H411" s="6"/>
      <c r="I411" s="17"/>
      <c r="J411" s="17"/>
    </row>
    <row r="412" spans="1:10" ht="171.75" customHeight="1">
      <c r="A412" s="43" t="s">
        <v>2352</v>
      </c>
      <c r="B412" s="6" t="s">
        <v>2352</v>
      </c>
      <c r="C412" s="6" t="s">
        <v>2946</v>
      </c>
      <c r="D412" s="6" t="s">
        <v>2949</v>
      </c>
      <c r="E412" s="17" t="s">
        <v>2950</v>
      </c>
      <c r="F412" s="17"/>
      <c r="G412" s="17" t="e">
        <f t="shared" ca="1" si="0"/>
        <v>#NAME?</v>
      </c>
      <c r="H412" s="6"/>
      <c r="I412" s="17"/>
      <c r="J412" s="10"/>
    </row>
    <row r="413" spans="1:10" ht="171.75" customHeight="1">
      <c r="A413" s="6" t="s">
        <v>2952</v>
      </c>
      <c r="B413" s="6" t="s">
        <v>9873</v>
      </c>
      <c r="C413" s="6" t="s">
        <v>2953</v>
      </c>
      <c r="D413" s="43" t="s">
        <v>2956</v>
      </c>
      <c r="E413" s="10" t="s">
        <v>2957</v>
      </c>
      <c r="F413" s="17"/>
      <c r="G413" s="17" t="e">
        <f t="shared" ca="1" si="0"/>
        <v>#NAME?</v>
      </c>
      <c r="H413" s="6"/>
      <c r="I413" s="17"/>
      <c r="J413" s="17"/>
    </row>
    <row r="414" spans="1:10" ht="171.75" customHeight="1">
      <c r="A414" s="43" t="s">
        <v>2734</v>
      </c>
      <c r="B414" s="6" t="s">
        <v>2734</v>
      </c>
      <c r="C414" s="6" t="s">
        <v>2959</v>
      </c>
      <c r="D414" s="6" t="s">
        <v>2962</v>
      </c>
      <c r="E414" s="17" t="s">
        <v>2963</v>
      </c>
      <c r="F414" s="17"/>
      <c r="G414" s="17" t="e">
        <f t="shared" ca="1" si="0"/>
        <v>#NAME?</v>
      </c>
      <c r="H414" s="6"/>
      <c r="I414" s="6"/>
      <c r="J414" s="17"/>
    </row>
    <row r="415" spans="1:10" ht="171.75" customHeight="1">
      <c r="A415" s="43" t="s">
        <v>2817</v>
      </c>
      <c r="B415" s="6" t="s">
        <v>9870</v>
      </c>
      <c r="C415" s="6" t="s">
        <v>2966</v>
      </c>
      <c r="D415" s="6" t="s">
        <v>2969</v>
      </c>
      <c r="E415" s="17" t="s">
        <v>2970</v>
      </c>
      <c r="F415" s="17"/>
      <c r="G415" s="17" t="e">
        <f t="shared" ca="1" si="0"/>
        <v>#NAME?</v>
      </c>
      <c r="H415" s="6"/>
      <c r="I415" s="6"/>
      <c r="J415" s="10"/>
    </row>
    <row r="416" spans="1:10" ht="171.75" customHeight="1">
      <c r="A416" s="43" t="s">
        <v>2352</v>
      </c>
      <c r="B416" s="6" t="s">
        <v>2352</v>
      </c>
      <c r="C416" s="6" t="s">
        <v>2972</v>
      </c>
      <c r="D416" s="6" t="s">
        <v>2975</v>
      </c>
      <c r="E416" s="10" t="s">
        <v>2979</v>
      </c>
      <c r="F416" s="17"/>
      <c r="G416" s="17" t="e">
        <f t="shared" ca="1" si="0"/>
        <v>#NAME?</v>
      </c>
      <c r="H416" s="6"/>
      <c r="I416" s="17"/>
      <c r="J416" s="17"/>
    </row>
    <row r="417" spans="1:10" ht="171.75" customHeight="1">
      <c r="A417" s="6" t="s">
        <v>2981</v>
      </c>
      <c r="B417" s="6" t="s">
        <v>9874</v>
      </c>
      <c r="C417" s="6" t="s">
        <v>2982</v>
      </c>
      <c r="D417" s="6" t="s">
        <v>2985</v>
      </c>
      <c r="E417" s="17" t="s">
        <v>2986</v>
      </c>
      <c r="F417" s="17"/>
      <c r="G417" s="17" t="e">
        <f t="shared" ca="1" si="0"/>
        <v>#NAME?</v>
      </c>
      <c r="H417" s="6"/>
      <c r="I417" s="17"/>
      <c r="J417" s="17"/>
    </row>
    <row r="418" spans="1:10" ht="171.75" customHeight="1">
      <c r="A418" s="6" t="s">
        <v>2988</v>
      </c>
      <c r="B418" s="6" t="s">
        <v>9875</v>
      </c>
      <c r="C418" s="6" t="s">
        <v>2989</v>
      </c>
      <c r="D418" s="6" t="s">
        <v>2992</v>
      </c>
      <c r="E418" s="17" t="s">
        <v>2996</v>
      </c>
      <c r="F418" s="17"/>
      <c r="G418" s="17" t="e">
        <f t="shared" ca="1" si="0"/>
        <v>#NAME?</v>
      </c>
      <c r="H418" s="6"/>
      <c r="I418" s="17"/>
      <c r="J418" s="17"/>
    </row>
    <row r="419" spans="1:10" ht="171.75" customHeight="1">
      <c r="A419" s="6" t="s">
        <v>2988</v>
      </c>
      <c r="B419" s="6" t="s">
        <v>9875</v>
      </c>
      <c r="C419" s="6" t="s">
        <v>2999</v>
      </c>
      <c r="D419" s="6" t="s">
        <v>3002</v>
      </c>
      <c r="E419" s="17" t="s">
        <v>3005</v>
      </c>
      <c r="F419" s="17"/>
      <c r="G419" s="17" t="e">
        <f t="shared" ca="1" si="0"/>
        <v>#NAME?</v>
      </c>
      <c r="H419" s="6"/>
      <c r="I419" s="17"/>
      <c r="J419" s="17"/>
    </row>
    <row r="420" spans="1:10" ht="171.75" customHeight="1">
      <c r="A420" s="6" t="s">
        <v>2988</v>
      </c>
      <c r="B420" s="6" t="s">
        <v>9875</v>
      </c>
      <c r="C420" s="6" t="s">
        <v>3008</v>
      </c>
      <c r="D420" s="6" t="s">
        <v>3011</v>
      </c>
      <c r="E420" s="17" t="s">
        <v>3014</v>
      </c>
      <c r="F420" s="17"/>
      <c r="G420" s="17" t="e">
        <f t="shared" ca="1" si="0"/>
        <v>#NAME?</v>
      </c>
      <c r="H420" s="6"/>
      <c r="I420" s="17"/>
      <c r="J420" s="17"/>
    </row>
    <row r="421" spans="1:10" ht="171.75" customHeight="1">
      <c r="A421" s="6" t="s">
        <v>2988</v>
      </c>
      <c r="B421" s="6" t="s">
        <v>9875</v>
      </c>
      <c r="C421" s="6" t="s">
        <v>3017</v>
      </c>
      <c r="D421" s="6" t="s">
        <v>3020</v>
      </c>
      <c r="E421" s="17" t="s">
        <v>3022</v>
      </c>
      <c r="F421" s="17"/>
      <c r="G421" s="17" t="e">
        <f t="shared" ca="1" si="0"/>
        <v>#NAME?</v>
      </c>
      <c r="H421" s="6"/>
      <c r="I421" s="17"/>
      <c r="J421" s="17"/>
    </row>
    <row r="422" spans="1:10" ht="171.75" customHeight="1">
      <c r="A422" s="6" t="s">
        <v>2988</v>
      </c>
      <c r="B422" s="6" t="s">
        <v>9875</v>
      </c>
      <c r="C422" s="6" t="s">
        <v>3025</v>
      </c>
      <c r="D422" s="6" t="s">
        <v>3028</v>
      </c>
      <c r="E422" s="17" t="s">
        <v>3030</v>
      </c>
      <c r="F422" s="17"/>
      <c r="G422" s="17" t="e">
        <f t="shared" ca="1" si="0"/>
        <v>#NAME?</v>
      </c>
      <c r="H422" s="6"/>
      <c r="I422" s="17"/>
      <c r="J422" s="17"/>
    </row>
    <row r="423" spans="1:10" ht="171.75" customHeight="1">
      <c r="A423" s="6" t="s">
        <v>2988</v>
      </c>
      <c r="B423" s="6" t="s">
        <v>9875</v>
      </c>
      <c r="C423" s="6" t="s">
        <v>3033</v>
      </c>
      <c r="D423" s="6" t="s">
        <v>3036</v>
      </c>
      <c r="E423" s="17" t="s">
        <v>3039</v>
      </c>
      <c r="F423" s="17"/>
      <c r="G423" s="17" t="e">
        <f t="shared" ca="1" si="0"/>
        <v>#NAME?</v>
      </c>
      <c r="H423" s="6"/>
      <c r="I423" s="17"/>
      <c r="J423" s="17"/>
    </row>
    <row r="424" spans="1:10" ht="171.75" customHeight="1">
      <c r="A424" s="6" t="s">
        <v>2988</v>
      </c>
      <c r="B424" s="6" t="s">
        <v>9875</v>
      </c>
      <c r="C424" s="6" t="s">
        <v>3042</v>
      </c>
      <c r="D424" s="6" t="s">
        <v>3045</v>
      </c>
      <c r="E424" s="17" t="s">
        <v>3048</v>
      </c>
      <c r="F424" s="17"/>
      <c r="G424" s="17" t="e">
        <f t="shared" ca="1" si="0"/>
        <v>#NAME?</v>
      </c>
      <c r="H424" s="6"/>
      <c r="I424" s="17"/>
      <c r="J424" s="17"/>
    </row>
    <row r="425" spans="1:10" ht="171.75" customHeight="1">
      <c r="A425" s="6" t="s">
        <v>2988</v>
      </c>
      <c r="B425" s="6" t="s">
        <v>9875</v>
      </c>
      <c r="C425" s="6" t="s">
        <v>3051</v>
      </c>
      <c r="D425" s="6" t="s">
        <v>3054</v>
      </c>
      <c r="E425" s="17" t="s">
        <v>3058</v>
      </c>
      <c r="F425" s="17"/>
      <c r="G425" s="17" t="e">
        <f t="shared" ca="1" si="0"/>
        <v>#NAME?</v>
      </c>
      <c r="H425" s="6"/>
      <c r="I425" s="6"/>
      <c r="J425" s="10"/>
    </row>
    <row r="426" spans="1:10" ht="171.75" customHeight="1">
      <c r="A426" s="6" t="s">
        <v>2596</v>
      </c>
      <c r="B426" s="6" t="s">
        <v>9858</v>
      </c>
      <c r="C426" s="6" t="s">
        <v>3061</v>
      </c>
      <c r="D426" s="6" t="s">
        <v>141</v>
      </c>
      <c r="E426" s="10" t="s">
        <v>9687</v>
      </c>
      <c r="F426" s="17"/>
      <c r="G426" s="17" t="e">
        <f t="shared" ca="1" si="0"/>
        <v>#NAME?</v>
      </c>
      <c r="H426" s="6"/>
      <c r="I426" s="6"/>
      <c r="J426" s="10"/>
    </row>
    <row r="427" spans="1:10" ht="171.75" customHeight="1">
      <c r="A427" s="6" t="s">
        <v>2596</v>
      </c>
      <c r="B427" s="6" t="s">
        <v>9858</v>
      </c>
      <c r="C427" s="6" t="s">
        <v>3067</v>
      </c>
      <c r="D427" s="6" t="s">
        <v>141</v>
      </c>
      <c r="E427" s="10" t="s">
        <v>9687</v>
      </c>
      <c r="F427" s="17"/>
      <c r="G427" s="17" t="e">
        <f t="shared" ca="1" si="0"/>
        <v>#NAME?</v>
      </c>
      <c r="H427" s="6"/>
      <c r="I427" s="6"/>
      <c r="J427" s="10"/>
    </row>
    <row r="428" spans="1:10" ht="171.75" customHeight="1">
      <c r="A428" s="6" t="s">
        <v>2596</v>
      </c>
      <c r="B428" s="6" t="s">
        <v>9858</v>
      </c>
      <c r="C428" s="6" t="s">
        <v>3073</v>
      </c>
      <c r="D428" s="6" t="s">
        <v>141</v>
      </c>
      <c r="E428" s="10" t="s">
        <v>9687</v>
      </c>
      <c r="F428" s="17"/>
      <c r="G428" s="17" t="e">
        <f t="shared" ca="1" si="0"/>
        <v>#NAME?</v>
      </c>
      <c r="H428" s="6"/>
      <c r="I428" s="6"/>
      <c r="J428" s="10"/>
    </row>
    <row r="429" spans="1:10" ht="171.75" customHeight="1">
      <c r="A429" s="6" t="s">
        <v>2988</v>
      </c>
      <c r="B429" s="6" t="s">
        <v>9875</v>
      </c>
      <c r="C429" s="6" t="s">
        <v>3077</v>
      </c>
      <c r="D429" s="6" t="s">
        <v>141</v>
      </c>
      <c r="E429" s="10" t="s">
        <v>9687</v>
      </c>
      <c r="F429" s="17"/>
      <c r="G429" s="17" t="e">
        <f t="shared" ca="1" si="0"/>
        <v>#NAME?</v>
      </c>
      <c r="H429" s="32"/>
      <c r="I429" s="17"/>
      <c r="J429" s="17"/>
    </row>
    <row r="430" spans="1:10" ht="171.75" customHeight="1">
      <c r="A430" s="6" t="s">
        <v>285</v>
      </c>
      <c r="B430" s="6" t="s">
        <v>9710</v>
      </c>
      <c r="C430" s="6" t="s">
        <v>3086</v>
      </c>
      <c r="D430" s="6" t="s">
        <v>141</v>
      </c>
      <c r="E430" s="17" t="s">
        <v>3090</v>
      </c>
      <c r="F430" s="17"/>
      <c r="G430" s="17" t="e">
        <f t="shared" ca="1" si="0"/>
        <v>#NAME?</v>
      </c>
      <c r="H430" s="6"/>
      <c r="I430" s="17"/>
      <c r="J430" s="17"/>
    </row>
    <row r="431" spans="1:10" ht="171.75" customHeight="1">
      <c r="A431" s="43" t="s">
        <v>638</v>
      </c>
      <c r="B431" s="6" t="s">
        <v>638</v>
      </c>
      <c r="C431" s="6" t="s">
        <v>3094</v>
      </c>
      <c r="D431" s="6" t="s">
        <v>3097</v>
      </c>
      <c r="E431" s="17" t="s">
        <v>3099</v>
      </c>
      <c r="F431" s="17"/>
      <c r="G431" s="17" t="e">
        <f t="shared" ca="1" si="0"/>
        <v>#NAME?</v>
      </c>
      <c r="H431" s="6"/>
      <c r="I431" s="17"/>
      <c r="J431" s="17"/>
    </row>
    <row r="432" spans="1:10" ht="171.75" customHeight="1">
      <c r="A432" s="6" t="s">
        <v>3101</v>
      </c>
      <c r="B432" s="6" t="s">
        <v>9876</v>
      </c>
      <c r="C432" s="6" t="s">
        <v>3102</v>
      </c>
      <c r="D432" s="6" t="s">
        <v>3105</v>
      </c>
      <c r="E432" s="17" t="s">
        <v>3106</v>
      </c>
      <c r="F432" s="17"/>
      <c r="G432" s="17" t="e">
        <f t="shared" ca="1" si="0"/>
        <v>#NAME?</v>
      </c>
      <c r="H432" s="6"/>
      <c r="I432" s="17"/>
      <c r="J432" s="17"/>
    </row>
    <row r="433" spans="1:10" ht="171.75" customHeight="1">
      <c r="A433" s="6" t="s">
        <v>927</v>
      </c>
      <c r="B433" s="6" t="s">
        <v>9775</v>
      </c>
      <c r="C433" s="6" t="s">
        <v>3108</v>
      </c>
      <c r="D433" s="6" t="s">
        <v>3111</v>
      </c>
      <c r="E433" s="17" t="s">
        <v>3112</v>
      </c>
      <c r="F433" s="17"/>
      <c r="G433" s="17" t="e">
        <f t="shared" ca="1" si="0"/>
        <v>#NAME?</v>
      </c>
      <c r="H433" s="6"/>
      <c r="I433" s="32"/>
      <c r="J433" s="32"/>
    </row>
    <row r="434" spans="1:10" ht="171.75" customHeight="1">
      <c r="A434" s="6" t="s">
        <v>1306</v>
      </c>
      <c r="B434" s="6" t="s">
        <v>9794</v>
      </c>
      <c r="C434" s="6" t="s">
        <v>3114</v>
      </c>
      <c r="D434" s="6" t="s">
        <v>3116</v>
      </c>
      <c r="E434" s="32" t="s">
        <v>3117</v>
      </c>
      <c r="F434" s="17"/>
      <c r="G434" s="17" t="e">
        <f t="shared" ca="1" si="0"/>
        <v>#NAME?</v>
      </c>
      <c r="H434" s="6"/>
      <c r="I434" s="17"/>
      <c r="J434" s="17"/>
    </row>
    <row r="435" spans="1:10" ht="171.75" customHeight="1">
      <c r="A435" s="6" t="s">
        <v>1306</v>
      </c>
      <c r="B435" s="6" t="s">
        <v>9794</v>
      </c>
      <c r="C435" s="6" t="s">
        <v>3119</v>
      </c>
      <c r="D435" s="6" t="s">
        <v>3122</v>
      </c>
      <c r="E435" s="17" t="s">
        <v>3123</v>
      </c>
      <c r="F435" s="17"/>
      <c r="G435" s="17" t="e">
        <f t="shared" ca="1" si="0"/>
        <v>#NAME?</v>
      </c>
      <c r="H435" s="6"/>
      <c r="I435" s="17"/>
      <c r="J435" s="17"/>
    </row>
    <row r="436" spans="1:10" ht="171.75" customHeight="1">
      <c r="A436" s="6" t="s">
        <v>3125</v>
      </c>
      <c r="B436" s="6" t="s">
        <v>9877</v>
      </c>
      <c r="C436" s="6" t="s">
        <v>3126</v>
      </c>
      <c r="D436" s="6" t="s">
        <v>3129</v>
      </c>
      <c r="E436" s="17" t="s">
        <v>3130</v>
      </c>
      <c r="F436" s="17"/>
      <c r="G436" s="17" t="e">
        <f t="shared" ca="1" si="0"/>
        <v>#NAME?</v>
      </c>
      <c r="H436" s="6"/>
      <c r="I436" s="17"/>
      <c r="J436" s="17"/>
    </row>
    <row r="437" spans="1:10" ht="171.75" customHeight="1">
      <c r="A437" s="6" t="s">
        <v>3132</v>
      </c>
      <c r="B437" s="6" t="s">
        <v>9878</v>
      </c>
      <c r="C437" s="6" t="s">
        <v>3133</v>
      </c>
      <c r="D437" s="43" t="s">
        <v>3136</v>
      </c>
      <c r="E437" s="17" t="s">
        <v>3137</v>
      </c>
      <c r="F437" s="17"/>
      <c r="G437" s="17" t="e">
        <f t="shared" ca="1" si="0"/>
        <v>#NAME?</v>
      </c>
      <c r="H437" s="6"/>
      <c r="I437" s="17"/>
      <c r="J437" s="17"/>
    </row>
    <row r="438" spans="1:10" ht="171.75" customHeight="1">
      <c r="A438" s="6" t="s">
        <v>457</v>
      </c>
      <c r="B438" s="6" t="s">
        <v>9728</v>
      </c>
      <c r="C438" s="6" t="s">
        <v>3139</v>
      </c>
      <c r="D438" s="6" t="s">
        <v>3142</v>
      </c>
      <c r="E438" s="17" t="s">
        <v>7314</v>
      </c>
      <c r="F438" s="17"/>
      <c r="G438" s="17" t="e">
        <f t="shared" ca="1" si="0"/>
        <v>#NAME?</v>
      </c>
      <c r="H438" s="6"/>
      <c r="I438" s="17"/>
      <c r="J438" s="17"/>
    </row>
    <row r="439" spans="1:10" ht="171.75" customHeight="1">
      <c r="A439" s="6" t="s">
        <v>3145</v>
      </c>
      <c r="B439" s="6" t="s">
        <v>9879</v>
      </c>
      <c r="C439" s="6" t="s">
        <v>3146</v>
      </c>
      <c r="D439" s="43" t="s">
        <v>3149</v>
      </c>
      <c r="E439" s="17" t="s">
        <v>3150</v>
      </c>
      <c r="F439" s="17"/>
      <c r="G439" s="17" t="e">
        <f t="shared" ca="1" si="0"/>
        <v>#NAME?</v>
      </c>
      <c r="H439" s="6"/>
      <c r="I439" s="17"/>
      <c r="J439" s="10"/>
    </row>
    <row r="440" spans="1:10" ht="171.75" customHeight="1">
      <c r="A440" s="6" t="s">
        <v>199</v>
      </c>
      <c r="B440" s="6" t="s">
        <v>9708</v>
      </c>
      <c r="C440" s="6" t="s">
        <v>3153</v>
      </c>
      <c r="D440" s="6" t="s">
        <v>3156</v>
      </c>
      <c r="E440" s="10" t="s">
        <v>3158</v>
      </c>
      <c r="F440" s="17"/>
      <c r="G440" s="17" t="e">
        <f t="shared" ca="1" si="0"/>
        <v>#NAME?</v>
      </c>
      <c r="H440" s="6"/>
      <c r="I440" s="17"/>
      <c r="J440" s="10"/>
    </row>
    <row r="441" spans="1:10" ht="171.75" customHeight="1">
      <c r="A441" s="6" t="s">
        <v>714</v>
      </c>
      <c r="B441" s="6" t="s">
        <v>9753</v>
      </c>
      <c r="C441" s="6" t="s">
        <v>3160</v>
      </c>
      <c r="D441" s="6" t="s">
        <v>3163</v>
      </c>
      <c r="E441" s="10" t="s">
        <v>3165</v>
      </c>
      <c r="F441" s="17"/>
      <c r="G441" s="17" t="e">
        <f t="shared" ca="1" si="0"/>
        <v>#NAME?</v>
      </c>
      <c r="H441" s="6"/>
      <c r="I441" s="17"/>
      <c r="J441" s="17"/>
    </row>
    <row r="442" spans="1:10" ht="171.75" customHeight="1">
      <c r="A442" s="6" t="s">
        <v>3167</v>
      </c>
      <c r="B442" s="6" t="s">
        <v>9880</v>
      </c>
      <c r="C442" s="6" t="s">
        <v>3168</v>
      </c>
      <c r="D442" s="6" t="s">
        <v>3171</v>
      </c>
      <c r="E442" s="17" t="s">
        <v>3172</v>
      </c>
      <c r="F442" s="17"/>
      <c r="G442" s="17" t="e">
        <f t="shared" ca="1" si="0"/>
        <v>#NAME?</v>
      </c>
      <c r="H442" s="32"/>
      <c r="I442" s="32"/>
      <c r="J442" s="32"/>
    </row>
    <row r="443" spans="1:10" ht="171.75" customHeight="1">
      <c r="A443" s="6" t="s">
        <v>3175</v>
      </c>
      <c r="B443" s="6" t="s">
        <v>9881</v>
      </c>
      <c r="C443" s="6" t="s">
        <v>3176</v>
      </c>
      <c r="D443" s="6" t="s">
        <v>141</v>
      </c>
      <c r="E443" s="10" t="s">
        <v>9687</v>
      </c>
      <c r="F443" s="17"/>
      <c r="G443" s="17" t="e">
        <f t="shared" ca="1" si="0"/>
        <v>#NAME?</v>
      </c>
      <c r="H443" s="6"/>
      <c r="I443" s="6"/>
      <c r="J443" s="32"/>
    </row>
    <row r="444" spans="1:10" ht="171.75" customHeight="1">
      <c r="A444" s="6" t="s">
        <v>638</v>
      </c>
      <c r="B444" s="6" t="s">
        <v>638</v>
      </c>
      <c r="C444" s="6" t="s">
        <v>3179</v>
      </c>
      <c r="D444" s="6" t="s">
        <v>3182</v>
      </c>
      <c r="E444" s="32" t="s">
        <v>3183</v>
      </c>
      <c r="F444" s="17"/>
      <c r="G444" s="17" t="e">
        <f t="shared" ca="1" si="0"/>
        <v>#NAME?</v>
      </c>
      <c r="H444" s="6"/>
      <c r="I444" s="17"/>
      <c r="J444" s="17"/>
    </row>
    <row r="445" spans="1:10" ht="171.75" customHeight="1">
      <c r="A445" s="6" t="s">
        <v>1739</v>
      </c>
      <c r="B445" s="6" t="s">
        <v>9815</v>
      </c>
      <c r="C445" s="6" t="s">
        <v>3185</v>
      </c>
      <c r="D445" s="6" t="s">
        <v>3188</v>
      </c>
      <c r="E445" s="17" t="s">
        <v>3189</v>
      </c>
      <c r="F445" s="17"/>
      <c r="G445" s="17" t="e">
        <f t="shared" ca="1" si="0"/>
        <v>#NAME?</v>
      </c>
      <c r="H445" s="6"/>
      <c r="I445" s="17"/>
      <c r="J445" s="17"/>
    </row>
    <row r="446" spans="1:10" ht="171.75" customHeight="1">
      <c r="A446" s="43" t="s">
        <v>117</v>
      </c>
      <c r="B446" s="6" t="s">
        <v>9692</v>
      </c>
      <c r="C446" s="6" t="s">
        <v>3191</v>
      </c>
      <c r="D446" s="6" t="s">
        <v>3194</v>
      </c>
      <c r="E446" s="17" t="s">
        <v>3195</v>
      </c>
      <c r="F446" s="17"/>
      <c r="G446" s="17" t="e">
        <f t="shared" ca="1" si="0"/>
        <v>#NAME?</v>
      </c>
      <c r="H446" s="6"/>
      <c r="I446" s="17"/>
      <c r="J446" s="17"/>
    </row>
    <row r="447" spans="1:10" ht="171.75" customHeight="1">
      <c r="A447" s="6" t="s">
        <v>199</v>
      </c>
      <c r="B447" s="6" t="s">
        <v>9708</v>
      </c>
      <c r="C447" s="6" t="s">
        <v>3197</v>
      </c>
      <c r="D447" s="6" t="s">
        <v>3200</v>
      </c>
      <c r="E447" s="17" t="s">
        <v>3202</v>
      </c>
      <c r="F447" s="17"/>
      <c r="G447" s="17" t="e">
        <f t="shared" ca="1" si="0"/>
        <v>#NAME?</v>
      </c>
      <c r="H447" s="6"/>
      <c r="I447" s="17"/>
      <c r="J447" s="17"/>
    </row>
    <row r="448" spans="1:10" ht="171.75" customHeight="1">
      <c r="A448" s="43" t="s">
        <v>248</v>
      </c>
      <c r="B448" s="6" t="s">
        <v>9712</v>
      </c>
      <c r="C448" s="6" t="s">
        <v>3204</v>
      </c>
      <c r="D448" s="6" t="s">
        <v>3207</v>
      </c>
      <c r="E448" s="17" t="s">
        <v>3208</v>
      </c>
      <c r="F448" s="17"/>
      <c r="G448" s="17" t="e">
        <f t="shared" ca="1" si="0"/>
        <v>#NAME?</v>
      </c>
      <c r="H448" s="6"/>
      <c r="I448" s="17"/>
      <c r="J448" s="17"/>
    </row>
    <row r="449" spans="1:10" ht="171.75" customHeight="1">
      <c r="A449" s="43" t="s">
        <v>278</v>
      </c>
      <c r="B449" s="6" t="s">
        <v>9709</v>
      </c>
      <c r="C449" s="6" t="s">
        <v>3210</v>
      </c>
      <c r="D449" s="6" t="s">
        <v>3213</v>
      </c>
      <c r="E449" s="17" t="s">
        <v>3214</v>
      </c>
      <c r="F449" s="17"/>
      <c r="G449" s="17" t="e">
        <f t="shared" ca="1" si="0"/>
        <v>#NAME?</v>
      </c>
      <c r="H449" s="6"/>
      <c r="I449" s="46"/>
      <c r="J449" s="17"/>
    </row>
    <row r="450" spans="1:10" ht="171.75" customHeight="1">
      <c r="A450" s="6" t="s">
        <v>152</v>
      </c>
      <c r="B450" s="6" t="s">
        <v>9696</v>
      </c>
      <c r="C450" s="6" t="s">
        <v>3216</v>
      </c>
      <c r="D450" s="6" t="s">
        <v>3219</v>
      </c>
      <c r="E450" s="17" t="s">
        <v>3221</v>
      </c>
      <c r="F450" s="17"/>
      <c r="G450" s="17" t="e">
        <f t="shared" ca="1" si="0"/>
        <v>#NAME?</v>
      </c>
      <c r="H450" s="6"/>
      <c r="I450" s="46"/>
      <c r="J450" s="17"/>
    </row>
    <row r="451" spans="1:10" ht="171.75" customHeight="1">
      <c r="A451" s="6" t="s">
        <v>379</v>
      </c>
      <c r="B451" s="6" t="s">
        <v>9720</v>
      </c>
      <c r="C451" s="6" t="s">
        <v>3223</v>
      </c>
      <c r="D451" s="6" t="s">
        <v>3226</v>
      </c>
      <c r="E451" s="17" t="s">
        <v>3227</v>
      </c>
      <c r="F451" s="17"/>
      <c r="G451" s="17" t="e">
        <f t="shared" ca="1" si="0"/>
        <v>#NAME?</v>
      </c>
      <c r="H451" s="6"/>
      <c r="I451" s="46"/>
      <c r="J451" s="17"/>
    </row>
    <row r="452" spans="1:10" ht="171.75" customHeight="1">
      <c r="A452" s="6" t="s">
        <v>3229</v>
      </c>
      <c r="B452" s="6" t="s">
        <v>9882</v>
      </c>
      <c r="C452" s="6" t="s">
        <v>3230</v>
      </c>
      <c r="D452" s="6" t="s">
        <v>3233</v>
      </c>
      <c r="E452" s="17" t="s">
        <v>3234</v>
      </c>
      <c r="F452" s="17"/>
      <c r="G452" s="17" t="e">
        <f t="shared" ca="1" si="0"/>
        <v>#NAME?</v>
      </c>
      <c r="H452" s="6"/>
      <c r="I452" s="6"/>
      <c r="J452" s="10"/>
    </row>
    <row r="453" spans="1:10" ht="171.75" customHeight="1">
      <c r="A453" s="6" t="s">
        <v>210</v>
      </c>
      <c r="B453" s="6" t="s">
        <v>9819</v>
      </c>
      <c r="C453" s="6" t="s">
        <v>3236</v>
      </c>
      <c r="D453" s="6" t="s">
        <v>3238</v>
      </c>
      <c r="E453" s="10" t="s">
        <v>9687</v>
      </c>
      <c r="F453" s="17"/>
      <c r="G453" s="17" t="e">
        <f t="shared" ca="1" si="0"/>
        <v>#NAME?</v>
      </c>
      <c r="H453" s="6"/>
      <c r="I453" s="17"/>
      <c r="J453" s="17"/>
    </row>
    <row r="454" spans="1:10" ht="171.75" customHeight="1">
      <c r="A454" s="6" t="s">
        <v>2285</v>
      </c>
      <c r="B454" s="6" t="s">
        <v>9839</v>
      </c>
      <c r="C454" s="6" t="s">
        <v>3242</v>
      </c>
      <c r="D454" s="6" t="s">
        <v>3245</v>
      </c>
      <c r="E454" s="17" t="s">
        <v>3246</v>
      </c>
      <c r="F454" s="17"/>
      <c r="G454" s="17" t="e">
        <f t="shared" ca="1" si="0"/>
        <v>#NAME?</v>
      </c>
      <c r="H454" s="6"/>
      <c r="I454" s="17"/>
      <c r="J454" s="17"/>
    </row>
    <row r="455" spans="1:10" ht="171.75" customHeight="1">
      <c r="A455" s="43" t="s">
        <v>885</v>
      </c>
      <c r="B455" s="6" t="s">
        <v>9771</v>
      </c>
      <c r="C455" s="6" t="s">
        <v>3249</v>
      </c>
      <c r="D455" s="6" t="s">
        <v>3252</v>
      </c>
      <c r="E455" s="17" t="s">
        <v>3254</v>
      </c>
      <c r="F455" s="17"/>
      <c r="G455" s="17" t="e">
        <f t="shared" ca="1" si="0"/>
        <v>#NAME?</v>
      </c>
      <c r="H455" s="6"/>
      <c r="I455" s="17"/>
      <c r="J455" s="17"/>
    </row>
    <row r="456" spans="1:10" ht="171.75" customHeight="1">
      <c r="A456" s="6" t="s">
        <v>2383</v>
      </c>
      <c r="B456" s="6" t="s">
        <v>9845</v>
      </c>
      <c r="C456" s="6" t="s">
        <v>3256</v>
      </c>
      <c r="D456" s="6" t="s">
        <v>3259</v>
      </c>
      <c r="E456" s="17" t="s">
        <v>3260</v>
      </c>
      <c r="F456" s="17"/>
      <c r="G456" s="17" t="e">
        <f t="shared" ca="1" si="0"/>
        <v>#NAME?</v>
      </c>
      <c r="H456" s="6"/>
      <c r="I456" s="17"/>
      <c r="J456" s="17"/>
    </row>
    <row r="457" spans="1:10" ht="171.75" customHeight="1">
      <c r="A457" s="43" t="s">
        <v>3262</v>
      </c>
      <c r="B457" s="6" t="s">
        <v>9883</v>
      </c>
      <c r="C457" s="6" t="s">
        <v>3263</v>
      </c>
      <c r="D457" s="6" t="s">
        <v>3266</v>
      </c>
      <c r="E457" s="17" t="s">
        <v>3267</v>
      </c>
      <c r="F457" s="17"/>
      <c r="G457" s="17" t="e">
        <f t="shared" ca="1" si="0"/>
        <v>#NAME?</v>
      </c>
      <c r="H457" s="6"/>
      <c r="I457" s="17"/>
      <c r="J457" s="17"/>
    </row>
    <row r="458" spans="1:10" ht="171.75" customHeight="1">
      <c r="A458" s="43" t="s">
        <v>3269</v>
      </c>
      <c r="B458" s="6" t="s">
        <v>9884</v>
      </c>
      <c r="C458" s="6" t="s">
        <v>3270</v>
      </c>
      <c r="D458" s="6" t="s">
        <v>3273</v>
      </c>
      <c r="E458" s="17" t="s">
        <v>3274</v>
      </c>
      <c r="F458" s="17"/>
      <c r="G458" s="17" t="e">
        <f t="shared" ca="1" si="0"/>
        <v>#NAME?</v>
      </c>
      <c r="H458" s="6"/>
      <c r="I458" s="17"/>
      <c r="J458" s="17"/>
    </row>
    <row r="459" spans="1:10" ht="171.75" customHeight="1">
      <c r="A459" s="6" t="s">
        <v>677</v>
      </c>
      <c r="B459" s="6" t="s">
        <v>9750</v>
      </c>
      <c r="C459" s="6" t="s">
        <v>3276</v>
      </c>
      <c r="D459" s="6" t="s">
        <v>3279</v>
      </c>
      <c r="E459" s="17" t="s">
        <v>3281</v>
      </c>
      <c r="F459" s="17"/>
      <c r="G459" s="17" t="e">
        <f t="shared" ca="1" si="0"/>
        <v>#NAME?</v>
      </c>
      <c r="H459" s="6"/>
      <c r="I459" s="17"/>
      <c r="J459" s="17"/>
    </row>
    <row r="460" spans="1:10" ht="171.75" customHeight="1">
      <c r="A460" s="6" t="s">
        <v>3269</v>
      </c>
      <c r="B460" s="6" t="s">
        <v>9884</v>
      </c>
      <c r="C460" s="6" t="s">
        <v>3286</v>
      </c>
      <c r="D460" s="6" t="s">
        <v>3289</v>
      </c>
      <c r="E460" s="17" t="s">
        <v>3290</v>
      </c>
      <c r="F460" s="17"/>
      <c r="G460" s="17" t="e">
        <f t="shared" ca="1" si="0"/>
        <v>#NAME?</v>
      </c>
      <c r="H460" s="6"/>
      <c r="I460" s="17"/>
      <c r="J460" s="17"/>
    </row>
    <row r="461" spans="1:10" ht="171.75" customHeight="1">
      <c r="A461" s="6" t="s">
        <v>2040</v>
      </c>
      <c r="B461" s="6" t="s">
        <v>9823</v>
      </c>
      <c r="C461" s="6" t="s">
        <v>3292</v>
      </c>
      <c r="D461" s="6" t="s">
        <v>3295</v>
      </c>
      <c r="E461" s="17" t="s">
        <v>3296</v>
      </c>
      <c r="F461" s="17"/>
      <c r="G461" s="17" t="e">
        <f t="shared" ca="1" si="0"/>
        <v>#NAME?</v>
      </c>
      <c r="H461" s="6"/>
      <c r="I461" s="17"/>
      <c r="J461" s="17"/>
    </row>
    <row r="462" spans="1:10" ht="171.75" customHeight="1">
      <c r="A462" s="6" t="s">
        <v>2383</v>
      </c>
      <c r="B462" s="6" t="s">
        <v>9845</v>
      </c>
      <c r="C462" s="6" t="s">
        <v>3298</v>
      </c>
      <c r="D462" s="6" t="s">
        <v>3301</v>
      </c>
      <c r="E462" s="17" t="s">
        <v>3302</v>
      </c>
      <c r="F462" s="17"/>
      <c r="G462" s="17" t="e">
        <f t="shared" ca="1" si="0"/>
        <v>#NAME?</v>
      </c>
      <c r="H462" s="6"/>
      <c r="I462" s="17"/>
      <c r="J462" s="17"/>
    </row>
    <row r="463" spans="1:10" ht="171.75" customHeight="1">
      <c r="A463" s="6" t="s">
        <v>3304</v>
      </c>
      <c r="B463" s="6" t="s">
        <v>9885</v>
      </c>
      <c r="C463" s="6" t="s">
        <v>3305</v>
      </c>
      <c r="D463" s="6" t="s">
        <v>3308</v>
      </c>
      <c r="E463" s="17" t="s">
        <v>3309</v>
      </c>
      <c r="F463" s="17"/>
      <c r="G463" s="17" t="e">
        <f t="shared" ca="1" si="0"/>
        <v>#NAME?</v>
      </c>
      <c r="H463" s="6"/>
      <c r="I463" s="17"/>
      <c r="J463" s="17"/>
    </row>
    <row r="464" spans="1:10" ht="171.75" customHeight="1">
      <c r="A464" s="6" t="s">
        <v>3311</v>
      </c>
      <c r="B464" s="6" t="s">
        <v>9886</v>
      </c>
      <c r="C464" s="6" t="s">
        <v>3312</v>
      </c>
      <c r="D464" s="6" t="s">
        <v>3315</v>
      </c>
      <c r="E464" s="17" t="s">
        <v>3316</v>
      </c>
      <c r="F464" s="17"/>
      <c r="G464" s="17" t="e">
        <f t="shared" ca="1" si="0"/>
        <v>#NAME?</v>
      </c>
      <c r="H464" s="6"/>
      <c r="I464" s="17"/>
      <c r="J464" s="17"/>
    </row>
    <row r="465" spans="1:10" ht="171.75" customHeight="1">
      <c r="A465" s="6" t="s">
        <v>3311</v>
      </c>
      <c r="B465" s="6" t="s">
        <v>9886</v>
      </c>
      <c r="C465" s="6" t="s">
        <v>3318</v>
      </c>
      <c r="D465" s="6" t="s">
        <v>3321</v>
      </c>
      <c r="E465" s="17" t="s">
        <v>3322</v>
      </c>
      <c r="F465" s="17"/>
      <c r="G465" s="17" t="e">
        <f t="shared" ca="1" si="0"/>
        <v>#NAME?</v>
      </c>
      <c r="H465" s="6"/>
      <c r="I465" s="17"/>
      <c r="J465" s="17"/>
    </row>
    <row r="466" spans="1:10" ht="171.75" customHeight="1">
      <c r="A466" s="6" t="s">
        <v>3324</v>
      </c>
      <c r="B466" s="6" t="s">
        <v>9887</v>
      </c>
      <c r="C466" s="6" t="s">
        <v>3325</v>
      </c>
      <c r="D466" s="6" t="s">
        <v>3328</v>
      </c>
      <c r="E466" s="17" t="s">
        <v>3329</v>
      </c>
      <c r="F466" s="17"/>
      <c r="G466" s="17" t="e">
        <f t="shared" ca="1" si="0"/>
        <v>#NAME?</v>
      </c>
      <c r="H466" s="6"/>
      <c r="I466" s="17"/>
      <c r="J466" s="17"/>
    </row>
    <row r="467" spans="1:10" ht="171.75" customHeight="1">
      <c r="A467" s="6" t="s">
        <v>3331</v>
      </c>
      <c r="B467" s="6" t="s">
        <v>9888</v>
      </c>
      <c r="C467" s="6" t="s">
        <v>3332</v>
      </c>
      <c r="D467" s="6" t="s">
        <v>3335</v>
      </c>
      <c r="E467" s="17" t="s">
        <v>3336</v>
      </c>
      <c r="F467" s="17"/>
      <c r="G467" s="17" t="e">
        <f t="shared" ca="1" si="0"/>
        <v>#NAME?</v>
      </c>
      <c r="H467" s="6"/>
      <c r="I467" s="17"/>
      <c r="J467" s="17"/>
    </row>
    <row r="468" spans="1:10" ht="171.75" customHeight="1">
      <c r="A468" s="43" t="s">
        <v>3338</v>
      </c>
      <c r="B468" s="6" t="s">
        <v>9889</v>
      </c>
      <c r="C468" s="6" t="s">
        <v>3339</v>
      </c>
      <c r="D468" s="6" t="s">
        <v>3341</v>
      </c>
      <c r="E468" s="17" t="s">
        <v>3342</v>
      </c>
      <c r="F468" s="17"/>
      <c r="G468" s="17" t="e">
        <f t="shared" ca="1" si="0"/>
        <v>#NAME?</v>
      </c>
      <c r="H468" s="6"/>
      <c r="I468" s="17"/>
      <c r="J468" s="17"/>
    </row>
    <row r="469" spans="1:10" ht="171.75" customHeight="1">
      <c r="A469" s="6" t="s">
        <v>3344</v>
      </c>
      <c r="B469" s="6" t="s">
        <v>9890</v>
      </c>
      <c r="C469" s="6" t="s">
        <v>3345</v>
      </c>
      <c r="D469" s="6" t="s">
        <v>3348</v>
      </c>
      <c r="E469" s="17" t="s">
        <v>3349</v>
      </c>
      <c r="F469" s="17"/>
      <c r="G469" s="17" t="e">
        <f t="shared" ca="1" si="0"/>
        <v>#NAME?</v>
      </c>
      <c r="H469" s="6"/>
      <c r="I469" s="17"/>
      <c r="J469" s="17"/>
    </row>
    <row r="470" spans="1:10" ht="171.75" customHeight="1">
      <c r="A470" s="6" t="s">
        <v>963</v>
      </c>
      <c r="B470" s="6" t="s">
        <v>9778</v>
      </c>
      <c r="C470" s="6" t="s">
        <v>3351</v>
      </c>
      <c r="D470" s="6" t="s">
        <v>3354</v>
      </c>
      <c r="E470" s="17" t="s">
        <v>3356</v>
      </c>
      <c r="F470" s="17"/>
      <c r="G470" s="17" t="e">
        <f t="shared" ca="1" si="0"/>
        <v>#NAME?</v>
      </c>
      <c r="H470" s="6"/>
      <c r="I470" s="17"/>
      <c r="J470" s="10"/>
    </row>
    <row r="471" spans="1:10" ht="171.75" customHeight="1">
      <c r="A471" s="6" t="s">
        <v>714</v>
      </c>
      <c r="B471" s="6" t="s">
        <v>9753</v>
      </c>
      <c r="C471" s="6" t="s">
        <v>3358</v>
      </c>
      <c r="D471" s="6" t="s">
        <v>3361</v>
      </c>
      <c r="E471" s="10" t="s">
        <v>3363</v>
      </c>
      <c r="F471" s="17"/>
      <c r="G471" s="17" t="e">
        <f t="shared" ca="1" si="0"/>
        <v>#NAME?</v>
      </c>
      <c r="H471" s="6"/>
      <c r="I471" s="17"/>
      <c r="J471" s="17"/>
    </row>
    <row r="472" spans="1:10" ht="171.75" customHeight="1">
      <c r="A472" s="6" t="s">
        <v>285</v>
      </c>
      <c r="B472" s="6" t="s">
        <v>9710</v>
      </c>
      <c r="C472" s="6" t="s">
        <v>3365</v>
      </c>
      <c r="D472" s="6" t="s">
        <v>3368</v>
      </c>
      <c r="E472" s="17" t="s">
        <v>3370</v>
      </c>
      <c r="F472" s="17"/>
      <c r="G472" s="17" t="e">
        <f t="shared" ca="1" si="0"/>
        <v>#NAME?</v>
      </c>
      <c r="H472" s="6"/>
      <c r="I472" s="17"/>
      <c r="J472" s="10"/>
    </row>
    <row r="473" spans="1:10" ht="171.75" customHeight="1">
      <c r="A473" s="6" t="s">
        <v>199</v>
      </c>
      <c r="B473" s="6" t="s">
        <v>9708</v>
      </c>
      <c r="C473" s="6" t="s">
        <v>3372</v>
      </c>
      <c r="D473" s="6" t="s">
        <v>3375</v>
      </c>
      <c r="E473" s="10" t="s">
        <v>3377</v>
      </c>
      <c r="F473" s="17"/>
      <c r="G473" s="17" t="e">
        <f t="shared" ca="1" si="0"/>
        <v>#NAME?</v>
      </c>
      <c r="H473" s="6"/>
      <c r="I473" s="17"/>
      <c r="J473" s="17"/>
    </row>
    <row r="474" spans="1:10" ht="171.75" customHeight="1">
      <c r="A474" s="43" t="s">
        <v>638</v>
      </c>
      <c r="B474" s="6" t="s">
        <v>638</v>
      </c>
      <c r="C474" s="6" t="s">
        <v>3379</v>
      </c>
      <c r="D474" s="6" t="s">
        <v>3382</v>
      </c>
      <c r="E474" s="17" t="s">
        <v>3383</v>
      </c>
      <c r="F474" s="17"/>
      <c r="G474" s="17" t="e">
        <f t="shared" ca="1" si="0"/>
        <v>#NAME?</v>
      </c>
      <c r="H474" s="6"/>
      <c r="I474" s="17"/>
      <c r="J474" s="17"/>
    </row>
    <row r="475" spans="1:10" ht="171.75" customHeight="1">
      <c r="A475" s="43" t="s">
        <v>248</v>
      </c>
      <c r="B475" s="6" t="s">
        <v>9712</v>
      </c>
      <c r="C475" s="6" t="s">
        <v>3385</v>
      </c>
      <c r="D475" s="6" t="s">
        <v>3388</v>
      </c>
      <c r="E475" s="17" t="s">
        <v>3390</v>
      </c>
      <c r="F475" s="17"/>
      <c r="G475" s="17" t="e">
        <f t="shared" ca="1" si="0"/>
        <v>#NAME?</v>
      </c>
      <c r="H475" s="6"/>
      <c r="I475" s="17"/>
      <c r="J475" s="17"/>
    </row>
    <row r="476" spans="1:10" ht="171.75" customHeight="1">
      <c r="A476" s="6" t="s">
        <v>1240</v>
      </c>
      <c r="B476" s="6" t="s">
        <v>9891</v>
      </c>
      <c r="C476" s="6" t="s">
        <v>3392</v>
      </c>
      <c r="D476" s="6" t="s">
        <v>3395</v>
      </c>
      <c r="E476" s="17" t="s">
        <v>3396</v>
      </c>
      <c r="F476" s="17"/>
      <c r="G476" s="17" t="e">
        <f t="shared" ca="1" si="0"/>
        <v>#NAME?</v>
      </c>
      <c r="H476" s="6"/>
      <c r="I476" s="17"/>
      <c r="J476" s="10"/>
    </row>
    <row r="477" spans="1:10" ht="171.75" customHeight="1">
      <c r="A477" s="43" t="s">
        <v>248</v>
      </c>
      <c r="B477" s="6" t="s">
        <v>9712</v>
      </c>
      <c r="C477" s="6" t="s">
        <v>3398</v>
      </c>
      <c r="D477" s="6" t="s">
        <v>3401</v>
      </c>
      <c r="E477" s="10" t="s">
        <v>3403</v>
      </c>
      <c r="F477" s="17"/>
      <c r="G477" s="17" t="e">
        <f t="shared" ca="1" si="0"/>
        <v>#NAME?</v>
      </c>
      <c r="H477" s="6"/>
      <c r="I477" s="17"/>
      <c r="J477" s="10"/>
    </row>
    <row r="478" spans="1:10" ht="171.75" customHeight="1">
      <c r="A478" s="43" t="s">
        <v>3405</v>
      </c>
      <c r="B478" s="6" t="s">
        <v>9892</v>
      </c>
      <c r="C478" s="6" t="s">
        <v>3406</v>
      </c>
      <c r="D478" s="6" t="s">
        <v>3409</v>
      </c>
      <c r="E478" s="10" t="s">
        <v>3410</v>
      </c>
      <c r="F478" s="17"/>
      <c r="G478" s="17" t="e">
        <f t="shared" ca="1" si="0"/>
        <v>#NAME?</v>
      </c>
      <c r="H478" s="6"/>
      <c r="I478" s="17"/>
      <c r="J478" s="10"/>
    </row>
    <row r="479" spans="1:10" ht="171.75" customHeight="1">
      <c r="A479" s="6" t="s">
        <v>248</v>
      </c>
      <c r="B479" s="6" t="s">
        <v>9712</v>
      </c>
      <c r="C479" s="6" t="s">
        <v>3412</v>
      </c>
      <c r="D479" s="6" t="s">
        <v>3415</v>
      </c>
      <c r="E479" s="10" t="s">
        <v>3418</v>
      </c>
      <c r="F479" s="17"/>
      <c r="G479" s="17" t="e">
        <f t="shared" ca="1" si="0"/>
        <v>#NAME?</v>
      </c>
      <c r="H479" s="6"/>
      <c r="I479" s="17"/>
      <c r="J479" s="17"/>
    </row>
    <row r="480" spans="1:10" ht="171.75" customHeight="1">
      <c r="A480" s="6" t="s">
        <v>1240</v>
      </c>
      <c r="B480" s="6" t="s">
        <v>9891</v>
      </c>
      <c r="C480" s="6" t="s">
        <v>3420</v>
      </c>
      <c r="D480" s="6" t="s">
        <v>3423</v>
      </c>
      <c r="E480" s="17" t="s">
        <v>3424</v>
      </c>
      <c r="F480" s="17"/>
      <c r="G480" s="17" t="e">
        <f t="shared" ca="1" si="0"/>
        <v>#NAME?</v>
      </c>
      <c r="H480" s="49"/>
      <c r="I480" s="17"/>
      <c r="J480" s="17"/>
    </row>
    <row r="481" spans="1:10" ht="171.75" customHeight="1">
      <c r="A481" s="6" t="s">
        <v>117</v>
      </c>
      <c r="B481" s="6" t="s">
        <v>9692</v>
      </c>
      <c r="C481" s="6" t="s">
        <v>3426</v>
      </c>
      <c r="D481" s="6" t="s">
        <v>3429</v>
      </c>
      <c r="E481" s="17" t="s">
        <v>3430</v>
      </c>
      <c r="F481" s="17"/>
      <c r="G481" s="17" t="e">
        <f t="shared" ca="1" si="0"/>
        <v>#NAME?</v>
      </c>
      <c r="H481" s="32"/>
      <c r="I481" s="17"/>
      <c r="J481" s="17"/>
    </row>
    <row r="482" spans="1:10" ht="171.75" customHeight="1">
      <c r="A482" s="6" t="s">
        <v>3432</v>
      </c>
      <c r="B482" s="6" t="s">
        <v>9893</v>
      </c>
      <c r="C482" s="6" t="s">
        <v>3433</v>
      </c>
      <c r="D482" s="6" t="s">
        <v>141</v>
      </c>
      <c r="E482" s="17" t="s">
        <v>3436</v>
      </c>
      <c r="F482" s="17"/>
      <c r="G482" s="17" t="e">
        <f t="shared" ca="1" si="0"/>
        <v>#NAME?</v>
      </c>
      <c r="H482" s="6"/>
      <c r="I482" s="46"/>
      <c r="J482" s="17"/>
    </row>
    <row r="483" spans="1:10" ht="171.75" customHeight="1">
      <c r="A483" s="6" t="s">
        <v>2677</v>
      </c>
      <c r="B483" s="6" t="s">
        <v>9748</v>
      </c>
      <c r="C483" s="6" t="s">
        <v>3438</v>
      </c>
      <c r="D483" s="6" t="s">
        <v>3441</v>
      </c>
      <c r="E483" s="17" t="s">
        <v>3442</v>
      </c>
      <c r="F483" s="17"/>
      <c r="G483" s="17" t="e">
        <f t="shared" ca="1" si="0"/>
        <v>#NAME?</v>
      </c>
      <c r="H483" s="6"/>
      <c r="I483" s="17"/>
      <c r="J483" s="17"/>
    </row>
    <row r="484" spans="1:10" ht="171.75" customHeight="1">
      <c r="A484" s="6" t="s">
        <v>3444</v>
      </c>
      <c r="B484" s="6" t="s">
        <v>9894</v>
      </c>
      <c r="C484" s="6" t="s">
        <v>3445</v>
      </c>
      <c r="D484" s="6" t="s">
        <v>3448</v>
      </c>
      <c r="E484" s="17" t="s">
        <v>3449</v>
      </c>
      <c r="F484" s="17"/>
      <c r="G484" s="17" t="e">
        <f t="shared" ca="1" si="0"/>
        <v>#NAME?</v>
      </c>
      <c r="H484" s="6"/>
      <c r="I484" s="17"/>
      <c r="J484" s="10"/>
    </row>
    <row r="485" spans="1:10" ht="171.75" customHeight="1">
      <c r="A485" s="6" t="s">
        <v>249</v>
      </c>
      <c r="B485" s="6" t="s">
        <v>9779</v>
      </c>
      <c r="C485" s="6" t="s">
        <v>3453</v>
      </c>
      <c r="D485" s="6" t="s">
        <v>3456</v>
      </c>
      <c r="E485" s="10" t="s">
        <v>3458</v>
      </c>
      <c r="F485" s="17"/>
      <c r="G485" s="17" t="e">
        <f t="shared" ca="1" si="0"/>
        <v>#NAME?</v>
      </c>
      <c r="H485" s="6"/>
      <c r="I485" s="17"/>
      <c r="J485" s="17"/>
    </row>
    <row r="486" spans="1:10" ht="171.75" customHeight="1">
      <c r="A486" s="6" t="s">
        <v>1492</v>
      </c>
      <c r="B486" s="6" t="s">
        <v>9722</v>
      </c>
      <c r="C486" s="6" t="s">
        <v>3460</v>
      </c>
      <c r="D486" s="6" t="s">
        <v>3463</v>
      </c>
      <c r="E486" s="17" t="s">
        <v>3464</v>
      </c>
      <c r="F486" s="17"/>
      <c r="G486" s="17" t="e">
        <f t="shared" ca="1" si="0"/>
        <v>#NAME?</v>
      </c>
      <c r="H486" s="6"/>
      <c r="I486" s="17"/>
      <c r="J486" s="17"/>
    </row>
    <row r="487" spans="1:10" ht="171.75" customHeight="1">
      <c r="A487" s="6" t="s">
        <v>3466</v>
      </c>
      <c r="B487" s="6" t="s">
        <v>9895</v>
      </c>
      <c r="C487" s="6" t="s">
        <v>3467</v>
      </c>
      <c r="D487" s="6" t="s">
        <v>3470</v>
      </c>
      <c r="E487" s="17" t="s">
        <v>3471</v>
      </c>
      <c r="F487" s="17"/>
      <c r="G487" s="17" t="e">
        <f t="shared" ca="1" si="0"/>
        <v>#NAME?</v>
      </c>
      <c r="H487" s="6"/>
      <c r="I487" s="17"/>
      <c r="J487" s="17"/>
    </row>
    <row r="488" spans="1:10" ht="171.75" customHeight="1">
      <c r="A488" s="6" t="s">
        <v>3473</v>
      </c>
      <c r="B488" s="6" t="s">
        <v>9896</v>
      </c>
      <c r="C488" s="6" t="s">
        <v>3474</v>
      </c>
      <c r="D488" s="6" t="s">
        <v>3477</v>
      </c>
      <c r="E488" s="17" t="s">
        <v>3478</v>
      </c>
      <c r="F488" s="17"/>
      <c r="G488" s="17" t="e">
        <f t="shared" ca="1" si="0"/>
        <v>#NAME?</v>
      </c>
      <c r="H488" s="6"/>
      <c r="I488" s="17"/>
      <c r="J488" s="17"/>
    </row>
    <row r="489" spans="1:10" ht="171.75" customHeight="1">
      <c r="A489" s="6" t="s">
        <v>3480</v>
      </c>
      <c r="B489" s="6" t="s">
        <v>9897</v>
      </c>
      <c r="C489" s="6" t="s">
        <v>3481</v>
      </c>
      <c r="D489" s="6" t="s">
        <v>3484</v>
      </c>
      <c r="E489" s="17" t="s">
        <v>3485</v>
      </c>
      <c r="F489" s="17"/>
      <c r="G489" s="17" t="e">
        <f t="shared" ca="1" si="0"/>
        <v>#NAME?</v>
      </c>
      <c r="H489" s="6"/>
      <c r="I489" s="17"/>
      <c r="J489" s="17"/>
    </row>
    <row r="490" spans="1:10" ht="171.75" customHeight="1">
      <c r="A490" s="55" t="s">
        <v>3480</v>
      </c>
      <c r="B490" s="6" t="s">
        <v>9897</v>
      </c>
      <c r="C490" s="6" t="s">
        <v>3487</v>
      </c>
      <c r="D490" s="6" t="s">
        <v>3490</v>
      </c>
      <c r="E490" s="17" t="s">
        <v>3491</v>
      </c>
      <c r="F490" s="17"/>
      <c r="G490" s="17" t="e">
        <f t="shared" ca="1" si="0"/>
        <v>#NAME?</v>
      </c>
      <c r="H490" s="6"/>
      <c r="I490" s="17"/>
      <c r="J490" s="17"/>
    </row>
    <row r="491" spans="1:10" ht="171.75" customHeight="1">
      <c r="A491" s="55" t="s">
        <v>3480</v>
      </c>
      <c r="B491" s="6" t="s">
        <v>9897</v>
      </c>
      <c r="C491" s="6" t="s">
        <v>3492</v>
      </c>
      <c r="D491" s="6" t="s">
        <v>3495</v>
      </c>
      <c r="E491" s="17" t="s">
        <v>3496</v>
      </c>
      <c r="F491" s="17"/>
      <c r="G491" s="17" t="e">
        <f t="shared" ca="1" si="0"/>
        <v>#NAME?</v>
      </c>
      <c r="H491" s="6"/>
      <c r="I491" s="17"/>
      <c r="J491" s="17"/>
    </row>
    <row r="492" spans="1:10" ht="171.75" customHeight="1">
      <c r="A492" s="55" t="s">
        <v>3480</v>
      </c>
      <c r="B492" s="6" t="s">
        <v>9897</v>
      </c>
      <c r="C492" s="6" t="s">
        <v>3498</v>
      </c>
      <c r="D492" s="6" t="s">
        <v>3501</v>
      </c>
      <c r="E492" s="17" t="s">
        <v>3502</v>
      </c>
      <c r="F492" s="17"/>
      <c r="G492" s="17" t="e">
        <f t="shared" ca="1" si="0"/>
        <v>#NAME?</v>
      </c>
      <c r="H492" s="6"/>
      <c r="I492" s="17"/>
      <c r="J492" s="17"/>
    </row>
    <row r="493" spans="1:10" ht="171.75" customHeight="1">
      <c r="A493" s="55" t="s">
        <v>3480</v>
      </c>
      <c r="B493" s="6" t="s">
        <v>9897</v>
      </c>
      <c r="C493" s="6" t="s">
        <v>3504</v>
      </c>
      <c r="D493" s="6" t="s">
        <v>3507</v>
      </c>
      <c r="E493" s="17" t="s">
        <v>3508</v>
      </c>
      <c r="F493" s="17"/>
      <c r="G493" s="17" t="e">
        <f t="shared" ca="1" si="0"/>
        <v>#NAME?</v>
      </c>
      <c r="H493" s="6"/>
      <c r="I493" s="17"/>
      <c r="J493" s="17"/>
    </row>
    <row r="494" spans="1:10" ht="171.75" customHeight="1">
      <c r="A494" s="6" t="s">
        <v>1173</v>
      </c>
      <c r="B494" s="6" t="s">
        <v>9787</v>
      </c>
      <c r="C494" s="6" t="s">
        <v>3511</v>
      </c>
      <c r="D494" s="6" t="s">
        <v>3513</v>
      </c>
      <c r="E494" s="17" t="s">
        <v>3514</v>
      </c>
      <c r="F494" s="17"/>
      <c r="G494" s="17" t="e">
        <f t="shared" ca="1" si="0"/>
        <v>#NAME?</v>
      </c>
      <c r="H494" s="6"/>
      <c r="I494" s="17"/>
      <c r="J494" s="17"/>
    </row>
    <row r="495" spans="1:10" ht="171.75" customHeight="1">
      <c r="A495" s="6" t="s">
        <v>1166</v>
      </c>
      <c r="B495" s="6" t="s">
        <v>9786</v>
      </c>
      <c r="C495" s="6" t="s">
        <v>3516</v>
      </c>
      <c r="D495" s="6" t="s">
        <v>3518</v>
      </c>
      <c r="E495" s="17" t="s">
        <v>3519</v>
      </c>
      <c r="F495" s="17"/>
      <c r="G495" s="17" t="e">
        <f t="shared" ca="1" si="0"/>
        <v>#NAME?</v>
      </c>
      <c r="H495" s="49"/>
      <c r="I495" s="17"/>
      <c r="J495" s="17"/>
    </row>
    <row r="496" spans="1:10" ht="171.75" customHeight="1">
      <c r="A496" s="43" t="s">
        <v>3522</v>
      </c>
      <c r="B496" s="6" t="s">
        <v>9898</v>
      </c>
      <c r="C496" s="6" t="s">
        <v>3523</v>
      </c>
      <c r="D496" s="43" t="s">
        <v>3525</v>
      </c>
      <c r="E496" s="17" t="s">
        <v>3526</v>
      </c>
      <c r="F496" s="17"/>
      <c r="G496" s="17" t="e">
        <f t="shared" ca="1" si="0"/>
        <v>#NAME?</v>
      </c>
      <c r="H496" s="6"/>
      <c r="I496" s="17"/>
      <c r="J496" s="17"/>
    </row>
    <row r="497" spans="1:10" ht="171.75" customHeight="1">
      <c r="A497" s="6" t="s">
        <v>8440</v>
      </c>
      <c r="B497" s="6" t="s">
        <v>9899</v>
      </c>
      <c r="C497" s="6" t="s">
        <v>3529</v>
      </c>
      <c r="D497" s="6" t="s">
        <v>3532</v>
      </c>
      <c r="E497" s="17" t="s">
        <v>3533</v>
      </c>
      <c r="F497" s="17"/>
      <c r="G497" s="17" t="e">
        <f t="shared" ca="1" si="0"/>
        <v>#NAME?</v>
      </c>
      <c r="H497" s="6"/>
      <c r="I497" s="17"/>
      <c r="J497" s="17"/>
    </row>
    <row r="498" spans="1:10" ht="171.75" customHeight="1">
      <c r="A498" s="6" t="s">
        <v>2229</v>
      </c>
      <c r="B498" s="6" t="s">
        <v>9831</v>
      </c>
      <c r="C498" s="6" t="s">
        <v>3536</v>
      </c>
      <c r="D498" s="6" t="s">
        <v>3539</v>
      </c>
      <c r="E498" s="17" t="s">
        <v>3540</v>
      </c>
      <c r="F498" s="17"/>
      <c r="G498" s="17" t="e">
        <f t="shared" ca="1" si="0"/>
        <v>#NAME?</v>
      </c>
      <c r="H498" s="49"/>
      <c r="I498" s="17"/>
      <c r="J498" s="17"/>
    </row>
    <row r="499" spans="1:10" ht="171.75" customHeight="1">
      <c r="A499" s="43" t="s">
        <v>278</v>
      </c>
      <c r="B499" s="6" t="s">
        <v>9709</v>
      </c>
      <c r="C499" s="6" t="s">
        <v>3542</v>
      </c>
      <c r="D499" s="6" t="s">
        <v>3545</v>
      </c>
      <c r="E499" s="17" t="s">
        <v>3546</v>
      </c>
      <c r="F499" s="17"/>
      <c r="G499" s="17" t="e">
        <f t="shared" ca="1" si="0"/>
        <v>#NAME?</v>
      </c>
      <c r="H499" s="6"/>
      <c r="I499" s="17"/>
      <c r="J499" s="10"/>
    </row>
    <row r="500" spans="1:10" ht="171.75" customHeight="1">
      <c r="A500" s="43" t="s">
        <v>248</v>
      </c>
      <c r="B500" s="6" t="s">
        <v>9712</v>
      </c>
      <c r="C500" s="6" t="s">
        <v>3549</v>
      </c>
      <c r="D500" s="6" t="s">
        <v>3552</v>
      </c>
      <c r="E500" s="10" t="s">
        <v>3554</v>
      </c>
      <c r="F500" s="17"/>
      <c r="G500" s="17" t="e">
        <f t="shared" ca="1" si="0"/>
        <v>#NAME?</v>
      </c>
      <c r="H500" s="6"/>
      <c r="I500" s="17"/>
      <c r="J500" s="17"/>
    </row>
    <row r="501" spans="1:10" ht="171.75" customHeight="1">
      <c r="A501" s="6" t="s">
        <v>285</v>
      </c>
      <c r="B501" s="6" t="s">
        <v>9710</v>
      </c>
      <c r="C501" s="6" t="s">
        <v>3556</v>
      </c>
      <c r="D501" s="6" t="s">
        <v>3559</v>
      </c>
      <c r="E501" s="17" t="s">
        <v>3561</v>
      </c>
      <c r="F501" s="17"/>
      <c r="G501" s="17" t="e">
        <f t="shared" ca="1" si="0"/>
        <v>#NAME?</v>
      </c>
      <c r="H501" s="6"/>
      <c r="I501" s="17"/>
      <c r="J501" s="17"/>
    </row>
    <row r="502" spans="1:10" ht="171.75" customHeight="1">
      <c r="A502" s="6" t="s">
        <v>6239</v>
      </c>
      <c r="B502" s="6" t="s">
        <v>9900</v>
      </c>
      <c r="C502" s="6" t="s">
        <v>3564</v>
      </c>
      <c r="D502" s="6" t="s">
        <v>3567</v>
      </c>
      <c r="E502" s="17" t="s">
        <v>3570</v>
      </c>
      <c r="F502" s="17"/>
      <c r="G502" s="17" t="e">
        <f t="shared" ca="1" si="0"/>
        <v>#NAME?</v>
      </c>
      <c r="H502" s="6"/>
      <c r="I502" s="17"/>
      <c r="J502" s="17"/>
    </row>
    <row r="503" spans="1:10" ht="171.75" customHeight="1">
      <c r="A503" s="43" t="s">
        <v>278</v>
      </c>
      <c r="B503" s="6" t="s">
        <v>9709</v>
      </c>
      <c r="C503" s="6" t="s">
        <v>3572</v>
      </c>
      <c r="D503" s="6" t="s">
        <v>3575</v>
      </c>
      <c r="E503" s="17" t="s">
        <v>3576</v>
      </c>
      <c r="F503" s="17"/>
      <c r="G503" s="17" t="e">
        <f t="shared" ca="1" si="0"/>
        <v>#NAME?</v>
      </c>
      <c r="H503" s="6"/>
      <c r="I503" s="6"/>
      <c r="J503" s="10"/>
    </row>
    <row r="504" spans="1:10" ht="171.75" customHeight="1">
      <c r="A504" s="6" t="s">
        <v>199</v>
      </c>
      <c r="B504" s="6" t="s">
        <v>9708</v>
      </c>
      <c r="C504" s="6" t="s">
        <v>3579</v>
      </c>
      <c r="D504" s="6" t="s">
        <v>3581</v>
      </c>
      <c r="E504" s="10" t="s">
        <v>9687</v>
      </c>
      <c r="F504" s="17"/>
      <c r="G504" s="17" t="e">
        <f t="shared" ca="1" si="0"/>
        <v>#NAME?</v>
      </c>
      <c r="H504" s="6"/>
      <c r="I504" s="6"/>
      <c r="J504" s="10"/>
    </row>
    <row r="505" spans="1:10" ht="171.75" customHeight="1">
      <c r="A505" s="6" t="s">
        <v>4113</v>
      </c>
      <c r="B505" s="6" t="s">
        <v>9901</v>
      </c>
      <c r="C505" s="6" t="s">
        <v>3584</v>
      </c>
      <c r="D505" s="6" t="s">
        <v>3586</v>
      </c>
      <c r="E505" s="10" t="s">
        <v>9687</v>
      </c>
      <c r="F505" s="17"/>
      <c r="G505" s="17" t="e">
        <f t="shared" ca="1" si="0"/>
        <v>#NAME?</v>
      </c>
      <c r="H505" s="6"/>
      <c r="I505" s="17"/>
      <c r="J505" s="17"/>
    </row>
    <row r="506" spans="1:10" ht="171.75" customHeight="1">
      <c r="A506" s="6" t="s">
        <v>3589</v>
      </c>
      <c r="B506" s="6" t="s">
        <v>9902</v>
      </c>
      <c r="C506" s="6" t="s">
        <v>3590</v>
      </c>
      <c r="D506" s="6" t="s">
        <v>3593</v>
      </c>
      <c r="E506" s="17" t="s">
        <v>3594</v>
      </c>
      <c r="F506" s="17"/>
      <c r="G506" s="17" t="e">
        <f t="shared" ca="1" si="0"/>
        <v>#NAME?</v>
      </c>
      <c r="H506" s="6"/>
      <c r="I506" s="17"/>
      <c r="J506" s="17"/>
    </row>
    <row r="507" spans="1:10" ht="171.75" customHeight="1">
      <c r="A507" s="6" t="s">
        <v>9903</v>
      </c>
      <c r="B507" s="6" t="s">
        <v>9904</v>
      </c>
      <c r="C507" s="6" t="s">
        <v>3597</v>
      </c>
      <c r="D507" s="6" t="s">
        <v>3600</v>
      </c>
      <c r="E507" s="17" t="s">
        <v>3601</v>
      </c>
      <c r="F507" s="17"/>
      <c r="G507" s="17" t="e">
        <f t="shared" ca="1" si="0"/>
        <v>#NAME?</v>
      </c>
      <c r="H507" s="6"/>
      <c r="I507" s="17"/>
      <c r="J507" s="17"/>
    </row>
    <row r="508" spans="1:10" ht="171.75" customHeight="1">
      <c r="A508" s="6" t="s">
        <v>3603</v>
      </c>
      <c r="B508" s="6" t="s">
        <v>9905</v>
      </c>
      <c r="C508" s="6" t="s">
        <v>3604</v>
      </c>
      <c r="D508" s="6" t="s">
        <v>3607</v>
      </c>
      <c r="E508" s="17" t="s">
        <v>3608</v>
      </c>
      <c r="F508" s="17"/>
      <c r="G508" s="17" t="e">
        <f t="shared" ca="1" si="0"/>
        <v>#NAME?</v>
      </c>
      <c r="H508" s="6"/>
      <c r="I508" s="17"/>
      <c r="J508" s="17"/>
    </row>
    <row r="509" spans="1:10" ht="171.75" customHeight="1">
      <c r="A509" s="6" t="s">
        <v>9906</v>
      </c>
      <c r="B509" s="6" t="s">
        <v>9907</v>
      </c>
      <c r="C509" s="6" t="s">
        <v>3611</v>
      </c>
      <c r="D509" s="6" t="s">
        <v>3614</v>
      </c>
      <c r="E509" s="17" t="s">
        <v>3615</v>
      </c>
      <c r="F509" s="17"/>
      <c r="G509" s="17" t="e">
        <f t="shared" ca="1" si="0"/>
        <v>#NAME?</v>
      </c>
      <c r="H509" s="6"/>
      <c r="I509" s="46"/>
      <c r="J509" s="17"/>
    </row>
    <row r="510" spans="1:10" ht="171.75" customHeight="1">
      <c r="A510" s="6" t="s">
        <v>3617</v>
      </c>
      <c r="B510" s="6" t="s">
        <v>9908</v>
      </c>
      <c r="C510" s="6" t="s">
        <v>3618</v>
      </c>
      <c r="D510" s="6" t="s">
        <v>3621</v>
      </c>
      <c r="E510" s="17" t="s">
        <v>3622</v>
      </c>
      <c r="F510" s="17"/>
      <c r="G510" s="17" t="e">
        <f t="shared" ca="1" si="0"/>
        <v>#NAME?</v>
      </c>
      <c r="H510" s="6"/>
      <c r="I510" s="17"/>
      <c r="J510" s="17"/>
    </row>
    <row r="511" spans="1:10" ht="171.75" customHeight="1">
      <c r="A511" s="6" t="s">
        <v>3624</v>
      </c>
      <c r="B511" s="6" t="s">
        <v>9909</v>
      </c>
      <c r="C511" s="6" t="s">
        <v>3625</v>
      </c>
      <c r="D511" s="6" t="s">
        <v>3628</v>
      </c>
      <c r="E511" s="17" t="s">
        <v>3629</v>
      </c>
      <c r="F511" s="17"/>
      <c r="G511" s="17" t="e">
        <f t="shared" ca="1" si="0"/>
        <v>#NAME?</v>
      </c>
      <c r="H511" s="6"/>
      <c r="I511" s="17"/>
      <c r="J511" s="17"/>
    </row>
    <row r="512" spans="1:10" ht="171.75" customHeight="1">
      <c r="A512" s="6" t="s">
        <v>3631</v>
      </c>
      <c r="B512" s="6" t="s">
        <v>9910</v>
      </c>
      <c r="C512" s="6" t="s">
        <v>3632</v>
      </c>
      <c r="D512" s="43" t="s">
        <v>3635</v>
      </c>
      <c r="E512" s="17" t="s">
        <v>3636</v>
      </c>
      <c r="F512" s="17"/>
      <c r="G512" s="17" t="e">
        <f t="shared" ca="1" si="0"/>
        <v>#NAME?</v>
      </c>
      <c r="H512" s="6"/>
      <c r="I512" s="17"/>
      <c r="J512" s="17"/>
    </row>
    <row r="513" spans="1:10" ht="171.75" customHeight="1">
      <c r="A513" s="43" t="s">
        <v>3269</v>
      </c>
      <c r="B513" s="6" t="s">
        <v>9884</v>
      </c>
      <c r="C513" s="6" t="s">
        <v>3638</v>
      </c>
      <c r="D513" s="6" t="s">
        <v>3641</v>
      </c>
      <c r="E513" s="17" t="s">
        <v>3642</v>
      </c>
      <c r="F513" s="17"/>
      <c r="G513" s="17" t="e">
        <f t="shared" ca="1" si="0"/>
        <v>#NAME?</v>
      </c>
      <c r="H513" s="6"/>
      <c r="I513" s="17"/>
      <c r="J513" s="17"/>
    </row>
    <row r="514" spans="1:10" ht="171.75" customHeight="1">
      <c r="A514" s="6" t="s">
        <v>3631</v>
      </c>
      <c r="B514" s="6" t="s">
        <v>9910</v>
      </c>
      <c r="C514" s="6" t="s">
        <v>3644</v>
      </c>
      <c r="D514" s="6" t="s">
        <v>3647</v>
      </c>
      <c r="E514" s="17" t="s">
        <v>3648</v>
      </c>
      <c r="F514" s="17"/>
      <c r="G514" s="17" t="e">
        <f t="shared" ca="1" si="0"/>
        <v>#NAME?</v>
      </c>
      <c r="H514" s="6"/>
      <c r="I514" s="17"/>
      <c r="J514" s="17"/>
    </row>
    <row r="515" spans="1:10" ht="171.75" customHeight="1">
      <c r="A515" s="43" t="s">
        <v>3269</v>
      </c>
      <c r="B515" s="6" t="s">
        <v>9884</v>
      </c>
      <c r="C515" s="6" t="s">
        <v>3650</v>
      </c>
      <c r="D515" s="6" t="s">
        <v>3653</v>
      </c>
      <c r="E515" s="17" t="s">
        <v>3654</v>
      </c>
      <c r="F515" s="17"/>
      <c r="G515" s="17" t="e">
        <f t="shared" ca="1" si="0"/>
        <v>#NAME?</v>
      </c>
      <c r="H515" s="6"/>
      <c r="I515" s="6"/>
      <c r="J515" s="10"/>
    </row>
    <row r="516" spans="1:10" ht="171.75" customHeight="1">
      <c r="A516" s="6" t="s">
        <v>3631</v>
      </c>
      <c r="B516" s="6" t="s">
        <v>9910</v>
      </c>
      <c r="C516" s="6" t="s">
        <v>3656</v>
      </c>
      <c r="D516" s="6" t="s">
        <v>3659</v>
      </c>
      <c r="E516" s="10" t="s">
        <v>3660</v>
      </c>
      <c r="F516" s="17"/>
      <c r="G516" s="17" t="e">
        <f t="shared" ca="1" si="0"/>
        <v>#NAME?</v>
      </c>
      <c r="H516" s="6"/>
      <c r="I516" s="17"/>
      <c r="J516" s="17"/>
    </row>
    <row r="517" spans="1:10" ht="171.75" customHeight="1">
      <c r="A517" s="43" t="s">
        <v>3285</v>
      </c>
      <c r="B517" s="6" t="s">
        <v>9911</v>
      </c>
      <c r="C517" s="6" t="s">
        <v>3662</v>
      </c>
      <c r="D517" s="6" t="s">
        <v>3665</v>
      </c>
      <c r="E517" s="17" t="s">
        <v>3666</v>
      </c>
      <c r="F517" s="17"/>
      <c r="G517" s="17" t="e">
        <f t="shared" ca="1" si="0"/>
        <v>#NAME?</v>
      </c>
      <c r="H517" s="6"/>
      <c r="I517" s="17"/>
      <c r="J517" s="17"/>
    </row>
    <row r="518" spans="1:10" ht="171.75" customHeight="1">
      <c r="A518" s="43" t="s">
        <v>3269</v>
      </c>
      <c r="B518" s="6" t="s">
        <v>9884</v>
      </c>
      <c r="C518" s="6" t="s">
        <v>3668</v>
      </c>
      <c r="D518" s="6" t="s">
        <v>3671</v>
      </c>
      <c r="E518" s="17" t="s">
        <v>3672</v>
      </c>
      <c r="F518" s="17"/>
      <c r="G518" s="17" t="e">
        <f t="shared" ca="1" si="0"/>
        <v>#NAME?</v>
      </c>
      <c r="H518" s="6"/>
      <c r="I518" s="6"/>
      <c r="J518" s="10"/>
    </row>
    <row r="519" spans="1:10" ht="171.75" customHeight="1">
      <c r="A519" s="6" t="s">
        <v>3631</v>
      </c>
      <c r="B519" s="6" t="s">
        <v>9910</v>
      </c>
      <c r="C519" s="6" t="s">
        <v>3674</v>
      </c>
      <c r="D519" s="6" t="s">
        <v>141</v>
      </c>
      <c r="E519" s="10" t="s">
        <v>9687</v>
      </c>
      <c r="F519" s="17"/>
      <c r="G519" s="17" t="e">
        <f t="shared" ca="1" si="0"/>
        <v>#NAME?</v>
      </c>
      <c r="H519" s="6"/>
      <c r="I519" s="17"/>
      <c r="J519" s="17"/>
    </row>
    <row r="520" spans="1:10" ht="171.75" customHeight="1">
      <c r="A520" s="43" t="s">
        <v>3269</v>
      </c>
      <c r="B520" s="6" t="s">
        <v>9884</v>
      </c>
      <c r="C520" s="6" t="s">
        <v>3677</v>
      </c>
      <c r="D520" s="6" t="s">
        <v>3680</v>
      </c>
      <c r="E520" s="17" t="s">
        <v>3681</v>
      </c>
      <c r="F520" s="17"/>
      <c r="G520" s="17" t="e">
        <f t="shared" ca="1" si="0"/>
        <v>#NAME?</v>
      </c>
      <c r="H520" s="6"/>
      <c r="I520" s="6"/>
      <c r="J520" s="10"/>
    </row>
    <row r="521" spans="1:10" ht="171.75" customHeight="1">
      <c r="A521" s="6" t="s">
        <v>3631</v>
      </c>
      <c r="B521" s="6" t="s">
        <v>9910</v>
      </c>
      <c r="C521" s="6" t="s">
        <v>3683</v>
      </c>
      <c r="D521" s="6" t="s">
        <v>141</v>
      </c>
      <c r="E521" s="10" t="s">
        <v>9687</v>
      </c>
      <c r="F521" s="17"/>
      <c r="G521" s="17" t="e">
        <f t="shared" ca="1" si="0"/>
        <v>#NAME?</v>
      </c>
      <c r="H521" s="6"/>
      <c r="I521" s="17"/>
      <c r="J521" s="17"/>
    </row>
    <row r="522" spans="1:10" ht="171.75" customHeight="1">
      <c r="A522" s="6" t="s">
        <v>3285</v>
      </c>
      <c r="B522" s="6" t="s">
        <v>9911</v>
      </c>
      <c r="C522" s="6" t="s">
        <v>3686</v>
      </c>
      <c r="D522" s="6" t="s">
        <v>3689</v>
      </c>
      <c r="E522" s="17" t="s">
        <v>3690</v>
      </c>
      <c r="F522" s="17"/>
      <c r="G522" s="17" t="e">
        <f t="shared" ca="1" si="0"/>
        <v>#NAME?</v>
      </c>
      <c r="H522" s="6"/>
      <c r="I522" s="6"/>
      <c r="J522" s="10"/>
    </row>
    <row r="523" spans="1:10" ht="171.75" customHeight="1">
      <c r="A523" s="6" t="s">
        <v>2046</v>
      </c>
      <c r="B523" s="6" t="s">
        <v>9824</v>
      </c>
      <c r="C523" s="6" t="s">
        <v>3692</v>
      </c>
      <c r="D523" s="6" t="s">
        <v>3695</v>
      </c>
      <c r="E523" s="10" t="s">
        <v>3696</v>
      </c>
      <c r="F523" s="17"/>
      <c r="G523" s="17" t="e">
        <f t="shared" ca="1" si="0"/>
        <v>#NAME?</v>
      </c>
      <c r="H523" s="6"/>
      <c r="I523" s="17"/>
      <c r="J523" s="17"/>
    </row>
    <row r="524" spans="1:10" ht="171.75" customHeight="1">
      <c r="A524" s="43" t="s">
        <v>3269</v>
      </c>
      <c r="B524" s="6" t="s">
        <v>9884</v>
      </c>
      <c r="C524" s="6" t="s">
        <v>3698</v>
      </c>
      <c r="D524" s="6" t="s">
        <v>3701</v>
      </c>
      <c r="E524" s="17" t="s">
        <v>3702</v>
      </c>
      <c r="F524" s="17"/>
      <c r="G524" s="17" t="e">
        <f t="shared" ca="1" si="0"/>
        <v>#NAME?</v>
      </c>
      <c r="H524" s="6"/>
      <c r="I524" s="17"/>
      <c r="J524" s="17"/>
    </row>
    <row r="525" spans="1:10" ht="171.75" customHeight="1">
      <c r="A525" s="6" t="s">
        <v>3262</v>
      </c>
      <c r="B525" s="6" t="s">
        <v>9883</v>
      </c>
      <c r="C525" s="6" t="s">
        <v>3704</v>
      </c>
      <c r="D525" s="6" t="s">
        <v>3707</v>
      </c>
      <c r="E525" s="17" t="s">
        <v>3708</v>
      </c>
      <c r="F525" s="17"/>
      <c r="G525" s="17" t="e">
        <f t="shared" ca="1" si="0"/>
        <v>#NAME?</v>
      </c>
      <c r="H525" s="6"/>
      <c r="I525" s="46"/>
      <c r="J525" s="17"/>
    </row>
    <row r="526" spans="1:10" ht="171.75" customHeight="1">
      <c r="A526" s="6" t="s">
        <v>3710</v>
      </c>
      <c r="B526" s="6" t="s">
        <v>9912</v>
      </c>
      <c r="C526" s="6" t="s">
        <v>3711</v>
      </c>
      <c r="D526" s="6" t="s">
        <v>3714</v>
      </c>
      <c r="E526" s="17" t="s">
        <v>3715</v>
      </c>
      <c r="F526" s="17"/>
      <c r="G526" s="17" t="e">
        <f t="shared" ca="1" si="0"/>
        <v>#NAME?</v>
      </c>
      <c r="H526" s="6"/>
      <c r="I526" s="6"/>
      <c r="J526" s="10"/>
    </row>
    <row r="527" spans="1:10" ht="171.75" customHeight="1">
      <c r="A527" s="6" t="s">
        <v>3718</v>
      </c>
      <c r="B527" s="6" t="s">
        <v>9913</v>
      </c>
      <c r="C527" s="6" t="s">
        <v>3719</v>
      </c>
      <c r="D527" s="6" t="s">
        <v>141</v>
      </c>
      <c r="E527" s="10" t="s">
        <v>9687</v>
      </c>
      <c r="F527" s="17"/>
      <c r="G527" s="17" t="e">
        <f t="shared" ca="1" si="0"/>
        <v>#NAME?</v>
      </c>
      <c r="H527" s="6"/>
      <c r="I527" s="17"/>
      <c r="J527" s="17"/>
    </row>
    <row r="528" spans="1:10" ht="171.75" customHeight="1">
      <c r="A528" s="6" t="s">
        <v>3723</v>
      </c>
      <c r="B528" s="6" t="s">
        <v>9914</v>
      </c>
      <c r="C528" s="6" t="s">
        <v>3724</v>
      </c>
      <c r="D528" s="6" t="s">
        <v>3727</v>
      </c>
      <c r="E528" s="17" t="s">
        <v>3728</v>
      </c>
      <c r="F528" s="17"/>
      <c r="G528" s="17" t="e">
        <f t="shared" ca="1" si="0"/>
        <v>#NAME?</v>
      </c>
      <c r="H528" s="6"/>
      <c r="I528" s="17"/>
      <c r="J528" s="17"/>
    </row>
    <row r="529" spans="1:10" ht="171.75" customHeight="1">
      <c r="A529" s="6" t="s">
        <v>3730</v>
      </c>
      <c r="B529" s="6" t="s">
        <v>9915</v>
      </c>
      <c r="C529" s="6" t="s">
        <v>3731</v>
      </c>
      <c r="D529" s="6" t="s">
        <v>3734</v>
      </c>
      <c r="E529" s="17" t="s">
        <v>3735</v>
      </c>
      <c r="F529" s="17"/>
      <c r="G529" s="17" t="e">
        <f t="shared" ca="1" si="0"/>
        <v>#NAME?</v>
      </c>
      <c r="H529" s="6"/>
      <c r="I529" s="17"/>
      <c r="J529" s="17"/>
    </row>
    <row r="530" spans="1:10" ht="171.75" customHeight="1">
      <c r="A530" s="6" t="s">
        <v>3737</v>
      </c>
      <c r="B530" s="6" t="s">
        <v>9916</v>
      </c>
      <c r="C530" s="6" t="s">
        <v>3738</v>
      </c>
      <c r="D530" s="6" t="s">
        <v>3741</v>
      </c>
      <c r="E530" s="17" t="s">
        <v>3742</v>
      </c>
      <c r="F530" s="17"/>
      <c r="G530" s="17" t="e">
        <f t="shared" ca="1" si="0"/>
        <v>#NAME?</v>
      </c>
      <c r="H530" s="6"/>
      <c r="I530" s="17"/>
      <c r="J530" s="17"/>
    </row>
    <row r="531" spans="1:10" ht="171.75" customHeight="1">
      <c r="A531" s="6" t="s">
        <v>3744</v>
      </c>
      <c r="B531" s="6" t="s">
        <v>9917</v>
      </c>
      <c r="C531" s="6" t="s">
        <v>3745</v>
      </c>
      <c r="D531" s="6" t="s">
        <v>3748</v>
      </c>
      <c r="E531" s="17" t="s">
        <v>3749</v>
      </c>
      <c r="F531" s="17"/>
      <c r="G531" s="17" t="e">
        <f t="shared" ca="1" si="0"/>
        <v>#NAME?</v>
      </c>
      <c r="H531" s="6"/>
      <c r="I531" s="17"/>
      <c r="J531" s="17"/>
    </row>
    <row r="532" spans="1:10" ht="171.75" customHeight="1">
      <c r="A532" s="43" t="s">
        <v>3751</v>
      </c>
      <c r="B532" s="6" t="s">
        <v>9918</v>
      </c>
      <c r="C532" s="6" t="s">
        <v>3752</v>
      </c>
      <c r="D532" s="6" t="s">
        <v>3755</v>
      </c>
      <c r="E532" s="17" t="s">
        <v>3758</v>
      </c>
      <c r="F532" s="17"/>
      <c r="G532" s="17" t="e">
        <f t="shared" ca="1" si="0"/>
        <v>#NAME?</v>
      </c>
      <c r="H532" s="49"/>
      <c r="I532" s="17"/>
      <c r="J532" s="17"/>
    </row>
    <row r="533" spans="1:10" ht="171.75" customHeight="1">
      <c r="A533" s="6" t="s">
        <v>3760</v>
      </c>
      <c r="B533" s="6" t="s">
        <v>9919</v>
      </c>
      <c r="C533" s="6" t="s">
        <v>3761</v>
      </c>
      <c r="D533" s="6" t="s">
        <v>3764</v>
      </c>
      <c r="E533" s="17" t="s">
        <v>3765</v>
      </c>
      <c r="F533" s="17"/>
      <c r="G533" s="17" t="e">
        <f t="shared" ca="1" si="0"/>
        <v>#NAME?</v>
      </c>
      <c r="H533" s="6"/>
      <c r="I533" s="17"/>
      <c r="J533" s="17"/>
    </row>
    <row r="534" spans="1:10" ht="171.75" customHeight="1">
      <c r="A534" s="43" t="s">
        <v>278</v>
      </c>
      <c r="B534" s="6" t="s">
        <v>9709</v>
      </c>
      <c r="C534" s="6" t="s">
        <v>3767</v>
      </c>
      <c r="D534" s="6" t="s">
        <v>3770</v>
      </c>
      <c r="E534" s="17" t="s">
        <v>3771</v>
      </c>
      <c r="F534" s="17"/>
      <c r="G534" s="17" t="e">
        <f t="shared" ca="1" si="0"/>
        <v>#NAME?</v>
      </c>
      <c r="H534" s="6"/>
      <c r="I534" s="17"/>
      <c r="J534" s="17"/>
    </row>
    <row r="535" spans="1:10" ht="171.75" customHeight="1">
      <c r="A535" s="43" t="s">
        <v>248</v>
      </c>
      <c r="B535" s="6" t="s">
        <v>9712</v>
      </c>
      <c r="C535" s="6" t="s">
        <v>3773</v>
      </c>
      <c r="D535" s="6" t="s">
        <v>3776</v>
      </c>
      <c r="E535" s="17" t="s">
        <v>3779</v>
      </c>
      <c r="F535" s="17"/>
      <c r="G535" s="17" t="e">
        <f t="shared" ca="1" si="0"/>
        <v>#NAME?</v>
      </c>
      <c r="H535" s="6"/>
      <c r="I535" s="17"/>
      <c r="J535" s="17"/>
    </row>
    <row r="536" spans="1:10" ht="171.75" customHeight="1">
      <c r="A536" s="6" t="s">
        <v>878</v>
      </c>
      <c r="B536" s="6" t="s">
        <v>9770</v>
      </c>
      <c r="C536" s="6" t="s">
        <v>3781</v>
      </c>
      <c r="D536" s="6" t="s">
        <v>3784</v>
      </c>
      <c r="E536" s="17" t="s">
        <v>3785</v>
      </c>
      <c r="F536" s="17"/>
      <c r="G536" s="17" t="e">
        <f t="shared" ca="1" si="0"/>
        <v>#NAME?</v>
      </c>
      <c r="H536" s="6"/>
      <c r="I536" s="17"/>
      <c r="J536" s="17"/>
    </row>
    <row r="537" spans="1:10" ht="171.75" customHeight="1">
      <c r="A537" s="6" t="s">
        <v>878</v>
      </c>
      <c r="B537" s="6" t="s">
        <v>9770</v>
      </c>
      <c r="C537" s="6" t="s">
        <v>3787</v>
      </c>
      <c r="D537" s="6" t="s">
        <v>3790</v>
      </c>
      <c r="E537" s="17" t="s">
        <v>3791</v>
      </c>
      <c r="F537" s="17"/>
      <c r="G537" s="17" t="e">
        <f t="shared" ca="1" si="0"/>
        <v>#NAME?</v>
      </c>
      <c r="H537" s="6"/>
      <c r="I537" s="17"/>
      <c r="J537" s="17"/>
    </row>
    <row r="538" spans="1:10" ht="171.75" customHeight="1">
      <c r="A538" s="6" t="s">
        <v>199</v>
      </c>
      <c r="B538" s="6" t="s">
        <v>9708</v>
      </c>
      <c r="C538" s="6" t="s">
        <v>3793</v>
      </c>
      <c r="D538" s="6" t="s">
        <v>3796</v>
      </c>
      <c r="E538" s="17" t="s">
        <v>3799</v>
      </c>
      <c r="F538" s="17"/>
      <c r="G538" s="17" t="e">
        <f t="shared" ca="1" si="0"/>
        <v>#NAME?</v>
      </c>
      <c r="H538" s="6"/>
      <c r="I538" s="17"/>
      <c r="J538" s="10"/>
    </row>
    <row r="539" spans="1:10" ht="171.75" customHeight="1">
      <c r="A539" s="6" t="s">
        <v>152</v>
      </c>
      <c r="B539" s="6" t="s">
        <v>9696</v>
      </c>
      <c r="C539" s="6" t="s">
        <v>3801</v>
      </c>
      <c r="D539" s="6" t="s">
        <v>3804</v>
      </c>
      <c r="E539" s="10" t="s">
        <v>3806</v>
      </c>
      <c r="F539" s="17"/>
      <c r="G539" s="17" t="e">
        <f t="shared" ca="1" si="0"/>
        <v>#NAME?</v>
      </c>
      <c r="H539" s="6"/>
      <c r="I539" s="46"/>
      <c r="J539" s="17"/>
    </row>
    <row r="540" spans="1:10" ht="171.75" customHeight="1">
      <c r="A540" s="43" t="s">
        <v>285</v>
      </c>
      <c r="B540" s="6" t="s">
        <v>9710</v>
      </c>
      <c r="C540" s="6" t="s">
        <v>3808</v>
      </c>
      <c r="D540" s="6" t="s">
        <v>3811</v>
      </c>
      <c r="E540" s="17" t="s">
        <v>3813</v>
      </c>
      <c r="F540" s="17"/>
      <c r="G540" s="17" t="e">
        <f t="shared" ca="1" si="0"/>
        <v>#NAME?</v>
      </c>
      <c r="H540" s="6"/>
      <c r="I540" s="17"/>
      <c r="J540" s="17"/>
    </row>
    <row r="541" spans="1:10" ht="171.75" customHeight="1">
      <c r="A541" s="6" t="s">
        <v>1492</v>
      </c>
      <c r="B541" s="6" t="s">
        <v>9722</v>
      </c>
      <c r="C541" s="6" t="s">
        <v>3815</v>
      </c>
      <c r="D541" s="6" t="s">
        <v>3818</v>
      </c>
      <c r="E541" s="17" t="s">
        <v>3819</v>
      </c>
      <c r="F541" s="17"/>
      <c r="G541" s="17" t="e">
        <f t="shared" ca="1" si="0"/>
        <v>#NAME?</v>
      </c>
      <c r="H541" s="6"/>
      <c r="I541" s="17"/>
      <c r="J541" s="17"/>
    </row>
    <row r="542" spans="1:10" ht="171.75" customHeight="1">
      <c r="A542" s="6" t="s">
        <v>1492</v>
      </c>
      <c r="B542" s="6" t="s">
        <v>9722</v>
      </c>
      <c r="C542" s="6" t="s">
        <v>3821</v>
      </c>
      <c r="D542" s="6" t="s">
        <v>3824</v>
      </c>
      <c r="E542" s="17" t="s">
        <v>3825</v>
      </c>
      <c r="F542" s="17"/>
      <c r="G542" s="17" t="e">
        <f t="shared" ca="1" si="0"/>
        <v>#NAME?</v>
      </c>
      <c r="H542" s="6"/>
      <c r="I542" s="17"/>
      <c r="J542" s="17"/>
    </row>
    <row r="543" spans="1:10" ht="171.75" customHeight="1">
      <c r="A543" s="6" t="s">
        <v>3827</v>
      </c>
      <c r="B543" s="6" t="s">
        <v>9920</v>
      </c>
      <c r="C543" s="6" t="s">
        <v>3828</v>
      </c>
      <c r="D543" s="6" t="s">
        <v>3831</v>
      </c>
      <c r="E543" s="17" t="s">
        <v>3832</v>
      </c>
      <c r="F543" s="17"/>
      <c r="G543" s="17" t="e">
        <f t="shared" ca="1" si="0"/>
        <v>#NAME?</v>
      </c>
      <c r="H543" s="6"/>
      <c r="I543" s="46"/>
      <c r="J543" s="17"/>
    </row>
    <row r="544" spans="1:10" ht="171.75" customHeight="1">
      <c r="A544" s="6" t="s">
        <v>3834</v>
      </c>
      <c r="B544" s="6" t="s">
        <v>9921</v>
      </c>
      <c r="C544" s="6" t="s">
        <v>3835</v>
      </c>
      <c r="D544" s="6" t="s">
        <v>3838</v>
      </c>
      <c r="E544" s="17" t="s">
        <v>3839</v>
      </c>
      <c r="F544" s="17"/>
      <c r="G544" s="17" t="e">
        <f t="shared" ca="1" si="0"/>
        <v>#NAME?</v>
      </c>
      <c r="H544" s="6"/>
      <c r="I544" s="46"/>
      <c r="J544" s="17"/>
    </row>
    <row r="545" spans="1:10" ht="171.75" customHeight="1">
      <c r="A545" s="6" t="s">
        <v>3842</v>
      </c>
      <c r="B545" s="6" t="s">
        <v>9922</v>
      </c>
      <c r="C545" s="6" t="s">
        <v>3843</v>
      </c>
      <c r="D545" s="6" t="s">
        <v>3846</v>
      </c>
      <c r="E545" s="17" t="s">
        <v>3847</v>
      </c>
      <c r="F545" s="17"/>
      <c r="G545" s="17" t="e">
        <f t="shared" ca="1" si="0"/>
        <v>#NAME?</v>
      </c>
      <c r="H545" s="6"/>
      <c r="I545" s="6"/>
      <c r="J545" s="10"/>
    </row>
    <row r="546" spans="1:10" ht="171.75" customHeight="1">
      <c r="A546" s="6" t="s">
        <v>210</v>
      </c>
      <c r="B546" s="6" t="s">
        <v>9819</v>
      </c>
      <c r="C546" s="6" t="s">
        <v>3850</v>
      </c>
      <c r="D546" s="6" t="s">
        <v>3852</v>
      </c>
      <c r="E546" s="10" t="s">
        <v>3853</v>
      </c>
      <c r="F546" s="17"/>
      <c r="G546" s="17" t="e">
        <f t="shared" ca="1" si="0"/>
        <v>#NAME?</v>
      </c>
      <c r="H546" s="6"/>
      <c r="I546" s="17"/>
      <c r="J546" s="17"/>
    </row>
    <row r="547" spans="1:10" ht="171.75" customHeight="1">
      <c r="A547" s="6" t="s">
        <v>3855</v>
      </c>
      <c r="B547" s="6" t="s">
        <v>9923</v>
      </c>
      <c r="C547" s="6" t="s">
        <v>3856</v>
      </c>
      <c r="D547" s="6" t="s">
        <v>3859</v>
      </c>
      <c r="E547" s="17" t="s">
        <v>3860</v>
      </c>
      <c r="F547" s="17"/>
      <c r="G547" s="17" t="e">
        <f t="shared" ca="1" si="0"/>
        <v>#NAME?</v>
      </c>
      <c r="H547" s="6"/>
      <c r="I547" s="6"/>
      <c r="J547" s="10"/>
    </row>
    <row r="548" spans="1:10" ht="171.75" customHeight="1">
      <c r="A548" s="6" t="s">
        <v>3862</v>
      </c>
      <c r="B548" s="6" t="s">
        <v>9924</v>
      </c>
      <c r="C548" s="6" t="s">
        <v>3863</v>
      </c>
      <c r="D548" s="6" t="s">
        <v>141</v>
      </c>
      <c r="E548" s="10" t="s">
        <v>3865</v>
      </c>
      <c r="F548" s="17"/>
      <c r="G548" s="17" t="e">
        <f t="shared" ca="1" si="0"/>
        <v>#NAME?</v>
      </c>
      <c r="H548" s="6"/>
      <c r="I548" s="17"/>
      <c r="J548" s="17"/>
    </row>
    <row r="549" spans="1:10" ht="171.75" customHeight="1">
      <c r="A549" s="6" t="s">
        <v>3867</v>
      </c>
      <c r="B549" s="6" t="s">
        <v>9770</v>
      </c>
      <c r="C549" s="6" t="s">
        <v>3868</v>
      </c>
      <c r="D549" s="6" t="s">
        <v>141</v>
      </c>
      <c r="E549" s="17" t="s">
        <v>3871</v>
      </c>
      <c r="F549" s="17"/>
      <c r="G549" s="17" t="e">
        <f t="shared" ca="1" si="0"/>
        <v>#NAME?</v>
      </c>
      <c r="H549" s="6"/>
      <c r="I549" s="17"/>
      <c r="J549" s="17"/>
    </row>
    <row r="550" spans="1:10" ht="171.75" customHeight="1">
      <c r="A550" s="6" t="s">
        <v>3867</v>
      </c>
      <c r="B550" s="6" t="s">
        <v>9770</v>
      </c>
      <c r="C550" s="6" t="s">
        <v>3873</v>
      </c>
      <c r="D550" s="43" t="s">
        <v>3876</v>
      </c>
      <c r="E550" s="17" t="s">
        <v>3877</v>
      </c>
      <c r="F550" s="17"/>
      <c r="G550" s="17" t="e">
        <f t="shared" ca="1" si="0"/>
        <v>#NAME?</v>
      </c>
      <c r="H550" s="6"/>
      <c r="I550" s="17"/>
      <c r="J550" s="17"/>
    </row>
    <row r="551" spans="1:10" ht="171.75" customHeight="1">
      <c r="A551" s="6" t="s">
        <v>3879</v>
      </c>
      <c r="B551" s="6" t="s">
        <v>9925</v>
      </c>
      <c r="C551" s="6" t="s">
        <v>3880</v>
      </c>
      <c r="D551" s="6" t="s">
        <v>3883</v>
      </c>
      <c r="E551" s="17" t="s">
        <v>3884</v>
      </c>
      <c r="F551" s="17"/>
      <c r="G551" s="17" t="e">
        <f t="shared" ca="1" si="0"/>
        <v>#NAME?</v>
      </c>
      <c r="H551" s="6"/>
      <c r="I551" s="17"/>
      <c r="J551" s="17"/>
    </row>
    <row r="552" spans="1:10" ht="171.75" customHeight="1">
      <c r="A552" s="6" t="s">
        <v>3886</v>
      </c>
      <c r="B552" s="6" t="s">
        <v>9926</v>
      </c>
      <c r="C552" s="6" t="s">
        <v>3887</v>
      </c>
      <c r="D552" s="6" t="s">
        <v>3890</v>
      </c>
      <c r="E552" s="17" t="s">
        <v>3891</v>
      </c>
      <c r="F552" s="17"/>
      <c r="G552" s="17" t="e">
        <f t="shared" ca="1" si="0"/>
        <v>#NAME?</v>
      </c>
      <c r="H552" s="6"/>
      <c r="I552" s="17"/>
      <c r="J552" s="17"/>
    </row>
    <row r="553" spans="1:10" ht="171.75" customHeight="1">
      <c r="A553" s="6" t="s">
        <v>3893</v>
      </c>
      <c r="B553" s="6" t="s">
        <v>9927</v>
      </c>
      <c r="C553" s="6" t="s">
        <v>3894</v>
      </c>
      <c r="D553" s="6" t="s">
        <v>3897</v>
      </c>
      <c r="E553" s="17" t="s">
        <v>3898</v>
      </c>
      <c r="F553" s="17"/>
      <c r="G553" s="17" t="e">
        <f t="shared" ca="1" si="0"/>
        <v>#NAME?</v>
      </c>
      <c r="H553" s="6"/>
      <c r="I553" s="17"/>
      <c r="J553" s="10"/>
    </row>
    <row r="554" spans="1:10" ht="171.75" customHeight="1">
      <c r="A554" s="6" t="s">
        <v>1850</v>
      </c>
      <c r="B554" s="6" t="s">
        <v>9817</v>
      </c>
      <c r="C554" s="6" t="s">
        <v>3900</v>
      </c>
      <c r="D554" s="6" t="s">
        <v>3903</v>
      </c>
      <c r="E554" s="10" t="s">
        <v>3904</v>
      </c>
      <c r="F554" s="17"/>
      <c r="G554" s="17" t="e">
        <f t="shared" ca="1" si="0"/>
        <v>#NAME?</v>
      </c>
      <c r="H554" s="6"/>
      <c r="I554" s="17"/>
      <c r="J554" s="17"/>
    </row>
    <row r="555" spans="1:10" ht="171.75" customHeight="1">
      <c r="A555" s="6" t="s">
        <v>3906</v>
      </c>
      <c r="B555" s="6" t="s">
        <v>9928</v>
      </c>
      <c r="C555" s="6" t="s">
        <v>3907</v>
      </c>
      <c r="D555" s="6" t="s">
        <v>3910</v>
      </c>
      <c r="E555" s="17" t="s">
        <v>3911</v>
      </c>
      <c r="F555" s="17"/>
      <c r="G555" s="17" t="e">
        <f t="shared" ca="1" si="0"/>
        <v>#NAME?</v>
      </c>
      <c r="H555" s="6"/>
      <c r="I555" s="17"/>
      <c r="J555" s="17"/>
    </row>
    <row r="556" spans="1:10" ht="171.75" customHeight="1">
      <c r="A556" s="6" t="s">
        <v>29</v>
      </c>
      <c r="B556" s="6" t="s">
        <v>29</v>
      </c>
      <c r="C556" s="6" t="s">
        <v>3913</v>
      </c>
      <c r="D556" s="6" t="s">
        <v>3915</v>
      </c>
      <c r="E556" s="17" t="s">
        <v>3916</v>
      </c>
      <c r="F556" s="17"/>
      <c r="G556" s="17" t="e">
        <f t="shared" ca="1" si="0"/>
        <v>#NAME?</v>
      </c>
      <c r="H556" s="6"/>
      <c r="I556" s="17"/>
      <c r="J556" s="17"/>
    </row>
    <row r="557" spans="1:10" ht="171.75" customHeight="1">
      <c r="A557" s="6" t="s">
        <v>1510</v>
      </c>
      <c r="B557" s="6" t="s">
        <v>9802</v>
      </c>
      <c r="C557" s="6" t="s">
        <v>3918</v>
      </c>
      <c r="D557" s="6" t="s">
        <v>3920</v>
      </c>
      <c r="E557" s="17" t="s">
        <v>3921</v>
      </c>
      <c r="F557" s="17"/>
      <c r="G557" s="17" t="e">
        <f t="shared" ca="1" si="0"/>
        <v>#NAME?</v>
      </c>
      <c r="H557" s="6"/>
      <c r="I557" s="17"/>
      <c r="J557" s="17"/>
    </row>
    <row r="558" spans="1:10" ht="171.75" customHeight="1">
      <c r="A558" s="6" t="s">
        <v>8440</v>
      </c>
      <c r="B558" s="6" t="s">
        <v>9899</v>
      </c>
      <c r="C558" s="6" t="s">
        <v>3924</v>
      </c>
      <c r="D558" s="6" t="s">
        <v>3927</v>
      </c>
      <c r="E558" s="17" t="s">
        <v>3928</v>
      </c>
      <c r="F558" s="17"/>
      <c r="G558" s="17" t="e">
        <f t="shared" ca="1" si="0"/>
        <v>#NAME?</v>
      </c>
      <c r="H558" s="6"/>
      <c r="I558" s="17"/>
      <c r="J558" s="17"/>
    </row>
    <row r="559" spans="1:10" ht="171.75" customHeight="1">
      <c r="A559" s="43" t="s">
        <v>278</v>
      </c>
      <c r="B559" s="6" t="s">
        <v>9709</v>
      </c>
      <c r="C559" s="6" t="s">
        <v>3931</v>
      </c>
      <c r="D559" s="6" t="s">
        <v>3934</v>
      </c>
      <c r="E559" s="17" t="s">
        <v>3935</v>
      </c>
      <c r="F559" s="17"/>
      <c r="G559" s="17" t="e">
        <f t="shared" ca="1" si="0"/>
        <v>#NAME?</v>
      </c>
      <c r="H559" s="6"/>
      <c r="I559" s="17"/>
      <c r="J559" s="17"/>
    </row>
    <row r="560" spans="1:10" ht="171.75" customHeight="1">
      <c r="A560" s="43" t="s">
        <v>278</v>
      </c>
      <c r="B560" s="6" t="s">
        <v>9709</v>
      </c>
      <c r="C560" s="6" t="s">
        <v>3937</v>
      </c>
      <c r="D560" s="6" t="s">
        <v>3940</v>
      </c>
      <c r="E560" s="17" t="s">
        <v>3941</v>
      </c>
      <c r="F560" s="17"/>
      <c r="G560" s="17" t="e">
        <f t="shared" ca="1" si="0"/>
        <v>#NAME?</v>
      </c>
      <c r="H560" s="6"/>
      <c r="I560" s="17"/>
      <c r="J560" s="17"/>
    </row>
    <row r="561" spans="1:10" ht="171.75" customHeight="1">
      <c r="A561" s="6" t="s">
        <v>2677</v>
      </c>
      <c r="B561" s="6" t="s">
        <v>9748</v>
      </c>
      <c r="C561" s="6" t="s">
        <v>3943</v>
      </c>
      <c r="D561" s="6" t="s">
        <v>3946</v>
      </c>
      <c r="E561" s="17" t="s">
        <v>3947</v>
      </c>
      <c r="F561" s="17"/>
      <c r="G561" s="17" t="e">
        <f t="shared" ca="1" si="0"/>
        <v>#NAME?</v>
      </c>
      <c r="H561" s="32"/>
      <c r="I561" s="17"/>
      <c r="J561" s="10"/>
    </row>
    <row r="562" spans="1:10" ht="171.75" customHeight="1">
      <c r="A562" s="6" t="s">
        <v>249</v>
      </c>
      <c r="B562" s="6" t="s">
        <v>9779</v>
      </c>
      <c r="C562" s="6" t="s">
        <v>3949</v>
      </c>
      <c r="D562" s="6" t="s">
        <v>141</v>
      </c>
      <c r="E562" s="10" t="s">
        <v>3953</v>
      </c>
      <c r="F562" s="17"/>
      <c r="G562" s="17" t="e">
        <f t="shared" ca="1" si="0"/>
        <v>#NAME?</v>
      </c>
      <c r="H562" s="6"/>
      <c r="I562" s="17"/>
      <c r="J562" s="17"/>
    </row>
    <row r="563" spans="1:10" ht="171.75" customHeight="1">
      <c r="A563" s="6" t="s">
        <v>199</v>
      </c>
      <c r="B563" s="6" t="s">
        <v>9708</v>
      </c>
      <c r="C563" s="6" t="s">
        <v>3955</v>
      </c>
      <c r="D563" s="6" t="s">
        <v>3958</v>
      </c>
      <c r="E563" s="17" t="s">
        <v>3961</v>
      </c>
      <c r="F563" s="17"/>
      <c r="G563" s="17" t="e">
        <f t="shared" ca="1" si="0"/>
        <v>#NAME?</v>
      </c>
      <c r="H563" s="6"/>
      <c r="I563" s="17"/>
      <c r="J563" s="17"/>
    </row>
    <row r="564" spans="1:10" ht="171.75" customHeight="1">
      <c r="A564" s="6" t="s">
        <v>963</v>
      </c>
      <c r="B564" s="6" t="s">
        <v>9778</v>
      </c>
      <c r="C564" s="6" t="s">
        <v>3963</v>
      </c>
      <c r="D564" s="6" t="s">
        <v>3966</v>
      </c>
      <c r="E564" s="17" t="s">
        <v>3969</v>
      </c>
      <c r="F564" s="17"/>
      <c r="G564" s="17" t="e">
        <f t="shared" ca="1" si="0"/>
        <v>#NAME?</v>
      </c>
      <c r="H564" s="6"/>
      <c r="I564" s="46"/>
      <c r="J564" s="17"/>
    </row>
    <row r="565" spans="1:10" ht="171.75" customHeight="1">
      <c r="A565" s="6" t="s">
        <v>285</v>
      </c>
      <c r="B565" s="6" t="s">
        <v>9710</v>
      </c>
      <c r="C565" s="6" t="s">
        <v>3971</v>
      </c>
      <c r="D565" s="6" t="s">
        <v>3974</v>
      </c>
      <c r="E565" s="17" t="s">
        <v>3976</v>
      </c>
      <c r="F565" s="17"/>
      <c r="G565" s="17" t="e">
        <f t="shared" ca="1" si="0"/>
        <v>#NAME?</v>
      </c>
      <c r="H565" s="6"/>
      <c r="I565" s="17"/>
      <c r="J565" s="17"/>
    </row>
    <row r="566" spans="1:10" ht="171.75" customHeight="1">
      <c r="A566" s="6" t="s">
        <v>3978</v>
      </c>
      <c r="B566" s="6" t="s">
        <v>9929</v>
      </c>
      <c r="C566" s="6" t="s">
        <v>3979</v>
      </c>
      <c r="D566" s="6" t="s">
        <v>3982</v>
      </c>
      <c r="E566" s="17" t="s">
        <v>3983</v>
      </c>
      <c r="F566" s="17"/>
      <c r="G566" s="17" t="e">
        <f t="shared" ca="1" si="0"/>
        <v>#NAME?</v>
      </c>
      <c r="H566" s="6"/>
      <c r="I566" s="17"/>
      <c r="J566" s="17"/>
    </row>
    <row r="567" spans="1:10" ht="171.75" customHeight="1">
      <c r="A567" s="6" t="s">
        <v>117</v>
      </c>
      <c r="B567" s="6" t="s">
        <v>9692</v>
      </c>
      <c r="C567" s="6" t="s">
        <v>3986</v>
      </c>
      <c r="D567" s="6" t="s">
        <v>3989</v>
      </c>
      <c r="E567" s="17" t="s">
        <v>3990</v>
      </c>
      <c r="F567" s="17"/>
      <c r="G567" s="17" t="e">
        <f t="shared" ca="1" si="0"/>
        <v>#NAME?</v>
      </c>
      <c r="H567" s="6"/>
      <c r="I567" s="17"/>
      <c r="J567" s="17"/>
    </row>
    <row r="568" spans="1:10" ht="171.75" customHeight="1">
      <c r="A568" s="6" t="s">
        <v>3992</v>
      </c>
      <c r="B568" s="6" t="s">
        <v>9930</v>
      </c>
      <c r="C568" s="6" t="s">
        <v>3993</v>
      </c>
      <c r="D568" s="6" t="s">
        <v>3996</v>
      </c>
      <c r="E568" s="17" t="s">
        <v>3997</v>
      </c>
      <c r="F568" s="17"/>
      <c r="G568" s="17" t="e">
        <f t="shared" ca="1" si="0"/>
        <v>#NAME?</v>
      </c>
      <c r="H568" s="6"/>
      <c r="I568" s="17"/>
      <c r="J568" s="17"/>
    </row>
    <row r="569" spans="1:10" ht="171.75" customHeight="1">
      <c r="A569" s="6" t="s">
        <v>3999</v>
      </c>
      <c r="B569" s="6" t="s">
        <v>9931</v>
      </c>
      <c r="C569" s="6" t="s">
        <v>4000</v>
      </c>
      <c r="D569" s="6" t="s">
        <v>4003</v>
      </c>
      <c r="E569" s="17" t="s">
        <v>4004</v>
      </c>
      <c r="F569" s="17"/>
      <c r="G569" s="17" t="e">
        <f t="shared" ca="1" si="0"/>
        <v>#NAME?</v>
      </c>
      <c r="H569" s="6"/>
      <c r="I569" s="17"/>
      <c r="J569" s="10"/>
    </row>
    <row r="570" spans="1:10" ht="171.75" customHeight="1">
      <c r="A570" s="6" t="s">
        <v>1850</v>
      </c>
      <c r="B570" s="6" t="s">
        <v>9817</v>
      </c>
      <c r="C570" s="6" t="s">
        <v>4006</v>
      </c>
      <c r="D570" s="6" t="s">
        <v>4009</v>
      </c>
      <c r="E570" s="10" t="s">
        <v>4010</v>
      </c>
      <c r="F570" s="17"/>
      <c r="G570" s="17" t="e">
        <f t="shared" ca="1" si="0"/>
        <v>#NAME?</v>
      </c>
      <c r="H570" s="6"/>
      <c r="I570" s="17"/>
      <c r="J570" s="17"/>
    </row>
    <row r="571" spans="1:10" ht="171.75" customHeight="1">
      <c r="A571" s="6" t="s">
        <v>285</v>
      </c>
      <c r="B571" s="6" t="s">
        <v>9710</v>
      </c>
      <c r="C571" s="6" t="s">
        <v>4012</v>
      </c>
      <c r="D571" s="6" t="s">
        <v>4015</v>
      </c>
      <c r="E571" s="17" t="s">
        <v>4017</v>
      </c>
      <c r="F571" s="17"/>
      <c r="G571" s="17" t="e">
        <f t="shared" ca="1" si="0"/>
        <v>#NAME?</v>
      </c>
      <c r="H571" s="6"/>
      <c r="I571" s="17"/>
      <c r="J571" s="17"/>
    </row>
    <row r="572" spans="1:10" ht="171.75" customHeight="1">
      <c r="A572" s="6" t="s">
        <v>249</v>
      </c>
      <c r="B572" s="6" t="s">
        <v>9779</v>
      </c>
      <c r="C572" s="6" t="s">
        <v>4019</v>
      </c>
      <c r="D572" s="6" t="s">
        <v>4022</v>
      </c>
      <c r="E572" s="17" t="s">
        <v>4024</v>
      </c>
      <c r="F572" s="17"/>
      <c r="G572" s="17" t="e">
        <f t="shared" ca="1" si="0"/>
        <v>#NAME?</v>
      </c>
      <c r="H572" s="6"/>
      <c r="I572" s="17"/>
      <c r="J572" s="17"/>
    </row>
    <row r="573" spans="1:10" ht="171.75" customHeight="1">
      <c r="A573" s="43" t="s">
        <v>278</v>
      </c>
      <c r="B573" s="6" t="s">
        <v>9709</v>
      </c>
      <c r="C573" s="6" t="s">
        <v>4026</v>
      </c>
      <c r="D573" s="6" t="s">
        <v>4029</v>
      </c>
      <c r="E573" s="17" t="s">
        <v>4030</v>
      </c>
      <c r="F573" s="17"/>
      <c r="G573" s="17" t="e">
        <f t="shared" ca="1" si="0"/>
        <v>#NAME?</v>
      </c>
      <c r="H573" s="6"/>
      <c r="I573" s="6"/>
      <c r="J573" s="10"/>
    </row>
    <row r="574" spans="1:10" ht="171.75" customHeight="1">
      <c r="A574" s="6" t="s">
        <v>321</v>
      </c>
      <c r="B574" s="6" t="s">
        <v>321</v>
      </c>
      <c r="C574" s="6" t="s">
        <v>4032</v>
      </c>
      <c r="D574" s="6" t="s">
        <v>141</v>
      </c>
      <c r="E574" s="10" t="s">
        <v>4037</v>
      </c>
      <c r="F574" s="17"/>
      <c r="G574" s="17" t="e">
        <f t="shared" ca="1" si="0"/>
        <v>#NAME?</v>
      </c>
      <c r="H574" s="6"/>
      <c r="I574" s="17"/>
      <c r="J574" s="17"/>
    </row>
    <row r="575" spans="1:10" ht="171.75" customHeight="1">
      <c r="A575" s="43" t="s">
        <v>379</v>
      </c>
      <c r="B575" s="6" t="s">
        <v>9720</v>
      </c>
      <c r="C575" s="6" t="s">
        <v>4039</v>
      </c>
      <c r="D575" s="6" t="s">
        <v>4042</v>
      </c>
      <c r="E575" s="17" t="s">
        <v>4043</v>
      </c>
      <c r="F575" s="17"/>
      <c r="G575" s="17" t="e">
        <f t="shared" ca="1" si="0"/>
        <v>#NAME?</v>
      </c>
      <c r="H575" s="6"/>
      <c r="I575" s="46"/>
      <c r="J575" s="17"/>
    </row>
    <row r="576" spans="1:10" ht="171.75" customHeight="1">
      <c r="A576" s="6" t="s">
        <v>677</v>
      </c>
      <c r="B576" s="6" t="s">
        <v>9750</v>
      </c>
      <c r="C576" s="6" t="s">
        <v>4045</v>
      </c>
      <c r="D576" s="43" t="s">
        <v>4048</v>
      </c>
      <c r="E576" s="17" t="s">
        <v>4050</v>
      </c>
      <c r="F576" s="17"/>
      <c r="G576" s="17" t="e">
        <f t="shared" ca="1" si="0"/>
        <v>#NAME?</v>
      </c>
      <c r="H576" s="6"/>
      <c r="I576" s="17"/>
      <c r="J576" s="17"/>
    </row>
    <row r="577" spans="1:10" ht="171.75" customHeight="1">
      <c r="A577" s="6" t="s">
        <v>4052</v>
      </c>
      <c r="B577" s="6" t="s">
        <v>9932</v>
      </c>
      <c r="C577" s="6" t="s">
        <v>4053</v>
      </c>
      <c r="D577" s="6" t="s">
        <v>4055</v>
      </c>
      <c r="E577" s="17" t="s">
        <v>4056</v>
      </c>
      <c r="F577" s="17"/>
      <c r="G577" s="17" t="e">
        <f t="shared" ca="1" si="0"/>
        <v>#NAME?</v>
      </c>
      <c r="H577" s="6"/>
      <c r="I577" s="17"/>
      <c r="J577" s="17"/>
    </row>
    <row r="578" spans="1:10" ht="171.75" customHeight="1">
      <c r="A578" s="6" t="s">
        <v>117</v>
      </c>
      <c r="B578" s="6" t="s">
        <v>9692</v>
      </c>
      <c r="C578" s="6" t="s">
        <v>4059</v>
      </c>
      <c r="D578" s="6" t="s">
        <v>4062</v>
      </c>
      <c r="E578" s="17" t="s">
        <v>4063</v>
      </c>
      <c r="F578" s="17"/>
      <c r="G578" s="17" t="e">
        <f t="shared" ca="1" si="0"/>
        <v>#NAME?</v>
      </c>
      <c r="H578" s="6"/>
      <c r="I578" s="17"/>
      <c r="J578" s="17"/>
    </row>
    <row r="579" spans="1:10" ht="171.75" customHeight="1">
      <c r="A579" s="43" t="s">
        <v>528</v>
      </c>
      <c r="B579" s="6" t="s">
        <v>9735</v>
      </c>
      <c r="C579" s="6" t="s">
        <v>4066</v>
      </c>
      <c r="D579" s="6" t="s">
        <v>4069</v>
      </c>
      <c r="E579" s="17" t="s">
        <v>4070</v>
      </c>
      <c r="F579" s="17"/>
      <c r="G579" s="17" t="e">
        <f t="shared" ca="1" si="0"/>
        <v>#NAME?</v>
      </c>
      <c r="H579" s="6"/>
      <c r="I579" s="17"/>
      <c r="J579" s="17"/>
    </row>
    <row r="580" spans="1:10" ht="171.75" customHeight="1">
      <c r="A580" s="43" t="s">
        <v>2040</v>
      </c>
      <c r="B580" s="6" t="s">
        <v>9823</v>
      </c>
      <c r="C580" s="6" t="s">
        <v>4072</v>
      </c>
      <c r="D580" s="43" t="s">
        <v>4075</v>
      </c>
      <c r="E580" s="17" t="s">
        <v>4076</v>
      </c>
      <c r="F580" s="17"/>
      <c r="G580" s="17" t="e">
        <f t="shared" ca="1" si="0"/>
        <v>#NAME?</v>
      </c>
      <c r="H580" s="6"/>
      <c r="I580" s="17"/>
      <c r="J580" s="17"/>
    </row>
    <row r="581" spans="1:10" ht="171.75" customHeight="1">
      <c r="A581" s="6" t="s">
        <v>869</v>
      </c>
      <c r="B581" s="6" t="s">
        <v>9769</v>
      </c>
      <c r="C581" s="6" t="s">
        <v>4078</v>
      </c>
      <c r="D581" s="6" t="s">
        <v>4081</v>
      </c>
      <c r="E581" s="17" t="s">
        <v>4082</v>
      </c>
      <c r="F581" s="17"/>
      <c r="G581" s="17" t="e">
        <f t="shared" ca="1" si="0"/>
        <v>#NAME?</v>
      </c>
      <c r="H581" s="6"/>
      <c r="I581" s="17"/>
      <c r="J581" s="17"/>
    </row>
    <row r="582" spans="1:10" ht="171.75" customHeight="1">
      <c r="A582" s="6" t="s">
        <v>379</v>
      </c>
      <c r="B582" s="6" t="s">
        <v>9720</v>
      </c>
      <c r="C582" s="6" t="s">
        <v>4084</v>
      </c>
      <c r="D582" s="43" t="s">
        <v>4087</v>
      </c>
      <c r="E582" s="17" t="s">
        <v>4088</v>
      </c>
      <c r="F582" s="17"/>
      <c r="G582" s="17" t="e">
        <f t="shared" ca="1" si="0"/>
        <v>#NAME?</v>
      </c>
      <c r="H582" s="6"/>
      <c r="I582" s="17"/>
      <c r="J582" s="17"/>
    </row>
    <row r="583" spans="1:10" ht="171.75" customHeight="1">
      <c r="A583" s="6" t="s">
        <v>152</v>
      </c>
      <c r="B583" s="6" t="s">
        <v>9696</v>
      </c>
      <c r="C583" s="6" t="s">
        <v>4090</v>
      </c>
      <c r="D583" s="6" t="s">
        <v>4093</v>
      </c>
      <c r="E583" s="17" t="s">
        <v>4094</v>
      </c>
      <c r="F583" s="17"/>
      <c r="G583" s="17" t="e">
        <f t="shared" ca="1" si="0"/>
        <v>#NAME?</v>
      </c>
      <c r="H583" s="6"/>
      <c r="I583" s="17"/>
      <c r="J583" s="17"/>
    </row>
    <row r="584" spans="1:10" ht="171.75" customHeight="1">
      <c r="A584" s="43" t="s">
        <v>248</v>
      </c>
      <c r="B584" s="6" t="s">
        <v>9712</v>
      </c>
      <c r="C584" s="6" t="s">
        <v>4096</v>
      </c>
      <c r="D584" s="6" t="s">
        <v>4099</v>
      </c>
      <c r="E584" s="17" t="s">
        <v>4101</v>
      </c>
      <c r="F584" s="17"/>
      <c r="G584" s="17" t="e">
        <f t="shared" ca="1" si="0"/>
        <v>#NAME?</v>
      </c>
      <c r="H584" s="6"/>
      <c r="I584" s="6"/>
      <c r="J584" s="10"/>
    </row>
    <row r="585" spans="1:10" ht="171.75" customHeight="1">
      <c r="A585" s="6" t="s">
        <v>199</v>
      </c>
      <c r="B585" s="6" t="s">
        <v>9708</v>
      </c>
      <c r="C585" s="6" t="s">
        <v>4103</v>
      </c>
      <c r="D585" s="6" t="s">
        <v>4105</v>
      </c>
      <c r="E585" s="10" t="s">
        <v>9687</v>
      </c>
      <c r="F585" s="17"/>
      <c r="G585" s="17" t="e">
        <f t="shared" ca="1" si="0"/>
        <v>#NAME?</v>
      </c>
      <c r="H585" s="6"/>
      <c r="I585" s="17"/>
      <c r="J585" s="17"/>
    </row>
    <row r="586" spans="1:10" ht="171.75" customHeight="1">
      <c r="A586" s="43" t="s">
        <v>278</v>
      </c>
      <c r="B586" s="6" t="s">
        <v>9709</v>
      </c>
      <c r="C586" s="6" t="s">
        <v>4107</v>
      </c>
      <c r="D586" s="6" t="s">
        <v>4110</v>
      </c>
      <c r="E586" s="17" t="s">
        <v>4111</v>
      </c>
      <c r="F586" s="17"/>
      <c r="G586" s="17" t="e">
        <f t="shared" ca="1" si="0"/>
        <v>#NAME?</v>
      </c>
      <c r="H586" s="6"/>
      <c r="I586" s="6"/>
      <c r="J586" s="32"/>
    </row>
    <row r="587" spans="1:10" ht="171.75" customHeight="1">
      <c r="A587" s="6" t="s">
        <v>4113</v>
      </c>
      <c r="B587" s="6" t="s">
        <v>9901</v>
      </c>
      <c r="C587" s="6" t="s">
        <v>4114</v>
      </c>
      <c r="D587" s="6" t="s">
        <v>4116</v>
      </c>
      <c r="E587" s="10" t="s">
        <v>9687</v>
      </c>
      <c r="F587" s="17"/>
      <c r="G587" s="17" t="e">
        <f t="shared" ca="1" si="0"/>
        <v>#NAME?</v>
      </c>
      <c r="H587" s="6"/>
      <c r="I587" s="17"/>
      <c r="J587" s="17"/>
    </row>
    <row r="588" spans="1:10" ht="171.75" customHeight="1">
      <c r="A588" s="6" t="s">
        <v>4119</v>
      </c>
      <c r="B588" s="6" t="s">
        <v>9933</v>
      </c>
      <c r="C588" s="6" t="s">
        <v>4120</v>
      </c>
      <c r="D588" s="6" t="s">
        <v>4123</v>
      </c>
      <c r="E588" s="17" t="s">
        <v>4124</v>
      </c>
      <c r="F588" s="17"/>
      <c r="G588" s="17" t="e">
        <f t="shared" ca="1" si="0"/>
        <v>#NAME?</v>
      </c>
      <c r="H588" s="6"/>
      <c r="I588" s="17"/>
      <c r="J588" s="17"/>
    </row>
    <row r="589" spans="1:10" ht="171.75" customHeight="1">
      <c r="A589" s="6" t="s">
        <v>1166</v>
      </c>
      <c r="B589" s="6" t="s">
        <v>9786</v>
      </c>
      <c r="C589" s="6" t="s">
        <v>4127</v>
      </c>
      <c r="D589" s="6" t="s">
        <v>4130</v>
      </c>
      <c r="E589" s="17" t="s">
        <v>4131</v>
      </c>
      <c r="F589" s="17"/>
      <c r="G589" s="17" t="e">
        <f t="shared" ca="1" si="0"/>
        <v>#NAME?</v>
      </c>
      <c r="H589" s="6"/>
      <c r="I589" s="17"/>
      <c r="J589" s="17"/>
    </row>
    <row r="590" spans="1:10" ht="171.75" customHeight="1">
      <c r="A590" s="6" t="s">
        <v>4133</v>
      </c>
      <c r="B590" s="6" t="s">
        <v>9934</v>
      </c>
      <c r="C590" s="6" t="s">
        <v>4134</v>
      </c>
      <c r="D590" s="6" t="s">
        <v>4137</v>
      </c>
      <c r="E590" s="17" t="s">
        <v>4138</v>
      </c>
      <c r="F590" s="17"/>
      <c r="G590" s="17" t="e">
        <f t="shared" ca="1" si="0"/>
        <v>#NAME?</v>
      </c>
      <c r="H590" s="6"/>
      <c r="I590" s="17"/>
      <c r="J590" s="17"/>
    </row>
    <row r="591" spans="1:10" ht="171.75" customHeight="1">
      <c r="A591" s="6" t="s">
        <v>379</v>
      </c>
      <c r="B591" s="6" t="s">
        <v>9720</v>
      </c>
      <c r="C591" s="6" t="s">
        <v>4140</v>
      </c>
      <c r="D591" s="6" t="s">
        <v>4143</v>
      </c>
      <c r="E591" s="17" t="s">
        <v>4144</v>
      </c>
      <c r="F591" s="17"/>
      <c r="G591" s="17" t="e">
        <f t="shared" ca="1" si="0"/>
        <v>#NAME?</v>
      </c>
      <c r="H591" s="6"/>
      <c r="I591" s="17"/>
      <c r="J591" s="17"/>
    </row>
    <row r="592" spans="1:10" ht="171.75" customHeight="1">
      <c r="A592" s="43" t="s">
        <v>248</v>
      </c>
      <c r="B592" s="6" t="s">
        <v>9712</v>
      </c>
      <c r="C592" s="6" t="s">
        <v>4146</v>
      </c>
      <c r="D592" s="6" t="s">
        <v>4149</v>
      </c>
      <c r="E592" s="17" t="s">
        <v>4151</v>
      </c>
      <c r="F592" s="17"/>
      <c r="G592" s="17" t="e">
        <f t="shared" ca="1" si="0"/>
        <v>#NAME?</v>
      </c>
      <c r="H592" s="6"/>
      <c r="I592" s="17"/>
      <c r="J592" s="17"/>
    </row>
    <row r="593" spans="1:10" ht="171.75" customHeight="1">
      <c r="A593" s="6" t="s">
        <v>4153</v>
      </c>
      <c r="B593" s="6" t="s">
        <v>9935</v>
      </c>
      <c r="C593" s="6" t="s">
        <v>4154</v>
      </c>
      <c r="D593" s="6" t="s">
        <v>4157</v>
      </c>
      <c r="E593" s="17" t="s">
        <v>4158</v>
      </c>
      <c r="F593" s="17"/>
      <c r="G593" s="17" t="e">
        <f t="shared" ca="1" si="0"/>
        <v>#NAME?</v>
      </c>
      <c r="H593" s="6"/>
      <c r="I593" s="6"/>
      <c r="J593" s="10"/>
    </row>
    <row r="594" spans="1:10" ht="171.75" customHeight="1">
      <c r="A594" s="6" t="s">
        <v>199</v>
      </c>
      <c r="B594" s="6" t="s">
        <v>9708</v>
      </c>
      <c r="C594" s="6" t="s">
        <v>4160</v>
      </c>
      <c r="D594" s="6" t="s">
        <v>4162</v>
      </c>
      <c r="E594" s="10" t="s">
        <v>9687</v>
      </c>
      <c r="F594" s="17"/>
      <c r="G594" s="17" t="e">
        <f t="shared" ca="1" si="0"/>
        <v>#NAME?</v>
      </c>
      <c r="H594" s="6"/>
      <c r="I594" s="6"/>
      <c r="J594" s="10"/>
    </row>
    <row r="595" spans="1:10" ht="171.75" customHeight="1">
      <c r="A595" s="6" t="s">
        <v>4113</v>
      </c>
      <c r="B595" s="6" t="s">
        <v>9901</v>
      </c>
      <c r="C595" s="6" t="s">
        <v>4164</v>
      </c>
      <c r="D595" s="6" t="s">
        <v>4166</v>
      </c>
      <c r="E595" s="10" t="s">
        <v>9687</v>
      </c>
      <c r="F595" s="17"/>
      <c r="G595" s="17" t="e">
        <f t="shared" ca="1" si="0"/>
        <v>#NAME?</v>
      </c>
      <c r="H595" s="6"/>
      <c r="I595" s="46"/>
      <c r="J595" s="17"/>
    </row>
    <row r="596" spans="1:10" ht="171.75" customHeight="1">
      <c r="A596" s="43" t="s">
        <v>278</v>
      </c>
      <c r="B596" s="6" t="s">
        <v>9709</v>
      </c>
      <c r="C596" s="6" t="s">
        <v>4169</v>
      </c>
      <c r="D596" s="6" t="s">
        <v>4172</v>
      </c>
      <c r="E596" s="17" t="s">
        <v>4173</v>
      </c>
      <c r="F596" s="17"/>
      <c r="G596" s="17" t="e">
        <f t="shared" ca="1" si="0"/>
        <v>#NAME?</v>
      </c>
      <c r="H596" s="6"/>
      <c r="I596" s="17"/>
      <c r="J596" s="17"/>
    </row>
    <row r="597" spans="1:10" ht="171.75" customHeight="1">
      <c r="A597" s="43" t="s">
        <v>4175</v>
      </c>
      <c r="B597" s="6" t="s">
        <v>9936</v>
      </c>
      <c r="C597" s="6" t="s">
        <v>4176</v>
      </c>
      <c r="D597" s="6" t="s">
        <v>4179</v>
      </c>
      <c r="E597" s="17" t="s">
        <v>4180</v>
      </c>
      <c r="F597" s="17"/>
      <c r="G597" s="17" t="e">
        <f t="shared" ca="1" si="0"/>
        <v>#NAME?</v>
      </c>
      <c r="H597" s="6"/>
      <c r="I597" s="17"/>
      <c r="J597" s="17"/>
    </row>
    <row r="598" spans="1:10" ht="171.75" customHeight="1">
      <c r="A598" s="6" t="s">
        <v>4183</v>
      </c>
      <c r="B598" s="6" t="s">
        <v>9937</v>
      </c>
      <c r="C598" s="6" t="s">
        <v>4184</v>
      </c>
      <c r="D598" s="6" t="s">
        <v>4187</v>
      </c>
      <c r="E598" s="17" t="s">
        <v>4188</v>
      </c>
      <c r="F598" s="17"/>
      <c r="G598" s="17" t="e">
        <f t="shared" ca="1" si="0"/>
        <v>#NAME?</v>
      </c>
      <c r="H598" s="6"/>
      <c r="I598" s="17"/>
      <c r="J598" s="17"/>
    </row>
    <row r="599" spans="1:10" ht="171.75" customHeight="1">
      <c r="A599" s="6" t="s">
        <v>4190</v>
      </c>
      <c r="B599" s="6" t="s">
        <v>9938</v>
      </c>
      <c r="C599" s="6" t="s">
        <v>4191</v>
      </c>
      <c r="D599" s="6" t="s">
        <v>4194</v>
      </c>
      <c r="E599" s="17" t="s">
        <v>4195</v>
      </c>
      <c r="F599" s="17"/>
      <c r="G599" s="17" t="e">
        <f t="shared" ca="1" si="0"/>
        <v>#NAME?</v>
      </c>
      <c r="H599" s="6"/>
      <c r="I599" s="17"/>
      <c r="J599" s="17"/>
    </row>
    <row r="600" spans="1:10" ht="171.75" customHeight="1">
      <c r="A600" s="6" t="s">
        <v>869</v>
      </c>
      <c r="B600" s="6" t="s">
        <v>9769</v>
      </c>
      <c r="C600" s="6" t="s">
        <v>4197</v>
      </c>
      <c r="D600" s="6" t="s">
        <v>4200</v>
      </c>
      <c r="E600" s="17" t="s">
        <v>4201</v>
      </c>
      <c r="F600" s="17"/>
      <c r="G600" s="17" t="e">
        <f t="shared" ca="1" si="0"/>
        <v>#NAME?</v>
      </c>
      <c r="H600" s="32"/>
      <c r="I600" s="17"/>
      <c r="J600" s="17"/>
    </row>
    <row r="601" spans="1:10" ht="171.75" customHeight="1">
      <c r="A601" s="6" t="s">
        <v>199</v>
      </c>
      <c r="B601" s="6" t="s">
        <v>9708</v>
      </c>
      <c r="C601" s="6" t="s">
        <v>4205</v>
      </c>
      <c r="D601" s="6" t="s">
        <v>141</v>
      </c>
      <c r="E601" s="17" t="s">
        <v>4209</v>
      </c>
      <c r="F601" s="17"/>
      <c r="G601" s="17" t="e">
        <f t="shared" ca="1" si="0"/>
        <v>#NAME?</v>
      </c>
      <c r="H601" s="6"/>
      <c r="I601" s="17"/>
      <c r="J601" s="17"/>
    </row>
    <row r="602" spans="1:10" ht="171.75" customHeight="1">
      <c r="A602" s="43" t="s">
        <v>354</v>
      </c>
      <c r="B602" s="6" t="s">
        <v>9717</v>
      </c>
      <c r="C602" s="6" t="s">
        <v>4211</v>
      </c>
      <c r="D602" s="6" t="s">
        <v>4214</v>
      </c>
      <c r="E602" s="17" t="s">
        <v>4215</v>
      </c>
      <c r="F602" s="17"/>
      <c r="G602" s="17" t="e">
        <f t="shared" ca="1" si="0"/>
        <v>#NAME?</v>
      </c>
      <c r="H602" s="6"/>
      <c r="I602" s="46"/>
      <c r="J602" s="17"/>
    </row>
    <row r="603" spans="1:10" ht="171.75" customHeight="1">
      <c r="A603" s="6" t="s">
        <v>152</v>
      </c>
      <c r="B603" s="6" t="s">
        <v>9696</v>
      </c>
      <c r="C603" s="6" t="s">
        <v>4217</v>
      </c>
      <c r="D603" s="6" t="s">
        <v>4220</v>
      </c>
      <c r="E603" s="17" t="s">
        <v>4222</v>
      </c>
      <c r="F603" s="17"/>
      <c r="G603" s="17" t="e">
        <f t="shared" ca="1" si="0"/>
        <v>#NAME?</v>
      </c>
      <c r="H603" s="6"/>
      <c r="I603" s="17"/>
      <c r="J603" s="17"/>
    </row>
    <row r="604" spans="1:10" ht="171.75" customHeight="1">
      <c r="A604" s="6" t="s">
        <v>2362</v>
      </c>
      <c r="B604" s="6" t="s">
        <v>9844</v>
      </c>
      <c r="C604" s="6" t="s">
        <v>4224</v>
      </c>
      <c r="D604" s="6" t="s">
        <v>4227</v>
      </c>
      <c r="E604" s="17" t="s">
        <v>4228</v>
      </c>
      <c r="F604" s="17"/>
      <c r="G604" s="17" t="e">
        <f t="shared" ca="1" si="0"/>
        <v>#NAME?</v>
      </c>
      <c r="H604" s="6"/>
      <c r="I604" s="17"/>
      <c r="J604" s="17"/>
    </row>
    <row r="605" spans="1:10" ht="171.75" customHeight="1">
      <c r="A605" s="6" t="s">
        <v>4230</v>
      </c>
      <c r="B605" s="6" t="s">
        <v>9939</v>
      </c>
      <c r="C605" s="6" t="s">
        <v>4231</v>
      </c>
      <c r="D605" s="6" t="s">
        <v>4234</v>
      </c>
      <c r="E605" s="17" t="s">
        <v>4235</v>
      </c>
      <c r="F605" s="17"/>
      <c r="G605" s="17" t="e">
        <f t="shared" ca="1" si="0"/>
        <v>#NAME?</v>
      </c>
      <c r="H605" s="6"/>
      <c r="I605" s="17"/>
      <c r="J605" s="17"/>
    </row>
    <row r="606" spans="1:10" ht="171.75" customHeight="1">
      <c r="A606" s="6" t="s">
        <v>1306</v>
      </c>
      <c r="B606" s="6" t="s">
        <v>9794</v>
      </c>
      <c r="C606" s="6" t="s">
        <v>4237</v>
      </c>
      <c r="D606" s="6" t="s">
        <v>4240</v>
      </c>
      <c r="E606" s="17" t="s">
        <v>4241</v>
      </c>
      <c r="F606" s="17"/>
      <c r="G606" s="17" t="e">
        <f t="shared" ca="1" si="0"/>
        <v>#NAME?</v>
      </c>
      <c r="H606" s="6"/>
      <c r="I606" s="17"/>
      <c r="J606" s="17"/>
    </row>
    <row r="607" spans="1:10" ht="171.75" customHeight="1">
      <c r="A607" s="6" t="s">
        <v>4243</v>
      </c>
      <c r="B607" s="6" t="s">
        <v>9940</v>
      </c>
      <c r="C607" s="6" t="s">
        <v>4244</v>
      </c>
      <c r="D607" s="6" t="s">
        <v>4247</v>
      </c>
      <c r="E607" s="17" t="s">
        <v>4248</v>
      </c>
      <c r="F607" s="17"/>
      <c r="G607" s="17" t="e">
        <f t="shared" ca="1" si="0"/>
        <v>#NAME?</v>
      </c>
      <c r="H607" s="6"/>
      <c r="I607" s="17"/>
      <c r="J607" s="17"/>
    </row>
    <row r="608" spans="1:10" ht="171.75" customHeight="1">
      <c r="A608" s="6" t="s">
        <v>4250</v>
      </c>
      <c r="B608" s="6" t="s">
        <v>9941</v>
      </c>
      <c r="C608" s="6" t="s">
        <v>4251</v>
      </c>
      <c r="D608" s="6" t="s">
        <v>4254</v>
      </c>
      <c r="E608" s="17" t="s">
        <v>4255</v>
      </c>
      <c r="F608" s="17"/>
      <c r="G608" s="17" t="e">
        <f t="shared" ca="1" si="0"/>
        <v>#NAME?</v>
      </c>
      <c r="H608" s="6"/>
      <c r="I608" s="17"/>
      <c r="J608" s="17"/>
    </row>
    <row r="609" spans="1:10" ht="171.75" customHeight="1">
      <c r="A609" s="6" t="s">
        <v>4257</v>
      </c>
      <c r="B609" s="6" t="s">
        <v>9942</v>
      </c>
      <c r="C609" s="6" t="s">
        <v>4258</v>
      </c>
      <c r="D609" s="6" t="s">
        <v>4261</v>
      </c>
      <c r="E609" s="17" t="s">
        <v>4262</v>
      </c>
      <c r="F609" s="17"/>
      <c r="G609" s="17" t="e">
        <f t="shared" ca="1" si="0"/>
        <v>#NAME?</v>
      </c>
      <c r="H609" s="6"/>
      <c r="I609" s="17"/>
      <c r="J609" s="17"/>
    </row>
    <row r="610" spans="1:10" ht="171.75" customHeight="1">
      <c r="A610" s="6" t="s">
        <v>4264</v>
      </c>
      <c r="B610" s="6" t="s">
        <v>9943</v>
      </c>
      <c r="C610" s="6" t="s">
        <v>4265</v>
      </c>
      <c r="D610" s="6" t="s">
        <v>4268</v>
      </c>
      <c r="E610" s="17" t="s">
        <v>4269</v>
      </c>
      <c r="F610" s="17"/>
      <c r="G610" s="17" t="e">
        <f t="shared" ca="1" si="0"/>
        <v>#NAME?</v>
      </c>
      <c r="H610" s="6"/>
      <c r="I610" s="17"/>
      <c r="J610" s="10"/>
    </row>
    <row r="611" spans="1:10" ht="171.75" customHeight="1">
      <c r="A611" s="43" t="s">
        <v>136</v>
      </c>
      <c r="B611" s="6" t="s">
        <v>136</v>
      </c>
      <c r="C611" s="6" t="s">
        <v>4271</v>
      </c>
      <c r="D611" s="6" t="s">
        <v>4274</v>
      </c>
      <c r="E611" s="10" t="s">
        <v>4277</v>
      </c>
      <c r="F611" s="17"/>
      <c r="G611" s="17" t="e">
        <f t="shared" ca="1" si="0"/>
        <v>#NAME?</v>
      </c>
      <c r="H611" s="6"/>
      <c r="I611" s="17"/>
      <c r="J611" s="17"/>
    </row>
    <row r="612" spans="1:10" ht="171.75" customHeight="1">
      <c r="A612" s="6" t="s">
        <v>152</v>
      </c>
      <c r="B612" s="6" t="s">
        <v>9696</v>
      </c>
      <c r="C612" s="6" t="s">
        <v>4279</v>
      </c>
      <c r="D612" s="6" t="s">
        <v>4282</v>
      </c>
      <c r="E612" s="17" t="s">
        <v>4284</v>
      </c>
      <c r="F612" s="17"/>
      <c r="G612" s="17" t="e">
        <f t="shared" ca="1" si="0"/>
        <v>#NAME?</v>
      </c>
      <c r="H612" s="6"/>
      <c r="I612" s="17"/>
      <c r="J612" s="10"/>
    </row>
    <row r="613" spans="1:10" ht="171.75" customHeight="1">
      <c r="A613" s="43" t="s">
        <v>1394</v>
      </c>
      <c r="B613" s="6" t="s">
        <v>9797</v>
      </c>
      <c r="C613" s="6" t="s">
        <v>4286</v>
      </c>
      <c r="D613" s="6" t="s">
        <v>4289</v>
      </c>
      <c r="E613" s="10" t="s">
        <v>4291</v>
      </c>
      <c r="F613" s="17"/>
      <c r="G613" s="17" t="e">
        <f t="shared" ca="1" si="0"/>
        <v>#NAME?</v>
      </c>
      <c r="H613" s="6"/>
      <c r="I613" s="17"/>
      <c r="J613" s="17"/>
    </row>
    <row r="614" spans="1:10" ht="171.75" customHeight="1">
      <c r="A614" s="43" t="s">
        <v>43</v>
      </c>
      <c r="B614" s="6" t="s">
        <v>43</v>
      </c>
      <c r="C614" s="6" t="s">
        <v>4293</v>
      </c>
      <c r="D614" s="6" t="s">
        <v>4296</v>
      </c>
      <c r="E614" s="17" t="s">
        <v>4298</v>
      </c>
      <c r="F614" s="17"/>
      <c r="G614" s="17" t="e">
        <f t="shared" ca="1" si="0"/>
        <v>#NAME?</v>
      </c>
      <c r="H614" s="6"/>
      <c r="I614" s="17"/>
      <c r="J614" s="17"/>
    </row>
    <row r="615" spans="1:10" ht="171.75" customHeight="1">
      <c r="A615" s="43" t="s">
        <v>638</v>
      </c>
      <c r="B615" s="6" t="s">
        <v>638</v>
      </c>
      <c r="C615" s="6" t="s">
        <v>4300</v>
      </c>
      <c r="D615" s="6" t="s">
        <v>4303</v>
      </c>
      <c r="E615" s="17" t="s">
        <v>4305</v>
      </c>
      <c r="F615" s="17"/>
      <c r="G615" s="17" t="e">
        <f t="shared" ca="1" si="0"/>
        <v>#NAME?</v>
      </c>
      <c r="H615" s="6"/>
      <c r="I615" s="17"/>
      <c r="J615" s="17"/>
    </row>
    <row r="616" spans="1:10" ht="171.75" customHeight="1">
      <c r="A616" s="43" t="s">
        <v>379</v>
      </c>
      <c r="B616" s="6" t="s">
        <v>9720</v>
      </c>
      <c r="C616" s="6" t="s">
        <v>4307</v>
      </c>
      <c r="D616" s="6" t="s">
        <v>4310</v>
      </c>
      <c r="E616" s="17" t="s">
        <v>4311</v>
      </c>
      <c r="F616" s="17"/>
      <c r="G616" s="17" t="e">
        <f t="shared" ca="1" si="0"/>
        <v>#NAME?</v>
      </c>
      <c r="H616" s="6"/>
      <c r="I616" s="17"/>
      <c r="J616" s="17"/>
    </row>
    <row r="617" spans="1:10" ht="171.75" customHeight="1">
      <c r="A617" s="43" t="s">
        <v>278</v>
      </c>
      <c r="B617" s="6" t="s">
        <v>9709</v>
      </c>
      <c r="C617" s="6" t="s">
        <v>4315</v>
      </c>
      <c r="D617" s="6" t="s">
        <v>4318</v>
      </c>
      <c r="E617" s="17" t="s">
        <v>4319</v>
      </c>
      <c r="F617" s="17"/>
      <c r="G617" s="17" t="e">
        <f t="shared" ca="1" si="0"/>
        <v>#NAME?</v>
      </c>
      <c r="H617" s="6"/>
      <c r="I617" s="46"/>
      <c r="J617" s="17"/>
    </row>
    <row r="618" spans="1:10" ht="171.75" customHeight="1">
      <c r="A618" s="43" t="s">
        <v>1166</v>
      </c>
      <c r="B618" s="6" t="s">
        <v>9786</v>
      </c>
      <c r="C618" s="6" t="s">
        <v>4321</v>
      </c>
      <c r="D618" s="6" t="s">
        <v>4323</v>
      </c>
      <c r="E618" s="10" t="s">
        <v>9687</v>
      </c>
      <c r="F618" s="17"/>
      <c r="G618" s="17" t="e">
        <f t="shared" ca="1" si="0"/>
        <v>#NAME?</v>
      </c>
      <c r="H618" s="49"/>
      <c r="I618" s="17"/>
      <c r="J618" s="17"/>
    </row>
    <row r="619" spans="1:10" ht="171.75" customHeight="1">
      <c r="A619" s="6" t="s">
        <v>117</v>
      </c>
      <c r="B619" s="6" t="s">
        <v>9692</v>
      </c>
      <c r="C619" s="6" t="s">
        <v>4325</v>
      </c>
      <c r="D619" s="6" t="s">
        <v>4328</v>
      </c>
      <c r="E619" s="17" t="s">
        <v>4329</v>
      </c>
      <c r="F619" s="17"/>
      <c r="G619" s="17" t="e">
        <f t="shared" ca="1" si="0"/>
        <v>#NAME?</v>
      </c>
      <c r="H619" s="6"/>
      <c r="I619" s="17"/>
      <c r="J619" s="17"/>
    </row>
    <row r="620" spans="1:10" ht="171.75" customHeight="1">
      <c r="A620" s="6" t="s">
        <v>4153</v>
      </c>
      <c r="B620" s="6" t="s">
        <v>9935</v>
      </c>
      <c r="C620" s="6" t="s">
        <v>4331</v>
      </c>
      <c r="D620" s="6" t="s">
        <v>4334</v>
      </c>
      <c r="E620" s="17" t="s">
        <v>4335</v>
      </c>
      <c r="F620" s="17"/>
      <c r="G620" s="17" t="e">
        <f t="shared" ca="1" si="0"/>
        <v>#NAME?</v>
      </c>
      <c r="H620" s="49"/>
      <c r="I620" s="17"/>
      <c r="J620" s="17"/>
    </row>
    <row r="621" spans="1:10" ht="171.75" customHeight="1">
      <c r="A621" s="43" t="s">
        <v>278</v>
      </c>
      <c r="B621" s="6" t="s">
        <v>9709</v>
      </c>
      <c r="C621" s="6" t="s">
        <v>4337</v>
      </c>
      <c r="D621" s="6" t="s">
        <v>4340</v>
      </c>
      <c r="E621" s="17" t="s">
        <v>4341</v>
      </c>
      <c r="F621" s="17"/>
      <c r="G621" s="17" t="e">
        <f t="shared" ca="1" si="0"/>
        <v>#NAME?</v>
      </c>
      <c r="H621" s="6"/>
      <c r="I621" s="17"/>
      <c r="J621" s="17"/>
    </row>
    <row r="622" spans="1:10" ht="171.75" customHeight="1">
      <c r="A622" s="43" t="s">
        <v>249</v>
      </c>
      <c r="B622" s="6" t="s">
        <v>9779</v>
      </c>
      <c r="C622" s="6" t="s">
        <v>4343</v>
      </c>
      <c r="D622" s="6" t="s">
        <v>4346</v>
      </c>
      <c r="E622" s="17" t="s">
        <v>4348</v>
      </c>
      <c r="F622" s="17"/>
      <c r="G622" s="17" t="e">
        <f t="shared" ca="1" si="0"/>
        <v>#NAME?</v>
      </c>
      <c r="H622" s="6"/>
      <c r="I622" s="6"/>
      <c r="J622" s="10"/>
    </row>
    <row r="623" spans="1:10" ht="171.75" customHeight="1">
      <c r="A623" s="6" t="s">
        <v>199</v>
      </c>
      <c r="B623" s="6" t="s">
        <v>9708</v>
      </c>
      <c r="C623" s="6" t="s">
        <v>4350</v>
      </c>
      <c r="D623" s="6" t="s">
        <v>4352</v>
      </c>
      <c r="E623" s="10" t="s">
        <v>9687</v>
      </c>
      <c r="F623" s="17"/>
      <c r="G623" s="17" t="e">
        <f t="shared" ca="1" si="0"/>
        <v>#NAME?</v>
      </c>
      <c r="H623" s="6"/>
      <c r="I623" s="6"/>
      <c r="J623" s="10"/>
    </row>
    <row r="624" spans="1:10" ht="171.75" customHeight="1">
      <c r="A624" s="6" t="s">
        <v>4113</v>
      </c>
      <c r="B624" s="6" t="s">
        <v>9901</v>
      </c>
      <c r="C624" s="6" t="s">
        <v>4354</v>
      </c>
      <c r="D624" s="6" t="s">
        <v>4356</v>
      </c>
      <c r="E624" s="10" t="s">
        <v>9687</v>
      </c>
      <c r="F624" s="17"/>
      <c r="G624" s="17" t="e">
        <f t="shared" ca="1" si="0"/>
        <v>#NAME?</v>
      </c>
      <c r="H624" s="6"/>
      <c r="I624" s="46"/>
      <c r="J624" s="17"/>
    </row>
    <row r="625" spans="1:10" ht="171.75" customHeight="1">
      <c r="A625" s="6" t="s">
        <v>1380</v>
      </c>
      <c r="B625" s="6" t="s">
        <v>9796</v>
      </c>
      <c r="C625" s="6" t="s">
        <v>4359</v>
      </c>
      <c r="D625" s="6" t="s">
        <v>4362</v>
      </c>
      <c r="E625" s="17" t="s">
        <v>4363</v>
      </c>
      <c r="F625" s="17"/>
      <c r="G625" s="17" t="e">
        <f t="shared" ca="1" si="0"/>
        <v>#NAME?</v>
      </c>
      <c r="H625" s="6"/>
      <c r="I625" s="32"/>
      <c r="J625" s="32"/>
    </row>
    <row r="626" spans="1:10" ht="171.75" customHeight="1">
      <c r="A626" s="6" t="s">
        <v>3893</v>
      </c>
      <c r="B626" s="6" t="s">
        <v>9927</v>
      </c>
      <c r="C626" s="6" t="s">
        <v>4365</v>
      </c>
      <c r="D626" s="6" t="s">
        <v>141</v>
      </c>
      <c r="E626" s="10" t="s">
        <v>9687</v>
      </c>
      <c r="F626" s="17"/>
      <c r="G626" s="17" t="e">
        <f t="shared" ca="1" si="0"/>
        <v>#NAME?</v>
      </c>
      <c r="H626" s="6"/>
      <c r="I626" s="17"/>
      <c r="J626" s="17"/>
    </row>
    <row r="627" spans="1:10" ht="171.75" customHeight="1">
      <c r="A627" s="6" t="s">
        <v>4368</v>
      </c>
      <c r="B627" s="6" t="s">
        <v>9944</v>
      </c>
      <c r="C627" s="6" t="s">
        <v>4369</v>
      </c>
      <c r="D627" s="6" t="s">
        <v>4372</v>
      </c>
      <c r="E627" s="17" t="s">
        <v>4373</v>
      </c>
      <c r="F627" s="17"/>
      <c r="G627" s="17" t="e">
        <f t="shared" ca="1" si="0"/>
        <v>#NAME?</v>
      </c>
      <c r="H627" s="49"/>
      <c r="I627" s="17"/>
      <c r="J627" s="17"/>
    </row>
    <row r="628" spans="1:10" ht="171.75" customHeight="1">
      <c r="A628" s="6" t="s">
        <v>4375</v>
      </c>
      <c r="B628" s="6" t="s">
        <v>9945</v>
      </c>
      <c r="C628" s="6" t="s">
        <v>4376</v>
      </c>
      <c r="D628" s="6" t="s">
        <v>4379</v>
      </c>
      <c r="E628" s="17" t="s">
        <v>4380</v>
      </c>
      <c r="F628" s="17"/>
      <c r="G628" s="17" t="e">
        <f t="shared" ca="1" si="0"/>
        <v>#NAME?</v>
      </c>
      <c r="H628" s="6"/>
      <c r="I628" s="17"/>
      <c r="J628" s="17"/>
    </row>
    <row r="629" spans="1:10" ht="171.75" customHeight="1">
      <c r="A629" s="43" t="s">
        <v>278</v>
      </c>
      <c r="B629" s="6" t="s">
        <v>9709</v>
      </c>
      <c r="C629" s="6" t="s">
        <v>4382</v>
      </c>
      <c r="D629" s="6" t="s">
        <v>4385</v>
      </c>
      <c r="E629" s="17" t="s">
        <v>4386</v>
      </c>
      <c r="F629" s="17"/>
      <c r="G629" s="17" t="e">
        <f t="shared" ca="1" si="0"/>
        <v>#NAME?</v>
      </c>
      <c r="H629" s="6"/>
      <c r="I629" s="17"/>
      <c r="J629" s="17"/>
    </row>
    <row r="630" spans="1:10" ht="171.75" customHeight="1">
      <c r="A630" s="43" t="s">
        <v>379</v>
      </c>
      <c r="B630" s="6" t="s">
        <v>9720</v>
      </c>
      <c r="C630" s="6" t="s">
        <v>4388</v>
      </c>
      <c r="D630" s="6" t="s">
        <v>4391</v>
      </c>
      <c r="E630" s="17" t="s">
        <v>4392</v>
      </c>
      <c r="F630" s="17"/>
      <c r="G630" s="17" t="e">
        <f t="shared" ca="1" si="0"/>
        <v>#NAME?</v>
      </c>
      <c r="H630" s="6"/>
      <c r="I630" s="17"/>
      <c r="J630" s="17"/>
    </row>
    <row r="631" spans="1:10" ht="171.75" customHeight="1">
      <c r="A631" s="43" t="s">
        <v>249</v>
      </c>
      <c r="B631" s="6" t="s">
        <v>9779</v>
      </c>
      <c r="C631" s="6" t="s">
        <v>4394</v>
      </c>
      <c r="D631" s="6" t="s">
        <v>4397</v>
      </c>
      <c r="E631" s="17" t="s">
        <v>4399</v>
      </c>
      <c r="F631" s="17"/>
      <c r="G631" s="17" t="e">
        <f t="shared" ca="1" si="0"/>
        <v>#NAME?</v>
      </c>
      <c r="H631" s="6"/>
      <c r="I631" s="6"/>
      <c r="J631" s="10"/>
    </row>
    <row r="632" spans="1:10" ht="171.75" customHeight="1">
      <c r="A632" s="6" t="s">
        <v>199</v>
      </c>
      <c r="B632" s="6" t="s">
        <v>9708</v>
      </c>
      <c r="C632" s="6" t="s">
        <v>4401</v>
      </c>
      <c r="D632" s="6" t="s">
        <v>4403</v>
      </c>
      <c r="E632" s="10" t="s">
        <v>9687</v>
      </c>
      <c r="F632" s="17"/>
      <c r="G632" s="17" t="e">
        <f t="shared" ca="1" si="0"/>
        <v>#NAME?</v>
      </c>
      <c r="H632" s="6"/>
      <c r="I632" s="6"/>
      <c r="J632" s="10"/>
    </row>
    <row r="633" spans="1:10" ht="171.75" customHeight="1">
      <c r="A633" s="6" t="s">
        <v>4113</v>
      </c>
      <c r="B633" s="6" t="s">
        <v>9901</v>
      </c>
      <c r="C633" s="6" t="s">
        <v>4405</v>
      </c>
      <c r="D633" s="6" t="s">
        <v>4407</v>
      </c>
      <c r="E633" s="10" t="s">
        <v>9687</v>
      </c>
      <c r="F633" s="17"/>
      <c r="G633" s="17" t="e">
        <f t="shared" ca="1" si="0"/>
        <v>#NAME?</v>
      </c>
      <c r="H633" s="6"/>
      <c r="I633" s="46"/>
      <c r="J633" s="17"/>
    </row>
    <row r="634" spans="1:10" ht="171.75" customHeight="1">
      <c r="A634" s="6" t="s">
        <v>3992</v>
      </c>
      <c r="B634" s="6" t="s">
        <v>9930</v>
      </c>
      <c r="C634" s="6" t="s">
        <v>4412</v>
      </c>
      <c r="D634" s="6" t="s">
        <v>4414</v>
      </c>
      <c r="E634" s="17" t="s">
        <v>9946</v>
      </c>
      <c r="F634" s="17"/>
      <c r="G634" s="17" t="e">
        <f t="shared" ca="1" si="0"/>
        <v>#NAME?</v>
      </c>
      <c r="H634" s="6"/>
      <c r="I634" s="17"/>
      <c r="J634" s="10"/>
    </row>
    <row r="635" spans="1:10" ht="171.75" customHeight="1">
      <c r="A635" s="43" t="s">
        <v>248</v>
      </c>
      <c r="B635" s="6" t="s">
        <v>9712</v>
      </c>
      <c r="C635" s="6" t="s">
        <v>4419</v>
      </c>
      <c r="D635" s="6" t="s">
        <v>4422</v>
      </c>
      <c r="E635" s="10" t="s">
        <v>7310</v>
      </c>
      <c r="F635" s="17"/>
      <c r="G635" s="17" t="e">
        <f t="shared" ca="1" si="0"/>
        <v>#NAME?</v>
      </c>
      <c r="H635" s="6"/>
      <c r="I635" s="17"/>
      <c r="J635" s="10"/>
    </row>
    <row r="636" spans="1:10" ht="171.75" customHeight="1">
      <c r="A636" s="43" t="s">
        <v>4426</v>
      </c>
      <c r="B636" s="6" t="s">
        <v>9947</v>
      </c>
      <c r="C636" s="6" t="s">
        <v>4427</v>
      </c>
      <c r="D636" s="6" t="s">
        <v>4430</v>
      </c>
      <c r="E636" s="10" t="s">
        <v>4432</v>
      </c>
      <c r="F636" s="17"/>
      <c r="G636" s="17" t="e">
        <f t="shared" ca="1" si="0"/>
        <v>#NAME?</v>
      </c>
      <c r="H636" s="6"/>
      <c r="I636" s="46"/>
      <c r="J636" s="17"/>
    </row>
    <row r="637" spans="1:10" ht="171.75" customHeight="1">
      <c r="A637" s="6" t="s">
        <v>714</v>
      </c>
      <c r="B637" s="6" t="s">
        <v>9753</v>
      </c>
      <c r="C637" s="6" t="s">
        <v>4434</v>
      </c>
      <c r="D637" s="6" t="s">
        <v>4437</v>
      </c>
      <c r="E637" s="17" t="s">
        <v>4439</v>
      </c>
      <c r="F637" s="17"/>
      <c r="G637" s="17" t="e">
        <f t="shared" ca="1" si="0"/>
        <v>#NAME?</v>
      </c>
      <c r="H637" s="6"/>
      <c r="I637" s="17"/>
      <c r="J637" s="17"/>
    </row>
    <row r="638" spans="1:10" ht="171.75" customHeight="1">
      <c r="A638" s="6" t="s">
        <v>869</v>
      </c>
      <c r="B638" s="6" t="s">
        <v>9769</v>
      </c>
      <c r="C638" s="6" t="s">
        <v>4441</v>
      </c>
      <c r="D638" s="6" t="s">
        <v>4444</v>
      </c>
      <c r="E638" s="17" t="s">
        <v>4445</v>
      </c>
      <c r="F638" s="17"/>
      <c r="G638" s="17" t="e">
        <f t="shared" ca="1" si="0"/>
        <v>#NAME?</v>
      </c>
      <c r="H638" s="6"/>
      <c r="I638" s="17"/>
      <c r="J638" s="17"/>
    </row>
    <row r="639" spans="1:10" ht="171.75" customHeight="1">
      <c r="A639" s="6" t="s">
        <v>117</v>
      </c>
      <c r="B639" s="6" t="s">
        <v>9692</v>
      </c>
      <c r="C639" s="6" t="s">
        <v>4448</v>
      </c>
      <c r="D639" s="6" t="s">
        <v>4451</v>
      </c>
      <c r="E639" s="17" t="s">
        <v>4452</v>
      </c>
      <c r="F639" s="17"/>
      <c r="G639" s="17" t="e">
        <f t="shared" ca="1" si="0"/>
        <v>#NAME?</v>
      </c>
      <c r="H639" s="6"/>
      <c r="I639" s="17"/>
      <c r="J639" s="17"/>
    </row>
    <row r="640" spans="1:10" ht="171.75" customHeight="1">
      <c r="A640" s="6" t="s">
        <v>1166</v>
      </c>
      <c r="B640" s="6" t="s">
        <v>9786</v>
      </c>
      <c r="C640" s="6" t="s">
        <v>4454</v>
      </c>
      <c r="D640" s="6" t="s">
        <v>4457</v>
      </c>
      <c r="E640" s="17" t="s">
        <v>4458</v>
      </c>
      <c r="F640" s="17"/>
      <c r="G640" s="17" t="e">
        <f t="shared" ca="1" si="0"/>
        <v>#NAME?</v>
      </c>
      <c r="H640" s="6"/>
      <c r="I640" s="17"/>
      <c r="J640" s="17"/>
    </row>
    <row r="641" spans="1:10" ht="171.75" customHeight="1">
      <c r="A641" s="6" t="s">
        <v>1306</v>
      </c>
      <c r="B641" s="6" t="s">
        <v>9794</v>
      </c>
      <c r="C641" s="6" t="s">
        <v>4460</v>
      </c>
      <c r="D641" s="6" t="s">
        <v>4463</v>
      </c>
      <c r="E641" s="17" t="s">
        <v>4464</v>
      </c>
      <c r="F641" s="17"/>
      <c r="G641" s="17" t="e">
        <f t="shared" ca="1" si="0"/>
        <v>#NAME?</v>
      </c>
      <c r="H641" s="6"/>
      <c r="I641" s="17"/>
      <c r="J641" s="17"/>
    </row>
    <row r="642" spans="1:10" ht="171.75" customHeight="1">
      <c r="A642" s="6" t="s">
        <v>248</v>
      </c>
      <c r="B642" s="6" t="s">
        <v>9712</v>
      </c>
      <c r="C642" s="6" t="s">
        <v>7390</v>
      </c>
      <c r="D642" s="43" t="s">
        <v>4468</v>
      </c>
      <c r="E642" s="17" t="s">
        <v>4469</v>
      </c>
      <c r="F642" s="17"/>
      <c r="G642" s="17" t="e">
        <f t="shared" ca="1" si="0"/>
        <v>#NAME?</v>
      </c>
      <c r="H642" s="6"/>
      <c r="I642" s="17"/>
      <c r="J642" s="17"/>
    </row>
    <row r="643" spans="1:10" ht="171.75" customHeight="1">
      <c r="A643" s="6" t="s">
        <v>927</v>
      </c>
      <c r="B643" s="6" t="s">
        <v>9775</v>
      </c>
      <c r="C643" s="6" t="s">
        <v>4471</v>
      </c>
      <c r="D643" s="6" t="s">
        <v>4474</v>
      </c>
      <c r="E643" s="17" t="s">
        <v>4475</v>
      </c>
      <c r="F643" s="17"/>
      <c r="G643" s="17" t="e">
        <f t="shared" ca="1" si="0"/>
        <v>#NAME?</v>
      </c>
      <c r="H643" s="6"/>
      <c r="I643" s="6"/>
      <c r="J643" s="10"/>
    </row>
    <row r="644" spans="1:10" ht="171.75" customHeight="1">
      <c r="A644" s="6" t="s">
        <v>199</v>
      </c>
      <c r="B644" s="6" t="s">
        <v>9708</v>
      </c>
      <c r="C644" s="6" t="s">
        <v>4477</v>
      </c>
      <c r="D644" s="6" t="s">
        <v>4479</v>
      </c>
      <c r="E644" s="10" t="s">
        <v>9687</v>
      </c>
      <c r="F644" s="17"/>
      <c r="G644" s="17" t="e">
        <f t="shared" ca="1" si="0"/>
        <v>#NAME?</v>
      </c>
      <c r="H644" s="6"/>
      <c r="I644" s="6"/>
      <c r="J644" s="32"/>
    </row>
    <row r="645" spans="1:10" ht="171.75" customHeight="1">
      <c r="A645" s="6" t="s">
        <v>4113</v>
      </c>
      <c r="B645" s="6" t="s">
        <v>9901</v>
      </c>
      <c r="C645" s="6" t="s">
        <v>4481</v>
      </c>
      <c r="D645" s="6" t="s">
        <v>4483</v>
      </c>
      <c r="E645" s="10" t="s">
        <v>9687</v>
      </c>
      <c r="F645" s="17"/>
      <c r="G645" s="17" t="e">
        <f t="shared" ca="1" si="0"/>
        <v>#NAME?</v>
      </c>
      <c r="H645" s="6"/>
      <c r="I645" s="17"/>
      <c r="J645" s="17"/>
    </row>
    <row r="646" spans="1:10" ht="171.75" customHeight="1">
      <c r="A646" s="6" t="s">
        <v>4486</v>
      </c>
      <c r="B646" s="6" t="s">
        <v>9933</v>
      </c>
      <c r="C646" s="6" t="s">
        <v>4487</v>
      </c>
      <c r="D646" s="6" t="s">
        <v>4490</v>
      </c>
      <c r="E646" s="17" t="s">
        <v>4491</v>
      </c>
      <c r="F646" s="17"/>
      <c r="G646" s="17" t="e">
        <f t="shared" ca="1" si="0"/>
        <v>#NAME?</v>
      </c>
      <c r="H646" s="6"/>
      <c r="I646" s="17"/>
      <c r="J646" s="17"/>
    </row>
    <row r="647" spans="1:10" ht="171.75" customHeight="1">
      <c r="A647" s="6" t="s">
        <v>4494</v>
      </c>
      <c r="B647" s="6" t="s">
        <v>9948</v>
      </c>
      <c r="C647" s="6" t="s">
        <v>4495</v>
      </c>
      <c r="D647" s="6" t="s">
        <v>4498</v>
      </c>
      <c r="E647" s="17" t="s">
        <v>4499</v>
      </c>
      <c r="F647" s="17"/>
      <c r="G647" s="17" t="e">
        <f t="shared" ca="1" si="0"/>
        <v>#NAME?</v>
      </c>
      <c r="H647" s="6"/>
      <c r="I647" s="17"/>
      <c r="J647" s="17"/>
    </row>
    <row r="648" spans="1:10" ht="171.75" customHeight="1">
      <c r="A648" s="6" t="s">
        <v>1166</v>
      </c>
      <c r="B648" s="6" t="s">
        <v>9786</v>
      </c>
      <c r="C648" s="6" t="s">
        <v>4501</v>
      </c>
      <c r="D648" s="6" t="s">
        <v>4503</v>
      </c>
      <c r="E648" s="17" t="s">
        <v>4504</v>
      </c>
      <c r="F648" s="17"/>
      <c r="G648" s="17" t="e">
        <f t="shared" ca="1" si="0"/>
        <v>#NAME?</v>
      </c>
      <c r="H648" s="49"/>
      <c r="I648" s="17"/>
      <c r="J648" s="17"/>
    </row>
    <row r="649" spans="1:10" ht="171.75" customHeight="1">
      <c r="A649" s="6" t="s">
        <v>117</v>
      </c>
      <c r="B649" s="6" t="s">
        <v>9692</v>
      </c>
      <c r="C649" s="6" t="s">
        <v>4507</v>
      </c>
      <c r="D649" s="6" t="s">
        <v>4510</v>
      </c>
      <c r="E649" s="17" t="s">
        <v>4511</v>
      </c>
      <c r="F649" s="17"/>
      <c r="G649" s="17" t="e">
        <f t="shared" ca="1" si="0"/>
        <v>#NAME?</v>
      </c>
      <c r="H649" s="6"/>
      <c r="I649" s="17"/>
      <c r="J649" s="17"/>
    </row>
    <row r="650" spans="1:10" ht="171.75" customHeight="1">
      <c r="A650" s="6" t="s">
        <v>2040</v>
      </c>
      <c r="B650" s="6" t="s">
        <v>9823</v>
      </c>
      <c r="C650" s="6" t="s">
        <v>4513</v>
      </c>
      <c r="D650" s="6" t="s">
        <v>4516</v>
      </c>
      <c r="E650" s="17" t="s">
        <v>4517</v>
      </c>
      <c r="F650" s="17"/>
      <c r="G650" s="17" t="e">
        <f t="shared" ca="1" si="0"/>
        <v>#NAME?</v>
      </c>
      <c r="H650" s="6"/>
      <c r="I650" s="17"/>
      <c r="J650" s="17"/>
    </row>
    <row r="651" spans="1:10" ht="171.75" customHeight="1">
      <c r="A651" s="43" t="s">
        <v>278</v>
      </c>
      <c r="B651" s="6" t="s">
        <v>9709</v>
      </c>
      <c r="C651" s="6" t="s">
        <v>4519</v>
      </c>
      <c r="D651" s="6" t="s">
        <v>4522</v>
      </c>
      <c r="E651" s="17" t="s">
        <v>4523</v>
      </c>
      <c r="F651" s="17"/>
      <c r="G651" s="17" t="e">
        <f t="shared" ca="1" si="0"/>
        <v>#NAME?</v>
      </c>
      <c r="H651" s="6"/>
      <c r="I651" s="17"/>
      <c r="J651" s="17"/>
    </row>
    <row r="652" spans="1:10" ht="171.75" customHeight="1">
      <c r="A652" s="43" t="s">
        <v>248</v>
      </c>
      <c r="B652" s="6" t="s">
        <v>9712</v>
      </c>
      <c r="C652" s="6" t="s">
        <v>4525</v>
      </c>
      <c r="D652" s="6" t="s">
        <v>4528</v>
      </c>
      <c r="E652" s="17" t="s">
        <v>4530</v>
      </c>
      <c r="F652" s="17"/>
      <c r="G652" s="17" t="e">
        <f t="shared" ca="1" si="0"/>
        <v>#NAME?</v>
      </c>
      <c r="H652" s="6"/>
      <c r="I652" s="6"/>
      <c r="J652" s="10"/>
    </row>
    <row r="653" spans="1:10" ht="171.75" customHeight="1">
      <c r="A653" s="6" t="s">
        <v>199</v>
      </c>
      <c r="B653" s="6" t="s">
        <v>9708</v>
      </c>
      <c r="C653" s="6" t="s">
        <v>4532</v>
      </c>
      <c r="D653" s="6" t="s">
        <v>4534</v>
      </c>
      <c r="E653" s="10" t="s">
        <v>9687</v>
      </c>
      <c r="F653" s="17"/>
      <c r="G653" s="17" t="e">
        <f t="shared" ca="1" si="0"/>
        <v>#NAME?</v>
      </c>
      <c r="H653" s="6"/>
      <c r="I653" s="6"/>
      <c r="J653" s="10"/>
    </row>
    <row r="654" spans="1:10" ht="171.75" customHeight="1">
      <c r="A654" s="6" t="s">
        <v>4113</v>
      </c>
      <c r="B654" s="6" t="s">
        <v>9901</v>
      </c>
      <c r="C654" s="6" t="s">
        <v>4536</v>
      </c>
      <c r="D654" s="6" t="s">
        <v>4538</v>
      </c>
      <c r="E654" s="10" t="s">
        <v>9687</v>
      </c>
      <c r="F654" s="17"/>
      <c r="G654" s="17" t="e">
        <f t="shared" ca="1" si="0"/>
        <v>#NAME?</v>
      </c>
      <c r="H654" s="6"/>
      <c r="I654" s="46"/>
      <c r="J654" s="17"/>
    </row>
    <row r="655" spans="1:10" ht="171.75" customHeight="1">
      <c r="A655" s="6" t="s">
        <v>714</v>
      </c>
      <c r="B655" s="6" t="s">
        <v>9753</v>
      </c>
      <c r="C655" s="6" t="s">
        <v>4541</v>
      </c>
      <c r="D655" s="6" t="s">
        <v>4544</v>
      </c>
      <c r="E655" s="17" t="s">
        <v>4545</v>
      </c>
      <c r="F655" s="17"/>
      <c r="G655" s="17" t="e">
        <f t="shared" ca="1" si="0"/>
        <v>#NAME?</v>
      </c>
      <c r="H655" s="6"/>
      <c r="I655" s="46"/>
      <c r="J655" s="17"/>
    </row>
    <row r="656" spans="1:10" ht="171.75" customHeight="1">
      <c r="A656" s="6" t="s">
        <v>379</v>
      </c>
      <c r="B656" s="6" t="s">
        <v>9720</v>
      </c>
      <c r="C656" s="6" t="s">
        <v>4547</v>
      </c>
      <c r="D656" s="43" t="s">
        <v>4550</v>
      </c>
      <c r="E656" s="17" t="s">
        <v>4551</v>
      </c>
      <c r="F656" s="17"/>
      <c r="G656" s="17" t="e">
        <f t="shared" ca="1" si="0"/>
        <v>#NAME?</v>
      </c>
      <c r="H656" s="6"/>
      <c r="I656" s="46"/>
      <c r="J656" s="17"/>
    </row>
    <row r="657" spans="1:10" ht="171.75" customHeight="1">
      <c r="A657" s="6" t="s">
        <v>4553</v>
      </c>
      <c r="B657" s="6" t="s">
        <v>9720</v>
      </c>
      <c r="C657" s="6" t="s">
        <v>4554</v>
      </c>
      <c r="D657" s="43" t="s">
        <v>4557</v>
      </c>
      <c r="E657" s="17" t="s">
        <v>4558</v>
      </c>
      <c r="F657" s="17"/>
      <c r="G657" s="17" t="e">
        <f t="shared" ca="1" si="0"/>
        <v>#NAME?</v>
      </c>
      <c r="H657" s="6"/>
      <c r="I657" s="46"/>
      <c r="J657" s="17"/>
    </row>
    <row r="658" spans="1:10" ht="171.75" customHeight="1">
      <c r="A658" s="6" t="s">
        <v>4560</v>
      </c>
      <c r="B658" s="6" t="s">
        <v>9949</v>
      </c>
      <c r="C658" s="6" t="s">
        <v>4561</v>
      </c>
      <c r="D658" s="6" t="s">
        <v>4564</v>
      </c>
      <c r="E658" s="17" t="s">
        <v>4565</v>
      </c>
      <c r="F658" s="17"/>
      <c r="G658" s="17" t="e">
        <f t="shared" ca="1" si="0"/>
        <v>#NAME?</v>
      </c>
      <c r="H658" s="6"/>
      <c r="I658" s="17"/>
      <c r="J658" s="17"/>
    </row>
    <row r="659" spans="1:10" ht="171.75" customHeight="1">
      <c r="A659" s="6" t="s">
        <v>4567</v>
      </c>
      <c r="B659" s="6" t="s">
        <v>9950</v>
      </c>
      <c r="C659" s="6" t="s">
        <v>4568</v>
      </c>
      <c r="D659" s="6" t="s">
        <v>4571</v>
      </c>
      <c r="E659" s="17" t="s">
        <v>7831</v>
      </c>
      <c r="F659" s="17"/>
      <c r="G659" s="17" t="e">
        <f t="shared" ca="1" si="0"/>
        <v>#NAME?</v>
      </c>
      <c r="H659" s="6"/>
      <c r="I659" s="17"/>
      <c r="J659" s="17"/>
    </row>
    <row r="660" spans="1:10" ht="171.75" customHeight="1">
      <c r="A660" s="6" t="s">
        <v>4576</v>
      </c>
      <c r="B660" s="6" t="s">
        <v>9951</v>
      </c>
      <c r="C660" s="6" t="s">
        <v>4577</v>
      </c>
      <c r="D660" s="6" t="s">
        <v>4580</v>
      </c>
      <c r="E660" s="17" t="s">
        <v>8203</v>
      </c>
      <c r="F660" s="17"/>
      <c r="G660" s="17" t="e">
        <f t="shared" ca="1" si="0"/>
        <v>#NAME?</v>
      </c>
      <c r="H660" s="6"/>
      <c r="I660" s="17"/>
      <c r="J660" s="17"/>
    </row>
    <row r="661" spans="1:10" ht="171.75" customHeight="1">
      <c r="A661" s="6" t="s">
        <v>4583</v>
      </c>
      <c r="B661" s="6" t="s">
        <v>9952</v>
      </c>
      <c r="C661" s="6" t="s">
        <v>4584</v>
      </c>
      <c r="D661" s="6" t="s">
        <v>4587</v>
      </c>
      <c r="E661" s="17" t="s">
        <v>4588</v>
      </c>
      <c r="F661" s="17"/>
      <c r="G661" s="17" t="e">
        <f t="shared" ca="1" si="0"/>
        <v>#NAME?</v>
      </c>
      <c r="H661" s="6"/>
      <c r="I661" s="17"/>
      <c r="J661" s="17"/>
    </row>
    <row r="662" spans="1:10" ht="171.75" customHeight="1">
      <c r="A662" s="6" t="s">
        <v>4590</v>
      </c>
      <c r="B662" s="6" t="s">
        <v>9953</v>
      </c>
      <c r="C662" s="6" t="s">
        <v>4591</v>
      </c>
      <c r="D662" s="6" t="s">
        <v>4594</v>
      </c>
      <c r="E662" s="17" t="s">
        <v>4595</v>
      </c>
      <c r="F662" s="17"/>
      <c r="G662" s="17" t="e">
        <f t="shared" ca="1" si="0"/>
        <v>#NAME?</v>
      </c>
      <c r="H662" s="6"/>
      <c r="I662" s="17"/>
      <c r="J662" s="10"/>
    </row>
    <row r="663" spans="1:10" ht="171.75" customHeight="1">
      <c r="A663" s="6" t="s">
        <v>4597</v>
      </c>
      <c r="B663" s="6" t="s">
        <v>9771</v>
      </c>
      <c r="C663" s="6" t="s">
        <v>4598</v>
      </c>
      <c r="D663" s="6" t="s">
        <v>4601</v>
      </c>
      <c r="E663" s="10" t="s">
        <v>4603</v>
      </c>
      <c r="F663" s="17"/>
      <c r="G663" s="17" t="e">
        <f t="shared" ca="1" si="0"/>
        <v>#NAME?</v>
      </c>
      <c r="H663" s="6"/>
      <c r="I663" s="17"/>
      <c r="J663" s="17"/>
    </row>
    <row r="664" spans="1:10" ht="171.75" customHeight="1">
      <c r="A664" s="6" t="s">
        <v>4605</v>
      </c>
      <c r="B664" s="6" t="s">
        <v>9770</v>
      </c>
      <c r="C664" s="6" t="s">
        <v>4606</v>
      </c>
      <c r="D664" s="6" t="s">
        <v>4609</v>
      </c>
      <c r="E664" s="17" t="s">
        <v>4610</v>
      </c>
      <c r="F664" s="17"/>
      <c r="G664" s="17" t="e">
        <f t="shared" ca="1" si="0"/>
        <v>#NAME?</v>
      </c>
      <c r="H664" s="6"/>
      <c r="I664" s="17"/>
      <c r="J664" s="17"/>
    </row>
    <row r="665" spans="1:10" ht="171.75" customHeight="1">
      <c r="A665" s="6" t="s">
        <v>878</v>
      </c>
      <c r="B665" s="6" t="s">
        <v>9770</v>
      </c>
      <c r="C665" s="6" t="s">
        <v>4612</v>
      </c>
      <c r="D665" s="6" t="s">
        <v>4615</v>
      </c>
      <c r="E665" s="17" t="s">
        <v>4616</v>
      </c>
      <c r="F665" s="17"/>
      <c r="G665" s="17" t="e">
        <f t="shared" ca="1" si="0"/>
        <v>#NAME?</v>
      </c>
      <c r="H665" s="6"/>
      <c r="I665" s="17"/>
      <c r="J665" s="17"/>
    </row>
    <row r="666" spans="1:10" ht="171.75" customHeight="1">
      <c r="A666" s="6" t="s">
        <v>878</v>
      </c>
      <c r="B666" s="6" t="s">
        <v>9770</v>
      </c>
      <c r="C666" s="6" t="s">
        <v>4618</v>
      </c>
      <c r="D666" s="6" t="s">
        <v>4621</v>
      </c>
      <c r="E666" s="17" t="s">
        <v>7607</v>
      </c>
      <c r="F666" s="17"/>
      <c r="G666" s="17" t="e">
        <f t="shared" ca="1" si="0"/>
        <v>#NAME?</v>
      </c>
      <c r="H666" s="6"/>
      <c r="I666" s="17"/>
      <c r="J666" s="17"/>
    </row>
    <row r="667" spans="1:10" ht="171.75" customHeight="1">
      <c r="A667" s="6" t="s">
        <v>878</v>
      </c>
      <c r="B667" s="6" t="s">
        <v>9770</v>
      </c>
      <c r="C667" s="6" t="s">
        <v>4624</v>
      </c>
      <c r="D667" s="6" t="s">
        <v>4627</v>
      </c>
      <c r="E667" s="17" t="s">
        <v>7609</v>
      </c>
      <c r="F667" s="17"/>
      <c r="G667" s="17" t="e">
        <f t="shared" ca="1" si="0"/>
        <v>#NAME?</v>
      </c>
      <c r="H667" s="6"/>
      <c r="I667" s="17"/>
      <c r="J667" s="17"/>
    </row>
    <row r="668" spans="1:10" ht="171.75" customHeight="1">
      <c r="A668" s="6" t="s">
        <v>4631</v>
      </c>
      <c r="B668" s="6" t="s">
        <v>9954</v>
      </c>
      <c r="C668" s="6" t="s">
        <v>4632</v>
      </c>
      <c r="D668" s="6" t="s">
        <v>4635</v>
      </c>
      <c r="E668" s="17" t="s">
        <v>8166</v>
      </c>
      <c r="F668" s="17"/>
      <c r="G668" s="17" t="e">
        <f t="shared" ca="1" si="0"/>
        <v>#NAME?</v>
      </c>
      <c r="H668" s="6"/>
      <c r="I668" s="17"/>
      <c r="J668" s="17"/>
    </row>
    <row r="669" spans="1:10" ht="171.75" customHeight="1">
      <c r="A669" s="6" t="s">
        <v>4638</v>
      </c>
      <c r="B669" s="6" t="s">
        <v>9955</v>
      </c>
      <c r="C669" s="6" t="s">
        <v>4639</v>
      </c>
      <c r="D669" s="6" t="s">
        <v>4642</v>
      </c>
      <c r="E669" s="17" t="s">
        <v>8144</v>
      </c>
      <c r="F669" s="17"/>
      <c r="G669" s="17" t="e">
        <f t="shared" ca="1" si="0"/>
        <v>#NAME?</v>
      </c>
      <c r="H669" s="6"/>
      <c r="I669" s="17"/>
      <c r="J669" s="17"/>
    </row>
    <row r="670" spans="1:10" ht="171.75" customHeight="1">
      <c r="A670" s="6" t="s">
        <v>4645</v>
      </c>
      <c r="B670" s="6" t="s">
        <v>9769</v>
      </c>
      <c r="C670" s="6" t="s">
        <v>4646</v>
      </c>
      <c r="D670" s="6" t="s">
        <v>4649</v>
      </c>
      <c r="E670" s="17" t="s">
        <v>4650</v>
      </c>
      <c r="F670" s="17"/>
      <c r="G670" s="17" t="e">
        <f t="shared" ca="1" si="0"/>
        <v>#NAME?</v>
      </c>
      <c r="H670" s="6"/>
      <c r="I670" s="17"/>
      <c r="J670" s="10"/>
    </row>
    <row r="671" spans="1:10" ht="171.75" customHeight="1">
      <c r="A671" s="6" t="s">
        <v>714</v>
      </c>
      <c r="B671" s="6" t="s">
        <v>9753</v>
      </c>
      <c r="C671" s="6" t="s">
        <v>4652</v>
      </c>
      <c r="D671" s="6" t="s">
        <v>4655</v>
      </c>
      <c r="E671" s="10" t="s">
        <v>4657</v>
      </c>
      <c r="F671" s="17"/>
      <c r="G671" s="17" t="e">
        <f t="shared" ca="1" si="0"/>
        <v>#NAME?</v>
      </c>
      <c r="H671" s="6"/>
      <c r="I671" s="17"/>
      <c r="J671" s="10"/>
    </row>
    <row r="672" spans="1:10" ht="171.75" customHeight="1">
      <c r="A672" s="6" t="s">
        <v>199</v>
      </c>
      <c r="B672" s="6" t="s">
        <v>9708</v>
      </c>
      <c r="C672" s="6" t="s">
        <v>4659</v>
      </c>
      <c r="D672" s="6" t="s">
        <v>4662</v>
      </c>
      <c r="E672" s="10" t="s">
        <v>4664</v>
      </c>
      <c r="F672" s="17"/>
      <c r="G672" s="17" t="e">
        <f t="shared" ca="1" si="0"/>
        <v>#NAME?</v>
      </c>
      <c r="H672" s="6"/>
      <c r="I672" s="6"/>
      <c r="J672" s="10"/>
    </row>
    <row r="673" spans="1:10" ht="171.75" customHeight="1">
      <c r="A673" s="6" t="s">
        <v>248</v>
      </c>
      <c r="B673" s="6" t="s">
        <v>9712</v>
      </c>
      <c r="C673" s="6" t="s">
        <v>4666</v>
      </c>
      <c r="D673" s="6" t="s">
        <v>141</v>
      </c>
      <c r="E673" s="10" t="s">
        <v>4669</v>
      </c>
      <c r="F673" s="17"/>
      <c r="G673" s="17" t="e">
        <f t="shared" ca="1" si="0"/>
        <v>#NAME?</v>
      </c>
      <c r="H673" s="6"/>
      <c r="I673" s="17"/>
      <c r="J673" s="17"/>
    </row>
    <row r="674" spans="1:10" ht="171.75" customHeight="1">
      <c r="A674" s="6" t="s">
        <v>714</v>
      </c>
      <c r="B674" s="6" t="s">
        <v>9753</v>
      </c>
      <c r="C674" s="6" t="s">
        <v>4671</v>
      </c>
      <c r="D674" s="6" t="s">
        <v>4674</v>
      </c>
      <c r="E674" s="17" t="s">
        <v>4676</v>
      </c>
      <c r="F674" s="17"/>
      <c r="G674" s="17" t="e">
        <f t="shared" ca="1" si="0"/>
        <v>#NAME?</v>
      </c>
      <c r="H674" s="6"/>
      <c r="I674" s="17"/>
      <c r="J674" s="17"/>
    </row>
    <row r="675" spans="1:10" ht="171.75" customHeight="1">
      <c r="A675" s="6" t="s">
        <v>4679</v>
      </c>
      <c r="B675" s="6" t="s">
        <v>9831</v>
      </c>
      <c r="C675" s="6" t="s">
        <v>4680</v>
      </c>
      <c r="D675" s="6" t="s">
        <v>4683</v>
      </c>
      <c r="E675" s="17" t="s">
        <v>7442</v>
      </c>
      <c r="F675" s="17"/>
      <c r="G675" s="17" t="e">
        <f t="shared" ca="1" si="0"/>
        <v>#NAME?</v>
      </c>
      <c r="H675" s="6"/>
      <c r="I675" s="17"/>
      <c r="J675" s="17"/>
    </row>
    <row r="676" spans="1:10" ht="171.75" customHeight="1">
      <c r="A676" s="6" t="s">
        <v>285</v>
      </c>
      <c r="B676" s="6" t="s">
        <v>9710</v>
      </c>
      <c r="C676" s="6" t="s">
        <v>4687</v>
      </c>
      <c r="D676" s="6" t="s">
        <v>4690</v>
      </c>
      <c r="E676" s="17" t="s">
        <v>7674</v>
      </c>
      <c r="F676" s="17"/>
      <c r="G676" s="17" t="e">
        <f t="shared" ca="1" si="0"/>
        <v>#NAME?</v>
      </c>
      <c r="H676" s="6"/>
      <c r="I676" s="6"/>
      <c r="J676" s="10"/>
    </row>
    <row r="677" spans="1:10" ht="171.75" customHeight="1">
      <c r="A677" s="6" t="s">
        <v>4113</v>
      </c>
      <c r="B677" s="6" t="s">
        <v>9901</v>
      </c>
      <c r="C677" s="6" t="s">
        <v>4694</v>
      </c>
      <c r="D677" s="6" t="s">
        <v>4696</v>
      </c>
      <c r="E677" s="10" t="s">
        <v>9687</v>
      </c>
      <c r="F677" s="17"/>
      <c r="G677" s="17" t="e">
        <f t="shared" ca="1" si="0"/>
        <v>#NAME?</v>
      </c>
      <c r="H677" s="6"/>
      <c r="I677" s="6"/>
      <c r="J677" s="10"/>
    </row>
    <row r="678" spans="1:10" ht="171.75" customHeight="1">
      <c r="A678" s="6" t="s">
        <v>199</v>
      </c>
      <c r="B678" s="6" t="s">
        <v>9708</v>
      </c>
      <c r="C678" s="6" t="s">
        <v>4699</v>
      </c>
      <c r="D678" s="6" t="s">
        <v>4701</v>
      </c>
      <c r="E678" s="10" t="s">
        <v>9687</v>
      </c>
      <c r="F678" s="17"/>
      <c r="G678" s="17" t="e">
        <f t="shared" ca="1" si="0"/>
        <v>#NAME?</v>
      </c>
      <c r="H678" s="6"/>
      <c r="I678" s="6"/>
      <c r="J678" s="10"/>
    </row>
    <row r="679" spans="1:10" ht="171.75" customHeight="1">
      <c r="A679" s="6" t="s">
        <v>354</v>
      </c>
      <c r="B679" s="6" t="s">
        <v>9717</v>
      </c>
      <c r="C679" s="6" t="s">
        <v>4703</v>
      </c>
      <c r="D679" s="6" t="s">
        <v>4706</v>
      </c>
      <c r="E679" s="10" t="s">
        <v>4708</v>
      </c>
      <c r="F679" s="17"/>
      <c r="G679" s="17" t="e">
        <f t="shared" ca="1" si="0"/>
        <v>#NAME?</v>
      </c>
      <c r="H679" s="6"/>
      <c r="I679" s="17"/>
      <c r="J679" s="17"/>
    </row>
    <row r="680" spans="1:10" ht="171.75" customHeight="1">
      <c r="A680" s="6" t="s">
        <v>4710</v>
      </c>
      <c r="B680" s="6" t="s">
        <v>9951</v>
      </c>
      <c r="C680" s="6" t="s">
        <v>4711</v>
      </c>
      <c r="D680" s="6" t="s">
        <v>4714</v>
      </c>
      <c r="E680" s="17" t="s">
        <v>4715</v>
      </c>
      <c r="F680" s="17"/>
      <c r="G680" s="17" t="e">
        <f t="shared" ca="1" si="0"/>
        <v>#NAME?</v>
      </c>
      <c r="H680" s="6"/>
      <c r="I680" s="17"/>
      <c r="J680" s="17"/>
    </row>
    <row r="681" spans="1:10" ht="171.75" customHeight="1">
      <c r="A681" s="6" t="s">
        <v>4717</v>
      </c>
      <c r="B681" s="6" t="s">
        <v>9956</v>
      </c>
      <c r="C681" s="6" t="s">
        <v>4718</v>
      </c>
      <c r="D681" s="6" t="s">
        <v>4721</v>
      </c>
      <c r="E681" s="17" t="s">
        <v>8107</v>
      </c>
      <c r="F681" s="17"/>
      <c r="G681" s="17" t="e">
        <f t="shared" ca="1" si="0"/>
        <v>#NAME?</v>
      </c>
      <c r="H681" s="6"/>
      <c r="I681" s="17"/>
      <c r="J681" s="17"/>
    </row>
    <row r="682" spans="1:10" ht="171.75" customHeight="1">
      <c r="A682" s="6" t="s">
        <v>4724</v>
      </c>
      <c r="B682" s="6" t="s">
        <v>9957</v>
      </c>
      <c r="C682" s="6" t="s">
        <v>4725</v>
      </c>
      <c r="D682" s="6" t="s">
        <v>4728</v>
      </c>
      <c r="E682" s="17" t="s">
        <v>4729</v>
      </c>
      <c r="F682" s="17"/>
      <c r="G682" s="17" t="e">
        <f t="shared" ca="1" si="0"/>
        <v>#NAME?</v>
      </c>
      <c r="H682" s="6"/>
      <c r="I682" s="17"/>
      <c r="J682" s="17"/>
    </row>
    <row r="683" spans="1:10" ht="171.75" customHeight="1">
      <c r="A683" s="6" t="s">
        <v>4731</v>
      </c>
      <c r="B683" s="6" t="s">
        <v>9958</v>
      </c>
      <c r="C683" s="6" t="s">
        <v>4732</v>
      </c>
      <c r="D683" s="6" t="s">
        <v>4735</v>
      </c>
      <c r="E683" s="17" t="s">
        <v>4736</v>
      </c>
      <c r="F683" s="17"/>
      <c r="G683" s="17" t="e">
        <f t="shared" ca="1" si="0"/>
        <v>#NAME?</v>
      </c>
      <c r="H683" s="6"/>
      <c r="I683" s="46"/>
      <c r="J683" s="17"/>
    </row>
    <row r="684" spans="1:10" ht="171.75" customHeight="1">
      <c r="A684" s="6" t="s">
        <v>4739</v>
      </c>
      <c r="B684" s="6" t="s">
        <v>9959</v>
      </c>
      <c r="C684" s="6" t="s">
        <v>4740</v>
      </c>
      <c r="D684" s="6" t="s">
        <v>4743</v>
      </c>
      <c r="E684" s="17" t="s">
        <v>4744</v>
      </c>
      <c r="F684" s="17"/>
      <c r="G684" s="17" t="e">
        <f t="shared" ca="1" si="0"/>
        <v>#NAME?</v>
      </c>
      <c r="H684" s="6"/>
      <c r="I684" s="17"/>
      <c r="J684" s="17"/>
    </row>
    <row r="685" spans="1:10" ht="171.75" customHeight="1">
      <c r="A685" s="6" t="s">
        <v>878</v>
      </c>
      <c r="B685" s="6" t="s">
        <v>9770</v>
      </c>
      <c r="C685" s="6" t="s">
        <v>4746</v>
      </c>
      <c r="D685" s="6" t="s">
        <v>4749</v>
      </c>
      <c r="E685" s="17" t="s">
        <v>4750</v>
      </c>
      <c r="F685" s="17"/>
      <c r="G685" s="17" t="e">
        <f t="shared" ca="1" si="0"/>
        <v>#NAME?</v>
      </c>
      <c r="H685" s="6"/>
      <c r="I685" s="17"/>
      <c r="J685" s="17"/>
    </row>
    <row r="686" spans="1:10" ht="171.75" customHeight="1">
      <c r="A686" s="6" t="s">
        <v>4752</v>
      </c>
      <c r="B686" s="6" t="s">
        <v>9960</v>
      </c>
      <c r="C686" s="6" t="s">
        <v>4753</v>
      </c>
      <c r="D686" s="6" t="s">
        <v>4756</v>
      </c>
      <c r="E686" s="17" t="s">
        <v>4757</v>
      </c>
      <c r="F686" s="17"/>
      <c r="G686" s="17" t="e">
        <f t="shared" ca="1" si="0"/>
        <v>#NAME?</v>
      </c>
      <c r="H686" s="6"/>
      <c r="I686" s="17"/>
      <c r="J686" s="17"/>
    </row>
    <row r="687" spans="1:10" ht="171.75" customHeight="1">
      <c r="A687" s="6" t="s">
        <v>4759</v>
      </c>
      <c r="B687" s="6" t="s">
        <v>9961</v>
      </c>
      <c r="C687" s="6" t="s">
        <v>4760</v>
      </c>
      <c r="D687" s="6" t="s">
        <v>4763</v>
      </c>
      <c r="E687" s="17" t="s">
        <v>8004</v>
      </c>
      <c r="F687" s="17"/>
      <c r="G687" s="17" t="e">
        <f t="shared" ca="1" si="0"/>
        <v>#NAME?</v>
      </c>
      <c r="H687" s="6"/>
      <c r="I687" s="6"/>
      <c r="J687" s="10"/>
    </row>
    <row r="688" spans="1:10" ht="171.75" customHeight="1">
      <c r="A688" s="6" t="s">
        <v>4766</v>
      </c>
      <c r="B688" s="6" t="s">
        <v>9962</v>
      </c>
      <c r="C688" s="6" t="s">
        <v>4767</v>
      </c>
      <c r="D688" s="6" t="s">
        <v>4770</v>
      </c>
      <c r="E688" s="10" t="s">
        <v>4771</v>
      </c>
      <c r="F688" s="17"/>
      <c r="G688" s="17" t="e">
        <f t="shared" ca="1" si="0"/>
        <v>#NAME?</v>
      </c>
      <c r="H688" s="6"/>
      <c r="I688" s="17"/>
      <c r="J688" s="17"/>
    </row>
    <row r="689" spans="1:10" ht="171.75" customHeight="1">
      <c r="A689" s="6" t="s">
        <v>4773</v>
      </c>
      <c r="B689" s="6" t="s">
        <v>9963</v>
      </c>
      <c r="C689" s="6" t="s">
        <v>4774</v>
      </c>
      <c r="D689" s="6" t="s">
        <v>4777</v>
      </c>
      <c r="E689" s="17" t="s">
        <v>4778</v>
      </c>
      <c r="F689" s="17"/>
      <c r="G689" s="17" t="e">
        <f t="shared" ca="1" si="0"/>
        <v>#NAME?</v>
      </c>
      <c r="H689" s="6"/>
      <c r="I689" s="17"/>
      <c r="J689" s="17"/>
    </row>
    <row r="690" spans="1:10" ht="171.75" customHeight="1">
      <c r="A690" s="6" t="s">
        <v>1739</v>
      </c>
      <c r="B690" s="6" t="s">
        <v>9815</v>
      </c>
      <c r="C690" s="6" t="s">
        <v>4780</v>
      </c>
      <c r="D690" s="6" t="s">
        <v>4783</v>
      </c>
      <c r="E690" s="17" t="s">
        <v>4784</v>
      </c>
      <c r="F690" s="17"/>
      <c r="G690" s="17" t="e">
        <f t="shared" ca="1" si="0"/>
        <v>#NAME?</v>
      </c>
      <c r="H690" s="6"/>
      <c r="I690" s="6"/>
      <c r="J690" s="17"/>
    </row>
    <row r="691" spans="1:10" ht="171.75" customHeight="1">
      <c r="A691" s="6" t="s">
        <v>714</v>
      </c>
      <c r="B691" s="6" t="s">
        <v>9753</v>
      </c>
      <c r="C691" s="6" t="s">
        <v>4786</v>
      </c>
      <c r="D691" s="6" t="s">
        <v>4789</v>
      </c>
      <c r="E691" s="17" t="s">
        <v>4791</v>
      </c>
      <c r="F691" s="17"/>
      <c r="G691" s="17" t="e">
        <f t="shared" ca="1" si="0"/>
        <v>#NAME?</v>
      </c>
      <c r="H691" s="6"/>
      <c r="I691" s="17"/>
      <c r="J691" s="17"/>
    </row>
    <row r="692" spans="1:10" ht="171.75" customHeight="1">
      <c r="A692" s="6" t="s">
        <v>199</v>
      </c>
      <c r="B692" s="6" t="s">
        <v>9708</v>
      </c>
      <c r="C692" s="6" t="s">
        <v>4793</v>
      </c>
      <c r="D692" s="6" t="s">
        <v>4796</v>
      </c>
      <c r="E692" s="17" t="s">
        <v>4798</v>
      </c>
      <c r="F692" s="17"/>
      <c r="G692" s="17" t="e">
        <f t="shared" ca="1" si="0"/>
        <v>#NAME?</v>
      </c>
      <c r="H692" s="6"/>
      <c r="I692" s="17"/>
      <c r="J692" s="17"/>
    </row>
    <row r="693" spans="1:10" ht="171.75" customHeight="1">
      <c r="A693" s="6" t="s">
        <v>278</v>
      </c>
      <c r="B693" s="6" t="s">
        <v>9709</v>
      </c>
      <c r="C693" s="6" t="s">
        <v>4800</v>
      </c>
      <c r="D693" s="6" t="s">
        <v>4803</v>
      </c>
      <c r="E693" s="17" t="s">
        <v>4804</v>
      </c>
      <c r="F693" s="17"/>
      <c r="G693" s="17" t="e">
        <f t="shared" ca="1" si="0"/>
        <v>#NAME?</v>
      </c>
      <c r="H693" s="6"/>
      <c r="I693" s="17"/>
      <c r="J693" s="10"/>
    </row>
    <row r="694" spans="1:10" ht="171.75" customHeight="1">
      <c r="A694" s="6" t="s">
        <v>249</v>
      </c>
      <c r="B694" s="6" t="s">
        <v>9779</v>
      </c>
      <c r="C694" s="6" t="s">
        <v>4806</v>
      </c>
      <c r="D694" s="6" t="s">
        <v>4809</v>
      </c>
      <c r="E694" s="10" t="s">
        <v>4813</v>
      </c>
      <c r="F694" s="17"/>
      <c r="G694" s="17" t="e">
        <f t="shared" ca="1" si="0"/>
        <v>#NAME?</v>
      </c>
      <c r="H694" s="6"/>
      <c r="I694" s="46"/>
      <c r="J694" s="17"/>
    </row>
    <row r="695" spans="1:10" ht="171.75" customHeight="1">
      <c r="A695" s="6" t="s">
        <v>4815</v>
      </c>
      <c r="B695" s="6" t="s">
        <v>9964</v>
      </c>
      <c r="C695" s="6" t="s">
        <v>4816</v>
      </c>
      <c r="D695" s="43" t="s">
        <v>4819</v>
      </c>
      <c r="E695" s="17" t="s">
        <v>4820</v>
      </c>
      <c r="F695" s="17"/>
      <c r="G695" s="17" t="e">
        <f t="shared" ca="1" si="0"/>
        <v>#NAME?</v>
      </c>
      <c r="H695" s="6"/>
      <c r="I695" s="17"/>
      <c r="J695" s="17"/>
    </row>
    <row r="696" spans="1:10" ht="171.75" customHeight="1">
      <c r="A696" s="6" t="s">
        <v>4822</v>
      </c>
      <c r="B696" s="6" t="s">
        <v>9965</v>
      </c>
      <c r="C696" s="6" t="s">
        <v>4823</v>
      </c>
      <c r="D696" s="6" t="s">
        <v>4826</v>
      </c>
      <c r="E696" s="17" t="s">
        <v>4827</v>
      </c>
      <c r="F696" s="17"/>
      <c r="G696" s="17" t="e">
        <f t="shared" ca="1" si="0"/>
        <v>#NAME?</v>
      </c>
      <c r="H696" s="6"/>
      <c r="I696" s="17"/>
      <c r="J696" s="17"/>
    </row>
    <row r="697" spans="1:10" ht="171.75" customHeight="1">
      <c r="A697" s="6" t="s">
        <v>364</v>
      </c>
      <c r="B697" s="6" t="s">
        <v>9718</v>
      </c>
      <c r="C697" s="6" t="s">
        <v>4829</v>
      </c>
      <c r="D697" s="6" t="s">
        <v>4832</v>
      </c>
      <c r="E697" s="17" t="s">
        <v>4833</v>
      </c>
      <c r="F697" s="17"/>
      <c r="G697" s="17" t="e">
        <f t="shared" ca="1" si="0"/>
        <v>#NAME?</v>
      </c>
      <c r="H697" s="6"/>
      <c r="I697" s="17"/>
      <c r="J697" s="17"/>
    </row>
    <row r="698" spans="1:10" ht="171.75" customHeight="1">
      <c r="A698" s="6" t="s">
        <v>1739</v>
      </c>
      <c r="B698" s="6" t="s">
        <v>9815</v>
      </c>
      <c r="C698" s="6" t="s">
        <v>4835</v>
      </c>
      <c r="D698" s="6" t="s">
        <v>4838</v>
      </c>
      <c r="E698" s="17" t="s">
        <v>4839</v>
      </c>
      <c r="F698" s="17"/>
      <c r="G698" s="17" t="e">
        <f t="shared" ca="1" si="0"/>
        <v>#NAME?</v>
      </c>
      <c r="H698" s="6"/>
      <c r="I698" s="17"/>
      <c r="J698" s="17"/>
    </row>
    <row r="699" spans="1:10" ht="171.75" customHeight="1">
      <c r="A699" s="6" t="s">
        <v>249</v>
      </c>
      <c r="B699" s="6" t="s">
        <v>9779</v>
      </c>
      <c r="C699" s="6" t="s">
        <v>4841</v>
      </c>
      <c r="D699" s="43" t="s">
        <v>4844</v>
      </c>
      <c r="E699" s="17" t="s">
        <v>4846</v>
      </c>
      <c r="F699" s="17"/>
      <c r="G699" s="17" t="e">
        <f t="shared" ca="1" si="0"/>
        <v>#NAME?</v>
      </c>
      <c r="H699" s="6"/>
      <c r="I699" s="46"/>
      <c r="J699" s="17"/>
    </row>
    <row r="700" spans="1:10" ht="171.75" customHeight="1">
      <c r="A700" s="6" t="s">
        <v>285</v>
      </c>
      <c r="B700" s="6" t="s">
        <v>9710</v>
      </c>
      <c r="C700" s="6" t="s">
        <v>4848</v>
      </c>
      <c r="D700" s="6" t="s">
        <v>4851</v>
      </c>
      <c r="E700" s="17" t="s">
        <v>4853</v>
      </c>
      <c r="F700" s="17"/>
      <c r="G700" s="17" t="e">
        <f t="shared" ca="1" si="0"/>
        <v>#NAME?</v>
      </c>
      <c r="H700" s="6"/>
      <c r="I700" s="17"/>
      <c r="J700" s="17"/>
    </row>
    <row r="701" spans="1:10" ht="171.75" customHeight="1">
      <c r="A701" s="6" t="s">
        <v>4855</v>
      </c>
      <c r="B701" s="6" t="s">
        <v>9966</v>
      </c>
      <c r="C701" s="6" t="s">
        <v>4856</v>
      </c>
      <c r="D701" s="6" t="s">
        <v>4859</v>
      </c>
      <c r="E701" s="17" t="s">
        <v>4860</v>
      </c>
      <c r="F701" s="17"/>
      <c r="G701" s="17" t="e">
        <f t="shared" ca="1" si="0"/>
        <v>#NAME?</v>
      </c>
      <c r="H701" s="6"/>
      <c r="I701" s="17"/>
      <c r="J701" s="17"/>
    </row>
    <row r="702" spans="1:10" ht="171.75" customHeight="1">
      <c r="A702" s="6" t="s">
        <v>1443</v>
      </c>
      <c r="B702" s="6" t="s">
        <v>9707</v>
      </c>
      <c r="C702" s="6" t="s">
        <v>4862</v>
      </c>
      <c r="D702" s="6" t="s">
        <v>4865</v>
      </c>
      <c r="E702" s="17" t="s">
        <v>4866</v>
      </c>
      <c r="F702" s="17"/>
      <c r="G702" s="17" t="e">
        <f t="shared" ca="1" si="0"/>
        <v>#NAME?</v>
      </c>
      <c r="H702" s="6"/>
      <c r="I702" s="17"/>
      <c r="J702" s="17"/>
    </row>
    <row r="703" spans="1:10" ht="171.75" customHeight="1">
      <c r="A703" s="6" t="s">
        <v>714</v>
      </c>
      <c r="B703" s="6" t="s">
        <v>9753</v>
      </c>
      <c r="C703" s="6" t="s">
        <v>4868</v>
      </c>
      <c r="D703" s="6" t="s">
        <v>4871</v>
      </c>
      <c r="E703" s="17" t="s">
        <v>4873</v>
      </c>
      <c r="F703" s="17"/>
      <c r="G703" s="17" t="e">
        <f t="shared" ca="1" si="0"/>
        <v>#NAME?</v>
      </c>
      <c r="H703" s="6"/>
      <c r="I703" s="17"/>
      <c r="J703" s="17"/>
    </row>
    <row r="704" spans="1:10" ht="171.75" customHeight="1">
      <c r="A704" s="6" t="s">
        <v>199</v>
      </c>
      <c r="B704" s="6" t="s">
        <v>9708</v>
      </c>
      <c r="C704" s="6" t="s">
        <v>4875</v>
      </c>
      <c r="D704" s="6" t="s">
        <v>4878</v>
      </c>
      <c r="E704" s="17" t="s">
        <v>4880</v>
      </c>
      <c r="F704" s="17"/>
      <c r="G704" s="17" t="e">
        <f t="shared" ca="1" si="0"/>
        <v>#NAME?</v>
      </c>
      <c r="H704" s="6"/>
      <c r="I704" s="17"/>
      <c r="J704" s="10"/>
    </row>
    <row r="705" spans="1:10" ht="171.75" customHeight="1">
      <c r="A705" s="43" t="s">
        <v>285</v>
      </c>
      <c r="B705" s="6" t="s">
        <v>9710</v>
      </c>
      <c r="C705" s="6" t="s">
        <v>4882</v>
      </c>
      <c r="D705" s="6" t="s">
        <v>4885</v>
      </c>
      <c r="E705" s="10" t="s">
        <v>4887</v>
      </c>
      <c r="F705" s="17"/>
      <c r="G705" s="17" t="e">
        <f t="shared" ca="1" si="0"/>
        <v>#NAME?</v>
      </c>
      <c r="H705" s="6"/>
      <c r="I705" s="17"/>
      <c r="J705" s="17"/>
    </row>
    <row r="706" spans="1:10" ht="171.75" customHeight="1">
      <c r="A706" s="6" t="s">
        <v>249</v>
      </c>
      <c r="B706" s="6" t="s">
        <v>9779</v>
      </c>
      <c r="C706" s="6" t="s">
        <v>4889</v>
      </c>
      <c r="D706" s="6" t="s">
        <v>4892</v>
      </c>
      <c r="E706" s="17" t="s">
        <v>4894</v>
      </c>
      <c r="F706" s="17"/>
      <c r="G706" s="17" t="e">
        <f t="shared" ca="1" si="0"/>
        <v>#NAME?</v>
      </c>
      <c r="H706" s="6"/>
      <c r="I706" s="17"/>
      <c r="J706" s="17"/>
    </row>
    <row r="707" spans="1:10" ht="171.75" customHeight="1">
      <c r="A707" s="6" t="s">
        <v>379</v>
      </c>
      <c r="B707" s="6" t="s">
        <v>9720</v>
      </c>
      <c r="C707" s="6" t="s">
        <v>4896</v>
      </c>
      <c r="D707" s="6" t="s">
        <v>4899</v>
      </c>
      <c r="E707" s="17" t="s">
        <v>4900</v>
      </c>
      <c r="F707" s="17"/>
      <c r="G707" s="17" t="e">
        <f t="shared" ca="1" si="0"/>
        <v>#NAME?</v>
      </c>
      <c r="H707" s="6"/>
      <c r="I707" s="6"/>
      <c r="J707" s="10"/>
    </row>
    <row r="708" spans="1:10" ht="171.75" customHeight="1">
      <c r="A708" s="6" t="s">
        <v>4902</v>
      </c>
      <c r="B708" s="6" t="s">
        <v>9746</v>
      </c>
      <c r="C708" s="6" t="s">
        <v>4903</v>
      </c>
      <c r="D708" s="6" t="s">
        <v>141</v>
      </c>
      <c r="E708" s="10" t="s">
        <v>4905</v>
      </c>
      <c r="F708" s="17"/>
      <c r="G708" s="17" t="e">
        <f t="shared" ca="1" si="0"/>
        <v>#NAME?</v>
      </c>
      <c r="H708" s="6"/>
      <c r="I708" s="46"/>
      <c r="J708" s="17"/>
    </row>
    <row r="709" spans="1:10" ht="171.75" customHeight="1">
      <c r="A709" s="6" t="s">
        <v>4815</v>
      </c>
      <c r="B709" s="6" t="s">
        <v>9964</v>
      </c>
      <c r="C709" s="6" t="s">
        <v>4907</v>
      </c>
      <c r="D709" s="43" t="s">
        <v>4910</v>
      </c>
      <c r="E709" s="17" t="s">
        <v>4911</v>
      </c>
      <c r="F709" s="17"/>
      <c r="G709" s="17" t="e">
        <f t="shared" ca="1" si="0"/>
        <v>#NAME?</v>
      </c>
      <c r="H709" s="6"/>
      <c r="I709" s="17"/>
      <c r="J709" s="17"/>
    </row>
    <row r="710" spans="1:10" ht="171.75" customHeight="1">
      <c r="A710" s="6" t="s">
        <v>714</v>
      </c>
      <c r="B710" s="6" t="s">
        <v>9753</v>
      </c>
      <c r="C710" s="6" t="s">
        <v>4913</v>
      </c>
      <c r="D710" s="6" t="s">
        <v>4916</v>
      </c>
      <c r="E710" s="17" t="s">
        <v>4918</v>
      </c>
      <c r="F710" s="17"/>
      <c r="G710" s="17" t="e">
        <f t="shared" ca="1" si="0"/>
        <v>#NAME?</v>
      </c>
      <c r="H710" s="6"/>
      <c r="I710" s="46"/>
      <c r="J710" s="32"/>
    </row>
    <row r="711" spans="1:10" ht="171.75" customHeight="1">
      <c r="A711" s="6" t="s">
        <v>199</v>
      </c>
      <c r="B711" s="6" t="s">
        <v>9708</v>
      </c>
      <c r="C711" s="6" t="s">
        <v>4920</v>
      </c>
      <c r="D711" s="6" t="s">
        <v>4923</v>
      </c>
      <c r="E711" s="32" t="s">
        <v>4926</v>
      </c>
      <c r="F711" s="17"/>
      <c r="G711" s="17" t="e">
        <f t="shared" ca="1" si="0"/>
        <v>#NAME?</v>
      </c>
      <c r="H711" s="6"/>
      <c r="I711" s="17"/>
      <c r="J711" s="17"/>
    </row>
    <row r="712" spans="1:10" ht="171.75" customHeight="1">
      <c r="A712" s="43" t="s">
        <v>4929</v>
      </c>
      <c r="B712" s="6" t="s">
        <v>9967</v>
      </c>
      <c r="C712" s="6" t="s">
        <v>4930</v>
      </c>
      <c r="D712" s="6" t="s">
        <v>4933</v>
      </c>
      <c r="E712" s="17" t="s">
        <v>4934</v>
      </c>
      <c r="F712" s="17"/>
      <c r="G712" s="17" t="e">
        <f t="shared" ca="1" si="0"/>
        <v>#NAME?</v>
      </c>
      <c r="H712" s="6"/>
      <c r="I712" s="17"/>
      <c r="J712" s="17"/>
    </row>
    <row r="713" spans="1:10" ht="171.75" customHeight="1">
      <c r="A713" s="6" t="s">
        <v>4937</v>
      </c>
      <c r="B713" s="6" t="s">
        <v>9968</v>
      </c>
      <c r="C713" s="6" t="s">
        <v>4938</v>
      </c>
      <c r="D713" s="6" t="s">
        <v>4941</v>
      </c>
      <c r="E713" s="17" t="s">
        <v>4942</v>
      </c>
      <c r="F713" s="17"/>
      <c r="G713" s="17" t="e">
        <f t="shared" ca="1" si="0"/>
        <v>#NAME?</v>
      </c>
      <c r="H713" s="6"/>
      <c r="I713" s="17"/>
      <c r="J713" s="17"/>
    </row>
    <row r="714" spans="1:10" ht="171.75" customHeight="1">
      <c r="A714" s="6" t="s">
        <v>4937</v>
      </c>
      <c r="B714" s="6" t="s">
        <v>9968</v>
      </c>
      <c r="C714" s="6" t="s">
        <v>4944</v>
      </c>
      <c r="D714" s="43" t="s">
        <v>4947</v>
      </c>
      <c r="E714" s="17" t="s">
        <v>4948</v>
      </c>
      <c r="F714" s="17"/>
      <c r="G714" s="17" t="e">
        <f t="shared" ca="1" si="0"/>
        <v>#NAME?</v>
      </c>
      <c r="H714" s="6"/>
      <c r="I714" s="17"/>
      <c r="J714" s="10"/>
    </row>
    <row r="715" spans="1:10" ht="171.75" customHeight="1">
      <c r="A715" s="6" t="s">
        <v>4950</v>
      </c>
      <c r="B715" s="6" t="s">
        <v>9969</v>
      </c>
      <c r="C715" s="6" t="s">
        <v>4951</v>
      </c>
      <c r="D715" s="6" t="s">
        <v>4954</v>
      </c>
      <c r="E715" s="10" t="s">
        <v>4955</v>
      </c>
      <c r="F715" s="17"/>
      <c r="G715" s="17" t="e">
        <f t="shared" ca="1" si="0"/>
        <v>#NAME?</v>
      </c>
      <c r="H715" s="6"/>
      <c r="I715" s="17"/>
      <c r="J715" s="10"/>
    </row>
    <row r="716" spans="1:10" ht="171.75" customHeight="1">
      <c r="A716" s="43" t="s">
        <v>689</v>
      </c>
      <c r="B716" s="6" t="s">
        <v>9751</v>
      </c>
      <c r="C716" s="6" t="s">
        <v>4958</v>
      </c>
      <c r="D716" s="6" t="s">
        <v>4961</v>
      </c>
      <c r="E716" s="10" t="s">
        <v>4964</v>
      </c>
      <c r="F716" s="17"/>
      <c r="G716" s="17" t="e">
        <f t="shared" ca="1" si="0"/>
        <v>#NAME?</v>
      </c>
      <c r="H716" s="6"/>
      <c r="I716" s="17"/>
      <c r="J716" s="17"/>
    </row>
    <row r="717" spans="1:10" ht="171.75" customHeight="1">
      <c r="A717" s="6" t="s">
        <v>4966</v>
      </c>
      <c r="B717" s="6" t="s">
        <v>9970</v>
      </c>
      <c r="C717" s="6" t="s">
        <v>4967</v>
      </c>
      <c r="D717" s="43" t="s">
        <v>4970</v>
      </c>
      <c r="E717" s="17" t="s">
        <v>4971</v>
      </c>
      <c r="F717" s="17"/>
      <c r="G717" s="17" t="e">
        <f t="shared" ca="1" si="0"/>
        <v>#NAME?</v>
      </c>
      <c r="H717" s="6"/>
      <c r="I717" s="17"/>
      <c r="J717" s="17"/>
    </row>
    <row r="718" spans="1:10" ht="171.75" customHeight="1">
      <c r="A718" s="6" t="s">
        <v>4973</v>
      </c>
      <c r="B718" s="6" t="s">
        <v>9971</v>
      </c>
      <c r="C718" s="6" t="s">
        <v>4974</v>
      </c>
      <c r="D718" s="6" t="s">
        <v>4977</v>
      </c>
      <c r="E718" s="17" t="s">
        <v>4978</v>
      </c>
      <c r="F718" s="17"/>
      <c r="G718" s="17" t="e">
        <f t="shared" ca="1" si="0"/>
        <v>#NAME?</v>
      </c>
      <c r="H718" s="6"/>
      <c r="I718" s="17"/>
      <c r="J718" s="17"/>
    </row>
    <row r="719" spans="1:10" ht="171.75" customHeight="1">
      <c r="A719" s="6" t="s">
        <v>4982</v>
      </c>
      <c r="B719" s="6" t="s">
        <v>9972</v>
      </c>
      <c r="C719" s="6" t="s">
        <v>4983</v>
      </c>
      <c r="D719" s="6" t="s">
        <v>4986</v>
      </c>
      <c r="E719" s="17" t="s">
        <v>4987</v>
      </c>
      <c r="F719" s="17"/>
      <c r="G719" s="17" t="e">
        <f t="shared" ca="1" si="0"/>
        <v>#NAME?</v>
      </c>
      <c r="H719" s="6"/>
      <c r="I719" s="17"/>
      <c r="J719" s="17"/>
    </row>
    <row r="720" spans="1:10" ht="171.75" customHeight="1">
      <c r="A720" s="6" t="s">
        <v>4989</v>
      </c>
      <c r="B720" s="6" t="s">
        <v>9973</v>
      </c>
      <c r="C720" s="6" t="s">
        <v>4990</v>
      </c>
      <c r="D720" s="43" t="s">
        <v>4993</v>
      </c>
      <c r="E720" s="17" t="s">
        <v>4994</v>
      </c>
      <c r="F720" s="17"/>
      <c r="G720" s="17" t="e">
        <f t="shared" ca="1" si="0"/>
        <v>#NAME?</v>
      </c>
      <c r="H720" s="6"/>
      <c r="I720" s="17"/>
      <c r="J720" s="17"/>
    </row>
    <row r="721" spans="1:10" ht="171.75" customHeight="1">
      <c r="A721" s="6" t="s">
        <v>4989</v>
      </c>
      <c r="B721" s="6" t="s">
        <v>9973</v>
      </c>
      <c r="C721" s="6" t="s">
        <v>4996</v>
      </c>
      <c r="D721" s="43" t="s">
        <v>4999</v>
      </c>
      <c r="E721" s="17" t="s">
        <v>5000</v>
      </c>
      <c r="F721" s="17"/>
      <c r="G721" s="17" t="e">
        <f t="shared" ca="1" si="0"/>
        <v>#NAME?</v>
      </c>
      <c r="H721" s="6"/>
      <c r="I721" s="17"/>
      <c r="J721" s="17"/>
    </row>
    <row r="722" spans="1:10" ht="171.75" customHeight="1">
      <c r="A722" s="6" t="s">
        <v>1380</v>
      </c>
      <c r="B722" s="6" t="s">
        <v>9796</v>
      </c>
      <c r="C722" s="6" t="s">
        <v>5002</v>
      </c>
      <c r="D722" s="6" t="s">
        <v>5004</v>
      </c>
      <c r="E722" s="17" t="s">
        <v>5005</v>
      </c>
      <c r="F722" s="17"/>
      <c r="G722" s="17" t="e">
        <f t="shared" ca="1" si="0"/>
        <v>#NAME?</v>
      </c>
      <c r="H722" s="6"/>
      <c r="I722" s="17"/>
      <c r="J722" s="17"/>
    </row>
    <row r="723" spans="1:10" ht="171.75" customHeight="1">
      <c r="A723" s="43" t="s">
        <v>29</v>
      </c>
      <c r="B723" s="6" t="s">
        <v>29</v>
      </c>
      <c r="C723" s="6" t="s">
        <v>5007</v>
      </c>
      <c r="D723" s="6" t="s">
        <v>5009</v>
      </c>
      <c r="E723" s="10" t="s">
        <v>9687</v>
      </c>
      <c r="F723" s="17"/>
      <c r="G723" s="17" t="e">
        <f t="shared" ca="1" si="0"/>
        <v>#NAME?</v>
      </c>
      <c r="H723" s="6"/>
      <c r="I723" s="17"/>
      <c r="J723" s="17"/>
    </row>
    <row r="724" spans="1:10" ht="171.75" customHeight="1">
      <c r="A724" s="6" t="s">
        <v>5011</v>
      </c>
      <c r="B724" s="6" t="s">
        <v>9974</v>
      </c>
      <c r="C724" s="6" t="s">
        <v>5012</v>
      </c>
      <c r="D724" s="6" t="s">
        <v>5015</v>
      </c>
      <c r="E724" s="17" t="s">
        <v>5016</v>
      </c>
      <c r="F724" s="17"/>
      <c r="G724" s="17" t="e">
        <f t="shared" ca="1" si="0"/>
        <v>#NAME?</v>
      </c>
      <c r="H724" s="6"/>
      <c r="I724" s="17"/>
      <c r="J724" s="17"/>
    </row>
    <row r="725" spans="1:10" ht="171.75" customHeight="1">
      <c r="A725" s="6" t="s">
        <v>117</v>
      </c>
      <c r="B725" s="6" t="s">
        <v>9692</v>
      </c>
      <c r="C725" s="6" t="s">
        <v>5018</v>
      </c>
      <c r="D725" s="6" t="s">
        <v>5021</v>
      </c>
      <c r="E725" s="17" t="s">
        <v>5022</v>
      </c>
      <c r="F725" s="17"/>
      <c r="G725" s="17" t="e">
        <f t="shared" ca="1" si="0"/>
        <v>#NAME?</v>
      </c>
      <c r="H725" s="6"/>
      <c r="I725" s="17"/>
      <c r="J725" s="17"/>
    </row>
    <row r="726" spans="1:10" ht="171.75" customHeight="1">
      <c r="A726" s="43" t="s">
        <v>285</v>
      </c>
      <c r="B726" s="6" t="s">
        <v>9710</v>
      </c>
      <c r="C726" s="6" t="s">
        <v>5024</v>
      </c>
      <c r="D726" s="6" t="s">
        <v>5027</v>
      </c>
      <c r="E726" s="17" t="s">
        <v>5029</v>
      </c>
      <c r="F726" s="17"/>
      <c r="G726" s="17" t="e">
        <f t="shared" ca="1" si="0"/>
        <v>#NAME?</v>
      </c>
      <c r="H726" s="6"/>
      <c r="I726" s="17"/>
      <c r="J726" s="10"/>
    </row>
    <row r="727" spans="1:10" ht="171.75" customHeight="1">
      <c r="A727" s="6" t="s">
        <v>5031</v>
      </c>
      <c r="B727" s="6" t="s">
        <v>9975</v>
      </c>
      <c r="C727" s="6" t="s">
        <v>5032</v>
      </c>
      <c r="D727" s="6" t="s">
        <v>5035</v>
      </c>
      <c r="E727" s="10" t="s">
        <v>5039</v>
      </c>
      <c r="F727" s="17"/>
      <c r="G727" s="17" t="e">
        <f t="shared" ca="1" si="0"/>
        <v>#NAME?</v>
      </c>
      <c r="H727" s="6"/>
      <c r="I727" s="17"/>
      <c r="J727" s="17"/>
    </row>
    <row r="728" spans="1:10" ht="171.75" customHeight="1">
      <c r="A728" s="6" t="s">
        <v>199</v>
      </c>
      <c r="B728" s="6" t="s">
        <v>9708</v>
      </c>
      <c r="C728" s="6" t="s">
        <v>5043</v>
      </c>
      <c r="D728" s="6" t="s">
        <v>5046</v>
      </c>
      <c r="E728" s="17" t="s">
        <v>5049</v>
      </c>
      <c r="F728" s="17"/>
      <c r="G728" s="17" t="e">
        <f t="shared" ca="1" si="0"/>
        <v>#NAME?</v>
      </c>
      <c r="H728" s="6"/>
      <c r="I728" s="17"/>
      <c r="J728" s="10"/>
    </row>
    <row r="729" spans="1:10" ht="171.75" customHeight="1">
      <c r="A729" s="43" t="s">
        <v>9976</v>
      </c>
      <c r="B729" s="6" t="s">
        <v>9977</v>
      </c>
      <c r="C729" s="6" t="s">
        <v>5052</v>
      </c>
      <c r="D729" s="6" t="s">
        <v>5055</v>
      </c>
      <c r="E729" s="10" t="s">
        <v>5058</v>
      </c>
      <c r="F729" s="17"/>
      <c r="G729" s="17" t="e">
        <f t="shared" ca="1" si="0"/>
        <v>#NAME?</v>
      </c>
      <c r="H729" s="6"/>
      <c r="I729" s="17"/>
      <c r="J729" s="17"/>
    </row>
    <row r="730" spans="1:10" ht="171.75" customHeight="1">
      <c r="A730" s="43" t="s">
        <v>248</v>
      </c>
      <c r="B730" s="6" t="s">
        <v>9712</v>
      </c>
      <c r="C730" s="6" t="s">
        <v>5060</v>
      </c>
      <c r="D730" s="6" t="s">
        <v>5063</v>
      </c>
      <c r="E730" s="17" t="s">
        <v>5065</v>
      </c>
      <c r="F730" s="17"/>
      <c r="G730" s="17" t="e">
        <f t="shared" ca="1" si="0"/>
        <v>#NAME?</v>
      </c>
      <c r="H730" s="6"/>
      <c r="I730" s="46"/>
      <c r="J730" s="17"/>
    </row>
    <row r="731" spans="1:10" ht="171.75" customHeight="1">
      <c r="A731" s="43" t="s">
        <v>927</v>
      </c>
      <c r="B731" s="6" t="s">
        <v>9775</v>
      </c>
      <c r="C731" s="6" t="s">
        <v>5067</v>
      </c>
      <c r="D731" s="43" t="s">
        <v>5070</v>
      </c>
      <c r="E731" s="17" t="s">
        <v>5071</v>
      </c>
      <c r="F731" s="17"/>
      <c r="G731" s="17" t="e">
        <f t="shared" ca="1" si="0"/>
        <v>#NAME?</v>
      </c>
      <c r="H731" s="6"/>
      <c r="I731" s="17"/>
      <c r="J731" s="17"/>
    </row>
    <row r="732" spans="1:10" ht="171.75" customHeight="1">
      <c r="A732" s="6" t="s">
        <v>3710</v>
      </c>
      <c r="B732" s="6" t="s">
        <v>9912</v>
      </c>
      <c r="C732" s="6" t="s">
        <v>5074</v>
      </c>
      <c r="D732" s="6" t="s">
        <v>5077</v>
      </c>
      <c r="E732" s="17" t="s">
        <v>5078</v>
      </c>
      <c r="F732" s="17"/>
      <c r="G732" s="17" t="e">
        <f t="shared" ca="1" si="0"/>
        <v>#NAME?</v>
      </c>
      <c r="H732" s="6"/>
      <c r="I732" s="17"/>
      <c r="J732" s="17"/>
    </row>
    <row r="733" spans="1:10" ht="171.75" customHeight="1">
      <c r="A733" s="6" t="s">
        <v>5082</v>
      </c>
      <c r="B733" s="6" t="s">
        <v>9978</v>
      </c>
      <c r="C733" s="6" t="s">
        <v>5083</v>
      </c>
      <c r="D733" s="6" t="s">
        <v>5086</v>
      </c>
      <c r="E733" s="17" t="s">
        <v>5087</v>
      </c>
      <c r="F733" s="17"/>
      <c r="G733" s="17" t="e">
        <f t="shared" ca="1" si="0"/>
        <v>#NAME?</v>
      </c>
      <c r="H733" s="6"/>
      <c r="I733" s="17"/>
      <c r="J733" s="17"/>
    </row>
    <row r="734" spans="1:10" ht="171.75" customHeight="1">
      <c r="A734" s="6" t="s">
        <v>5082</v>
      </c>
      <c r="B734" s="6" t="s">
        <v>9978</v>
      </c>
      <c r="C734" s="6" t="s">
        <v>5089</v>
      </c>
      <c r="D734" s="6" t="s">
        <v>5092</v>
      </c>
      <c r="E734" s="17" t="s">
        <v>5093</v>
      </c>
      <c r="F734" s="17"/>
      <c r="G734" s="17" t="e">
        <f t="shared" ca="1" si="0"/>
        <v>#NAME?</v>
      </c>
      <c r="H734" s="6"/>
      <c r="I734" s="17"/>
      <c r="J734" s="17"/>
    </row>
    <row r="735" spans="1:10" ht="171.75" customHeight="1">
      <c r="A735" s="6" t="s">
        <v>4989</v>
      </c>
      <c r="B735" s="6" t="s">
        <v>9973</v>
      </c>
      <c r="C735" s="6" t="s">
        <v>5095</v>
      </c>
      <c r="D735" s="43" t="s">
        <v>5098</v>
      </c>
      <c r="E735" s="17" t="s">
        <v>5099</v>
      </c>
      <c r="F735" s="17"/>
      <c r="G735" s="17" t="e">
        <f t="shared" ca="1" si="0"/>
        <v>#NAME?</v>
      </c>
      <c r="H735" s="6"/>
      <c r="I735" s="17"/>
      <c r="J735" s="17"/>
    </row>
    <row r="736" spans="1:10" ht="171.75" customHeight="1">
      <c r="A736" s="6" t="s">
        <v>4989</v>
      </c>
      <c r="B736" s="6" t="s">
        <v>9973</v>
      </c>
      <c r="C736" s="6" t="s">
        <v>5101</v>
      </c>
      <c r="D736" s="6" t="s">
        <v>5104</v>
      </c>
      <c r="E736" s="17" t="s">
        <v>5105</v>
      </c>
      <c r="F736" s="17"/>
      <c r="G736" s="17" t="e">
        <f t="shared" ca="1" si="0"/>
        <v>#NAME?</v>
      </c>
      <c r="H736" s="6"/>
      <c r="I736" s="17"/>
      <c r="J736" s="17"/>
    </row>
    <row r="737" spans="1:10" ht="171.75" customHeight="1">
      <c r="A737" s="6" t="s">
        <v>5082</v>
      </c>
      <c r="B737" s="6" t="s">
        <v>9978</v>
      </c>
      <c r="C737" s="6" t="s">
        <v>5107</v>
      </c>
      <c r="D737" s="6" t="s">
        <v>5110</v>
      </c>
      <c r="E737" s="17" t="s">
        <v>5111</v>
      </c>
      <c r="F737" s="17"/>
      <c r="G737" s="17" t="e">
        <f t="shared" ca="1" si="0"/>
        <v>#NAME?</v>
      </c>
      <c r="H737" s="6"/>
      <c r="I737" s="17"/>
      <c r="J737" s="17"/>
    </row>
    <row r="738" spans="1:10" ht="171.75" customHeight="1">
      <c r="A738" s="6" t="s">
        <v>1492</v>
      </c>
      <c r="B738" s="6" t="s">
        <v>9722</v>
      </c>
      <c r="C738" s="6" t="s">
        <v>5113</v>
      </c>
      <c r="D738" s="6" t="s">
        <v>5116</v>
      </c>
      <c r="E738" s="17" t="s">
        <v>5117</v>
      </c>
      <c r="F738" s="17"/>
      <c r="G738" s="17" t="e">
        <f t="shared" ca="1" si="0"/>
        <v>#NAME?</v>
      </c>
      <c r="H738" s="6"/>
      <c r="I738" s="17"/>
      <c r="J738" s="17"/>
    </row>
    <row r="739" spans="1:10" ht="171.75" customHeight="1">
      <c r="A739" s="6" t="s">
        <v>5119</v>
      </c>
      <c r="B739" s="6" t="s">
        <v>9979</v>
      </c>
      <c r="C739" s="6" t="s">
        <v>5120</v>
      </c>
      <c r="D739" s="6" t="s">
        <v>5123</v>
      </c>
      <c r="E739" s="17" t="s">
        <v>5124</v>
      </c>
      <c r="F739" s="17"/>
      <c r="G739" s="17" t="e">
        <f t="shared" ca="1" si="0"/>
        <v>#NAME?</v>
      </c>
      <c r="H739" s="6"/>
      <c r="I739" s="46"/>
      <c r="J739" s="17"/>
    </row>
    <row r="740" spans="1:10" ht="171.75" customHeight="1">
      <c r="A740" s="6" t="s">
        <v>5126</v>
      </c>
      <c r="B740" s="6" t="s">
        <v>9980</v>
      </c>
      <c r="C740" s="6" t="s">
        <v>5127</v>
      </c>
      <c r="D740" s="6" t="s">
        <v>5130</v>
      </c>
      <c r="E740" s="17" t="s">
        <v>5131</v>
      </c>
      <c r="F740" s="17"/>
      <c r="G740" s="17" t="e">
        <f t="shared" ca="1" si="0"/>
        <v>#NAME?</v>
      </c>
      <c r="H740" s="6"/>
      <c r="I740" s="17"/>
      <c r="J740" s="17"/>
    </row>
    <row r="741" spans="1:10" ht="171.75" customHeight="1">
      <c r="A741" s="6" t="s">
        <v>1380</v>
      </c>
      <c r="B741" s="6" t="s">
        <v>9796</v>
      </c>
      <c r="C741" s="6" t="s">
        <v>5134</v>
      </c>
      <c r="D741" s="6" t="s">
        <v>5137</v>
      </c>
      <c r="E741" s="10" t="s">
        <v>9687</v>
      </c>
      <c r="F741" s="17"/>
      <c r="G741" s="17" t="e">
        <f t="shared" ca="1" si="0"/>
        <v>#NAME?</v>
      </c>
      <c r="H741" s="6"/>
      <c r="I741" s="17"/>
      <c r="J741" s="17"/>
    </row>
    <row r="742" spans="1:10" ht="171.75" customHeight="1">
      <c r="A742" s="6" t="s">
        <v>677</v>
      </c>
      <c r="B742" s="6" t="s">
        <v>9750</v>
      </c>
      <c r="C742" s="6" t="s">
        <v>5140</v>
      </c>
      <c r="D742" s="6" t="s">
        <v>5143</v>
      </c>
      <c r="E742" s="10" t="s">
        <v>9687</v>
      </c>
      <c r="F742" s="17"/>
      <c r="G742" s="17" t="e">
        <f t="shared" ca="1" si="0"/>
        <v>#NAME?</v>
      </c>
      <c r="H742" s="6"/>
      <c r="I742" s="46"/>
      <c r="J742" s="17"/>
    </row>
    <row r="743" spans="1:10" ht="171.75" customHeight="1">
      <c r="A743" s="43" t="s">
        <v>379</v>
      </c>
      <c r="B743" s="6" t="s">
        <v>9720</v>
      </c>
      <c r="C743" s="6" t="s">
        <v>5148</v>
      </c>
      <c r="D743" s="6" t="s">
        <v>5151</v>
      </c>
      <c r="E743" s="17" t="s">
        <v>5152</v>
      </c>
      <c r="F743" s="17"/>
      <c r="G743" s="17" t="e">
        <f t="shared" ca="1" si="0"/>
        <v>#NAME?</v>
      </c>
      <c r="H743" s="6"/>
      <c r="I743" s="17"/>
      <c r="J743" s="17"/>
    </row>
    <row r="744" spans="1:10" ht="171.75" customHeight="1">
      <c r="A744" s="6" t="s">
        <v>1380</v>
      </c>
      <c r="B744" s="6" t="s">
        <v>9796</v>
      </c>
      <c r="C744" s="6" t="s">
        <v>5154</v>
      </c>
      <c r="D744" s="6" t="s">
        <v>5157</v>
      </c>
      <c r="E744" s="17" t="s">
        <v>5158</v>
      </c>
      <c r="F744" s="17"/>
      <c r="G744" s="17" t="e">
        <f t="shared" ca="1" si="0"/>
        <v>#NAME?</v>
      </c>
      <c r="H744" s="6"/>
      <c r="I744" s="17"/>
      <c r="J744" s="17"/>
    </row>
    <row r="745" spans="1:10" ht="171.75" customHeight="1">
      <c r="A745" s="43" t="s">
        <v>5160</v>
      </c>
      <c r="B745" s="6" t="s">
        <v>9981</v>
      </c>
      <c r="C745" s="6" t="s">
        <v>5161</v>
      </c>
      <c r="D745" s="6" t="s">
        <v>5164</v>
      </c>
      <c r="E745" s="17" t="s">
        <v>5165</v>
      </c>
      <c r="F745" s="17"/>
      <c r="G745" s="17" t="e">
        <f t="shared" ca="1" si="0"/>
        <v>#NAME?</v>
      </c>
      <c r="H745" s="6"/>
      <c r="I745" s="17"/>
      <c r="J745" s="17"/>
    </row>
    <row r="746" spans="1:10" ht="171.75" customHeight="1">
      <c r="A746" s="6" t="s">
        <v>9982</v>
      </c>
      <c r="B746" s="6" t="s">
        <v>9983</v>
      </c>
      <c r="C746" s="6" t="s">
        <v>5168</v>
      </c>
      <c r="D746" s="6" t="s">
        <v>5171</v>
      </c>
      <c r="E746" s="17" t="s">
        <v>5172</v>
      </c>
      <c r="F746" s="17"/>
      <c r="G746" s="17" t="e">
        <f t="shared" ca="1" si="0"/>
        <v>#NAME?</v>
      </c>
      <c r="H746" s="6"/>
      <c r="I746" s="17"/>
      <c r="J746" s="10"/>
    </row>
    <row r="747" spans="1:10" ht="171.75" customHeight="1">
      <c r="A747" s="43" t="s">
        <v>285</v>
      </c>
      <c r="B747" s="6" t="s">
        <v>9710</v>
      </c>
      <c r="C747" s="6" t="s">
        <v>5174</v>
      </c>
      <c r="D747" s="6" t="s">
        <v>5177</v>
      </c>
      <c r="E747" s="10" t="s">
        <v>5179</v>
      </c>
      <c r="F747" s="17"/>
      <c r="G747" s="17" t="e">
        <f t="shared" ca="1" si="0"/>
        <v>#NAME?</v>
      </c>
      <c r="H747" s="6"/>
      <c r="I747" s="17"/>
      <c r="J747" s="17"/>
    </row>
    <row r="748" spans="1:10" ht="171.75" customHeight="1">
      <c r="A748" s="43" t="s">
        <v>249</v>
      </c>
      <c r="B748" s="6" t="s">
        <v>9779</v>
      </c>
      <c r="C748" s="6" t="s">
        <v>5181</v>
      </c>
      <c r="D748" s="6" t="s">
        <v>5184</v>
      </c>
      <c r="E748" s="17" t="s">
        <v>5186</v>
      </c>
      <c r="F748" s="17"/>
      <c r="G748" s="17" t="e">
        <f t="shared" ca="1" si="0"/>
        <v>#NAME?</v>
      </c>
      <c r="H748" s="6"/>
      <c r="I748" s="17"/>
      <c r="J748" s="10"/>
    </row>
    <row r="749" spans="1:10" ht="171.75" customHeight="1">
      <c r="A749" s="43" t="s">
        <v>354</v>
      </c>
      <c r="B749" s="6" t="s">
        <v>9717</v>
      </c>
      <c r="C749" s="6" t="s">
        <v>5188</v>
      </c>
      <c r="D749" s="6" t="s">
        <v>5191</v>
      </c>
      <c r="E749" s="10" t="s">
        <v>5193</v>
      </c>
      <c r="F749" s="17"/>
      <c r="G749" s="17" t="e">
        <f t="shared" ca="1" si="0"/>
        <v>#NAME?</v>
      </c>
      <c r="H749" s="6"/>
      <c r="I749" s="17"/>
      <c r="J749" s="17"/>
    </row>
    <row r="750" spans="1:10" ht="171.75" customHeight="1">
      <c r="A750" s="6" t="s">
        <v>5196</v>
      </c>
      <c r="B750" s="6" t="s">
        <v>9984</v>
      </c>
      <c r="C750" s="6" t="s">
        <v>5197</v>
      </c>
      <c r="D750" s="6" t="s">
        <v>5200</v>
      </c>
      <c r="E750" s="17" t="s">
        <v>5201</v>
      </c>
      <c r="F750" s="17"/>
      <c r="G750" s="17" t="e">
        <f t="shared" ca="1" si="0"/>
        <v>#NAME?</v>
      </c>
      <c r="H750" s="6"/>
      <c r="I750" s="17"/>
      <c r="J750" s="17"/>
    </row>
    <row r="751" spans="1:10" ht="171.75" customHeight="1">
      <c r="A751" s="43" t="s">
        <v>5203</v>
      </c>
      <c r="B751" s="6" t="s">
        <v>9985</v>
      </c>
      <c r="C751" s="6" t="s">
        <v>5204</v>
      </c>
      <c r="D751" s="6" t="s">
        <v>5207</v>
      </c>
      <c r="E751" s="17" t="s">
        <v>5208</v>
      </c>
      <c r="F751" s="17"/>
      <c r="G751" s="17" t="e">
        <f t="shared" ca="1" si="0"/>
        <v>#NAME?</v>
      </c>
      <c r="H751" s="6"/>
      <c r="I751" s="46"/>
      <c r="J751" s="32"/>
    </row>
    <row r="752" spans="1:10" ht="171.75" customHeight="1">
      <c r="A752" s="6" t="s">
        <v>677</v>
      </c>
      <c r="B752" s="6" t="s">
        <v>9750</v>
      </c>
      <c r="C752" s="6" t="s">
        <v>5210</v>
      </c>
      <c r="D752" s="6" t="s">
        <v>5213</v>
      </c>
      <c r="E752" s="10" t="s">
        <v>9687</v>
      </c>
      <c r="F752" s="17"/>
      <c r="G752" s="17" t="e">
        <f t="shared" ca="1" si="0"/>
        <v>#NAME?</v>
      </c>
      <c r="H752" s="6"/>
      <c r="I752" s="17"/>
      <c r="J752" s="17"/>
    </row>
    <row r="753" spans="1:10" ht="171.75" customHeight="1">
      <c r="A753" s="43" t="s">
        <v>5217</v>
      </c>
      <c r="B753" s="6" t="s">
        <v>9986</v>
      </c>
      <c r="C753" s="6" t="s">
        <v>5218</v>
      </c>
      <c r="D753" s="6" t="s">
        <v>5221</v>
      </c>
      <c r="E753" s="10" t="s">
        <v>9687</v>
      </c>
      <c r="F753" s="17"/>
      <c r="G753" s="17" t="e">
        <f t="shared" ca="1" si="0"/>
        <v>#NAME?</v>
      </c>
      <c r="H753" s="6"/>
      <c r="I753" s="17"/>
      <c r="J753" s="17"/>
    </row>
    <row r="754" spans="1:10" ht="171.75" customHeight="1">
      <c r="A754" s="6" t="s">
        <v>5225</v>
      </c>
      <c r="B754" s="6" t="s">
        <v>9987</v>
      </c>
      <c r="C754" s="6" t="s">
        <v>5226</v>
      </c>
      <c r="D754" s="6" t="s">
        <v>5229</v>
      </c>
      <c r="E754" s="17" t="s">
        <v>5230</v>
      </c>
      <c r="F754" s="17"/>
      <c r="G754" s="17" t="e">
        <f t="shared" ca="1" si="0"/>
        <v>#NAME?</v>
      </c>
      <c r="H754" s="6"/>
      <c r="I754" s="17"/>
      <c r="J754" s="10"/>
    </row>
    <row r="755" spans="1:10" ht="171.75" customHeight="1">
      <c r="A755" s="6" t="s">
        <v>5232</v>
      </c>
      <c r="B755" s="6" t="s">
        <v>9988</v>
      </c>
      <c r="C755" s="6" t="s">
        <v>5233</v>
      </c>
      <c r="D755" s="43" t="s">
        <v>5236</v>
      </c>
      <c r="E755" s="10" t="s">
        <v>5239</v>
      </c>
      <c r="F755" s="17"/>
      <c r="G755" s="17" t="e">
        <f t="shared" ca="1" si="0"/>
        <v>#NAME?</v>
      </c>
      <c r="H755" s="6"/>
      <c r="I755" s="17"/>
      <c r="J755" s="17"/>
    </row>
    <row r="756" spans="1:10" ht="171.75" customHeight="1">
      <c r="A756" s="6" t="s">
        <v>2677</v>
      </c>
      <c r="B756" s="6" t="s">
        <v>9748</v>
      </c>
      <c r="C756" s="6" t="s">
        <v>5241</v>
      </c>
      <c r="D756" s="6" t="s">
        <v>5244</v>
      </c>
      <c r="E756" s="17" t="s">
        <v>5245</v>
      </c>
      <c r="F756" s="17"/>
      <c r="G756" s="17" t="e">
        <f t="shared" ca="1" si="0"/>
        <v>#NAME?</v>
      </c>
      <c r="H756" s="6"/>
      <c r="I756" s="17"/>
      <c r="J756" s="17"/>
    </row>
    <row r="757" spans="1:10" ht="171.75" customHeight="1">
      <c r="A757" s="43" t="s">
        <v>5248</v>
      </c>
      <c r="B757" s="6" t="s">
        <v>9989</v>
      </c>
      <c r="C757" s="6" t="s">
        <v>5249</v>
      </c>
      <c r="D757" s="6" t="s">
        <v>5252</v>
      </c>
      <c r="E757" s="17" t="s">
        <v>5253</v>
      </c>
      <c r="F757" s="17"/>
      <c r="G757" s="17" t="e">
        <f t="shared" ca="1" si="0"/>
        <v>#NAME?</v>
      </c>
      <c r="H757" s="6"/>
      <c r="I757" s="17"/>
      <c r="J757" s="17"/>
    </row>
    <row r="758" spans="1:10" ht="171.75" customHeight="1">
      <c r="A758" s="6" t="s">
        <v>5255</v>
      </c>
      <c r="B758" s="6" t="s">
        <v>9990</v>
      </c>
      <c r="C758" s="6" t="s">
        <v>5256</v>
      </c>
      <c r="D758" s="6" t="s">
        <v>5259</v>
      </c>
      <c r="E758" s="17" t="s">
        <v>5260</v>
      </c>
      <c r="F758" s="17"/>
      <c r="G758" s="17" t="e">
        <f t="shared" ca="1" si="0"/>
        <v>#NAME?</v>
      </c>
      <c r="H758" s="6"/>
      <c r="I758" s="17"/>
      <c r="J758" s="17"/>
    </row>
    <row r="759" spans="1:10" ht="171.75" customHeight="1">
      <c r="A759" s="6" t="s">
        <v>5262</v>
      </c>
      <c r="B759" s="6" t="s">
        <v>9991</v>
      </c>
      <c r="C759" s="6" t="s">
        <v>5263</v>
      </c>
      <c r="D759" s="6" t="s">
        <v>5266</v>
      </c>
      <c r="E759" s="17" t="s">
        <v>5267</v>
      </c>
      <c r="F759" s="17"/>
      <c r="G759" s="17" t="e">
        <f t="shared" ca="1" si="0"/>
        <v>#NAME?</v>
      </c>
      <c r="H759" s="6"/>
      <c r="I759" s="17"/>
      <c r="J759" s="17"/>
    </row>
    <row r="760" spans="1:10" ht="171.75" customHeight="1">
      <c r="A760" s="43" t="s">
        <v>248</v>
      </c>
      <c r="B760" s="6" t="s">
        <v>9712</v>
      </c>
      <c r="C760" s="6" t="s">
        <v>5269</v>
      </c>
      <c r="D760" s="6" t="s">
        <v>5272</v>
      </c>
      <c r="E760" s="17" t="s">
        <v>5274</v>
      </c>
      <c r="F760" s="17"/>
      <c r="G760" s="17" t="e">
        <f t="shared" ca="1" si="0"/>
        <v>#NAME?</v>
      </c>
      <c r="H760" s="6"/>
      <c r="I760" s="17"/>
      <c r="J760" s="17"/>
    </row>
    <row r="761" spans="1:10" ht="171.75" customHeight="1">
      <c r="A761" s="6" t="s">
        <v>2236</v>
      </c>
      <c r="B761" s="6" t="s">
        <v>9832</v>
      </c>
      <c r="C761" s="6" t="s">
        <v>5276</v>
      </c>
      <c r="D761" s="6" t="s">
        <v>5279</v>
      </c>
      <c r="E761" s="17" t="s">
        <v>5281</v>
      </c>
      <c r="F761" s="17"/>
      <c r="G761" s="17" t="e">
        <f t="shared" ca="1" si="0"/>
        <v>#NAME?</v>
      </c>
      <c r="H761" s="6"/>
      <c r="I761" s="46"/>
      <c r="J761" s="17"/>
    </row>
    <row r="762" spans="1:10" ht="171.75" customHeight="1">
      <c r="A762" s="43" t="s">
        <v>5283</v>
      </c>
      <c r="B762" s="6" t="s">
        <v>9992</v>
      </c>
      <c r="C762" s="6" t="s">
        <v>5284</v>
      </c>
      <c r="D762" s="6" t="s">
        <v>5287</v>
      </c>
      <c r="E762" s="17" t="s">
        <v>5289</v>
      </c>
      <c r="F762" s="17"/>
      <c r="G762" s="17" t="e">
        <f t="shared" ca="1" si="0"/>
        <v>#NAME?</v>
      </c>
      <c r="H762" s="6"/>
      <c r="I762" s="17"/>
      <c r="J762" s="17"/>
    </row>
    <row r="763" spans="1:10" ht="171.75" customHeight="1">
      <c r="A763" s="6" t="s">
        <v>5291</v>
      </c>
      <c r="B763" s="6" t="s">
        <v>9993</v>
      </c>
      <c r="C763" s="6" t="s">
        <v>5292</v>
      </c>
      <c r="D763" s="6" t="s">
        <v>5295</v>
      </c>
      <c r="E763" s="17" t="s">
        <v>5296</v>
      </c>
      <c r="F763" s="17"/>
      <c r="G763" s="17" t="e">
        <f t="shared" ca="1" si="0"/>
        <v>#NAME?</v>
      </c>
      <c r="H763" s="6"/>
      <c r="I763" s="17"/>
      <c r="J763" s="10"/>
    </row>
    <row r="764" spans="1:10" ht="171.75" customHeight="1">
      <c r="A764" s="43" t="s">
        <v>5298</v>
      </c>
      <c r="B764" s="6" t="s">
        <v>9994</v>
      </c>
      <c r="C764" s="6" t="s">
        <v>5299</v>
      </c>
      <c r="D764" s="6" t="s">
        <v>5302</v>
      </c>
      <c r="E764" s="10" t="s">
        <v>5303</v>
      </c>
      <c r="F764" s="17"/>
      <c r="G764" s="17" t="e">
        <f t="shared" ca="1" si="0"/>
        <v>#NAME?</v>
      </c>
      <c r="H764" s="6"/>
      <c r="I764" s="17"/>
      <c r="J764" s="17"/>
    </row>
    <row r="765" spans="1:10" ht="171.75" customHeight="1">
      <c r="A765" s="6" t="s">
        <v>1306</v>
      </c>
      <c r="B765" s="6" t="s">
        <v>9794</v>
      </c>
      <c r="C765" s="6" t="s">
        <v>5305</v>
      </c>
      <c r="D765" s="6" t="s">
        <v>5308</v>
      </c>
      <c r="E765" s="17" t="s">
        <v>5309</v>
      </c>
      <c r="F765" s="17"/>
      <c r="G765" s="17" t="e">
        <f t="shared" ca="1" si="0"/>
        <v>#NAME?</v>
      </c>
      <c r="H765" s="6"/>
      <c r="I765" s="17"/>
      <c r="J765" s="17"/>
    </row>
    <row r="766" spans="1:10" ht="171.75" customHeight="1">
      <c r="A766" s="6" t="s">
        <v>1306</v>
      </c>
      <c r="B766" s="6" t="s">
        <v>9794</v>
      </c>
      <c r="C766" s="6" t="s">
        <v>5312</v>
      </c>
      <c r="D766" s="6" t="s">
        <v>5315</v>
      </c>
      <c r="E766" s="17" t="s">
        <v>5316</v>
      </c>
      <c r="F766" s="17"/>
      <c r="G766" s="17" t="e">
        <f t="shared" ca="1" si="0"/>
        <v>#NAME?</v>
      </c>
      <c r="H766" s="6"/>
      <c r="I766" s="17"/>
      <c r="J766" s="17"/>
    </row>
    <row r="767" spans="1:10" ht="171.75" customHeight="1">
      <c r="A767" s="43" t="s">
        <v>5318</v>
      </c>
      <c r="B767" s="6" t="s">
        <v>9995</v>
      </c>
      <c r="C767" s="6" t="s">
        <v>5319</v>
      </c>
      <c r="D767" s="6" t="s">
        <v>5322</v>
      </c>
      <c r="E767" s="17" t="s">
        <v>5323</v>
      </c>
      <c r="F767" s="17"/>
      <c r="G767" s="17" t="e">
        <f t="shared" ca="1" si="0"/>
        <v>#NAME?</v>
      </c>
      <c r="H767" s="6"/>
      <c r="I767" s="17"/>
      <c r="J767" s="17"/>
    </row>
    <row r="768" spans="1:10" ht="171.75" customHeight="1">
      <c r="A768" s="43" t="s">
        <v>249</v>
      </c>
      <c r="B768" s="6" t="s">
        <v>9779</v>
      </c>
      <c r="C768" s="6" t="s">
        <v>5325</v>
      </c>
      <c r="D768" s="43" t="s">
        <v>5328</v>
      </c>
      <c r="E768" s="17" t="s">
        <v>5330</v>
      </c>
      <c r="F768" s="17"/>
      <c r="G768" s="17" t="e">
        <f t="shared" ca="1" si="0"/>
        <v>#NAME?</v>
      </c>
      <c r="H768" s="32"/>
      <c r="I768" s="17"/>
      <c r="J768" s="17"/>
    </row>
    <row r="769" spans="1:10" ht="171.75" customHeight="1">
      <c r="A769" s="43" t="s">
        <v>5332</v>
      </c>
      <c r="B769" s="6" t="s">
        <v>9996</v>
      </c>
      <c r="C769" s="6" t="s">
        <v>5333</v>
      </c>
      <c r="D769" s="6" t="s">
        <v>141</v>
      </c>
      <c r="E769" s="17" t="s">
        <v>5335</v>
      </c>
      <c r="F769" s="17"/>
      <c r="G769" s="17" t="e">
        <f t="shared" ca="1" si="0"/>
        <v>#NAME?</v>
      </c>
      <c r="H769" s="32"/>
      <c r="I769" s="32"/>
      <c r="J769" s="32"/>
    </row>
    <row r="770" spans="1:10" ht="171.75" customHeight="1">
      <c r="A770" s="6" t="s">
        <v>5337</v>
      </c>
      <c r="B770" s="6" t="s">
        <v>9997</v>
      </c>
      <c r="C770" s="6" t="s">
        <v>5338</v>
      </c>
      <c r="D770" s="6" t="s">
        <v>141</v>
      </c>
      <c r="E770" s="10" t="s">
        <v>9687</v>
      </c>
      <c r="F770" s="17"/>
      <c r="G770" s="17" t="e">
        <f t="shared" ca="1" si="0"/>
        <v>#NAME?</v>
      </c>
      <c r="H770" s="6"/>
      <c r="I770" s="17"/>
      <c r="J770" s="17"/>
    </row>
    <row r="771" spans="1:10" ht="171.75" customHeight="1">
      <c r="A771" s="43" t="s">
        <v>5340</v>
      </c>
      <c r="B771" s="6" t="s">
        <v>9998</v>
      </c>
      <c r="C771" s="6" t="s">
        <v>5341</v>
      </c>
      <c r="D771" s="6" t="s">
        <v>5344</v>
      </c>
      <c r="E771" s="10" t="s">
        <v>9687</v>
      </c>
      <c r="F771" s="17"/>
      <c r="G771" s="17" t="e">
        <f t="shared" ca="1" si="0"/>
        <v>#NAME?</v>
      </c>
      <c r="H771" s="6"/>
      <c r="I771" s="17"/>
      <c r="J771" s="17"/>
    </row>
    <row r="772" spans="1:10" ht="171.75" customHeight="1">
      <c r="A772" s="6" t="s">
        <v>4638</v>
      </c>
      <c r="B772" s="6" t="s">
        <v>9955</v>
      </c>
      <c r="C772" s="6" t="s">
        <v>5346</v>
      </c>
      <c r="D772" s="6" t="s">
        <v>5349</v>
      </c>
      <c r="E772" s="17" t="s">
        <v>5350</v>
      </c>
      <c r="F772" s="17"/>
      <c r="G772" s="17" t="e">
        <f t="shared" ca="1" si="0"/>
        <v>#NAME?</v>
      </c>
      <c r="H772" s="6"/>
      <c r="I772" s="17"/>
      <c r="J772" s="17"/>
    </row>
    <row r="773" spans="1:10" ht="171.75" customHeight="1">
      <c r="A773" s="43" t="s">
        <v>285</v>
      </c>
      <c r="B773" s="6" t="s">
        <v>9710</v>
      </c>
      <c r="C773" s="6" t="s">
        <v>5352</v>
      </c>
      <c r="D773" s="6" t="s">
        <v>5355</v>
      </c>
      <c r="E773" s="17" t="s">
        <v>5357</v>
      </c>
      <c r="F773" s="17"/>
      <c r="G773" s="17" t="e">
        <f t="shared" ca="1" si="0"/>
        <v>#NAME?</v>
      </c>
      <c r="H773" s="6"/>
      <c r="I773" s="6"/>
      <c r="J773" s="10"/>
    </row>
    <row r="774" spans="1:10" ht="171.75" customHeight="1">
      <c r="A774" s="6" t="s">
        <v>199</v>
      </c>
      <c r="B774" s="6" t="s">
        <v>9708</v>
      </c>
      <c r="C774" s="6" t="s">
        <v>5359</v>
      </c>
      <c r="D774" s="6" t="s">
        <v>5361</v>
      </c>
      <c r="E774" s="10" t="s">
        <v>9687</v>
      </c>
      <c r="F774" s="17"/>
      <c r="G774" s="17" t="e">
        <f t="shared" ca="1" si="0"/>
        <v>#NAME?</v>
      </c>
      <c r="H774" s="6"/>
      <c r="I774" s="6"/>
      <c r="J774" s="32"/>
    </row>
    <row r="775" spans="1:10" ht="171.75" customHeight="1">
      <c r="A775" s="6" t="s">
        <v>4113</v>
      </c>
      <c r="B775" s="6" t="s">
        <v>9901</v>
      </c>
      <c r="C775" s="6" t="s">
        <v>5363</v>
      </c>
      <c r="D775" s="6" t="s">
        <v>5365</v>
      </c>
      <c r="E775" s="10" t="s">
        <v>9687</v>
      </c>
      <c r="F775" s="17"/>
      <c r="G775" s="17" t="e">
        <f t="shared" ca="1" si="0"/>
        <v>#NAME?</v>
      </c>
      <c r="H775" s="6"/>
      <c r="I775" s="17"/>
      <c r="J775" s="17"/>
    </row>
    <row r="776" spans="1:10" ht="171.75" customHeight="1">
      <c r="A776" s="6" t="s">
        <v>5368</v>
      </c>
      <c r="B776" s="6" t="s">
        <v>9999</v>
      </c>
      <c r="C776" s="6" t="s">
        <v>5369</v>
      </c>
      <c r="D776" s="6" t="s">
        <v>5372</v>
      </c>
      <c r="E776" s="17" t="s">
        <v>5373</v>
      </c>
      <c r="F776" s="17"/>
      <c r="G776" s="17" t="e">
        <f t="shared" ca="1" si="0"/>
        <v>#NAME?</v>
      </c>
      <c r="H776" s="6"/>
      <c r="I776" s="17"/>
      <c r="J776" s="10"/>
    </row>
    <row r="777" spans="1:10" ht="171.75" customHeight="1">
      <c r="A777" s="43" t="s">
        <v>885</v>
      </c>
      <c r="B777" s="6" t="s">
        <v>9771</v>
      </c>
      <c r="C777" s="6" t="s">
        <v>5376</v>
      </c>
      <c r="D777" s="43" t="s">
        <v>5379</v>
      </c>
      <c r="E777" s="10" t="s">
        <v>5381</v>
      </c>
      <c r="F777" s="17"/>
      <c r="G777" s="17" t="e">
        <f t="shared" ca="1" si="0"/>
        <v>#NAME?</v>
      </c>
      <c r="H777" s="6"/>
      <c r="I777" s="17"/>
      <c r="J777" s="17"/>
    </row>
    <row r="778" spans="1:10" ht="171.75" customHeight="1">
      <c r="A778" s="6" t="s">
        <v>5383</v>
      </c>
      <c r="B778" s="6" t="s">
        <v>10000</v>
      </c>
      <c r="C778" s="6" t="s">
        <v>5384</v>
      </c>
      <c r="D778" s="6" t="s">
        <v>5387</v>
      </c>
      <c r="E778" s="17" t="s">
        <v>5388</v>
      </c>
      <c r="F778" s="17"/>
      <c r="G778" s="17" t="e">
        <f t="shared" ca="1" si="0"/>
        <v>#NAME?</v>
      </c>
      <c r="H778" s="6"/>
      <c r="I778" s="17"/>
      <c r="J778" s="17"/>
    </row>
    <row r="779" spans="1:10" ht="171.75" customHeight="1">
      <c r="A779" s="6" t="s">
        <v>5368</v>
      </c>
      <c r="B779" s="6" t="s">
        <v>9999</v>
      </c>
      <c r="C779" s="6" t="s">
        <v>5390</v>
      </c>
      <c r="D779" s="6" t="s">
        <v>5393</v>
      </c>
      <c r="E779" s="17" t="s">
        <v>5394</v>
      </c>
      <c r="F779" s="17"/>
      <c r="G779" s="17" t="e">
        <f t="shared" ca="1" si="0"/>
        <v>#NAME?</v>
      </c>
      <c r="H779" s="6"/>
      <c r="I779" s="17"/>
      <c r="J779" s="17"/>
    </row>
    <row r="780" spans="1:10" ht="171.75" customHeight="1">
      <c r="A780" s="43" t="s">
        <v>5396</v>
      </c>
      <c r="B780" s="6" t="s">
        <v>10001</v>
      </c>
      <c r="C780" s="6" t="s">
        <v>5397</v>
      </c>
      <c r="D780" s="6" t="s">
        <v>5400</v>
      </c>
      <c r="E780" s="17" t="s">
        <v>5401</v>
      </c>
      <c r="F780" s="17"/>
      <c r="G780" s="17" t="e">
        <f t="shared" ca="1" si="0"/>
        <v>#NAME?</v>
      </c>
      <c r="H780" s="6"/>
      <c r="I780" s="17"/>
      <c r="J780" s="17"/>
    </row>
    <row r="781" spans="1:10" ht="171.75" customHeight="1">
      <c r="A781" s="43" t="s">
        <v>278</v>
      </c>
      <c r="B781" s="6" t="s">
        <v>9709</v>
      </c>
      <c r="C781" s="6" t="s">
        <v>5403</v>
      </c>
      <c r="D781" s="6" t="s">
        <v>5406</v>
      </c>
      <c r="E781" s="17" t="s">
        <v>5407</v>
      </c>
      <c r="F781" s="17"/>
      <c r="G781" s="17" t="e">
        <f t="shared" ca="1" si="0"/>
        <v>#NAME?</v>
      </c>
      <c r="H781" s="6"/>
      <c r="I781" s="17"/>
      <c r="J781" s="10"/>
    </row>
    <row r="782" spans="1:10" ht="171.75" customHeight="1">
      <c r="A782" s="6" t="s">
        <v>199</v>
      </c>
      <c r="B782" s="6" t="s">
        <v>9708</v>
      </c>
      <c r="C782" s="6" t="s">
        <v>5409</v>
      </c>
      <c r="D782" s="43" t="s">
        <v>5412</v>
      </c>
      <c r="E782" s="10" t="s">
        <v>5415</v>
      </c>
      <c r="F782" s="17"/>
      <c r="G782" s="17" t="e">
        <f t="shared" ca="1" si="0"/>
        <v>#NAME?</v>
      </c>
      <c r="H782" s="6"/>
      <c r="I782" s="17"/>
      <c r="J782" s="17"/>
    </row>
    <row r="783" spans="1:10" ht="171.75" customHeight="1">
      <c r="A783" s="43" t="s">
        <v>249</v>
      </c>
      <c r="B783" s="6" t="s">
        <v>9779</v>
      </c>
      <c r="C783" s="6" t="s">
        <v>5417</v>
      </c>
      <c r="D783" s="6" t="s">
        <v>5420</v>
      </c>
      <c r="E783" s="17" t="s">
        <v>5422</v>
      </c>
      <c r="F783" s="17"/>
      <c r="G783" s="17" t="e">
        <f t="shared" ca="1" si="0"/>
        <v>#NAME?</v>
      </c>
      <c r="H783" s="6"/>
      <c r="I783" s="17"/>
      <c r="J783" s="17"/>
    </row>
    <row r="784" spans="1:10" ht="171.75" customHeight="1">
      <c r="A784" s="6" t="s">
        <v>963</v>
      </c>
      <c r="B784" s="6" t="s">
        <v>9778</v>
      </c>
      <c r="C784" s="6" t="s">
        <v>5424</v>
      </c>
      <c r="D784" s="6" t="s">
        <v>5427</v>
      </c>
      <c r="E784" s="17" t="s">
        <v>5429</v>
      </c>
      <c r="F784" s="17"/>
      <c r="G784" s="17" t="e">
        <f t="shared" ca="1" si="0"/>
        <v>#NAME?</v>
      </c>
      <c r="H784" s="6"/>
      <c r="I784" s="6"/>
      <c r="J784" s="10"/>
    </row>
    <row r="785" spans="1:10" ht="171.75" customHeight="1">
      <c r="A785" s="6" t="s">
        <v>878</v>
      </c>
      <c r="B785" s="6" t="s">
        <v>9770</v>
      </c>
      <c r="C785" s="6" t="s">
        <v>5431</v>
      </c>
      <c r="D785" s="6" t="s">
        <v>141</v>
      </c>
      <c r="E785" s="10" t="s">
        <v>5433</v>
      </c>
      <c r="F785" s="17"/>
      <c r="G785" s="17" t="e">
        <f t="shared" ca="1" si="0"/>
        <v>#NAME?</v>
      </c>
      <c r="H785" s="6"/>
      <c r="I785" s="46"/>
      <c r="J785" s="17"/>
    </row>
    <row r="786" spans="1:10" ht="171.75" customHeight="1">
      <c r="A786" s="43" t="s">
        <v>379</v>
      </c>
      <c r="B786" s="6" t="s">
        <v>9720</v>
      </c>
      <c r="C786" s="6" t="s">
        <v>5435</v>
      </c>
      <c r="D786" s="6" t="s">
        <v>5438</v>
      </c>
      <c r="E786" s="17" t="s">
        <v>5439</v>
      </c>
      <c r="F786" s="17"/>
      <c r="G786" s="17" t="e">
        <f t="shared" ca="1" si="0"/>
        <v>#NAME?</v>
      </c>
      <c r="H786" s="6"/>
      <c r="I786" s="17"/>
      <c r="J786" s="17"/>
    </row>
    <row r="787" spans="1:10" ht="171.75" customHeight="1">
      <c r="A787" s="6" t="s">
        <v>192</v>
      </c>
      <c r="B787" s="6" t="s">
        <v>9700</v>
      </c>
      <c r="C787" s="6" t="s">
        <v>5441</v>
      </c>
      <c r="D787" s="6" t="s">
        <v>5444</v>
      </c>
      <c r="E787" s="17" t="s">
        <v>5445</v>
      </c>
      <c r="F787" s="17"/>
      <c r="G787" s="17" t="e">
        <f t="shared" ca="1" si="0"/>
        <v>#NAME?</v>
      </c>
      <c r="H787" s="6"/>
      <c r="I787" s="17"/>
      <c r="J787" s="17"/>
    </row>
    <row r="788" spans="1:10" ht="171.75" customHeight="1">
      <c r="A788" s="6" t="s">
        <v>5447</v>
      </c>
      <c r="B788" s="6" t="s">
        <v>10002</v>
      </c>
      <c r="C788" s="6" t="s">
        <v>5448</v>
      </c>
      <c r="D788" s="6" t="s">
        <v>10003</v>
      </c>
      <c r="E788" s="17" t="s">
        <v>5452</v>
      </c>
      <c r="F788" s="17"/>
      <c r="G788" s="17" t="e">
        <f t="shared" ca="1" si="0"/>
        <v>#NAME?</v>
      </c>
      <c r="H788" s="6"/>
      <c r="I788" s="17"/>
      <c r="J788" s="17"/>
    </row>
    <row r="789" spans="1:10" ht="171.75" customHeight="1">
      <c r="A789" s="6" t="s">
        <v>4937</v>
      </c>
      <c r="B789" s="6" t="s">
        <v>9968</v>
      </c>
      <c r="C789" s="6" t="s">
        <v>5454</v>
      </c>
      <c r="D789" s="6" t="s">
        <v>5457</v>
      </c>
      <c r="E789" s="17" t="s">
        <v>8359</v>
      </c>
      <c r="F789" s="17"/>
      <c r="G789" s="17" t="e">
        <f t="shared" ca="1" si="0"/>
        <v>#NAME?</v>
      </c>
      <c r="H789" s="6"/>
      <c r="I789" s="17"/>
      <c r="J789" s="17"/>
    </row>
    <row r="790" spans="1:10" ht="171.75" customHeight="1">
      <c r="A790" s="6" t="s">
        <v>5460</v>
      </c>
      <c r="B790" s="6" t="s">
        <v>10004</v>
      </c>
      <c r="C790" s="6" t="s">
        <v>5461</v>
      </c>
      <c r="D790" s="6" t="s">
        <v>5464</v>
      </c>
      <c r="E790" s="17" t="s">
        <v>5465</v>
      </c>
      <c r="F790" s="17"/>
      <c r="G790" s="17" t="e">
        <f t="shared" ca="1" si="0"/>
        <v>#NAME?</v>
      </c>
      <c r="H790" s="6"/>
      <c r="I790" s="17"/>
      <c r="J790" s="17"/>
    </row>
    <row r="791" spans="1:10" ht="171.75" customHeight="1">
      <c r="A791" s="6" t="s">
        <v>5460</v>
      </c>
      <c r="B791" s="6" t="s">
        <v>10004</v>
      </c>
      <c r="C791" s="6" t="s">
        <v>5467</v>
      </c>
      <c r="D791" s="6" t="s">
        <v>5470</v>
      </c>
      <c r="E791" s="17" t="s">
        <v>5471</v>
      </c>
      <c r="F791" s="17"/>
      <c r="G791" s="17" t="e">
        <f t="shared" ca="1" si="0"/>
        <v>#NAME?</v>
      </c>
      <c r="H791" s="6"/>
      <c r="I791" s="6"/>
      <c r="J791" s="10"/>
    </row>
    <row r="792" spans="1:10" ht="171.75" customHeight="1">
      <c r="A792" s="6" t="s">
        <v>5473</v>
      </c>
      <c r="B792" s="6" t="s">
        <v>10005</v>
      </c>
      <c r="C792" s="6" t="s">
        <v>5474</v>
      </c>
      <c r="D792" s="6" t="s">
        <v>141</v>
      </c>
      <c r="E792" s="10" t="s">
        <v>9687</v>
      </c>
      <c r="F792" s="17"/>
      <c r="G792" s="17" t="e">
        <f t="shared" ca="1" si="0"/>
        <v>#NAME?</v>
      </c>
      <c r="H792" s="6"/>
      <c r="I792" s="17"/>
      <c r="J792" s="17"/>
    </row>
    <row r="793" spans="1:10" ht="171.75" customHeight="1">
      <c r="A793" s="43" t="s">
        <v>5480</v>
      </c>
      <c r="B793" s="6" t="s">
        <v>10006</v>
      </c>
      <c r="C793" s="6" t="s">
        <v>5481</v>
      </c>
      <c r="D793" s="6" t="s">
        <v>5484</v>
      </c>
      <c r="E793" s="17" t="s">
        <v>5485</v>
      </c>
      <c r="F793" s="17"/>
      <c r="G793" s="17" t="e">
        <f t="shared" ca="1" si="0"/>
        <v>#NAME?</v>
      </c>
      <c r="H793" s="6"/>
      <c r="I793" s="17"/>
      <c r="J793" s="17"/>
    </row>
    <row r="794" spans="1:10" ht="171.75" customHeight="1">
      <c r="A794" s="6" t="s">
        <v>1306</v>
      </c>
      <c r="B794" s="6" t="s">
        <v>9794</v>
      </c>
      <c r="C794" s="6" t="s">
        <v>5487</v>
      </c>
      <c r="D794" s="6" t="s">
        <v>5490</v>
      </c>
      <c r="E794" s="17" t="s">
        <v>5491</v>
      </c>
      <c r="F794" s="17"/>
      <c r="G794" s="17" t="e">
        <f t="shared" ca="1" si="0"/>
        <v>#NAME?</v>
      </c>
      <c r="H794" s="6"/>
      <c r="I794" s="17"/>
      <c r="J794" s="17"/>
    </row>
    <row r="795" spans="1:10" ht="171.75" customHeight="1">
      <c r="A795" s="6" t="s">
        <v>1306</v>
      </c>
      <c r="B795" s="6" t="s">
        <v>9794</v>
      </c>
      <c r="C795" s="6" t="s">
        <v>5493</v>
      </c>
      <c r="D795" s="6" t="s">
        <v>5496</v>
      </c>
      <c r="E795" s="17" t="s">
        <v>5497</v>
      </c>
      <c r="F795" s="17"/>
      <c r="G795" s="17" t="e">
        <f t="shared" ca="1" si="0"/>
        <v>#NAME?</v>
      </c>
      <c r="H795" s="6"/>
      <c r="I795" s="17"/>
      <c r="J795" s="17"/>
    </row>
    <row r="796" spans="1:10" ht="171.75" customHeight="1">
      <c r="A796" s="6" t="s">
        <v>5499</v>
      </c>
      <c r="B796" s="6" t="s">
        <v>10007</v>
      </c>
      <c r="C796" s="6" t="s">
        <v>5500</v>
      </c>
      <c r="D796" s="6" t="s">
        <v>5503</v>
      </c>
      <c r="E796" s="17" t="s">
        <v>5504</v>
      </c>
      <c r="F796" s="17"/>
      <c r="G796" s="17" t="e">
        <f t="shared" ca="1" si="0"/>
        <v>#NAME?</v>
      </c>
      <c r="H796" s="6"/>
      <c r="I796" s="17"/>
      <c r="J796" s="17"/>
    </row>
    <row r="797" spans="1:10" ht="171.75" customHeight="1">
      <c r="A797" s="43" t="s">
        <v>5506</v>
      </c>
      <c r="B797" s="6" t="s">
        <v>10008</v>
      </c>
      <c r="C797" s="6" t="s">
        <v>5507</v>
      </c>
      <c r="D797" s="6" t="s">
        <v>5510</v>
      </c>
      <c r="E797" s="17" t="s">
        <v>5511</v>
      </c>
      <c r="F797" s="17"/>
      <c r="G797" s="17" t="e">
        <f t="shared" ca="1" si="0"/>
        <v>#NAME?</v>
      </c>
      <c r="H797" s="6"/>
      <c r="I797" s="17"/>
      <c r="J797" s="17"/>
    </row>
    <row r="798" spans="1:10" ht="171.75" customHeight="1">
      <c r="A798" s="43" t="s">
        <v>29</v>
      </c>
      <c r="B798" s="6" t="s">
        <v>29</v>
      </c>
      <c r="C798" s="6" t="s">
        <v>5513</v>
      </c>
      <c r="D798" s="6" t="s">
        <v>5516</v>
      </c>
      <c r="E798" s="17" t="s">
        <v>5518</v>
      </c>
      <c r="F798" s="17"/>
      <c r="G798" s="17" t="e">
        <f t="shared" ca="1" si="0"/>
        <v>#NAME?</v>
      </c>
      <c r="H798" s="6"/>
      <c r="I798" s="17"/>
      <c r="J798" s="17"/>
    </row>
    <row r="799" spans="1:10" ht="171.75" customHeight="1">
      <c r="A799" s="43" t="s">
        <v>5520</v>
      </c>
      <c r="B799" s="6" t="s">
        <v>10009</v>
      </c>
      <c r="C799" s="6" t="s">
        <v>5521</v>
      </c>
      <c r="D799" s="6" t="s">
        <v>5524</v>
      </c>
      <c r="E799" s="17" t="s">
        <v>5525</v>
      </c>
      <c r="F799" s="17"/>
      <c r="G799" s="17" t="e">
        <f t="shared" ca="1" si="0"/>
        <v>#NAME?</v>
      </c>
      <c r="H799" s="6"/>
      <c r="I799" s="17"/>
      <c r="J799" s="17"/>
    </row>
    <row r="800" spans="1:10" ht="171.75" customHeight="1">
      <c r="A800" s="43" t="s">
        <v>5527</v>
      </c>
      <c r="B800" s="6" t="s">
        <v>10010</v>
      </c>
      <c r="C800" s="6" t="s">
        <v>5528</v>
      </c>
      <c r="D800" s="6" t="s">
        <v>5531</v>
      </c>
      <c r="E800" s="17" t="s">
        <v>5532</v>
      </c>
      <c r="F800" s="17"/>
      <c r="G800" s="17" t="e">
        <f t="shared" ca="1" si="0"/>
        <v>#NAME?</v>
      </c>
      <c r="H800" s="6"/>
      <c r="I800" s="6"/>
      <c r="J800" s="10"/>
    </row>
    <row r="801" spans="1:10" ht="171.75" customHeight="1">
      <c r="A801" s="43" t="s">
        <v>5232</v>
      </c>
      <c r="B801" s="6" t="s">
        <v>9988</v>
      </c>
      <c r="C801" s="6" t="s">
        <v>5534</v>
      </c>
      <c r="D801" s="43" t="s">
        <v>5537</v>
      </c>
      <c r="E801" s="10" t="s">
        <v>5540</v>
      </c>
      <c r="F801" s="17"/>
      <c r="G801" s="17" t="e">
        <f t="shared" ca="1" si="0"/>
        <v>#NAME?</v>
      </c>
      <c r="H801" s="6"/>
      <c r="I801" s="17"/>
      <c r="J801" s="17"/>
    </row>
    <row r="802" spans="1:10" ht="171.75" customHeight="1">
      <c r="A802" s="43" t="s">
        <v>285</v>
      </c>
      <c r="B802" s="6" t="s">
        <v>9710</v>
      </c>
      <c r="C802" s="6" t="s">
        <v>5542</v>
      </c>
      <c r="D802" s="6" t="s">
        <v>5545</v>
      </c>
      <c r="E802" s="17" t="s">
        <v>5547</v>
      </c>
      <c r="F802" s="17"/>
      <c r="G802" s="17" t="e">
        <f t="shared" ca="1" si="0"/>
        <v>#NAME?</v>
      </c>
      <c r="H802" s="6"/>
      <c r="I802" s="17"/>
      <c r="J802" s="17"/>
    </row>
    <row r="803" spans="1:10" ht="171.75" customHeight="1">
      <c r="A803" s="43" t="s">
        <v>249</v>
      </c>
      <c r="B803" s="6" t="s">
        <v>9779</v>
      </c>
      <c r="C803" s="6" t="s">
        <v>5549</v>
      </c>
      <c r="D803" s="6" t="s">
        <v>5552</v>
      </c>
      <c r="E803" s="17" t="s">
        <v>5554</v>
      </c>
      <c r="F803" s="17"/>
      <c r="G803" s="17" t="e">
        <f t="shared" ca="1" si="0"/>
        <v>#NAME?</v>
      </c>
      <c r="H803" s="6"/>
      <c r="I803" s="6"/>
      <c r="J803" s="10"/>
    </row>
    <row r="804" spans="1:10" ht="171.75" customHeight="1">
      <c r="A804" s="6" t="s">
        <v>199</v>
      </c>
      <c r="B804" s="6" t="s">
        <v>9708</v>
      </c>
      <c r="C804" s="6" t="s">
        <v>5556</v>
      </c>
      <c r="D804" s="6" t="s">
        <v>5558</v>
      </c>
      <c r="E804" s="10" t="s">
        <v>9687</v>
      </c>
      <c r="F804" s="17"/>
      <c r="G804" s="17" t="e">
        <f t="shared" ca="1" si="0"/>
        <v>#NAME?</v>
      </c>
      <c r="H804" s="6"/>
      <c r="I804" s="6"/>
      <c r="J804" s="10"/>
    </row>
    <row r="805" spans="1:10" ht="171.75" customHeight="1">
      <c r="A805" s="6" t="s">
        <v>4113</v>
      </c>
      <c r="B805" s="6" t="s">
        <v>9901</v>
      </c>
      <c r="C805" s="6" t="s">
        <v>5561</v>
      </c>
      <c r="D805" s="6" t="s">
        <v>5563</v>
      </c>
      <c r="E805" s="10" t="s">
        <v>9687</v>
      </c>
      <c r="F805" s="17"/>
      <c r="G805" s="17" t="e">
        <f t="shared" ca="1" si="0"/>
        <v>#NAME?</v>
      </c>
      <c r="H805" s="6"/>
      <c r="I805" s="17"/>
      <c r="J805" s="17"/>
    </row>
    <row r="806" spans="1:10" ht="171.75" customHeight="1">
      <c r="A806" s="43" t="s">
        <v>5318</v>
      </c>
      <c r="B806" s="6" t="s">
        <v>9995</v>
      </c>
      <c r="C806" s="6" t="s">
        <v>5567</v>
      </c>
      <c r="D806" s="6" t="s">
        <v>5570</v>
      </c>
      <c r="E806" s="17" t="s">
        <v>5565</v>
      </c>
      <c r="F806" s="17"/>
      <c r="G806" s="17" t="e">
        <f t="shared" ca="1" si="0"/>
        <v>#NAME?</v>
      </c>
      <c r="H806" s="49"/>
      <c r="I806" s="46"/>
      <c r="J806" s="32"/>
    </row>
    <row r="807" spans="1:10" ht="171.75" customHeight="1">
      <c r="A807" s="43" t="s">
        <v>1275</v>
      </c>
      <c r="B807" s="6" t="s">
        <v>10011</v>
      </c>
      <c r="C807" s="6" t="s">
        <v>5572</v>
      </c>
      <c r="D807" s="43" t="s">
        <v>141</v>
      </c>
      <c r="E807" s="32" t="s">
        <v>5577</v>
      </c>
      <c r="F807" s="17"/>
      <c r="G807" s="17" t="e">
        <f t="shared" ca="1" si="0"/>
        <v>#NAME?</v>
      </c>
      <c r="H807" s="6"/>
      <c r="I807" s="17"/>
      <c r="J807" s="17"/>
    </row>
    <row r="808" spans="1:10" ht="171.75" customHeight="1">
      <c r="A808" s="6" t="s">
        <v>4982</v>
      </c>
      <c r="B808" s="6" t="s">
        <v>9972</v>
      </c>
      <c r="C808" s="6" t="s">
        <v>5579</v>
      </c>
      <c r="D808" s="6" t="s">
        <v>5582</v>
      </c>
      <c r="E808" s="17" t="s">
        <v>5583</v>
      </c>
      <c r="F808" s="17"/>
      <c r="G808" s="17" t="e">
        <f t="shared" ca="1" si="0"/>
        <v>#NAME?</v>
      </c>
      <c r="H808" s="6"/>
      <c r="I808" s="17"/>
      <c r="J808" s="17"/>
    </row>
    <row r="809" spans="1:10" ht="171.75" customHeight="1">
      <c r="A809" s="6" t="s">
        <v>10012</v>
      </c>
      <c r="B809" s="6" t="s">
        <v>10013</v>
      </c>
      <c r="C809" s="6" t="s">
        <v>5587</v>
      </c>
      <c r="D809" s="6" t="s">
        <v>5590</v>
      </c>
      <c r="E809" s="17" t="s">
        <v>5591</v>
      </c>
      <c r="F809" s="17"/>
      <c r="G809" s="17" t="e">
        <f t="shared" ca="1" si="0"/>
        <v>#NAME?</v>
      </c>
      <c r="H809" s="6"/>
      <c r="I809" s="17"/>
      <c r="J809" s="17"/>
    </row>
    <row r="810" spans="1:10" ht="171.75" customHeight="1">
      <c r="A810" s="43" t="s">
        <v>387</v>
      </c>
      <c r="B810" s="6" t="s">
        <v>387</v>
      </c>
      <c r="C810" s="6" t="s">
        <v>5593</v>
      </c>
      <c r="D810" s="43" t="s">
        <v>5596</v>
      </c>
      <c r="E810" s="17" t="s">
        <v>5599</v>
      </c>
      <c r="F810" s="17"/>
      <c r="G810" s="17" t="e">
        <f t="shared" ca="1" si="0"/>
        <v>#NAME?</v>
      </c>
      <c r="H810" s="6"/>
      <c r="I810" s="6"/>
      <c r="J810" s="10"/>
    </row>
    <row r="811" spans="1:10" ht="171.75" customHeight="1">
      <c r="A811" s="43" t="s">
        <v>851</v>
      </c>
      <c r="B811" s="6" t="s">
        <v>9767</v>
      </c>
      <c r="C811" s="6" t="s">
        <v>5601</v>
      </c>
      <c r="D811" s="6" t="s">
        <v>5604</v>
      </c>
      <c r="E811" s="10" t="s">
        <v>5606</v>
      </c>
      <c r="F811" s="17"/>
      <c r="G811" s="17" t="e">
        <f t="shared" ca="1" si="0"/>
        <v>#NAME?</v>
      </c>
      <c r="H811" s="6"/>
      <c r="I811" s="17"/>
      <c r="J811" s="17"/>
    </row>
    <row r="812" spans="1:10" ht="171.75" customHeight="1">
      <c r="A812" s="6" t="s">
        <v>5608</v>
      </c>
      <c r="B812" s="6" t="s">
        <v>10014</v>
      </c>
      <c r="C812" s="6" t="s">
        <v>5609</v>
      </c>
      <c r="D812" s="6" t="s">
        <v>5612</v>
      </c>
      <c r="E812" s="17" t="s">
        <v>5613</v>
      </c>
      <c r="F812" s="17"/>
      <c r="G812" s="17" t="e">
        <f t="shared" ca="1" si="0"/>
        <v>#NAME?</v>
      </c>
      <c r="H812" s="6"/>
      <c r="I812" s="17"/>
      <c r="J812" s="17"/>
    </row>
    <row r="813" spans="1:10" ht="171.75" customHeight="1">
      <c r="A813" s="6" t="s">
        <v>10015</v>
      </c>
      <c r="B813" s="6" t="s">
        <v>10016</v>
      </c>
      <c r="C813" s="6" t="s">
        <v>5616</v>
      </c>
      <c r="D813" s="6" t="s">
        <v>5619</v>
      </c>
      <c r="E813" s="17" t="s">
        <v>5620</v>
      </c>
      <c r="F813" s="17"/>
      <c r="G813" s="17" t="e">
        <f t="shared" ca="1" si="0"/>
        <v>#NAME?</v>
      </c>
      <c r="H813" s="6"/>
      <c r="I813" s="17"/>
      <c r="J813" s="17"/>
    </row>
    <row r="814" spans="1:10" ht="171.75" customHeight="1">
      <c r="A814" s="6" t="s">
        <v>1306</v>
      </c>
      <c r="B814" s="6" t="s">
        <v>9794</v>
      </c>
      <c r="C814" s="6" t="s">
        <v>5622</v>
      </c>
      <c r="D814" s="6" t="s">
        <v>5625</v>
      </c>
      <c r="E814" s="17" t="s">
        <v>5626</v>
      </c>
      <c r="F814" s="17"/>
      <c r="G814" s="17" t="e">
        <f t="shared" ca="1" si="0"/>
        <v>#NAME?</v>
      </c>
      <c r="H814" s="6"/>
      <c r="I814" s="17"/>
      <c r="J814" s="17"/>
    </row>
    <row r="815" spans="1:10" ht="171.75" customHeight="1">
      <c r="A815" s="6" t="s">
        <v>1306</v>
      </c>
      <c r="B815" s="6" t="s">
        <v>9794</v>
      </c>
      <c r="C815" s="6" t="s">
        <v>5628</v>
      </c>
      <c r="D815" s="6" t="s">
        <v>5631</v>
      </c>
      <c r="E815" s="17" t="s">
        <v>5632</v>
      </c>
      <c r="F815" s="17"/>
      <c r="G815" s="17" t="e">
        <f t="shared" ca="1" si="0"/>
        <v>#NAME?</v>
      </c>
      <c r="H815" s="6"/>
      <c r="I815" s="17"/>
      <c r="J815" s="17"/>
    </row>
    <row r="816" spans="1:10" ht="171.75" customHeight="1">
      <c r="A816" s="6" t="s">
        <v>1306</v>
      </c>
      <c r="B816" s="6" t="s">
        <v>9794</v>
      </c>
      <c r="C816" s="6" t="s">
        <v>5634</v>
      </c>
      <c r="D816" s="43" t="s">
        <v>5637</v>
      </c>
      <c r="E816" s="17" t="s">
        <v>5638</v>
      </c>
      <c r="F816" s="17"/>
      <c r="G816" s="17" t="e">
        <f t="shared" ca="1" si="0"/>
        <v>#NAME?</v>
      </c>
      <c r="H816" s="6"/>
      <c r="I816" s="17"/>
      <c r="J816" s="17"/>
    </row>
    <row r="817" spans="1:10" ht="171.75" customHeight="1">
      <c r="A817" s="6" t="s">
        <v>2677</v>
      </c>
      <c r="B817" s="6" t="s">
        <v>9748</v>
      </c>
      <c r="C817" s="6" t="s">
        <v>5640</v>
      </c>
      <c r="D817" s="6" t="s">
        <v>5643</v>
      </c>
      <c r="E817" s="17" t="s">
        <v>5644</v>
      </c>
      <c r="F817" s="17"/>
      <c r="G817" s="17" t="e">
        <f t="shared" ca="1" si="0"/>
        <v>#NAME?</v>
      </c>
      <c r="H817" s="6"/>
      <c r="I817" s="6"/>
      <c r="J817" s="10"/>
    </row>
    <row r="818" spans="1:10" ht="171.75" customHeight="1">
      <c r="A818" s="6" t="s">
        <v>5232</v>
      </c>
      <c r="B818" s="6" t="s">
        <v>9988</v>
      </c>
      <c r="C818" s="6" t="s">
        <v>5646</v>
      </c>
      <c r="D818" s="6" t="s">
        <v>5649</v>
      </c>
      <c r="E818" s="10" t="s">
        <v>5650</v>
      </c>
      <c r="F818" s="17"/>
      <c r="G818" s="17" t="e">
        <f t="shared" ca="1" si="0"/>
        <v>#NAME?</v>
      </c>
      <c r="H818" s="6"/>
      <c r="I818" s="17"/>
      <c r="J818" s="17"/>
    </row>
    <row r="819" spans="1:10" ht="171.75" customHeight="1">
      <c r="A819" s="6" t="s">
        <v>5652</v>
      </c>
      <c r="B819" s="6" t="s">
        <v>10017</v>
      </c>
      <c r="C819" s="6" t="s">
        <v>5653</v>
      </c>
      <c r="D819" s="6" t="s">
        <v>5656</v>
      </c>
      <c r="E819" s="17" t="s">
        <v>5657</v>
      </c>
      <c r="F819" s="17"/>
      <c r="G819" s="17" t="e">
        <f t="shared" ca="1" si="0"/>
        <v>#NAME?</v>
      </c>
      <c r="H819" s="6"/>
      <c r="I819" s="17"/>
      <c r="J819" s="17"/>
    </row>
    <row r="820" spans="1:10" ht="171.75" customHeight="1">
      <c r="A820" s="43" t="s">
        <v>285</v>
      </c>
      <c r="B820" s="6" t="s">
        <v>9710</v>
      </c>
      <c r="C820" s="6" t="s">
        <v>5659</v>
      </c>
      <c r="D820" s="6" t="s">
        <v>5662</v>
      </c>
      <c r="E820" s="17" t="s">
        <v>5664</v>
      </c>
      <c r="F820" s="17"/>
      <c r="G820" s="17" t="e">
        <f t="shared" ca="1" si="0"/>
        <v>#NAME?</v>
      </c>
      <c r="H820" s="6"/>
      <c r="I820" s="17"/>
      <c r="J820" s="17"/>
    </row>
    <row r="821" spans="1:10" ht="171.75" customHeight="1">
      <c r="A821" s="43" t="s">
        <v>248</v>
      </c>
      <c r="B821" s="6" t="s">
        <v>9712</v>
      </c>
      <c r="C821" s="6" t="s">
        <v>5666</v>
      </c>
      <c r="D821" s="6" t="s">
        <v>5669</v>
      </c>
      <c r="E821" s="17" t="s">
        <v>5671</v>
      </c>
      <c r="F821" s="17"/>
      <c r="G821" s="17" t="e">
        <f t="shared" ca="1" si="0"/>
        <v>#NAME?</v>
      </c>
      <c r="H821" s="6"/>
      <c r="I821" s="6"/>
      <c r="J821" s="10"/>
    </row>
    <row r="822" spans="1:10" ht="171.75" customHeight="1">
      <c r="A822" s="6" t="s">
        <v>199</v>
      </c>
      <c r="B822" s="6" t="s">
        <v>9708</v>
      </c>
      <c r="C822" s="6" t="s">
        <v>5673</v>
      </c>
      <c r="D822" s="6" t="s">
        <v>5675</v>
      </c>
      <c r="E822" s="10" t="s">
        <v>9687</v>
      </c>
      <c r="F822" s="17"/>
      <c r="G822" s="17" t="e">
        <f t="shared" ca="1" si="0"/>
        <v>#NAME?</v>
      </c>
      <c r="H822" s="6"/>
      <c r="I822" s="17"/>
      <c r="J822" s="17"/>
    </row>
    <row r="823" spans="1:10" ht="171.75" customHeight="1">
      <c r="A823" s="6" t="s">
        <v>2236</v>
      </c>
      <c r="B823" s="6" t="s">
        <v>9832</v>
      </c>
      <c r="C823" s="6" t="s">
        <v>5677</v>
      </c>
      <c r="D823" s="6" t="s">
        <v>5680</v>
      </c>
      <c r="E823" s="17" t="s">
        <v>5682</v>
      </c>
      <c r="F823" s="17"/>
      <c r="G823" s="17" t="e">
        <f t="shared" ca="1" si="0"/>
        <v>#NAME?</v>
      </c>
      <c r="H823" s="6"/>
      <c r="I823" s="6"/>
      <c r="J823" s="32"/>
    </row>
    <row r="824" spans="1:10" ht="171.75" customHeight="1">
      <c r="A824" s="6" t="s">
        <v>4113</v>
      </c>
      <c r="B824" s="6" t="s">
        <v>9901</v>
      </c>
      <c r="C824" s="6" t="s">
        <v>5684</v>
      </c>
      <c r="D824" s="6" t="s">
        <v>5686</v>
      </c>
      <c r="E824" s="10" t="s">
        <v>9687</v>
      </c>
      <c r="F824" s="17"/>
      <c r="G824" s="17" t="e">
        <f t="shared" ca="1" si="0"/>
        <v>#NAME?</v>
      </c>
      <c r="H824" s="6"/>
      <c r="I824" s="17"/>
      <c r="J824" s="17"/>
    </row>
    <row r="825" spans="1:10" ht="171.75" customHeight="1">
      <c r="A825" s="6" t="s">
        <v>5689</v>
      </c>
      <c r="B825" s="6" t="s">
        <v>10018</v>
      </c>
      <c r="C825" s="6" t="s">
        <v>5690</v>
      </c>
      <c r="D825" s="6" t="s">
        <v>5693</v>
      </c>
      <c r="E825" s="17" t="s">
        <v>5694</v>
      </c>
      <c r="F825" s="17"/>
      <c r="G825" s="17" t="e">
        <f t="shared" ca="1" si="0"/>
        <v>#NAME?</v>
      </c>
      <c r="H825" s="6"/>
      <c r="I825" s="17"/>
      <c r="J825" s="17"/>
    </row>
    <row r="826" spans="1:10" ht="171.75" customHeight="1">
      <c r="A826" s="43" t="s">
        <v>1450</v>
      </c>
      <c r="B826" s="6" t="s">
        <v>9798</v>
      </c>
      <c r="C826" s="6" t="s">
        <v>5698</v>
      </c>
      <c r="D826" s="6" t="s">
        <v>5701</v>
      </c>
      <c r="E826" s="17" t="s">
        <v>5702</v>
      </c>
      <c r="F826" s="17"/>
      <c r="G826" s="17" t="e">
        <f t="shared" ca="1" si="0"/>
        <v>#NAME?</v>
      </c>
      <c r="H826" s="6"/>
      <c r="I826" s="17"/>
      <c r="J826" s="17"/>
    </row>
    <row r="827" spans="1:10" ht="171.75" customHeight="1">
      <c r="A827" s="6" t="s">
        <v>364</v>
      </c>
      <c r="B827" s="6" t="s">
        <v>9718</v>
      </c>
      <c r="C827" s="6" t="s">
        <v>5704</v>
      </c>
      <c r="D827" s="6" t="s">
        <v>5707</v>
      </c>
      <c r="E827" s="17" t="s">
        <v>5708</v>
      </c>
      <c r="F827" s="17"/>
      <c r="G827" s="17" t="e">
        <f t="shared" ca="1" si="0"/>
        <v>#NAME?</v>
      </c>
      <c r="H827" s="6"/>
      <c r="I827" s="17"/>
      <c r="J827" s="17"/>
    </row>
    <row r="828" spans="1:10" ht="171.75" customHeight="1">
      <c r="A828" s="43" t="s">
        <v>248</v>
      </c>
      <c r="B828" s="6" t="s">
        <v>9712</v>
      </c>
      <c r="C828" s="6" t="s">
        <v>5710</v>
      </c>
      <c r="D828" s="6" t="s">
        <v>5713</v>
      </c>
      <c r="E828" s="17" t="s">
        <v>5715</v>
      </c>
      <c r="F828" s="17"/>
      <c r="G828" s="17" t="e">
        <f t="shared" ca="1" si="0"/>
        <v>#NAME?</v>
      </c>
      <c r="H828" s="6"/>
      <c r="I828" s="6"/>
      <c r="J828" s="10"/>
    </row>
    <row r="829" spans="1:10" ht="171.75" customHeight="1">
      <c r="A829" s="6" t="s">
        <v>199</v>
      </c>
      <c r="B829" s="6" t="s">
        <v>9708</v>
      </c>
      <c r="C829" s="6" t="s">
        <v>5717</v>
      </c>
      <c r="D829" s="6" t="s">
        <v>5719</v>
      </c>
      <c r="E829" s="10" t="s">
        <v>9687</v>
      </c>
      <c r="F829" s="17"/>
      <c r="G829" s="17" t="e">
        <f t="shared" ca="1" si="0"/>
        <v>#NAME?</v>
      </c>
      <c r="H829" s="6"/>
      <c r="I829" s="6"/>
      <c r="J829" s="10"/>
    </row>
    <row r="830" spans="1:10" ht="171.75" customHeight="1">
      <c r="A830" s="6" t="s">
        <v>714</v>
      </c>
      <c r="B830" s="6" t="s">
        <v>9753</v>
      </c>
      <c r="C830" s="6" t="s">
        <v>5721</v>
      </c>
      <c r="D830" s="6" t="s">
        <v>5723</v>
      </c>
      <c r="E830" s="10" t="s">
        <v>9687</v>
      </c>
      <c r="F830" s="17"/>
      <c r="G830" s="17" t="e">
        <f t="shared" ca="1" si="0"/>
        <v>#NAME?</v>
      </c>
      <c r="H830" s="6"/>
      <c r="I830" s="46"/>
      <c r="J830" s="17"/>
    </row>
    <row r="831" spans="1:10" ht="171.75" customHeight="1">
      <c r="A831" s="43" t="s">
        <v>315</v>
      </c>
      <c r="B831" s="6" t="s">
        <v>9714</v>
      </c>
      <c r="C831" s="6" t="s">
        <v>5726</v>
      </c>
      <c r="D831" s="6" t="s">
        <v>5729</v>
      </c>
      <c r="E831" s="17" t="s">
        <v>5731</v>
      </c>
      <c r="F831" s="17"/>
      <c r="G831" s="17" t="e">
        <f t="shared" ca="1" si="0"/>
        <v>#NAME?</v>
      </c>
      <c r="H831" s="6"/>
      <c r="I831" s="17"/>
      <c r="J831" s="17"/>
    </row>
    <row r="832" spans="1:10" ht="171.75" customHeight="1">
      <c r="A832" s="6" t="s">
        <v>5733</v>
      </c>
      <c r="B832" s="6" t="s">
        <v>10019</v>
      </c>
      <c r="C832" s="6" t="s">
        <v>5734</v>
      </c>
      <c r="D832" s="6" t="s">
        <v>5737</v>
      </c>
      <c r="E832" s="17" t="s">
        <v>5738</v>
      </c>
      <c r="F832" s="17"/>
      <c r="G832" s="17" t="e">
        <f t="shared" ca="1" si="0"/>
        <v>#NAME?</v>
      </c>
      <c r="H832" s="32"/>
      <c r="I832" s="32"/>
      <c r="J832" s="32"/>
    </row>
    <row r="833" spans="1:10" ht="171.75" customHeight="1">
      <c r="A833" s="6" t="s">
        <v>5740</v>
      </c>
      <c r="B833" s="6" t="s">
        <v>10020</v>
      </c>
      <c r="C833" s="6" t="s">
        <v>5741</v>
      </c>
      <c r="D833" s="6" t="s">
        <v>141</v>
      </c>
      <c r="E833" s="10" t="s">
        <v>9687</v>
      </c>
      <c r="F833" s="17"/>
      <c r="G833" s="17" t="e">
        <f t="shared" ca="1" si="0"/>
        <v>#NAME?</v>
      </c>
      <c r="H833" s="32"/>
      <c r="I833" s="32"/>
      <c r="J833" s="32"/>
    </row>
    <row r="834" spans="1:10" ht="171.75" customHeight="1">
      <c r="A834" s="6" t="s">
        <v>5740</v>
      </c>
      <c r="B834" s="6" t="s">
        <v>10020</v>
      </c>
      <c r="C834" s="6" t="s">
        <v>5744</v>
      </c>
      <c r="D834" s="6" t="s">
        <v>141</v>
      </c>
      <c r="E834" s="10" t="s">
        <v>9687</v>
      </c>
      <c r="F834" s="17"/>
      <c r="G834" s="17" t="e">
        <f t="shared" ca="1" si="0"/>
        <v>#NAME?</v>
      </c>
      <c r="H834" s="6"/>
      <c r="I834" s="17"/>
      <c r="J834" s="17"/>
    </row>
    <row r="835" spans="1:10" ht="171.75" customHeight="1">
      <c r="A835" s="6" t="s">
        <v>5740</v>
      </c>
      <c r="B835" s="6" t="s">
        <v>10020</v>
      </c>
      <c r="C835" s="6" t="s">
        <v>5747</v>
      </c>
      <c r="D835" s="6" t="s">
        <v>5750</v>
      </c>
      <c r="E835" s="17" t="s">
        <v>5751</v>
      </c>
      <c r="F835" s="17"/>
      <c r="G835" s="17" t="e">
        <f t="shared" ca="1" si="0"/>
        <v>#NAME?</v>
      </c>
      <c r="H835" s="6"/>
      <c r="I835" s="17"/>
      <c r="J835" s="17"/>
    </row>
    <row r="836" spans="1:10" ht="171.75" customHeight="1">
      <c r="A836" s="43" t="s">
        <v>511</v>
      </c>
      <c r="B836" s="6" t="s">
        <v>9733</v>
      </c>
      <c r="C836" s="6" t="s">
        <v>5753</v>
      </c>
      <c r="D836" s="6" t="s">
        <v>5756</v>
      </c>
      <c r="E836" s="17" t="s">
        <v>5757</v>
      </c>
      <c r="F836" s="17"/>
      <c r="G836" s="17" t="e">
        <f t="shared" ca="1" si="0"/>
        <v>#NAME?</v>
      </c>
      <c r="H836" s="6"/>
      <c r="I836" s="17"/>
      <c r="J836" s="17"/>
    </row>
    <row r="837" spans="1:10" ht="171.75" customHeight="1">
      <c r="A837" s="6" t="s">
        <v>511</v>
      </c>
      <c r="B837" s="6" t="s">
        <v>9733</v>
      </c>
      <c r="C837" s="6" t="s">
        <v>5759</v>
      </c>
      <c r="D837" s="6" t="s">
        <v>5762</v>
      </c>
      <c r="E837" s="17" t="s">
        <v>5763</v>
      </c>
      <c r="F837" s="17"/>
      <c r="G837" s="17" t="e">
        <f t="shared" ca="1" si="0"/>
        <v>#NAME?</v>
      </c>
      <c r="H837" s="6"/>
      <c r="I837" s="17"/>
      <c r="J837" s="17"/>
    </row>
    <row r="838" spans="1:10" ht="171.75" customHeight="1">
      <c r="A838" s="6" t="s">
        <v>5765</v>
      </c>
      <c r="B838" s="6" t="s">
        <v>10021</v>
      </c>
      <c r="C838" s="6" t="s">
        <v>5766</v>
      </c>
      <c r="D838" s="6" t="s">
        <v>5769</v>
      </c>
      <c r="E838" s="10" t="s">
        <v>9687</v>
      </c>
      <c r="F838" s="17"/>
      <c r="G838" s="17" t="e">
        <f t="shared" ca="1" si="0"/>
        <v>#NAME?</v>
      </c>
      <c r="H838" s="6"/>
      <c r="I838" s="17"/>
      <c r="J838" s="17"/>
    </row>
    <row r="839" spans="1:10" ht="171.75" customHeight="1">
      <c r="A839" s="6" t="s">
        <v>5771</v>
      </c>
      <c r="B839" s="6" t="s">
        <v>10022</v>
      </c>
      <c r="C839" s="6" t="s">
        <v>5772</v>
      </c>
      <c r="D839" s="6" t="s">
        <v>5775</v>
      </c>
      <c r="E839" s="17" t="s">
        <v>5776</v>
      </c>
      <c r="F839" s="17"/>
      <c r="G839" s="17" t="e">
        <f t="shared" ca="1" si="0"/>
        <v>#NAME?</v>
      </c>
      <c r="H839" s="6"/>
      <c r="I839" s="6"/>
      <c r="J839" s="10"/>
    </row>
    <row r="840" spans="1:10" ht="171.75" customHeight="1">
      <c r="A840" s="43" t="s">
        <v>5779</v>
      </c>
      <c r="B840" s="6" t="s">
        <v>10023</v>
      </c>
      <c r="C840" s="6" t="s">
        <v>5780</v>
      </c>
      <c r="D840" s="6" t="s">
        <v>5783</v>
      </c>
      <c r="E840" s="10" t="s">
        <v>9687</v>
      </c>
      <c r="F840" s="17"/>
      <c r="G840" s="17" t="e">
        <f t="shared" ca="1" si="0"/>
        <v>#NAME?</v>
      </c>
      <c r="H840" s="6"/>
      <c r="I840" s="17"/>
      <c r="J840" s="17"/>
    </row>
    <row r="841" spans="1:10" ht="171.75" customHeight="1">
      <c r="A841" s="43" t="s">
        <v>511</v>
      </c>
      <c r="B841" s="6" t="s">
        <v>9733</v>
      </c>
      <c r="C841" s="6" t="s">
        <v>5787</v>
      </c>
      <c r="D841" s="6" t="s">
        <v>5790</v>
      </c>
      <c r="E841" s="17" t="s">
        <v>5791</v>
      </c>
      <c r="F841" s="17"/>
      <c r="G841" s="17" t="e">
        <f t="shared" ca="1" si="0"/>
        <v>#NAME?</v>
      </c>
      <c r="H841" s="6"/>
      <c r="I841" s="17"/>
      <c r="J841" s="17"/>
    </row>
    <row r="842" spans="1:10" ht="171.75" customHeight="1">
      <c r="A842" s="43" t="s">
        <v>511</v>
      </c>
      <c r="B842" s="6" t="s">
        <v>9733</v>
      </c>
      <c r="C842" s="6" t="s">
        <v>5794</v>
      </c>
      <c r="D842" s="6" t="s">
        <v>5797</v>
      </c>
      <c r="E842" s="17" t="s">
        <v>5798</v>
      </c>
      <c r="F842" s="17"/>
      <c r="G842" s="17" t="e">
        <f t="shared" ca="1" si="0"/>
        <v>#NAME?</v>
      </c>
      <c r="H842" s="6"/>
      <c r="I842" s="17"/>
      <c r="J842" s="17"/>
    </row>
    <row r="843" spans="1:10" ht="171.75" customHeight="1">
      <c r="A843" s="6" t="s">
        <v>5800</v>
      </c>
      <c r="B843" s="6" t="s">
        <v>10024</v>
      </c>
      <c r="C843" s="6" t="s">
        <v>5801</v>
      </c>
      <c r="D843" s="6" t="s">
        <v>5804</v>
      </c>
      <c r="E843" s="17" t="s">
        <v>5805</v>
      </c>
      <c r="F843" s="17"/>
      <c r="G843" s="17" t="e">
        <f t="shared" ca="1" si="0"/>
        <v>#NAME?</v>
      </c>
      <c r="H843" s="6"/>
      <c r="I843" s="17"/>
      <c r="J843" s="17"/>
    </row>
    <row r="844" spans="1:10" ht="171.75" customHeight="1">
      <c r="A844" s="6" t="s">
        <v>772</v>
      </c>
      <c r="B844" s="6" t="s">
        <v>9761</v>
      </c>
      <c r="C844" s="6" t="s">
        <v>5807</v>
      </c>
      <c r="D844" s="6" t="s">
        <v>5810</v>
      </c>
      <c r="E844" s="17" t="s">
        <v>5811</v>
      </c>
      <c r="F844" s="17"/>
      <c r="G844" s="17" t="e">
        <f t="shared" ca="1" si="0"/>
        <v>#NAME?</v>
      </c>
      <c r="H844" s="6"/>
      <c r="I844" s="17"/>
      <c r="J844" s="17"/>
    </row>
    <row r="845" spans="1:10" ht="171.75" customHeight="1">
      <c r="A845" s="6" t="s">
        <v>5813</v>
      </c>
      <c r="B845" s="6" t="s">
        <v>10025</v>
      </c>
      <c r="C845" s="6" t="s">
        <v>5814</v>
      </c>
      <c r="D845" s="6" t="s">
        <v>5817</v>
      </c>
      <c r="E845" s="17" t="s">
        <v>5818</v>
      </c>
      <c r="F845" s="17"/>
      <c r="G845" s="17" t="e">
        <f t="shared" ca="1" si="0"/>
        <v>#NAME?</v>
      </c>
      <c r="H845" s="6"/>
      <c r="I845" s="17"/>
      <c r="J845" s="17"/>
    </row>
    <row r="846" spans="1:10" ht="171.75" customHeight="1">
      <c r="A846" s="43" t="s">
        <v>511</v>
      </c>
      <c r="B846" s="6" t="s">
        <v>9733</v>
      </c>
      <c r="C846" s="6" t="s">
        <v>5820</v>
      </c>
      <c r="D846" s="6" t="s">
        <v>5823</v>
      </c>
      <c r="E846" s="17" t="s">
        <v>5824</v>
      </c>
      <c r="F846" s="17"/>
      <c r="G846" s="17" t="e">
        <f t="shared" ca="1" si="0"/>
        <v>#NAME?</v>
      </c>
      <c r="H846" s="6"/>
      <c r="I846" s="17"/>
      <c r="J846" s="17"/>
    </row>
    <row r="847" spans="1:10" ht="171.75" customHeight="1">
      <c r="A847" s="43" t="s">
        <v>511</v>
      </c>
      <c r="B847" s="6" t="s">
        <v>9733</v>
      </c>
      <c r="C847" s="6" t="s">
        <v>5826</v>
      </c>
      <c r="D847" s="6" t="s">
        <v>5829</v>
      </c>
      <c r="E847" s="17" t="s">
        <v>5830</v>
      </c>
      <c r="F847" s="17"/>
      <c r="G847" s="17" t="e">
        <f t="shared" ca="1" si="0"/>
        <v>#NAME?</v>
      </c>
      <c r="H847" s="6"/>
      <c r="I847" s="17"/>
      <c r="J847" s="17"/>
    </row>
    <row r="848" spans="1:10" ht="171.75" customHeight="1">
      <c r="A848" s="43" t="s">
        <v>511</v>
      </c>
      <c r="B848" s="6" t="s">
        <v>9733</v>
      </c>
      <c r="C848" s="6" t="s">
        <v>5832</v>
      </c>
      <c r="D848" s="6" t="s">
        <v>5835</v>
      </c>
      <c r="E848" s="17" t="s">
        <v>5836</v>
      </c>
      <c r="F848" s="17"/>
      <c r="G848" s="17" t="e">
        <f t="shared" ca="1" si="0"/>
        <v>#NAME?</v>
      </c>
      <c r="H848" s="6"/>
      <c r="I848" s="17"/>
      <c r="J848" s="17"/>
    </row>
    <row r="849" spans="1:10" ht="171.75" customHeight="1">
      <c r="A849" s="6" t="s">
        <v>535</v>
      </c>
      <c r="B849" s="6" t="s">
        <v>9736</v>
      </c>
      <c r="C849" s="6" t="s">
        <v>5838</v>
      </c>
      <c r="D849" s="6" t="s">
        <v>5841</v>
      </c>
      <c r="E849" s="17" t="s">
        <v>5842</v>
      </c>
      <c r="F849" s="17"/>
      <c r="G849" s="17" t="e">
        <f t="shared" ca="1" si="0"/>
        <v>#NAME?</v>
      </c>
      <c r="H849" s="6"/>
      <c r="I849" s="17"/>
      <c r="J849" s="17"/>
    </row>
    <row r="850" spans="1:10" ht="171.75" customHeight="1">
      <c r="A850" s="43" t="s">
        <v>511</v>
      </c>
      <c r="B850" s="6" t="s">
        <v>9733</v>
      </c>
      <c r="C850" s="6" t="s">
        <v>5844</v>
      </c>
      <c r="D850" s="6" t="s">
        <v>5847</v>
      </c>
      <c r="E850" s="17" t="s">
        <v>5848</v>
      </c>
      <c r="F850" s="17"/>
      <c r="G850" s="17" t="e">
        <f t="shared" ca="1" si="0"/>
        <v>#NAME?</v>
      </c>
      <c r="H850" s="6"/>
      <c r="I850" s="17"/>
      <c r="J850" s="17"/>
    </row>
    <row r="851" spans="1:10" ht="171.75" customHeight="1">
      <c r="A851" s="6" t="s">
        <v>511</v>
      </c>
      <c r="B851" s="6" t="s">
        <v>9733</v>
      </c>
      <c r="C851" s="6" t="s">
        <v>5851</v>
      </c>
      <c r="D851" s="6" t="s">
        <v>5854</v>
      </c>
      <c r="E851" s="17" t="s">
        <v>5855</v>
      </c>
      <c r="F851" s="17"/>
      <c r="G851" s="17" t="e">
        <f t="shared" ca="1" si="0"/>
        <v>#NAME?</v>
      </c>
      <c r="H851" s="6"/>
      <c r="I851" s="17"/>
      <c r="J851" s="17"/>
    </row>
    <row r="852" spans="1:10" ht="171.75" customHeight="1">
      <c r="A852" s="6" t="s">
        <v>10026</v>
      </c>
      <c r="B852" s="6" t="s">
        <v>10027</v>
      </c>
      <c r="C852" s="6" t="s">
        <v>5858</v>
      </c>
      <c r="D852" s="6" t="s">
        <v>5861</v>
      </c>
      <c r="E852" s="17" t="s">
        <v>5862</v>
      </c>
      <c r="F852" s="17"/>
      <c r="G852" s="17" t="e">
        <f t="shared" ca="1" si="0"/>
        <v>#NAME?</v>
      </c>
      <c r="H852" s="6"/>
      <c r="I852" s="17"/>
      <c r="J852" s="17"/>
    </row>
    <row r="853" spans="1:10" ht="171.75" customHeight="1">
      <c r="A853" s="6" t="s">
        <v>5771</v>
      </c>
      <c r="B853" s="6" t="s">
        <v>10022</v>
      </c>
      <c r="C853" s="6" t="s">
        <v>5864</v>
      </c>
      <c r="D853" s="6" t="s">
        <v>5867</v>
      </c>
      <c r="E853" s="17" t="s">
        <v>5868</v>
      </c>
      <c r="F853" s="17"/>
      <c r="G853" s="17" t="e">
        <f t="shared" ca="1" si="0"/>
        <v>#NAME?</v>
      </c>
      <c r="H853" s="6"/>
      <c r="I853" s="17"/>
      <c r="J853" s="17"/>
    </row>
    <row r="854" spans="1:10" ht="171.75" customHeight="1">
      <c r="A854" s="43" t="s">
        <v>5870</v>
      </c>
      <c r="B854" s="6" t="s">
        <v>10028</v>
      </c>
      <c r="C854" s="6" t="s">
        <v>5871</v>
      </c>
      <c r="D854" s="6" t="s">
        <v>5874</v>
      </c>
      <c r="E854" s="17" t="s">
        <v>5878</v>
      </c>
      <c r="F854" s="17"/>
      <c r="G854" s="17" t="e">
        <f t="shared" ca="1" si="0"/>
        <v>#NAME?</v>
      </c>
      <c r="H854" s="6"/>
      <c r="I854" s="17"/>
      <c r="J854" s="17"/>
    </row>
    <row r="855" spans="1:10" ht="171.75" customHeight="1">
      <c r="A855" s="43" t="s">
        <v>5880</v>
      </c>
      <c r="B855" s="6" t="s">
        <v>10029</v>
      </c>
      <c r="C855" s="6" t="s">
        <v>5881</v>
      </c>
      <c r="D855" s="6" t="s">
        <v>5884</v>
      </c>
      <c r="E855" s="17" t="s">
        <v>5887</v>
      </c>
      <c r="F855" s="17"/>
      <c r="G855" s="17" t="e">
        <f t="shared" ca="1" si="0"/>
        <v>#NAME?</v>
      </c>
      <c r="H855" s="32"/>
      <c r="I855" s="17"/>
      <c r="J855" s="10"/>
    </row>
    <row r="856" spans="1:10" ht="171.75" customHeight="1">
      <c r="A856" s="43" t="s">
        <v>5889</v>
      </c>
      <c r="B856" s="6" t="s">
        <v>10030</v>
      </c>
      <c r="C856" s="6" t="s">
        <v>5890</v>
      </c>
      <c r="D856" s="6" t="s">
        <v>141</v>
      </c>
      <c r="E856" s="10" t="s">
        <v>9687</v>
      </c>
      <c r="F856" s="17"/>
      <c r="G856" s="17" t="e">
        <f t="shared" ca="1" si="0"/>
        <v>#NAME?</v>
      </c>
      <c r="H856" s="6"/>
      <c r="I856" s="6"/>
      <c r="J856" s="10"/>
    </row>
    <row r="857" spans="1:10" ht="171.75" customHeight="1">
      <c r="A857" s="43" t="s">
        <v>5897</v>
      </c>
      <c r="B857" s="6" t="s">
        <v>5897</v>
      </c>
      <c r="C857" s="6" t="s">
        <v>5898</v>
      </c>
      <c r="D857" s="6" t="s">
        <v>141</v>
      </c>
      <c r="E857" s="10" t="s">
        <v>9687</v>
      </c>
      <c r="F857" s="17"/>
      <c r="G857" s="17" t="e">
        <f t="shared" ca="1" si="0"/>
        <v>#NAME?</v>
      </c>
      <c r="H857" s="6"/>
      <c r="I857" s="17"/>
      <c r="J857" s="17"/>
    </row>
    <row r="858" spans="1:10" ht="171.75" customHeight="1">
      <c r="A858" s="43" t="s">
        <v>5905</v>
      </c>
      <c r="B858" s="6" t="s">
        <v>10031</v>
      </c>
      <c r="C858" s="6" t="s">
        <v>5906</v>
      </c>
      <c r="D858" s="6" t="s">
        <v>5909</v>
      </c>
      <c r="E858" s="17" t="s">
        <v>5911</v>
      </c>
      <c r="F858" s="17"/>
      <c r="G858" s="17" t="e">
        <f t="shared" ca="1" si="0"/>
        <v>#NAME?</v>
      </c>
      <c r="H858" s="6"/>
      <c r="I858" s="17"/>
      <c r="J858" s="17"/>
    </row>
    <row r="859" spans="1:10" ht="171.75" customHeight="1">
      <c r="A859" s="6" t="s">
        <v>5913</v>
      </c>
      <c r="B859" s="6" t="s">
        <v>5913</v>
      </c>
      <c r="C859" s="6" t="s">
        <v>5914</v>
      </c>
      <c r="D859" s="6" t="s">
        <v>5917</v>
      </c>
      <c r="E859" s="17" t="s">
        <v>5920</v>
      </c>
      <c r="F859" s="17"/>
      <c r="G859" s="17" t="e">
        <f t="shared" ca="1" si="0"/>
        <v>#NAME?</v>
      </c>
      <c r="H859" s="6"/>
      <c r="I859" s="17"/>
      <c r="J859" s="17"/>
    </row>
    <row r="860" spans="1:10" ht="171.75" customHeight="1">
      <c r="A860" s="43" t="s">
        <v>5922</v>
      </c>
      <c r="B860" s="6" t="s">
        <v>10032</v>
      </c>
      <c r="C860" s="6" t="s">
        <v>5923</v>
      </c>
      <c r="D860" s="6" t="s">
        <v>5926</v>
      </c>
      <c r="E860" s="17" t="s">
        <v>5927</v>
      </c>
      <c r="F860" s="17"/>
      <c r="G860" s="17" t="e">
        <f t="shared" ca="1" si="0"/>
        <v>#NAME?</v>
      </c>
      <c r="H860" s="6"/>
      <c r="I860" s="17"/>
      <c r="J860" s="17"/>
    </row>
    <row r="861" spans="1:10" ht="171.75" customHeight="1">
      <c r="A861" s="43" t="s">
        <v>5930</v>
      </c>
      <c r="B861" s="6" t="s">
        <v>10033</v>
      </c>
      <c r="C861" s="6" t="s">
        <v>5931</v>
      </c>
      <c r="D861" s="6" t="s">
        <v>5934</v>
      </c>
      <c r="E861" s="17" t="s">
        <v>5936</v>
      </c>
      <c r="F861" s="17"/>
      <c r="G861" s="17" t="e">
        <f t="shared" ca="1" si="0"/>
        <v>#NAME?</v>
      </c>
      <c r="H861" s="6"/>
      <c r="I861" s="17"/>
      <c r="J861" s="17"/>
    </row>
    <row r="862" spans="1:10" ht="171.75" customHeight="1">
      <c r="A862" s="43" t="s">
        <v>5938</v>
      </c>
      <c r="B862" s="6" t="s">
        <v>10034</v>
      </c>
      <c r="C862" s="6" t="s">
        <v>5939</v>
      </c>
      <c r="D862" s="6" t="s">
        <v>5942</v>
      </c>
      <c r="E862" s="17" t="s">
        <v>5943</v>
      </c>
      <c r="F862" s="17"/>
      <c r="G862" s="17" t="e">
        <f t="shared" ca="1" si="0"/>
        <v>#NAME?</v>
      </c>
      <c r="H862" s="6"/>
      <c r="I862" s="17"/>
      <c r="J862" s="17"/>
    </row>
    <row r="863" spans="1:10" ht="171.75" customHeight="1">
      <c r="A863" s="6" t="s">
        <v>5945</v>
      </c>
      <c r="B863" s="6" t="s">
        <v>10035</v>
      </c>
      <c r="C863" s="6" t="s">
        <v>5946</v>
      </c>
      <c r="D863" s="6" t="s">
        <v>5949</v>
      </c>
      <c r="E863" s="17" t="s">
        <v>5950</v>
      </c>
      <c r="F863" s="17"/>
      <c r="G863" s="17" t="e">
        <f t="shared" ca="1" si="0"/>
        <v>#NAME?</v>
      </c>
      <c r="H863" s="6"/>
      <c r="I863" s="17"/>
      <c r="J863" s="17"/>
    </row>
    <row r="864" spans="1:10" ht="171.75" customHeight="1">
      <c r="A864" s="6" t="s">
        <v>5945</v>
      </c>
      <c r="B864" s="6" t="s">
        <v>10035</v>
      </c>
      <c r="C864" s="6" t="s">
        <v>5952</v>
      </c>
      <c r="D864" s="6" t="s">
        <v>5955</v>
      </c>
      <c r="E864" s="17" t="s">
        <v>5956</v>
      </c>
      <c r="F864" s="17"/>
      <c r="G864" s="17" t="e">
        <f t="shared" ca="1" si="0"/>
        <v>#NAME?</v>
      </c>
      <c r="H864" s="6"/>
      <c r="I864" s="17"/>
      <c r="J864" s="17"/>
    </row>
    <row r="865" spans="1:10" ht="171.75" customHeight="1">
      <c r="A865" s="43" t="s">
        <v>5945</v>
      </c>
      <c r="B865" s="6" t="s">
        <v>10035</v>
      </c>
      <c r="C865" s="6" t="s">
        <v>5958</v>
      </c>
      <c r="D865" s="43" t="s">
        <v>5961</v>
      </c>
      <c r="E865" s="17" t="s">
        <v>5962</v>
      </c>
      <c r="F865" s="17"/>
      <c r="G865" s="17" t="e">
        <f t="shared" ca="1" si="0"/>
        <v>#NAME?</v>
      </c>
      <c r="H865" s="6"/>
      <c r="I865" s="17"/>
      <c r="J865" s="17"/>
    </row>
    <row r="866" spans="1:10" ht="171.75" customHeight="1">
      <c r="A866" s="43" t="s">
        <v>5945</v>
      </c>
      <c r="B866" s="6" t="s">
        <v>10035</v>
      </c>
      <c r="C866" s="6" t="s">
        <v>5964</v>
      </c>
      <c r="D866" s="43" t="s">
        <v>5967</v>
      </c>
      <c r="E866" s="17" t="s">
        <v>5968</v>
      </c>
      <c r="F866" s="17"/>
      <c r="G866" s="17" t="e">
        <f t="shared" ca="1" si="0"/>
        <v>#NAME?</v>
      </c>
      <c r="H866" s="6"/>
      <c r="I866" s="17"/>
      <c r="J866" s="17"/>
    </row>
    <row r="867" spans="1:10" ht="171.75" customHeight="1">
      <c r="A867" s="43" t="s">
        <v>5945</v>
      </c>
      <c r="B867" s="6" t="s">
        <v>10035</v>
      </c>
      <c r="C867" s="6" t="s">
        <v>5970</v>
      </c>
      <c r="D867" s="43" t="s">
        <v>5973</v>
      </c>
      <c r="E867" s="17" t="s">
        <v>5974</v>
      </c>
      <c r="F867" s="17"/>
      <c r="G867" s="17" t="e">
        <f t="shared" ca="1" si="0"/>
        <v>#NAME?</v>
      </c>
      <c r="H867" s="6"/>
      <c r="I867" s="17"/>
      <c r="J867" s="17"/>
    </row>
    <row r="868" spans="1:10" ht="171.75" customHeight="1">
      <c r="A868" s="43" t="s">
        <v>5945</v>
      </c>
      <c r="B868" s="6" t="s">
        <v>10035</v>
      </c>
      <c r="C868" s="6" t="s">
        <v>5976</v>
      </c>
      <c r="D868" s="43" t="s">
        <v>5979</v>
      </c>
      <c r="E868" s="17" t="s">
        <v>5980</v>
      </c>
      <c r="F868" s="17"/>
      <c r="G868" s="17" t="e">
        <f t="shared" ca="1" si="0"/>
        <v>#NAME?</v>
      </c>
      <c r="H868" s="6"/>
      <c r="I868" s="17"/>
      <c r="J868" s="17"/>
    </row>
    <row r="869" spans="1:10" ht="171.75" customHeight="1">
      <c r="A869" s="43" t="s">
        <v>5945</v>
      </c>
      <c r="B869" s="6" t="s">
        <v>10035</v>
      </c>
      <c r="C869" s="6" t="s">
        <v>5982</v>
      </c>
      <c r="D869" s="43" t="s">
        <v>5985</v>
      </c>
      <c r="E869" s="17" t="s">
        <v>5986</v>
      </c>
      <c r="F869" s="17"/>
      <c r="G869" s="17" t="e">
        <f t="shared" ca="1" si="0"/>
        <v>#NAME?</v>
      </c>
      <c r="H869" s="6"/>
      <c r="I869" s="17"/>
      <c r="J869" s="17"/>
    </row>
    <row r="870" spans="1:10" ht="171.75" customHeight="1">
      <c r="A870" s="43" t="s">
        <v>5945</v>
      </c>
      <c r="B870" s="6" t="s">
        <v>10035</v>
      </c>
      <c r="C870" s="6" t="s">
        <v>5988</v>
      </c>
      <c r="D870" s="43" t="s">
        <v>5991</v>
      </c>
      <c r="E870" s="17" t="s">
        <v>5992</v>
      </c>
      <c r="F870" s="17"/>
      <c r="G870" s="17" t="e">
        <f t="shared" ca="1" si="0"/>
        <v>#NAME?</v>
      </c>
      <c r="H870" s="6"/>
      <c r="I870" s="17"/>
      <c r="J870" s="17"/>
    </row>
    <row r="871" spans="1:10" ht="171.75" customHeight="1">
      <c r="A871" s="43" t="s">
        <v>5945</v>
      </c>
      <c r="B871" s="6" t="s">
        <v>10035</v>
      </c>
      <c r="C871" s="6" t="s">
        <v>5994</v>
      </c>
      <c r="D871" s="43" t="s">
        <v>5997</v>
      </c>
      <c r="E871" s="17" t="s">
        <v>5998</v>
      </c>
      <c r="F871" s="17"/>
      <c r="G871" s="17" t="e">
        <f t="shared" ca="1" si="0"/>
        <v>#NAME?</v>
      </c>
      <c r="H871" s="6"/>
      <c r="I871" s="17"/>
      <c r="J871" s="17"/>
    </row>
    <row r="872" spans="1:10" ht="171.75" customHeight="1">
      <c r="A872" s="43" t="s">
        <v>5945</v>
      </c>
      <c r="B872" s="6" t="s">
        <v>10035</v>
      </c>
      <c r="C872" s="6" t="s">
        <v>6000</v>
      </c>
      <c r="D872" s="43" t="s">
        <v>6003</v>
      </c>
      <c r="E872" s="17" t="s">
        <v>6004</v>
      </c>
      <c r="F872" s="17"/>
      <c r="G872" s="17" t="e">
        <f t="shared" ca="1" si="0"/>
        <v>#NAME?</v>
      </c>
      <c r="H872" s="6"/>
      <c r="I872" s="17"/>
      <c r="J872" s="17"/>
    </row>
    <row r="873" spans="1:10" ht="171.75" customHeight="1">
      <c r="A873" s="43" t="s">
        <v>5945</v>
      </c>
      <c r="B873" s="6" t="s">
        <v>10035</v>
      </c>
      <c r="C873" s="6" t="s">
        <v>6006</v>
      </c>
      <c r="D873" s="43" t="s">
        <v>6009</v>
      </c>
      <c r="E873" s="17" t="s">
        <v>6010</v>
      </c>
      <c r="F873" s="17"/>
      <c r="G873" s="17" t="e">
        <f t="shared" ca="1" si="0"/>
        <v>#NAME?</v>
      </c>
      <c r="H873" s="6"/>
      <c r="I873" s="17"/>
      <c r="J873" s="17"/>
    </row>
    <row r="874" spans="1:10" ht="171.75" customHeight="1">
      <c r="A874" s="43" t="s">
        <v>5945</v>
      </c>
      <c r="B874" s="6" t="s">
        <v>10035</v>
      </c>
      <c r="C874" s="6" t="s">
        <v>6012</v>
      </c>
      <c r="D874" s="43" t="s">
        <v>6015</v>
      </c>
      <c r="E874" s="17" t="s">
        <v>6016</v>
      </c>
      <c r="F874" s="17"/>
      <c r="G874" s="17" t="e">
        <f t="shared" ca="1" si="0"/>
        <v>#NAME?</v>
      </c>
      <c r="H874" s="6"/>
      <c r="I874" s="17"/>
      <c r="J874" s="17"/>
    </row>
    <row r="875" spans="1:10" ht="171.75" customHeight="1">
      <c r="A875" s="43" t="s">
        <v>5945</v>
      </c>
      <c r="B875" s="6" t="s">
        <v>10035</v>
      </c>
      <c r="C875" s="6" t="s">
        <v>6018</v>
      </c>
      <c r="D875" s="43" t="s">
        <v>6021</v>
      </c>
      <c r="E875" s="17" t="s">
        <v>6022</v>
      </c>
      <c r="F875" s="17"/>
      <c r="G875" s="17" t="e">
        <f t="shared" ca="1" si="0"/>
        <v>#NAME?</v>
      </c>
      <c r="H875" s="6"/>
      <c r="I875" s="6"/>
      <c r="J875" s="10"/>
    </row>
    <row r="876" spans="1:10" ht="171.75" customHeight="1">
      <c r="A876" s="6" t="s">
        <v>5945</v>
      </c>
      <c r="B876" s="6" t="s">
        <v>10035</v>
      </c>
      <c r="C876" s="6" t="s">
        <v>6024</v>
      </c>
      <c r="D876" s="6" t="s">
        <v>6027</v>
      </c>
      <c r="E876" s="10" t="s">
        <v>6028</v>
      </c>
      <c r="F876" s="17"/>
      <c r="G876" s="17" t="e">
        <f t="shared" ca="1" si="0"/>
        <v>#NAME?</v>
      </c>
      <c r="H876" s="6"/>
      <c r="I876" s="17"/>
      <c r="J876" s="17"/>
    </row>
    <row r="877" spans="1:10" ht="171.75" customHeight="1">
      <c r="A877" s="43" t="s">
        <v>5945</v>
      </c>
      <c r="B877" s="6" t="s">
        <v>10035</v>
      </c>
      <c r="C877" s="6" t="s">
        <v>6030</v>
      </c>
      <c r="D877" s="43" t="s">
        <v>6033</v>
      </c>
      <c r="E877" s="17" t="s">
        <v>6034</v>
      </c>
      <c r="F877" s="17"/>
      <c r="G877" s="17" t="e">
        <f t="shared" ca="1" si="0"/>
        <v>#NAME?</v>
      </c>
      <c r="H877" s="6"/>
      <c r="I877" s="17"/>
      <c r="J877" s="17"/>
    </row>
    <row r="878" spans="1:10" ht="171.75" customHeight="1">
      <c r="A878" s="43" t="s">
        <v>511</v>
      </c>
      <c r="B878" s="6" t="s">
        <v>9733</v>
      </c>
      <c r="C878" s="6" t="s">
        <v>6036</v>
      </c>
      <c r="D878" s="43" t="s">
        <v>6039</v>
      </c>
      <c r="E878" s="17" t="s">
        <v>6040</v>
      </c>
      <c r="F878" s="17"/>
      <c r="G878" s="17" t="e">
        <f t="shared" ca="1" si="0"/>
        <v>#NAME?</v>
      </c>
      <c r="H878" s="6"/>
      <c r="I878" s="17"/>
      <c r="J878" s="17"/>
    </row>
    <row r="879" spans="1:10" ht="171.75" customHeight="1">
      <c r="A879" s="43" t="s">
        <v>511</v>
      </c>
      <c r="B879" s="6" t="s">
        <v>9733</v>
      </c>
      <c r="C879" s="6" t="s">
        <v>6042</v>
      </c>
      <c r="D879" s="6" t="s">
        <v>6045</v>
      </c>
      <c r="E879" s="17" t="s">
        <v>6046</v>
      </c>
      <c r="F879" s="17"/>
      <c r="G879" s="17" t="e">
        <f t="shared" ca="1" si="0"/>
        <v>#NAME?</v>
      </c>
      <c r="H879" s="6"/>
      <c r="I879" s="6"/>
      <c r="J879" s="32"/>
    </row>
    <row r="880" spans="1:10" ht="171.75" customHeight="1">
      <c r="A880" s="6" t="s">
        <v>6048</v>
      </c>
      <c r="B880" s="6" t="s">
        <v>10036</v>
      </c>
      <c r="C880" s="6" t="s">
        <v>6049</v>
      </c>
      <c r="D880" s="6" t="s">
        <v>6051</v>
      </c>
      <c r="E880" s="32" t="s">
        <v>6052</v>
      </c>
      <c r="F880" s="17"/>
      <c r="G880" s="17" t="e">
        <f t="shared" ca="1" si="0"/>
        <v>#NAME?</v>
      </c>
      <c r="H880" s="6"/>
      <c r="I880" s="17"/>
      <c r="J880" s="17"/>
    </row>
    <row r="881" spans="1:10" ht="171.75" customHeight="1">
      <c r="A881" s="6" t="s">
        <v>6056</v>
      </c>
      <c r="B881" s="6" t="s">
        <v>10037</v>
      </c>
      <c r="C881" s="6" t="s">
        <v>6057</v>
      </c>
      <c r="D881" s="6" t="s">
        <v>6060</v>
      </c>
      <c r="E881" s="17" t="s">
        <v>6061</v>
      </c>
      <c r="F881" s="17"/>
      <c r="G881" s="17" t="e">
        <f t="shared" ca="1" si="0"/>
        <v>#NAME?</v>
      </c>
      <c r="H881" s="6"/>
      <c r="I881" s="17"/>
      <c r="J881" s="17"/>
    </row>
    <row r="882" spans="1:10" ht="171.75" customHeight="1">
      <c r="A882" s="43" t="s">
        <v>6064</v>
      </c>
      <c r="B882" s="6" t="s">
        <v>10038</v>
      </c>
      <c r="C882" s="6" t="s">
        <v>6065</v>
      </c>
      <c r="D882" s="6" t="s">
        <v>6068</v>
      </c>
      <c r="E882" s="17" t="s">
        <v>6069</v>
      </c>
      <c r="F882" s="17"/>
      <c r="G882" s="17" t="e">
        <f t="shared" ca="1" si="0"/>
        <v>#NAME?</v>
      </c>
      <c r="H882" s="6"/>
      <c r="I882" s="17"/>
      <c r="J882" s="17"/>
    </row>
    <row r="883" spans="1:10" ht="171.75" customHeight="1">
      <c r="A883" s="6" t="s">
        <v>6071</v>
      </c>
      <c r="B883" s="6" t="s">
        <v>10039</v>
      </c>
      <c r="C883" s="6" t="s">
        <v>6072</v>
      </c>
      <c r="D883" s="6" t="s">
        <v>6075</v>
      </c>
      <c r="E883" s="17" t="s">
        <v>6076</v>
      </c>
      <c r="F883" s="17"/>
      <c r="G883" s="17" t="e">
        <f t="shared" ca="1" si="0"/>
        <v>#NAME?</v>
      </c>
      <c r="H883" s="6"/>
      <c r="I883" s="17"/>
      <c r="J883" s="17"/>
    </row>
    <row r="884" spans="1:10" ht="171.75" customHeight="1">
      <c r="A884" s="6" t="s">
        <v>6078</v>
      </c>
      <c r="B884" s="6" t="s">
        <v>10040</v>
      </c>
      <c r="C884" s="6" t="s">
        <v>6079</v>
      </c>
      <c r="D884" s="6" t="s">
        <v>6082</v>
      </c>
      <c r="E884" s="17" t="s">
        <v>6083</v>
      </c>
      <c r="F884" s="17"/>
      <c r="G884" s="17" t="e">
        <f t="shared" ca="1" si="0"/>
        <v>#NAME?</v>
      </c>
      <c r="H884" s="6"/>
      <c r="I884" s="6"/>
      <c r="J884" s="17"/>
    </row>
    <row r="885" spans="1:10" ht="171.75" customHeight="1">
      <c r="A885" s="43" t="s">
        <v>2861</v>
      </c>
      <c r="B885" s="6" t="s">
        <v>9871</v>
      </c>
      <c r="C885" s="6" t="s">
        <v>6085</v>
      </c>
      <c r="D885" s="6" t="s">
        <v>6088</v>
      </c>
      <c r="E885" s="17" t="s">
        <v>6090</v>
      </c>
      <c r="F885" s="17"/>
      <c r="G885" s="17" t="e">
        <f t="shared" ca="1" si="0"/>
        <v>#NAME?</v>
      </c>
      <c r="H885" s="49"/>
      <c r="I885" s="17"/>
      <c r="J885" s="17"/>
    </row>
    <row r="886" spans="1:10" ht="171.75" customHeight="1">
      <c r="A886" s="43" t="s">
        <v>6093</v>
      </c>
      <c r="B886" s="6" t="s">
        <v>10041</v>
      </c>
      <c r="C886" s="6" t="s">
        <v>6094</v>
      </c>
      <c r="D886" s="6" t="s">
        <v>6097</v>
      </c>
      <c r="E886" s="17" t="s">
        <v>6098</v>
      </c>
      <c r="F886" s="17"/>
      <c r="G886" s="17" t="e">
        <f t="shared" ca="1" si="0"/>
        <v>#NAME?</v>
      </c>
      <c r="H886" s="6"/>
      <c r="I886" s="17"/>
      <c r="J886" s="17"/>
    </row>
    <row r="887" spans="1:10" ht="171.75" customHeight="1">
      <c r="A887" s="6" t="s">
        <v>6101</v>
      </c>
      <c r="B887" s="6" t="s">
        <v>10042</v>
      </c>
      <c r="C887" s="6" t="s">
        <v>6102</v>
      </c>
      <c r="D887" s="43" t="s">
        <v>6105</v>
      </c>
      <c r="E887" s="17" t="s">
        <v>6106</v>
      </c>
      <c r="F887" s="17"/>
      <c r="G887" s="17" t="e">
        <f t="shared" ca="1" si="0"/>
        <v>#NAME?</v>
      </c>
      <c r="H887" s="6"/>
      <c r="I887" s="17"/>
      <c r="J887" s="17"/>
    </row>
    <row r="888" spans="1:10" ht="171.75" customHeight="1">
      <c r="A888" s="6" t="s">
        <v>6108</v>
      </c>
      <c r="B888" s="6" t="s">
        <v>10043</v>
      </c>
      <c r="C888" s="6" t="s">
        <v>6109</v>
      </c>
      <c r="D888" s="6" t="s">
        <v>6112</v>
      </c>
      <c r="E888" s="17" t="s">
        <v>6113</v>
      </c>
      <c r="F888" s="17"/>
      <c r="G888" s="17" t="e">
        <f t="shared" ca="1" si="0"/>
        <v>#NAME?</v>
      </c>
      <c r="H888" s="49"/>
      <c r="I888" s="17"/>
      <c r="J888" s="17"/>
    </row>
    <row r="889" spans="1:10" ht="171.75" customHeight="1">
      <c r="A889" s="6" t="s">
        <v>6115</v>
      </c>
      <c r="B889" s="6" t="s">
        <v>10044</v>
      </c>
      <c r="C889" s="6" t="s">
        <v>6116</v>
      </c>
      <c r="D889" s="6" t="s">
        <v>6119</v>
      </c>
      <c r="E889" s="17" t="s">
        <v>6120</v>
      </c>
      <c r="F889" s="17"/>
      <c r="G889" s="17" t="e">
        <f t="shared" ca="1" si="0"/>
        <v>#NAME?</v>
      </c>
      <c r="H889" s="6"/>
      <c r="I889" s="17"/>
      <c r="J889" s="17"/>
    </row>
    <row r="890" spans="1:10" ht="171.75" customHeight="1">
      <c r="A890" s="6" t="s">
        <v>6122</v>
      </c>
      <c r="B890" s="6" t="s">
        <v>10045</v>
      </c>
      <c r="C890" s="6" t="s">
        <v>6123</v>
      </c>
      <c r="D890" s="6" t="s">
        <v>6126</v>
      </c>
      <c r="E890" s="17" t="s">
        <v>6127</v>
      </c>
      <c r="F890" s="17"/>
      <c r="G890" s="17" t="e">
        <f t="shared" ca="1" si="0"/>
        <v>#NAME?</v>
      </c>
      <c r="H890" s="6"/>
      <c r="I890" s="17"/>
      <c r="J890" s="10"/>
    </row>
    <row r="891" spans="1:10" ht="171.75" customHeight="1">
      <c r="A891" s="6" t="s">
        <v>6130</v>
      </c>
      <c r="B891" s="6" t="s">
        <v>10046</v>
      </c>
      <c r="C891" s="6" t="s">
        <v>6131</v>
      </c>
      <c r="D891" s="43" t="s">
        <v>6134</v>
      </c>
      <c r="E891" s="10" t="s">
        <v>6138</v>
      </c>
      <c r="F891" s="17"/>
      <c r="G891" s="17" t="e">
        <f t="shared" ca="1" si="0"/>
        <v>#NAME?</v>
      </c>
      <c r="H891" s="6"/>
      <c r="I891" s="17"/>
      <c r="J891" s="17"/>
    </row>
    <row r="892" spans="1:10" ht="171.75" customHeight="1">
      <c r="A892" s="6" t="s">
        <v>6115</v>
      </c>
      <c r="B892" s="6" t="s">
        <v>10044</v>
      </c>
      <c r="C892" s="6" t="s">
        <v>6140</v>
      </c>
      <c r="D892" s="6" t="s">
        <v>6143</v>
      </c>
      <c r="E892" s="17" t="s">
        <v>6144</v>
      </c>
      <c r="F892" s="17"/>
      <c r="G892" s="17" t="e">
        <f t="shared" ca="1" si="0"/>
        <v>#NAME?</v>
      </c>
      <c r="H892" s="6"/>
      <c r="I892" s="17"/>
      <c r="J892" s="17"/>
    </row>
    <row r="893" spans="1:10" ht="171.75" customHeight="1">
      <c r="A893" s="6" t="s">
        <v>6146</v>
      </c>
      <c r="B893" s="6" t="s">
        <v>10047</v>
      </c>
      <c r="C893" s="6" t="s">
        <v>6147</v>
      </c>
      <c r="D893" s="6" t="s">
        <v>6150</v>
      </c>
      <c r="E893" s="17" t="s">
        <v>6151</v>
      </c>
      <c r="F893" s="17"/>
      <c r="G893" s="17" t="e">
        <f t="shared" ca="1" si="0"/>
        <v>#NAME?</v>
      </c>
      <c r="H893" s="6"/>
      <c r="I893" s="17"/>
      <c r="J893" s="17"/>
    </row>
    <row r="894" spans="1:10" ht="171.75" customHeight="1">
      <c r="A894" s="6" t="s">
        <v>6153</v>
      </c>
      <c r="B894" s="6" t="s">
        <v>10048</v>
      </c>
      <c r="C894" s="6" t="s">
        <v>6154</v>
      </c>
      <c r="D894" s="6" t="s">
        <v>6157</v>
      </c>
      <c r="E894" s="17" t="s">
        <v>6158</v>
      </c>
      <c r="F894" s="17"/>
      <c r="G894" s="17" t="e">
        <f t="shared" ca="1" si="0"/>
        <v>#NAME?</v>
      </c>
      <c r="H894" s="49"/>
      <c r="I894" s="17"/>
      <c r="J894" s="17"/>
    </row>
    <row r="895" spans="1:10" ht="171.75" customHeight="1">
      <c r="A895" s="6" t="s">
        <v>6160</v>
      </c>
      <c r="B895" s="6" t="s">
        <v>10049</v>
      </c>
      <c r="C895" s="6" t="s">
        <v>6161</v>
      </c>
      <c r="D895" s="6" t="s">
        <v>6164</v>
      </c>
      <c r="E895" s="17" t="s">
        <v>6165</v>
      </c>
      <c r="F895" s="17"/>
      <c r="G895" s="17" t="e">
        <f t="shared" ca="1" si="0"/>
        <v>#NAME?</v>
      </c>
      <c r="H895" s="6"/>
      <c r="I895" s="17"/>
      <c r="J895" s="17"/>
    </row>
    <row r="896" spans="1:10" ht="171.75" customHeight="1">
      <c r="A896" s="6" t="s">
        <v>6146</v>
      </c>
      <c r="B896" s="6" t="s">
        <v>10047</v>
      </c>
      <c r="C896" s="6" t="s">
        <v>6167</v>
      </c>
      <c r="D896" s="6" t="s">
        <v>6170</v>
      </c>
      <c r="E896" s="17" t="s">
        <v>6171</v>
      </c>
      <c r="F896" s="17"/>
      <c r="G896" s="17" t="e">
        <f t="shared" ca="1" si="0"/>
        <v>#NAME?</v>
      </c>
      <c r="H896" s="6"/>
      <c r="I896" s="17"/>
      <c r="J896" s="17"/>
    </row>
    <row r="897" spans="1:10" ht="171.75" customHeight="1">
      <c r="A897" s="43" t="s">
        <v>6173</v>
      </c>
      <c r="B897" s="6" t="s">
        <v>10050</v>
      </c>
      <c r="C897" s="6" t="s">
        <v>6174</v>
      </c>
      <c r="D897" s="6" t="s">
        <v>6177</v>
      </c>
      <c r="E897" s="17" t="s">
        <v>6178</v>
      </c>
      <c r="F897" s="17"/>
      <c r="G897" s="17" t="e">
        <f t="shared" ca="1" si="0"/>
        <v>#NAME?</v>
      </c>
      <c r="H897" s="6"/>
      <c r="I897" s="17"/>
      <c r="J897" s="17"/>
    </row>
    <row r="898" spans="1:10" ht="171.75" customHeight="1">
      <c r="A898" s="43" t="s">
        <v>6181</v>
      </c>
      <c r="B898" s="6" t="s">
        <v>10051</v>
      </c>
      <c r="C898" s="6" t="s">
        <v>6182</v>
      </c>
      <c r="D898" s="6" t="s">
        <v>6185</v>
      </c>
      <c r="E898" s="10" t="s">
        <v>9687</v>
      </c>
      <c r="F898" s="17"/>
      <c r="G898" s="17" t="e">
        <f t="shared" ca="1" si="0"/>
        <v>#NAME?</v>
      </c>
      <c r="H898" s="32"/>
      <c r="I898" s="32"/>
      <c r="J898" s="32"/>
    </row>
    <row r="899" spans="1:10" ht="171.75" customHeight="1">
      <c r="A899" s="6" t="s">
        <v>6188</v>
      </c>
      <c r="B899" s="6" t="s">
        <v>10052</v>
      </c>
      <c r="C899" s="6" t="s">
        <v>6189</v>
      </c>
      <c r="D899" s="6" t="s">
        <v>141</v>
      </c>
      <c r="E899" s="10" t="s">
        <v>9687</v>
      </c>
      <c r="F899" s="17"/>
      <c r="G899" s="17" t="e">
        <f t="shared" ca="1" si="0"/>
        <v>#NAME?</v>
      </c>
      <c r="H899" s="32"/>
      <c r="I899" s="32"/>
      <c r="J899" s="32"/>
    </row>
    <row r="900" spans="1:10" ht="171.75" customHeight="1">
      <c r="A900" s="6" t="s">
        <v>6191</v>
      </c>
      <c r="B900" s="6" t="s">
        <v>10053</v>
      </c>
      <c r="C900" s="6" t="s">
        <v>6192</v>
      </c>
      <c r="D900" s="6" t="s">
        <v>141</v>
      </c>
      <c r="E900" s="10" t="s">
        <v>9687</v>
      </c>
      <c r="F900" s="17"/>
      <c r="G900" s="17" t="e">
        <f t="shared" ca="1" si="0"/>
        <v>#NAME?</v>
      </c>
      <c r="H900" s="49"/>
      <c r="I900" s="17"/>
      <c r="J900" s="17"/>
    </row>
    <row r="901" spans="1:10" ht="171.75" customHeight="1">
      <c r="A901" s="6" t="s">
        <v>6194</v>
      </c>
      <c r="B901" s="6" t="s">
        <v>10054</v>
      </c>
      <c r="C901" s="6" t="s">
        <v>6195</v>
      </c>
      <c r="D901" s="6" t="s">
        <v>6198</v>
      </c>
      <c r="E901" s="17" t="s">
        <v>6199</v>
      </c>
      <c r="F901" s="17"/>
      <c r="G901" s="17" t="e">
        <f t="shared" ca="1" si="0"/>
        <v>#NAME?</v>
      </c>
      <c r="H901" s="6"/>
      <c r="I901" s="17"/>
      <c r="J901" s="17"/>
    </row>
    <row r="902" spans="1:10" ht="171.75" customHeight="1">
      <c r="A902" s="6" t="s">
        <v>6201</v>
      </c>
      <c r="B902" s="6" t="s">
        <v>10055</v>
      </c>
      <c r="C902" s="6" t="s">
        <v>6202</v>
      </c>
      <c r="D902" s="43" t="s">
        <v>6205</v>
      </c>
      <c r="E902" s="17" t="s">
        <v>6206</v>
      </c>
      <c r="F902" s="17"/>
      <c r="G902" s="17" t="e">
        <f t="shared" ca="1" si="0"/>
        <v>#NAME?</v>
      </c>
      <c r="H902" s="6"/>
      <c r="I902" s="17"/>
      <c r="J902" s="17"/>
    </row>
    <row r="903" spans="1:10" ht="171.75" customHeight="1">
      <c r="A903" s="6" t="s">
        <v>6201</v>
      </c>
      <c r="B903" s="6" t="s">
        <v>10055</v>
      </c>
      <c r="C903" s="6" t="s">
        <v>6208</v>
      </c>
      <c r="D903" s="43" t="s">
        <v>6211</v>
      </c>
      <c r="E903" s="17" t="s">
        <v>6212</v>
      </c>
      <c r="F903" s="17"/>
      <c r="G903" s="17" t="e">
        <f t="shared" ca="1" si="0"/>
        <v>#NAME?</v>
      </c>
      <c r="H903" s="6"/>
      <c r="I903" s="17"/>
      <c r="J903" s="17"/>
    </row>
    <row r="904" spans="1:10" ht="171.75" customHeight="1">
      <c r="A904" s="6" t="s">
        <v>6201</v>
      </c>
      <c r="B904" s="6" t="s">
        <v>10055</v>
      </c>
      <c r="C904" s="6" t="s">
        <v>6214</v>
      </c>
      <c r="D904" s="6" t="s">
        <v>6217</v>
      </c>
      <c r="E904" s="17" t="s">
        <v>6218</v>
      </c>
      <c r="F904" s="17"/>
      <c r="G904" s="17" t="e">
        <f t="shared" ca="1" si="0"/>
        <v>#NAME?</v>
      </c>
      <c r="H904" s="6"/>
      <c r="I904" s="17"/>
      <c r="J904" s="17"/>
    </row>
    <row r="905" spans="1:10" ht="171.75" customHeight="1">
      <c r="A905" s="6" t="s">
        <v>379</v>
      </c>
      <c r="B905" s="6" t="s">
        <v>9720</v>
      </c>
      <c r="C905" s="6" t="s">
        <v>6220</v>
      </c>
      <c r="D905" s="6" t="s">
        <v>6223</v>
      </c>
      <c r="E905" s="17" t="s">
        <v>6224</v>
      </c>
      <c r="F905" s="17"/>
      <c r="G905" s="17" t="e">
        <f t="shared" ca="1" si="0"/>
        <v>#NAME?</v>
      </c>
      <c r="H905" s="6"/>
      <c r="I905" s="17"/>
      <c r="J905" s="17"/>
    </row>
    <row r="906" spans="1:10" ht="171.75" customHeight="1">
      <c r="A906" s="43" t="s">
        <v>278</v>
      </c>
      <c r="B906" s="6" t="s">
        <v>9709</v>
      </c>
      <c r="C906" s="6" t="s">
        <v>6227</v>
      </c>
      <c r="D906" s="6" t="s">
        <v>6230</v>
      </c>
      <c r="E906" s="17" t="s">
        <v>6231</v>
      </c>
      <c r="F906" s="17"/>
      <c r="G906" s="17" t="e">
        <f t="shared" ca="1" si="0"/>
        <v>#NAME?</v>
      </c>
      <c r="H906" s="6"/>
      <c r="I906" s="32"/>
      <c r="J906" s="32"/>
    </row>
    <row r="907" spans="1:10" ht="171.75" customHeight="1">
      <c r="A907" s="6" t="s">
        <v>6233</v>
      </c>
      <c r="B907" s="6" t="s">
        <v>10056</v>
      </c>
      <c r="C907" s="6" t="s">
        <v>6234</v>
      </c>
      <c r="D907" s="6" t="s">
        <v>6236</v>
      </c>
      <c r="E907" s="32" t="s">
        <v>6237</v>
      </c>
      <c r="F907" s="17"/>
      <c r="G907" s="17" t="e">
        <f t="shared" ca="1" si="0"/>
        <v>#NAME?</v>
      </c>
      <c r="H907" s="6"/>
      <c r="I907" s="17"/>
      <c r="J907" s="10"/>
    </row>
    <row r="908" spans="1:10" ht="171.75" customHeight="1">
      <c r="A908" s="43" t="s">
        <v>6239</v>
      </c>
      <c r="B908" s="6" t="s">
        <v>9900</v>
      </c>
      <c r="C908" s="6" t="s">
        <v>6240</v>
      </c>
      <c r="D908" s="6" t="s">
        <v>6243</v>
      </c>
      <c r="E908" s="10" t="s">
        <v>6246</v>
      </c>
      <c r="F908" s="17"/>
      <c r="G908" s="17" t="e">
        <f t="shared" ca="1" si="0"/>
        <v>#NAME?</v>
      </c>
      <c r="H908" s="6"/>
      <c r="I908" s="17"/>
      <c r="J908" s="17"/>
    </row>
    <row r="909" spans="1:10" ht="171.75" customHeight="1">
      <c r="A909" s="43" t="s">
        <v>248</v>
      </c>
      <c r="B909" s="6" t="s">
        <v>9712</v>
      </c>
      <c r="C909" s="6" t="s">
        <v>6248</v>
      </c>
      <c r="D909" s="6" t="s">
        <v>6251</v>
      </c>
      <c r="E909" s="17" t="s">
        <v>6253</v>
      </c>
      <c r="F909" s="17"/>
      <c r="G909" s="17" t="e">
        <f t="shared" ca="1" si="0"/>
        <v>#NAME?</v>
      </c>
      <c r="H909" s="6"/>
      <c r="I909" s="17"/>
      <c r="J909" s="17"/>
    </row>
    <row r="910" spans="1:10" ht="171.75" customHeight="1">
      <c r="A910" s="43" t="s">
        <v>6255</v>
      </c>
      <c r="B910" s="6" t="s">
        <v>10057</v>
      </c>
      <c r="C910" s="6" t="s">
        <v>6256</v>
      </c>
      <c r="D910" s="6" t="s">
        <v>6259</v>
      </c>
      <c r="E910" s="17" t="s">
        <v>6261</v>
      </c>
      <c r="F910" s="17"/>
      <c r="G910" s="17" t="e">
        <f t="shared" ca="1" si="0"/>
        <v>#NAME?</v>
      </c>
      <c r="H910" s="6"/>
      <c r="I910" s="46"/>
      <c r="J910" s="32"/>
    </row>
    <row r="911" spans="1:10" ht="171.75" customHeight="1">
      <c r="A911" s="6" t="s">
        <v>677</v>
      </c>
      <c r="B911" s="6" t="s">
        <v>9750</v>
      </c>
      <c r="C911" s="6" t="s">
        <v>6263</v>
      </c>
      <c r="D911" s="6" t="s">
        <v>6266</v>
      </c>
      <c r="E911" s="32" t="s">
        <v>6269</v>
      </c>
      <c r="F911" s="17"/>
      <c r="G911" s="17" t="e">
        <f t="shared" ca="1" si="0"/>
        <v>#NAME?</v>
      </c>
      <c r="H911" s="6"/>
      <c r="I911" s="17"/>
      <c r="J911" s="17"/>
    </row>
    <row r="912" spans="1:10" ht="171.75" customHeight="1">
      <c r="A912" s="6" t="s">
        <v>6271</v>
      </c>
      <c r="B912" s="6" t="s">
        <v>10058</v>
      </c>
      <c r="C912" s="6" t="s">
        <v>6272</v>
      </c>
      <c r="D912" s="6" t="s">
        <v>6275</v>
      </c>
      <c r="E912" s="17" t="s">
        <v>6276</v>
      </c>
      <c r="F912" s="17"/>
      <c r="G912" s="17" t="e">
        <f t="shared" ca="1" si="0"/>
        <v>#NAME?</v>
      </c>
      <c r="H912" s="6"/>
      <c r="I912" s="17"/>
      <c r="J912" s="17"/>
    </row>
    <row r="913" spans="1:10" ht="171.75" customHeight="1">
      <c r="A913" s="6" t="s">
        <v>6279</v>
      </c>
      <c r="B913" s="6" t="s">
        <v>10059</v>
      </c>
      <c r="C913" s="6" t="s">
        <v>6280</v>
      </c>
      <c r="D913" s="6" t="s">
        <v>6283</v>
      </c>
      <c r="E913" s="17" t="s">
        <v>6284</v>
      </c>
      <c r="F913" s="17"/>
      <c r="G913" s="17" t="e">
        <f t="shared" ca="1" si="0"/>
        <v>#NAME?</v>
      </c>
      <c r="H913" s="6"/>
      <c r="I913" s="17"/>
      <c r="J913" s="17"/>
    </row>
    <row r="914" spans="1:10" ht="171.75" customHeight="1">
      <c r="A914" s="6" t="s">
        <v>6279</v>
      </c>
      <c r="B914" s="6" t="s">
        <v>10059</v>
      </c>
      <c r="C914" s="6" t="s">
        <v>6286</v>
      </c>
      <c r="D914" s="43" t="s">
        <v>6289</v>
      </c>
      <c r="E914" s="17" t="s">
        <v>6290</v>
      </c>
      <c r="F914" s="17"/>
      <c r="G914" s="17" t="e">
        <f t="shared" ca="1" si="0"/>
        <v>#NAME?</v>
      </c>
      <c r="H914" s="6"/>
      <c r="I914" s="17"/>
      <c r="J914" s="17"/>
    </row>
    <row r="915" spans="1:10" ht="171.75" customHeight="1">
      <c r="A915" s="6" t="s">
        <v>6293</v>
      </c>
      <c r="B915" s="6" t="s">
        <v>10060</v>
      </c>
      <c r="C915" s="6" t="s">
        <v>6294</v>
      </c>
      <c r="D915" s="6" t="s">
        <v>6297</v>
      </c>
      <c r="E915" s="17" t="s">
        <v>6298</v>
      </c>
      <c r="F915" s="17"/>
      <c r="G915" s="17" t="e">
        <f t="shared" ca="1" si="0"/>
        <v>#NAME?</v>
      </c>
      <c r="H915" s="6"/>
      <c r="I915" s="17"/>
      <c r="J915" s="10"/>
    </row>
    <row r="916" spans="1:10" ht="171.75" customHeight="1">
      <c r="A916" s="43" t="s">
        <v>6300</v>
      </c>
      <c r="B916" s="6" t="s">
        <v>10061</v>
      </c>
      <c r="C916" s="6" t="s">
        <v>6301</v>
      </c>
      <c r="D916" s="6" t="s">
        <v>6304</v>
      </c>
      <c r="E916" s="10" t="s">
        <v>6308</v>
      </c>
      <c r="F916" s="17"/>
      <c r="G916" s="17" t="e">
        <f t="shared" ca="1" si="0"/>
        <v>#NAME?</v>
      </c>
      <c r="H916" s="6"/>
      <c r="I916" s="17"/>
      <c r="J916" s="17"/>
    </row>
    <row r="917" spans="1:10" ht="171.75" customHeight="1">
      <c r="A917" s="6" t="s">
        <v>6310</v>
      </c>
      <c r="B917" s="6" t="s">
        <v>10062</v>
      </c>
      <c r="C917" s="6" t="s">
        <v>6311</v>
      </c>
      <c r="D917" s="6" t="s">
        <v>6314</v>
      </c>
      <c r="E917" s="17" t="s">
        <v>6315</v>
      </c>
      <c r="F917" s="17"/>
      <c r="G917" s="17" t="e">
        <f t="shared" ca="1" si="0"/>
        <v>#NAME?</v>
      </c>
      <c r="H917" s="49"/>
      <c r="I917" s="17"/>
      <c r="J917" s="17"/>
    </row>
    <row r="918" spans="1:10" ht="171.75" customHeight="1">
      <c r="A918" s="6" t="s">
        <v>6317</v>
      </c>
      <c r="B918" s="6" t="s">
        <v>10063</v>
      </c>
      <c r="C918" s="6" t="s">
        <v>6318</v>
      </c>
      <c r="D918" s="6" t="s">
        <v>6321</v>
      </c>
      <c r="E918" s="17" t="s">
        <v>6322</v>
      </c>
      <c r="F918" s="17"/>
      <c r="G918" s="17" t="e">
        <f t="shared" ca="1" si="0"/>
        <v>#NAME?</v>
      </c>
      <c r="H918" s="6"/>
      <c r="I918" s="17"/>
      <c r="J918" s="17"/>
    </row>
    <row r="919" spans="1:10" ht="171.75" customHeight="1">
      <c r="A919" s="6" t="s">
        <v>6324</v>
      </c>
      <c r="B919" s="6" t="s">
        <v>10064</v>
      </c>
      <c r="C919" s="6" t="s">
        <v>6325</v>
      </c>
      <c r="D919" s="6" t="s">
        <v>6328</v>
      </c>
      <c r="E919" s="17" t="s">
        <v>6329</v>
      </c>
      <c r="F919" s="17"/>
      <c r="G919" s="17" t="e">
        <f t="shared" ca="1" si="0"/>
        <v>#NAME?</v>
      </c>
      <c r="H919" s="6"/>
      <c r="I919" s="17"/>
      <c r="J919" s="17"/>
    </row>
    <row r="920" spans="1:10" ht="171.75" customHeight="1">
      <c r="A920" s="6" t="s">
        <v>6331</v>
      </c>
      <c r="B920" s="6" t="s">
        <v>10065</v>
      </c>
      <c r="C920" s="6" t="s">
        <v>6332</v>
      </c>
      <c r="D920" s="6" t="s">
        <v>6335</v>
      </c>
      <c r="E920" s="17" t="s">
        <v>6336</v>
      </c>
      <c r="F920" s="17"/>
      <c r="G920" s="17" t="e">
        <f t="shared" ca="1" si="0"/>
        <v>#NAME?</v>
      </c>
      <c r="H920" s="6"/>
      <c r="I920" s="17"/>
      <c r="J920" s="17"/>
    </row>
    <row r="921" spans="1:10" ht="171.75" customHeight="1">
      <c r="A921" s="6" t="s">
        <v>6339</v>
      </c>
      <c r="B921" s="6" t="s">
        <v>10066</v>
      </c>
      <c r="C921" s="6" t="s">
        <v>6340</v>
      </c>
      <c r="D921" s="6" t="s">
        <v>6343</v>
      </c>
      <c r="E921" s="10" t="s">
        <v>9687</v>
      </c>
      <c r="F921" s="17"/>
      <c r="G921" s="17" t="e">
        <f t="shared" ca="1" si="0"/>
        <v>#NAME?</v>
      </c>
      <c r="H921" s="6"/>
      <c r="I921" s="17"/>
      <c r="J921" s="17"/>
    </row>
    <row r="922" spans="1:10" ht="171.75" customHeight="1">
      <c r="A922" s="6" t="s">
        <v>6346</v>
      </c>
      <c r="B922" s="6" t="s">
        <v>10067</v>
      </c>
      <c r="C922" s="6" t="s">
        <v>6347</v>
      </c>
      <c r="D922" s="6" t="s">
        <v>6350</v>
      </c>
      <c r="E922" s="17" t="s">
        <v>6351</v>
      </c>
      <c r="F922" s="17"/>
      <c r="G922" s="17" t="e">
        <f t="shared" ca="1" si="0"/>
        <v>#NAME?</v>
      </c>
      <c r="H922" s="6"/>
      <c r="I922" s="17"/>
      <c r="J922" s="10"/>
    </row>
    <row r="923" spans="1:10" ht="171.75" customHeight="1">
      <c r="A923" s="43" t="s">
        <v>6354</v>
      </c>
      <c r="B923" s="6" t="s">
        <v>10068</v>
      </c>
      <c r="C923" s="6" t="s">
        <v>6355</v>
      </c>
      <c r="D923" s="6" t="s">
        <v>6358</v>
      </c>
      <c r="E923" s="10" t="s">
        <v>6362</v>
      </c>
      <c r="F923" s="17"/>
      <c r="G923" s="17" t="e">
        <f t="shared" ca="1" si="0"/>
        <v>#NAME?</v>
      </c>
      <c r="H923" s="6"/>
      <c r="I923" s="17"/>
      <c r="J923" s="17"/>
    </row>
    <row r="924" spans="1:10" ht="171.75" customHeight="1">
      <c r="A924" s="43" t="s">
        <v>2861</v>
      </c>
      <c r="B924" s="6" t="s">
        <v>9871</v>
      </c>
      <c r="C924" s="6" t="s">
        <v>6364</v>
      </c>
      <c r="D924" s="6" t="s">
        <v>6367</v>
      </c>
      <c r="E924" s="17" t="s">
        <v>6368</v>
      </c>
      <c r="F924" s="17"/>
      <c r="G924" s="17" t="e">
        <f t="shared" ca="1" si="0"/>
        <v>#NAME?</v>
      </c>
      <c r="H924" s="6"/>
      <c r="I924" s="17"/>
      <c r="J924" s="17"/>
    </row>
    <row r="925" spans="1:10" ht="171.75" customHeight="1">
      <c r="A925" s="6" t="s">
        <v>6370</v>
      </c>
      <c r="B925" s="6" t="s">
        <v>10069</v>
      </c>
      <c r="C925" s="6" t="s">
        <v>6371</v>
      </c>
      <c r="D925" s="6" t="s">
        <v>6374</v>
      </c>
      <c r="E925" s="17" t="s">
        <v>6375</v>
      </c>
      <c r="F925" s="17"/>
      <c r="G925" s="17" t="e">
        <f t="shared" ca="1" si="0"/>
        <v>#NAME?</v>
      </c>
      <c r="H925" s="6"/>
      <c r="I925" s="17"/>
      <c r="J925" s="17"/>
    </row>
    <row r="926" spans="1:10" ht="171.75" customHeight="1">
      <c r="A926" s="6" t="s">
        <v>6370</v>
      </c>
      <c r="B926" s="6" t="s">
        <v>10069</v>
      </c>
      <c r="C926" s="6" t="s">
        <v>6377</v>
      </c>
      <c r="D926" s="6" t="s">
        <v>6380</v>
      </c>
      <c r="E926" s="17" t="s">
        <v>6381</v>
      </c>
      <c r="F926" s="17"/>
      <c r="G926" s="17" t="e">
        <f t="shared" ca="1" si="0"/>
        <v>#NAME?</v>
      </c>
      <c r="H926" s="6"/>
      <c r="I926" s="17"/>
      <c r="J926" s="17"/>
    </row>
    <row r="927" spans="1:10" ht="171.75" customHeight="1">
      <c r="A927" s="6" t="s">
        <v>6370</v>
      </c>
      <c r="B927" s="6" t="s">
        <v>10069</v>
      </c>
      <c r="C927" s="6" t="s">
        <v>6383</v>
      </c>
      <c r="D927" s="6" t="s">
        <v>6386</v>
      </c>
      <c r="E927" s="17" t="s">
        <v>6387</v>
      </c>
      <c r="F927" s="17"/>
      <c r="G927" s="17" t="e">
        <f t="shared" ca="1" si="0"/>
        <v>#NAME?</v>
      </c>
      <c r="H927" s="6"/>
      <c r="I927" s="17"/>
      <c r="J927" s="17"/>
    </row>
    <row r="928" spans="1:10" ht="171.75" customHeight="1">
      <c r="A928" s="6" t="s">
        <v>6370</v>
      </c>
      <c r="B928" s="6" t="s">
        <v>10069</v>
      </c>
      <c r="C928" s="6" t="s">
        <v>6389</v>
      </c>
      <c r="D928" s="6" t="s">
        <v>6392</v>
      </c>
      <c r="E928" s="17" t="s">
        <v>6393</v>
      </c>
      <c r="F928" s="17"/>
      <c r="G928" s="17" t="e">
        <f t="shared" ca="1" si="0"/>
        <v>#NAME?</v>
      </c>
      <c r="H928" s="6"/>
      <c r="I928" s="17"/>
      <c r="J928" s="17"/>
    </row>
    <row r="929" spans="1:10" ht="171.75" customHeight="1">
      <c r="A929" s="6" t="s">
        <v>6370</v>
      </c>
      <c r="B929" s="6" t="s">
        <v>10069</v>
      </c>
      <c r="C929" s="6" t="s">
        <v>6395</v>
      </c>
      <c r="D929" s="6" t="s">
        <v>6398</v>
      </c>
      <c r="E929" s="17" t="s">
        <v>6399</v>
      </c>
      <c r="F929" s="17"/>
      <c r="G929" s="17" t="e">
        <f t="shared" ca="1" si="0"/>
        <v>#NAME?</v>
      </c>
      <c r="H929" s="6"/>
      <c r="I929" s="17"/>
      <c r="J929" s="17"/>
    </row>
    <row r="930" spans="1:10" ht="171.75" customHeight="1">
      <c r="A930" s="6" t="s">
        <v>6370</v>
      </c>
      <c r="B930" s="6" t="s">
        <v>10069</v>
      </c>
      <c r="C930" s="6" t="s">
        <v>6401</v>
      </c>
      <c r="D930" s="6" t="s">
        <v>6404</v>
      </c>
      <c r="E930" s="17" t="s">
        <v>6405</v>
      </c>
      <c r="F930" s="17"/>
      <c r="G930" s="17" t="e">
        <f t="shared" ca="1" si="0"/>
        <v>#NAME?</v>
      </c>
      <c r="H930" s="6"/>
      <c r="I930" s="17"/>
      <c r="J930" s="17"/>
    </row>
    <row r="931" spans="1:10" ht="171.75" customHeight="1">
      <c r="A931" s="6" t="s">
        <v>6370</v>
      </c>
      <c r="B931" s="6" t="s">
        <v>10069</v>
      </c>
      <c r="C931" s="6" t="s">
        <v>6407</v>
      </c>
      <c r="D931" s="6" t="s">
        <v>6410</v>
      </c>
      <c r="E931" s="17" t="s">
        <v>6411</v>
      </c>
      <c r="F931" s="17"/>
      <c r="G931" s="17" t="e">
        <f t="shared" ca="1" si="0"/>
        <v>#NAME?</v>
      </c>
      <c r="H931" s="6"/>
      <c r="I931" s="17"/>
      <c r="J931" s="17"/>
    </row>
    <row r="932" spans="1:10" ht="171.75" customHeight="1">
      <c r="A932" s="6" t="s">
        <v>6370</v>
      </c>
      <c r="B932" s="6" t="s">
        <v>10069</v>
      </c>
      <c r="C932" s="6" t="s">
        <v>6413</v>
      </c>
      <c r="D932" s="6" t="s">
        <v>6416</v>
      </c>
      <c r="E932" s="17" t="s">
        <v>6417</v>
      </c>
      <c r="F932" s="17"/>
      <c r="G932" s="17" t="e">
        <f t="shared" ca="1" si="0"/>
        <v>#NAME?</v>
      </c>
      <c r="H932" s="6"/>
      <c r="I932" s="17"/>
      <c r="J932" s="17"/>
    </row>
    <row r="933" spans="1:10" ht="171.75" customHeight="1">
      <c r="A933" s="6" t="s">
        <v>6370</v>
      </c>
      <c r="B933" s="6" t="s">
        <v>10069</v>
      </c>
      <c r="C933" s="6" t="s">
        <v>6419</v>
      </c>
      <c r="D933" s="6" t="s">
        <v>6422</v>
      </c>
      <c r="E933" s="17" t="s">
        <v>6423</v>
      </c>
      <c r="F933" s="17"/>
      <c r="G933" s="17" t="e">
        <f t="shared" ca="1" si="0"/>
        <v>#NAME?</v>
      </c>
      <c r="H933" s="6"/>
      <c r="I933" s="17"/>
      <c r="J933" s="17"/>
    </row>
    <row r="934" spans="1:10" ht="171.75" customHeight="1">
      <c r="A934" s="6" t="s">
        <v>6370</v>
      </c>
      <c r="B934" s="6" t="s">
        <v>10069</v>
      </c>
      <c r="C934" s="6" t="s">
        <v>6425</v>
      </c>
      <c r="D934" s="6" t="s">
        <v>6428</v>
      </c>
      <c r="E934" s="17" t="s">
        <v>6429</v>
      </c>
      <c r="F934" s="17"/>
      <c r="G934" s="17" t="e">
        <f t="shared" ca="1" si="0"/>
        <v>#NAME?</v>
      </c>
      <c r="H934" s="6"/>
      <c r="I934" s="17"/>
      <c r="J934" s="17"/>
    </row>
    <row r="935" spans="1:10" ht="171.75" customHeight="1">
      <c r="A935" s="6" t="s">
        <v>6370</v>
      </c>
      <c r="B935" s="6" t="s">
        <v>10069</v>
      </c>
      <c r="C935" s="6" t="s">
        <v>6431</v>
      </c>
      <c r="D935" s="6" t="s">
        <v>6434</v>
      </c>
      <c r="E935" s="17" t="s">
        <v>6435</v>
      </c>
      <c r="F935" s="17"/>
      <c r="G935" s="17" t="e">
        <f t="shared" ca="1" si="0"/>
        <v>#NAME?</v>
      </c>
      <c r="H935" s="6"/>
      <c r="I935" s="17"/>
      <c r="J935" s="17"/>
    </row>
    <row r="936" spans="1:10" ht="171.75" customHeight="1">
      <c r="A936" s="6" t="s">
        <v>6370</v>
      </c>
      <c r="B936" s="6" t="s">
        <v>10069</v>
      </c>
      <c r="C936" s="6" t="s">
        <v>6437</v>
      </c>
      <c r="D936" s="43" t="s">
        <v>6440</v>
      </c>
      <c r="E936" s="17" t="s">
        <v>6441</v>
      </c>
      <c r="F936" s="17"/>
      <c r="G936" s="17" t="e">
        <f t="shared" ca="1" si="0"/>
        <v>#NAME?</v>
      </c>
      <c r="H936" s="6"/>
      <c r="I936" s="17"/>
      <c r="J936" s="17"/>
    </row>
    <row r="937" spans="1:10" ht="171.75" customHeight="1">
      <c r="A937" s="6" t="s">
        <v>6443</v>
      </c>
      <c r="B937" s="6" t="s">
        <v>10070</v>
      </c>
      <c r="C937" s="6" t="s">
        <v>6444</v>
      </c>
      <c r="D937" s="6" t="s">
        <v>6447</v>
      </c>
      <c r="E937" s="17" t="s">
        <v>6448</v>
      </c>
      <c r="F937" s="17"/>
      <c r="G937" s="17" t="e">
        <f t="shared" ca="1" si="0"/>
        <v>#NAME?</v>
      </c>
      <c r="H937" s="6"/>
      <c r="I937" s="17"/>
      <c r="J937" s="17"/>
    </row>
    <row r="938" spans="1:10" ht="171.75" customHeight="1">
      <c r="A938" s="6" t="s">
        <v>6450</v>
      </c>
      <c r="B938" s="6" t="s">
        <v>10071</v>
      </c>
      <c r="C938" s="6" t="s">
        <v>6451</v>
      </c>
      <c r="D938" s="6" t="s">
        <v>6454</v>
      </c>
      <c r="E938" s="17" t="s">
        <v>6455</v>
      </c>
      <c r="F938" s="17"/>
      <c r="G938" s="17" t="e">
        <f t="shared" ca="1" si="0"/>
        <v>#NAME?</v>
      </c>
      <c r="H938" s="6"/>
      <c r="I938" s="17"/>
      <c r="J938" s="17"/>
    </row>
    <row r="939" spans="1:10" ht="171.75" customHeight="1">
      <c r="A939" s="6" t="s">
        <v>6450</v>
      </c>
      <c r="B939" s="6" t="s">
        <v>10071</v>
      </c>
      <c r="C939" s="6" t="s">
        <v>6457</v>
      </c>
      <c r="D939" s="6" t="s">
        <v>6460</v>
      </c>
      <c r="E939" s="17" t="s">
        <v>6461</v>
      </c>
      <c r="F939" s="17"/>
      <c r="G939" s="17" t="e">
        <f t="shared" ca="1" si="0"/>
        <v>#NAME?</v>
      </c>
      <c r="H939" s="6"/>
      <c r="I939" s="17"/>
      <c r="J939" s="17"/>
    </row>
    <row r="940" spans="1:10" ht="171.75" customHeight="1">
      <c r="A940" s="6" t="s">
        <v>6443</v>
      </c>
      <c r="B940" s="6" t="s">
        <v>10070</v>
      </c>
      <c r="C940" s="6" t="s">
        <v>6463</v>
      </c>
      <c r="D940" s="6" t="s">
        <v>6466</v>
      </c>
      <c r="E940" s="17" t="s">
        <v>6467</v>
      </c>
      <c r="F940" s="17"/>
      <c r="G940" s="17" t="e">
        <f t="shared" ca="1" si="0"/>
        <v>#NAME?</v>
      </c>
      <c r="H940" s="6"/>
      <c r="I940" s="17"/>
      <c r="J940" s="17"/>
    </row>
    <row r="941" spans="1:10" ht="171.75" customHeight="1">
      <c r="A941" s="6" t="s">
        <v>6450</v>
      </c>
      <c r="B941" s="6" t="s">
        <v>10071</v>
      </c>
      <c r="C941" s="6" t="s">
        <v>6469</v>
      </c>
      <c r="D941" s="6" t="s">
        <v>6472</v>
      </c>
      <c r="E941" s="17" t="s">
        <v>6473</v>
      </c>
      <c r="F941" s="17"/>
      <c r="G941" s="17" t="e">
        <f t="shared" ca="1" si="0"/>
        <v>#NAME?</v>
      </c>
      <c r="H941" s="6"/>
      <c r="I941" s="17"/>
      <c r="J941" s="17"/>
    </row>
    <row r="942" spans="1:10" ht="171.75" customHeight="1">
      <c r="A942" s="6" t="s">
        <v>6450</v>
      </c>
      <c r="B942" s="6" t="s">
        <v>10071</v>
      </c>
      <c r="C942" s="6" t="s">
        <v>6475</v>
      </c>
      <c r="D942" s="6" t="s">
        <v>6478</v>
      </c>
      <c r="E942" s="17" t="s">
        <v>6479</v>
      </c>
      <c r="F942" s="17"/>
      <c r="G942" s="17" t="e">
        <f t="shared" ca="1" si="0"/>
        <v>#NAME?</v>
      </c>
      <c r="H942" s="6"/>
      <c r="I942" s="17"/>
      <c r="J942" s="17"/>
    </row>
    <row r="943" spans="1:10" ht="171.75" customHeight="1">
      <c r="A943" s="6" t="s">
        <v>920</v>
      </c>
      <c r="B943" s="6" t="s">
        <v>9774</v>
      </c>
      <c r="C943" s="6" t="s">
        <v>6481</v>
      </c>
      <c r="D943" s="6" t="s">
        <v>6484</v>
      </c>
      <c r="E943" s="17" t="s">
        <v>6485</v>
      </c>
      <c r="F943" s="17"/>
      <c r="G943" s="17" t="e">
        <f t="shared" ca="1" si="0"/>
        <v>#NAME?</v>
      </c>
      <c r="H943" s="6"/>
      <c r="I943" s="17"/>
      <c r="J943" s="17"/>
    </row>
    <row r="944" spans="1:10" ht="171.75" customHeight="1">
      <c r="A944" s="6" t="s">
        <v>6487</v>
      </c>
      <c r="B944" s="6" t="s">
        <v>10072</v>
      </c>
      <c r="C944" s="6" t="s">
        <v>6488</v>
      </c>
      <c r="D944" s="6" t="s">
        <v>6491</v>
      </c>
      <c r="E944" s="17" t="s">
        <v>6492</v>
      </c>
      <c r="F944" s="17"/>
      <c r="G944" s="17" t="e">
        <f t="shared" ca="1" si="0"/>
        <v>#NAME?</v>
      </c>
      <c r="H944" s="6"/>
      <c r="I944" s="17"/>
      <c r="J944" s="17"/>
    </row>
    <row r="945" spans="1:10" ht="171.75" customHeight="1">
      <c r="A945" s="43" t="s">
        <v>1199</v>
      </c>
      <c r="B945" s="6" t="s">
        <v>1199</v>
      </c>
      <c r="C945" s="6" t="s">
        <v>6494</v>
      </c>
      <c r="D945" s="6" t="s">
        <v>6497</v>
      </c>
      <c r="E945" s="17" t="s">
        <v>6500</v>
      </c>
      <c r="F945" s="17"/>
      <c r="G945" s="17" t="e">
        <f t="shared" ca="1" si="0"/>
        <v>#NAME?</v>
      </c>
      <c r="H945" s="6"/>
      <c r="I945" s="6"/>
      <c r="J945" s="10"/>
    </row>
    <row r="946" spans="1:10" ht="171.75" customHeight="1">
      <c r="A946" s="6" t="s">
        <v>248</v>
      </c>
      <c r="B946" s="6" t="s">
        <v>9712</v>
      </c>
      <c r="C946" s="6" t="s">
        <v>6502</v>
      </c>
      <c r="D946" s="6" t="s">
        <v>6505</v>
      </c>
      <c r="E946" s="10" t="s">
        <v>6509</v>
      </c>
      <c r="F946" s="17"/>
      <c r="G946" s="17" t="e">
        <f t="shared" ca="1" si="0"/>
        <v>#NAME?</v>
      </c>
      <c r="H946" s="6"/>
      <c r="I946" s="17"/>
      <c r="J946" s="10"/>
    </row>
    <row r="947" spans="1:10" ht="171.75" customHeight="1">
      <c r="A947" s="6" t="s">
        <v>285</v>
      </c>
      <c r="B947" s="6" t="s">
        <v>9710</v>
      </c>
      <c r="C947" s="6" t="s">
        <v>6511</v>
      </c>
      <c r="D947" s="6" t="s">
        <v>6514</v>
      </c>
      <c r="E947" s="10" t="s">
        <v>6516</v>
      </c>
      <c r="F947" s="17"/>
      <c r="G947" s="17" t="e">
        <f t="shared" ca="1" si="0"/>
        <v>#NAME?</v>
      </c>
      <c r="H947" s="6"/>
      <c r="I947" s="6"/>
      <c r="J947" s="17"/>
    </row>
    <row r="948" spans="1:10" ht="171.75" customHeight="1">
      <c r="A948" s="6" t="s">
        <v>379</v>
      </c>
      <c r="B948" s="6" t="s">
        <v>9720</v>
      </c>
      <c r="C948" s="6" t="s">
        <v>6518</v>
      </c>
      <c r="D948" s="6" t="s">
        <v>6521</v>
      </c>
      <c r="E948" s="17" t="s">
        <v>6522</v>
      </c>
      <c r="F948" s="17"/>
      <c r="G948" s="17" t="e">
        <f t="shared" ca="1" si="0"/>
        <v>#NAME?</v>
      </c>
      <c r="H948" s="6"/>
      <c r="I948" s="17"/>
      <c r="J948" s="10"/>
    </row>
    <row r="949" spans="1:10" ht="171.75" customHeight="1">
      <c r="A949" s="43" t="s">
        <v>1394</v>
      </c>
      <c r="B949" s="6" t="s">
        <v>9797</v>
      </c>
      <c r="C949" s="6" t="s">
        <v>6524</v>
      </c>
      <c r="D949" s="6" t="s">
        <v>6527</v>
      </c>
      <c r="E949" s="10" t="s">
        <v>6530</v>
      </c>
      <c r="F949" s="17"/>
      <c r="G949" s="17" t="e">
        <f t="shared" ca="1" si="0"/>
        <v>#NAME?</v>
      </c>
      <c r="H949" s="6"/>
      <c r="I949" s="46"/>
      <c r="J949" s="17"/>
    </row>
    <row r="950" spans="1:10" ht="171.75" customHeight="1">
      <c r="A950" s="6" t="s">
        <v>963</v>
      </c>
      <c r="B950" s="6" t="s">
        <v>9778</v>
      </c>
      <c r="C950" s="6" t="s">
        <v>6532</v>
      </c>
      <c r="D950" s="6" t="s">
        <v>6535</v>
      </c>
      <c r="E950" s="17" t="s">
        <v>6538</v>
      </c>
      <c r="F950" s="17"/>
      <c r="G950" s="17" t="e">
        <f t="shared" ca="1" si="0"/>
        <v>#NAME?</v>
      </c>
      <c r="H950" s="6"/>
      <c r="I950" s="17"/>
      <c r="J950" s="17"/>
    </row>
    <row r="951" spans="1:10" ht="171.75" customHeight="1">
      <c r="A951" s="6" t="s">
        <v>6540</v>
      </c>
      <c r="B951" s="6" t="s">
        <v>10073</v>
      </c>
      <c r="C951" s="6" t="s">
        <v>6541</v>
      </c>
      <c r="D951" s="6" t="s">
        <v>6544</v>
      </c>
      <c r="E951" s="10" t="s">
        <v>9687</v>
      </c>
      <c r="F951" s="17"/>
      <c r="G951" s="17" t="e">
        <f t="shared" ca="1" si="0"/>
        <v>#NAME?</v>
      </c>
      <c r="H951" s="6"/>
      <c r="I951" s="17"/>
      <c r="J951" s="17"/>
    </row>
    <row r="952" spans="1:10" ht="171.75" customHeight="1">
      <c r="A952" s="43" t="s">
        <v>2581</v>
      </c>
      <c r="B952" s="6" t="s">
        <v>9857</v>
      </c>
      <c r="C952" s="6" t="s">
        <v>6548</v>
      </c>
      <c r="D952" s="6" t="s">
        <v>6551</v>
      </c>
      <c r="E952" s="17" t="s">
        <v>6552</v>
      </c>
      <c r="F952" s="17"/>
      <c r="G952" s="17" t="e">
        <f t="shared" ca="1" si="0"/>
        <v>#NAME?</v>
      </c>
      <c r="H952" s="6"/>
      <c r="I952" s="17"/>
      <c r="J952" s="17"/>
    </row>
    <row r="953" spans="1:10" ht="171.75" customHeight="1">
      <c r="A953" s="6" t="s">
        <v>6554</v>
      </c>
      <c r="B953" s="6" t="s">
        <v>10074</v>
      </c>
      <c r="C953" s="6" t="s">
        <v>6555</v>
      </c>
      <c r="D953" s="6" t="s">
        <v>6558</v>
      </c>
      <c r="E953" s="17" t="s">
        <v>6559</v>
      </c>
      <c r="F953" s="17"/>
      <c r="G953" s="17" t="e">
        <f t="shared" ca="1" si="0"/>
        <v>#NAME?</v>
      </c>
      <c r="H953" s="6"/>
      <c r="I953" s="6"/>
      <c r="J953" s="10"/>
    </row>
    <row r="954" spans="1:10" ht="171.75" customHeight="1">
      <c r="A954" s="43" t="s">
        <v>638</v>
      </c>
      <c r="B954" s="6" t="s">
        <v>638</v>
      </c>
      <c r="C954" s="6" t="s">
        <v>6561</v>
      </c>
      <c r="D954" s="6" t="s">
        <v>6564</v>
      </c>
      <c r="E954" s="10" t="s">
        <v>6568</v>
      </c>
      <c r="F954" s="17"/>
      <c r="G954" s="17" t="e">
        <f t="shared" ca="1" si="0"/>
        <v>#NAME?</v>
      </c>
      <c r="H954" s="6"/>
      <c r="I954" s="17"/>
      <c r="J954" s="10"/>
    </row>
    <row r="955" spans="1:10" ht="171.75" customHeight="1">
      <c r="A955" s="6" t="s">
        <v>6570</v>
      </c>
      <c r="B955" s="6" t="s">
        <v>10075</v>
      </c>
      <c r="C955" s="6" t="s">
        <v>6571</v>
      </c>
      <c r="D955" s="6" t="s">
        <v>6574</v>
      </c>
      <c r="E955" s="10" t="s">
        <v>6578</v>
      </c>
      <c r="F955" s="17"/>
      <c r="G955" s="17" t="e">
        <f t="shared" ca="1" si="0"/>
        <v>#NAME?</v>
      </c>
      <c r="H955" s="6"/>
      <c r="I955" s="46"/>
      <c r="J955" s="17"/>
    </row>
    <row r="956" spans="1:10" ht="171.75" customHeight="1">
      <c r="A956" s="6" t="s">
        <v>199</v>
      </c>
      <c r="B956" s="6" t="s">
        <v>9708</v>
      </c>
      <c r="C956" s="6" t="s">
        <v>6580</v>
      </c>
      <c r="D956" s="6" t="s">
        <v>6583</v>
      </c>
      <c r="E956" s="17" t="s">
        <v>6585</v>
      </c>
      <c r="F956" s="17"/>
      <c r="G956" s="17" t="e">
        <f t="shared" ca="1" si="0"/>
        <v>#NAME?</v>
      </c>
      <c r="H956" s="6"/>
      <c r="I956" s="17"/>
      <c r="J956" s="10"/>
    </row>
    <row r="957" spans="1:10" ht="171.75" customHeight="1">
      <c r="A957" s="6" t="s">
        <v>6587</v>
      </c>
      <c r="B957" s="6" t="s">
        <v>10076</v>
      </c>
      <c r="C957" s="6" t="s">
        <v>6588</v>
      </c>
      <c r="D957" s="6" t="s">
        <v>6591</v>
      </c>
      <c r="E957" s="10" t="s">
        <v>6593</v>
      </c>
      <c r="F957" s="17"/>
      <c r="G957" s="17" t="e">
        <f t="shared" ca="1" si="0"/>
        <v>#NAME?</v>
      </c>
      <c r="H957" s="6"/>
      <c r="I957" s="17"/>
      <c r="J957" s="17"/>
    </row>
    <row r="958" spans="1:10" ht="171.75" customHeight="1">
      <c r="A958" s="6" t="s">
        <v>6596</v>
      </c>
      <c r="B958" s="6" t="s">
        <v>10077</v>
      </c>
      <c r="C958" s="6" t="s">
        <v>6597</v>
      </c>
      <c r="D958" s="6" t="s">
        <v>6600</v>
      </c>
      <c r="E958" s="17" t="s">
        <v>6601</v>
      </c>
      <c r="F958" s="17"/>
      <c r="G958" s="17" t="e">
        <f t="shared" ca="1" si="0"/>
        <v>#NAME?</v>
      </c>
      <c r="H958" s="32"/>
      <c r="I958" s="17"/>
      <c r="J958" s="17"/>
    </row>
    <row r="959" spans="1:10" ht="171.75" customHeight="1">
      <c r="A959" s="6" t="s">
        <v>878</v>
      </c>
      <c r="B959" s="6" t="s">
        <v>9770</v>
      </c>
      <c r="C959" s="6" t="s">
        <v>6603</v>
      </c>
      <c r="D959" s="6" t="s">
        <v>141</v>
      </c>
      <c r="E959" s="17" t="s">
        <v>6606</v>
      </c>
      <c r="F959" s="17"/>
      <c r="G959" s="17" t="e">
        <f t="shared" ca="1" si="0"/>
        <v>#NAME?</v>
      </c>
      <c r="H959" s="6"/>
      <c r="I959" s="17"/>
      <c r="J959" s="10"/>
    </row>
    <row r="960" spans="1:10" ht="171.75" customHeight="1">
      <c r="A960" s="43" t="s">
        <v>6608</v>
      </c>
      <c r="B960" s="6" t="s">
        <v>10078</v>
      </c>
      <c r="C960" s="6" t="s">
        <v>6609</v>
      </c>
      <c r="D960" s="6" t="s">
        <v>6612</v>
      </c>
      <c r="E960" s="10" t="s">
        <v>6615</v>
      </c>
      <c r="F960" s="17"/>
      <c r="G960" s="17" t="e">
        <f t="shared" ca="1" si="0"/>
        <v>#NAME?</v>
      </c>
      <c r="H960" s="6"/>
      <c r="I960" s="17"/>
      <c r="J960" s="17"/>
    </row>
    <row r="961" spans="1:10" ht="171.75" customHeight="1">
      <c r="A961" s="6" t="s">
        <v>6617</v>
      </c>
      <c r="B961" s="6" t="s">
        <v>10079</v>
      </c>
      <c r="C961" s="6" t="s">
        <v>6618</v>
      </c>
      <c r="D961" s="6" t="s">
        <v>6621</v>
      </c>
      <c r="E961" s="17" t="s">
        <v>6622</v>
      </c>
      <c r="F961" s="17"/>
      <c r="G961" s="17" t="e">
        <f t="shared" ca="1" si="0"/>
        <v>#NAME?</v>
      </c>
      <c r="H961" s="6"/>
      <c r="I961" s="17"/>
      <c r="J961" s="17"/>
    </row>
    <row r="962" spans="1:10" ht="171.75" customHeight="1">
      <c r="A962" s="6" t="s">
        <v>6617</v>
      </c>
      <c r="B962" s="6" t="s">
        <v>10079</v>
      </c>
      <c r="C962" s="6" t="s">
        <v>6624</v>
      </c>
      <c r="D962" s="6" t="s">
        <v>6627</v>
      </c>
      <c r="E962" s="17" t="s">
        <v>6628</v>
      </c>
      <c r="F962" s="17"/>
      <c r="G962" s="17" t="e">
        <f t="shared" ca="1" si="0"/>
        <v>#NAME?</v>
      </c>
      <c r="H962" s="6"/>
      <c r="I962" s="17"/>
      <c r="J962" s="17"/>
    </row>
    <row r="963" spans="1:10" ht="171.75" customHeight="1">
      <c r="A963" s="6" t="s">
        <v>6630</v>
      </c>
      <c r="B963" s="6" t="s">
        <v>10080</v>
      </c>
      <c r="C963" s="6" t="s">
        <v>6631</v>
      </c>
      <c r="D963" s="6" t="s">
        <v>6634</v>
      </c>
      <c r="E963" s="10" t="s">
        <v>9687</v>
      </c>
      <c r="F963" s="17"/>
      <c r="G963" s="17" t="e">
        <f t="shared" ca="1" si="0"/>
        <v>#NAME?</v>
      </c>
      <c r="H963" s="6"/>
      <c r="I963" s="46"/>
      <c r="J963" s="17"/>
    </row>
    <row r="964" spans="1:10" ht="171.75" customHeight="1">
      <c r="A964" s="43" t="s">
        <v>387</v>
      </c>
      <c r="B964" s="6" t="s">
        <v>387</v>
      </c>
      <c r="C964" s="6" t="s">
        <v>6636</v>
      </c>
      <c r="D964" s="43" t="s">
        <v>6639</v>
      </c>
      <c r="E964" s="17" t="s">
        <v>6641</v>
      </c>
      <c r="F964" s="17"/>
      <c r="G964" s="17" t="e">
        <f t="shared" ca="1" si="0"/>
        <v>#NAME?</v>
      </c>
      <c r="H964" s="6"/>
      <c r="I964" s="17"/>
      <c r="J964" s="17"/>
    </row>
    <row r="965" spans="1:10" ht="171.75" customHeight="1">
      <c r="A965" s="6" t="s">
        <v>6146</v>
      </c>
      <c r="B965" s="6" t="s">
        <v>10047</v>
      </c>
      <c r="C965" s="6" t="s">
        <v>6643</v>
      </c>
      <c r="D965" s="6" t="s">
        <v>6646</v>
      </c>
      <c r="E965" s="17" t="s">
        <v>6647</v>
      </c>
      <c r="F965" s="17"/>
      <c r="G965" s="17" t="e">
        <f t="shared" ca="1" si="0"/>
        <v>#NAME?</v>
      </c>
      <c r="H965" s="6"/>
      <c r="I965" s="17"/>
      <c r="J965" s="17"/>
    </row>
    <row r="966" spans="1:10" ht="171.75" customHeight="1">
      <c r="A966" s="6" t="s">
        <v>6146</v>
      </c>
      <c r="B966" s="6" t="s">
        <v>10047</v>
      </c>
      <c r="C966" s="6" t="s">
        <v>6650</v>
      </c>
      <c r="D966" s="6" t="s">
        <v>6653</v>
      </c>
      <c r="E966" s="17" t="s">
        <v>6654</v>
      </c>
      <c r="F966" s="17"/>
      <c r="G966" s="17" t="e">
        <f t="shared" ca="1" si="0"/>
        <v>#NAME?</v>
      </c>
      <c r="H966" s="6"/>
      <c r="I966" s="17"/>
      <c r="J966" s="17"/>
    </row>
    <row r="967" spans="1:10" ht="171.75" customHeight="1">
      <c r="A967" s="6" t="s">
        <v>6656</v>
      </c>
      <c r="B967" s="6" t="s">
        <v>10081</v>
      </c>
      <c r="C967" s="6" t="s">
        <v>6657</v>
      </c>
      <c r="D967" s="6" t="s">
        <v>6660</v>
      </c>
      <c r="E967" s="17" t="s">
        <v>6661</v>
      </c>
      <c r="F967" s="17"/>
      <c r="G967" s="17" t="e">
        <f t="shared" ca="1" si="0"/>
        <v>#NAME?</v>
      </c>
      <c r="H967" s="6"/>
      <c r="I967" s="17"/>
      <c r="J967" s="17"/>
    </row>
    <row r="968" spans="1:10" ht="171.75" customHeight="1">
      <c r="A968" s="6" t="s">
        <v>6663</v>
      </c>
      <c r="B968" s="6" t="s">
        <v>10082</v>
      </c>
      <c r="C968" s="6" t="s">
        <v>6664</v>
      </c>
      <c r="D968" s="6" t="s">
        <v>6667</v>
      </c>
      <c r="E968" s="17" t="s">
        <v>6668</v>
      </c>
      <c r="F968" s="17"/>
      <c r="G968" s="17" t="e">
        <f t="shared" ca="1" si="0"/>
        <v>#NAME?</v>
      </c>
      <c r="H968" s="6"/>
      <c r="I968" s="17"/>
      <c r="J968" s="17"/>
    </row>
    <row r="969" spans="1:10" ht="171.75" customHeight="1">
      <c r="A969" s="43" t="s">
        <v>6670</v>
      </c>
      <c r="B969" s="6" t="s">
        <v>10083</v>
      </c>
      <c r="C969" s="6" t="s">
        <v>6671</v>
      </c>
      <c r="D969" s="6" t="s">
        <v>6674</v>
      </c>
      <c r="E969" s="17" t="s">
        <v>6675</v>
      </c>
      <c r="F969" s="17"/>
      <c r="G969" s="17" t="e">
        <f t="shared" ca="1" si="0"/>
        <v>#NAME?</v>
      </c>
      <c r="H969" s="6"/>
      <c r="I969" s="46"/>
      <c r="J969" s="17"/>
    </row>
    <row r="970" spans="1:10" ht="171.75" customHeight="1">
      <c r="A970" s="43" t="s">
        <v>4929</v>
      </c>
      <c r="B970" s="6" t="s">
        <v>9967</v>
      </c>
      <c r="C970" s="6" t="s">
        <v>6677</v>
      </c>
      <c r="D970" s="6" t="s">
        <v>6680</v>
      </c>
      <c r="E970" s="17" t="s">
        <v>6683</v>
      </c>
      <c r="F970" s="17"/>
      <c r="G970" s="17" t="e">
        <f t="shared" ca="1" si="0"/>
        <v>#NAME?</v>
      </c>
      <c r="H970" s="6"/>
      <c r="I970" s="17"/>
      <c r="J970" s="17"/>
    </row>
    <row r="971" spans="1:10" ht="171.75" customHeight="1">
      <c r="A971" s="6" t="s">
        <v>6686</v>
      </c>
      <c r="B971" s="6" t="s">
        <v>10084</v>
      </c>
      <c r="C971" s="6" t="s">
        <v>6687</v>
      </c>
      <c r="D971" s="6" t="s">
        <v>6690</v>
      </c>
      <c r="E971" s="17" t="s">
        <v>6691</v>
      </c>
      <c r="F971" s="17"/>
      <c r="G971" s="17" t="e">
        <f t="shared" ca="1" si="0"/>
        <v>#NAME?</v>
      </c>
      <c r="H971" s="6"/>
      <c r="I971" s="17"/>
      <c r="J971" s="17"/>
    </row>
    <row r="972" spans="1:10" ht="171.75" customHeight="1">
      <c r="A972" s="6" t="s">
        <v>6686</v>
      </c>
      <c r="B972" s="6" t="s">
        <v>10084</v>
      </c>
      <c r="C972" s="6" t="s">
        <v>6693</v>
      </c>
      <c r="D972" s="6" t="s">
        <v>6696</v>
      </c>
      <c r="E972" s="17" t="s">
        <v>6697</v>
      </c>
      <c r="F972" s="17"/>
      <c r="G972" s="17" t="e">
        <f t="shared" ca="1" si="0"/>
        <v>#NAME?</v>
      </c>
      <c r="H972" s="6"/>
      <c r="I972" s="17"/>
      <c r="J972" s="17"/>
    </row>
    <row r="973" spans="1:10" ht="171.75" customHeight="1">
      <c r="A973" s="6" t="s">
        <v>6699</v>
      </c>
      <c r="B973" s="6" t="s">
        <v>10085</v>
      </c>
      <c r="C973" s="6" t="s">
        <v>6700</v>
      </c>
      <c r="D973" s="6" t="s">
        <v>6703</v>
      </c>
      <c r="E973" s="17" t="s">
        <v>6704</v>
      </c>
      <c r="F973" s="17"/>
      <c r="G973" s="17" t="e">
        <f t="shared" ca="1" si="0"/>
        <v>#NAME?</v>
      </c>
      <c r="H973" s="6"/>
      <c r="I973" s="17"/>
      <c r="J973" s="17"/>
    </row>
    <row r="974" spans="1:10" ht="171.75" customHeight="1">
      <c r="A974" s="6" t="s">
        <v>6706</v>
      </c>
      <c r="B974" s="6" t="s">
        <v>10086</v>
      </c>
      <c r="C974" s="6" t="s">
        <v>6707</v>
      </c>
      <c r="D974" s="6" t="s">
        <v>6710</v>
      </c>
      <c r="E974" s="17" t="s">
        <v>6711</v>
      </c>
      <c r="F974" s="17"/>
      <c r="G974" s="17" t="e">
        <f t="shared" ca="1" si="0"/>
        <v>#NAME?</v>
      </c>
      <c r="H974" s="6"/>
      <c r="I974" s="17"/>
      <c r="J974" s="10"/>
    </row>
    <row r="975" spans="1:10" ht="171.75" customHeight="1">
      <c r="A975" s="43" t="s">
        <v>457</v>
      </c>
      <c r="B975" s="6" t="s">
        <v>9728</v>
      </c>
      <c r="C975" s="6" t="s">
        <v>6713</v>
      </c>
      <c r="D975" s="6" t="s">
        <v>6716</v>
      </c>
      <c r="E975" s="10" t="s">
        <v>6718</v>
      </c>
      <c r="F975" s="17"/>
      <c r="G975" s="17" t="e">
        <f t="shared" ca="1" si="0"/>
        <v>#NAME?</v>
      </c>
      <c r="H975" s="6"/>
      <c r="I975" s="17"/>
      <c r="J975" s="10"/>
    </row>
    <row r="976" spans="1:10" ht="171.75" customHeight="1">
      <c r="A976" s="43" t="s">
        <v>354</v>
      </c>
      <c r="B976" s="6" t="s">
        <v>9717</v>
      </c>
      <c r="C976" s="6" t="s">
        <v>6720</v>
      </c>
      <c r="D976" s="6" t="s">
        <v>6723</v>
      </c>
      <c r="E976" s="10" t="s">
        <v>6726</v>
      </c>
      <c r="F976" s="17"/>
      <c r="G976" s="17" t="e">
        <f t="shared" ca="1" si="0"/>
        <v>#NAME?</v>
      </c>
      <c r="H976" s="32"/>
      <c r="I976" s="17"/>
      <c r="J976" s="17"/>
    </row>
    <row r="977" spans="1:10" ht="171.75" customHeight="1">
      <c r="A977" s="6" t="s">
        <v>199</v>
      </c>
      <c r="B977" s="6" t="s">
        <v>9708</v>
      </c>
      <c r="C977" s="6" t="s">
        <v>6728</v>
      </c>
      <c r="D977" s="6" t="s">
        <v>141</v>
      </c>
      <c r="E977" s="17" t="s">
        <v>6732</v>
      </c>
      <c r="F977" s="17"/>
      <c r="G977" s="17" t="e">
        <f t="shared" ca="1" si="0"/>
        <v>#NAME?</v>
      </c>
      <c r="H977" s="6"/>
      <c r="I977" s="17"/>
      <c r="J977" s="17"/>
    </row>
    <row r="978" spans="1:10" ht="171.75" customHeight="1">
      <c r="A978" s="6" t="s">
        <v>714</v>
      </c>
      <c r="B978" s="6" t="s">
        <v>9753</v>
      </c>
      <c r="C978" s="6" t="s">
        <v>6734</v>
      </c>
      <c r="D978" s="6" t="s">
        <v>6737</v>
      </c>
      <c r="E978" s="17" t="s">
        <v>6739</v>
      </c>
      <c r="F978" s="17"/>
      <c r="G978" s="17" t="e">
        <f t="shared" ca="1" si="0"/>
        <v>#NAME?</v>
      </c>
      <c r="H978" s="6"/>
      <c r="I978" s="17"/>
      <c r="J978" s="17"/>
    </row>
    <row r="979" spans="1:10" ht="171.75" customHeight="1">
      <c r="A979" s="43" t="s">
        <v>285</v>
      </c>
      <c r="B979" s="6" t="s">
        <v>9710</v>
      </c>
      <c r="C979" s="6" t="s">
        <v>6741</v>
      </c>
      <c r="D979" s="6" t="s">
        <v>6744</v>
      </c>
      <c r="E979" s="17" t="s">
        <v>6746</v>
      </c>
      <c r="F979" s="17"/>
      <c r="G979" s="17" t="e">
        <f t="shared" ca="1" si="0"/>
        <v>#NAME?</v>
      </c>
      <c r="H979" s="32"/>
      <c r="I979" s="17"/>
      <c r="J979" s="17"/>
    </row>
    <row r="980" spans="1:10" ht="171.75" customHeight="1">
      <c r="A980" s="6" t="s">
        <v>6748</v>
      </c>
      <c r="B980" s="6" t="s">
        <v>10087</v>
      </c>
      <c r="C980" s="6" t="s">
        <v>6749</v>
      </c>
      <c r="D980" s="6" t="s">
        <v>6752</v>
      </c>
      <c r="E980" s="17" t="s">
        <v>6754</v>
      </c>
      <c r="F980" s="17"/>
      <c r="G980" s="17" t="e">
        <f t="shared" ca="1" si="0"/>
        <v>#NAME?</v>
      </c>
      <c r="H980" s="6"/>
      <c r="I980" s="17"/>
      <c r="J980" s="17"/>
    </row>
    <row r="981" spans="1:10" ht="171.75" customHeight="1">
      <c r="A981" s="6" t="s">
        <v>6756</v>
      </c>
      <c r="B981" s="6" t="s">
        <v>10088</v>
      </c>
      <c r="C981" s="6" t="s">
        <v>6757</v>
      </c>
      <c r="D981" s="6" t="s">
        <v>6760</v>
      </c>
      <c r="E981" s="17" t="s">
        <v>6761</v>
      </c>
      <c r="F981" s="17"/>
      <c r="G981" s="17" t="e">
        <f t="shared" ca="1" si="0"/>
        <v>#NAME?</v>
      </c>
      <c r="H981" s="6"/>
      <c r="I981" s="17"/>
      <c r="J981" s="17"/>
    </row>
    <row r="982" spans="1:10" ht="171.75" customHeight="1">
      <c r="A982" s="43" t="s">
        <v>6763</v>
      </c>
      <c r="B982" s="6" t="s">
        <v>10089</v>
      </c>
      <c r="C982" s="6" t="s">
        <v>6764</v>
      </c>
      <c r="D982" s="6" t="s">
        <v>6767</v>
      </c>
      <c r="E982" s="17" t="s">
        <v>6768</v>
      </c>
      <c r="F982" s="17"/>
      <c r="G982" s="17" t="e">
        <f t="shared" ca="1" si="0"/>
        <v>#NAME?</v>
      </c>
      <c r="H982" s="6"/>
      <c r="I982" s="46"/>
      <c r="J982" s="17"/>
    </row>
    <row r="983" spans="1:10" ht="171.75" customHeight="1">
      <c r="A983" s="6" t="s">
        <v>1306</v>
      </c>
      <c r="B983" s="6" t="s">
        <v>9794</v>
      </c>
      <c r="C983" s="6" t="s">
        <v>6770</v>
      </c>
      <c r="D983" s="6" t="s">
        <v>6773</v>
      </c>
      <c r="E983" s="17" t="s">
        <v>6774</v>
      </c>
      <c r="F983" s="17"/>
      <c r="G983" s="17" t="e">
        <f t="shared" ca="1" si="0"/>
        <v>#NAME?</v>
      </c>
      <c r="H983" s="6"/>
      <c r="I983" s="6"/>
      <c r="J983" s="10"/>
    </row>
    <row r="984" spans="1:10" ht="171.75" customHeight="1">
      <c r="A984" s="6" t="s">
        <v>162</v>
      </c>
      <c r="B984" s="6" t="s">
        <v>162</v>
      </c>
      <c r="C984" s="6" t="s">
        <v>6776</v>
      </c>
      <c r="D984" s="6" t="s">
        <v>6778</v>
      </c>
      <c r="E984" s="10" t="s">
        <v>9687</v>
      </c>
      <c r="F984" s="17"/>
      <c r="G984" s="17" t="e">
        <f t="shared" ca="1" si="0"/>
        <v>#NAME?</v>
      </c>
      <c r="H984" s="6"/>
      <c r="I984" s="17"/>
      <c r="J984" s="6"/>
    </row>
    <row r="985" spans="1:10" ht="171.75" customHeight="1">
      <c r="A985" s="6" t="s">
        <v>162</v>
      </c>
      <c r="B985" s="6" t="s">
        <v>162</v>
      </c>
      <c r="C985" s="6" t="s">
        <v>6782</v>
      </c>
      <c r="D985" s="32" t="s">
        <v>6784</v>
      </c>
      <c r="E985" s="10" t="s">
        <v>9687</v>
      </c>
      <c r="F985" s="17"/>
      <c r="G985" s="17" t="e">
        <f t="shared" ca="1" si="0"/>
        <v>#NAME?</v>
      </c>
      <c r="H985" s="6"/>
      <c r="I985" s="17"/>
      <c r="J985" s="6"/>
    </row>
    <row r="986" spans="1:10" ht="171.75" customHeight="1">
      <c r="A986" s="6" t="s">
        <v>162</v>
      </c>
      <c r="B986" s="6" t="s">
        <v>162</v>
      </c>
      <c r="C986" s="6" t="s">
        <v>6788</v>
      </c>
      <c r="D986" s="32" t="s">
        <v>6790</v>
      </c>
      <c r="E986" s="10" t="s">
        <v>9687</v>
      </c>
      <c r="F986" s="17"/>
      <c r="G986" s="17" t="e">
        <f t="shared" ca="1" si="0"/>
        <v>#NAME?</v>
      </c>
      <c r="H986" s="6"/>
      <c r="I986" s="17"/>
      <c r="J986" s="6"/>
    </row>
    <row r="987" spans="1:10" ht="171.75" customHeight="1">
      <c r="A987" s="6" t="s">
        <v>162</v>
      </c>
      <c r="B987" s="6" t="s">
        <v>162</v>
      </c>
      <c r="C987" s="6" t="s">
        <v>6793</v>
      </c>
      <c r="D987" s="32" t="s">
        <v>6795</v>
      </c>
      <c r="E987" s="10" t="s">
        <v>9687</v>
      </c>
      <c r="F987" s="17"/>
      <c r="G987" s="17" t="e">
        <f t="shared" ca="1" si="0"/>
        <v>#NAME?</v>
      </c>
      <c r="H987" s="6"/>
      <c r="I987" s="6"/>
      <c r="J987" s="32"/>
    </row>
    <row r="988" spans="1:10" ht="171.75" customHeight="1">
      <c r="A988" s="6" t="s">
        <v>162</v>
      </c>
      <c r="B988" s="6" t="s">
        <v>162</v>
      </c>
      <c r="C988" s="6" t="s">
        <v>6798</v>
      </c>
      <c r="D988" s="6" t="s">
        <v>6800</v>
      </c>
      <c r="E988" s="10" t="s">
        <v>9687</v>
      </c>
      <c r="F988" s="17"/>
      <c r="G988" s="17" t="e">
        <f t="shared" ca="1" si="0"/>
        <v>#NAME?</v>
      </c>
      <c r="H988" s="32"/>
      <c r="I988" s="17"/>
      <c r="J988" s="17"/>
    </row>
    <row r="989" spans="1:10" ht="171.75" customHeight="1">
      <c r="A989" s="43" t="s">
        <v>2581</v>
      </c>
      <c r="B989" s="6" t="s">
        <v>9857</v>
      </c>
      <c r="C989" s="6" t="s">
        <v>6802</v>
      </c>
      <c r="D989" s="6" t="s">
        <v>141</v>
      </c>
      <c r="E989" s="17" t="s">
        <v>5239</v>
      </c>
      <c r="F989" s="17"/>
      <c r="G989" s="17" t="e">
        <f t="shared" ca="1" si="0"/>
        <v>#NAME?</v>
      </c>
      <c r="H989" s="6"/>
      <c r="I989" s="17"/>
      <c r="J989" s="17"/>
    </row>
    <row r="990" spans="1:10" ht="171.75" customHeight="1">
      <c r="A990" s="43" t="s">
        <v>6804</v>
      </c>
      <c r="B990" s="6" t="s">
        <v>10090</v>
      </c>
      <c r="C990" s="6" t="s">
        <v>6805</v>
      </c>
      <c r="D990" s="6" t="s">
        <v>6808</v>
      </c>
      <c r="E990" s="17" t="s">
        <v>6809</v>
      </c>
      <c r="F990" s="17"/>
      <c r="G990" s="17" t="e">
        <f t="shared" ca="1" si="0"/>
        <v>#NAME?</v>
      </c>
      <c r="H990" s="6"/>
      <c r="I990" s="17"/>
      <c r="J990" s="17"/>
    </row>
    <row r="991" spans="1:10" ht="171.75" customHeight="1">
      <c r="A991" s="43" t="s">
        <v>6811</v>
      </c>
      <c r="B991" s="6" t="s">
        <v>10091</v>
      </c>
      <c r="C991" s="6" t="s">
        <v>6812</v>
      </c>
      <c r="D991" s="6" t="s">
        <v>6814</v>
      </c>
      <c r="E991" s="17" t="s">
        <v>6815</v>
      </c>
      <c r="F991" s="17"/>
      <c r="G991" s="17" t="e">
        <f t="shared" ca="1" si="0"/>
        <v>#NAME?</v>
      </c>
      <c r="H991" s="6"/>
      <c r="I991" s="17"/>
      <c r="J991" s="17"/>
    </row>
    <row r="992" spans="1:10" ht="171.75" customHeight="1">
      <c r="A992" s="43" t="s">
        <v>249</v>
      </c>
      <c r="B992" s="6" t="s">
        <v>9779</v>
      </c>
      <c r="C992" s="6" t="s">
        <v>6817</v>
      </c>
      <c r="D992" s="6" t="s">
        <v>6820</v>
      </c>
      <c r="E992" s="17" t="s">
        <v>6821</v>
      </c>
      <c r="F992" s="17"/>
      <c r="G992" s="17" t="e">
        <f t="shared" ca="1" si="0"/>
        <v>#NAME?</v>
      </c>
      <c r="H992" s="6"/>
      <c r="I992" s="17"/>
      <c r="J992" s="17"/>
    </row>
    <row r="993" spans="1:10" ht="171.75" customHeight="1">
      <c r="A993" s="43" t="s">
        <v>278</v>
      </c>
      <c r="B993" s="6" t="s">
        <v>9709</v>
      </c>
      <c r="C993" s="6" t="s">
        <v>6823</v>
      </c>
      <c r="D993" s="6" t="s">
        <v>6826</v>
      </c>
      <c r="E993" s="17" t="s">
        <v>6827</v>
      </c>
      <c r="F993" s="17"/>
      <c r="G993" s="17" t="e">
        <f t="shared" ca="1" si="0"/>
        <v>#NAME?</v>
      </c>
      <c r="H993" s="6"/>
      <c r="I993" s="17"/>
      <c r="J993" s="17"/>
    </row>
    <row r="994" spans="1:10" ht="171.75" customHeight="1">
      <c r="A994" s="43" t="s">
        <v>2581</v>
      </c>
      <c r="B994" s="6" t="s">
        <v>9857</v>
      </c>
      <c r="C994" s="6" t="s">
        <v>6829</v>
      </c>
      <c r="D994" s="6" t="s">
        <v>6832</v>
      </c>
      <c r="E994" s="17" t="s">
        <v>6833</v>
      </c>
      <c r="F994" s="17"/>
      <c r="G994" s="17" t="e">
        <f t="shared" ca="1" si="0"/>
        <v>#NAME?</v>
      </c>
      <c r="H994" s="6"/>
      <c r="I994" s="46"/>
      <c r="J994" s="17"/>
    </row>
    <row r="995" spans="1:10" ht="171.75" customHeight="1">
      <c r="A995" s="43" t="s">
        <v>6836</v>
      </c>
      <c r="B995" s="6" t="s">
        <v>10092</v>
      </c>
      <c r="C995" s="6" t="s">
        <v>6837</v>
      </c>
      <c r="D995" s="6" t="s">
        <v>6840</v>
      </c>
      <c r="E995" s="10" t="s">
        <v>9687</v>
      </c>
      <c r="G995" s="17" t="e">
        <f t="shared" ca="1" si="0"/>
        <v>#NAME?</v>
      </c>
    </row>
  </sheetData>
  <conditionalFormatting sqref="A1:A1000">
    <cfRule type="containsText" dxfId="1" priority="1" operator="containsText" text="&quot; &quot;">
      <formula>NOT(ISERROR(SEARCH((""" """),(A1))))</formula>
    </cfRule>
  </conditionalFormatting>
  <conditionalFormatting sqref="A1:A1000">
    <cfRule type="containsText" dxfId="0" priority="2" operator="containsText" text="&quot; &quot;">
      <formula>NOT(ISERROR(SEARCH((""" """),(A1))))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2:F166"/>
  <sheetViews>
    <sheetView workbookViewId="0"/>
  </sheetViews>
  <sheetFormatPr baseColWidth="10" defaultColWidth="12.5703125" defaultRowHeight="15.75" customHeight="1"/>
  <cols>
    <col min="2" max="2" width="22.7109375" customWidth="1"/>
    <col min="3" max="3" width="23" customWidth="1"/>
    <col min="6" max="6" width="25.42578125" customWidth="1"/>
  </cols>
  <sheetData>
    <row r="2" spans="2:6" ht="15.75" customHeight="1">
      <c r="B2" s="229" t="s">
        <v>5927</v>
      </c>
      <c r="C2" s="260" t="s">
        <v>10093</v>
      </c>
      <c r="F2" s="170" t="s">
        <v>7329</v>
      </c>
    </row>
    <row r="3" spans="2:6" ht="15.75" customHeight="1">
      <c r="B3" s="229" t="s">
        <v>6827</v>
      </c>
      <c r="C3" s="254"/>
      <c r="F3" s="170" t="s">
        <v>7240</v>
      </c>
    </row>
    <row r="4" spans="2:6" ht="15.75" customHeight="1">
      <c r="B4" s="229" t="s">
        <v>2774</v>
      </c>
      <c r="C4" s="254"/>
      <c r="F4" s="170" t="s">
        <v>8158</v>
      </c>
    </row>
    <row r="5" spans="2:6" ht="15.75" customHeight="1">
      <c r="B5" s="229" t="s">
        <v>6269</v>
      </c>
      <c r="C5" s="254"/>
      <c r="F5" s="170" t="s">
        <v>9575</v>
      </c>
    </row>
    <row r="6" spans="2:6" ht="15.75" customHeight="1">
      <c r="B6" s="229" t="s">
        <v>3519</v>
      </c>
      <c r="C6" s="254"/>
      <c r="F6" s="170" t="s">
        <v>7744</v>
      </c>
    </row>
    <row r="7" spans="2:6" ht="15.75" customHeight="1">
      <c r="B7" s="229" t="s">
        <v>3608</v>
      </c>
      <c r="C7" s="254"/>
      <c r="F7" s="170" t="s">
        <v>9579</v>
      </c>
    </row>
    <row r="8" spans="2:6" ht="15.75" customHeight="1">
      <c r="B8" s="229" t="s">
        <v>5022</v>
      </c>
      <c r="C8" s="254"/>
      <c r="F8" s="170" t="s">
        <v>7248</v>
      </c>
    </row>
    <row r="9" spans="2:6" ht="15.75" customHeight="1">
      <c r="B9" s="229" t="s">
        <v>3666</v>
      </c>
      <c r="C9" s="254"/>
      <c r="F9" s="170" t="s">
        <v>8490</v>
      </c>
    </row>
    <row r="10" spans="2:6" ht="15.75" customHeight="1">
      <c r="B10" s="229" t="s">
        <v>1848</v>
      </c>
      <c r="C10" s="254"/>
      <c r="F10" s="170" t="s">
        <v>7494</v>
      </c>
    </row>
    <row r="11" spans="2:6" ht="15.75" customHeight="1">
      <c r="B11" s="229" t="s">
        <v>4201</v>
      </c>
      <c r="C11" s="254"/>
      <c r="F11" s="170" t="s">
        <v>8119</v>
      </c>
    </row>
    <row r="12" spans="2:6" ht="15.75" customHeight="1">
      <c r="B12" s="229" t="s">
        <v>6479</v>
      </c>
      <c r="C12" s="254"/>
      <c r="F12" s="170" t="s">
        <v>8375</v>
      </c>
    </row>
    <row r="13" spans="2:6" ht="15.75" customHeight="1">
      <c r="B13" s="229" t="s">
        <v>3526</v>
      </c>
      <c r="C13" s="254"/>
      <c r="F13" s="170" t="s">
        <v>8052</v>
      </c>
    </row>
    <row r="14" spans="2:6" ht="15.75" customHeight="1">
      <c r="B14" s="229" t="s">
        <v>3436</v>
      </c>
      <c r="C14" s="254"/>
      <c r="F14" s="170" t="s">
        <v>8075</v>
      </c>
    </row>
    <row r="15" spans="2:6" ht="15.75" customHeight="1">
      <c r="B15" s="229" t="s">
        <v>3396</v>
      </c>
      <c r="C15" s="254"/>
      <c r="F15" s="170" t="s">
        <v>8283</v>
      </c>
    </row>
    <row r="16" spans="2:6" ht="15.75" customHeight="1">
      <c r="B16" s="229" t="s">
        <v>3383</v>
      </c>
      <c r="C16" s="254"/>
      <c r="F16" s="170" t="s">
        <v>8412</v>
      </c>
    </row>
    <row r="17" spans="2:6" ht="15.75" customHeight="1">
      <c r="B17" s="229" t="s">
        <v>362</v>
      </c>
      <c r="C17" s="254"/>
      <c r="F17" s="170" t="s">
        <v>8411</v>
      </c>
    </row>
    <row r="18" spans="2:6" ht="15.75" customHeight="1">
      <c r="B18" s="229" t="s">
        <v>4905</v>
      </c>
      <c r="C18" s="254"/>
      <c r="F18" s="170" t="s">
        <v>9592</v>
      </c>
    </row>
    <row r="19" spans="2:6" ht="15.75" customHeight="1">
      <c r="B19" s="229" t="s">
        <v>5824</v>
      </c>
      <c r="C19" s="254"/>
      <c r="F19" s="170" t="s">
        <v>8328</v>
      </c>
    </row>
    <row r="20" spans="2:6" ht="15.75" customHeight="1">
      <c r="B20" s="229" t="s">
        <v>6069</v>
      </c>
      <c r="C20" s="254"/>
      <c r="F20" s="170" t="s">
        <v>9596</v>
      </c>
    </row>
    <row r="21" spans="2:6" ht="15.75" customHeight="1">
      <c r="B21" s="229" t="s">
        <v>5433</v>
      </c>
      <c r="C21" s="254"/>
      <c r="F21" s="170" t="s">
        <v>9599</v>
      </c>
    </row>
    <row r="22" spans="2:6" ht="15.75" customHeight="1">
      <c r="B22" s="229" t="s">
        <v>3442</v>
      </c>
      <c r="C22" s="254"/>
      <c r="F22" s="170" t="s">
        <v>7795</v>
      </c>
    </row>
    <row r="23" spans="2:6" ht="15.75" customHeight="1">
      <c r="B23" s="229" t="s">
        <v>6833</v>
      </c>
      <c r="C23" s="254"/>
      <c r="F23" s="170" t="s">
        <v>9605</v>
      </c>
    </row>
    <row r="24" spans="2:6" ht="15.75" customHeight="1">
      <c r="B24" s="229" t="s">
        <v>1497</v>
      </c>
      <c r="C24" s="254"/>
      <c r="F24" s="170" t="s">
        <v>8385</v>
      </c>
    </row>
    <row r="25" spans="2:6" ht="15.75" customHeight="1">
      <c r="B25" s="229" t="s">
        <v>4934</v>
      </c>
      <c r="C25" s="254"/>
      <c r="F25" s="170" t="s">
        <v>9606</v>
      </c>
    </row>
    <row r="26" spans="2:6" ht="15.75" customHeight="1">
      <c r="B26" s="229" t="s">
        <v>4955</v>
      </c>
      <c r="C26" s="254"/>
      <c r="F26" s="170" t="s">
        <v>8300</v>
      </c>
    </row>
    <row r="27" spans="2:6" ht="15.75" customHeight="1">
      <c r="F27" s="170" t="s">
        <v>9608</v>
      </c>
    </row>
    <row r="28" spans="2:6" ht="15">
      <c r="F28" s="170" t="s">
        <v>9610</v>
      </c>
    </row>
    <row r="29" spans="2:6" ht="15">
      <c r="F29" s="170" t="s">
        <v>9611</v>
      </c>
    </row>
    <row r="30" spans="2:6" ht="15">
      <c r="F30" s="170" t="s">
        <v>9613</v>
      </c>
    </row>
    <row r="31" spans="2:6" ht="15">
      <c r="F31" s="170" t="s">
        <v>7268</v>
      </c>
    </row>
    <row r="32" spans="2:6" ht="15">
      <c r="F32" s="170" t="s">
        <v>9616</v>
      </c>
    </row>
    <row r="33" spans="6:6" ht="15">
      <c r="F33" s="170" t="s">
        <v>7262</v>
      </c>
    </row>
    <row r="34" spans="6:6" ht="15">
      <c r="F34" s="170" t="s">
        <v>7321</v>
      </c>
    </row>
    <row r="35" spans="6:6" ht="15">
      <c r="F35" s="170" t="s">
        <v>9619</v>
      </c>
    </row>
    <row r="36" spans="6:6" ht="15">
      <c r="F36" s="170" t="s">
        <v>9620</v>
      </c>
    </row>
    <row r="37" spans="6:6" ht="15">
      <c r="F37" s="170" t="s">
        <v>9622</v>
      </c>
    </row>
    <row r="38" spans="6:6" ht="15">
      <c r="F38" s="170" t="s">
        <v>8409</v>
      </c>
    </row>
    <row r="39" spans="6:6" ht="15">
      <c r="F39" s="170" t="s">
        <v>8263</v>
      </c>
    </row>
    <row r="40" spans="6:6" ht="15">
      <c r="F40" s="170" t="s">
        <v>8264</v>
      </c>
    </row>
    <row r="41" spans="6:6" ht="15">
      <c r="F41" s="170" t="s">
        <v>8265</v>
      </c>
    </row>
    <row r="42" spans="6:6" ht="15">
      <c r="F42" s="170" t="s">
        <v>8266</v>
      </c>
    </row>
    <row r="43" spans="6:6" ht="15">
      <c r="F43" s="170" t="s">
        <v>8267</v>
      </c>
    </row>
    <row r="44" spans="6:6" ht="15">
      <c r="F44" s="170" t="s">
        <v>8268</v>
      </c>
    </row>
    <row r="45" spans="6:6" ht="15">
      <c r="F45" s="170" t="s">
        <v>8269</v>
      </c>
    </row>
    <row r="46" spans="6:6" ht="15">
      <c r="F46" s="170" t="s">
        <v>8270</v>
      </c>
    </row>
    <row r="47" spans="6:6" ht="15">
      <c r="F47" s="170" t="s">
        <v>8271</v>
      </c>
    </row>
    <row r="48" spans="6:6" ht="15">
      <c r="F48" s="170" t="s">
        <v>8272</v>
      </c>
    </row>
    <row r="49" spans="6:6" ht="15">
      <c r="F49" s="170" t="s">
        <v>8273</v>
      </c>
    </row>
    <row r="50" spans="6:6" ht="15">
      <c r="F50" s="170" t="s">
        <v>8274</v>
      </c>
    </row>
    <row r="51" spans="6:6" ht="15">
      <c r="F51" s="170" t="s">
        <v>8275</v>
      </c>
    </row>
    <row r="52" spans="6:6" ht="15">
      <c r="F52" s="170" t="s">
        <v>8276</v>
      </c>
    </row>
    <row r="53" spans="6:6" ht="15">
      <c r="F53" s="170" t="s">
        <v>8277</v>
      </c>
    </row>
    <row r="54" spans="6:6" ht="15">
      <c r="F54" s="170" t="s">
        <v>8278</v>
      </c>
    </row>
    <row r="55" spans="6:6" ht="15">
      <c r="F55" s="170" t="s">
        <v>8279</v>
      </c>
    </row>
    <row r="56" spans="6:6" ht="15">
      <c r="F56" s="170" t="s">
        <v>8284</v>
      </c>
    </row>
    <row r="57" spans="6:6" ht="15">
      <c r="F57" s="170" t="s">
        <v>8285</v>
      </c>
    </row>
    <row r="58" spans="6:6" ht="15">
      <c r="F58" s="170" t="s">
        <v>9635</v>
      </c>
    </row>
    <row r="59" spans="6:6" ht="15">
      <c r="F59" s="170" t="s">
        <v>7279</v>
      </c>
    </row>
    <row r="60" spans="6:6" ht="15">
      <c r="F60" s="170" t="s">
        <v>7278</v>
      </c>
    </row>
    <row r="61" spans="6:6" ht="15">
      <c r="F61" s="170" t="s">
        <v>7254</v>
      </c>
    </row>
    <row r="62" spans="6:6" ht="15">
      <c r="F62" s="170" t="s">
        <v>8216</v>
      </c>
    </row>
    <row r="63" spans="6:6" ht="15">
      <c r="F63" s="170" t="s">
        <v>8217</v>
      </c>
    </row>
    <row r="64" spans="6:6" ht="15">
      <c r="F64" s="170" t="s">
        <v>7280</v>
      </c>
    </row>
    <row r="65" spans="6:6" ht="15">
      <c r="F65" s="170" t="s">
        <v>8232</v>
      </c>
    </row>
    <row r="66" spans="6:6" ht="15">
      <c r="F66" s="170" t="s">
        <v>8233</v>
      </c>
    </row>
    <row r="67" spans="6:6" ht="15">
      <c r="F67" s="170" t="s">
        <v>8234</v>
      </c>
    </row>
    <row r="68" spans="6:6" ht="15">
      <c r="F68" s="170" t="s">
        <v>8235</v>
      </c>
    </row>
    <row r="69" spans="6:6" ht="15">
      <c r="F69" s="170" t="s">
        <v>8236</v>
      </c>
    </row>
    <row r="70" spans="6:6" ht="15">
      <c r="F70" s="170" t="s">
        <v>8237</v>
      </c>
    </row>
    <row r="71" spans="6:6" ht="15">
      <c r="F71" s="170" t="s">
        <v>8238</v>
      </c>
    </row>
    <row r="72" spans="6:6" ht="15">
      <c r="F72" s="170" t="s">
        <v>8239</v>
      </c>
    </row>
    <row r="73" spans="6:6" ht="15">
      <c r="F73" s="170" t="s">
        <v>8240</v>
      </c>
    </row>
    <row r="74" spans="6:6" ht="15">
      <c r="F74" s="170" t="s">
        <v>8241</v>
      </c>
    </row>
    <row r="75" spans="6:6" ht="15">
      <c r="F75" s="170" t="s">
        <v>8242</v>
      </c>
    </row>
    <row r="76" spans="6:6" ht="15">
      <c r="F76" s="170" t="s">
        <v>8243</v>
      </c>
    </row>
    <row r="77" spans="6:6" ht="15">
      <c r="F77" s="170" t="s">
        <v>8244</v>
      </c>
    </row>
    <row r="78" spans="6:6" ht="15">
      <c r="F78" s="170" t="s">
        <v>8245</v>
      </c>
    </row>
    <row r="79" spans="6:6" ht="15">
      <c r="F79" s="170" t="s">
        <v>8246</v>
      </c>
    </row>
    <row r="80" spans="6:6" ht="15">
      <c r="F80" s="170" t="s">
        <v>8247</v>
      </c>
    </row>
    <row r="81" spans="6:6" ht="15">
      <c r="F81" s="170" t="s">
        <v>8248</v>
      </c>
    </row>
    <row r="82" spans="6:6" ht="15">
      <c r="F82" s="170" t="s">
        <v>8249</v>
      </c>
    </row>
    <row r="83" spans="6:6" ht="15">
      <c r="F83" s="170" t="s">
        <v>8250</v>
      </c>
    </row>
    <row r="84" spans="6:6" ht="15">
      <c r="F84" s="170" t="s">
        <v>8251</v>
      </c>
    </row>
    <row r="85" spans="6:6" ht="15">
      <c r="F85" s="170" t="s">
        <v>8252</v>
      </c>
    </row>
    <row r="86" spans="6:6" ht="15">
      <c r="F86" s="170" t="s">
        <v>8253</v>
      </c>
    </row>
    <row r="87" spans="6:6" ht="15">
      <c r="F87" s="170" t="s">
        <v>8254</v>
      </c>
    </row>
    <row r="88" spans="6:6" ht="15">
      <c r="F88" s="170" t="s">
        <v>8255</v>
      </c>
    </row>
    <row r="89" spans="6:6" ht="15">
      <c r="F89" s="170" t="s">
        <v>8256</v>
      </c>
    </row>
    <row r="90" spans="6:6" ht="15">
      <c r="F90" s="170" t="s">
        <v>8257</v>
      </c>
    </row>
    <row r="91" spans="6:6" ht="15">
      <c r="F91" s="170" t="s">
        <v>8258</v>
      </c>
    </row>
    <row r="92" spans="6:6" ht="15">
      <c r="F92" s="170" t="s">
        <v>8259</v>
      </c>
    </row>
    <row r="93" spans="6:6" ht="15">
      <c r="F93" s="170" t="s">
        <v>8260</v>
      </c>
    </row>
    <row r="94" spans="6:6" ht="15">
      <c r="F94" s="170" t="s">
        <v>8261</v>
      </c>
    </row>
    <row r="95" spans="6:6" ht="15">
      <c r="F95" s="170" t="s">
        <v>8262</v>
      </c>
    </row>
    <row r="96" spans="6:6" ht="15">
      <c r="F96" s="170" t="s">
        <v>7402</v>
      </c>
    </row>
    <row r="97" spans="6:6" ht="15">
      <c r="F97" s="170" t="s">
        <v>8312</v>
      </c>
    </row>
    <row r="98" spans="6:6" ht="15">
      <c r="F98" s="170" t="s">
        <v>8211</v>
      </c>
    </row>
    <row r="99" spans="6:6" ht="15">
      <c r="F99" s="170" t="s">
        <v>8058</v>
      </c>
    </row>
    <row r="100" spans="6:6" ht="15">
      <c r="F100" s="170" t="s">
        <v>9643</v>
      </c>
    </row>
    <row r="101" spans="6:6" ht="15">
      <c r="F101" s="170" t="s">
        <v>9644</v>
      </c>
    </row>
    <row r="102" spans="6:6" ht="15">
      <c r="F102" s="170" t="s">
        <v>9645</v>
      </c>
    </row>
    <row r="103" spans="6:6" ht="15">
      <c r="F103" s="170" t="s">
        <v>9646</v>
      </c>
    </row>
    <row r="104" spans="6:6" ht="15">
      <c r="F104" s="170" t="s">
        <v>9649</v>
      </c>
    </row>
    <row r="105" spans="6:6" ht="15">
      <c r="F105" s="170" t="s">
        <v>7320</v>
      </c>
    </row>
    <row r="106" spans="6:6" ht="15">
      <c r="F106" s="170" t="s">
        <v>7301</v>
      </c>
    </row>
    <row r="107" spans="6:6" ht="15">
      <c r="F107" s="170" t="s">
        <v>7325</v>
      </c>
    </row>
    <row r="108" spans="6:6" ht="15">
      <c r="F108" s="170" t="s">
        <v>8010</v>
      </c>
    </row>
    <row r="109" spans="6:6" ht="15">
      <c r="F109" s="170" t="s">
        <v>9651</v>
      </c>
    </row>
    <row r="110" spans="6:6" ht="15">
      <c r="F110" s="170" t="s">
        <v>7316</v>
      </c>
    </row>
    <row r="111" spans="6:6" ht="15">
      <c r="F111" s="170" t="s">
        <v>8099</v>
      </c>
    </row>
    <row r="112" spans="6:6" ht="15">
      <c r="F112" s="170" t="s">
        <v>8361</v>
      </c>
    </row>
    <row r="113" spans="6:6" ht="15">
      <c r="F113" s="170" t="s">
        <v>9655</v>
      </c>
    </row>
    <row r="114" spans="6:6" ht="15">
      <c r="F114" s="170" t="s">
        <v>9656</v>
      </c>
    </row>
    <row r="115" spans="6:6" ht="15">
      <c r="F115" s="170" t="s">
        <v>7813</v>
      </c>
    </row>
    <row r="116" spans="6:6" ht="15">
      <c r="F116" s="170" t="s">
        <v>7637</v>
      </c>
    </row>
    <row r="117" spans="6:6" ht="15">
      <c r="F117" s="170" t="s">
        <v>7635</v>
      </c>
    </row>
    <row r="118" spans="6:6" ht="15">
      <c r="F118" s="170" t="s">
        <v>9631</v>
      </c>
    </row>
    <row r="119" spans="6:6" ht="15">
      <c r="F119" s="170" t="s">
        <v>9632</v>
      </c>
    </row>
    <row r="120" spans="6:6" ht="15">
      <c r="F120" s="170" t="s">
        <v>9657</v>
      </c>
    </row>
    <row r="121" spans="6:6" ht="15">
      <c r="F121" s="170" t="s">
        <v>7723</v>
      </c>
    </row>
    <row r="122" spans="6:6" ht="15">
      <c r="F122" s="170" t="s">
        <v>7758</v>
      </c>
    </row>
    <row r="123" spans="6:6" ht="15">
      <c r="F123" s="170" t="s">
        <v>9641</v>
      </c>
    </row>
    <row r="124" spans="6:6" ht="15">
      <c r="F124" s="170" t="s">
        <v>7242</v>
      </c>
    </row>
    <row r="125" spans="6:6" ht="15">
      <c r="F125" s="170" t="s">
        <v>9630</v>
      </c>
    </row>
    <row r="126" spans="6:6" ht="15">
      <c r="F126" s="170" t="s">
        <v>7241</v>
      </c>
    </row>
    <row r="127" spans="6:6" ht="15">
      <c r="F127" s="170" t="s">
        <v>9627</v>
      </c>
    </row>
    <row r="128" spans="6:6" ht="15">
      <c r="F128" s="170" t="s">
        <v>9626</v>
      </c>
    </row>
    <row r="129" spans="6:6" ht="15">
      <c r="F129" s="170" t="s">
        <v>7587</v>
      </c>
    </row>
    <row r="130" spans="6:6" ht="15">
      <c r="F130" s="170" t="s">
        <v>7725</v>
      </c>
    </row>
    <row r="131" spans="6:6" ht="15">
      <c r="F131" s="170" t="s">
        <v>7727</v>
      </c>
    </row>
    <row r="132" spans="6:6" ht="15">
      <c r="F132" s="170" t="s">
        <v>9628</v>
      </c>
    </row>
    <row r="133" spans="6:6" ht="15">
      <c r="F133" s="170" t="s">
        <v>7769</v>
      </c>
    </row>
    <row r="134" spans="6:6" ht="15">
      <c r="F134" s="170" t="s">
        <v>9638</v>
      </c>
    </row>
    <row r="135" spans="6:6" ht="15">
      <c r="F135" s="170" t="s">
        <v>9629</v>
      </c>
    </row>
    <row r="136" spans="6:6" ht="15">
      <c r="F136" s="170" t="s">
        <v>9658</v>
      </c>
    </row>
    <row r="137" spans="6:6" ht="15">
      <c r="F137" s="170" t="s">
        <v>8327</v>
      </c>
    </row>
    <row r="138" spans="6:6" ht="15">
      <c r="F138" s="170" t="s">
        <v>9659</v>
      </c>
    </row>
    <row r="139" spans="6:6" ht="15">
      <c r="F139" s="170" t="s">
        <v>7415</v>
      </c>
    </row>
    <row r="140" spans="6:6" ht="15">
      <c r="F140" s="170" t="s">
        <v>7274</v>
      </c>
    </row>
    <row r="141" spans="6:6" ht="15">
      <c r="F141" s="170" t="s">
        <v>9660</v>
      </c>
    </row>
    <row r="142" spans="6:6" ht="15">
      <c r="F142" s="170" t="s">
        <v>9624</v>
      </c>
    </row>
    <row r="143" spans="6:6" ht="15">
      <c r="F143" s="170" t="s">
        <v>8204</v>
      </c>
    </row>
    <row r="144" spans="6:6" ht="15">
      <c r="F144" s="170" t="s">
        <v>9661</v>
      </c>
    </row>
    <row r="145" spans="6:6" ht="15">
      <c r="F145" s="170" t="s">
        <v>9662</v>
      </c>
    </row>
    <row r="146" spans="6:6" ht="15">
      <c r="F146" s="170" t="s">
        <v>9663</v>
      </c>
    </row>
    <row r="147" spans="6:6" ht="15">
      <c r="F147" s="170" t="s">
        <v>9623</v>
      </c>
    </row>
    <row r="148" spans="6:6" ht="15">
      <c r="F148" s="170" t="s">
        <v>7275</v>
      </c>
    </row>
    <row r="149" spans="6:6" ht="15">
      <c r="F149" s="170" t="s">
        <v>7264</v>
      </c>
    </row>
    <row r="150" spans="6:6" ht="15">
      <c r="F150" s="170" t="s">
        <v>7326</v>
      </c>
    </row>
    <row r="151" spans="6:6" ht="15">
      <c r="F151" s="170" t="s">
        <v>9621</v>
      </c>
    </row>
    <row r="152" spans="6:6" ht="15">
      <c r="F152" s="170" t="s">
        <v>8334</v>
      </c>
    </row>
    <row r="153" spans="6:6" ht="15">
      <c r="F153" s="170" t="s">
        <v>8213</v>
      </c>
    </row>
    <row r="154" spans="6:6" ht="15">
      <c r="F154" s="170" t="s">
        <v>9664</v>
      </c>
    </row>
    <row r="155" spans="6:6" ht="15">
      <c r="F155" s="170" t="s">
        <v>9665</v>
      </c>
    </row>
    <row r="156" spans="6:6" ht="15">
      <c r="F156" s="170" t="s">
        <v>7709</v>
      </c>
    </row>
    <row r="157" spans="6:6" ht="15">
      <c r="F157" s="170" t="s">
        <v>9618</v>
      </c>
    </row>
    <row r="158" spans="6:6" ht="15">
      <c r="F158" s="170" t="s">
        <v>8214</v>
      </c>
    </row>
    <row r="159" spans="6:6" ht="15">
      <c r="F159" s="170" t="s">
        <v>9636</v>
      </c>
    </row>
    <row r="160" spans="6:6" ht="15">
      <c r="F160" s="170" t="s">
        <v>9666</v>
      </c>
    </row>
    <row r="161" spans="6:6" ht="15">
      <c r="F161" s="170" t="s">
        <v>8020</v>
      </c>
    </row>
    <row r="162" spans="6:6" ht="15">
      <c r="F162" s="170" t="s">
        <v>7276</v>
      </c>
    </row>
    <row r="163" spans="6:6" ht="15">
      <c r="F163" s="170" t="s">
        <v>7271</v>
      </c>
    </row>
    <row r="164" spans="6:6" ht="15">
      <c r="F164" s="170" t="s">
        <v>7296</v>
      </c>
    </row>
    <row r="165" spans="6:6" ht="15">
      <c r="F165" s="170" t="s">
        <v>9617</v>
      </c>
    </row>
    <row r="166" spans="6:6" ht="15">
      <c r="F166" s="170" t="s">
        <v>8352</v>
      </c>
    </row>
  </sheetData>
  <mergeCells count="1">
    <mergeCell ref="C2:C2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B2:M953"/>
  <sheetViews>
    <sheetView workbookViewId="0"/>
  </sheetViews>
  <sheetFormatPr baseColWidth="10" defaultColWidth="12.5703125" defaultRowHeight="15.75" customHeight="1"/>
  <cols>
    <col min="3" max="3" width="6.5703125" customWidth="1"/>
    <col min="4" max="4" width="15.85546875" customWidth="1"/>
    <col min="5" max="5" width="18.42578125" customWidth="1"/>
    <col min="7" max="7" width="3.7109375" customWidth="1"/>
    <col min="8" max="8" width="31.28515625" customWidth="1"/>
    <col min="10" max="10" width="46.7109375" customWidth="1"/>
    <col min="12" max="12" width="33.140625" customWidth="1"/>
    <col min="13" max="13" width="20.85546875" customWidth="1"/>
  </cols>
  <sheetData>
    <row r="2" spans="2:13" ht="12.75">
      <c r="B2" s="86" t="s">
        <v>10094</v>
      </c>
      <c r="C2" s="86" t="s">
        <v>10095</v>
      </c>
      <c r="D2" s="86" t="s">
        <v>9557</v>
      </c>
      <c r="E2" s="86" t="s">
        <v>9558</v>
      </c>
      <c r="F2" s="86" t="s">
        <v>9559</v>
      </c>
      <c r="G2" s="86" t="s">
        <v>9560</v>
      </c>
      <c r="H2" s="86" t="s">
        <v>9561</v>
      </c>
      <c r="I2" s="86" t="s">
        <v>9562</v>
      </c>
      <c r="J2" s="86" t="s">
        <v>9563</v>
      </c>
      <c r="K2" s="8" t="s">
        <v>7183</v>
      </c>
      <c r="L2" s="8" t="s">
        <v>9564</v>
      </c>
      <c r="M2" s="8"/>
    </row>
    <row r="3" spans="2:13" ht="12.75" hidden="1">
      <c r="B3" s="86">
        <v>1241</v>
      </c>
      <c r="C3" s="86">
        <v>2</v>
      </c>
      <c r="D3" s="86" t="s">
        <v>9586</v>
      </c>
      <c r="E3" s="86" t="s">
        <v>6170</v>
      </c>
      <c r="F3" s="86" t="s">
        <v>35</v>
      </c>
      <c r="G3" s="86">
        <v>26</v>
      </c>
      <c r="H3" s="86" t="s">
        <v>9566</v>
      </c>
      <c r="I3" s="86">
        <v>26</v>
      </c>
      <c r="J3" s="86" t="s">
        <v>10096</v>
      </c>
      <c r="K3" s="8">
        <v>564749</v>
      </c>
      <c r="M3" s="167" t="str">
        <f t="shared" ref="M3:M953" si="0">IF(COUNTIF($K$2:$K$953,K3)&gt;1,"REPETIDO","OK")</f>
        <v>OK</v>
      </c>
    </row>
    <row r="4" spans="2:13" ht="12.75" hidden="1">
      <c r="B4" s="86">
        <v>1241</v>
      </c>
      <c r="C4" s="86">
        <v>3</v>
      </c>
      <c r="D4" s="86" t="s">
        <v>10097</v>
      </c>
      <c r="E4" s="86" t="s">
        <v>6164</v>
      </c>
      <c r="F4" s="86" t="s">
        <v>35</v>
      </c>
      <c r="G4" s="86">
        <v>26</v>
      </c>
      <c r="H4" s="86" t="s">
        <v>9566</v>
      </c>
      <c r="I4" s="86">
        <v>26</v>
      </c>
      <c r="J4" s="86" t="s">
        <v>10098</v>
      </c>
      <c r="K4" s="8">
        <v>583460</v>
      </c>
      <c r="M4" s="167" t="str">
        <f t="shared" si="0"/>
        <v>OK</v>
      </c>
    </row>
    <row r="5" spans="2:13" ht="12.75" hidden="1">
      <c r="B5" s="86">
        <v>1241</v>
      </c>
      <c r="C5" s="86">
        <v>4</v>
      </c>
      <c r="D5" s="86" t="s">
        <v>10099</v>
      </c>
      <c r="E5" s="86" t="s">
        <v>6177</v>
      </c>
      <c r="F5" s="86" t="s">
        <v>35</v>
      </c>
      <c r="G5" s="86">
        <v>26</v>
      </c>
      <c r="H5" s="86" t="s">
        <v>9566</v>
      </c>
      <c r="I5" s="86">
        <v>26</v>
      </c>
      <c r="J5" s="86" t="s">
        <v>6173</v>
      </c>
      <c r="K5" s="8">
        <v>651391</v>
      </c>
      <c r="M5" s="167" t="str">
        <f t="shared" si="0"/>
        <v>OK</v>
      </c>
    </row>
    <row r="6" spans="2:13" ht="12.75" hidden="1">
      <c r="B6" s="86">
        <v>1241</v>
      </c>
      <c r="C6" s="86">
        <v>5</v>
      </c>
      <c r="D6" s="86" t="s">
        <v>10100</v>
      </c>
      <c r="E6" s="86" t="s">
        <v>6185</v>
      </c>
      <c r="F6" s="86" t="s">
        <v>35</v>
      </c>
      <c r="G6" s="86">
        <v>26</v>
      </c>
      <c r="H6" s="86" t="s">
        <v>9566</v>
      </c>
      <c r="I6" s="86">
        <v>26</v>
      </c>
      <c r="J6" s="86" t="s">
        <v>6181</v>
      </c>
      <c r="K6" s="8" t="s">
        <v>6183</v>
      </c>
      <c r="L6" s="8" t="s">
        <v>10101</v>
      </c>
      <c r="M6" s="167" t="str">
        <f t="shared" si="0"/>
        <v>OK</v>
      </c>
    </row>
    <row r="7" spans="2:13" ht="12.75" hidden="1">
      <c r="B7" s="86">
        <v>1241</v>
      </c>
      <c r="C7" s="86">
        <v>6</v>
      </c>
      <c r="D7" s="86" t="s">
        <v>9571</v>
      </c>
      <c r="E7" s="86" t="s">
        <v>6157</v>
      </c>
      <c r="F7" s="86" t="s">
        <v>35</v>
      </c>
      <c r="G7" s="86">
        <v>26</v>
      </c>
      <c r="H7" s="86" t="s">
        <v>9566</v>
      </c>
      <c r="I7" s="86">
        <v>26</v>
      </c>
      <c r="J7" s="86" t="s">
        <v>10102</v>
      </c>
      <c r="K7" s="8">
        <v>518491</v>
      </c>
      <c r="M7" s="167" t="str">
        <f t="shared" si="0"/>
        <v>OK</v>
      </c>
    </row>
    <row r="8" spans="2:13" ht="12.75" hidden="1">
      <c r="B8" s="86">
        <v>1241</v>
      </c>
      <c r="C8" s="86">
        <v>7</v>
      </c>
      <c r="D8" s="86" t="s">
        <v>10097</v>
      </c>
      <c r="E8" s="86" t="s">
        <v>6667</v>
      </c>
      <c r="F8" s="86" t="s">
        <v>35</v>
      </c>
      <c r="G8" s="86">
        <v>26</v>
      </c>
      <c r="H8" s="86" t="s">
        <v>9566</v>
      </c>
      <c r="I8" s="86">
        <v>26</v>
      </c>
      <c r="J8" s="86" t="s">
        <v>10103</v>
      </c>
      <c r="K8" s="8">
        <v>564729</v>
      </c>
      <c r="M8" s="167" t="str">
        <f t="shared" si="0"/>
        <v>OK</v>
      </c>
    </row>
    <row r="9" spans="2:13" ht="12.75" hidden="1">
      <c r="B9" s="86">
        <v>1241</v>
      </c>
      <c r="C9" s="86">
        <v>8</v>
      </c>
      <c r="D9" s="86" t="s">
        <v>9586</v>
      </c>
      <c r="E9" s="86" t="s">
        <v>6150</v>
      </c>
      <c r="F9" s="86" t="s">
        <v>35</v>
      </c>
      <c r="G9" s="86">
        <v>26</v>
      </c>
      <c r="H9" s="86" t="s">
        <v>9566</v>
      </c>
      <c r="I9" s="86">
        <v>26</v>
      </c>
      <c r="J9" s="86" t="s">
        <v>10096</v>
      </c>
      <c r="K9" s="8">
        <v>564747</v>
      </c>
      <c r="M9" s="167" t="str">
        <f t="shared" si="0"/>
        <v>OK</v>
      </c>
    </row>
    <row r="10" spans="2:13" ht="12.75" hidden="1">
      <c r="B10" s="86">
        <v>1241</v>
      </c>
      <c r="C10" s="86">
        <v>9</v>
      </c>
      <c r="D10" s="86" t="s">
        <v>9576</v>
      </c>
      <c r="E10" s="86" t="s">
        <v>6674</v>
      </c>
      <c r="F10" s="86" t="s">
        <v>35</v>
      </c>
      <c r="G10" s="86">
        <v>26</v>
      </c>
      <c r="H10" s="86" t="s">
        <v>9566</v>
      </c>
      <c r="I10" s="86">
        <v>26</v>
      </c>
      <c r="J10" s="86" t="s">
        <v>6093</v>
      </c>
      <c r="K10" s="8">
        <v>517045</v>
      </c>
      <c r="M10" s="167" t="str">
        <f t="shared" si="0"/>
        <v>OK</v>
      </c>
    </row>
    <row r="11" spans="2:13" ht="12.75" hidden="1">
      <c r="B11" s="86">
        <v>1241</v>
      </c>
      <c r="C11" s="86">
        <v>10</v>
      </c>
      <c r="D11" s="86" t="s">
        <v>9571</v>
      </c>
      <c r="E11" s="86" t="s">
        <v>6119</v>
      </c>
      <c r="F11" s="86" t="s">
        <v>35</v>
      </c>
      <c r="G11" s="86">
        <v>26</v>
      </c>
      <c r="H11" s="86" t="s">
        <v>9566</v>
      </c>
      <c r="I11" s="86">
        <v>26</v>
      </c>
      <c r="J11" s="86" t="s">
        <v>10104</v>
      </c>
      <c r="K11" s="8">
        <v>518495</v>
      </c>
      <c r="M11" s="167" t="str">
        <f t="shared" si="0"/>
        <v>OK</v>
      </c>
    </row>
    <row r="12" spans="2:13" ht="12.75" hidden="1">
      <c r="B12" s="86">
        <v>1242</v>
      </c>
      <c r="C12" s="86">
        <v>11</v>
      </c>
      <c r="D12" s="86" t="s">
        <v>10105</v>
      </c>
      <c r="E12" s="86" t="s">
        <v>6134</v>
      </c>
      <c r="F12" s="86" t="s">
        <v>6135</v>
      </c>
      <c r="G12" s="86">
        <v>26</v>
      </c>
      <c r="H12" s="86" t="s">
        <v>9566</v>
      </c>
      <c r="I12" s="86">
        <v>26</v>
      </c>
      <c r="J12" s="86" t="s">
        <v>10106</v>
      </c>
      <c r="K12" s="8">
        <v>516948</v>
      </c>
      <c r="M12" s="167" t="str">
        <f t="shared" si="0"/>
        <v>OK</v>
      </c>
    </row>
    <row r="13" spans="2:13" ht="12.75" hidden="1">
      <c r="B13" s="86">
        <v>1241</v>
      </c>
      <c r="C13" s="86">
        <v>12</v>
      </c>
      <c r="D13" s="86" t="s">
        <v>9586</v>
      </c>
      <c r="E13" s="86" t="s">
        <v>6126</v>
      </c>
      <c r="F13" s="86" t="s">
        <v>35</v>
      </c>
      <c r="G13" s="86">
        <v>26</v>
      </c>
      <c r="H13" s="86" t="s">
        <v>9566</v>
      </c>
      <c r="I13" s="86">
        <v>26</v>
      </c>
      <c r="J13" s="86" t="s">
        <v>10107</v>
      </c>
      <c r="K13" s="8">
        <v>564743</v>
      </c>
      <c r="M13" s="167" t="str">
        <f t="shared" si="0"/>
        <v>OK</v>
      </c>
    </row>
    <row r="14" spans="2:13" ht="12.75" hidden="1">
      <c r="B14" s="86">
        <v>1241</v>
      </c>
      <c r="C14" s="86">
        <v>13</v>
      </c>
      <c r="D14" s="86" t="s">
        <v>9571</v>
      </c>
      <c r="E14" s="86" t="s">
        <v>6143</v>
      </c>
      <c r="F14" s="86" t="s">
        <v>35</v>
      </c>
      <c r="G14" s="86">
        <v>26</v>
      </c>
      <c r="H14" s="86" t="s">
        <v>9566</v>
      </c>
      <c r="I14" s="86">
        <v>26</v>
      </c>
      <c r="J14" s="86" t="s">
        <v>10108</v>
      </c>
      <c r="K14" s="8">
        <v>518497</v>
      </c>
      <c r="M14" s="167" t="str">
        <f t="shared" si="0"/>
        <v>OK</v>
      </c>
    </row>
    <row r="15" spans="2:13" ht="12.75" hidden="1">
      <c r="B15" s="86">
        <v>1241</v>
      </c>
      <c r="C15" s="86">
        <v>14</v>
      </c>
      <c r="D15" s="86" t="s">
        <v>9585</v>
      </c>
      <c r="E15" s="86" t="s">
        <v>6243</v>
      </c>
      <c r="F15" s="86" t="s">
        <v>205</v>
      </c>
      <c r="G15" s="86">
        <v>26</v>
      </c>
      <c r="H15" s="86" t="s">
        <v>9566</v>
      </c>
      <c r="I15" s="86">
        <v>26</v>
      </c>
      <c r="J15" s="86" t="s">
        <v>6239</v>
      </c>
      <c r="K15" s="8">
        <v>519362</v>
      </c>
      <c r="M15" s="167" t="str">
        <f t="shared" si="0"/>
        <v>OK</v>
      </c>
    </row>
    <row r="16" spans="2:13" ht="12.75" hidden="1">
      <c r="B16" s="86">
        <v>1241</v>
      </c>
      <c r="C16" s="86">
        <v>15</v>
      </c>
      <c r="D16" s="86" t="s">
        <v>9586</v>
      </c>
      <c r="E16" s="86" t="s">
        <v>6112</v>
      </c>
      <c r="F16" s="86" t="s">
        <v>35</v>
      </c>
      <c r="G16" s="86">
        <v>26</v>
      </c>
      <c r="H16" s="86" t="s">
        <v>9566</v>
      </c>
      <c r="I16" s="86">
        <v>26</v>
      </c>
      <c r="J16" s="86" t="s">
        <v>10109</v>
      </c>
      <c r="K16" s="8">
        <v>564745</v>
      </c>
      <c r="M16" s="167" t="str">
        <f t="shared" si="0"/>
        <v>OK</v>
      </c>
    </row>
    <row r="17" spans="2:13" ht="12.75" hidden="1">
      <c r="B17" s="86">
        <v>1241</v>
      </c>
      <c r="C17" s="86">
        <v>16</v>
      </c>
      <c r="D17" s="86" t="s">
        <v>9576</v>
      </c>
      <c r="E17" s="86" t="s">
        <v>6205</v>
      </c>
      <c r="F17" s="86" t="s">
        <v>35</v>
      </c>
      <c r="G17" s="86">
        <v>26</v>
      </c>
      <c r="H17" s="86" t="s">
        <v>9566</v>
      </c>
      <c r="I17" s="86">
        <v>26</v>
      </c>
      <c r="J17" s="86" t="s">
        <v>10110</v>
      </c>
      <c r="K17" s="8">
        <v>564565</v>
      </c>
      <c r="M17" s="167" t="str">
        <f t="shared" si="0"/>
        <v>OK</v>
      </c>
    </row>
    <row r="18" spans="2:13" ht="12.75" hidden="1">
      <c r="B18" s="86">
        <v>1241</v>
      </c>
      <c r="C18" s="86">
        <v>17</v>
      </c>
      <c r="D18" s="86" t="s">
        <v>9576</v>
      </c>
      <c r="E18" s="86" t="s">
        <v>6211</v>
      </c>
      <c r="F18" s="86" t="s">
        <v>35</v>
      </c>
      <c r="G18" s="86">
        <v>26</v>
      </c>
      <c r="H18" s="86" t="s">
        <v>9566</v>
      </c>
      <c r="I18" s="86">
        <v>26</v>
      </c>
      <c r="J18" s="86" t="s">
        <v>10110</v>
      </c>
      <c r="K18" s="8">
        <v>516018</v>
      </c>
      <c r="M18" s="167" t="str">
        <f t="shared" si="0"/>
        <v>OK</v>
      </c>
    </row>
    <row r="19" spans="2:13" ht="12.75" hidden="1">
      <c r="B19" s="86">
        <v>1241</v>
      </c>
      <c r="C19" s="86">
        <v>18</v>
      </c>
      <c r="D19" s="86" t="s">
        <v>9576</v>
      </c>
      <c r="E19" s="86" t="s">
        <v>6217</v>
      </c>
      <c r="F19" s="86" t="s">
        <v>35</v>
      </c>
      <c r="G19" s="86">
        <v>26</v>
      </c>
      <c r="H19" s="86" t="s">
        <v>9566</v>
      </c>
      <c r="I19" s="86">
        <v>26</v>
      </c>
      <c r="J19" s="86" t="s">
        <v>10110</v>
      </c>
      <c r="K19" s="8">
        <v>516009</v>
      </c>
      <c r="M19" s="167" t="str">
        <f t="shared" si="0"/>
        <v>OK</v>
      </c>
    </row>
    <row r="20" spans="2:13" ht="12.75" hidden="1">
      <c r="B20" s="86">
        <v>1241</v>
      </c>
      <c r="C20" s="86">
        <v>19</v>
      </c>
      <c r="D20" s="86" t="s">
        <v>9586</v>
      </c>
      <c r="E20" s="86" t="s">
        <v>6230</v>
      </c>
      <c r="F20" s="86" t="s">
        <v>35</v>
      </c>
      <c r="G20" s="86">
        <v>26</v>
      </c>
      <c r="H20" s="86" t="s">
        <v>9566</v>
      </c>
      <c r="I20" s="86">
        <v>26</v>
      </c>
      <c r="J20" s="86" t="s">
        <v>10111</v>
      </c>
      <c r="K20" s="86">
        <v>566232</v>
      </c>
      <c r="M20" s="167" t="str">
        <f t="shared" si="0"/>
        <v>OK</v>
      </c>
    </row>
    <row r="21" spans="2:13" ht="12.75" hidden="1">
      <c r="B21" s="86">
        <v>1241</v>
      </c>
      <c r="C21" s="86">
        <v>20</v>
      </c>
      <c r="D21" s="86" t="s">
        <v>9565</v>
      </c>
      <c r="E21" s="8" t="s">
        <v>6514</v>
      </c>
      <c r="F21" s="86" t="s">
        <v>168</v>
      </c>
      <c r="G21" s="86">
        <v>26</v>
      </c>
      <c r="H21" s="86" t="s">
        <v>9566</v>
      </c>
      <c r="I21" s="86">
        <v>26</v>
      </c>
      <c r="J21" s="86" t="s">
        <v>6255</v>
      </c>
      <c r="K21" s="8">
        <v>527290</v>
      </c>
      <c r="M21" s="167" t="str">
        <f t="shared" si="0"/>
        <v>OK</v>
      </c>
    </row>
    <row r="22" spans="2:13" ht="12.75" hidden="1">
      <c r="B22" s="86">
        <v>1241</v>
      </c>
      <c r="C22" s="86">
        <v>21</v>
      </c>
      <c r="D22" s="86" t="s">
        <v>9580</v>
      </c>
      <c r="E22" s="86" t="s">
        <v>6266</v>
      </c>
      <c r="F22" s="86" t="s">
        <v>682</v>
      </c>
      <c r="G22" s="86">
        <v>26</v>
      </c>
      <c r="H22" s="86" t="s">
        <v>9566</v>
      </c>
      <c r="I22" s="86">
        <v>26</v>
      </c>
      <c r="J22" s="86" t="s">
        <v>6836</v>
      </c>
      <c r="K22" s="8">
        <v>649646</v>
      </c>
      <c r="M22" s="167" t="str">
        <f t="shared" si="0"/>
        <v>OK</v>
      </c>
    </row>
    <row r="23" spans="2:13" ht="12.75" hidden="1">
      <c r="B23" s="86">
        <v>1246</v>
      </c>
      <c r="C23" s="86">
        <v>22</v>
      </c>
      <c r="D23" s="86" t="s">
        <v>10112</v>
      </c>
      <c r="E23" s="86" t="s">
        <v>6088</v>
      </c>
      <c r="F23" s="86" t="s">
        <v>9522</v>
      </c>
      <c r="G23" s="86">
        <v>26</v>
      </c>
      <c r="H23" s="86" t="s">
        <v>9566</v>
      </c>
      <c r="I23" s="86">
        <v>26</v>
      </c>
      <c r="J23" s="86" t="s">
        <v>2861</v>
      </c>
      <c r="K23" s="8">
        <v>583948</v>
      </c>
      <c r="M23" s="167" t="str">
        <f t="shared" si="0"/>
        <v>OK</v>
      </c>
    </row>
    <row r="24" spans="2:13" ht="12.75" hidden="1">
      <c r="B24" s="86">
        <v>1241</v>
      </c>
      <c r="C24" s="86">
        <v>23</v>
      </c>
      <c r="D24" s="86" t="s">
        <v>10113</v>
      </c>
      <c r="E24" s="86" t="s">
        <v>6521</v>
      </c>
      <c r="F24" s="86" t="s">
        <v>35</v>
      </c>
      <c r="G24" s="86">
        <v>26</v>
      </c>
      <c r="H24" s="86" t="s">
        <v>9566</v>
      </c>
      <c r="I24" s="86">
        <v>26</v>
      </c>
      <c r="J24" s="86" t="s">
        <v>10114</v>
      </c>
      <c r="K24" s="8">
        <v>516334</v>
      </c>
      <c r="M24" s="167" t="str">
        <f t="shared" si="0"/>
        <v>OK</v>
      </c>
    </row>
    <row r="25" spans="2:13" ht="12.75">
      <c r="B25" s="86">
        <v>1241</v>
      </c>
      <c r="C25" s="86">
        <v>24</v>
      </c>
      <c r="D25" s="86" t="s">
        <v>10113</v>
      </c>
      <c r="E25" s="86" t="s">
        <v>9339</v>
      </c>
      <c r="F25" s="86" t="s">
        <v>35</v>
      </c>
      <c r="G25" s="86">
        <v>26</v>
      </c>
      <c r="H25" s="86" t="s">
        <v>9566</v>
      </c>
      <c r="I25" s="86">
        <v>26</v>
      </c>
      <c r="J25" s="86" t="s">
        <v>10115</v>
      </c>
      <c r="K25" s="8">
        <v>0</v>
      </c>
      <c r="L25" s="8" t="s">
        <v>10116</v>
      </c>
      <c r="M25" s="167" t="str">
        <f t="shared" si="0"/>
        <v>REPETIDO</v>
      </c>
    </row>
    <row r="26" spans="2:13" ht="12.75" hidden="1">
      <c r="B26" s="86">
        <v>1246</v>
      </c>
      <c r="C26" s="86">
        <v>25</v>
      </c>
      <c r="D26" s="86" t="s">
        <v>9568</v>
      </c>
      <c r="E26" s="86" t="s">
        <v>6251</v>
      </c>
      <c r="F26" s="86" t="s">
        <v>978</v>
      </c>
      <c r="G26" s="86">
        <v>26</v>
      </c>
      <c r="H26" s="86" t="s">
        <v>9566</v>
      </c>
      <c r="I26" s="86">
        <v>26</v>
      </c>
      <c r="J26" s="86" t="s">
        <v>248</v>
      </c>
      <c r="K26" s="8">
        <v>649416</v>
      </c>
      <c r="M26" s="167" t="str">
        <f t="shared" si="0"/>
        <v>OK</v>
      </c>
    </row>
    <row r="27" spans="2:13" ht="12.75" hidden="1">
      <c r="B27" s="86">
        <v>1241</v>
      </c>
      <c r="C27" s="86">
        <v>26</v>
      </c>
      <c r="D27" s="86" t="s">
        <v>9586</v>
      </c>
      <c r="E27" s="86" t="s">
        <v>9333</v>
      </c>
      <c r="F27" s="86" t="s">
        <v>35</v>
      </c>
      <c r="G27" s="86">
        <v>26</v>
      </c>
      <c r="H27" s="86" t="s">
        <v>9566</v>
      </c>
      <c r="I27" s="86">
        <v>26</v>
      </c>
      <c r="J27" s="86" t="s">
        <v>10117</v>
      </c>
      <c r="K27" s="8">
        <v>0</v>
      </c>
      <c r="L27" s="8" t="s">
        <v>10118</v>
      </c>
      <c r="M27" s="167" t="str">
        <f t="shared" si="0"/>
        <v>REPETIDO</v>
      </c>
    </row>
    <row r="28" spans="2:13" ht="12.75" hidden="1">
      <c r="B28" s="86">
        <v>1241</v>
      </c>
      <c r="C28" s="86">
        <v>27</v>
      </c>
      <c r="D28" s="86" t="s">
        <v>9612</v>
      </c>
      <c r="E28" s="86" t="s">
        <v>6060</v>
      </c>
      <c r="F28" s="86" t="s">
        <v>35</v>
      </c>
      <c r="G28" s="86">
        <v>26</v>
      </c>
      <c r="H28" s="86" t="s">
        <v>9566</v>
      </c>
      <c r="I28" s="86">
        <v>26</v>
      </c>
      <c r="J28" s="86" t="s">
        <v>10119</v>
      </c>
      <c r="K28" s="8">
        <v>518490</v>
      </c>
      <c r="M28" s="167" t="str">
        <f t="shared" si="0"/>
        <v>OK</v>
      </c>
    </row>
    <row r="29" spans="2:13" ht="12.75" hidden="1">
      <c r="B29" s="86">
        <v>1241</v>
      </c>
      <c r="C29" s="86">
        <v>28</v>
      </c>
      <c r="D29" s="86" t="s">
        <v>9586</v>
      </c>
      <c r="E29" s="86" t="s">
        <v>6236</v>
      </c>
      <c r="F29" s="86" t="s">
        <v>35</v>
      </c>
      <c r="G29" s="86">
        <v>26</v>
      </c>
      <c r="H29" s="86" t="s">
        <v>9566</v>
      </c>
      <c r="I29" s="86">
        <v>26</v>
      </c>
      <c r="J29" s="86" t="s">
        <v>10120</v>
      </c>
      <c r="K29" s="8">
        <v>564847</v>
      </c>
      <c r="L29" s="8"/>
      <c r="M29" s="167" t="str">
        <f t="shared" si="0"/>
        <v>OK</v>
      </c>
    </row>
    <row r="30" spans="2:13" ht="12.75" hidden="1">
      <c r="B30" s="86">
        <v>1242</v>
      </c>
      <c r="C30" s="86">
        <v>29</v>
      </c>
      <c r="D30" s="86" t="s">
        <v>10121</v>
      </c>
      <c r="E30" s="86" t="s">
        <v>6082</v>
      </c>
      <c r="F30" s="86" t="s">
        <v>35</v>
      </c>
      <c r="G30" s="86">
        <v>26</v>
      </c>
      <c r="H30" s="86" t="s">
        <v>9566</v>
      </c>
      <c r="I30" s="86">
        <v>26</v>
      </c>
      <c r="J30" s="86" t="s">
        <v>10122</v>
      </c>
      <c r="K30" s="8">
        <v>651381</v>
      </c>
      <c r="M30" s="167" t="str">
        <f t="shared" si="0"/>
        <v>OK</v>
      </c>
    </row>
    <row r="31" spans="2:13" ht="12.75" hidden="1">
      <c r="B31" s="86">
        <v>1241</v>
      </c>
      <c r="C31" s="86">
        <v>30</v>
      </c>
      <c r="D31" s="86" t="s">
        <v>9565</v>
      </c>
      <c r="E31" s="86" t="s">
        <v>9479</v>
      </c>
      <c r="F31" s="86" t="s">
        <v>9480</v>
      </c>
      <c r="G31" s="86">
        <v>26</v>
      </c>
      <c r="H31" s="86" t="s">
        <v>9566</v>
      </c>
      <c r="I31" s="86">
        <v>26</v>
      </c>
      <c r="J31" s="86" t="s">
        <v>9567</v>
      </c>
      <c r="K31" s="8">
        <v>651382</v>
      </c>
      <c r="L31" s="8" t="s">
        <v>3282</v>
      </c>
      <c r="M31" s="167" t="str">
        <f t="shared" si="0"/>
        <v>OK</v>
      </c>
    </row>
    <row r="32" spans="2:13" ht="12.75" hidden="1">
      <c r="B32" s="86">
        <v>1241</v>
      </c>
      <c r="C32" s="86">
        <v>31</v>
      </c>
      <c r="D32" s="86" t="s">
        <v>10097</v>
      </c>
      <c r="E32" s="86" t="s">
        <v>6198</v>
      </c>
      <c r="F32" s="86" t="s">
        <v>35</v>
      </c>
      <c r="G32" s="86">
        <v>26</v>
      </c>
      <c r="H32" s="86" t="s">
        <v>9566</v>
      </c>
      <c r="I32" s="86">
        <v>26</v>
      </c>
      <c r="J32" s="86" t="s">
        <v>10123</v>
      </c>
      <c r="K32" s="8">
        <v>518492</v>
      </c>
      <c r="M32" s="167" t="str">
        <f t="shared" si="0"/>
        <v>OK</v>
      </c>
    </row>
    <row r="33" spans="2:13" ht="12.75" hidden="1">
      <c r="B33" s="86">
        <v>1241</v>
      </c>
      <c r="C33" s="86">
        <v>32</v>
      </c>
      <c r="D33" s="86" t="s">
        <v>10097</v>
      </c>
      <c r="E33" s="86" t="s">
        <v>6075</v>
      </c>
      <c r="F33" s="86" t="s">
        <v>35</v>
      </c>
      <c r="G33" s="86">
        <v>26</v>
      </c>
      <c r="H33" s="86" t="s">
        <v>9566</v>
      </c>
      <c r="I33" s="86">
        <v>26</v>
      </c>
      <c r="J33" s="86" t="s">
        <v>4153</v>
      </c>
      <c r="K33" s="8">
        <v>583444</v>
      </c>
      <c r="M33" s="167" t="str">
        <f t="shared" si="0"/>
        <v>OK</v>
      </c>
    </row>
    <row r="34" spans="2:13" ht="12.75" hidden="1">
      <c r="B34" s="86">
        <v>1241</v>
      </c>
      <c r="C34" s="86">
        <v>33</v>
      </c>
      <c r="D34" s="86" t="s">
        <v>10113</v>
      </c>
      <c r="E34" s="86" t="s">
        <v>6068</v>
      </c>
      <c r="F34" s="86" t="s">
        <v>35</v>
      </c>
      <c r="G34" s="86">
        <v>26</v>
      </c>
      <c r="H34" s="86" t="s">
        <v>9566</v>
      </c>
      <c r="I34" s="86">
        <v>26</v>
      </c>
      <c r="J34" s="86" t="s">
        <v>6064</v>
      </c>
      <c r="K34" s="8">
        <v>651393</v>
      </c>
      <c r="M34" s="167" t="str">
        <f t="shared" si="0"/>
        <v>OK</v>
      </c>
    </row>
    <row r="35" spans="2:13" ht="12.75" hidden="1">
      <c r="B35" s="86">
        <v>1241</v>
      </c>
      <c r="C35" s="86">
        <v>34</v>
      </c>
      <c r="D35" s="86" t="s">
        <v>9571</v>
      </c>
      <c r="E35" s="86" t="s">
        <v>6321</v>
      </c>
      <c r="F35" s="86" t="s">
        <v>35</v>
      </c>
      <c r="G35" s="86">
        <v>26</v>
      </c>
      <c r="H35" s="86" t="s">
        <v>9566</v>
      </c>
      <c r="I35" s="86">
        <v>26</v>
      </c>
      <c r="J35" s="86" t="s">
        <v>10124</v>
      </c>
      <c r="K35" s="8">
        <v>518496</v>
      </c>
      <c r="M35" s="167" t="str">
        <f t="shared" si="0"/>
        <v>OK</v>
      </c>
    </row>
    <row r="36" spans="2:13" ht="12.75" hidden="1">
      <c r="B36" s="86">
        <v>1241</v>
      </c>
      <c r="C36" s="86">
        <v>35</v>
      </c>
      <c r="D36" s="86" t="s">
        <v>9571</v>
      </c>
      <c r="E36" s="86" t="s">
        <v>6314</v>
      </c>
      <c r="F36" s="86" t="s">
        <v>35</v>
      </c>
      <c r="G36" s="86">
        <v>26</v>
      </c>
      <c r="H36" s="86" t="s">
        <v>9566</v>
      </c>
      <c r="I36" s="86">
        <v>26</v>
      </c>
      <c r="J36" s="86" t="s">
        <v>10125</v>
      </c>
      <c r="K36" s="8">
        <v>564517</v>
      </c>
      <c r="M36" s="167" t="str">
        <f t="shared" si="0"/>
        <v>OK</v>
      </c>
    </row>
    <row r="37" spans="2:13" ht="12.75" hidden="1">
      <c r="B37" s="86">
        <v>1246</v>
      </c>
      <c r="C37" s="86">
        <v>36</v>
      </c>
      <c r="D37" s="86" t="s">
        <v>9568</v>
      </c>
      <c r="E37" s="86" t="s">
        <v>6304</v>
      </c>
      <c r="F37" s="86" t="s">
        <v>6305</v>
      </c>
      <c r="G37" s="86">
        <v>26</v>
      </c>
      <c r="H37" s="86" t="s">
        <v>9566</v>
      </c>
      <c r="I37" s="86">
        <v>26</v>
      </c>
      <c r="J37" s="8" t="s">
        <v>6300</v>
      </c>
      <c r="K37" s="8">
        <v>565749</v>
      </c>
      <c r="M37" s="167" t="str">
        <f t="shared" si="0"/>
        <v>OK</v>
      </c>
    </row>
    <row r="38" spans="2:13" ht="12.75" hidden="1">
      <c r="B38" s="86">
        <v>1241</v>
      </c>
      <c r="C38" s="86">
        <v>37</v>
      </c>
      <c r="D38" s="86" t="s">
        <v>9586</v>
      </c>
      <c r="E38" s="86" t="s">
        <v>6275</v>
      </c>
      <c r="F38" s="86" t="s">
        <v>35</v>
      </c>
      <c r="G38" s="86">
        <v>26</v>
      </c>
      <c r="H38" s="86" t="s">
        <v>9566</v>
      </c>
      <c r="I38" s="86">
        <v>26</v>
      </c>
      <c r="J38" s="86" t="s">
        <v>10126</v>
      </c>
      <c r="K38" s="8">
        <v>564773</v>
      </c>
      <c r="M38" s="167" t="str">
        <f t="shared" si="0"/>
        <v>OK</v>
      </c>
    </row>
    <row r="39" spans="2:13" ht="12.75" hidden="1">
      <c r="B39" s="86">
        <v>1241</v>
      </c>
      <c r="C39" s="86">
        <v>38</v>
      </c>
      <c r="D39" s="86" t="s">
        <v>9576</v>
      </c>
      <c r="E39" s="86" t="s">
        <v>6392</v>
      </c>
      <c r="F39" s="86" t="s">
        <v>35</v>
      </c>
      <c r="G39" s="86">
        <v>26</v>
      </c>
      <c r="H39" s="86" t="s">
        <v>9566</v>
      </c>
      <c r="I39" s="86">
        <v>26</v>
      </c>
      <c r="J39" s="86" t="s">
        <v>10110</v>
      </c>
      <c r="K39" s="8">
        <v>517128</v>
      </c>
      <c r="M39" s="167" t="str">
        <f t="shared" si="0"/>
        <v>OK</v>
      </c>
    </row>
    <row r="40" spans="2:13" ht="12.75" hidden="1">
      <c r="B40" s="86">
        <v>1241</v>
      </c>
      <c r="C40" s="86">
        <v>39</v>
      </c>
      <c r="D40" s="86" t="s">
        <v>9576</v>
      </c>
      <c r="E40" s="86" t="s">
        <v>6410</v>
      </c>
      <c r="F40" s="86" t="s">
        <v>35</v>
      </c>
      <c r="G40" s="86">
        <v>26</v>
      </c>
      <c r="H40" s="86" t="s">
        <v>9566</v>
      </c>
      <c r="I40" s="86">
        <v>26</v>
      </c>
      <c r="J40" s="86" t="s">
        <v>10110</v>
      </c>
      <c r="K40" s="8">
        <v>518502</v>
      </c>
      <c r="L40" s="8"/>
      <c r="M40" s="167" t="str">
        <f t="shared" si="0"/>
        <v>OK</v>
      </c>
    </row>
    <row r="41" spans="2:13" ht="12.75" hidden="1">
      <c r="B41" s="86">
        <v>1241</v>
      </c>
      <c r="C41" s="86">
        <v>40</v>
      </c>
      <c r="D41" s="86" t="s">
        <v>9576</v>
      </c>
      <c r="E41" s="86" t="s">
        <v>6380</v>
      </c>
      <c r="F41" s="86" t="s">
        <v>35</v>
      </c>
      <c r="G41" s="86">
        <v>26</v>
      </c>
      <c r="H41" s="86" t="s">
        <v>9566</v>
      </c>
      <c r="I41" s="86">
        <v>26</v>
      </c>
      <c r="J41" s="86" t="s">
        <v>10110</v>
      </c>
      <c r="K41" s="8">
        <v>518500</v>
      </c>
      <c r="L41" s="8"/>
      <c r="M41" s="167" t="str">
        <f t="shared" si="0"/>
        <v>OK</v>
      </c>
    </row>
    <row r="42" spans="2:13" ht="12.75" hidden="1">
      <c r="B42" s="86">
        <v>1241</v>
      </c>
      <c r="C42" s="86">
        <v>41</v>
      </c>
      <c r="D42" s="86" t="s">
        <v>9576</v>
      </c>
      <c r="E42" s="86" t="s">
        <v>6416</v>
      </c>
      <c r="F42" s="86" t="s">
        <v>35</v>
      </c>
      <c r="G42" s="86">
        <v>26</v>
      </c>
      <c r="H42" s="86" t="s">
        <v>9566</v>
      </c>
      <c r="I42" s="86">
        <v>26</v>
      </c>
      <c r="J42" s="86" t="s">
        <v>10110</v>
      </c>
      <c r="K42" s="8">
        <v>564554</v>
      </c>
      <c r="M42" s="167" t="str">
        <f t="shared" si="0"/>
        <v>OK</v>
      </c>
    </row>
    <row r="43" spans="2:13" ht="12.75" hidden="1">
      <c r="B43" s="86">
        <v>1241</v>
      </c>
      <c r="C43" s="86">
        <v>42</v>
      </c>
      <c r="D43" s="86" t="s">
        <v>9576</v>
      </c>
      <c r="E43" s="86" t="s">
        <v>6374</v>
      </c>
      <c r="F43" s="86" t="s">
        <v>35</v>
      </c>
      <c r="G43" s="86">
        <v>26</v>
      </c>
      <c r="H43" s="86" t="s">
        <v>9566</v>
      </c>
      <c r="I43" s="86">
        <v>26</v>
      </c>
      <c r="J43" s="86" t="s">
        <v>10110</v>
      </c>
      <c r="K43" s="8">
        <v>516015</v>
      </c>
      <c r="M43" s="167" t="str">
        <f t="shared" si="0"/>
        <v>OK</v>
      </c>
    </row>
    <row r="44" spans="2:13" ht="12.75" hidden="1">
      <c r="B44" s="86">
        <v>1241</v>
      </c>
      <c r="C44" s="86">
        <v>43</v>
      </c>
      <c r="D44" s="86" t="s">
        <v>9576</v>
      </c>
      <c r="E44" s="86" t="s">
        <v>6386</v>
      </c>
      <c r="F44" s="86" t="s">
        <v>35</v>
      </c>
      <c r="G44" s="86">
        <v>26</v>
      </c>
      <c r="H44" s="86" t="s">
        <v>9566</v>
      </c>
      <c r="I44" s="86">
        <v>26</v>
      </c>
      <c r="J44" s="86" t="s">
        <v>10110</v>
      </c>
      <c r="K44" s="8">
        <v>564555</v>
      </c>
      <c r="M44" s="167" t="str">
        <f t="shared" si="0"/>
        <v>OK</v>
      </c>
    </row>
    <row r="45" spans="2:13" ht="12.75" hidden="1">
      <c r="B45" s="86">
        <v>1241</v>
      </c>
      <c r="C45" s="86">
        <v>44</v>
      </c>
      <c r="D45" s="86" t="s">
        <v>9576</v>
      </c>
      <c r="E45" s="86" t="s">
        <v>6398</v>
      </c>
      <c r="F45" s="86" t="s">
        <v>35</v>
      </c>
      <c r="G45" s="86">
        <v>26</v>
      </c>
      <c r="H45" s="86" t="s">
        <v>9566</v>
      </c>
      <c r="I45" s="86">
        <v>26</v>
      </c>
      <c r="J45" s="86" t="s">
        <v>10110</v>
      </c>
      <c r="K45" s="8">
        <v>516014</v>
      </c>
      <c r="M45" s="167" t="str">
        <f t="shared" si="0"/>
        <v>OK</v>
      </c>
    </row>
    <row r="46" spans="2:13" ht="12.75" hidden="1">
      <c r="B46" s="86">
        <v>1241</v>
      </c>
      <c r="C46" s="86">
        <v>45</v>
      </c>
      <c r="D46" s="86" t="s">
        <v>9586</v>
      </c>
      <c r="E46" s="86" t="s">
        <v>6335</v>
      </c>
      <c r="F46" s="86" t="s">
        <v>35</v>
      </c>
      <c r="G46" s="86">
        <v>26</v>
      </c>
      <c r="H46" s="86" t="s">
        <v>9566</v>
      </c>
      <c r="I46" s="86">
        <v>26</v>
      </c>
      <c r="J46" s="86" t="s">
        <v>5332</v>
      </c>
      <c r="K46" s="8">
        <v>564784</v>
      </c>
      <c r="M46" s="167" t="str">
        <f t="shared" si="0"/>
        <v>OK</v>
      </c>
    </row>
    <row r="47" spans="2:13" ht="12.75" hidden="1">
      <c r="B47" s="86">
        <v>1241</v>
      </c>
      <c r="C47" s="86">
        <v>46</v>
      </c>
      <c r="D47" s="86" t="s">
        <v>9565</v>
      </c>
      <c r="E47" s="86" t="s">
        <v>6259</v>
      </c>
      <c r="F47" s="86" t="s">
        <v>168</v>
      </c>
      <c r="G47" s="86">
        <v>26</v>
      </c>
      <c r="H47" s="86" t="s">
        <v>9566</v>
      </c>
      <c r="I47" s="86">
        <v>26</v>
      </c>
      <c r="J47" s="86" t="s">
        <v>6255</v>
      </c>
      <c r="K47" s="8">
        <v>527285</v>
      </c>
      <c r="M47" s="167" t="str">
        <f t="shared" si="0"/>
        <v>OK</v>
      </c>
    </row>
    <row r="48" spans="2:13" ht="12.75" hidden="1">
      <c r="B48" s="86">
        <v>1241</v>
      </c>
      <c r="C48" s="86">
        <v>47</v>
      </c>
      <c r="D48" s="86" t="s">
        <v>9569</v>
      </c>
      <c r="E48" s="86" t="s">
        <v>6527</v>
      </c>
      <c r="F48" s="86" t="s">
        <v>157</v>
      </c>
      <c r="G48" s="86">
        <v>26</v>
      </c>
      <c r="H48" s="86" t="s">
        <v>9566</v>
      </c>
      <c r="I48" s="86">
        <v>26</v>
      </c>
      <c r="J48" s="86" t="s">
        <v>1394</v>
      </c>
      <c r="K48" s="8">
        <v>650662</v>
      </c>
      <c r="M48" s="167" t="str">
        <f t="shared" si="0"/>
        <v>OK</v>
      </c>
    </row>
    <row r="49" spans="2:13" ht="12.75" hidden="1">
      <c r="B49" s="86">
        <v>1241</v>
      </c>
      <c r="C49" s="86">
        <v>48</v>
      </c>
      <c r="D49" s="86" t="s">
        <v>9580</v>
      </c>
      <c r="E49" s="86" t="s">
        <v>6535</v>
      </c>
      <c r="F49" s="86" t="s">
        <v>703</v>
      </c>
      <c r="G49" s="86">
        <v>26</v>
      </c>
      <c r="H49" s="86" t="s">
        <v>9566</v>
      </c>
      <c r="I49" s="86">
        <v>26</v>
      </c>
      <c r="J49" s="86" t="s">
        <v>9581</v>
      </c>
      <c r="K49" s="8">
        <v>651394</v>
      </c>
      <c r="M49" s="167" t="str">
        <f t="shared" si="0"/>
        <v>OK</v>
      </c>
    </row>
    <row r="50" spans="2:13" ht="12.75" hidden="1">
      <c r="B50" s="86">
        <v>1241</v>
      </c>
      <c r="C50" s="86">
        <v>49</v>
      </c>
      <c r="D50" s="86" t="s">
        <v>9585</v>
      </c>
      <c r="E50" s="86" t="s">
        <v>6497</v>
      </c>
      <c r="F50" s="86" t="s">
        <v>205</v>
      </c>
      <c r="G50" s="86">
        <v>26</v>
      </c>
      <c r="H50" s="86" t="s">
        <v>9566</v>
      </c>
      <c r="I50" s="86">
        <v>26</v>
      </c>
      <c r="J50" s="86" t="s">
        <v>1199</v>
      </c>
      <c r="K50" s="8">
        <v>515121</v>
      </c>
      <c r="M50" s="167" t="str">
        <f t="shared" si="0"/>
        <v>OK</v>
      </c>
    </row>
    <row r="51" spans="2:13" ht="12.75" hidden="1">
      <c r="B51" s="86">
        <v>1241</v>
      </c>
      <c r="C51" s="86">
        <v>50</v>
      </c>
      <c r="D51" s="86" t="s">
        <v>10097</v>
      </c>
      <c r="E51" s="86" t="s">
        <v>6484</v>
      </c>
      <c r="F51" s="86" t="s">
        <v>35</v>
      </c>
      <c r="G51" s="86">
        <v>26</v>
      </c>
      <c r="H51" s="86" t="s">
        <v>9566</v>
      </c>
      <c r="I51" s="86">
        <v>26</v>
      </c>
      <c r="J51" s="86" t="s">
        <v>117</v>
      </c>
      <c r="K51" s="8">
        <v>534673</v>
      </c>
      <c r="M51" s="167" t="str">
        <f t="shared" si="0"/>
        <v>OK</v>
      </c>
    </row>
    <row r="52" spans="2:13" ht="12.75" hidden="1">
      <c r="B52" s="86">
        <v>1241</v>
      </c>
      <c r="C52" s="86">
        <v>51</v>
      </c>
      <c r="D52" s="86" t="s">
        <v>9586</v>
      </c>
      <c r="E52" s="86" t="s">
        <v>6478</v>
      </c>
      <c r="F52" s="86" t="s">
        <v>35</v>
      </c>
      <c r="G52" s="86">
        <v>26</v>
      </c>
      <c r="H52" s="86" t="s">
        <v>9566</v>
      </c>
      <c r="I52" s="86">
        <v>26</v>
      </c>
      <c r="J52" s="86" t="s">
        <v>10127</v>
      </c>
      <c r="K52" s="8">
        <v>564716</v>
      </c>
      <c r="M52" s="167" t="str">
        <f t="shared" si="0"/>
        <v>OK</v>
      </c>
    </row>
    <row r="53" spans="2:13" ht="12.75" hidden="1">
      <c r="B53" s="86">
        <v>1242</v>
      </c>
      <c r="C53" s="86">
        <v>52</v>
      </c>
      <c r="D53" s="86" t="s">
        <v>10121</v>
      </c>
      <c r="E53" s="86" t="s">
        <v>6350</v>
      </c>
      <c r="F53" s="86" t="s">
        <v>35</v>
      </c>
      <c r="G53" s="86">
        <v>26</v>
      </c>
      <c r="H53" s="86" t="s">
        <v>9566</v>
      </c>
      <c r="I53" s="86">
        <v>26</v>
      </c>
      <c r="J53" s="86" t="s">
        <v>10128</v>
      </c>
      <c r="K53" s="8">
        <v>583305</v>
      </c>
      <c r="M53" s="167" t="str">
        <f t="shared" si="0"/>
        <v>OK</v>
      </c>
    </row>
    <row r="54" spans="2:13" ht="12.75" hidden="1">
      <c r="B54" s="86">
        <v>1241</v>
      </c>
      <c r="C54" s="86">
        <v>53</v>
      </c>
      <c r="D54" s="86" t="s">
        <v>9576</v>
      </c>
      <c r="E54" s="86" t="s">
        <v>6404</v>
      </c>
      <c r="F54" s="86" t="s">
        <v>35</v>
      </c>
      <c r="G54" s="86">
        <v>26</v>
      </c>
      <c r="H54" s="86" t="s">
        <v>9566</v>
      </c>
      <c r="I54" s="86">
        <v>26</v>
      </c>
      <c r="J54" s="86" t="s">
        <v>10110</v>
      </c>
      <c r="K54" s="8">
        <v>516017</v>
      </c>
      <c r="M54" s="167" t="str">
        <f t="shared" si="0"/>
        <v>OK</v>
      </c>
    </row>
    <row r="55" spans="2:13" ht="12.75" hidden="1">
      <c r="B55" s="86">
        <v>1241</v>
      </c>
      <c r="C55" s="86">
        <v>54</v>
      </c>
      <c r="D55" s="86" t="s">
        <v>9586</v>
      </c>
      <c r="E55" s="86" t="s">
        <v>6328</v>
      </c>
      <c r="F55" s="86" t="s">
        <v>35</v>
      </c>
      <c r="G55" s="86">
        <v>26</v>
      </c>
      <c r="H55" s="86" t="s">
        <v>9566</v>
      </c>
      <c r="I55" s="86">
        <v>26</v>
      </c>
      <c r="J55" s="86" t="s">
        <v>10129</v>
      </c>
      <c r="K55" s="8">
        <v>564799</v>
      </c>
      <c r="M55" s="167" t="str">
        <f t="shared" si="0"/>
        <v>OK</v>
      </c>
    </row>
    <row r="56" spans="2:13" ht="12.75" hidden="1">
      <c r="B56" s="86">
        <v>1241</v>
      </c>
      <c r="C56" s="86">
        <v>55</v>
      </c>
      <c r="D56" s="86" t="s">
        <v>9576</v>
      </c>
      <c r="E56" s="86" t="s">
        <v>6422</v>
      </c>
      <c r="F56" s="86" t="s">
        <v>35</v>
      </c>
      <c r="G56" s="86">
        <v>26</v>
      </c>
      <c r="H56" s="86" t="s">
        <v>9566</v>
      </c>
      <c r="I56" s="86">
        <v>26</v>
      </c>
      <c r="J56" s="86" t="s">
        <v>10110</v>
      </c>
      <c r="K56" s="8">
        <v>516008</v>
      </c>
      <c r="M56" s="167" t="str">
        <f t="shared" si="0"/>
        <v>OK</v>
      </c>
    </row>
    <row r="57" spans="2:13" ht="12.75" hidden="1">
      <c r="B57" s="86">
        <v>1241</v>
      </c>
      <c r="C57" s="86">
        <v>56</v>
      </c>
      <c r="D57" s="86" t="s">
        <v>9586</v>
      </c>
      <c r="E57" s="86" t="s">
        <v>6297</v>
      </c>
      <c r="F57" s="86" t="s">
        <v>35</v>
      </c>
      <c r="G57" s="86">
        <v>26</v>
      </c>
      <c r="H57" s="86" t="s">
        <v>9566</v>
      </c>
      <c r="I57" s="86">
        <v>26</v>
      </c>
      <c r="J57" s="86" t="s">
        <v>10130</v>
      </c>
      <c r="K57" s="8">
        <v>564797</v>
      </c>
      <c r="M57" s="167" t="str">
        <f t="shared" si="0"/>
        <v>OK</v>
      </c>
    </row>
    <row r="58" spans="2:13" ht="12.75" hidden="1">
      <c r="B58" s="86">
        <v>1246</v>
      </c>
      <c r="C58" s="86">
        <v>57</v>
      </c>
      <c r="D58" s="86" t="s">
        <v>10112</v>
      </c>
      <c r="E58" s="86" t="s">
        <v>6367</v>
      </c>
      <c r="F58" s="86" t="s">
        <v>2866</v>
      </c>
      <c r="G58" s="86">
        <v>26</v>
      </c>
      <c r="H58" s="86" t="s">
        <v>9566</v>
      </c>
      <c r="I58" s="86">
        <v>26</v>
      </c>
      <c r="J58" s="86" t="s">
        <v>2861</v>
      </c>
      <c r="K58" s="8">
        <v>535311</v>
      </c>
      <c r="M58" s="167" t="str">
        <f t="shared" si="0"/>
        <v>OK</v>
      </c>
    </row>
    <row r="59" spans="2:13" ht="12.75" hidden="1">
      <c r="B59" s="86">
        <v>1241</v>
      </c>
      <c r="C59" s="86">
        <v>58</v>
      </c>
      <c r="D59" s="86" t="s">
        <v>9586</v>
      </c>
      <c r="E59" s="86" t="s">
        <v>6460</v>
      </c>
      <c r="F59" s="86" t="s">
        <v>35</v>
      </c>
      <c r="G59" s="86">
        <v>26</v>
      </c>
      <c r="H59" s="86" t="s">
        <v>9566</v>
      </c>
      <c r="I59" s="86">
        <v>26</v>
      </c>
      <c r="J59" s="86" t="s">
        <v>10131</v>
      </c>
      <c r="K59" s="8">
        <v>580341</v>
      </c>
      <c r="M59" s="167" t="str">
        <f t="shared" si="0"/>
        <v>OK</v>
      </c>
    </row>
    <row r="60" spans="2:13" ht="12.75" hidden="1">
      <c r="B60" s="86">
        <v>1241</v>
      </c>
      <c r="C60" s="86">
        <v>59</v>
      </c>
      <c r="D60" s="86" t="s">
        <v>9586</v>
      </c>
      <c r="E60" s="86" t="s">
        <v>6491</v>
      </c>
      <c r="F60" s="86" t="s">
        <v>35</v>
      </c>
      <c r="G60" s="86">
        <v>26</v>
      </c>
      <c r="H60" s="86" t="s">
        <v>9566</v>
      </c>
      <c r="I60" s="86">
        <v>26</v>
      </c>
      <c r="J60" s="86" t="s">
        <v>10129</v>
      </c>
      <c r="K60" s="8">
        <v>564786</v>
      </c>
      <c r="M60" s="167" t="str">
        <f t="shared" si="0"/>
        <v>OK</v>
      </c>
    </row>
    <row r="61" spans="2:13" ht="12.75" hidden="1">
      <c r="B61" s="86">
        <v>1241</v>
      </c>
      <c r="C61" s="86">
        <v>60</v>
      </c>
      <c r="D61" s="86" t="s">
        <v>9586</v>
      </c>
      <c r="E61" s="86" t="s">
        <v>6447</v>
      </c>
      <c r="F61" s="86" t="s">
        <v>35</v>
      </c>
      <c r="G61" s="86">
        <v>26</v>
      </c>
      <c r="H61" s="86" t="s">
        <v>9566</v>
      </c>
      <c r="I61" s="86">
        <v>26</v>
      </c>
      <c r="J61" s="86" t="s">
        <v>10132</v>
      </c>
      <c r="K61" s="8">
        <v>564727</v>
      </c>
      <c r="M61" s="167" t="str">
        <f t="shared" si="0"/>
        <v>OK</v>
      </c>
    </row>
    <row r="62" spans="2:13" ht="12.75" hidden="1">
      <c r="B62" s="86">
        <v>1241</v>
      </c>
      <c r="C62" s="86">
        <v>61</v>
      </c>
      <c r="D62" s="86" t="s">
        <v>9586</v>
      </c>
      <c r="E62" s="86" t="s">
        <v>6466</v>
      </c>
      <c r="F62" s="86" t="s">
        <v>35</v>
      </c>
      <c r="G62" s="86">
        <v>26</v>
      </c>
      <c r="H62" s="86" t="s">
        <v>9566</v>
      </c>
      <c r="I62" s="86">
        <v>26</v>
      </c>
      <c r="J62" s="86" t="s">
        <v>10132</v>
      </c>
      <c r="K62" s="8">
        <v>564725</v>
      </c>
      <c r="M62" s="167" t="str">
        <f t="shared" si="0"/>
        <v>OK</v>
      </c>
    </row>
    <row r="63" spans="2:13" ht="12.75" hidden="1">
      <c r="B63" s="86">
        <v>1241</v>
      </c>
      <c r="C63" s="86">
        <v>62</v>
      </c>
      <c r="D63" s="86" t="s">
        <v>9586</v>
      </c>
      <c r="E63" s="86" t="s">
        <v>6454</v>
      </c>
      <c r="F63" s="86" t="s">
        <v>35</v>
      </c>
      <c r="G63" s="86">
        <v>26</v>
      </c>
      <c r="H63" s="86" t="s">
        <v>9566</v>
      </c>
      <c r="I63" s="86">
        <v>26</v>
      </c>
      <c r="J63" s="86" t="s">
        <v>10127</v>
      </c>
      <c r="K63" s="8">
        <v>564723</v>
      </c>
      <c r="M63" s="167" t="str">
        <f t="shared" si="0"/>
        <v>OK</v>
      </c>
    </row>
    <row r="64" spans="2:13" ht="12.75" hidden="1">
      <c r="B64" s="86">
        <v>1241</v>
      </c>
      <c r="C64" s="86">
        <v>63</v>
      </c>
      <c r="D64" s="86" t="s">
        <v>9586</v>
      </c>
      <c r="E64" s="86" t="s">
        <v>6472</v>
      </c>
      <c r="F64" s="86" t="s">
        <v>35</v>
      </c>
      <c r="G64" s="86">
        <v>26</v>
      </c>
      <c r="H64" s="86" t="s">
        <v>9566</v>
      </c>
      <c r="I64" s="86">
        <v>26</v>
      </c>
      <c r="J64" s="86" t="s">
        <v>10127</v>
      </c>
      <c r="K64" s="8">
        <v>564721</v>
      </c>
      <c r="M64" s="167" t="str">
        <f t="shared" si="0"/>
        <v>OK</v>
      </c>
    </row>
    <row r="65" spans="2:13" ht="12.75" hidden="1">
      <c r="B65" s="86">
        <v>1241</v>
      </c>
      <c r="C65" s="86">
        <v>64</v>
      </c>
      <c r="D65" s="86" t="s">
        <v>9576</v>
      </c>
      <c r="E65" s="86" t="s">
        <v>6440</v>
      </c>
      <c r="F65" s="86" t="s">
        <v>35</v>
      </c>
      <c r="G65" s="86">
        <v>26</v>
      </c>
      <c r="H65" s="86" t="s">
        <v>9566</v>
      </c>
      <c r="I65" s="86">
        <v>26</v>
      </c>
      <c r="J65" s="86" t="s">
        <v>10110</v>
      </c>
      <c r="K65" s="8">
        <v>518501</v>
      </c>
      <c r="M65" s="167" t="str">
        <f t="shared" si="0"/>
        <v>OK</v>
      </c>
    </row>
    <row r="66" spans="2:13" ht="12.75" hidden="1">
      <c r="B66" s="86">
        <v>1241</v>
      </c>
      <c r="C66" s="86">
        <v>65</v>
      </c>
      <c r="D66" s="86" t="s">
        <v>9576</v>
      </c>
      <c r="E66" s="86" t="s">
        <v>6434</v>
      </c>
      <c r="F66" s="86" t="s">
        <v>35</v>
      </c>
      <c r="G66" s="86">
        <v>26</v>
      </c>
      <c r="H66" s="86" t="s">
        <v>9566</v>
      </c>
      <c r="I66" s="86">
        <v>26</v>
      </c>
      <c r="J66" s="86" t="s">
        <v>10110</v>
      </c>
      <c r="K66" s="8">
        <v>515617</v>
      </c>
      <c r="M66" s="167" t="str">
        <f t="shared" si="0"/>
        <v>OK</v>
      </c>
    </row>
    <row r="67" spans="2:13" ht="12.75" hidden="1">
      <c r="B67" s="86">
        <v>1241</v>
      </c>
      <c r="C67" s="86">
        <v>66</v>
      </c>
      <c r="D67" s="86" t="s">
        <v>9576</v>
      </c>
      <c r="E67" s="86" t="s">
        <v>6428</v>
      </c>
      <c r="F67" s="86" t="s">
        <v>35</v>
      </c>
      <c r="G67" s="86">
        <v>26</v>
      </c>
      <c r="H67" s="86" t="s">
        <v>9566</v>
      </c>
      <c r="I67" s="86">
        <v>26</v>
      </c>
      <c r="J67" s="86" t="s">
        <v>10110</v>
      </c>
      <c r="K67" s="8">
        <v>516016</v>
      </c>
      <c r="M67" s="167" t="str">
        <f t="shared" si="0"/>
        <v>OK</v>
      </c>
    </row>
    <row r="68" spans="2:13" ht="12.75" hidden="1">
      <c r="B68" s="86">
        <v>1241</v>
      </c>
      <c r="C68" s="86">
        <v>67</v>
      </c>
      <c r="D68" s="86" t="s">
        <v>10113</v>
      </c>
      <c r="E68" s="86" t="s">
        <v>6289</v>
      </c>
      <c r="F68" s="86" t="s">
        <v>35</v>
      </c>
      <c r="G68" s="86">
        <v>26</v>
      </c>
      <c r="H68" s="86" t="s">
        <v>9566</v>
      </c>
      <c r="I68" s="86">
        <v>26</v>
      </c>
      <c r="J68" s="86" t="s">
        <v>4175</v>
      </c>
      <c r="K68" s="8">
        <v>516235</v>
      </c>
      <c r="M68" s="167" t="str">
        <f t="shared" si="0"/>
        <v>OK</v>
      </c>
    </row>
    <row r="69" spans="2:13" ht="12.75" hidden="1">
      <c r="B69" s="86">
        <v>1242</v>
      </c>
      <c r="C69" s="86">
        <v>68</v>
      </c>
      <c r="D69" s="86" t="s">
        <v>10133</v>
      </c>
      <c r="E69" s="86" t="s">
        <v>6358</v>
      </c>
      <c r="F69" s="86" t="s">
        <v>6359</v>
      </c>
      <c r="G69" s="86">
        <v>26</v>
      </c>
      <c r="H69" s="86" t="s">
        <v>9566</v>
      </c>
      <c r="I69" s="86">
        <v>26</v>
      </c>
      <c r="J69" s="86" t="s">
        <v>6354</v>
      </c>
      <c r="K69" s="8">
        <v>651384</v>
      </c>
      <c r="M69" s="167" t="str">
        <f t="shared" si="0"/>
        <v>OK</v>
      </c>
    </row>
    <row r="70" spans="2:13" ht="12.75" hidden="1">
      <c r="B70" s="86">
        <v>1246</v>
      </c>
      <c r="C70" s="86">
        <v>69</v>
      </c>
      <c r="D70" s="86" t="s">
        <v>9568</v>
      </c>
      <c r="E70" s="86" t="s">
        <v>9545</v>
      </c>
      <c r="F70" s="86" t="s">
        <v>6506</v>
      </c>
      <c r="G70" s="86">
        <v>26</v>
      </c>
      <c r="H70" s="86" t="s">
        <v>9566</v>
      </c>
      <c r="I70" s="86">
        <v>26</v>
      </c>
      <c r="J70" s="86" t="s">
        <v>354</v>
      </c>
      <c r="K70" s="8">
        <v>651385</v>
      </c>
      <c r="M70" s="167" t="str">
        <f t="shared" si="0"/>
        <v>OK</v>
      </c>
    </row>
    <row r="71" spans="2:13" ht="12.75" hidden="1">
      <c r="B71" s="86">
        <v>1241</v>
      </c>
      <c r="C71" s="86">
        <v>70</v>
      </c>
      <c r="D71" s="86" t="s">
        <v>9586</v>
      </c>
      <c r="E71" s="86" t="s">
        <v>6653</v>
      </c>
      <c r="F71" s="86" t="s">
        <v>35</v>
      </c>
      <c r="G71" s="86">
        <v>26</v>
      </c>
      <c r="H71" s="86" t="s">
        <v>9566</v>
      </c>
      <c r="I71" s="86">
        <v>26</v>
      </c>
      <c r="J71" s="86" t="s">
        <v>10134</v>
      </c>
      <c r="K71" s="8">
        <v>564732</v>
      </c>
      <c r="M71" s="167" t="str">
        <f t="shared" si="0"/>
        <v>OK</v>
      </c>
    </row>
    <row r="72" spans="2:13" ht="12.75" hidden="1">
      <c r="B72" s="86">
        <v>1241</v>
      </c>
      <c r="C72" s="86">
        <v>71</v>
      </c>
      <c r="D72" s="86" t="s">
        <v>9586</v>
      </c>
      <c r="E72" s="86" t="s">
        <v>6634</v>
      </c>
      <c r="F72" s="86" t="s">
        <v>35</v>
      </c>
      <c r="G72" s="86">
        <v>26</v>
      </c>
      <c r="H72" s="86" t="s">
        <v>9566</v>
      </c>
      <c r="I72" s="86">
        <v>26</v>
      </c>
      <c r="J72" s="86" t="s">
        <v>10135</v>
      </c>
      <c r="K72" s="8" t="s">
        <v>6632</v>
      </c>
      <c r="L72" s="8" t="s">
        <v>10101</v>
      </c>
      <c r="M72" s="167" t="str">
        <f t="shared" si="0"/>
        <v>OK</v>
      </c>
    </row>
    <row r="73" spans="2:13" ht="12.75" hidden="1">
      <c r="B73" s="86">
        <v>1241</v>
      </c>
      <c r="C73" s="86">
        <v>72</v>
      </c>
      <c r="D73" s="86" t="s">
        <v>10136</v>
      </c>
      <c r="E73" s="86" t="s">
        <v>6591</v>
      </c>
      <c r="F73" s="86" t="s">
        <v>5918</v>
      </c>
      <c r="G73" s="86">
        <v>26</v>
      </c>
      <c r="H73" s="86" t="s">
        <v>9566</v>
      </c>
      <c r="I73" s="86">
        <v>26</v>
      </c>
      <c r="J73" s="86" t="s">
        <v>5905</v>
      </c>
      <c r="K73" s="8">
        <v>543274</v>
      </c>
      <c r="M73" s="167" t="str">
        <f t="shared" si="0"/>
        <v>OK</v>
      </c>
    </row>
    <row r="74" spans="2:13" ht="12.75" hidden="1">
      <c r="B74" s="86">
        <v>1241</v>
      </c>
      <c r="C74" s="86">
        <v>73</v>
      </c>
      <c r="D74" s="86" t="s">
        <v>9603</v>
      </c>
      <c r="E74" s="86" t="s">
        <v>6600</v>
      </c>
      <c r="F74" s="86" t="s">
        <v>35</v>
      </c>
      <c r="G74" s="86">
        <v>26</v>
      </c>
      <c r="H74" s="86" t="s">
        <v>9566</v>
      </c>
      <c r="I74" s="86">
        <v>26</v>
      </c>
      <c r="J74" s="86" t="s">
        <v>10137</v>
      </c>
      <c r="K74" s="8">
        <v>564611</v>
      </c>
      <c r="M74" s="167" t="str">
        <f t="shared" si="0"/>
        <v>OK</v>
      </c>
    </row>
    <row r="75" spans="2:13" ht="12.75" hidden="1">
      <c r="B75" s="86">
        <v>1241</v>
      </c>
      <c r="C75" s="86">
        <v>74</v>
      </c>
      <c r="D75" s="86" t="s">
        <v>9586</v>
      </c>
      <c r="E75" s="86" t="s">
        <v>6621</v>
      </c>
      <c r="F75" s="86" t="s">
        <v>35</v>
      </c>
      <c r="G75" s="86">
        <v>26</v>
      </c>
      <c r="H75" s="86" t="s">
        <v>9566</v>
      </c>
      <c r="I75" s="86">
        <v>26</v>
      </c>
      <c r="J75" s="86" t="s">
        <v>10138</v>
      </c>
      <c r="K75" s="8">
        <v>651392</v>
      </c>
      <c r="M75" s="167" t="str">
        <f t="shared" si="0"/>
        <v>OK</v>
      </c>
    </row>
    <row r="76" spans="2:13" ht="12.75" hidden="1">
      <c r="B76" s="86">
        <v>1241</v>
      </c>
      <c r="C76" s="86">
        <v>75</v>
      </c>
      <c r="D76" s="86" t="s">
        <v>9586</v>
      </c>
      <c r="E76" s="86" t="s">
        <v>6627</v>
      </c>
      <c r="F76" s="86" t="s">
        <v>35</v>
      </c>
      <c r="G76" s="86">
        <v>26</v>
      </c>
      <c r="H76" s="86" t="s">
        <v>9566</v>
      </c>
      <c r="I76" s="86">
        <v>26</v>
      </c>
      <c r="J76" s="86" t="s">
        <v>10138</v>
      </c>
      <c r="K76" s="8">
        <v>651386</v>
      </c>
      <c r="M76" s="167" t="str">
        <f t="shared" si="0"/>
        <v>OK</v>
      </c>
    </row>
    <row r="77" spans="2:13" ht="12.75" hidden="1">
      <c r="B77" s="86">
        <v>1241</v>
      </c>
      <c r="C77" s="86">
        <v>76</v>
      </c>
      <c r="D77" s="86" t="s">
        <v>10139</v>
      </c>
      <c r="E77" s="86" t="s">
        <v>6612</v>
      </c>
      <c r="F77" s="86" t="s">
        <v>4035</v>
      </c>
      <c r="G77" s="86">
        <v>26</v>
      </c>
      <c r="H77" s="86" t="s">
        <v>9566</v>
      </c>
      <c r="I77" s="86">
        <v>26</v>
      </c>
      <c r="J77" s="86" t="s">
        <v>6608</v>
      </c>
      <c r="K77" s="8">
        <v>649404</v>
      </c>
      <c r="M77" s="167" t="str">
        <f t="shared" si="0"/>
        <v>OK</v>
      </c>
    </row>
    <row r="78" spans="2:13" ht="12.75" hidden="1">
      <c r="B78" s="86">
        <v>1241</v>
      </c>
      <c r="C78" s="86">
        <v>77</v>
      </c>
      <c r="D78" s="86" t="s">
        <v>9576</v>
      </c>
      <c r="E78" s="86" t="s">
        <v>6097</v>
      </c>
      <c r="F78" s="86" t="s">
        <v>35</v>
      </c>
      <c r="G78" s="86">
        <v>26</v>
      </c>
      <c r="H78" s="86" t="s">
        <v>9566</v>
      </c>
      <c r="I78" s="86">
        <v>26</v>
      </c>
      <c r="J78" s="86" t="s">
        <v>6670</v>
      </c>
      <c r="K78" s="8">
        <v>517047</v>
      </c>
      <c r="M78" s="167" t="str">
        <f t="shared" si="0"/>
        <v>OK</v>
      </c>
    </row>
    <row r="79" spans="2:13" ht="12.75" hidden="1">
      <c r="B79" s="86">
        <v>1241</v>
      </c>
      <c r="C79" s="86">
        <v>78</v>
      </c>
      <c r="D79" s="86" t="s">
        <v>9586</v>
      </c>
      <c r="E79" s="86" t="s">
        <v>6660</v>
      </c>
      <c r="F79" s="86" t="s">
        <v>35</v>
      </c>
      <c r="G79" s="86">
        <v>26</v>
      </c>
      <c r="H79" s="86" t="s">
        <v>9566</v>
      </c>
      <c r="I79" s="86">
        <v>26</v>
      </c>
      <c r="J79" s="86" t="s">
        <v>10140</v>
      </c>
      <c r="K79" s="8">
        <v>651380</v>
      </c>
      <c r="M79" s="167" t="str">
        <f t="shared" si="0"/>
        <v>OK</v>
      </c>
    </row>
    <row r="80" spans="2:13" ht="12.75" hidden="1">
      <c r="B80" s="86">
        <v>1246</v>
      </c>
      <c r="C80" s="86">
        <v>79</v>
      </c>
      <c r="D80" s="86" t="s">
        <v>9568</v>
      </c>
      <c r="E80" s="86" t="s">
        <v>6564</v>
      </c>
      <c r="F80" s="86" t="s">
        <v>6566</v>
      </c>
      <c r="G80" s="86">
        <v>26</v>
      </c>
      <c r="H80" s="86" t="s">
        <v>9566</v>
      </c>
      <c r="I80" s="86">
        <v>26</v>
      </c>
      <c r="J80" s="86" t="s">
        <v>638</v>
      </c>
      <c r="K80" s="8">
        <v>565742</v>
      </c>
      <c r="L80" s="8" t="s">
        <v>3282</v>
      </c>
      <c r="M80" s="167" t="str">
        <f t="shared" si="0"/>
        <v>OK</v>
      </c>
    </row>
    <row r="81" spans="2:13" ht="12.75" hidden="1">
      <c r="B81" s="86">
        <v>1241</v>
      </c>
      <c r="C81" s="86">
        <v>80</v>
      </c>
      <c r="D81" s="86" t="s">
        <v>9580</v>
      </c>
      <c r="E81" s="86" t="s">
        <v>6574</v>
      </c>
      <c r="F81" s="86" t="s">
        <v>6575</v>
      </c>
      <c r="G81" s="86">
        <v>26</v>
      </c>
      <c r="H81" s="86" t="s">
        <v>10141</v>
      </c>
      <c r="I81" s="86">
        <v>14</v>
      </c>
      <c r="J81" s="86" t="s">
        <v>10142</v>
      </c>
      <c r="K81" s="8">
        <v>543577</v>
      </c>
      <c r="M81" s="167" t="str">
        <f t="shared" si="0"/>
        <v>OK</v>
      </c>
    </row>
    <row r="82" spans="2:13" ht="12.75" hidden="1">
      <c r="B82" s="86">
        <v>1241</v>
      </c>
      <c r="C82" s="86">
        <v>81</v>
      </c>
      <c r="D82" s="86" t="s">
        <v>10097</v>
      </c>
      <c r="E82" s="86" t="s">
        <v>6544</v>
      </c>
      <c r="F82" s="86" t="s">
        <v>35</v>
      </c>
      <c r="G82" s="86">
        <v>26</v>
      </c>
      <c r="H82" s="86" t="s">
        <v>10141</v>
      </c>
      <c r="I82" s="86">
        <v>14</v>
      </c>
      <c r="J82" s="86" t="s">
        <v>117</v>
      </c>
      <c r="K82" s="8" t="s">
        <v>6542</v>
      </c>
      <c r="L82" s="8" t="s">
        <v>10101</v>
      </c>
      <c r="M82" s="167" t="str">
        <f t="shared" si="0"/>
        <v>OK</v>
      </c>
    </row>
    <row r="83" spans="2:13" ht="12.75" hidden="1">
      <c r="B83" s="86">
        <v>1246</v>
      </c>
      <c r="C83" s="86">
        <v>82</v>
      </c>
      <c r="D83" s="86" t="s">
        <v>9574</v>
      </c>
      <c r="E83" s="86" t="s">
        <v>6551</v>
      </c>
      <c r="F83" s="86" t="s">
        <v>49</v>
      </c>
      <c r="G83" s="86">
        <v>26</v>
      </c>
      <c r="H83" s="86" t="s">
        <v>10141</v>
      </c>
      <c r="I83" s="86">
        <v>14</v>
      </c>
      <c r="J83" s="86" t="s">
        <v>2581</v>
      </c>
      <c r="K83" s="8">
        <v>564894</v>
      </c>
      <c r="M83" s="167" t="str">
        <f t="shared" si="0"/>
        <v>OK</v>
      </c>
    </row>
    <row r="84" spans="2:13" ht="12.75" hidden="1">
      <c r="B84" s="86">
        <v>1241</v>
      </c>
      <c r="C84" s="86">
        <v>83</v>
      </c>
      <c r="D84" s="86" t="s">
        <v>9569</v>
      </c>
      <c r="E84" s="86" t="s">
        <v>6583</v>
      </c>
      <c r="F84" s="86" t="s">
        <v>205</v>
      </c>
      <c r="G84" s="86">
        <v>26</v>
      </c>
      <c r="H84" s="86" t="s">
        <v>10141</v>
      </c>
      <c r="I84" s="86">
        <v>14</v>
      </c>
      <c r="J84" s="86" t="s">
        <v>5283</v>
      </c>
      <c r="K84" s="8">
        <v>535534</v>
      </c>
      <c r="M84" s="167" t="str">
        <f t="shared" si="0"/>
        <v>OK</v>
      </c>
    </row>
    <row r="85" spans="2:13" ht="12.75" hidden="1">
      <c r="B85" s="86">
        <v>1241</v>
      </c>
      <c r="C85" s="86">
        <v>84</v>
      </c>
      <c r="D85" s="86" t="s">
        <v>10113</v>
      </c>
      <c r="E85" s="86" t="s">
        <v>6558</v>
      </c>
      <c r="F85" s="86" t="s">
        <v>35</v>
      </c>
      <c r="G85" s="86">
        <v>26</v>
      </c>
      <c r="H85" s="86" t="s">
        <v>10141</v>
      </c>
      <c r="I85" s="86">
        <v>14</v>
      </c>
      <c r="J85" s="86" t="s">
        <v>2040</v>
      </c>
      <c r="K85" s="8">
        <v>517894</v>
      </c>
      <c r="M85" s="167" t="str">
        <f t="shared" si="0"/>
        <v>OK</v>
      </c>
    </row>
    <row r="86" spans="2:13" ht="12.75" hidden="1">
      <c r="B86" s="86">
        <v>1246</v>
      </c>
      <c r="C86" s="86">
        <v>85</v>
      </c>
      <c r="D86" s="86" t="s">
        <v>9568</v>
      </c>
      <c r="E86" s="86" t="s">
        <v>6505</v>
      </c>
      <c r="F86" s="86" t="s">
        <v>9540</v>
      </c>
      <c r="G86" s="86">
        <v>26</v>
      </c>
      <c r="H86" s="86" t="s">
        <v>10141</v>
      </c>
      <c r="I86" s="86">
        <v>14</v>
      </c>
      <c r="J86" s="86" t="s">
        <v>248</v>
      </c>
      <c r="K86" s="8">
        <v>650642</v>
      </c>
      <c r="M86" s="167" t="str">
        <f t="shared" si="0"/>
        <v>OK</v>
      </c>
    </row>
    <row r="87" spans="2:13" ht="12.75" hidden="1">
      <c r="B87" s="86">
        <v>1246</v>
      </c>
      <c r="C87" s="86">
        <v>86</v>
      </c>
      <c r="D87" s="86" t="s">
        <v>9574</v>
      </c>
      <c r="E87" s="86" t="s">
        <v>6680</v>
      </c>
      <c r="F87" s="86" t="s">
        <v>406</v>
      </c>
      <c r="G87" s="86">
        <v>26</v>
      </c>
      <c r="H87" s="86" t="s">
        <v>9566</v>
      </c>
      <c r="I87" s="86">
        <v>26</v>
      </c>
      <c r="J87" s="86" t="s">
        <v>4929</v>
      </c>
      <c r="K87" s="8">
        <v>581260</v>
      </c>
      <c r="M87" s="167" t="str">
        <f t="shared" si="0"/>
        <v>OK</v>
      </c>
    </row>
    <row r="88" spans="2:13" ht="12.75" hidden="1">
      <c r="B88" s="86">
        <v>1241</v>
      </c>
      <c r="C88" s="86">
        <v>87</v>
      </c>
      <c r="D88" s="86" t="s">
        <v>9569</v>
      </c>
      <c r="E88" s="86" t="s">
        <v>9377</v>
      </c>
      <c r="F88" s="86" t="s">
        <v>205</v>
      </c>
      <c r="G88" s="86">
        <v>26</v>
      </c>
      <c r="H88" s="86" t="s">
        <v>6684</v>
      </c>
      <c r="I88" s="86">
        <v>33</v>
      </c>
      <c r="J88" s="86" t="s">
        <v>9570</v>
      </c>
      <c r="K88" s="8">
        <v>651389</v>
      </c>
      <c r="L88" s="8" t="s">
        <v>3282</v>
      </c>
      <c r="M88" s="167" t="str">
        <f t="shared" si="0"/>
        <v>OK</v>
      </c>
    </row>
    <row r="89" spans="2:13" ht="12.75" hidden="1">
      <c r="B89" s="86">
        <v>1241</v>
      </c>
      <c r="C89" s="86">
        <v>88</v>
      </c>
      <c r="D89" s="86" t="s">
        <v>10113</v>
      </c>
      <c r="E89" s="86" t="s">
        <v>6223</v>
      </c>
      <c r="F89" s="86" t="s">
        <v>35</v>
      </c>
      <c r="G89" s="86">
        <v>26</v>
      </c>
      <c r="H89" s="86" t="s">
        <v>6684</v>
      </c>
      <c r="I89" s="86">
        <v>33</v>
      </c>
      <c r="J89" s="86" t="s">
        <v>379</v>
      </c>
      <c r="K89" s="8">
        <v>651103</v>
      </c>
      <c r="M89" s="167" t="str">
        <f t="shared" si="0"/>
        <v>OK</v>
      </c>
    </row>
    <row r="90" spans="2:13" ht="12.75" hidden="1">
      <c r="B90" s="86">
        <v>1241</v>
      </c>
      <c r="C90" s="86">
        <v>89</v>
      </c>
      <c r="D90" s="86" t="s">
        <v>9603</v>
      </c>
      <c r="E90" s="86" t="s">
        <v>6760</v>
      </c>
      <c r="F90" s="86" t="s">
        <v>35</v>
      </c>
      <c r="G90" s="86">
        <v>26</v>
      </c>
      <c r="H90" s="86" t="s">
        <v>6684</v>
      </c>
      <c r="I90" s="86">
        <v>33</v>
      </c>
      <c r="J90" s="86" t="s">
        <v>10143</v>
      </c>
      <c r="K90" s="8">
        <v>564625</v>
      </c>
      <c r="M90" s="167" t="str">
        <f t="shared" si="0"/>
        <v>OK</v>
      </c>
    </row>
    <row r="91" spans="2:13" ht="12.75" hidden="1">
      <c r="B91" s="86">
        <v>1241</v>
      </c>
      <c r="C91" s="86">
        <v>90</v>
      </c>
      <c r="D91" s="86" t="s">
        <v>9594</v>
      </c>
      <c r="E91" s="86" t="s">
        <v>6752</v>
      </c>
      <c r="F91" s="86" t="s">
        <v>35</v>
      </c>
      <c r="G91" s="86">
        <v>26</v>
      </c>
      <c r="H91" s="86" t="s">
        <v>6684</v>
      </c>
      <c r="I91" s="86">
        <v>33</v>
      </c>
      <c r="J91" s="86" t="s">
        <v>10144</v>
      </c>
      <c r="K91" s="8">
        <v>581379</v>
      </c>
      <c r="M91" s="167" t="str">
        <f t="shared" si="0"/>
        <v>OK</v>
      </c>
    </row>
    <row r="92" spans="2:13" ht="12.75" hidden="1">
      <c r="B92" s="86">
        <v>1241</v>
      </c>
      <c r="C92" s="86">
        <v>91</v>
      </c>
      <c r="D92" s="86" t="s">
        <v>10113</v>
      </c>
      <c r="E92" s="86" t="s">
        <v>6767</v>
      </c>
      <c r="F92" s="86" t="s">
        <v>35</v>
      </c>
      <c r="G92" s="86">
        <v>26</v>
      </c>
      <c r="H92" s="86" t="s">
        <v>6684</v>
      </c>
      <c r="I92" s="86">
        <v>33</v>
      </c>
      <c r="J92" s="86" t="s">
        <v>379</v>
      </c>
      <c r="K92" s="8">
        <v>651102</v>
      </c>
      <c r="M92" s="167" t="str">
        <f t="shared" si="0"/>
        <v>OK</v>
      </c>
    </row>
    <row r="93" spans="2:13" ht="12.75" hidden="1">
      <c r="B93" s="86">
        <v>1241</v>
      </c>
      <c r="C93" s="86">
        <v>92</v>
      </c>
      <c r="D93" s="86" t="s">
        <v>10097</v>
      </c>
      <c r="E93" s="86" t="s">
        <v>6703</v>
      </c>
      <c r="F93" s="86" t="s">
        <v>35</v>
      </c>
      <c r="G93" s="86">
        <v>26</v>
      </c>
      <c r="H93" s="86" t="s">
        <v>6684</v>
      </c>
      <c r="I93" s="86">
        <v>33</v>
      </c>
      <c r="J93" s="86" t="s">
        <v>117</v>
      </c>
      <c r="K93" s="8">
        <v>518493</v>
      </c>
      <c r="M93" s="167" t="str">
        <f t="shared" si="0"/>
        <v>OK</v>
      </c>
    </row>
    <row r="94" spans="2:13" ht="12.75" hidden="1">
      <c r="B94" s="86">
        <v>1241</v>
      </c>
      <c r="C94" s="86">
        <v>93</v>
      </c>
      <c r="D94" s="86" t="s">
        <v>9594</v>
      </c>
      <c r="E94" s="86" t="s">
        <v>6710</v>
      </c>
      <c r="F94" s="86" t="s">
        <v>35</v>
      </c>
      <c r="G94" s="86">
        <v>26</v>
      </c>
      <c r="H94" s="86" t="s">
        <v>6684</v>
      </c>
      <c r="I94" s="86">
        <v>33</v>
      </c>
      <c r="J94" s="86" t="s">
        <v>10145</v>
      </c>
      <c r="K94" s="8">
        <v>651395</v>
      </c>
      <c r="M94" s="167" t="str">
        <f t="shared" si="0"/>
        <v>OK</v>
      </c>
    </row>
    <row r="95" spans="2:13" ht="12.75" hidden="1">
      <c r="B95" s="86">
        <v>1241</v>
      </c>
      <c r="C95" s="86">
        <v>94</v>
      </c>
      <c r="D95" s="86" t="s">
        <v>9586</v>
      </c>
      <c r="E95" s="86" t="s">
        <v>6690</v>
      </c>
      <c r="F95" s="86" t="s">
        <v>35</v>
      </c>
      <c r="G95" s="86">
        <v>26</v>
      </c>
      <c r="H95" s="86" t="s">
        <v>6684</v>
      </c>
      <c r="I95" s="86">
        <v>33</v>
      </c>
      <c r="J95" s="86" t="s">
        <v>528</v>
      </c>
      <c r="K95" s="8">
        <v>564735</v>
      </c>
      <c r="M95" s="167" t="str">
        <f t="shared" si="0"/>
        <v>OK</v>
      </c>
    </row>
    <row r="96" spans="2:13" ht="12.75" hidden="1">
      <c r="B96" s="86">
        <v>1241</v>
      </c>
      <c r="C96" s="86">
        <v>95</v>
      </c>
      <c r="D96" s="86" t="s">
        <v>10097</v>
      </c>
      <c r="E96" s="86" t="s">
        <v>6696</v>
      </c>
      <c r="F96" s="86" t="s">
        <v>35</v>
      </c>
      <c r="G96" s="86">
        <v>26</v>
      </c>
      <c r="H96" s="86" t="s">
        <v>6684</v>
      </c>
      <c r="I96" s="86">
        <v>33</v>
      </c>
      <c r="J96" s="86" t="s">
        <v>117</v>
      </c>
      <c r="K96" s="8">
        <v>564751</v>
      </c>
      <c r="M96" s="167" t="str">
        <f t="shared" si="0"/>
        <v>OK</v>
      </c>
    </row>
    <row r="97" spans="2:13" ht="12.75" hidden="1">
      <c r="B97" s="86">
        <v>1241</v>
      </c>
      <c r="C97" s="86">
        <v>96</v>
      </c>
      <c r="D97" s="86" t="s">
        <v>9565</v>
      </c>
      <c r="E97" s="86" t="s">
        <v>6744</v>
      </c>
      <c r="F97" s="86" t="s">
        <v>663</v>
      </c>
      <c r="G97" s="86">
        <v>26</v>
      </c>
      <c r="H97" s="86" t="s">
        <v>6684</v>
      </c>
      <c r="I97" s="86">
        <v>33</v>
      </c>
      <c r="J97" s="86" t="s">
        <v>285</v>
      </c>
      <c r="K97" s="8">
        <v>651390</v>
      </c>
      <c r="M97" s="167" t="str">
        <f t="shared" si="0"/>
        <v>OK</v>
      </c>
    </row>
    <row r="98" spans="2:13" ht="12.75" hidden="1">
      <c r="B98" s="86">
        <v>1241</v>
      </c>
      <c r="C98" s="86">
        <v>97</v>
      </c>
      <c r="D98" s="86" t="s">
        <v>9580</v>
      </c>
      <c r="E98" s="86" t="s">
        <v>6737</v>
      </c>
      <c r="F98" s="86" t="s">
        <v>1220</v>
      </c>
      <c r="G98" s="86">
        <v>26</v>
      </c>
      <c r="H98" s="86" t="s">
        <v>6684</v>
      </c>
      <c r="I98" s="86">
        <v>33</v>
      </c>
      <c r="J98" s="86" t="s">
        <v>10146</v>
      </c>
      <c r="K98" s="8">
        <v>530461</v>
      </c>
      <c r="M98" s="167" t="str">
        <f t="shared" si="0"/>
        <v>OK</v>
      </c>
    </row>
    <row r="99" spans="2:13" ht="12.75" hidden="1">
      <c r="B99" s="86">
        <v>1246</v>
      </c>
      <c r="C99" s="86">
        <v>98</v>
      </c>
      <c r="D99" s="86" t="s">
        <v>9574</v>
      </c>
      <c r="E99" s="86" t="s">
        <v>6716</v>
      </c>
      <c r="F99" s="86" t="s">
        <v>406</v>
      </c>
      <c r="G99" s="86">
        <v>26</v>
      </c>
      <c r="H99" s="86" t="s">
        <v>6684</v>
      </c>
      <c r="I99" s="86">
        <v>33</v>
      </c>
      <c r="J99" s="86" t="s">
        <v>457</v>
      </c>
      <c r="K99" s="8">
        <v>649360</v>
      </c>
      <c r="M99" s="167" t="str">
        <f t="shared" si="0"/>
        <v>OK</v>
      </c>
    </row>
    <row r="100" spans="2:13" ht="12.75" hidden="1">
      <c r="B100" s="86">
        <v>1246</v>
      </c>
      <c r="C100" s="86">
        <v>99</v>
      </c>
      <c r="D100" s="86" t="s">
        <v>9568</v>
      </c>
      <c r="E100" s="86" t="s">
        <v>6723</v>
      </c>
      <c r="F100" s="86" t="s">
        <v>359</v>
      </c>
      <c r="G100" s="86">
        <v>26</v>
      </c>
      <c r="H100" s="86" t="s">
        <v>6684</v>
      </c>
      <c r="I100" s="86">
        <v>33</v>
      </c>
      <c r="J100" s="86" t="s">
        <v>354</v>
      </c>
      <c r="K100" s="8">
        <v>650643</v>
      </c>
      <c r="M100" s="167" t="str">
        <f t="shared" si="0"/>
        <v>OK</v>
      </c>
    </row>
    <row r="101" spans="2:13" ht="12.75" hidden="1">
      <c r="B101" s="86">
        <v>1241</v>
      </c>
      <c r="C101" s="86">
        <v>100</v>
      </c>
      <c r="D101" s="86" t="s">
        <v>10113</v>
      </c>
      <c r="E101" s="86" t="s">
        <v>5086</v>
      </c>
      <c r="F101" s="86" t="s">
        <v>35</v>
      </c>
      <c r="G101" s="86">
        <v>24</v>
      </c>
      <c r="H101" s="86" t="s">
        <v>9572</v>
      </c>
      <c r="I101" s="86">
        <v>24</v>
      </c>
      <c r="J101" s="86" t="s">
        <v>10147</v>
      </c>
      <c r="K101" s="8">
        <v>515554</v>
      </c>
      <c r="M101" s="167" t="str">
        <f t="shared" si="0"/>
        <v>OK</v>
      </c>
    </row>
    <row r="102" spans="2:13" ht="12.75" hidden="1">
      <c r="B102" s="86">
        <v>1241</v>
      </c>
      <c r="C102" s="86">
        <v>101</v>
      </c>
      <c r="D102" s="86" t="s">
        <v>10113</v>
      </c>
      <c r="E102" s="86" t="s">
        <v>5151</v>
      </c>
      <c r="F102" s="86" t="s">
        <v>35</v>
      </c>
      <c r="G102" s="86">
        <v>24</v>
      </c>
      <c r="H102" s="86" t="s">
        <v>9572</v>
      </c>
      <c r="I102" s="86">
        <v>24</v>
      </c>
      <c r="J102" s="86" t="s">
        <v>379</v>
      </c>
      <c r="K102" s="8">
        <v>516331</v>
      </c>
      <c r="M102" s="167" t="str">
        <f t="shared" si="0"/>
        <v>OK</v>
      </c>
    </row>
    <row r="103" spans="2:13" ht="12.75" hidden="1">
      <c r="B103" s="86">
        <v>1241</v>
      </c>
      <c r="C103" s="86">
        <v>102</v>
      </c>
      <c r="D103" s="86" t="s">
        <v>9586</v>
      </c>
      <c r="E103" s="86" t="s">
        <v>5157</v>
      </c>
      <c r="F103" s="86" t="s">
        <v>35</v>
      </c>
      <c r="G103" s="86">
        <v>24</v>
      </c>
      <c r="H103" s="86" t="s">
        <v>9572</v>
      </c>
      <c r="I103" s="86">
        <v>24</v>
      </c>
      <c r="J103" s="86" t="s">
        <v>5332</v>
      </c>
      <c r="K103" s="8">
        <v>564766</v>
      </c>
      <c r="M103" s="167" t="str">
        <f t="shared" si="0"/>
        <v>OK</v>
      </c>
    </row>
    <row r="104" spans="2:13" ht="12.75" hidden="1">
      <c r="B104" s="86">
        <v>1241</v>
      </c>
      <c r="C104" s="86">
        <v>103</v>
      </c>
      <c r="D104" s="86" t="s">
        <v>10097</v>
      </c>
      <c r="E104" s="86" t="s">
        <v>5137</v>
      </c>
      <c r="F104" s="86" t="s">
        <v>35</v>
      </c>
      <c r="G104" s="86">
        <v>24</v>
      </c>
      <c r="H104" s="86" t="s">
        <v>9572</v>
      </c>
      <c r="I104" s="86">
        <v>24</v>
      </c>
      <c r="J104" s="86" t="s">
        <v>117</v>
      </c>
      <c r="K104" s="8" t="s">
        <v>5135</v>
      </c>
      <c r="L104" s="8" t="s">
        <v>10101</v>
      </c>
      <c r="M104" s="167" t="str">
        <f t="shared" si="0"/>
        <v>OK</v>
      </c>
    </row>
    <row r="105" spans="2:13" ht="12.75" hidden="1">
      <c r="B105" s="86">
        <v>1241</v>
      </c>
      <c r="C105" s="86">
        <v>104</v>
      </c>
      <c r="D105" s="86" t="s">
        <v>9580</v>
      </c>
      <c r="E105" s="86" t="s">
        <v>5143</v>
      </c>
      <c r="F105" s="86" t="s">
        <v>682</v>
      </c>
      <c r="G105" s="86">
        <v>24</v>
      </c>
      <c r="H105" s="86" t="s">
        <v>9572</v>
      </c>
      <c r="I105" s="86">
        <v>24</v>
      </c>
      <c r="J105" s="86" t="s">
        <v>6836</v>
      </c>
      <c r="K105" s="8" t="s">
        <v>5141</v>
      </c>
      <c r="L105" s="8" t="s">
        <v>10101</v>
      </c>
      <c r="M105" s="167" t="str">
        <f t="shared" si="0"/>
        <v>OK</v>
      </c>
    </row>
    <row r="106" spans="2:13" ht="12.75" hidden="1">
      <c r="B106" s="86">
        <v>1246</v>
      </c>
      <c r="C106" s="86">
        <v>105</v>
      </c>
      <c r="D106" s="86" t="s">
        <v>9574</v>
      </c>
      <c r="E106" s="86" t="s">
        <v>4954</v>
      </c>
      <c r="F106" s="86" t="s">
        <v>2586</v>
      </c>
      <c r="G106" s="86">
        <v>24</v>
      </c>
      <c r="H106" s="86" t="s">
        <v>9572</v>
      </c>
      <c r="I106" s="86">
        <v>24</v>
      </c>
      <c r="J106" s="86" t="s">
        <v>2581</v>
      </c>
      <c r="K106" s="8">
        <v>649724</v>
      </c>
      <c r="M106" s="167" t="str">
        <f t="shared" si="0"/>
        <v>OK</v>
      </c>
    </row>
    <row r="107" spans="2:13" ht="12.75">
      <c r="B107" s="86">
        <v>1241</v>
      </c>
      <c r="C107" s="86">
        <v>106</v>
      </c>
      <c r="D107" s="86" t="s">
        <v>9571</v>
      </c>
      <c r="E107" s="86" t="s">
        <v>9329</v>
      </c>
      <c r="F107" s="86" t="s">
        <v>35</v>
      </c>
      <c r="G107" s="86">
        <v>24</v>
      </c>
      <c r="H107" s="86" t="s">
        <v>9572</v>
      </c>
      <c r="I107" s="86">
        <v>24</v>
      </c>
      <c r="J107" s="86" t="s">
        <v>9573</v>
      </c>
      <c r="K107" s="86">
        <v>0</v>
      </c>
      <c r="L107" s="8" t="s">
        <v>3282</v>
      </c>
      <c r="M107" s="167" t="str">
        <f t="shared" si="0"/>
        <v>REPETIDO</v>
      </c>
    </row>
    <row r="108" spans="2:13" ht="12.75" hidden="1">
      <c r="B108" s="86">
        <v>1241</v>
      </c>
      <c r="C108" s="86">
        <v>107</v>
      </c>
      <c r="D108" s="86" t="s">
        <v>9594</v>
      </c>
      <c r="E108" s="86" t="s">
        <v>4986</v>
      </c>
      <c r="F108" s="86" t="s">
        <v>35</v>
      </c>
      <c r="G108" s="86">
        <v>24</v>
      </c>
      <c r="H108" s="86" t="s">
        <v>9572</v>
      </c>
      <c r="I108" s="86">
        <v>24</v>
      </c>
      <c r="J108" s="86" t="s">
        <v>10144</v>
      </c>
      <c r="K108" s="8">
        <v>579099</v>
      </c>
      <c r="M108" s="167" t="str">
        <f t="shared" si="0"/>
        <v>OK</v>
      </c>
    </row>
    <row r="109" spans="2:13" ht="12.75" hidden="1">
      <c r="B109" s="86">
        <v>1241</v>
      </c>
      <c r="C109" s="86">
        <v>108</v>
      </c>
      <c r="D109" s="86" t="s">
        <v>10097</v>
      </c>
      <c r="E109" s="86" t="s">
        <v>5015</v>
      </c>
      <c r="F109" s="86" t="s">
        <v>35</v>
      </c>
      <c r="G109" s="86">
        <v>24</v>
      </c>
      <c r="H109" s="86" t="s">
        <v>9572</v>
      </c>
      <c r="I109" s="86">
        <v>24</v>
      </c>
      <c r="J109" s="86" t="s">
        <v>117</v>
      </c>
      <c r="K109" s="8">
        <v>583484</v>
      </c>
      <c r="M109" s="167" t="str">
        <f t="shared" si="0"/>
        <v>OK</v>
      </c>
    </row>
    <row r="110" spans="2:13" ht="12.75" hidden="1">
      <c r="B110" s="86">
        <v>1241</v>
      </c>
      <c r="C110" s="86">
        <v>109</v>
      </c>
      <c r="D110" s="86" t="s">
        <v>9586</v>
      </c>
      <c r="E110" s="86" t="s">
        <v>4970</v>
      </c>
      <c r="F110" s="86" t="s">
        <v>35</v>
      </c>
      <c r="G110" s="86">
        <v>24</v>
      </c>
      <c r="H110" s="86" t="s">
        <v>9572</v>
      </c>
      <c r="I110" s="86">
        <v>24</v>
      </c>
      <c r="J110" s="86" t="s">
        <v>5332</v>
      </c>
      <c r="K110" s="8">
        <v>649777</v>
      </c>
      <c r="M110" s="167" t="str">
        <f t="shared" si="0"/>
        <v>OK</v>
      </c>
    </row>
    <row r="111" spans="2:13" ht="12.75" hidden="1">
      <c r="B111" s="86">
        <v>1241</v>
      </c>
      <c r="C111" s="86">
        <v>110</v>
      </c>
      <c r="D111" s="86" t="s">
        <v>9603</v>
      </c>
      <c r="E111" s="86" t="s">
        <v>5693</v>
      </c>
      <c r="F111" s="86" t="s">
        <v>35</v>
      </c>
      <c r="G111" s="86">
        <v>24</v>
      </c>
      <c r="H111" s="86" t="s">
        <v>9572</v>
      </c>
      <c r="I111" s="86">
        <v>24</v>
      </c>
      <c r="J111" s="86" t="s">
        <v>10148</v>
      </c>
      <c r="K111" s="8">
        <v>564544</v>
      </c>
      <c r="M111" s="167" t="str">
        <f t="shared" si="0"/>
        <v>OK</v>
      </c>
    </row>
    <row r="112" spans="2:13" ht="12.75" hidden="1">
      <c r="B112" s="86">
        <v>1241</v>
      </c>
      <c r="C112" s="86">
        <v>111</v>
      </c>
      <c r="D112" s="86" t="s">
        <v>10113</v>
      </c>
      <c r="E112" s="86" t="s">
        <v>5637</v>
      </c>
      <c r="F112" s="86" t="s">
        <v>35</v>
      </c>
      <c r="G112" s="86">
        <v>24</v>
      </c>
      <c r="H112" s="86" t="s">
        <v>9572</v>
      </c>
      <c r="I112" s="86">
        <v>24</v>
      </c>
      <c r="J112" s="86" t="s">
        <v>10149</v>
      </c>
      <c r="K112" s="8">
        <v>564612</v>
      </c>
      <c r="M112" s="167" t="str">
        <f t="shared" si="0"/>
        <v>OK</v>
      </c>
    </row>
    <row r="113" spans="2:13" ht="12.75" hidden="1">
      <c r="B113" s="86">
        <v>1241</v>
      </c>
      <c r="C113" s="86">
        <v>112</v>
      </c>
      <c r="D113" s="86" t="s">
        <v>10113</v>
      </c>
      <c r="E113" s="86" t="s">
        <v>4977</v>
      </c>
      <c r="F113" s="86" t="s">
        <v>35</v>
      </c>
      <c r="G113" s="86">
        <v>24</v>
      </c>
      <c r="H113" s="86" t="s">
        <v>9572</v>
      </c>
      <c r="I113" s="86">
        <v>24</v>
      </c>
      <c r="J113" s="86" t="s">
        <v>10149</v>
      </c>
      <c r="K113" s="8">
        <v>564588</v>
      </c>
      <c r="M113" s="167" t="str">
        <f t="shared" si="0"/>
        <v>OK</v>
      </c>
    </row>
    <row r="114" spans="2:13" ht="12.75" hidden="1">
      <c r="B114" s="86">
        <v>1246</v>
      </c>
      <c r="C114" s="86">
        <v>113</v>
      </c>
      <c r="D114" s="86" t="s">
        <v>9574</v>
      </c>
      <c r="E114" s="86" t="s">
        <v>4933</v>
      </c>
      <c r="F114" s="86" t="s">
        <v>406</v>
      </c>
      <c r="G114" s="86">
        <v>24</v>
      </c>
      <c r="H114" s="86" t="s">
        <v>9572</v>
      </c>
      <c r="I114" s="86">
        <v>24</v>
      </c>
      <c r="J114" s="86" t="s">
        <v>4929</v>
      </c>
      <c r="K114" s="8">
        <v>649723</v>
      </c>
      <c r="M114" s="167" t="str">
        <f t="shared" si="0"/>
        <v>OK</v>
      </c>
    </row>
    <row r="115" spans="2:13" ht="12.75" hidden="1">
      <c r="B115" s="86">
        <v>1241</v>
      </c>
      <c r="C115" s="86">
        <v>114</v>
      </c>
      <c r="D115" s="86" t="s">
        <v>9576</v>
      </c>
      <c r="E115" s="86" t="s">
        <v>4999</v>
      </c>
      <c r="F115" s="86" t="s">
        <v>35</v>
      </c>
      <c r="G115" s="86">
        <v>24</v>
      </c>
      <c r="H115" s="86" t="s">
        <v>9572</v>
      </c>
      <c r="I115" s="86">
        <v>24</v>
      </c>
      <c r="J115" s="86" t="s">
        <v>10150</v>
      </c>
      <c r="K115" s="8">
        <v>515613</v>
      </c>
      <c r="M115" s="167" t="str">
        <f t="shared" si="0"/>
        <v>OK</v>
      </c>
    </row>
    <row r="116" spans="2:13" ht="12.75" hidden="1">
      <c r="B116" s="86">
        <v>1241</v>
      </c>
      <c r="C116" s="86">
        <v>115</v>
      </c>
      <c r="D116" s="86" t="s">
        <v>9576</v>
      </c>
      <c r="E116" s="86" t="s">
        <v>4993</v>
      </c>
      <c r="F116" s="86" t="s">
        <v>35</v>
      </c>
      <c r="G116" s="86">
        <v>24</v>
      </c>
      <c r="H116" s="86" t="s">
        <v>9572</v>
      </c>
      <c r="I116" s="86">
        <v>24</v>
      </c>
      <c r="J116" s="86" t="s">
        <v>10150</v>
      </c>
      <c r="K116" s="8">
        <v>515589</v>
      </c>
      <c r="M116" s="167" t="str">
        <f t="shared" si="0"/>
        <v>OK</v>
      </c>
    </row>
    <row r="117" spans="2:13" ht="12.75" hidden="1">
      <c r="B117" s="86">
        <v>1241</v>
      </c>
      <c r="C117" s="86">
        <v>116</v>
      </c>
      <c r="D117" s="86" t="s">
        <v>9576</v>
      </c>
      <c r="E117" s="86" t="s">
        <v>5070</v>
      </c>
      <c r="F117" s="86" t="s">
        <v>35</v>
      </c>
      <c r="G117" s="86">
        <v>24</v>
      </c>
      <c r="H117" s="86" t="s">
        <v>9572</v>
      </c>
      <c r="I117" s="86">
        <v>24</v>
      </c>
      <c r="J117" s="86" t="s">
        <v>927</v>
      </c>
      <c r="K117" s="8">
        <v>515590</v>
      </c>
      <c r="M117" s="167" t="str">
        <f t="shared" si="0"/>
        <v>OK</v>
      </c>
    </row>
    <row r="118" spans="2:13" ht="12.75" hidden="1">
      <c r="B118" s="86">
        <v>1241</v>
      </c>
      <c r="C118" s="86">
        <v>117</v>
      </c>
      <c r="D118" s="86" t="s">
        <v>10151</v>
      </c>
      <c r="E118" s="86" t="s">
        <v>5055</v>
      </c>
      <c r="F118" s="86" t="s">
        <v>216</v>
      </c>
      <c r="G118" s="86">
        <v>24</v>
      </c>
      <c r="H118" s="86" t="s">
        <v>9572</v>
      </c>
      <c r="I118" s="86">
        <v>24</v>
      </c>
      <c r="J118" s="86" t="s">
        <v>9976</v>
      </c>
      <c r="K118" s="8">
        <v>649399</v>
      </c>
      <c r="M118" s="167" t="str">
        <f t="shared" si="0"/>
        <v>OK</v>
      </c>
    </row>
    <row r="119" spans="2:13" ht="12.75" hidden="1">
      <c r="B119" s="86">
        <v>1241</v>
      </c>
      <c r="C119" s="86">
        <v>118</v>
      </c>
      <c r="D119" s="86" t="s">
        <v>9580</v>
      </c>
      <c r="E119" s="86" t="s">
        <v>1153</v>
      </c>
      <c r="F119" s="86" t="s">
        <v>205</v>
      </c>
      <c r="G119" s="86">
        <v>24</v>
      </c>
      <c r="H119" s="86" t="s">
        <v>9572</v>
      </c>
      <c r="I119" s="86">
        <v>24</v>
      </c>
      <c r="J119" s="86" t="s">
        <v>151</v>
      </c>
      <c r="K119" s="8">
        <v>649765</v>
      </c>
      <c r="M119" s="167" t="str">
        <f t="shared" si="0"/>
        <v>OK</v>
      </c>
    </row>
    <row r="120" spans="2:13" ht="12.75" hidden="1">
      <c r="B120" s="86">
        <v>1241</v>
      </c>
      <c r="C120" s="86">
        <v>119</v>
      </c>
      <c r="D120" s="86" t="s">
        <v>9569</v>
      </c>
      <c r="E120" s="86" t="s">
        <v>5046</v>
      </c>
      <c r="F120" s="86" t="s">
        <v>205</v>
      </c>
      <c r="G120" s="86">
        <v>24</v>
      </c>
      <c r="H120" s="86" t="s">
        <v>9572</v>
      </c>
      <c r="I120" s="86">
        <v>24</v>
      </c>
      <c r="J120" s="86" t="s">
        <v>1394</v>
      </c>
      <c r="K120" s="8">
        <v>649376</v>
      </c>
      <c r="M120" s="167" t="str">
        <f t="shared" si="0"/>
        <v>OK</v>
      </c>
    </row>
    <row r="121" spans="2:13" ht="12.75" hidden="1">
      <c r="B121" s="86">
        <v>1241</v>
      </c>
      <c r="C121" s="86">
        <v>120</v>
      </c>
      <c r="D121" s="86" t="s">
        <v>9565</v>
      </c>
      <c r="E121" s="86" t="s">
        <v>5027</v>
      </c>
      <c r="F121" s="86" t="s">
        <v>663</v>
      </c>
      <c r="G121" s="86">
        <v>24</v>
      </c>
      <c r="H121" s="86" t="s">
        <v>9572</v>
      </c>
      <c r="I121" s="86">
        <v>24</v>
      </c>
      <c r="J121" s="86" t="s">
        <v>285</v>
      </c>
      <c r="K121" s="8">
        <v>649766</v>
      </c>
      <c r="M121" s="167" t="str">
        <f t="shared" si="0"/>
        <v>OK</v>
      </c>
    </row>
    <row r="122" spans="2:13" ht="12.75" hidden="1">
      <c r="B122" s="86">
        <v>1246</v>
      </c>
      <c r="C122" s="86">
        <v>121</v>
      </c>
      <c r="D122" s="86" t="s">
        <v>9574</v>
      </c>
      <c r="E122" s="86" t="s">
        <v>5116</v>
      </c>
      <c r="F122" s="86" t="s">
        <v>406</v>
      </c>
      <c r="G122" s="86">
        <v>24</v>
      </c>
      <c r="H122" s="86" t="s">
        <v>9572</v>
      </c>
      <c r="I122" s="86">
        <v>24</v>
      </c>
      <c r="J122" s="86" t="s">
        <v>457</v>
      </c>
      <c r="K122" s="8">
        <v>649746</v>
      </c>
      <c r="M122" s="167" t="str">
        <f t="shared" si="0"/>
        <v>OK</v>
      </c>
    </row>
    <row r="123" spans="2:13" ht="12.75" hidden="1">
      <c r="B123" s="86">
        <v>1241</v>
      </c>
      <c r="C123" s="86">
        <v>122</v>
      </c>
      <c r="D123" s="86" t="s">
        <v>10113</v>
      </c>
      <c r="E123" s="86" t="s">
        <v>5110</v>
      </c>
      <c r="F123" s="86" t="s">
        <v>35</v>
      </c>
      <c r="G123" s="86">
        <v>24</v>
      </c>
      <c r="H123" s="86" t="s">
        <v>9572</v>
      </c>
      <c r="I123" s="86">
        <v>24</v>
      </c>
      <c r="J123" s="86" t="s">
        <v>10147</v>
      </c>
      <c r="K123" s="8">
        <v>518498</v>
      </c>
      <c r="M123" s="167" t="str">
        <f t="shared" si="0"/>
        <v>OK</v>
      </c>
    </row>
    <row r="124" spans="2:13" ht="12.75" hidden="1">
      <c r="B124" s="86">
        <v>1241</v>
      </c>
      <c r="C124" s="86">
        <v>123</v>
      </c>
      <c r="D124" s="86" t="s">
        <v>9586</v>
      </c>
      <c r="E124" s="86" t="s">
        <v>5077</v>
      </c>
      <c r="F124" s="86" t="s">
        <v>35</v>
      </c>
      <c r="G124" s="86">
        <v>24</v>
      </c>
      <c r="H124" s="86" t="s">
        <v>9572</v>
      </c>
      <c r="I124" s="86">
        <v>24</v>
      </c>
      <c r="J124" s="86" t="s">
        <v>5332</v>
      </c>
      <c r="K124" s="8">
        <v>564754</v>
      </c>
      <c r="M124" s="167" t="str">
        <f t="shared" si="0"/>
        <v>OK</v>
      </c>
    </row>
    <row r="125" spans="2:13" ht="12.75" hidden="1">
      <c r="B125" s="86">
        <v>1241</v>
      </c>
      <c r="C125" s="86">
        <v>124</v>
      </c>
      <c r="D125" s="86" t="s">
        <v>9585</v>
      </c>
      <c r="E125" s="86" t="s">
        <v>4961</v>
      </c>
      <c r="F125" s="86" t="s">
        <v>205</v>
      </c>
      <c r="G125" s="86">
        <v>24</v>
      </c>
      <c r="H125" s="86" t="s">
        <v>9572</v>
      </c>
      <c r="I125" s="86">
        <v>24</v>
      </c>
      <c r="J125" s="86" t="s">
        <v>10152</v>
      </c>
      <c r="K125" s="8">
        <v>649767</v>
      </c>
      <c r="M125" s="167" t="str">
        <f t="shared" si="0"/>
        <v>OK</v>
      </c>
    </row>
    <row r="126" spans="2:13" ht="12.75" hidden="1">
      <c r="B126" s="86">
        <v>1241</v>
      </c>
      <c r="C126" s="86">
        <v>125</v>
      </c>
      <c r="D126" s="86" t="s">
        <v>9571</v>
      </c>
      <c r="E126" s="86" t="s">
        <v>4941</v>
      </c>
      <c r="F126" s="86" t="s">
        <v>35</v>
      </c>
      <c r="G126" s="86">
        <v>24</v>
      </c>
      <c r="H126" s="86" t="s">
        <v>9572</v>
      </c>
      <c r="I126" s="86">
        <v>24</v>
      </c>
      <c r="J126" s="86" t="s">
        <v>72</v>
      </c>
      <c r="K126" s="8">
        <v>649769</v>
      </c>
      <c r="M126" s="167" t="str">
        <f t="shared" si="0"/>
        <v>OK</v>
      </c>
    </row>
    <row r="127" spans="2:13" ht="12.75" hidden="1">
      <c r="B127" s="86">
        <v>1241</v>
      </c>
      <c r="C127" s="86">
        <v>126</v>
      </c>
      <c r="D127" s="86" t="s">
        <v>9571</v>
      </c>
      <c r="E127" s="86" t="s">
        <v>4947</v>
      </c>
      <c r="F127" s="86" t="s">
        <v>35</v>
      </c>
      <c r="G127" s="86">
        <v>24</v>
      </c>
      <c r="H127" s="86" t="s">
        <v>9572</v>
      </c>
      <c r="I127" s="86">
        <v>24</v>
      </c>
      <c r="J127" s="86" t="s">
        <v>72</v>
      </c>
      <c r="K127" s="8">
        <v>649768</v>
      </c>
      <c r="M127" s="167" t="str">
        <f t="shared" si="0"/>
        <v>OK</v>
      </c>
    </row>
    <row r="128" spans="2:13" ht="12.75" hidden="1">
      <c r="B128" s="86">
        <v>1241</v>
      </c>
      <c r="C128" s="86">
        <v>127</v>
      </c>
      <c r="D128" s="86" t="s">
        <v>9586</v>
      </c>
      <c r="E128" s="86" t="s">
        <v>5004</v>
      </c>
      <c r="F128" s="86" t="s">
        <v>35</v>
      </c>
      <c r="G128" s="86">
        <v>24</v>
      </c>
      <c r="H128" s="86" t="s">
        <v>9572</v>
      </c>
      <c r="I128" s="86">
        <v>24</v>
      </c>
      <c r="J128" s="86" t="s">
        <v>528</v>
      </c>
      <c r="K128" s="8">
        <v>564772</v>
      </c>
      <c r="M128" s="167" t="str">
        <f t="shared" si="0"/>
        <v>OK</v>
      </c>
    </row>
    <row r="129" spans="2:13" ht="12.75" hidden="1">
      <c r="B129" s="86">
        <v>1246</v>
      </c>
      <c r="C129" s="86">
        <v>128</v>
      </c>
      <c r="D129" s="86" t="s">
        <v>9568</v>
      </c>
      <c r="E129" s="86" t="s">
        <v>1413</v>
      </c>
      <c r="F129" s="86" t="s">
        <v>359</v>
      </c>
      <c r="G129" s="86">
        <v>24</v>
      </c>
      <c r="H129" s="86" t="s">
        <v>9572</v>
      </c>
      <c r="I129" s="86">
        <v>24</v>
      </c>
      <c r="J129" s="86" t="s">
        <v>354</v>
      </c>
      <c r="K129" s="8">
        <v>649442</v>
      </c>
      <c r="M129" s="167" t="str">
        <f t="shared" si="0"/>
        <v>OK</v>
      </c>
    </row>
    <row r="130" spans="2:13" ht="12.75" hidden="1">
      <c r="B130" s="86">
        <v>1241</v>
      </c>
      <c r="C130" s="86">
        <v>129</v>
      </c>
      <c r="D130" s="86" t="s">
        <v>9594</v>
      </c>
      <c r="E130" s="86" t="s">
        <v>5221</v>
      </c>
      <c r="F130" s="86" t="s">
        <v>35</v>
      </c>
      <c r="G130" s="86">
        <v>24</v>
      </c>
      <c r="H130" s="86" t="s">
        <v>9572</v>
      </c>
      <c r="I130" s="86">
        <v>24</v>
      </c>
      <c r="J130" s="86" t="s">
        <v>5217</v>
      </c>
      <c r="K130" s="8" t="s">
        <v>5219</v>
      </c>
      <c r="L130" s="86" t="s">
        <v>10101</v>
      </c>
      <c r="M130" s="167" t="str">
        <f t="shared" si="0"/>
        <v>OK</v>
      </c>
    </row>
    <row r="131" spans="2:13" ht="12.75" hidden="1">
      <c r="B131" s="86">
        <v>1241</v>
      </c>
      <c r="C131" s="86">
        <v>130</v>
      </c>
      <c r="D131" s="86" t="s">
        <v>9594</v>
      </c>
      <c r="E131" s="86" t="s">
        <v>5130</v>
      </c>
      <c r="F131" s="86" t="s">
        <v>35</v>
      </c>
      <c r="G131" s="86">
        <v>24</v>
      </c>
      <c r="H131" s="86" t="s">
        <v>9572</v>
      </c>
      <c r="I131" s="86">
        <v>24</v>
      </c>
      <c r="J131" s="86" t="s">
        <v>5217</v>
      </c>
      <c r="K131" s="8">
        <v>570571</v>
      </c>
      <c r="M131" s="167" t="str">
        <f t="shared" si="0"/>
        <v>OK</v>
      </c>
    </row>
    <row r="132" spans="2:13" ht="12.75" hidden="1">
      <c r="B132" s="86">
        <v>1241</v>
      </c>
      <c r="C132" s="86">
        <v>131</v>
      </c>
      <c r="D132" s="86" t="s">
        <v>10113</v>
      </c>
      <c r="E132" s="86" t="s">
        <v>5092</v>
      </c>
      <c r="F132" s="86" t="s">
        <v>35</v>
      </c>
      <c r="G132" s="86">
        <v>24</v>
      </c>
      <c r="H132" s="86" t="s">
        <v>9572</v>
      </c>
      <c r="I132" s="86">
        <v>24</v>
      </c>
      <c r="J132" s="86" t="s">
        <v>10153</v>
      </c>
      <c r="K132" s="8">
        <v>518531</v>
      </c>
      <c r="M132" s="167" t="str">
        <f t="shared" si="0"/>
        <v>OK</v>
      </c>
    </row>
    <row r="133" spans="2:13" ht="12.75" hidden="1">
      <c r="B133" s="86">
        <v>1241</v>
      </c>
      <c r="C133" s="86">
        <v>132</v>
      </c>
      <c r="D133" s="86" t="s">
        <v>9576</v>
      </c>
      <c r="E133" s="86" t="s">
        <v>5098</v>
      </c>
      <c r="F133" s="86" t="s">
        <v>35</v>
      </c>
      <c r="G133" s="86">
        <v>24</v>
      </c>
      <c r="H133" s="86" t="s">
        <v>9572</v>
      </c>
      <c r="I133" s="86">
        <v>24</v>
      </c>
      <c r="J133" s="86" t="s">
        <v>10150</v>
      </c>
      <c r="K133" s="8">
        <v>564683</v>
      </c>
      <c r="M133" s="167" t="str">
        <f t="shared" si="0"/>
        <v>OK</v>
      </c>
    </row>
    <row r="134" spans="2:13" ht="12.75" hidden="1">
      <c r="B134" s="86">
        <v>1241</v>
      </c>
      <c r="C134" s="86">
        <v>133</v>
      </c>
      <c r="D134" s="86" t="s">
        <v>9576</v>
      </c>
      <c r="E134" s="86" t="s">
        <v>5104</v>
      </c>
      <c r="F134" s="86" t="s">
        <v>35</v>
      </c>
      <c r="G134" s="86">
        <v>24</v>
      </c>
      <c r="H134" s="86" t="s">
        <v>9572</v>
      </c>
      <c r="I134" s="86">
        <v>24</v>
      </c>
      <c r="J134" s="86" t="s">
        <v>10150</v>
      </c>
      <c r="K134" s="8">
        <v>649778</v>
      </c>
      <c r="M134" s="167" t="str">
        <f t="shared" si="0"/>
        <v>OK</v>
      </c>
    </row>
    <row r="135" spans="2:13" ht="12.75" hidden="1">
      <c r="B135" s="86">
        <v>1241</v>
      </c>
      <c r="C135" s="86">
        <v>134</v>
      </c>
      <c r="D135" s="86" t="s">
        <v>10097</v>
      </c>
      <c r="E135" s="86" t="s">
        <v>5200</v>
      </c>
      <c r="F135" s="86" t="s">
        <v>35</v>
      </c>
      <c r="G135" s="86">
        <v>24</v>
      </c>
      <c r="H135" s="86" t="s">
        <v>10154</v>
      </c>
      <c r="I135" s="86">
        <v>28</v>
      </c>
      <c r="J135" s="86" t="s">
        <v>117</v>
      </c>
      <c r="K135" s="8">
        <v>518506</v>
      </c>
      <c r="M135" s="167" t="str">
        <f t="shared" si="0"/>
        <v>OK</v>
      </c>
    </row>
    <row r="136" spans="2:13" ht="12.75" hidden="1">
      <c r="B136" s="86">
        <v>1241</v>
      </c>
      <c r="C136" s="86">
        <v>135</v>
      </c>
      <c r="D136" s="86" t="s">
        <v>9580</v>
      </c>
      <c r="E136" s="86" t="s">
        <v>5213</v>
      </c>
      <c r="F136" s="86" t="s">
        <v>682</v>
      </c>
      <c r="G136" s="86">
        <v>24</v>
      </c>
      <c r="H136" s="86" t="s">
        <v>10154</v>
      </c>
      <c r="I136" s="86">
        <v>28</v>
      </c>
      <c r="J136" s="86" t="s">
        <v>6836</v>
      </c>
      <c r="K136" s="8" t="s">
        <v>10155</v>
      </c>
      <c r="L136" s="8" t="s">
        <v>10101</v>
      </c>
      <c r="M136" s="167" t="str">
        <f t="shared" si="0"/>
        <v>OK</v>
      </c>
    </row>
    <row r="137" spans="2:13" ht="12.75" hidden="1">
      <c r="B137" s="86">
        <v>1246</v>
      </c>
      <c r="C137" s="86">
        <v>136</v>
      </c>
      <c r="D137" s="86" t="s">
        <v>9568</v>
      </c>
      <c r="E137" s="86" t="s">
        <v>5191</v>
      </c>
      <c r="F137" s="86" t="s">
        <v>827</v>
      </c>
      <c r="G137" s="86">
        <v>24</v>
      </c>
      <c r="H137" s="86" t="s">
        <v>10154</v>
      </c>
      <c r="I137" s="86">
        <v>28</v>
      </c>
      <c r="J137" s="86" t="s">
        <v>354</v>
      </c>
      <c r="K137" s="8">
        <v>649772</v>
      </c>
      <c r="M137" s="167" t="str">
        <f t="shared" si="0"/>
        <v>OK</v>
      </c>
    </row>
    <row r="138" spans="2:13" ht="12.75" hidden="1">
      <c r="B138" s="86">
        <v>1241</v>
      </c>
      <c r="C138" s="86">
        <v>137</v>
      </c>
      <c r="D138" s="86" t="s">
        <v>9586</v>
      </c>
      <c r="E138" s="86" t="s">
        <v>5164</v>
      </c>
      <c r="F138" s="86" t="s">
        <v>35</v>
      </c>
      <c r="G138" s="86">
        <v>24</v>
      </c>
      <c r="H138" s="86" t="s">
        <v>10154</v>
      </c>
      <c r="I138" s="86">
        <v>28</v>
      </c>
      <c r="J138" s="86" t="s">
        <v>5160</v>
      </c>
      <c r="K138" s="8">
        <v>564762</v>
      </c>
      <c r="M138" s="167" t="str">
        <f t="shared" si="0"/>
        <v>OK</v>
      </c>
    </row>
    <row r="139" spans="2:13" ht="12.75" hidden="1">
      <c r="B139" s="86">
        <v>1241</v>
      </c>
      <c r="C139" s="86">
        <v>138</v>
      </c>
      <c r="D139" s="86" t="s">
        <v>9571</v>
      </c>
      <c r="E139" s="86" t="s">
        <v>5171</v>
      </c>
      <c r="F139" s="86" t="s">
        <v>35</v>
      </c>
      <c r="G139" s="86">
        <v>24</v>
      </c>
      <c r="H139" s="86" t="s">
        <v>10154</v>
      </c>
      <c r="I139" s="86">
        <v>28</v>
      </c>
      <c r="J139" s="86" t="s">
        <v>29</v>
      </c>
      <c r="K139" s="86">
        <v>649773</v>
      </c>
      <c r="M139" s="167" t="str">
        <f t="shared" si="0"/>
        <v>OK</v>
      </c>
    </row>
    <row r="140" spans="2:13" ht="12.75" hidden="1">
      <c r="B140" s="86">
        <v>1241</v>
      </c>
      <c r="C140" s="86">
        <v>139</v>
      </c>
      <c r="D140" s="86" t="s">
        <v>10113</v>
      </c>
      <c r="E140" s="86" t="s">
        <v>5207</v>
      </c>
      <c r="F140" s="86" t="s">
        <v>35</v>
      </c>
      <c r="G140" s="86">
        <v>24</v>
      </c>
      <c r="H140" s="86" t="s">
        <v>10154</v>
      </c>
      <c r="I140" s="86">
        <v>28</v>
      </c>
      <c r="J140" s="86" t="s">
        <v>5203</v>
      </c>
      <c r="K140" s="8">
        <v>516185</v>
      </c>
      <c r="M140" s="167" t="str">
        <f t="shared" si="0"/>
        <v>OK</v>
      </c>
    </row>
    <row r="141" spans="2:13" ht="12.75" hidden="1">
      <c r="B141" s="86">
        <v>1241</v>
      </c>
      <c r="C141" s="86">
        <v>140</v>
      </c>
      <c r="D141" s="86" t="s">
        <v>9565</v>
      </c>
      <c r="E141" s="86" t="s">
        <v>5177</v>
      </c>
      <c r="F141" s="86" t="s">
        <v>663</v>
      </c>
      <c r="G141" s="86">
        <v>24</v>
      </c>
      <c r="H141" s="86" t="s">
        <v>10154</v>
      </c>
      <c r="I141" s="86">
        <v>28</v>
      </c>
      <c r="J141" s="86" t="s">
        <v>285</v>
      </c>
      <c r="K141" s="8">
        <v>538212</v>
      </c>
      <c r="M141" s="167" t="str">
        <f t="shared" si="0"/>
        <v>OK</v>
      </c>
    </row>
    <row r="142" spans="2:13" ht="12.75" hidden="1">
      <c r="B142" s="86">
        <v>1246</v>
      </c>
      <c r="C142" s="86">
        <v>141</v>
      </c>
      <c r="D142" s="86" t="s">
        <v>9568</v>
      </c>
      <c r="E142" s="86" t="s">
        <v>5184</v>
      </c>
      <c r="F142" s="86" t="s">
        <v>978</v>
      </c>
      <c r="G142" s="86">
        <v>24</v>
      </c>
      <c r="H142" s="86" t="s">
        <v>10154</v>
      </c>
      <c r="I142" s="86">
        <v>28</v>
      </c>
      <c r="J142" s="86" t="s">
        <v>249</v>
      </c>
      <c r="K142" s="8">
        <v>649413</v>
      </c>
      <c r="M142" s="167" t="str">
        <f t="shared" si="0"/>
        <v>OK</v>
      </c>
    </row>
    <row r="143" spans="2:13" ht="12.75" hidden="1">
      <c r="B143" s="86">
        <v>1241</v>
      </c>
      <c r="C143" s="86">
        <v>142</v>
      </c>
      <c r="D143" s="86" t="s">
        <v>10097</v>
      </c>
      <c r="E143" s="86" t="s">
        <v>5707</v>
      </c>
      <c r="F143" s="86" t="s">
        <v>35</v>
      </c>
      <c r="G143" s="86">
        <v>24</v>
      </c>
      <c r="H143" s="86" t="s">
        <v>5696</v>
      </c>
      <c r="I143" s="86">
        <v>3</v>
      </c>
      <c r="J143" s="86" t="s">
        <v>117</v>
      </c>
      <c r="K143" s="8">
        <v>516988</v>
      </c>
      <c r="M143" s="167" t="str">
        <f t="shared" si="0"/>
        <v>OK</v>
      </c>
    </row>
    <row r="144" spans="2:13" ht="12.75" hidden="1">
      <c r="B144" s="86">
        <v>1241</v>
      </c>
      <c r="C144" s="86">
        <v>143</v>
      </c>
      <c r="D144" s="86" t="s">
        <v>10113</v>
      </c>
      <c r="E144" s="86" t="s">
        <v>5701</v>
      </c>
      <c r="F144" s="86" t="s">
        <v>35</v>
      </c>
      <c r="G144" s="86">
        <v>24</v>
      </c>
      <c r="H144" s="86" t="s">
        <v>5696</v>
      </c>
      <c r="I144" s="86">
        <v>3</v>
      </c>
      <c r="J144" s="86" t="s">
        <v>1450</v>
      </c>
      <c r="K144" s="8">
        <v>516287</v>
      </c>
      <c r="M144" s="167" t="str">
        <f t="shared" si="0"/>
        <v>OK</v>
      </c>
    </row>
    <row r="145" spans="2:13" ht="12.75" hidden="1">
      <c r="B145" s="86">
        <v>1246</v>
      </c>
      <c r="C145" s="86">
        <v>144</v>
      </c>
      <c r="D145" s="86" t="s">
        <v>9568</v>
      </c>
      <c r="E145" s="86" t="s">
        <v>5713</v>
      </c>
      <c r="F145" s="86" t="s">
        <v>978</v>
      </c>
      <c r="G145" s="86">
        <v>24</v>
      </c>
      <c r="H145" s="86" t="s">
        <v>5696</v>
      </c>
      <c r="I145" s="86">
        <v>3</v>
      </c>
      <c r="J145" s="86" t="s">
        <v>248</v>
      </c>
      <c r="K145" s="8">
        <v>649412</v>
      </c>
      <c r="M145" s="167" t="str">
        <f t="shared" si="0"/>
        <v>OK</v>
      </c>
    </row>
    <row r="146" spans="2:13" ht="12.75" hidden="1">
      <c r="B146" s="86">
        <v>1241</v>
      </c>
      <c r="C146" s="86">
        <v>145</v>
      </c>
      <c r="D146" s="86" t="s">
        <v>9586</v>
      </c>
      <c r="E146" s="86" t="s">
        <v>5470</v>
      </c>
      <c r="F146" s="86" t="s">
        <v>35</v>
      </c>
      <c r="G146" s="86">
        <v>45</v>
      </c>
      <c r="H146" s="86" t="s">
        <v>5310</v>
      </c>
      <c r="I146" s="86">
        <v>45</v>
      </c>
      <c r="J146" s="86" t="s">
        <v>10156</v>
      </c>
      <c r="K146" s="8">
        <v>580347</v>
      </c>
      <c r="M146" s="167" t="str">
        <f t="shared" si="0"/>
        <v>OK</v>
      </c>
    </row>
    <row r="147" spans="2:13" ht="12.75" hidden="1">
      <c r="B147" s="86">
        <v>1241</v>
      </c>
      <c r="C147" s="86">
        <v>146</v>
      </c>
      <c r="D147" s="86" t="s">
        <v>9586</v>
      </c>
      <c r="E147" s="86" t="s">
        <v>5464</v>
      </c>
      <c r="F147" s="86" t="s">
        <v>35</v>
      </c>
      <c r="G147" s="86">
        <v>45</v>
      </c>
      <c r="H147" s="86" t="s">
        <v>5310</v>
      </c>
      <c r="I147" s="86">
        <v>45</v>
      </c>
      <c r="J147" s="86" t="s">
        <v>10156</v>
      </c>
      <c r="K147" s="8">
        <v>564782</v>
      </c>
      <c r="M147" s="167" t="str">
        <f t="shared" si="0"/>
        <v>OK</v>
      </c>
    </row>
    <row r="148" spans="2:13" ht="12.75" hidden="1">
      <c r="B148" s="86">
        <v>1241</v>
      </c>
      <c r="C148" s="86">
        <v>147</v>
      </c>
      <c r="D148" s="86" t="s">
        <v>10113</v>
      </c>
      <c r="E148" s="86" t="s">
        <v>5496</v>
      </c>
      <c r="F148" s="86" t="s">
        <v>35</v>
      </c>
      <c r="G148" s="86">
        <v>45</v>
      </c>
      <c r="H148" s="86" t="s">
        <v>5310</v>
      </c>
      <c r="I148" s="86">
        <v>45</v>
      </c>
      <c r="J148" s="86" t="s">
        <v>10157</v>
      </c>
      <c r="K148" s="8">
        <v>518516</v>
      </c>
      <c r="M148" s="167" t="str">
        <f t="shared" si="0"/>
        <v>OK</v>
      </c>
    </row>
    <row r="149" spans="2:13" ht="12.75" hidden="1">
      <c r="B149" s="86">
        <v>1241</v>
      </c>
      <c r="C149" s="86">
        <v>148</v>
      </c>
      <c r="D149" s="86" t="s">
        <v>10097</v>
      </c>
      <c r="E149" s="86" t="s">
        <v>5524</v>
      </c>
      <c r="F149" s="86" t="s">
        <v>35</v>
      </c>
      <c r="G149" s="86">
        <v>45</v>
      </c>
      <c r="H149" s="86" t="s">
        <v>5310</v>
      </c>
      <c r="I149" s="86">
        <v>45</v>
      </c>
      <c r="J149" s="86" t="s">
        <v>5520</v>
      </c>
      <c r="K149" s="8">
        <v>649760</v>
      </c>
      <c r="M149" s="167" t="str">
        <f t="shared" si="0"/>
        <v>OK</v>
      </c>
    </row>
    <row r="150" spans="2:13" ht="12.75" hidden="1">
      <c r="B150" s="86">
        <v>1241</v>
      </c>
      <c r="C150" s="86">
        <v>149</v>
      </c>
      <c r="D150" s="86" t="s">
        <v>10097</v>
      </c>
      <c r="E150" s="86" t="s">
        <v>5510</v>
      </c>
      <c r="F150" s="86" t="s">
        <v>35</v>
      </c>
      <c r="G150" s="86">
        <v>45</v>
      </c>
      <c r="H150" s="86" t="s">
        <v>5310</v>
      </c>
      <c r="I150" s="86">
        <v>45</v>
      </c>
      <c r="J150" s="86" t="s">
        <v>5506</v>
      </c>
      <c r="K150" s="8">
        <v>583439</v>
      </c>
      <c r="M150" s="167" t="str">
        <f t="shared" si="0"/>
        <v>OK</v>
      </c>
    </row>
    <row r="151" spans="2:13" ht="12.75" hidden="1">
      <c r="B151" s="86">
        <v>1246</v>
      </c>
      <c r="C151" s="86">
        <v>150</v>
      </c>
      <c r="D151" s="86" t="s">
        <v>9574</v>
      </c>
      <c r="E151" s="86" t="s">
        <v>9525</v>
      </c>
      <c r="F151" s="86" t="s">
        <v>406</v>
      </c>
      <c r="G151" s="86">
        <v>45</v>
      </c>
      <c r="H151" s="86" t="s">
        <v>5310</v>
      </c>
      <c r="I151" s="86">
        <v>45</v>
      </c>
      <c r="J151" s="86" t="s">
        <v>43</v>
      </c>
      <c r="K151" s="8">
        <v>649365</v>
      </c>
      <c r="L151" s="8" t="s">
        <v>3282</v>
      </c>
      <c r="M151" s="167" t="str">
        <f t="shared" si="0"/>
        <v>OK</v>
      </c>
    </row>
    <row r="152" spans="2:13" ht="12.75" hidden="1">
      <c r="B152" s="86">
        <v>1246</v>
      </c>
      <c r="C152" s="86">
        <v>151</v>
      </c>
      <c r="D152" s="86" t="s">
        <v>9568</v>
      </c>
      <c r="E152" s="86" t="s">
        <v>5552</v>
      </c>
      <c r="F152" s="86" t="s">
        <v>978</v>
      </c>
      <c r="G152" s="86">
        <v>45</v>
      </c>
      <c r="H152" s="86" t="s">
        <v>5310</v>
      </c>
      <c r="I152" s="86">
        <v>45</v>
      </c>
      <c r="J152" s="86" t="s">
        <v>249</v>
      </c>
      <c r="K152" s="8">
        <v>649427</v>
      </c>
      <c r="M152" s="167" t="str">
        <f t="shared" si="0"/>
        <v>OK</v>
      </c>
    </row>
    <row r="153" spans="2:13" ht="12.75" hidden="1">
      <c r="B153" s="86">
        <v>1241</v>
      </c>
      <c r="C153" s="86">
        <v>152</v>
      </c>
      <c r="D153" s="86" t="s">
        <v>9594</v>
      </c>
      <c r="E153" s="86" t="s">
        <v>84</v>
      </c>
      <c r="F153" s="86" t="s">
        <v>35</v>
      </c>
      <c r="G153" s="86">
        <v>45</v>
      </c>
      <c r="H153" s="86" t="s">
        <v>5310</v>
      </c>
      <c r="I153" s="86">
        <v>45</v>
      </c>
      <c r="J153" s="86" t="s">
        <v>10158</v>
      </c>
      <c r="K153" s="8" t="s">
        <v>83</v>
      </c>
      <c r="L153" s="8" t="s">
        <v>10101</v>
      </c>
      <c r="M153" s="167" t="str">
        <f t="shared" si="0"/>
        <v>OK</v>
      </c>
    </row>
    <row r="154" spans="2:13" ht="12.75" hidden="1">
      <c r="B154" s="86">
        <v>1241</v>
      </c>
      <c r="C154" s="86">
        <v>153</v>
      </c>
      <c r="D154" s="86" t="s">
        <v>9565</v>
      </c>
      <c r="E154" s="86" t="s">
        <v>5545</v>
      </c>
      <c r="F154" s="86" t="s">
        <v>168</v>
      </c>
      <c r="G154" s="86">
        <v>45</v>
      </c>
      <c r="H154" s="86" t="s">
        <v>5310</v>
      </c>
      <c r="I154" s="86">
        <v>45</v>
      </c>
      <c r="J154" s="86" t="s">
        <v>285</v>
      </c>
      <c r="K154" s="8">
        <v>533070</v>
      </c>
      <c r="M154" s="167" t="str">
        <f t="shared" si="0"/>
        <v>OK</v>
      </c>
    </row>
    <row r="155" spans="2:13" ht="12.75" hidden="1">
      <c r="B155" s="86">
        <v>1241</v>
      </c>
      <c r="C155" s="86">
        <v>154</v>
      </c>
      <c r="D155" s="86" t="s">
        <v>9576</v>
      </c>
      <c r="E155" s="86" t="s">
        <v>5570</v>
      </c>
      <c r="F155" s="86" t="s">
        <v>35</v>
      </c>
      <c r="G155" s="86">
        <v>45</v>
      </c>
      <c r="H155" s="86" t="s">
        <v>5310</v>
      </c>
      <c r="I155" s="86">
        <v>45</v>
      </c>
      <c r="J155" s="86" t="s">
        <v>5318</v>
      </c>
      <c r="K155" s="8">
        <v>518499</v>
      </c>
      <c r="M155" s="167" t="str">
        <f t="shared" si="0"/>
        <v>OK</v>
      </c>
    </row>
    <row r="156" spans="2:13" ht="12.75" hidden="1">
      <c r="B156" s="86">
        <v>1241</v>
      </c>
      <c r="C156" s="86">
        <v>155</v>
      </c>
      <c r="D156" s="86" t="s">
        <v>10113</v>
      </c>
      <c r="E156" s="86" t="s">
        <v>5503</v>
      </c>
      <c r="F156" s="86" t="s">
        <v>35</v>
      </c>
      <c r="G156" s="86">
        <v>45</v>
      </c>
      <c r="H156" s="86" t="s">
        <v>5310</v>
      </c>
      <c r="I156" s="86">
        <v>45</v>
      </c>
      <c r="J156" s="86" t="s">
        <v>10159</v>
      </c>
      <c r="K156" s="8">
        <v>564036</v>
      </c>
      <c r="M156" s="167" t="str">
        <f t="shared" si="0"/>
        <v>OK</v>
      </c>
    </row>
    <row r="157" spans="2:13" ht="12.75" hidden="1">
      <c r="B157" s="86">
        <v>1241</v>
      </c>
      <c r="C157" s="86">
        <v>156</v>
      </c>
      <c r="D157" s="86" t="s">
        <v>10113</v>
      </c>
      <c r="E157" s="86" t="s">
        <v>5490</v>
      </c>
      <c r="F157" s="86" t="s">
        <v>35</v>
      </c>
      <c r="G157" s="86">
        <v>45</v>
      </c>
      <c r="H157" s="86" t="s">
        <v>5310</v>
      </c>
      <c r="I157" s="86">
        <v>45</v>
      </c>
      <c r="J157" s="86" t="s">
        <v>606</v>
      </c>
      <c r="K157" s="8">
        <v>564035</v>
      </c>
      <c r="M157" s="167" t="str">
        <f t="shared" si="0"/>
        <v>OK</v>
      </c>
    </row>
    <row r="158" spans="2:13" ht="12.75" hidden="1">
      <c r="B158" s="86">
        <v>1246</v>
      </c>
      <c r="C158" s="86">
        <v>157</v>
      </c>
      <c r="D158" s="86" t="s">
        <v>9574</v>
      </c>
      <c r="E158" s="86" t="s">
        <v>5537</v>
      </c>
      <c r="F158" s="86" t="s">
        <v>9524</v>
      </c>
      <c r="G158" s="86">
        <v>45</v>
      </c>
      <c r="H158" s="86" t="s">
        <v>5310</v>
      </c>
      <c r="I158" s="86">
        <v>45</v>
      </c>
      <c r="J158" s="86" t="s">
        <v>5232</v>
      </c>
      <c r="K158" s="8">
        <v>535804</v>
      </c>
      <c r="M158" s="167" t="str">
        <f t="shared" si="0"/>
        <v>OK</v>
      </c>
    </row>
    <row r="159" spans="2:13" ht="12.75" hidden="1">
      <c r="B159" s="86">
        <v>1241</v>
      </c>
      <c r="C159" s="86">
        <v>158</v>
      </c>
      <c r="D159" s="86" t="s">
        <v>10097</v>
      </c>
      <c r="E159" s="86" t="s">
        <v>5531</v>
      </c>
      <c r="F159" s="86" t="s">
        <v>35</v>
      </c>
      <c r="G159" s="86">
        <v>45</v>
      </c>
      <c r="H159" s="86" t="s">
        <v>5310</v>
      </c>
      <c r="I159" s="86">
        <v>45</v>
      </c>
      <c r="J159" s="86" t="s">
        <v>5527</v>
      </c>
      <c r="K159" s="8">
        <v>515291</v>
      </c>
      <c r="M159" s="167" t="str">
        <f t="shared" si="0"/>
        <v>OK</v>
      </c>
    </row>
    <row r="160" spans="2:13" ht="12.75" hidden="1">
      <c r="B160" s="86">
        <v>1241</v>
      </c>
      <c r="C160" s="86">
        <v>159</v>
      </c>
      <c r="D160" s="86" t="s">
        <v>9571</v>
      </c>
      <c r="E160" s="86" t="s">
        <v>5516</v>
      </c>
      <c r="F160" s="86" t="s">
        <v>35</v>
      </c>
      <c r="G160" s="86">
        <v>45</v>
      </c>
      <c r="H160" s="86" t="s">
        <v>5310</v>
      </c>
      <c r="I160" s="86">
        <v>45</v>
      </c>
      <c r="J160" s="86" t="s">
        <v>29</v>
      </c>
      <c r="K160" s="86">
        <v>649755</v>
      </c>
      <c r="M160" s="167" t="str">
        <f t="shared" si="0"/>
        <v>OK</v>
      </c>
    </row>
    <row r="161" spans="2:13" ht="12.75" hidden="1">
      <c r="B161" s="86">
        <v>1242</v>
      </c>
      <c r="C161" s="86">
        <v>160</v>
      </c>
      <c r="D161" s="86" t="s">
        <v>10121</v>
      </c>
      <c r="E161" s="86" t="s">
        <v>5444</v>
      </c>
      <c r="F161" s="86" t="s">
        <v>35</v>
      </c>
      <c r="G161" s="86">
        <v>45</v>
      </c>
      <c r="H161" s="86" t="s">
        <v>5310</v>
      </c>
      <c r="I161" s="86">
        <v>45</v>
      </c>
      <c r="J161" s="86" t="s">
        <v>10160</v>
      </c>
      <c r="K161" s="8">
        <v>649756</v>
      </c>
      <c r="M161" s="167" t="str">
        <f t="shared" si="0"/>
        <v>OK</v>
      </c>
    </row>
    <row r="162" spans="2:13" ht="12.75" hidden="1">
      <c r="B162" s="86">
        <v>1241</v>
      </c>
      <c r="C162" s="86">
        <v>161</v>
      </c>
      <c r="D162" s="86" t="s">
        <v>9594</v>
      </c>
      <c r="E162" s="86" t="s">
        <v>5451</v>
      </c>
      <c r="F162" s="86" t="s">
        <v>35</v>
      </c>
      <c r="G162" s="86">
        <v>45</v>
      </c>
      <c r="H162" s="86" t="s">
        <v>5310</v>
      </c>
      <c r="I162" s="86">
        <v>45</v>
      </c>
      <c r="J162" s="86" t="s">
        <v>10161</v>
      </c>
      <c r="K162" s="86">
        <v>518545</v>
      </c>
      <c r="M162" s="167" t="str">
        <f t="shared" si="0"/>
        <v>OK</v>
      </c>
    </row>
    <row r="163" spans="2:13" ht="12.75" hidden="1">
      <c r="B163" s="86">
        <v>1241</v>
      </c>
      <c r="C163" s="86">
        <v>162</v>
      </c>
      <c r="D163" s="86" t="s">
        <v>9586</v>
      </c>
      <c r="E163" s="86" t="s">
        <v>5229</v>
      </c>
      <c r="F163" s="86" t="s">
        <v>35</v>
      </c>
      <c r="G163" s="86">
        <v>24</v>
      </c>
      <c r="H163" s="86" t="s">
        <v>10162</v>
      </c>
      <c r="I163" s="86">
        <v>9</v>
      </c>
      <c r="J163" s="86" t="s">
        <v>10163</v>
      </c>
      <c r="K163" s="8">
        <v>564756</v>
      </c>
      <c r="M163" s="167" t="str">
        <f t="shared" si="0"/>
        <v>OK</v>
      </c>
    </row>
    <row r="164" spans="2:13" ht="12.75" hidden="1">
      <c r="B164" s="86">
        <v>1241</v>
      </c>
      <c r="C164" s="86">
        <v>163</v>
      </c>
      <c r="D164" s="86" t="s">
        <v>9569</v>
      </c>
      <c r="E164" s="86" t="s">
        <v>5287</v>
      </c>
      <c r="F164" s="86" t="s">
        <v>205</v>
      </c>
      <c r="G164" s="86">
        <v>24</v>
      </c>
      <c r="H164" s="86" t="s">
        <v>10162</v>
      </c>
      <c r="I164" s="86">
        <v>9</v>
      </c>
      <c r="J164" s="86" t="s">
        <v>5283</v>
      </c>
      <c r="K164" s="8">
        <v>649779</v>
      </c>
      <c r="M164" s="167" t="str">
        <f t="shared" si="0"/>
        <v>OK</v>
      </c>
    </row>
    <row r="165" spans="2:13" ht="12.75" hidden="1">
      <c r="B165" s="86">
        <v>1246</v>
      </c>
      <c r="C165" s="86">
        <v>164</v>
      </c>
      <c r="D165" s="86" t="s">
        <v>9568</v>
      </c>
      <c r="E165" s="86" t="s">
        <v>5272</v>
      </c>
      <c r="F165" s="86" t="s">
        <v>978</v>
      </c>
      <c r="G165" s="86">
        <v>24</v>
      </c>
      <c r="H165" s="86" t="s">
        <v>10162</v>
      </c>
      <c r="I165" s="86">
        <v>9</v>
      </c>
      <c r="J165" s="86" t="s">
        <v>248</v>
      </c>
      <c r="K165" s="8">
        <v>649414</v>
      </c>
      <c r="M165" s="167" t="str">
        <f t="shared" si="0"/>
        <v>OK</v>
      </c>
    </row>
    <row r="166" spans="2:13" ht="12.75" hidden="1">
      <c r="B166" s="86">
        <v>1241</v>
      </c>
      <c r="C166" s="86">
        <v>165</v>
      </c>
      <c r="D166" s="86" t="s">
        <v>10113</v>
      </c>
      <c r="E166" s="86" t="s">
        <v>5244</v>
      </c>
      <c r="F166" s="86" t="s">
        <v>35</v>
      </c>
      <c r="G166" s="86">
        <v>24</v>
      </c>
      <c r="H166" s="86" t="s">
        <v>10162</v>
      </c>
      <c r="I166" s="86">
        <v>9</v>
      </c>
      <c r="J166" s="86" t="s">
        <v>379</v>
      </c>
      <c r="K166" s="8">
        <v>649771</v>
      </c>
      <c r="M166" s="167" t="str">
        <f t="shared" si="0"/>
        <v>OK</v>
      </c>
    </row>
    <row r="167" spans="2:13" ht="12.75" hidden="1">
      <c r="B167" s="86">
        <v>1241</v>
      </c>
      <c r="C167" s="86">
        <v>166</v>
      </c>
      <c r="D167" s="86" t="s">
        <v>9580</v>
      </c>
      <c r="E167" s="86" t="s">
        <v>5279</v>
      </c>
      <c r="F167" s="86" t="s">
        <v>1220</v>
      </c>
      <c r="G167" s="86">
        <v>24</v>
      </c>
      <c r="H167" s="86" t="s">
        <v>10162</v>
      </c>
      <c r="I167" s="86">
        <v>9</v>
      </c>
      <c r="J167" s="86" t="s">
        <v>10146</v>
      </c>
      <c r="K167" s="8">
        <v>543575</v>
      </c>
      <c r="M167" s="167" t="str">
        <f t="shared" si="0"/>
        <v>OK</v>
      </c>
    </row>
    <row r="168" spans="2:13" ht="12.75" hidden="1">
      <c r="B168" s="86">
        <v>1241</v>
      </c>
      <c r="C168" s="86">
        <v>167</v>
      </c>
      <c r="D168" s="86" t="s">
        <v>10113</v>
      </c>
      <c r="E168" s="86" t="s">
        <v>5252</v>
      </c>
      <c r="F168" s="86" t="s">
        <v>35</v>
      </c>
      <c r="G168" s="86">
        <v>24</v>
      </c>
      <c r="H168" s="86" t="s">
        <v>10162</v>
      </c>
      <c r="I168" s="86">
        <v>9</v>
      </c>
      <c r="J168" s="86" t="s">
        <v>5248</v>
      </c>
      <c r="K168" s="8">
        <v>516177</v>
      </c>
      <c r="M168" s="167" t="str">
        <f t="shared" si="0"/>
        <v>OK</v>
      </c>
    </row>
    <row r="169" spans="2:13" ht="12.75" hidden="1">
      <c r="B169" s="86">
        <v>1241</v>
      </c>
      <c r="C169" s="86">
        <v>168</v>
      </c>
      <c r="D169" s="86" t="s">
        <v>10097</v>
      </c>
      <c r="E169" s="86" t="s">
        <v>5266</v>
      </c>
      <c r="F169" s="86" t="s">
        <v>35</v>
      </c>
      <c r="G169" s="86">
        <v>24</v>
      </c>
      <c r="H169" s="86" t="s">
        <v>10162</v>
      </c>
      <c r="I169" s="86">
        <v>9</v>
      </c>
      <c r="J169" s="86" t="s">
        <v>10164</v>
      </c>
      <c r="K169" s="8">
        <v>649780</v>
      </c>
      <c r="M169" s="167" t="str">
        <f t="shared" si="0"/>
        <v>OK</v>
      </c>
    </row>
    <row r="170" spans="2:13" ht="12.75" hidden="1">
      <c r="B170" s="86">
        <v>1241</v>
      </c>
      <c r="C170" s="86">
        <v>169</v>
      </c>
      <c r="D170" s="86" t="s">
        <v>9586</v>
      </c>
      <c r="E170" s="86" t="s">
        <v>5259</v>
      </c>
      <c r="F170" s="86" t="s">
        <v>35</v>
      </c>
      <c r="G170" s="86">
        <v>24</v>
      </c>
      <c r="H170" s="86" t="s">
        <v>10162</v>
      </c>
      <c r="I170" s="86">
        <v>9</v>
      </c>
      <c r="J170" s="86" t="s">
        <v>528</v>
      </c>
      <c r="K170" s="8">
        <v>564828</v>
      </c>
      <c r="M170" s="167" t="str">
        <f t="shared" si="0"/>
        <v>OK</v>
      </c>
    </row>
    <row r="171" spans="2:13" ht="12.75" hidden="1">
      <c r="B171" s="86">
        <v>1246</v>
      </c>
      <c r="C171" s="86">
        <v>170</v>
      </c>
      <c r="D171" s="86" t="s">
        <v>9574</v>
      </c>
      <c r="E171" s="86" t="s">
        <v>6832</v>
      </c>
      <c r="F171" s="86" t="s">
        <v>5237</v>
      </c>
      <c r="G171" s="86">
        <v>24</v>
      </c>
      <c r="H171" s="86" t="s">
        <v>10165</v>
      </c>
      <c r="I171" s="86">
        <v>31</v>
      </c>
      <c r="J171" s="86" t="s">
        <v>2581</v>
      </c>
      <c r="K171" s="8">
        <v>531946</v>
      </c>
      <c r="L171" s="8"/>
      <c r="M171" s="167" t="str">
        <f t="shared" si="0"/>
        <v>OK</v>
      </c>
    </row>
    <row r="172" spans="2:13" ht="12.75" hidden="1">
      <c r="B172" s="86">
        <v>1241</v>
      </c>
      <c r="C172" s="86">
        <v>171</v>
      </c>
      <c r="D172" s="86" t="s">
        <v>9576</v>
      </c>
      <c r="E172" s="86" t="s">
        <v>6808</v>
      </c>
      <c r="F172" s="86" t="s">
        <v>35</v>
      </c>
      <c r="G172" s="86">
        <v>45</v>
      </c>
      <c r="H172" s="86" t="s">
        <v>10165</v>
      </c>
      <c r="I172" s="86">
        <v>31</v>
      </c>
      <c r="J172" s="86" t="s">
        <v>6804</v>
      </c>
      <c r="K172" s="8">
        <v>649782</v>
      </c>
      <c r="L172" s="8"/>
      <c r="M172" s="167" t="str">
        <f t="shared" si="0"/>
        <v>OK</v>
      </c>
    </row>
    <row r="173" spans="2:13" ht="12.75" hidden="1">
      <c r="B173" s="86">
        <v>1241</v>
      </c>
      <c r="C173" s="86">
        <v>172</v>
      </c>
      <c r="D173" s="86" t="s">
        <v>10097</v>
      </c>
      <c r="E173" s="86" t="s">
        <v>6814</v>
      </c>
      <c r="F173" s="86" t="s">
        <v>35</v>
      </c>
      <c r="G173" s="86">
        <v>45</v>
      </c>
      <c r="H173" s="86" t="s">
        <v>10165</v>
      </c>
      <c r="I173" s="86">
        <v>31</v>
      </c>
      <c r="J173" s="86" t="s">
        <v>6811</v>
      </c>
      <c r="K173" s="8">
        <v>516962</v>
      </c>
      <c r="M173" s="167" t="str">
        <f t="shared" si="0"/>
        <v>OK</v>
      </c>
    </row>
    <row r="174" spans="2:13" ht="12.75" hidden="1">
      <c r="B174" s="86">
        <v>1246</v>
      </c>
      <c r="C174" s="86">
        <v>173</v>
      </c>
      <c r="D174" s="86" t="s">
        <v>9568</v>
      </c>
      <c r="E174" s="86" t="s">
        <v>6820</v>
      </c>
      <c r="F174" s="86" t="s">
        <v>978</v>
      </c>
      <c r="G174" s="86">
        <v>45</v>
      </c>
      <c r="H174" s="86" t="s">
        <v>10165</v>
      </c>
      <c r="I174" s="86">
        <v>31</v>
      </c>
      <c r="J174" s="86" t="s">
        <v>249</v>
      </c>
      <c r="K174" s="8">
        <v>649431</v>
      </c>
      <c r="L174" s="8"/>
      <c r="M174" s="167" t="str">
        <f t="shared" si="0"/>
        <v>OK</v>
      </c>
    </row>
    <row r="175" spans="2:13" ht="12.75" hidden="1">
      <c r="B175" s="86">
        <v>1241</v>
      </c>
      <c r="C175" s="86">
        <v>174</v>
      </c>
      <c r="D175" s="86" t="s">
        <v>9586</v>
      </c>
      <c r="E175" s="86" t="s">
        <v>6826</v>
      </c>
      <c r="F175" s="86" t="s">
        <v>35</v>
      </c>
      <c r="G175" s="86">
        <v>45</v>
      </c>
      <c r="H175" s="86" t="s">
        <v>10165</v>
      </c>
      <c r="I175" s="86">
        <v>31</v>
      </c>
      <c r="J175" s="86" t="s">
        <v>278</v>
      </c>
      <c r="K175" s="8">
        <v>564673</v>
      </c>
      <c r="M175" s="167" t="str">
        <f t="shared" si="0"/>
        <v>OK</v>
      </c>
    </row>
    <row r="176" spans="2:13" ht="12.75" hidden="1">
      <c r="B176" s="86">
        <v>1246</v>
      </c>
      <c r="C176" s="86">
        <v>175</v>
      </c>
      <c r="D176" s="86" t="s">
        <v>9574</v>
      </c>
      <c r="E176" s="86" t="s">
        <v>5236</v>
      </c>
      <c r="F176" s="86" t="s">
        <v>5237</v>
      </c>
      <c r="G176" s="86">
        <v>45</v>
      </c>
      <c r="H176" s="86" t="s">
        <v>10165</v>
      </c>
      <c r="I176" s="86">
        <v>31</v>
      </c>
      <c r="J176" s="86" t="s">
        <v>2581</v>
      </c>
      <c r="K176" s="8">
        <v>649781</v>
      </c>
      <c r="M176" s="167" t="str">
        <f t="shared" si="0"/>
        <v>OK</v>
      </c>
    </row>
    <row r="177" spans="2:13" ht="12.75" hidden="1">
      <c r="B177" s="86">
        <v>1241</v>
      </c>
      <c r="C177" s="86">
        <v>176</v>
      </c>
      <c r="D177" s="86" t="s">
        <v>9580</v>
      </c>
      <c r="E177" s="86" t="s">
        <v>6840</v>
      </c>
      <c r="F177" s="86" t="s">
        <v>682</v>
      </c>
      <c r="G177" s="86">
        <v>45</v>
      </c>
      <c r="H177" s="86" t="s">
        <v>10165</v>
      </c>
      <c r="I177" s="86">
        <v>31</v>
      </c>
      <c r="J177" s="86" t="s">
        <v>6836</v>
      </c>
      <c r="K177" s="8" t="s">
        <v>6838</v>
      </c>
      <c r="L177" s="8" t="s">
        <v>10101</v>
      </c>
      <c r="M177" s="167" t="str">
        <f t="shared" si="0"/>
        <v>OK</v>
      </c>
    </row>
    <row r="178" spans="2:13" ht="12.75" hidden="1">
      <c r="B178" s="86">
        <v>1241</v>
      </c>
      <c r="C178" s="86">
        <v>177</v>
      </c>
      <c r="D178" s="86" t="s">
        <v>10113</v>
      </c>
      <c r="E178" s="86" t="s">
        <v>5625</v>
      </c>
      <c r="F178" s="86" t="s">
        <v>35</v>
      </c>
      <c r="G178" s="86">
        <v>45</v>
      </c>
      <c r="H178" s="86" t="s">
        <v>5584</v>
      </c>
      <c r="I178" s="86">
        <v>54</v>
      </c>
      <c r="J178" s="86" t="s">
        <v>10157</v>
      </c>
      <c r="K178" s="8">
        <v>564623</v>
      </c>
      <c r="M178" s="167" t="str">
        <f t="shared" si="0"/>
        <v>OK</v>
      </c>
    </row>
    <row r="179" spans="2:13" ht="12.75" hidden="1">
      <c r="B179" s="86">
        <v>1241</v>
      </c>
      <c r="C179" s="86">
        <v>178</v>
      </c>
      <c r="D179" s="86" t="s">
        <v>10113</v>
      </c>
      <c r="E179" s="86" t="s">
        <v>5631</v>
      </c>
      <c r="F179" s="86" t="s">
        <v>35</v>
      </c>
      <c r="G179" s="86">
        <v>45</v>
      </c>
      <c r="H179" s="86" t="s">
        <v>5584</v>
      </c>
      <c r="I179" s="86">
        <v>54</v>
      </c>
      <c r="J179" s="86" t="s">
        <v>10157</v>
      </c>
      <c r="K179" s="8">
        <v>563785</v>
      </c>
      <c r="M179" s="167" t="str">
        <f t="shared" si="0"/>
        <v>OK</v>
      </c>
    </row>
    <row r="180" spans="2:13" ht="12.75" hidden="1">
      <c r="B180" s="86">
        <v>1241</v>
      </c>
      <c r="C180" s="86">
        <v>179</v>
      </c>
      <c r="D180" s="86" t="s">
        <v>10097</v>
      </c>
      <c r="E180" s="86" t="s">
        <v>5619</v>
      </c>
      <c r="F180" s="86" t="s">
        <v>35</v>
      </c>
      <c r="G180" s="86">
        <v>45</v>
      </c>
      <c r="H180" s="86" t="s">
        <v>5584</v>
      </c>
      <c r="I180" s="86">
        <v>54</v>
      </c>
      <c r="J180" s="86" t="s">
        <v>117</v>
      </c>
      <c r="K180" s="8">
        <v>518507</v>
      </c>
      <c r="M180" s="167" t="str">
        <f t="shared" si="0"/>
        <v>OK</v>
      </c>
    </row>
    <row r="181" spans="2:13" ht="12.75" hidden="1">
      <c r="B181" s="86">
        <v>1241</v>
      </c>
      <c r="C181" s="86">
        <v>180</v>
      </c>
      <c r="D181" s="86" t="s">
        <v>9586</v>
      </c>
      <c r="E181" s="86" t="s">
        <v>5656</v>
      </c>
      <c r="F181" s="86" t="s">
        <v>35</v>
      </c>
      <c r="G181" s="86">
        <v>45</v>
      </c>
      <c r="H181" s="86" t="s">
        <v>5584</v>
      </c>
      <c r="I181" s="86">
        <v>54</v>
      </c>
      <c r="J181" s="86" t="s">
        <v>5332</v>
      </c>
      <c r="K181" s="8">
        <v>649761</v>
      </c>
      <c r="M181" s="167" t="str">
        <f t="shared" si="0"/>
        <v>OK</v>
      </c>
    </row>
    <row r="182" spans="2:13" ht="12.75" hidden="1">
      <c r="B182" s="86">
        <v>1246</v>
      </c>
      <c r="C182" s="86">
        <v>181</v>
      </c>
      <c r="D182" s="86" t="s">
        <v>9574</v>
      </c>
      <c r="E182" s="86" t="s">
        <v>5649</v>
      </c>
      <c r="F182" s="86" t="s">
        <v>9524</v>
      </c>
      <c r="G182" s="86">
        <v>45</v>
      </c>
      <c r="H182" s="86" t="s">
        <v>5584</v>
      </c>
      <c r="I182" s="86">
        <v>54</v>
      </c>
      <c r="J182" s="86" t="s">
        <v>2581</v>
      </c>
      <c r="K182" s="8">
        <v>531871</v>
      </c>
      <c r="M182" s="167" t="str">
        <f t="shared" si="0"/>
        <v>OK</v>
      </c>
    </row>
    <row r="183" spans="2:13" ht="12.75" hidden="1">
      <c r="B183" s="86">
        <v>1241</v>
      </c>
      <c r="C183" s="86">
        <v>182</v>
      </c>
      <c r="D183" s="86" t="s">
        <v>9594</v>
      </c>
      <c r="E183" s="86" t="s">
        <v>5582</v>
      </c>
      <c r="F183" s="86" t="s">
        <v>35</v>
      </c>
      <c r="G183" s="86">
        <v>45</v>
      </c>
      <c r="H183" s="86" t="s">
        <v>5584</v>
      </c>
      <c r="I183" s="8">
        <v>54</v>
      </c>
      <c r="J183" s="86" t="s">
        <v>10144</v>
      </c>
      <c r="K183" s="8">
        <v>581686</v>
      </c>
      <c r="M183" s="167" t="str">
        <f t="shared" si="0"/>
        <v>OK</v>
      </c>
    </row>
    <row r="184" spans="2:13" ht="12.75" hidden="1">
      <c r="B184" s="86">
        <v>1241</v>
      </c>
      <c r="C184" s="86">
        <v>183</v>
      </c>
      <c r="D184" s="86" t="s">
        <v>9571</v>
      </c>
      <c r="E184" s="86" t="s">
        <v>5590</v>
      </c>
      <c r="F184" s="86" t="s">
        <v>35</v>
      </c>
      <c r="G184" s="86">
        <v>45</v>
      </c>
      <c r="H184" s="86" t="s">
        <v>5584</v>
      </c>
      <c r="I184" s="86">
        <v>54</v>
      </c>
      <c r="J184" s="86" t="s">
        <v>10166</v>
      </c>
      <c r="K184" s="8">
        <v>518505</v>
      </c>
      <c r="M184" s="167" t="str">
        <f t="shared" si="0"/>
        <v>OK</v>
      </c>
    </row>
    <row r="185" spans="2:13" ht="12.75" hidden="1">
      <c r="B185" s="86">
        <v>1241</v>
      </c>
      <c r="C185" s="86">
        <v>184</v>
      </c>
      <c r="D185" s="86" t="s">
        <v>9580</v>
      </c>
      <c r="E185" s="86" t="s">
        <v>4220</v>
      </c>
      <c r="F185" s="86" t="s">
        <v>1220</v>
      </c>
      <c r="G185" s="86">
        <v>50</v>
      </c>
      <c r="H185" s="86" t="s">
        <v>7404</v>
      </c>
      <c r="I185" s="86">
        <v>50</v>
      </c>
      <c r="J185" s="86" t="s">
        <v>9581</v>
      </c>
      <c r="K185" s="8">
        <v>530448</v>
      </c>
      <c r="M185" s="167" t="str">
        <f t="shared" si="0"/>
        <v>OK</v>
      </c>
    </row>
    <row r="186" spans="2:13" ht="12.75" hidden="1">
      <c r="B186" s="86">
        <v>1246</v>
      </c>
      <c r="C186" s="86">
        <v>185</v>
      </c>
      <c r="D186" s="86" t="s">
        <v>9568</v>
      </c>
      <c r="E186" s="86" t="s">
        <v>5669</v>
      </c>
      <c r="F186" s="86" t="s">
        <v>978</v>
      </c>
      <c r="G186" s="86">
        <v>45</v>
      </c>
      <c r="H186" s="86" t="s">
        <v>5584</v>
      </c>
      <c r="I186" s="86">
        <v>54</v>
      </c>
      <c r="J186" s="86" t="s">
        <v>248</v>
      </c>
      <c r="K186" s="8">
        <v>649428</v>
      </c>
      <c r="M186" s="167" t="str">
        <f t="shared" si="0"/>
        <v>OK</v>
      </c>
    </row>
    <row r="187" spans="2:13" ht="12.75" hidden="1">
      <c r="B187" s="86">
        <v>1241</v>
      </c>
      <c r="C187" s="86">
        <v>186</v>
      </c>
      <c r="D187" s="86" t="s">
        <v>9586</v>
      </c>
      <c r="E187" s="86" t="s">
        <v>650</v>
      </c>
      <c r="F187" s="86" t="s">
        <v>35</v>
      </c>
      <c r="G187" s="86">
        <v>45</v>
      </c>
      <c r="H187" s="86" t="s">
        <v>5584</v>
      </c>
      <c r="I187" s="86">
        <v>54</v>
      </c>
      <c r="J187" s="86" t="s">
        <v>5332</v>
      </c>
      <c r="K187" s="8">
        <v>649757</v>
      </c>
      <c r="M187" s="167" t="str">
        <f t="shared" si="0"/>
        <v>OK</v>
      </c>
    </row>
    <row r="188" spans="2:13" ht="12.75" hidden="1">
      <c r="B188" s="86">
        <v>1241</v>
      </c>
      <c r="C188" s="86">
        <v>187</v>
      </c>
      <c r="D188" s="86" t="s">
        <v>9576</v>
      </c>
      <c r="E188" s="86" t="s">
        <v>5643</v>
      </c>
      <c r="F188" s="86" t="s">
        <v>35</v>
      </c>
      <c r="G188" s="86">
        <v>45</v>
      </c>
      <c r="H188" s="86" t="s">
        <v>5584</v>
      </c>
      <c r="I188" s="86">
        <v>54</v>
      </c>
      <c r="J188" s="86" t="s">
        <v>10167</v>
      </c>
      <c r="K188" s="8">
        <v>649762</v>
      </c>
      <c r="M188" s="167" t="str">
        <f t="shared" si="0"/>
        <v>OK</v>
      </c>
    </row>
    <row r="189" spans="2:13" ht="12.75" hidden="1">
      <c r="B189" s="86">
        <v>1241</v>
      </c>
      <c r="C189" s="86">
        <v>188</v>
      </c>
      <c r="D189" s="86" t="s">
        <v>10168</v>
      </c>
      <c r="E189" s="86" t="s">
        <v>5604</v>
      </c>
      <c r="F189" s="86" t="s">
        <v>35</v>
      </c>
      <c r="G189" s="86">
        <v>45</v>
      </c>
      <c r="H189" s="86" t="s">
        <v>5584</v>
      </c>
      <c r="I189" s="86">
        <v>54</v>
      </c>
      <c r="J189" s="86" t="s">
        <v>851</v>
      </c>
      <c r="K189" s="8">
        <v>565624</v>
      </c>
      <c r="M189" s="167" t="str">
        <f t="shared" si="0"/>
        <v>OK</v>
      </c>
    </row>
    <row r="190" spans="2:13" ht="12.75" hidden="1">
      <c r="B190" s="86">
        <v>1241</v>
      </c>
      <c r="C190" s="86">
        <v>189</v>
      </c>
      <c r="D190" s="86" t="s">
        <v>10097</v>
      </c>
      <c r="E190" s="86" t="s">
        <v>5612</v>
      </c>
      <c r="F190" s="86" t="s">
        <v>35</v>
      </c>
      <c r="G190" s="86">
        <v>45</v>
      </c>
      <c r="H190" s="86" t="s">
        <v>5584</v>
      </c>
      <c r="I190" s="86">
        <v>54</v>
      </c>
      <c r="J190" s="86" t="s">
        <v>1510</v>
      </c>
      <c r="K190" s="8">
        <v>649763</v>
      </c>
      <c r="M190" s="167" t="str">
        <f t="shared" si="0"/>
        <v>OK</v>
      </c>
    </row>
    <row r="191" spans="2:13" ht="12.75" hidden="1">
      <c r="B191" s="86">
        <v>1241</v>
      </c>
      <c r="C191" s="86">
        <v>190</v>
      </c>
      <c r="D191" s="86" t="s">
        <v>9565</v>
      </c>
      <c r="E191" s="86" t="s">
        <v>5662</v>
      </c>
      <c r="F191" s="86" t="s">
        <v>168</v>
      </c>
      <c r="G191" s="86">
        <v>45</v>
      </c>
      <c r="H191" s="86" t="s">
        <v>5584</v>
      </c>
      <c r="I191" s="86">
        <v>54</v>
      </c>
      <c r="J191" s="86" t="s">
        <v>285</v>
      </c>
      <c r="K191" s="8">
        <v>527018</v>
      </c>
      <c r="M191" s="167" t="str">
        <f t="shared" si="0"/>
        <v>OK</v>
      </c>
    </row>
    <row r="192" spans="2:13" ht="12.75" hidden="1">
      <c r="B192" s="86">
        <v>1241</v>
      </c>
      <c r="C192" s="86">
        <v>191</v>
      </c>
      <c r="D192" s="86" t="s">
        <v>9576</v>
      </c>
      <c r="E192" s="86" t="s">
        <v>3883</v>
      </c>
      <c r="F192" s="86" t="s">
        <v>35</v>
      </c>
      <c r="G192" s="86">
        <v>45</v>
      </c>
      <c r="H192" s="86" t="s">
        <v>5584</v>
      </c>
      <c r="I192" s="86">
        <v>54</v>
      </c>
      <c r="J192" s="86" t="s">
        <v>10169</v>
      </c>
      <c r="K192" s="8">
        <v>515607</v>
      </c>
      <c r="L192" s="8"/>
      <c r="M192" s="167" t="str">
        <f t="shared" si="0"/>
        <v>OK</v>
      </c>
    </row>
    <row r="193" spans="2:13" ht="12.75" hidden="1">
      <c r="B193" s="86">
        <v>1241</v>
      </c>
      <c r="C193" s="86">
        <v>192</v>
      </c>
      <c r="D193" s="86" t="s">
        <v>9569</v>
      </c>
      <c r="E193" s="86" t="s">
        <v>5412</v>
      </c>
      <c r="F193" s="86" t="s">
        <v>9384</v>
      </c>
      <c r="G193" s="86">
        <v>45</v>
      </c>
      <c r="H193" s="86" t="s">
        <v>5584</v>
      </c>
      <c r="I193" s="86">
        <v>54</v>
      </c>
      <c r="J193" s="86" t="s">
        <v>1394</v>
      </c>
      <c r="K193" s="8">
        <v>649742</v>
      </c>
      <c r="M193" s="167" t="str">
        <f t="shared" si="0"/>
        <v>OK</v>
      </c>
    </row>
    <row r="194" spans="2:13" ht="12.75" hidden="1">
      <c r="B194" s="86">
        <v>1241</v>
      </c>
      <c r="C194" s="86">
        <v>193</v>
      </c>
      <c r="D194" s="86" t="s">
        <v>9580</v>
      </c>
      <c r="E194" s="86" t="s">
        <v>5427</v>
      </c>
      <c r="F194" s="86" t="s">
        <v>9384</v>
      </c>
      <c r="G194" s="86">
        <v>45</v>
      </c>
      <c r="H194" s="86" t="s">
        <v>5584</v>
      </c>
      <c r="I194" s="86">
        <v>54</v>
      </c>
      <c r="J194" s="86" t="s">
        <v>9581</v>
      </c>
      <c r="K194" s="8">
        <v>649743</v>
      </c>
      <c r="L194" s="8"/>
      <c r="M194" s="167" t="str">
        <f t="shared" si="0"/>
        <v>OK</v>
      </c>
    </row>
    <row r="195" spans="2:13" ht="12.75" hidden="1">
      <c r="B195" s="86">
        <v>1241</v>
      </c>
      <c r="C195" s="86">
        <v>194</v>
      </c>
      <c r="D195" s="86" t="s">
        <v>9594</v>
      </c>
      <c r="E195" s="86" t="s">
        <v>5372</v>
      </c>
      <c r="F195" s="86" t="s">
        <v>35</v>
      </c>
      <c r="G195" s="86">
        <v>43</v>
      </c>
      <c r="H195" s="86" t="s">
        <v>10170</v>
      </c>
      <c r="I195" s="86">
        <v>19</v>
      </c>
      <c r="J195" s="86" t="s">
        <v>10171</v>
      </c>
      <c r="K195" s="8">
        <v>518504</v>
      </c>
      <c r="M195" s="167" t="str">
        <f t="shared" si="0"/>
        <v>OK</v>
      </c>
    </row>
    <row r="196" spans="2:13" ht="12.75" hidden="1">
      <c r="B196" s="86">
        <v>1246</v>
      </c>
      <c r="C196" s="86">
        <v>195</v>
      </c>
      <c r="D196" s="86" t="s">
        <v>9574</v>
      </c>
      <c r="E196" s="86" t="s">
        <v>5379</v>
      </c>
      <c r="F196" s="86" t="s">
        <v>2586</v>
      </c>
      <c r="G196" s="86">
        <v>43</v>
      </c>
      <c r="H196" s="86" t="s">
        <v>10170</v>
      </c>
      <c r="I196" s="86">
        <v>19</v>
      </c>
      <c r="J196" s="86" t="s">
        <v>5298</v>
      </c>
      <c r="K196" s="8">
        <v>539189</v>
      </c>
      <c r="M196" s="167" t="str">
        <f t="shared" si="0"/>
        <v>OK</v>
      </c>
    </row>
    <row r="197" spans="2:13" ht="12.75" hidden="1">
      <c r="B197" s="86">
        <v>1241</v>
      </c>
      <c r="C197" s="86">
        <v>196</v>
      </c>
      <c r="D197" s="86" t="s">
        <v>9586</v>
      </c>
      <c r="E197" s="86" t="s">
        <v>5387</v>
      </c>
      <c r="F197" s="86" t="s">
        <v>35</v>
      </c>
      <c r="G197" s="86">
        <v>43</v>
      </c>
      <c r="H197" s="86" t="s">
        <v>10170</v>
      </c>
      <c r="I197" s="86">
        <v>19</v>
      </c>
      <c r="J197" s="86" t="s">
        <v>5332</v>
      </c>
      <c r="K197" s="8">
        <v>649750</v>
      </c>
      <c r="M197" s="167" t="str">
        <f t="shared" si="0"/>
        <v>OK</v>
      </c>
    </row>
    <row r="198" spans="2:13" ht="12.75" hidden="1">
      <c r="B198" s="86">
        <v>1241</v>
      </c>
      <c r="C198" s="86">
        <v>197</v>
      </c>
      <c r="D198" s="86" t="s">
        <v>9594</v>
      </c>
      <c r="E198" s="86" t="s">
        <v>5393</v>
      </c>
      <c r="F198" s="86" t="s">
        <v>35</v>
      </c>
      <c r="G198" s="86">
        <v>43</v>
      </c>
      <c r="H198" s="86" t="s">
        <v>10170</v>
      </c>
      <c r="I198" s="86">
        <v>19</v>
      </c>
      <c r="J198" s="86" t="s">
        <v>10172</v>
      </c>
      <c r="K198" s="8">
        <v>533227</v>
      </c>
      <c r="M198" s="167" t="str">
        <f t="shared" si="0"/>
        <v>OK</v>
      </c>
    </row>
    <row r="199" spans="2:13" ht="12.75" hidden="1">
      <c r="B199" s="86">
        <v>1241</v>
      </c>
      <c r="C199" s="86">
        <v>198</v>
      </c>
      <c r="D199" s="86" t="s">
        <v>10097</v>
      </c>
      <c r="E199" s="86" t="s">
        <v>5400</v>
      </c>
      <c r="F199" s="86" t="s">
        <v>35</v>
      </c>
      <c r="G199" s="86">
        <v>43</v>
      </c>
      <c r="H199" s="86" t="s">
        <v>10170</v>
      </c>
      <c r="I199" s="86">
        <v>19</v>
      </c>
      <c r="J199" s="86" t="s">
        <v>117</v>
      </c>
      <c r="K199" s="8">
        <v>649741</v>
      </c>
      <c r="M199" s="167" t="str">
        <f t="shared" si="0"/>
        <v>OK</v>
      </c>
    </row>
    <row r="200" spans="2:13" ht="12.75" hidden="1">
      <c r="B200" s="86">
        <v>1246</v>
      </c>
      <c r="C200" s="86">
        <v>199</v>
      </c>
      <c r="D200" s="86" t="s">
        <v>9568</v>
      </c>
      <c r="E200" s="86" t="s">
        <v>5420</v>
      </c>
      <c r="F200" s="86" t="s">
        <v>978</v>
      </c>
      <c r="G200" s="86">
        <v>43</v>
      </c>
      <c r="H200" s="86" t="s">
        <v>10170</v>
      </c>
      <c r="I200" s="86">
        <v>19</v>
      </c>
      <c r="J200" s="86" t="s">
        <v>249</v>
      </c>
      <c r="K200" s="8">
        <v>649429</v>
      </c>
      <c r="M200" s="167" t="str">
        <f t="shared" si="0"/>
        <v>OK</v>
      </c>
    </row>
    <row r="201" spans="2:13" ht="12.75" hidden="1">
      <c r="B201" s="86">
        <v>1241</v>
      </c>
      <c r="C201" s="86">
        <v>200</v>
      </c>
      <c r="D201" s="86" t="s">
        <v>9586</v>
      </c>
      <c r="E201" s="86" t="s">
        <v>5406</v>
      </c>
      <c r="F201" s="86" t="s">
        <v>35</v>
      </c>
      <c r="G201" s="86">
        <v>43</v>
      </c>
      <c r="H201" s="86" t="s">
        <v>10170</v>
      </c>
      <c r="I201" s="86">
        <v>19</v>
      </c>
      <c r="J201" s="86" t="s">
        <v>278</v>
      </c>
      <c r="K201" s="86">
        <v>566432</v>
      </c>
      <c r="M201" s="167" t="str">
        <f t="shared" si="0"/>
        <v>OK</v>
      </c>
    </row>
    <row r="202" spans="2:13" ht="12.75" hidden="1">
      <c r="B202" s="86">
        <v>1241</v>
      </c>
      <c r="C202" s="86">
        <v>201</v>
      </c>
      <c r="D202" s="86" t="s">
        <v>10113</v>
      </c>
      <c r="E202" s="86" t="s">
        <v>5438</v>
      </c>
      <c r="F202" s="86" t="s">
        <v>35</v>
      </c>
      <c r="G202" s="86">
        <v>43</v>
      </c>
      <c r="H202" s="86" t="s">
        <v>10170</v>
      </c>
      <c r="I202" s="86">
        <v>19</v>
      </c>
      <c r="J202" s="86" t="s">
        <v>379</v>
      </c>
      <c r="K202" s="8">
        <v>649744</v>
      </c>
      <c r="M202" s="167" t="str">
        <f t="shared" si="0"/>
        <v>OK</v>
      </c>
    </row>
    <row r="203" spans="2:13" ht="12.75" hidden="1">
      <c r="B203" s="86">
        <v>1241</v>
      </c>
      <c r="C203" s="86">
        <v>202</v>
      </c>
      <c r="D203" s="86" t="s">
        <v>9594</v>
      </c>
      <c r="E203" s="86" t="s">
        <v>5295</v>
      </c>
      <c r="F203" s="86" t="s">
        <v>35</v>
      </c>
      <c r="G203" s="86">
        <v>24</v>
      </c>
      <c r="H203" s="86" t="s">
        <v>10173</v>
      </c>
      <c r="I203" s="86">
        <v>43</v>
      </c>
      <c r="J203" s="86" t="s">
        <v>63</v>
      </c>
      <c r="K203" s="86">
        <v>649745</v>
      </c>
      <c r="M203" s="167" t="str">
        <f t="shared" si="0"/>
        <v>OK</v>
      </c>
    </row>
    <row r="204" spans="2:13" ht="12.75" hidden="1">
      <c r="B204" s="86">
        <v>1246</v>
      </c>
      <c r="C204" s="86">
        <v>203</v>
      </c>
      <c r="D204" s="86" t="s">
        <v>9574</v>
      </c>
      <c r="E204" s="86" t="s">
        <v>5302</v>
      </c>
      <c r="F204" s="86" t="s">
        <v>406</v>
      </c>
      <c r="G204" s="86">
        <v>24</v>
      </c>
      <c r="H204" s="86" t="s">
        <v>10173</v>
      </c>
      <c r="I204" s="86">
        <v>43</v>
      </c>
      <c r="J204" s="86" t="s">
        <v>5298</v>
      </c>
      <c r="K204" s="8">
        <v>649357</v>
      </c>
      <c r="M204" s="167" t="str">
        <f t="shared" si="0"/>
        <v>OK</v>
      </c>
    </row>
    <row r="205" spans="2:13" ht="12.75" hidden="1">
      <c r="B205" s="86">
        <v>1241</v>
      </c>
      <c r="C205" s="86">
        <v>204</v>
      </c>
      <c r="D205" s="86" t="s">
        <v>10113</v>
      </c>
      <c r="E205" s="86" t="s">
        <v>5315</v>
      </c>
      <c r="F205" s="86" t="s">
        <v>35</v>
      </c>
      <c r="G205" s="86">
        <v>24</v>
      </c>
      <c r="H205" s="86" t="s">
        <v>10173</v>
      </c>
      <c r="I205" s="86">
        <v>43</v>
      </c>
      <c r="J205" s="86" t="s">
        <v>10157</v>
      </c>
      <c r="K205" s="8">
        <v>516231</v>
      </c>
      <c r="M205" s="167" t="str">
        <f t="shared" si="0"/>
        <v>OK</v>
      </c>
    </row>
    <row r="206" spans="2:13" ht="12.75" hidden="1">
      <c r="B206" s="86">
        <v>1241</v>
      </c>
      <c r="C206" s="86">
        <v>205</v>
      </c>
      <c r="D206" s="86" t="s">
        <v>10113</v>
      </c>
      <c r="E206" s="86" t="s">
        <v>5308</v>
      </c>
      <c r="F206" s="86" t="s">
        <v>35</v>
      </c>
      <c r="G206" s="86">
        <v>24</v>
      </c>
      <c r="H206" s="86" t="s">
        <v>10173</v>
      </c>
      <c r="I206" s="86">
        <v>43</v>
      </c>
      <c r="J206" s="86" t="s">
        <v>10157</v>
      </c>
      <c r="K206" s="8">
        <v>649747</v>
      </c>
      <c r="M206" s="167" t="str">
        <f t="shared" si="0"/>
        <v>OK</v>
      </c>
    </row>
    <row r="207" spans="2:13" ht="12.75" hidden="1">
      <c r="B207" s="86">
        <v>1241</v>
      </c>
      <c r="C207" s="86">
        <v>206</v>
      </c>
      <c r="D207" s="86" t="s">
        <v>10097</v>
      </c>
      <c r="E207" s="86" t="s">
        <v>5349</v>
      </c>
      <c r="F207" s="86" t="s">
        <v>35</v>
      </c>
      <c r="G207" s="86">
        <v>24</v>
      </c>
      <c r="H207" s="86" t="s">
        <v>10173</v>
      </c>
      <c r="I207" s="86">
        <v>43</v>
      </c>
      <c r="J207" s="86" t="s">
        <v>117</v>
      </c>
      <c r="K207" s="8">
        <v>564903</v>
      </c>
      <c r="M207" s="167" t="str">
        <f t="shared" si="0"/>
        <v>OK</v>
      </c>
    </row>
    <row r="208" spans="2:13" ht="12.75" hidden="1">
      <c r="B208" s="86">
        <v>1241</v>
      </c>
      <c r="C208" s="86">
        <v>207</v>
      </c>
      <c r="D208" s="86" t="s">
        <v>9576</v>
      </c>
      <c r="E208" s="86" t="s">
        <v>5322</v>
      </c>
      <c r="F208" s="86" t="s">
        <v>35</v>
      </c>
      <c r="G208" s="86">
        <v>24</v>
      </c>
      <c r="H208" s="86" t="s">
        <v>10173</v>
      </c>
      <c r="I208" s="86">
        <v>43</v>
      </c>
      <c r="J208" s="86" t="s">
        <v>5318</v>
      </c>
      <c r="K208" s="8">
        <v>649751</v>
      </c>
      <c r="M208" s="167" t="str">
        <f t="shared" si="0"/>
        <v>OK</v>
      </c>
    </row>
    <row r="209" spans="2:13" ht="12.75" hidden="1">
      <c r="B209" s="86">
        <v>1246</v>
      </c>
      <c r="C209" s="86">
        <v>208</v>
      </c>
      <c r="D209" s="86" t="s">
        <v>9568</v>
      </c>
      <c r="E209" s="86" t="s">
        <v>5328</v>
      </c>
      <c r="F209" s="86" t="s">
        <v>978</v>
      </c>
      <c r="G209" s="86">
        <v>24</v>
      </c>
      <c r="H209" s="86" t="s">
        <v>10173</v>
      </c>
      <c r="I209" s="86">
        <v>43</v>
      </c>
      <c r="J209" s="86" t="s">
        <v>249</v>
      </c>
      <c r="K209" s="8">
        <v>649430</v>
      </c>
      <c r="M209" s="167" t="str">
        <f t="shared" si="0"/>
        <v>OK</v>
      </c>
    </row>
    <row r="210" spans="2:13" ht="12.75" hidden="1">
      <c r="B210" s="86">
        <v>1241</v>
      </c>
      <c r="C210" s="86">
        <v>209</v>
      </c>
      <c r="D210" s="86" t="s">
        <v>9565</v>
      </c>
      <c r="E210" s="86" t="s">
        <v>5355</v>
      </c>
      <c r="F210" s="86" t="s">
        <v>168</v>
      </c>
      <c r="G210" s="86">
        <v>24</v>
      </c>
      <c r="H210" s="86" t="s">
        <v>10173</v>
      </c>
      <c r="I210" s="86">
        <v>43</v>
      </c>
      <c r="J210" s="86" t="s">
        <v>285</v>
      </c>
      <c r="K210" s="8">
        <v>527082</v>
      </c>
      <c r="M210" s="167" t="str">
        <f t="shared" si="0"/>
        <v>OK</v>
      </c>
    </row>
    <row r="211" spans="2:13" ht="12.75" hidden="1">
      <c r="B211" s="86">
        <v>1241</v>
      </c>
      <c r="C211" s="86">
        <v>210</v>
      </c>
      <c r="D211" s="86" t="s">
        <v>10097</v>
      </c>
      <c r="E211" s="86" t="s">
        <v>5344</v>
      </c>
      <c r="F211" s="86" t="s">
        <v>35</v>
      </c>
      <c r="G211" s="86">
        <v>24</v>
      </c>
      <c r="H211" s="86" t="s">
        <v>10173</v>
      </c>
      <c r="I211" s="86">
        <v>43</v>
      </c>
      <c r="J211" s="86" t="s">
        <v>5340</v>
      </c>
      <c r="K211" s="8" t="s">
        <v>5342</v>
      </c>
      <c r="L211" s="86" t="s">
        <v>10101</v>
      </c>
      <c r="M211" s="167" t="str">
        <f t="shared" si="0"/>
        <v>OK</v>
      </c>
    </row>
    <row r="212" spans="2:13" ht="12.75" hidden="1">
      <c r="B212" s="86">
        <v>1241</v>
      </c>
      <c r="C212" s="86">
        <v>211</v>
      </c>
      <c r="D212" s="86" t="s">
        <v>10097</v>
      </c>
      <c r="E212" s="86" t="s">
        <v>3727</v>
      </c>
      <c r="F212" s="86" t="s">
        <v>35</v>
      </c>
      <c r="G212" s="86">
        <v>27</v>
      </c>
      <c r="H212" s="86" t="s">
        <v>1665</v>
      </c>
      <c r="I212" s="86">
        <v>41</v>
      </c>
      <c r="J212" s="86" t="s">
        <v>117</v>
      </c>
      <c r="K212" s="8">
        <v>518494</v>
      </c>
      <c r="M212" s="167" t="str">
        <f t="shared" si="0"/>
        <v>OK</v>
      </c>
    </row>
    <row r="213" spans="2:13" ht="12.75" hidden="1">
      <c r="B213" s="86">
        <v>1241</v>
      </c>
      <c r="C213" s="86">
        <v>212</v>
      </c>
      <c r="D213" s="86" t="s">
        <v>9594</v>
      </c>
      <c r="E213" s="86" t="s">
        <v>3707</v>
      </c>
      <c r="F213" s="86" t="s">
        <v>35</v>
      </c>
      <c r="G213" s="86">
        <v>27</v>
      </c>
      <c r="H213" s="86" t="s">
        <v>1665</v>
      </c>
      <c r="I213" s="86">
        <v>41</v>
      </c>
      <c r="J213" s="86" t="s">
        <v>10144</v>
      </c>
      <c r="K213" s="86">
        <v>533241</v>
      </c>
      <c r="M213" s="167" t="str">
        <f t="shared" si="0"/>
        <v>OK</v>
      </c>
    </row>
    <row r="214" spans="2:13" ht="12.75" hidden="1">
      <c r="B214" s="86">
        <v>1241</v>
      </c>
      <c r="C214" s="86">
        <v>213</v>
      </c>
      <c r="D214" s="86" t="s">
        <v>9594</v>
      </c>
      <c r="E214" s="86" t="s">
        <v>3741</v>
      </c>
      <c r="F214" s="86" t="s">
        <v>35</v>
      </c>
      <c r="G214" s="86">
        <v>27</v>
      </c>
      <c r="H214" s="86" t="s">
        <v>1665</v>
      </c>
      <c r="I214" s="86">
        <v>41</v>
      </c>
      <c r="J214" s="86" t="s">
        <v>10174</v>
      </c>
      <c r="K214" s="86">
        <v>518508</v>
      </c>
      <c r="M214" s="167" t="str">
        <f t="shared" si="0"/>
        <v>OK</v>
      </c>
    </row>
    <row r="215" spans="2:13" ht="12.75" hidden="1">
      <c r="B215" s="86">
        <v>1241</v>
      </c>
      <c r="C215" s="86">
        <v>214</v>
      </c>
      <c r="D215" s="86" t="s">
        <v>9586</v>
      </c>
      <c r="E215" s="86" t="s">
        <v>3748</v>
      </c>
      <c r="F215" s="86" t="s">
        <v>35</v>
      </c>
      <c r="G215" s="86">
        <v>27</v>
      </c>
      <c r="H215" s="86" t="s">
        <v>1665</v>
      </c>
      <c r="I215" s="86">
        <v>41</v>
      </c>
      <c r="J215" s="86" t="s">
        <v>10175</v>
      </c>
      <c r="K215" s="8">
        <v>515290</v>
      </c>
      <c r="M215" s="167" t="str">
        <f t="shared" si="0"/>
        <v>OK</v>
      </c>
    </row>
    <row r="216" spans="2:13" ht="12.75" hidden="1">
      <c r="B216" s="86">
        <v>1241</v>
      </c>
      <c r="C216" s="86">
        <v>215</v>
      </c>
      <c r="D216" s="86" t="s">
        <v>9576</v>
      </c>
      <c r="E216" s="86" t="s">
        <v>3846</v>
      </c>
      <c r="F216" s="86" t="s">
        <v>35</v>
      </c>
      <c r="G216" s="86">
        <v>27</v>
      </c>
      <c r="H216" s="86" t="s">
        <v>1665</v>
      </c>
      <c r="I216" s="86">
        <v>41</v>
      </c>
      <c r="J216" s="86" t="s">
        <v>2677</v>
      </c>
      <c r="K216" s="8">
        <v>517124</v>
      </c>
      <c r="M216" s="167" t="str">
        <f t="shared" si="0"/>
        <v>OK</v>
      </c>
    </row>
    <row r="217" spans="2:13" ht="12.75" hidden="1">
      <c r="B217" s="86">
        <v>1241</v>
      </c>
      <c r="C217" s="86">
        <v>216</v>
      </c>
      <c r="D217" s="86" t="s">
        <v>10097</v>
      </c>
      <c r="E217" s="86" t="s">
        <v>3764</v>
      </c>
      <c r="F217" s="86" t="s">
        <v>35</v>
      </c>
      <c r="G217" s="86">
        <v>27</v>
      </c>
      <c r="H217" s="86" t="s">
        <v>1665</v>
      </c>
      <c r="I217" s="86">
        <v>41</v>
      </c>
      <c r="J217" s="86" t="s">
        <v>117</v>
      </c>
      <c r="K217" s="8">
        <v>583443</v>
      </c>
      <c r="M217" s="167" t="str">
        <f t="shared" si="0"/>
        <v>OK</v>
      </c>
    </row>
    <row r="218" spans="2:13" ht="12.75" hidden="1">
      <c r="B218" s="86">
        <v>1241</v>
      </c>
      <c r="C218" s="86">
        <v>217</v>
      </c>
      <c r="D218" s="86" t="s">
        <v>9569</v>
      </c>
      <c r="E218" s="86" t="s">
        <v>3796</v>
      </c>
      <c r="F218" s="86" t="s">
        <v>205</v>
      </c>
      <c r="G218" s="86">
        <v>27</v>
      </c>
      <c r="H218" s="86" t="s">
        <v>1665</v>
      </c>
      <c r="I218" s="86">
        <v>41</v>
      </c>
      <c r="J218" s="86" t="s">
        <v>1394</v>
      </c>
      <c r="K218" s="8">
        <v>649736</v>
      </c>
      <c r="M218" s="167" t="str">
        <f t="shared" si="0"/>
        <v>OK</v>
      </c>
    </row>
    <row r="219" spans="2:13" ht="12.75" hidden="1">
      <c r="B219" s="86">
        <v>1241</v>
      </c>
      <c r="C219" s="86">
        <v>218</v>
      </c>
      <c r="D219" s="86" t="s">
        <v>9580</v>
      </c>
      <c r="E219" s="86" t="s">
        <v>3804</v>
      </c>
      <c r="F219" s="86" t="s">
        <v>1220</v>
      </c>
      <c r="G219" s="86">
        <v>27</v>
      </c>
      <c r="H219" s="86" t="s">
        <v>1665</v>
      </c>
      <c r="I219" s="86">
        <v>41</v>
      </c>
      <c r="J219" s="86" t="s">
        <v>10146</v>
      </c>
      <c r="K219" s="8">
        <v>530719</v>
      </c>
      <c r="M219" s="167" t="str">
        <f t="shared" si="0"/>
        <v>OK</v>
      </c>
    </row>
    <row r="220" spans="2:13" ht="12.75" hidden="1">
      <c r="B220" s="86">
        <v>1241</v>
      </c>
      <c r="C220" s="86">
        <v>219</v>
      </c>
      <c r="D220" s="86" t="s">
        <v>9586</v>
      </c>
      <c r="E220" s="86" t="s">
        <v>3770</v>
      </c>
      <c r="F220" s="86" t="s">
        <v>35</v>
      </c>
      <c r="G220" s="86">
        <v>27</v>
      </c>
      <c r="H220" s="86" t="s">
        <v>1665</v>
      </c>
      <c r="I220" s="86">
        <v>41</v>
      </c>
      <c r="J220" s="86" t="s">
        <v>278</v>
      </c>
      <c r="K220" s="86">
        <v>566422</v>
      </c>
      <c r="M220" s="167" t="str">
        <f t="shared" si="0"/>
        <v>OK</v>
      </c>
    </row>
    <row r="221" spans="2:13" ht="12.75" hidden="1">
      <c r="B221" s="86">
        <v>1241</v>
      </c>
      <c r="C221" s="86">
        <v>220</v>
      </c>
      <c r="D221" s="86" t="s">
        <v>10113</v>
      </c>
      <c r="E221" s="86" t="s">
        <v>3790</v>
      </c>
      <c r="F221" s="86" t="s">
        <v>35</v>
      </c>
      <c r="G221" s="86">
        <v>27</v>
      </c>
      <c r="H221" s="86" t="s">
        <v>1665</v>
      </c>
      <c r="I221" s="86">
        <v>41</v>
      </c>
      <c r="J221" s="86" t="s">
        <v>10157</v>
      </c>
      <c r="K221" s="8">
        <v>649734</v>
      </c>
      <c r="M221" s="167" t="str">
        <f t="shared" si="0"/>
        <v>OK</v>
      </c>
    </row>
    <row r="222" spans="2:13" ht="12.75" hidden="1">
      <c r="B222" s="86">
        <v>1246</v>
      </c>
      <c r="C222" s="86">
        <v>221</v>
      </c>
      <c r="D222" s="86" t="s">
        <v>9568</v>
      </c>
      <c r="E222" s="86" t="s">
        <v>3776</v>
      </c>
      <c r="F222" s="86" t="s">
        <v>978</v>
      </c>
      <c r="G222" s="86">
        <v>27</v>
      </c>
      <c r="H222" s="86" t="s">
        <v>1665</v>
      </c>
      <c r="I222" s="86">
        <v>41</v>
      </c>
      <c r="J222" s="86" t="s">
        <v>248</v>
      </c>
      <c r="K222" s="8">
        <v>649436</v>
      </c>
      <c r="M222" s="167" t="str">
        <f t="shared" si="0"/>
        <v>OK</v>
      </c>
    </row>
    <row r="223" spans="2:13" ht="12.75" hidden="1">
      <c r="B223" s="86">
        <v>1246</v>
      </c>
      <c r="C223" s="86">
        <v>222</v>
      </c>
      <c r="D223" s="86" t="s">
        <v>9574</v>
      </c>
      <c r="E223" s="86" t="s">
        <v>3755</v>
      </c>
      <c r="F223" s="86" t="s">
        <v>406</v>
      </c>
      <c r="G223" s="86">
        <v>27</v>
      </c>
      <c r="H223" s="86" t="s">
        <v>1665</v>
      </c>
      <c r="I223" s="86">
        <v>41</v>
      </c>
      <c r="J223" s="86" t="s">
        <v>3751</v>
      </c>
      <c r="K223" s="8">
        <v>649358</v>
      </c>
      <c r="M223" s="167" t="str">
        <f t="shared" si="0"/>
        <v>OK</v>
      </c>
    </row>
    <row r="224" spans="2:13" ht="12.75" hidden="1">
      <c r="B224" s="86">
        <v>1241</v>
      </c>
      <c r="C224" s="86">
        <v>223</v>
      </c>
      <c r="D224" s="86" t="s">
        <v>10097</v>
      </c>
      <c r="E224" s="86" t="s">
        <v>3194</v>
      </c>
      <c r="F224" s="86" t="s">
        <v>35</v>
      </c>
      <c r="G224" s="86">
        <v>63</v>
      </c>
      <c r="H224" s="86" t="s">
        <v>10176</v>
      </c>
      <c r="I224" s="86">
        <v>17</v>
      </c>
      <c r="J224" s="86" t="s">
        <v>117</v>
      </c>
      <c r="K224" s="8">
        <v>699700</v>
      </c>
      <c r="M224" s="167" t="str">
        <f t="shared" si="0"/>
        <v>OK</v>
      </c>
    </row>
    <row r="225" spans="2:13" ht="12.75" hidden="1">
      <c r="B225" s="86">
        <v>1241</v>
      </c>
      <c r="C225" s="86">
        <v>224</v>
      </c>
      <c r="D225" s="86" t="s">
        <v>9586</v>
      </c>
      <c r="E225" s="86" t="s">
        <v>3213</v>
      </c>
      <c r="F225" s="86" t="s">
        <v>35</v>
      </c>
      <c r="G225" s="86">
        <v>63</v>
      </c>
      <c r="H225" s="86" t="s">
        <v>10176</v>
      </c>
      <c r="I225" s="86">
        <v>17</v>
      </c>
      <c r="J225" s="86" t="s">
        <v>278</v>
      </c>
      <c r="K225" s="86">
        <v>566421</v>
      </c>
      <c r="M225" s="167" t="str">
        <f t="shared" si="0"/>
        <v>OK</v>
      </c>
    </row>
    <row r="226" spans="2:13" ht="12.75" hidden="1">
      <c r="B226" s="86">
        <v>1241</v>
      </c>
      <c r="C226" s="86">
        <v>225</v>
      </c>
      <c r="D226" s="86" t="s">
        <v>9569</v>
      </c>
      <c r="E226" s="86" t="s">
        <v>3200</v>
      </c>
      <c r="F226" s="86" t="s">
        <v>205</v>
      </c>
      <c r="G226" s="86">
        <v>63</v>
      </c>
      <c r="H226" s="86" t="s">
        <v>10176</v>
      </c>
      <c r="I226" s="86">
        <v>17</v>
      </c>
      <c r="J226" s="86" t="s">
        <v>1394</v>
      </c>
      <c r="K226" s="8">
        <v>649699</v>
      </c>
      <c r="M226" s="167" t="str">
        <f t="shared" si="0"/>
        <v>OK</v>
      </c>
    </row>
    <row r="227" spans="2:13" ht="12.75" hidden="1">
      <c r="B227" s="86">
        <v>1246</v>
      </c>
      <c r="C227" s="86">
        <v>226</v>
      </c>
      <c r="D227" s="86" t="s">
        <v>9568</v>
      </c>
      <c r="E227" s="86" t="s">
        <v>3207</v>
      </c>
      <c r="F227" s="86" t="s">
        <v>978</v>
      </c>
      <c r="G227" s="86">
        <v>63</v>
      </c>
      <c r="H227" s="86" t="s">
        <v>10176</v>
      </c>
      <c r="I227" s="86">
        <v>17</v>
      </c>
      <c r="J227" s="86" t="s">
        <v>248</v>
      </c>
      <c r="K227" s="8">
        <v>649433</v>
      </c>
      <c r="M227" s="167" t="str">
        <f t="shared" si="0"/>
        <v>OK</v>
      </c>
    </row>
    <row r="228" spans="2:13" ht="12.75" hidden="1">
      <c r="B228" s="86">
        <v>1241</v>
      </c>
      <c r="C228" s="86">
        <v>227</v>
      </c>
      <c r="D228" s="86" t="s">
        <v>9580</v>
      </c>
      <c r="E228" s="86" t="s">
        <v>3219</v>
      </c>
      <c r="F228" s="86" t="s">
        <v>1220</v>
      </c>
      <c r="G228" s="86">
        <v>63</v>
      </c>
      <c r="H228" s="86" t="s">
        <v>10176</v>
      </c>
      <c r="I228" s="86">
        <v>17</v>
      </c>
      <c r="J228" s="86" t="s">
        <v>10146</v>
      </c>
      <c r="K228" s="8">
        <v>539110</v>
      </c>
      <c r="M228" s="167" t="str">
        <f t="shared" si="0"/>
        <v>OK</v>
      </c>
    </row>
    <row r="229" spans="2:13" ht="12.75" hidden="1">
      <c r="B229" s="86">
        <v>1241</v>
      </c>
      <c r="C229" s="86">
        <v>228</v>
      </c>
      <c r="D229" s="86" t="s">
        <v>9586</v>
      </c>
      <c r="E229" s="86" t="s">
        <v>3188</v>
      </c>
      <c r="F229" s="86" t="s">
        <v>35</v>
      </c>
      <c r="G229" s="86">
        <v>63</v>
      </c>
      <c r="H229" s="86" t="s">
        <v>10176</v>
      </c>
      <c r="I229" s="86">
        <v>17</v>
      </c>
      <c r="J229" s="86" t="s">
        <v>5332</v>
      </c>
      <c r="K229" s="8">
        <v>564790</v>
      </c>
      <c r="M229" s="167" t="str">
        <f t="shared" si="0"/>
        <v>OK</v>
      </c>
    </row>
    <row r="230" spans="2:13" ht="12.75" hidden="1">
      <c r="B230" s="86">
        <v>1241</v>
      </c>
      <c r="C230" s="86">
        <v>229</v>
      </c>
      <c r="D230" s="86" t="s">
        <v>10097</v>
      </c>
      <c r="E230" s="86" t="s">
        <v>3532</v>
      </c>
      <c r="F230" s="86" t="s">
        <v>35</v>
      </c>
      <c r="G230" s="86">
        <v>27</v>
      </c>
      <c r="H230" s="86" t="s">
        <v>10177</v>
      </c>
      <c r="I230" s="86">
        <v>27</v>
      </c>
      <c r="J230" s="86" t="s">
        <v>117</v>
      </c>
      <c r="K230" s="8">
        <v>583442</v>
      </c>
      <c r="M230" s="167" t="str">
        <f t="shared" si="0"/>
        <v>OK</v>
      </c>
    </row>
    <row r="231" spans="2:13" ht="12.75" hidden="1">
      <c r="B231" s="86">
        <v>1241</v>
      </c>
      <c r="C231" s="86">
        <v>230</v>
      </c>
      <c r="D231" s="86" t="s">
        <v>10097</v>
      </c>
      <c r="E231" s="86" t="s">
        <v>3525</v>
      </c>
      <c r="F231" s="86" t="s">
        <v>35</v>
      </c>
      <c r="G231" s="86">
        <v>27</v>
      </c>
      <c r="H231" s="86" t="s">
        <v>10177</v>
      </c>
      <c r="I231" s="86">
        <v>27</v>
      </c>
      <c r="J231" s="86" t="s">
        <v>1510</v>
      </c>
      <c r="K231" s="8">
        <v>649737</v>
      </c>
      <c r="M231" s="167" t="str">
        <f t="shared" si="0"/>
        <v>OK</v>
      </c>
    </row>
    <row r="232" spans="2:13" ht="12.75" hidden="1">
      <c r="B232" s="86">
        <v>1241</v>
      </c>
      <c r="C232" s="86">
        <v>231</v>
      </c>
      <c r="D232" s="86" t="s">
        <v>10113</v>
      </c>
      <c r="E232" s="86" t="s">
        <v>3501</v>
      </c>
      <c r="F232" s="86" t="s">
        <v>35</v>
      </c>
      <c r="G232" s="86">
        <v>27</v>
      </c>
      <c r="H232" s="86" t="s">
        <v>10177</v>
      </c>
      <c r="I232" s="86">
        <v>27</v>
      </c>
      <c r="J232" s="86" t="s">
        <v>10157</v>
      </c>
      <c r="K232" s="8">
        <v>651106</v>
      </c>
      <c r="M232" s="167" t="str">
        <f t="shared" si="0"/>
        <v>OK</v>
      </c>
    </row>
    <row r="233" spans="2:13" ht="12.75" hidden="1">
      <c r="B233" s="86">
        <v>1241</v>
      </c>
      <c r="C233" s="86">
        <v>232</v>
      </c>
      <c r="D233" s="86" t="s">
        <v>9586</v>
      </c>
      <c r="E233" s="86" t="s">
        <v>3575</v>
      </c>
      <c r="F233" s="86" t="s">
        <v>35</v>
      </c>
      <c r="G233" s="86">
        <v>27</v>
      </c>
      <c r="H233" s="86" t="s">
        <v>10177</v>
      </c>
      <c r="I233" s="86">
        <v>27</v>
      </c>
      <c r="J233" s="86" t="s">
        <v>278</v>
      </c>
      <c r="K233" s="86">
        <v>564635</v>
      </c>
      <c r="M233" s="167" t="str">
        <f t="shared" si="0"/>
        <v>OK</v>
      </c>
    </row>
    <row r="234" spans="2:13" ht="12.75" hidden="1">
      <c r="B234" s="86">
        <v>1246</v>
      </c>
      <c r="C234" s="86">
        <v>233</v>
      </c>
      <c r="D234" s="86" t="s">
        <v>9574</v>
      </c>
      <c r="E234" s="86" t="s">
        <v>3824</v>
      </c>
      <c r="F234" s="86" t="s">
        <v>406</v>
      </c>
      <c r="G234" s="86">
        <v>27</v>
      </c>
      <c r="H234" s="86" t="s">
        <v>10177</v>
      </c>
      <c r="I234" s="86">
        <v>27</v>
      </c>
      <c r="J234" s="86" t="s">
        <v>1492</v>
      </c>
      <c r="K234" s="8">
        <v>649370</v>
      </c>
      <c r="M234" s="167" t="str">
        <f t="shared" si="0"/>
        <v>OK</v>
      </c>
    </row>
    <row r="235" spans="2:13" ht="12.75" hidden="1">
      <c r="B235" s="86">
        <v>1246</v>
      </c>
      <c r="C235" s="86">
        <v>234</v>
      </c>
      <c r="D235" s="86" t="s">
        <v>9574</v>
      </c>
      <c r="E235" s="86" t="s">
        <v>3818</v>
      </c>
      <c r="F235" s="86" t="s">
        <v>406</v>
      </c>
      <c r="G235" s="86">
        <v>27</v>
      </c>
      <c r="H235" s="86" t="s">
        <v>10177</v>
      </c>
      <c r="I235" s="86">
        <v>27</v>
      </c>
      <c r="J235" s="86" t="s">
        <v>1492</v>
      </c>
      <c r="K235" s="8">
        <v>649369</v>
      </c>
      <c r="M235" s="167" t="str">
        <f t="shared" si="0"/>
        <v>OK</v>
      </c>
    </row>
    <row r="236" spans="2:13" ht="12.75" hidden="1">
      <c r="B236" s="86">
        <v>1246</v>
      </c>
      <c r="C236" s="86">
        <v>235</v>
      </c>
      <c r="D236" s="86" t="s">
        <v>9574</v>
      </c>
      <c r="E236" s="86" t="s">
        <v>3463</v>
      </c>
      <c r="F236" s="86" t="s">
        <v>406</v>
      </c>
      <c r="G236" s="86">
        <v>27</v>
      </c>
      <c r="H236" s="86" t="s">
        <v>10177</v>
      </c>
      <c r="I236" s="86">
        <v>27</v>
      </c>
      <c r="J236" s="86" t="s">
        <v>1492</v>
      </c>
      <c r="K236" s="8">
        <v>649368</v>
      </c>
      <c r="M236" s="167" t="str">
        <f t="shared" si="0"/>
        <v>OK</v>
      </c>
    </row>
    <row r="237" spans="2:13" ht="12.75" hidden="1">
      <c r="B237" s="86">
        <v>1241</v>
      </c>
      <c r="C237" s="86">
        <v>236</v>
      </c>
      <c r="D237" s="86" t="s">
        <v>10113</v>
      </c>
      <c r="E237" s="86" t="s">
        <v>3784</v>
      </c>
      <c r="F237" s="86" t="s">
        <v>35</v>
      </c>
      <c r="G237" s="86">
        <v>27</v>
      </c>
      <c r="H237" s="86" t="s">
        <v>10177</v>
      </c>
      <c r="I237" s="86">
        <v>27</v>
      </c>
      <c r="J237" s="86" t="s">
        <v>10157</v>
      </c>
      <c r="K237" s="8">
        <v>651105</v>
      </c>
      <c r="M237" s="167" t="str">
        <f t="shared" si="0"/>
        <v>OK</v>
      </c>
    </row>
    <row r="238" spans="2:13" ht="12.75" hidden="1">
      <c r="B238" s="86">
        <v>1241</v>
      </c>
      <c r="C238" s="86">
        <v>237</v>
      </c>
      <c r="D238" s="86" t="s">
        <v>10113</v>
      </c>
      <c r="E238" s="86" t="s">
        <v>3495</v>
      </c>
      <c r="F238" s="86" t="s">
        <v>35</v>
      </c>
      <c r="G238" s="86">
        <v>27</v>
      </c>
      <c r="H238" s="86" t="s">
        <v>10177</v>
      </c>
      <c r="I238" s="86">
        <v>27</v>
      </c>
      <c r="J238" s="86" t="s">
        <v>10157</v>
      </c>
      <c r="K238" s="8">
        <v>649730</v>
      </c>
      <c r="M238" s="167" t="str">
        <f t="shared" si="0"/>
        <v>OK</v>
      </c>
    </row>
    <row r="239" spans="2:13" ht="12.75" hidden="1">
      <c r="B239" s="86">
        <v>1241</v>
      </c>
      <c r="C239" s="86">
        <v>238</v>
      </c>
      <c r="D239" s="86" t="s">
        <v>10113</v>
      </c>
      <c r="E239" s="86" t="s">
        <v>3490</v>
      </c>
      <c r="F239" s="86" t="s">
        <v>35</v>
      </c>
      <c r="G239" s="86">
        <v>27</v>
      </c>
      <c r="H239" s="86" t="s">
        <v>10177</v>
      </c>
      <c r="I239" s="86">
        <v>27</v>
      </c>
      <c r="J239" s="86" t="s">
        <v>10157</v>
      </c>
      <c r="K239" s="8">
        <v>649729</v>
      </c>
      <c r="M239" s="167" t="str">
        <f t="shared" si="0"/>
        <v>OK</v>
      </c>
    </row>
    <row r="240" spans="2:13" ht="12.75" hidden="1">
      <c r="B240" s="86">
        <v>1241</v>
      </c>
      <c r="C240" s="86">
        <v>239</v>
      </c>
      <c r="D240" s="86" t="s">
        <v>10113</v>
      </c>
      <c r="E240" s="86" t="s">
        <v>3507</v>
      </c>
      <c r="F240" s="86" t="s">
        <v>35</v>
      </c>
      <c r="G240" s="86">
        <v>27</v>
      </c>
      <c r="H240" s="86" t="s">
        <v>10177</v>
      </c>
      <c r="I240" s="86">
        <v>27</v>
      </c>
      <c r="J240" s="86" t="s">
        <v>10157</v>
      </c>
      <c r="K240" s="8">
        <v>649728</v>
      </c>
      <c r="M240" s="167" t="str">
        <f t="shared" si="0"/>
        <v>OK</v>
      </c>
    </row>
    <row r="241" spans="2:13" ht="12.75" hidden="1">
      <c r="B241" s="86">
        <v>1241</v>
      </c>
      <c r="C241" s="86">
        <v>240</v>
      </c>
      <c r="D241" s="86" t="s">
        <v>10113</v>
      </c>
      <c r="E241" s="86" t="s">
        <v>3484</v>
      </c>
      <c r="F241" s="86" t="s">
        <v>35</v>
      </c>
      <c r="G241" s="86">
        <v>27</v>
      </c>
      <c r="H241" s="86" t="s">
        <v>10177</v>
      </c>
      <c r="I241" s="86">
        <v>27</v>
      </c>
      <c r="J241" s="86" t="s">
        <v>10157</v>
      </c>
      <c r="K241" s="8">
        <v>649727</v>
      </c>
      <c r="M241" s="167" t="str">
        <f t="shared" si="0"/>
        <v>OK</v>
      </c>
    </row>
    <row r="242" spans="2:13" ht="12.75" hidden="1">
      <c r="B242" s="86">
        <v>1241</v>
      </c>
      <c r="C242" s="86">
        <v>241</v>
      </c>
      <c r="D242" s="86" t="s">
        <v>9576</v>
      </c>
      <c r="E242" s="86" t="s">
        <v>3477</v>
      </c>
      <c r="F242" s="86" t="s">
        <v>35</v>
      </c>
      <c r="G242" s="86">
        <v>27</v>
      </c>
      <c r="H242" s="86" t="s">
        <v>10177</v>
      </c>
      <c r="I242" s="86">
        <v>27</v>
      </c>
      <c r="J242" s="86" t="s">
        <v>10178</v>
      </c>
      <c r="K242" s="8">
        <v>649726</v>
      </c>
      <c r="M242" s="167" t="str">
        <f t="shared" si="0"/>
        <v>OK</v>
      </c>
    </row>
    <row r="243" spans="2:13" ht="12.75" hidden="1">
      <c r="B243" s="86">
        <v>1241</v>
      </c>
      <c r="C243" s="86">
        <v>242</v>
      </c>
      <c r="D243" s="86" t="s">
        <v>9586</v>
      </c>
      <c r="E243" s="86" t="s">
        <v>3470</v>
      </c>
      <c r="F243" s="86" t="s">
        <v>35</v>
      </c>
      <c r="G243" s="86">
        <v>27</v>
      </c>
      <c r="H243" s="86" t="s">
        <v>10177</v>
      </c>
      <c r="I243" s="86">
        <v>27</v>
      </c>
      <c r="J243" s="86" t="s">
        <v>10179</v>
      </c>
      <c r="K243" s="8">
        <v>564679</v>
      </c>
      <c r="M243" s="167" t="str">
        <f t="shared" si="0"/>
        <v>OK</v>
      </c>
    </row>
    <row r="244" spans="2:13" ht="12.75" hidden="1">
      <c r="B244" s="86">
        <v>1241</v>
      </c>
      <c r="C244" s="86">
        <v>243</v>
      </c>
      <c r="D244" s="86" t="s">
        <v>9603</v>
      </c>
      <c r="E244" s="86" t="s">
        <v>3448</v>
      </c>
      <c r="F244" s="86" t="s">
        <v>35</v>
      </c>
      <c r="G244" s="86">
        <v>27</v>
      </c>
      <c r="H244" s="86" t="s">
        <v>10177</v>
      </c>
      <c r="I244" s="86">
        <v>27</v>
      </c>
      <c r="J244" s="86" t="s">
        <v>10148</v>
      </c>
      <c r="K244" s="8">
        <v>518514</v>
      </c>
      <c r="M244" s="167" t="str">
        <f t="shared" si="0"/>
        <v>OK</v>
      </c>
    </row>
    <row r="245" spans="2:13" ht="12.75" hidden="1">
      <c r="B245" s="86">
        <v>1246</v>
      </c>
      <c r="C245" s="86">
        <v>244</v>
      </c>
      <c r="D245" s="86" t="s">
        <v>9568</v>
      </c>
      <c r="E245" s="86" t="s">
        <v>3456</v>
      </c>
      <c r="F245" s="86" t="s">
        <v>35</v>
      </c>
      <c r="G245" s="86">
        <v>27</v>
      </c>
      <c r="H245" s="86" t="s">
        <v>10177</v>
      </c>
      <c r="I245" s="86">
        <v>27</v>
      </c>
      <c r="J245" s="86" t="s">
        <v>249</v>
      </c>
      <c r="K245" s="8">
        <v>539084</v>
      </c>
      <c r="M245" s="167" t="str">
        <f t="shared" si="0"/>
        <v>OK</v>
      </c>
    </row>
    <row r="246" spans="2:13" ht="12.75" hidden="1">
      <c r="B246" s="86">
        <v>1241</v>
      </c>
      <c r="C246" s="86">
        <v>245</v>
      </c>
      <c r="D246" s="86" t="s">
        <v>9580</v>
      </c>
      <c r="E246" s="86" t="s">
        <v>1539</v>
      </c>
      <c r="F246" s="86" t="s">
        <v>719</v>
      </c>
      <c r="G246" s="86">
        <v>44</v>
      </c>
      <c r="H246" s="86" t="s">
        <v>10180</v>
      </c>
      <c r="I246" s="86">
        <v>1</v>
      </c>
      <c r="J246" s="86" t="s">
        <v>9581</v>
      </c>
      <c r="K246" s="8">
        <v>522226</v>
      </c>
      <c r="M246" s="167" t="str">
        <f t="shared" si="0"/>
        <v>OK</v>
      </c>
    </row>
    <row r="247" spans="2:13" ht="12.75" hidden="1">
      <c r="B247" s="86">
        <v>1241</v>
      </c>
      <c r="C247" s="86">
        <v>246</v>
      </c>
      <c r="D247" s="86" t="s">
        <v>9585</v>
      </c>
      <c r="E247" s="86" t="s">
        <v>3567</v>
      </c>
      <c r="F247" s="86" t="s">
        <v>35</v>
      </c>
      <c r="G247" s="86">
        <v>27</v>
      </c>
      <c r="H247" s="86" t="s">
        <v>10177</v>
      </c>
      <c r="I247" s="86">
        <v>27</v>
      </c>
      <c r="J247" s="86" t="s">
        <v>6239</v>
      </c>
      <c r="K247" s="8">
        <v>519351</v>
      </c>
      <c r="M247" s="167" t="str">
        <f t="shared" si="0"/>
        <v>OK</v>
      </c>
    </row>
    <row r="248" spans="2:13" ht="12.75" hidden="1">
      <c r="B248" s="86">
        <v>1241</v>
      </c>
      <c r="C248" s="86">
        <v>247</v>
      </c>
      <c r="D248" s="86" t="s">
        <v>9569</v>
      </c>
      <c r="E248" s="86" t="s">
        <v>1531</v>
      </c>
      <c r="F248" s="86" t="s">
        <v>205</v>
      </c>
      <c r="G248" s="86">
        <v>44</v>
      </c>
      <c r="H248" s="86" t="s">
        <v>10180</v>
      </c>
      <c r="I248" s="86">
        <v>1</v>
      </c>
      <c r="J248" s="86" t="s">
        <v>1394</v>
      </c>
      <c r="K248" s="8">
        <v>535446</v>
      </c>
      <c r="M248" s="167" t="str">
        <f t="shared" si="0"/>
        <v>OK</v>
      </c>
    </row>
    <row r="249" spans="2:13" ht="12.75" hidden="1">
      <c r="B249" s="86">
        <v>1241</v>
      </c>
      <c r="C249" s="86">
        <v>248</v>
      </c>
      <c r="D249" s="86" t="s">
        <v>9586</v>
      </c>
      <c r="E249" s="86" t="s">
        <v>3545</v>
      </c>
      <c r="F249" s="86" t="s">
        <v>35</v>
      </c>
      <c r="G249" s="86">
        <v>27</v>
      </c>
      <c r="H249" s="86" t="s">
        <v>10177</v>
      </c>
      <c r="I249" s="86">
        <v>27</v>
      </c>
      <c r="J249" s="86" t="s">
        <v>278</v>
      </c>
      <c r="K249" s="8">
        <v>564633</v>
      </c>
      <c r="M249" s="167" t="str">
        <f t="shared" si="0"/>
        <v>OK</v>
      </c>
    </row>
    <row r="250" spans="2:13" ht="12.75" hidden="1">
      <c r="B250" s="86">
        <v>1241</v>
      </c>
      <c r="C250" s="86">
        <v>249</v>
      </c>
      <c r="D250" s="86" t="s">
        <v>9576</v>
      </c>
      <c r="E250" s="86" t="s">
        <v>3539</v>
      </c>
      <c r="F250" s="86" t="s">
        <v>35</v>
      </c>
      <c r="G250" s="86">
        <v>27</v>
      </c>
      <c r="H250" s="86" t="s">
        <v>10177</v>
      </c>
      <c r="I250" s="86">
        <v>27</v>
      </c>
      <c r="J250" s="86" t="s">
        <v>10181</v>
      </c>
      <c r="K250" s="8">
        <v>649731</v>
      </c>
      <c r="M250" s="167" t="str">
        <f t="shared" si="0"/>
        <v>OK</v>
      </c>
    </row>
    <row r="251" spans="2:13" ht="12.75" hidden="1">
      <c r="B251" s="86">
        <v>1241</v>
      </c>
      <c r="C251" s="86">
        <v>250</v>
      </c>
      <c r="D251" s="86" t="s">
        <v>9571</v>
      </c>
      <c r="E251" s="86" t="s">
        <v>3518</v>
      </c>
      <c r="F251" s="86" t="s">
        <v>35</v>
      </c>
      <c r="G251" s="86">
        <v>27</v>
      </c>
      <c r="H251" s="86" t="s">
        <v>10177</v>
      </c>
      <c r="I251" s="86">
        <v>27</v>
      </c>
      <c r="J251" s="86" t="s">
        <v>1166</v>
      </c>
      <c r="K251" s="8">
        <v>649738</v>
      </c>
      <c r="M251" s="167" t="str">
        <f t="shared" si="0"/>
        <v>OK</v>
      </c>
    </row>
    <row r="252" spans="2:13" ht="12.75" hidden="1">
      <c r="B252" s="86">
        <v>1241</v>
      </c>
      <c r="C252" s="86">
        <v>251</v>
      </c>
      <c r="D252" s="86" t="s">
        <v>10097</v>
      </c>
      <c r="E252" s="86" t="s">
        <v>3838</v>
      </c>
      <c r="F252" s="86" t="s">
        <v>35</v>
      </c>
      <c r="G252" s="86">
        <v>27</v>
      </c>
      <c r="H252" s="86" t="s">
        <v>10177</v>
      </c>
      <c r="I252" s="86">
        <v>27</v>
      </c>
      <c r="J252" s="86" t="s">
        <v>10182</v>
      </c>
      <c r="K252" s="8">
        <v>651107</v>
      </c>
      <c r="M252" s="167" t="str">
        <f t="shared" si="0"/>
        <v>OK</v>
      </c>
    </row>
    <row r="253" spans="2:13" ht="12.75" hidden="1">
      <c r="B253" s="86">
        <v>1241</v>
      </c>
      <c r="C253" s="86">
        <v>252</v>
      </c>
      <c r="D253" s="86" t="s">
        <v>9565</v>
      </c>
      <c r="E253" s="86" t="s">
        <v>3559</v>
      </c>
      <c r="F253" s="86" t="s">
        <v>35</v>
      </c>
      <c r="G253" s="86">
        <v>27</v>
      </c>
      <c r="H253" s="86" t="s">
        <v>10177</v>
      </c>
      <c r="I253" s="86">
        <v>27</v>
      </c>
      <c r="J253" s="86" t="s">
        <v>285</v>
      </c>
      <c r="K253" s="8">
        <v>649717</v>
      </c>
      <c r="M253" s="167" t="str">
        <f t="shared" si="0"/>
        <v>OK</v>
      </c>
    </row>
    <row r="254" spans="2:13" ht="12.75" hidden="1">
      <c r="B254" s="86">
        <v>1242</v>
      </c>
      <c r="C254" s="86">
        <v>253</v>
      </c>
      <c r="D254" s="86" t="s">
        <v>10121</v>
      </c>
      <c r="E254" s="86" t="s">
        <v>3593</v>
      </c>
      <c r="F254" s="86" t="s">
        <v>35</v>
      </c>
      <c r="G254" s="86">
        <v>27</v>
      </c>
      <c r="H254" s="86" t="s">
        <v>10177</v>
      </c>
      <c r="I254" s="86">
        <v>27</v>
      </c>
      <c r="J254" s="86" t="s">
        <v>10183</v>
      </c>
      <c r="K254" s="8">
        <v>649718</v>
      </c>
      <c r="M254" s="167" t="str">
        <f t="shared" si="0"/>
        <v>OK</v>
      </c>
    </row>
    <row r="255" spans="2:13" ht="12.75" hidden="1">
      <c r="B255" s="86">
        <v>1241</v>
      </c>
      <c r="C255" s="86">
        <v>254</v>
      </c>
      <c r="D255" s="86" t="s">
        <v>9586</v>
      </c>
      <c r="E255" s="86" t="s">
        <v>3600</v>
      </c>
      <c r="F255" s="86" t="s">
        <v>35</v>
      </c>
      <c r="G255" s="86">
        <v>27</v>
      </c>
      <c r="H255" s="86" t="s">
        <v>10177</v>
      </c>
      <c r="I255" s="86">
        <v>27</v>
      </c>
      <c r="J255" s="86" t="s">
        <v>10184</v>
      </c>
      <c r="K255" s="8">
        <v>564807</v>
      </c>
      <c r="M255" s="167" t="str">
        <f t="shared" si="0"/>
        <v>OK</v>
      </c>
    </row>
    <row r="256" spans="2:13" ht="12.75" hidden="1">
      <c r="B256" s="86">
        <v>1241</v>
      </c>
      <c r="C256" s="86">
        <v>255</v>
      </c>
      <c r="D256" s="86" t="s">
        <v>9571</v>
      </c>
      <c r="E256" s="86" t="s">
        <v>3607</v>
      </c>
      <c r="F256" s="86" t="s">
        <v>35</v>
      </c>
      <c r="G256" s="86">
        <v>27</v>
      </c>
      <c r="H256" s="86" t="s">
        <v>10177</v>
      </c>
      <c r="I256" s="86">
        <v>27</v>
      </c>
      <c r="J256" s="86" t="s">
        <v>1166</v>
      </c>
      <c r="K256" s="8">
        <v>649732</v>
      </c>
      <c r="M256" s="167" t="str">
        <f t="shared" si="0"/>
        <v>OK</v>
      </c>
    </row>
    <row r="257" spans="2:13" ht="12.75" hidden="1">
      <c r="B257" s="86">
        <v>1241</v>
      </c>
      <c r="C257" s="86">
        <v>256</v>
      </c>
      <c r="D257" s="86" t="s">
        <v>10113</v>
      </c>
      <c r="E257" s="86" t="s">
        <v>3614</v>
      </c>
      <c r="F257" s="86" t="s">
        <v>35</v>
      </c>
      <c r="G257" s="86">
        <v>27</v>
      </c>
      <c r="H257" s="86" t="s">
        <v>10177</v>
      </c>
      <c r="I257" s="86">
        <v>27</v>
      </c>
      <c r="J257" s="86" t="s">
        <v>9906</v>
      </c>
      <c r="K257" s="8">
        <v>516176</v>
      </c>
      <c r="M257" s="167" t="str">
        <f t="shared" si="0"/>
        <v>OK</v>
      </c>
    </row>
    <row r="258" spans="2:13" ht="12.75" hidden="1">
      <c r="B258" s="86">
        <v>1241</v>
      </c>
      <c r="C258" s="86">
        <v>257</v>
      </c>
      <c r="D258" s="86" t="s">
        <v>10100</v>
      </c>
      <c r="E258" s="86" t="s">
        <v>3695</v>
      </c>
      <c r="F258" s="86" t="s">
        <v>35</v>
      </c>
      <c r="G258" s="86">
        <v>27</v>
      </c>
      <c r="H258" s="86" t="s">
        <v>10177</v>
      </c>
      <c r="I258" s="86">
        <v>27</v>
      </c>
      <c r="J258" s="86" t="s">
        <v>10185</v>
      </c>
      <c r="K258" s="8">
        <v>539044</v>
      </c>
      <c r="M258" s="167" t="str">
        <f t="shared" si="0"/>
        <v>OK</v>
      </c>
    </row>
    <row r="259" spans="2:13" ht="12.75" hidden="1">
      <c r="B259" s="86">
        <v>1241</v>
      </c>
      <c r="C259" s="86">
        <v>258</v>
      </c>
      <c r="D259" s="86" t="s">
        <v>10100</v>
      </c>
      <c r="E259" s="86" t="s">
        <v>3621</v>
      </c>
      <c r="F259" s="86" t="s">
        <v>35</v>
      </c>
      <c r="G259" s="86">
        <v>27</v>
      </c>
      <c r="H259" s="86" t="s">
        <v>10177</v>
      </c>
      <c r="I259" s="86">
        <v>27</v>
      </c>
      <c r="J259" s="86" t="s">
        <v>10185</v>
      </c>
      <c r="K259" s="8">
        <v>539037</v>
      </c>
      <c r="M259" s="167" t="str">
        <f t="shared" si="0"/>
        <v>OK</v>
      </c>
    </row>
    <row r="260" spans="2:13" ht="12.75" hidden="1">
      <c r="B260" s="86">
        <v>1241</v>
      </c>
      <c r="C260" s="86">
        <v>259</v>
      </c>
      <c r="D260" s="86" t="s">
        <v>10100</v>
      </c>
      <c r="E260" s="86" t="s">
        <v>3701</v>
      </c>
      <c r="F260" s="86" t="s">
        <v>35</v>
      </c>
      <c r="G260" s="86">
        <v>27</v>
      </c>
      <c r="H260" s="86" t="s">
        <v>10177</v>
      </c>
      <c r="I260" s="86">
        <v>27</v>
      </c>
      <c r="J260" s="86" t="s">
        <v>10185</v>
      </c>
      <c r="K260" s="8">
        <v>539026</v>
      </c>
      <c r="M260" s="167" t="str">
        <f t="shared" si="0"/>
        <v>OK</v>
      </c>
    </row>
    <row r="261" spans="2:13" ht="12.75" hidden="1">
      <c r="B261" s="86">
        <v>1241</v>
      </c>
      <c r="C261" s="86">
        <v>260</v>
      </c>
      <c r="D261" s="86" t="s">
        <v>10100</v>
      </c>
      <c r="E261" s="86" t="s">
        <v>3628</v>
      </c>
      <c r="F261" s="86" t="s">
        <v>35</v>
      </c>
      <c r="G261" s="86">
        <v>27</v>
      </c>
      <c r="H261" s="86" t="s">
        <v>10177</v>
      </c>
      <c r="I261" s="86">
        <v>27</v>
      </c>
      <c r="J261" s="86" t="s">
        <v>10185</v>
      </c>
      <c r="K261" s="8">
        <v>535444</v>
      </c>
      <c r="M261" s="167" t="str">
        <f t="shared" si="0"/>
        <v>OK</v>
      </c>
    </row>
    <row r="262" spans="2:13" ht="12.75" hidden="1">
      <c r="B262" s="86">
        <v>1241</v>
      </c>
      <c r="C262" s="86">
        <v>261</v>
      </c>
      <c r="D262" s="86" t="s">
        <v>10100</v>
      </c>
      <c r="E262" s="86" t="s">
        <v>3653</v>
      </c>
      <c r="F262" s="86" t="s">
        <v>35</v>
      </c>
      <c r="G262" s="86">
        <v>27</v>
      </c>
      <c r="H262" s="86" t="s">
        <v>10177</v>
      </c>
      <c r="I262" s="86">
        <v>27</v>
      </c>
      <c r="J262" s="86" t="s">
        <v>10185</v>
      </c>
      <c r="K262" s="8">
        <v>535443</v>
      </c>
      <c r="M262" s="167" t="str">
        <f t="shared" si="0"/>
        <v>OK</v>
      </c>
    </row>
    <row r="263" spans="2:13" ht="12.75" hidden="1">
      <c r="B263" s="86">
        <v>1241</v>
      </c>
      <c r="C263" s="86">
        <v>262</v>
      </c>
      <c r="D263" s="86" t="s">
        <v>10100</v>
      </c>
      <c r="E263" s="86" t="s">
        <v>3641</v>
      </c>
      <c r="F263" s="86" t="s">
        <v>35</v>
      </c>
      <c r="G263" s="86">
        <v>27</v>
      </c>
      <c r="H263" s="86" t="s">
        <v>10177</v>
      </c>
      <c r="I263" s="86">
        <v>27</v>
      </c>
      <c r="J263" s="86" t="s">
        <v>10185</v>
      </c>
      <c r="K263" s="8">
        <v>535441</v>
      </c>
      <c r="M263" s="167" t="str">
        <f t="shared" si="0"/>
        <v>OK</v>
      </c>
    </row>
    <row r="264" spans="2:13" ht="12.75" hidden="1">
      <c r="B264" s="86">
        <v>1241</v>
      </c>
      <c r="C264" s="86">
        <v>263</v>
      </c>
      <c r="D264" s="86" t="s">
        <v>10100</v>
      </c>
      <c r="E264" s="86" t="s">
        <v>3689</v>
      </c>
      <c r="F264" s="86" t="s">
        <v>35</v>
      </c>
      <c r="G264" s="86">
        <v>27</v>
      </c>
      <c r="H264" s="86" t="s">
        <v>10177</v>
      </c>
      <c r="I264" s="86">
        <v>27</v>
      </c>
      <c r="J264" s="86" t="s">
        <v>10185</v>
      </c>
      <c r="K264" s="8">
        <v>532102</v>
      </c>
      <c r="M264" s="167" t="str">
        <f t="shared" si="0"/>
        <v>OK</v>
      </c>
    </row>
    <row r="265" spans="2:13" ht="12.75" hidden="1">
      <c r="B265" s="86">
        <v>1241</v>
      </c>
      <c r="C265" s="86">
        <v>264</v>
      </c>
      <c r="D265" s="86" t="s">
        <v>10100</v>
      </c>
      <c r="E265" s="86" t="s">
        <v>3671</v>
      </c>
      <c r="F265" s="86" t="s">
        <v>35</v>
      </c>
      <c r="G265" s="86">
        <v>27</v>
      </c>
      <c r="H265" s="86" t="s">
        <v>10177</v>
      </c>
      <c r="I265" s="86">
        <v>27</v>
      </c>
      <c r="J265" s="86" t="s">
        <v>10185</v>
      </c>
      <c r="K265" s="86">
        <v>539038</v>
      </c>
      <c r="M265" s="167" t="str">
        <f t="shared" si="0"/>
        <v>OK</v>
      </c>
    </row>
    <row r="266" spans="2:13" ht="12.75" hidden="1">
      <c r="B266" s="86">
        <v>1241</v>
      </c>
      <c r="C266" s="86">
        <v>265</v>
      </c>
      <c r="D266" s="86" t="s">
        <v>10113</v>
      </c>
      <c r="E266" s="86" t="s">
        <v>1295</v>
      </c>
      <c r="F266" s="86" t="s">
        <v>35</v>
      </c>
      <c r="G266" s="86">
        <v>27</v>
      </c>
      <c r="H266" s="86" t="s">
        <v>10177</v>
      </c>
      <c r="I266" s="86">
        <v>27</v>
      </c>
      <c r="J266" s="86" t="s">
        <v>379</v>
      </c>
      <c r="K266" s="8">
        <v>649486</v>
      </c>
      <c r="L266" s="8"/>
      <c r="M266" s="167" t="str">
        <f t="shared" si="0"/>
        <v>OK</v>
      </c>
    </row>
    <row r="267" spans="2:13" ht="12.75" hidden="1">
      <c r="B267" s="86">
        <v>1241</v>
      </c>
      <c r="C267" s="86">
        <v>266</v>
      </c>
      <c r="D267" s="86" t="s">
        <v>9586</v>
      </c>
      <c r="E267" s="86" t="s">
        <v>3714</v>
      </c>
      <c r="F267" s="86" t="s">
        <v>35</v>
      </c>
      <c r="G267" s="86">
        <v>27</v>
      </c>
      <c r="H267" s="86" t="s">
        <v>10177</v>
      </c>
      <c r="I267" s="86">
        <v>27</v>
      </c>
      <c r="J267" s="86" t="s">
        <v>5332</v>
      </c>
      <c r="K267" s="8">
        <v>649722</v>
      </c>
      <c r="M267" s="167" t="str">
        <f t="shared" si="0"/>
        <v>OK</v>
      </c>
    </row>
    <row r="268" spans="2:13" ht="12.75" hidden="1">
      <c r="B268" s="86">
        <v>1241</v>
      </c>
      <c r="C268" s="86">
        <v>267</v>
      </c>
      <c r="D268" s="86" t="s">
        <v>10151</v>
      </c>
      <c r="E268" s="86" t="s">
        <v>3852</v>
      </c>
      <c r="F268" s="86" t="s">
        <v>216</v>
      </c>
      <c r="G268" s="86">
        <v>27</v>
      </c>
      <c r="H268" s="86" t="s">
        <v>10177</v>
      </c>
      <c r="I268" s="86">
        <v>27</v>
      </c>
      <c r="J268" s="86" t="s">
        <v>9976</v>
      </c>
      <c r="K268" s="8">
        <v>649400</v>
      </c>
      <c r="M268" s="167" t="str">
        <f t="shared" si="0"/>
        <v>OK</v>
      </c>
    </row>
    <row r="269" spans="2:13" ht="12.75" hidden="1">
      <c r="B269" s="86">
        <v>1241</v>
      </c>
      <c r="C269" s="86">
        <v>268</v>
      </c>
      <c r="D269" s="86" t="s">
        <v>9586</v>
      </c>
      <c r="E269" s="86" t="s">
        <v>4498</v>
      </c>
      <c r="F269" s="86" t="s">
        <v>35</v>
      </c>
      <c r="G269" s="86">
        <v>27</v>
      </c>
      <c r="H269" s="86" t="s">
        <v>10177</v>
      </c>
      <c r="I269" s="86">
        <v>27</v>
      </c>
      <c r="J269" s="86" t="s">
        <v>528</v>
      </c>
      <c r="K269" s="8">
        <v>649720</v>
      </c>
      <c r="M269" s="167" t="str">
        <f t="shared" si="0"/>
        <v>OK</v>
      </c>
    </row>
    <row r="270" spans="2:13" ht="12.75" hidden="1">
      <c r="B270" s="86">
        <v>1241</v>
      </c>
      <c r="C270" s="86">
        <v>269</v>
      </c>
      <c r="D270" s="86" t="s">
        <v>10113</v>
      </c>
      <c r="E270" s="86" t="s">
        <v>4463</v>
      </c>
      <c r="F270" s="86" t="s">
        <v>35</v>
      </c>
      <c r="G270" s="86">
        <v>27</v>
      </c>
      <c r="H270" s="86" t="s">
        <v>10177</v>
      </c>
      <c r="I270" s="86">
        <v>27</v>
      </c>
      <c r="J270" s="86" t="s">
        <v>10157</v>
      </c>
      <c r="K270" s="8">
        <v>649725</v>
      </c>
      <c r="M270" s="167" t="str">
        <f t="shared" si="0"/>
        <v>OK</v>
      </c>
    </row>
    <row r="271" spans="2:13" ht="12.75" hidden="1">
      <c r="B271" s="86">
        <v>1246</v>
      </c>
      <c r="C271" s="86">
        <v>270</v>
      </c>
      <c r="D271" s="86" t="s">
        <v>9568</v>
      </c>
      <c r="E271" s="86" t="s">
        <v>3552</v>
      </c>
      <c r="F271" s="86" t="s">
        <v>978</v>
      </c>
      <c r="G271" s="86">
        <v>27</v>
      </c>
      <c r="H271" s="86" t="s">
        <v>10177</v>
      </c>
      <c r="I271" s="86">
        <v>27</v>
      </c>
      <c r="J271" s="86" t="s">
        <v>248</v>
      </c>
      <c r="K271" s="8">
        <v>649417</v>
      </c>
      <c r="M271" s="167" t="str">
        <f t="shared" si="0"/>
        <v>OK</v>
      </c>
    </row>
    <row r="272" spans="2:13" ht="12.75" hidden="1">
      <c r="B272" s="86">
        <v>1241</v>
      </c>
      <c r="C272" s="86">
        <v>271</v>
      </c>
      <c r="D272" s="86" t="s">
        <v>9586</v>
      </c>
      <c r="E272" s="86" t="s">
        <v>3513</v>
      </c>
      <c r="F272" s="86" t="s">
        <v>35</v>
      </c>
      <c r="G272" s="86">
        <v>27</v>
      </c>
      <c r="H272" s="86" t="s">
        <v>10177</v>
      </c>
      <c r="I272" s="86">
        <v>27</v>
      </c>
      <c r="J272" s="86" t="s">
        <v>528</v>
      </c>
      <c r="K272" s="8">
        <v>564825</v>
      </c>
      <c r="M272" s="167" t="str">
        <f t="shared" si="0"/>
        <v>OK</v>
      </c>
    </row>
    <row r="273" spans="2:13" ht="12.75" hidden="1">
      <c r="B273" s="86">
        <v>1241</v>
      </c>
      <c r="C273" s="86">
        <v>272</v>
      </c>
      <c r="D273" s="86" t="s">
        <v>9594</v>
      </c>
      <c r="E273" s="86" t="s">
        <v>3734</v>
      </c>
      <c r="F273" s="86" t="s">
        <v>35</v>
      </c>
      <c r="G273" s="86">
        <v>27</v>
      </c>
      <c r="H273" s="86" t="s">
        <v>10177</v>
      </c>
      <c r="I273" s="86">
        <v>27</v>
      </c>
      <c r="J273" s="86" t="s">
        <v>10186</v>
      </c>
      <c r="K273" s="86">
        <v>649733</v>
      </c>
      <c r="M273" s="167" t="str">
        <f t="shared" si="0"/>
        <v>OK</v>
      </c>
    </row>
    <row r="274" spans="2:13" ht="12.75" hidden="1">
      <c r="B274" s="86">
        <v>1241</v>
      </c>
      <c r="C274" s="86">
        <v>273</v>
      </c>
      <c r="D274" s="86" t="s">
        <v>9586</v>
      </c>
      <c r="E274" s="86" t="s">
        <v>3831</v>
      </c>
      <c r="F274" s="86" t="s">
        <v>35</v>
      </c>
      <c r="G274" s="86">
        <v>27</v>
      </c>
      <c r="H274" s="86" t="s">
        <v>10177</v>
      </c>
      <c r="I274" s="86">
        <v>27</v>
      </c>
      <c r="J274" s="86" t="s">
        <v>10187</v>
      </c>
      <c r="K274" s="8">
        <v>564518</v>
      </c>
      <c r="M274" s="167" t="str">
        <f t="shared" si="0"/>
        <v>OK</v>
      </c>
    </row>
    <row r="275" spans="2:13" ht="12.75" hidden="1">
      <c r="B275" s="86">
        <v>1241</v>
      </c>
      <c r="C275" s="86">
        <v>274</v>
      </c>
      <c r="D275" s="86" t="s">
        <v>9586</v>
      </c>
      <c r="E275" s="86" t="s">
        <v>4318</v>
      </c>
      <c r="F275" s="86" t="s">
        <v>35</v>
      </c>
      <c r="G275" s="86">
        <v>44</v>
      </c>
      <c r="H275" s="86" t="s">
        <v>3450</v>
      </c>
      <c r="I275" s="86">
        <v>44</v>
      </c>
      <c r="J275" s="86" t="s">
        <v>6226</v>
      </c>
      <c r="K275" s="86">
        <v>564671</v>
      </c>
      <c r="M275" s="167" t="str">
        <f t="shared" si="0"/>
        <v>OK</v>
      </c>
    </row>
    <row r="276" spans="2:13" ht="12.75" hidden="1">
      <c r="B276" s="86">
        <v>1241</v>
      </c>
      <c r="C276" s="86">
        <v>275</v>
      </c>
      <c r="D276" s="86" t="s">
        <v>10113</v>
      </c>
      <c r="E276" s="86" t="s">
        <v>4474</v>
      </c>
      <c r="F276" s="86" t="s">
        <v>35</v>
      </c>
      <c r="G276" s="86">
        <v>44</v>
      </c>
      <c r="H276" s="86" t="s">
        <v>4181</v>
      </c>
      <c r="I276" s="86">
        <v>65</v>
      </c>
      <c r="J276" s="86" t="s">
        <v>379</v>
      </c>
      <c r="K276" s="8">
        <v>515592</v>
      </c>
      <c r="M276" s="167" t="str">
        <f t="shared" si="0"/>
        <v>OK</v>
      </c>
    </row>
    <row r="277" spans="2:13" ht="12.75" hidden="1">
      <c r="B277" s="86">
        <v>1241</v>
      </c>
      <c r="C277" s="86">
        <v>276</v>
      </c>
      <c r="D277" s="86" t="s">
        <v>9571</v>
      </c>
      <c r="E277" s="86" t="s">
        <v>4457</v>
      </c>
      <c r="F277" s="86" t="s">
        <v>35</v>
      </c>
      <c r="G277" s="86">
        <v>44</v>
      </c>
      <c r="H277" s="86" t="s">
        <v>4181</v>
      </c>
      <c r="I277" s="86">
        <v>65</v>
      </c>
      <c r="J277" s="86" t="s">
        <v>1166</v>
      </c>
      <c r="K277" s="8">
        <v>649562</v>
      </c>
      <c r="M277" s="167" t="str">
        <f t="shared" si="0"/>
        <v>OK</v>
      </c>
    </row>
    <row r="278" spans="2:13" ht="12.75" hidden="1">
      <c r="B278" s="86">
        <v>1241</v>
      </c>
      <c r="C278" s="86">
        <v>277</v>
      </c>
      <c r="D278" s="86" t="s">
        <v>10097</v>
      </c>
      <c r="E278" s="86" t="s">
        <v>4510</v>
      </c>
      <c r="F278" s="86" t="s">
        <v>35</v>
      </c>
      <c r="G278" s="86">
        <v>27</v>
      </c>
      <c r="H278" s="86" t="s">
        <v>10188</v>
      </c>
      <c r="I278" s="86">
        <v>12</v>
      </c>
      <c r="J278" s="86" t="s">
        <v>117</v>
      </c>
      <c r="K278" s="8">
        <v>583450</v>
      </c>
      <c r="M278" s="167" t="str">
        <f t="shared" si="0"/>
        <v>OK</v>
      </c>
    </row>
    <row r="279" spans="2:13" ht="12.75" hidden="1">
      <c r="B279" s="86">
        <v>1241</v>
      </c>
      <c r="C279" s="86">
        <v>278</v>
      </c>
      <c r="D279" s="86" t="s">
        <v>9580</v>
      </c>
      <c r="E279" s="86" t="s">
        <v>5680</v>
      </c>
      <c r="F279" s="86" t="s">
        <v>1220</v>
      </c>
      <c r="G279" s="86">
        <v>50</v>
      </c>
      <c r="H279" s="86" t="s">
        <v>7404</v>
      </c>
      <c r="I279" s="86">
        <v>50</v>
      </c>
      <c r="J279" s="86" t="s">
        <v>10146</v>
      </c>
      <c r="K279" s="8">
        <v>543574</v>
      </c>
      <c r="M279" s="167" t="str">
        <f t="shared" si="0"/>
        <v>OK</v>
      </c>
    </row>
    <row r="280" spans="2:13" ht="12.75" hidden="1">
      <c r="B280" s="86">
        <v>1241</v>
      </c>
      <c r="C280" s="86">
        <v>279</v>
      </c>
      <c r="D280" s="86" t="s">
        <v>10113</v>
      </c>
      <c r="E280" s="86" t="s">
        <v>4075</v>
      </c>
      <c r="F280" s="86" t="s">
        <v>35</v>
      </c>
      <c r="G280" s="86">
        <v>27</v>
      </c>
      <c r="H280" s="86" t="s">
        <v>10188</v>
      </c>
      <c r="I280" s="86">
        <v>12</v>
      </c>
      <c r="J280" s="86" t="s">
        <v>2040</v>
      </c>
      <c r="K280" s="8">
        <v>649705</v>
      </c>
      <c r="M280" s="167" t="str">
        <f t="shared" si="0"/>
        <v>OK</v>
      </c>
    </row>
    <row r="281" spans="2:13" ht="12.75" hidden="1">
      <c r="B281" s="86">
        <v>1241</v>
      </c>
      <c r="C281" s="86">
        <v>280</v>
      </c>
      <c r="D281" s="86" t="s">
        <v>10113</v>
      </c>
      <c r="E281" s="86" t="s">
        <v>4240</v>
      </c>
      <c r="F281" s="86" t="s">
        <v>35</v>
      </c>
      <c r="G281" s="86">
        <v>27</v>
      </c>
      <c r="H281" s="86" t="s">
        <v>10188</v>
      </c>
      <c r="I281" s="86">
        <v>12</v>
      </c>
      <c r="J281" s="86" t="s">
        <v>2040</v>
      </c>
      <c r="K281" s="8">
        <v>516246</v>
      </c>
      <c r="M281" s="167" t="str">
        <f t="shared" si="0"/>
        <v>OK</v>
      </c>
    </row>
    <row r="282" spans="2:13" ht="12.75" hidden="1">
      <c r="B282" s="86">
        <v>1241</v>
      </c>
      <c r="C282" s="86">
        <v>281</v>
      </c>
      <c r="D282" s="86" t="s">
        <v>9586</v>
      </c>
      <c r="E282" s="86" t="s">
        <v>4490</v>
      </c>
      <c r="F282" s="86" t="s">
        <v>35</v>
      </c>
      <c r="G282" s="86">
        <v>27</v>
      </c>
      <c r="H282" s="86" t="s">
        <v>10188</v>
      </c>
      <c r="I282" s="86">
        <v>12</v>
      </c>
      <c r="J282" s="86" t="s">
        <v>5332</v>
      </c>
      <c r="K282" s="8">
        <v>564808</v>
      </c>
      <c r="M282" s="167" t="str">
        <f t="shared" si="0"/>
        <v>OK</v>
      </c>
    </row>
    <row r="283" spans="2:13" ht="12.75" hidden="1">
      <c r="B283" s="86">
        <v>1241</v>
      </c>
      <c r="C283" s="86">
        <v>282</v>
      </c>
      <c r="D283" s="86" t="s">
        <v>9571</v>
      </c>
      <c r="E283" s="86" t="s">
        <v>4503</v>
      </c>
      <c r="F283" s="86" t="s">
        <v>35</v>
      </c>
      <c r="G283" s="86">
        <v>27</v>
      </c>
      <c r="H283" s="86" t="s">
        <v>10188</v>
      </c>
      <c r="I283" s="86">
        <v>12</v>
      </c>
      <c r="J283" s="86" t="s">
        <v>1166</v>
      </c>
      <c r="K283" s="8">
        <v>649704</v>
      </c>
      <c r="M283" s="167" t="str">
        <f t="shared" si="0"/>
        <v>OK</v>
      </c>
    </row>
    <row r="284" spans="2:13" ht="12.75" hidden="1">
      <c r="B284" s="86">
        <v>1241</v>
      </c>
      <c r="C284" s="86">
        <v>283</v>
      </c>
      <c r="D284" s="86" t="s">
        <v>10113</v>
      </c>
      <c r="E284" s="86" t="s">
        <v>4557</v>
      </c>
      <c r="F284" s="86" t="s">
        <v>35</v>
      </c>
      <c r="G284" s="86">
        <v>27</v>
      </c>
      <c r="H284" s="86" t="s">
        <v>10188</v>
      </c>
      <c r="I284" s="86">
        <v>12</v>
      </c>
      <c r="J284" s="86" t="s">
        <v>4553</v>
      </c>
      <c r="K284" s="8">
        <v>649702</v>
      </c>
      <c r="M284" s="167" t="str">
        <f t="shared" si="0"/>
        <v>OK</v>
      </c>
    </row>
    <row r="285" spans="2:13" ht="12.75" hidden="1">
      <c r="B285" s="86">
        <v>1246</v>
      </c>
      <c r="C285" s="86">
        <v>284</v>
      </c>
      <c r="D285" s="86" t="s">
        <v>9568</v>
      </c>
      <c r="E285" s="86" t="s">
        <v>4528</v>
      </c>
      <c r="F285" s="86" t="s">
        <v>978</v>
      </c>
      <c r="G285" s="86">
        <v>27</v>
      </c>
      <c r="H285" s="86" t="s">
        <v>10188</v>
      </c>
      <c r="I285" s="86">
        <v>12</v>
      </c>
      <c r="J285" s="86" t="s">
        <v>248</v>
      </c>
      <c r="K285" s="8">
        <v>649420</v>
      </c>
      <c r="M285" s="167" t="str">
        <f t="shared" si="0"/>
        <v>OK</v>
      </c>
    </row>
    <row r="286" spans="2:13" ht="12.75" hidden="1">
      <c r="B286" s="86">
        <v>1241</v>
      </c>
      <c r="C286" s="86">
        <v>285</v>
      </c>
      <c r="D286" s="86" t="s">
        <v>9586</v>
      </c>
      <c r="E286" s="86" t="s">
        <v>4522</v>
      </c>
      <c r="F286" s="86" t="s">
        <v>35</v>
      </c>
      <c r="G286" s="86">
        <v>27</v>
      </c>
      <c r="H286" s="86" t="s">
        <v>10188</v>
      </c>
      <c r="I286" s="86">
        <v>12</v>
      </c>
      <c r="J286" s="86" t="s">
        <v>10189</v>
      </c>
      <c r="K286" s="86">
        <v>564638</v>
      </c>
      <c r="M286" s="167" t="str">
        <f t="shared" si="0"/>
        <v>OK</v>
      </c>
    </row>
    <row r="287" spans="2:13" ht="12.75" hidden="1">
      <c r="B287" s="86">
        <v>1241</v>
      </c>
      <c r="C287" s="86">
        <v>286</v>
      </c>
      <c r="D287" s="86" t="s">
        <v>9586</v>
      </c>
      <c r="E287" s="86" t="s">
        <v>4110</v>
      </c>
      <c r="F287" s="86" t="s">
        <v>35</v>
      </c>
      <c r="G287" s="86">
        <v>53</v>
      </c>
      <c r="H287" s="86" t="s">
        <v>10190</v>
      </c>
      <c r="I287" s="86">
        <v>11</v>
      </c>
      <c r="J287" s="86" t="s">
        <v>6226</v>
      </c>
      <c r="K287" s="86">
        <v>564634</v>
      </c>
      <c r="M287" s="167" t="str">
        <f t="shared" si="0"/>
        <v>OK</v>
      </c>
    </row>
    <row r="288" spans="2:13" ht="12.75" hidden="1">
      <c r="B288" s="86">
        <v>1241</v>
      </c>
      <c r="C288" s="86">
        <v>287</v>
      </c>
      <c r="D288" s="86" t="s">
        <v>10097</v>
      </c>
      <c r="E288" s="86" t="s">
        <v>4062</v>
      </c>
      <c r="F288" s="86" t="s">
        <v>35</v>
      </c>
      <c r="G288" s="86">
        <v>53</v>
      </c>
      <c r="H288" s="86" t="s">
        <v>10190</v>
      </c>
      <c r="I288" s="86">
        <v>11</v>
      </c>
      <c r="J288" s="86" t="s">
        <v>117</v>
      </c>
      <c r="K288" s="8">
        <v>564904</v>
      </c>
      <c r="M288" s="167" t="str">
        <f t="shared" si="0"/>
        <v>OK</v>
      </c>
    </row>
    <row r="289" spans="2:13" ht="12.75" hidden="1">
      <c r="B289" s="86">
        <v>1241</v>
      </c>
      <c r="C289" s="86">
        <v>288</v>
      </c>
      <c r="D289" s="86" t="s">
        <v>9586</v>
      </c>
      <c r="E289" s="86" t="s">
        <v>4081</v>
      </c>
      <c r="F289" s="86" t="s">
        <v>35</v>
      </c>
      <c r="G289" s="86">
        <v>53</v>
      </c>
      <c r="H289" s="86" t="s">
        <v>10190</v>
      </c>
      <c r="I289" s="86">
        <v>11</v>
      </c>
      <c r="J289" s="86" t="s">
        <v>5332</v>
      </c>
      <c r="K289" s="8">
        <v>564806</v>
      </c>
      <c r="M289" s="167" t="str">
        <f t="shared" si="0"/>
        <v>OK</v>
      </c>
    </row>
    <row r="290" spans="2:13" ht="12.75" hidden="1">
      <c r="B290" s="86">
        <v>1241</v>
      </c>
      <c r="C290" s="86">
        <v>289</v>
      </c>
      <c r="D290" s="86" t="s">
        <v>9571</v>
      </c>
      <c r="E290" s="86" t="s">
        <v>4055</v>
      </c>
      <c r="F290" s="86" t="s">
        <v>35</v>
      </c>
      <c r="G290" s="86">
        <v>53</v>
      </c>
      <c r="H290" s="86" t="s">
        <v>10190</v>
      </c>
      <c r="I290" s="86">
        <v>11</v>
      </c>
      <c r="J290" s="86" t="s">
        <v>1166</v>
      </c>
      <c r="K290" s="8">
        <v>649706</v>
      </c>
      <c r="M290" s="167" t="str">
        <f t="shared" si="0"/>
        <v>OK</v>
      </c>
    </row>
    <row r="291" spans="2:13" ht="12.75" hidden="1">
      <c r="B291" s="86">
        <v>1241</v>
      </c>
      <c r="C291" s="86">
        <v>290</v>
      </c>
      <c r="D291" s="86" t="s">
        <v>10113</v>
      </c>
      <c r="E291" s="86" t="s">
        <v>4087</v>
      </c>
      <c r="F291" s="86" t="s">
        <v>35</v>
      </c>
      <c r="G291" s="86">
        <v>53</v>
      </c>
      <c r="H291" s="86" t="s">
        <v>10190</v>
      </c>
      <c r="I291" s="86">
        <v>11</v>
      </c>
      <c r="J291" s="86" t="s">
        <v>10157</v>
      </c>
      <c r="K291" s="8">
        <v>516248</v>
      </c>
      <c r="M291" s="167" t="str">
        <f t="shared" si="0"/>
        <v>OK</v>
      </c>
    </row>
    <row r="292" spans="2:13" ht="12.75" hidden="1">
      <c r="B292" s="86">
        <v>1246</v>
      </c>
      <c r="C292" s="86">
        <v>291</v>
      </c>
      <c r="D292" s="86" t="s">
        <v>9568</v>
      </c>
      <c r="E292" s="86" t="s">
        <v>4099</v>
      </c>
      <c r="F292" s="86" t="s">
        <v>978</v>
      </c>
      <c r="G292" s="86">
        <v>53</v>
      </c>
      <c r="H292" s="86" t="s">
        <v>10190</v>
      </c>
      <c r="I292" s="86">
        <v>11</v>
      </c>
      <c r="J292" s="86" t="s">
        <v>248</v>
      </c>
      <c r="K292" s="8">
        <v>649418</v>
      </c>
      <c r="M292" s="167" t="str">
        <f t="shared" si="0"/>
        <v>OK</v>
      </c>
    </row>
    <row r="293" spans="2:13" ht="12.75" hidden="1">
      <c r="B293" s="86">
        <v>1241</v>
      </c>
      <c r="C293" s="86">
        <v>292</v>
      </c>
      <c r="D293" s="86" t="s">
        <v>9580</v>
      </c>
      <c r="E293" s="86" t="s">
        <v>4093</v>
      </c>
      <c r="F293" s="86" t="s">
        <v>1220</v>
      </c>
      <c r="G293" s="86">
        <v>50</v>
      </c>
      <c r="H293" s="86" t="s">
        <v>7404</v>
      </c>
      <c r="I293" s="86">
        <v>50</v>
      </c>
      <c r="J293" s="86" t="s">
        <v>10191</v>
      </c>
      <c r="K293" s="8">
        <v>649661</v>
      </c>
      <c r="L293" s="8"/>
      <c r="M293" s="167" t="str">
        <f t="shared" si="0"/>
        <v>OK</v>
      </c>
    </row>
    <row r="294" spans="2:13" ht="12.75" hidden="1">
      <c r="B294" s="86">
        <v>1241</v>
      </c>
      <c r="C294" s="86">
        <v>293</v>
      </c>
      <c r="D294" s="86" t="s">
        <v>9586</v>
      </c>
      <c r="E294" s="86" t="s">
        <v>4069</v>
      </c>
      <c r="F294" s="86" t="s">
        <v>35</v>
      </c>
      <c r="G294" s="86">
        <v>53</v>
      </c>
      <c r="H294" s="86" t="s">
        <v>10190</v>
      </c>
      <c r="I294" s="86">
        <v>11</v>
      </c>
      <c r="J294" s="86" t="s">
        <v>5332</v>
      </c>
      <c r="K294" s="8">
        <v>564805</v>
      </c>
      <c r="M294" s="167" t="str">
        <f t="shared" si="0"/>
        <v>OK</v>
      </c>
    </row>
    <row r="295" spans="2:13" ht="12.75" hidden="1">
      <c r="B295" s="86">
        <v>1241</v>
      </c>
      <c r="C295" s="86">
        <v>294</v>
      </c>
      <c r="D295" s="86" t="s">
        <v>9586</v>
      </c>
      <c r="E295" s="86" t="s">
        <v>4029</v>
      </c>
      <c r="F295" s="86" t="s">
        <v>35</v>
      </c>
      <c r="G295" s="86">
        <v>53</v>
      </c>
      <c r="H295" s="86" t="s">
        <v>10192</v>
      </c>
      <c r="I295" s="86">
        <v>51</v>
      </c>
      <c r="J295" s="86" t="s">
        <v>10193</v>
      </c>
      <c r="K295" s="86">
        <v>564636</v>
      </c>
      <c r="M295" s="167" t="str">
        <f t="shared" si="0"/>
        <v>OK</v>
      </c>
    </row>
    <row r="296" spans="2:13" ht="12.75" hidden="1">
      <c r="B296" s="86">
        <v>1241</v>
      </c>
      <c r="C296" s="86">
        <v>295</v>
      </c>
      <c r="D296" s="86" t="s">
        <v>9571</v>
      </c>
      <c r="E296" s="86" t="s">
        <v>4003</v>
      </c>
      <c r="F296" s="86" t="s">
        <v>35</v>
      </c>
      <c r="G296" s="86">
        <v>53</v>
      </c>
      <c r="H296" s="86" t="s">
        <v>10192</v>
      </c>
      <c r="I296" s="86">
        <v>51</v>
      </c>
      <c r="J296" s="86" t="s">
        <v>72</v>
      </c>
      <c r="K296" s="8">
        <v>649715</v>
      </c>
      <c r="M296" s="167" t="str">
        <f t="shared" si="0"/>
        <v>OK</v>
      </c>
    </row>
    <row r="297" spans="2:13" ht="12.75" hidden="1">
      <c r="B297" s="86">
        <v>1241</v>
      </c>
      <c r="C297" s="86">
        <v>296</v>
      </c>
      <c r="D297" s="86" t="s">
        <v>9586</v>
      </c>
      <c r="E297" s="86" t="s">
        <v>3982</v>
      </c>
      <c r="F297" s="86" t="s">
        <v>35</v>
      </c>
      <c r="G297" s="86">
        <v>53</v>
      </c>
      <c r="H297" s="86" t="s">
        <v>10192</v>
      </c>
      <c r="I297" s="86">
        <v>51</v>
      </c>
      <c r="J297" s="86" t="s">
        <v>5332</v>
      </c>
      <c r="K297" s="8">
        <v>564804</v>
      </c>
      <c r="M297" s="167" t="str">
        <f t="shared" si="0"/>
        <v>OK</v>
      </c>
    </row>
    <row r="298" spans="2:13" ht="12.75" hidden="1">
      <c r="B298" s="86">
        <v>1241</v>
      </c>
      <c r="C298" s="86">
        <v>297</v>
      </c>
      <c r="D298" s="86" t="s">
        <v>10097</v>
      </c>
      <c r="E298" s="86" t="s">
        <v>3989</v>
      </c>
      <c r="F298" s="86" t="s">
        <v>35</v>
      </c>
      <c r="G298" s="86">
        <v>53</v>
      </c>
      <c r="H298" s="86" t="s">
        <v>10192</v>
      </c>
      <c r="I298" s="86">
        <v>51</v>
      </c>
      <c r="J298" s="86" t="s">
        <v>117</v>
      </c>
      <c r="K298" s="8">
        <v>564905</v>
      </c>
      <c r="M298" s="167" t="str">
        <f t="shared" si="0"/>
        <v>OK</v>
      </c>
    </row>
    <row r="299" spans="2:13" ht="12.75" hidden="1">
      <c r="B299" s="86">
        <v>1241</v>
      </c>
      <c r="C299" s="86">
        <v>298</v>
      </c>
      <c r="D299" s="86" t="s">
        <v>9586</v>
      </c>
      <c r="E299" s="86" t="s">
        <v>3996</v>
      </c>
      <c r="F299" s="86" t="s">
        <v>35</v>
      </c>
      <c r="G299" s="86">
        <v>53</v>
      </c>
      <c r="H299" s="86" t="s">
        <v>10192</v>
      </c>
      <c r="I299" s="86">
        <v>51</v>
      </c>
      <c r="J299" s="86" t="s">
        <v>528</v>
      </c>
      <c r="K299" s="8">
        <v>564789</v>
      </c>
      <c r="M299" s="167" t="str">
        <f t="shared" si="0"/>
        <v>OK</v>
      </c>
    </row>
    <row r="300" spans="2:13" ht="12.75" hidden="1">
      <c r="B300" s="86">
        <v>1246</v>
      </c>
      <c r="C300" s="86">
        <v>299</v>
      </c>
      <c r="D300" s="86" t="s">
        <v>9568</v>
      </c>
      <c r="E300" s="86" t="s">
        <v>4022</v>
      </c>
      <c r="F300" s="86" t="s">
        <v>978</v>
      </c>
      <c r="G300" s="86">
        <v>53</v>
      </c>
      <c r="H300" s="86" t="s">
        <v>10192</v>
      </c>
      <c r="I300" s="86">
        <v>51</v>
      </c>
      <c r="J300" s="86" t="s">
        <v>249</v>
      </c>
      <c r="K300" s="8">
        <v>649435</v>
      </c>
      <c r="M300" s="167" t="str">
        <f t="shared" si="0"/>
        <v>OK</v>
      </c>
    </row>
    <row r="301" spans="2:13" ht="12.75" hidden="1">
      <c r="B301" s="86">
        <v>1241</v>
      </c>
      <c r="C301" s="86">
        <v>300</v>
      </c>
      <c r="D301" s="86" t="s">
        <v>9569</v>
      </c>
      <c r="E301" s="86" t="s">
        <v>4048</v>
      </c>
      <c r="F301" s="86" t="s">
        <v>682</v>
      </c>
      <c r="G301" s="86">
        <v>53</v>
      </c>
      <c r="H301" s="86" t="s">
        <v>10192</v>
      </c>
      <c r="I301" s="86">
        <v>51</v>
      </c>
      <c r="J301" s="86" t="s">
        <v>10194</v>
      </c>
      <c r="K301" s="8">
        <v>649381</v>
      </c>
      <c r="M301" s="167" t="str">
        <f t="shared" si="0"/>
        <v>OK</v>
      </c>
    </row>
    <row r="302" spans="2:13" ht="12.75" hidden="1">
      <c r="B302" s="86">
        <v>1241</v>
      </c>
      <c r="C302" s="86">
        <v>301</v>
      </c>
      <c r="D302" s="86" t="s">
        <v>10113</v>
      </c>
      <c r="E302" s="86" t="s">
        <v>4042</v>
      </c>
      <c r="F302" s="86" t="s">
        <v>35</v>
      </c>
      <c r="G302" s="86">
        <v>53</v>
      </c>
      <c r="H302" s="86" t="s">
        <v>10192</v>
      </c>
      <c r="I302" s="86">
        <v>51</v>
      </c>
      <c r="J302" s="86" t="s">
        <v>10195</v>
      </c>
      <c r="K302" s="8">
        <v>649707</v>
      </c>
      <c r="M302" s="167" t="str">
        <f t="shared" si="0"/>
        <v>OK</v>
      </c>
    </row>
    <row r="303" spans="2:13" ht="12.75" hidden="1">
      <c r="B303" s="86">
        <v>1241</v>
      </c>
      <c r="C303" s="86">
        <v>302</v>
      </c>
      <c r="D303" s="86" t="s">
        <v>10097</v>
      </c>
      <c r="E303" s="86" t="s">
        <v>4328</v>
      </c>
      <c r="F303" s="86" t="s">
        <v>35</v>
      </c>
      <c r="G303" s="86">
        <v>44</v>
      </c>
      <c r="H303" s="86" t="s">
        <v>3840</v>
      </c>
      <c r="I303" s="86">
        <v>48</v>
      </c>
      <c r="J303" s="86" t="s">
        <v>117</v>
      </c>
      <c r="K303" s="8">
        <v>583448</v>
      </c>
      <c r="M303" s="167" t="str">
        <f t="shared" si="0"/>
        <v>OK</v>
      </c>
    </row>
    <row r="304" spans="2:13" ht="12.75" hidden="1">
      <c r="B304" s="86">
        <v>1241</v>
      </c>
      <c r="C304" s="86">
        <v>303</v>
      </c>
      <c r="D304" s="86" t="s">
        <v>10097</v>
      </c>
      <c r="E304" s="86" t="s">
        <v>4334</v>
      </c>
      <c r="F304" s="86" t="s">
        <v>35</v>
      </c>
      <c r="G304" s="86">
        <v>44</v>
      </c>
      <c r="H304" s="86" t="s">
        <v>3840</v>
      </c>
      <c r="I304" s="86">
        <v>48</v>
      </c>
      <c r="J304" s="86" t="s">
        <v>117</v>
      </c>
      <c r="K304" s="8">
        <v>649708</v>
      </c>
      <c r="M304" s="167" t="str">
        <f t="shared" si="0"/>
        <v>OK</v>
      </c>
    </row>
    <row r="305" spans="2:13" ht="12.75" hidden="1">
      <c r="B305" s="86">
        <v>1241</v>
      </c>
      <c r="C305" s="86">
        <v>304</v>
      </c>
      <c r="D305" s="86" t="s">
        <v>10113</v>
      </c>
      <c r="E305" s="86" t="s">
        <v>4550</v>
      </c>
      <c r="F305" s="86" t="s">
        <v>35</v>
      </c>
      <c r="G305" s="86">
        <v>44</v>
      </c>
      <c r="H305" s="86" t="s">
        <v>3840</v>
      </c>
      <c r="I305" s="86">
        <v>48</v>
      </c>
      <c r="J305" s="86" t="s">
        <v>379</v>
      </c>
      <c r="K305" s="8">
        <v>516229</v>
      </c>
      <c r="M305" s="167" t="str">
        <f t="shared" si="0"/>
        <v>OK</v>
      </c>
    </row>
    <row r="306" spans="2:13" ht="12.75" hidden="1">
      <c r="B306" s="86">
        <v>1241</v>
      </c>
      <c r="C306" s="86">
        <v>305</v>
      </c>
      <c r="D306" s="86" t="s">
        <v>9586</v>
      </c>
      <c r="E306" s="86" t="s">
        <v>747</v>
      </c>
      <c r="F306" s="86" t="s">
        <v>35</v>
      </c>
      <c r="G306" s="86">
        <v>44</v>
      </c>
      <c r="H306" s="86" t="s">
        <v>3840</v>
      </c>
      <c r="I306" s="86">
        <v>48</v>
      </c>
      <c r="J306" s="86" t="s">
        <v>528</v>
      </c>
      <c r="K306" s="8">
        <v>564801</v>
      </c>
      <c r="L306" s="8"/>
      <c r="M306" s="167" t="str">
        <f t="shared" si="0"/>
        <v>OK</v>
      </c>
    </row>
    <row r="307" spans="2:13" ht="12.75" hidden="1">
      <c r="B307" s="86">
        <v>1241</v>
      </c>
      <c r="C307" s="86">
        <v>306</v>
      </c>
      <c r="D307" s="86" t="s">
        <v>9586</v>
      </c>
      <c r="E307" s="86" t="s">
        <v>4340</v>
      </c>
      <c r="F307" s="86" t="s">
        <v>35</v>
      </c>
      <c r="G307" s="86">
        <v>44</v>
      </c>
      <c r="H307" s="86" t="s">
        <v>3840</v>
      </c>
      <c r="I307" s="86">
        <v>48</v>
      </c>
      <c r="J307" s="86" t="s">
        <v>10189</v>
      </c>
      <c r="K307" s="8">
        <v>564654</v>
      </c>
      <c r="M307" s="167" t="str">
        <f t="shared" si="0"/>
        <v>OK</v>
      </c>
    </row>
    <row r="308" spans="2:13" ht="12.75" hidden="1">
      <c r="B308" s="86">
        <v>1241</v>
      </c>
      <c r="C308" s="86">
        <v>307</v>
      </c>
      <c r="D308" s="86" t="s">
        <v>9571</v>
      </c>
      <c r="E308" s="86" t="s">
        <v>4323</v>
      </c>
      <c r="F308" s="86" t="s">
        <v>35</v>
      </c>
      <c r="G308" s="86">
        <v>44</v>
      </c>
      <c r="H308" s="86" t="s">
        <v>3840</v>
      </c>
      <c r="I308" s="86">
        <v>48</v>
      </c>
      <c r="J308" s="86" t="s">
        <v>1166</v>
      </c>
      <c r="K308" s="8" t="s">
        <v>4326</v>
      </c>
      <c r="L308" s="86" t="s">
        <v>10101</v>
      </c>
      <c r="M308" s="167" t="str">
        <f t="shared" si="0"/>
        <v>OK</v>
      </c>
    </row>
    <row r="309" spans="2:13" ht="12.75" hidden="1">
      <c r="B309" s="86">
        <v>1246</v>
      </c>
      <c r="C309" s="86">
        <v>308</v>
      </c>
      <c r="D309" s="86" t="s">
        <v>9568</v>
      </c>
      <c r="E309" s="86" t="s">
        <v>4346</v>
      </c>
      <c r="F309" s="86" t="s">
        <v>978</v>
      </c>
      <c r="G309" s="86">
        <v>44</v>
      </c>
      <c r="H309" s="86" t="s">
        <v>3840</v>
      </c>
      <c r="I309" s="86">
        <v>48</v>
      </c>
      <c r="J309" s="86" t="s">
        <v>249</v>
      </c>
      <c r="K309" s="8">
        <v>649421</v>
      </c>
      <c r="M309" s="167" t="str">
        <f t="shared" si="0"/>
        <v>OK</v>
      </c>
    </row>
    <row r="310" spans="2:13" ht="12.75" hidden="1">
      <c r="B310" s="86">
        <v>1241</v>
      </c>
      <c r="C310" s="86">
        <v>309</v>
      </c>
      <c r="D310" s="86" t="s">
        <v>10097</v>
      </c>
      <c r="E310" s="86" t="s">
        <v>4379</v>
      </c>
      <c r="F310" s="86" t="s">
        <v>35</v>
      </c>
      <c r="G310" s="86">
        <v>53</v>
      </c>
      <c r="H310" s="86" t="s">
        <v>10180</v>
      </c>
      <c r="I310" s="86">
        <v>1</v>
      </c>
      <c r="J310" s="86" t="s">
        <v>117</v>
      </c>
      <c r="K310" s="8">
        <v>649563</v>
      </c>
      <c r="M310" s="167" t="str">
        <f t="shared" si="0"/>
        <v>OK</v>
      </c>
    </row>
    <row r="311" spans="2:13" ht="12.75" hidden="1">
      <c r="B311" s="86">
        <v>1241</v>
      </c>
      <c r="C311" s="86">
        <v>310</v>
      </c>
      <c r="D311" s="86" t="s">
        <v>9586</v>
      </c>
      <c r="E311" s="86" t="s">
        <v>4362</v>
      </c>
      <c r="F311" s="86" t="s">
        <v>35</v>
      </c>
      <c r="G311" s="86">
        <v>53</v>
      </c>
      <c r="H311" s="86" t="s">
        <v>10180</v>
      </c>
      <c r="I311" s="86">
        <v>1</v>
      </c>
      <c r="J311" s="86" t="s">
        <v>5332</v>
      </c>
      <c r="K311" s="8">
        <v>564881</v>
      </c>
      <c r="M311" s="167" t="str">
        <f t="shared" si="0"/>
        <v>OK</v>
      </c>
    </row>
    <row r="312" spans="2:13" ht="12.75" hidden="1">
      <c r="B312" s="86">
        <v>1241</v>
      </c>
      <c r="C312" s="86">
        <v>311</v>
      </c>
      <c r="D312" s="86" t="s">
        <v>9586</v>
      </c>
      <c r="E312" s="86" t="s">
        <v>4194</v>
      </c>
      <c r="F312" s="86" t="s">
        <v>35</v>
      </c>
      <c r="G312" s="86">
        <v>53</v>
      </c>
      <c r="H312" s="86" t="s">
        <v>10180</v>
      </c>
      <c r="I312" s="86">
        <v>1</v>
      </c>
      <c r="J312" s="86" t="s">
        <v>528</v>
      </c>
      <c r="K312" s="8">
        <v>649565</v>
      </c>
      <c r="M312" s="167" t="str">
        <f t="shared" si="0"/>
        <v>OK</v>
      </c>
    </row>
    <row r="313" spans="2:13" ht="12.75" hidden="1">
      <c r="B313" s="86">
        <v>1246</v>
      </c>
      <c r="C313" s="86">
        <v>312</v>
      </c>
      <c r="D313" s="86" t="s">
        <v>9568</v>
      </c>
      <c r="E313" s="86" t="s">
        <v>4397</v>
      </c>
      <c r="F313" s="86" t="s">
        <v>978</v>
      </c>
      <c r="G313" s="86">
        <v>53</v>
      </c>
      <c r="H313" s="86" t="s">
        <v>10180</v>
      </c>
      <c r="I313" s="86">
        <v>1</v>
      </c>
      <c r="J313" s="86" t="s">
        <v>249</v>
      </c>
      <c r="K313" s="8">
        <v>649422</v>
      </c>
      <c r="M313" s="167" t="str">
        <f t="shared" si="0"/>
        <v>OK</v>
      </c>
    </row>
    <row r="314" spans="2:13" ht="12.75" hidden="1">
      <c r="B314" s="86">
        <v>1241</v>
      </c>
      <c r="C314" s="86">
        <v>313</v>
      </c>
      <c r="D314" s="86" t="s">
        <v>9586</v>
      </c>
      <c r="E314" s="86" t="s">
        <v>4372</v>
      </c>
      <c r="F314" s="86" t="s">
        <v>35</v>
      </c>
      <c r="G314" s="86">
        <v>53</v>
      </c>
      <c r="H314" s="86" t="s">
        <v>10180</v>
      </c>
      <c r="I314" s="86">
        <v>1</v>
      </c>
      <c r="J314" s="86" t="s">
        <v>528</v>
      </c>
      <c r="K314" s="8">
        <v>564844</v>
      </c>
      <c r="M314" s="167" t="str">
        <f t="shared" si="0"/>
        <v>OK</v>
      </c>
    </row>
    <row r="315" spans="2:13" ht="12.75" hidden="1">
      <c r="B315" s="86">
        <v>1241</v>
      </c>
      <c r="C315" s="86">
        <v>314</v>
      </c>
      <c r="D315" s="86" t="s">
        <v>9586</v>
      </c>
      <c r="E315" s="86" t="s">
        <v>4385</v>
      </c>
      <c r="F315" s="86" t="s">
        <v>35</v>
      </c>
      <c r="G315" s="86">
        <v>53</v>
      </c>
      <c r="H315" s="86" t="s">
        <v>10180</v>
      </c>
      <c r="I315" s="86">
        <v>1</v>
      </c>
      <c r="J315" s="86" t="s">
        <v>6226</v>
      </c>
      <c r="K315" s="8">
        <v>649560</v>
      </c>
      <c r="M315" s="167" t="str">
        <f t="shared" si="0"/>
        <v>OK</v>
      </c>
    </row>
    <row r="316" spans="2:13" ht="12.75" hidden="1">
      <c r="B316" s="86">
        <v>1241</v>
      </c>
      <c r="C316" s="86">
        <v>315</v>
      </c>
      <c r="D316" s="86" t="s">
        <v>10113</v>
      </c>
      <c r="E316" s="86" t="s">
        <v>4391</v>
      </c>
      <c r="F316" s="86" t="s">
        <v>35</v>
      </c>
      <c r="G316" s="86">
        <v>53</v>
      </c>
      <c r="H316" s="86" t="s">
        <v>10180</v>
      </c>
      <c r="I316" s="86">
        <v>1</v>
      </c>
      <c r="J316" s="86" t="s">
        <v>379</v>
      </c>
      <c r="K316" s="8">
        <v>649561</v>
      </c>
      <c r="M316" s="167" t="str">
        <f t="shared" si="0"/>
        <v>OK</v>
      </c>
    </row>
    <row r="317" spans="2:13" ht="12.75" hidden="1">
      <c r="B317" s="86">
        <v>1241</v>
      </c>
      <c r="C317" s="86">
        <v>316</v>
      </c>
      <c r="D317" s="86" t="s">
        <v>9594</v>
      </c>
      <c r="E317" s="86" t="s">
        <v>3266</v>
      </c>
      <c r="F317" s="86" t="s">
        <v>35</v>
      </c>
      <c r="G317" s="86">
        <v>16</v>
      </c>
      <c r="H317" s="86" t="s">
        <v>9583</v>
      </c>
      <c r="I317" s="86">
        <v>6</v>
      </c>
      <c r="J317" s="86" t="s">
        <v>10196</v>
      </c>
      <c r="K317" s="86">
        <v>649533</v>
      </c>
      <c r="M317" s="167" t="str">
        <f t="shared" si="0"/>
        <v>OK</v>
      </c>
    </row>
    <row r="318" spans="2:13" ht="12.75" hidden="1">
      <c r="B318" s="86">
        <v>1241</v>
      </c>
      <c r="C318" s="86">
        <v>317</v>
      </c>
      <c r="D318" s="86" t="s">
        <v>9586</v>
      </c>
      <c r="E318" s="86" t="s">
        <v>4123</v>
      </c>
      <c r="F318" s="86" t="s">
        <v>35</v>
      </c>
      <c r="G318" s="86">
        <v>53</v>
      </c>
      <c r="H318" s="86" t="s">
        <v>7472</v>
      </c>
      <c r="I318" s="86">
        <v>36</v>
      </c>
      <c r="J318" s="86" t="s">
        <v>5332</v>
      </c>
      <c r="K318" s="8">
        <v>564803</v>
      </c>
      <c r="M318" s="167" t="str">
        <f t="shared" si="0"/>
        <v>OK</v>
      </c>
    </row>
    <row r="319" spans="2:13" ht="12.75" hidden="1">
      <c r="B319" s="86">
        <v>1241</v>
      </c>
      <c r="C319" s="86">
        <v>318</v>
      </c>
      <c r="D319" s="86" t="s">
        <v>9571</v>
      </c>
      <c r="E319" s="86" t="s">
        <v>4130</v>
      </c>
      <c r="F319" s="86" t="s">
        <v>35</v>
      </c>
      <c r="G319" s="86">
        <v>53</v>
      </c>
      <c r="H319" s="86" t="s">
        <v>7472</v>
      </c>
      <c r="I319" s="86">
        <v>36</v>
      </c>
      <c r="J319" s="86" t="s">
        <v>1166</v>
      </c>
      <c r="K319" s="8">
        <v>649709</v>
      </c>
      <c r="M319" s="167" t="str">
        <f t="shared" si="0"/>
        <v>OK</v>
      </c>
    </row>
    <row r="320" spans="2:13" ht="12.75" hidden="1">
      <c r="B320" s="86">
        <v>1241</v>
      </c>
      <c r="C320" s="86">
        <v>319</v>
      </c>
      <c r="D320" s="86" t="s">
        <v>9580</v>
      </c>
      <c r="E320" s="86" t="s">
        <v>4282</v>
      </c>
      <c r="F320" s="86" t="s">
        <v>1220</v>
      </c>
      <c r="G320" s="86">
        <v>53</v>
      </c>
      <c r="H320" s="86" t="s">
        <v>7472</v>
      </c>
      <c r="I320" s="86">
        <v>36</v>
      </c>
      <c r="J320" s="86" t="s">
        <v>9581</v>
      </c>
      <c r="K320" s="8">
        <v>530446</v>
      </c>
      <c r="M320" s="167" t="str">
        <f t="shared" si="0"/>
        <v>OK</v>
      </c>
    </row>
    <row r="321" spans="2:13" ht="12.75" hidden="1">
      <c r="B321" s="86">
        <v>1241</v>
      </c>
      <c r="C321" s="86">
        <v>320</v>
      </c>
      <c r="D321" s="86" t="s">
        <v>10097</v>
      </c>
      <c r="E321" s="86" t="s">
        <v>4157</v>
      </c>
      <c r="F321" s="86" t="s">
        <v>35</v>
      </c>
      <c r="G321" s="86">
        <v>53</v>
      </c>
      <c r="H321" s="86" t="s">
        <v>7472</v>
      </c>
      <c r="I321" s="86">
        <v>36</v>
      </c>
      <c r="J321" s="86" t="s">
        <v>117</v>
      </c>
      <c r="K321" s="8">
        <v>518518</v>
      </c>
      <c r="M321" s="167" t="str">
        <f t="shared" si="0"/>
        <v>OK</v>
      </c>
    </row>
    <row r="322" spans="2:13" ht="12.75" hidden="1">
      <c r="B322" s="86">
        <v>1241</v>
      </c>
      <c r="C322" s="86">
        <v>321</v>
      </c>
      <c r="D322" s="86" t="s">
        <v>9586</v>
      </c>
      <c r="E322" s="86" t="s">
        <v>4137</v>
      </c>
      <c r="F322" s="86" t="s">
        <v>35</v>
      </c>
      <c r="G322" s="86">
        <v>53</v>
      </c>
      <c r="H322" s="86" t="s">
        <v>7472</v>
      </c>
      <c r="I322" s="86">
        <v>36</v>
      </c>
      <c r="J322" s="86" t="s">
        <v>5332</v>
      </c>
      <c r="K322" s="8">
        <v>564802</v>
      </c>
      <c r="M322" s="167" t="str">
        <f t="shared" si="0"/>
        <v>OK</v>
      </c>
    </row>
    <row r="323" spans="2:13" ht="12.75" hidden="1">
      <c r="B323" s="86">
        <v>1241</v>
      </c>
      <c r="C323" s="86">
        <v>322</v>
      </c>
      <c r="D323" s="86" t="s">
        <v>10113</v>
      </c>
      <c r="E323" s="86" t="s">
        <v>4143</v>
      </c>
      <c r="F323" s="86" t="s">
        <v>35</v>
      </c>
      <c r="G323" s="86">
        <v>53</v>
      </c>
      <c r="H323" s="86" t="s">
        <v>7472</v>
      </c>
      <c r="I323" s="86">
        <v>36</v>
      </c>
      <c r="J323" s="86" t="s">
        <v>10157</v>
      </c>
      <c r="K323" s="8">
        <v>516245</v>
      </c>
      <c r="M323" s="167" t="str">
        <f t="shared" si="0"/>
        <v>OK</v>
      </c>
    </row>
    <row r="324" spans="2:13" ht="12.75" hidden="1">
      <c r="B324" s="86">
        <v>1246</v>
      </c>
      <c r="C324" s="86">
        <v>323</v>
      </c>
      <c r="D324" s="86" t="s">
        <v>9568</v>
      </c>
      <c r="E324" s="86" t="s">
        <v>4149</v>
      </c>
      <c r="F324" s="86" t="s">
        <v>978</v>
      </c>
      <c r="G324" s="86">
        <v>53</v>
      </c>
      <c r="H324" s="86" t="s">
        <v>7472</v>
      </c>
      <c r="I324" s="86">
        <v>36</v>
      </c>
      <c r="J324" s="86" t="s">
        <v>248</v>
      </c>
      <c r="K324" s="8">
        <v>649419</v>
      </c>
      <c r="M324" s="167" t="str">
        <f t="shared" si="0"/>
        <v>OK</v>
      </c>
    </row>
    <row r="325" spans="2:13" ht="12.75" hidden="1">
      <c r="B325" s="86">
        <v>1241</v>
      </c>
      <c r="C325" s="86">
        <v>324</v>
      </c>
      <c r="D325" s="86" t="s">
        <v>9586</v>
      </c>
      <c r="E325" s="86" t="s">
        <v>4172</v>
      </c>
      <c r="F325" s="86" t="s">
        <v>35</v>
      </c>
      <c r="G325" s="86">
        <v>53</v>
      </c>
      <c r="H325" s="86" t="s">
        <v>7472</v>
      </c>
      <c r="I325" s="86">
        <v>36</v>
      </c>
      <c r="J325" s="86" t="s">
        <v>278</v>
      </c>
      <c r="K325" s="86">
        <v>564637</v>
      </c>
      <c r="M325" s="167" t="str">
        <f t="shared" si="0"/>
        <v>OK</v>
      </c>
    </row>
    <row r="326" spans="2:13" ht="12.75" hidden="1">
      <c r="B326" s="86">
        <v>1242</v>
      </c>
      <c r="C326" s="86">
        <v>325</v>
      </c>
      <c r="D326" s="86" t="s">
        <v>10121</v>
      </c>
      <c r="E326" s="86" t="s">
        <v>2366</v>
      </c>
      <c r="F326" s="86" t="s">
        <v>35</v>
      </c>
      <c r="G326" s="86">
        <v>50</v>
      </c>
      <c r="H326" s="86" t="s">
        <v>7404</v>
      </c>
      <c r="I326" s="86">
        <v>50</v>
      </c>
      <c r="J326" s="86" t="s">
        <v>10183</v>
      </c>
      <c r="K326" s="8">
        <v>651130</v>
      </c>
      <c r="M326" s="167" t="str">
        <f t="shared" si="0"/>
        <v>OK</v>
      </c>
    </row>
    <row r="327" spans="2:13" ht="12.75" hidden="1">
      <c r="B327" s="86">
        <v>1241</v>
      </c>
      <c r="C327" s="86">
        <v>326</v>
      </c>
      <c r="D327" s="86" t="s">
        <v>9594</v>
      </c>
      <c r="E327" s="86" t="s">
        <v>4254</v>
      </c>
      <c r="F327" s="86" t="s">
        <v>35</v>
      </c>
      <c r="G327" s="86">
        <v>50</v>
      </c>
      <c r="H327" s="86" t="s">
        <v>7404</v>
      </c>
      <c r="I327" s="86">
        <v>50</v>
      </c>
      <c r="J327" s="86" t="s">
        <v>10144</v>
      </c>
      <c r="K327" s="86">
        <v>518513</v>
      </c>
      <c r="M327" s="167" t="str">
        <f t="shared" si="0"/>
        <v>OK</v>
      </c>
    </row>
    <row r="328" spans="2:13" ht="12.75" hidden="1">
      <c r="B328" s="86">
        <v>1241</v>
      </c>
      <c r="C328" s="86">
        <v>327</v>
      </c>
      <c r="D328" s="86" t="s">
        <v>9571</v>
      </c>
      <c r="E328" s="86" t="s">
        <v>4261</v>
      </c>
      <c r="F328" s="86" t="s">
        <v>35</v>
      </c>
      <c r="G328" s="86">
        <v>50</v>
      </c>
      <c r="H328" s="86" t="s">
        <v>7404</v>
      </c>
      <c r="I328" s="86">
        <v>50</v>
      </c>
      <c r="J328" s="86" t="s">
        <v>72</v>
      </c>
      <c r="K328" s="8">
        <v>584026</v>
      </c>
      <c r="M328" s="167" t="str">
        <f t="shared" si="0"/>
        <v>OK</v>
      </c>
    </row>
    <row r="329" spans="2:13" ht="12.75">
      <c r="B329" s="86">
        <v>1241</v>
      </c>
      <c r="C329" s="86">
        <v>328</v>
      </c>
      <c r="D329" s="86" t="s">
        <v>9576</v>
      </c>
      <c r="E329" s="86" t="s">
        <v>9348</v>
      </c>
      <c r="F329" s="86" t="s">
        <v>35</v>
      </c>
      <c r="G329" s="86">
        <v>50</v>
      </c>
      <c r="H329" s="86" t="s">
        <v>7404</v>
      </c>
      <c r="I329" s="86">
        <v>50</v>
      </c>
      <c r="J329" s="86" t="s">
        <v>927</v>
      </c>
      <c r="K329" s="8">
        <v>0</v>
      </c>
      <c r="L329" s="8" t="s">
        <v>9577</v>
      </c>
      <c r="M329" s="167" t="str">
        <f t="shared" si="0"/>
        <v>REPETIDO</v>
      </c>
    </row>
    <row r="330" spans="2:13" ht="12.75" hidden="1">
      <c r="B330" s="86">
        <v>1241</v>
      </c>
      <c r="C330" s="86">
        <v>329</v>
      </c>
      <c r="D330" s="86" t="s">
        <v>9586</v>
      </c>
      <c r="E330" s="86" t="s">
        <v>3395</v>
      </c>
      <c r="F330" s="86" t="s">
        <v>35</v>
      </c>
      <c r="G330" s="86">
        <v>50</v>
      </c>
      <c r="H330" s="86" t="s">
        <v>7404</v>
      </c>
      <c r="I330" s="86">
        <v>50</v>
      </c>
      <c r="J330" s="86" t="s">
        <v>6226</v>
      </c>
      <c r="K330" s="8">
        <v>649548</v>
      </c>
      <c r="L330" s="8"/>
      <c r="M330" s="167" t="str">
        <f t="shared" si="0"/>
        <v>OK</v>
      </c>
    </row>
    <row r="331" spans="2:13" ht="12.75">
      <c r="B331" s="86">
        <v>1241</v>
      </c>
      <c r="C331" s="86">
        <v>330</v>
      </c>
      <c r="D331" s="86" t="s">
        <v>9569</v>
      </c>
      <c r="E331" s="86" t="s">
        <v>9391</v>
      </c>
      <c r="F331" s="86" t="s">
        <v>157</v>
      </c>
      <c r="G331" s="86">
        <v>47</v>
      </c>
      <c r="H331" s="86" t="s">
        <v>7601</v>
      </c>
      <c r="I331" s="86">
        <v>2</v>
      </c>
      <c r="J331" s="86" t="s">
        <v>1394</v>
      </c>
      <c r="K331" s="8">
        <v>0</v>
      </c>
      <c r="L331" s="8" t="s">
        <v>9578</v>
      </c>
      <c r="M331" s="167" t="str">
        <f t="shared" si="0"/>
        <v>REPETIDO</v>
      </c>
    </row>
    <row r="332" spans="2:13" ht="12.75" hidden="1">
      <c r="B332" s="86">
        <v>1241</v>
      </c>
      <c r="C332" s="86">
        <v>331</v>
      </c>
      <c r="D332" s="86" t="s">
        <v>10097</v>
      </c>
      <c r="E332" s="86" t="s">
        <v>4268</v>
      </c>
      <c r="F332" s="86" t="s">
        <v>35</v>
      </c>
      <c r="G332" s="86">
        <v>50</v>
      </c>
      <c r="H332" s="86" t="s">
        <v>7404</v>
      </c>
      <c r="I332" s="86">
        <v>50</v>
      </c>
      <c r="J332" s="86" t="s">
        <v>117</v>
      </c>
      <c r="K332" s="8">
        <v>518511</v>
      </c>
      <c r="M332" s="167" t="str">
        <f t="shared" si="0"/>
        <v>OK</v>
      </c>
    </row>
    <row r="333" spans="2:13" ht="12.75" hidden="1">
      <c r="B333" s="86">
        <v>1241</v>
      </c>
      <c r="C333" s="86">
        <v>332</v>
      </c>
      <c r="D333" s="86" t="s">
        <v>10113</v>
      </c>
      <c r="E333" s="86" t="s">
        <v>3116</v>
      </c>
      <c r="F333" s="86" t="s">
        <v>35</v>
      </c>
      <c r="G333" s="86">
        <v>50</v>
      </c>
      <c r="H333" s="86" t="s">
        <v>7404</v>
      </c>
      <c r="I333" s="86">
        <v>50</v>
      </c>
      <c r="J333" s="86" t="s">
        <v>10157</v>
      </c>
      <c r="K333" s="8">
        <v>649555</v>
      </c>
      <c r="L333" s="8"/>
      <c r="M333" s="167" t="str">
        <f t="shared" si="0"/>
        <v>OK</v>
      </c>
    </row>
    <row r="334" spans="2:13" ht="12.75" hidden="1">
      <c r="B334" s="86">
        <v>1241</v>
      </c>
      <c r="C334" s="86">
        <v>333</v>
      </c>
      <c r="D334" s="86" t="s">
        <v>10113</v>
      </c>
      <c r="E334" s="86" t="s">
        <v>6773</v>
      </c>
      <c r="F334" s="86" t="s">
        <v>35</v>
      </c>
      <c r="G334" s="86">
        <v>50</v>
      </c>
      <c r="H334" s="86" t="s">
        <v>7404</v>
      </c>
      <c r="I334" s="86">
        <v>50</v>
      </c>
      <c r="J334" s="86" t="s">
        <v>10157</v>
      </c>
      <c r="K334" s="8">
        <v>564624</v>
      </c>
      <c r="L334" s="8"/>
      <c r="M334" s="167" t="str">
        <f t="shared" si="0"/>
        <v>OK</v>
      </c>
    </row>
    <row r="335" spans="2:13" ht="12.75">
      <c r="B335" s="86">
        <v>1241</v>
      </c>
      <c r="C335" s="86">
        <v>334</v>
      </c>
      <c r="D335" s="86" t="s">
        <v>9565</v>
      </c>
      <c r="E335" s="86" t="s">
        <v>9484</v>
      </c>
      <c r="F335" s="86" t="s">
        <v>168</v>
      </c>
      <c r="G335" s="86">
        <v>50</v>
      </c>
      <c r="H335" s="86" t="s">
        <v>7404</v>
      </c>
      <c r="I335" s="86">
        <v>50</v>
      </c>
      <c r="J335" s="86" t="s">
        <v>285</v>
      </c>
      <c r="K335" s="8">
        <v>0</v>
      </c>
      <c r="L335" s="8" t="s">
        <v>9577</v>
      </c>
      <c r="M335" s="167" t="str">
        <f t="shared" si="0"/>
        <v>REPETIDO</v>
      </c>
    </row>
    <row r="336" spans="2:13" ht="12.75" hidden="1">
      <c r="B336" s="86">
        <v>1241</v>
      </c>
      <c r="C336" s="86">
        <v>335</v>
      </c>
      <c r="D336" s="86" t="s">
        <v>9580</v>
      </c>
      <c r="E336" s="86" t="s">
        <v>9439</v>
      </c>
      <c r="F336" s="86" t="s">
        <v>157</v>
      </c>
      <c r="G336" s="86">
        <v>47</v>
      </c>
      <c r="H336" s="86" t="s">
        <v>7601</v>
      </c>
      <c r="I336" s="86">
        <v>2</v>
      </c>
      <c r="J336" s="86" t="s">
        <v>9581</v>
      </c>
      <c r="K336" s="8">
        <v>650650</v>
      </c>
      <c r="L336" s="8" t="s">
        <v>9578</v>
      </c>
      <c r="M336" s="167" t="str">
        <f t="shared" si="0"/>
        <v>OK</v>
      </c>
    </row>
    <row r="337" spans="2:13" ht="12.75" hidden="1">
      <c r="B337" s="86">
        <v>1241</v>
      </c>
      <c r="C337" s="86">
        <v>336</v>
      </c>
      <c r="D337" s="86" t="s">
        <v>10113</v>
      </c>
      <c r="E337" s="86" t="s">
        <v>1460</v>
      </c>
      <c r="F337" s="86" t="s">
        <v>35</v>
      </c>
      <c r="G337" s="86">
        <v>50</v>
      </c>
      <c r="H337" s="86" t="s">
        <v>7404</v>
      </c>
      <c r="I337" s="86">
        <v>50</v>
      </c>
      <c r="J337" s="86" t="s">
        <v>10157</v>
      </c>
      <c r="K337" s="8">
        <v>522771</v>
      </c>
      <c r="L337" s="8"/>
      <c r="M337" s="167" t="str">
        <f t="shared" si="0"/>
        <v>OK</v>
      </c>
    </row>
    <row r="338" spans="2:13" ht="12.75" hidden="1">
      <c r="B338" s="86">
        <v>1241</v>
      </c>
      <c r="C338" s="86">
        <v>337</v>
      </c>
      <c r="D338" s="86" t="s">
        <v>9586</v>
      </c>
      <c r="E338" s="86" t="s">
        <v>4234</v>
      </c>
      <c r="F338" s="86" t="s">
        <v>35</v>
      </c>
      <c r="G338" s="86">
        <v>50</v>
      </c>
      <c r="H338" s="86" t="s">
        <v>7404</v>
      </c>
      <c r="I338" s="86">
        <v>50</v>
      </c>
      <c r="J338" s="86" t="s">
        <v>10197</v>
      </c>
      <c r="K338" s="8">
        <v>580342</v>
      </c>
      <c r="M338" s="167" t="str">
        <f t="shared" si="0"/>
        <v>OK</v>
      </c>
    </row>
    <row r="339" spans="2:13" ht="12.75" hidden="1">
      <c r="B339" s="86">
        <v>1246</v>
      </c>
      <c r="C339" s="86">
        <v>338</v>
      </c>
      <c r="D339" s="86" t="s">
        <v>9574</v>
      </c>
      <c r="E339" s="86" t="s">
        <v>3903</v>
      </c>
      <c r="F339" s="86" t="s">
        <v>49</v>
      </c>
      <c r="G339" s="86">
        <v>50</v>
      </c>
      <c r="H339" s="86" t="s">
        <v>7404</v>
      </c>
      <c r="I339" s="86">
        <v>50</v>
      </c>
      <c r="J339" s="86" t="s">
        <v>43</v>
      </c>
      <c r="K339" s="8">
        <v>649373</v>
      </c>
      <c r="M339" s="167" t="str">
        <f t="shared" si="0"/>
        <v>OK</v>
      </c>
    </row>
    <row r="340" spans="2:13" ht="12.75" hidden="1">
      <c r="B340" s="86">
        <v>1241</v>
      </c>
      <c r="C340" s="86">
        <v>339</v>
      </c>
      <c r="D340" s="86" t="s">
        <v>9585</v>
      </c>
      <c r="E340" s="86" t="s">
        <v>4274</v>
      </c>
      <c r="F340" s="86" t="s">
        <v>703</v>
      </c>
      <c r="G340" s="86">
        <v>50</v>
      </c>
      <c r="H340" s="86" t="s">
        <v>7404</v>
      </c>
      <c r="I340" s="86">
        <v>50</v>
      </c>
      <c r="J340" s="86" t="s">
        <v>10198</v>
      </c>
      <c r="K340" s="8">
        <v>649713</v>
      </c>
      <c r="M340" s="167" t="str">
        <f t="shared" si="0"/>
        <v>OK</v>
      </c>
    </row>
    <row r="341" spans="2:13" ht="12.75" hidden="1">
      <c r="B341" s="86">
        <v>1246</v>
      </c>
      <c r="C341" s="86">
        <v>340</v>
      </c>
      <c r="D341" s="86" t="s">
        <v>9568</v>
      </c>
      <c r="E341" s="86" t="s">
        <v>3401</v>
      </c>
      <c r="F341" s="86" t="s">
        <v>7298</v>
      </c>
      <c r="G341" s="86">
        <v>50</v>
      </c>
      <c r="H341" s="86" t="s">
        <v>7404</v>
      </c>
      <c r="I341" s="86">
        <v>50</v>
      </c>
      <c r="J341" s="86" t="s">
        <v>248</v>
      </c>
      <c r="K341" s="8">
        <v>649714</v>
      </c>
      <c r="M341" s="167" t="str">
        <f t="shared" si="0"/>
        <v>OK</v>
      </c>
    </row>
    <row r="342" spans="2:13" ht="12.75" hidden="1">
      <c r="B342" s="86">
        <v>1246</v>
      </c>
      <c r="C342" s="86">
        <v>341</v>
      </c>
      <c r="D342" s="86" t="s">
        <v>9568</v>
      </c>
      <c r="E342" s="86" t="s">
        <v>4706</v>
      </c>
      <c r="F342" s="86" t="s">
        <v>359</v>
      </c>
      <c r="G342" s="86">
        <v>50</v>
      </c>
      <c r="H342" s="86" t="s">
        <v>7404</v>
      </c>
      <c r="I342" s="86">
        <v>50</v>
      </c>
      <c r="J342" s="86" t="s">
        <v>354</v>
      </c>
      <c r="K342" s="8">
        <v>650895</v>
      </c>
      <c r="M342" s="167" t="str">
        <f t="shared" si="0"/>
        <v>OK</v>
      </c>
    </row>
    <row r="343" spans="2:13" ht="12.75" hidden="1">
      <c r="B343" s="86">
        <v>1241</v>
      </c>
      <c r="C343" s="86">
        <v>342</v>
      </c>
      <c r="D343" s="86" t="s">
        <v>9594</v>
      </c>
      <c r="E343" s="86" t="s">
        <v>3136</v>
      </c>
      <c r="F343" s="86" t="s">
        <v>35</v>
      </c>
      <c r="G343" s="86">
        <v>63</v>
      </c>
      <c r="H343" s="86" t="s">
        <v>10199</v>
      </c>
      <c r="I343" s="86">
        <v>63</v>
      </c>
      <c r="J343" s="86" t="s">
        <v>10144</v>
      </c>
      <c r="K343" s="8">
        <v>649693</v>
      </c>
      <c r="M343" s="167" t="str">
        <f t="shared" si="0"/>
        <v>OK</v>
      </c>
    </row>
    <row r="344" spans="2:13" ht="12.75" hidden="1">
      <c r="B344" s="86">
        <v>1241</v>
      </c>
      <c r="C344" s="86">
        <v>343</v>
      </c>
      <c r="D344" s="86" t="s">
        <v>9603</v>
      </c>
      <c r="E344" s="86" t="s">
        <v>3129</v>
      </c>
      <c r="F344" s="86" t="s">
        <v>35</v>
      </c>
      <c r="G344" s="86">
        <v>63</v>
      </c>
      <c r="H344" s="86" t="s">
        <v>10199</v>
      </c>
      <c r="I344" s="86">
        <v>63</v>
      </c>
      <c r="J344" s="86" t="s">
        <v>10200</v>
      </c>
      <c r="K344" s="8">
        <v>649694</v>
      </c>
      <c r="M344" s="167" t="str">
        <f t="shared" si="0"/>
        <v>OK</v>
      </c>
    </row>
    <row r="345" spans="2:13" ht="12.75" hidden="1">
      <c r="B345" s="86">
        <v>1241</v>
      </c>
      <c r="C345" s="86">
        <v>344</v>
      </c>
      <c r="D345" s="86" t="s">
        <v>10113</v>
      </c>
      <c r="E345" s="86" t="s">
        <v>3122</v>
      </c>
      <c r="F345" s="86" t="s">
        <v>35</v>
      </c>
      <c r="G345" s="86">
        <v>63</v>
      </c>
      <c r="H345" s="86" t="s">
        <v>10199</v>
      </c>
      <c r="I345" s="86">
        <v>63</v>
      </c>
      <c r="J345" s="86" t="s">
        <v>10157</v>
      </c>
      <c r="K345" s="8">
        <v>649696</v>
      </c>
      <c r="M345" s="167" t="str">
        <f t="shared" si="0"/>
        <v>OK</v>
      </c>
    </row>
    <row r="346" spans="2:13" ht="12.75" hidden="1">
      <c r="B346" s="86">
        <v>1241</v>
      </c>
      <c r="C346" s="86">
        <v>345</v>
      </c>
      <c r="D346" s="86" t="s">
        <v>10113</v>
      </c>
      <c r="E346" s="86" t="s">
        <v>3226</v>
      </c>
      <c r="F346" s="86" t="s">
        <v>35</v>
      </c>
      <c r="G346" s="86">
        <v>63</v>
      </c>
      <c r="H346" s="86" t="s">
        <v>10199</v>
      </c>
      <c r="I346" s="86">
        <v>63</v>
      </c>
      <c r="J346" s="86" t="s">
        <v>379</v>
      </c>
      <c r="K346" s="8">
        <v>649695</v>
      </c>
      <c r="M346" s="167" t="str">
        <f t="shared" si="0"/>
        <v>OK</v>
      </c>
    </row>
    <row r="347" spans="2:13" ht="12.75" hidden="1">
      <c r="B347" s="86">
        <v>1241</v>
      </c>
      <c r="C347" s="86">
        <v>346</v>
      </c>
      <c r="D347" s="86" t="s">
        <v>10097</v>
      </c>
      <c r="E347" s="86" t="s">
        <v>3105</v>
      </c>
      <c r="F347" s="86" t="s">
        <v>35</v>
      </c>
      <c r="G347" s="86">
        <v>63</v>
      </c>
      <c r="H347" s="86" t="s">
        <v>10199</v>
      </c>
      <c r="I347" s="86">
        <v>63</v>
      </c>
      <c r="J347" s="86" t="s">
        <v>10201</v>
      </c>
      <c r="K347" s="8">
        <v>518509</v>
      </c>
      <c r="M347" s="167" t="str">
        <f t="shared" si="0"/>
        <v>OK</v>
      </c>
    </row>
    <row r="348" spans="2:13" ht="12.75" hidden="1">
      <c r="B348" s="86">
        <v>1241</v>
      </c>
      <c r="C348" s="86">
        <v>347</v>
      </c>
      <c r="D348" s="86" t="s">
        <v>9576</v>
      </c>
      <c r="E348" s="86" t="s">
        <v>3111</v>
      </c>
      <c r="F348" s="86" t="s">
        <v>35</v>
      </c>
      <c r="G348" s="86">
        <v>63</v>
      </c>
      <c r="H348" s="86" t="s">
        <v>10199</v>
      </c>
      <c r="I348" s="86">
        <v>63</v>
      </c>
      <c r="J348" s="86" t="s">
        <v>927</v>
      </c>
      <c r="K348" s="8">
        <v>649697</v>
      </c>
      <c r="M348" s="167" t="str">
        <f t="shared" si="0"/>
        <v>OK</v>
      </c>
    </row>
    <row r="349" spans="2:13" ht="12.75">
      <c r="B349" s="86">
        <v>1241</v>
      </c>
      <c r="C349" s="86">
        <v>348</v>
      </c>
      <c r="D349" s="86" t="s">
        <v>9565</v>
      </c>
      <c r="E349" s="86" t="s">
        <v>9485</v>
      </c>
      <c r="F349" s="86" t="s">
        <v>168</v>
      </c>
      <c r="G349" s="86">
        <v>63</v>
      </c>
      <c r="H349" s="86" t="s">
        <v>10199</v>
      </c>
      <c r="I349" s="86">
        <v>63</v>
      </c>
      <c r="J349" s="86" t="s">
        <v>10202</v>
      </c>
      <c r="K349" s="8">
        <v>0</v>
      </c>
      <c r="L349" s="8" t="s">
        <v>51</v>
      </c>
      <c r="M349" s="167" t="str">
        <f t="shared" si="0"/>
        <v>REPETIDO</v>
      </c>
    </row>
    <row r="350" spans="2:13" ht="12.75" hidden="1">
      <c r="B350" s="86">
        <v>1241</v>
      </c>
      <c r="C350" s="86">
        <v>349</v>
      </c>
      <c r="D350" s="86" t="s">
        <v>9580</v>
      </c>
      <c r="E350" s="86" t="s">
        <v>3163</v>
      </c>
      <c r="F350" s="86" t="s">
        <v>157</v>
      </c>
      <c r="G350" s="86">
        <v>63</v>
      </c>
      <c r="H350" s="86" t="s">
        <v>10199</v>
      </c>
      <c r="I350" s="86">
        <v>63</v>
      </c>
      <c r="J350" s="86" t="s">
        <v>151</v>
      </c>
      <c r="K350" s="8">
        <v>650649</v>
      </c>
      <c r="M350" s="167" t="str">
        <f t="shared" si="0"/>
        <v>OK</v>
      </c>
    </row>
    <row r="351" spans="2:13" ht="12.75" hidden="1">
      <c r="B351" s="86">
        <v>1241</v>
      </c>
      <c r="C351" s="86">
        <v>350</v>
      </c>
      <c r="D351" s="86" t="s">
        <v>9569</v>
      </c>
      <c r="E351" s="86" t="s">
        <v>3156</v>
      </c>
      <c r="F351" s="86" t="s">
        <v>157</v>
      </c>
      <c r="G351" s="86">
        <v>63</v>
      </c>
      <c r="H351" s="86" t="s">
        <v>10199</v>
      </c>
      <c r="I351" s="86">
        <v>63</v>
      </c>
      <c r="J351" s="86" t="s">
        <v>1394</v>
      </c>
      <c r="K351" s="8">
        <v>650659</v>
      </c>
      <c r="M351" s="167" t="str">
        <f t="shared" si="0"/>
        <v>OK</v>
      </c>
    </row>
    <row r="352" spans="2:13" ht="12.75" hidden="1">
      <c r="B352" s="86">
        <v>1246</v>
      </c>
      <c r="C352" s="86">
        <v>351</v>
      </c>
      <c r="D352" s="86" t="s">
        <v>9574</v>
      </c>
      <c r="E352" s="86" t="s">
        <v>3142</v>
      </c>
      <c r="F352" s="86" t="s">
        <v>406</v>
      </c>
      <c r="G352" s="86">
        <v>63</v>
      </c>
      <c r="H352" s="86" t="s">
        <v>10199</v>
      </c>
      <c r="I352" s="86">
        <v>63</v>
      </c>
      <c r="J352" s="86" t="s">
        <v>457</v>
      </c>
      <c r="K352" s="8">
        <v>649366</v>
      </c>
      <c r="M352" s="167" t="str">
        <f t="shared" si="0"/>
        <v>OK</v>
      </c>
    </row>
    <row r="353" spans="2:13" ht="12.75" hidden="1">
      <c r="B353" s="86">
        <v>1246</v>
      </c>
      <c r="C353" s="86">
        <v>352</v>
      </c>
      <c r="D353" s="86" t="s">
        <v>9568</v>
      </c>
      <c r="E353" s="86" t="s">
        <v>3097</v>
      </c>
      <c r="F353" s="86" t="s">
        <v>359</v>
      </c>
      <c r="G353" s="86">
        <v>63</v>
      </c>
      <c r="H353" s="86" t="s">
        <v>10199</v>
      </c>
      <c r="I353" s="86">
        <v>63</v>
      </c>
      <c r="J353" s="86" t="s">
        <v>638</v>
      </c>
      <c r="K353" s="8">
        <v>650647</v>
      </c>
      <c r="M353" s="167" t="str">
        <f t="shared" si="0"/>
        <v>OK</v>
      </c>
    </row>
    <row r="354" spans="2:13" ht="12.75" hidden="1">
      <c r="B354" s="86">
        <v>1241</v>
      </c>
      <c r="C354" s="86">
        <v>353</v>
      </c>
      <c r="D354" s="86" t="s">
        <v>9571</v>
      </c>
      <c r="E354" s="86" t="s">
        <v>1475</v>
      </c>
      <c r="F354" s="86" t="s">
        <v>35</v>
      </c>
      <c r="G354" s="86">
        <v>16</v>
      </c>
      <c r="H354" s="86" t="s">
        <v>10203</v>
      </c>
      <c r="I354" s="86">
        <v>16</v>
      </c>
      <c r="J354" s="86" t="s">
        <v>10204</v>
      </c>
      <c r="K354" s="8">
        <v>583322</v>
      </c>
      <c r="M354" s="167" t="str">
        <f t="shared" si="0"/>
        <v>OK</v>
      </c>
    </row>
    <row r="355" spans="2:13" ht="12.75" hidden="1">
      <c r="B355" s="86">
        <v>1241</v>
      </c>
      <c r="C355" s="86">
        <v>354</v>
      </c>
      <c r="D355" s="86" t="s">
        <v>10097</v>
      </c>
      <c r="E355" s="86" t="s">
        <v>1502</v>
      </c>
      <c r="F355" s="86" t="s">
        <v>35</v>
      </c>
      <c r="G355" s="86">
        <v>16</v>
      </c>
      <c r="H355" s="86" t="s">
        <v>10203</v>
      </c>
      <c r="I355" s="86">
        <v>16</v>
      </c>
      <c r="J355" s="86" t="s">
        <v>117</v>
      </c>
      <c r="K355" s="8">
        <v>564906</v>
      </c>
      <c r="M355" s="167" t="str">
        <f t="shared" si="0"/>
        <v>OK</v>
      </c>
    </row>
    <row r="356" spans="2:13" ht="12.75" hidden="1">
      <c r="B356" s="86">
        <v>1241</v>
      </c>
      <c r="C356" s="86">
        <v>355</v>
      </c>
      <c r="D356" s="86" t="s">
        <v>9594</v>
      </c>
      <c r="E356" s="86" t="s">
        <v>1513</v>
      </c>
      <c r="F356" s="86" t="s">
        <v>35</v>
      </c>
      <c r="G356" s="86">
        <v>16</v>
      </c>
      <c r="H356" s="86" t="s">
        <v>10203</v>
      </c>
      <c r="I356" s="86">
        <v>16</v>
      </c>
      <c r="J356" s="86" t="s">
        <v>1510</v>
      </c>
      <c r="K356" s="8">
        <v>649459</v>
      </c>
      <c r="M356" s="167" t="str">
        <f t="shared" si="0"/>
        <v>OK</v>
      </c>
    </row>
    <row r="357" spans="2:13" ht="12.75" hidden="1">
      <c r="B357" s="86">
        <v>1241</v>
      </c>
      <c r="C357" s="86">
        <v>356</v>
      </c>
      <c r="D357" s="86" t="s">
        <v>10097</v>
      </c>
      <c r="E357" s="86" t="s">
        <v>1518</v>
      </c>
      <c r="F357" s="86" t="s">
        <v>35</v>
      </c>
      <c r="G357" s="86">
        <v>16</v>
      </c>
      <c r="H357" s="86" t="s">
        <v>10203</v>
      </c>
      <c r="I357" s="86">
        <v>16</v>
      </c>
      <c r="J357" s="86" t="s">
        <v>117</v>
      </c>
      <c r="K357" s="8">
        <v>649460</v>
      </c>
      <c r="M357" s="167" t="str">
        <f t="shared" si="0"/>
        <v>OK</v>
      </c>
    </row>
    <row r="358" spans="2:13" ht="12.75" hidden="1">
      <c r="B358" s="86">
        <v>1241</v>
      </c>
      <c r="C358" s="86">
        <v>357</v>
      </c>
      <c r="D358" s="86" t="s">
        <v>9571</v>
      </c>
      <c r="E358" s="86" t="s">
        <v>1507</v>
      </c>
      <c r="F358" s="86" t="s">
        <v>35</v>
      </c>
      <c r="G358" s="86">
        <v>16</v>
      </c>
      <c r="H358" s="86" t="s">
        <v>10203</v>
      </c>
      <c r="I358" s="86">
        <v>16</v>
      </c>
      <c r="J358" s="86" t="s">
        <v>72</v>
      </c>
      <c r="K358" s="8">
        <v>649461</v>
      </c>
      <c r="M358" s="167" t="str">
        <f t="shared" si="0"/>
        <v>OK</v>
      </c>
    </row>
    <row r="359" spans="2:13" ht="12.75">
      <c r="B359" s="86">
        <v>1241</v>
      </c>
      <c r="C359" s="86">
        <v>358</v>
      </c>
      <c r="D359" s="86" t="s">
        <v>9565</v>
      </c>
      <c r="E359" s="86" t="s">
        <v>9486</v>
      </c>
      <c r="F359" s="86" t="s">
        <v>168</v>
      </c>
      <c r="G359" s="86">
        <v>16</v>
      </c>
      <c r="H359" s="86" t="s">
        <v>10203</v>
      </c>
      <c r="I359" s="86">
        <v>16</v>
      </c>
      <c r="J359" s="86" t="s">
        <v>285</v>
      </c>
      <c r="K359" s="8">
        <v>0</v>
      </c>
      <c r="L359" s="8" t="s">
        <v>51</v>
      </c>
      <c r="M359" s="167" t="str">
        <f t="shared" si="0"/>
        <v>REPETIDO</v>
      </c>
    </row>
    <row r="360" spans="2:13" ht="12.75" hidden="1">
      <c r="B360" s="86">
        <v>1246</v>
      </c>
      <c r="C360" s="86">
        <v>359</v>
      </c>
      <c r="D360" s="86" t="s">
        <v>9574</v>
      </c>
      <c r="E360" s="86" t="s">
        <v>1588</v>
      </c>
      <c r="F360" s="86" t="s">
        <v>406</v>
      </c>
      <c r="G360" s="86">
        <v>16</v>
      </c>
      <c r="H360" s="86" t="s">
        <v>10203</v>
      </c>
      <c r="I360" s="86">
        <v>16</v>
      </c>
      <c r="J360" s="86" t="s">
        <v>457</v>
      </c>
      <c r="K360" s="8">
        <v>649364</v>
      </c>
      <c r="M360" s="167" t="str">
        <f t="shared" si="0"/>
        <v>OK</v>
      </c>
    </row>
    <row r="361" spans="2:13" ht="12.75" hidden="1">
      <c r="B361" s="86">
        <v>1241</v>
      </c>
      <c r="C361" s="86">
        <v>360</v>
      </c>
      <c r="D361" s="86" t="s">
        <v>9576</v>
      </c>
      <c r="E361" s="86" t="s">
        <v>1525</v>
      </c>
      <c r="F361" s="86" t="s">
        <v>35</v>
      </c>
      <c r="G361" s="86">
        <v>16</v>
      </c>
      <c r="H361" s="86" t="s">
        <v>10203</v>
      </c>
      <c r="I361" s="86">
        <v>16</v>
      </c>
      <c r="J361" s="86" t="s">
        <v>10205</v>
      </c>
      <c r="K361" s="8">
        <v>515600</v>
      </c>
      <c r="M361" s="167" t="str">
        <f t="shared" si="0"/>
        <v>OK</v>
      </c>
    </row>
    <row r="362" spans="2:13" ht="12.75" hidden="1">
      <c r="B362" s="86">
        <v>1246</v>
      </c>
      <c r="C362" s="86">
        <v>361</v>
      </c>
      <c r="D362" s="86" t="s">
        <v>9574</v>
      </c>
      <c r="E362" s="86" t="s">
        <v>1496</v>
      </c>
      <c r="F362" s="86" t="s">
        <v>406</v>
      </c>
      <c r="G362" s="86">
        <v>16</v>
      </c>
      <c r="H362" s="86" t="s">
        <v>10203</v>
      </c>
      <c r="I362" s="86">
        <v>16</v>
      </c>
      <c r="J362" s="86" t="s">
        <v>1492</v>
      </c>
      <c r="K362" s="8">
        <v>649363</v>
      </c>
      <c r="M362" s="167" t="str">
        <f t="shared" si="0"/>
        <v>OK</v>
      </c>
    </row>
    <row r="363" spans="2:13" ht="12.75" hidden="1">
      <c r="B363" s="86">
        <v>1241</v>
      </c>
      <c r="C363" s="86">
        <v>362</v>
      </c>
      <c r="D363" s="86" t="s">
        <v>9569</v>
      </c>
      <c r="E363" s="86" t="s">
        <v>1556</v>
      </c>
      <c r="F363" s="86" t="s">
        <v>205</v>
      </c>
      <c r="G363" s="86">
        <v>16</v>
      </c>
      <c r="H363" s="86" t="s">
        <v>10203</v>
      </c>
      <c r="I363" s="86">
        <v>16</v>
      </c>
      <c r="J363" s="86" t="s">
        <v>1552</v>
      </c>
      <c r="K363" s="8">
        <v>649384</v>
      </c>
      <c r="M363" s="167" t="str">
        <f t="shared" si="0"/>
        <v>OK</v>
      </c>
    </row>
    <row r="364" spans="2:13" ht="12.75" hidden="1">
      <c r="B364" s="86">
        <v>1241</v>
      </c>
      <c r="C364" s="86">
        <v>363</v>
      </c>
      <c r="D364" s="86" t="s">
        <v>9576</v>
      </c>
      <c r="E364" s="86" t="s">
        <v>1565</v>
      </c>
      <c r="F364" s="86" t="s">
        <v>35</v>
      </c>
      <c r="G364" s="86">
        <v>16</v>
      </c>
      <c r="H364" s="86" t="s">
        <v>10203</v>
      </c>
      <c r="I364" s="86">
        <v>16</v>
      </c>
      <c r="J364" s="86" t="s">
        <v>1561</v>
      </c>
      <c r="K364" s="8">
        <v>518522</v>
      </c>
      <c r="M364" s="167" t="str">
        <f t="shared" si="0"/>
        <v>OK</v>
      </c>
    </row>
    <row r="365" spans="2:13" ht="12.75" hidden="1">
      <c r="B365" s="86">
        <v>1241</v>
      </c>
      <c r="C365" s="86">
        <v>364</v>
      </c>
      <c r="D365" s="86" t="s">
        <v>9576</v>
      </c>
      <c r="E365" s="86" t="s">
        <v>1571</v>
      </c>
      <c r="F365" s="86" t="s">
        <v>35</v>
      </c>
      <c r="G365" s="86">
        <v>16</v>
      </c>
      <c r="H365" s="86" t="s">
        <v>10203</v>
      </c>
      <c r="I365" s="86">
        <v>16</v>
      </c>
      <c r="J365" s="86" t="s">
        <v>1561</v>
      </c>
      <c r="K365" s="8">
        <v>518521</v>
      </c>
      <c r="M365" s="167" t="str">
        <f t="shared" si="0"/>
        <v>OK</v>
      </c>
    </row>
    <row r="366" spans="2:13" ht="12.75" hidden="1">
      <c r="B366" s="86">
        <v>1241</v>
      </c>
      <c r="C366" s="86">
        <v>365</v>
      </c>
      <c r="D366" s="86" t="s">
        <v>9586</v>
      </c>
      <c r="E366" s="86" t="s">
        <v>2450</v>
      </c>
      <c r="F366" s="86" t="s">
        <v>35</v>
      </c>
      <c r="G366" s="86">
        <v>50</v>
      </c>
      <c r="H366" s="86" t="s">
        <v>7404</v>
      </c>
      <c r="I366" s="86">
        <v>50</v>
      </c>
      <c r="J366" s="86" t="s">
        <v>3992</v>
      </c>
      <c r="K366" s="8">
        <v>649683</v>
      </c>
      <c r="M366" s="167" t="str">
        <f t="shared" si="0"/>
        <v>OK</v>
      </c>
    </row>
    <row r="367" spans="2:13" ht="12.75" hidden="1">
      <c r="B367" s="86">
        <v>1241</v>
      </c>
      <c r="C367" s="86">
        <v>366</v>
      </c>
      <c r="D367" s="86" t="s">
        <v>10113</v>
      </c>
      <c r="E367" s="86" t="s">
        <v>2471</v>
      </c>
      <c r="F367" s="86" t="s">
        <v>35</v>
      </c>
      <c r="G367" s="86">
        <v>50</v>
      </c>
      <c r="H367" s="86" t="s">
        <v>7404</v>
      </c>
      <c r="I367" s="86">
        <v>50</v>
      </c>
      <c r="J367" s="86" t="s">
        <v>10157</v>
      </c>
      <c r="K367" s="8">
        <v>649712</v>
      </c>
      <c r="M367" s="167" t="str">
        <f t="shared" si="0"/>
        <v>OK</v>
      </c>
    </row>
    <row r="368" spans="2:13" ht="12.75" hidden="1">
      <c r="B368" s="86">
        <v>1241</v>
      </c>
      <c r="C368" s="86">
        <v>367</v>
      </c>
      <c r="D368" s="86" t="s">
        <v>9603</v>
      </c>
      <c r="E368" s="86" t="s">
        <v>2956</v>
      </c>
      <c r="F368" s="86" t="s">
        <v>35</v>
      </c>
      <c r="G368" s="86">
        <v>50</v>
      </c>
      <c r="H368" s="86" t="s">
        <v>7404</v>
      </c>
      <c r="I368" s="86">
        <v>50</v>
      </c>
      <c r="J368" s="86" t="s">
        <v>10206</v>
      </c>
      <c r="K368" s="8">
        <v>584141</v>
      </c>
      <c r="M368" s="167" t="str">
        <f t="shared" si="0"/>
        <v>OK</v>
      </c>
    </row>
    <row r="369" spans="2:13" ht="12.75" hidden="1">
      <c r="B369" s="86">
        <v>1241</v>
      </c>
      <c r="C369" s="86">
        <v>368</v>
      </c>
      <c r="D369" s="86" t="s">
        <v>9576</v>
      </c>
      <c r="E369" s="86" t="s">
        <v>2491</v>
      </c>
      <c r="F369" s="86" t="s">
        <v>35</v>
      </c>
      <c r="G369" s="86">
        <v>50</v>
      </c>
      <c r="H369" s="86" t="s">
        <v>7404</v>
      </c>
      <c r="I369" s="86">
        <v>50</v>
      </c>
      <c r="J369" s="86" t="s">
        <v>927</v>
      </c>
      <c r="K369" s="8">
        <v>516013</v>
      </c>
      <c r="L369" s="8"/>
      <c r="M369" s="167" t="str">
        <f t="shared" si="0"/>
        <v>OK</v>
      </c>
    </row>
    <row r="370" spans="2:13" ht="12.75" hidden="1">
      <c r="B370" s="86">
        <v>1241</v>
      </c>
      <c r="C370" s="86">
        <v>369</v>
      </c>
      <c r="D370" s="86" t="s">
        <v>9586</v>
      </c>
      <c r="E370" s="86" t="s">
        <v>2464</v>
      </c>
      <c r="F370" s="86" t="s">
        <v>35</v>
      </c>
      <c r="G370" s="86">
        <v>50</v>
      </c>
      <c r="H370" s="86" t="s">
        <v>7404</v>
      </c>
      <c r="I370" s="86">
        <v>50</v>
      </c>
      <c r="J370" s="86" t="s">
        <v>5332</v>
      </c>
      <c r="K370" s="8">
        <v>564867</v>
      </c>
      <c r="L370" s="8"/>
      <c r="M370" s="167" t="str">
        <f t="shared" si="0"/>
        <v>OK</v>
      </c>
    </row>
    <row r="371" spans="2:13" ht="12.75" hidden="1">
      <c r="B371" s="86">
        <v>1241</v>
      </c>
      <c r="C371" s="86">
        <v>370</v>
      </c>
      <c r="D371" s="86" t="s">
        <v>9580</v>
      </c>
      <c r="E371" s="86" t="s">
        <v>702</v>
      </c>
      <c r="F371" s="86" t="s">
        <v>703</v>
      </c>
      <c r="G371" s="86">
        <v>50</v>
      </c>
      <c r="H371" s="86" t="s">
        <v>7404</v>
      </c>
      <c r="I371" s="86">
        <v>50</v>
      </c>
      <c r="J371" s="86" t="s">
        <v>9581</v>
      </c>
      <c r="K371" s="8">
        <v>651087</v>
      </c>
      <c r="L371" s="8"/>
      <c r="M371" s="167" t="str">
        <f t="shared" si="0"/>
        <v>OK</v>
      </c>
    </row>
    <row r="372" spans="2:13" ht="12.75">
      <c r="B372" s="86">
        <v>1246</v>
      </c>
      <c r="C372" s="86">
        <v>371</v>
      </c>
      <c r="D372" s="86" t="s">
        <v>9568</v>
      </c>
      <c r="E372" s="86" t="s">
        <v>9541</v>
      </c>
      <c r="F372" s="86" t="s">
        <v>2540</v>
      </c>
      <c r="G372" s="86">
        <v>50</v>
      </c>
      <c r="H372" s="86" t="s">
        <v>7404</v>
      </c>
      <c r="I372" s="86">
        <v>50</v>
      </c>
      <c r="J372" s="86" t="s">
        <v>2535</v>
      </c>
      <c r="K372" s="8">
        <v>0</v>
      </c>
      <c r="L372" s="8" t="s">
        <v>2539</v>
      </c>
      <c r="M372" s="167" t="str">
        <f t="shared" si="0"/>
        <v>REPETIDO</v>
      </c>
    </row>
    <row r="373" spans="2:13" ht="12.75" hidden="1">
      <c r="B373" s="86">
        <v>1241</v>
      </c>
      <c r="C373" s="86">
        <v>372</v>
      </c>
      <c r="D373" s="86" t="s">
        <v>9586</v>
      </c>
      <c r="E373" s="86" t="s">
        <v>9326</v>
      </c>
      <c r="F373" s="86" t="s">
        <v>35</v>
      </c>
      <c r="G373" s="86">
        <v>50</v>
      </c>
      <c r="H373" s="86" t="s">
        <v>7404</v>
      </c>
      <c r="I373" s="86">
        <v>50</v>
      </c>
      <c r="J373" s="86" t="s">
        <v>6226</v>
      </c>
      <c r="K373" s="86">
        <v>566419</v>
      </c>
      <c r="L373" s="8" t="s">
        <v>10207</v>
      </c>
      <c r="M373" s="167" t="str">
        <f t="shared" si="0"/>
        <v>OK</v>
      </c>
    </row>
    <row r="374" spans="2:13" ht="12.75" hidden="1">
      <c r="B374" s="86">
        <v>1241</v>
      </c>
      <c r="C374" s="86">
        <v>373</v>
      </c>
      <c r="D374" s="86" t="s">
        <v>10113</v>
      </c>
      <c r="E374" s="86" t="s">
        <v>1800</v>
      </c>
      <c r="F374" s="86" t="s">
        <v>35</v>
      </c>
      <c r="G374" s="86">
        <v>50</v>
      </c>
      <c r="H374" s="86" t="s">
        <v>7404</v>
      </c>
      <c r="I374" s="86">
        <v>50</v>
      </c>
      <c r="J374" s="86" t="s">
        <v>4175</v>
      </c>
      <c r="K374" s="8" t="s">
        <v>1799</v>
      </c>
      <c r="L374" s="8" t="s">
        <v>10101</v>
      </c>
      <c r="M374" s="167" t="str">
        <f t="shared" si="0"/>
        <v>OK</v>
      </c>
    </row>
    <row r="375" spans="2:13" ht="12.75" hidden="1">
      <c r="B375" s="86">
        <v>1241</v>
      </c>
      <c r="C375" s="86">
        <v>374</v>
      </c>
      <c r="D375" s="86" t="s">
        <v>10208</v>
      </c>
      <c r="E375" s="86" t="s">
        <v>2692</v>
      </c>
      <c r="F375" s="86" t="s">
        <v>9388</v>
      </c>
      <c r="G375" s="86">
        <v>50</v>
      </c>
      <c r="H375" s="86" t="s">
        <v>7404</v>
      </c>
      <c r="I375" s="86">
        <v>50</v>
      </c>
      <c r="J375" s="86" t="s">
        <v>2688</v>
      </c>
      <c r="K375" s="8">
        <v>566194</v>
      </c>
      <c r="M375" s="167" t="str">
        <f t="shared" si="0"/>
        <v>OK</v>
      </c>
    </row>
    <row r="376" spans="2:13" ht="12.75" hidden="1">
      <c r="B376" s="86">
        <v>1246</v>
      </c>
      <c r="C376" s="86">
        <v>375</v>
      </c>
      <c r="D376" s="86" t="s">
        <v>9568</v>
      </c>
      <c r="E376" s="86" t="s">
        <v>2920</v>
      </c>
      <c r="F376" s="86" t="s">
        <v>359</v>
      </c>
      <c r="G376" s="86">
        <v>50</v>
      </c>
      <c r="H376" s="86" t="s">
        <v>7404</v>
      </c>
      <c r="I376" s="86">
        <v>50</v>
      </c>
      <c r="J376" s="86" t="s">
        <v>638</v>
      </c>
      <c r="K376" s="8">
        <v>541697</v>
      </c>
      <c r="M376" s="167" t="str">
        <f t="shared" si="0"/>
        <v>OK</v>
      </c>
    </row>
    <row r="377" spans="2:13" ht="12.75" hidden="1">
      <c r="B377" s="86">
        <v>1241</v>
      </c>
      <c r="C377" s="86">
        <v>376</v>
      </c>
      <c r="D377" s="86" t="s">
        <v>10208</v>
      </c>
      <c r="E377" s="86" t="s">
        <v>2833</v>
      </c>
      <c r="F377" s="86" t="s">
        <v>2357</v>
      </c>
      <c r="G377" s="86">
        <v>50</v>
      </c>
      <c r="H377" s="86" t="s">
        <v>7404</v>
      </c>
      <c r="I377" s="86">
        <v>50</v>
      </c>
      <c r="J377" s="86" t="s">
        <v>2352</v>
      </c>
      <c r="K377" s="8">
        <v>566177</v>
      </c>
      <c r="M377" s="167" t="str">
        <f t="shared" si="0"/>
        <v>OK</v>
      </c>
    </row>
    <row r="378" spans="2:13" ht="12.75" hidden="1">
      <c r="B378" s="86">
        <v>1241</v>
      </c>
      <c r="C378" s="86">
        <v>377</v>
      </c>
      <c r="D378" s="86" t="s">
        <v>10208</v>
      </c>
      <c r="E378" s="86" t="s">
        <v>2812</v>
      </c>
      <c r="F378" s="86" t="s">
        <v>663</v>
      </c>
      <c r="G378" s="86">
        <v>50</v>
      </c>
      <c r="H378" s="86" t="s">
        <v>7404</v>
      </c>
      <c r="I378" s="86">
        <v>50</v>
      </c>
      <c r="J378" s="86" t="s">
        <v>2352</v>
      </c>
      <c r="K378" s="8">
        <v>649641</v>
      </c>
      <c r="M378" s="167" t="str">
        <f t="shared" si="0"/>
        <v>OK</v>
      </c>
    </row>
    <row r="379" spans="2:13" ht="12.75" hidden="1">
      <c r="B379" s="86">
        <v>1241</v>
      </c>
      <c r="C379" s="86">
        <v>378</v>
      </c>
      <c r="D379" s="86" t="s">
        <v>10209</v>
      </c>
      <c r="E379" s="86" t="s">
        <v>2905</v>
      </c>
      <c r="F379" s="86" t="s">
        <v>359</v>
      </c>
      <c r="G379" s="86">
        <v>50</v>
      </c>
      <c r="H379" s="86" t="s">
        <v>7404</v>
      </c>
      <c r="I379" s="86">
        <v>50</v>
      </c>
      <c r="J379" s="86" t="s">
        <v>2901</v>
      </c>
      <c r="K379" s="8" t="s">
        <v>10210</v>
      </c>
      <c r="L379" s="86" t="s">
        <v>10101</v>
      </c>
      <c r="M379" s="167" t="str">
        <f t="shared" si="0"/>
        <v>OK</v>
      </c>
    </row>
    <row r="380" spans="2:13" ht="12.75" hidden="1">
      <c r="B380" s="86">
        <v>1241</v>
      </c>
      <c r="C380" s="86">
        <v>379</v>
      </c>
      <c r="D380" s="86" t="s">
        <v>9569</v>
      </c>
      <c r="E380" s="86" t="s">
        <v>4289</v>
      </c>
      <c r="F380" s="86" t="s">
        <v>157</v>
      </c>
      <c r="G380" s="86">
        <v>50</v>
      </c>
      <c r="H380" s="86" t="s">
        <v>7404</v>
      </c>
      <c r="I380" s="86">
        <v>50</v>
      </c>
      <c r="J380" s="86" t="s">
        <v>1394</v>
      </c>
      <c r="K380" s="8">
        <v>650660</v>
      </c>
      <c r="L380" s="8"/>
      <c r="M380" s="167" t="str">
        <f t="shared" si="0"/>
        <v>OK</v>
      </c>
    </row>
    <row r="381" spans="2:13" ht="12.75" hidden="1">
      <c r="B381" s="86">
        <v>1241</v>
      </c>
      <c r="C381" s="86">
        <v>380</v>
      </c>
      <c r="D381" s="86" t="s">
        <v>9597</v>
      </c>
      <c r="E381" s="86" t="s">
        <v>2747</v>
      </c>
      <c r="F381" s="86" t="s">
        <v>2748</v>
      </c>
      <c r="G381" s="86">
        <v>50</v>
      </c>
      <c r="H381" s="86" t="s">
        <v>7404</v>
      </c>
      <c r="I381" s="86">
        <v>50</v>
      </c>
      <c r="J381" s="86" t="s">
        <v>2743</v>
      </c>
      <c r="K381" s="8">
        <v>650641</v>
      </c>
      <c r="M381" s="167" t="str">
        <f t="shared" si="0"/>
        <v>OK</v>
      </c>
    </row>
    <row r="382" spans="2:13" ht="12.75" hidden="1">
      <c r="B382" s="86">
        <v>1241</v>
      </c>
      <c r="C382" s="86">
        <v>381</v>
      </c>
      <c r="D382" s="86" t="s">
        <v>9580</v>
      </c>
      <c r="E382" s="86" t="s">
        <v>2516</v>
      </c>
      <c r="F382" s="86" t="s">
        <v>9384</v>
      </c>
      <c r="G382" s="86">
        <v>50</v>
      </c>
      <c r="H382" s="86" t="s">
        <v>7404</v>
      </c>
      <c r="I382" s="86">
        <v>50</v>
      </c>
      <c r="J382" s="86" t="s">
        <v>9581</v>
      </c>
      <c r="K382" s="8" t="s">
        <v>2514</v>
      </c>
      <c r="L382" s="8" t="s">
        <v>10101</v>
      </c>
      <c r="M382" s="167" t="str">
        <f t="shared" si="0"/>
        <v>OK</v>
      </c>
    </row>
    <row r="383" spans="2:13" ht="12.75" hidden="1">
      <c r="B383" s="86">
        <v>1241</v>
      </c>
      <c r="C383" s="86">
        <v>382</v>
      </c>
      <c r="D383" s="86" t="s">
        <v>9565</v>
      </c>
      <c r="E383" s="86" t="s">
        <v>9482</v>
      </c>
      <c r="F383" s="86" t="s">
        <v>168</v>
      </c>
      <c r="G383" s="86">
        <v>50</v>
      </c>
      <c r="H383" s="86" t="s">
        <v>7404</v>
      </c>
      <c r="I383" s="86">
        <v>50</v>
      </c>
      <c r="J383" s="86" t="s">
        <v>285</v>
      </c>
      <c r="K383" s="8">
        <v>539085</v>
      </c>
      <c r="L383" s="8" t="s">
        <v>3282</v>
      </c>
      <c r="M383" s="167" t="str">
        <f t="shared" si="0"/>
        <v>OK</v>
      </c>
    </row>
    <row r="384" spans="2:13" ht="12.75" hidden="1">
      <c r="B384" s="86">
        <v>1241</v>
      </c>
      <c r="C384" s="86">
        <v>383</v>
      </c>
      <c r="D384" s="86" t="s">
        <v>10097</v>
      </c>
      <c r="E384" s="86" t="s">
        <v>2457</v>
      </c>
      <c r="F384" s="86" t="s">
        <v>35</v>
      </c>
      <c r="G384" s="86">
        <v>50</v>
      </c>
      <c r="H384" s="86" t="s">
        <v>7404</v>
      </c>
      <c r="I384" s="86">
        <v>50</v>
      </c>
      <c r="J384" s="86" t="s">
        <v>8437</v>
      </c>
      <c r="K384" s="8">
        <v>649676</v>
      </c>
      <c r="M384" s="167" t="str">
        <f t="shared" si="0"/>
        <v>OK</v>
      </c>
    </row>
    <row r="385" spans="2:13" ht="12.75" hidden="1">
      <c r="B385" s="86">
        <v>1241</v>
      </c>
      <c r="C385" s="86">
        <v>384</v>
      </c>
      <c r="D385" s="86" t="s">
        <v>9586</v>
      </c>
      <c r="E385" s="86" t="s">
        <v>2335</v>
      </c>
      <c r="F385" s="86" t="s">
        <v>35</v>
      </c>
      <c r="G385" s="86">
        <v>50</v>
      </c>
      <c r="H385" s="86" t="s">
        <v>7404</v>
      </c>
      <c r="I385" s="86">
        <v>50</v>
      </c>
      <c r="J385" s="86" t="s">
        <v>528</v>
      </c>
      <c r="K385" s="8">
        <v>564775</v>
      </c>
      <c r="M385" s="167" t="str">
        <f t="shared" si="0"/>
        <v>OK</v>
      </c>
    </row>
    <row r="386" spans="2:13" ht="12.75" hidden="1">
      <c r="B386" s="86">
        <v>1241</v>
      </c>
      <c r="C386" s="86">
        <v>385</v>
      </c>
      <c r="D386" s="86" t="s">
        <v>9576</v>
      </c>
      <c r="E386" s="86" t="s">
        <v>3233</v>
      </c>
      <c r="F386" s="86" t="s">
        <v>35</v>
      </c>
      <c r="G386" s="86">
        <v>50</v>
      </c>
      <c r="H386" s="86" t="s">
        <v>7404</v>
      </c>
      <c r="I386" s="86">
        <v>50</v>
      </c>
      <c r="J386" s="86" t="s">
        <v>2677</v>
      </c>
      <c r="K386" s="8">
        <v>515601</v>
      </c>
      <c r="L386" s="8"/>
      <c r="M386" s="167" t="str">
        <f t="shared" si="0"/>
        <v>OK</v>
      </c>
    </row>
    <row r="387" spans="2:13" ht="12.75" hidden="1">
      <c r="B387" s="86">
        <v>1246</v>
      </c>
      <c r="C387" s="86">
        <v>386</v>
      </c>
      <c r="D387" s="86" t="s">
        <v>9568</v>
      </c>
      <c r="E387" s="86" t="s">
        <v>2411</v>
      </c>
      <c r="F387" s="86" t="s">
        <v>303</v>
      </c>
      <c r="G387" s="86">
        <v>50</v>
      </c>
      <c r="H387" s="86" t="s">
        <v>7404</v>
      </c>
      <c r="I387" s="86">
        <v>50</v>
      </c>
      <c r="J387" s="86" t="s">
        <v>248</v>
      </c>
      <c r="K387" s="8">
        <v>524719</v>
      </c>
      <c r="M387" s="167" t="str">
        <f t="shared" si="0"/>
        <v>OK</v>
      </c>
    </row>
    <row r="388" spans="2:13" ht="12.75" hidden="1">
      <c r="B388" s="86">
        <v>1241</v>
      </c>
      <c r="C388" s="86">
        <v>387</v>
      </c>
      <c r="D388" s="86" t="s">
        <v>9586</v>
      </c>
      <c r="E388" s="86" t="s">
        <v>2387</v>
      </c>
      <c r="F388" s="86" t="s">
        <v>35</v>
      </c>
      <c r="G388" s="86">
        <v>50</v>
      </c>
      <c r="H388" s="86" t="s">
        <v>7404</v>
      </c>
      <c r="I388" s="86">
        <v>50</v>
      </c>
      <c r="J388" s="86" t="s">
        <v>528</v>
      </c>
      <c r="K388" s="8">
        <v>649682</v>
      </c>
      <c r="M388" s="167" t="str">
        <f t="shared" si="0"/>
        <v>OK</v>
      </c>
    </row>
    <row r="389" spans="2:13" ht="12.75" hidden="1">
      <c r="B389" s="86">
        <v>1246</v>
      </c>
      <c r="C389" s="86">
        <v>388</v>
      </c>
      <c r="D389" s="86" t="s">
        <v>10112</v>
      </c>
      <c r="E389" s="86" t="s">
        <v>2865</v>
      </c>
      <c r="F389" s="86" t="s">
        <v>2866</v>
      </c>
      <c r="G389" s="86">
        <v>50</v>
      </c>
      <c r="H389" s="86" t="s">
        <v>7404</v>
      </c>
      <c r="I389" s="86">
        <v>50</v>
      </c>
      <c r="J389" s="86" t="s">
        <v>2861</v>
      </c>
      <c r="K389" s="8" t="s">
        <v>10211</v>
      </c>
      <c r="L389" s="86" t="s">
        <v>10101</v>
      </c>
      <c r="M389" s="167" t="str">
        <f t="shared" si="0"/>
        <v>OK</v>
      </c>
    </row>
    <row r="390" spans="2:13" ht="12.75" hidden="1">
      <c r="B390" s="86">
        <v>1246</v>
      </c>
      <c r="C390" s="86">
        <v>389</v>
      </c>
      <c r="D390" s="86" t="s">
        <v>9574</v>
      </c>
      <c r="E390" s="86" t="s">
        <v>2645</v>
      </c>
      <c r="F390" s="86" t="s">
        <v>406</v>
      </c>
      <c r="G390" s="86">
        <v>50</v>
      </c>
      <c r="H390" s="86" t="s">
        <v>7686</v>
      </c>
      <c r="I390" s="86">
        <v>40</v>
      </c>
      <c r="J390" s="86" t="s">
        <v>2641</v>
      </c>
      <c r="K390" s="8">
        <v>649670</v>
      </c>
      <c r="M390" s="167" t="str">
        <f t="shared" si="0"/>
        <v>OK</v>
      </c>
    </row>
    <row r="391" spans="2:13" ht="12.75" hidden="1">
      <c r="B391" s="86">
        <v>1241</v>
      </c>
      <c r="C391" s="86">
        <v>390</v>
      </c>
      <c r="D391" s="86" t="s">
        <v>10097</v>
      </c>
      <c r="E391" s="86" t="s">
        <v>2666</v>
      </c>
      <c r="F391" s="86" t="s">
        <v>35</v>
      </c>
      <c r="G391" s="86">
        <v>50</v>
      </c>
      <c r="H391" s="86" t="s">
        <v>7686</v>
      </c>
      <c r="I391" s="86">
        <v>40</v>
      </c>
      <c r="J391" s="86" t="s">
        <v>117</v>
      </c>
      <c r="K391" s="8">
        <v>535536</v>
      </c>
      <c r="M391" s="167" t="str">
        <f t="shared" si="0"/>
        <v>OK</v>
      </c>
    </row>
    <row r="392" spans="2:13" ht="12.75" hidden="1">
      <c r="B392" s="86">
        <v>1241</v>
      </c>
      <c r="C392" s="86">
        <v>391</v>
      </c>
      <c r="D392" s="86" t="s">
        <v>9569</v>
      </c>
      <c r="E392" s="86" t="s">
        <v>814</v>
      </c>
      <c r="F392" s="86" t="s">
        <v>205</v>
      </c>
      <c r="G392" s="86">
        <v>50</v>
      </c>
      <c r="H392" s="86" t="s">
        <v>7404</v>
      </c>
      <c r="I392" s="86">
        <v>50</v>
      </c>
      <c r="J392" s="86" t="s">
        <v>1394</v>
      </c>
      <c r="K392" s="8">
        <v>535454</v>
      </c>
      <c r="M392" s="167" t="str">
        <f t="shared" si="0"/>
        <v>OK</v>
      </c>
    </row>
    <row r="393" spans="2:13" ht="12.75" hidden="1">
      <c r="B393" s="86">
        <v>1241</v>
      </c>
      <c r="C393" s="86">
        <v>392</v>
      </c>
      <c r="D393" s="86" t="s">
        <v>9576</v>
      </c>
      <c r="E393" s="86" t="s">
        <v>2659</v>
      </c>
      <c r="F393" s="86" t="s">
        <v>35</v>
      </c>
      <c r="G393" s="86">
        <v>50</v>
      </c>
      <c r="H393" s="86" t="s">
        <v>7686</v>
      </c>
      <c r="I393" s="86">
        <v>40</v>
      </c>
      <c r="J393" s="86" t="s">
        <v>927</v>
      </c>
      <c r="K393" s="8">
        <v>649671</v>
      </c>
      <c r="M393" s="167" t="str">
        <f t="shared" si="0"/>
        <v>OK</v>
      </c>
    </row>
    <row r="394" spans="2:13" ht="12.75" hidden="1">
      <c r="B394" s="86">
        <v>1241</v>
      </c>
      <c r="C394" s="86">
        <v>393</v>
      </c>
      <c r="D394" s="86" t="s">
        <v>9569</v>
      </c>
      <c r="E394" s="86" t="s">
        <v>9387</v>
      </c>
      <c r="F394" s="86" t="s">
        <v>205</v>
      </c>
      <c r="G394" s="86">
        <v>50</v>
      </c>
      <c r="H394" s="86" t="s">
        <v>7686</v>
      </c>
      <c r="I394" s="86">
        <v>40</v>
      </c>
      <c r="J394" s="86" t="s">
        <v>9378</v>
      </c>
      <c r="K394" s="8">
        <v>649688</v>
      </c>
      <c r="L394" s="8" t="s">
        <v>3282</v>
      </c>
      <c r="M394" s="167" t="str">
        <f t="shared" si="0"/>
        <v>OK</v>
      </c>
    </row>
    <row r="395" spans="2:13" ht="12.75" hidden="1">
      <c r="B395" s="86">
        <v>1241</v>
      </c>
      <c r="C395" s="86">
        <v>394</v>
      </c>
      <c r="D395" s="86" t="s">
        <v>9580</v>
      </c>
      <c r="E395" s="86" t="s">
        <v>2606</v>
      </c>
      <c r="F395" s="86" t="s">
        <v>9384</v>
      </c>
      <c r="G395" s="86">
        <v>50</v>
      </c>
      <c r="H395" s="86" t="s">
        <v>7686</v>
      </c>
      <c r="I395" s="86">
        <v>40</v>
      </c>
      <c r="J395" s="86" t="s">
        <v>151</v>
      </c>
      <c r="K395" s="8">
        <v>543572</v>
      </c>
      <c r="M395" s="167" t="str">
        <f t="shared" si="0"/>
        <v>OK</v>
      </c>
    </row>
    <row r="396" spans="2:13" ht="12.75" hidden="1">
      <c r="B396" s="86">
        <v>1241</v>
      </c>
      <c r="C396" s="86">
        <v>395</v>
      </c>
      <c r="D396" s="86" t="s">
        <v>9580</v>
      </c>
      <c r="E396" s="86" t="s">
        <v>2613</v>
      </c>
      <c r="F396" s="86" t="s">
        <v>9384</v>
      </c>
      <c r="G396" s="86">
        <v>50</v>
      </c>
      <c r="H396" s="86" t="s">
        <v>7686</v>
      </c>
      <c r="I396" s="86">
        <v>40</v>
      </c>
      <c r="J396" s="86" t="s">
        <v>151</v>
      </c>
      <c r="K396" s="8">
        <v>539105</v>
      </c>
      <c r="M396" s="167" t="str">
        <f t="shared" si="0"/>
        <v>OK</v>
      </c>
    </row>
    <row r="397" spans="2:13" ht="12.75" hidden="1">
      <c r="B397" s="86">
        <v>1241</v>
      </c>
      <c r="C397" s="86">
        <v>396</v>
      </c>
      <c r="D397" s="86" t="s">
        <v>9585</v>
      </c>
      <c r="E397" s="86" t="s">
        <v>2637</v>
      </c>
      <c r="F397" s="86" t="s">
        <v>143</v>
      </c>
      <c r="G397" s="86">
        <v>50</v>
      </c>
      <c r="H397" s="86" t="s">
        <v>7686</v>
      </c>
      <c r="I397" s="86">
        <v>40</v>
      </c>
      <c r="J397" s="86" t="s">
        <v>10198</v>
      </c>
      <c r="K397" s="8">
        <v>539051</v>
      </c>
      <c r="M397" s="167" t="str">
        <f t="shared" si="0"/>
        <v>OK</v>
      </c>
    </row>
    <row r="398" spans="2:13" ht="12.75" hidden="1">
      <c r="B398" s="86">
        <v>1241</v>
      </c>
      <c r="C398" s="86">
        <v>397</v>
      </c>
      <c r="D398" s="86" t="s">
        <v>9580</v>
      </c>
      <c r="E398" s="86" t="s">
        <v>2557</v>
      </c>
      <c r="F398" s="86" t="s">
        <v>205</v>
      </c>
      <c r="G398" s="86">
        <v>50</v>
      </c>
      <c r="H398" s="86" t="s">
        <v>2552</v>
      </c>
      <c r="I398" s="86">
        <v>55</v>
      </c>
      <c r="J398" s="86" t="s">
        <v>9581</v>
      </c>
      <c r="K398" s="8">
        <v>566531</v>
      </c>
      <c r="M398" s="167" t="str">
        <f t="shared" si="0"/>
        <v>OK</v>
      </c>
    </row>
    <row r="399" spans="2:13" ht="12.75" hidden="1">
      <c r="B399" s="86">
        <v>1241</v>
      </c>
      <c r="C399" s="86">
        <v>398</v>
      </c>
      <c r="D399" s="86" t="s">
        <v>9569</v>
      </c>
      <c r="E399" s="86" t="s">
        <v>2577</v>
      </c>
      <c r="F399" s="86" t="s">
        <v>9384</v>
      </c>
      <c r="G399" s="86">
        <v>50</v>
      </c>
      <c r="H399" s="86" t="s">
        <v>2552</v>
      </c>
      <c r="I399" s="86">
        <v>55</v>
      </c>
      <c r="J399" s="86" t="s">
        <v>1394</v>
      </c>
      <c r="K399" s="8">
        <v>649690</v>
      </c>
      <c r="M399" s="167" t="str">
        <f t="shared" si="0"/>
        <v>OK</v>
      </c>
    </row>
    <row r="400" spans="2:13" ht="12.75" hidden="1">
      <c r="B400" s="86">
        <v>1246</v>
      </c>
      <c r="C400" s="86">
        <v>399</v>
      </c>
      <c r="D400" s="86" t="s">
        <v>9574</v>
      </c>
      <c r="E400" s="86" t="s">
        <v>2585</v>
      </c>
      <c r="F400" s="86" t="s">
        <v>2586</v>
      </c>
      <c r="G400" s="86">
        <v>50</v>
      </c>
      <c r="H400" s="86" t="s">
        <v>2552</v>
      </c>
      <c r="I400" s="86">
        <v>55</v>
      </c>
      <c r="J400" s="86" t="s">
        <v>2581</v>
      </c>
      <c r="K400" s="8">
        <v>564888</v>
      </c>
      <c r="M400" s="167" t="str">
        <f t="shared" si="0"/>
        <v>OK</v>
      </c>
    </row>
    <row r="401" spans="2:13" ht="12.75" hidden="1">
      <c r="B401" s="86">
        <v>1241</v>
      </c>
      <c r="C401" s="86">
        <v>400</v>
      </c>
      <c r="D401" s="86" t="s">
        <v>10097</v>
      </c>
      <c r="E401" s="86" t="s">
        <v>2550</v>
      </c>
      <c r="F401" s="86" t="s">
        <v>35</v>
      </c>
      <c r="G401" s="86">
        <v>50</v>
      </c>
      <c r="H401" s="86" t="s">
        <v>2552</v>
      </c>
      <c r="I401" s="86">
        <v>55</v>
      </c>
      <c r="J401" s="86" t="s">
        <v>117</v>
      </c>
      <c r="K401" s="8">
        <v>651177</v>
      </c>
      <c r="M401" s="167" t="str">
        <f t="shared" si="0"/>
        <v>OK</v>
      </c>
    </row>
    <row r="402" spans="2:13" ht="12.75" hidden="1">
      <c r="B402" s="86">
        <v>1241</v>
      </c>
      <c r="C402" s="86">
        <v>401</v>
      </c>
      <c r="D402" s="86" t="s">
        <v>9576</v>
      </c>
      <c r="E402" s="86" t="s">
        <v>2593</v>
      </c>
      <c r="F402" s="86" t="s">
        <v>35</v>
      </c>
      <c r="G402" s="86">
        <v>50</v>
      </c>
      <c r="H402" s="86" t="s">
        <v>2552</v>
      </c>
      <c r="I402" s="86">
        <v>55</v>
      </c>
      <c r="J402" s="86" t="s">
        <v>927</v>
      </c>
      <c r="K402" s="8">
        <v>515599</v>
      </c>
      <c r="M402" s="167" t="str">
        <f t="shared" si="0"/>
        <v>OK</v>
      </c>
    </row>
    <row r="403" spans="2:13" ht="12.75" hidden="1">
      <c r="B403" s="86">
        <v>1241</v>
      </c>
      <c r="C403" s="86">
        <v>402</v>
      </c>
      <c r="D403" s="86" t="s">
        <v>9586</v>
      </c>
      <c r="E403" s="86" t="s">
        <v>762</v>
      </c>
      <c r="F403" s="86" t="s">
        <v>35</v>
      </c>
      <c r="G403" s="86">
        <v>50</v>
      </c>
      <c r="H403" s="86" t="s">
        <v>7404</v>
      </c>
      <c r="I403" s="86">
        <v>50</v>
      </c>
      <c r="J403" s="86" t="s">
        <v>5332</v>
      </c>
      <c r="K403" s="8">
        <v>651098</v>
      </c>
      <c r="L403" s="8"/>
      <c r="M403" s="167" t="str">
        <f t="shared" si="0"/>
        <v>OK</v>
      </c>
    </row>
    <row r="404" spans="2:13" ht="12.75" hidden="1">
      <c r="B404" s="86">
        <v>1241</v>
      </c>
      <c r="C404" s="86">
        <v>403</v>
      </c>
      <c r="D404" s="86" t="s">
        <v>9580</v>
      </c>
      <c r="E404" s="86" t="s">
        <v>3966</v>
      </c>
      <c r="F404" s="86" t="s">
        <v>205</v>
      </c>
      <c r="G404" s="86">
        <v>30</v>
      </c>
      <c r="H404" s="86" t="s">
        <v>10212</v>
      </c>
      <c r="I404" s="86">
        <v>21</v>
      </c>
      <c r="J404" s="86" t="s">
        <v>9581</v>
      </c>
      <c r="K404" s="8">
        <v>539112</v>
      </c>
      <c r="L404" s="8"/>
      <c r="M404" s="167" t="str">
        <f t="shared" si="0"/>
        <v>OK</v>
      </c>
    </row>
    <row r="405" spans="2:13" ht="12.75" hidden="1">
      <c r="B405" s="86">
        <v>1241</v>
      </c>
      <c r="C405" s="86">
        <v>404</v>
      </c>
      <c r="D405" s="86" t="s">
        <v>9586</v>
      </c>
      <c r="E405" s="86" t="s">
        <v>2531</v>
      </c>
      <c r="F405" s="86" t="s">
        <v>35</v>
      </c>
      <c r="G405" s="86">
        <v>50</v>
      </c>
      <c r="H405" s="86" t="s">
        <v>7404</v>
      </c>
      <c r="I405" s="86">
        <v>50</v>
      </c>
      <c r="J405" s="86" t="s">
        <v>528</v>
      </c>
      <c r="K405" s="8">
        <v>649658</v>
      </c>
      <c r="L405" s="8"/>
      <c r="M405" s="167" t="str">
        <f t="shared" si="0"/>
        <v>OK</v>
      </c>
    </row>
    <row r="406" spans="2:13" ht="12.75" hidden="1">
      <c r="B406" s="86">
        <v>1241</v>
      </c>
      <c r="C406" s="86">
        <v>405</v>
      </c>
      <c r="D406" s="86" t="s">
        <v>9603</v>
      </c>
      <c r="E406" s="86" t="s">
        <v>1595</v>
      </c>
      <c r="F406" s="86" t="s">
        <v>35</v>
      </c>
      <c r="G406" s="86">
        <v>52</v>
      </c>
      <c r="H406" s="86" t="s">
        <v>9609</v>
      </c>
      <c r="I406" s="86">
        <v>52</v>
      </c>
      <c r="J406" s="86" t="s">
        <v>10148</v>
      </c>
      <c r="K406" s="8">
        <v>649630</v>
      </c>
      <c r="M406" s="167" t="str">
        <f t="shared" si="0"/>
        <v>OK</v>
      </c>
    </row>
    <row r="407" spans="2:13" ht="12.75" hidden="1">
      <c r="B407" s="86">
        <v>1241</v>
      </c>
      <c r="C407" s="86">
        <v>406</v>
      </c>
      <c r="D407" s="86" t="s">
        <v>9594</v>
      </c>
      <c r="E407" s="86" t="s">
        <v>1720</v>
      </c>
      <c r="F407" s="86" t="s">
        <v>35</v>
      </c>
      <c r="G407" s="86">
        <v>52</v>
      </c>
      <c r="H407" s="86" t="s">
        <v>9609</v>
      </c>
      <c r="I407" s="86">
        <v>52</v>
      </c>
      <c r="J407" s="86" t="s">
        <v>1716</v>
      </c>
      <c r="K407" s="86" t="s">
        <v>1718</v>
      </c>
      <c r="L407" s="86" t="s">
        <v>10101</v>
      </c>
      <c r="M407" s="167" t="str">
        <f t="shared" si="0"/>
        <v>OK</v>
      </c>
    </row>
    <row r="408" spans="2:13" ht="12.75" hidden="1">
      <c r="B408" s="86">
        <v>1246</v>
      </c>
      <c r="C408" s="86">
        <v>407</v>
      </c>
      <c r="D408" s="86" t="s">
        <v>9574</v>
      </c>
      <c r="E408" s="86" t="s">
        <v>1692</v>
      </c>
      <c r="F408" s="86" t="s">
        <v>1693</v>
      </c>
      <c r="G408" s="86">
        <v>52</v>
      </c>
      <c r="H408" s="86" t="s">
        <v>9609</v>
      </c>
      <c r="I408" s="86">
        <v>52</v>
      </c>
      <c r="J408" s="86" t="s">
        <v>2581</v>
      </c>
      <c r="K408" s="8">
        <v>649631</v>
      </c>
      <c r="M408" s="167" t="str">
        <f t="shared" si="0"/>
        <v>OK</v>
      </c>
    </row>
    <row r="409" spans="2:13" ht="12.75" hidden="1">
      <c r="B409" s="86">
        <v>1241</v>
      </c>
      <c r="C409" s="86">
        <v>408</v>
      </c>
      <c r="D409" s="86" t="s">
        <v>9576</v>
      </c>
      <c r="E409" s="86" t="s">
        <v>1663</v>
      </c>
      <c r="F409" s="86" t="s">
        <v>35</v>
      </c>
      <c r="G409" s="86">
        <v>52</v>
      </c>
      <c r="H409" s="86" t="s">
        <v>9609</v>
      </c>
      <c r="I409" s="86">
        <v>52</v>
      </c>
      <c r="J409" s="86" t="s">
        <v>927</v>
      </c>
      <c r="K409" s="8">
        <v>522707</v>
      </c>
      <c r="M409" s="167" t="str">
        <f t="shared" si="0"/>
        <v>OK</v>
      </c>
    </row>
    <row r="410" spans="2:13" ht="12.75" hidden="1">
      <c r="B410" s="86">
        <v>1241</v>
      </c>
      <c r="C410" s="86">
        <v>409</v>
      </c>
      <c r="D410" s="86" t="s">
        <v>10113</v>
      </c>
      <c r="E410" s="86" t="s">
        <v>1707</v>
      </c>
      <c r="F410" s="86" t="s">
        <v>35</v>
      </c>
      <c r="G410" s="86">
        <v>52</v>
      </c>
      <c r="H410" s="86" t="s">
        <v>9609</v>
      </c>
      <c r="I410" s="86">
        <v>52</v>
      </c>
      <c r="J410" s="86" t="s">
        <v>1703</v>
      </c>
      <c r="K410" s="8">
        <v>539075</v>
      </c>
      <c r="M410" s="167" t="str">
        <f t="shared" si="0"/>
        <v>OK</v>
      </c>
    </row>
    <row r="411" spans="2:13" ht="12.75" hidden="1">
      <c r="B411" s="86">
        <v>1241</v>
      </c>
      <c r="C411" s="86">
        <v>410</v>
      </c>
      <c r="D411" s="86" t="s">
        <v>10113</v>
      </c>
      <c r="E411" s="86" t="s">
        <v>1713</v>
      </c>
      <c r="F411" s="86" t="s">
        <v>35</v>
      </c>
      <c r="G411" s="86">
        <v>52</v>
      </c>
      <c r="H411" s="86" t="s">
        <v>9609</v>
      </c>
      <c r="I411" s="86">
        <v>52</v>
      </c>
      <c r="J411" s="86" t="s">
        <v>1703</v>
      </c>
      <c r="K411" s="8">
        <v>539078</v>
      </c>
      <c r="M411" s="167" t="str">
        <f t="shared" si="0"/>
        <v>OK</v>
      </c>
    </row>
    <row r="412" spans="2:13" ht="12.75" hidden="1">
      <c r="B412" s="86">
        <v>1241</v>
      </c>
      <c r="C412" s="86">
        <v>411</v>
      </c>
      <c r="D412" s="86" t="s">
        <v>10113</v>
      </c>
      <c r="E412" s="86" t="s">
        <v>1678</v>
      </c>
      <c r="F412" s="86" t="s">
        <v>35</v>
      </c>
      <c r="G412" s="86">
        <v>52</v>
      </c>
      <c r="H412" s="86" t="s">
        <v>9609</v>
      </c>
      <c r="I412" s="86">
        <v>52</v>
      </c>
      <c r="J412" s="86" t="s">
        <v>1674</v>
      </c>
      <c r="K412" s="8">
        <v>516342</v>
      </c>
      <c r="M412" s="167" t="str">
        <f t="shared" si="0"/>
        <v>OK</v>
      </c>
    </row>
    <row r="413" spans="2:13" ht="12.75" hidden="1">
      <c r="B413" s="86">
        <v>1241</v>
      </c>
      <c r="C413" s="86">
        <v>412</v>
      </c>
      <c r="D413" s="86" t="s">
        <v>9586</v>
      </c>
      <c r="E413" s="86" t="s">
        <v>1700</v>
      </c>
      <c r="F413" s="86" t="s">
        <v>35</v>
      </c>
      <c r="G413" s="86">
        <v>52</v>
      </c>
      <c r="H413" s="86" t="s">
        <v>9609</v>
      </c>
      <c r="I413" s="86">
        <v>52</v>
      </c>
      <c r="J413" s="86" t="s">
        <v>528</v>
      </c>
      <c r="K413" s="8">
        <v>564824</v>
      </c>
      <c r="M413" s="167" t="str">
        <f t="shared" si="0"/>
        <v>OK</v>
      </c>
    </row>
    <row r="414" spans="2:13" ht="12.75" hidden="1">
      <c r="B414" s="86">
        <v>1241</v>
      </c>
      <c r="C414" s="86">
        <v>413</v>
      </c>
      <c r="D414" s="86" t="s">
        <v>10097</v>
      </c>
      <c r="E414" s="86" t="s">
        <v>1646</v>
      </c>
      <c r="F414" s="86" t="s">
        <v>35</v>
      </c>
      <c r="G414" s="86">
        <v>52</v>
      </c>
      <c r="H414" s="86" t="s">
        <v>9609</v>
      </c>
      <c r="I414" s="86">
        <v>52</v>
      </c>
      <c r="J414" s="86" t="s">
        <v>117</v>
      </c>
      <c r="K414" s="8">
        <v>649632</v>
      </c>
      <c r="M414" s="167" t="str">
        <f t="shared" si="0"/>
        <v>OK</v>
      </c>
    </row>
    <row r="415" spans="2:13" ht="12.75" hidden="1">
      <c r="B415" s="86">
        <v>1246</v>
      </c>
      <c r="C415" s="86">
        <v>414</v>
      </c>
      <c r="D415" s="86" t="s">
        <v>9568</v>
      </c>
      <c r="E415" s="86" t="s">
        <v>1725</v>
      </c>
      <c r="F415" s="86" t="s">
        <v>303</v>
      </c>
      <c r="G415" s="86">
        <v>52</v>
      </c>
      <c r="H415" s="86" t="s">
        <v>9609</v>
      </c>
      <c r="I415" s="86">
        <v>52</v>
      </c>
      <c r="J415" s="86" t="s">
        <v>249</v>
      </c>
      <c r="K415" s="8">
        <v>649569</v>
      </c>
      <c r="M415" s="167" t="str">
        <f t="shared" si="0"/>
        <v>OK</v>
      </c>
    </row>
    <row r="416" spans="2:13" ht="12.75" hidden="1">
      <c r="B416" s="86">
        <v>1241</v>
      </c>
      <c r="C416" s="86">
        <v>415</v>
      </c>
      <c r="D416" s="86" t="s">
        <v>9586</v>
      </c>
      <c r="E416" s="86" t="s">
        <v>1640</v>
      </c>
      <c r="F416" s="86" t="s">
        <v>35</v>
      </c>
      <c r="G416" s="86">
        <v>52</v>
      </c>
      <c r="H416" s="86" t="s">
        <v>1672</v>
      </c>
      <c r="I416" s="86">
        <v>7</v>
      </c>
      <c r="J416" s="86" t="s">
        <v>10189</v>
      </c>
      <c r="K416" s="86">
        <v>564661</v>
      </c>
      <c r="M416" s="167" t="str">
        <f t="shared" si="0"/>
        <v>OK</v>
      </c>
    </row>
    <row r="417" spans="2:13" ht="12.75" hidden="1">
      <c r="B417" s="86">
        <v>1241</v>
      </c>
      <c r="C417" s="86">
        <v>416</v>
      </c>
      <c r="D417" s="86" t="s">
        <v>9580</v>
      </c>
      <c r="E417" s="86" t="s">
        <v>1619</v>
      </c>
      <c r="F417" s="86" t="s">
        <v>9384</v>
      </c>
      <c r="G417" s="86">
        <v>52</v>
      </c>
      <c r="H417" s="86" t="s">
        <v>9609</v>
      </c>
      <c r="I417" s="86">
        <v>52</v>
      </c>
      <c r="J417" s="86" t="s">
        <v>9581</v>
      </c>
      <c r="K417" s="8">
        <v>649570</v>
      </c>
      <c r="M417" s="167" t="str">
        <f t="shared" si="0"/>
        <v>OK</v>
      </c>
    </row>
    <row r="418" spans="2:13" ht="12.75" hidden="1">
      <c r="B418" s="86">
        <v>1241</v>
      </c>
      <c r="C418" s="86">
        <v>417</v>
      </c>
      <c r="D418" s="86" t="s">
        <v>9571</v>
      </c>
      <c r="E418" s="86" t="s">
        <v>1655</v>
      </c>
      <c r="F418" s="86" t="s">
        <v>35</v>
      </c>
      <c r="G418" s="86">
        <v>52</v>
      </c>
      <c r="H418" s="86" t="s">
        <v>9609</v>
      </c>
      <c r="I418" s="86">
        <v>52</v>
      </c>
      <c r="J418" s="86" t="s">
        <v>1166</v>
      </c>
      <c r="K418" s="8">
        <v>649633</v>
      </c>
      <c r="M418" s="167" t="str">
        <f t="shared" si="0"/>
        <v>OK</v>
      </c>
    </row>
    <row r="419" spans="2:13" ht="12.75" hidden="1">
      <c r="B419" s="86">
        <v>1242</v>
      </c>
      <c r="C419" s="86">
        <v>418</v>
      </c>
      <c r="D419" s="86" t="s">
        <v>10121</v>
      </c>
      <c r="E419" s="86" t="s">
        <v>1685</v>
      </c>
      <c r="F419" s="86" t="s">
        <v>35</v>
      </c>
      <c r="G419" s="86">
        <v>52</v>
      </c>
      <c r="H419" s="86" t="s">
        <v>9609</v>
      </c>
      <c r="I419" s="86">
        <v>52</v>
      </c>
      <c r="J419" s="86" t="s">
        <v>10160</v>
      </c>
      <c r="K419" s="8">
        <v>517070</v>
      </c>
      <c r="M419" s="167" t="str">
        <f t="shared" si="0"/>
        <v>OK</v>
      </c>
    </row>
    <row r="420" spans="2:13" ht="12.75" hidden="1">
      <c r="B420" s="86">
        <v>1241</v>
      </c>
      <c r="C420" s="86">
        <v>419</v>
      </c>
      <c r="D420" s="86" t="s">
        <v>10113</v>
      </c>
      <c r="E420" s="86" t="s">
        <v>1670</v>
      </c>
      <c r="F420" s="86" t="s">
        <v>35</v>
      </c>
      <c r="G420" s="86">
        <v>52</v>
      </c>
      <c r="H420" s="86" t="s">
        <v>9609</v>
      </c>
      <c r="I420" s="86">
        <v>52</v>
      </c>
      <c r="J420" s="86" t="s">
        <v>831</v>
      </c>
      <c r="K420" s="8">
        <v>649571</v>
      </c>
      <c r="M420" s="167" t="str">
        <f t="shared" si="0"/>
        <v>OK</v>
      </c>
    </row>
    <row r="421" spans="2:13" ht="12.75" hidden="1">
      <c r="B421" s="86">
        <v>1241</v>
      </c>
      <c r="C421" s="86">
        <v>420</v>
      </c>
      <c r="D421" s="86" t="s">
        <v>10113</v>
      </c>
      <c r="E421" s="86" t="s">
        <v>1805</v>
      </c>
      <c r="F421" s="86" t="s">
        <v>35</v>
      </c>
      <c r="G421" s="86">
        <v>52</v>
      </c>
      <c r="H421" s="86" t="s">
        <v>9609</v>
      </c>
      <c r="I421" s="86">
        <v>52</v>
      </c>
      <c r="J421" s="86" t="s">
        <v>2040</v>
      </c>
      <c r="K421" s="8">
        <v>539074</v>
      </c>
      <c r="M421" s="167" t="str">
        <f t="shared" si="0"/>
        <v>OK</v>
      </c>
    </row>
    <row r="422" spans="2:13" ht="12.75" hidden="1">
      <c r="B422" s="86">
        <v>1241</v>
      </c>
      <c r="C422" s="86">
        <v>421</v>
      </c>
      <c r="D422" s="86" t="s">
        <v>10151</v>
      </c>
      <c r="E422" s="86" t="s">
        <v>1973</v>
      </c>
      <c r="F422" s="86" t="s">
        <v>216</v>
      </c>
      <c r="G422" s="86">
        <v>52</v>
      </c>
      <c r="H422" s="86" t="s">
        <v>9609</v>
      </c>
      <c r="I422" s="86">
        <v>52</v>
      </c>
      <c r="J422" s="86" t="s">
        <v>10213</v>
      </c>
      <c r="K422" s="8">
        <v>649401</v>
      </c>
      <c r="M422" s="167" t="str">
        <f t="shared" si="0"/>
        <v>OK</v>
      </c>
    </row>
    <row r="423" spans="2:13" ht="12.75" hidden="1">
      <c r="B423" s="86">
        <v>1241</v>
      </c>
      <c r="C423" s="86">
        <v>422</v>
      </c>
      <c r="D423" s="86" t="s">
        <v>9565</v>
      </c>
      <c r="E423" s="86" t="s">
        <v>1612</v>
      </c>
      <c r="F423" s="86" t="s">
        <v>168</v>
      </c>
      <c r="G423" s="86">
        <v>52</v>
      </c>
      <c r="H423" s="86" t="s">
        <v>9609</v>
      </c>
      <c r="I423" s="86">
        <v>52</v>
      </c>
      <c r="J423" s="86" t="s">
        <v>285</v>
      </c>
      <c r="K423" s="8">
        <v>538210</v>
      </c>
      <c r="M423" s="167" t="str">
        <f t="shared" si="0"/>
        <v>OK</v>
      </c>
    </row>
    <row r="424" spans="2:13" ht="12.75" hidden="1">
      <c r="B424" s="86">
        <v>1241</v>
      </c>
      <c r="C424" s="86">
        <v>423</v>
      </c>
      <c r="D424" s="86" t="s">
        <v>9580</v>
      </c>
      <c r="E424" s="86" t="s">
        <v>4437</v>
      </c>
      <c r="F424" s="86" t="s">
        <v>1220</v>
      </c>
      <c r="G424" s="86">
        <v>52</v>
      </c>
      <c r="H424" s="86" t="s">
        <v>1672</v>
      </c>
      <c r="I424" s="86">
        <v>7</v>
      </c>
      <c r="J424" s="86" t="s">
        <v>9581</v>
      </c>
      <c r="K424" s="8">
        <v>543587</v>
      </c>
      <c r="L424" s="8"/>
      <c r="M424" s="167" t="str">
        <f t="shared" si="0"/>
        <v>OK</v>
      </c>
    </row>
    <row r="425" spans="2:13" ht="12.75" hidden="1">
      <c r="B425" s="86">
        <v>1241</v>
      </c>
      <c r="C425" s="86">
        <v>424</v>
      </c>
      <c r="D425" s="86" t="s">
        <v>9586</v>
      </c>
      <c r="E425" s="86" t="s">
        <v>1770</v>
      </c>
      <c r="F425" s="86" t="s">
        <v>35</v>
      </c>
      <c r="G425" s="86">
        <v>52</v>
      </c>
      <c r="H425" s="86" t="s">
        <v>1672</v>
      </c>
      <c r="I425" s="86">
        <v>7</v>
      </c>
      <c r="J425" s="86" t="s">
        <v>5332</v>
      </c>
      <c r="K425" s="8">
        <v>564820</v>
      </c>
      <c r="M425" s="167" t="str">
        <f t="shared" si="0"/>
        <v>OK</v>
      </c>
    </row>
    <row r="426" spans="2:13" ht="12.75" hidden="1">
      <c r="B426" s="86">
        <v>1241</v>
      </c>
      <c r="C426" s="86">
        <v>425</v>
      </c>
      <c r="D426" s="86" t="s">
        <v>10097</v>
      </c>
      <c r="E426" s="86" t="s">
        <v>1764</v>
      </c>
      <c r="F426" s="86" t="s">
        <v>35</v>
      </c>
      <c r="G426" s="86">
        <v>52</v>
      </c>
      <c r="H426" s="86" t="s">
        <v>1672</v>
      </c>
      <c r="I426" s="86">
        <v>7</v>
      </c>
      <c r="J426" s="86" t="s">
        <v>117</v>
      </c>
      <c r="K426" s="8">
        <v>583458</v>
      </c>
      <c r="M426" s="167" t="str">
        <f t="shared" si="0"/>
        <v>OK</v>
      </c>
    </row>
    <row r="427" spans="2:13" ht="12.75" hidden="1">
      <c r="B427" s="86">
        <v>1241</v>
      </c>
      <c r="C427" s="86">
        <v>426</v>
      </c>
      <c r="D427" s="86" t="s">
        <v>10113</v>
      </c>
      <c r="E427" s="86" t="s">
        <v>1817</v>
      </c>
      <c r="F427" s="86" t="s">
        <v>35</v>
      </c>
      <c r="G427" s="86">
        <v>52</v>
      </c>
      <c r="H427" s="86" t="s">
        <v>1672</v>
      </c>
      <c r="I427" s="86">
        <v>7</v>
      </c>
      <c r="J427" s="86" t="s">
        <v>2040</v>
      </c>
      <c r="K427" s="8">
        <v>516280</v>
      </c>
      <c r="M427" s="167" t="str">
        <f t="shared" si="0"/>
        <v>OK</v>
      </c>
    </row>
    <row r="428" spans="2:13" ht="12.75" hidden="1">
      <c r="B428" s="86">
        <v>1241</v>
      </c>
      <c r="C428" s="86">
        <v>427</v>
      </c>
      <c r="D428" s="86" t="s">
        <v>10113</v>
      </c>
      <c r="E428" s="86" t="s">
        <v>1811</v>
      </c>
      <c r="F428" s="86" t="s">
        <v>35</v>
      </c>
      <c r="G428" s="86">
        <v>52</v>
      </c>
      <c r="H428" s="86" t="s">
        <v>1672</v>
      </c>
      <c r="I428" s="86">
        <v>7</v>
      </c>
      <c r="J428" s="86" t="s">
        <v>2040</v>
      </c>
      <c r="K428" s="8">
        <v>522723</v>
      </c>
      <c r="M428" s="167" t="str">
        <f t="shared" si="0"/>
        <v>OK</v>
      </c>
    </row>
    <row r="429" spans="2:13" ht="12.75" hidden="1">
      <c r="B429" s="86">
        <v>1246</v>
      </c>
      <c r="C429" s="86">
        <v>428</v>
      </c>
      <c r="D429" s="86" t="s">
        <v>9568</v>
      </c>
      <c r="E429" s="86" t="s">
        <v>1794</v>
      </c>
      <c r="F429" s="86" t="s">
        <v>978</v>
      </c>
      <c r="G429" s="86">
        <v>52</v>
      </c>
      <c r="H429" s="86" t="s">
        <v>1672</v>
      </c>
      <c r="I429" s="86">
        <v>7</v>
      </c>
      <c r="J429" s="86" t="s">
        <v>249</v>
      </c>
      <c r="K429" s="8">
        <v>649434</v>
      </c>
      <c r="M429" s="167" t="str">
        <f t="shared" si="0"/>
        <v>OK</v>
      </c>
    </row>
    <row r="430" spans="2:13" ht="12.75" hidden="1">
      <c r="B430" s="86">
        <v>1241</v>
      </c>
      <c r="C430" s="86">
        <v>429</v>
      </c>
      <c r="D430" s="86" t="s">
        <v>10113</v>
      </c>
      <c r="E430" s="86" t="s">
        <v>1968</v>
      </c>
      <c r="F430" s="86" t="s">
        <v>35</v>
      </c>
      <c r="G430" s="86">
        <v>52</v>
      </c>
      <c r="H430" s="86" t="s">
        <v>1672</v>
      </c>
      <c r="I430" s="86">
        <v>7</v>
      </c>
      <c r="J430" s="86" t="s">
        <v>927</v>
      </c>
      <c r="K430" s="8">
        <v>515611</v>
      </c>
      <c r="M430" s="167" t="str">
        <f t="shared" si="0"/>
        <v>OK</v>
      </c>
    </row>
    <row r="431" spans="2:13" ht="12.75" hidden="1">
      <c r="B431" s="86">
        <v>1241</v>
      </c>
      <c r="C431" s="86">
        <v>430</v>
      </c>
      <c r="D431" s="86" t="s">
        <v>9586</v>
      </c>
      <c r="E431" s="86" t="s">
        <v>1776</v>
      </c>
      <c r="F431" s="86" t="s">
        <v>35</v>
      </c>
      <c r="G431" s="86">
        <v>52</v>
      </c>
      <c r="H431" s="86" t="s">
        <v>1672</v>
      </c>
      <c r="I431" s="86">
        <v>7</v>
      </c>
      <c r="J431" s="86" t="s">
        <v>278</v>
      </c>
      <c r="K431" s="86">
        <v>564675</v>
      </c>
      <c r="M431" s="167" t="str">
        <f t="shared" si="0"/>
        <v>OK</v>
      </c>
    </row>
    <row r="432" spans="2:13" ht="12.75" hidden="1">
      <c r="B432" s="86">
        <v>1241</v>
      </c>
      <c r="C432" s="86">
        <v>431</v>
      </c>
      <c r="D432" s="86" t="s">
        <v>9586</v>
      </c>
      <c r="E432" s="86" t="s">
        <v>1743</v>
      </c>
      <c r="F432" s="86" t="s">
        <v>35</v>
      </c>
      <c r="G432" s="86">
        <v>52</v>
      </c>
      <c r="H432" s="86" t="s">
        <v>9609</v>
      </c>
      <c r="I432" s="86">
        <v>52</v>
      </c>
      <c r="J432" s="86" t="s">
        <v>1173</v>
      </c>
      <c r="K432" s="8">
        <v>564817</v>
      </c>
      <c r="M432" s="167" t="str">
        <f t="shared" si="0"/>
        <v>OK</v>
      </c>
    </row>
    <row r="433" spans="2:13" ht="12.75" hidden="1">
      <c r="B433" s="86">
        <v>1241</v>
      </c>
      <c r="C433" s="86">
        <v>432</v>
      </c>
      <c r="D433" s="86" t="s">
        <v>10097</v>
      </c>
      <c r="E433" s="86" t="s">
        <v>1734</v>
      </c>
      <c r="F433" s="86" t="s">
        <v>35</v>
      </c>
      <c r="G433" s="86">
        <v>52</v>
      </c>
      <c r="H433" s="86" t="s">
        <v>9609</v>
      </c>
      <c r="I433" s="86">
        <v>52</v>
      </c>
      <c r="J433" s="86" t="s">
        <v>117</v>
      </c>
      <c r="K433" s="8">
        <v>583463</v>
      </c>
      <c r="M433" s="167" t="str">
        <f t="shared" si="0"/>
        <v>OK</v>
      </c>
    </row>
    <row r="434" spans="2:13" ht="12.75" hidden="1">
      <c r="B434" s="86">
        <v>1241</v>
      </c>
      <c r="C434" s="86">
        <v>433</v>
      </c>
      <c r="D434" s="86" t="s">
        <v>9565</v>
      </c>
      <c r="E434" s="86" t="s">
        <v>4015</v>
      </c>
      <c r="F434" s="86" t="s">
        <v>168</v>
      </c>
      <c r="G434" s="86">
        <v>52</v>
      </c>
      <c r="H434" s="86" t="s">
        <v>9609</v>
      </c>
      <c r="I434" s="86">
        <v>52</v>
      </c>
      <c r="J434" s="86" t="s">
        <v>285</v>
      </c>
      <c r="K434" s="8">
        <v>527088</v>
      </c>
      <c r="M434" s="167" t="str">
        <f t="shared" si="0"/>
        <v>OK</v>
      </c>
    </row>
    <row r="435" spans="2:13" ht="12.75" hidden="1">
      <c r="B435" s="86">
        <v>1241</v>
      </c>
      <c r="C435" s="86">
        <v>434</v>
      </c>
      <c r="D435" s="86" t="s">
        <v>10113</v>
      </c>
      <c r="E435" s="86" t="s">
        <v>1454</v>
      </c>
      <c r="F435" s="86" t="s">
        <v>35</v>
      </c>
      <c r="G435" s="86">
        <v>52</v>
      </c>
      <c r="H435" s="86" t="s">
        <v>9609</v>
      </c>
      <c r="I435" s="86">
        <v>52</v>
      </c>
      <c r="J435" s="86" t="s">
        <v>606</v>
      </c>
      <c r="K435" s="8">
        <v>516341</v>
      </c>
      <c r="M435" s="167" t="str">
        <f t="shared" si="0"/>
        <v>OK</v>
      </c>
    </row>
    <row r="436" spans="2:13" ht="12.75" hidden="1">
      <c r="B436" s="86">
        <v>1241</v>
      </c>
      <c r="C436" s="86">
        <v>435</v>
      </c>
      <c r="D436" s="86" t="s">
        <v>9580</v>
      </c>
      <c r="E436" s="86" t="s">
        <v>1874</v>
      </c>
      <c r="F436" s="86" t="s">
        <v>9441</v>
      </c>
      <c r="G436" s="86">
        <v>52</v>
      </c>
      <c r="H436" s="86" t="s">
        <v>1550</v>
      </c>
      <c r="I436" s="86">
        <v>10</v>
      </c>
      <c r="J436" s="86" t="s">
        <v>9581</v>
      </c>
      <c r="K436" s="8">
        <v>649572</v>
      </c>
      <c r="M436" s="167" t="str">
        <f t="shared" si="0"/>
        <v>OK</v>
      </c>
    </row>
    <row r="437" spans="2:13" ht="12.75" hidden="1">
      <c r="B437" s="86">
        <v>1241</v>
      </c>
      <c r="C437" s="86">
        <v>436</v>
      </c>
      <c r="D437" s="86" t="s">
        <v>9569</v>
      </c>
      <c r="E437" s="86" t="s">
        <v>1867</v>
      </c>
      <c r="F437" s="86" t="s">
        <v>157</v>
      </c>
      <c r="G437" s="86">
        <v>52</v>
      </c>
      <c r="H437" s="86" t="s">
        <v>1550</v>
      </c>
      <c r="I437" s="86">
        <v>10</v>
      </c>
      <c r="J437" s="86" t="s">
        <v>1394</v>
      </c>
      <c r="K437" s="8">
        <v>650664</v>
      </c>
      <c r="M437" s="167" t="str">
        <f t="shared" si="0"/>
        <v>OK</v>
      </c>
    </row>
    <row r="438" spans="2:13" ht="12.75" hidden="1">
      <c r="B438" s="86">
        <v>1246</v>
      </c>
      <c r="C438" s="86">
        <v>437</v>
      </c>
      <c r="D438" s="86" t="s">
        <v>9568</v>
      </c>
      <c r="E438" s="86" t="s">
        <v>1861</v>
      </c>
      <c r="F438" s="86" t="s">
        <v>359</v>
      </c>
      <c r="G438" s="86">
        <v>52</v>
      </c>
      <c r="H438" s="86" t="s">
        <v>1550</v>
      </c>
      <c r="I438" s="86">
        <v>10</v>
      </c>
      <c r="J438" s="86" t="s">
        <v>354</v>
      </c>
      <c r="K438" s="8">
        <v>650902</v>
      </c>
      <c r="M438" s="167" t="str">
        <f t="shared" si="0"/>
        <v>OK</v>
      </c>
    </row>
    <row r="439" spans="2:13" ht="12.75" hidden="1">
      <c r="B439" s="86">
        <v>1246</v>
      </c>
      <c r="C439" s="86">
        <v>438</v>
      </c>
      <c r="D439" s="86" t="s">
        <v>9574</v>
      </c>
      <c r="E439" s="86" t="s">
        <v>1854</v>
      </c>
      <c r="F439" s="86" t="s">
        <v>49</v>
      </c>
      <c r="G439" s="86">
        <v>52</v>
      </c>
      <c r="H439" s="86" t="s">
        <v>1550</v>
      </c>
      <c r="I439" s="86">
        <v>10</v>
      </c>
      <c r="J439" s="86" t="s">
        <v>1850</v>
      </c>
      <c r="K439" s="8">
        <v>649573</v>
      </c>
      <c r="M439" s="167" t="str">
        <f t="shared" si="0"/>
        <v>OK</v>
      </c>
    </row>
    <row r="440" spans="2:13" ht="12.75" hidden="1">
      <c r="B440" s="86">
        <v>1241</v>
      </c>
      <c r="C440" s="86">
        <v>439</v>
      </c>
      <c r="D440" s="86" t="s">
        <v>10113</v>
      </c>
      <c r="E440" s="86" t="s">
        <v>1823</v>
      </c>
      <c r="F440" s="86" t="s">
        <v>35</v>
      </c>
      <c r="G440" s="86">
        <v>52</v>
      </c>
      <c r="H440" s="86" t="s">
        <v>1550</v>
      </c>
      <c r="I440" s="86">
        <v>10</v>
      </c>
      <c r="J440" s="86" t="s">
        <v>2040</v>
      </c>
      <c r="K440" s="8">
        <v>516227</v>
      </c>
      <c r="M440" s="167" t="str">
        <f t="shared" si="0"/>
        <v>OK</v>
      </c>
    </row>
    <row r="441" spans="2:13" ht="12.75" hidden="1">
      <c r="B441" s="86">
        <v>1241</v>
      </c>
      <c r="C441" s="86">
        <v>440</v>
      </c>
      <c r="D441" s="86" t="s">
        <v>10113</v>
      </c>
      <c r="E441" s="86" t="s">
        <v>1829</v>
      </c>
      <c r="F441" s="86" t="s">
        <v>35</v>
      </c>
      <c r="G441" s="86">
        <v>52</v>
      </c>
      <c r="H441" s="86" t="s">
        <v>1550</v>
      </c>
      <c r="I441" s="86">
        <v>10</v>
      </c>
      <c r="J441" s="86" t="s">
        <v>2040</v>
      </c>
      <c r="K441" s="8">
        <v>649574</v>
      </c>
      <c r="M441" s="167" t="str">
        <f t="shared" si="0"/>
        <v>OK</v>
      </c>
    </row>
    <row r="442" spans="2:13" ht="12.75" hidden="1">
      <c r="B442" s="86">
        <v>1241</v>
      </c>
      <c r="C442" s="86">
        <v>441</v>
      </c>
      <c r="D442" s="86" t="s">
        <v>10113</v>
      </c>
      <c r="E442" s="86" t="s">
        <v>1883</v>
      </c>
      <c r="F442" s="86" t="s">
        <v>35</v>
      </c>
      <c r="G442" s="86">
        <v>52</v>
      </c>
      <c r="H442" s="86" t="s">
        <v>1550</v>
      </c>
      <c r="I442" s="86">
        <v>10</v>
      </c>
      <c r="J442" s="86" t="s">
        <v>379</v>
      </c>
      <c r="K442" s="8">
        <v>564597</v>
      </c>
      <c r="M442" s="167" t="str">
        <f t="shared" si="0"/>
        <v>OK</v>
      </c>
    </row>
    <row r="443" spans="2:13" ht="12.75" hidden="1">
      <c r="B443" s="86">
        <v>1241</v>
      </c>
      <c r="C443" s="86">
        <v>442</v>
      </c>
      <c r="D443" s="86" t="s">
        <v>10097</v>
      </c>
      <c r="E443" s="86" t="s">
        <v>1841</v>
      </c>
      <c r="F443" s="86" t="s">
        <v>35</v>
      </c>
      <c r="G443" s="86">
        <v>52</v>
      </c>
      <c r="H443" s="86" t="s">
        <v>1550</v>
      </c>
      <c r="I443" s="86">
        <v>10</v>
      </c>
      <c r="J443" s="86" t="s">
        <v>117</v>
      </c>
      <c r="K443" s="8">
        <v>583456</v>
      </c>
      <c r="M443" s="167" t="str">
        <f t="shared" si="0"/>
        <v>OK</v>
      </c>
    </row>
    <row r="444" spans="2:13" ht="12.75" hidden="1">
      <c r="B444" s="86">
        <v>1241</v>
      </c>
      <c r="C444" s="86">
        <v>443</v>
      </c>
      <c r="D444" s="86" t="s">
        <v>9586</v>
      </c>
      <c r="E444" s="86" t="s">
        <v>1835</v>
      </c>
      <c r="F444" s="86" t="s">
        <v>35</v>
      </c>
      <c r="G444" s="86">
        <v>52</v>
      </c>
      <c r="H444" s="86" t="s">
        <v>1550</v>
      </c>
      <c r="I444" s="86">
        <v>10</v>
      </c>
      <c r="J444" s="86" t="s">
        <v>1173</v>
      </c>
      <c r="K444" s="8">
        <v>564819</v>
      </c>
      <c r="M444" s="167" t="str">
        <f t="shared" si="0"/>
        <v>OK</v>
      </c>
    </row>
    <row r="445" spans="2:13" ht="12.75" hidden="1">
      <c r="B445" s="86">
        <v>1241</v>
      </c>
      <c r="C445" s="86">
        <v>444</v>
      </c>
      <c r="D445" s="86" t="s">
        <v>9580</v>
      </c>
      <c r="E445" s="86" t="s">
        <v>1927</v>
      </c>
      <c r="F445" s="86" t="s">
        <v>297</v>
      </c>
      <c r="G445" s="86">
        <v>52</v>
      </c>
      <c r="H445" s="86" t="s">
        <v>1890</v>
      </c>
      <c r="I445" s="86">
        <v>46</v>
      </c>
      <c r="J445" s="86" t="s">
        <v>9581</v>
      </c>
      <c r="K445" s="8">
        <v>649575</v>
      </c>
      <c r="M445" s="167" t="str">
        <f t="shared" si="0"/>
        <v>OK</v>
      </c>
    </row>
    <row r="446" spans="2:13" ht="12.75" hidden="1">
      <c r="B446" s="86">
        <v>1241</v>
      </c>
      <c r="C446" s="86">
        <v>445</v>
      </c>
      <c r="D446" s="86" t="s">
        <v>9569</v>
      </c>
      <c r="E446" s="86" t="s">
        <v>1940</v>
      </c>
      <c r="F446" s="86" t="s">
        <v>205</v>
      </c>
      <c r="G446" s="86">
        <v>52</v>
      </c>
      <c r="H446" s="86" t="s">
        <v>1890</v>
      </c>
      <c r="I446" s="86">
        <v>46</v>
      </c>
      <c r="J446" s="86" t="s">
        <v>1394</v>
      </c>
      <c r="K446" s="8">
        <v>535487</v>
      </c>
      <c r="M446" s="167" t="str">
        <f t="shared" si="0"/>
        <v>OK</v>
      </c>
    </row>
    <row r="447" spans="2:13" ht="12.75" hidden="1">
      <c r="B447" s="86">
        <v>1241</v>
      </c>
      <c r="C447" s="86">
        <v>446</v>
      </c>
      <c r="D447" s="86" t="s">
        <v>9565</v>
      </c>
      <c r="E447" s="86" t="s">
        <v>1920</v>
      </c>
      <c r="F447" s="86" t="s">
        <v>168</v>
      </c>
      <c r="G447" s="86">
        <v>52</v>
      </c>
      <c r="H447" s="86" t="s">
        <v>1890</v>
      </c>
      <c r="I447" s="86">
        <v>46</v>
      </c>
      <c r="J447" s="86" t="s">
        <v>285</v>
      </c>
      <c r="K447" s="8">
        <v>533243</v>
      </c>
      <c r="M447" s="167" t="str">
        <f t="shared" si="0"/>
        <v>OK</v>
      </c>
    </row>
    <row r="448" spans="2:13" ht="12.75" hidden="1">
      <c r="B448" s="86">
        <v>1246</v>
      </c>
      <c r="C448" s="86">
        <v>447</v>
      </c>
      <c r="D448" s="86" t="s">
        <v>9568</v>
      </c>
      <c r="E448" s="86" t="s">
        <v>1953</v>
      </c>
      <c r="F448" s="86" t="s">
        <v>250</v>
      </c>
      <c r="G448" s="86">
        <v>52</v>
      </c>
      <c r="H448" s="86" t="s">
        <v>1890</v>
      </c>
      <c r="I448" s="86">
        <v>46</v>
      </c>
      <c r="J448" s="86" t="s">
        <v>249</v>
      </c>
      <c r="K448" s="8">
        <v>522298</v>
      </c>
      <c r="M448" s="167" t="str">
        <f t="shared" si="0"/>
        <v>OK</v>
      </c>
    </row>
    <row r="449" spans="2:13" ht="12.75" hidden="1">
      <c r="B449" s="86">
        <v>1246</v>
      </c>
      <c r="C449" s="86">
        <v>448</v>
      </c>
      <c r="D449" s="86" t="s">
        <v>9574</v>
      </c>
      <c r="E449" s="86" t="s">
        <v>1912</v>
      </c>
      <c r="F449" s="86" t="s">
        <v>9523</v>
      </c>
      <c r="G449" s="86">
        <v>52</v>
      </c>
      <c r="H449" s="86" t="s">
        <v>1890</v>
      </c>
      <c r="I449" s="86">
        <v>46</v>
      </c>
      <c r="J449" s="86" t="s">
        <v>10214</v>
      </c>
      <c r="K449" s="8">
        <v>564895</v>
      </c>
      <c r="M449" s="167" t="str">
        <f t="shared" si="0"/>
        <v>OK</v>
      </c>
    </row>
    <row r="450" spans="2:13" ht="12.75" hidden="1">
      <c r="B450" s="86">
        <v>1241</v>
      </c>
      <c r="C450" s="86">
        <v>449</v>
      </c>
      <c r="D450" s="86" t="s">
        <v>10113</v>
      </c>
      <c r="E450" s="86" t="s">
        <v>1895</v>
      </c>
      <c r="F450" s="86" t="s">
        <v>35</v>
      </c>
      <c r="G450" s="86">
        <v>52</v>
      </c>
      <c r="H450" s="86" t="s">
        <v>1890</v>
      </c>
      <c r="I450" s="86">
        <v>46</v>
      </c>
      <c r="J450" s="86" t="s">
        <v>2040</v>
      </c>
      <c r="K450" s="8" t="s">
        <v>1893</v>
      </c>
      <c r="L450" s="8" t="s">
        <v>10101</v>
      </c>
      <c r="M450" s="167" t="str">
        <f t="shared" si="0"/>
        <v>OK</v>
      </c>
    </row>
    <row r="451" spans="2:13" ht="12.75" hidden="1">
      <c r="B451" s="86">
        <v>1241</v>
      </c>
      <c r="C451" s="86">
        <v>450</v>
      </c>
      <c r="D451" s="86" t="s">
        <v>10113</v>
      </c>
      <c r="E451" s="86" t="s">
        <v>1889</v>
      </c>
      <c r="F451" s="86" t="s">
        <v>35</v>
      </c>
      <c r="G451" s="86">
        <v>52</v>
      </c>
      <c r="H451" s="86" t="s">
        <v>1890</v>
      </c>
      <c r="I451" s="86">
        <v>46</v>
      </c>
      <c r="J451" s="86" t="s">
        <v>2040</v>
      </c>
      <c r="K451" s="8" t="s">
        <v>1887</v>
      </c>
      <c r="L451" s="8" t="s">
        <v>10101</v>
      </c>
      <c r="M451" s="167" t="str">
        <f t="shared" si="0"/>
        <v>OK</v>
      </c>
    </row>
    <row r="452" spans="2:13" ht="12.75" hidden="1">
      <c r="B452" s="86">
        <v>1241</v>
      </c>
      <c r="C452" s="86">
        <v>451</v>
      </c>
      <c r="D452" s="86" t="s">
        <v>9576</v>
      </c>
      <c r="E452" s="86" t="s">
        <v>1962</v>
      </c>
      <c r="F452" s="86" t="s">
        <v>35</v>
      </c>
      <c r="G452" s="86">
        <v>52</v>
      </c>
      <c r="H452" s="86" t="s">
        <v>1890</v>
      </c>
      <c r="I452" s="86">
        <v>46</v>
      </c>
      <c r="J452" s="86" t="s">
        <v>2677</v>
      </c>
      <c r="K452" s="8">
        <v>516281</v>
      </c>
      <c r="M452" s="167" t="str">
        <f t="shared" si="0"/>
        <v>OK</v>
      </c>
    </row>
    <row r="453" spans="2:13" ht="12.75" hidden="1">
      <c r="B453" s="86">
        <v>1241</v>
      </c>
      <c r="C453" s="86">
        <v>452</v>
      </c>
      <c r="D453" s="86" t="s">
        <v>10097</v>
      </c>
      <c r="E453" s="86" t="s">
        <v>1906</v>
      </c>
      <c r="F453" s="86" t="s">
        <v>35</v>
      </c>
      <c r="G453" s="86">
        <v>52</v>
      </c>
      <c r="H453" s="86" t="s">
        <v>1890</v>
      </c>
      <c r="I453" s="86">
        <v>46</v>
      </c>
      <c r="J453" s="86" t="s">
        <v>117</v>
      </c>
      <c r="K453" s="8">
        <v>583459</v>
      </c>
      <c r="M453" s="167" t="str">
        <f t="shared" si="0"/>
        <v>OK</v>
      </c>
    </row>
    <row r="454" spans="2:13" ht="12.75" hidden="1">
      <c r="B454" s="86">
        <v>1241</v>
      </c>
      <c r="C454" s="86">
        <v>453</v>
      </c>
      <c r="D454" s="86" t="s">
        <v>9586</v>
      </c>
      <c r="E454" s="86" t="s">
        <v>1847</v>
      </c>
      <c r="F454" s="86" t="s">
        <v>35</v>
      </c>
      <c r="G454" s="86">
        <v>52</v>
      </c>
      <c r="H454" s="86" t="s">
        <v>1890</v>
      </c>
      <c r="I454" s="86">
        <v>46</v>
      </c>
      <c r="J454" s="86" t="s">
        <v>1173</v>
      </c>
      <c r="K454" s="8">
        <v>649636</v>
      </c>
      <c r="M454" s="167" t="str">
        <f t="shared" si="0"/>
        <v>OK</v>
      </c>
    </row>
    <row r="455" spans="2:13" ht="12.75" hidden="1">
      <c r="B455" s="86">
        <v>1241</v>
      </c>
      <c r="C455" s="86">
        <v>454</v>
      </c>
      <c r="D455" s="86" t="s">
        <v>9586</v>
      </c>
      <c r="E455" s="86" t="s">
        <v>1947</v>
      </c>
      <c r="F455" s="86" t="s">
        <v>35</v>
      </c>
      <c r="G455" s="86">
        <v>52</v>
      </c>
      <c r="H455" s="86" t="s">
        <v>1890</v>
      </c>
      <c r="I455" s="86">
        <v>46</v>
      </c>
      <c r="J455" s="86" t="s">
        <v>278</v>
      </c>
      <c r="K455" s="86">
        <v>564662</v>
      </c>
      <c r="M455" s="167" t="str">
        <f t="shared" si="0"/>
        <v>OK</v>
      </c>
    </row>
    <row r="456" spans="2:13" ht="12.75" hidden="1">
      <c r="B456" s="86">
        <v>1241</v>
      </c>
      <c r="C456" s="86">
        <v>455</v>
      </c>
      <c r="D456" s="86" t="s">
        <v>9586</v>
      </c>
      <c r="E456" s="86" t="s">
        <v>1900</v>
      </c>
      <c r="F456" s="86" t="s">
        <v>35</v>
      </c>
      <c r="G456" s="86">
        <v>52</v>
      </c>
      <c r="H456" s="86" t="s">
        <v>1890</v>
      </c>
      <c r="I456" s="86">
        <v>46</v>
      </c>
      <c r="J456" s="86" t="s">
        <v>528</v>
      </c>
      <c r="K456" s="8">
        <v>564818</v>
      </c>
      <c r="M456" s="167" t="str">
        <f t="shared" si="0"/>
        <v>OK</v>
      </c>
    </row>
    <row r="457" spans="2:13" ht="12.75" hidden="1">
      <c r="B457" s="86">
        <v>1241</v>
      </c>
      <c r="C457" s="86">
        <v>456</v>
      </c>
      <c r="D457" s="86" t="s">
        <v>9576</v>
      </c>
      <c r="E457" s="86" t="s">
        <v>3946</v>
      </c>
      <c r="F457" s="86" t="s">
        <v>35</v>
      </c>
      <c r="G457" s="86">
        <v>44</v>
      </c>
      <c r="H457" s="86" t="s">
        <v>3450</v>
      </c>
      <c r="I457" s="86">
        <v>44</v>
      </c>
      <c r="J457" s="86" t="s">
        <v>2677</v>
      </c>
      <c r="K457" s="8">
        <v>539052</v>
      </c>
      <c r="M457" s="167" t="str">
        <f t="shared" si="0"/>
        <v>OK</v>
      </c>
    </row>
    <row r="458" spans="2:13" ht="12.75" hidden="1">
      <c r="B458" s="86">
        <v>1241</v>
      </c>
      <c r="C458" s="86">
        <v>457</v>
      </c>
      <c r="D458" s="86" t="s">
        <v>9594</v>
      </c>
      <c r="E458" s="86" t="s">
        <v>3910</v>
      </c>
      <c r="F458" s="86" t="s">
        <v>35</v>
      </c>
      <c r="G458" s="86">
        <v>44</v>
      </c>
      <c r="H458" s="86" t="s">
        <v>3450</v>
      </c>
      <c r="I458" s="86">
        <v>44</v>
      </c>
      <c r="J458" s="86" t="s">
        <v>3906</v>
      </c>
      <c r="K458" s="86">
        <v>649566</v>
      </c>
      <c r="M458" s="167" t="str">
        <f t="shared" si="0"/>
        <v>OK</v>
      </c>
    </row>
    <row r="459" spans="2:13" ht="12.75" hidden="1">
      <c r="B459" s="86">
        <v>1241</v>
      </c>
      <c r="C459" s="86">
        <v>458</v>
      </c>
      <c r="D459" s="86" t="s">
        <v>10113</v>
      </c>
      <c r="E459" s="86" t="s">
        <v>9340</v>
      </c>
      <c r="F459" s="86" t="s">
        <v>35</v>
      </c>
      <c r="G459" s="86">
        <v>44</v>
      </c>
      <c r="H459" s="86" t="s">
        <v>3450</v>
      </c>
      <c r="I459" s="86">
        <v>44</v>
      </c>
      <c r="J459" s="86" t="s">
        <v>2040</v>
      </c>
      <c r="K459" s="8">
        <v>649567</v>
      </c>
      <c r="M459" s="167" t="str">
        <f t="shared" si="0"/>
        <v>OK</v>
      </c>
    </row>
    <row r="460" spans="2:13" ht="12.75" hidden="1">
      <c r="B460" s="86">
        <v>1241</v>
      </c>
      <c r="C460" s="86">
        <v>459</v>
      </c>
      <c r="D460" s="86" t="s">
        <v>10113</v>
      </c>
      <c r="E460" s="86" t="s">
        <v>3876</v>
      </c>
      <c r="F460" s="86" t="s">
        <v>35</v>
      </c>
      <c r="G460" s="86">
        <v>44</v>
      </c>
      <c r="H460" s="86" t="s">
        <v>3450</v>
      </c>
      <c r="I460" s="86">
        <v>44</v>
      </c>
      <c r="J460" s="86" t="s">
        <v>2040</v>
      </c>
      <c r="K460" s="8">
        <v>539073</v>
      </c>
      <c r="M460" s="167" t="str">
        <f t="shared" si="0"/>
        <v>OK</v>
      </c>
    </row>
    <row r="461" spans="2:13" ht="12.75" hidden="1">
      <c r="B461" s="86">
        <v>1241</v>
      </c>
      <c r="C461" s="86">
        <v>460</v>
      </c>
      <c r="D461" s="86" t="s">
        <v>10113</v>
      </c>
      <c r="E461" s="86" t="s">
        <v>4310</v>
      </c>
      <c r="F461" s="86" t="s">
        <v>35</v>
      </c>
      <c r="G461" s="86">
        <v>44</v>
      </c>
      <c r="H461" s="86" t="s">
        <v>3450</v>
      </c>
      <c r="I461" s="86">
        <v>44</v>
      </c>
      <c r="J461" s="86" t="s">
        <v>379</v>
      </c>
      <c r="K461" s="8">
        <v>649716</v>
      </c>
      <c r="M461" s="167" t="str">
        <f t="shared" si="0"/>
        <v>OK</v>
      </c>
    </row>
    <row r="462" spans="2:13" ht="12.75" hidden="1">
      <c r="B462" s="86">
        <v>1241</v>
      </c>
      <c r="C462" s="86">
        <v>461</v>
      </c>
      <c r="D462" s="86" t="s">
        <v>9580</v>
      </c>
      <c r="E462" s="86" t="s">
        <v>4430</v>
      </c>
      <c r="F462" s="86" t="s">
        <v>205</v>
      </c>
      <c r="G462" s="86">
        <v>44</v>
      </c>
      <c r="H462" s="86" t="s">
        <v>3450</v>
      </c>
      <c r="I462" s="86">
        <v>44</v>
      </c>
      <c r="J462" s="86" t="s">
        <v>9581</v>
      </c>
      <c r="K462" s="8">
        <v>539009</v>
      </c>
      <c r="M462" s="167" t="str">
        <f t="shared" si="0"/>
        <v>OK</v>
      </c>
    </row>
    <row r="463" spans="2:13" ht="12.75" hidden="1">
      <c r="B463" s="86">
        <v>1241</v>
      </c>
      <c r="C463" s="86">
        <v>462</v>
      </c>
      <c r="D463" s="86" t="s">
        <v>9586</v>
      </c>
      <c r="E463" s="86" t="s">
        <v>3897</v>
      </c>
      <c r="F463" s="86" t="s">
        <v>35</v>
      </c>
      <c r="G463" s="86">
        <v>44</v>
      </c>
      <c r="H463" s="86" t="s">
        <v>3450</v>
      </c>
      <c r="I463" s="86">
        <v>44</v>
      </c>
      <c r="J463" s="86" t="s">
        <v>528</v>
      </c>
      <c r="K463" s="8">
        <v>649558</v>
      </c>
      <c r="M463" s="167" t="str">
        <f t="shared" si="0"/>
        <v>OK</v>
      </c>
    </row>
    <row r="464" spans="2:13" ht="12.75" hidden="1">
      <c r="B464" s="86">
        <v>1246</v>
      </c>
      <c r="C464" s="86">
        <v>463</v>
      </c>
      <c r="D464" s="86" t="s">
        <v>9574</v>
      </c>
      <c r="E464" s="86" t="s">
        <v>4296</v>
      </c>
      <c r="F464" s="86" t="s">
        <v>49</v>
      </c>
      <c r="G464" s="86">
        <v>44</v>
      </c>
      <c r="H464" s="86" t="s">
        <v>3450</v>
      </c>
      <c r="I464" s="86">
        <v>44</v>
      </c>
      <c r="J464" s="86" t="s">
        <v>1850</v>
      </c>
      <c r="K464" s="8">
        <v>649371</v>
      </c>
      <c r="M464" s="167" t="str">
        <f t="shared" si="0"/>
        <v>OK</v>
      </c>
    </row>
    <row r="465" spans="2:13" ht="12.75" hidden="1">
      <c r="B465" s="86">
        <v>1241</v>
      </c>
      <c r="C465" s="86">
        <v>464</v>
      </c>
      <c r="D465" s="86" t="s">
        <v>9565</v>
      </c>
      <c r="E465" s="86" t="s">
        <v>3974</v>
      </c>
      <c r="F465" s="86" t="s">
        <v>168</v>
      </c>
      <c r="G465" s="86">
        <v>44</v>
      </c>
      <c r="H465" s="86" t="s">
        <v>3450</v>
      </c>
      <c r="I465" s="86">
        <v>44</v>
      </c>
      <c r="J465" s="86" t="s">
        <v>285</v>
      </c>
      <c r="K465" s="8">
        <v>527092</v>
      </c>
      <c r="M465" s="167" t="str">
        <f t="shared" si="0"/>
        <v>OK</v>
      </c>
    </row>
    <row r="466" spans="2:13" ht="12.75" hidden="1">
      <c r="B466" s="86">
        <v>1241</v>
      </c>
      <c r="C466" s="86">
        <v>465</v>
      </c>
      <c r="D466" s="86" t="s">
        <v>10097</v>
      </c>
      <c r="E466" s="86" t="s">
        <v>3927</v>
      </c>
      <c r="F466" s="86" t="s">
        <v>35</v>
      </c>
      <c r="G466" s="86">
        <v>44</v>
      </c>
      <c r="H466" s="86" t="s">
        <v>3450</v>
      </c>
      <c r="I466" s="86">
        <v>44</v>
      </c>
      <c r="J466" s="86" t="s">
        <v>117</v>
      </c>
      <c r="K466" s="8">
        <v>583455</v>
      </c>
      <c r="M466" s="167" t="str">
        <f t="shared" si="0"/>
        <v>OK</v>
      </c>
    </row>
    <row r="467" spans="2:13" ht="12.75" hidden="1">
      <c r="B467" s="86">
        <v>1241</v>
      </c>
      <c r="C467" s="86">
        <v>466</v>
      </c>
      <c r="D467" s="86" t="s">
        <v>9569</v>
      </c>
      <c r="E467" s="86" t="s">
        <v>3958</v>
      </c>
      <c r="F467" s="86" t="s">
        <v>205</v>
      </c>
      <c r="G467" s="86">
        <v>44</v>
      </c>
      <c r="H467" s="86" t="s">
        <v>3450</v>
      </c>
      <c r="I467" s="86">
        <v>44</v>
      </c>
      <c r="J467" s="86" t="s">
        <v>1394</v>
      </c>
      <c r="K467" s="8">
        <v>539045</v>
      </c>
      <c r="M467" s="167" t="str">
        <f t="shared" si="0"/>
        <v>OK</v>
      </c>
    </row>
    <row r="468" spans="2:13" ht="12.75" hidden="1">
      <c r="B468" s="86">
        <v>1241</v>
      </c>
      <c r="C468" s="86">
        <v>467</v>
      </c>
      <c r="D468" s="86" t="s">
        <v>9586</v>
      </c>
      <c r="E468" s="86" t="s">
        <v>3890</v>
      </c>
      <c r="F468" s="86" t="s">
        <v>35</v>
      </c>
      <c r="G468" s="86">
        <v>44</v>
      </c>
      <c r="H468" s="86" t="s">
        <v>3450</v>
      </c>
      <c r="I468" s="86">
        <v>44</v>
      </c>
      <c r="J468" s="86" t="s">
        <v>10215</v>
      </c>
      <c r="K468" s="8">
        <v>649557</v>
      </c>
      <c r="M468" s="167" t="str">
        <f t="shared" si="0"/>
        <v>OK</v>
      </c>
    </row>
    <row r="469" spans="2:13" ht="12.75" hidden="1">
      <c r="B469" s="86">
        <v>1241</v>
      </c>
      <c r="C469" s="86">
        <v>468</v>
      </c>
      <c r="D469" s="86" t="s">
        <v>9586</v>
      </c>
      <c r="E469" s="86" t="s">
        <v>3859</v>
      </c>
      <c r="F469" s="86" t="s">
        <v>35</v>
      </c>
      <c r="G469" s="86">
        <v>44</v>
      </c>
      <c r="H469" s="86" t="s">
        <v>3450</v>
      </c>
      <c r="I469" s="86">
        <v>44</v>
      </c>
      <c r="J469" s="86" t="s">
        <v>10215</v>
      </c>
      <c r="K469" s="8">
        <v>649556</v>
      </c>
      <c r="M469" s="167" t="str">
        <f t="shared" si="0"/>
        <v>OK</v>
      </c>
    </row>
    <row r="470" spans="2:13" ht="12.75" hidden="1">
      <c r="B470" s="86">
        <v>1241</v>
      </c>
      <c r="C470" s="86">
        <v>469</v>
      </c>
      <c r="D470" s="86" t="s">
        <v>9571</v>
      </c>
      <c r="E470" s="86" t="s">
        <v>3915</v>
      </c>
      <c r="F470" s="86" t="s">
        <v>35</v>
      </c>
      <c r="G470" s="86">
        <v>44</v>
      </c>
      <c r="H470" s="86" t="s">
        <v>3450</v>
      </c>
      <c r="I470" s="86">
        <v>44</v>
      </c>
      <c r="J470" s="86" t="s">
        <v>29</v>
      </c>
      <c r="K470" s="8">
        <v>649559</v>
      </c>
      <c r="M470" s="167" t="str">
        <f t="shared" si="0"/>
        <v>OK</v>
      </c>
    </row>
    <row r="471" spans="2:13" ht="12.75" hidden="1">
      <c r="B471" s="86">
        <v>1246</v>
      </c>
      <c r="C471" s="86">
        <v>470</v>
      </c>
      <c r="D471" s="86" t="s">
        <v>9568</v>
      </c>
      <c r="E471" s="86" t="s">
        <v>4422</v>
      </c>
      <c r="F471" s="86" t="s">
        <v>303</v>
      </c>
      <c r="G471" s="86">
        <v>44</v>
      </c>
      <c r="H471" s="86" t="s">
        <v>3450</v>
      </c>
      <c r="I471" s="86">
        <v>44</v>
      </c>
      <c r="J471" s="86" t="s">
        <v>249</v>
      </c>
      <c r="K471" s="8">
        <v>539064</v>
      </c>
      <c r="M471" s="167" t="str">
        <f t="shared" si="0"/>
        <v>OK</v>
      </c>
    </row>
    <row r="472" spans="2:13" ht="12.75" hidden="1">
      <c r="B472" s="86">
        <v>1241</v>
      </c>
      <c r="C472" s="86">
        <v>471</v>
      </c>
      <c r="D472" s="86" t="s">
        <v>9586</v>
      </c>
      <c r="E472" s="86" t="s">
        <v>3934</v>
      </c>
      <c r="F472" s="86" t="s">
        <v>35</v>
      </c>
      <c r="G472" s="86">
        <v>44</v>
      </c>
      <c r="H472" s="86" t="s">
        <v>3450</v>
      </c>
      <c r="I472" s="86">
        <v>44</v>
      </c>
      <c r="J472" s="86" t="s">
        <v>6226</v>
      </c>
      <c r="K472" s="8">
        <v>564639</v>
      </c>
      <c r="M472" s="167" t="str">
        <f t="shared" si="0"/>
        <v>OK</v>
      </c>
    </row>
    <row r="473" spans="2:13" ht="12.75" hidden="1">
      <c r="B473" s="86">
        <v>1241</v>
      </c>
      <c r="C473" s="86">
        <v>472</v>
      </c>
      <c r="D473" s="86" t="s">
        <v>9603</v>
      </c>
      <c r="E473" s="86" t="s">
        <v>3245</v>
      </c>
      <c r="F473" s="86" t="s">
        <v>35</v>
      </c>
      <c r="G473" s="86">
        <v>6</v>
      </c>
      <c r="H473" s="86" t="s">
        <v>9583</v>
      </c>
      <c r="I473" s="86">
        <v>6</v>
      </c>
      <c r="J473" s="86" t="s">
        <v>502</v>
      </c>
      <c r="K473" s="8">
        <v>584161</v>
      </c>
      <c r="M473" s="167" t="str">
        <f t="shared" si="0"/>
        <v>OK</v>
      </c>
    </row>
    <row r="474" spans="2:13" ht="12.75" hidden="1">
      <c r="B474" s="86">
        <v>1241</v>
      </c>
      <c r="C474" s="86">
        <v>473</v>
      </c>
      <c r="D474" s="86" t="s">
        <v>9580</v>
      </c>
      <c r="E474" s="86" t="s">
        <v>3361</v>
      </c>
      <c r="F474" s="86" t="s">
        <v>157</v>
      </c>
      <c r="G474" s="86">
        <v>6</v>
      </c>
      <c r="H474" s="86" t="s">
        <v>9583</v>
      </c>
      <c r="I474" s="86">
        <v>6</v>
      </c>
      <c r="J474" s="86" t="s">
        <v>9581</v>
      </c>
      <c r="K474" s="8">
        <v>650657</v>
      </c>
      <c r="M474" s="167" t="str">
        <f t="shared" si="0"/>
        <v>OK</v>
      </c>
    </row>
    <row r="475" spans="2:13" ht="12.75" hidden="1">
      <c r="B475" s="86">
        <v>1241</v>
      </c>
      <c r="C475" s="86">
        <v>474</v>
      </c>
      <c r="D475" s="86" t="s">
        <v>9580</v>
      </c>
      <c r="E475" s="86" t="s">
        <v>3279</v>
      </c>
      <c r="F475" s="86" t="s">
        <v>205</v>
      </c>
      <c r="G475" s="86">
        <v>6</v>
      </c>
      <c r="H475" s="86" t="s">
        <v>9583</v>
      </c>
      <c r="I475" s="86">
        <v>6</v>
      </c>
      <c r="J475" s="86" t="s">
        <v>6836</v>
      </c>
      <c r="K475" s="8">
        <v>649379</v>
      </c>
      <c r="M475" s="167" t="str">
        <f t="shared" si="0"/>
        <v>OK</v>
      </c>
    </row>
    <row r="476" spans="2:13" ht="12.75" hidden="1">
      <c r="B476" s="86">
        <v>1241</v>
      </c>
      <c r="C476" s="86">
        <v>475</v>
      </c>
      <c r="D476" s="86" t="s">
        <v>9586</v>
      </c>
      <c r="E476" s="86" t="s">
        <v>3259</v>
      </c>
      <c r="F476" s="86" t="s">
        <v>35</v>
      </c>
      <c r="G476" s="86">
        <v>6</v>
      </c>
      <c r="H476" s="86" t="s">
        <v>9583</v>
      </c>
      <c r="I476" s="86">
        <v>6</v>
      </c>
      <c r="J476" s="86" t="s">
        <v>528</v>
      </c>
      <c r="K476" s="8">
        <v>564798</v>
      </c>
      <c r="M476" s="167" t="str">
        <f t="shared" si="0"/>
        <v>OK</v>
      </c>
    </row>
    <row r="477" spans="2:13" ht="12.75" hidden="1">
      <c r="B477" s="86">
        <v>1241</v>
      </c>
      <c r="C477" s="86">
        <v>476</v>
      </c>
      <c r="D477" s="86" t="s">
        <v>9586</v>
      </c>
      <c r="E477" s="86" t="s">
        <v>3301</v>
      </c>
      <c r="F477" s="86" t="s">
        <v>35</v>
      </c>
      <c r="G477" s="86">
        <v>6</v>
      </c>
      <c r="H477" s="86" t="s">
        <v>9583</v>
      </c>
      <c r="I477" s="86">
        <v>6</v>
      </c>
      <c r="J477" s="86" t="s">
        <v>528</v>
      </c>
      <c r="K477" s="8">
        <v>564777</v>
      </c>
      <c r="M477" s="167" t="str">
        <f t="shared" si="0"/>
        <v>OK</v>
      </c>
    </row>
    <row r="478" spans="2:13" ht="12.75" hidden="1">
      <c r="B478" s="86">
        <v>1241</v>
      </c>
      <c r="C478" s="86">
        <v>477</v>
      </c>
      <c r="D478" s="86" t="s">
        <v>9586</v>
      </c>
      <c r="E478" s="86" t="s">
        <v>3308</v>
      </c>
      <c r="F478" s="86" t="s">
        <v>35</v>
      </c>
      <c r="G478" s="86">
        <v>6</v>
      </c>
      <c r="H478" s="86" t="s">
        <v>9583</v>
      </c>
      <c r="I478" s="86">
        <v>6</v>
      </c>
      <c r="J478" s="86" t="s">
        <v>10216</v>
      </c>
      <c r="K478" s="8">
        <v>649543</v>
      </c>
      <c r="M478" s="167" t="str">
        <f t="shared" si="0"/>
        <v>OK</v>
      </c>
    </row>
    <row r="479" spans="2:13" ht="12.75" hidden="1">
      <c r="B479" s="86">
        <v>1241</v>
      </c>
      <c r="C479" s="86">
        <v>478</v>
      </c>
      <c r="D479" s="86" t="s">
        <v>9576</v>
      </c>
      <c r="E479" s="86" t="s">
        <v>3321</v>
      </c>
      <c r="F479" s="86" t="s">
        <v>35</v>
      </c>
      <c r="G479" s="86">
        <v>6</v>
      </c>
      <c r="H479" s="86" t="s">
        <v>9583</v>
      </c>
      <c r="I479" s="86">
        <v>6</v>
      </c>
      <c r="J479" s="86" t="s">
        <v>3311</v>
      </c>
      <c r="K479" s="8">
        <v>515609</v>
      </c>
      <c r="L479" s="8"/>
      <c r="M479" s="167" t="str">
        <f t="shared" si="0"/>
        <v>OK</v>
      </c>
    </row>
    <row r="480" spans="2:13" ht="12.75" hidden="1">
      <c r="B480" s="86">
        <v>1241</v>
      </c>
      <c r="C480" s="86">
        <v>479</v>
      </c>
      <c r="D480" s="86" t="s">
        <v>9576</v>
      </c>
      <c r="E480" s="86" t="s">
        <v>3315</v>
      </c>
      <c r="F480" s="86" t="s">
        <v>35</v>
      </c>
      <c r="G480" s="86">
        <v>6</v>
      </c>
      <c r="H480" s="86" t="s">
        <v>9583</v>
      </c>
      <c r="I480" s="86">
        <v>6</v>
      </c>
      <c r="J480" s="86" t="s">
        <v>3311</v>
      </c>
      <c r="K480" s="8">
        <v>515608</v>
      </c>
      <c r="M480" s="167" t="str">
        <f t="shared" si="0"/>
        <v>OK</v>
      </c>
    </row>
    <row r="481" spans="2:13" ht="12.75" hidden="1">
      <c r="B481" s="86">
        <v>1241</v>
      </c>
      <c r="C481" s="86">
        <v>480</v>
      </c>
      <c r="D481" s="86" t="s">
        <v>9603</v>
      </c>
      <c r="E481" s="86" t="s">
        <v>3335</v>
      </c>
      <c r="F481" s="86" t="s">
        <v>35</v>
      </c>
      <c r="G481" s="86">
        <v>6</v>
      </c>
      <c r="H481" s="86" t="s">
        <v>9583</v>
      </c>
      <c r="I481" s="86">
        <v>6</v>
      </c>
      <c r="J481" s="86" t="s">
        <v>10143</v>
      </c>
      <c r="K481" s="8">
        <v>518520</v>
      </c>
      <c r="M481" s="167" t="str">
        <f t="shared" si="0"/>
        <v>OK</v>
      </c>
    </row>
    <row r="482" spans="2:13" ht="12.75" hidden="1">
      <c r="B482" s="86">
        <v>1241</v>
      </c>
      <c r="C482" s="86">
        <v>481</v>
      </c>
      <c r="D482" s="86" t="s">
        <v>10097</v>
      </c>
      <c r="E482" s="86" t="s">
        <v>3429</v>
      </c>
      <c r="F482" s="86" t="s">
        <v>35</v>
      </c>
      <c r="G482" s="86">
        <v>6</v>
      </c>
      <c r="H482" s="86" t="s">
        <v>9583</v>
      </c>
      <c r="I482" s="86">
        <v>6</v>
      </c>
      <c r="J482" s="86" t="s">
        <v>117</v>
      </c>
      <c r="K482" s="8">
        <v>649546</v>
      </c>
      <c r="M482" s="167" t="str">
        <f t="shared" si="0"/>
        <v>OK</v>
      </c>
    </row>
    <row r="483" spans="2:13" ht="12.75" hidden="1">
      <c r="B483" s="86">
        <v>1241</v>
      </c>
      <c r="C483" s="86">
        <v>482</v>
      </c>
      <c r="D483" s="86" t="s">
        <v>9576</v>
      </c>
      <c r="E483" s="86" t="s">
        <v>3441</v>
      </c>
      <c r="F483" s="86" t="s">
        <v>35</v>
      </c>
      <c r="G483" s="86">
        <v>6</v>
      </c>
      <c r="H483" s="86" t="s">
        <v>9583</v>
      </c>
      <c r="I483" s="86">
        <v>6</v>
      </c>
      <c r="J483" s="86" t="s">
        <v>2677</v>
      </c>
      <c r="K483" s="8">
        <v>649535</v>
      </c>
      <c r="M483" s="167" t="str">
        <f t="shared" si="0"/>
        <v>OK</v>
      </c>
    </row>
    <row r="484" spans="2:13" ht="12.75" hidden="1">
      <c r="B484" s="86">
        <v>1241</v>
      </c>
      <c r="C484" s="86">
        <v>483</v>
      </c>
      <c r="D484" s="86" t="s">
        <v>9565</v>
      </c>
      <c r="E484" s="86" t="s">
        <v>3368</v>
      </c>
      <c r="F484" s="86" t="s">
        <v>168</v>
      </c>
      <c r="G484" s="86">
        <v>6</v>
      </c>
      <c r="H484" s="86" t="s">
        <v>9583</v>
      </c>
      <c r="I484" s="86">
        <v>6</v>
      </c>
      <c r="J484" s="86" t="s">
        <v>285</v>
      </c>
      <c r="K484" s="8">
        <v>539086</v>
      </c>
      <c r="M484" s="167" t="str">
        <f t="shared" si="0"/>
        <v>OK</v>
      </c>
    </row>
    <row r="485" spans="2:13" ht="12.75" hidden="1">
      <c r="B485" s="86">
        <v>1241</v>
      </c>
      <c r="C485" s="86">
        <v>484</v>
      </c>
      <c r="D485" s="86" t="s">
        <v>10099</v>
      </c>
      <c r="E485" s="86" t="s">
        <v>3328</v>
      </c>
      <c r="F485" s="86" t="s">
        <v>35</v>
      </c>
      <c r="G485" s="86">
        <v>6</v>
      </c>
      <c r="H485" s="86" t="s">
        <v>9583</v>
      </c>
      <c r="I485" s="86">
        <v>6</v>
      </c>
      <c r="J485" s="86" t="s">
        <v>3324</v>
      </c>
      <c r="K485" s="8">
        <v>565672</v>
      </c>
      <c r="M485" s="167" t="str">
        <f t="shared" si="0"/>
        <v>OK</v>
      </c>
    </row>
    <row r="486" spans="2:13" ht="12.75" hidden="1">
      <c r="B486" s="86">
        <v>1241</v>
      </c>
      <c r="C486" s="86">
        <v>485</v>
      </c>
      <c r="D486" s="86" t="s">
        <v>9603</v>
      </c>
      <c r="E486" s="86" t="s">
        <v>3289</v>
      </c>
      <c r="F486" s="86" t="s">
        <v>35</v>
      </c>
      <c r="G486" s="86">
        <v>6</v>
      </c>
      <c r="H486" s="86" t="s">
        <v>9583</v>
      </c>
      <c r="I486" s="86">
        <v>6</v>
      </c>
      <c r="J486" s="86" t="s">
        <v>10217</v>
      </c>
      <c r="K486" s="8">
        <v>649536</v>
      </c>
      <c r="M486" s="167" t="str">
        <f t="shared" si="0"/>
        <v>OK</v>
      </c>
    </row>
    <row r="487" spans="2:13" ht="12.75" hidden="1">
      <c r="B487" s="86">
        <v>1246</v>
      </c>
      <c r="C487" s="86">
        <v>486</v>
      </c>
      <c r="D487" s="86" t="s">
        <v>9568</v>
      </c>
      <c r="E487" s="86" t="s">
        <v>3382</v>
      </c>
      <c r="F487" s="86" t="s">
        <v>359</v>
      </c>
      <c r="G487" s="86">
        <v>6</v>
      </c>
      <c r="H487" s="86" t="s">
        <v>9583</v>
      </c>
      <c r="I487" s="86">
        <v>6</v>
      </c>
      <c r="J487" s="86" t="s">
        <v>638</v>
      </c>
      <c r="K487" s="8">
        <v>650901</v>
      </c>
      <c r="M487" s="167" t="str">
        <f t="shared" si="0"/>
        <v>OK</v>
      </c>
    </row>
    <row r="488" spans="2:13" ht="12.75" hidden="1">
      <c r="B488" s="86">
        <v>1246</v>
      </c>
      <c r="C488" s="86">
        <v>487</v>
      </c>
      <c r="D488" s="86" t="s">
        <v>9568</v>
      </c>
      <c r="E488" s="86" t="s">
        <v>3388</v>
      </c>
      <c r="F488" s="86" t="s">
        <v>978</v>
      </c>
      <c r="G488" s="86">
        <v>6</v>
      </c>
      <c r="H488" s="86" t="s">
        <v>9583</v>
      </c>
      <c r="I488" s="86">
        <v>6</v>
      </c>
      <c r="J488" s="86" t="s">
        <v>248</v>
      </c>
      <c r="K488" s="8">
        <v>649432</v>
      </c>
      <c r="M488" s="167" t="str">
        <f t="shared" si="0"/>
        <v>OK</v>
      </c>
    </row>
    <row r="489" spans="2:13" ht="12.75" hidden="1">
      <c r="B489" s="86">
        <v>1246</v>
      </c>
      <c r="C489" s="86">
        <v>488</v>
      </c>
      <c r="D489" s="86" t="s">
        <v>9574</v>
      </c>
      <c r="E489" s="86" t="s">
        <v>3409</v>
      </c>
      <c r="F489" s="86" t="s">
        <v>49</v>
      </c>
      <c r="G489" s="86">
        <v>6</v>
      </c>
      <c r="H489" s="86" t="s">
        <v>9583</v>
      </c>
      <c r="I489" s="86">
        <v>6</v>
      </c>
      <c r="J489" s="86" t="s">
        <v>3405</v>
      </c>
      <c r="K489" s="8">
        <v>649372</v>
      </c>
      <c r="M489" s="167" t="str">
        <f t="shared" si="0"/>
        <v>OK</v>
      </c>
    </row>
    <row r="490" spans="2:13" ht="12.75" hidden="1">
      <c r="B490" s="86">
        <v>1241</v>
      </c>
      <c r="C490" s="86">
        <v>489</v>
      </c>
      <c r="D490" s="86" t="s">
        <v>10097</v>
      </c>
      <c r="E490" s="86" t="s">
        <v>3348</v>
      </c>
      <c r="F490" s="86" t="s">
        <v>35</v>
      </c>
      <c r="G490" s="86">
        <v>6</v>
      </c>
      <c r="H490" s="86" t="s">
        <v>9583</v>
      </c>
      <c r="I490" s="86">
        <v>6</v>
      </c>
      <c r="J490" s="86" t="s">
        <v>117</v>
      </c>
      <c r="K490" s="8">
        <v>583457</v>
      </c>
      <c r="M490" s="167" t="str">
        <f t="shared" si="0"/>
        <v>OK</v>
      </c>
    </row>
    <row r="491" spans="2:13" ht="12.75" hidden="1">
      <c r="B491" s="86">
        <v>1241</v>
      </c>
      <c r="C491" s="86">
        <v>490</v>
      </c>
      <c r="D491" s="86" t="s">
        <v>9576</v>
      </c>
      <c r="E491" s="86" t="s">
        <v>9349</v>
      </c>
      <c r="F491" s="86" t="s">
        <v>35</v>
      </c>
      <c r="G491" s="86">
        <v>6</v>
      </c>
      <c r="H491" s="86" t="s">
        <v>9583</v>
      </c>
      <c r="I491" s="86">
        <v>6</v>
      </c>
      <c r="J491" s="86" t="s">
        <v>927</v>
      </c>
      <c r="K491" s="8">
        <v>649537</v>
      </c>
      <c r="L491" s="8" t="s">
        <v>3282</v>
      </c>
      <c r="M491" s="167" t="str">
        <f t="shared" si="0"/>
        <v>OK</v>
      </c>
    </row>
    <row r="492" spans="2:13" ht="12.75" hidden="1">
      <c r="B492" s="86">
        <v>1241</v>
      </c>
      <c r="C492" s="86">
        <v>491</v>
      </c>
      <c r="D492" s="86" t="s">
        <v>10113</v>
      </c>
      <c r="E492" s="86" t="s">
        <v>3295</v>
      </c>
      <c r="F492" s="86" t="s">
        <v>35</v>
      </c>
      <c r="G492" s="86">
        <v>6</v>
      </c>
      <c r="H492" s="86" t="s">
        <v>9583</v>
      </c>
      <c r="I492" s="86">
        <v>6</v>
      </c>
      <c r="J492" s="86" t="s">
        <v>2040</v>
      </c>
      <c r="K492" s="8">
        <v>649538</v>
      </c>
      <c r="M492" s="167" t="str">
        <f t="shared" si="0"/>
        <v>OK</v>
      </c>
    </row>
    <row r="493" spans="2:13" ht="12.75" hidden="1">
      <c r="B493" s="86">
        <v>1241</v>
      </c>
      <c r="C493" s="86">
        <v>492</v>
      </c>
      <c r="D493" s="86" t="s">
        <v>9580</v>
      </c>
      <c r="E493" s="86" t="s">
        <v>3354</v>
      </c>
      <c r="F493" s="86" t="s">
        <v>9384</v>
      </c>
      <c r="G493" s="86">
        <v>6</v>
      </c>
      <c r="H493" s="86" t="s">
        <v>9583</v>
      </c>
      <c r="I493" s="86">
        <v>6</v>
      </c>
      <c r="J493" s="86" t="s">
        <v>9581</v>
      </c>
      <c r="K493" s="8">
        <v>649547</v>
      </c>
      <c r="M493" s="167" t="str">
        <f t="shared" si="0"/>
        <v>OK</v>
      </c>
    </row>
    <row r="494" spans="2:13" ht="12.75" hidden="1">
      <c r="B494" s="86">
        <v>1241</v>
      </c>
      <c r="C494" s="86">
        <v>493</v>
      </c>
      <c r="D494" s="86" t="s">
        <v>9586</v>
      </c>
      <c r="E494" s="86" t="s">
        <v>3423</v>
      </c>
      <c r="F494" s="86" t="s">
        <v>35</v>
      </c>
      <c r="G494" s="86">
        <v>6</v>
      </c>
      <c r="H494" s="86" t="s">
        <v>9583</v>
      </c>
      <c r="I494" s="86">
        <v>6</v>
      </c>
      <c r="J494" s="86" t="s">
        <v>6226</v>
      </c>
      <c r="K494" s="8">
        <v>649550</v>
      </c>
      <c r="M494" s="167" t="str">
        <f t="shared" si="0"/>
        <v>OK</v>
      </c>
    </row>
    <row r="495" spans="2:13" ht="12.75" hidden="1">
      <c r="B495" s="86">
        <v>1241</v>
      </c>
      <c r="C495" s="86">
        <v>494</v>
      </c>
      <c r="D495" s="86" t="s">
        <v>9580</v>
      </c>
      <c r="E495" s="86" t="s">
        <v>681</v>
      </c>
      <c r="F495" s="86" t="s">
        <v>682</v>
      </c>
      <c r="G495" s="86">
        <v>30</v>
      </c>
      <c r="H495" s="86" t="s">
        <v>9587</v>
      </c>
      <c r="I495" s="86">
        <v>30</v>
      </c>
      <c r="J495" s="86" t="s">
        <v>10218</v>
      </c>
      <c r="K495" s="8">
        <v>649493</v>
      </c>
      <c r="M495" s="167" t="str">
        <f t="shared" si="0"/>
        <v>OK</v>
      </c>
    </row>
    <row r="496" spans="2:13" ht="12.75" hidden="1">
      <c r="B496" s="86">
        <v>1241</v>
      </c>
      <c r="C496" s="86">
        <v>495</v>
      </c>
      <c r="D496" s="86" t="s">
        <v>9586</v>
      </c>
      <c r="E496" s="86" t="s">
        <v>3341</v>
      </c>
      <c r="F496" s="86" t="s">
        <v>35</v>
      </c>
      <c r="G496" s="86">
        <v>6</v>
      </c>
      <c r="H496" s="86" t="s">
        <v>9583</v>
      </c>
      <c r="I496" s="86">
        <v>6</v>
      </c>
      <c r="J496" s="86" t="s">
        <v>3338</v>
      </c>
      <c r="K496" s="8">
        <v>564860</v>
      </c>
      <c r="M496" s="167" t="str">
        <f t="shared" si="0"/>
        <v>OK</v>
      </c>
    </row>
    <row r="497" spans="2:13" ht="12.75" hidden="1">
      <c r="B497" s="86">
        <v>1241</v>
      </c>
      <c r="C497" s="86">
        <v>496</v>
      </c>
      <c r="D497" s="86" t="s">
        <v>9569</v>
      </c>
      <c r="E497" s="86" t="s">
        <v>3375</v>
      </c>
      <c r="F497" s="86" t="s">
        <v>157</v>
      </c>
      <c r="G497" s="86">
        <v>6</v>
      </c>
      <c r="H497" s="86" t="s">
        <v>9583</v>
      </c>
      <c r="I497" s="86">
        <v>6</v>
      </c>
      <c r="J497" s="86" t="s">
        <v>1394</v>
      </c>
      <c r="K497" s="8">
        <v>650667</v>
      </c>
      <c r="M497" s="167" t="str">
        <f t="shared" si="0"/>
        <v>OK</v>
      </c>
    </row>
    <row r="498" spans="2:13" ht="12.75" hidden="1">
      <c r="B498" s="86">
        <v>1246</v>
      </c>
      <c r="C498" s="86">
        <v>497</v>
      </c>
      <c r="D498" s="86" t="s">
        <v>9568</v>
      </c>
      <c r="E498" s="86" t="s">
        <v>3415</v>
      </c>
      <c r="F498" s="86" t="s">
        <v>250</v>
      </c>
      <c r="G498" s="86">
        <v>6</v>
      </c>
      <c r="H498" s="86" t="s">
        <v>9583</v>
      </c>
      <c r="I498" s="86">
        <v>6</v>
      </c>
      <c r="J498" s="86" t="s">
        <v>354</v>
      </c>
      <c r="K498" s="8">
        <v>649540</v>
      </c>
      <c r="M498" s="167" t="str">
        <f t="shared" si="0"/>
        <v>OK</v>
      </c>
    </row>
    <row r="499" spans="2:13" ht="12.75" hidden="1">
      <c r="B499" s="86">
        <v>1246</v>
      </c>
      <c r="C499" s="86">
        <v>498</v>
      </c>
      <c r="D499" s="86" t="s">
        <v>9574</v>
      </c>
      <c r="E499" s="86" t="s">
        <v>3252</v>
      </c>
      <c r="F499" s="86" t="s">
        <v>462</v>
      </c>
      <c r="G499" s="86">
        <v>6</v>
      </c>
      <c r="H499" s="86" t="s">
        <v>9583</v>
      </c>
      <c r="I499" s="86">
        <v>6</v>
      </c>
      <c r="J499" s="86" t="s">
        <v>885</v>
      </c>
      <c r="K499" s="8">
        <v>649551</v>
      </c>
      <c r="M499" s="167" t="str">
        <f t="shared" si="0"/>
        <v>OK</v>
      </c>
    </row>
    <row r="500" spans="2:13" ht="12.75" hidden="1">
      <c r="B500" s="86">
        <v>1241</v>
      </c>
      <c r="C500" s="86">
        <v>499</v>
      </c>
      <c r="D500" s="86" t="s">
        <v>10100</v>
      </c>
      <c r="E500" s="86" t="s">
        <v>3273</v>
      </c>
      <c r="F500" s="86" t="s">
        <v>35</v>
      </c>
      <c r="G500" s="86">
        <v>6</v>
      </c>
      <c r="H500" s="86" t="s">
        <v>9583</v>
      </c>
      <c r="I500" s="86">
        <v>6</v>
      </c>
      <c r="J500" s="86" t="s">
        <v>3269</v>
      </c>
      <c r="K500" s="8">
        <v>584044</v>
      </c>
      <c r="M500" s="167" t="str">
        <f t="shared" si="0"/>
        <v>OK</v>
      </c>
    </row>
    <row r="501" spans="2:13" ht="12.75" hidden="1">
      <c r="B501" s="86">
        <v>1246</v>
      </c>
      <c r="C501" s="86">
        <v>500</v>
      </c>
      <c r="D501" s="86" t="s">
        <v>9568</v>
      </c>
      <c r="E501" s="86" t="s">
        <v>358</v>
      </c>
      <c r="F501" s="86" t="s">
        <v>359</v>
      </c>
      <c r="G501" s="86">
        <v>25</v>
      </c>
      <c r="H501" s="86" t="s">
        <v>10219</v>
      </c>
      <c r="I501" s="86">
        <v>8</v>
      </c>
      <c r="J501" s="86" t="s">
        <v>354</v>
      </c>
      <c r="K501" s="8">
        <v>650900</v>
      </c>
      <c r="M501" s="167" t="str">
        <f t="shared" si="0"/>
        <v>OK</v>
      </c>
    </row>
    <row r="502" spans="2:13" ht="12.75" hidden="1">
      <c r="B502" s="86">
        <v>1241</v>
      </c>
      <c r="C502" s="86">
        <v>501</v>
      </c>
      <c r="D502" s="86" t="s">
        <v>10097</v>
      </c>
      <c r="E502" s="86" t="s">
        <v>368</v>
      </c>
      <c r="F502" s="86" t="s">
        <v>35</v>
      </c>
      <c r="G502" s="86">
        <v>25</v>
      </c>
      <c r="H502" s="86" t="s">
        <v>10219</v>
      </c>
      <c r="I502" s="86">
        <v>8</v>
      </c>
      <c r="J502" s="86" t="s">
        <v>117</v>
      </c>
      <c r="K502" s="8">
        <v>518530</v>
      </c>
      <c r="M502" s="167" t="str">
        <f t="shared" si="0"/>
        <v>OK</v>
      </c>
    </row>
    <row r="503" spans="2:13" ht="12.75" hidden="1">
      <c r="B503" s="86">
        <v>1241</v>
      </c>
      <c r="C503" s="86">
        <v>502</v>
      </c>
      <c r="D503" s="86" t="s">
        <v>9565</v>
      </c>
      <c r="E503" s="86" t="s">
        <v>337</v>
      </c>
      <c r="F503" s="86" t="s">
        <v>168</v>
      </c>
      <c r="G503" s="86">
        <v>25</v>
      </c>
      <c r="H503" s="86" t="s">
        <v>10219</v>
      </c>
      <c r="I503" s="86">
        <v>8</v>
      </c>
      <c r="J503" s="86" t="s">
        <v>285</v>
      </c>
      <c r="K503" s="8">
        <v>538211</v>
      </c>
      <c r="M503" s="167" t="str">
        <f t="shared" si="0"/>
        <v>OK</v>
      </c>
    </row>
    <row r="504" spans="2:13" ht="12.75" hidden="1">
      <c r="B504" s="86">
        <v>1241</v>
      </c>
      <c r="C504" s="86">
        <v>503</v>
      </c>
      <c r="D504" s="86" t="s">
        <v>9580</v>
      </c>
      <c r="E504" s="86" t="s">
        <v>1130</v>
      </c>
      <c r="F504" s="86" t="s">
        <v>9384</v>
      </c>
      <c r="G504" s="86">
        <v>50</v>
      </c>
      <c r="H504" s="86" t="s">
        <v>7404</v>
      </c>
      <c r="I504" s="86">
        <v>50</v>
      </c>
      <c r="J504" s="86" t="s">
        <v>9581</v>
      </c>
      <c r="K504" s="8">
        <v>651089</v>
      </c>
      <c r="L504" s="8"/>
      <c r="M504" s="167" t="str">
        <f t="shared" si="0"/>
        <v>OK</v>
      </c>
    </row>
    <row r="505" spans="2:13" ht="12.75" hidden="1">
      <c r="B505" s="86">
        <v>1241</v>
      </c>
      <c r="C505" s="86">
        <v>504</v>
      </c>
      <c r="D505" s="86" t="s">
        <v>9569</v>
      </c>
      <c r="E505" s="86" t="s">
        <v>793</v>
      </c>
      <c r="F505" s="86" t="s">
        <v>205</v>
      </c>
      <c r="G505" s="86">
        <v>50</v>
      </c>
      <c r="H505" s="86" t="s">
        <v>7404</v>
      </c>
      <c r="I505" s="86">
        <v>50</v>
      </c>
      <c r="J505" s="86" t="s">
        <v>5283</v>
      </c>
      <c r="K505" s="8">
        <v>535436</v>
      </c>
      <c r="M505" s="167" t="str">
        <f t="shared" si="0"/>
        <v>OK</v>
      </c>
    </row>
    <row r="506" spans="2:13" ht="12.75" hidden="1">
      <c r="B506" s="86">
        <v>1241</v>
      </c>
      <c r="C506" s="86">
        <v>505</v>
      </c>
      <c r="D506" s="86" t="s">
        <v>10113</v>
      </c>
      <c r="E506" s="86" t="s">
        <v>383</v>
      </c>
      <c r="F506" s="86" t="s">
        <v>35</v>
      </c>
      <c r="G506" s="86">
        <v>25</v>
      </c>
      <c r="H506" s="86" t="s">
        <v>10219</v>
      </c>
      <c r="I506" s="86">
        <v>8</v>
      </c>
      <c r="J506" s="86" t="s">
        <v>379</v>
      </c>
      <c r="K506" s="8">
        <v>522763</v>
      </c>
      <c r="M506" s="167" t="str">
        <f t="shared" si="0"/>
        <v>OK</v>
      </c>
    </row>
    <row r="507" spans="2:13" ht="12.75" hidden="1">
      <c r="B507" s="86">
        <v>1241</v>
      </c>
      <c r="C507" s="86">
        <v>506</v>
      </c>
      <c r="D507" s="86" t="s">
        <v>9594</v>
      </c>
      <c r="E507" s="86" t="s">
        <v>350</v>
      </c>
      <c r="F507" s="86" t="s">
        <v>35</v>
      </c>
      <c r="G507" s="86">
        <v>25</v>
      </c>
      <c r="H507" s="86" t="s">
        <v>10219</v>
      </c>
      <c r="I507" s="86">
        <v>8</v>
      </c>
      <c r="J507" s="86" t="s">
        <v>10220</v>
      </c>
      <c r="K507" s="86">
        <v>518524</v>
      </c>
      <c r="M507" s="167" t="str">
        <f t="shared" si="0"/>
        <v>OK</v>
      </c>
    </row>
    <row r="508" spans="2:13" ht="12.75" hidden="1">
      <c r="B508" s="86">
        <v>1241</v>
      </c>
      <c r="C508" s="86">
        <v>507</v>
      </c>
      <c r="D508" s="86" t="s">
        <v>9586</v>
      </c>
      <c r="E508" s="86" t="s">
        <v>375</v>
      </c>
      <c r="F508" s="86" t="s">
        <v>35</v>
      </c>
      <c r="G508" s="86">
        <v>25</v>
      </c>
      <c r="H508" s="86" t="s">
        <v>10219</v>
      </c>
      <c r="I508" s="86">
        <v>8</v>
      </c>
      <c r="J508" s="86" t="s">
        <v>10221</v>
      </c>
      <c r="K508" s="8">
        <v>564832</v>
      </c>
      <c r="M508" s="167" t="str">
        <f t="shared" si="0"/>
        <v>OK</v>
      </c>
    </row>
    <row r="509" spans="2:13" ht="12.75" hidden="1">
      <c r="B509" s="86">
        <v>1241</v>
      </c>
      <c r="C509" s="86">
        <v>508</v>
      </c>
      <c r="D509" s="86" t="s">
        <v>9586</v>
      </c>
      <c r="E509" s="86" t="s">
        <v>4859</v>
      </c>
      <c r="F509" s="86" t="s">
        <v>35</v>
      </c>
      <c r="G509" s="86">
        <v>20</v>
      </c>
      <c r="H509" s="86" t="s">
        <v>4737</v>
      </c>
      <c r="I509" s="86">
        <v>39</v>
      </c>
      <c r="J509" s="86" t="s">
        <v>10222</v>
      </c>
      <c r="K509" s="8">
        <v>649497</v>
      </c>
      <c r="M509" s="167" t="str">
        <f t="shared" si="0"/>
        <v>OK</v>
      </c>
    </row>
    <row r="510" spans="2:13" ht="12.75" hidden="1">
      <c r="B510" s="86">
        <v>1241</v>
      </c>
      <c r="C510" s="86">
        <v>509</v>
      </c>
      <c r="D510" s="86" t="s">
        <v>9565</v>
      </c>
      <c r="E510" s="86" t="s">
        <v>4885</v>
      </c>
      <c r="F510" s="86" t="s">
        <v>663</v>
      </c>
      <c r="G510" s="86">
        <v>20</v>
      </c>
      <c r="H510" s="86" t="s">
        <v>4737</v>
      </c>
      <c r="I510" s="86">
        <v>39</v>
      </c>
      <c r="J510" s="86" t="s">
        <v>285</v>
      </c>
      <c r="K510" s="8">
        <v>649491</v>
      </c>
      <c r="M510" s="167" t="str">
        <f t="shared" si="0"/>
        <v>OK</v>
      </c>
    </row>
    <row r="511" spans="2:13" ht="12.75" hidden="1">
      <c r="B511" s="86">
        <v>1241</v>
      </c>
      <c r="C511" s="86">
        <v>510</v>
      </c>
      <c r="D511" s="86" t="s">
        <v>10113</v>
      </c>
      <c r="E511" s="86" t="s">
        <v>4899</v>
      </c>
      <c r="F511" s="86" t="s">
        <v>35</v>
      </c>
      <c r="G511" s="86">
        <v>20</v>
      </c>
      <c r="H511" s="86" t="s">
        <v>4737</v>
      </c>
      <c r="I511" s="86">
        <v>39</v>
      </c>
      <c r="J511" s="86" t="s">
        <v>379</v>
      </c>
      <c r="K511" s="8">
        <v>522846</v>
      </c>
      <c r="M511" s="167" t="str">
        <f t="shared" si="0"/>
        <v>OK</v>
      </c>
    </row>
    <row r="512" spans="2:13" ht="12.75" hidden="1">
      <c r="B512" s="86">
        <v>1241</v>
      </c>
      <c r="C512" s="86">
        <v>511</v>
      </c>
      <c r="D512" s="86" t="s">
        <v>10113</v>
      </c>
      <c r="E512" s="86" t="s">
        <v>4615</v>
      </c>
      <c r="F512" s="86" t="s">
        <v>35</v>
      </c>
      <c r="G512" s="86">
        <v>20</v>
      </c>
      <c r="H512" s="86" t="s">
        <v>4737</v>
      </c>
      <c r="I512" s="86">
        <v>39</v>
      </c>
      <c r="J512" s="86" t="s">
        <v>2040</v>
      </c>
      <c r="K512" s="8">
        <v>522769</v>
      </c>
      <c r="M512" s="167" t="str">
        <f t="shared" si="0"/>
        <v>OK</v>
      </c>
    </row>
    <row r="513" spans="2:13" ht="12.75" hidden="1">
      <c r="B513" s="86">
        <v>1241</v>
      </c>
      <c r="C513" s="86">
        <v>512</v>
      </c>
      <c r="D513" s="86" t="s">
        <v>10097</v>
      </c>
      <c r="E513" s="86" t="s">
        <v>4865</v>
      </c>
      <c r="F513" s="86" t="s">
        <v>35</v>
      </c>
      <c r="G513" s="86">
        <v>20</v>
      </c>
      <c r="H513" s="86" t="s">
        <v>4737</v>
      </c>
      <c r="I513" s="86">
        <v>39</v>
      </c>
      <c r="J513" s="86" t="s">
        <v>117</v>
      </c>
      <c r="K513" s="8">
        <v>649492</v>
      </c>
      <c r="M513" s="167" t="str">
        <f t="shared" si="0"/>
        <v>OK</v>
      </c>
    </row>
    <row r="514" spans="2:13" ht="12.75" hidden="1">
      <c r="B514" s="86">
        <v>1241</v>
      </c>
      <c r="C514" s="86">
        <v>513</v>
      </c>
      <c r="D514" s="86" t="s">
        <v>9569</v>
      </c>
      <c r="E514" s="86" t="s">
        <v>4878</v>
      </c>
      <c r="F514" s="86" t="s">
        <v>9384</v>
      </c>
      <c r="G514" s="86">
        <v>20</v>
      </c>
      <c r="H514" s="86" t="s">
        <v>4737</v>
      </c>
      <c r="I514" s="86">
        <v>39</v>
      </c>
      <c r="J514" s="86" t="s">
        <v>1394</v>
      </c>
      <c r="K514" s="8">
        <v>535527</v>
      </c>
      <c r="M514" s="167" t="str">
        <f t="shared" si="0"/>
        <v>OK</v>
      </c>
    </row>
    <row r="515" spans="2:13" ht="12.75" hidden="1">
      <c r="B515" s="86">
        <v>1241</v>
      </c>
      <c r="C515" s="86">
        <v>514</v>
      </c>
      <c r="D515" s="86" t="s">
        <v>9580</v>
      </c>
      <c r="E515" s="86" t="s">
        <v>1138</v>
      </c>
      <c r="F515" s="86" t="s">
        <v>9384</v>
      </c>
      <c r="G515" s="86">
        <v>20</v>
      </c>
      <c r="H515" s="86" t="s">
        <v>4737</v>
      </c>
      <c r="I515" s="86">
        <v>39</v>
      </c>
      <c r="J515" s="86" t="s">
        <v>9581</v>
      </c>
      <c r="K515" s="8">
        <v>651088</v>
      </c>
      <c r="L515" s="8"/>
      <c r="M515" s="167" t="str">
        <f t="shared" si="0"/>
        <v>OK</v>
      </c>
    </row>
    <row r="516" spans="2:13" ht="12.75" hidden="1">
      <c r="B516" s="86">
        <v>1246</v>
      </c>
      <c r="C516" s="86">
        <v>515</v>
      </c>
      <c r="D516" s="86" t="s">
        <v>9568</v>
      </c>
      <c r="E516" s="86" t="s">
        <v>4892</v>
      </c>
      <c r="F516" s="86" t="s">
        <v>978</v>
      </c>
      <c r="G516" s="86">
        <v>20</v>
      </c>
      <c r="H516" s="86" t="s">
        <v>4737</v>
      </c>
      <c r="I516" s="86">
        <v>39</v>
      </c>
      <c r="J516" s="86" t="s">
        <v>249</v>
      </c>
      <c r="K516" s="8">
        <v>649424</v>
      </c>
      <c r="M516" s="167" t="str">
        <f t="shared" si="0"/>
        <v>OK</v>
      </c>
    </row>
    <row r="517" spans="2:13" ht="12.75" hidden="1">
      <c r="B517" s="86">
        <v>1241</v>
      </c>
      <c r="C517" s="86">
        <v>516</v>
      </c>
      <c r="D517" s="86" t="s">
        <v>10097</v>
      </c>
      <c r="E517" s="86" t="s">
        <v>1316</v>
      </c>
      <c r="F517" s="86" t="s">
        <v>35</v>
      </c>
      <c r="G517" s="86">
        <v>47</v>
      </c>
      <c r="H517" s="86" t="s">
        <v>724</v>
      </c>
      <c r="I517" s="86">
        <v>42</v>
      </c>
      <c r="J517" s="86" t="s">
        <v>117</v>
      </c>
      <c r="K517" s="8">
        <v>583483</v>
      </c>
      <c r="M517" s="167" t="str">
        <f t="shared" si="0"/>
        <v>OK</v>
      </c>
    </row>
    <row r="518" spans="2:13" ht="12.75" hidden="1">
      <c r="B518" s="86">
        <v>1241</v>
      </c>
      <c r="C518" s="86">
        <v>517</v>
      </c>
      <c r="D518" s="86" t="s">
        <v>10113</v>
      </c>
      <c r="E518" s="86" t="s">
        <v>4749</v>
      </c>
      <c r="F518" s="86" t="s">
        <v>35</v>
      </c>
      <c r="G518" s="86">
        <v>47</v>
      </c>
      <c r="H518" s="86" t="s">
        <v>724</v>
      </c>
      <c r="I518" s="86">
        <v>42</v>
      </c>
      <c r="J518" s="86" t="s">
        <v>2040</v>
      </c>
      <c r="K518" s="8">
        <v>522770</v>
      </c>
      <c r="M518" s="167" t="str">
        <f t="shared" si="0"/>
        <v>OK</v>
      </c>
    </row>
    <row r="519" spans="2:13" ht="12.75" hidden="1">
      <c r="B519" s="86">
        <v>1241</v>
      </c>
      <c r="C519" s="86">
        <v>518</v>
      </c>
      <c r="D519" s="86" t="s">
        <v>9580</v>
      </c>
      <c r="E519" s="86" t="s">
        <v>1301</v>
      </c>
      <c r="F519" s="86" t="s">
        <v>157</v>
      </c>
      <c r="G519" s="86">
        <v>47</v>
      </c>
      <c r="H519" s="86" t="s">
        <v>724</v>
      </c>
      <c r="I519" s="86">
        <v>42</v>
      </c>
      <c r="J519" s="86" t="s">
        <v>9581</v>
      </c>
      <c r="K519" s="8">
        <v>649651</v>
      </c>
      <c r="M519" s="167" t="str">
        <f t="shared" si="0"/>
        <v>OK</v>
      </c>
    </row>
    <row r="520" spans="2:13" ht="12.75" hidden="1">
      <c r="B520" s="86">
        <v>1241</v>
      </c>
      <c r="C520" s="86">
        <v>519</v>
      </c>
      <c r="D520" s="86" t="s">
        <v>9569</v>
      </c>
      <c r="E520" s="86" t="s">
        <v>1322</v>
      </c>
      <c r="F520" s="86" t="s">
        <v>157</v>
      </c>
      <c r="G520" s="86">
        <v>47</v>
      </c>
      <c r="H520" s="86" t="s">
        <v>724</v>
      </c>
      <c r="I520" s="86">
        <v>42</v>
      </c>
      <c r="J520" s="86" t="s">
        <v>1394</v>
      </c>
      <c r="K520" s="8">
        <v>650663</v>
      </c>
      <c r="M520" s="167" t="str">
        <f t="shared" si="0"/>
        <v>OK</v>
      </c>
    </row>
    <row r="521" spans="2:13" ht="12.75" hidden="1">
      <c r="B521" s="86">
        <v>1246</v>
      </c>
      <c r="C521" s="86">
        <v>520</v>
      </c>
      <c r="D521" s="86" t="s">
        <v>9568</v>
      </c>
      <c r="E521" s="86" t="s">
        <v>1337</v>
      </c>
      <c r="F521" s="86" t="s">
        <v>359</v>
      </c>
      <c r="G521" s="86">
        <v>47</v>
      </c>
      <c r="H521" s="86" t="s">
        <v>724</v>
      </c>
      <c r="I521" s="86">
        <v>42</v>
      </c>
      <c r="J521" s="86" t="s">
        <v>638</v>
      </c>
      <c r="K521" s="8">
        <v>650899</v>
      </c>
      <c r="M521" s="167" t="str">
        <f t="shared" si="0"/>
        <v>OK</v>
      </c>
    </row>
    <row r="522" spans="2:13" ht="12.75" hidden="1">
      <c r="B522" s="86">
        <v>1241</v>
      </c>
      <c r="C522" s="86">
        <v>521</v>
      </c>
      <c r="D522" s="86" t="s">
        <v>9585</v>
      </c>
      <c r="E522" s="86" t="s">
        <v>1329</v>
      </c>
      <c r="F522" s="86" t="s">
        <v>143</v>
      </c>
      <c r="G522" s="86">
        <v>47</v>
      </c>
      <c r="H522" s="86" t="s">
        <v>724</v>
      </c>
      <c r="I522" s="86">
        <v>42</v>
      </c>
      <c r="J522" s="86" t="s">
        <v>1200</v>
      </c>
      <c r="K522" s="8">
        <v>539050</v>
      </c>
      <c r="M522" s="167" t="str">
        <f t="shared" si="0"/>
        <v>OK</v>
      </c>
    </row>
    <row r="523" spans="2:13" ht="12.75" hidden="1">
      <c r="B523" s="86">
        <v>1241</v>
      </c>
      <c r="C523" s="86">
        <v>522</v>
      </c>
      <c r="D523" s="86" t="s">
        <v>9586</v>
      </c>
      <c r="E523" s="86" t="s">
        <v>1289</v>
      </c>
      <c r="F523" s="86" t="s">
        <v>35</v>
      </c>
      <c r="G523" s="86">
        <v>47</v>
      </c>
      <c r="H523" s="86" t="s">
        <v>724</v>
      </c>
      <c r="I523" s="86">
        <v>42</v>
      </c>
      <c r="J523" s="86" t="s">
        <v>1173</v>
      </c>
      <c r="K523" s="8">
        <v>580343</v>
      </c>
      <c r="M523" s="167" t="str">
        <f t="shared" si="0"/>
        <v>OK</v>
      </c>
    </row>
    <row r="524" spans="2:13" ht="12.75" hidden="1">
      <c r="B524" s="86">
        <v>1241</v>
      </c>
      <c r="C524" s="86">
        <v>523</v>
      </c>
      <c r="D524" s="86" t="s">
        <v>9594</v>
      </c>
      <c r="E524" s="86" t="s">
        <v>4756</v>
      </c>
      <c r="F524" s="86" t="s">
        <v>35</v>
      </c>
      <c r="G524" s="86">
        <v>20</v>
      </c>
      <c r="H524" s="86" t="s">
        <v>1004</v>
      </c>
      <c r="I524" s="86">
        <v>66</v>
      </c>
      <c r="J524" s="86" t="s">
        <v>10223</v>
      </c>
      <c r="K524" s="86">
        <v>649500</v>
      </c>
      <c r="M524" s="167" t="str">
        <f t="shared" si="0"/>
        <v>OK</v>
      </c>
    </row>
    <row r="525" spans="2:13" ht="12.75" hidden="1">
      <c r="B525" s="86">
        <v>1241</v>
      </c>
      <c r="C525" s="86">
        <v>524</v>
      </c>
      <c r="D525" s="86" t="s">
        <v>9586</v>
      </c>
      <c r="E525" s="86" t="s">
        <v>4783</v>
      </c>
      <c r="F525" s="86" t="s">
        <v>35</v>
      </c>
      <c r="G525" s="86">
        <v>20</v>
      </c>
      <c r="H525" s="86" t="s">
        <v>1004</v>
      </c>
      <c r="I525" s="86">
        <v>66</v>
      </c>
      <c r="J525" s="86" t="s">
        <v>1173</v>
      </c>
      <c r="K525" s="8">
        <v>564865</v>
      </c>
      <c r="M525" s="167" t="str">
        <f t="shared" si="0"/>
        <v>OK</v>
      </c>
    </row>
    <row r="526" spans="2:13" ht="12.75" hidden="1">
      <c r="B526" s="86">
        <v>1241</v>
      </c>
      <c r="C526" s="86">
        <v>525</v>
      </c>
      <c r="D526" s="86" t="s">
        <v>9569</v>
      </c>
      <c r="E526" s="86" t="s">
        <v>4796</v>
      </c>
      <c r="F526" s="86" t="s">
        <v>205</v>
      </c>
      <c r="G526" s="86">
        <v>20</v>
      </c>
      <c r="H526" s="86" t="s">
        <v>1004</v>
      </c>
      <c r="I526" s="86">
        <v>66</v>
      </c>
      <c r="J526" s="86" t="s">
        <v>5283</v>
      </c>
      <c r="K526" s="8">
        <v>539047</v>
      </c>
      <c r="M526" s="167" t="str">
        <f t="shared" si="0"/>
        <v>OK</v>
      </c>
    </row>
    <row r="527" spans="2:13" ht="12.75" hidden="1">
      <c r="B527" s="86">
        <v>1241</v>
      </c>
      <c r="C527" s="86">
        <v>526</v>
      </c>
      <c r="D527" s="86" t="s">
        <v>10097</v>
      </c>
      <c r="E527" s="86" t="s">
        <v>4777</v>
      </c>
      <c r="F527" s="86" t="s">
        <v>35</v>
      </c>
      <c r="G527" s="86">
        <v>20</v>
      </c>
      <c r="H527" s="86" t="s">
        <v>1004</v>
      </c>
      <c r="I527" s="86">
        <v>66</v>
      </c>
      <c r="J527" s="86" t="s">
        <v>117</v>
      </c>
      <c r="K527" s="8">
        <v>583482</v>
      </c>
      <c r="M527" s="167" t="str">
        <f t="shared" si="0"/>
        <v>OK</v>
      </c>
    </row>
    <row r="528" spans="2:13" ht="12.75" hidden="1">
      <c r="B528" s="86">
        <v>1246</v>
      </c>
      <c r="C528" s="86">
        <v>527</v>
      </c>
      <c r="D528" s="86" t="s">
        <v>9568</v>
      </c>
      <c r="E528" s="86" t="s">
        <v>4809</v>
      </c>
      <c r="F528" s="86" t="s">
        <v>4810</v>
      </c>
      <c r="G528" s="86">
        <v>20</v>
      </c>
      <c r="H528" s="86" t="s">
        <v>1004</v>
      </c>
      <c r="I528" s="86">
        <v>66</v>
      </c>
      <c r="J528" s="86" t="s">
        <v>249</v>
      </c>
      <c r="K528" s="8">
        <v>649439</v>
      </c>
      <c r="M528" s="167" t="str">
        <f t="shared" si="0"/>
        <v>OK</v>
      </c>
    </row>
    <row r="529" spans="2:13" ht="12.75" hidden="1">
      <c r="B529" s="86">
        <v>1246</v>
      </c>
      <c r="C529" s="86">
        <v>528</v>
      </c>
      <c r="D529" s="86" t="s">
        <v>9574</v>
      </c>
      <c r="E529" s="86" t="s">
        <v>4770</v>
      </c>
      <c r="F529" s="86" t="s">
        <v>35</v>
      </c>
      <c r="G529" s="86">
        <v>20</v>
      </c>
      <c r="H529" s="86" t="s">
        <v>1004</v>
      </c>
      <c r="I529" s="86">
        <v>66</v>
      </c>
      <c r="J529" s="86" t="s">
        <v>4766</v>
      </c>
      <c r="K529" s="8">
        <v>581183</v>
      </c>
      <c r="M529" s="167" t="str">
        <f t="shared" si="0"/>
        <v>OK</v>
      </c>
    </row>
    <row r="530" spans="2:13" ht="12.75" hidden="1">
      <c r="B530" s="86">
        <v>1241</v>
      </c>
      <c r="C530" s="86">
        <v>529</v>
      </c>
      <c r="D530" s="86" t="s">
        <v>9586</v>
      </c>
      <c r="E530" s="86" t="s">
        <v>4763</v>
      </c>
      <c r="F530" s="86" t="s">
        <v>35</v>
      </c>
      <c r="G530" s="86">
        <v>20</v>
      </c>
      <c r="H530" s="86" t="s">
        <v>1004</v>
      </c>
      <c r="I530" s="86">
        <v>66</v>
      </c>
      <c r="J530" s="86" t="s">
        <v>5332</v>
      </c>
      <c r="K530" s="8">
        <v>564866</v>
      </c>
      <c r="M530" s="167" t="str">
        <f t="shared" si="0"/>
        <v>OK</v>
      </c>
    </row>
    <row r="531" spans="2:13" ht="12.75" hidden="1">
      <c r="B531" s="86">
        <v>1241</v>
      </c>
      <c r="C531" s="86">
        <v>530</v>
      </c>
      <c r="D531" s="86" t="s">
        <v>9580</v>
      </c>
      <c r="E531" s="86" t="s">
        <v>4789</v>
      </c>
      <c r="F531" s="86" t="s">
        <v>1220</v>
      </c>
      <c r="G531" s="86">
        <v>20</v>
      </c>
      <c r="H531" s="86" t="s">
        <v>1004</v>
      </c>
      <c r="I531" s="86">
        <v>66</v>
      </c>
      <c r="J531" s="86" t="s">
        <v>10224</v>
      </c>
      <c r="K531" s="8">
        <v>539107</v>
      </c>
      <c r="M531" s="167" t="str">
        <f t="shared" si="0"/>
        <v>OK</v>
      </c>
    </row>
    <row r="532" spans="2:13" ht="12.75" hidden="1">
      <c r="B532" s="86">
        <v>1241</v>
      </c>
      <c r="C532" s="86">
        <v>531</v>
      </c>
      <c r="D532" s="86" t="s">
        <v>10113</v>
      </c>
      <c r="E532" s="86" t="s">
        <v>882</v>
      </c>
      <c r="F532" s="86" t="s">
        <v>35</v>
      </c>
      <c r="G532" s="86">
        <v>20</v>
      </c>
      <c r="H532" s="86" t="s">
        <v>1004</v>
      </c>
      <c r="I532" s="86">
        <v>66</v>
      </c>
      <c r="J532" s="86" t="s">
        <v>2040</v>
      </c>
      <c r="K532" s="8">
        <v>522806</v>
      </c>
      <c r="M532" s="167" t="str">
        <f t="shared" si="0"/>
        <v>OK</v>
      </c>
    </row>
    <row r="533" spans="2:13" ht="12.75" hidden="1">
      <c r="B533" s="86">
        <v>1241</v>
      </c>
      <c r="C533" s="86">
        <v>532</v>
      </c>
      <c r="D533" s="86" t="s">
        <v>10097</v>
      </c>
      <c r="E533" s="86" t="s">
        <v>3171</v>
      </c>
      <c r="F533" s="86" t="s">
        <v>35</v>
      </c>
      <c r="G533" s="86">
        <v>63</v>
      </c>
      <c r="H533" s="86" t="s">
        <v>10199</v>
      </c>
      <c r="I533" s="86">
        <v>63</v>
      </c>
      <c r="J533" s="86" t="s">
        <v>10225</v>
      </c>
      <c r="K533" s="8">
        <v>649494</v>
      </c>
      <c r="M533" s="167" t="str">
        <f t="shared" si="0"/>
        <v>OK</v>
      </c>
    </row>
    <row r="534" spans="2:13" ht="12.75" hidden="1">
      <c r="B534" s="86">
        <v>1241</v>
      </c>
      <c r="C534" s="86">
        <v>533</v>
      </c>
      <c r="D534" s="86" t="s">
        <v>9576</v>
      </c>
      <c r="E534" s="86" t="s">
        <v>4819</v>
      </c>
      <c r="F534" s="86" t="s">
        <v>35</v>
      </c>
      <c r="G534" s="86">
        <v>52</v>
      </c>
      <c r="H534" s="86" t="s">
        <v>7464</v>
      </c>
      <c r="I534" s="86">
        <v>58</v>
      </c>
      <c r="J534" s="86" t="s">
        <v>4815</v>
      </c>
      <c r="K534" s="8">
        <v>516230</v>
      </c>
      <c r="M534" s="167" t="str">
        <f t="shared" si="0"/>
        <v>OK</v>
      </c>
    </row>
    <row r="535" spans="2:13" ht="12.75" hidden="1">
      <c r="B535" s="86">
        <v>1241</v>
      </c>
      <c r="C535" s="86">
        <v>534</v>
      </c>
      <c r="D535" s="86" t="s">
        <v>10097</v>
      </c>
      <c r="E535" s="86" t="s">
        <v>4832</v>
      </c>
      <c r="F535" s="86" t="s">
        <v>35</v>
      </c>
      <c r="G535" s="86">
        <v>20</v>
      </c>
      <c r="H535" s="86" t="s">
        <v>8419</v>
      </c>
      <c r="I535" s="86">
        <v>20</v>
      </c>
      <c r="J535" s="86" t="s">
        <v>117</v>
      </c>
      <c r="K535" s="8">
        <v>583481</v>
      </c>
      <c r="L535" s="8"/>
      <c r="M535" s="167" t="str">
        <f t="shared" si="0"/>
        <v>OK</v>
      </c>
    </row>
    <row r="536" spans="2:13" ht="12.75" hidden="1">
      <c r="B536" s="86">
        <v>1241</v>
      </c>
      <c r="C536" s="86">
        <v>535</v>
      </c>
      <c r="D536" s="86" t="s">
        <v>9569</v>
      </c>
      <c r="E536" s="86" t="s">
        <v>4923</v>
      </c>
      <c r="F536" s="86" t="s">
        <v>205</v>
      </c>
      <c r="G536" s="86">
        <v>20</v>
      </c>
      <c r="H536" s="86" t="s">
        <v>8419</v>
      </c>
      <c r="I536" s="86">
        <v>20</v>
      </c>
      <c r="J536" s="86" t="s">
        <v>1394</v>
      </c>
      <c r="K536" s="8">
        <v>564542</v>
      </c>
      <c r="M536" s="167" t="str">
        <f t="shared" si="0"/>
        <v>OK</v>
      </c>
    </row>
    <row r="537" spans="2:13" ht="12.75" hidden="1">
      <c r="B537" s="86">
        <v>1241</v>
      </c>
      <c r="C537" s="86">
        <v>536</v>
      </c>
      <c r="D537" s="86" t="s">
        <v>9580</v>
      </c>
      <c r="E537" s="86" t="s">
        <v>4916</v>
      </c>
      <c r="F537" s="86" t="s">
        <v>1220</v>
      </c>
      <c r="G537" s="86">
        <v>20</v>
      </c>
      <c r="H537" s="86" t="s">
        <v>8419</v>
      </c>
      <c r="I537" s="86">
        <v>20</v>
      </c>
      <c r="J537" s="86" t="s">
        <v>10226</v>
      </c>
      <c r="K537" s="8">
        <v>543591</v>
      </c>
      <c r="M537" s="167" t="str">
        <f t="shared" si="0"/>
        <v>OK</v>
      </c>
    </row>
    <row r="538" spans="2:13" ht="12.75" hidden="1">
      <c r="B538" s="86">
        <v>1241</v>
      </c>
      <c r="C538" s="86">
        <v>537</v>
      </c>
      <c r="D538" s="86" t="s">
        <v>9576</v>
      </c>
      <c r="E538" s="86" t="s">
        <v>4910</v>
      </c>
      <c r="F538" s="86" t="s">
        <v>35</v>
      </c>
      <c r="G538" s="86">
        <v>20</v>
      </c>
      <c r="H538" s="86" t="s">
        <v>8419</v>
      </c>
      <c r="I538" s="86">
        <v>20</v>
      </c>
      <c r="J538" s="86" t="s">
        <v>10227</v>
      </c>
      <c r="K538" s="8">
        <v>522730</v>
      </c>
      <c r="M538" s="167" t="str">
        <f t="shared" si="0"/>
        <v>OK</v>
      </c>
    </row>
    <row r="539" spans="2:13" ht="12.75" hidden="1">
      <c r="B539" s="86">
        <v>1241</v>
      </c>
      <c r="C539" s="86">
        <v>538</v>
      </c>
      <c r="D539" s="86" t="s">
        <v>10113</v>
      </c>
      <c r="E539" s="86" t="s">
        <v>4609</v>
      </c>
      <c r="F539" s="86" t="s">
        <v>35</v>
      </c>
      <c r="G539" s="86">
        <v>20</v>
      </c>
      <c r="H539" s="86" t="s">
        <v>8419</v>
      </c>
      <c r="I539" s="86">
        <v>20</v>
      </c>
      <c r="J539" s="86" t="s">
        <v>10228</v>
      </c>
      <c r="K539" s="8">
        <v>516298</v>
      </c>
      <c r="M539" s="167" t="str">
        <f t="shared" si="0"/>
        <v>OK</v>
      </c>
    </row>
    <row r="540" spans="2:13" ht="12.75" hidden="1">
      <c r="B540" s="86">
        <v>1241</v>
      </c>
      <c r="C540" s="86">
        <v>539</v>
      </c>
      <c r="D540" s="86" t="s">
        <v>9603</v>
      </c>
      <c r="E540" s="86" t="s">
        <v>4826</v>
      </c>
      <c r="F540" s="86" t="s">
        <v>35</v>
      </c>
      <c r="G540" s="86">
        <v>20</v>
      </c>
      <c r="H540" s="86" t="s">
        <v>8419</v>
      </c>
      <c r="I540" s="86">
        <v>20</v>
      </c>
      <c r="J540" s="86" t="s">
        <v>10229</v>
      </c>
      <c r="K540" s="8">
        <v>649496</v>
      </c>
      <c r="M540" s="167" t="str">
        <f t="shared" si="0"/>
        <v>OK</v>
      </c>
    </row>
    <row r="541" spans="2:13" ht="12.75" hidden="1">
      <c r="B541" s="86">
        <v>1246</v>
      </c>
      <c r="C541" s="86">
        <v>540</v>
      </c>
      <c r="D541" s="86" t="s">
        <v>9568</v>
      </c>
      <c r="E541" s="86" t="s">
        <v>4844</v>
      </c>
      <c r="F541" s="86" t="s">
        <v>978</v>
      </c>
      <c r="G541" s="86">
        <v>20</v>
      </c>
      <c r="H541" s="86" t="s">
        <v>8419</v>
      </c>
      <c r="I541" s="86">
        <v>20</v>
      </c>
      <c r="J541" s="86" t="s">
        <v>249</v>
      </c>
      <c r="K541" s="8">
        <v>649423</v>
      </c>
      <c r="M541" s="167" t="str">
        <f t="shared" si="0"/>
        <v>OK</v>
      </c>
    </row>
    <row r="542" spans="2:13" ht="12.75" hidden="1">
      <c r="B542" s="86">
        <v>1241</v>
      </c>
      <c r="C542" s="86">
        <v>541</v>
      </c>
      <c r="D542" s="86" t="s">
        <v>9586</v>
      </c>
      <c r="E542" s="86" t="s">
        <v>4838</v>
      </c>
      <c r="F542" s="86" t="s">
        <v>35</v>
      </c>
      <c r="G542" s="86">
        <v>20</v>
      </c>
      <c r="H542" s="86" t="s">
        <v>8419</v>
      </c>
      <c r="I542" s="86">
        <v>20</v>
      </c>
      <c r="J542" s="86" t="s">
        <v>1173</v>
      </c>
      <c r="K542" s="8">
        <v>564864</v>
      </c>
      <c r="M542" s="167" t="str">
        <f t="shared" si="0"/>
        <v>OK</v>
      </c>
    </row>
    <row r="543" spans="2:13" ht="12.75" hidden="1">
      <c r="B543" s="86">
        <v>1241</v>
      </c>
      <c r="C543" s="86">
        <v>542</v>
      </c>
      <c r="D543" s="86" t="s">
        <v>10113</v>
      </c>
      <c r="E543" s="86" t="s">
        <v>1420</v>
      </c>
      <c r="F543" s="86" t="s">
        <v>35</v>
      </c>
      <c r="G543" s="86">
        <v>47</v>
      </c>
      <c r="H543" s="86" t="s">
        <v>10230</v>
      </c>
      <c r="I543" s="86">
        <v>64</v>
      </c>
      <c r="J543" s="86" t="s">
        <v>1006</v>
      </c>
      <c r="K543" s="8">
        <v>516302</v>
      </c>
      <c r="M543" s="167" t="str">
        <f t="shared" si="0"/>
        <v>OK</v>
      </c>
    </row>
    <row r="544" spans="2:13" ht="12.75" hidden="1">
      <c r="B544" s="86">
        <v>1241</v>
      </c>
      <c r="C544" s="86">
        <v>543</v>
      </c>
      <c r="D544" s="86" t="s">
        <v>10097</v>
      </c>
      <c r="E544" s="86" t="s">
        <v>1391</v>
      </c>
      <c r="F544" s="86" t="s">
        <v>35</v>
      </c>
      <c r="G544" s="86">
        <v>47</v>
      </c>
      <c r="H544" s="86" t="s">
        <v>10230</v>
      </c>
      <c r="I544" s="86">
        <v>64</v>
      </c>
      <c r="J544" s="86" t="s">
        <v>10201</v>
      </c>
      <c r="K544" s="8">
        <v>518527</v>
      </c>
      <c r="M544" s="167" t="str">
        <f t="shared" si="0"/>
        <v>OK</v>
      </c>
    </row>
    <row r="545" spans="2:13" ht="12.75" hidden="1">
      <c r="B545" s="86">
        <v>1241</v>
      </c>
      <c r="C545" s="86">
        <v>544</v>
      </c>
      <c r="D545" s="86" t="s">
        <v>9569</v>
      </c>
      <c r="E545" s="86" t="s">
        <v>1398</v>
      </c>
      <c r="F545" s="86" t="s">
        <v>9384</v>
      </c>
      <c r="G545" s="86">
        <v>47</v>
      </c>
      <c r="H545" s="86" t="s">
        <v>10230</v>
      </c>
      <c r="I545" s="86">
        <v>64</v>
      </c>
      <c r="J545" s="86" t="s">
        <v>1394</v>
      </c>
      <c r="K545" s="8">
        <v>535501</v>
      </c>
      <c r="M545" s="167" t="str">
        <f t="shared" si="0"/>
        <v>OK</v>
      </c>
    </row>
    <row r="546" spans="2:13" ht="12.75" hidden="1">
      <c r="B546" s="86">
        <v>1241</v>
      </c>
      <c r="C546" s="86">
        <v>545</v>
      </c>
      <c r="D546" s="86" t="s">
        <v>9580</v>
      </c>
      <c r="E546" s="86" t="s">
        <v>1406</v>
      </c>
      <c r="F546" s="86" t="s">
        <v>9384</v>
      </c>
      <c r="G546" s="86">
        <v>47</v>
      </c>
      <c r="H546" s="86" t="s">
        <v>10230</v>
      </c>
      <c r="I546" s="86">
        <v>64</v>
      </c>
      <c r="J546" s="86" t="s">
        <v>10231</v>
      </c>
      <c r="K546" s="8">
        <v>539116</v>
      </c>
      <c r="M546" s="167" t="str">
        <f t="shared" si="0"/>
        <v>OK</v>
      </c>
    </row>
    <row r="547" spans="2:13" ht="12.75" hidden="1">
      <c r="B547" s="86">
        <v>1241</v>
      </c>
      <c r="C547" s="86">
        <v>546</v>
      </c>
      <c r="D547" s="86" t="s">
        <v>10097</v>
      </c>
      <c r="E547" s="86" t="s">
        <v>1384</v>
      </c>
      <c r="F547" s="86" t="s">
        <v>35</v>
      </c>
      <c r="G547" s="86">
        <v>47</v>
      </c>
      <c r="H547" s="86" t="s">
        <v>10230</v>
      </c>
      <c r="I547" s="86">
        <v>64</v>
      </c>
      <c r="J547" s="86" t="s">
        <v>10201</v>
      </c>
      <c r="K547" s="8">
        <v>564833</v>
      </c>
      <c r="M547" s="167" t="str">
        <f t="shared" si="0"/>
        <v>OK</v>
      </c>
    </row>
    <row r="548" spans="2:13" ht="12.75" hidden="1">
      <c r="B548" s="86">
        <v>1246</v>
      </c>
      <c r="C548" s="86">
        <v>547</v>
      </c>
      <c r="D548" s="86" t="s">
        <v>9568</v>
      </c>
      <c r="E548" s="86" t="s">
        <v>1757</v>
      </c>
      <c r="F548" s="86" t="s">
        <v>303</v>
      </c>
      <c r="G548" s="86">
        <v>47</v>
      </c>
      <c r="H548" s="86" t="s">
        <v>10230</v>
      </c>
      <c r="I548" s="86">
        <v>64</v>
      </c>
      <c r="J548" s="86" t="s">
        <v>249</v>
      </c>
      <c r="K548" s="8">
        <v>539067</v>
      </c>
      <c r="M548" s="167" t="str">
        <f t="shared" si="0"/>
        <v>OK</v>
      </c>
    </row>
    <row r="549" spans="2:13" ht="12.75" hidden="1">
      <c r="B549" s="86">
        <v>1241</v>
      </c>
      <c r="C549" s="86">
        <v>548</v>
      </c>
      <c r="D549" s="86" t="s">
        <v>10113</v>
      </c>
      <c r="E549" s="86" t="s">
        <v>1310</v>
      </c>
      <c r="F549" s="86" t="s">
        <v>35</v>
      </c>
      <c r="G549" s="86">
        <v>47</v>
      </c>
      <c r="H549" s="86" t="s">
        <v>10230</v>
      </c>
      <c r="I549" s="86">
        <v>64</v>
      </c>
      <c r="J549" s="86" t="s">
        <v>606</v>
      </c>
      <c r="K549" s="8">
        <v>649485</v>
      </c>
      <c r="M549" s="167" t="str">
        <f t="shared" si="0"/>
        <v>OK</v>
      </c>
    </row>
    <row r="550" spans="2:13" ht="12.75" hidden="1">
      <c r="B550" s="86">
        <v>1241</v>
      </c>
      <c r="C550" s="86">
        <v>549</v>
      </c>
      <c r="D550" s="86" t="s">
        <v>9586</v>
      </c>
      <c r="E550" s="86" t="s">
        <v>1377</v>
      </c>
      <c r="F550" s="86" t="s">
        <v>35</v>
      </c>
      <c r="G550" s="86">
        <v>47</v>
      </c>
      <c r="H550" s="86" t="s">
        <v>10230</v>
      </c>
      <c r="I550" s="86">
        <v>64</v>
      </c>
      <c r="J550" s="86" t="s">
        <v>6226</v>
      </c>
      <c r="K550" s="8">
        <v>564663</v>
      </c>
      <c r="M550" s="167" t="str">
        <f t="shared" si="0"/>
        <v>OK</v>
      </c>
    </row>
    <row r="551" spans="2:13" ht="12.75" hidden="1">
      <c r="B551" s="86">
        <v>1241</v>
      </c>
      <c r="C551" s="86">
        <v>550</v>
      </c>
      <c r="D551" s="86" t="s">
        <v>9603</v>
      </c>
      <c r="E551" s="86" t="s">
        <v>1257</v>
      </c>
      <c r="F551" s="86" t="s">
        <v>35</v>
      </c>
      <c r="G551" s="86">
        <v>47</v>
      </c>
      <c r="H551" s="86" t="s">
        <v>1164</v>
      </c>
      <c r="I551" s="86">
        <v>47</v>
      </c>
      <c r="J551" s="86" t="s">
        <v>10232</v>
      </c>
      <c r="K551" s="8">
        <v>518519</v>
      </c>
      <c r="M551" s="167" t="str">
        <f t="shared" si="0"/>
        <v>OK</v>
      </c>
    </row>
    <row r="552" spans="2:13" ht="12.75" hidden="1">
      <c r="B552" s="86">
        <v>1241</v>
      </c>
      <c r="C552" s="86">
        <v>551</v>
      </c>
      <c r="D552" s="86" t="s">
        <v>10097</v>
      </c>
      <c r="E552" s="86" t="s">
        <v>1447</v>
      </c>
      <c r="F552" s="86" t="s">
        <v>35</v>
      </c>
      <c r="G552" s="86">
        <v>47</v>
      </c>
      <c r="H552" s="86" t="s">
        <v>1164</v>
      </c>
      <c r="I552" s="86">
        <v>47</v>
      </c>
      <c r="J552" s="86" t="s">
        <v>10201</v>
      </c>
      <c r="K552" s="8">
        <v>534680</v>
      </c>
      <c r="M552" s="167" t="str">
        <f t="shared" si="0"/>
        <v>OK</v>
      </c>
    </row>
    <row r="553" spans="2:13" ht="12.75" hidden="1">
      <c r="B553" s="86">
        <v>1241</v>
      </c>
      <c r="C553" s="86">
        <v>552</v>
      </c>
      <c r="D553" s="86" t="s">
        <v>9586</v>
      </c>
      <c r="E553" s="86" t="s">
        <v>1244</v>
      </c>
      <c r="F553" s="86" t="s">
        <v>35</v>
      </c>
      <c r="G553" s="86">
        <v>47</v>
      </c>
      <c r="H553" s="86" t="s">
        <v>1164</v>
      </c>
      <c r="I553" s="86">
        <v>47</v>
      </c>
      <c r="J553" s="86" t="s">
        <v>6226</v>
      </c>
      <c r="K553" s="8">
        <v>564669</v>
      </c>
      <c r="M553" s="167" t="str">
        <f t="shared" si="0"/>
        <v>OK</v>
      </c>
    </row>
    <row r="554" spans="2:13" ht="12.75" hidden="1">
      <c r="B554" s="86">
        <v>1246</v>
      </c>
      <c r="C554" s="86">
        <v>553</v>
      </c>
      <c r="D554" s="86" t="s">
        <v>9568</v>
      </c>
      <c r="E554" s="86" t="s">
        <v>1232</v>
      </c>
      <c r="F554" s="86" t="s">
        <v>978</v>
      </c>
      <c r="G554" s="86">
        <v>47</v>
      </c>
      <c r="H554" s="86" t="s">
        <v>1164</v>
      </c>
      <c r="I554" s="86">
        <v>47</v>
      </c>
      <c r="J554" s="86" t="s">
        <v>249</v>
      </c>
      <c r="K554" s="8">
        <v>649425</v>
      </c>
      <c r="M554" s="167" t="str">
        <f t="shared" si="0"/>
        <v>OK</v>
      </c>
    </row>
    <row r="555" spans="2:13" ht="12.75" hidden="1">
      <c r="B555" s="86">
        <v>1246</v>
      </c>
      <c r="C555" s="86">
        <v>554</v>
      </c>
      <c r="D555" s="86" t="s">
        <v>9574</v>
      </c>
      <c r="E555" s="86" t="s">
        <v>1270</v>
      </c>
      <c r="F555" s="86" t="s">
        <v>406</v>
      </c>
      <c r="G555" s="86">
        <v>47</v>
      </c>
      <c r="H555" s="86" t="s">
        <v>1164</v>
      </c>
      <c r="I555" s="86">
        <v>47</v>
      </c>
      <c r="J555" s="86" t="s">
        <v>2641</v>
      </c>
      <c r="K555" s="8">
        <v>649479</v>
      </c>
      <c r="M555" s="167" t="str">
        <f t="shared" si="0"/>
        <v>OK</v>
      </c>
    </row>
    <row r="556" spans="2:13" ht="12.75" hidden="1">
      <c r="B556" s="86">
        <v>1241</v>
      </c>
      <c r="C556" s="86">
        <v>555</v>
      </c>
      <c r="D556" s="86" t="s">
        <v>9594</v>
      </c>
      <c r="E556" s="86" t="s">
        <v>1264</v>
      </c>
      <c r="F556" s="86" t="s">
        <v>35</v>
      </c>
      <c r="G556" s="86">
        <v>47</v>
      </c>
      <c r="H556" s="86" t="s">
        <v>1164</v>
      </c>
      <c r="I556" s="86">
        <v>47</v>
      </c>
      <c r="J556" s="86" t="s">
        <v>10233</v>
      </c>
      <c r="K556" s="86">
        <v>533168</v>
      </c>
      <c r="M556" s="167" t="str">
        <f t="shared" si="0"/>
        <v>OK</v>
      </c>
    </row>
    <row r="557" spans="2:13" ht="12.75" hidden="1">
      <c r="B557" s="86">
        <v>1241</v>
      </c>
      <c r="C557" s="86">
        <v>556</v>
      </c>
      <c r="D557" s="86" t="s">
        <v>9594</v>
      </c>
      <c r="E557" s="86" t="s">
        <v>1162</v>
      </c>
      <c r="F557" s="86" t="s">
        <v>35</v>
      </c>
      <c r="G557" s="86">
        <v>47</v>
      </c>
      <c r="H557" s="86" t="s">
        <v>1164</v>
      </c>
      <c r="I557" s="86">
        <v>47</v>
      </c>
      <c r="J557" s="86" t="s">
        <v>10144</v>
      </c>
      <c r="K557" s="86">
        <v>518525</v>
      </c>
      <c r="M557" s="167" t="str">
        <f t="shared" si="0"/>
        <v>OK</v>
      </c>
    </row>
    <row r="558" spans="2:13" ht="12.75" hidden="1">
      <c r="B558" s="86">
        <v>1241</v>
      </c>
      <c r="C558" s="86">
        <v>557</v>
      </c>
      <c r="D558" s="86" t="s">
        <v>10113</v>
      </c>
      <c r="E558" s="86" t="s">
        <v>1190</v>
      </c>
      <c r="F558" s="86" t="s">
        <v>35</v>
      </c>
      <c r="G558" s="86">
        <v>47</v>
      </c>
      <c r="H558" s="86" t="s">
        <v>1164</v>
      </c>
      <c r="I558" s="86">
        <v>47</v>
      </c>
      <c r="J558" s="86" t="s">
        <v>4902</v>
      </c>
      <c r="K558" s="8">
        <v>649528</v>
      </c>
      <c r="M558" s="167" t="str">
        <f t="shared" si="0"/>
        <v>OK</v>
      </c>
    </row>
    <row r="559" spans="2:13" ht="12.75" hidden="1">
      <c r="B559" s="86">
        <v>1241</v>
      </c>
      <c r="C559" s="86">
        <v>558</v>
      </c>
      <c r="D559" s="86" t="s">
        <v>10113</v>
      </c>
      <c r="E559" s="86" t="s">
        <v>1196</v>
      </c>
      <c r="F559" s="86" t="s">
        <v>35</v>
      </c>
      <c r="G559" s="86">
        <v>47</v>
      </c>
      <c r="H559" s="86" t="s">
        <v>1164</v>
      </c>
      <c r="I559" s="86">
        <v>47</v>
      </c>
      <c r="J559" s="86" t="s">
        <v>4902</v>
      </c>
      <c r="K559" s="8">
        <v>516288</v>
      </c>
      <c r="M559" s="167" t="str">
        <f t="shared" si="0"/>
        <v>OK</v>
      </c>
    </row>
    <row r="560" spans="2:13" ht="12.75" hidden="1">
      <c r="B560" s="86">
        <v>1241</v>
      </c>
      <c r="C560" s="86">
        <v>559</v>
      </c>
      <c r="D560" s="86" t="s">
        <v>10097</v>
      </c>
      <c r="E560" s="86" t="s">
        <v>1176</v>
      </c>
      <c r="F560" s="86" t="s">
        <v>35</v>
      </c>
      <c r="G560" s="86">
        <v>47</v>
      </c>
      <c r="H560" s="86" t="s">
        <v>1164</v>
      </c>
      <c r="I560" s="86">
        <v>47</v>
      </c>
      <c r="J560" s="86" t="s">
        <v>1173</v>
      </c>
      <c r="K560" s="8">
        <v>584051</v>
      </c>
      <c r="M560" s="167" t="str">
        <f t="shared" si="0"/>
        <v>OK</v>
      </c>
    </row>
    <row r="561" spans="2:13" ht="12.75" hidden="1">
      <c r="B561" s="86">
        <v>1241</v>
      </c>
      <c r="C561" s="86">
        <v>560</v>
      </c>
      <c r="D561" s="86" t="s">
        <v>9585</v>
      </c>
      <c r="E561" s="86" t="s">
        <v>1204</v>
      </c>
      <c r="F561" s="86" t="s">
        <v>205</v>
      </c>
      <c r="G561" s="86">
        <v>47</v>
      </c>
      <c r="H561" s="86" t="s">
        <v>1164</v>
      </c>
      <c r="I561" s="86">
        <v>47</v>
      </c>
      <c r="J561" s="86" t="s">
        <v>10234</v>
      </c>
      <c r="K561" s="8">
        <v>649480</v>
      </c>
      <c r="M561" s="167" t="str">
        <f t="shared" si="0"/>
        <v>OK</v>
      </c>
    </row>
    <row r="562" spans="2:13" ht="12.75" hidden="1">
      <c r="B562" s="86">
        <v>1241</v>
      </c>
      <c r="C562" s="86">
        <v>561</v>
      </c>
      <c r="D562" s="86" t="s">
        <v>9565</v>
      </c>
      <c r="E562" s="86" t="s">
        <v>1212</v>
      </c>
      <c r="F562" s="86" t="s">
        <v>663</v>
      </c>
      <c r="G562" s="86">
        <v>47</v>
      </c>
      <c r="H562" s="86" t="s">
        <v>1164</v>
      </c>
      <c r="I562" s="86">
        <v>47</v>
      </c>
      <c r="J562" s="86" t="s">
        <v>285</v>
      </c>
      <c r="K562" s="8">
        <v>649481</v>
      </c>
      <c r="M562" s="167" t="str">
        <f t="shared" si="0"/>
        <v>OK</v>
      </c>
    </row>
    <row r="563" spans="2:13" ht="12.75" hidden="1">
      <c r="B563" s="86">
        <v>1241</v>
      </c>
      <c r="C563" s="86">
        <v>562</v>
      </c>
      <c r="D563" s="86" t="s">
        <v>9580</v>
      </c>
      <c r="E563" s="86" t="s">
        <v>1219</v>
      </c>
      <c r="F563" s="86" t="s">
        <v>1220</v>
      </c>
      <c r="G563" s="86">
        <v>50</v>
      </c>
      <c r="H563" s="86" t="s">
        <v>7404</v>
      </c>
      <c r="I563" s="86">
        <v>50</v>
      </c>
      <c r="J563" s="86" t="s">
        <v>151</v>
      </c>
      <c r="K563" s="8">
        <v>539111</v>
      </c>
      <c r="M563" s="167" t="str">
        <f t="shared" si="0"/>
        <v>OK</v>
      </c>
    </row>
    <row r="564" spans="2:13" ht="12.75" hidden="1">
      <c r="B564" s="86">
        <v>1241</v>
      </c>
      <c r="C564" s="86">
        <v>563</v>
      </c>
      <c r="D564" s="86" t="s">
        <v>10113</v>
      </c>
      <c r="E564" s="86" t="s">
        <v>1250</v>
      </c>
      <c r="F564" s="86" t="s">
        <v>35</v>
      </c>
      <c r="G564" s="86">
        <v>47</v>
      </c>
      <c r="H564" s="86" t="s">
        <v>1164</v>
      </c>
      <c r="I564" s="86">
        <v>47</v>
      </c>
      <c r="J564" s="86" t="s">
        <v>10235</v>
      </c>
      <c r="K564" s="8">
        <v>649482</v>
      </c>
      <c r="M564" s="167" t="str">
        <f t="shared" si="0"/>
        <v>OK</v>
      </c>
    </row>
    <row r="565" spans="2:13" ht="12.75" hidden="1">
      <c r="B565" s="86">
        <v>1241</v>
      </c>
      <c r="C565" s="86">
        <v>564</v>
      </c>
      <c r="D565" s="86" t="s">
        <v>9569</v>
      </c>
      <c r="E565" s="86" t="s">
        <v>1280</v>
      </c>
      <c r="F565" s="86" t="s">
        <v>682</v>
      </c>
      <c r="G565" s="86">
        <v>47</v>
      </c>
      <c r="H565" s="86" t="s">
        <v>1164</v>
      </c>
      <c r="I565" s="86">
        <v>47</v>
      </c>
      <c r="J565" s="86" t="s">
        <v>1276</v>
      </c>
      <c r="K565" s="8">
        <v>649383</v>
      </c>
      <c r="M565" s="167" t="str">
        <f t="shared" si="0"/>
        <v>OK</v>
      </c>
    </row>
    <row r="566" spans="2:13" ht="12.75" hidden="1">
      <c r="B566" s="86">
        <v>1241</v>
      </c>
      <c r="C566" s="86">
        <v>565</v>
      </c>
      <c r="D566" s="86" t="s">
        <v>9571</v>
      </c>
      <c r="E566" s="86" t="s">
        <v>1170</v>
      </c>
      <c r="F566" s="86" t="s">
        <v>35</v>
      </c>
      <c r="G566" s="86">
        <v>47</v>
      </c>
      <c r="H566" s="86" t="s">
        <v>1164</v>
      </c>
      <c r="I566" s="86">
        <v>47</v>
      </c>
      <c r="J566" s="86" t="s">
        <v>1166</v>
      </c>
      <c r="K566" s="8">
        <v>649483</v>
      </c>
      <c r="M566" s="167" t="str">
        <f t="shared" si="0"/>
        <v>OK</v>
      </c>
    </row>
    <row r="567" spans="2:13" ht="12.75" hidden="1">
      <c r="B567" s="86">
        <v>1241</v>
      </c>
      <c r="C567" s="86">
        <v>566</v>
      </c>
      <c r="D567" s="86" t="s">
        <v>9571</v>
      </c>
      <c r="E567" s="86" t="s">
        <v>34</v>
      </c>
      <c r="F567" s="86" t="s">
        <v>35</v>
      </c>
      <c r="G567" s="86">
        <v>25</v>
      </c>
      <c r="H567" s="86" t="s">
        <v>10236</v>
      </c>
      <c r="I567" s="86">
        <v>29</v>
      </c>
      <c r="J567" s="86" t="s">
        <v>1166</v>
      </c>
      <c r="K567" s="86">
        <v>583333</v>
      </c>
      <c r="M567" s="167" t="str">
        <f t="shared" si="0"/>
        <v>OK</v>
      </c>
    </row>
    <row r="568" spans="2:13" ht="12.75" hidden="1">
      <c r="B568" s="86">
        <v>1241</v>
      </c>
      <c r="C568" s="86">
        <v>567</v>
      </c>
      <c r="D568" s="86" t="s">
        <v>9594</v>
      </c>
      <c r="E568" s="86" t="s">
        <v>67</v>
      </c>
      <c r="F568" s="86" t="s">
        <v>35</v>
      </c>
      <c r="G568" s="86">
        <v>25</v>
      </c>
      <c r="H568" s="86" t="s">
        <v>10236</v>
      </c>
      <c r="I568" s="86">
        <v>29</v>
      </c>
      <c r="J568" s="86" t="s">
        <v>10237</v>
      </c>
      <c r="K568" s="86">
        <v>581343</v>
      </c>
      <c r="M568" s="167" t="str">
        <f t="shared" si="0"/>
        <v>OK</v>
      </c>
    </row>
    <row r="569" spans="2:13" ht="12.75" hidden="1">
      <c r="B569" s="86">
        <v>1241</v>
      </c>
      <c r="C569" s="86">
        <v>568</v>
      </c>
      <c r="D569" s="86" t="s">
        <v>9576</v>
      </c>
      <c r="E569" s="86" t="s">
        <v>258</v>
      </c>
      <c r="F569" s="86" t="s">
        <v>35</v>
      </c>
      <c r="G569" s="86">
        <v>25</v>
      </c>
      <c r="H569" s="86" t="s">
        <v>10236</v>
      </c>
      <c r="I569" s="86">
        <v>29</v>
      </c>
      <c r="J569" s="86" t="s">
        <v>10238</v>
      </c>
      <c r="K569" s="8">
        <v>649505</v>
      </c>
      <c r="M569" s="167" t="str">
        <f t="shared" si="0"/>
        <v>OK</v>
      </c>
    </row>
    <row r="570" spans="2:13" ht="12.75" hidden="1">
      <c r="B570" s="86">
        <v>1241</v>
      </c>
      <c r="C570" s="86">
        <v>569</v>
      </c>
      <c r="D570" s="86" t="s">
        <v>10097</v>
      </c>
      <c r="E570" s="86" t="s">
        <v>267</v>
      </c>
      <c r="F570" s="86" t="s">
        <v>35</v>
      </c>
      <c r="G570" s="86">
        <v>25</v>
      </c>
      <c r="H570" s="86" t="s">
        <v>10236</v>
      </c>
      <c r="I570" s="86">
        <v>29</v>
      </c>
      <c r="J570" s="86" t="s">
        <v>10201</v>
      </c>
      <c r="K570" s="8">
        <v>649506</v>
      </c>
      <c r="M570" s="167" t="str">
        <f t="shared" si="0"/>
        <v>OK</v>
      </c>
    </row>
    <row r="571" spans="2:13" ht="12.75" hidden="1">
      <c r="B571" s="86">
        <v>1241</v>
      </c>
      <c r="C571" s="86">
        <v>570</v>
      </c>
      <c r="D571" s="86" t="s">
        <v>9586</v>
      </c>
      <c r="E571" s="86" t="s">
        <v>282</v>
      </c>
      <c r="F571" s="86" t="s">
        <v>35</v>
      </c>
      <c r="G571" s="86">
        <v>25</v>
      </c>
      <c r="H571" s="86" t="s">
        <v>10236</v>
      </c>
      <c r="I571" s="86">
        <v>29</v>
      </c>
      <c r="J571" s="86" t="s">
        <v>10239</v>
      </c>
      <c r="K571" s="86">
        <v>566418</v>
      </c>
      <c r="M571" s="167" t="str">
        <f t="shared" si="0"/>
        <v>OK</v>
      </c>
    </row>
    <row r="572" spans="2:13" ht="12.75" hidden="1">
      <c r="B572" s="86">
        <v>1241</v>
      </c>
      <c r="C572" s="86">
        <v>571</v>
      </c>
      <c r="D572" s="86" t="s">
        <v>9565</v>
      </c>
      <c r="E572" s="86" t="s">
        <v>289</v>
      </c>
      <c r="F572" s="86" t="s">
        <v>168</v>
      </c>
      <c r="G572" s="86">
        <v>25</v>
      </c>
      <c r="H572" s="86" t="s">
        <v>10236</v>
      </c>
      <c r="I572" s="86">
        <v>29</v>
      </c>
      <c r="J572" s="86" t="s">
        <v>10240</v>
      </c>
      <c r="K572" s="8">
        <v>533366</v>
      </c>
      <c r="M572" s="167" t="str">
        <f t="shared" si="0"/>
        <v>OK</v>
      </c>
    </row>
    <row r="573" spans="2:13" ht="12.75" hidden="1">
      <c r="B573" s="86">
        <v>1241</v>
      </c>
      <c r="C573" s="86">
        <v>572</v>
      </c>
      <c r="D573" s="86" t="s">
        <v>10113</v>
      </c>
      <c r="E573" s="86" t="s">
        <v>5823</v>
      </c>
      <c r="F573" s="86" t="s">
        <v>35</v>
      </c>
      <c r="G573" s="86">
        <v>25</v>
      </c>
      <c r="H573" s="86" t="s">
        <v>9584</v>
      </c>
      <c r="I573" s="86">
        <v>25</v>
      </c>
      <c r="J573" s="86" t="s">
        <v>511</v>
      </c>
      <c r="K573" s="8">
        <v>516299</v>
      </c>
      <c r="M573" s="167" t="str">
        <f t="shared" si="0"/>
        <v>OK</v>
      </c>
    </row>
    <row r="574" spans="2:13" ht="12.75" hidden="1">
      <c r="B574" s="86">
        <v>1241</v>
      </c>
      <c r="C574" s="86">
        <v>573</v>
      </c>
      <c r="D574" s="86" t="s">
        <v>10113</v>
      </c>
      <c r="E574" s="86" t="s">
        <v>5847</v>
      </c>
      <c r="F574" s="86" t="s">
        <v>35</v>
      </c>
      <c r="G574" s="86">
        <v>25</v>
      </c>
      <c r="H574" s="86" t="s">
        <v>9584</v>
      </c>
      <c r="I574" s="86">
        <v>25</v>
      </c>
      <c r="J574" s="86" t="s">
        <v>511</v>
      </c>
      <c r="K574" s="8">
        <v>516282</v>
      </c>
      <c r="M574" s="167" t="str">
        <f t="shared" si="0"/>
        <v>OK</v>
      </c>
    </row>
    <row r="575" spans="2:13" ht="12.75" hidden="1">
      <c r="B575" s="86">
        <v>1241</v>
      </c>
      <c r="C575" s="86">
        <v>574</v>
      </c>
      <c r="D575" s="86" t="s">
        <v>9586</v>
      </c>
      <c r="E575" s="86" t="s">
        <v>5817</v>
      </c>
      <c r="F575" s="86" t="s">
        <v>35</v>
      </c>
      <c r="G575" s="86">
        <v>25</v>
      </c>
      <c r="H575" s="86" t="s">
        <v>9584</v>
      </c>
      <c r="I575" s="86">
        <v>25</v>
      </c>
      <c r="J575" s="86" t="s">
        <v>10241</v>
      </c>
      <c r="K575" s="8">
        <v>564861</v>
      </c>
      <c r="M575" s="167" t="str">
        <f t="shared" si="0"/>
        <v>OK</v>
      </c>
    </row>
    <row r="576" spans="2:13" ht="12.75" hidden="1">
      <c r="B576" s="86">
        <v>1241</v>
      </c>
      <c r="C576" s="86">
        <v>575</v>
      </c>
      <c r="D576" s="86" t="s">
        <v>10113</v>
      </c>
      <c r="E576" s="86" t="s">
        <v>5797</v>
      </c>
      <c r="F576" s="86" t="s">
        <v>35</v>
      </c>
      <c r="G576" s="86">
        <v>25</v>
      </c>
      <c r="H576" s="86" t="s">
        <v>9584</v>
      </c>
      <c r="I576" s="86">
        <v>25</v>
      </c>
      <c r="J576" s="86" t="s">
        <v>511</v>
      </c>
      <c r="K576" s="8">
        <v>649526</v>
      </c>
      <c r="M576" s="167" t="str">
        <f t="shared" si="0"/>
        <v>OK</v>
      </c>
    </row>
    <row r="577" spans="2:13" ht="12.75" hidden="1">
      <c r="B577" s="86">
        <v>1241</v>
      </c>
      <c r="C577" s="86">
        <v>576</v>
      </c>
      <c r="D577" s="86" t="s">
        <v>10113</v>
      </c>
      <c r="E577" s="86" t="s">
        <v>5756</v>
      </c>
      <c r="F577" s="86" t="s">
        <v>35</v>
      </c>
      <c r="G577" s="86">
        <v>25</v>
      </c>
      <c r="H577" s="86" t="s">
        <v>9584</v>
      </c>
      <c r="I577" s="86">
        <v>25</v>
      </c>
      <c r="J577" s="86" t="s">
        <v>511</v>
      </c>
      <c r="K577" s="8">
        <v>516232</v>
      </c>
      <c r="M577" s="167" t="str">
        <f t="shared" si="0"/>
        <v>OK</v>
      </c>
    </row>
    <row r="578" spans="2:13" ht="12.75" hidden="1">
      <c r="B578" s="86">
        <v>1241</v>
      </c>
      <c r="C578" s="86">
        <v>577</v>
      </c>
      <c r="D578" s="86" t="s">
        <v>10113</v>
      </c>
      <c r="E578" s="86" t="s">
        <v>5835</v>
      </c>
      <c r="F578" s="86" t="s">
        <v>35</v>
      </c>
      <c r="G578" s="86">
        <v>25</v>
      </c>
      <c r="H578" s="86" t="s">
        <v>9584</v>
      </c>
      <c r="I578" s="86">
        <v>25</v>
      </c>
      <c r="J578" s="86" t="s">
        <v>511</v>
      </c>
      <c r="K578" s="8">
        <v>516234</v>
      </c>
      <c r="M578" s="167" t="str">
        <f t="shared" si="0"/>
        <v>OK</v>
      </c>
    </row>
    <row r="579" spans="2:13" ht="12.75" hidden="1">
      <c r="B579" s="86">
        <v>1241</v>
      </c>
      <c r="C579" s="86">
        <v>578</v>
      </c>
      <c r="D579" s="86" t="s">
        <v>10113</v>
      </c>
      <c r="E579" s="86" t="s">
        <v>5790</v>
      </c>
      <c r="F579" s="86" t="s">
        <v>35</v>
      </c>
      <c r="G579" s="86">
        <v>25</v>
      </c>
      <c r="H579" s="86" t="s">
        <v>9584</v>
      </c>
      <c r="I579" s="86">
        <v>25</v>
      </c>
      <c r="J579" s="86" t="s">
        <v>511</v>
      </c>
      <c r="K579" s="8">
        <v>518515</v>
      </c>
      <c r="M579" s="167" t="str">
        <f t="shared" si="0"/>
        <v>OK</v>
      </c>
    </row>
    <row r="580" spans="2:13" ht="12.75" hidden="1">
      <c r="B580" s="86">
        <v>1241</v>
      </c>
      <c r="C580" s="86">
        <v>579</v>
      </c>
      <c r="D580" s="86" t="s">
        <v>10113</v>
      </c>
      <c r="E580" s="86" t="s">
        <v>5829</v>
      </c>
      <c r="F580" s="86" t="s">
        <v>35</v>
      </c>
      <c r="G580" s="86">
        <v>25</v>
      </c>
      <c r="H580" s="86" t="s">
        <v>9584</v>
      </c>
      <c r="I580" s="86">
        <v>25</v>
      </c>
      <c r="J580" s="86" t="s">
        <v>511</v>
      </c>
      <c r="K580" s="8">
        <v>518533</v>
      </c>
      <c r="M580" s="167" t="str">
        <f t="shared" si="0"/>
        <v>OK</v>
      </c>
    </row>
    <row r="581" spans="2:13" ht="12.75" hidden="1">
      <c r="B581" s="86">
        <v>1241</v>
      </c>
      <c r="C581" s="86">
        <v>580</v>
      </c>
      <c r="D581" s="86" t="s">
        <v>10113</v>
      </c>
      <c r="E581" s="86" t="s">
        <v>6039</v>
      </c>
      <c r="F581" s="86" t="s">
        <v>35</v>
      </c>
      <c r="G581" s="86">
        <v>25</v>
      </c>
      <c r="H581" s="86" t="s">
        <v>9584</v>
      </c>
      <c r="I581" s="86">
        <v>25</v>
      </c>
      <c r="J581" s="86" t="s">
        <v>511</v>
      </c>
      <c r="K581" s="8">
        <v>516345</v>
      </c>
      <c r="M581" s="167" t="str">
        <f t="shared" si="0"/>
        <v>OK</v>
      </c>
    </row>
    <row r="582" spans="2:13" ht="12.75" hidden="1">
      <c r="B582" s="86">
        <v>1241</v>
      </c>
      <c r="C582" s="86">
        <v>581</v>
      </c>
      <c r="D582" s="86" t="s">
        <v>9586</v>
      </c>
      <c r="E582" s="86" t="s">
        <v>5775</v>
      </c>
      <c r="F582" s="86" t="s">
        <v>35</v>
      </c>
      <c r="G582" s="86">
        <v>25</v>
      </c>
      <c r="H582" s="86" t="s">
        <v>9584</v>
      </c>
      <c r="I582" s="86">
        <v>25</v>
      </c>
      <c r="J582" s="86" t="s">
        <v>528</v>
      </c>
      <c r="K582" s="8">
        <v>649525</v>
      </c>
      <c r="M582" s="167" t="str">
        <f t="shared" si="0"/>
        <v>OK</v>
      </c>
    </row>
    <row r="583" spans="2:13" ht="12.75" hidden="1">
      <c r="B583" s="86">
        <v>1241</v>
      </c>
      <c r="C583" s="86">
        <v>582</v>
      </c>
      <c r="D583" s="86" t="s">
        <v>10136</v>
      </c>
      <c r="E583" s="86" t="s">
        <v>5909</v>
      </c>
      <c r="F583" s="86" t="s">
        <v>5910</v>
      </c>
      <c r="G583" s="86">
        <v>25</v>
      </c>
      <c r="H583" s="86" t="s">
        <v>9584</v>
      </c>
      <c r="I583" s="86">
        <v>25</v>
      </c>
      <c r="J583" s="86" t="s">
        <v>5905</v>
      </c>
      <c r="K583" s="8">
        <v>566458</v>
      </c>
      <c r="M583" s="167" t="str">
        <f t="shared" si="0"/>
        <v>OK</v>
      </c>
    </row>
    <row r="584" spans="2:13" ht="12.75" hidden="1">
      <c r="B584" s="86">
        <v>1241</v>
      </c>
      <c r="C584" s="86">
        <v>583</v>
      </c>
      <c r="D584" s="86" t="s">
        <v>9603</v>
      </c>
      <c r="E584" s="86" t="s">
        <v>5769</v>
      </c>
      <c r="F584" s="86" t="s">
        <v>35</v>
      </c>
      <c r="G584" s="86">
        <v>25</v>
      </c>
      <c r="H584" s="86" t="s">
        <v>9584</v>
      </c>
      <c r="I584" s="86">
        <v>25</v>
      </c>
      <c r="J584" s="86" t="s">
        <v>10242</v>
      </c>
      <c r="K584" s="8" t="s">
        <v>5767</v>
      </c>
      <c r="L584" s="8" t="s">
        <v>10101</v>
      </c>
      <c r="M584" s="167" t="str">
        <f t="shared" si="0"/>
        <v>OK</v>
      </c>
    </row>
    <row r="585" spans="2:13" ht="12.75" hidden="1">
      <c r="B585" s="86">
        <v>1241</v>
      </c>
      <c r="C585" s="86">
        <v>584</v>
      </c>
      <c r="D585" s="86" t="s">
        <v>9586</v>
      </c>
      <c r="E585" s="86" t="s">
        <v>5867</v>
      </c>
      <c r="F585" s="86" t="s">
        <v>35</v>
      </c>
      <c r="G585" s="86">
        <v>25</v>
      </c>
      <c r="H585" s="86" t="s">
        <v>9584</v>
      </c>
      <c r="I585" s="86">
        <v>25</v>
      </c>
      <c r="J585" s="86" t="s">
        <v>10243</v>
      </c>
      <c r="K585" s="8">
        <v>564831</v>
      </c>
      <c r="M585" s="167" t="str">
        <f t="shared" si="0"/>
        <v>OK</v>
      </c>
    </row>
    <row r="586" spans="2:13" ht="12.75" hidden="1">
      <c r="B586" s="86">
        <v>1241</v>
      </c>
      <c r="C586" s="86">
        <v>585</v>
      </c>
      <c r="D586" s="86" t="s">
        <v>9586</v>
      </c>
      <c r="E586" s="86" t="s">
        <v>5942</v>
      </c>
      <c r="F586" s="86" t="s">
        <v>35</v>
      </c>
      <c r="G586" s="86">
        <v>25</v>
      </c>
      <c r="H586" s="86" t="s">
        <v>9584</v>
      </c>
      <c r="I586" s="86">
        <v>25</v>
      </c>
      <c r="J586" s="86" t="s">
        <v>10244</v>
      </c>
      <c r="K586" s="86">
        <v>535514</v>
      </c>
      <c r="M586" s="167" t="str">
        <f t="shared" si="0"/>
        <v>OK</v>
      </c>
    </row>
    <row r="587" spans="2:13" ht="12.75" hidden="1">
      <c r="B587" s="86">
        <v>1241</v>
      </c>
      <c r="C587" s="86">
        <v>586</v>
      </c>
      <c r="D587" s="86" t="s">
        <v>9586</v>
      </c>
      <c r="E587" s="86" t="s">
        <v>5926</v>
      </c>
      <c r="F587" s="86" t="s">
        <v>35</v>
      </c>
      <c r="G587" s="86">
        <v>25</v>
      </c>
      <c r="H587" s="86" t="s">
        <v>9584</v>
      </c>
      <c r="I587" s="86">
        <v>25</v>
      </c>
      <c r="J587" s="86" t="s">
        <v>10244</v>
      </c>
      <c r="K587" s="86">
        <v>532220</v>
      </c>
      <c r="M587" s="167" t="str">
        <f t="shared" si="0"/>
        <v>OK</v>
      </c>
    </row>
    <row r="588" spans="2:13" ht="12.75" hidden="1">
      <c r="B588" s="86">
        <v>1241</v>
      </c>
      <c r="C588" s="86">
        <v>587</v>
      </c>
      <c r="D588" s="86" t="s">
        <v>10113</v>
      </c>
      <c r="E588" s="86" t="s">
        <v>539</v>
      </c>
      <c r="F588" s="86" t="s">
        <v>35</v>
      </c>
      <c r="G588" s="86">
        <v>25</v>
      </c>
      <c r="H588" s="86" t="s">
        <v>9584</v>
      </c>
      <c r="I588" s="86">
        <v>25</v>
      </c>
      <c r="J588" s="86" t="s">
        <v>511</v>
      </c>
      <c r="K588" s="8">
        <v>518534</v>
      </c>
      <c r="M588" s="167" t="str">
        <f t="shared" si="0"/>
        <v>OK</v>
      </c>
    </row>
    <row r="589" spans="2:13" ht="12.75" hidden="1">
      <c r="B589" s="86">
        <v>1241</v>
      </c>
      <c r="C589" s="86">
        <v>588</v>
      </c>
      <c r="D589" s="86" t="s">
        <v>9586</v>
      </c>
      <c r="E589" s="86" t="s">
        <v>5804</v>
      </c>
      <c r="F589" s="86" t="s">
        <v>35</v>
      </c>
      <c r="G589" s="86">
        <v>25</v>
      </c>
      <c r="H589" s="86" t="s">
        <v>9584</v>
      </c>
      <c r="I589" s="86">
        <v>25</v>
      </c>
      <c r="J589" s="86" t="s">
        <v>10245</v>
      </c>
      <c r="K589" s="8">
        <v>580348</v>
      </c>
      <c r="M589" s="167" t="str">
        <f t="shared" si="0"/>
        <v>OK</v>
      </c>
    </row>
    <row r="590" spans="2:13" ht="12.75" hidden="1">
      <c r="B590" s="86">
        <v>1241</v>
      </c>
      <c r="C590" s="86">
        <v>589</v>
      </c>
      <c r="D590" s="86" t="s">
        <v>9586</v>
      </c>
      <c r="E590" s="86" t="s">
        <v>5810</v>
      </c>
      <c r="F590" s="86" t="s">
        <v>35</v>
      </c>
      <c r="G590" s="86">
        <v>25</v>
      </c>
      <c r="H590" s="86" t="s">
        <v>9584</v>
      </c>
      <c r="I590" s="86">
        <v>25</v>
      </c>
      <c r="J590" s="86" t="s">
        <v>10245</v>
      </c>
      <c r="K590" s="8">
        <v>564869</v>
      </c>
      <c r="M590" s="167" t="str">
        <f t="shared" si="0"/>
        <v>OK</v>
      </c>
    </row>
    <row r="591" spans="2:13" ht="12.75" hidden="1">
      <c r="B591" s="86">
        <v>1241</v>
      </c>
      <c r="C591" s="86">
        <v>590</v>
      </c>
      <c r="D591" s="86" t="s">
        <v>10136</v>
      </c>
      <c r="E591" s="86" t="s">
        <v>5934</v>
      </c>
      <c r="F591" s="86" t="s">
        <v>5918</v>
      </c>
      <c r="G591" s="86">
        <v>25</v>
      </c>
      <c r="H591" s="86" t="s">
        <v>9584</v>
      </c>
      <c r="I591" s="86">
        <v>25</v>
      </c>
      <c r="J591" s="86" t="s">
        <v>5930</v>
      </c>
      <c r="K591" s="8">
        <v>538166</v>
      </c>
      <c r="M591" s="167" t="str">
        <f t="shared" si="0"/>
        <v>OK</v>
      </c>
    </row>
    <row r="592" spans="2:13" ht="12.75" hidden="1">
      <c r="B592" s="86">
        <v>1241</v>
      </c>
      <c r="C592" s="86">
        <v>591</v>
      </c>
      <c r="D592" s="86" t="s">
        <v>10139</v>
      </c>
      <c r="E592" s="86" t="s">
        <v>5874</v>
      </c>
      <c r="F592" s="86" t="s">
        <v>9492</v>
      </c>
      <c r="G592" s="86">
        <v>25</v>
      </c>
      <c r="H592" s="86" t="s">
        <v>9584</v>
      </c>
      <c r="I592" s="86">
        <v>25</v>
      </c>
      <c r="J592" s="86" t="s">
        <v>5870</v>
      </c>
      <c r="K592" s="8">
        <v>649402</v>
      </c>
      <c r="M592" s="167" t="str">
        <f t="shared" si="0"/>
        <v>OK</v>
      </c>
    </row>
    <row r="593" spans="2:13" ht="12.75" hidden="1">
      <c r="B593" s="86">
        <v>1241</v>
      </c>
      <c r="C593" s="86">
        <v>592</v>
      </c>
      <c r="D593" s="86" t="s">
        <v>10136</v>
      </c>
      <c r="E593" s="86" t="s">
        <v>5884</v>
      </c>
      <c r="F593" s="86" t="s">
        <v>5597</v>
      </c>
      <c r="G593" s="86">
        <v>25</v>
      </c>
      <c r="H593" s="86" t="s">
        <v>9584</v>
      </c>
      <c r="I593" s="86">
        <v>25</v>
      </c>
      <c r="J593" s="86" t="s">
        <v>5880</v>
      </c>
      <c r="K593" s="8">
        <v>649375</v>
      </c>
      <c r="M593" s="167" t="str">
        <f t="shared" si="0"/>
        <v>OK</v>
      </c>
    </row>
    <row r="594" spans="2:13" ht="13.5" hidden="1" customHeight="1">
      <c r="B594" s="86">
        <v>1241</v>
      </c>
      <c r="C594" s="86">
        <v>593</v>
      </c>
      <c r="D594" s="86" t="s">
        <v>10113</v>
      </c>
      <c r="E594" s="86" t="s">
        <v>6015</v>
      </c>
      <c r="F594" s="86" t="s">
        <v>35</v>
      </c>
      <c r="G594" s="86">
        <v>25</v>
      </c>
      <c r="H594" s="86" t="s">
        <v>9584</v>
      </c>
      <c r="I594" s="86">
        <v>25</v>
      </c>
      <c r="J594" s="86" t="s">
        <v>5945</v>
      </c>
      <c r="K594" s="8">
        <v>651074</v>
      </c>
      <c r="M594" s="167" t="str">
        <f t="shared" si="0"/>
        <v>OK</v>
      </c>
    </row>
    <row r="595" spans="2:13" ht="12.75" hidden="1">
      <c r="B595" s="86">
        <v>1241</v>
      </c>
      <c r="C595" s="86">
        <v>594</v>
      </c>
      <c r="D595" s="86" t="s">
        <v>10113</v>
      </c>
      <c r="E595" s="86" t="s">
        <v>6033</v>
      </c>
      <c r="F595" s="86" t="s">
        <v>35</v>
      </c>
      <c r="G595" s="86">
        <v>25</v>
      </c>
      <c r="H595" s="86" t="s">
        <v>9584</v>
      </c>
      <c r="I595" s="86">
        <v>25</v>
      </c>
      <c r="J595" s="86" t="s">
        <v>5945</v>
      </c>
      <c r="K595" s="8">
        <v>651073</v>
      </c>
      <c r="M595" s="167" t="str">
        <f t="shared" si="0"/>
        <v>OK</v>
      </c>
    </row>
    <row r="596" spans="2:13" ht="12.75" hidden="1">
      <c r="B596" s="86">
        <v>1241</v>
      </c>
      <c r="C596" s="86">
        <v>595</v>
      </c>
      <c r="D596" s="86" t="s">
        <v>10113</v>
      </c>
      <c r="E596" s="86" t="s">
        <v>6021</v>
      </c>
      <c r="F596" s="86" t="s">
        <v>35</v>
      </c>
      <c r="G596" s="86">
        <v>25</v>
      </c>
      <c r="H596" s="86" t="s">
        <v>9584</v>
      </c>
      <c r="I596" s="86">
        <v>25</v>
      </c>
      <c r="J596" s="86" t="s">
        <v>5945</v>
      </c>
      <c r="K596" s="8">
        <v>651072</v>
      </c>
      <c r="M596" s="167" t="str">
        <f t="shared" si="0"/>
        <v>OK</v>
      </c>
    </row>
    <row r="597" spans="2:13" ht="12.75" hidden="1">
      <c r="B597" s="86">
        <v>1241</v>
      </c>
      <c r="C597" s="86">
        <v>596</v>
      </c>
      <c r="D597" s="86" t="s">
        <v>10113</v>
      </c>
      <c r="E597" s="86" t="s">
        <v>6027</v>
      </c>
      <c r="F597" s="86" t="s">
        <v>35</v>
      </c>
      <c r="G597" s="86">
        <v>25</v>
      </c>
      <c r="H597" s="86" t="s">
        <v>9584</v>
      </c>
      <c r="I597" s="86">
        <v>25</v>
      </c>
      <c r="J597" s="86" t="s">
        <v>5945</v>
      </c>
      <c r="K597" s="8">
        <v>649509</v>
      </c>
      <c r="M597" s="167" t="str">
        <f t="shared" si="0"/>
        <v>OK</v>
      </c>
    </row>
    <row r="598" spans="2:13" ht="12.75" hidden="1">
      <c r="B598" s="86">
        <v>1241</v>
      </c>
      <c r="C598" s="86">
        <v>597</v>
      </c>
      <c r="D598" s="86" t="s">
        <v>10113</v>
      </c>
      <c r="E598" s="86" t="s">
        <v>5949</v>
      </c>
      <c r="F598" s="86" t="s">
        <v>35</v>
      </c>
      <c r="G598" s="86">
        <v>25</v>
      </c>
      <c r="H598" s="86" t="s">
        <v>9584</v>
      </c>
      <c r="I598" s="86">
        <v>25</v>
      </c>
      <c r="J598" s="86" t="s">
        <v>5945</v>
      </c>
      <c r="K598" s="8">
        <v>649510</v>
      </c>
      <c r="M598" s="167" t="str">
        <f t="shared" si="0"/>
        <v>OK</v>
      </c>
    </row>
    <row r="599" spans="2:13" ht="12.75" hidden="1">
      <c r="B599" s="86">
        <v>1241</v>
      </c>
      <c r="C599" s="86">
        <v>598</v>
      </c>
      <c r="D599" s="86" t="s">
        <v>10113</v>
      </c>
      <c r="E599" s="86" t="s">
        <v>5955</v>
      </c>
      <c r="F599" s="86" t="s">
        <v>35</v>
      </c>
      <c r="G599" s="86">
        <v>25</v>
      </c>
      <c r="H599" s="86" t="s">
        <v>9584</v>
      </c>
      <c r="I599" s="86">
        <v>25</v>
      </c>
      <c r="J599" s="86" t="s">
        <v>5945</v>
      </c>
      <c r="K599" s="8">
        <v>649512</v>
      </c>
      <c r="M599" s="167" t="str">
        <f t="shared" si="0"/>
        <v>OK</v>
      </c>
    </row>
    <row r="600" spans="2:13" ht="12.75" hidden="1">
      <c r="B600" s="86">
        <v>1241</v>
      </c>
      <c r="C600" s="86">
        <v>599</v>
      </c>
      <c r="D600" s="86" t="s">
        <v>9576</v>
      </c>
      <c r="E600" s="86" t="s">
        <v>453</v>
      </c>
      <c r="F600" s="86" t="s">
        <v>35</v>
      </c>
      <c r="G600" s="86">
        <v>25</v>
      </c>
      <c r="H600" s="86" t="s">
        <v>9584</v>
      </c>
      <c r="I600" s="86">
        <v>25</v>
      </c>
      <c r="J600" s="86" t="s">
        <v>449</v>
      </c>
      <c r="K600" s="8">
        <v>649515</v>
      </c>
      <c r="M600" s="167" t="str">
        <f t="shared" si="0"/>
        <v>OK</v>
      </c>
    </row>
    <row r="601" spans="2:13" ht="12.75" hidden="1">
      <c r="B601" s="86">
        <v>1241</v>
      </c>
      <c r="C601" s="86">
        <v>600</v>
      </c>
      <c r="D601" s="86" t="s">
        <v>9586</v>
      </c>
      <c r="E601" s="86" t="s">
        <v>471</v>
      </c>
      <c r="F601" s="86" t="s">
        <v>35</v>
      </c>
      <c r="G601" s="86">
        <v>25</v>
      </c>
      <c r="H601" s="86" t="s">
        <v>9584</v>
      </c>
      <c r="I601" s="86">
        <v>25</v>
      </c>
      <c r="J601" s="86" t="s">
        <v>467</v>
      </c>
      <c r="K601" s="8">
        <v>649511</v>
      </c>
      <c r="M601" s="167" t="str">
        <f t="shared" si="0"/>
        <v>OK</v>
      </c>
    </row>
    <row r="602" spans="2:13" ht="12.75" hidden="1">
      <c r="B602" s="86">
        <v>1241</v>
      </c>
      <c r="C602" s="86">
        <v>601</v>
      </c>
      <c r="D602" s="86" t="s">
        <v>9603</v>
      </c>
      <c r="E602" s="86" t="s">
        <v>506</v>
      </c>
      <c r="F602" s="86" t="s">
        <v>35</v>
      </c>
      <c r="G602" s="86">
        <v>25</v>
      </c>
      <c r="H602" s="86" t="s">
        <v>9584</v>
      </c>
      <c r="I602" s="86">
        <v>25</v>
      </c>
      <c r="J602" s="86" t="s">
        <v>502</v>
      </c>
      <c r="K602" s="8">
        <v>584145</v>
      </c>
      <c r="M602" s="167" t="str">
        <f t="shared" si="0"/>
        <v>OK</v>
      </c>
    </row>
    <row r="603" spans="2:13" ht="12.75" hidden="1">
      <c r="B603" s="86">
        <v>1241</v>
      </c>
      <c r="C603" s="86">
        <v>602</v>
      </c>
      <c r="D603" s="86" t="s">
        <v>9603</v>
      </c>
      <c r="E603" s="86" t="s">
        <v>787</v>
      </c>
      <c r="F603" s="86" t="s">
        <v>35</v>
      </c>
      <c r="G603" s="86">
        <v>25</v>
      </c>
      <c r="H603" s="86" t="s">
        <v>9584</v>
      </c>
      <c r="I603" s="86">
        <v>25</v>
      </c>
      <c r="J603" s="86" t="s">
        <v>10246</v>
      </c>
      <c r="K603" s="8">
        <v>584143</v>
      </c>
      <c r="M603" s="167" t="str">
        <f t="shared" si="0"/>
        <v>OK</v>
      </c>
    </row>
    <row r="604" spans="2:13" ht="12.75" hidden="1">
      <c r="B604" s="86">
        <v>1241</v>
      </c>
      <c r="C604" s="86">
        <v>603</v>
      </c>
      <c r="D604" s="86" t="s">
        <v>10136</v>
      </c>
      <c r="E604" s="86" t="s">
        <v>570</v>
      </c>
      <c r="F604" s="86" t="s">
        <v>35</v>
      </c>
      <c r="G604" s="86">
        <v>25</v>
      </c>
      <c r="H604" s="86" t="s">
        <v>9584</v>
      </c>
      <c r="I604" s="86">
        <v>25</v>
      </c>
      <c r="J604" s="86" t="s">
        <v>10247</v>
      </c>
      <c r="K604" s="8" t="s">
        <v>568</v>
      </c>
      <c r="L604" s="8" t="s">
        <v>10101</v>
      </c>
      <c r="M604" s="167" t="str">
        <f t="shared" si="0"/>
        <v>OK</v>
      </c>
    </row>
    <row r="605" spans="2:13" ht="12.75" hidden="1">
      <c r="B605" s="86">
        <v>1241</v>
      </c>
      <c r="C605" s="86">
        <v>604</v>
      </c>
      <c r="D605" s="86" t="s">
        <v>9586</v>
      </c>
      <c r="E605" s="86" t="s">
        <v>532</v>
      </c>
      <c r="F605" s="86" t="s">
        <v>35</v>
      </c>
      <c r="G605" s="86">
        <v>25</v>
      </c>
      <c r="H605" s="86" t="s">
        <v>9584</v>
      </c>
      <c r="I605" s="86">
        <v>25</v>
      </c>
      <c r="J605" s="86" t="s">
        <v>528</v>
      </c>
      <c r="K605" s="8">
        <v>580349</v>
      </c>
      <c r="M605" s="167" t="str">
        <f t="shared" si="0"/>
        <v>OK</v>
      </c>
    </row>
    <row r="606" spans="2:13" ht="12.75" hidden="1">
      <c r="B606" s="86">
        <v>1241</v>
      </c>
      <c r="C606" s="86">
        <v>605</v>
      </c>
      <c r="D606" s="86" t="s">
        <v>10113</v>
      </c>
      <c r="E606" s="86" t="s">
        <v>5841</v>
      </c>
      <c r="F606" s="86" t="s">
        <v>35</v>
      </c>
      <c r="G606" s="86">
        <v>25</v>
      </c>
      <c r="H606" s="86" t="s">
        <v>9584</v>
      </c>
      <c r="I606" s="86">
        <v>25</v>
      </c>
      <c r="J606" s="86" t="s">
        <v>511</v>
      </c>
      <c r="K606" s="8">
        <v>649523</v>
      </c>
      <c r="M606" s="167" t="str">
        <f t="shared" si="0"/>
        <v>OK</v>
      </c>
    </row>
    <row r="607" spans="2:13" ht="12.75" hidden="1">
      <c r="B607" s="86">
        <v>1241</v>
      </c>
      <c r="C607" s="86">
        <v>606</v>
      </c>
      <c r="D607" s="86" t="s">
        <v>10113</v>
      </c>
      <c r="E607" s="86" t="s">
        <v>515</v>
      </c>
      <c r="F607" s="86" t="s">
        <v>35</v>
      </c>
      <c r="G607" s="86">
        <v>25</v>
      </c>
      <c r="H607" s="86" t="s">
        <v>9584</v>
      </c>
      <c r="I607" s="86">
        <v>25</v>
      </c>
      <c r="J607" s="86" t="s">
        <v>511</v>
      </c>
      <c r="K607" s="8">
        <v>518537</v>
      </c>
      <c r="M607" s="167" t="str">
        <f t="shared" si="0"/>
        <v>OK</v>
      </c>
    </row>
    <row r="608" spans="2:13" ht="12.75" hidden="1">
      <c r="B608" s="86">
        <v>1241</v>
      </c>
      <c r="C608" s="86">
        <v>607</v>
      </c>
      <c r="D608" s="86" t="s">
        <v>10113</v>
      </c>
      <c r="E608" s="86" t="s">
        <v>5861</v>
      </c>
      <c r="F608" s="86" t="s">
        <v>35</v>
      </c>
      <c r="G608" s="86">
        <v>25</v>
      </c>
      <c r="H608" s="86" t="s">
        <v>9584</v>
      </c>
      <c r="I608" s="86">
        <v>25</v>
      </c>
      <c r="J608" s="86" t="s">
        <v>10026</v>
      </c>
      <c r="K608" s="8">
        <v>649508</v>
      </c>
      <c r="M608" s="167" t="str">
        <f t="shared" si="0"/>
        <v>OK</v>
      </c>
    </row>
    <row r="609" spans="2:13" ht="12.75" hidden="1">
      <c r="B609" s="86">
        <v>1241</v>
      </c>
      <c r="C609" s="86">
        <v>608</v>
      </c>
      <c r="D609" s="86" t="s">
        <v>10113</v>
      </c>
      <c r="E609" s="86" t="s">
        <v>524</v>
      </c>
      <c r="F609" s="86" t="s">
        <v>35</v>
      </c>
      <c r="G609" s="86">
        <v>25</v>
      </c>
      <c r="H609" s="86" t="s">
        <v>9584</v>
      </c>
      <c r="I609" s="86">
        <v>25</v>
      </c>
      <c r="J609" s="86" t="s">
        <v>520</v>
      </c>
      <c r="K609" s="8">
        <v>518536</v>
      </c>
      <c r="M609" s="167" t="str">
        <f t="shared" si="0"/>
        <v>OK</v>
      </c>
    </row>
    <row r="610" spans="2:13" ht="12.75" hidden="1">
      <c r="B610" s="86">
        <v>1241</v>
      </c>
      <c r="C610" s="86">
        <v>609</v>
      </c>
      <c r="D610" s="86" t="s">
        <v>10113</v>
      </c>
      <c r="E610" s="86" t="s">
        <v>430</v>
      </c>
      <c r="F610" s="86" t="s">
        <v>35</v>
      </c>
      <c r="G610" s="86">
        <v>25</v>
      </c>
      <c r="H610" s="86" t="s">
        <v>9584</v>
      </c>
      <c r="I610" s="86">
        <v>25</v>
      </c>
      <c r="J610" s="86" t="s">
        <v>426</v>
      </c>
      <c r="K610" s="86">
        <v>518526</v>
      </c>
      <c r="M610" s="167" t="str">
        <f t="shared" si="0"/>
        <v>OK</v>
      </c>
    </row>
    <row r="611" spans="2:13" ht="12.75" hidden="1">
      <c r="B611" s="86">
        <v>1246</v>
      </c>
      <c r="C611" s="86">
        <v>610</v>
      </c>
      <c r="D611" s="86" t="s">
        <v>9574</v>
      </c>
      <c r="E611" s="86" t="s">
        <v>461</v>
      </c>
      <c r="F611" s="86" t="s">
        <v>462</v>
      </c>
      <c r="G611" s="86">
        <v>25</v>
      </c>
      <c r="H611" s="86" t="s">
        <v>9584</v>
      </c>
      <c r="I611" s="86">
        <v>25</v>
      </c>
      <c r="J611" s="86" t="s">
        <v>457</v>
      </c>
      <c r="K611" s="8">
        <v>649529</v>
      </c>
      <c r="M611" s="167" t="str">
        <f t="shared" si="0"/>
        <v>OK</v>
      </c>
    </row>
    <row r="612" spans="2:13" ht="12.75" hidden="1">
      <c r="B612" s="86">
        <v>1241</v>
      </c>
      <c r="C612" s="86">
        <v>611</v>
      </c>
      <c r="D612" s="86" t="s">
        <v>9586</v>
      </c>
      <c r="E612" s="86" t="s">
        <v>446</v>
      </c>
      <c r="F612" s="86" t="s">
        <v>35</v>
      </c>
      <c r="G612" s="86">
        <v>25</v>
      </c>
      <c r="H612" s="86" t="s">
        <v>9584</v>
      </c>
      <c r="I612" s="86">
        <v>25</v>
      </c>
      <c r="J612" s="86" t="s">
        <v>9725</v>
      </c>
      <c r="K612" s="8">
        <v>564845</v>
      </c>
      <c r="M612" s="167" t="str">
        <f t="shared" si="0"/>
        <v>OK</v>
      </c>
    </row>
    <row r="613" spans="2:13" ht="12.75" hidden="1">
      <c r="B613" s="86">
        <v>1242</v>
      </c>
      <c r="C613" s="86">
        <v>612</v>
      </c>
      <c r="D613" s="86" t="s">
        <v>10121</v>
      </c>
      <c r="E613" s="86" t="s">
        <v>562</v>
      </c>
      <c r="F613" s="86" t="s">
        <v>35</v>
      </c>
      <c r="G613" s="86">
        <v>25</v>
      </c>
      <c r="H613" s="86" t="s">
        <v>9584</v>
      </c>
      <c r="I613" s="86">
        <v>25</v>
      </c>
      <c r="J613" s="86" t="s">
        <v>558</v>
      </c>
      <c r="K613" s="8">
        <v>649521</v>
      </c>
      <c r="M613" s="167" t="str">
        <f t="shared" si="0"/>
        <v>OK</v>
      </c>
    </row>
    <row r="614" spans="2:13" ht="12.75" hidden="1">
      <c r="B614" s="86">
        <v>1241</v>
      </c>
      <c r="C614" s="86">
        <v>613</v>
      </c>
      <c r="D614" s="86" t="s">
        <v>10113</v>
      </c>
      <c r="E614" s="86" t="s">
        <v>498</v>
      </c>
      <c r="F614" s="86" t="s">
        <v>35</v>
      </c>
      <c r="G614" s="86">
        <v>25</v>
      </c>
      <c r="H614" s="86" t="s">
        <v>9584</v>
      </c>
      <c r="I614" s="86">
        <v>25</v>
      </c>
      <c r="J614" s="86" t="s">
        <v>426</v>
      </c>
      <c r="K614" s="8">
        <v>582612</v>
      </c>
      <c r="M614" s="167" t="str">
        <f t="shared" si="0"/>
        <v>OK</v>
      </c>
    </row>
    <row r="615" spans="2:13" ht="12.75" hidden="1">
      <c r="B615" s="86">
        <v>1241</v>
      </c>
      <c r="C615" s="86">
        <v>614</v>
      </c>
      <c r="D615" s="86" t="s">
        <v>10136</v>
      </c>
      <c r="E615" s="86" t="s">
        <v>5783</v>
      </c>
      <c r="F615" s="86" t="s">
        <v>35</v>
      </c>
      <c r="G615" s="86">
        <v>25</v>
      </c>
      <c r="H615" s="86" t="s">
        <v>9584</v>
      </c>
      <c r="I615" s="86">
        <v>25</v>
      </c>
      <c r="J615" s="86" t="s">
        <v>5779</v>
      </c>
      <c r="K615" s="8" t="s">
        <v>5781</v>
      </c>
      <c r="L615" s="86" t="s">
        <v>10101</v>
      </c>
      <c r="M615" s="167" t="str">
        <f t="shared" si="0"/>
        <v>OK</v>
      </c>
    </row>
    <row r="616" spans="2:13" ht="12.75" hidden="1">
      <c r="B616" s="86">
        <v>1241</v>
      </c>
      <c r="C616" s="86">
        <v>615</v>
      </c>
      <c r="D616" s="86" t="s">
        <v>10113</v>
      </c>
      <c r="E616" s="86" t="s">
        <v>438</v>
      </c>
      <c r="F616" s="86" t="s">
        <v>5784</v>
      </c>
      <c r="G616" s="86">
        <v>25</v>
      </c>
      <c r="H616" s="86" t="s">
        <v>9584</v>
      </c>
      <c r="I616" s="86">
        <v>25</v>
      </c>
      <c r="J616" s="86" t="s">
        <v>434</v>
      </c>
      <c r="K616" s="8">
        <v>649517</v>
      </c>
      <c r="M616" s="167" t="str">
        <f t="shared" si="0"/>
        <v>OK</v>
      </c>
    </row>
    <row r="617" spans="2:13" ht="12.75" hidden="1">
      <c r="B617" s="86">
        <v>1246</v>
      </c>
      <c r="C617" s="86">
        <v>616</v>
      </c>
      <c r="D617" s="86" t="s">
        <v>9574</v>
      </c>
      <c r="E617" s="86" t="s">
        <v>405</v>
      </c>
      <c r="F617" s="86" t="s">
        <v>406</v>
      </c>
      <c r="G617" s="86">
        <v>25</v>
      </c>
      <c r="H617" s="86" t="s">
        <v>9584</v>
      </c>
      <c r="I617" s="86">
        <v>25</v>
      </c>
      <c r="J617" s="86" t="s">
        <v>401</v>
      </c>
      <c r="K617" s="8">
        <v>650639</v>
      </c>
      <c r="M617" s="167" t="str">
        <f t="shared" si="0"/>
        <v>OK</v>
      </c>
    </row>
    <row r="618" spans="2:13" ht="12.75" hidden="1">
      <c r="B618" s="86">
        <v>1246</v>
      </c>
      <c r="C618" s="86">
        <v>617</v>
      </c>
      <c r="D618" s="86" t="s">
        <v>9574</v>
      </c>
      <c r="E618" s="86" t="s">
        <v>414</v>
      </c>
      <c r="F618" s="86" t="s">
        <v>406</v>
      </c>
      <c r="G618" s="86">
        <v>25</v>
      </c>
      <c r="H618" s="86" t="s">
        <v>9584</v>
      </c>
      <c r="I618" s="86">
        <v>25</v>
      </c>
      <c r="J618" s="86" t="s">
        <v>401</v>
      </c>
      <c r="K618" s="8">
        <v>650640</v>
      </c>
      <c r="M618" s="167" t="str">
        <f t="shared" si="0"/>
        <v>OK</v>
      </c>
    </row>
    <row r="619" spans="2:13" ht="12.75" hidden="1">
      <c r="B619" s="86">
        <v>1246</v>
      </c>
      <c r="C619" s="86">
        <v>618</v>
      </c>
      <c r="D619" s="86" t="s">
        <v>9574</v>
      </c>
      <c r="E619" s="86" t="s">
        <v>421</v>
      </c>
      <c r="F619" s="86" t="s">
        <v>406</v>
      </c>
      <c r="G619" s="86">
        <v>25</v>
      </c>
      <c r="H619" s="86" t="s">
        <v>9584</v>
      </c>
      <c r="I619" s="86">
        <v>25</v>
      </c>
      <c r="J619" s="86" t="s">
        <v>401</v>
      </c>
      <c r="K619" s="8">
        <v>649367</v>
      </c>
      <c r="M619" s="167" t="str">
        <f t="shared" si="0"/>
        <v>OK</v>
      </c>
    </row>
    <row r="620" spans="2:13" ht="12.75" hidden="1">
      <c r="B620" s="86">
        <v>1246</v>
      </c>
      <c r="C620" s="86">
        <v>619</v>
      </c>
      <c r="D620" s="86" t="s">
        <v>9574</v>
      </c>
      <c r="E620" s="86" t="s">
        <v>48</v>
      </c>
      <c r="F620" s="86" t="s">
        <v>49</v>
      </c>
      <c r="G620" s="86">
        <v>25</v>
      </c>
      <c r="H620" s="86" t="s">
        <v>9584</v>
      </c>
      <c r="I620" s="86">
        <v>25</v>
      </c>
      <c r="J620" s="86" t="s">
        <v>10248</v>
      </c>
      <c r="K620" s="8">
        <v>649374</v>
      </c>
      <c r="M620" s="167" t="str">
        <f t="shared" si="0"/>
        <v>OK</v>
      </c>
    </row>
    <row r="621" spans="2:13" ht="12.75" hidden="1">
      <c r="B621" s="86">
        <v>1241</v>
      </c>
      <c r="C621" s="86">
        <v>620</v>
      </c>
      <c r="D621" s="86" t="s">
        <v>9603</v>
      </c>
      <c r="E621" s="86" t="s">
        <v>8430</v>
      </c>
      <c r="F621" s="86" t="s">
        <v>35</v>
      </c>
      <c r="G621" s="86">
        <v>25</v>
      </c>
      <c r="H621" s="86" t="s">
        <v>9584</v>
      </c>
      <c r="I621" s="86">
        <v>25</v>
      </c>
      <c r="J621" s="86" t="s">
        <v>10148</v>
      </c>
      <c r="K621" s="8">
        <v>584147</v>
      </c>
      <c r="M621" s="167" t="str">
        <f t="shared" si="0"/>
        <v>OK</v>
      </c>
    </row>
    <row r="622" spans="2:13" ht="12.75" hidden="1">
      <c r="B622" s="86">
        <v>1241</v>
      </c>
      <c r="C622" s="86">
        <v>621</v>
      </c>
      <c r="D622" s="86" t="s">
        <v>10097</v>
      </c>
      <c r="E622" s="86" t="s">
        <v>120</v>
      </c>
      <c r="F622" s="86" t="s">
        <v>35</v>
      </c>
      <c r="G622" s="86">
        <v>25</v>
      </c>
      <c r="H622" s="86" t="s">
        <v>9584</v>
      </c>
      <c r="I622" s="86">
        <v>25</v>
      </c>
      <c r="J622" s="86" t="s">
        <v>117</v>
      </c>
      <c r="K622" s="8">
        <v>518529</v>
      </c>
      <c r="M622" s="167" t="str">
        <f t="shared" si="0"/>
        <v>OK</v>
      </c>
    </row>
    <row r="623" spans="2:13" ht="12.75" hidden="1">
      <c r="B623" s="86">
        <v>1241</v>
      </c>
      <c r="C623" s="86">
        <v>622</v>
      </c>
      <c r="D623" s="86" t="s">
        <v>10097</v>
      </c>
      <c r="E623" s="86" t="s">
        <v>133</v>
      </c>
      <c r="F623" s="86" t="s">
        <v>35</v>
      </c>
      <c r="G623" s="86">
        <v>25</v>
      </c>
      <c r="H623" s="86" t="s">
        <v>9584</v>
      </c>
      <c r="I623" s="86">
        <v>25</v>
      </c>
      <c r="J623" s="86" t="s">
        <v>117</v>
      </c>
      <c r="K623" s="8">
        <v>583468</v>
      </c>
      <c r="M623" s="167" t="str">
        <f t="shared" si="0"/>
        <v>OK</v>
      </c>
    </row>
    <row r="624" spans="2:13" ht="12.75" hidden="1">
      <c r="B624" s="86">
        <v>1246</v>
      </c>
      <c r="C624" s="86">
        <v>623</v>
      </c>
      <c r="D624" s="86" t="s">
        <v>9568</v>
      </c>
      <c r="E624" s="86" t="s">
        <v>9538</v>
      </c>
      <c r="F624" s="86" t="s">
        <v>250</v>
      </c>
      <c r="G624" s="86">
        <v>25</v>
      </c>
      <c r="H624" s="86" t="s">
        <v>9584</v>
      </c>
      <c r="I624" s="86">
        <v>25</v>
      </c>
      <c r="J624" s="86" t="s">
        <v>973</v>
      </c>
      <c r="K624" s="8">
        <v>522299</v>
      </c>
      <c r="L624" s="8" t="s">
        <v>3282</v>
      </c>
      <c r="M624" s="167" t="str">
        <f t="shared" si="0"/>
        <v>OK</v>
      </c>
    </row>
    <row r="625" spans="2:13" ht="12.75" hidden="1">
      <c r="B625" s="86">
        <v>1241</v>
      </c>
      <c r="C625" s="86">
        <v>624</v>
      </c>
      <c r="D625" s="86" t="s">
        <v>10151</v>
      </c>
      <c r="E625" s="86" t="s">
        <v>215</v>
      </c>
      <c r="F625" s="86" t="s">
        <v>216</v>
      </c>
      <c r="G625" s="86">
        <v>25</v>
      </c>
      <c r="H625" s="86" t="s">
        <v>9584</v>
      </c>
      <c r="I625" s="86">
        <v>25</v>
      </c>
      <c r="J625" s="86" t="s">
        <v>10249</v>
      </c>
      <c r="K625" s="8">
        <v>649398</v>
      </c>
      <c r="M625" s="167" t="str">
        <f t="shared" si="0"/>
        <v>OK</v>
      </c>
    </row>
    <row r="626" spans="2:13" ht="12.75" hidden="1">
      <c r="B626" s="86">
        <v>1241</v>
      </c>
      <c r="C626" s="86">
        <v>625</v>
      </c>
      <c r="D626" s="86" t="s">
        <v>9571</v>
      </c>
      <c r="E626" s="86" t="s">
        <v>76</v>
      </c>
      <c r="F626" s="86" t="s">
        <v>35</v>
      </c>
      <c r="G626" s="86">
        <v>25</v>
      </c>
      <c r="H626" s="86" t="s">
        <v>9584</v>
      </c>
      <c r="I626" s="86">
        <v>25</v>
      </c>
      <c r="J626" s="86" t="s">
        <v>10250</v>
      </c>
      <c r="K626" s="8">
        <v>535423</v>
      </c>
      <c r="M626" s="167" t="str">
        <f t="shared" si="0"/>
        <v>OK</v>
      </c>
    </row>
    <row r="627" spans="2:13" ht="12.75" hidden="1">
      <c r="B627" s="86">
        <v>1241</v>
      </c>
      <c r="C627" s="86">
        <v>626</v>
      </c>
      <c r="D627" s="86" t="s">
        <v>10136</v>
      </c>
      <c r="E627" s="86" t="s">
        <v>178</v>
      </c>
      <c r="F627" s="86" t="s">
        <v>179</v>
      </c>
      <c r="G627" s="86">
        <v>25</v>
      </c>
      <c r="H627" s="86" t="s">
        <v>9584</v>
      </c>
      <c r="I627" s="86">
        <v>25</v>
      </c>
      <c r="J627" s="86" t="s">
        <v>10251</v>
      </c>
      <c r="K627" s="8">
        <v>649356</v>
      </c>
      <c r="M627" s="167" t="str">
        <f t="shared" si="0"/>
        <v>OK</v>
      </c>
    </row>
    <row r="628" spans="2:13" ht="12.75" hidden="1">
      <c r="B628" s="86">
        <v>1241</v>
      </c>
      <c r="C628" s="86">
        <v>627</v>
      </c>
      <c r="D628" s="86" t="s">
        <v>9594</v>
      </c>
      <c r="E628" s="86" t="s">
        <v>107</v>
      </c>
      <c r="F628" s="86" t="s">
        <v>35</v>
      </c>
      <c r="G628" s="86">
        <v>25</v>
      </c>
      <c r="H628" s="86" t="s">
        <v>9584</v>
      </c>
      <c r="I628" s="86">
        <v>25</v>
      </c>
      <c r="J628" s="86" t="s">
        <v>10252</v>
      </c>
      <c r="K628" s="86">
        <v>649513</v>
      </c>
      <c r="M628" s="167" t="str">
        <f t="shared" si="0"/>
        <v>OK</v>
      </c>
    </row>
    <row r="629" spans="2:13" ht="12.75" hidden="1">
      <c r="B629" s="86">
        <v>1242</v>
      </c>
      <c r="C629" s="86">
        <v>628</v>
      </c>
      <c r="D629" s="86" t="s">
        <v>10121</v>
      </c>
      <c r="E629" s="86" t="s">
        <v>58</v>
      </c>
      <c r="F629" s="86" t="s">
        <v>35</v>
      </c>
      <c r="G629" s="86">
        <v>25</v>
      </c>
      <c r="H629" s="86" t="s">
        <v>9584</v>
      </c>
      <c r="I629" s="86">
        <v>25</v>
      </c>
      <c r="J629" s="86" t="s">
        <v>10183</v>
      </c>
      <c r="K629" s="8">
        <v>564534</v>
      </c>
      <c r="M629" s="167" t="str">
        <f t="shared" si="0"/>
        <v>OK</v>
      </c>
    </row>
    <row r="630" spans="2:13" ht="12.75" hidden="1">
      <c r="B630" s="86">
        <v>1241</v>
      </c>
      <c r="C630" s="86">
        <v>629</v>
      </c>
      <c r="D630" s="86" t="s">
        <v>9585</v>
      </c>
      <c r="E630" s="86" t="s">
        <v>693</v>
      </c>
      <c r="F630" s="86" t="s">
        <v>205</v>
      </c>
      <c r="G630" s="86">
        <v>25</v>
      </c>
      <c r="H630" s="86" t="s">
        <v>9584</v>
      </c>
      <c r="I630" s="86">
        <v>25</v>
      </c>
      <c r="J630" s="86" t="s">
        <v>10152</v>
      </c>
      <c r="K630" s="8">
        <v>649522</v>
      </c>
      <c r="M630" s="167" t="str">
        <f t="shared" si="0"/>
        <v>OK</v>
      </c>
    </row>
    <row r="631" spans="2:13" ht="12.75" hidden="1">
      <c r="B631" s="86">
        <v>1241</v>
      </c>
      <c r="C631" s="86">
        <v>630</v>
      </c>
      <c r="D631" s="86" t="s">
        <v>10099</v>
      </c>
      <c r="E631" s="86" t="s">
        <v>239</v>
      </c>
      <c r="F631" s="86" t="s">
        <v>35</v>
      </c>
      <c r="G631" s="86">
        <v>25</v>
      </c>
      <c r="H631" s="86" t="s">
        <v>9584</v>
      </c>
      <c r="I631" s="86">
        <v>25</v>
      </c>
      <c r="J631" s="86" t="s">
        <v>235</v>
      </c>
      <c r="K631" s="8">
        <v>566902</v>
      </c>
      <c r="M631" s="167" t="str">
        <f t="shared" si="0"/>
        <v>OK</v>
      </c>
    </row>
    <row r="632" spans="2:13" ht="12.75" hidden="1">
      <c r="B632" s="86">
        <v>1241</v>
      </c>
      <c r="C632" s="86">
        <v>631</v>
      </c>
      <c r="D632" s="86" t="s">
        <v>9576</v>
      </c>
      <c r="E632" s="86" t="s">
        <v>189</v>
      </c>
      <c r="F632" s="86" t="s">
        <v>35</v>
      </c>
      <c r="G632" s="86">
        <v>25</v>
      </c>
      <c r="H632" s="86" t="s">
        <v>9584</v>
      </c>
      <c r="I632" s="86">
        <v>25</v>
      </c>
      <c r="J632" s="86" t="s">
        <v>10253</v>
      </c>
      <c r="K632" s="8">
        <v>649519</v>
      </c>
      <c r="M632" s="167" t="str">
        <f t="shared" si="0"/>
        <v>OK</v>
      </c>
    </row>
    <row r="633" spans="2:13" ht="12.75" hidden="1">
      <c r="B633" s="86">
        <v>1241</v>
      </c>
      <c r="C633" s="86">
        <v>632</v>
      </c>
      <c r="D633" s="86" t="s">
        <v>9569</v>
      </c>
      <c r="E633" s="86" t="s">
        <v>204</v>
      </c>
      <c r="F633" s="86" t="s">
        <v>205</v>
      </c>
      <c r="G633" s="86">
        <v>25</v>
      </c>
      <c r="H633" s="86" t="s">
        <v>9584</v>
      </c>
      <c r="I633" s="86">
        <v>25</v>
      </c>
      <c r="J633" s="86" t="s">
        <v>10254</v>
      </c>
      <c r="K633" s="8">
        <v>649385</v>
      </c>
      <c r="M633" s="167" t="str">
        <f t="shared" si="0"/>
        <v>OK</v>
      </c>
    </row>
    <row r="634" spans="2:13" ht="12.75" hidden="1">
      <c r="B634" s="86">
        <v>1241</v>
      </c>
      <c r="C634" s="86">
        <v>633</v>
      </c>
      <c r="D634" s="86" t="s">
        <v>9580</v>
      </c>
      <c r="E634" s="86" t="s">
        <v>156</v>
      </c>
      <c r="F634" s="86" t="s">
        <v>157</v>
      </c>
      <c r="G634" s="86">
        <v>25</v>
      </c>
      <c r="H634" s="86" t="s">
        <v>9584</v>
      </c>
      <c r="I634" s="86">
        <v>25</v>
      </c>
      <c r="J634" s="86" t="s">
        <v>9581</v>
      </c>
      <c r="K634" s="8">
        <v>650653</v>
      </c>
      <c r="M634" s="167" t="str">
        <f t="shared" si="0"/>
        <v>OK</v>
      </c>
    </row>
    <row r="635" spans="2:13" ht="12.75" hidden="1">
      <c r="B635" s="86">
        <v>1241</v>
      </c>
      <c r="C635" s="86">
        <v>634</v>
      </c>
      <c r="D635" s="86" t="s">
        <v>9586</v>
      </c>
      <c r="E635" s="86" t="s">
        <v>126</v>
      </c>
      <c r="F635" s="86" t="s">
        <v>35</v>
      </c>
      <c r="G635" s="86">
        <v>25</v>
      </c>
      <c r="H635" s="86" t="s">
        <v>9584</v>
      </c>
      <c r="I635" s="86">
        <v>25</v>
      </c>
      <c r="J635" s="86" t="s">
        <v>1173</v>
      </c>
      <c r="K635" s="8">
        <v>564882</v>
      </c>
      <c r="M635" s="167" t="str">
        <f t="shared" si="0"/>
        <v>OK</v>
      </c>
    </row>
    <row r="636" spans="2:13" ht="12.75" hidden="1">
      <c r="B636" s="86">
        <v>1241</v>
      </c>
      <c r="C636" s="86">
        <v>635</v>
      </c>
      <c r="D636" s="86" t="s">
        <v>9586</v>
      </c>
      <c r="E636" s="86" t="s">
        <v>398</v>
      </c>
      <c r="F636" s="86" t="s">
        <v>35</v>
      </c>
      <c r="G636" s="86">
        <v>25</v>
      </c>
      <c r="H636" s="86" t="s">
        <v>9584</v>
      </c>
      <c r="I636" s="86">
        <v>25</v>
      </c>
      <c r="J636" s="86" t="s">
        <v>10255</v>
      </c>
      <c r="K636" s="8">
        <v>564868</v>
      </c>
      <c r="M636" s="167" t="str">
        <f t="shared" si="0"/>
        <v>OK</v>
      </c>
    </row>
    <row r="637" spans="2:13" ht="12.75" hidden="1">
      <c r="B637" s="86">
        <v>1241</v>
      </c>
      <c r="C637" s="86">
        <v>636</v>
      </c>
      <c r="D637" s="86" t="s">
        <v>9565</v>
      </c>
      <c r="E637" s="86" t="s">
        <v>167</v>
      </c>
      <c r="F637" s="86" t="s">
        <v>168</v>
      </c>
      <c r="G637" s="86">
        <v>25</v>
      </c>
      <c r="H637" s="86" t="s">
        <v>9584</v>
      </c>
      <c r="I637" s="86">
        <v>25</v>
      </c>
      <c r="J637" s="86" t="s">
        <v>285</v>
      </c>
      <c r="K637" s="8">
        <v>577963</v>
      </c>
      <c r="M637" s="167" t="str">
        <f t="shared" si="0"/>
        <v>OK</v>
      </c>
    </row>
    <row r="638" spans="2:13" ht="12.75" hidden="1">
      <c r="B638" s="86">
        <v>1241</v>
      </c>
      <c r="C638" s="86">
        <v>637</v>
      </c>
      <c r="D638" s="86" t="s">
        <v>9576</v>
      </c>
      <c r="E638" s="86" t="s">
        <v>225</v>
      </c>
      <c r="F638" s="86" t="s">
        <v>35</v>
      </c>
      <c r="G638" s="86">
        <v>25</v>
      </c>
      <c r="H638" s="86" t="s">
        <v>9584</v>
      </c>
      <c r="I638" s="86">
        <v>25</v>
      </c>
      <c r="J638" s="86" t="s">
        <v>10256</v>
      </c>
      <c r="K638" s="8">
        <v>515614</v>
      </c>
      <c r="M638" s="167" t="str">
        <f t="shared" si="0"/>
        <v>OK</v>
      </c>
    </row>
    <row r="639" spans="2:13" ht="12.75" hidden="1">
      <c r="B639" s="86">
        <v>1241</v>
      </c>
      <c r="C639" s="86">
        <v>638</v>
      </c>
      <c r="D639" s="86" t="s">
        <v>9576</v>
      </c>
      <c r="E639" s="86" t="s">
        <v>231</v>
      </c>
      <c r="F639" s="86" t="s">
        <v>35</v>
      </c>
      <c r="G639" s="86">
        <v>25</v>
      </c>
      <c r="H639" s="86" t="s">
        <v>9584</v>
      </c>
      <c r="I639" s="86">
        <v>25</v>
      </c>
      <c r="J639" s="86" t="s">
        <v>10256</v>
      </c>
      <c r="K639" s="8">
        <v>515612</v>
      </c>
      <c r="M639" s="167" t="str">
        <f t="shared" si="0"/>
        <v>OK</v>
      </c>
    </row>
    <row r="640" spans="2:13" ht="12.75" hidden="1">
      <c r="B640" s="86">
        <v>1242</v>
      </c>
      <c r="C640" s="86">
        <v>639</v>
      </c>
      <c r="D640" s="86" t="s">
        <v>10121</v>
      </c>
      <c r="E640" s="86" t="s">
        <v>196</v>
      </c>
      <c r="F640" s="86" t="s">
        <v>35</v>
      </c>
      <c r="G640" s="86">
        <v>25</v>
      </c>
      <c r="H640" s="86" t="s">
        <v>9584</v>
      </c>
      <c r="I640" s="86">
        <v>25</v>
      </c>
      <c r="J640" s="86" t="s">
        <v>10160</v>
      </c>
      <c r="K640" s="8">
        <v>649516</v>
      </c>
      <c r="M640" s="167" t="str">
        <f t="shared" si="0"/>
        <v>OK</v>
      </c>
    </row>
    <row r="641" spans="2:13" ht="12.75" hidden="1">
      <c r="B641" s="86">
        <v>1246</v>
      </c>
      <c r="C641" s="86">
        <v>640</v>
      </c>
      <c r="D641" s="86" t="s">
        <v>9568</v>
      </c>
      <c r="E641" s="86" t="s">
        <v>479</v>
      </c>
      <c r="F641" s="86" t="s">
        <v>480</v>
      </c>
      <c r="G641" s="86">
        <v>25</v>
      </c>
      <c r="H641" s="86" t="s">
        <v>9584</v>
      </c>
      <c r="I641" s="86">
        <v>25</v>
      </c>
      <c r="J641" s="86" t="s">
        <v>638</v>
      </c>
      <c r="K641" s="8">
        <v>650634</v>
      </c>
      <c r="M641" s="167" t="str">
        <f t="shared" si="0"/>
        <v>OK</v>
      </c>
    </row>
    <row r="642" spans="2:13" ht="12.75" hidden="1">
      <c r="B642" s="86">
        <v>1241</v>
      </c>
      <c r="C642" s="86">
        <v>641</v>
      </c>
      <c r="D642" s="86" t="s">
        <v>10257</v>
      </c>
      <c r="E642" s="86" t="s">
        <v>2992</v>
      </c>
      <c r="F642" s="86" t="s">
        <v>2993</v>
      </c>
      <c r="G642" s="86">
        <v>50</v>
      </c>
      <c r="H642" s="86" t="s">
        <v>7404</v>
      </c>
      <c r="I642" s="86">
        <v>50</v>
      </c>
      <c r="J642" s="86" t="s">
        <v>9507</v>
      </c>
      <c r="K642" s="8">
        <v>649669</v>
      </c>
      <c r="M642" s="167" t="str">
        <f t="shared" si="0"/>
        <v>OK</v>
      </c>
    </row>
    <row r="643" spans="2:13" ht="12.75" hidden="1">
      <c r="B643" s="86">
        <v>1241</v>
      </c>
      <c r="C643" s="86">
        <v>642</v>
      </c>
      <c r="D643" s="86" t="s">
        <v>10257</v>
      </c>
      <c r="E643" s="86" t="s">
        <v>3002</v>
      </c>
      <c r="F643" s="86" t="s">
        <v>2993</v>
      </c>
      <c r="G643" s="86">
        <v>50</v>
      </c>
      <c r="H643" s="86" t="s">
        <v>7404</v>
      </c>
      <c r="I643" s="86">
        <v>50</v>
      </c>
      <c r="J643" s="86" t="s">
        <v>9507</v>
      </c>
      <c r="K643" s="8">
        <v>649668</v>
      </c>
      <c r="M643" s="167" t="str">
        <f t="shared" si="0"/>
        <v>OK</v>
      </c>
    </row>
    <row r="644" spans="2:13" ht="12.75" hidden="1">
      <c r="B644" s="86">
        <v>1241</v>
      </c>
      <c r="C644" s="86">
        <v>643</v>
      </c>
      <c r="D644" s="86" t="s">
        <v>10257</v>
      </c>
      <c r="E644" s="86" t="s">
        <v>3011</v>
      </c>
      <c r="F644" s="86" t="s">
        <v>2993</v>
      </c>
      <c r="G644" s="86">
        <v>50</v>
      </c>
      <c r="H644" s="86" t="s">
        <v>7404</v>
      </c>
      <c r="I644" s="86">
        <v>50</v>
      </c>
      <c r="J644" s="86" t="s">
        <v>9507</v>
      </c>
      <c r="K644" s="8">
        <v>649667</v>
      </c>
      <c r="M644" s="167" t="str">
        <f t="shared" si="0"/>
        <v>OK</v>
      </c>
    </row>
    <row r="645" spans="2:13" ht="12.75" hidden="1">
      <c r="B645" s="86">
        <v>1241</v>
      </c>
      <c r="C645" s="86">
        <v>644</v>
      </c>
      <c r="D645" s="86" t="s">
        <v>10257</v>
      </c>
      <c r="E645" s="86" t="s">
        <v>3020</v>
      </c>
      <c r="F645" s="86" t="s">
        <v>2993</v>
      </c>
      <c r="G645" s="86">
        <v>50</v>
      </c>
      <c r="H645" s="86" t="s">
        <v>7404</v>
      </c>
      <c r="I645" s="86">
        <v>50</v>
      </c>
      <c r="J645" s="86" t="s">
        <v>9507</v>
      </c>
      <c r="K645" s="8">
        <v>649666</v>
      </c>
      <c r="M645" s="167" t="str">
        <f t="shared" si="0"/>
        <v>OK</v>
      </c>
    </row>
    <row r="646" spans="2:13" ht="12.75" hidden="1">
      <c r="B646" s="86">
        <v>1241</v>
      </c>
      <c r="C646" s="86">
        <v>645</v>
      </c>
      <c r="D646" s="86" t="s">
        <v>10257</v>
      </c>
      <c r="E646" s="86" t="s">
        <v>3028</v>
      </c>
      <c r="F646" s="86" t="s">
        <v>2993</v>
      </c>
      <c r="G646" s="86">
        <v>50</v>
      </c>
      <c r="H646" s="86" t="s">
        <v>7404</v>
      </c>
      <c r="I646" s="86">
        <v>50</v>
      </c>
      <c r="J646" s="86" t="s">
        <v>9507</v>
      </c>
      <c r="K646" s="8">
        <v>649665</v>
      </c>
      <c r="M646" s="167" t="str">
        <f t="shared" si="0"/>
        <v>OK</v>
      </c>
    </row>
    <row r="647" spans="2:13" ht="12.75" hidden="1">
      <c r="B647" s="86">
        <v>1241</v>
      </c>
      <c r="C647" s="86">
        <v>646</v>
      </c>
      <c r="D647" s="86" t="s">
        <v>10257</v>
      </c>
      <c r="E647" s="86" t="s">
        <v>3036</v>
      </c>
      <c r="F647" s="86" t="s">
        <v>2993</v>
      </c>
      <c r="G647" s="86">
        <v>50</v>
      </c>
      <c r="H647" s="86" t="s">
        <v>7404</v>
      </c>
      <c r="I647" s="86">
        <v>50</v>
      </c>
      <c r="J647" s="86" t="s">
        <v>9507</v>
      </c>
      <c r="K647" s="8">
        <v>649664</v>
      </c>
      <c r="M647" s="167" t="str">
        <f t="shared" si="0"/>
        <v>OK</v>
      </c>
    </row>
    <row r="648" spans="2:13" ht="12.75" hidden="1">
      <c r="B648" s="86">
        <v>1241</v>
      </c>
      <c r="C648" s="86">
        <v>647</v>
      </c>
      <c r="D648" s="86" t="s">
        <v>10257</v>
      </c>
      <c r="E648" s="86" t="s">
        <v>3045</v>
      </c>
      <c r="F648" s="86" t="s">
        <v>2993</v>
      </c>
      <c r="G648" s="86">
        <v>50</v>
      </c>
      <c r="H648" s="86" t="s">
        <v>7404</v>
      </c>
      <c r="I648" s="86">
        <v>50</v>
      </c>
      <c r="J648" s="86" t="s">
        <v>9507</v>
      </c>
      <c r="K648" s="8">
        <v>649663</v>
      </c>
      <c r="M648" s="167" t="str">
        <f t="shared" si="0"/>
        <v>OK</v>
      </c>
    </row>
    <row r="649" spans="2:13" ht="12.75" hidden="1">
      <c r="B649" s="86">
        <v>1241</v>
      </c>
      <c r="C649" s="86">
        <v>648</v>
      </c>
      <c r="D649" s="86" t="s">
        <v>10257</v>
      </c>
      <c r="E649" s="86" t="s">
        <v>3054</v>
      </c>
      <c r="F649" s="86" t="s">
        <v>2993</v>
      </c>
      <c r="G649" s="86">
        <v>50</v>
      </c>
      <c r="H649" s="86" t="s">
        <v>7404</v>
      </c>
      <c r="I649" s="86">
        <v>50</v>
      </c>
      <c r="J649" s="86" t="s">
        <v>9507</v>
      </c>
      <c r="K649" s="8">
        <v>649662</v>
      </c>
      <c r="M649" s="167" t="str">
        <f t="shared" si="0"/>
        <v>OK</v>
      </c>
    </row>
    <row r="650" spans="2:13" ht="12.75" hidden="1">
      <c r="B650" s="86">
        <v>1241</v>
      </c>
      <c r="C650" s="86">
        <v>649</v>
      </c>
      <c r="D650" s="86" t="s">
        <v>10097</v>
      </c>
      <c r="E650" s="86" t="s">
        <v>924</v>
      </c>
      <c r="F650" s="86" t="s">
        <v>35</v>
      </c>
      <c r="G650" s="86">
        <v>30</v>
      </c>
      <c r="H650" s="86" t="s">
        <v>10212</v>
      </c>
      <c r="I650" s="86">
        <v>21</v>
      </c>
      <c r="J650" s="86" t="s">
        <v>117</v>
      </c>
      <c r="K650" s="86">
        <v>518510</v>
      </c>
      <c r="M650" s="167" t="str">
        <f t="shared" si="0"/>
        <v>OK</v>
      </c>
    </row>
    <row r="651" spans="2:13" ht="12.75" hidden="1">
      <c r="B651" s="86">
        <v>1241</v>
      </c>
      <c r="C651" s="86">
        <v>650</v>
      </c>
      <c r="D651" s="86" t="s">
        <v>9576</v>
      </c>
      <c r="E651" s="86" t="s">
        <v>931</v>
      </c>
      <c r="F651" s="86" t="s">
        <v>35</v>
      </c>
      <c r="G651" s="86">
        <v>30</v>
      </c>
      <c r="H651" s="86" t="s">
        <v>10212</v>
      </c>
      <c r="I651" s="86">
        <v>21</v>
      </c>
      <c r="J651" s="86" t="s">
        <v>927</v>
      </c>
      <c r="K651" s="8">
        <v>649469</v>
      </c>
      <c r="M651" s="167" t="str">
        <f t="shared" si="0"/>
        <v>OK</v>
      </c>
    </row>
    <row r="652" spans="2:13" ht="12.75" hidden="1">
      <c r="B652" s="86">
        <v>1241</v>
      </c>
      <c r="C652" s="86">
        <v>651</v>
      </c>
      <c r="D652" s="86" t="s">
        <v>9580</v>
      </c>
      <c r="E652" s="86" t="s">
        <v>908</v>
      </c>
      <c r="F652" s="86" t="s">
        <v>157</v>
      </c>
      <c r="G652" s="86">
        <v>30</v>
      </c>
      <c r="H652" s="86" t="s">
        <v>10212</v>
      </c>
      <c r="I652" s="86">
        <v>21</v>
      </c>
      <c r="J652" s="86" t="s">
        <v>9581</v>
      </c>
      <c r="K652" s="8">
        <v>650651</v>
      </c>
      <c r="L652" s="8" t="s">
        <v>10258</v>
      </c>
      <c r="M652" s="167" t="str">
        <f t="shared" si="0"/>
        <v>OK</v>
      </c>
    </row>
    <row r="653" spans="2:13" ht="12.75" hidden="1">
      <c r="B653" s="86">
        <v>1241</v>
      </c>
      <c r="C653" s="86">
        <v>652</v>
      </c>
      <c r="D653" s="86" t="s">
        <v>9569</v>
      </c>
      <c r="E653" s="86" t="s">
        <v>945</v>
      </c>
      <c r="F653" s="86" t="s">
        <v>157</v>
      </c>
      <c r="G653" s="86">
        <v>50</v>
      </c>
      <c r="H653" s="86" t="s">
        <v>10212</v>
      </c>
      <c r="I653" s="86">
        <v>21</v>
      </c>
      <c r="J653" s="86" t="s">
        <v>9378</v>
      </c>
      <c r="K653" s="8">
        <v>650661</v>
      </c>
      <c r="M653" s="167" t="str">
        <f t="shared" si="0"/>
        <v>OK</v>
      </c>
    </row>
    <row r="654" spans="2:13" ht="12.75" hidden="1">
      <c r="B654" s="86">
        <v>1246</v>
      </c>
      <c r="C654" s="86">
        <v>653</v>
      </c>
      <c r="D654" s="86" t="s">
        <v>9568</v>
      </c>
      <c r="E654" s="86" t="s">
        <v>937</v>
      </c>
      <c r="F654" s="86" t="s">
        <v>359</v>
      </c>
      <c r="G654" s="86">
        <v>50</v>
      </c>
      <c r="H654" s="86" t="s">
        <v>10212</v>
      </c>
      <c r="I654" s="86">
        <v>21</v>
      </c>
      <c r="J654" s="86" t="s">
        <v>638</v>
      </c>
      <c r="K654" s="8">
        <v>650898</v>
      </c>
      <c r="M654" s="167" t="str">
        <f t="shared" si="0"/>
        <v>OK</v>
      </c>
    </row>
    <row r="655" spans="2:13" ht="12.75" hidden="1">
      <c r="B655" s="86">
        <v>1241</v>
      </c>
      <c r="C655" s="86">
        <v>654</v>
      </c>
      <c r="D655" s="86" t="s">
        <v>10097</v>
      </c>
      <c r="E655" s="86" t="s">
        <v>1016</v>
      </c>
      <c r="F655" s="86" t="s">
        <v>35</v>
      </c>
      <c r="G655" s="86">
        <v>25</v>
      </c>
      <c r="H655" s="86" t="s">
        <v>9584</v>
      </c>
      <c r="I655" s="86">
        <v>25</v>
      </c>
      <c r="J655" s="86" t="s">
        <v>10201</v>
      </c>
      <c r="K655" s="8" t="s">
        <v>1015</v>
      </c>
      <c r="L655" s="86" t="s">
        <v>10101</v>
      </c>
      <c r="M655" s="167" t="str">
        <f t="shared" si="0"/>
        <v>OK</v>
      </c>
    </row>
    <row r="656" spans="2:13" ht="12.75" hidden="1">
      <c r="B656" s="86">
        <v>1241</v>
      </c>
      <c r="C656" s="86">
        <v>655</v>
      </c>
      <c r="D656" s="86" t="s">
        <v>9569</v>
      </c>
      <c r="E656" s="86" t="s">
        <v>1028</v>
      </c>
      <c r="F656" s="86" t="s">
        <v>9384</v>
      </c>
      <c r="G656" s="86">
        <v>30</v>
      </c>
      <c r="H656" s="86" t="s">
        <v>260</v>
      </c>
      <c r="I656" s="86">
        <v>49</v>
      </c>
      <c r="J656" s="86" t="s">
        <v>1394</v>
      </c>
      <c r="K656" s="8">
        <v>649774</v>
      </c>
      <c r="M656" s="167" t="str">
        <f t="shared" si="0"/>
        <v>OK</v>
      </c>
    </row>
    <row r="657" spans="2:13" ht="12.75" hidden="1">
      <c r="B657" s="86">
        <v>1241</v>
      </c>
      <c r="C657" s="86">
        <v>656</v>
      </c>
      <c r="D657" s="86" t="s">
        <v>9576</v>
      </c>
      <c r="E657" s="86" t="s">
        <v>1022</v>
      </c>
      <c r="F657" s="86" t="s">
        <v>35</v>
      </c>
      <c r="G657" s="86">
        <v>30</v>
      </c>
      <c r="H657" s="86" t="s">
        <v>260</v>
      </c>
      <c r="I657" s="86">
        <v>49</v>
      </c>
      <c r="J657" s="86" t="s">
        <v>6804</v>
      </c>
      <c r="K657" s="8">
        <v>649775</v>
      </c>
      <c r="M657" s="167" t="str">
        <f t="shared" si="0"/>
        <v>OK</v>
      </c>
    </row>
    <row r="658" spans="2:13" ht="12.75" hidden="1">
      <c r="B658" s="86">
        <v>1241</v>
      </c>
      <c r="C658" s="86">
        <v>657</v>
      </c>
      <c r="D658" s="86" t="s">
        <v>9580</v>
      </c>
      <c r="E658" s="86" t="s">
        <v>1036</v>
      </c>
      <c r="F658" s="86" t="s">
        <v>9384</v>
      </c>
      <c r="G658" s="86">
        <v>30</v>
      </c>
      <c r="H658" s="86" t="s">
        <v>260</v>
      </c>
      <c r="I658" s="86">
        <v>49</v>
      </c>
      <c r="J658" s="86" t="s">
        <v>9581</v>
      </c>
      <c r="K658" s="8">
        <v>649776</v>
      </c>
      <c r="M658" s="167" t="str">
        <f t="shared" si="0"/>
        <v>OK</v>
      </c>
    </row>
    <row r="659" spans="2:13" ht="12.75" hidden="1">
      <c r="B659" s="86">
        <v>1241</v>
      </c>
      <c r="C659" s="86">
        <v>658</v>
      </c>
      <c r="D659" s="86" t="s">
        <v>9586</v>
      </c>
      <c r="E659" s="86" t="s">
        <v>986</v>
      </c>
      <c r="F659" s="86" t="s">
        <v>35</v>
      </c>
      <c r="G659" s="86">
        <v>30</v>
      </c>
      <c r="H659" s="86" t="s">
        <v>260</v>
      </c>
      <c r="I659" s="86">
        <v>49</v>
      </c>
      <c r="J659" s="86" t="s">
        <v>5332</v>
      </c>
      <c r="K659" s="8">
        <v>564826</v>
      </c>
      <c r="L659" s="8"/>
      <c r="M659" s="167" t="str">
        <f t="shared" si="0"/>
        <v>OK</v>
      </c>
    </row>
    <row r="660" spans="2:13" ht="12.75" hidden="1">
      <c r="B660" s="86">
        <v>1241</v>
      </c>
      <c r="C660" s="86">
        <v>659</v>
      </c>
      <c r="D660" s="86" t="s">
        <v>10113</v>
      </c>
      <c r="E660" s="86" t="s">
        <v>1364</v>
      </c>
      <c r="F660" s="86" t="s">
        <v>35</v>
      </c>
      <c r="G660" s="86">
        <v>47</v>
      </c>
      <c r="H660" s="86" t="s">
        <v>7601</v>
      </c>
      <c r="I660" s="86">
        <v>2</v>
      </c>
      <c r="J660" s="86" t="s">
        <v>10259</v>
      </c>
      <c r="K660" s="8">
        <v>522767</v>
      </c>
      <c r="M660" s="167" t="str">
        <f t="shared" si="0"/>
        <v>OK</v>
      </c>
    </row>
    <row r="661" spans="2:13" ht="12.75" hidden="1">
      <c r="B661" s="86">
        <v>1241</v>
      </c>
      <c r="C661" s="86">
        <v>660</v>
      </c>
      <c r="D661" s="86" t="s">
        <v>10097</v>
      </c>
      <c r="E661" s="86" t="s">
        <v>1183</v>
      </c>
      <c r="F661" s="86" t="s">
        <v>35</v>
      </c>
      <c r="G661" s="86">
        <v>47</v>
      </c>
      <c r="H661" s="86" t="s">
        <v>7601</v>
      </c>
      <c r="I661" s="86">
        <v>2</v>
      </c>
      <c r="J661" s="86" t="s">
        <v>117</v>
      </c>
      <c r="K661" s="8">
        <v>649489</v>
      </c>
      <c r="M661" s="167" t="str">
        <f t="shared" si="0"/>
        <v>OK</v>
      </c>
    </row>
    <row r="662" spans="2:13" ht="12.75" hidden="1">
      <c r="B662" s="86">
        <v>1246</v>
      </c>
      <c r="C662" s="86">
        <v>661</v>
      </c>
      <c r="D662" s="86" t="s">
        <v>9568</v>
      </c>
      <c r="E662" s="86" t="s">
        <v>1439</v>
      </c>
      <c r="F662" s="86" t="s">
        <v>303</v>
      </c>
      <c r="G662" s="86">
        <v>47</v>
      </c>
      <c r="H662" s="86" t="s">
        <v>7601</v>
      </c>
      <c r="I662" s="86">
        <v>2</v>
      </c>
      <c r="J662" s="86" t="s">
        <v>248</v>
      </c>
      <c r="K662" s="8">
        <v>649490</v>
      </c>
      <c r="M662" s="167" t="str">
        <f t="shared" si="0"/>
        <v>OK</v>
      </c>
    </row>
    <row r="663" spans="2:13" ht="12.75" hidden="1">
      <c r="B663" s="86">
        <v>1241</v>
      </c>
      <c r="C663" s="86">
        <v>662</v>
      </c>
      <c r="D663" s="86" t="s">
        <v>9569</v>
      </c>
      <c r="E663" s="86" t="s">
        <v>4662</v>
      </c>
      <c r="F663" s="86" t="s">
        <v>157</v>
      </c>
      <c r="G663" s="86">
        <v>20</v>
      </c>
      <c r="H663" s="86" t="s">
        <v>8419</v>
      </c>
      <c r="I663" s="86">
        <v>20</v>
      </c>
      <c r="J663" s="86" t="s">
        <v>1394</v>
      </c>
      <c r="K663" s="8">
        <v>650665</v>
      </c>
      <c r="M663" s="167" t="str">
        <f t="shared" si="0"/>
        <v>OK</v>
      </c>
    </row>
    <row r="664" spans="2:13" ht="12.75" hidden="1">
      <c r="B664" s="86">
        <v>1241</v>
      </c>
      <c r="C664" s="86">
        <v>663</v>
      </c>
      <c r="D664" s="86" t="s">
        <v>9594</v>
      </c>
      <c r="E664" s="86" t="s">
        <v>4635</v>
      </c>
      <c r="F664" s="86" t="s">
        <v>35</v>
      </c>
      <c r="G664" s="86">
        <v>20</v>
      </c>
      <c r="H664" s="86" t="s">
        <v>8419</v>
      </c>
      <c r="I664" s="86">
        <v>20</v>
      </c>
      <c r="J664" s="86" t="s">
        <v>10260</v>
      </c>
      <c r="K664" s="8">
        <v>584146</v>
      </c>
      <c r="M664" s="167" t="str">
        <f t="shared" si="0"/>
        <v>OK</v>
      </c>
    </row>
    <row r="665" spans="2:13" ht="12.75" hidden="1">
      <c r="B665" s="86">
        <v>1241</v>
      </c>
      <c r="C665" s="86">
        <v>664</v>
      </c>
      <c r="D665" s="86" t="s">
        <v>10097</v>
      </c>
      <c r="E665" s="86" t="s">
        <v>4642</v>
      </c>
      <c r="F665" s="86" t="s">
        <v>35</v>
      </c>
      <c r="G665" s="86">
        <v>20</v>
      </c>
      <c r="H665" s="86" t="s">
        <v>8419</v>
      </c>
      <c r="I665" s="86">
        <v>20</v>
      </c>
      <c r="J665" s="86" t="s">
        <v>117</v>
      </c>
      <c r="K665" s="8">
        <v>583486</v>
      </c>
      <c r="M665" s="167" t="str">
        <f t="shared" si="0"/>
        <v>OK</v>
      </c>
    </row>
    <row r="666" spans="2:13" ht="12.75" hidden="1">
      <c r="B666" s="86">
        <v>1241</v>
      </c>
      <c r="C666" s="86">
        <v>665</v>
      </c>
      <c r="D666" s="86" t="s">
        <v>9565</v>
      </c>
      <c r="E666" s="86" t="s">
        <v>4690</v>
      </c>
      <c r="F666" s="86" t="s">
        <v>168</v>
      </c>
      <c r="G666" s="86">
        <v>20</v>
      </c>
      <c r="H666" s="86" t="s">
        <v>8419</v>
      </c>
      <c r="I666" s="86">
        <v>20</v>
      </c>
      <c r="J666" s="86" t="s">
        <v>285</v>
      </c>
      <c r="K666" s="8">
        <v>533242</v>
      </c>
      <c r="M666" s="167" t="str">
        <f t="shared" si="0"/>
        <v>OK</v>
      </c>
    </row>
    <row r="667" spans="2:13" ht="12.75" hidden="1">
      <c r="B667" s="86">
        <v>1241</v>
      </c>
      <c r="C667" s="86">
        <v>666</v>
      </c>
      <c r="D667" s="86" t="s">
        <v>9580</v>
      </c>
      <c r="E667" s="86" t="s">
        <v>4655</v>
      </c>
      <c r="F667" s="86" t="s">
        <v>157</v>
      </c>
      <c r="G667" s="86">
        <v>20</v>
      </c>
      <c r="H667" s="86" t="s">
        <v>8419</v>
      </c>
      <c r="I667" s="86">
        <v>20</v>
      </c>
      <c r="J667" s="86" t="s">
        <v>9581</v>
      </c>
      <c r="K667" s="8">
        <v>650655</v>
      </c>
      <c r="M667" s="167" t="str">
        <f t="shared" si="0"/>
        <v>OK</v>
      </c>
    </row>
    <row r="668" spans="2:13" ht="12.75" hidden="1">
      <c r="B668" s="86">
        <v>1241</v>
      </c>
      <c r="C668" s="86">
        <v>667</v>
      </c>
      <c r="D668" s="86" t="s">
        <v>9576</v>
      </c>
      <c r="E668" s="86" t="s">
        <v>4683</v>
      </c>
      <c r="F668" s="86" t="s">
        <v>35</v>
      </c>
      <c r="G668" s="86">
        <v>20</v>
      </c>
      <c r="H668" s="86" t="s">
        <v>8419</v>
      </c>
      <c r="I668" s="86">
        <v>20</v>
      </c>
      <c r="J668" s="86" t="s">
        <v>4679</v>
      </c>
      <c r="K668" s="8">
        <v>515616</v>
      </c>
      <c r="M668" s="167" t="str">
        <f t="shared" si="0"/>
        <v>OK</v>
      </c>
    </row>
    <row r="669" spans="2:13" ht="12.75" hidden="1">
      <c r="B669" s="86">
        <v>1241</v>
      </c>
      <c r="C669" s="86">
        <v>668</v>
      </c>
      <c r="D669" s="86" t="s">
        <v>10113</v>
      </c>
      <c r="E669" s="86" t="s">
        <v>4621</v>
      </c>
      <c r="F669" s="86" t="s">
        <v>35</v>
      </c>
      <c r="G669" s="86">
        <v>20</v>
      </c>
      <c r="H669" s="86" t="s">
        <v>8419</v>
      </c>
      <c r="I669" s="86">
        <v>20</v>
      </c>
      <c r="J669" s="86" t="s">
        <v>2040</v>
      </c>
      <c r="K669" s="8">
        <v>522803</v>
      </c>
      <c r="M669" s="167" t="str">
        <f t="shared" si="0"/>
        <v>OK</v>
      </c>
    </row>
    <row r="670" spans="2:13" ht="12.75" hidden="1">
      <c r="B670" s="86">
        <v>1241</v>
      </c>
      <c r="C670" s="86">
        <v>669</v>
      </c>
      <c r="D670" s="86" t="s">
        <v>10113</v>
      </c>
      <c r="E670" s="86" t="s">
        <v>4627</v>
      </c>
      <c r="F670" s="86" t="s">
        <v>35</v>
      </c>
      <c r="G670" s="86">
        <v>20</v>
      </c>
      <c r="H670" s="86" t="s">
        <v>8419</v>
      </c>
      <c r="I670" s="86">
        <v>20</v>
      </c>
      <c r="J670" s="86" t="s">
        <v>2040</v>
      </c>
      <c r="K670" s="8">
        <v>522804</v>
      </c>
      <c r="M670" s="167" t="str">
        <f t="shared" si="0"/>
        <v>OK</v>
      </c>
    </row>
    <row r="671" spans="2:13" ht="12.75" hidden="1">
      <c r="B671" s="86">
        <v>1241</v>
      </c>
      <c r="C671" s="86">
        <v>670</v>
      </c>
      <c r="D671" s="86" t="s">
        <v>9586</v>
      </c>
      <c r="E671" s="86" t="s">
        <v>4649</v>
      </c>
      <c r="F671" s="86" t="s">
        <v>35</v>
      </c>
      <c r="G671" s="86">
        <v>20</v>
      </c>
      <c r="H671" s="86" t="s">
        <v>8419</v>
      </c>
      <c r="I671" s="86">
        <v>20</v>
      </c>
      <c r="J671" s="86" t="s">
        <v>10261</v>
      </c>
      <c r="K671" s="8">
        <v>649474</v>
      </c>
      <c r="M671" s="167" t="str">
        <f t="shared" si="0"/>
        <v>OK</v>
      </c>
    </row>
    <row r="672" spans="2:13" ht="12.75" hidden="1">
      <c r="B672" s="86">
        <v>1241</v>
      </c>
      <c r="C672" s="86">
        <v>671</v>
      </c>
      <c r="D672" s="86" t="s">
        <v>9594</v>
      </c>
      <c r="E672" s="86" t="s">
        <v>4735</v>
      </c>
      <c r="F672" s="86" t="s">
        <v>35</v>
      </c>
      <c r="G672" s="86">
        <v>20</v>
      </c>
      <c r="H672" s="86" t="s">
        <v>8419</v>
      </c>
      <c r="I672" s="86">
        <v>20</v>
      </c>
      <c r="J672" s="86" t="s">
        <v>10262</v>
      </c>
      <c r="K672" s="86">
        <v>649475</v>
      </c>
      <c r="M672" s="167" t="str">
        <f t="shared" si="0"/>
        <v>OK</v>
      </c>
    </row>
    <row r="673" spans="2:13" ht="12.75" hidden="1">
      <c r="B673" s="86">
        <v>1241</v>
      </c>
      <c r="C673" s="86">
        <v>672</v>
      </c>
      <c r="D673" s="86" t="s">
        <v>9594</v>
      </c>
      <c r="E673" s="86" t="s">
        <v>4743</v>
      </c>
      <c r="F673" s="86" t="s">
        <v>35</v>
      </c>
      <c r="G673" s="86">
        <v>20</v>
      </c>
      <c r="H673" s="86" t="s">
        <v>8419</v>
      </c>
      <c r="I673" s="86">
        <v>20</v>
      </c>
      <c r="J673" s="86" t="s">
        <v>10263</v>
      </c>
      <c r="K673" s="86">
        <v>581387</v>
      </c>
      <c r="M673" s="167" t="str">
        <f t="shared" si="0"/>
        <v>OK</v>
      </c>
    </row>
    <row r="674" spans="2:13" ht="12.75" hidden="1">
      <c r="B674" s="86">
        <v>1241</v>
      </c>
      <c r="C674" s="86">
        <v>673</v>
      </c>
      <c r="D674" s="86" t="s">
        <v>9594</v>
      </c>
      <c r="E674" s="86" t="s">
        <v>4571</v>
      </c>
      <c r="F674" s="86" t="s">
        <v>35</v>
      </c>
      <c r="G674" s="86">
        <v>20</v>
      </c>
      <c r="H674" s="86" t="s">
        <v>8419</v>
      </c>
      <c r="I674" s="86">
        <v>20</v>
      </c>
      <c r="J674" s="86" t="s">
        <v>10264</v>
      </c>
      <c r="K674" s="86">
        <v>539203</v>
      </c>
      <c r="M674" s="167" t="str">
        <f t="shared" si="0"/>
        <v>OK</v>
      </c>
    </row>
    <row r="675" spans="2:13" ht="12.75" hidden="1">
      <c r="B675" s="86">
        <v>1241</v>
      </c>
      <c r="C675" s="86">
        <v>674</v>
      </c>
      <c r="D675" s="86" t="s">
        <v>9594</v>
      </c>
      <c r="E675" s="86" t="s">
        <v>4580</v>
      </c>
      <c r="F675" s="86" t="s">
        <v>35</v>
      </c>
      <c r="G675" s="86">
        <v>20</v>
      </c>
      <c r="H675" s="86" t="s">
        <v>8419</v>
      </c>
      <c r="I675" s="86">
        <v>20</v>
      </c>
      <c r="J675" s="86" t="s">
        <v>10265</v>
      </c>
      <c r="K675" s="86">
        <v>649503</v>
      </c>
      <c r="M675" s="167" t="str">
        <f t="shared" si="0"/>
        <v>OK</v>
      </c>
    </row>
    <row r="676" spans="2:13" ht="12.75" hidden="1">
      <c r="B676" s="86">
        <v>1241</v>
      </c>
      <c r="C676" s="86">
        <v>675</v>
      </c>
      <c r="D676" s="86" t="s">
        <v>9594</v>
      </c>
      <c r="E676" s="86" t="s">
        <v>4587</v>
      </c>
      <c r="F676" s="86" t="s">
        <v>35</v>
      </c>
      <c r="G676" s="86">
        <v>20</v>
      </c>
      <c r="H676" s="86" t="s">
        <v>8419</v>
      </c>
      <c r="I676" s="86">
        <v>20</v>
      </c>
      <c r="J676" s="86" t="s">
        <v>10266</v>
      </c>
      <c r="K676" s="86">
        <v>649476</v>
      </c>
      <c r="M676" s="167" t="str">
        <f t="shared" si="0"/>
        <v>OK</v>
      </c>
    </row>
    <row r="677" spans="2:13" ht="12.75" hidden="1">
      <c r="B677" s="86">
        <v>1241</v>
      </c>
      <c r="C677" s="86">
        <v>676</v>
      </c>
      <c r="D677" s="86" t="s">
        <v>9594</v>
      </c>
      <c r="E677" s="86" t="s">
        <v>4594</v>
      </c>
      <c r="F677" s="86" t="s">
        <v>35</v>
      </c>
      <c r="G677" s="86">
        <v>20</v>
      </c>
      <c r="H677" s="86" t="s">
        <v>8419</v>
      </c>
      <c r="I677" s="86">
        <v>20</v>
      </c>
      <c r="J677" s="86" t="s">
        <v>10267</v>
      </c>
      <c r="K677" s="86">
        <v>564901</v>
      </c>
      <c r="M677" s="167" t="str">
        <f t="shared" si="0"/>
        <v>OK</v>
      </c>
    </row>
    <row r="678" spans="2:13" ht="12.75" hidden="1">
      <c r="B678" s="86">
        <v>1246</v>
      </c>
      <c r="C678" s="86">
        <v>677</v>
      </c>
      <c r="D678" s="86" t="s">
        <v>9574</v>
      </c>
      <c r="E678" s="86" t="s">
        <v>4601</v>
      </c>
      <c r="F678" s="86" t="s">
        <v>4602</v>
      </c>
      <c r="G678" s="86">
        <v>20</v>
      </c>
      <c r="H678" s="86" t="s">
        <v>8419</v>
      </c>
      <c r="I678" s="86">
        <v>20</v>
      </c>
      <c r="J678" s="86" t="s">
        <v>4597</v>
      </c>
      <c r="K678" s="8">
        <v>564893</v>
      </c>
      <c r="M678" s="167" t="str">
        <f t="shared" si="0"/>
        <v>OK</v>
      </c>
    </row>
    <row r="679" spans="2:13" ht="12.75" hidden="1">
      <c r="B679" s="86">
        <v>1241</v>
      </c>
      <c r="C679" s="86">
        <v>678</v>
      </c>
      <c r="D679" s="86" t="s">
        <v>9594</v>
      </c>
      <c r="E679" s="86" t="s">
        <v>4714</v>
      </c>
      <c r="F679" s="86" t="s">
        <v>35</v>
      </c>
      <c r="G679" s="86">
        <v>20</v>
      </c>
      <c r="H679" s="86" t="s">
        <v>8419</v>
      </c>
      <c r="I679" s="86">
        <v>20</v>
      </c>
      <c r="J679" s="86" t="s">
        <v>10268</v>
      </c>
      <c r="K679" s="86">
        <v>564896</v>
      </c>
      <c r="M679" s="167" t="str">
        <f t="shared" si="0"/>
        <v>OK</v>
      </c>
    </row>
    <row r="680" spans="2:13" ht="12.75" hidden="1">
      <c r="B680" s="86">
        <v>1241</v>
      </c>
      <c r="C680" s="86">
        <v>679</v>
      </c>
      <c r="D680" s="86" t="s">
        <v>9594</v>
      </c>
      <c r="E680" s="8" t="s">
        <v>4721</v>
      </c>
      <c r="F680" s="86" t="s">
        <v>35</v>
      </c>
      <c r="G680" s="86">
        <v>20</v>
      </c>
      <c r="H680" s="86" t="s">
        <v>8419</v>
      </c>
      <c r="I680" s="86">
        <v>20</v>
      </c>
      <c r="J680" s="86" t="s">
        <v>10262</v>
      </c>
      <c r="K680" s="86">
        <v>581385</v>
      </c>
      <c r="M680" s="167" t="str">
        <f t="shared" si="0"/>
        <v>OK</v>
      </c>
    </row>
    <row r="681" spans="2:13" ht="12.75" hidden="1">
      <c r="B681" s="86">
        <v>1241</v>
      </c>
      <c r="C681" s="86">
        <v>680</v>
      </c>
      <c r="D681" s="86" t="s">
        <v>9594</v>
      </c>
      <c r="E681" s="86" t="s">
        <v>4728</v>
      </c>
      <c r="F681" s="86" t="s">
        <v>35</v>
      </c>
      <c r="G681" s="86">
        <v>20</v>
      </c>
      <c r="H681" s="86" t="s">
        <v>8419</v>
      </c>
      <c r="I681" s="86">
        <v>20</v>
      </c>
      <c r="J681" s="86" t="s">
        <v>10266</v>
      </c>
      <c r="K681" s="86">
        <v>581386</v>
      </c>
      <c r="M681" s="167" t="str">
        <f t="shared" si="0"/>
        <v>OK</v>
      </c>
    </row>
    <row r="682" spans="2:13" ht="12.75" hidden="1">
      <c r="B682" s="86">
        <v>1241</v>
      </c>
      <c r="C682" s="86">
        <v>681</v>
      </c>
      <c r="D682" s="86" t="s">
        <v>9585</v>
      </c>
      <c r="E682" s="86" t="s">
        <v>9427</v>
      </c>
      <c r="F682" s="86" t="s">
        <v>6359</v>
      </c>
      <c r="G682" s="86">
        <v>20</v>
      </c>
      <c r="H682" s="86" t="s">
        <v>8419</v>
      </c>
      <c r="I682" s="86">
        <v>20</v>
      </c>
      <c r="J682" s="86" t="s">
        <v>1200</v>
      </c>
      <c r="K682" s="8">
        <v>518543</v>
      </c>
      <c r="L682" s="8" t="s">
        <v>3282</v>
      </c>
      <c r="M682" s="167" t="str">
        <f t="shared" si="0"/>
        <v>OK</v>
      </c>
    </row>
    <row r="683" spans="2:13" ht="12.75" hidden="1">
      <c r="B683" s="86">
        <v>1246</v>
      </c>
      <c r="C683" s="86">
        <v>682</v>
      </c>
      <c r="D683" s="86" t="s">
        <v>9568</v>
      </c>
      <c r="E683" s="86" t="s">
        <v>977</v>
      </c>
      <c r="F683" s="86" t="s">
        <v>978</v>
      </c>
      <c r="G683" s="86">
        <v>30</v>
      </c>
      <c r="H683" s="86" t="s">
        <v>686</v>
      </c>
      <c r="I683" s="86">
        <v>38</v>
      </c>
      <c r="J683" s="86" t="s">
        <v>973</v>
      </c>
      <c r="K683" s="8">
        <v>649426</v>
      </c>
      <c r="M683" s="167" t="str">
        <f t="shared" si="0"/>
        <v>OK</v>
      </c>
    </row>
    <row r="684" spans="2:13" ht="12.75" hidden="1">
      <c r="B684" s="86">
        <v>1241</v>
      </c>
      <c r="C684" s="86">
        <v>683</v>
      </c>
      <c r="D684" s="86" t="s">
        <v>9603</v>
      </c>
      <c r="E684" s="86" t="s">
        <v>1082</v>
      </c>
      <c r="F684" s="86" t="s">
        <v>35</v>
      </c>
      <c r="G684" s="86">
        <v>30</v>
      </c>
      <c r="H684" s="86" t="s">
        <v>10212</v>
      </c>
      <c r="I684" s="86">
        <v>21</v>
      </c>
      <c r="J684" s="86" t="s">
        <v>10269</v>
      </c>
      <c r="K684" s="8">
        <v>651092</v>
      </c>
      <c r="M684" s="167" t="str">
        <f t="shared" si="0"/>
        <v>OK</v>
      </c>
    </row>
    <row r="685" spans="2:13" ht="12.75" hidden="1">
      <c r="B685" s="86">
        <v>1241</v>
      </c>
      <c r="C685" s="86">
        <v>684</v>
      </c>
      <c r="D685" s="86" t="s">
        <v>9603</v>
      </c>
      <c r="E685" s="86" t="s">
        <v>1076</v>
      </c>
      <c r="F685" s="86" t="s">
        <v>35</v>
      </c>
      <c r="G685" s="86">
        <v>30</v>
      </c>
      <c r="H685" s="86" t="s">
        <v>10212</v>
      </c>
      <c r="I685" s="86">
        <v>21</v>
      </c>
      <c r="J685" s="86" t="s">
        <v>10269</v>
      </c>
      <c r="K685" s="8">
        <v>651094</v>
      </c>
      <c r="M685" s="167" t="str">
        <f t="shared" si="0"/>
        <v>OK</v>
      </c>
    </row>
    <row r="686" spans="2:13" ht="12.75" hidden="1">
      <c r="B686" s="86">
        <v>1246</v>
      </c>
      <c r="C686" s="86">
        <v>685</v>
      </c>
      <c r="D686" s="86" t="s">
        <v>9574</v>
      </c>
      <c r="E686" s="86" t="s">
        <v>889</v>
      </c>
      <c r="F686" s="86" t="s">
        <v>890</v>
      </c>
      <c r="G686" s="86">
        <v>30</v>
      </c>
      <c r="H686" s="86" t="s">
        <v>686</v>
      </c>
      <c r="I686" s="86">
        <v>38</v>
      </c>
      <c r="J686" s="86" t="s">
        <v>10270</v>
      </c>
      <c r="K686" s="8">
        <v>564892</v>
      </c>
      <c r="M686" s="167" t="str">
        <f t="shared" si="0"/>
        <v>OK</v>
      </c>
    </row>
    <row r="687" spans="2:13" ht="12.75" hidden="1">
      <c r="B687" s="86">
        <v>1241</v>
      </c>
      <c r="C687" s="86">
        <v>686</v>
      </c>
      <c r="D687" s="86" t="s">
        <v>10113</v>
      </c>
      <c r="E687" s="86" t="s">
        <v>1010</v>
      </c>
      <c r="F687" s="86" t="s">
        <v>35</v>
      </c>
      <c r="G687" s="86">
        <v>30</v>
      </c>
      <c r="H687" s="86" t="s">
        <v>686</v>
      </c>
      <c r="I687" s="86">
        <v>38</v>
      </c>
      <c r="J687" s="86" t="s">
        <v>1006</v>
      </c>
      <c r="K687" s="8">
        <v>515615</v>
      </c>
      <c r="M687" s="167" t="str">
        <f t="shared" si="0"/>
        <v>OK</v>
      </c>
    </row>
    <row r="688" spans="2:13" ht="12.75" hidden="1">
      <c r="B688" s="86">
        <v>1241</v>
      </c>
      <c r="C688" s="86">
        <v>687</v>
      </c>
      <c r="D688" s="86" t="s">
        <v>9586</v>
      </c>
      <c r="E688" s="86" t="s">
        <v>9330</v>
      </c>
      <c r="F688" s="86" t="s">
        <v>35</v>
      </c>
      <c r="G688" s="86">
        <v>30</v>
      </c>
      <c r="H688" s="86" t="s">
        <v>686</v>
      </c>
      <c r="I688" s="86">
        <v>38</v>
      </c>
      <c r="J688" s="86" t="s">
        <v>528</v>
      </c>
      <c r="K688" s="8">
        <v>580847</v>
      </c>
      <c r="L688" s="8" t="s">
        <v>3282</v>
      </c>
      <c r="M688" s="167" t="str">
        <f t="shared" si="0"/>
        <v>OK</v>
      </c>
    </row>
    <row r="689" spans="2:13" ht="12.75" hidden="1">
      <c r="B689" s="86">
        <v>1241</v>
      </c>
      <c r="C689" s="86">
        <v>688</v>
      </c>
      <c r="D689" s="86" t="s">
        <v>9569</v>
      </c>
      <c r="E689" s="86" t="s">
        <v>992</v>
      </c>
      <c r="F689" s="86" t="s">
        <v>205</v>
      </c>
      <c r="G689" s="86">
        <v>30</v>
      </c>
      <c r="H689" s="86" t="s">
        <v>686</v>
      </c>
      <c r="I689" s="86">
        <v>38</v>
      </c>
      <c r="J689" s="86" t="s">
        <v>1394</v>
      </c>
      <c r="K689" s="8">
        <v>539080</v>
      </c>
      <c r="M689" s="167" t="str">
        <f t="shared" si="0"/>
        <v>OK</v>
      </c>
    </row>
    <row r="690" spans="2:13" ht="12.75" hidden="1">
      <c r="B690" s="86">
        <v>1241</v>
      </c>
      <c r="C690" s="86">
        <v>689</v>
      </c>
      <c r="D690" s="86" t="s">
        <v>9580</v>
      </c>
      <c r="E690" s="86" t="s">
        <v>967</v>
      </c>
      <c r="F690" s="86" t="s">
        <v>703</v>
      </c>
      <c r="G690" s="86">
        <v>30</v>
      </c>
      <c r="H690" s="86" t="s">
        <v>686</v>
      </c>
      <c r="I690" s="86">
        <v>38</v>
      </c>
      <c r="J690" s="86" t="s">
        <v>9581</v>
      </c>
      <c r="K690" s="8">
        <v>649467</v>
      </c>
      <c r="M690" s="167" t="str">
        <f t="shared" si="0"/>
        <v>OK</v>
      </c>
    </row>
    <row r="691" spans="2:13" ht="12.75" hidden="1">
      <c r="B691" s="86">
        <v>1241</v>
      </c>
      <c r="C691" s="86">
        <v>690</v>
      </c>
      <c r="D691" s="86" t="s">
        <v>9569</v>
      </c>
      <c r="E691" s="86" t="s">
        <v>2248</v>
      </c>
      <c r="F691" s="86" t="s">
        <v>35</v>
      </c>
      <c r="G691" s="86">
        <v>52</v>
      </c>
      <c r="H691" s="86" t="s">
        <v>10271</v>
      </c>
      <c r="I691" s="86">
        <v>56</v>
      </c>
      <c r="J691" s="86" t="s">
        <v>1394</v>
      </c>
      <c r="K691" s="8">
        <v>539036</v>
      </c>
      <c r="M691" s="167" t="str">
        <f t="shared" si="0"/>
        <v>OK</v>
      </c>
    </row>
    <row r="692" spans="2:13" ht="12.75" hidden="1">
      <c r="B692" s="86">
        <v>1241</v>
      </c>
      <c r="C692" s="86">
        <v>691</v>
      </c>
      <c r="D692" s="86" t="s">
        <v>10113</v>
      </c>
      <c r="E692" s="86" t="s">
        <v>2205</v>
      </c>
      <c r="F692" s="86" t="s">
        <v>35</v>
      </c>
      <c r="G692" s="86">
        <v>52</v>
      </c>
      <c r="H692" s="86" t="s">
        <v>10271</v>
      </c>
      <c r="I692" s="86">
        <v>56</v>
      </c>
      <c r="J692" s="86" t="s">
        <v>10272</v>
      </c>
      <c r="K692" s="8">
        <v>649637</v>
      </c>
      <c r="M692" s="167" t="str">
        <f t="shared" si="0"/>
        <v>OK</v>
      </c>
    </row>
    <row r="693" spans="2:13" ht="12.75" hidden="1">
      <c r="B693" s="86">
        <v>1241</v>
      </c>
      <c r="C693" s="86">
        <v>692</v>
      </c>
      <c r="D693" s="86" t="s">
        <v>9586</v>
      </c>
      <c r="E693" s="86" t="s">
        <v>2219</v>
      </c>
      <c r="F693" s="86" t="s">
        <v>35</v>
      </c>
      <c r="G693" s="86">
        <v>52</v>
      </c>
      <c r="H693" s="86" t="s">
        <v>10271</v>
      </c>
      <c r="I693" s="86">
        <v>56</v>
      </c>
      <c r="J693" s="86" t="s">
        <v>10273</v>
      </c>
      <c r="K693" s="8">
        <v>649581</v>
      </c>
      <c r="M693" s="167" t="str">
        <f t="shared" si="0"/>
        <v>OK</v>
      </c>
    </row>
    <row r="694" spans="2:13" ht="12.75" hidden="1">
      <c r="B694" s="86">
        <v>1241</v>
      </c>
      <c r="C694" s="86">
        <v>693</v>
      </c>
      <c r="D694" s="86" t="s">
        <v>9580</v>
      </c>
      <c r="E694" s="86" t="s">
        <v>2240</v>
      </c>
      <c r="F694" s="86" t="s">
        <v>703</v>
      </c>
      <c r="G694" s="86">
        <v>52</v>
      </c>
      <c r="H694" s="86" t="s">
        <v>10271</v>
      </c>
      <c r="I694" s="86">
        <v>56</v>
      </c>
      <c r="J694" s="86" t="s">
        <v>9581</v>
      </c>
      <c r="K694" s="8">
        <v>649582</v>
      </c>
      <c r="M694" s="167" t="str">
        <f t="shared" si="0"/>
        <v>OK</v>
      </c>
    </row>
    <row r="695" spans="2:13" ht="12.75" hidden="1">
      <c r="B695" s="86">
        <v>1241</v>
      </c>
      <c r="C695" s="86">
        <v>694</v>
      </c>
      <c r="D695" s="86" t="s">
        <v>9576</v>
      </c>
      <c r="E695" s="86" t="s">
        <v>2233</v>
      </c>
      <c r="F695" s="86" t="s">
        <v>35</v>
      </c>
      <c r="G695" s="86">
        <v>52</v>
      </c>
      <c r="H695" s="86" t="s">
        <v>10271</v>
      </c>
      <c r="I695" s="86">
        <v>56</v>
      </c>
      <c r="J695" s="86" t="s">
        <v>2229</v>
      </c>
      <c r="K695" s="8">
        <v>539054</v>
      </c>
      <c r="M695" s="167" t="str">
        <f t="shared" si="0"/>
        <v>OK</v>
      </c>
    </row>
    <row r="696" spans="2:13" ht="12.75" hidden="1">
      <c r="B696" s="86">
        <v>1241</v>
      </c>
      <c r="C696" s="86">
        <v>695</v>
      </c>
      <c r="D696" s="86" t="s">
        <v>9586</v>
      </c>
      <c r="E696" s="86" t="s">
        <v>2226</v>
      </c>
      <c r="F696" s="86" t="s">
        <v>35</v>
      </c>
      <c r="G696" s="86">
        <v>52</v>
      </c>
      <c r="H696" s="86" t="s">
        <v>10271</v>
      </c>
      <c r="I696" s="86">
        <v>56</v>
      </c>
      <c r="J696" s="86" t="s">
        <v>10274</v>
      </c>
      <c r="K696" s="8">
        <v>564830</v>
      </c>
      <c r="M696" s="167" t="str">
        <f t="shared" si="0"/>
        <v>OK</v>
      </c>
    </row>
    <row r="697" spans="2:13" ht="12.75" hidden="1">
      <c r="B697" s="86">
        <v>1241</v>
      </c>
      <c r="C697" s="86">
        <v>696</v>
      </c>
      <c r="D697" s="86" t="s">
        <v>9594</v>
      </c>
      <c r="E697" s="86" t="s">
        <v>2212</v>
      </c>
      <c r="F697" s="86" t="s">
        <v>35</v>
      </c>
      <c r="G697" s="86">
        <v>52</v>
      </c>
      <c r="H697" s="86" t="s">
        <v>10271</v>
      </c>
      <c r="I697" s="86">
        <v>56</v>
      </c>
      <c r="J697" s="86" t="s">
        <v>10275</v>
      </c>
      <c r="K697" s="86">
        <v>649583</v>
      </c>
      <c r="M697" s="167" t="str">
        <f t="shared" si="0"/>
        <v>OK</v>
      </c>
    </row>
    <row r="698" spans="2:13" ht="12.75" hidden="1">
      <c r="B698" s="86">
        <v>1241</v>
      </c>
      <c r="C698" s="86">
        <v>697</v>
      </c>
      <c r="D698" s="86" t="s">
        <v>10100</v>
      </c>
      <c r="E698" s="86" t="s">
        <v>2057</v>
      </c>
      <c r="F698" s="86" t="s">
        <v>35</v>
      </c>
      <c r="G698" s="86">
        <v>52</v>
      </c>
      <c r="H698" s="86" t="s">
        <v>10271</v>
      </c>
      <c r="I698" s="86">
        <v>56</v>
      </c>
      <c r="J698" s="86" t="s">
        <v>2046</v>
      </c>
      <c r="K698" s="86">
        <v>539027</v>
      </c>
      <c r="M698" s="167" t="str">
        <f t="shared" si="0"/>
        <v>OK</v>
      </c>
    </row>
    <row r="699" spans="2:13" ht="12.75" hidden="1">
      <c r="B699" s="86">
        <v>1241</v>
      </c>
      <c r="C699" s="86">
        <v>698</v>
      </c>
      <c r="D699" s="86" t="s">
        <v>10100</v>
      </c>
      <c r="E699" s="86" t="s">
        <v>2050</v>
      </c>
      <c r="F699" s="86" t="s">
        <v>35</v>
      </c>
      <c r="G699" s="86">
        <v>52</v>
      </c>
      <c r="H699" s="86" t="s">
        <v>10271</v>
      </c>
      <c r="I699" s="86">
        <v>56</v>
      </c>
      <c r="J699" s="86" t="s">
        <v>2046</v>
      </c>
      <c r="K699" s="86">
        <v>535460</v>
      </c>
      <c r="M699" s="167" t="str">
        <f t="shared" si="0"/>
        <v>OK</v>
      </c>
    </row>
    <row r="700" spans="2:13" ht="12.75" hidden="1">
      <c r="B700" s="86">
        <v>1241</v>
      </c>
      <c r="C700" s="86">
        <v>699</v>
      </c>
      <c r="D700" s="86" t="s">
        <v>10100</v>
      </c>
      <c r="E700" s="86" t="s">
        <v>2065</v>
      </c>
      <c r="F700" s="86" t="s">
        <v>35</v>
      </c>
      <c r="G700" s="86">
        <v>52</v>
      </c>
      <c r="H700" s="86" t="s">
        <v>10271</v>
      </c>
      <c r="I700" s="86">
        <v>56</v>
      </c>
      <c r="J700" s="86" t="s">
        <v>10276</v>
      </c>
      <c r="K700" s="86">
        <v>539134</v>
      </c>
      <c r="M700" s="167" t="str">
        <f t="shared" si="0"/>
        <v>OK</v>
      </c>
    </row>
    <row r="701" spans="2:13" ht="12.75" hidden="1">
      <c r="B701" s="86">
        <v>1241</v>
      </c>
      <c r="C701" s="86">
        <v>700</v>
      </c>
      <c r="D701" s="86" t="s">
        <v>10100</v>
      </c>
      <c r="E701" s="86" t="s">
        <v>2071</v>
      </c>
      <c r="F701" s="86" t="s">
        <v>35</v>
      </c>
      <c r="G701" s="86">
        <v>52</v>
      </c>
      <c r="H701" s="86" t="s">
        <v>10271</v>
      </c>
      <c r="I701" s="86">
        <v>56</v>
      </c>
      <c r="J701" s="86" t="s">
        <v>10277</v>
      </c>
      <c r="K701" s="86">
        <v>533127</v>
      </c>
      <c r="M701" s="167" t="str">
        <f t="shared" si="0"/>
        <v>OK</v>
      </c>
    </row>
    <row r="702" spans="2:13" ht="12.75" hidden="1">
      <c r="B702" s="86">
        <v>1241</v>
      </c>
      <c r="C702" s="86">
        <v>701</v>
      </c>
      <c r="D702" s="86" t="s">
        <v>10100</v>
      </c>
      <c r="E702" s="86" t="s">
        <v>2083</v>
      </c>
      <c r="F702" s="86" t="s">
        <v>35</v>
      </c>
      <c r="G702" s="86">
        <v>52</v>
      </c>
      <c r="H702" s="86" t="s">
        <v>10271</v>
      </c>
      <c r="I702" s="86">
        <v>56</v>
      </c>
      <c r="J702" s="86" t="s">
        <v>10277</v>
      </c>
      <c r="K702" s="86">
        <v>533124</v>
      </c>
      <c r="M702" s="167" t="str">
        <f t="shared" si="0"/>
        <v>OK</v>
      </c>
    </row>
    <row r="703" spans="2:13" ht="12.75" hidden="1">
      <c r="B703" s="86">
        <v>1241</v>
      </c>
      <c r="C703" s="86">
        <v>702</v>
      </c>
      <c r="D703" s="86" t="s">
        <v>10100</v>
      </c>
      <c r="E703" s="86" t="s">
        <v>2077</v>
      </c>
      <c r="F703" s="86" t="s">
        <v>35</v>
      </c>
      <c r="G703" s="86">
        <v>52</v>
      </c>
      <c r="H703" s="86" t="s">
        <v>10271</v>
      </c>
      <c r="I703" s="86">
        <v>56</v>
      </c>
      <c r="J703" s="86" t="s">
        <v>2046</v>
      </c>
      <c r="K703" s="86">
        <v>539043</v>
      </c>
      <c r="M703" s="167" t="str">
        <f t="shared" si="0"/>
        <v>OK</v>
      </c>
    </row>
    <row r="704" spans="2:13" ht="12.75" hidden="1">
      <c r="B704" s="86">
        <v>1241</v>
      </c>
      <c r="C704" s="86">
        <v>703</v>
      </c>
      <c r="D704" s="86" t="s">
        <v>10100</v>
      </c>
      <c r="E704" s="86" t="s">
        <v>2096</v>
      </c>
      <c r="F704" s="86" t="s">
        <v>35</v>
      </c>
      <c r="G704" s="86">
        <v>52</v>
      </c>
      <c r="H704" s="86" t="s">
        <v>10271</v>
      </c>
      <c r="I704" s="86">
        <v>56</v>
      </c>
      <c r="J704" s="86" t="s">
        <v>2092</v>
      </c>
      <c r="K704" s="86">
        <v>539018</v>
      </c>
      <c r="M704" s="167" t="str">
        <f t="shared" si="0"/>
        <v>OK</v>
      </c>
    </row>
    <row r="705" spans="2:13" ht="12.75" hidden="1">
      <c r="B705" s="86">
        <v>1241</v>
      </c>
      <c r="C705" s="86">
        <v>704</v>
      </c>
      <c r="D705" s="86" t="s">
        <v>10100</v>
      </c>
      <c r="E705" s="86" t="s">
        <v>2102</v>
      </c>
      <c r="F705" s="86" t="s">
        <v>35</v>
      </c>
      <c r="G705" s="86">
        <v>52</v>
      </c>
      <c r="H705" s="86" t="s">
        <v>10271</v>
      </c>
      <c r="I705" s="86">
        <v>56</v>
      </c>
      <c r="J705" s="86" t="s">
        <v>2046</v>
      </c>
      <c r="K705" s="86">
        <v>539032</v>
      </c>
      <c r="M705" s="167" t="str">
        <f t="shared" si="0"/>
        <v>OK</v>
      </c>
    </row>
    <row r="706" spans="2:13" ht="12.75" hidden="1">
      <c r="B706" s="86">
        <v>1241</v>
      </c>
      <c r="C706" s="86">
        <v>705</v>
      </c>
      <c r="D706" s="86" t="s">
        <v>10100</v>
      </c>
      <c r="E706" s="86" t="s">
        <v>2132</v>
      </c>
      <c r="F706" s="86" t="s">
        <v>35</v>
      </c>
      <c r="G706" s="86">
        <v>52</v>
      </c>
      <c r="H706" s="86" t="s">
        <v>10271</v>
      </c>
      <c r="I706" s="86">
        <v>56</v>
      </c>
      <c r="J706" s="86" t="s">
        <v>2046</v>
      </c>
      <c r="K706" s="86">
        <v>524624</v>
      </c>
      <c r="M706" s="167" t="str">
        <f t="shared" si="0"/>
        <v>OK</v>
      </c>
    </row>
    <row r="707" spans="2:13" ht="12.75" hidden="1">
      <c r="B707" s="86">
        <v>1241</v>
      </c>
      <c r="C707" s="86">
        <v>706</v>
      </c>
      <c r="D707" s="86" t="s">
        <v>10100</v>
      </c>
      <c r="E707" s="86" t="s">
        <v>2120</v>
      </c>
      <c r="F707" s="86" t="s">
        <v>35</v>
      </c>
      <c r="G707" s="86">
        <v>52</v>
      </c>
      <c r="H707" s="86" t="s">
        <v>10271</v>
      </c>
      <c r="I707" s="86">
        <v>56</v>
      </c>
      <c r="J707" s="86" t="s">
        <v>2092</v>
      </c>
      <c r="K707" s="86">
        <v>532101</v>
      </c>
      <c r="M707" s="167" t="str">
        <f t="shared" si="0"/>
        <v>OK</v>
      </c>
    </row>
    <row r="708" spans="2:13" ht="12.75" hidden="1">
      <c r="B708" s="86">
        <v>1241</v>
      </c>
      <c r="C708" s="86">
        <v>707</v>
      </c>
      <c r="D708" s="86" t="s">
        <v>10100</v>
      </c>
      <c r="E708" s="86" t="s">
        <v>2138</v>
      </c>
      <c r="F708" s="86" t="s">
        <v>35</v>
      </c>
      <c r="G708" s="86">
        <v>52</v>
      </c>
      <c r="H708" s="86" t="s">
        <v>10271</v>
      </c>
      <c r="I708" s="86">
        <v>56</v>
      </c>
      <c r="J708" s="86" t="s">
        <v>2046</v>
      </c>
      <c r="K708" s="86">
        <v>539029</v>
      </c>
      <c r="M708" s="167" t="str">
        <f t="shared" si="0"/>
        <v>OK</v>
      </c>
    </row>
    <row r="709" spans="2:13" ht="12.75" hidden="1">
      <c r="B709" s="86">
        <v>1241</v>
      </c>
      <c r="C709" s="86">
        <v>708</v>
      </c>
      <c r="D709" s="86" t="s">
        <v>10100</v>
      </c>
      <c r="E709" s="86" t="s">
        <v>2089</v>
      </c>
      <c r="F709" s="86" t="s">
        <v>35</v>
      </c>
      <c r="G709" s="86">
        <v>52</v>
      </c>
      <c r="H709" s="86" t="s">
        <v>10271</v>
      </c>
      <c r="I709" s="86">
        <v>56</v>
      </c>
      <c r="J709" s="86" t="s">
        <v>10277</v>
      </c>
      <c r="K709" s="86">
        <v>579127</v>
      </c>
      <c r="M709" s="167" t="str">
        <f t="shared" si="0"/>
        <v>OK</v>
      </c>
    </row>
    <row r="710" spans="2:13" ht="12.75" hidden="1">
      <c r="B710" s="86">
        <v>1241</v>
      </c>
      <c r="C710" s="86">
        <v>709</v>
      </c>
      <c r="D710" s="86" t="s">
        <v>10100</v>
      </c>
      <c r="E710" s="86" t="s">
        <v>2108</v>
      </c>
      <c r="F710" s="86" t="s">
        <v>35</v>
      </c>
      <c r="G710" s="86">
        <v>52</v>
      </c>
      <c r="H710" s="86" t="s">
        <v>10271</v>
      </c>
      <c r="I710" s="86">
        <v>56</v>
      </c>
      <c r="J710" s="86" t="s">
        <v>10277</v>
      </c>
      <c r="K710" s="86">
        <v>539133</v>
      </c>
      <c r="M710" s="167" t="str">
        <f t="shared" si="0"/>
        <v>OK</v>
      </c>
    </row>
    <row r="711" spans="2:13" ht="12.75" hidden="1">
      <c r="B711" s="86">
        <v>1241</v>
      </c>
      <c r="C711" s="86">
        <v>710</v>
      </c>
      <c r="D711" s="86" t="s">
        <v>10100</v>
      </c>
      <c r="E711" s="86" t="s">
        <v>2156</v>
      </c>
      <c r="F711" s="86" t="s">
        <v>35</v>
      </c>
      <c r="G711" s="86">
        <v>52</v>
      </c>
      <c r="H711" s="86" t="s">
        <v>10271</v>
      </c>
      <c r="I711" s="86">
        <v>56</v>
      </c>
      <c r="J711" s="86" t="s">
        <v>2046</v>
      </c>
      <c r="K711" s="86">
        <v>532103</v>
      </c>
      <c r="M711" s="167" t="str">
        <f t="shared" si="0"/>
        <v>OK</v>
      </c>
    </row>
    <row r="712" spans="2:13" ht="12.75" hidden="1">
      <c r="B712" s="86">
        <v>1241</v>
      </c>
      <c r="C712" s="86">
        <v>711</v>
      </c>
      <c r="D712" s="86" t="s">
        <v>10100</v>
      </c>
      <c r="E712" s="86" t="s">
        <v>2114</v>
      </c>
      <c r="F712" s="86" t="s">
        <v>35</v>
      </c>
      <c r="G712" s="86">
        <v>52</v>
      </c>
      <c r="H712" s="86" t="s">
        <v>10271</v>
      </c>
      <c r="I712" s="86">
        <v>56</v>
      </c>
      <c r="J712" s="86" t="s">
        <v>10277</v>
      </c>
      <c r="K712" s="86">
        <v>539137</v>
      </c>
      <c r="M712" s="167" t="str">
        <f t="shared" si="0"/>
        <v>OK</v>
      </c>
    </row>
    <row r="713" spans="2:13" ht="12.75" hidden="1">
      <c r="B713" s="86">
        <v>1241</v>
      </c>
      <c r="C713" s="86">
        <v>712</v>
      </c>
      <c r="D713" s="86" t="s">
        <v>10100</v>
      </c>
      <c r="E713" s="86" t="s">
        <v>2126</v>
      </c>
      <c r="F713" s="86" t="s">
        <v>35</v>
      </c>
      <c r="G713" s="86">
        <v>52</v>
      </c>
      <c r="H713" s="86" t="s">
        <v>10271</v>
      </c>
      <c r="I713" s="86">
        <v>56</v>
      </c>
      <c r="J713" s="86" t="s">
        <v>10277</v>
      </c>
      <c r="K713" s="86">
        <v>539135</v>
      </c>
      <c r="M713" s="167" t="str">
        <f t="shared" si="0"/>
        <v>OK</v>
      </c>
    </row>
    <row r="714" spans="2:13" ht="12.75" hidden="1">
      <c r="B714" s="86">
        <v>1241</v>
      </c>
      <c r="C714" s="86">
        <v>713</v>
      </c>
      <c r="D714" s="86" t="s">
        <v>10100</v>
      </c>
      <c r="E714" s="86" t="s">
        <v>2174</v>
      </c>
      <c r="F714" s="86" t="s">
        <v>35</v>
      </c>
      <c r="G714" s="86">
        <v>52</v>
      </c>
      <c r="H714" s="86" t="s">
        <v>10271</v>
      </c>
      <c r="I714" s="86">
        <v>56</v>
      </c>
      <c r="J714" s="86" t="s">
        <v>2046</v>
      </c>
      <c r="K714" s="86">
        <v>539031</v>
      </c>
      <c r="M714" s="167" t="str">
        <f t="shared" si="0"/>
        <v>OK</v>
      </c>
    </row>
    <row r="715" spans="2:13" ht="12.75" hidden="1">
      <c r="B715" s="86">
        <v>1241</v>
      </c>
      <c r="C715" s="86">
        <v>714</v>
      </c>
      <c r="D715" s="86" t="s">
        <v>10100</v>
      </c>
      <c r="E715" s="86" t="s">
        <v>2180</v>
      </c>
      <c r="F715" s="86" t="s">
        <v>35</v>
      </c>
      <c r="G715" s="86">
        <v>52</v>
      </c>
      <c r="H715" s="86" t="s">
        <v>10271</v>
      </c>
      <c r="I715" s="86">
        <v>56</v>
      </c>
      <c r="J715" s="86" t="s">
        <v>10277</v>
      </c>
      <c r="K715" s="86">
        <v>579126</v>
      </c>
      <c r="M715" s="167" t="str">
        <f t="shared" si="0"/>
        <v>OK</v>
      </c>
    </row>
    <row r="716" spans="2:13" ht="12.75" hidden="1">
      <c r="B716" s="86">
        <v>1241</v>
      </c>
      <c r="C716" s="86">
        <v>715</v>
      </c>
      <c r="D716" s="86" t="s">
        <v>10100</v>
      </c>
      <c r="E716" s="86" t="s">
        <v>2186</v>
      </c>
      <c r="F716" s="86" t="s">
        <v>35</v>
      </c>
      <c r="G716" s="86">
        <v>52</v>
      </c>
      <c r="H716" s="86" t="s">
        <v>10271</v>
      </c>
      <c r="I716" s="86">
        <v>56</v>
      </c>
      <c r="J716" s="86" t="s">
        <v>10277</v>
      </c>
      <c r="K716" s="86">
        <v>539144</v>
      </c>
      <c r="M716" s="167" t="str">
        <f t="shared" si="0"/>
        <v>OK</v>
      </c>
    </row>
    <row r="717" spans="2:13" ht="12.75" hidden="1">
      <c r="B717" s="86">
        <v>1241</v>
      </c>
      <c r="C717" s="86">
        <v>716</v>
      </c>
      <c r="D717" s="86" t="s">
        <v>10100</v>
      </c>
      <c r="E717" s="86" t="s">
        <v>2162</v>
      </c>
      <c r="F717" s="86" t="s">
        <v>35</v>
      </c>
      <c r="G717" s="86">
        <v>52</v>
      </c>
      <c r="H717" s="86" t="s">
        <v>10271</v>
      </c>
      <c r="I717" s="86">
        <v>56</v>
      </c>
      <c r="J717" s="86" t="s">
        <v>10277</v>
      </c>
      <c r="K717" s="86">
        <v>539139</v>
      </c>
      <c r="M717" s="167" t="str">
        <f t="shared" si="0"/>
        <v>OK</v>
      </c>
    </row>
    <row r="718" spans="2:13" ht="12.75" hidden="1">
      <c r="B718" s="86">
        <v>1241</v>
      </c>
      <c r="C718" s="86">
        <v>717</v>
      </c>
      <c r="D718" s="86" t="s">
        <v>10100</v>
      </c>
      <c r="E718" s="86" t="s">
        <v>2168</v>
      </c>
      <c r="F718" s="86" t="s">
        <v>35</v>
      </c>
      <c r="G718" s="86">
        <v>52</v>
      </c>
      <c r="H718" s="86" t="s">
        <v>10271</v>
      </c>
      <c r="I718" s="86">
        <v>56</v>
      </c>
      <c r="J718" s="86" t="s">
        <v>10277</v>
      </c>
      <c r="K718" s="86">
        <v>579123</v>
      </c>
      <c r="M718" s="167" t="str">
        <f t="shared" si="0"/>
        <v>OK</v>
      </c>
    </row>
    <row r="719" spans="2:13" ht="12.75" hidden="1">
      <c r="B719" s="86">
        <v>1241</v>
      </c>
      <c r="C719" s="86">
        <v>718</v>
      </c>
      <c r="D719" s="86" t="s">
        <v>10100</v>
      </c>
      <c r="E719" s="86" t="s">
        <v>2144</v>
      </c>
      <c r="F719" s="86" t="s">
        <v>35</v>
      </c>
      <c r="G719" s="86">
        <v>52</v>
      </c>
      <c r="H719" s="86" t="s">
        <v>10271</v>
      </c>
      <c r="I719" s="86">
        <v>56</v>
      </c>
      <c r="J719" s="86" t="s">
        <v>10277</v>
      </c>
      <c r="K719" s="86">
        <v>533123</v>
      </c>
      <c r="M719" s="167" t="str">
        <f t="shared" si="0"/>
        <v>OK</v>
      </c>
    </row>
    <row r="720" spans="2:13" ht="12.75" hidden="1">
      <c r="B720" s="86">
        <v>1241</v>
      </c>
      <c r="C720" s="86">
        <v>719</v>
      </c>
      <c r="D720" s="86" t="s">
        <v>10100</v>
      </c>
      <c r="E720" s="86" t="s">
        <v>2192</v>
      </c>
      <c r="F720" s="86" t="s">
        <v>35</v>
      </c>
      <c r="G720" s="86">
        <v>52</v>
      </c>
      <c r="H720" s="86" t="s">
        <v>10271</v>
      </c>
      <c r="I720" s="86">
        <v>56</v>
      </c>
      <c r="J720" s="86" t="s">
        <v>2046</v>
      </c>
      <c r="K720" s="86">
        <v>524707</v>
      </c>
      <c r="M720" s="167" t="str">
        <f t="shared" si="0"/>
        <v>OK</v>
      </c>
    </row>
    <row r="721" spans="2:13" ht="12.75" hidden="1">
      <c r="B721" s="86">
        <v>1246</v>
      </c>
      <c r="C721" s="86">
        <v>720</v>
      </c>
      <c r="D721" s="86" t="s">
        <v>9568</v>
      </c>
      <c r="E721" s="86" t="s">
        <v>2269</v>
      </c>
      <c r="F721" s="86" t="s">
        <v>359</v>
      </c>
      <c r="G721" s="86">
        <v>52</v>
      </c>
      <c r="H721" s="86" t="s">
        <v>10271</v>
      </c>
      <c r="I721" s="86">
        <v>56</v>
      </c>
      <c r="J721" s="86" t="s">
        <v>638</v>
      </c>
      <c r="K721" s="8">
        <v>650897</v>
      </c>
      <c r="M721" s="167" t="str">
        <f t="shared" si="0"/>
        <v>OK</v>
      </c>
    </row>
    <row r="722" spans="2:13" ht="12.75" hidden="1">
      <c r="B722" s="86">
        <v>1241</v>
      </c>
      <c r="C722" s="86">
        <v>721</v>
      </c>
      <c r="D722" s="86" t="s">
        <v>10100</v>
      </c>
      <c r="E722" s="86" t="s">
        <v>2150</v>
      </c>
      <c r="F722" s="86" t="s">
        <v>35</v>
      </c>
      <c r="G722" s="86">
        <v>52</v>
      </c>
      <c r="H722" s="86" t="s">
        <v>10271</v>
      </c>
      <c r="I722" s="86">
        <v>56</v>
      </c>
      <c r="J722" s="86" t="s">
        <v>10278</v>
      </c>
      <c r="K722" s="86">
        <v>533126</v>
      </c>
      <c r="M722" s="167" t="str">
        <f t="shared" si="0"/>
        <v>OK</v>
      </c>
    </row>
    <row r="723" spans="2:13" ht="12.75" hidden="1">
      <c r="B723" s="86">
        <v>1241</v>
      </c>
      <c r="C723" s="86">
        <v>722</v>
      </c>
      <c r="D723" s="86" t="s">
        <v>10100</v>
      </c>
      <c r="E723" s="86" t="s">
        <v>2198</v>
      </c>
      <c r="F723" s="86" t="s">
        <v>35</v>
      </c>
      <c r="G723" s="86">
        <v>52</v>
      </c>
      <c r="H723" s="86" t="s">
        <v>10271</v>
      </c>
      <c r="I723" s="86">
        <v>56</v>
      </c>
      <c r="J723" s="86" t="s">
        <v>10278</v>
      </c>
      <c r="K723" s="86">
        <v>533125</v>
      </c>
      <c r="M723" s="167" t="str">
        <f t="shared" si="0"/>
        <v>OK</v>
      </c>
    </row>
    <row r="724" spans="2:13" ht="12.75" hidden="1">
      <c r="B724" s="86">
        <v>1246</v>
      </c>
      <c r="C724" s="86">
        <v>723</v>
      </c>
      <c r="D724" s="86" t="s">
        <v>9574</v>
      </c>
      <c r="E724" s="86" t="s">
        <v>2255</v>
      </c>
      <c r="F724" s="86" t="s">
        <v>49</v>
      </c>
      <c r="G724" s="86">
        <v>52</v>
      </c>
      <c r="H724" s="86" t="s">
        <v>10271</v>
      </c>
      <c r="I724" s="86">
        <v>56</v>
      </c>
      <c r="J724" s="86" t="s">
        <v>1688</v>
      </c>
      <c r="K724" s="8">
        <v>649652</v>
      </c>
      <c r="M724" s="167" t="str">
        <f t="shared" si="0"/>
        <v>OK</v>
      </c>
    </row>
    <row r="725" spans="2:13" ht="12.75" hidden="1">
      <c r="B725" s="86">
        <v>1241</v>
      </c>
      <c r="C725" s="86">
        <v>724</v>
      </c>
      <c r="D725" s="86" t="s">
        <v>10100</v>
      </c>
      <c r="E725" s="86" t="s">
        <v>1052</v>
      </c>
      <c r="F725" s="86" t="s">
        <v>35</v>
      </c>
      <c r="G725" s="86">
        <v>30</v>
      </c>
      <c r="H725" s="86" t="s">
        <v>9587</v>
      </c>
      <c r="I725" s="86">
        <v>30</v>
      </c>
      <c r="J725" s="86" t="s">
        <v>2046</v>
      </c>
      <c r="K725" s="8">
        <v>651093</v>
      </c>
      <c r="M725" s="167" t="str">
        <f t="shared" si="0"/>
        <v>OK</v>
      </c>
    </row>
    <row r="726" spans="2:13" ht="12.75" hidden="1">
      <c r="B726" s="86">
        <v>1241</v>
      </c>
      <c r="C726" s="86">
        <v>725</v>
      </c>
      <c r="D726" s="86" t="s">
        <v>10100</v>
      </c>
      <c r="E726" s="86" t="s">
        <v>1981</v>
      </c>
      <c r="F726" s="86" t="s">
        <v>35</v>
      </c>
      <c r="G726" s="86">
        <v>52</v>
      </c>
      <c r="H726" s="86" t="s">
        <v>10279</v>
      </c>
      <c r="I726" s="86">
        <v>32</v>
      </c>
      <c r="J726" s="86" t="s">
        <v>10280</v>
      </c>
      <c r="K726" s="8">
        <v>649628</v>
      </c>
      <c r="M726" s="167" t="str">
        <f t="shared" si="0"/>
        <v>OK</v>
      </c>
    </row>
    <row r="727" spans="2:13" ht="12.75" hidden="1">
      <c r="B727" s="86">
        <v>1241</v>
      </c>
      <c r="C727" s="86">
        <v>726</v>
      </c>
      <c r="D727" s="86" t="s">
        <v>10097</v>
      </c>
      <c r="E727" s="86" t="s">
        <v>2002</v>
      </c>
      <c r="F727" s="86" t="s">
        <v>35</v>
      </c>
      <c r="G727" s="86">
        <v>52</v>
      </c>
      <c r="H727" s="86" t="s">
        <v>10279</v>
      </c>
      <c r="I727" s="86">
        <v>32</v>
      </c>
      <c r="J727" s="86" t="s">
        <v>117</v>
      </c>
      <c r="K727" s="8">
        <v>649629</v>
      </c>
      <c r="M727" s="167" t="str">
        <f t="shared" si="0"/>
        <v>OK</v>
      </c>
    </row>
    <row r="728" spans="2:13" ht="12.75" hidden="1">
      <c r="B728" s="86">
        <v>1246</v>
      </c>
      <c r="C728" s="86">
        <v>727</v>
      </c>
      <c r="D728" s="86" t="s">
        <v>9574</v>
      </c>
      <c r="E728" s="86" t="s">
        <v>1988</v>
      </c>
      <c r="F728" s="86" t="s">
        <v>49</v>
      </c>
      <c r="G728" s="86">
        <v>52</v>
      </c>
      <c r="H728" s="86" t="s">
        <v>10279</v>
      </c>
      <c r="I728" s="86">
        <v>32</v>
      </c>
      <c r="J728" s="86" t="s">
        <v>1688</v>
      </c>
      <c r="K728" s="8">
        <v>581252</v>
      </c>
      <c r="M728" s="167" t="str">
        <f t="shared" si="0"/>
        <v>OK</v>
      </c>
    </row>
    <row r="729" spans="2:13" ht="12.75" hidden="1">
      <c r="B729" s="86">
        <v>1241</v>
      </c>
      <c r="C729" s="86">
        <v>728</v>
      </c>
      <c r="D729" s="86" t="s">
        <v>9580</v>
      </c>
      <c r="E729" s="86" t="s">
        <v>2016</v>
      </c>
      <c r="F729" s="86" t="s">
        <v>35</v>
      </c>
      <c r="G729" s="86">
        <v>52</v>
      </c>
      <c r="H729" s="86" t="s">
        <v>10279</v>
      </c>
      <c r="I729" s="86">
        <v>32</v>
      </c>
      <c r="J729" s="86" t="s">
        <v>9581</v>
      </c>
      <c r="K729" s="8">
        <v>539114</v>
      </c>
      <c r="M729" s="167" t="str">
        <f t="shared" si="0"/>
        <v>OK</v>
      </c>
    </row>
    <row r="730" spans="2:13" ht="12.75" hidden="1">
      <c r="B730" s="86">
        <v>1241</v>
      </c>
      <c r="C730" s="86">
        <v>729</v>
      </c>
      <c r="D730" s="86" t="s">
        <v>9576</v>
      </c>
      <c r="E730" s="86" t="s">
        <v>4564</v>
      </c>
      <c r="F730" s="86" t="s">
        <v>35</v>
      </c>
      <c r="G730" s="86">
        <v>52</v>
      </c>
      <c r="H730" s="86" t="s">
        <v>10279</v>
      </c>
      <c r="I730" s="86">
        <v>32</v>
      </c>
      <c r="J730" s="86" t="s">
        <v>4560</v>
      </c>
      <c r="K730" s="8">
        <v>563784</v>
      </c>
      <c r="M730" s="167" t="str">
        <f t="shared" si="0"/>
        <v>OK</v>
      </c>
    </row>
    <row r="731" spans="2:13" ht="12.75" hidden="1">
      <c r="B731" s="86">
        <v>1241</v>
      </c>
      <c r="C731" s="86">
        <v>730</v>
      </c>
      <c r="D731" s="86" t="s">
        <v>9569</v>
      </c>
      <c r="E731" s="86" t="s">
        <v>2008</v>
      </c>
      <c r="F731" s="86" t="s">
        <v>35</v>
      </c>
      <c r="G731" s="86">
        <v>52</v>
      </c>
      <c r="H731" s="86" t="s">
        <v>10279</v>
      </c>
      <c r="I731" s="86">
        <v>32</v>
      </c>
      <c r="J731" s="86" t="s">
        <v>9378</v>
      </c>
      <c r="K731" s="8">
        <v>539081</v>
      </c>
      <c r="M731" s="167" t="str">
        <f t="shared" si="0"/>
        <v>OK</v>
      </c>
    </row>
    <row r="732" spans="2:13" ht="12.75" hidden="1">
      <c r="B732" s="86">
        <v>1241</v>
      </c>
      <c r="C732" s="86">
        <v>731</v>
      </c>
      <c r="D732" s="86" t="s">
        <v>9576</v>
      </c>
      <c r="E732" s="86" t="s">
        <v>1996</v>
      </c>
      <c r="F732" s="86" t="s">
        <v>35</v>
      </c>
      <c r="G732" s="86">
        <v>52</v>
      </c>
      <c r="H732" s="86" t="s">
        <v>10279</v>
      </c>
      <c r="I732" s="86">
        <v>32</v>
      </c>
      <c r="J732" s="86" t="s">
        <v>1992</v>
      </c>
      <c r="K732" s="8">
        <v>515602</v>
      </c>
      <c r="M732" s="167" t="str">
        <f t="shared" si="0"/>
        <v>OK</v>
      </c>
    </row>
    <row r="733" spans="2:13" ht="12.75" hidden="1">
      <c r="B733" s="86">
        <v>1241</v>
      </c>
      <c r="C733" s="86">
        <v>732</v>
      </c>
      <c r="D733" s="86" t="s">
        <v>10097</v>
      </c>
      <c r="E733" s="86" t="s">
        <v>603</v>
      </c>
      <c r="F733" s="86" t="s">
        <v>35</v>
      </c>
      <c r="G733" s="86">
        <v>30</v>
      </c>
      <c r="H733" s="86" t="s">
        <v>9587</v>
      </c>
      <c r="I733" s="86">
        <v>30</v>
      </c>
      <c r="J733" s="86" t="s">
        <v>117</v>
      </c>
      <c r="K733" s="8">
        <v>649463</v>
      </c>
      <c r="M733" s="167" t="str">
        <f t="shared" si="0"/>
        <v>OK</v>
      </c>
    </row>
    <row r="734" spans="2:13" ht="12.75" hidden="1">
      <c r="B734" s="86">
        <v>1241</v>
      </c>
      <c r="C734" s="86">
        <v>733</v>
      </c>
      <c r="D734" s="86" t="s">
        <v>9569</v>
      </c>
      <c r="E734" s="86" t="s">
        <v>627</v>
      </c>
      <c r="F734" s="86" t="s">
        <v>157</v>
      </c>
      <c r="G734" s="86">
        <v>30</v>
      </c>
      <c r="H734" s="86" t="s">
        <v>9587</v>
      </c>
      <c r="I734" s="86">
        <v>30</v>
      </c>
      <c r="J734" s="86" t="s">
        <v>4426</v>
      </c>
      <c r="K734" s="8">
        <v>650658</v>
      </c>
      <c r="M734" s="167" t="str">
        <f t="shared" si="0"/>
        <v>OK</v>
      </c>
    </row>
    <row r="735" spans="2:13" ht="12.75" hidden="1">
      <c r="B735" s="86">
        <v>1241</v>
      </c>
      <c r="C735" s="86">
        <v>734</v>
      </c>
      <c r="D735" s="86" t="s">
        <v>9580</v>
      </c>
      <c r="E735" s="86" t="s">
        <v>634</v>
      </c>
      <c r="F735" s="86" t="s">
        <v>157</v>
      </c>
      <c r="G735" s="86">
        <v>30</v>
      </c>
      <c r="H735" s="86" t="s">
        <v>9587</v>
      </c>
      <c r="I735" s="86">
        <v>30</v>
      </c>
      <c r="J735" s="86" t="s">
        <v>9581</v>
      </c>
      <c r="K735" s="8">
        <v>650648</v>
      </c>
      <c r="M735" s="167" t="str">
        <f t="shared" si="0"/>
        <v>OK</v>
      </c>
    </row>
    <row r="736" spans="2:13" ht="12.75" hidden="1">
      <c r="B736" s="86">
        <v>1246</v>
      </c>
      <c r="C736" s="86">
        <v>735</v>
      </c>
      <c r="D736" s="86" t="s">
        <v>9574</v>
      </c>
      <c r="E736" s="86" t="s">
        <v>671</v>
      </c>
      <c r="F736" s="86" t="s">
        <v>672</v>
      </c>
      <c r="G736" s="86">
        <v>30</v>
      </c>
      <c r="H736" s="86" t="s">
        <v>9587</v>
      </c>
      <c r="I736" s="86">
        <v>30</v>
      </c>
      <c r="J736" s="86" t="s">
        <v>667</v>
      </c>
      <c r="K736" s="8">
        <v>581182</v>
      </c>
      <c r="M736" s="167" t="str">
        <f t="shared" si="0"/>
        <v>OK</v>
      </c>
    </row>
    <row r="737" spans="2:13" ht="12.75" hidden="1">
      <c r="B737" s="86">
        <v>1241</v>
      </c>
      <c r="C737" s="86">
        <v>736</v>
      </c>
      <c r="D737" s="86" t="s">
        <v>9594</v>
      </c>
      <c r="E737" s="86" t="s">
        <v>589</v>
      </c>
      <c r="F737" s="86" t="s">
        <v>35</v>
      </c>
      <c r="G737" s="86">
        <v>30</v>
      </c>
      <c r="H737" s="86" t="s">
        <v>9587</v>
      </c>
      <c r="I737" s="86">
        <v>30</v>
      </c>
      <c r="J737" s="86" t="s">
        <v>10281</v>
      </c>
      <c r="K737" s="8">
        <v>581678</v>
      </c>
      <c r="M737" s="167" t="str">
        <f t="shared" si="0"/>
        <v>OK</v>
      </c>
    </row>
    <row r="738" spans="2:13" ht="12.75" hidden="1">
      <c r="B738" s="86">
        <v>1241</v>
      </c>
      <c r="C738" s="86">
        <v>737</v>
      </c>
      <c r="D738" s="86" t="s">
        <v>9603</v>
      </c>
      <c r="E738" s="86" t="s">
        <v>576</v>
      </c>
      <c r="F738" s="86" t="s">
        <v>35</v>
      </c>
      <c r="G738" s="86">
        <v>30</v>
      </c>
      <c r="H738" s="86" t="s">
        <v>9587</v>
      </c>
      <c r="I738" s="86">
        <v>30</v>
      </c>
      <c r="J738" s="86" t="s">
        <v>502</v>
      </c>
      <c r="K738" s="8">
        <v>584144</v>
      </c>
      <c r="M738" s="167" t="str">
        <f t="shared" si="0"/>
        <v>OK</v>
      </c>
    </row>
    <row r="739" spans="2:13" ht="12.75" hidden="1">
      <c r="B739" s="86">
        <v>1241</v>
      </c>
      <c r="C739" s="86">
        <v>738</v>
      </c>
      <c r="D739" s="86" t="s">
        <v>9603</v>
      </c>
      <c r="E739" s="86" t="s">
        <v>583</v>
      </c>
      <c r="F739" s="86" t="s">
        <v>35</v>
      </c>
      <c r="G739" s="86">
        <v>30</v>
      </c>
      <c r="H739" s="86" t="s">
        <v>9587</v>
      </c>
      <c r="I739" s="86">
        <v>30</v>
      </c>
      <c r="J739" s="86" t="s">
        <v>502</v>
      </c>
      <c r="K739" s="8">
        <v>649470</v>
      </c>
      <c r="M739" s="167" t="str">
        <f t="shared" si="0"/>
        <v>OK</v>
      </c>
    </row>
    <row r="740" spans="2:13" ht="12.75" hidden="1">
      <c r="B740" s="86">
        <v>1241</v>
      </c>
      <c r="C740" s="86">
        <v>739</v>
      </c>
      <c r="D740" s="86" t="s">
        <v>9586</v>
      </c>
      <c r="E740" s="86" t="s">
        <v>596</v>
      </c>
      <c r="F740" s="86" t="s">
        <v>35</v>
      </c>
      <c r="G740" s="86">
        <v>30</v>
      </c>
      <c r="H740" s="86" t="s">
        <v>9587</v>
      </c>
      <c r="I740" s="86">
        <v>30</v>
      </c>
      <c r="J740" s="86" t="s">
        <v>10282</v>
      </c>
      <c r="K740" s="8">
        <v>649464</v>
      </c>
      <c r="M740" s="167" t="str">
        <f t="shared" si="0"/>
        <v>OK</v>
      </c>
    </row>
    <row r="741" spans="2:13" ht="12.75" hidden="1">
      <c r="B741" s="86">
        <v>1246</v>
      </c>
      <c r="C741" s="86">
        <v>740</v>
      </c>
      <c r="D741" s="86" t="s">
        <v>9568</v>
      </c>
      <c r="E741" s="86" t="s">
        <v>642</v>
      </c>
      <c r="F741" s="86" t="s">
        <v>359</v>
      </c>
      <c r="G741" s="86">
        <v>30</v>
      </c>
      <c r="H741" s="86" t="s">
        <v>9587</v>
      </c>
      <c r="I741" s="86">
        <v>30</v>
      </c>
      <c r="J741" s="86" t="s">
        <v>638</v>
      </c>
      <c r="K741" s="8">
        <v>650894</v>
      </c>
      <c r="M741" s="167" t="str">
        <f t="shared" si="0"/>
        <v>OK</v>
      </c>
    </row>
    <row r="742" spans="2:13" ht="12.75" hidden="1">
      <c r="B742" s="86">
        <v>1241</v>
      </c>
      <c r="C742" s="86">
        <v>741</v>
      </c>
      <c r="D742" s="86" t="s">
        <v>10113</v>
      </c>
      <c r="E742" s="86" t="s">
        <v>610</v>
      </c>
      <c r="F742" s="86" t="s">
        <v>35</v>
      </c>
      <c r="G742" s="86">
        <v>30</v>
      </c>
      <c r="H742" s="86" t="s">
        <v>9587</v>
      </c>
      <c r="I742" s="86">
        <v>30</v>
      </c>
      <c r="J742" s="86" t="s">
        <v>606</v>
      </c>
      <c r="K742" s="8">
        <v>516337</v>
      </c>
      <c r="M742" s="167" t="str">
        <f t="shared" si="0"/>
        <v>OK</v>
      </c>
    </row>
    <row r="743" spans="2:13" ht="12.75" hidden="1">
      <c r="B743" s="86">
        <v>1241</v>
      </c>
      <c r="C743" s="86">
        <v>742</v>
      </c>
      <c r="D743" s="86" t="s">
        <v>10113</v>
      </c>
      <c r="E743" s="86" t="s">
        <v>616</v>
      </c>
      <c r="F743" s="86" t="s">
        <v>35</v>
      </c>
      <c r="G743" s="86">
        <v>30</v>
      </c>
      <c r="H743" s="86" t="s">
        <v>9587</v>
      </c>
      <c r="I743" s="86">
        <v>30</v>
      </c>
      <c r="J743" s="86" t="s">
        <v>606</v>
      </c>
      <c r="K743" s="8">
        <v>649473</v>
      </c>
      <c r="M743" s="167" t="str">
        <f t="shared" si="0"/>
        <v>OK</v>
      </c>
    </row>
    <row r="744" spans="2:13" ht="12.75" hidden="1">
      <c r="B744" s="86">
        <v>1241</v>
      </c>
      <c r="C744" s="86">
        <v>743</v>
      </c>
      <c r="D744" s="86" t="s">
        <v>10209</v>
      </c>
      <c r="E744" s="86" t="s">
        <v>1147</v>
      </c>
      <c r="F744" s="86" t="s">
        <v>359</v>
      </c>
      <c r="G744" s="86">
        <v>30</v>
      </c>
      <c r="H744" s="86" t="s">
        <v>9587</v>
      </c>
      <c r="I744" s="86">
        <v>30</v>
      </c>
      <c r="J744" s="86" t="s">
        <v>2901</v>
      </c>
      <c r="K744" s="8">
        <v>649403</v>
      </c>
      <c r="M744" s="167" t="str">
        <f t="shared" si="0"/>
        <v>OK</v>
      </c>
    </row>
    <row r="745" spans="2:13" ht="12.75" hidden="1">
      <c r="B745" s="86">
        <v>1241</v>
      </c>
      <c r="C745" s="86">
        <v>744</v>
      </c>
      <c r="D745" s="86" t="s">
        <v>9576</v>
      </c>
      <c r="E745" s="86" t="s">
        <v>657</v>
      </c>
      <c r="F745" s="86" t="s">
        <v>35</v>
      </c>
      <c r="G745" s="86">
        <v>30</v>
      </c>
      <c r="H745" s="86" t="s">
        <v>9587</v>
      </c>
      <c r="I745" s="86">
        <v>30</v>
      </c>
      <c r="J745" s="86" t="s">
        <v>653</v>
      </c>
      <c r="K745" s="8">
        <v>649465</v>
      </c>
      <c r="M745" s="167" t="str">
        <f t="shared" si="0"/>
        <v>OK</v>
      </c>
    </row>
    <row r="746" spans="2:13" ht="12.75">
      <c r="B746" s="86">
        <v>1246</v>
      </c>
      <c r="C746" s="86">
        <v>745</v>
      </c>
      <c r="D746" s="86" t="s">
        <v>9568</v>
      </c>
      <c r="E746" s="86" t="s">
        <v>9536</v>
      </c>
      <c r="F746" s="86" t="s">
        <v>978</v>
      </c>
      <c r="G746" s="86">
        <v>30</v>
      </c>
      <c r="H746" s="86" t="s">
        <v>9587</v>
      </c>
      <c r="I746" s="86">
        <v>30</v>
      </c>
      <c r="J746" s="86" t="s">
        <v>248</v>
      </c>
      <c r="K746" s="8">
        <v>0</v>
      </c>
      <c r="L746" s="8" t="s">
        <v>9577</v>
      </c>
      <c r="M746" s="167" t="str">
        <f t="shared" si="0"/>
        <v>REPETIDO</v>
      </c>
    </row>
    <row r="747" spans="2:13" ht="12.75" hidden="1">
      <c r="B747" s="86">
        <v>1241</v>
      </c>
      <c r="C747" s="86">
        <v>746</v>
      </c>
      <c r="D747" s="86" t="s">
        <v>9580</v>
      </c>
      <c r="E747" s="86" t="s">
        <v>4871</v>
      </c>
      <c r="F747" s="86" t="s">
        <v>1220</v>
      </c>
      <c r="G747" s="86">
        <v>30</v>
      </c>
      <c r="H747" s="86" t="s">
        <v>9587</v>
      </c>
      <c r="I747" s="86">
        <v>30</v>
      </c>
      <c r="J747" s="86" t="s">
        <v>10283</v>
      </c>
      <c r="K747" s="8">
        <v>535801</v>
      </c>
      <c r="M747" s="167" t="str">
        <f t="shared" si="0"/>
        <v>OK</v>
      </c>
    </row>
    <row r="748" spans="2:13" ht="12.75" hidden="1">
      <c r="B748" s="86">
        <v>1246</v>
      </c>
      <c r="C748" s="86">
        <v>747</v>
      </c>
      <c r="D748" s="86" t="s">
        <v>9568</v>
      </c>
      <c r="E748" s="86" t="s">
        <v>1044</v>
      </c>
      <c r="F748" s="86" t="s">
        <v>359</v>
      </c>
      <c r="G748" s="86">
        <v>63</v>
      </c>
      <c r="H748" s="86" t="s">
        <v>10199</v>
      </c>
      <c r="I748" s="86">
        <v>63</v>
      </c>
      <c r="J748" s="86" t="s">
        <v>354</v>
      </c>
      <c r="K748" s="8">
        <v>649441</v>
      </c>
      <c r="M748" s="167" t="str">
        <f t="shared" si="0"/>
        <v>OK</v>
      </c>
    </row>
    <row r="749" spans="2:13" ht="12.75" hidden="1">
      <c r="B749" s="86">
        <v>1246</v>
      </c>
      <c r="C749" s="86">
        <v>748</v>
      </c>
      <c r="D749" s="86" t="s">
        <v>9568</v>
      </c>
      <c r="E749" s="86" t="s">
        <v>3182</v>
      </c>
      <c r="F749" s="86" t="s">
        <v>359</v>
      </c>
      <c r="G749" s="86">
        <v>30</v>
      </c>
      <c r="H749" s="86" t="s">
        <v>9587</v>
      </c>
      <c r="I749" s="86">
        <v>30</v>
      </c>
      <c r="J749" s="86" t="s">
        <v>354</v>
      </c>
      <c r="K749" s="8">
        <v>650896</v>
      </c>
      <c r="M749" s="167" t="str">
        <f t="shared" si="0"/>
        <v>OK</v>
      </c>
    </row>
    <row r="750" spans="2:13" ht="12.75">
      <c r="B750" s="86">
        <v>1244</v>
      </c>
      <c r="C750" s="86">
        <v>749</v>
      </c>
      <c r="D750" s="86" t="s">
        <v>9588</v>
      </c>
      <c r="E750" s="86" t="s">
        <v>9517</v>
      </c>
      <c r="F750" s="86" t="s">
        <v>6985</v>
      </c>
      <c r="G750" s="86">
        <v>24</v>
      </c>
      <c r="H750" s="86" t="s">
        <v>9572</v>
      </c>
      <c r="I750" s="86">
        <v>24</v>
      </c>
      <c r="J750" s="163" t="s">
        <v>9589</v>
      </c>
      <c r="K750" s="8">
        <v>1</v>
      </c>
      <c r="L750" s="8" t="s">
        <v>3282</v>
      </c>
      <c r="M750" s="167" t="str">
        <f t="shared" si="0"/>
        <v>REPETIDO</v>
      </c>
    </row>
    <row r="751" spans="2:13" ht="12.75" hidden="1">
      <c r="B751" s="86">
        <v>1244</v>
      </c>
      <c r="C751" s="86">
        <v>750</v>
      </c>
      <c r="D751" s="86" t="s">
        <v>9588</v>
      </c>
      <c r="E751" s="86" t="s">
        <v>6991</v>
      </c>
      <c r="F751" s="86" t="s">
        <v>6993</v>
      </c>
      <c r="G751" s="86">
        <v>25</v>
      </c>
      <c r="H751" s="86" t="s">
        <v>9584</v>
      </c>
      <c r="I751" s="86">
        <v>25</v>
      </c>
      <c r="J751" s="163" t="s">
        <v>9516</v>
      </c>
      <c r="K751" s="8">
        <v>1</v>
      </c>
      <c r="L751" s="8" t="s">
        <v>10284</v>
      </c>
      <c r="M751" s="167" t="str">
        <f t="shared" si="0"/>
        <v>REPETIDO</v>
      </c>
    </row>
    <row r="752" spans="2:13" ht="12.75" hidden="1">
      <c r="B752" s="86">
        <v>1244</v>
      </c>
      <c r="C752" s="86">
        <v>751</v>
      </c>
      <c r="D752" s="86" t="s">
        <v>9588</v>
      </c>
      <c r="E752" s="86" t="s">
        <v>6983</v>
      </c>
      <c r="F752" s="86" t="s">
        <v>6985</v>
      </c>
      <c r="G752" s="86">
        <v>26</v>
      </c>
      <c r="H752" s="86" t="s">
        <v>9566</v>
      </c>
      <c r="I752" s="86">
        <v>26</v>
      </c>
      <c r="J752" s="163" t="s">
        <v>10285</v>
      </c>
      <c r="K752" s="8">
        <v>1</v>
      </c>
      <c r="L752" s="8" t="s">
        <v>10284</v>
      </c>
      <c r="M752" s="167" t="str">
        <f t="shared" si="0"/>
        <v>REPETIDO</v>
      </c>
    </row>
    <row r="753" spans="2:13" ht="12.75">
      <c r="B753" s="86">
        <v>1244</v>
      </c>
      <c r="C753" s="86">
        <v>752</v>
      </c>
      <c r="D753" s="86" t="s">
        <v>9588</v>
      </c>
      <c r="E753" s="86" t="s">
        <v>6966</v>
      </c>
      <c r="F753" s="86" t="s">
        <v>6968</v>
      </c>
      <c r="G753" s="86">
        <v>26</v>
      </c>
      <c r="H753" s="86" t="s">
        <v>9566</v>
      </c>
      <c r="I753" s="86">
        <v>26</v>
      </c>
      <c r="J753" s="163" t="s">
        <v>9590</v>
      </c>
      <c r="K753" s="8">
        <v>1</v>
      </c>
      <c r="L753" s="8" t="s">
        <v>3282</v>
      </c>
      <c r="M753" s="167" t="str">
        <f t="shared" si="0"/>
        <v>REPETIDO</v>
      </c>
    </row>
    <row r="754" spans="2:13" ht="12.75" hidden="1">
      <c r="B754" s="86">
        <v>1244</v>
      </c>
      <c r="C754" s="86">
        <v>753</v>
      </c>
      <c r="D754" s="86" t="s">
        <v>9588</v>
      </c>
      <c r="E754" s="86" t="s">
        <v>6974</v>
      </c>
      <c r="F754" s="86" t="s">
        <v>6976</v>
      </c>
      <c r="G754" s="86">
        <v>26</v>
      </c>
      <c r="H754" s="86" t="s">
        <v>9566</v>
      </c>
      <c r="I754" s="86">
        <v>26</v>
      </c>
      <c r="J754" s="163" t="s">
        <v>9591</v>
      </c>
      <c r="K754" s="8">
        <v>1</v>
      </c>
      <c r="L754" s="8" t="s">
        <v>10284</v>
      </c>
      <c r="M754" s="167" t="str">
        <f t="shared" si="0"/>
        <v>REPETIDO</v>
      </c>
    </row>
    <row r="755" spans="2:13" ht="12.75">
      <c r="B755" s="86">
        <v>1244</v>
      </c>
      <c r="C755" s="86">
        <v>754</v>
      </c>
      <c r="D755" s="86" t="s">
        <v>9588</v>
      </c>
      <c r="E755" s="86" t="s">
        <v>6999</v>
      </c>
      <c r="F755" s="86" t="s">
        <v>7001</v>
      </c>
      <c r="G755" s="86">
        <v>26</v>
      </c>
      <c r="H755" s="86" t="s">
        <v>9566</v>
      </c>
      <c r="I755" s="86">
        <v>26</v>
      </c>
      <c r="J755" s="163" t="s">
        <v>9593</v>
      </c>
      <c r="K755" s="8">
        <v>1</v>
      </c>
      <c r="L755" s="8" t="s">
        <v>3282</v>
      </c>
      <c r="M755" s="167" t="str">
        <f t="shared" si="0"/>
        <v>REPETIDO</v>
      </c>
    </row>
    <row r="756" spans="2:13" ht="12.75" hidden="1">
      <c r="B756" s="86">
        <v>1241</v>
      </c>
      <c r="C756" s="86">
        <v>755</v>
      </c>
      <c r="D756" s="86" t="s">
        <v>9571</v>
      </c>
      <c r="E756" s="86" t="s">
        <v>5457</v>
      </c>
      <c r="F756" s="86" t="s">
        <v>35</v>
      </c>
      <c r="G756" s="86">
        <v>45</v>
      </c>
      <c r="H756" s="86" t="s">
        <v>5310</v>
      </c>
      <c r="I756" s="86">
        <v>45</v>
      </c>
      <c r="J756" s="86" t="s">
        <v>72</v>
      </c>
      <c r="K756" s="8">
        <v>649754</v>
      </c>
      <c r="M756" s="167" t="str">
        <f t="shared" si="0"/>
        <v>OK</v>
      </c>
    </row>
    <row r="757" spans="2:13" ht="12.75" hidden="1">
      <c r="B757" s="86">
        <v>1241</v>
      </c>
      <c r="C757" s="86">
        <v>756</v>
      </c>
      <c r="D757" s="86" t="s">
        <v>9565</v>
      </c>
      <c r="E757" s="86" t="s">
        <v>2523</v>
      </c>
      <c r="F757" s="86" t="s">
        <v>168</v>
      </c>
      <c r="G757" s="86">
        <v>50</v>
      </c>
      <c r="H757" s="86" t="s">
        <v>7404</v>
      </c>
      <c r="I757" s="86">
        <v>50</v>
      </c>
      <c r="J757" s="86" t="s">
        <v>285</v>
      </c>
      <c r="K757" s="8">
        <v>651111</v>
      </c>
      <c r="M757" s="167" t="str">
        <f t="shared" si="0"/>
        <v>OK</v>
      </c>
    </row>
    <row r="758" spans="2:13" ht="12.75" hidden="1">
      <c r="B758" s="86">
        <v>1241</v>
      </c>
      <c r="C758" s="86">
        <v>757</v>
      </c>
      <c r="D758" s="86" t="s">
        <v>9569</v>
      </c>
      <c r="E758" s="86" t="s">
        <v>2840</v>
      </c>
      <c r="F758" s="86" t="s">
        <v>273</v>
      </c>
      <c r="G758" s="86">
        <v>50</v>
      </c>
      <c r="H758" s="86" t="s">
        <v>7404</v>
      </c>
      <c r="I758" s="86">
        <v>50</v>
      </c>
      <c r="J758" s="86" t="s">
        <v>10286</v>
      </c>
      <c r="K758" s="8">
        <v>650638</v>
      </c>
      <c r="M758" s="167" t="str">
        <f t="shared" si="0"/>
        <v>OK</v>
      </c>
    </row>
    <row r="759" spans="2:13" ht="12.75" hidden="1">
      <c r="B759" s="86">
        <v>1241</v>
      </c>
      <c r="C759" s="86">
        <v>758</v>
      </c>
      <c r="D759" s="86" t="s">
        <v>9585</v>
      </c>
      <c r="E759" s="86" t="s">
        <v>1603</v>
      </c>
      <c r="F759" s="86" t="s">
        <v>1604</v>
      </c>
      <c r="G759" s="86">
        <v>52</v>
      </c>
      <c r="H759" s="86" t="s">
        <v>9609</v>
      </c>
      <c r="I759" s="86">
        <v>52</v>
      </c>
      <c r="J759" s="86" t="s">
        <v>10287</v>
      </c>
      <c r="K759" s="8">
        <v>651112</v>
      </c>
      <c r="M759" s="167" t="str">
        <f t="shared" si="0"/>
        <v>OK</v>
      </c>
    </row>
    <row r="760" spans="2:13" ht="12.75" hidden="1">
      <c r="B760" s="86">
        <v>1241</v>
      </c>
      <c r="C760" s="86">
        <v>759</v>
      </c>
      <c r="D760" s="86" t="s">
        <v>9586</v>
      </c>
      <c r="E760" s="86" t="s">
        <v>5750</v>
      </c>
      <c r="F760" s="86" t="s">
        <v>35</v>
      </c>
      <c r="G760" s="86">
        <v>25</v>
      </c>
      <c r="H760" s="86" t="s">
        <v>9584</v>
      </c>
      <c r="I760" s="86">
        <v>25</v>
      </c>
      <c r="J760" s="86" t="s">
        <v>1579</v>
      </c>
      <c r="K760" s="8">
        <v>564863</v>
      </c>
      <c r="M760" s="167" t="str">
        <f t="shared" si="0"/>
        <v>OK</v>
      </c>
    </row>
    <row r="761" spans="2:13" ht="12.75" hidden="1">
      <c r="B761" s="86">
        <v>1241</v>
      </c>
      <c r="C761" s="86">
        <v>760</v>
      </c>
      <c r="D761" s="86" t="s">
        <v>9586</v>
      </c>
      <c r="E761" s="86" t="s">
        <v>5123</v>
      </c>
      <c r="F761" s="86" t="s">
        <v>35</v>
      </c>
      <c r="G761" s="86">
        <v>25</v>
      </c>
      <c r="H761" s="86" t="s">
        <v>9584</v>
      </c>
      <c r="I761" s="86">
        <v>25</v>
      </c>
      <c r="J761" s="86" t="s">
        <v>9602</v>
      </c>
      <c r="K761" s="8">
        <v>564862</v>
      </c>
      <c r="M761" s="167" t="str">
        <f t="shared" si="0"/>
        <v>OK</v>
      </c>
    </row>
    <row r="762" spans="2:13" ht="12.75" hidden="1">
      <c r="B762" s="86">
        <v>1241</v>
      </c>
      <c r="C762" s="86">
        <v>761</v>
      </c>
      <c r="D762" s="86" t="s">
        <v>10113</v>
      </c>
      <c r="E762" s="86" t="s">
        <v>555</v>
      </c>
      <c r="F762" s="86" t="s">
        <v>35</v>
      </c>
      <c r="G762" s="86">
        <v>25</v>
      </c>
      <c r="H762" s="86" t="s">
        <v>9584</v>
      </c>
      <c r="I762" s="86">
        <v>25</v>
      </c>
      <c r="J762" s="86" t="s">
        <v>10288</v>
      </c>
      <c r="K762" s="8">
        <v>518532</v>
      </c>
      <c r="M762" s="167" t="str">
        <f t="shared" si="0"/>
        <v>OK</v>
      </c>
    </row>
    <row r="763" spans="2:13" ht="12.75" hidden="1">
      <c r="B763" s="86">
        <v>1246</v>
      </c>
      <c r="C763" s="86">
        <v>762</v>
      </c>
      <c r="D763" s="86" t="s">
        <v>9574</v>
      </c>
      <c r="E763" s="86" t="s">
        <v>897</v>
      </c>
      <c r="F763" s="86" t="s">
        <v>898</v>
      </c>
      <c r="G763" s="86">
        <v>30</v>
      </c>
      <c r="H763" s="86" t="s">
        <v>10212</v>
      </c>
      <c r="I763" s="86">
        <v>21</v>
      </c>
      <c r="J763" s="86" t="s">
        <v>10289</v>
      </c>
      <c r="K763" s="8" t="s">
        <v>895</v>
      </c>
      <c r="L763" s="86" t="s">
        <v>10101</v>
      </c>
      <c r="M763" s="167" t="str">
        <f t="shared" si="0"/>
        <v>OK</v>
      </c>
    </row>
    <row r="764" spans="2:13" ht="12.75" hidden="1">
      <c r="B764" s="86">
        <v>1241</v>
      </c>
      <c r="C764" s="86">
        <v>763</v>
      </c>
      <c r="D764" s="86" t="s">
        <v>10113</v>
      </c>
      <c r="E764" s="86" t="s">
        <v>6283</v>
      </c>
      <c r="F764" s="86" t="s">
        <v>35</v>
      </c>
      <c r="G764" s="86">
        <v>26</v>
      </c>
      <c r="H764" s="86" t="s">
        <v>6684</v>
      </c>
      <c r="I764" s="86">
        <v>33</v>
      </c>
      <c r="J764" s="86" t="s">
        <v>379</v>
      </c>
      <c r="K764" s="8">
        <v>651101</v>
      </c>
      <c r="M764" s="167" t="str">
        <f t="shared" si="0"/>
        <v>OK</v>
      </c>
    </row>
    <row r="765" spans="2:13" ht="12.75" hidden="1">
      <c r="B765" s="86">
        <v>1241</v>
      </c>
      <c r="C765" s="86">
        <v>764</v>
      </c>
      <c r="D765" s="86" t="s">
        <v>9594</v>
      </c>
      <c r="E765" s="86" t="s">
        <v>5484</v>
      </c>
      <c r="F765" s="86" t="s">
        <v>35</v>
      </c>
      <c r="G765" s="86">
        <v>45</v>
      </c>
      <c r="H765" s="86" t="s">
        <v>5310</v>
      </c>
      <c r="I765" s="86">
        <v>45</v>
      </c>
      <c r="J765" s="86" t="s">
        <v>10290</v>
      </c>
      <c r="K765" s="8">
        <v>518512</v>
      </c>
      <c r="M765" s="167" t="str">
        <f t="shared" si="0"/>
        <v>OK</v>
      </c>
    </row>
    <row r="766" spans="2:13" ht="12.75" hidden="1">
      <c r="B766" s="86">
        <v>1241</v>
      </c>
      <c r="C766" s="86">
        <v>765</v>
      </c>
      <c r="D766" s="86" t="s">
        <v>9565</v>
      </c>
      <c r="E766" s="86" t="s">
        <v>3811</v>
      </c>
      <c r="F766" s="86" t="s">
        <v>168</v>
      </c>
      <c r="G766" s="86">
        <v>27</v>
      </c>
      <c r="H766" s="86" t="s">
        <v>1665</v>
      </c>
      <c r="I766" s="86">
        <v>41</v>
      </c>
      <c r="J766" s="86" t="s">
        <v>285</v>
      </c>
      <c r="K766" s="8">
        <v>527027</v>
      </c>
      <c r="M766" s="167" t="str">
        <f t="shared" si="0"/>
        <v>OK</v>
      </c>
    </row>
    <row r="767" spans="2:13" ht="12.75" hidden="1">
      <c r="B767" s="86">
        <v>1246</v>
      </c>
      <c r="C767" s="86">
        <v>766</v>
      </c>
      <c r="D767" s="86" t="s">
        <v>9574</v>
      </c>
      <c r="E767" s="86" t="s">
        <v>4009</v>
      </c>
      <c r="F767" s="86" t="s">
        <v>1913</v>
      </c>
      <c r="G767" s="86">
        <v>53</v>
      </c>
      <c r="H767" s="86" t="s">
        <v>10192</v>
      </c>
      <c r="I767" s="86">
        <v>51</v>
      </c>
      <c r="J767" s="86" t="s">
        <v>1850</v>
      </c>
      <c r="K767" s="8">
        <v>564891</v>
      </c>
      <c r="M767" s="167" t="str">
        <f t="shared" si="0"/>
        <v>OK</v>
      </c>
    </row>
    <row r="768" spans="2:13" ht="12.75" hidden="1">
      <c r="B768" s="86">
        <v>1241</v>
      </c>
      <c r="C768" s="86">
        <v>767</v>
      </c>
      <c r="D768" s="86" t="s">
        <v>10113</v>
      </c>
      <c r="E768" s="86" t="s">
        <v>3149</v>
      </c>
      <c r="F768" s="86" t="s">
        <v>35</v>
      </c>
      <c r="G768" s="86">
        <v>63</v>
      </c>
      <c r="H768" s="86" t="s">
        <v>10199</v>
      </c>
      <c r="I768" s="86">
        <v>63</v>
      </c>
      <c r="J768" s="86" t="s">
        <v>10291</v>
      </c>
      <c r="K768" s="8">
        <v>516236</v>
      </c>
      <c r="M768" s="167" t="str">
        <f t="shared" si="0"/>
        <v>OK</v>
      </c>
    </row>
    <row r="769" spans="2:13" ht="12.75" hidden="1">
      <c r="B769" s="86">
        <v>1241</v>
      </c>
      <c r="C769" s="86">
        <v>768</v>
      </c>
      <c r="D769" s="86" t="s">
        <v>9580</v>
      </c>
      <c r="E769" s="86" t="s">
        <v>2927</v>
      </c>
      <c r="F769" s="86" t="s">
        <v>703</v>
      </c>
      <c r="G769" s="86">
        <v>50</v>
      </c>
      <c r="H769" s="86" t="s">
        <v>7404</v>
      </c>
      <c r="I769" s="86">
        <v>50</v>
      </c>
      <c r="J769" s="86" t="s">
        <v>151</v>
      </c>
      <c r="K769" s="8">
        <v>539113</v>
      </c>
      <c r="M769" s="167" t="str">
        <f t="shared" si="0"/>
        <v>OK</v>
      </c>
    </row>
    <row r="770" spans="2:13" ht="12.75" hidden="1">
      <c r="B770" s="86">
        <v>1241</v>
      </c>
      <c r="C770" s="86">
        <v>769</v>
      </c>
      <c r="D770" s="86" t="s">
        <v>9580</v>
      </c>
      <c r="E770" s="86" t="s">
        <v>718</v>
      </c>
      <c r="F770" s="86" t="s">
        <v>719</v>
      </c>
      <c r="G770" s="86">
        <v>50</v>
      </c>
      <c r="H770" s="86" t="s">
        <v>7404</v>
      </c>
      <c r="I770" s="86">
        <v>50</v>
      </c>
      <c r="J770" s="86" t="s">
        <v>151</v>
      </c>
      <c r="K770" s="8">
        <v>530469</v>
      </c>
      <c r="M770" s="167" t="str">
        <f t="shared" si="0"/>
        <v>OK</v>
      </c>
    </row>
    <row r="771" spans="2:13" ht="12.75" hidden="1">
      <c r="B771" s="86">
        <v>1241</v>
      </c>
      <c r="C771" s="86">
        <v>770</v>
      </c>
      <c r="D771" s="86" t="s">
        <v>9580</v>
      </c>
      <c r="E771" s="86" t="s">
        <v>2764</v>
      </c>
      <c r="F771" s="86" t="s">
        <v>157</v>
      </c>
      <c r="G771" s="86">
        <v>50</v>
      </c>
      <c r="H771" s="86" t="s">
        <v>7404</v>
      </c>
      <c r="I771" s="86">
        <v>50</v>
      </c>
      <c r="J771" s="86" t="s">
        <v>151</v>
      </c>
      <c r="K771" s="8">
        <v>530462</v>
      </c>
      <c r="M771" s="167" t="str">
        <f t="shared" si="0"/>
        <v>OK</v>
      </c>
    </row>
    <row r="772" spans="2:13" ht="12.75">
      <c r="B772" s="86">
        <v>1241</v>
      </c>
      <c r="C772" s="86">
        <v>771</v>
      </c>
      <c r="D772" s="86" t="s">
        <v>9594</v>
      </c>
      <c r="E772" s="86" t="s">
        <v>9332</v>
      </c>
      <c r="F772" s="86" t="s">
        <v>35</v>
      </c>
      <c r="G772" s="86">
        <v>50</v>
      </c>
      <c r="H772" s="86" t="s">
        <v>7404</v>
      </c>
      <c r="I772" s="86">
        <v>50</v>
      </c>
      <c r="J772" s="86" t="s">
        <v>9595</v>
      </c>
      <c r="K772" s="8">
        <v>0</v>
      </c>
      <c r="L772" s="8" t="s">
        <v>9577</v>
      </c>
      <c r="M772" s="167" t="str">
        <f t="shared" si="0"/>
        <v>REPETIDO</v>
      </c>
    </row>
    <row r="773" spans="2:13" ht="12.75" hidden="1">
      <c r="B773" s="86">
        <v>1241</v>
      </c>
      <c r="C773" s="86">
        <v>772</v>
      </c>
      <c r="D773" s="86" t="s">
        <v>9597</v>
      </c>
      <c r="E773" s="86" t="s">
        <v>2756</v>
      </c>
      <c r="F773" s="86" t="s">
        <v>205</v>
      </c>
      <c r="G773" s="86">
        <v>50</v>
      </c>
      <c r="H773" s="86" t="s">
        <v>7404</v>
      </c>
      <c r="I773" s="86">
        <v>50</v>
      </c>
      <c r="J773" s="86" t="s">
        <v>2743</v>
      </c>
      <c r="K773" s="8">
        <v>542283</v>
      </c>
      <c r="M773" s="167" t="str">
        <f t="shared" si="0"/>
        <v>OK</v>
      </c>
    </row>
    <row r="774" spans="2:13" ht="12.75" hidden="1">
      <c r="B774" s="86">
        <v>1241</v>
      </c>
      <c r="C774" s="86">
        <v>773</v>
      </c>
      <c r="D774" s="86" t="s">
        <v>9597</v>
      </c>
      <c r="E774" s="86" t="s">
        <v>9396</v>
      </c>
      <c r="F774" s="86" t="s">
        <v>205</v>
      </c>
      <c r="G774" s="86">
        <v>50</v>
      </c>
      <c r="H774" s="86" t="s">
        <v>7404</v>
      </c>
      <c r="I774" s="86">
        <v>50</v>
      </c>
      <c r="J774" s="86" t="s">
        <v>2743</v>
      </c>
      <c r="K774" s="8">
        <v>542282</v>
      </c>
      <c r="L774" s="8" t="s">
        <v>3282</v>
      </c>
      <c r="M774" s="167" t="str">
        <f t="shared" si="0"/>
        <v>OK</v>
      </c>
    </row>
    <row r="775" spans="2:13" ht="12.75" hidden="1">
      <c r="B775" s="86">
        <v>1241</v>
      </c>
      <c r="C775" s="86">
        <v>774</v>
      </c>
      <c r="D775" s="86" t="s">
        <v>10151</v>
      </c>
      <c r="E775" s="86" t="s">
        <v>2723</v>
      </c>
      <c r="F775" s="86" t="s">
        <v>216</v>
      </c>
      <c r="G775" s="86">
        <v>50</v>
      </c>
      <c r="H775" s="86" t="s">
        <v>7404</v>
      </c>
      <c r="I775" s="86">
        <v>50</v>
      </c>
      <c r="J775" s="86" t="s">
        <v>9976</v>
      </c>
      <c r="K775" s="8">
        <v>650904</v>
      </c>
      <c r="M775" s="167" t="str">
        <f t="shared" si="0"/>
        <v>OK</v>
      </c>
    </row>
    <row r="776" spans="2:13" ht="12.75" hidden="1">
      <c r="B776" s="86">
        <v>1241</v>
      </c>
      <c r="C776" s="86">
        <v>775</v>
      </c>
      <c r="D776" s="86" t="s">
        <v>10151</v>
      </c>
      <c r="E776" s="86" t="s">
        <v>2730</v>
      </c>
      <c r="F776" s="86" t="s">
        <v>216</v>
      </c>
      <c r="G776" s="86">
        <v>50</v>
      </c>
      <c r="H776" s="86" t="s">
        <v>7404</v>
      </c>
      <c r="I776" s="86">
        <v>50</v>
      </c>
      <c r="J776" s="86" t="s">
        <v>9976</v>
      </c>
      <c r="K776" s="8">
        <v>650903</v>
      </c>
      <c r="M776" s="167" t="str">
        <f t="shared" si="0"/>
        <v>OK</v>
      </c>
    </row>
    <row r="777" spans="2:13" ht="12.75">
      <c r="B777" s="86">
        <v>1241</v>
      </c>
      <c r="C777" s="86">
        <v>776</v>
      </c>
      <c r="D777" s="86" t="s">
        <v>10208</v>
      </c>
      <c r="E777" s="86" t="s">
        <v>9419</v>
      </c>
      <c r="F777" s="86" t="s">
        <v>9420</v>
      </c>
      <c r="G777" s="86">
        <v>50</v>
      </c>
      <c r="H777" s="86" t="s">
        <v>7404</v>
      </c>
      <c r="I777" s="86">
        <v>50</v>
      </c>
      <c r="J777" s="86" t="s">
        <v>2817</v>
      </c>
      <c r="K777" s="8">
        <v>0</v>
      </c>
      <c r="L777" s="8" t="s">
        <v>10292</v>
      </c>
      <c r="M777" s="167" t="str">
        <f t="shared" si="0"/>
        <v>REPETIDO</v>
      </c>
    </row>
    <row r="778" spans="2:13" ht="12.75" hidden="1">
      <c r="B778" s="86">
        <v>1241</v>
      </c>
      <c r="C778" s="86">
        <v>777</v>
      </c>
      <c r="D778" s="86" t="s">
        <v>10105</v>
      </c>
      <c r="E778" s="86" t="s">
        <v>2507</v>
      </c>
      <c r="F778" s="86" t="s">
        <v>2508</v>
      </c>
      <c r="G778" s="86">
        <v>50</v>
      </c>
      <c r="H778" s="86" t="s">
        <v>7404</v>
      </c>
      <c r="I778" s="86">
        <v>50</v>
      </c>
      <c r="J778" s="86" t="s">
        <v>10293</v>
      </c>
      <c r="K778" s="8" t="s">
        <v>10294</v>
      </c>
      <c r="L778" s="8" t="s">
        <v>10101</v>
      </c>
      <c r="M778" s="167" t="str">
        <f t="shared" si="0"/>
        <v>OK</v>
      </c>
    </row>
    <row r="779" spans="2:13" ht="12.75" hidden="1">
      <c r="B779" s="86">
        <v>1241</v>
      </c>
      <c r="C779" s="86">
        <v>778</v>
      </c>
      <c r="D779" s="86" t="s">
        <v>9586</v>
      </c>
      <c r="E779" s="86" t="s">
        <v>873</v>
      </c>
      <c r="F779" s="86" t="s">
        <v>35</v>
      </c>
      <c r="G779" s="86">
        <v>50</v>
      </c>
      <c r="H779" s="86" t="s">
        <v>7404</v>
      </c>
      <c r="I779" s="86">
        <v>50</v>
      </c>
      <c r="J779" s="86" t="s">
        <v>528</v>
      </c>
      <c r="K779" s="8">
        <v>564848</v>
      </c>
      <c r="L779" s="8"/>
      <c r="M779" s="167" t="str">
        <f t="shared" si="0"/>
        <v>OK</v>
      </c>
    </row>
    <row r="780" spans="2:13" ht="12.75" hidden="1">
      <c r="B780" s="86">
        <v>1241</v>
      </c>
      <c r="C780" s="86">
        <v>779</v>
      </c>
      <c r="D780" s="86" t="s">
        <v>9603</v>
      </c>
      <c r="E780" s="86" t="s">
        <v>2289</v>
      </c>
      <c r="F780" s="86" t="s">
        <v>35</v>
      </c>
      <c r="G780" s="86">
        <v>50</v>
      </c>
      <c r="H780" s="86" t="s">
        <v>7404</v>
      </c>
      <c r="I780" s="86">
        <v>50</v>
      </c>
      <c r="J780" s="86" t="s">
        <v>10206</v>
      </c>
      <c r="K780" s="8">
        <v>564545</v>
      </c>
      <c r="M780" s="167" t="str">
        <f t="shared" si="0"/>
        <v>OK</v>
      </c>
    </row>
    <row r="781" spans="2:13" ht="12.75" hidden="1">
      <c r="B781" s="86">
        <v>1241</v>
      </c>
      <c r="C781" s="86">
        <v>780</v>
      </c>
      <c r="D781" s="86" t="s">
        <v>9576</v>
      </c>
      <c r="E781" s="86" t="s">
        <v>2681</v>
      </c>
      <c r="F781" s="86" t="s">
        <v>35</v>
      </c>
      <c r="G781" s="86">
        <v>50</v>
      </c>
      <c r="H781" s="86" t="s">
        <v>7404</v>
      </c>
      <c r="I781" s="86">
        <v>50</v>
      </c>
      <c r="J781" s="86" t="s">
        <v>927</v>
      </c>
      <c r="K781" s="8">
        <v>649653</v>
      </c>
      <c r="M781" s="167" t="str">
        <f t="shared" si="0"/>
        <v>OK</v>
      </c>
    </row>
    <row r="782" spans="2:13" ht="12.75" hidden="1">
      <c r="B782" s="86">
        <v>1246</v>
      </c>
      <c r="C782" s="86">
        <v>781</v>
      </c>
      <c r="D782" s="86" t="s">
        <v>9568</v>
      </c>
      <c r="E782" s="86" t="s">
        <v>2848</v>
      </c>
      <c r="F782" s="86" t="s">
        <v>827</v>
      </c>
      <c r="G782" s="86">
        <v>50</v>
      </c>
      <c r="H782" s="86" t="s">
        <v>7404</v>
      </c>
      <c r="I782" s="86">
        <v>50</v>
      </c>
      <c r="J782" s="86" t="s">
        <v>248</v>
      </c>
      <c r="K782" s="8">
        <v>649411</v>
      </c>
      <c r="M782" s="167" t="str">
        <f t="shared" si="0"/>
        <v>OK</v>
      </c>
    </row>
    <row r="783" spans="2:13" ht="12.75" hidden="1">
      <c r="B783" s="86">
        <v>1241</v>
      </c>
      <c r="C783" s="86">
        <v>782</v>
      </c>
      <c r="D783" s="86" t="s">
        <v>9586</v>
      </c>
      <c r="E783" s="86" t="s">
        <v>755</v>
      </c>
      <c r="F783" s="86" t="s">
        <v>35</v>
      </c>
      <c r="G783" s="86">
        <v>50</v>
      </c>
      <c r="H783" s="86" t="s">
        <v>7404</v>
      </c>
      <c r="I783" s="86">
        <v>50</v>
      </c>
      <c r="J783" s="86" t="s">
        <v>528</v>
      </c>
      <c r="K783" s="8">
        <v>649532</v>
      </c>
      <c r="L783" s="8"/>
      <c r="M783" s="167" t="str">
        <f t="shared" si="0"/>
        <v>OK</v>
      </c>
    </row>
    <row r="784" spans="2:13" ht="12.75" hidden="1">
      <c r="B784" s="86">
        <v>1241</v>
      </c>
      <c r="C784" s="86">
        <v>783</v>
      </c>
      <c r="D784" s="86" t="s">
        <v>10097</v>
      </c>
      <c r="E784" s="86" t="s">
        <v>2296</v>
      </c>
      <c r="F784" s="86" t="s">
        <v>35</v>
      </c>
      <c r="G784" s="86">
        <v>50</v>
      </c>
      <c r="H784" s="86" t="s">
        <v>7404</v>
      </c>
      <c r="I784" s="86">
        <v>50</v>
      </c>
      <c r="J784" s="86" t="s">
        <v>10295</v>
      </c>
      <c r="K784" s="8">
        <v>651123</v>
      </c>
      <c r="L784" s="8"/>
      <c r="M784" s="167" t="str">
        <f t="shared" si="0"/>
        <v>OK</v>
      </c>
    </row>
    <row r="785" spans="2:13" ht="12.75" hidden="1">
      <c r="B785" s="86">
        <v>1241</v>
      </c>
      <c r="C785" s="86">
        <v>784</v>
      </c>
      <c r="D785" s="86" t="s">
        <v>9586</v>
      </c>
      <c r="E785" s="86" t="s">
        <v>2326</v>
      </c>
      <c r="F785" s="86" t="s">
        <v>35</v>
      </c>
      <c r="G785" s="86">
        <v>50</v>
      </c>
      <c r="H785" s="86" t="s">
        <v>7404</v>
      </c>
      <c r="I785" s="86">
        <v>50</v>
      </c>
      <c r="J785" s="86" t="s">
        <v>10296</v>
      </c>
      <c r="K785" s="8">
        <v>649660</v>
      </c>
      <c r="M785" s="167" t="str">
        <f t="shared" si="0"/>
        <v>OK</v>
      </c>
    </row>
    <row r="786" spans="2:13" ht="12.75" hidden="1">
      <c r="B786" s="86">
        <v>1241</v>
      </c>
      <c r="C786" s="86">
        <v>785</v>
      </c>
      <c r="D786" s="86" t="s">
        <v>9580</v>
      </c>
      <c r="E786" s="86" t="s">
        <v>2378</v>
      </c>
      <c r="F786" s="86" t="s">
        <v>297</v>
      </c>
      <c r="G786" s="86">
        <v>50</v>
      </c>
      <c r="H786" s="86" t="s">
        <v>7404</v>
      </c>
      <c r="I786" s="86">
        <v>50</v>
      </c>
      <c r="J786" s="86" t="s">
        <v>9581</v>
      </c>
      <c r="K786" s="8">
        <v>649650</v>
      </c>
      <c r="M786" s="167" t="str">
        <f t="shared" si="0"/>
        <v>OK</v>
      </c>
    </row>
    <row r="787" spans="2:13" ht="12.75" hidden="1">
      <c r="B787" s="86">
        <v>1241</v>
      </c>
      <c r="C787" s="86">
        <v>786</v>
      </c>
      <c r="D787" s="86" t="s">
        <v>10297</v>
      </c>
      <c r="E787" s="86" t="s">
        <v>2738</v>
      </c>
      <c r="F787" s="86" t="s">
        <v>205</v>
      </c>
      <c r="G787" s="86">
        <v>50</v>
      </c>
      <c r="H787" s="86" t="s">
        <v>7404</v>
      </c>
      <c r="I787" s="86">
        <v>50</v>
      </c>
      <c r="J787" s="86" t="s">
        <v>2734</v>
      </c>
      <c r="K787" s="8">
        <v>530787</v>
      </c>
      <c r="M787" s="167" t="str">
        <f t="shared" si="0"/>
        <v>OK</v>
      </c>
    </row>
    <row r="788" spans="2:13" ht="12.75" hidden="1">
      <c r="B788" s="86">
        <v>1241</v>
      </c>
      <c r="C788" s="86">
        <v>787</v>
      </c>
      <c r="D788" s="86" t="s">
        <v>9586</v>
      </c>
      <c r="E788" s="86" t="s">
        <v>1651</v>
      </c>
      <c r="F788" s="86" t="s">
        <v>35</v>
      </c>
      <c r="G788" s="86">
        <v>52</v>
      </c>
      <c r="H788" s="86" t="s">
        <v>9609</v>
      </c>
      <c r="I788" s="86">
        <v>52</v>
      </c>
      <c r="J788" s="86" t="s">
        <v>278</v>
      </c>
      <c r="K788" s="8" t="s">
        <v>1650</v>
      </c>
      <c r="L788" s="86" t="s">
        <v>10101</v>
      </c>
      <c r="M788" s="167" t="str">
        <f t="shared" si="0"/>
        <v>OK</v>
      </c>
    </row>
    <row r="789" spans="2:13" ht="12.75">
      <c r="B789" s="86">
        <v>1241</v>
      </c>
      <c r="C789" s="86">
        <v>788</v>
      </c>
      <c r="D789" s="86" t="s">
        <v>9576</v>
      </c>
      <c r="E789" s="86" t="s">
        <v>9347</v>
      </c>
      <c r="F789" s="86" t="s">
        <v>35</v>
      </c>
      <c r="G789" s="86">
        <v>44</v>
      </c>
      <c r="H789" s="86" t="s">
        <v>3450</v>
      </c>
      <c r="I789" s="86">
        <v>44</v>
      </c>
      <c r="J789" s="86" t="s">
        <v>9600</v>
      </c>
      <c r="K789" s="8" t="s">
        <v>3282</v>
      </c>
      <c r="L789" s="8" t="s">
        <v>9577</v>
      </c>
      <c r="M789" s="167" t="str">
        <f t="shared" si="0"/>
        <v>REPETIDO</v>
      </c>
    </row>
    <row r="790" spans="2:13" ht="12.75" hidden="1">
      <c r="B790" s="86">
        <v>1241</v>
      </c>
      <c r="C790" s="86">
        <v>789</v>
      </c>
      <c r="D790" s="86" t="s">
        <v>9586</v>
      </c>
      <c r="E790" s="86" t="s">
        <v>98</v>
      </c>
      <c r="F790" s="86" t="s">
        <v>35</v>
      </c>
      <c r="G790" s="86">
        <v>25</v>
      </c>
      <c r="H790" s="86" t="s">
        <v>9584</v>
      </c>
      <c r="I790" s="86">
        <v>25</v>
      </c>
      <c r="J790" s="86" t="s">
        <v>528</v>
      </c>
      <c r="K790" s="8">
        <v>564835</v>
      </c>
      <c r="L790" s="8"/>
      <c r="M790" s="167" t="str">
        <f t="shared" si="0"/>
        <v>OK</v>
      </c>
    </row>
    <row r="791" spans="2:13" ht="12.75" hidden="1">
      <c r="B791" s="86">
        <v>1241</v>
      </c>
      <c r="C791" s="86">
        <v>790</v>
      </c>
      <c r="D791" s="86" t="s">
        <v>9586</v>
      </c>
      <c r="E791" s="86" t="s">
        <v>312</v>
      </c>
      <c r="F791" s="86" t="s">
        <v>35</v>
      </c>
      <c r="G791" s="86">
        <v>25</v>
      </c>
      <c r="H791" s="86" t="s">
        <v>9584</v>
      </c>
      <c r="I791" s="86">
        <v>25</v>
      </c>
      <c r="J791" s="86" t="s">
        <v>528</v>
      </c>
      <c r="K791" s="8">
        <v>580345</v>
      </c>
      <c r="L791" s="8"/>
      <c r="M791" s="167" t="str">
        <f t="shared" si="0"/>
        <v>OK</v>
      </c>
    </row>
    <row r="792" spans="2:13" ht="12.75">
      <c r="B792" s="86">
        <v>1241</v>
      </c>
      <c r="C792" s="86">
        <v>791</v>
      </c>
      <c r="D792" s="86" t="s">
        <v>9586</v>
      </c>
      <c r="E792" s="86" t="s">
        <v>9331</v>
      </c>
      <c r="F792" s="86" t="s">
        <v>35</v>
      </c>
      <c r="G792" s="86">
        <v>25</v>
      </c>
      <c r="H792" s="86" t="s">
        <v>9584</v>
      </c>
      <c r="I792" s="86">
        <v>25</v>
      </c>
      <c r="J792" s="86" t="s">
        <v>9602</v>
      </c>
      <c r="K792" s="8" t="s">
        <v>3282</v>
      </c>
      <c r="L792" s="8" t="s">
        <v>9577</v>
      </c>
      <c r="M792" s="167" t="str">
        <f t="shared" si="0"/>
        <v>REPETIDO</v>
      </c>
    </row>
    <row r="793" spans="2:13" ht="12.75" hidden="1">
      <c r="B793" s="86">
        <v>1241</v>
      </c>
      <c r="C793" s="86">
        <v>792</v>
      </c>
      <c r="D793" s="86" t="s">
        <v>9586</v>
      </c>
      <c r="E793" s="86" t="s">
        <v>547</v>
      </c>
      <c r="F793" s="86" t="s">
        <v>35</v>
      </c>
      <c r="G793" s="86">
        <v>25</v>
      </c>
      <c r="H793" s="86" t="s">
        <v>9584</v>
      </c>
      <c r="I793" s="86">
        <v>25</v>
      </c>
      <c r="J793" s="86" t="s">
        <v>10241</v>
      </c>
      <c r="K793" s="8">
        <v>651071</v>
      </c>
      <c r="L793" s="8"/>
      <c r="M793" s="167" t="str">
        <f t="shared" si="0"/>
        <v>OK</v>
      </c>
    </row>
    <row r="794" spans="2:13" ht="12.75" hidden="1">
      <c r="B794" s="86">
        <v>1241</v>
      </c>
      <c r="C794" s="86">
        <v>793</v>
      </c>
      <c r="D794" s="86" t="s">
        <v>10113</v>
      </c>
      <c r="E794" s="86" t="s">
        <v>5762</v>
      </c>
      <c r="F794" s="86" t="s">
        <v>35</v>
      </c>
      <c r="G794" s="86">
        <v>25</v>
      </c>
      <c r="H794" s="86" t="s">
        <v>9584</v>
      </c>
      <c r="I794" s="86">
        <v>25</v>
      </c>
      <c r="J794" s="86" t="s">
        <v>511</v>
      </c>
      <c r="K794" s="8">
        <v>516228</v>
      </c>
      <c r="M794" s="167" t="str">
        <f t="shared" si="0"/>
        <v>OK</v>
      </c>
    </row>
    <row r="795" spans="2:13" ht="12.75" hidden="1">
      <c r="B795" s="86">
        <v>1241</v>
      </c>
      <c r="C795" s="86">
        <v>794</v>
      </c>
      <c r="D795" s="86" t="s">
        <v>10113</v>
      </c>
      <c r="E795" s="86" t="s">
        <v>5854</v>
      </c>
      <c r="F795" s="86" t="s">
        <v>35</v>
      </c>
      <c r="G795" s="86">
        <v>25</v>
      </c>
      <c r="H795" s="86" t="s">
        <v>9584</v>
      </c>
      <c r="I795" s="86">
        <v>25</v>
      </c>
      <c r="J795" s="86" t="s">
        <v>511</v>
      </c>
      <c r="K795" s="8">
        <v>564587</v>
      </c>
      <c r="M795" s="167" t="str">
        <f t="shared" si="0"/>
        <v>OK</v>
      </c>
    </row>
    <row r="796" spans="2:13" ht="12.75" hidden="1">
      <c r="B796" s="86">
        <v>1241</v>
      </c>
      <c r="C796" s="86">
        <v>795</v>
      </c>
      <c r="D796" s="86" t="s">
        <v>9586</v>
      </c>
      <c r="E796" s="86" t="s">
        <v>5737</v>
      </c>
      <c r="F796" s="86" t="s">
        <v>35</v>
      </c>
      <c r="G796" s="86">
        <v>25</v>
      </c>
      <c r="H796" s="86" t="s">
        <v>9584</v>
      </c>
      <c r="I796" s="86">
        <v>25</v>
      </c>
      <c r="J796" s="86" t="s">
        <v>10245</v>
      </c>
      <c r="K796" s="8">
        <v>564779</v>
      </c>
      <c r="M796" s="167" t="str">
        <f t="shared" si="0"/>
        <v>OK</v>
      </c>
    </row>
    <row r="797" spans="2:13" ht="12.75" hidden="1">
      <c r="B797" s="86">
        <v>1241</v>
      </c>
      <c r="C797" s="86">
        <v>796</v>
      </c>
      <c r="D797" s="86" t="s">
        <v>9586</v>
      </c>
      <c r="E797" s="86" t="s">
        <v>490</v>
      </c>
      <c r="F797" s="86" t="s">
        <v>35</v>
      </c>
      <c r="G797" s="86">
        <v>25</v>
      </c>
      <c r="H797" s="86" t="s">
        <v>9584</v>
      </c>
      <c r="I797" s="86">
        <v>25</v>
      </c>
      <c r="J797" s="86" t="s">
        <v>10298</v>
      </c>
      <c r="K797" s="8">
        <v>580346</v>
      </c>
      <c r="M797" s="167" t="str">
        <f t="shared" si="0"/>
        <v>OK</v>
      </c>
    </row>
    <row r="798" spans="2:13" ht="12.75" hidden="1">
      <c r="B798" s="86">
        <v>1241</v>
      </c>
      <c r="C798" s="86">
        <v>797</v>
      </c>
      <c r="D798" s="86" t="s">
        <v>10168</v>
      </c>
      <c r="E798" s="86" t="s">
        <v>855</v>
      </c>
      <c r="F798" s="86" t="s">
        <v>35</v>
      </c>
      <c r="G798" s="86">
        <v>25</v>
      </c>
      <c r="H798" s="86" t="s">
        <v>9584</v>
      </c>
      <c r="I798" s="86">
        <v>25</v>
      </c>
      <c r="J798" s="86" t="s">
        <v>851</v>
      </c>
      <c r="K798" s="8">
        <v>565655</v>
      </c>
      <c r="M798" s="167" t="str">
        <f t="shared" si="0"/>
        <v>OK</v>
      </c>
    </row>
    <row r="799" spans="2:13" ht="15.75" hidden="1" customHeight="1">
      <c r="B799" s="86">
        <v>1241</v>
      </c>
      <c r="C799" s="86">
        <v>798</v>
      </c>
      <c r="D799" s="86" t="s">
        <v>10100</v>
      </c>
      <c r="E799" s="86" t="s">
        <v>1070</v>
      </c>
      <c r="F799" s="86" t="s">
        <v>35</v>
      </c>
      <c r="G799" s="86">
        <v>30</v>
      </c>
      <c r="H799" s="86" t="s">
        <v>10212</v>
      </c>
      <c r="I799" s="86">
        <v>21</v>
      </c>
      <c r="J799" s="86" t="s">
        <v>10299</v>
      </c>
      <c r="K799" s="8">
        <v>651097</v>
      </c>
      <c r="M799" s="167" t="str">
        <f t="shared" si="0"/>
        <v>OK</v>
      </c>
    </row>
    <row r="800" spans="2:13" ht="12.75">
      <c r="B800" s="86">
        <v>1241</v>
      </c>
      <c r="C800" s="86">
        <v>799</v>
      </c>
      <c r="D800" s="86" t="s">
        <v>9603</v>
      </c>
      <c r="E800" s="86" t="s">
        <v>9338</v>
      </c>
      <c r="F800" s="86" t="s">
        <v>35</v>
      </c>
      <c r="G800" s="86">
        <v>50</v>
      </c>
      <c r="H800" s="86" t="s">
        <v>7404</v>
      </c>
      <c r="I800" s="86">
        <v>50</v>
      </c>
      <c r="J800" s="86" t="s">
        <v>9604</v>
      </c>
      <c r="K800" s="8">
        <v>0</v>
      </c>
      <c r="L800" s="8" t="s">
        <v>9577</v>
      </c>
      <c r="M800" s="167" t="str">
        <f t="shared" si="0"/>
        <v>REPETIDO</v>
      </c>
    </row>
    <row r="801" spans="2:13" ht="12.75" hidden="1">
      <c r="B801" s="86">
        <v>1241</v>
      </c>
      <c r="C801" s="86">
        <v>800</v>
      </c>
      <c r="D801" s="86" t="s">
        <v>9580</v>
      </c>
      <c r="E801" s="86" t="s">
        <v>915</v>
      </c>
      <c r="F801" s="86" t="s">
        <v>205</v>
      </c>
      <c r="G801" s="86">
        <v>50</v>
      </c>
      <c r="H801" s="86" t="s">
        <v>10212</v>
      </c>
      <c r="I801" s="86">
        <v>21</v>
      </c>
      <c r="J801" s="86" t="s">
        <v>9581</v>
      </c>
      <c r="K801" s="8">
        <v>649466</v>
      </c>
      <c r="M801" s="167" t="str">
        <f t="shared" si="0"/>
        <v>OK</v>
      </c>
    </row>
    <row r="802" spans="2:13" ht="12.75">
      <c r="B802" s="86">
        <v>1241</v>
      </c>
      <c r="C802" s="86">
        <v>801</v>
      </c>
      <c r="D802" s="86" t="s">
        <v>9603</v>
      </c>
      <c r="E802" s="86" t="s">
        <v>9336</v>
      </c>
      <c r="F802" s="86" t="s">
        <v>35</v>
      </c>
      <c r="G802" s="86">
        <v>50</v>
      </c>
      <c r="H802" s="86" t="s">
        <v>7404</v>
      </c>
      <c r="I802" s="86">
        <v>50</v>
      </c>
      <c r="J802" s="86" t="s">
        <v>9604</v>
      </c>
      <c r="K802" s="8">
        <v>0</v>
      </c>
      <c r="L802" s="8" t="s">
        <v>9577</v>
      </c>
      <c r="M802" s="167" t="str">
        <f t="shared" si="0"/>
        <v>REPETIDO</v>
      </c>
    </row>
    <row r="803" spans="2:13" ht="12.75" hidden="1">
      <c r="B803" s="86">
        <v>1241</v>
      </c>
      <c r="C803" s="86">
        <v>802</v>
      </c>
      <c r="D803" s="86" t="s">
        <v>9580</v>
      </c>
      <c r="E803" s="86" t="s">
        <v>4674</v>
      </c>
      <c r="F803" s="86" t="s">
        <v>205</v>
      </c>
      <c r="G803" s="86">
        <v>20</v>
      </c>
      <c r="H803" s="86" t="s">
        <v>8419</v>
      </c>
      <c r="I803" s="86">
        <v>20</v>
      </c>
      <c r="J803" s="86" t="s">
        <v>9581</v>
      </c>
      <c r="K803" s="8">
        <v>539108</v>
      </c>
      <c r="M803" s="167" t="str">
        <f t="shared" si="0"/>
        <v>OK</v>
      </c>
    </row>
    <row r="804" spans="2:13" ht="12.75" hidden="1">
      <c r="B804" s="86">
        <v>1241</v>
      </c>
      <c r="C804" s="86">
        <v>803</v>
      </c>
      <c r="D804" s="86" t="s">
        <v>9580</v>
      </c>
      <c r="E804" s="86" t="s">
        <v>710</v>
      </c>
      <c r="F804" s="86" t="s">
        <v>703</v>
      </c>
      <c r="G804" s="86">
        <v>30</v>
      </c>
      <c r="H804" s="86" t="s">
        <v>9587</v>
      </c>
      <c r="I804" s="86">
        <v>30</v>
      </c>
      <c r="J804" s="86" t="s">
        <v>9581</v>
      </c>
      <c r="K804" s="8">
        <v>651086</v>
      </c>
      <c r="M804" s="167" t="str">
        <f t="shared" si="0"/>
        <v>OK</v>
      </c>
    </row>
    <row r="805" spans="2:13" ht="12.75" hidden="1">
      <c r="B805" s="86">
        <v>1241</v>
      </c>
      <c r="C805" s="86">
        <v>804</v>
      </c>
      <c r="D805" s="86" t="s">
        <v>10136</v>
      </c>
      <c r="E805" s="86" t="s">
        <v>6639</v>
      </c>
      <c r="F805" s="86" t="s">
        <v>5597</v>
      </c>
      <c r="G805" s="86">
        <v>26</v>
      </c>
      <c r="H805" s="86" t="s">
        <v>9566</v>
      </c>
      <c r="I805" s="86">
        <v>26</v>
      </c>
      <c r="J805" s="86" t="s">
        <v>387</v>
      </c>
      <c r="K805" s="8">
        <v>649406</v>
      </c>
      <c r="M805" s="167" t="str">
        <f t="shared" si="0"/>
        <v>OK</v>
      </c>
    </row>
    <row r="806" spans="2:13" ht="12.75" hidden="1">
      <c r="B806" s="86">
        <v>1241</v>
      </c>
      <c r="C806" s="86">
        <v>805</v>
      </c>
      <c r="D806" s="86" t="s">
        <v>10136</v>
      </c>
      <c r="E806" s="86" t="s">
        <v>5596</v>
      </c>
      <c r="F806" s="86" t="s">
        <v>5597</v>
      </c>
      <c r="G806" s="86">
        <v>24</v>
      </c>
      <c r="H806" s="86" t="s">
        <v>9572</v>
      </c>
      <c r="I806" s="86">
        <v>24</v>
      </c>
      <c r="J806" s="86" t="s">
        <v>387</v>
      </c>
      <c r="K806" s="8">
        <v>649405</v>
      </c>
      <c r="M806" s="167" t="str">
        <f t="shared" si="0"/>
        <v>OK</v>
      </c>
    </row>
    <row r="807" spans="2:13" ht="12.75" hidden="1">
      <c r="B807" s="86">
        <v>1246</v>
      </c>
      <c r="C807" s="86">
        <v>806</v>
      </c>
      <c r="D807" s="86" t="s">
        <v>9568</v>
      </c>
      <c r="E807" s="86" t="s">
        <v>1369</v>
      </c>
      <c r="F807" s="86" t="s">
        <v>303</v>
      </c>
      <c r="G807" s="86">
        <v>50</v>
      </c>
      <c r="H807" s="86" t="s">
        <v>7404</v>
      </c>
      <c r="I807" s="86">
        <v>50</v>
      </c>
      <c r="J807" s="86" t="s">
        <v>248</v>
      </c>
      <c r="K807" s="8">
        <v>539062</v>
      </c>
      <c r="M807" s="167" t="str">
        <f t="shared" si="0"/>
        <v>OK</v>
      </c>
    </row>
    <row r="808" spans="2:13" ht="12.75" hidden="1">
      <c r="B808" s="86">
        <v>1241</v>
      </c>
      <c r="C808" s="86">
        <v>807</v>
      </c>
      <c r="D808" s="86" t="s">
        <v>9597</v>
      </c>
      <c r="E808" s="86" t="s">
        <v>2780</v>
      </c>
      <c r="F808" s="86" t="s">
        <v>2781</v>
      </c>
      <c r="G808" s="86">
        <v>50</v>
      </c>
      <c r="H808" s="86" t="s">
        <v>7404</v>
      </c>
      <c r="I808" s="86">
        <v>50</v>
      </c>
      <c r="J808" s="86" t="s">
        <v>2776</v>
      </c>
      <c r="K808" s="8">
        <v>649354</v>
      </c>
      <c r="M808" s="167" t="str">
        <f t="shared" si="0"/>
        <v>OK</v>
      </c>
    </row>
    <row r="809" spans="2:13" ht="12.75" hidden="1">
      <c r="B809" s="86">
        <v>1241</v>
      </c>
      <c r="C809" s="86">
        <v>808</v>
      </c>
      <c r="D809" s="86" t="s">
        <v>10297</v>
      </c>
      <c r="E809" s="86" t="s">
        <v>2708</v>
      </c>
      <c r="F809" s="86" t="s">
        <v>827</v>
      </c>
      <c r="G809" s="86">
        <v>50</v>
      </c>
      <c r="H809" s="86" t="s">
        <v>7404</v>
      </c>
      <c r="I809" s="86">
        <v>50</v>
      </c>
      <c r="J809" s="86" t="s">
        <v>10300</v>
      </c>
      <c r="K809" s="8">
        <v>649353</v>
      </c>
      <c r="M809" s="167" t="str">
        <f t="shared" si="0"/>
        <v>OK</v>
      </c>
    </row>
    <row r="810" spans="2:13" ht="12.75" hidden="1">
      <c r="B810" s="86">
        <v>1246</v>
      </c>
      <c r="C810" s="86">
        <v>809</v>
      </c>
      <c r="D810" s="86" t="s">
        <v>9574</v>
      </c>
      <c r="E810" s="86" t="s">
        <v>2673</v>
      </c>
      <c r="F810" s="86" t="s">
        <v>406</v>
      </c>
      <c r="G810" s="86">
        <v>50</v>
      </c>
      <c r="H810" s="86" t="s">
        <v>7404</v>
      </c>
      <c r="I810" s="86">
        <v>50</v>
      </c>
      <c r="J810" s="86" t="s">
        <v>2669</v>
      </c>
      <c r="K810" s="8">
        <v>649359</v>
      </c>
      <c r="M810" s="167" t="str">
        <f t="shared" si="0"/>
        <v>OK</v>
      </c>
    </row>
    <row r="811" spans="2:13" ht="12.75" hidden="1">
      <c r="B811" s="86">
        <v>1241</v>
      </c>
      <c r="C811" s="86">
        <v>810</v>
      </c>
      <c r="D811" s="86" t="s">
        <v>10113</v>
      </c>
      <c r="E811" s="86" t="s">
        <v>2484</v>
      </c>
      <c r="F811" s="86" t="s">
        <v>35</v>
      </c>
      <c r="G811" s="86">
        <v>50</v>
      </c>
      <c r="H811" s="86" t="s">
        <v>7404</v>
      </c>
      <c r="I811" s="86">
        <v>50</v>
      </c>
      <c r="J811" s="86" t="s">
        <v>2480</v>
      </c>
      <c r="K811" s="8">
        <v>651129</v>
      </c>
      <c r="M811" s="167" t="str">
        <f t="shared" si="0"/>
        <v>OK</v>
      </c>
    </row>
    <row r="812" spans="2:13" ht="12.75" hidden="1">
      <c r="B812" s="86">
        <v>1241</v>
      </c>
      <c r="C812" s="86">
        <v>811</v>
      </c>
      <c r="D812" s="86" t="s">
        <v>10113</v>
      </c>
      <c r="E812" s="86" t="s">
        <v>2477</v>
      </c>
      <c r="F812" s="86" t="s">
        <v>35</v>
      </c>
      <c r="G812" s="86">
        <v>50</v>
      </c>
      <c r="H812" s="86" t="s">
        <v>7404</v>
      </c>
      <c r="I812" s="86">
        <v>50</v>
      </c>
      <c r="J812" s="86" t="s">
        <v>10301</v>
      </c>
      <c r="K812" s="8">
        <v>522524</v>
      </c>
      <c r="L812" s="8"/>
      <c r="M812" s="167" t="str">
        <f t="shared" si="0"/>
        <v>OK</v>
      </c>
    </row>
    <row r="813" spans="2:13" ht="12.75">
      <c r="B813" s="86">
        <v>1246</v>
      </c>
      <c r="C813" s="86">
        <v>812</v>
      </c>
      <c r="D813" s="86" t="s">
        <v>9568</v>
      </c>
      <c r="E813" s="86" t="s">
        <v>9535</v>
      </c>
      <c r="F813" s="86" t="s">
        <v>827</v>
      </c>
      <c r="G813" s="86">
        <v>50</v>
      </c>
      <c r="H813" s="86" t="s">
        <v>7404</v>
      </c>
      <c r="I813" s="86">
        <v>50</v>
      </c>
      <c r="J813" s="86" t="s">
        <v>248</v>
      </c>
      <c r="K813" s="8">
        <v>0</v>
      </c>
      <c r="L813" s="8" t="s">
        <v>9577</v>
      </c>
      <c r="M813" s="167" t="str">
        <f t="shared" si="0"/>
        <v>REPETIDO</v>
      </c>
    </row>
    <row r="814" spans="2:13" ht="12.75">
      <c r="B814" s="86">
        <v>1241</v>
      </c>
      <c r="C814" s="86">
        <v>813</v>
      </c>
      <c r="D814" s="86" t="s">
        <v>9569</v>
      </c>
      <c r="E814" s="86" t="s">
        <v>9399</v>
      </c>
      <c r="F814" s="86" t="s">
        <v>157</v>
      </c>
      <c r="G814" s="86">
        <v>50</v>
      </c>
      <c r="H814" s="86" t="s">
        <v>7404</v>
      </c>
      <c r="I814" s="86">
        <v>50</v>
      </c>
      <c r="J814" s="86" t="s">
        <v>1394</v>
      </c>
      <c r="K814" s="8">
        <v>0</v>
      </c>
      <c r="L814" s="8" t="s">
        <v>9577</v>
      </c>
      <c r="M814" s="167" t="str">
        <f t="shared" si="0"/>
        <v>REPETIDO</v>
      </c>
    </row>
    <row r="815" spans="2:13" ht="12.75" hidden="1">
      <c r="B815" s="86">
        <v>1241</v>
      </c>
      <c r="C815" s="86">
        <v>814</v>
      </c>
      <c r="D815" s="86" t="s">
        <v>9580</v>
      </c>
      <c r="E815" s="86" t="s">
        <v>2393</v>
      </c>
      <c r="F815" s="86" t="s">
        <v>297</v>
      </c>
      <c r="G815" s="86">
        <v>50</v>
      </c>
      <c r="H815" s="86" t="s">
        <v>7404</v>
      </c>
      <c r="I815" s="86">
        <v>50</v>
      </c>
      <c r="J815" s="86" t="s">
        <v>9581</v>
      </c>
      <c r="K815" s="8">
        <v>539122</v>
      </c>
      <c r="M815" s="167" t="str">
        <f t="shared" si="0"/>
        <v>OK</v>
      </c>
    </row>
    <row r="816" spans="2:13" ht="12.75" hidden="1">
      <c r="B816" s="86">
        <v>1241</v>
      </c>
      <c r="C816" s="86">
        <v>815</v>
      </c>
      <c r="D816" s="86" t="s">
        <v>10297</v>
      </c>
      <c r="E816" s="86" t="s">
        <v>2935</v>
      </c>
      <c r="F816" s="86" t="s">
        <v>205</v>
      </c>
      <c r="G816" s="86">
        <v>50</v>
      </c>
      <c r="H816" s="86" t="s">
        <v>7404</v>
      </c>
      <c r="I816" s="86">
        <v>50</v>
      </c>
      <c r="J816" s="86" t="s">
        <v>2734</v>
      </c>
      <c r="K816" s="8">
        <v>651134</v>
      </c>
      <c r="M816" s="167" t="str">
        <f t="shared" si="0"/>
        <v>OK</v>
      </c>
    </row>
    <row r="817" spans="2:13" ht="12.75" hidden="1">
      <c r="B817" s="86">
        <v>1241</v>
      </c>
      <c r="C817" s="86">
        <v>816</v>
      </c>
      <c r="D817" s="86" t="s">
        <v>10113</v>
      </c>
      <c r="E817" s="86" t="s">
        <v>6045</v>
      </c>
      <c r="F817" s="86" t="s">
        <v>35</v>
      </c>
      <c r="G817" s="86">
        <v>25</v>
      </c>
      <c r="H817" s="86" t="s">
        <v>9584</v>
      </c>
      <c r="I817" s="86">
        <v>25</v>
      </c>
      <c r="J817" s="86" t="s">
        <v>2040</v>
      </c>
      <c r="K817" s="8">
        <v>518523</v>
      </c>
      <c r="L817" s="8"/>
      <c r="M817" s="167" t="str">
        <f t="shared" si="0"/>
        <v>OK</v>
      </c>
    </row>
    <row r="818" spans="2:13" ht="12.75" hidden="1">
      <c r="B818" s="86">
        <v>1241</v>
      </c>
      <c r="C818" s="86">
        <v>817</v>
      </c>
      <c r="D818" s="86" t="s">
        <v>10113</v>
      </c>
      <c r="E818" s="86" t="s">
        <v>6009</v>
      </c>
      <c r="F818" s="86" t="s">
        <v>35</v>
      </c>
      <c r="G818" s="86">
        <v>25</v>
      </c>
      <c r="H818" s="86" t="s">
        <v>9584</v>
      </c>
      <c r="I818" s="86">
        <v>25</v>
      </c>
      <c r="J818" s="86" t="s">
        <v>5945</v>
      </c>
      <c r="K818" s="8">
        <v>651075</v>
      </c>
      <c r="L818" s="8"/>
      <c r="M818" s="167" t="str">
        <f t="shared" si="0"/>
        <v>OK</v>
      </c>
    </row>
    <row r="819" spans="2:13" ht="12.75" hidden="1">
      <c r="B819" s="86">
        <v>1241</v>
      </c>
      <c r="C819" s="86">
        <v>818</v>
      </c>
      <c r="D819" s="86" t="s">
        <v>9586</v>
      </c>
      <c r="E819" s="86" t="s">
        <v>865</v>
      </c>
      <c r="F819" s="86" t="s">
        <v>35</v>
      </c>
      <c r="G819" s="86">
        <v>30</v>
      </c>
      <c r="H819" s="86" t="s">
        <v>10212</v>
      </c>
      <c r="I819" s="86">
        <v>21</v>
      </c>
      <c r="J819" s="86" t="s">
        <v>10302</v>
      </c>
      <c r="K819" s="8">
        <v>564787</v>
      </c>
      <c r="M819" s="167" t="str">
        <f t="shared" si="0"/>
        <v>OK</v>
      </c>
    </row>
    <row r="820" spans="2:13" ht="12.75" hidden="1">
      <c r="B820" s="86">
        <v>1241</v>
      </c>
      <c r="C820" s="86">
        <v>819</v>
      </c>
      <c r="D820" s="86" t="s">
        <v>10113</v>
      </c>
      <c r="E820" s="86" t="s">
        <v>6003</v>
      </c>
      <c r="F820" s="86" t="s">
        <v>35</v>
      </c>
      <c r="G820" s="86">
        <v>25</v>
      </c>
      <c r="H820" s="86" t="s">
        <v>9584</v>
      </c>
      <c r="I820" s="86">
        <v>25</v>
      </c>
      <c r="J820" s="86" t="s">
        <v>5945</v>
      </c>
      <c r="K820" s="8">
        <v>651076</v>
      </c>
      <c r="M820" s="167" t="str">
        <f t="shared" si="0"/>
        <v>OK</v>
      </c>
    </row>
    <row r="821" spans="2:13" ht="12.75" hidden="1">
      <c r="B821" s="86">
        <v>1241</v>
      </c>
      <c r="C821" s="86">
        <v>820</v>
      </c>
      <c r="D821" s="86" t="s">
        <v>9603</v>
      </c>
      <c r="E821" s="86" t="s">
        <v>1058</v>
      </c>
      <c r="F821" s="86" t="s">
        <v>35</v>
      </c>
      <c r="G821" s="86">
        <v>30</v>
      </c>
      <c r="H821" s="86" t="s">
        <v>10212</v>
      </c>
      <c r="I821" s="86">
        <v>21</v>
      </c>
      <c r="J821" s="86" t="s">
        <v>10269</v>
      </c>
      <c r="K821" s="8">
        <v>651095</v>
      </c>
      <c r="M821" s="167" t="str">
        <f t="shared" si="0"/>
        <v>OK</v>
      </c>
    </row>
    <row r="822" spans="2:13" ht="12.75" hidden="1">
      <c r="B822" s="86">
        <v>1247</v>
      </c>
      <c r="C822" s="86">
        <v>821</v>
      </c>
      <c r="D822" s="86" t="s">
        <v>10303</v>
      </c>
      <c r="E822" s="86" t="s">
        <v>6105</v>
      </c>
      <c r="F822" s="86" t="s">
        <v>4684</v>
      </c>
      <c r="G822" s="86">
        <v>26</v>
      </c>
      <c r="H822" s="86" t="s">
        <v>9566</v>
      </c>
      <c r="I822" s="86">
        <v>26</v>
      </c>
      <c r="K822" s="8">
        <v>566240</v>
      </c>
      <c r="M822" s="167" t="str">
        <f t="shared" si="0"/>
        <v>OK</v>
      </c>
    </row>
    <row r="823" spans="2:13" ht="12.75">
      <c r="B823" s="86">
        <v>1246</v>
      </c>
      <c r="C823" s="86">
        <v>822</v>
      </c>
      <c r="D823" s="86" t="s">
        <v>9607</v>
      </c>
      <c r="E823" s="86" t="s">
        <v>9528</v>
      </c>
      <c r="F823" s="86" t="s">
        <v>663</v>
      </c>
      <c r="G823" s="86">
        <v>26</v>
      </c>
      <c r="H823" s="86" t="s">
        <v>6684</v>
      </c>
      <c r="I823" s="86">
        <v>33</v>
      </c>
      <c r="K823" s="8">
        <v>0</v>
      </c>
      <c r="L823" s="8" t="s">
        <v>9577</v>
      </c>
      <c r="M823" s="167" t="str">
        <f t="shared" si="0"/>
        <v>REPETIDO</v>
      </c>
    </row>
    <row r="824" spans="2:13" ht="12.75">
      <c r="B824" s="86">
        <v>1246</v>
      </c>
      <c r="C824" s="86">
        <v>823</v>
      </c>
      <c r="D824" s="86" t="s">
        <v>9607</v>
      </c>
      <c r="E824" s="86" t="s">
        <v>9529</v>
      </c>
      <c r="F824" s="86" t="s">
        <v>663</v>
      </c>
      <c r="G824" s="86">
        <v>45</v>
      </c>
      <c r="H824" s="86" t="s">
        <v>5584</v>
      </c>
      <c r="I824" s="86">
        <v>54</v>
      </c>
      <c r="K824" s="8">
        <v>0</v>
      </c>
      <c r="L824" s="8" t="s">
        <v>9577</v>
      </c>
      <c r="M824" s="167" t="str">
        <f t="shared" si="0"/>
        <v>REPETIDO</v>
      </c>
    </row>
    <row r="825" spans="2:13" ht="12.75">
      <c r="B825" s="86">
        <v>1241</v>
      </c>
      <c r="C825" s="86">
        <v>824</v>
      </c>
      <c r="D825" s="86" t="s">
        <v>9569</v>
      </c>
      <c r="E825" s="86" t="s">
        <v>9400</v>
      </c>
      <c r="F825" s="86" t="s">
        <v>205</v>
      </c>
      <c r="G825" s="86">
        <v>50</v>
      </c>
      <c r="H825" s="86" t="s">
        <v>7404</v>
      </c>
      <c r="I825" s="86">
        <v>50</v>
      </c>
      <c r="K825" s="8">
        <v>0</v>
      </c>
      <c r="L825" s="8" t="s">
        <v>10292</v>
      </c>
      <c r="M825" s="167" t="str">
        <f t="shared" si="0"/>
        <v>REPETIDO</v>
      </c>
    </row>
    <row r="826" spans="2:13" ht="12.75">
      <c r="B826" s="86">
        <v>1246</v>
      </c>
      <c r="C826" s="86">
        <v>825</v>
      </c>
      <c r="D826" s="86" t="s">
        <v>9607</v>
      </c>
      <c r="E826" s="86" t="s">
        <v>9530</v>
      </c>
      <c r="F826" s="86" t="s">
        <v>663</v>
      </c>
      <c r="G826" s="86">
        <v>52</v>
      </c>
      <c r="H826" s="86" t="s">
        <v>9609</v>
      </c>
      <c r="I826" s="86">
        <v>52</v>
      </c>
      <c r="K826" s="8">
        <v>0</v>
      </c>
      <c r="L826" s="8" t="s">
        <v>9577</v>
      </c>
      <c r="M826" s="167" t="str">
        <f t="shared" si="0"/>
        <v>REPETIDO</v>
      </c>
    </row>
    <row r="827" spans="2:13" ht="12.75">
      <c r="B827" s="86">
        <v>1246</v>
      </c>
      <c r="C827" s="86">
        <v>826</v>
      </c>
      <c r="D827" s="86" t="s">
        <v>9607</v>
      </c>
      <c r="E827" s="86" t="s">
        <v>9531</v>
      </c>
      <c r="F827" s="86" t="s">
        <v>663</v>
      </c>
      <c r="G827" s="86">
        <v>39</v>
      </c>
      <c r="H827" s="86" t="s">
        <v>4737</v>
      </c>
      <c r="I827" s="86">
        <v>39</v>
      </c>
      <c r="K827" s="8">
        <v>0</v>
      </c>
      <c r="L827" s="8" t="s">
        <v>9577</v>
      </c>
      <c r="M827" s="167" t="str">
        <f t="shared" si="0"/>
        <v>REPETIDO</v>
      </c>
    </row>
    <row r="828" spans="2:13" ht="12.75" hidden="1">
      <c r="B828" s="86">
        <v>1241</v>
      </c>
      <c r="C828" s="86">
        <v>827</v>
      </c>
      <c r="D828" s="86" t="s">
        <v>10136</v>
      </c>
      <c r="E828" s="86" t="s">
        <v>6051</v>
      </c>
      <c r="F828" s="86" t="s">
        <v>35</v>
      </c>
      <c r="G828" s="86">
        <v>25</v>
      </c>
      <c r="H828" s="86" t="s">
        <v>9584</v>
      </c>
      <c r="I828" s="86">
        <v>25</v>
      </c>
      <c r="J828" s="86" t="s">
        <v>10304</v>
      </c>
      <c r="K828" s="8">
        <v>535596</v>
      </c>
      <c r="M828" s="167" t="str">
        <f t="shared" si="0"/>
        <v>OK</v>
      </c>
    </row>
    <row r="829" spans="2:13" ht="12.75" hidden="1">
      <c r="B829" s="86">
        <v>1241</v>
      </c>
      <c r="C829" s="86">
        <v>828</v>
      </c>
      <c r="D829" s="86" t="s">
        <v>10136</v>
      </c>
      <c r="E829" s="86" t="s">
        <v>5917</v>
      </c>
      <c r="F829" s="86" t="s">
        <v>5918</v>
      </c>
      <c r="G829" s="86">
        <v>25</v>
      </c>
      <c r="H829" s="86" t="s">
        <v>9584</v>
      </c>
      <c r="I829" s="86">
        <v>25</v>
      </c>
      <c r="K829" s="8">
        <v>535515</v>
      </c>
      <c r="M829" s="167" t="str">
        <f t="shared" si="0"/>
        <v>OK</v>
      </c>
    </row>
    <row r="830" spans="2:13" ht="12.75" hidden="1">
      <c r="B830" s="86">
        <v>1242</v>
      </c>
      <c r="C830" s="86">
        <v>829</v>
      </c>
      <c r="D830" s="86" t="s">
        <v>10133</v>
      </c>
      <c r="E830" s="86" t="s">
        <v>6343</v>
      </c>
      <c r="F830" s="86" t="s">
        <v>35</v>
      </c>
      <c r="G830" s="86">
        <v>26</v>
      </c>
      <c r="H830" s="86" t="s">
        <v>9566</v>
      </c>
      <c r="I830" s="86">
        <v>26</v>
      </c>
      <c r="K830" s="8" t="s">
        <v>6341</v>
      </c>
      <c r="L830" s="86" t="s">
        <v>10101</v>
      </c>
      <c r="M830" s="167" t="str">
        <f t="shared" si="0"/>
        <v>OK</v>
      </c>
    </row>
    <row r="831" spans="2:13" ht="12.75" hidden="1">
      <c r="B831" s="86">
        <v>1241</v>
      </c>
      <c r="C831" s="86">
        <v>830</v>
      </c>
      <c r="D831" s="86" t="s">
        <v>9612</v>
      </c>
      <c r="E831" s="86" t="s">
        <v>776</v>
      </c>
      <c r="F831" s="86" t="s">
        <v>35</v>
      </c>
      <c r="G831" s="86">
        <v>26</v>
      </c>
      <c r="H831" s="86" t="s">
        <v>9566</v>
      </c>
      <c r="I831" s="86">
        <v>26</v>
      </c>
      <c r="K831" s="8">
        <v>564880</v>
      </c>
      <c r="L831" s="8"/>
      <c r="M831" s="167" t="str">
        <f t="shared" si="0"/>
        <v>OK</v>
      </c>
    </row>
    <row r="832" spans="2:13" ht="12.75" hidden="1">
      <c r="B832" s="86">
        <v>1241</v>
      </c>
      <c r="C832" s="86">
        <v>831</v>
      </c>
      <c r="D832" s="86" t="s">
        <v>9612</v>
      </c>
      <c r="E832" s="86" t="s">
        <v>6646</v>
      </c>
      <c r="F832" s="86" t="s">
        <v>35</v>
      </c>
      <c r="G832" s="86">
        <v>26</v>
      </c>
      <c r="H832" s="86" t="s">
        <v>9566</v>
      </c>
      <c r="I832" s="86">
        <v>26</v>
      </c>
      <c r="J832" s="8" t="s">
        <v>6146</v>
      </c>
      <c r="K832" s="8">
        <v>564731</v>
      </c>
      <c r="L832" s="8"/>
      <c r="M832" s="167" t="str">
        <f t="shared" si="0"/>
        <v>OK</v>
      </c>
    </row>
    <row r="833" spans="2:13" ht="12.75" hidden="1">
      <c r="B833" s="86">
        <v>1241</v>
      </c>
      <c r="C833" s="86">
        <v>832</v>
      </c>
      <c r="D833" s="86" t="s">
        <v>10105</v>
      </c>
      <c r="E833" s="86" t="s">
        <v>5035</v>
      </c>
      <c r="F833" s="86" t="s">
        <v>5036</v>
      </c>
      <c r="G833" s="86">
        <v>24</v>
      </c>
      <c r="H833" s="86" t="s">
        <v>9572</v>
      </c>
      <c r="I833" s="86">
        <v>24</v>
      </c>
      <c r="K833" s="8">
        <v>649410</v>
      </c>
      <c r="M833" s="167" t="str">
        <f t="shared" si="0"/>
        <v>OK</v>
      </c>
    </row>
    <row r="834" spans="2:13" ht="12.75" hidden="1">
      <c r="B834" s="86">
        <v>1241</v>
      </c>
      <c r="C834" s="86">
        <v>833</v>
      </c>
      <c r="D834" s="86" t="s">
        <v>10208</v>
      </c>
      <c r="E834" s="86" t="s">
        <v>5063</v>
      </c>
      <c r="F834" s="86" t="s">
        <v>978</v>
      </c>
      <c r="G834" s="86">
        <v>24</v>
      </c>
      <c r="H834" s="86" t="s">
        <v>9572</v>
      </c>
      <c r="I834" s="86">
        <v>24</v>
      </c>
      <c r="K834" s="8">
        <v>649415</v>
      </c>
      <c r="M834" s="167" t="str">
        <f t="shared" si="0"/>
        <v>OK</v>
      </c>
    </row>
    <row r="835" spans="2:13" ht="12.75" hidden="1">
      <c r="B835" s="86">
        <v>1241</v>
      </c>
      <c r="C835" s="86">
        <v>834</v>
      </c>
      <c r="D835" s="86" t="s">
        <v>10209</v>
      </c>
      <c r="E835" s="86" t="s">
        <v>5729</v>
      </c>
      <c r="F835" s="86" t="s">
        <v>2586</v>
      </c>
      <c r="G835" s="86">
        <v>24</v>
      </c>
      <c r="H835" s="86" t="s">
        <v>9572</v>
      </c>
      <c r="I835" s="86">
        <v>24</v>
      </c>
      <c r="K835" s="8">
        <v>649770</v>
      </c>
      <c r="M835" s="167" t="str">
        <f t="shared" si="0"/>
        <v>OK</v>
      </c>
    </row>
    <row r="836" spans="2:13" ht="12.75" hidden="1">
      <c r="B836" s="86">
        <v>1241</v>
      </c>
      <c r="C836" s="86">
        <v>835</v>
      </c>
      <c r="D836" s="86" t="s">
        <v>9571</v>
      </c>
      <c r="E836" s="86" t="s">
        <v>5009</v>
      </c>
      <c r="F836" s="86" t="s">
        <v>35</v>
      </c>
      <c r="G836" s="86">
        <v>24</v>
      </c>
      <c r="H836" s="86" t="s">
        <v>9572</v>
      </c>
      <c r="I836" s="86">
        <v>24</v>
      </c>
      <c r="J836" s="86" t="s">
        <v>29</v>
      </c>
      <c r="K836" s="86" t="s">
        <v>5013</v>
      </c>
      <c r="L836" s="86" t="s">
        <v>10101</v>
      </c>
      <c r="M836" s="167" t="str">
        <f t="shared" si="0"/>
        <v>OK</v>
      </c>
    </row>
    <row r="837" spans="2:13" ht="12.75" hidden="1">
      <c r="B837" s="86">
        <v>1241</v>
      </c>
      <c r="C837" s="86">
        <v>836</v>
      </c>
      <c r="D837" s="86" t="s">
        <v>10097</v>
      </c>
      <c r="E837" s="86" t="s">
        <v>5021</v>
      </c>
      <c r="F837" s="86" t="s">
        <v>35</v>
      </c>
      <c r="G837" s="86">
        <v>24</v>
      </c>
      <c r="H837" s="86" t="s">
        <v>9572</v>
      </c>
      <c r="I837" s="86">
        <v>24</v>
      </c>
      <c r="J837" s="86" t="s">
        <v>10305</v>
      </c>
      <c r="K837" s="8">
        <v>583683</v>
      </c>
      <c r="M837" s="167" t="str">
        <f t="shared" si="0"/>
        <v>OK</v>
      </c>
    </row>
    <row r="838" spans="2:13" ht="12.75" hidden="1">
      <c r="B838" s="86">
        <v>1241</v>
      </c>
      <c r="C838" s="86">
        <v>837</v>
      </c>
      <c r="D838" s="86" t="s">
        <v>9612</v>
      </c>
      <c r="E838" s="86" t="s">
        <v>3680</v>
      </c>
      <c r="F838" s="86" t="s">
        <v>35</v>
      </c>
      <c r="G838" s="86">
        <v>27</v>
      </c>
      <c r="H838" s="86" t="s">
        <v>10177</v>
      </c>
      <c r="I838" s="86">
        <v>27</v>
      </c>
      <c r="J838" s="86" t="s">
        <v>10306</v>
      </c>
      <c r="K838" s="8">
        <v>584061</v>
      </c>
      <c r="M838" s="167" t="str">
        <f t="shared" si="0"/>
        <v>OK</v>
      </c>
    </row>
    <row r="839" spans="2:13" ht="12.75" hidden="1">
      <c r="B839" s="86">
        <v>1241</v>
      </c>
      <c r="C839" s="86">
        <v>838</v>
      </c>
      <c r="D839" s="86" t="s">
        <v>9612</v>
      </c>
      <c r="E839" s="86" t="s">
        <v>3635</v>
      </c>
      <c r="F839" s="86" t="s">
        <v>35</v>
      </c>
      <c r="G839" s="86">
        <v>27</v>
      </c>
      <c r="H839" s="86" t="s">
        <v>10177</v>
      </c>
      <c r="I839" s="86">
        <v>27</v>
      </c>
      <c r="J839" s="86" t="s">
        <v>3631</v>
      </c>
      <c r="K839" s="8">
        <v>539141</v>
      </c>
      <c r="M839" s="167" t="str">
        <f t="shared" si="0"/>
        <v>OK</v>
      </c>
    </row>
    <row r="840" spans="2:13" ht="12.75" hidden="1">
      <c r="B840" s="86">
        <v>1241</v>
      </c>
      <c r="C840" s="86">
        <v>839</v>
      </c>
      <c r="D840" s="86" t="s">
        <v>9612</v>
      </c>
      <c r="E840" s="86" t="s">
        <v>3659</v>
      </c>
      <c r="F840" s="86" t="s">
        <v>35</v>
      </c>
      <c r="G840" s="86">
        <v>27</v>
      </c>
      <c r="H840" s="86" t="s">
        <v>10177</v>
      </c>
      <c r="I840" s="86">
        <v>27</v>
      </c>
      <c r="J840" s="86" t="s">
        <v>3631</v>
      </c>
      <c r="K840" s="8">
        <v>539140</v>
      </c>
      <c r="M840" s="167" t="str">
        <f t="shared" si="0"/>
        <v>OK</v>
      </c>
    </row>
    <row r="841" spans="2:13" ht="12.75" hidden="1">
      <c r="B841" s="86">
        <v>1241</v>
      </c>
      <c r="C841" s="86">
        <v>840</v>
      </c>
      <c r="D841" s="86" t="s">
        <v>9612</v>
      </c>
      <c r="E841" s="86" t="s">
        <v>3665</v>
      </c>
      <c r="F841" s="86" t="s">
        <v>35</v>
      </c>
      <c r="G841" s="86">
        <v>27</v>
      </c>
      <c r="H841" s="86" t="s">
        <v>10177</v>
      </c>
      <c r="I841" s="86">
        <v>27</v>
      </c>
      <c r="J841" s="86" t="s">
        <v>3285</v>
      </c>
      <c r="K841" s="8">
        <v>649739</v>
      </c>
      <c r="M841" s="167" t="str">
        <f t="shared" si="0"/>
        <v>OK</v>
      </c>
    </row>
    <row r="842" spans="2:13" ht="12.75" hidden="1">
      <c r="B842" s="86">
        <v>1241</v>
      </c>
      <c r="C842" s="86">
        <v>841</v>
      </c>
      <c r="D842" s="86" t="s">
        <v>9612</v>
      </c>
      <c r="E842" s="86" t="s">
        <v>3647</v>
      </c>
      <c r="F842" s="86" t="s">
        <v>35</v>
      </c>
      <c r="G842" s="86">
        <v>27</v>
      </c>
      <c r="H842" s="86" t="s">
        <v>10177</v>
      </c>
      <c r="I842" s="86">
        <v>27</v>
      </c>
      <c r="J842" s="86" t="s">
        <v>3631</v>
      </c>
      <c r="K842" s="8">
        <v>651104</v>
      </c>
      <c r="M842" s="167" t="str">
        <f t="shared" si="0"/>
        <v>OK</v>
      </c>
    </row>
    <row r="843" spans="2:13" ht="12.75" hidden="1">
      <c r="B843" s="86">
        <v>1241</v>
      </c>
      <c r="C843" s="86">
        <v>842</v>
      </c>
      <c r="D843" s="86" t="s">
        <v>10113</v>
      </c>
      <c r="E843" s="86" t="s">
        <v>4187</v>
      </c>
      <c r="F843" s="86" t="s">
        <v>35</v>
      </c>
      <c r="G843" s="86">
        <v>27</v>
      </c>
      <c r="H843" s="86" t="s">
        <v>10177</v>
      </c>
      <c r="I843" s="86">
        <v>27</v>
      </c>
      <c r="J843" s="86" t="s">
        <v>535</v>
      </c>
      <c r="K843" s="8">
        <v>649721</v>
      </c>
      <c r="L843" s="8"/>
      <c r="M843" s="167" t="str">
        <f t="shared" si="0"/>
        <v>OK</v>
      </c>
    </row>
    <row r="844" spans="2:13" ht="12.75" hidden="1">
      <c r="B844" s="86">
        <v>1241</v>
      </c>
      <c r="C844" s="86">
        <v>843</v>
      </c>
      <c r="D844" s="86" t="s">
        <v>10113</v>
      </c>
      <c r="E844" s="86" t="s">
        <v>4516</v>
      </c>
      <c r="F844" s="86" t="s">
        <v>35</v>
      </c>
      <c r="G844" s="86">
        <v>27</v>
      </c>
      <c r="H844" s="86" t="s">
        <v>10177</v>
      </c>
      <c r="I844" s="86">
        <v>27</v>
      </c>
      <c r="J844" s="86" t="s">
        <v>2040</v>
      </c>
      <c r="K844" s="8">
        <v>649719</v>
      </c>
      <c r="L844" s="8"/>
      <c r="M844" s="167" t="str">
        <f t="shared" si="0"/>
        <v>OK</v>
      </c>
    </row>
    <row r="845" spans="2:13" ht="12.75">
      <c r="B845" s="86">
        <v>1241</v>
      </c>
      <c r="C845" s="86">
        <v>844</v>
      </c>
      <c r="D845" s="86" t="s">
        <v>9612</v>
      </c>
      <c r="E845" s="86" t="s">
        <v>9373</v>
      </c>
      <c r="F845" s="86" t="s">
        <v>35</v>
      </c>
      <c r="G845" s="86">
        <v>27</v>
      </c>
      <c r="H845" s="86" t="s">
        <v>10177</v>
      </c>
      <c r="I845" s="86">
        <v>27</v>
      </c>
      <c r="J845" s="86" t="s">
        <v>3834</v>
      </c>
      <c r="K845" s="86">
        <v>0</v>
      </c>
      <c r="L845" s="8" t="s">
        <v>51</v>
      </c>
      <c r="M845" s="167" t="str">
        <f t="shared" si="0"/>
        <v>REPETIDO</v>
      </c>
    </row>
    <row r="846" spans="2:13" ht="12.75" hidden="1">
      <c r="B846" s="86">
        <v>1241</v>
      </c>
      <c r="C846" s="86">
        <v>845</v>
      </c>
      <c r="D846" s="86" t="s">
        <v>10097</v>
      </c>
      <c r="E846" s="86" t="s">
        <v>4451</v>
      </c>
      <c r="F846" s="86" t="s">
        <v>35</v>
      </c>
      <c r="G846" s="86">
        <v>44</v>
      </c>
      <c r="H846" s="86" t="s">
        <v>4181</v>
      </c>
      <c r="I846" s="86">
        <v>65</v>
      </c>
      <c r="J846" s="86" t="s">
        <v>117</v>
      </c>
      <c r="K846" s="8">
        <v>651108</v>
      </c>
      <c r="M846" s="167" t="str">
        <f t="shared" si="0"/>
        <v>OK</v>
      </c>
    </row>
    <row r="847" spans="2:13" ht="12.75" hidden="1">
      <c r="B847" s="86">
        <v>1241</v>
      </c>
      <c r="C847" s="86">
        <v>846</v>
      </c>
      <c r="D847" s="86" t="s">
        <v>10097</v>
      </c>
      <c r="E847" s="86" t="s">
        <v>4444</v>
      </c>
      <c r="F847" s="86" t="s">
        <v>35</v>
      </c>
      <c r="G847" s="86">
        <v>44</v>
      </c>
      <c r="H847" s="86" t="s">
        <v>4181</v>
      </c>
      <c r="I847" s="86">
        <v>65</v>
      </c>
      <c r="J847" s="86" t="s">
        <v>117</v>
      </c>
      <c r="K847" s="8">
        <v>651110</v>
      </c>
      <c r="M847" s="167" t="str">
        <f t="shared" si="0"/>
        <v>OK</v>
      </c>
    </row>
    <row r="848" spans="2:13" ht="12.75" hidden="1">
      <c r="B848" s="86">
        <v>1241</v>
      </c>
      <c r="C848" s="86">
        <v>847</v>
      </c>
      <c r="D848" s="86" t="s">
        <v>10208</v>
      </c>
      <c r="E848" s="86" t="s">
        <v>4468</v>
      </c>
      <c r="F848" s="86" t="s">
        <v>359</v>
      </c>
      <c r="G848" s="86">
        <v>44</v>
      </c>
      <c r="H848" s="86" t="s">
        <v>4181</v>
      </c>
      <c r="I848" s="86">
        <v>65</v>
      </c>
      <c r="J848" s="86" t="s">
        <v>248</v>
      </c>
      <c r="K848" s="8">
        <v>651109</v>
      </c>
      <c r="M848" s="167" t="str">
        <f t="shared" si="0"/>
        <v>OK</v>
      </c>
    </row>
    <row r="849" spans="2:13" ht="12.75" hidden="1">
      <c r="B849" s="86">
        <v>1241</v>
      </c>
      <c r="C849" s="86">
        <v>848</v>
      </c>
      <c r="D849" s="86" t="s">
        <v>9612</v>
      </c>
      <c r="E849" s="86" t="s">
        <v>4414</v>
      </c>
      <c r="F849" s="86" t="s">
        <v>35</v>
      </c>
      <c r="G849" s="86">
        <v>44</v>
      </c>
      <c r="H849" s="86" t="s">
        <v>4181</v>
      </c>
      <c r="I849" s="86">
        <v>65</v>
      </c>
      <c r="J849" s="86" t="s">
        <v>528</v>
      </c>
      <c r="K849" s="8">
        <v>564788</v>
      </c>
      <c r="M849" s="167" t="str">
        <f t="shared" si="0"/>
        <v>OK</v>
      </c>
    </row>
    <row r="850" spans="2:13" ht="12.75" hidden="1">
      <c r="B850" s="86">
        <v>1241</v>
      </c>
      <c r="C850" s="86">
        <v>849</v>
      </c>
      <c r="D850" s="86" t="s">
        <v>9612</v>
      </c>
      <c r="E850" s="86" t="s">
        <v>4200</v>
      </c>
      <c r="F850" s="86" t="s">
        <v>35</v>
      </c>
      <c r="G850" s="86">
        <v>44</v>
      </c>
      <c r="H850" s="86" t="s">
        <v>10188</v>
      </c>
      <c r="I850" s="86">
        <v>12</v>
      </c>
      <c r="J850" s="86" t="s">
        <v>528</v>
      </c>
      <c r="K850" s="8">
        <v>649703</v>
      </c>
      <c r="M850" s="167" t="str">
        <f t="shared" si="0"/>
        <v>OK</v>
      </c>
    </row>
    <row r="851" spans="2:13" ht="12.75" hidden="1">
      <c r="B851" s="86">
        <v>1241</v>
      </c>
      <c r="C851" s="86">
        <v>850</v>
      </c>
      <c r="D851" s="86" t="s">
        <v>10113</v>
      </c>
      <c r="E851" s="86" t="s">
        <v>2044</v>
      </c>
      <c r="F851" s="86" t="s">
        <v>35</v>
      </c>
      <c r="G851" s="86">
        <v>53</v>
      </c>
      <c r="H851" s="86" t="s">
        <v>10190</v>
      </c>
      <c r="I851" s="86">
        <v>11</v>
      </c>
      <c r="J851" s="86" t="s">
        <v>2040</v>
      </c>
      <c r="K851" s="8" t="s">
        <v>2042</v>
      </c>
      <c r="L851" s="86" t="s">
        <v>10101</v>
      </c>
      <c r="M851" s="167" t="str">
        <f t="shared" si="0"/>
        <v>OK</v>
      </c>
    </row>
    <row r="852" spans="2:13" ht="12.75" hidden="1">
      <c r="B852" s="86">
        <v>1241</v>
      </c>
      <c r="C852" s="86">
        <v>851</v>
      </c>
      <c r="D852" s="86" t="s">
        <v>9571</v>
      </c>
      <c r="E852" s="86" t="s">
        <v>4247</v>
      </c>
      <c r="F852" s="86" t="s">
        <v>35</v>
      </c>
      <c r="G852" s="86">
        <v>50</v>
      </c>
      <c r="H852" s="86" t="s">
        <v>7404</v>
      </c>
      <c r="I852" s="86">
        <v>50</v>
      </c>
      <c r="J852" s="86" t="s">
        <v>8151</v>
      </c>
      <c r="K852" s="8">
        <v>518517</v>
      </c>
      <c r="M852" s="167" t="str">
        <f t="shared" si="0"/>
        <v>OK</v>
      </c>
    </row>
    <row r="853" spans="2:13" ht="12.75">
      <c r="B853" s="86">
        <v>1241</v>
      </c>
      <c r="C853" s="86">
        <v>852</v>
      </c>
      <c r="D853" s="86" t="s">
        <v>10307</v>
      </c>
      <c r="E853" s="86" t="s">
        <v>9418</v>
      </c>
      <c r="F853" s="86" t="s">
        <v>216</v>
      </c>
      <c r="G853" s="86">
        <v>63</v>
      </c>
      <c r="H853" s="86" t="s">
        <v>10199</v>
      </c>
      <c r="I853" s="86">
        <v>63</v>
      </c>
      <c r="J853" s="86" t="s">
        <v>210</v>
      </c>
      <c r="K853" s="86">
        <v>0</v>
      </c>
      <c r="L853" s="8" t="s">
        <v>10292</v>
      </c>
      <c r="M853" s="167" t="str">
        <f t="shared" si="0"/>
        <v>REPETIDO</v>
      </c>
    </row>
    <row r="854" spans="2:13" ht="12.75" hidden="1">
      <c r="B854" s="86">
        <v>1241</v>
      </c>
      <c r="C854" s="86">
        <v>853</v>
      </c>
      <c r="D854" s="86" t="s">
        <v>10113</v>
      </c>
      <c r="E854" s="86" t="s">
        <v>1482</v>
      </c>
      <c r="F854" s="86" t="s">
        <v>35</v>
      </c>
      <c r="G854" s="86">
        <v>16</v>
      </c>
      <c r="H854" s="86" t="s">
        <v>10203</v>
      </c>
      <c r="I854" s="86">
        <v>16</v>
      </c>
      <c r="J854" s="86" t="s">
        <v>2040</v>
      </c>
      <c r="K854" s="8" t="s">
        <v>1480</v>
      </c>
      <c r="L854" s="8" t="s">
        <v>10101</v>
      </c>
      <c r="M854" s="167" t="str">
        <f t="shared" si="0"/>
        <v>OK</v>
      </c>
    </row>
    <row r="855" spans="2:13" ht="12.75" hidden="1">
      <c r="B855" s="86">
        <v>1242</v>
      </c>
      <c r="C855" s="86">
        <v>854</v>
      </c>
      <c r="D855" s="86" t="s">
        <v>10308</v>
      </c>
      <c r="E855" s="86" t="s">
        <v>1490</v>
      </c>
      <c r="F855" s="86" t="s">
        <v>35</v>
      </c>
      <c r="G855" s="86">
        <v>16</v>
      </c>
      <c r="H855" s="86" t="s">
        <v>10203</v>
      </c>
      <c r="I855" s="86">
        <v>16</v>
      </c>
      <c r="J855" s="86" t="s">
        <v>10309</v>
      </c>
      <c r="K855" s="8" t="s">
        <v>1488</v>
      </c>
      <c r="L855" s="86" t="s">
        <v>10101</v>
      </c>
      <c r="M855" s="167" t="str">
        <f t="shared" si="0"/>
        <v>OK</v>
      </c>
    </row>
    <row r="856" spans="2:13" ht="12.75" hidden="1">
      <c r="B856" s="86">
        <v>1241</v>
      </c>
      <c r="C856" s="86">
        <v>855</v>
      </c>
      <c r="D856" s="86" t="s">
        <v>9612</v>
      </c>
      <c r="E856" s="86" t="s">
        <v>1583</v>
      </c>
      <c r="F856" s="86" t="s">
        <v>35</v>
      </c>
      <c r="G856" s="86">
        <v>16</v>
      </c>
      <c r="H856" s="86" t="s">
        <v>10203</v>
      </c>
      <c r="I856" s="86">
        <v>16</v>
      </c>
      <c r="J856" s="86" t="s">
        <v>1579</v>
      </c>
      <c r="K856" s="8" t="s">
        <v>10310</v>
      </c>
      <c r="L856" s="8" t="s">
        <v>10101</v>
      </c>
      <c r="M856" s="167" t="str">
        <f t="shared" si="0"/>
        <v>OK</v>
      </c>
    </row>
    <row r="857" spans="2:13" ht="12.75" hidden="1">
      <c r="B857" s="86">
        <v>1242</v>
      </c>
      <c r="C857" s="86">
        <v>856</v>
      </c>
      <c r="D857" s="86" t="s">
        <v>10105</v>
      </c>
      <c r="E857" s="86" t="s">
        <v>4544</v>
      </c>
      <c r="F857" s="86" t="s">
        <v>1220</v>
      </c>
      <c r="G857" s="86">
        <v>50</v>
      </c>
      <c r="H857" s="86" t="s">
        <v>7404</v>
      </c>
      <c r="I857" s="86">
        <v>50</v>
      </c>
      <c r="J857" s="86" t="s">
        <v>151</v>
      </c>
      <c r="K857" s="8">
        <v>539123</v>
      </c>
      <c r="L857" s="8"/>
      <c r="M857" s="167" t="str">
        <f t="shared" si="0"/>
        <v>OK</v>
      </c>
    </row>
    <row r="858" spans="2:13" ht="12.75" hidden="1">
      <c r="B858" s="86">
        <v>1241</v>
      </c>
      <c r="C858" s="86">
        <v>857</v>
      </c>
      <c r="D858" s="86" t="s">
        <v>10208</v>
      </c>
      <c r="E858" s="86" t="s">
        <v>2346</v>
      </c>
      <c r="F858" s="86" t="s">
        <v>250</v>
      </c>
      <c r="G858" s="86">
        <v>50</v>
      </c>
      <c r="H858" s="86" t="s">
        <v>7404</v>
      </c>
      <c r="I858" s="86">
        <v>50</v>
      </c>
      <c r="J858" s="86" t="s">
        <v>248</v>
      </c>
      <c r="K858" s="8">
        <v>651121</v>
      </c>
      <c r="M858" s="167" t="str">
        <f t="shared" si="0"/>
        <v>OK</v>
      </c>
    </row>
    <row r="859" spans="2:13" ht="12.75" hidden="1">
      <c r="B859" s="86">
        <v>1246</v>
      </c>
      <c r="C859" s="86">
        <v>858</v>
      </c>
      <c r="D859" s="86" t="s">
        <v>9568</v>
      </c>
      <c r="E859" s="86" t="s">
        <v>4303</v>
      </c>
      <c r="F859" s="86" t="s">
        <v>359</v>
      </c>
      <c r="G859" s="86">
        <v>50</v>
      </c>
      <c r="H859" s="86" t="s">
        <v>7404</v>
      </c>
      <c r="I859" s="86">
        <v>50</v>
      </c>
      <c r="J859" s="86" t="s">
        <v>638</v>
      </c>
      <c r="K859" s="8">
        <v>651122</v>
      </c>
      <c r="M859" s="167" t="str">
        <f t="shared" si="0"/>
        <v>OK</v>
      </c>
    </row>
    <row r="860" spans="2:13" ht="12.75" hidden="1">
      <c r="B860" s="86">
        <v>1241</v>
      </c>
      <c r="C860" s="86">
        <v>859</v>
      </c>
      <c r="D860" s="86" t="s">
        <v>10097</v>
      </c>
      <c r="E860" s="86" t="s">
        <v>2985</v>
      </c>
      <c r="F860" s="86" t="s">
        <v>35</v>
      </c>
      <c r="G860" s="86">
        <v>50</v>
      </c>
      <c r="H860" s="86" t="s">
        <v>7404</v>
      </c>
      <c r="I860" s="86">
        <v>50</v>
      </c>
      <c r="J860" s="86" t="s">
        <v>9595</v>
      </c>
      <c r="K860" s="8">
        <v>517107</v>
      </c>
      <c r="M860" s="167" t="str">
        <f t="shared" si="0"/>
        <v>OK</v>
      </c>
    </row>
    <row r="861" spans="2:13" ht="12.75" hidden="1">
      <c r="B861" s="86">
        <v>1242</v>
      </c>
      <c r="C861" s="86">
        <v>860</v>
      </c>
      <c r="D861" s="86" t="s">
        <v>10105</v>
      </c>
      <c r="E861" s="86" t="s">
        <v>2873</v>
      </c>
      <c r="F861" s="86" t="s">
        <v>703</v>
      </c>
      <c r="G861" s="86">
        <v>50</v>
      </c>
      <c r="H861" s="86" t="s">
        <v>7404</v>
      </c>
      <c r="I861" s="86">
        <v>50</v>
      </c>
      <c r="J861" s="86" t="s">
        <v>9581</v>
      </c>
      <c r="K861" s="8">
        <v>566530</v>
      </c>
      <c r="M861" s="167" t="str">
        <f t="shared" si="0"/>
        <v>OK</v>
      </c>
    </row>
    <row r="862" spans="2:13" ht="12.75" hidden="1">
      <c r="B862" s="86">
        <v>1241</v>
      </c>
      <c r="C862" s="86">
        <v>861</v>
      </c>
      <c r="D862" s="86" t="s">
        <v>9597</v>
      </c>
      <c r="E862" s="86" t="s">
        <v>2789</v>
      </c>
      <c r="F862" s="86" t="s">
        <v>9406</v>
      </c>
      <c r="G862" s="86">
        <v>50</v>
      </c>
      <c r="H862" s="86" t="s">
        <v>7404</v>
      </c>
      <c r="I862" s="86">
        <v>50</v>
      </c>
      <c r="J862" s="86" t="s">
        <v>2776</v>
      </c>
      <c r="K862" s="8">
        <v>649355</v>
      </c>
      <c r="M862" s="167" t="str">
        <f t="shared" si="0"/>
        <v>OK</v>
      </c>
    </row>
    <row r="863" spans="2:13" ht="12.75" hidden="1">
      <c r="B863" s="86">
        <v>1241</v>
      </c>
      <c r="C863" s="86">
        <v>862</v>
      </c>
      <c r="D863" s="86" t="s">
        <v>10208</v>
      </c>
      <c r="E863" s="86" t="s">
        <v>2796</v>
      </c>
      <c r="F863" s="86" t="s">
        <v>205</v>
      </c>
      <c r="G863" s="86">
        <v>50</v>
      </c>
      <c r="H863" s="86" t="s">
        <v>7404</v>
      </c>
      <c r="I863" s="86">
        <v>50</v>
      </c>
      <c r="J863" s="86" t="s">
        <v>248</v>
      </c>
      <c r="K863" s="8">
        <v>522283</v>
      </c>
      <c r="M863" s="167" t="str">
        <f t="shared" si="0"/>
        <v>OK</v>
      </c>
    </row>
    <row r="864" spans="2:13" ht="12.75" hidden="1">
      <c r="B864" s="86">
        <v>1241</v>
      </c>
      <c r="C864" s="86">
        <v>863</v>
      </c>
      <c r="D864" s="86" t="s">
        <v>10307</v>
      </c>
      <c r="E864" s="86" t="s">
        <v>2700</v>
      </c>
      <c r="F864" s="86" t="s">
        <v>2701</v>
      </c>
      <c r="G864" s="86">
        <v>50</v>
      </c>
      <c r="H864" s="86" t="s">
        <v>7404</v>
      </c>
      <c r="I864" s="86">
        <v>50</v>
      </c>
      <c r="J864" s="86" t="s">
        <v>10311</v>
      </c>
      <c r="K864" s="8">
        <v>651126</v>
      </c>
      <c r="M864" s="167" t="str">
        <f t="shared" si="0"/>
        <v>OK</v>
      </c>
    </row>
    <row r="865" spans="2:13" ht="12.75" hidden="1">
      <c r="B865" s="86">
        <v>1241</v>
      </c>
      <c r="C865" s="86">
        <v>864</v>
      </c>
      <c r="D865" s="86" t="s">
        <v>10307</v>
      </c>
      <c r="E865" s="86" t="s">
        <v>2316</v>
      </c>
      <c r="F865" s="86" t="s">
        <v>2317</v>
      </c>
      <c r="G865" s="86">
        <v>50</v>
      </c>
      <c r="H865" s="86" t="s">
        <v>7404</v>
      </c>
      <c r="I865" s="86">
        <v>50</v>
      </c>
      <c r="J865" s="86" t="s">
        <v>2312</v>
      </c>
      <c r="K865" s="8">
        <v>651127</v>
      </c>
      <c r="M865" s="167" t="str">
        <f t="shared" si="0"/>
        <v>OK</v>
      </c>
    </row>
    <row r="866" spans="2:13" ht="12.75" hidden="1">
      <c r="B866" s="86">
        <v>1242</v>
      </c>
      <c r="C866" s="86">
        <v>865</v>
      </c>
      <c r="D866" s="86" t="s">
        <v>10308</v>
      </c>
      <c r="E866" s="86" t="s">
        <v>4227</v>
      </c>
      <c r="F866" s="86" t="s">
        <v>35</v>
      </c>
      <c r="G866" s="86">
        <v>50</v>
      </c>
      <c r="H866" s="86" t="s">
        <v>7404</v>
      </c>
      <c r="I866" s="86">
        <v>50</v>
      </c>
      <c r="J866" s="86" t="s">
        <v>10183</v>
      </c>
      <c r="K866" s="8">
        <v>649710</v>
      </c>
      <c r="M866" s="167" t="str">
        <f t="shared" si="0"/>
        <v>OK</v>
      </c>
    </row>
    <row r="867" spans="2:13" ht="12.75" hidden="1">
      <c r="B867" s="86">
        <v>1241</v>
      </c>
      <c r="C867" s="86">
        <v>866</v>
      </c>
      <c r="D867" s="86" t="s">
        <v>10312</v>
      </c>
      <c r="E867" s="86" t="s">
        <v>2821</v>
      </c>
      <c r="F867" s="86" t="s">
        <v>2822</v>
      </c>
      <c r="G867" s="86">
        <v>50</v>
      </c>
      <c r="H867" s="86" t="s">
        <v>7404</v>
      </c>
      <c r="I867" s="86">
        <v>50</v>
      </c>
      <c r="J867" s="86" t="s">
        <v>2817</v>
      </c>
      <c r="K867" s="8">
        <v>651124</v>
      </c>
      <c r="M867" s="167" t="str">
        <f t="shared" si="0"/>
        <v>OK</v>
      </c>
    </row>
    <row r="868" spans="2:13" ht="12.75" hidden="1">
      <c r="B868" s="86">
        <v>1241</v>
      </c>
      <c r="C868" s="86">
        <v>867</v>
      </c>
      <c r="D868" s="86" t="s">
        <v>10312</v>
      </c>
      <c r="E868" s="86" t="s">
        <v>2828</v>
      </c>
      <c r="F868" s="86" t="s">
        <v>2822</v>
      </c>
      <c r="G868" s="86">
        <v>50</v>
      </c>
      <c r="H868" s="86" t="s">
        <v>7404</v>
      </c>
      <c r="I868" s="86">
        <v>50</v>
      </c>
      <c r="J868" s="86" t="s">
        <v>2817</v>
      </c>
      <c r="K868" s="8" t="s">
        <v>2826</v>
      </c>
      <c r="L868" s="8" t="s">
        <v>10101</v>
      </c>
      <c r="M868" s="167" t="str">
        <f t="shared" si="0"/>
        <v>OK</v>
      </c>
    </row>
    <row r="869" spans="2:13" ht="12.75" hidden="1">
      <c r="B869" s="86">
        <v>1241</v>
      </c>
      <c r="C869" s="86">
        <v>868</v>
      </c>
      <c r="D869" s="86" t="s">
        <v>10208</v>
      </c>
      <c r="E869" s="86" t="s">
        <v>2304</v>
      </c>
      <c r="F869" s="86" t="s">
        <v>2305</v>
      </c>
      <c r="G869" s="86">
        <v>50</v>
      </c>
      <c r="H869" s="86" t="s">
        <v>7404</v>
      </c>
      <c r="I869" s="86">
        <v>50</v>
      </c>
      <c r="J869" s="86" t="s">
        <v>2300</v>
      </c>
      <c r="K869" s="8">
        <v>651128</v>
      </c>
      <c r="M869" s="167" t="str">
        <f t="shared" si="0"/>
        <v>OK</v>
      </c>
    </row>
    <row r="870" spans="2:13" ht="12.75" hidden="1">
      <c r="B870" s="86">
        <v>1241</v>
      </c>
      <c r="C870" s="86">
        <v>869</v>
      </c>
      <c r="D870" s="86" t="s">
        <v>10312</v>
      </c>
      <c r="E870" s="86" t="s">
        <v>2969</v>
      </c>
      <c r="F870" s="86" t="s">
        <v>35</v>
      </c>
      <c r="G870" s="86">
        <v>50</v>
      </c>
      <c r="H870" s="86" t="s">
        <v>7404</v>
      </c>
      <c r="I870" s="86">
        <v>50</v>
      </c>
      <c r="J870" s="86" t="s">
        <v>2817</v>
      </c>
      <c r="K870" s="8">
        <v>651135</v>
      </c>
      <c r="M870" s="167" t="str">
        <f t="shared" si="0"/>
        <v>OK</v>
      </c>
    </row>
    <row r="871" spans="2:13" ht="12.75" hidden="1">
      <c r="B871" s="86">
        <v>1241</v>
      </c>
      <c r="C871" s="86">
        <v>870</v>
      </c>
      <c r="D871" s="86" t="s">
        <v>10312</v>
      </c>
      <c r="E871" s="86" t="s">
        <v>2805</v>
      </c>
      <c r="F871" s="86" t="s">
        <v>35</v>
      </c>
      <c r="G871" s="86">
        <v>50</v>
      </c>
      <c r="H871" s="86" t="s">
        <v>7404</v>
      </c>
      <c r="I871" s="86">
        <v>50</v>
      </c>
      <c r="J871" s="86" t="s">
        <v>2734</v>
      </c>
      <c r="K871" s="8">
        <v>651137</v>
      </c>
      <c r="M871" s="167" t="str">
        <f t="shared" si="0"/>
        <v>OK</v>
      </c>
    </row>
    <row r="872" spans="2:13" ht="12.75" hidden="1">
      <c r="B872" s="86">
        <v>1241</v>
      </c>
      <c r="C872" s="86">
        <v>871</v>
      </c>
      <c r="D872" s="86" t="s">
        <v>10312</v>
      </c>
      <c r="E872" s="86" t="s">
        <v>2962</v>
      </c>
      <c r="F872" s="86" t="s">
        <v>35</v>
      </c>
      <c r="G872" s="86">
        <v>50</v>
      </c>
      <c r="H872" s="86" t="s">
        <v>7404</v>
      </c>
      <c r="I872" s="86">
        <v>50</v>
      </c>
      <c r="J872" s="86" t="s">
        <v>2734</v>
      </c>
      <c r="K872" s="8">
        <v>651133</v>
      </c>
      <c r="M872" s="167" t="str">
        <f t="shared" si="0"/>
        <v>OK</v>
      </c>
    </row>
    <row r="873" spans="2:13" ht="12.75" hidden="1">
      <c r="B873" s="86">
        <v>1241</v>
      </c>
      <c r="C873" s="86">
        <v>872</v>
      </c>
      <c r="D873" s="86" t="s">
        <v>10208</v>
      </c>
      <c r="E873" s="86" t="s">
        <v>2975</v>
      </c>
      <c r="F873" s="86" t="s">
        <v>35</v>
      </c>
      <c r="G873" s="86">
        <v>50</v>
      </c>
      <c r="H873" s="86" t="s">
        <v>7404</v>
      </c>
      <c r="I873" s="86">
        <v>50</v>
      </c>
      <c r="J873" s="86" t="s">
        <v>2352</v>
      </c>
      <c r="K873" s="8">
        <v>651136</v>
      </c>
      <c r="M873" s="167" t="str">
        <f t="shared" si="0"/>
        <v>OK</v>
      </c>
    </row>
    <row r="874" spans="2:13" ht="12.75" hidden="1">
      <c r="B874" s="86">
        <v>1241</v>
      </c>
      <c r="C874" s="86">
        <v>873</v>
      </c>
      <c r="D874" s="86" t="s">
        <v>10312</v>
      </c>
      <c r="E874" s="86" t="s">
        <v>2942</v>
      </c>
      <c r="F874" s="86" t="s">
        <v>9403</v>
      </c>
      <c r="G874" s="86">
        <v>50</v>
      </c>
      <c r="H874" s="86" t="s">
        <v>7404</v>
      </c>
      <c r="I874" s="86">
        <v>50</v>
      </c>
      <c r="J874" s="86" t="s">
        <v>2817</v>
      </c>
      <c r="K874" s="8">
        <v>651138</v>
      </c>
      <c r="M874" s="167" t="str">
        <f t="shared" si="0"/>
        <v>OK</v>
      </c>
    </row>
    <row r="875" spans="2:13" ht="12.75" hidden="1">
      <c r="B875" s="86">
        <v>1241</v>
      </c>
      <c r="C875" s="86">
        <v>874</v>
      </c>
      <c r="D875" s="86" t="s">
        <v>10208</v>
      </c>
      <c r="E875" s="86" t="s">
        <v>2356</v>
      </c>
      <c r="F875" s="86" t="s">
        <v>2357</v>
      </c>
      <c r="G875" s="86">
        <v>50</v>
      </c>
      <c r="H875" s="86" t="s">
        <v>7404</v>
      </c>
      <c r="I875" s="86">
        <v>50</v>
      </c>
      <c r="J875" s="86" t="s">
        <v>2352</v>
      </c>
      <c r="K875" s="8">
        <v>566178</v>
      </c>
      <c r="M875" s="167" t="str">
        <f t="shared" si="0"/>
        <v>OK</v>
      </c>
    </row>
    <row r="876" spans="2:13" ht="12.75" hidden="1">
      <c r="B876" s="86">
        <v>1241</v>
      </c>
      <c r="C876" s="86">
        <v>875</v>
      </c>
      <c r="D876" s="86" t="s">
        <v>9569</v>
      </c>
      <c r="E876" s="86" t="s">
        <v>2715</v>
      </c>
      <c r="F876" s="86" t="s">
        <v>297</v>
      </c>
      <c r="G876" s="86">
        <v>50</v>
      </c>
      <c r="H876" s="86" t="s">
        <v>7404</v>
      </c>
      <c r="I876" s="86">
        <v>50</v>
      </c>
      <c r="J876" s="86" t="s">
        <v>1275</v>
      </c>
      <c r="K876" s="8">
        <v>651030</v>
      </c>
      <c r="M876" s="167" t="str">
        <f t="shared" si="0"/>
        <v>OK</v>
      </c>
    </row>
    <row r="877" spans="2:13" ht="12.75" hidden="1">
      <c r="B877" s="86">
        <v>1241</v>
      </c>
      <c r="C877" s="86">
        <v>876</v>
      </c>
      <c r="D877" s="86" t="s">
        <v>9580</v>
      </c>
      <c r="E877" s="86" t="s">
        <v>2443</v>
      </c>
      <c r="F877" s="86" t="s">
        <v>703</v>
      </c>
      <c r="G877" s="86">
        <v>50</v>
      </c>
      <c r="H877" s="86" t="s">
        <v>7404</v>
      </c>
      <c r="I877" s="86">
        <v>50</v>
      </c>
      <c r="J877" s="86" t="s">
        <v>151</v>
      </c>
      <c r="K877" s="8">
        <v>651032</v>
      </c>
      <c r="M877" s="167" t="str">
        <f t="shared" si="0"/>
        <v>OK</v>
      </c>
    </row>
    <row r="878" spans="2:13" ht="12.75" hidden="1">
      <c r="B878" s="86">
        <v>1241</v>
      </c>
      <c r="C878" s="86">
        <v>877</v>
      </c>
      <c r="D878" s="86" t="s">
        <v>9569</v>
      </c>
      <c r="E878" s="86" t="s">
        <v>2418</v>
      </c>
      <c r="F878" s="86" t="s">
        <v>2419</v>
      </c>
      <c r="G878" s="86">
        <v>50</v>
      </c>
      <c r="H878" s="86" t="s">
        <v>7404</v>
      </c>
      <c r="I878" s="86">
        <v>50</v>
      </c>
      <c r="J878" s="86" t="s">
        <v>9266</v>
      </c>
      <c r="K878" s="8">
        <v>651031</v>
      </c>
      <c r="M878" s="167" t="str">
        <f t="shared" si="0"/>
        <v>OK</v>
      </c>
    </row>
    <row r="879" spans="2:13" ht="12.75" hidden="1">
      <c r="B879" s="86">
        <v>1241</v>
      </c>
      <c r="C879" s="86">
        <v>878</v>
      </c>
      <c r="D879" s="86" t="s">
        <v>9580</v>
      </c>
      <c r="E879" s="86" t="s">
        <v>2912</v>
      </c>
      <c r="F879" s="86" t="s">
        <v>1220</v>
      </c>
      <c r="G879" s="86">
        <v>50</v>
      </c>
      <c r="H879" s="86" t="s">
        <v>7404</v>
      </c>
      <c r="I879" s="86">
        <v>50</v>
      </c>
      <c r="J879" s="86" t="s">
        <v>9581</v>
      </c>
      <c r="K879" s="8">
        <v>530454</v>
      </c>
      <c r="M879" s="167" t="str">
        <f t="shared" si="0"/>
        <v>OK</v>
      </c>
    </row>
    <row r="880" spans="2:13" ht="12.75">
      <c r="B880" s="86">
        <v>1241</v>
      </c>
      <c r="C880" s="86">
        <v>879</v>
      </c>
      <c r="D880" s="86" t="s">
        <v>9612</v>
      </c>
      <c r="E880" s="86" t="s">
        <v>9372</v>
      </c>
      <c r="F880" s="86" t="s">
        <v>35</v>
      </c>
      <c r="G880" s="86">
        <v>50</v>
      </c>
      <c r="H880" s="86" t="s">
        <v>7404</v>
      </c>
      <c r="I880" s="86">
        <v>50</v>
      </c>
      <c r="J880" s="86" t="s">
        <v>278</v>
      </c>
      <c r="K880" s="8">
        <v>0</v>
      </c>
      <c r="L880" s="8" t="s">
        <v>9577</v>
      </c>
      <c r="M880" s="167" t="str">
        <f t="shared" si="0"/>
        <v>REPETIDO</v>
      </c>
    </row>
    <row r="881" spans="2:13" ht="12.75" hidden="1">
      <c r="B881" s="86">
        <v>1241</v>
      </c>
      <c r="C881" s="86">
        <v>880</v>
      </c>
      <c r="D881" s="86" t="s">
        <v>10113</v>
      </c>
      <c r="E881" s="86" t="s">
        <v>4179</v>
      </c>
      <c r="F881" s="86" t="s">
        <v>35</v>
      </c>
      <c r="G881" s="86">
        <v>50</v>
      </c>
      <c r="H881" s="86" t="s">
        <v>7404</v>
      </c>
      <c r="I881" s="86">
        <v>50</v>
      </c>
      <c r="J881" s="86" t="s">
        <v>379</v>
      </c>
      <c r="K881" s="8">
        <v>649644</v>
      </c>
      <c r="M881" s="167" t="str">
        <f t="shared" si="0"/>
        <v>OK</v>
      </c>
    </row>
    <row r="882" spans="2:13" ht="12.75" hidden="1">
      <c r="B882" s="86">
        <v>1241</v>
      </c>
      <c r="C882" s="86">
        <v>881</v>
      </c>
      <c r="D882" s="86" t="s">
        <v>10208</v>
      </c>
      <c r="E882" s="86" t="s">
        <v>2949</v>
      </c>
      <c r="F882" s="86" t="s">
        <v>2357</v>
      </c>
      <c r="G882" s="86">
        <v>50</v>
      </c>
      <c r="H882" s="86" t="s">
        <v>7404</v>
      </c>
      <c r="I882" s="86">
        <v>50</v>
      </c>
      <c r="J882" s="86" t="s">
        <v>2352</v>
      </c>
      <c r="K882" s="8">
        <v>566183</v>
      </c>
      <c r="M882" s="167" t="str">
        <f t="shared" si="0"/>
        <v>OK</v>
      </c>
    </row>
    <row r="883" spans="2:13" ht="12.75" hidden="1">
      <c r="B883" s="86">
        <v>1241</v>
      </c>
      <c r="C883" s="86">
        <v>882</v>
      </c>
      <c r="D883" s="86" t="s">
        <v>10313</v>
      </c>
      <c r="E883" s="86" t="s">
        <v>2539</v>
      </c>
      <c r="F883" s="86" t="s">
        <v>2540</v>
      </c>
      <c r="G883" s="86">
        <v>50</v>
      </c>
      <c r="H883" s="86" t="s">
        <v>7404</v>
      </c>
      <c r="I883" s="86">
        <v>50</v>
      </c>
      <c r="J883" s="86" t="s">
        <v>2535</v>
      </c>
      <c r="K883" s="8">
        <v>649438</v>
      </c>
      <c r="M883" s="167" t="str">
        <f t="shared" si="0"/>
        <v>OK</v>
      </c>
    </row>
    <row r="884" spans="2:13" ht="12.75" hidden="1">
      <c r="B884" s="86">
        <v>1241</v>
      </c>
      <c r="C884" s="86">
        <v>883</v>
      </c>
      <c r="D884" s="86" t="s">
        <v>10307</v>
      </c>
      <c r="E884" s="86" t="s">
        <v>2402</v>
      </c>
      <c r="F884" s="86" t="s">
        <v>2403</v>
      </c>
      <c r="G884" s="86">
        <v>50</v>
      </c>
      <c r="H884" s="86" t="s">
        <v>7404</v>
      </c>
      <c r="I884" s="86">
        <v>50</v>
      </c>
      <c r="J884" s="86" t="s">
        <v>2398</v>
      </c>
      <c r="K884" s="8">
        <v>651140</v>
      </c>
      <c r="M884" s="167" t="str">
        <f t="shared" si="0"/>
        <v>OK</v>
      </c>
    </row>
    <row r="885" spans="2:13" ht="12.75" hidden="1">
      <c r="B885" s="86">
        <v>1241</v>
      </c>
      <c r="C885" s="86">
        <v>884</v>
      </c>
      <c r="D885" s="86" t="s">
        <v>10307</v>
      </c>
      <c r="E885" s="86" t="s">
        <v>2434</v>
      </c>
      <c r="F885" s="86" t="s">
        <v>2317</v>
      </c>
      <c r="G885" s="86">
        <v>50</v>
      </c>
      <c r="H885" s="86" t="s">
        <v>7404</v>
      </c>
      <c r="I885" s="86">
        <v>50</v>
      </c>
      <c r="J885" s="86" t="s">
        <v>10314</v>
      </c>
      <c r="K885" s="8">
        <v>651141</v>
      </c>
      <c r="M885" s="167" t="str">
        <f t="shared" si="0"/>
        <v>OK</v>
      </c>
    </row>
    <row r="886" spans="2:13" ht="12.75" hidden="1">
      <c r="B886" s="86">
        <v>1241</v>
      </c>
      <c r="C886" s="86">
        <v>885</v>
      </c>
      <c r="D886" s="86" t="s">
        <v>10313</v>
      </c>
      <c r="E886" s="86" t="s">
        <v>2652</v>
      </c>
      <c r="F886" s="86" t="s">
        <v>303</v>
      </c>
      <c r="G886" s="86">
        <v>50</v>
      </c>
      <c r="H886" s="86" t="s">
        <v>7686</v>
      </c>
      <c r="I886" s="86">
        <v>40</v>
      </c>
      <c r="J886" s="86" t="s">
        <v>248</v>
      </c>
      <c r="K886" s="8">
        <v>651118</v>
      </c>
      <c r="M886" s="167" t="str">
        <f t="shared" si="0"/>
        <v>OK</v>
      </c>
    </row>
    <row r="887" spans="2:13" ht="12.75" hidden="1">
      <c r="B887" s="86">
        <v>1241</v>
      </c>
      <c r="C887" s="86">
        <v>886</v>
      </c>
      <c r="D887" s="86" t="s">
        <v>10297</v>
      </c>
      <c r="E887" s="86" t="s">
        <v>2628</v>
      </c>
      <c r="F887" s="86" t="s">
        <v>2629</v>
      </c>
      <c r="G887" s="86">
        <v>50</v>
      </c>
      <c r="H887" s="86" t="s">
        <v>7686</v>
      </c>
      <c r="I887" s="86">
        <v>40</v>
      </c>
      <c r="J887" s="86" t="s">
        <v>10315</v>
      </c>
      <c r="K887" s="8">
        <v>651119</v>
      </c>
      <c r="M887" s="167" t="str">
        <f t="shared" si="0"/>
        <v>OK</v>
      </c>
    </row>
    <row r="888" spans="2:13" ht="12.75" hidden="1">
      <c r="B888" s="86">
        <v>1241</v>
      </c>
      <c r="C888" s="86">
        <v>887</v>
      </c>
      <c r="D888" s="86" t="s">
        <v>9569</v>
      </c>
      <c r="E888" s="86" t="s">
        <v>9409</v>
      </c>
      <c r="F888" s="86" t="s">
        <v>1220</v>
      </c>
      <c r="G888" s="86">
        <v>50</v>
      </c>
      <c r="H888" s="86" t="s">
        <v>7686</v>
      </c>
      <c r="I888" s="86">
        <v>40</v>
      </c>
      <c r="J888" s="86" t="s">
        <v>1552</v>
      </c>
      <c r="K888" s="8">
        <v>651120</v>
      </c>
      <c r="L888" s="8" t="s">
        <v>3282</v>
      </c>
      <c r="M888" s="167" t="str">
        <f t="shared" si="0"/>
        <v>OK</v>
      </c>
    </row>
    <row r="889" spans="2:13" ht="12.75" hidden="1">
      <c r="B889" s="86">
        <v>1241</v>
      </c>
      <c r="C889" s="86">
        <v>888</v>
      </c>
      <c r="D889" s="86" t="s">
        <v>10313</v>
      </c>
      <c r="E889" s="86" t="s">
        <v>2570</v>
      </c>
      <c r="F889" s="86" t="s">
        <v>250</v>
      </c>
      <c r="G889" s="86">
        <v>50</v>
      </c>
      <c r="H889" s="86" t="s">
        <v>2552</v>
      </c>
      <c r="I889" s="86">
        <v>55</v>
      </c>
      <c r="J889" s="86" t="s">
        <v>248</v>
      </c>
      <c r="K889" s="8">
        <v>651115</v>
      </c>
      <c r="M889" s="167" t="str">
        <f t="shared" si="0"/>
        <v>OK</v>
      </c>
    </row>
    <row r="890" spans="2:13" ht="12.75" hidden="1">
      <c r="B890" s="86">
        <v>1241</v>
      </c>
      <c r="C890" s="86">
        <v>889</v>
      </c>
      <c r="D890" s="86" t="s">
        <v>9612</v>
      </c>
      <c r="E890" s="86" t="s">
        <v>2564</v>
      </c>
      <c r="F890" s="86" t="s">
        <v>35</v>
      </c>
      <c r="G890" s="86">
        <v>50</v>
      </c>
      <c r="H890" s="86" t="s">
        <v>2552</v>
      </c>
      <c r="I890" s="86">
        <v>55</v>
      </c>
      <c r="J890" s="86" t="s">
        <v>278</v>
      </c>
      <c r="K890" s="8">
        <v>651116</v>
      </c>
      <c r="M890" s="167" t="str">
        <f t="shared" si="0"/>
        <v>OK</v>
      </c>
    </row>
    <row r="891" spans="2:13" ht="12.75" hidden="1">
      <c r="B891" s="86">
        <v>1241</v>
      </c>
      <c r="C891" s="86">
        <v>890</v>
      </c>
      <c r="D891" s="86" t="s">
        <v>9612</v>
      </c>
      <c r="E891" s="86" t="s">
        <v>3940</v>
      </c>
      <c r="F891" s="86" t="s">
        <v>35</v>
      </c>
      <c r="G891" s="86">
        <v>44</v>
      </c>
      <c r="H891" s="86" t="s">
        <v>3450</v>
      </c>
      <c r="I891" s="86">
        <v>44</v>
      </c>
      <c r="J891" s="86" t="s">
        <v>278</v>
      </c>
      <c r="K891" s="8">
        <v>564640</v>
      </c>
      <c r="L891" s="8"/>
      <c r="M891" s="167" t="str">
        <f t="shared" si="0"/>
        <v>OK</v>
      </c>
    </row>
    <row r="892" spans="2:13" ht="12.75" hidden="1">
      <c r="B892" s="86">
        <v>1241</v>
      </c>
      <c r="C892" s="86">
        <v>891</v>
      </c>
      <c r="D892" s="86" t="s">
        <v>9612</v>
      </c>
      <c r="E892" s="86" t="s">
        <v>1344</v>
      </c>
      <c r="F892" s="86" t="s">
        <v>35</v>
      </c>
      <c r="G892" s="86">
        <v>47</v>
      </c>
      <c r="H892" s="86" t="s">
        <v>724</v>
      </c>
      <c r="I892" s="86">
        <v>42</v>
      </c>
      <c r="J892" s="86" t="s">
        <v>278</v>
      </c>
      <c r="K892" s="8">
        <v>566420</v>
      </c>
      <c r="M892" s="167" t="str">
        <f t="shared" si="0"/>
        <v>OK</v>
      </c>
    </row>
    <row r="893" spans="2:13" ht="12.75" hidden="1">
      <c r="B893" s="86">
        <v>1241</v>
      </c>
      <c r="C893" s="86">
        <v>892</v>
      </c>
      <c r="D893" s="86" t="s">
        <v>9612</v>
      </c>
      <c r="E893" s="86" t="s">
        <v>4803</v>
      </c>
      <c r="F893" s="86" t="s">
        <v>35</v>
      </c>
      <c r="G893" s="86">
        <v>66</v>
      </c>
      <c r="H893" s="86" t="s">
        <v>1004</v>
      </c>
      <c r="I893" s="86">
        <v>66</v>
      </c>
      <c r="J893" s="86" t="s">
        <v>278</v>
      </c>
      <c r="K893" s="8">
        <v>651113</v>
      </c>
      <c r="M893" s="167" t="str">
        <f t="shared" si="0"/>
        <v>OK</v>
      </c>
    </row>
    <row r="894" spans="2:13" ht="12.75" hidden="1">
      <c r="B894" s="86">
        <v>1241</v>
      </c>
      <c r="C894" s="86">
        <v>893</v>
      </c>
      <c r="D894" s="86" t="s">
        <v>10097</v>
      </c>
      <c r="E894" s="86" t="s">
        <v>3920</v>
      </c>
      <c r="F894" s="86" t="s">
        <v>35</v>
      </c>
      <c r="G894" s="86">
        <v>20</v>
      </c>
      <c r="H894" s="86" t="s">
        <v>1004</v>
      </c>
      <c r="I894" s="86">
        <v>66</v>
      </c>
      <c r="J894" s="86" t="s">
        <v>1510</v>
      </c>
      <c r="K894" s="8">
        <v>583449</v>
      </c>
      <c r="L894" s="8"/>
      <c r="M894" s="167" t="str">
        <f t="shared" si="0"/>
        <v>OK</v>
      </c>
    </row>
    <row r="895" spans="2:13" ht="12.75" hidden="1">
      <c r="B895" s="86">
        <v>1246</v>
      </c>
      <c r="C895" s="86">
        <v>894</v>
      </c>
      <c r="D895" s="86" t="s">
        <v>9607</v>
      </c>
      <c r="E895" s="86" t="s">
        <v>4851</v>
      </c>
      <c r="F895" s="86" t="s">
        <v>168</v>
      </c>
      <c r="G895" s="86">
        <v>20</v>
      </c>
      <c r="H895" s="86" t="s">
        <v>8419</v>
      </c>
      <c r="I895" s="86">
        <v>20</v>
      </c>
      <c r="J895" s="86" t="s">
        <v>285</v>
      </c>
      <c r="K895" s="8">
        <v>533228</v>
      </c>
      <c r="M895" s="167" t="str">
        <f t="shared" si="0"/>
        <v>OK</v>
      </c>
    </row>
    <row r="896" spans="2:13" ht="12.75" hidden="1">
      <c r="B896" s="86">
        <v>1241</v>
      </c>
      <c r="C896" s="86">
        <v>895</v>
      </c>
      <c r="D896" s="86" t="s">
        <v>10113</v>
      </c>
      <c r="E896" s="86" t="s">
        <v>5961</v>
      </c>
      <c r="F896" s="86" t="s">
        <v>35</v>
      </c>
      <c r="G896" s="86">
        <v>25</v>
      </c>
      <c r="H896" s="86" t="s">
        <v>9584</v>
      </c>
      <c r="I896" s="86">
        <v>25</v>
      </c>
      <c r="J896" s="86" t="s">
        <v>5945</v>
      </c>
      <c r="K896" s="8">
        <v>651083</v>
      </c>
      <c r="M896" s="167" t="str">
        <f t="shared" si="0"/>
        <v>OK</v>
      </c>
    </row>
    <row r="897" spans="2:13" ht="12.75" hidden="1">
      <c r="B897" s="86">
        <v>1241</v>
      </c>
      <c r="C897" s="86">
        <v>896</v>
      </c>
      <c r="D897" s="86" t="s">
        <v>10113</v>
      </c>
      <c r="E897" s="86" t="s">
        <v>5967</v>
      </c>
      <c r="F897" s="86" t="s">
        <v>35</v>
      </c>
      <c r="G897" s="86">
        <v>25</v>
      </c>
      <c r="H897" s="86" t="s">
        <v>9584</v>
      </c>
      <c r="I897" s="86">
        <v>25</v>
      </c>
      <c r="J897" s="86" t="s">
        <v>5945</v>
      </c>
      <c r="K897" s="8">
        <v>651082</v>
      </c>
      <c r="M897" s="167" t="str">
        <f t="shared" si="0"/>
        <v>OK</v>
      </c>
    </row>
    <row r="898" spans="2:13" ht="12.75" hidden="1">
      <c r="B898" s="86">
        <v>1241</v>
      </c>
      <c r="C898" s="86">
        <v>897</v>
      </c>
      <c r="D898" s="86" t="s">
        <v>10113</v>
      </c>
      <c r="E898" s="86" t="s">
        <v>5973</v>
      </c>
      <c r="F898" s="86" t="s">
        <v>35</v>
      </c>
      <c r="G898" s="86">
        <v>25</v>
      </c>
      <c r="H898" s="86" t="s">
        <v>9584</v>
      </c>
      <c r="I898" s="86">
        <v>25</v>
      </c>
      <c r="J898" s="86" t="s">
        <v>5945</v>
      </c>
      <c r="K898" s="8">
        <v>651081</v>
      </c>
      <c r="M898" s="167" t="str">
        <f t="shared" si="0"/>
        <v>OK</v>
      </c>
    </row>
    <row r="899" spans="2:13" ht="12.75" hidden="1">
      <c r="B899" s="86">
        <v>1241</v>
      </c>
      <c r="C899" s="86">
        <v>898</v>
      </c>
      <c r="D899" s="86" t="s">
        <v>10113</v>
      </c>
      <c r="E899" s="86" t="s">
        <v>5979</v>
      </c>
      <c r="F899" s="86" t="s">
        <v>35</v>
      </c>
      <c r="G899" s="86">
        <v>25</v>
      </c>
      <c r="H899" s="86" t="s">
        <v>9584</v>
      </c>
      <c r="I899" s="86">
        <v>25</v>
      </c>
      <c r="J899" s="86" t="s">
        <v>5945</v>
      </c>
      <c r="K899" s="8">
        <v>651080</v>
      </c>
      <c r="M899" s="167" t="str">
        <f t="shared" si="0"/>
        <v>OK</v>
      </c>
    </row>
    <row r="900" spans="2:13" ht="12.75" hidden="1">
      <c r="B900" s="86">
        <v>1241</v>
      </c>
      <c r="C900" s="86">
        <v>899</v>
      </c>
      <c r="D900" s="86" t="s">
        <v>10113</v>
      </c>
      <c r="E900" s="86" t="s">
        <v>5985</v>
      </c>
      <c r="F900" s="86" t="s">
        <v>35</v>
      </c>
      <c r="G900" s="86">
        <v>25</v>
      </c>
      <c r="H900" s="86" t="s">
        <v>9584</v>
      </c>
      <c r="I900" s="86">
        <v>25</v>
      </c>
      <c r="J900" s="86" t="s">
        <v>5945</v>
      </c>
      <c r="K900" s="8">
        <v>651079</v>
      </c>
      <c r="M900" s="167" t="str">
        <f t="shared" si="0"/>
        <v>OK</v>
      </c>
    </row>
    <row r="901" spans="2:13" ht="12.75" hidden="1">
      <c r="B901" s="86">
        <v>1241</v>
      </c>
      <c r="C901" s="86">
        <v>900</v>
      </c>
      <c r="D901" s="86" t="s">
        <v>10113</v>
      </c>
      <c r="E901" s="86" t="s">
        <v>5991</v>
      </c>
      <c r="F901" s="86" t="s">
        <v>35</v>
      </c>
      <c r="G901" s="86">
        <v>25</v>
      </c>
      <c r="H901" s="86" t="s">
        <v>9584</v>
      </c>
      <c r="I901" s="86">
        <v>25</v>
      </c>
      <c r="J901" s="86" t="s">
        <v>5945</v>
      </c>
      <c r="K901" s="8">
        <v>651078</v>
      </c>
      <c r="M901" s="167" t="str">
        <f t="shared" si="0"/>
        <v>OK</v>
      </c>
    </row>
    <row r="902" spans="2:13" ht="12.75" hidden="1">
      <c r="B902" s="86">
        <v>1241</v>
      </c>
      <c r="C902" s="86">
        <v>901</v>
      </c>
      <c r="D902" s="86" t="s">
        <v>10113</v>
      </c>
      <c r="E902" s="86" t="s">
        <v>5997</v>
      </c>
      <c r="F902" s="86" t="s">
        <v>35</v>
      </c>
      <c r="G902" s="86">
        <v>25</v>
      </c>
      <c r="H902" s="86" t="s">
        <v>9584</v>
      </c>
      <c r="I902" s="86">
        <v>25</v>
      </c>
      <c r="J902" s="86" t="s">
        <v>5945</v>
      </c>
      <c r="K902" s="8">
        <v>651077</v>
      </c>
      <c r="M902" s="167" t="str">
        <f t="shared" si="0"/>
        <v>OK</v>
      </c>
    </row>
    <row r="903" spans="2:13" ht="12.75" hidden="1">
      <c r="B903" s="86">
        <v>1241</v>
      </c>
      <c r="C903" s="86">
        <v>902</v>
      </c>
      <c r="D903" s="86" t="s">
        <v>9612</v>
      </c>
      <c r="E903" s="86" t="s">
        <v>113</v>
      </c>
      <c r="F903" s="86" t="s">
        <v>35</v>
      </c>
      <c r="G903" s="86">
        <v>25</v>
      </c>
      <c r="H903" s="86" t="s">
        <v>9584</v>
      </c>
      <c r="I903" s="86">
        <v>25</v>
      </c>
      <c r="J903" s="86" t="s">
        <v>1166</v>
      </c>
      <c r="K903" s="8">
        <v>651084</v>
      </c>
      <c r="M903" s="167" t="str">
        <f t="shared" si="0"/>
        <v>OK</v>
      </c>
    </row>
    <row r="904" spans="2:13" ht="12.75" hidden="1">
      <c r="B904" s="86">
        <v>1241</v>
      </c>
      <c r="C904" s="86">
        <v>903</v>
      </c>
      <c r="D904" s="86" t="s">
        <v>10113</v>
      </c>
      <c r="E904" s="86" t="s">
        <v>960</v>
      </c>
      <c r="F904" s="86" t="s">
        <v>35</v>
      </c>
      <c r="G904" s="86">
        <v>30</v>
      </c>
      <c r="H904" s="86" t="s">
        <v>10212</v>
      </c>
      <c r="I904" s="86">
        <v>21</v>
      </c>
      <c r="J904" s="86" t="s">
        <v>956</v>
      </c>
      <c r="K904" s="8">
        <v>651090</v>
      </c>
      <c r="M904" s="167" t="str">
        <f t="shared" si="0"/>
        <v>OK</v>
      </c>
    </row>
    <row r="905" spans="2:13" ht="12.75" hidden="1">
      <c r="B905" s="86">
        <v>1241</v>
      </c>
      <c r="C905" s="86">
        <v>904</v>
      </c>
      <c r="D905" s="86" t="s">
        <v>9612</v>
      </c>
      <c r="E905" s="86" t="s">
        <v>1088</v>
      </c>
      <c r="F905" s="86" t="s">
        <v>35</v>
      </c>
      <c r="G905" s="86">
        <v>30</v>
      </c>
      <c r="H905" s="86" t="s">
        <v>10212</v>
      </c>
      <c r="I905" s="86">
        <v>21</v>
      </c>
      <c r="J905" s="86" t="s">
        <v>1048</v>
      </c>
      <c r="K905" s="8">
        <v>651096</v>
      </c>
      <c r="M905" s="167" t="str">
        <f t="shared" si="0"/>
        <v>OK</v>
      </c>
    </row>
    <row r="906" spans="2:13" ht="12.75" hidden="1">
      <c r="B906" s="86">
        <v>1241</v>
      </c>
      <c r="C906" s="86">
        <v>905</v>
      </c>
      <c r="D906" s="86" t="s">
        <v>9612</v>
      </c>
      <c r="E906" s="86" t="s">
        <v>730</v>
      </c>
      <c r="F906" s="86" t="s">
        <v>35</v>
      </c>
      <c r="G906" s="86">
        <v>30</v>
      </c>
      <c r="H906" s="86" t="s">
        <v>10212</v>
      </c>
      <c r="I906" s="86">
        <v>21</v>
      </c>
      <c r="J906" s="86" t="s">
        <v>10316</v>
      </c>
      <c r="K906" s="8">
        <v>584045</v>
      </c>
      <c r="M906" s="167" t="str">
        <f t="shared" si="0"/>
        <v>OK</v>
      </c>
    </row>
    <row r="907" spans="2:13" ht="12.75" hidden="1">
      <c r="B907" s="86">
        <v>1241</v>
      </c>
      <c r="C907" s="86">
        <v>906</v>
      </c>
      <c r="D907" s="86" t="s">
        <v>9612</v>
      </c>
      <c r="E907" s="86" t="s">
        <v>769</v>
      </c>
      <c r="F907" s="86" t="s">
        <v>35</v>
      </c>
      <c r="G907" s="86">
        <v>30</v>
      </c>
      <c r="H907" s="86" t="s">
        <v>10212</v>
      </c>
      <c r="I907" s="86">
        <v>21</v>
      </c>
      <c r="J907" s="86" t="s">
        <v>486</v>
      </c>
      <c r="K907" s="8">
        <v>564855</v>
      </c>
      <c r="M907" s="167" t="str">
        <f t="shared" si="0"/>
        <v>OK</v>
      </c>
    </row>
    <row r="908" spans="2:13" ht="12.75" hidden="1">
      <c r="B908" s="86">
        <v>1241</v>
      </c>
      <c r="C908" s="86">
        <v>907</v>
      </c>
      <c r="D908" s="86" t="s">
        <v>10151</v>
      </c>
      <c r="E908" s="86" t="s">
        <v>736</v>
      </c>
      <c r="F908" s="86" t="s">
        <v>216</v>
      </c>
      <c r="G908" s="86">
        <v>30</v>
      </c>
      <c r="H908" s="86" t="s">
        <v>9587</v>
      </c>
      <c r="I908" s="86">
        <v>30</v>
      </c>
      <c r="J908" s="86" t="s">
        <v>210</v>
      </c>
      <c r="K908" s="8" t="s">
        <v>735</v>
      </c>
      <c r="L908" s="8" t="s">
        <v>10101</v>
      </c>
      <c r="M908" s="167" t="str">
        <f t="shared" si="0"/>
        <v>OK</v>
      </c>
    </row>
    <row r="909" spans="2:13" ht="12.75" hidden="1">
      <c r="B909" s="86">
        <v>1246</v>
      </c>
      <c r="C909" s="86">
        <v>908</v>
      </c>
      <c r="D909" s="86" t="s">
        <v>9568</v>
      </c>
      <c r="E909" s="86" t="s">
        <v>4214</v>
      </c>
      <c r="F909" s="86" t="s">
        <v>359</v>
      </c>
      <c r="G909" s="86">
        <v>30</v>
      </c>
      <c r="H909" s="86" t="s">
        <v>10212</v>
      </c>
      <c r="I909" s="86">
        <v>21</v>
      </c>
      <c r="J909" s="86" t="s">
        <v>638</v>
      </c>
      <c r="K909" s="8">
        <v>650646</v>
      </c>
      <c r="M909" s="167" t="str">
        <f t="shared" si="0"/>
        <v>OK</v>
      </c>
    </row>
    <row r="910" spans="2:13" ht="12.75" hidden="1">
      <c r="B910" s="86">
        <v>1241</v>
      </c>
      <c r="C910" s="86">
        <v>909</v>
      </c>
      <c r="D910" s="86" t="s">
        <v>9580</v>
      </c>
      <c r="E910" s="86" t="s">
        <v>1000</v>
      </c>
      <c r="F910" s="86" t="s">
        <v>297</v>
      </c>
      <c r="G910" s="86">
        <v>30</v>
      </c>
      <c r="H910" s="86" t="s">
        <v>686</v>
      </c>
      <c r="I910" s="86">
        <v>38</v>
      </c>
      <c r="J910" s="86" t="s">
        <v>9581</v>
      </c>
      <c r="K910" s="8">
        <v>539119</v>
      </c>
      <c r="M910" s="167" t="str">
        <f t="shared" si="0"/>
        <v>OK</v>
      </c>
    </row>
    <row r="911" spans="2:13" ht="12.75">
      <c r="B911" s="86">
        <v>1241</v>
      </c>
      <c r="C911" s="86">
        <v>910</v>
      </c>
      <c r="D911" s="86" t="s">
        <v>9612</v>
      </c>
      <c r="E911" s="86" t="s">
        <v>9374</v>
      </c>
      <c r="F911" s="86" t="s">
        <v>35</v>
      </c>
      <c r="G911" s="86">
        <v>30</v>
      </c>
      <c r="H911" s="86" t="s">
        <v>9587</v>
      </c>
      <c r="I911" s="86">
        <v>30</v>
      </c>
      <c r="J911" s="86" t="s">
        <v>5160</v>
      </c>
      <c r="K911" s="8">
        <v>0</v>
      </c>
      <c r="L911" s="8" t="s">
        <v>9614</v>
      </c>
      <c r="M911" s="167" t="str">
        <f t="shared" si="0"/>
        <v>REPETIDO</v>
      </c>
    </row>
    <row r="912" spans="2:13" ht="12.75" hidden="1">
      <c r="B912" s="86">
        <v>1241</v>
      </c>
      <c r="C912" s="86">
        <v>911</v>
      </c>
      <c r="D912" s="86" t="s">
        <v>10151</v>
      </c>
      <c r="E912" s="86" t="s">
        <v>953</v>
      </c>
      <c r="F912" s="86" t="s">
        <v>216</v>
      </c>
      <c r="G912" s="86">
        <v>21</v>
      </c>
      <c r="H912" s="86" t="s">
        <v>10212</v>
      </c>
      <c r="I912" s="86">
        <v>21</v>
      </c>
      <c r="J912" s="86" t="s">
        <v>10213</v>
      </c>
      <c r="K912" s="8" t="s">
        <v>998</v>
      </c>
      <c r="L912" s="8" t="s">
        <v>10101</v>
      </c>
      <c r="M912" s="167" t="str">
        <f t="shared" si="0"/>
        <v>OK</v>
      </c>
    </row>
    <row r="913" spans="2:13" ht="12.75" hidden="1">
      <c r="B913" s="86">
        <v>1241</v>
      </c>
      <c r="C913" s="86">
        <v>912</v>
      </c>
      <c r="D913" s="86" t="s">
        <v>9569</v>
      </c>
      <c r="E913" s="86" t="s">
        <v>5719</v>
      </c>
      <c r="F913" s="86" t="s">
        <v>273</v>
      </c>
      <c r="G913" s="86">
        <v>3</v>
      </c>
      <c r="H913" s="86" t="s">
        <v>5696</v>
      </c>
      <c r="I913" s="86">
        <v>3</v>
      </c>
      <c r="J913" s="86" t="s">
        <v>9266</v>
      </c>
      <c r="K913" s="8" t="s">
        <v>5718</v>
      </c>
      <c r="L913" s="8" t="s">
        <v>10101</v>
      </c>
      <c r="M913" s="167" t="str">
        <f t="shared" si="0"/>
        <v>OK</v>
      </c>
    </row>
    <row r="914" spans="2:13" ht="12.75" hidden="1">
      <c r="B914" s="86">
        <v>1241</v>
      </c>
      <c r="C914" s="86">
        <v>913</v>
      </c>
      <c r="D914" s="86" t="s">
        <v>9580</v>
      </c>
      <c r="E914" s="86" t="s">
        <v>5723</v>
      </c>
      <c r="F914" s="86" t="s">
        <v>297</v>
      </c>
      <c r="G914" s="86">
        <v>3</v>
      </c>
      <c r="H914" s="86" t="s">
        <v>5696</v>
      </c>
      <c r="I914" s="86">
        <v>3</v>
      </c>
      <c r="J914" s="86" t="s">
        <v>151</v>
      </c>
      <c r="K914" s="8" t="s">
        <v>5722</v>
      </c>
      <c r="L914" s="8" t="s">
        <v>10101</v>
      </c>
      <c r="M914" s="167" t="str">
        <f t="shared" si="0"/>
        <v>OK</v>
      </c>
    </row>
    <row r="915" spans="2:13" ht="12.75" hidden="1">
      <c r="B915" s="86">
        <v>1241</v>
      </c>
      <c r="C915" s="86">
        <v>914</v>
      </c>
      <c r="D915" s="86" t="s">
        <v>9569</v>
      </c>
      <c r="E915" s="86" t="s">
        <v>5558</v>
      </c>
      <c r="F915" s="86" t="s">
        <v>273</v>
      </c>
      <c r="G915" s="86">
        <v>45</v>
      </c>
      <c r="H915" s="86" t="s">
        <v>5310</v>
      </c>
      <c r="I915" s="86">
        <v>45</v>
      </c>
      <c r="J915" s="86" t="s">
        <v>9266</v>
      </c>
      <c r="K915" s="8" t="s">
        <v>5557</v>
      </c>
      <c r="L915" s="8" t="s">
        <v>10101</v>
      </c>
      <c r="M915" s="167" t="str">
        <f t="shared" si="0"/>
        <v>OK</v>
      </c>
    </row>
    <row r="916" spans="2:13" ht="12.75" hidden="1">
      <c r="B916" s="86">
        <v>1241</v>
      </c>
      <c r="C916" s="86">
        <v>915</v>
      </c>
      <c r="D916" s="86" t="s">
        <v>9580</v>
      </c>
      <c r="E916" s="86" t="s">
        <v>5563</v>
      </c>
      <c r="F916" s="86" t="s">
        <v>297</v>
      </c>
      <c r="G916" s="86">
        <v>45</v>
      </c>
      <c r="H916" s="86" t="s">
        <v>5310</v>
      </c>
      <c r="I916" s="86">
        <v>45</v>
      </c>
      <c r="J916" s="86" t="s">
        <v>151</v>
      </c>
      <c r="K916" s="8" t="s">
        <v>5568</v>
      </c>
      <c r="L916" s="8" t="s">
        <v>10101</v>
      </c>
      <c r="M916" s="167" t="str">
        <f t="shared" si="0"/>
        <v>OK</v>
      </c>
    </row>
    <row r="917" spans="2:13" ht="12.75" hidden="1">
      <c r="B917" s="86">
        <v>1241</v>
      </c>
      <c r="C917" s="86">
        <v>916</v>
      </c>
      <c r="D917" s="86" t="s">
        <v>9569</v>
      </c>
      <c r="E917" s="86" t="s">
        <v>5675</v>
      </c>
      <c r="F917" s="86" t="s">
        <v>273</v>
      </c>
      <c r="G917" s="86">
        <v>45</v>
      </c>
      <c r="H917" s="86" t="s">
        <v>5584</v>
      </c>
      <c r="I917" s="86">
        <v>54</v>
      </c>
      <c r="J917" s="86" t="s">
        <v>9266</v>
      </c>
      <c r="K917" s="8" t="s">
        <v>5674</v>
      </c>
      <c r="L917" s="8" t="s">
        <v>10101</v>
      </c>
      <c r="M917" s="167" t="str">
        <f t="shared" si="0"/>
        <v>OK</v>
      </c>
    </row>
    <row r="918" spans="2:13" ht="12.75" hidden="1">
      <c r="B918" s="86">
        <v>1241</v>
      </c>
      <c r="C918" s="86">
        <v>917</v>
      </c>
      <c r="D918" s="86" t="s">
        <v>9580</v>
      </c>
      <c r="E918" s="86" t="s">
        <v>5686</v>
      </c>
      <c r="F918" s="86" t="s">
        <v>297</v>
      </c>
      <c r="G918" s="86">
        <v>45</v>
      </c>
      <c r="H918" s="86" t="s">
        <v>5584</v>
      </c>
      <c r="I918" s="86">
        <v>54</v>
      </c>
      <c r="J918" s="86" t="s">
        <v>151</v>
      </c>
      <c r="K918" s="8" t="s">
        <v>10317</v>
      </c>
      <c r="L918" s="8" t="s">
        <v>10101</v>
      </c>
      <c r="M918" s="167" t="str">
        <f t="shared" si="0"/>
        <v>OK</v>
      </c>
    </row>
    <row r="919" spans="2:13" ht="12.75" hidden="1">
      <c r="B919" s="86">
        <v>1241</v>
      </c>
      <c r="C919" s="86">
        <v>918</v>
      </c>
      <c r="D919" s="86" t="s">
        <v>9569</v>
      </c>
      <c r="E919" s="86" t="s">
        <v>5361</v>
      </c>
      <c r="F919" s="86" t="s">
        <v>273</v>
      </c>
      <c r="G919" s="86">
        <v>43</v>
      </c>
      <c r="H919" s="86" t="s">
        <v>10173</v>
      </c>
      <c r="I919" s="86">
        <v>43</v>
      </c>
      <c r="J919" s="86" t="s">
        <v>9266</v>
      </c>
      <c r="K919" s="8" t="s">
        <v>5360</v>
      </c>
      <c r="L919" s="8" t="s">
        <v>10101</v>
      </c>
      <c r="M919" s="167" t="str">
        <f t="shared" si="0"/>
        <v>OK</v>
      </c>
    </row>
    <row r="920" spans="2:13" ht="12.75" hidden="1">
      <c r="B920" s="86">
        <v>1241</v>
      </c>
      <c r="C920" s="86">
        <v>919</v>
      </c>
      <c r="D920" s="86" t="s">
        <v>9580</v>
      </c>
      <c r="E920" s="86" t="s">
        <v>5365</v>
      </c>
      <c r="F920" s="86" t="s">
        <v>297</v>
      </c>
      <c r="G920" s="86">
        <v>43</v>
      </c>
      <c r="H920" s="86" t="s">
        <v>10173</v>
      </c>
      <c r="I920" s="86">
        <v>43</v>
      </c>
      <c r="J920" s="86" t="s">
        <v>151</v>
      </c>
      <c r="K920" s="8" t="s">
        <v>5364</v>
      </c>
      <c r="L920" s="8" t="s">
        <v>10101</v>
      </c>
      <c r="M920" s="167" t="str">
        <f t="shared" si="0"/>
        <v>OK</v>
      </c>
    </row>
    <row r="921" spans="2:13" ht="12.75" hidden="1">
      <c r="B921" s="86">
        <v>1241</v>
      </c>
      <c r="C921" s="86">
        <v>920</v>
      </c>
      <c r="D921" s="86" t="s">
        <v>9569</v>
      </c>
      <c r="E921" s="86" t="s">
        <v>3581</v>
      </c>
      <c r="F921" s="86" t="s">
        <v>273</v>
      </c>
      <c r="G921" s="86">
        <v>27</v>
      </c>
      <c r="H921" s="86" t="s">
        <v>10177</v>
      </c>
      <c r="I921" s="86">
        <v>27</v>
      </c>
      <c r="J921" s="86" t="s">
        <v>9266</v>
      </c>
      <c r="K921" s="8" t="s">
        <v>3580</v>
      </c>
      <c r="L921" s="8" t="s">
        <v>10101</v>
      </c>
      <c r="M921" s="167" t="str">
        <f t="shared" si="0"/>
        <v>OK</v>
      </c>
    </row>
    <row r="922" spans="2:13" ht="12.75" hidden="1">
      <c r="B922" s="86">
        <v>1241</v>
      </c>
      <c r="C922" s="86">
        <v>921</v>
      </c>
      <c r="D922" s="86" t="s">
        <v>9580</v>
      </c>
      <c r="E922" s="86" t="s">
        <v>3586</v>
      </c>
      <c r="F922" s="86" t="s">
        <v>297</v>
      </c>
      <c r="G922" s="86">
        <v>27</v>
      </c>
      <c r="H922" s="86" t="s">
        <v>10177</v>
      </c>
      <c r="I922" s="86">
        <v>27</v>
      </c>
      <c r="J922" s="86" t="s">
        <v>151</v>
      </c>
      <c r="K922" s="8" t="s">
        <v>3585</v>
      </c>
      <c r="L922" s="8" t="s">
        <v>10101</v>
      </c>
      <c r="M922" s="167" t="str">
        <f t="shared" si="0"/>
        <v>OK</v>
      </c>
    </row>
    <row r="923" spans="2:13" ht="12.75" hidden="1">
      <c r="B923" s="86">
        <v>1241</v>
      </c>
      <c r="C923" s="86">
        <v>922</v>
      </c>
      <c r="D923" s="86" t="s">
        <v>9569</v>
      </c>
      <c r="E923" s="86" t="s">
        <v>4534</v>
      </c>
      <c r="F923" s="86" t="s">
        <v>273</v>
      </c>
      <c r="G923" s="86">
        <v>44</v>
      </c>
      <c r="H923" s="86" t="s">
        <v>10188</v>
      </c>
      <c r="I923" s="86">
        <v>12</v>
      </c>
      <c r="J923" s="86" t="s">
        <v>9266</v>
      </c>
      <c r="K923" s="8" t="s">
        <v>4533</v>
      </c>
      <c r="L923" s="8" t="s">
        <v>10101</v>
      </c>
      <c r="M923" s="167" t="str">
        <f t="shared" si="0"/>
        <v>OK</v>
      </c>
    </row>
    <row r="924" spans="2:13" ht="12.75" hidden="1">
      <c r="B924" s="86">
        <v>1241</v>
      </c>
      <c r="C924" s="86">
        <v>923</v>
      </c>
      <c r="D924" s="86" t="s">
        <v>9580</v>
      </c>
      <c r="E924" s="86" t="s">
        <v>4538</v>
      </c>
      <c r="F924" s="86" t="s">
        <v>297</v>
      </c>
      <c r="G924" s="86">
        <v>44</v>
      </c>
      <c r="H924" s="86" t="s">
        <v>10188</v>
      </c>
      <c r="I924" s="86">
        <v>12</v>
      </c>
      <c r="J924" s="86" t="s">
        <v>151</v>
      </c>
      <c r="K924" s="8" t="s">
        <v>4537</v>
      </c>
      <c r="L924" s="8" t="s">
        <v>10101</v>
      </c>
      <c r="M924" s="167" t="str">
        <f t="shared" si="0"/>
        <v>OK</v>
      </c>
    </row>
    <row r="925" spans="2:13" ht="12.75" hidden="1">
      <c r="B925" s="86">
        <v>1241</v>
      </c>
      <c r="C925" s="86">
        <v>924</v>
      </c>
      <c r="D925" s="86" t="s">
        <v>9569</v>
      </c>
      <c r="E925" s="86" t="s">
        <v>4105</v>
      </c>
      <c r="F925" s="86" t="s">
        <v>273</v>
      </c>
      <c r="G925" s="86">
        <v>53</v>
      </c>
      <c r="H925" s="86" t="s">
        <v>10190</v>
      </c>
      <c r="I925" s="86">
        <v>11</v>
      </c>
      <c r="J925" s="86" t="s">
        <v>9266</v>
      </c>
      <c r="K925" s="8" t="s">
        <v>4104</v>
      </c>
      <c r="L925" s="8" t="s">
        <v>10101</v>
      </c>
      <c r="M925" s="167" t="str">
        <f t="shared" si="0"/>
        <v>OK</v>
      </c>
    </row>
    <row r="926" spans="2:13" ht="12.75" hidden="1">
      <c r="B926" s="86">
        <v>1241</v>
      </c>
      <c r="C926" s="86">
        <v>925</v>
      </c>
      <c r="D926" s="86" t="s">
        <v>9580</v>
      </c>
      <c r="E926" s="86" t="s">
        <v>4116</v>
      </c>
      <c r="F926" s="86" t="s">
        <v>297</v>
      </c>
      <c r="G926" s="86">
        <v>53</v>
      </c>
      <c r="H926" s="86" t="s">
        <v>10190</v>
      </c>
      <c r="I926" s="86">
        <v>11</v>
      </c>
      <c r="J926" s="86" t="s">
        <v>151</v>
      </c>
      <c r="K926" s="8" t="s">
        <v>4115</v>
      </c>
      <c r="L926" s="8" t="s">
        <v>10101</v>
      </c>
      <c r="M926" s="167" t="str">
        <f t="shared" si="0"/>
        <v>OK</v>
      </c>
    </row>
    <row r="927" spans="2:13" ht="12.75" hidden="1">
      <c r="B927" s="86">
        <v>1241</v>
      </c>
      <c r="C927" s="86">
        <v>926</v>
      </c>
      <c r="D927" s="86" t="s">
        <v>9569</v>
      </c>
      <c r="E927" s="86" t="s">
        <v>4352</v>
      </c>
      <c r="F927" s="86" t="s">
        <v>273</v>
      </c>
      <c r="G927" s="86">
        <v>44</v>
      </c>
      <c r="H927" s="86" t="s">
        <v>3840</v>
      </c>
      <c r="I927" s="86">
        <v>48</v>
      </c>
      <c r="J927" s="86" t="s">
        <v>9266</v>
      </c>
      <c r="K927" s="8" t="s">
        <v>4351</v>
      </c>
      <c r="L927" s="8" t="s">
        <v>10101</v>
      </c>
      <c r="M927" s="167" t="str">
        <f t="shared" si="0"/>
        <v>OK</v>
      </c>
    </row>
    <row r="928" spans="2:13" ht="12.75" hidden="1">
      <c r="B928" s="86">
        <v>1241</v>
      </c>
      <c r="C928" s="86">
        <v>927</v>
      </c>
      <c r="D928" s="86" t="s">
        <v>9580</v>
      </c>
      <c r="E928" s="86" t="s">
        <v>4356</v>
      </c>
      <c r="F928" s="86" t="s">
        <v>297</v>
      </c>
      <c r="G928" s="86">
        <v>44</v>
      </c>
      <c r="H928" s="86" t="s">
        <v>3840</v>
      </c>
      <c r="I928" s="86">
        <v>48</v>
      </c>
      <c r="J928" s="86" t="s">
        <v>151</v>
      </c>
      <c r="K928" s="8" t="s">
        <v>4355</v>
      </c>
      <c r="L928" s="8" t="s">
        <v>10101</v>
      </c>
      <c r="M928" s="167" t="str">
        <f t="shared" si="0"/>
        <v>OK</v>
      </c>
    </row>
    <row r="929" spans="2:13" ht="12.75" hidden="1">
      <c r="B929" s="86">
        <v>1241</v>
      </c>
      <c r="C929" s="86">
        <v>928</v>
      </c>
      <c r="D929" s="86" t="s">
        <v>9569</v>
      </c>
      <c r="E929" s="86" t="s">
        <v>4162</v>
      </c>
      <c r="F929" s="86" t="s">
        <v>273</v>
      </c>
      <c r="G929" s="86">
        <v>53</v>
      </c>
      <c r="H929" s="86" t="s">
        <v>7472</v>
      </c>
      <c r="I929" s="86">
        <v>36</v>
      </c>
      <c r="J929" s="86" t="s">
        <v>9266</v>
      </c>
      <c r="K929" s="8" t="s">
        <v>4161</v>
      </c>
      <c r="L929" s="8" t="s">
        <v>10101</v>
      </c>
      <c r="M929" s="167" t="str">
        <f t="shared" si="0"/>
        <v>OK</v>
      </c>
    </row>
    <row r="930" spans="2:13" ht="12.75" hidden="1">
      <c r="B930" s="86">
        <v>1241</v>
      </c>
      <c r="C930" s="86">
        <v>929</v>
      </c>
      <c r="D930" s="86" t="s">
        <v>9580</v>
      </c>
      <c r="E930" s="86" t="s">
        <v>4166</v>
      </c>
      <c r="F930" s="86" t="s">
        <v>297</v>
      </c>
      <c r="G930" s="86">
        <v>53</v>
      </c>
      <c r="H930" s="86" t="s">
        <v>7472</v>
      </c>
      <c r="I930" s="86">
        <v>36</v>
      </c>
      <c r="J930" s="86" t="s">
        <v>151</v>
      </c>
      <c r="K930" s="8" t="s">
        <v>4165</v>
      </c>
      <c r="L930" s="8" t="s">
        <v>10101</v>
      </c>
      <c r="M930" s="167" t="str">
        <f t="shared" si="0"/>
        <v>OK</v>
      </c>
    </row>
    <row r="931" spans="2:13" ht="12.75" hidden="1">
      <c r="B931" s="86">
        <v>1241</v>
      </c>
      <c r="C931" s="86">
        <v>930</v>
      </c>
      <c r="D931" s="86" t="s">
        <v>9569</v>
      </c>
      <c r="E931" s="86" t="s">
        <v>1633</v>
      </c>
      <c r="F931" s="86" t="s">
        <v>273</v>
      </c>
      <c r="G931" s="86">
        <v>52</v>
      </c>
      <c r="H931" s="86" t="s">
        <v>9609</v>
      </c>
      <c r="I931" s="86">
        <v>52</v>
      </c>
      <c r="J931" s="86" t="s">
        <v>9266</v>
      </c>
      <c r="K931" s="8" t="s">
        <v>1631</v>
      </c>
      <c r="L931" s="8" t="s">
        <v>10101</v>
      </c>
      <c r="M931" s="167" t="str">
        <f t="shared" si="0"/>
        <v>OK</v>
      </c>
    </row>
    <row r="932" spans="2:13" ht="12.75" hidden="1">
      <c r="B932" s="86">
        <v>1241</v>
      </c>
      <c r="C932" s="86">
        <v>931</v>
      </c>
      <c r="D932" s="86" t="s">
        <v>9580</v>
      </c>
      <c r="E932" s="86" t="s">
        <v>1627</v>
      </c>
      <c r="F932" s="86" t="s">
        <v>297</v>
      </c>
      <c r="G932" s="86">
        <v>52</v>
      </c>
      <c r="H932" s="86" t="s">
        <v>9609</v>
      </c>
      <c r="I932" s="86">
        <v>52</v>
      </c>
      <c r="J932" s="86" t="s">
        <v>151</v>
      </c>
      <c r="K932" s="8" t="s">
        <v>1625</v>
      </c>
      <c r="L932" s="8" t="s">
        <v>10101</v>
      </c>
      <c r="M932" s="167" t="str">
        <f t="shared" si="0"/>
        <v>OK</v>
      </c>
    </row>
    <row r="933" spans="2:13" ht="12.75" hidden="1">
      <c r="B933" s="86">
        <v>1241</v>
      </c>
      <c r="C933" s="86">
        <v>932</v>
      </c>
      <c r="D933" s="86" t="s">
        <v>9569</v>
      </c>
      <c r="E933" s="86" t="s">
        <v>1782</v>
      </c>
      <c r="F933" s="86" t="s">
        <v>273</v>
      </c>
      <c r="G933" s="86">
        <v>52</v>
      </c>
      <c r="H933" s="86" t="s">
        <v>1672</v>
      </c>
      <c r="I933" s="86">
        <v>7</v>
      </c>
      <c r="J933" s="86" t="s">
        <v>9266</v>
      </c>
      <c r="K933" s="8" t="s">
        <v>1780</v>
      </c>
      <c r="L933" s="8" t="s">
        <v>10101</v>
      </c>
      <c r="M933" s="167" t="str">
        <f t="shared" si="0"/>
        <v>OK</v>
      </c>
    </row>
    <row r="934" spans="2:13" ht="12.75" hidden="1">
      <c r="B934" s="86">
        <v>1241</v>
      </c>
      <c r="C934" s="86">
        <v>933</v>
      </c>
      <c r="D934" s="86" t="s">
        <v>9580</v>
      </c>
      <c r="E934" s="86" t="s">
        <v>1788</v>
      </c>
      <c r="F934" s="86" t="s">
        <v>297</v>
      </c>
      <c r="G934" s="86">
        <v>52</v>
      </c>
      <c r="H934" s="86" t="s">
        <v>1672</v>
      </c>
      <c r="I934" s="86">
        <v>7</v>
      </c>
      <c r="J934" s="86" t="s">
        <v>151</v>
      </c>
      <c r="K934" s="8" t="s">
        <v>1786</v>
      </c>
      <c r="L934" s="8" t="s">
        <v>10101</v>
      </c>
      <c r="M934" s="167" t="str">
        <f t="shared" si="0"/>
        <v>OK</v>
      </c>
    </row>
    <row r="935" spans="2:13" ht="12.75" hidden="1">
      <c r="B935" s="86">
        <v>1241</v>
      </c>
      <c r="C935" s="86">
        <v>934</v>
      </c>
      <c r="D935" s="86" t="s">
        <v>9569</v>
      </c>
      <c r="E935" s="86" t="s">
        <v>344</v>
      </c>
      <c r="F935" s="86" t="s">
        <v>273</v>
      </c>
      <c r="G935" s="86">
        <v>25</v>
      </c>
      <c r="H935" s="86" t="s">
        <v>10219</v>
      </c>
      <c r="I935" s="86">
        <v>8</v>
      </c>
      <c r="J935" s="86" t="s">
        <v>9266</v>
      </c>
      <c r="K935" s="8" t="s">
        <v>343</v>
      </c>
      <c r="L935" s="8" t="s">
        <v>10101</v>
      </c>
      <c r="M935" s="167" t="str">
        <f t="shared" si="0"/>
        <v>OK</v>
      </c>
    </row>
    <row r="936" spans="2:13" ht="12.75" hidden="1">
      <c r="B936" s="86">
        <v>1241</v>
      </c>
      <c r="C936" s="86">
        <v>935</v>
      </c>
      <c r="D936" s="86" t="s">
        <v>9580</v>
      </c>
      <c r="E936" s="86" t="s">
        <v>330</v>
      </c>
      <c r="F936" s="86" t="s">
        <v>297</v>
      </c>
      <c r="G936" s="86">
        <v>25</v>
      </c>
      <c r="H936" s="86" t="s">
        <v>10219</v>
      </c>
      <c r="I936" s="86">
        <v>8</v>
      </c>
      <c r="J936" s="86" t="s">
        <v>151</v>
      </c>
      <c r="K936" s="8" t="s">
        <v>329</v>
      </c>
      <c r="L936" s="8" t="s">
        <v>10101</v>
      </c>
      <c r="M936" s="167" t="str">
        <f t="shared" si="0"/>
        <v>OK</v>
      </c>
    </row>
    <row r="937" spans="2:13" ht="12.75" hidden="1">
      <c r="B937" s="86">
        <v>1241</v>
      </c>
      <c r="C937" s="86">
        <v>936</v>
      </c>
      <c r="D937" s="86" t="s">
        <v>9569</v>
      </c>
      <c r="E937" s="86" t="s">
        <v>4701</v>
      </c>
      <c r="F937" s="86" t="s">
        <v>273</v>
      </c>
      <c r="G937" s="86">
        <v>15</v>
      </c>
      <c r="H937" s="86" t="s">
        <v>8419</v>
      </c>
      <c r="I937" s="86">
        <v>20</v>
      </c>
      <c r="J937" s="86" t="s">
        <v>9266</v>
      </c>
      <c r="K937" s="8" t="s">
        <v>4700</v>
      </c>
      <c r="L937" s="8" t="s">
        <v>10101</v>
      </c>
      <c r="M937" s="167" t="str">
        <f t="shared" si="0"/>
        <v>OK</v>
      </c>
    </row>
    <row r="938" spans="2:13" ht="12.75" hidden="1">
      <c r="B938" s="86">
        <v>1241</v>
      </c>
      <c r="C938" s="86">
        <v>937</v>
      </c>
      <c r="D938" s="86" t="s">
        <v>9580</v>
      </c>
      <c r="E938" s="86" t="s">
        <v>4696</v>
      </c>
      <c r="F938" s="86" t="s">
        <v>297</v>
      </c>
      <c r="G938" s="86">
        <v>15</v>
      </c>
      <c r="H938" s="86" t="s">
        <v>8419</v>
      </c>
      <c r="I938" s="86">
        <v>20</v>
      </c>
      <c r="J938" s="86" t="s">
        <v>151</v>
      </c>
      <c r="K938" s="8" t="s">
        <v>4695</v>
      </c>
      <c r="L938" s="8" t="s">
        <v>10101</v>
      </c>
      <c r="M938" s="167" t="str">
        <f t="shared" si="0"/>
        <v>OK</v>
      </c>
    </row>
    <row r="939" spans="2:13" ht="12.75" hidden="1">
      <c r="B939" s="86">
        <v>1241</v>
      </c>
      <c r="C939" s="86">
        <v>938</v>
      </c>
      <c r="D939" s="86" t="s">
        <v>9569</v>
      </c>
      <c r="E939" s="86" t="s">
        <v>1238</v>
      </c>
      <c r="F939" s="86" t="s">
        <v>273</v>
      </c>
      <c r="G939" s="86">
        <v>47</v>
      </c>
      <c r="H939" s="86" t="s">
        <v>1164</v>
      </c>
      <c r="I939" s="86">
        <v>47</v>
      </c>
      <c r="J939" s="86" t="s">
        <v>9266</v>
      </c>
      <c r="K939" s="8" t="s">
        <v>1237</v>
      </c>
      <c r="L939" s="8" t="s">
        <v>10101</v>
      </c>
      <c r="M939" s="167" t="str">
        <f t="shared" si="0"/>
        <v>OK</v>
      </c>
    </row>
    <row r="940" spans="2:13" ht="12.75" hidden="1">
      <c r="B940" s="86">
        <v>1241</v>
      </c>
      <c r="C940" s="86">
        <v>939</v>
      </c>
      <c r="D940" s="86" t="s">
        <v>9580</v>
      </c>
      <c r="E940" s="86" t="s">
        <v>1226</v>
      </c>
      <c r="F940" s="86" t="s">
        <v>297</v>
      </c>
      <c r="G940" s="86">
        <v>47</v>
      </c>
      <c r="H940" s="86" t="s">
        <v>1164</v>
      </c>
      <c r="I940" s="86">
        <v>47</v>
      </c>
      <c r="J940" s="86" t="s">
        <v>151</v>
      </c>
      <c r="K940" s="8" t="s">
        <v>1225</v>
      </c>
      <c r="L940" s="8" t="s">
        <v>10101</v>
      </c>
      <c r="M940" s="167" t="str">
        <f t="shared" si="0"/>
        <v>OK</v>
      </c>
    </row>
    <row r="941" spans="2:13" ht="12.75" hidden="1">
      <c r="B941" s="86">
        <v>1241</v>
      </c>
      <c r="C941" s="86">
        <v>940</v>
      </c>
      <c r="D941" s="86" t="s">
        <v>9569</v>
      </c>
      <c r="E941" s="86" t="s">
        <v>272</v>
      </c>
      <c r="F941" s="86" t="s">
        <v>273</v>
      </c>
      <c r="G941" s="86">
        <v>25</v>
      </c>
      <c r="H941" s="86" t="s">
        <v>10236</v>
      </c>
      <c r="I941" s="86">
        <v>29</v>
      </c>
      <c r="J941" s="86" t="s">
        <v>9266</v>
      </c>
      <c r="K941" s="8" t="s">
        <v>271</v>
      </c>
      <c r="L941" s="8" t="s">
        <v>10101</v>
      </c>
      <c r="M941" s="167" t="str">
        <f t="shared" si="0"/>
        <v>OK</v>
      </c>
    </row>
    <row r="942" spans="2:13" ht="12.75" hidden="1">
      <c r="B942" s="86">
        <v>1241</v>
      </c>
      <c r="C942" s="86">
        <v>941</v>
      </c>
      <c r="D942" s="86" t="s">
        <v>9580</v>
      </c>
      <c r="E942" s="86" t="s">
        <v>296</v>
      </c>
      <c r="F942" s="86" t="s">
        <v>297</v>
      </c>
      <c r="G942" s="86">
        <v>25</v>
      </c>
      <c r="H942" s="86" t="s">
        <v>10236</v>
      </c>
      <c r="I942" s="86">
        <v>29</v>
      </c>
      <c r="J942" s="86" t="s">
        <v>151</v>
      </c>
      <c r="K942" s="8" t="s">
        <v>295</v>
      </c>
      <c r="L942" s="8" t="s">
        <v>10101</v>
      </c>
      <c r="M942" s="167" t="str">
        <f t="shared" si="0"/>
        <v>OK</v>
      </c>
    </row>
    <row r="943" spans="2:13" ht="12.75" hidden="1">
      <c r="B943" s="86">
        <v>1241</v>
      </c>
      <c r="C943" s="86">
        <v>942</v>
      </c>
      <c r="D943" s="86" t="s">
        <v>9569</v>
      </c>
      <c r="E943" s="86" t="s">
        <v>1359</v>
      </c>
      <c r="F943" s="86" t="s">
        <v>273</v>
      </c>
      <c r="G943" s="86">
        <v>25</v>
      </c>
      <c r="H943" s="86" t="s">
        <v>1350</v>
      </c>
      <c r="I943" s="86">
        <v>61</v>
      </c>
      <c r="J943" s="86" t="s">
        <v>9266</v>
      </c>
      <c r="K943" s="8" t="s">
        <v>1358</v>
      </c>
      <c r="L943" s="8" t="s">
        <v>10101</v>
      </c>
      <c r="M943" s="167" t="str">
        <f t="shared" si="0"/>
        <v>OK</v>
      </c>
    </row>
    <row r="944" spans="2:13" ht="12.75" hidden="1">
      <c r="B944" s="86">
        <v>1246</v>
      </c>
      <c r="C944" s="86">
        <v>943</v>
      </c>
      <c r="D944" s="86" t="s">
        <v>9607</v>
      </c>
      <c r="E944" s="86" t="s">
        <v>6778</v>
      </c>
      <c r="F944" s="86" t="s">
        <v>663</v>
      </c>
      <c r="G944" s="86">
        <v>50</v>
      </c>
      <c r="H944" s="86" t="s">
        <v>7404</v>
      </c>
      <c r="I944" s="86">
        <v>50</v>
      </c>
      <c r="J944" s="86" t="s">
        <v>162</v>
      </c>
      <c r="K944" s="8" t="s">
        <v>141</v>
      </c>
      <c r="L944" s="8" t="s">
        <v>10318</v>
      </c>
      <c r="M944" s="167" t="str">
        <f t="shared" si="0"/>
        <v>REPETIDO</v>
      </c>
    </row>
    <row r="945" spans="2:13" ht="12.75" hidden="1">
      <c r="B945" s="86">
        <v>1241</v>
      </c>
      <c r="C945" s="86">
        <v>944</v>
      </c>
      <c r="D945" s="86" t="s">
        <v>9580</v>
      </c>
      <c r="E945" s="86" t="s">
        <v>1354</v>
      </c>
      <c r="F945" s="86" t="s">
        <v>297</v>
      </c>
      <c r="G945" s="86">
        <v>25</v>
      </c>
      <c r="H945" s="86" t="s">
        <v>1350</v>
      </c>
      <c r="I945" s="86">
        <v>61</v>
      </c>
      <c r="J945" s="86" t="s">
        <v>151</v>
      </c>
      <c r="K945" s="8" t="s">
        <v>1353</v>
      </c>
      <c r="L945" s="8" t="s">
        <v>10101</v>
      </c>
      <c r="M945" s="167" t="str">
        <f t="shared" si="0"/>
        <v>OK</v>
      </c>
    </row>
    <row r="946" spans="2:13" ht="12.75" hidden="1">
      <c r="B946" s="86">
        <v>1241</v>
      </c>
      <c r="C946" s="86">
        <v>945</v>
      </c>
      <c r="D946" s="86" t="s">
        <v>9569</v>
      </c>
      <c r="E946" s="86" t="s">
        <v>4479</v>
      </c>
      <c r="F946" s="86" t="s">
        <v>273</v>
      </c>
      <c r="G946" s="86">
        <v>44</v>
      </c>
      <c r="H946" s="86" t="s">
        <v>4181</v>
      </c>
      <c r="I946" s="86">
        <v>65</v>
      </c>
      <c r="J946" s="86" t="s">
        <v>9266</v>
      </c>
      <c r="K946" s="8" t="s">
        <v>4478</v>
      </c>
      <c r="L946" s="8" t="s">
        <v>10101</v>
      </c>
      <c r="M946" s="167" t="str">
        <f t="shared" si="0"/>
        <v>OK</v>
      </c>
    </row>
    <row r="947" spans="2:13" ht="12.75" hidden="1">
      <c r="B947" s="86">
        <v>1241</v>
      </c>
      <c r="C947" s="86">
        <v>946</v>
      </c>
      <c r="D947" s="86" t="s">
        <v>9580</v>
      </c>
      <c r="E947" s="86" t="s">
        <v>4483</v>
      </c>
      <c r="F947" s="86" t="s">
        <v>297</v>
      </c>
      <c r="G947" s="86">
        <v>44</v>
      </c>
      <c r="H947" s="86" t="s">
        <v>4181</v>
      </c>
      <c r="I947" s="86">
        <v>65</v>
      </c>
      <c r="J947" s="86" t="s">
        <v>151</v>
      </c>
      <c r="K947" s="8" t="s">
        <v>4482</v>
      </c>
      <c r="L947" s="8" t="s">
        <v>10101</v>
      </c>
      <c r="M947" s="167" t="str">
        <f t="shared" si="0"/>
        <v>OK</v>
      </c>
    </row>
    <row r="948" spans="2:13" ht="12.75" hidden="1">
      <c r="B948" s="86">
        <v>1241</v>
      </c>
      <c r="C948" s="86">
        <v>947</v>
      </c>
      <c r="D948" s="86" t="s">
        <v>9569</v>
      </c>
      <c r="E948" s="86" t="s">
        <v>4403</v>
      </c>
      <c r="F948" s="86" t="s">
        <v>273</v>
      </c>
      <c r="G948" s="86">
        <v>44</v>
      </c>
      <c r="H948" s="86" t="s">
        <v>10180</v>
      </c>
      <c r="I948" s="86">
        <v>1</v>
      </c>
      <c r="J948" s="86" t="s">
        <v>9266</v>
      </c>
      <c r="K948" s="8" t="s">
        <v>4402</v>
      </c>
      <c r="L948" s="8" t="s">
        <v>10101</v>
      </c>
      <c r="M948" s="167" t="str">
        <f t="shared" si="0"/>
        <v>OK</v>
      </c>
    </row>
    <row r="949" spans="2:13" ht="12.75" hidden="1">
      <c r="B949" s="86">
        <v>1241</v>
      </c>
      <c r="C949" s="86">
        <v>948</v>
      </c>
      <c r="D949" s="86" t="s">
        <v>9580</v>
      </c>
      <c r="E949" s="86" t="s">
        <v>4407</v>
      </c>
      <c r="F949" s="86" t="s">
        <v>297</v>
      </c>
      <c r="G949" s="86">
        <v>44</v>
      </c>
      <c r="H949" s="86" t="s">
        <v>10180</v>
      </c>
      <c r="I949" s="86">
        <v>1</v>
      </c>
      <c r="J949" s="86" t="s">
        <v>151</v>
      </c>
      <c r="K949" s="8" t="s">
        <v>4406</v>
      </c>
      <c r="L949" s="8" t="s">
        <v>10101</v>
      </c>
      <c r="M949" s="167" t="str">
        <f t="shared" si="0"/>
        <v>OK</v>
      </c>
    </row>
    <row r="950" spans="2:13" ht="12.75" hidden="1">
      <c r="B950" s="86">
        <v>1246</v>
      </c>
      <c r="C950" s="86">
        <v>949</v>
      </c>
      <c r="D950" s="86" t="s">
        <v>9607</v>
      </c>
      <c r="E950" s="86" t="s">
        <v>6784</v>
      </c>
      <c r="F950" s="86" t="s">
        <v>663</v>
      </c>
      <c r="G950" s="86">
        <v>50</v>
      </c>
      <c r="H950" s="86" t="s">
        <v>7404</v>
      </c>
      <c r="I950" s="86">
        <v>50</v>
      </c>
      <c r="J950" s="86" t="s">
        <v>285</v>
      </c>
      <c r="K950" s="8" t="s">
        <v>141</v>
      </c>
      <c r="L950" s="8" t="s">
        <v>10318</v>
      </c>
      <c r="M950" s="167" t="str">
        <f t="shared" si="0"/>
        <v>REPETIDO</v>
      </c>
    </row>
    <row r="951" spans="2:13" ht="12.75" hidden="1">
      <c r="B951" s="86">
        <v>1246</v>
      </c>
      <c r="C951" s="86">
        <v>950</v>
      </c>
      <c r="D951" s="86" t="s">
        <v>9607</v>
      </c>
      <c r="E951" s="86" t="s">
        <v>6790</v>
      </c>
      <c r="F951" s="86" t="s">
        <v>663</v>
      </c>
      <c r="G951" s="86">
        <v>50</v>
      </c>
      <c r="H951" s="86" t="s">
        <v>7404</v>
      </c>
      <c r="I951" s="86">
        <v>50</v>
      </c>
      <c r="J951" s="86" t="s">
        <v>285</v>
      </c>
      <c r="K951" s="8" t="s">
        <v>141</v>
      </c>
      <c r="L951" s="8" t="s">
        <v>10318</v>
      </c>
      <c r="M951" s="167" t="str">
        <f t="shared" si="0"/>
        <v>REPETIDO</v>
      </c>
    </row>
    <row r="952" spans="2:13" ht="12.75" hidden="1">
      <c r="B952" s="86">
        <v>1246</v>
      </c>
      <c r="C952" s="86">
        <v>951</v>
      </c>
      <c r="D952" s="86" t="s">
        <v>9607</v>
      </c>
      <c r="E952" s="86" t="s">
        <v>6795</v>
      </c>
      <c r="F952" s="86" t="s">
        <v>663</v>
      </c>
      <c r="G952" s="86">
        <v>50</v>
      </c>
      <c r="H952" s="86" t="s">
        <v>7404</v>
      </c>
      <c r="I952" s="86">
        <v>50</v>
      </c>
      <c r="J952" s="86" t="s">
        <v>285</v>
      </c>
      <c r="K952" s="8" t="s">
        <v>141</v>
      </c>
      <c r="L952" s="8" t="s">
        <v>10318</v>
      </c>
      <c r="M952" s="167" t="str">
        <f t="shared" si="0"/>
        <v>REPETIDO</v>
      </c>
    </row>
    <row r="953" spans="2:13" ht="12.75" hidden="1">
      <c r="B953" s="86">
        <v>1246</v>
      </c>
      <c r="C953" s="86">
        <v>952</v>
      </c>
      <c r="D953" s="86" t="s">
        <v>9607</v>
      </c>
      <c r="E953" s="86" t="s">
        <v>6800</v>
      </c>
      <c r="F953" s="86" t="s">
        <v>663</v>
      </c>
      <c r="G953" s="86">
        <v>50</v>
      </c>
      <c r="H953" s="86" t="s">
        <v>7404</v>
      </c>
      <c r="I953" s="86">
        <v>50</v>
      </c>
      <c r="J953" s="86" t="s">
        <v>285</v>
      </c>
      <c r="K953" s="8" t="s">
        <v>141</v>
      </c>
      <c r="L953" s="8" t="s">
        <v>10318</v>
      </c>
      <c r="M953" s="167" t="str">
        <f t="shared" si="0"/>
        <v>REPETIDO</v>
      </c>
    </row>
  </sheetData>
  <autoFilter ref="B2:L953">
    <filterColumn colId="9">
      <filters>
        <filter val="0"/>
        <filter val="1"/>
        <filter val="ALTA"/>
        <filter val="BAJA"/>
        <filter val="P1251-029"/>
        <filter val="P1255-017"/>
        <filter val="P1255-55-023"/>
        <filter val="P12SI-030"/>
        <filter val="P12SJ-014"/>
        <filter val="P12SS-012"/>
        <filter val="P12ST-002"/>
        <filter val="P12ST-003"/>
        <filter val="P13IN-015"/>
        <filter val="P13IN-019"/>
        <filter val="P13IN-020"/>
        <filter val="P13IN-028"/>
        <filter val="P13IN-029"/>
        <filter val="P13IN-040"/>
        <filter val="P13IN-041"/>
        <filter val="P13IN-048"/>
        <filter val="P13IN-049"/>
        <filter val="P13LI-036"/>
        <filter val="P13LI-038"/>
        <filter val="P13LI-045"/>
        <filter val="P13LI-046"/>
        <filter val="P13SO-018"/>
        <filter val="P13SO-019"/>
        <filter val="P1PP-005"/>
        <filter val="P1PP-006"/>
        <filter val="P1PP-008A"/>
        <filter val="P1PP-017"/>
        <filter val="P1PP-026"/>
        <filter val="P1PP-027"/>
        <filter val="P1PP-029"/>
        <filter val="P1PP-043"/>
        <filter val="P1PP-044"/>
        <filter val="P21DG-018"/>
        <filter val="P21DG-039"/>
        <filter val="P21DG-069"/>
        <filter val="P21DG-081"/>
        <filter val="P24A-038"/>
        <filter val="P24AD-018"/>
        <filter val="P24AD-020"/>
        <filter val="P24AD-036"/>
        <filter val="P24AS-007A"/>
        <filter val="P24AS-009"/>
        <filter val="P24AS-010"/>
        <filter val="P24NV-005"/>
        <filter val="P24NV-006"/>
        <filter val="P24SJ-011"/>
        <filter val="P24SJ-028"/>
        <filter val="P24SJ-029"/>
        <filter val="P24SJ-040"/>
        <filter val="P24SJ-055"/>
        <filter val="P24SJ-39"/>
        <filter val="P35DA-007"/>
        <filter val="P35DA-009"/>
        <filter val="PB2PP-011"/>
        <filter val="PB3CV-019"/>
        <filter val="PB3CV-020"/>
        <filter val="PB5DA-006"/>
        <filter val="PB5DA-025"/>
        <filter val="PB5DA-028"/>
        <filter val="PB5DA-033"/>
        <filter val="PB5DA-035"/>
        <filter val="PB5DA-063"/>
        <filter val="PB5RH-009"/>
        <filter val="PB5RH-011"/>
        <filter val="PB5RH-028"/>
        <filter val="PB5RH-029"/>
        <filter val="PB5RM-022"/>
        <filter val="PB5RM-045"/>
        <filter val="PB5RM-059"/>
        <filter val="PB5RM-061"/>
      </filters>
    </filterColumn>
    <filterColumn colId="10">
      <filters blank="1">
        <filter val="5150100005-118"/>
        <filter val="BAJA"/>
        <filter val="BAJA NO ENCONTRADO"/>
        <filter val="BAJA REPETIDO"/>
        <filter val="NO ENCONTRADO EN TOMA FÍSICA"/>
        <filter val="PENDIENTE"/>
        <filter val="PENDIENTE REVISAR"/>
        <filter val="PENDIENTE SILLA METALICA AZUL"/>
        <filter val="REPETIDO BAJA"/>
        <filter val="REVISAR VALOR"/>
      </filters>
    </filterColumn>
  </autoFilter>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1001"/>
  <sheetViews>
    <sheetView workbookViewId="0"/>
  </sheetViews>
  <sheetFormatPr baseColWidth="10" defaultColWidth="12.5703125" defaultRowHeight="15.75" customHeight="1"/>
  <sheetData>
    <row r="1" spans="1:23" ht="12.75">
      <c r="A1" s="238"/>
      <c r="B1" s="238"/>
      <c r="C1" s="238"/>
      <c r="D1" s="238"/>
      <c r="E1" s="238"/>
      <c r="F1" s="238"/>
      <c r="G1" s="238"/>
      <c r="H1" s="238"/>
      <c r="I1" s="238"/>
      <c r="J1" s="238"/>
      <c r="K1" s="238"/>
      <c r="L1" s="238"/>
      <c r="M1" s="238"/>
      <c r="N1" s="238"/>
      <c r="O1" s="238"/>
      <c r="P1" s="238"/>
      <c r="Q1" s="238"/>
      <c r="R1" s="238"/>
      <c r="S1" s="238"/>
      <c r="T1" s="238"/>
      <c r="U1" s="238"/>
      <c r="V1" s="238"/>
      <c r="W1" s="238"/>
    </row>
    <row r="2" spans="1:23" ht="12.75">
      <c r="A2" s="238"/>
      <c r="B2" s="238"/>
      <c r="C2" s="238"/>
      <c r="D2" s="238"/>
      <c r="E2" s="238"/>
      <c r="F2" s="238"/>
      <c r="G2" s="238"/>
      <c r="H2" s="238"/>
      <c r="I2" s="238"/>
      <c r="J2" s="238"/>
      <c r="K2" s="238"/>
      <c r="L2" s="238"/>
      <c r="M2" s="238"/>
      <c r="N2" s="238"/>
      <c r="O2" s="238"/>
      <c r="P2" s="238"/>
      <c r="Q2" s="238"/>
      <c r="R2" s="238"/>
      <c r="S2" s="238"/>
      <c r="T2" s="238"/>
      <c r="U2" s="238"/>
      <c r="V2" s="238"/>
      <c r="W2" s="238"/>
    </row>
    <row r="3" spans="1:23" ht="15.75" customHeight="1">
      <c r="A3" s="238"/>
      <c r="B3" s="239"/>
      <c r="C3" s="238"/>
      <c r="D3" s="238"/>
      <c r="E3" s="238"/>
      <c r="F3" s="238"/>
      <c r="G3" s="238"/>
      <c r="H3" s="238"/>
      <c r="I3" s="238"/>
      <c r="J3" s="238"/>
      <c r="K3" s="238"/>
      <c r="L3" s="238"/>
      <c r="M3" s="238"/>
      <c r="N3" s="238"/>
      <c r="O3" s="238"/>
      <c r="P3" s="238"/>
      <c r="Q3" s="238"/>
      <c r="R3" s="238"/>
      <c r="S3" s="238"/>
      <c r="T3" s="238"/>
      <c r="U3" s="238"/>
      <c r="V3" s="238"/>
      <c r="W3" s="238"/>
    </row>
    <row r="4" spans="1:23" ht="15.75" customHeight="1">
      <c r="A4" s="238"/>
      <c r="B4" s="240" t="s">
        <v>10319</v>
      </c>
      <c r="C4" s="238"/>
      <c r="D4" s="238"/>
      <c r="E4" s="238"/>
      <c r="F4" s="238"/>
      <c r="G4" s="238"/>
      <c r="H4" s="238"/>
      <c r="I4" s="238"/>
      <c r="J4" s="238"/>
      <c r="K4" s="238"/>
      <c r="L4" s="238"/>
      <c r="M4" s="238"/>
      <c r="N4" s="238"/>
      <c r="O4" s="238"/>
      <c r="P4" s="238"/>
      <c r="Q4" s="238"/>
      <c r="R4" s="238"/>
      <c r="S4" s="238"/>
      <c r="T4" s="238"/>
      <c r="U4" s="238"/>
      <c r="V4" s="238"/>
      <c r="W4" s="238"/>
    </row>
    <row r="5" spans="1:23" ht="60">
      <c r="A5" s="238"/>
      <c r="B5" s="241" t="s">
        <v>0</v>
      </c>
      <c r="C5" s="241" t="s">
        <v>1</v>
      </c>
      <c r="D5" s="241" t="s">
        <v>2</v>
      </c>
      <c r="E5" s="241" t="s">
        <v>3</v>
      </c>
      <c r="F5" s="242" t="s">
        <v>10320</v>
      </c>
      <c r="G5" s="242" t="s">
        <v>5</v>
      </c>
      <c r="H5" s="242"/>
      <c r="I5" s="242"/>
      <c r="J5" s="242" t="s">
        <v>9</v>
      </c>
      <c r="K5" s="242" t="s">
        <v>10</v>
      </c>
      <c r="L5" s="242" t="s">
        <v>11</v>
      </c>
      <c r="M5" s="242" t="s">
        <v>12</v>
      </c>
      <c r="N5" s="242" t="s">
        <v>13</v>
      </c>
      <c r="O5" s="242"/>
      <c r="P5" s="242" t="s">
        <v>9559</v>
      </c>
      <c r="Q5" s="243" t="s">
        <v>10321</v>
      </c>
      <c r="R5" s="243" t="s">
        <v>10322</v>
      </c>
      <c r="S5" s="241" t="s">
        <v>17</v>
      </c>
      <c r="T5" s="243" t="s">
        <v>10323</v>
      </c>
      <c r="U5" s="242" t="s">
        <v>10324</v>
      </c>
      <c r="V5" s="243" t="s">
        <v>10325</v>
      </c>
      <c r="W5" s="244" t="s">
        <v>9564</v>
      </c>
    </row>
    <row r="6" spans="1:23" ht="12.75">
      <c r="A6" s="238"/>
      <c r="B6" s="245"/>
      <c r="C6" s="245"/>
      <c r="D6" s="245"/>
      <c r="E6" s="245"/>
      <c r="F6" s="245"/>
      <c r="G6" s="245"/>
      <c r="H6" s="245"/>
      <c r="I6" s="245"/>
      <c r="J6" s="245"/>
      <c r="K6" s="245"/>
      <c r="L6" s="245"/>
      <c r="M6" s="245"/>
      <c r="N6" s="245"/>
      <c r="O6" s="245"/>
      <c r="P6" s="245"/>
      <c r="Q6" s="245"/>
      <c r="R6" s="245"/>
      <c r="S6" s="245"/>
      <c r="T6" s="245"/>
      <c r="U6" s="245"/>
      <c r="V6" s="245"/>
      <c r="W6" s="245"/>
    </row>
    <row r="7" spans="1:23" ht="12.75">
      <c r="A7" s="238"/>
      <c r="B7" s="238"/>
      <c r="C7" s="238"/>
      <c r="D7" s="238"/>
      <c r="E7" s="238"/>
      <c r="F7" s="238"/>
      <c r="G7" s="238"/>
      <c r="H7" s="238"/>
      <c r="I7" s="238"/>
      <c r="J7" s="238"/>
      <c r="K7" s="238"/>
      <c r="L7" s="238"/>
      <c r="M7" s="238"/>
      <c r="N7" s="238"/>
      <c r="O7" s="238"/>
      <c r="P7" s="238"/>
      <c r="Q7" s="238"/>
      <c r="R7" s="238"/>
      <c r="S7" s="238"/>
      <c r="T7" s="238"/>
      <c r="U7" s="238"/>
      <c r="V7" s="238"/>
      <c r="W7" s="238"/>
    </row>
    <row r="8" spans="1:23" ht="12.75">
      <c r="A8" s="238"/>
      <c r="B8" s="238"/>
      <c r="C8" s="238"/>
      <c r="D8" s="238"/>
      <c r="E8" s="238"/>
      <c r="F8" s="238"/>
      <c r="G8" s="238"/>
      <c r="H8" s="238"/>
      <c r="I8" s="238"/>
      <c r="J8" s="238"/>
      <c r="K8" s="238"/>
      <c r="L8" s="238"/>
      <c r="M8" s="238"/>
      <c r="N8" s="238"/>
      <c r="O8" s="238"/>
      <c r="P8" s="238"/>
      <c r="Q8" s="238"/>
      <c r="R8" s="238"/>
      <c r="S8" s="238"/>
      <c r="T8" s="238"/>
      <c r="U8" s="238"/>
      <c r="V8" s="238"/>
      <c r="W8" s="238"/>
    </row>
    <row r="9" spans="1:23" ht="12.75">
      <c r="A9" s="238"/>
      <c r="B9" s="238"/>
      <c r="C9" s="238"/>
      <c r="D9" s="238"/>
      <c r="E9" s="238"/>
      <c r="F9" s="238"/>
      <c r="G9" s="238"/>
      <c r="H9" s="238"/>
      <c r="I9" s="238"/>
      <c r="J9" s="238"/>
      <c r="K9" s="238"/>
      <c r="L9" s="238"/>
      <c r="M9" s="238"/>
      <c r="N9" s="238"/>
      <c r="O9" s="238"/>
      <c r="P9" s="238"/>
      <c r="Q9" s="238"/>
      <c r="R9" s="238"/>
      <c r="S9" s="238"/>
      <c r="T9" s="238"/>
      <c r="U9" s="238"/>
      <c r="V9" s="238"/>
      <c r="W9" s="238"/>
    </row>
    <row r="10" spans="1:23" ht="15.75" customHeight="1">
      <c r="A10" s="238"/>
      <c r="B10" s="246" t="s">
        <v>10326</v>
      </c>
      <c r="C10" s="238"/>
      <c r="D10" s="238"/>
      <c r="E10" s="238"/>
      <c r="F10" s="238"/>
      <c r="G10" s="238"/>
      <c r="H10" s="238"/>
      <c r="I10" s="238"/>
      <c r="J10" s="238"/>
      <c r="K10" s="238"/>
      <c r="L10" s="238"/>
      <c r="M10" s="238"/>
      <c r="N10" s="238"/>
      <c r="O10" s="238"/>
      <c r="P10" s="238"/>
      <c r="Q10" s="238"/>
      <c r="R10" s="238"/>
      <c r="S10" s="238"/>
      <c r="T10" s="238"/>
      <c r="U10" s="238"/>
      <c r="V10" s="238"/>
      <c r="W10" s="238"/>
    </row>
    <row r="11" spans="1:23" ht="60">
      <c r="A11" s="238"/>
      <c r="B11" s="241" t="s">
        <v>0</v>
      </c>
      <c r="C11" s="241" t="s">
        <v>1</v>
      </c>
      <c r="D11" s="241" t="s">
        <v>2</v>
      </c>
      <c r="E11" s="241" t="s">
        <v>3</v>
      </c>
      <c r="F11" s="242" t="s">
        <v>10320</v>
      </c>
      <c r="G11" s="242" t="s">
        <v>5</v>
      </c>
      <c r="H11" s="242"/>
      <c r="I11" s="242"/>
      <c r="J11" s="242" t="s">
        <v>9</v>
      </c>
      <c r="K11" s="242" t="s">
        <v>10</v>
      </c>
      <c r="L11" s="242" t="s">
        <v>11</v>
      </c>
      <c r="M11" s="242" t="s">
        <v>12</v>
      </c>
      <c r="N11" s="242" t="s">
        <v>13</v>
      </c>
      <c r="O11" s="242"/>
      <c r="P11" s="242" t="s">
        <v>9559</v>
      </c>
      <c r="Q11" s="243" t="s">
        <v>10321</v>
      </c>
      <c r="R11" s="243" t="s">
        <v>10322</v>
      </c>
      <c r="S11" s="241" t="s">
        <v>17</v>
      </c>
      <c r="T11" s="243" t="s">
        <v>10323</v>
      </c>
      <c r="U11" s="242" t="s">
        <v>10324</v>
      </c>
      <c r="V11" s="243" t="s">
        <v>10325</v>
      </c>
      <c r="W11" s="244" t="s">
        <v>9564</v>
      </c>
    </row>
    <row r="12" spans="1:23" ht="12.75">
      <c r="A12" s="238"/>
      <c r="B12" s="238"/>
      <c r="C12" s="238"/>
      <c r="D12" s="238"/>
      <c r="E12" s="238"/>
      <c r="F12" s="238"/>
      <c r="G12" s="238"/>
      <c r="H12" s="238"/>
      <c r="I12" s="238"/>
      <c r="J12" s="238"/>
      <c r="K12" s="238"/>
      <c r="L12" s="238"/>
      <c r="M12" s="238"/>
      <c r="N12" s="238"/>
      <c r="O12" s="238"/>
      <c r="P12" s="238"/>
      <c r="Q12" s="238"/>
      <c r="R12" s="238"/>
      <c r="S12" s="238"/>
      <c r="T12" s="238"/>
      <c r="U12" s="238"/>
      <c r="V12" s="238"/>
      <c r="W12" s="238"/>
    </row>
    <row r="13" spans="1:23" ht="12.75">
      <c r="A13" s="238"/>
      <c r="B13" s="238"/>
      <c r="C13" s="238"/>
      <c r="D13" s="238"/>
      <c r="E13" s="238"/>
      <c r="F13" s="238"/>
      <c r="G13" s="238"/>
      <c r="H13" s="238"/>
      <c r="I13" s="238"/>
      <c r="J13" s="238"/>
      <c r="K13" s="238"/>
      <c r="L13" s="238"/>
      <c r="M13" s="238"/>
      <c r="N13" s="238"/>
      <c r="O13" s="238"/>
      <c r="P13" s="238"/>
      <c r="Q13" s="238"/>
      <c r="R13" s="238"/>
      <c r="S13" s="238"/>
      <c r="T13" s="238"/>
      <c r="U13" s="238"/>
      <c r="V13" s="238"/>
      <c r="W13" s="238"/>
    </row>
    <row r="14" spans="1:23" ht="12.75">
      <c r="A14" s="238"/>
      <c r="B14" s="238"/>
      <c r="C14" s="238"/>
      <c r="D14" s="238"/>
      <c r="E14" s="238"/>
      <c r="F14" s="238"/>
      <c r="G14" s="238"/>
      <c r="H14" s="238"/>
      <c r="I14" s="238"/>
      <c r="J14" s="238"/>
      <c r="K14" s="238"/>
      <c r="L14" s="238"/>
      <c r="M14" s="238"/>
      <c r="N14" s="238"/>
      <c r="O14" s="238"/>
      <c r="P14" s="238"/>
      <c r="Q14" s="238"/>
      <c r="R14" s="238"/>
      <c r="S14" s="238"/>
      <c r="T14" s="238"/>
      <c r="U14" s="238"/>
      <c r="V14" s="238"/>
      <c r="W14" s="238"/>
    </row>
    <row r="15" spans="1:23" ht="12.75">
      <c r="A15" s="238"/>
      <c r="B15" s="238"/>
      <c r="C15" s="238"/>
      <c r="D15" s="238"/>
      <c r="E15" s="238"/>
      <c r="F15" s="238"/>
      <c r="G15" s="238"/>
      <c r="H15" s="238"/>
      <c r="I15" s="238"/>
      <c r="J15" s="238"/>
      <c r="K15" s="238"/>
      <c r="L15" s="238"/>
      <c r="M15" s="238"/>
      <c r="N15" s="238"/>
      <c r="O15" s="238"/>
      <c r="P15" s="238"/>
      <c r="Q15" s="238"/>
      <c r="R15" s="238"/>
      <c r="S15" s="238"/>
      <c r="T15" s="238"/>
      <c r="U15" s="238"/>
      <c r="V15" s="238"/>
      <c r="W15" s="238"/>
    </row>
    <row r="16" spans="1:23" ht="12.75">
      <c r="A16" s="238"/>
      <c r="B16" s="238"/>
      <c r="C16" s="238"/>
      <c r="D16" s="238"/>
      <c r="E16" s="238"/>
      <c r="F16" s="238"/>
      <c r="G16" s="238"/>
      <c r="H16" s="238"/>
      <c r="I16" s="238"/>
      <c r="J16" s="238"/>
      <c r="K16" s="238"/>
      <c r="L16" s="238"/>
      <c r="M16" s="238"/>
      <c r="N16" s="238"/>
      <c r="O16" s="238"/>
      <c r="P16" s="238"/>
      <c r="Q16" s="238"/>
      <c r="R16" s="238"/>
      <c r="S16" s="238"/>
      <c r="T16" s="238"/>
      <c r="U16" s="238"/>
      <c r="V16" s="238"/>
      <c r="W16" s="238"/>
    </row>
    <row r="17" spans="1:23" ht="12.75">
      <c r="A17" s="238"/>
      <c r="B17" s="238"/>
      <c r="C17" s="238"/>
      <c r="D17" s="238"/>
      <c r="E17" s="238"/>
      <c r="F17" s="238"/>
      <c r="G17" s="238"/>
      <c r="H17" s="238"/>
      <c r="I17" s="238"/>
      <c r="J17" s="238"/>
      <c r="K17" s="238"/>
      <c r="L17" s="238"/>
      <c r="M17" s="238"/>
      <c r="N17" s="238"/>
      <c r="O17" s="238"/>
      <c r="P17" s="238"/>
      <c r="Q17" s="238"/>
      <c r="R17" s="238"/>
      <c r="S17" s="238"/>
      <c r="T17" s="238"/>
      <c r="U17" s="238"/>
      <c r="V17" s="238"/>
      <c r="W17" s="238"/>
    </row>
    <row r="18" spans="1:23" ht="12.75">
      <c r="A18" s="238"/>
      <c r="B18" s="238"/>
      <c r="C18" s="238"/>
      <c r="D18" s="238"/>
      <c r="E18" s="238"/>
      <c r="F18" s="238"/>
      <c r="G18" s="238"/>
      <c r="H18" s="238"/>
      <c r="I18" s="238"/>
      <c r="J18" s="238"/>
      <c r="K18" s="238"/>
      <c r="L18" s="238"/>
      <c r="M18" s="238"/>
      <c r="N18" s="238"/>
      <c r="O18" s="238"/>
      <c r="P18" s="238"/>
      <c r="Q18" s="238"/>
      <c r="R18" s="238"/>
      <c r="S18" s="238"/>
      <c r="T18" s="238"/>
      <c r="U18" s="238"/>
      <c r="V18" s="238"/>
      <c r="W18" s="238"/>
    </row>
    <row r="19" spans="1:23" ht="12.75">
      <c r="A19" s="238"/>
      <c r="B19" s="238"/>
      <c r="C19" s="238"/>
      <c r="D19" s="238"/>
      <c r="E19" s="238"/>
      <c r="F19" s="238"/>
      <c r="G19" s="238"/>
      <c r="H19" s="238"/>
      <c r="I19" s="238"/>
      <c r="J19" s="238"/>
      <c r="K19" s="238"/>
      <c r="L19" s="238"/>
      <c r="M19" s="238"/>
      <c r="N19" s="238"/>
      <c r="O19" s="238"/>
      <c r="P19" s="238"/>
      <c r="Q19" s="238"/>
      <c r="R19" s="238"/>
      <c r="S19" s="238"/>
      <c r="T19" s="238"/>
      <c r="U19" s="238"/>
      <c r="V19" s="238"/>
      <c r="W19" s="238"/>
    </row>
    <row r="20" spans="1:23" ht="12.75">
      <c r="A20" s="238"/>
      <c r="B20" s="238"/>
      <c r="C20" s="238"/>
      <c r="D20" s="238"/>
      <c r="E20" s="238"/>
      <c r="F20" s="238"/>
      <c r="G20" s="238"/>
      <c r="H20" s="238"/>
      <c r="I20" s="238"/>
      <c r="J20" s="238"/>
      <c r="K20" s="238"/>
      <c r="L20" s="238"/>
      <c r="M20" s="238"/>
      <c r="N20" s="238"/>
      <c r="O20" s="238"/>
      <c r="P20" s="238"/>
      <c r="Q20" s="238"/>
      <c r="R20" s="238"/>
      <c r="S20" s="238"/>
      <c r="T20" s="238"/>
      <c r="U20" s="238"/>
      <c r="V20" s="238"/>
      <c r="W20" s="238"/>
    </row>
    <row r="21" spans="1:23" ht="12.75">
      <c r="A21" s="238"/>
      <c r="B21" s="238"/>
      <c r="C21" s="238"/>
      <c r="D21" s="238"/>
      <c r="E21" s="238"/>
      <c r="F21" s="238"/>
      <c r="G21" s="238"/>
      <c r="H21" s="238"/>
      <c r="I21" s="238"/>
      <c r="J21" s="238"/>
      <c r="K21" s="238"/>
      <c r="L21" s="238"/>
      <c r="M21" s="238"/>
      <c r="N21" s="238"/>
      <c r="O21" s="238"/>
      <c r="P21" s="238"/>
      <c r="Q21" s="238"/>
      <c r="R21" s="238"/>
      <c r="S21" s="238"/>
      <c r="T21" s="238"/>
      <c r="U21" s="238"/>
      <c r="V21" s="238"/>
      <c r="W21" s="238"/>
    </row>
    <row r="22" spans="1:23" ht="12.75">
      <c r="A22" s="238"/>
      <c r="B22" s="238"/>
      <c r="C22" s="238"/>
      <c r="D22" s="238"/>
      <c r="E22" s="238"/>
      <c r="F22" s="238"/>
      <c r="G22" s="238"/>
      <c r="H22" s="238"/>
      <c r="I22" s="238"/>
      <c r="J22" s="238"/>
      <c r="K22" s="238"/>
      <c r="L22" s="238"/>
      <c r="M22" s="238"/>
      <c r="N22" s="238"/>
      <c r="O22" s="238"/>
      <c r="P22" s="238"/>
      <c r="Q22" s="238"/>
      <c r="R22" s="238"/>
      <c r="S22" s="238"/>
      <c r="T22" s="238"/>
      <c r="U22" s="238"/>
      <c r="V22" s="238"/>
      <c r="W22" s="238"/>
    </row>
    <row r="23" spans="1:23" ht="12.75">
      <c r="A23" s="238"/>
      <c r="B23" s="238"/>
      <c r="C23" s="238"/>
      <c r="D23" s="238"/>
      <c r="E23" s="238"/>
      <c r="F23" s="238"/>
      <c r="G23" s="238"/>
      <c r="H23" s="238"/>
      <c r="I23" s="238"/>
      <c r="J23" s="238"/>
      <c r="K23" s="238"/>
      <c r="L23" s="238"/>
      <c r="M23" s="238"/>
      <c r="N23" s="238"/>
      <c r="O23" s="238"/>
      <c r="P23" s="238"/>
      <c r="Q23" s="238"/>
      <c r="R23" s="238"/>
      <c r="S23" s="238"/>
      <c r="T23" s="238"/>
      <c r="U23" s="238"/>
      <c r="V23" s="238"/>
      <c r="W23" s="238"/>
    </row>
    <row r="24" spans="1:23" ht="12.75">
      <c r="A24" s="238"/>
      <c r="B24" s="238"/>
      <c r="C24" s="238"/>
      <c r="D24" s="238"/>
      <c r="E24" s="238"/>
      <c r="F24" s="238"/>
      <c r="G24" s="238"/>
      <c r="H24" s="238"/>
      <c r="I24" s="238"/>
      <c r="J24" s="238"/>
      <c r="K24" s="238"/>
      <c r="L24" s="238"/>
      <c r="M24" s="238"/>
      <c r="N24" s="238"/>
      <c r="O24" s="238"/>
      <c r="P24" s="238"/>
      <c r="Q24" s="238"/>
      <c r="R24" s="238"/>
      <c r="S24" s="238"/>
      <c r="T24" s="238"/>
      <c r="U24" s="238"/>
      <c r="V24" s="238"/>
      <c r="W24" s="238"/>
    </row>
    <row r="25" spans="1:23" ht="12.75">
      <c r="A25" s="238"/>
      <c r="B25" s="238"/>
      <c r="C25" s="238"/>
      <c r="D25" s="238"/>
      <c r="E25" s="238"/>
      <c r="F25" s="238"/>
      <c r="G25" s="238"/>
      <c r="H25" s="238"/>
      <c r="I25" s="238"/>
      <c r="J25" s="238"/>
      <c r="K25" s="238"/>
      <c r="L25" s="238"/>
      <c r="M25" s="238"/>
      <c r="N25" s="238"/>
      <c r="O25" s="238"/>
      <c r="P25" s="238"/>
      <c r="Q25" s="238"/>
      <c r="R25" s="238"/>
      <c r="S25" s="238"/>
      <c r="T25" s="238"/>
      <c r="U25" s="238"/>
      <c r="V25" s="238"/>
      <c r="W25" s="238"/>
    </row>
    <row r="26" spans="1:23" ht="12.75">
      <c r="A26" s="238"/>
      <c r="B26" s="238"/>
      <c r="C26" s="238"/>
      <c r="D26" s="238"/>
      <c r="E26" s="238"/>
      <c r="F26" s="238"/>
      <c r="G26" s="238"/>
      <c r="H26" s="238"/>
      <c r="I26" s="238"/>
      <c r="J26" s="238"/>
      <c r="K26" s="238"/>
      <c r="L26" s="238"/>
      <c r="M26" s="238"/>
      <c r="N26" s="238"/>
      <c r="O26" s="238"/>
      <c r="P26" s="238"/>
      <c r="Q26" s="238"/>
      <c r="R26" s="238"/>
      <c r="S26" s="238"/>
      <c r="T26" s="238"/>
      <c r="U26" s="238"/>
      <c r="V26" s="238"/>
      <c r="W26" s="238"/>
    </row>
    <row r="27" spans="1:23" ht="12.75">
      <c r="A27" s="238"/>
      <c r="B27" s="238"/>
      <c r="C27" s="238"/>
      <c r="D27" s="238"/>
      <c r="E27" s="238"/>
      <c r="F27" s="238"/>
      <c r="G27" s="238"/>
      <c r="H27" s="238"/>
      <c r="I27" s="238"/>
      <c r="J27" s="238"/>
      <c r="K27" s="238"/>
      <c r="L27" s="238"/>
      <c r="M27" s="238"/>
      <c r="N27" s="238"/>
      <c r="O27" s="238"/>
      <c r="P27" s="238"/>
      <c r="Q27" s="238"/>
      <c r="R27" s="238"/>
      <c r="S27" s="238"/>
      <c r="T27" s="238"/>
      <c r="U27" s="238"/>
      <c r="V27" s="238"/>
      <c r="W27" s="238"/>
    </row>
    <row r="28" spans="1:23" ht="12.75">
      <c r="A28" s="238"/>
      <c r="B28" s="238"/>
      <c r="C28" s="238"/>
      <c r="D28" s="238"/>
      <c r="E28" s="238"/>
      <c r="F28" s="238"/>
      <c r="G28" s="238"/>
      <c r="H28" s="238"/>
      <c r="I28" s="238"/>
      <c r="J28" s="238"/>
      <c r="K28" s="238"/>
      <c r="L28" s="238"/>
      <c r="M28" s="238"/>
      <c r="N28" s="238"/>
      <c r="O28" s="238"/>
      <c r="P28" s="238"/>
      <c r="Q28" s="238"/>
      <c r="R28" s="238"/>
      <c r="S28" s="238"/>
      <c r="T28" s="238"/>
      <c r="U28" s="238"/>
      <c r="V28" s="238"/>
      <c r="W28" s="238"/>
    </row>
    <row r="29" spans="1:23" ht="12.75">
      <c r="A29" s="238"/>
      <c r="B29" s="238"/>
      <c r="C29" s="238"/>
      <c r="D29" s="238"/>
      <c r="E29" s="238"/>
      <c r="F29" s="238"/>
      <c r="G29" s="238"/>
      <c r="H29" s="238"/>
      <c r="I29" s="238"/>
      <c r="J29" s="238"/>
      <c r="K29" s="238"/>
      <c r="L29" s="238"/>
      <c r="M29" s="238"/>
      <c r="N29" s="238"/>
      <c r="O29" s="238"/>
      <c r="P29" s="238"/>
      <c r="Q29" s="238"/>
      <c r="R29" s="238"/>
      <c r="S29" s="238"/>
      <c r="T29" s="238"/>
      <c r="U29" s="238"/>
      <c r="V29" s="238"/>
      <c r="W29" s="238"/>
    </row>
    <row r="30" spans="1:23" ht="12.75">
      <c r="A30" s="238"/>
      <c r="B30" s="238"/>
      <c r="C30" s="238"/>
      <c r="D30" s="238"/>
      <c r="E30" s="238"/>
      <c r="F30" s="238"/>
      <c r="G30" s="238"/>
      <c r="H30" s="238"/>
      <c r="I30" s="238"/>
      <c r="J30" s="238"/>
      <c r="K30" s="238"/>
      <c r="L30" s="238"/>
      <c r="M30" s="238"/>
      <c r="N30" s="238"/>
      <c r="O30" s="238"/>
      <c r="P30" s="238"/>
      <c r="Q30" s="238"/>
      <c r="R30" s="238"/>
      <c r="S30" s="238"/>
      <c r="T30" s="238"/>
      <c r="U30" s="238"/>
      <c r="V30" s="238"/>
      <c r="W30" s="238"/>
    </row>
    <row r="31" spans="1:23" ht="12.75">
      <c r="A31" s="238"/>
      <c r="B31" s="238"/>
      <c r="C31" s="238"/>
      <c r="D31" s="238"/>
      <c r="E31" s="238"/>
      <c r="F31" s="238"/>
      <c r="G31" s="238"/>
      <c r="H31" s="238"/>
      <c r="I31" s="238"/>
      <c r="J31" s="238"/>
      <c r="K31" s="238"/>
      <c r="L31" s="238"/>
      <c r="M31" s="238"/>
      <c r="N31" s="238"/>
      <c r="O31" s="238"/>
      <c r="P31" s="238"/>
      <c r="Q31" s="238"/>
      <c r="R31" s="238"/>
      <c r="S31" s="238"/>
      <c r="T31" s="238"/>
      <c r="U31" s="238"/>
      <c r="V31" s="238"/>
      <c r="W31" s="238"/>
    </row>
    <row r="32" spans="1:23" ht="12.75">
      <c r="A32" s="238"/>
      <c r="B32" s="238"/>
      <c r="C32" s="238"/>
      <c r="D32" s="238"/>
      <c r="E32" s="238"/>
      <c r="F32" s="238"/>
      <c r="G32" s="238"/>
      <c r="H32" s="238"/>
      <c r="I32" s="238"/>
      <c r="J32" s="238"/>
      <c r="K32" s="238"/>
      <c r="L32" s="238"/>
      <c r="M32" s="238"/>
      <c r="N32" s="238"/>
      <c r="O32" s="238"/>
      <c r="P32" s="238"/>
      <c r="Q32" s="238"/>
      <c r="R32" s="238"/>
      <c r="S32" s="238"/>
      <c r="T32" s="238"/>
      <c r="U32" s="238"/>
      <c r="V32" s="238"/>
      <c r="W32" s="238"/>
    </row>
    <row r="33" spans="1:23" ht="12.75">
      <c r="A33" s="238"/>
      <c r="B33" s="238"/>
      <c r="C33" s="238"/>
      <c r="D33" s="238"/>
      <c r="E33" s="238"/>
      <c r="F33" s="238"/>
      <c r="G33" s="238"/>
      <c r="H33" s="238"/>
      <c r="I33" s="238"/>
      <c r="J33" s="238"/>
      <c r="K33" s="238"/>
      <c r="L33" s="238"/>
      <c r="M33" s="238"/>
      <c r="N33" s="238"/>
      <c r="O33" s="238"/>
      <c r="P33" s="238"/>
      <c r="Q33" s="238"/>
      <c r="R33" s="238"/>
      <c r="S33" s="238"/>
      <c r="T33" s="238"/>
      <c r="U33" s="238"/>
      <c r="V33" s="238"/>
      <c r="W33" s="238"/>
    </row>
    <row r="34" spans="1:23" ht="12.75">
      <c r="A34" s="238"/>
      <c r="B34" s="238"/>
      <c r="C34" s="238"/>
      <c r="D34" s="238"/>
      <c r="E34" s="238"/>
      <c r="F34" s="238"/>
      <c r="G34" s="238"/>
      <c r="H34" s="238"/>
      <c r="I34" s="238"/>
      <c r="J34" s="238"/>
      <c r="K34" s="238"/>
      <c r="L34" s="238"/>
      <c r="M34" s="238"/>
      <c r="N34" s="238"/>
      <c r="O34" s="238"/>
      <c r="P34" s="238"/>
      <c r="Q34" s="238"/>
      <c r="R34" s="238"/>
      <c r="S34" s="238"/>
      <c r="T34" s="238"/>
      <c r="U34" s="238"/>
      <c r="V34" s="238"/>
      <c r="W34" s="238"/>
    </row>
    <row r="35" spans="1:23" ht="12.75">
      <c r="A35" s="238"/>
      <c r="B35" s="238"/>
      <c r="C35" s="238"/>
      <c r="D35" s="238"/>
      <c r="E35" s="238"/>
      <c r="F35" s="238"/>
      <c r="G35" s="238"/>
      <c r="H35" s="238"/>
      <c r="I35" s="238"/>
      <c r="J35" s="238"/>
      <c r="K35" s="238"/>
      <c r="L35" s="238"/>
      <c r="M35" s="238"/>
      <c r="N35" s="238"/>
      <c r="O35" s="238"/>
      <c r="P35" s="238"/>
      <c r="Q35" s="238"/>
      <c r="R35" s="238"/>
      <c r="S35" s="238"/>
      <c r="T35" s="238"/>
      <c r="U35" s="238"/>
      <c r="V35" s="238"/>
      <c r="W35" s="238"/>
    </row>
    <row r="36" spans="1:23" ht="12.75">
      <c r="A36" s="238"/>
      <c r="B36" s="238"/>
      <c r="C36" s="238"/>
      <c r="D36" s="238"/>
      <c r="E36" s="238"/>
      <c r="F36" s="238"/>
      <c r="G36" s="238"/>
      <c r="H36" s="238"/>
      <c r="I36" s="238"/>
      <c r="J36" s="238"/>
      <c r="K36" s="238"/>
      <c r="L36" s="238"/>
      <c r="M36" s="238"/>
      <c r="N36" s="238"/>
      <c r="O36" s="238"/>
      <c r="P36" s="238"/>
      <c r="Q36" s="238"/>
      <c r="R36" s="238"/>
      <c r="S36" s="238"/>
      <c r="T36" s="238"/>
      <c r="U36" s="238"/>
      <c r="V36" s="238"/>
      <c r="W36" s="238"/>
    </row>
    <row r="37" spans="1:23" ht="12.75">
      <c r="A37" s="238"/>
      <c r="B37" s="238"/>
      <c r="C37" s="238"/>
      <c r="D37" s="238"/>
      <c r="E37" s="238"/>
      <c r="F37" s="238"/>
      <c r="G37" s="238"/>
      <c r="H37" s="238"/>
      <c r="I37" s="238"/>
      <c r="J37" s="238"/>
      <c r="K37" s="238"/>
      <c r="L37" s="238"/>
      <c r="M37" s="238"/>
      <c r="N37" s="238"/>
      <c r="O37" s="238"/>
      <c r="P37" s="238"/>
      <c r="Q37" s="238"/>
      <c r="R37" s="238"/>
      <c r="S37" s="238"/>
      <c r="T37" s="238"/>
      <c r="U37" s="238"/>
      <c r="V37" s="238"/>
      <c r="W37" s="238"/>
    </row>
    <row r="38" spans="1:23" ht="12.75">
      <c r="A38" s="238"/>
      <c r="B38" s="238"/>
      <c r="C38" s="238"/>
      <c r="D38" s="238"/>
      <c r="E38" s="238"/>
      <c r="F38" s="238"/>
      <c r="G38" s="238"/>
      <c r="H38" s="238"/>
      <c r="I38" s="238"/>
      <c r="J38" s="238"/>
      <c r="K38" s="238"/>
      <c r="L38" s="238"/>
      <c r="M38" s="238"/>
      <c r="N38" s="238"/>
      <c r="O38" s="238"/>
      <c r="P38" s="238"/>
      <c r="Q38" s="238"/>
      <c r="R38" s="238"/>
      <c r="S38" s="238"/>
      <c r="T38" s="238"/>
      <c r="U38" s="238"/>
      <c r="V38" s="238"/>
      <c r="W38" s="238"/>
    </row>
    <row r="39" spans="1:23" ht="12.75">
      <c r="A39" s="238"/>
      <c r="B39" s="238"/>
      <c r="C39" s="238"/>
      <c r="D39" s="238"/>
      <c r="E39" s="238"/>
      <c r="F39" s="238"/>
      <c r="G39" s="238"/>
      <c r="H39" s="238"/>
      <c r="I39" s="238"/>
      <c r="J39" s="238"/>
      <c r="K39" s="238"/>
      <c r="L39" s="238"/>
      <c r="M39" s="238"/>
      <c r="N39" s="238"/>
      <c r="O39" s="238"/>
      <c r="P39" s="238"/>
      <c r="Q39" s="238"/>
      <c r="R39" s="238"/>
      <c r="S39" s="238"/>
      <c r="T39" s="238"/>
      <c r="U39" s="238"/>
      <c r="V39" s="238"/>
      <c r="W39" s="238"/>
    </row>
    <row r="40" spans="1:23" ht="12.75">
      <c r="A40" s="238"/>
      <c r="B40" s="238"/>
      <c r="C40" s="238"/>
      <c r="D40" s="238"/>
      <c r="E40" s="238"/>
      <c r="F40" s="238"/>
      <c r="G40" s="238"/>
      <c r="H40" s="238"/>
      <c r="I40" s="238"/>
      <c r="J40" s="238"/>
      <c r="K40" s="238"/>
      <c r="L40" s="238"/>
      <c r="M40" s="238"/>
      <c r="N40" s="238"/>
      <c r="O40" s="238"/>
      <c r="P40" s="238"/>
      <c r="Q40" s="238"/>
      <c r="R40" s="238"/>
      <c r="S40" s="238"/>
      <c r="T40" s="238"/>
      <c r="U40" s="238"/>
      <c r="V40" s="238"/>
      <c r="W40" s="238"/>
    </row>
    <row r="41" spans="1:23" ht="12.75">
      <c r="A41" s="238"/>
      <c r="B41" s="238"/>
      <c r="C41" s="238"/>
      <c r="D41" s="238"/>
      <c r="E41" s="238"/>
      <c r="F41" s="238"/>
      <c r="G41" s="238"/>
      <c r="H41" s="238"/>
      <c r="I41" s="238"/>
      <c r="J41" s="238"/>
      <c r="K41" s="238"/>
      <c r="L41" s="238"/>
      <c r="M41" s="238"/>
      <c r="N41" s="238"/>
      <c r="O41" s="238"/>
      <c r="P41" s="238"/>
      <c r="Q41" s="238"/>
      <c r="R41" s="238"/>
      <c r="S41" s="238"/>
      <c r="T41" s="238"/>
      <c r="U41" s="238"/>
      <c r="V41" s="238"/>
      <c r="W41" s="238"/>
    </row>
    <row r="42" spans="1:23" ht="12.75">
      <c r="A42" s="238"/>
      <c r="B42" s="238"/>
      <c r="C42" s="238"/>
      <c r="D42" s="238"/>
      <c r="E42" s="238"/>
      <c r="F42" s="238"/>
      <c r="G42" s="238"/>
      <c r="H42" s="238"/>
      <c r="I42" s="238"/>
      <c r="J42" s="238"/>
      <c r="K42" s="238"/>
      <c r="L42" s="238"/>
      <c r="M42" s="238"/>
      <c r="N42" s="238"/>
      <c r="O42" s="238"/>
      <c r="P42" s="238"/>
      <c r="Q42" s="238"/>
      <c r="R42" s="238"/>
      <c r="S42" s="238"/>
      <c r="T42" s="238"/>
      <c r="U42" s="238"/>
      <c r="V42" s="238"/>
      <c r="W42" s="238"/>
    </row>
    <row r="43" spans="1:23" ht="12.75">
      <c r="A43" s="238"/>
      <c r="B43" s="238"/>
      <c r="C43" s="238"/>
      <c r="D43" s="238"/>
      <c r="E43" s="238"/>
      <c r="F43" s="238"/>
      <c r="G43" s="238"/>
      <c r="H43" s="238"/>
      <c r="I43" s="238"/>
      <c r="J43" s="238"/>
      <c r="K43" s="238"/>
      <c r="L43" s="238"/>
      <c r="M43" s="238"/>
      <c r="N43" s="238"/>
      <c r="O43" s="238"/>
      <c r="P43" s="238"/>
      <c r="Q43" s="238"/>
      <c r="R43" s="238"/>
      <c r="S43" s="238"/>
      <c r="T43" s="238"/>
      <c r="U43" s="238"/>
      <c r="V43" s="238"/>
      <c r="W43" s="238"/>
    </row>
    <row r="44" spans="1:23" ht="12.75">
      <c r="A44" s="238"/>
      <c r="B44" s="238"/>
      <c r="C44" s="238"/>
      <c r="D44" s="238"/>
      <c r="E44" s="238"/>
      <c r="F44" s="238"/>
      <c r="G44" s="238"/>
      <c r="H44" s="238"/>
      <c r="I44" s="238"/>
      <c r="J44" s="238"/>
      <c r="K44" s="238"/>
      <c r="L44" s="238"/>
      <c r="M44" s="238"/>
      <c r="N44" s="238"/>
      <c r="O44" s="238"/>
      <c r="P44" s="238"/>
      <c r="Q44" s="238"/>
      <c r="R44" s="238"/>
      <c r="S44" s="238"/>
      <c r="T44" s="238"/>
      <c r="U44" s="238"/>
      <c r="V44" s="238"/>
      <c r="W44" s="238"/>
    </row>
    <row r="45" spans="1:23" ht="12.75">
      <c r="A45" s="238"/>
      <c r="B45" s="238"/>
      <c r="C45" s="238"/>
      <c r="D45" s="238"/>
      <c r="E45" s="238"/>
      <c r="F45" s="238"/>
      <c r="G45" s="238"/>
      <c r="H45" s="238"/>
      <c r="I45" s="238"/>
      <c r="J45" s="238"/>
      <c r="K45" s="238"/>
      <c r="L45" s="238"/>
      <c r="M45" s="238"/>
      <c r="N45" s="238"/>
      <c r="O45" s="238"/>
      <c r="P45" s="238"/>
      <c r="Q45" s="238"/>
      <c r="R45" s="238"/>
      <c r="S45" s="238"/>
      <c r="T45" s="238"/>
      <c r="U45" s="238"/>
      <c r="V45" s="238"/>
      <c r="W45" s="238"/>
    </row>
    <row r="46" spans="1:23" ht="12.75">
      <c r="A46" s="238"/>
      <c r="B46" s="238"/>
      <c r="C46" s="238"/>
      <c r="D46" s="238"/>
      <c r="E46" s="238"/>
      <c r="F46" s="238"/>
      <c r="G46" s="238"/>
      <c r="H46" s="238"/>
      <c r="I46" s="238"/>
      <c r="J46" s="238"/>
      <c r="K46" s="238"/>
      <c r="L46" s="238"/>
      <c r="M46" s="238"/>
      <c r="N46" s="238"/>
      <c r="O46" s="238"/>
      <c r="P46" s="238"/>
      <c r="Q46" s="238"/>
      <c r="R46" s="238"/>
      <c r="S46" s="238"/>
      <c r="T46" s="238"/>
      <c r="U46" s="238"/>
      <c r="V46" s="238"/>
      <c r="W46" s="238"/>
    </row>
    <row r="47" spans="1:23" ht="12.75">
      <c r="A47" s="238"/>
      <c r="B47" s="238"/>
      <c r="C47" s="238"/>
      <c r="D47" s="238"/>
      <c r="E47" s="238"/>
      <c r="F47" s="238"/>
      <c r="G47" s="238"/>
      <c r="H47" s="238"/>
      <c r="I47" s="238"/>
      <c r="J47" s="238"/>
      <c r="K47" s="238"/>
      <c r="L47" s="238"/>
      <c r="M47" s="238"/>
      <c r="N47" s="238"/>
      <c r="O47" s="238"/>
      <c r="P47" s="238"/>
      <c r="Q47" s="238"/>
      <c r="R47" s="238"/>
      <c r="S47" s="238"/>
      <c r="T47" s="238"/>
      <c r="U47" s="238"/>
      <c r="V47" s="238"/>
      <c r="W47" s="238"/>
    </row>
    <row r="48" spans="1:23" ht="12.75">
      <c r="A48" s="238"/>
      <c r="B48" s="238"/>
      <c r="C48" s="238"/>
      <c r="D48" s="238"/>
      <c r="E48" s="238"/>
      <c r="F48" s="238"/>
      <c r="G48" s="238"/>
      <c r="H48" s="238"/>
      <c r="I48" s="238"/>
      <c r="J48" s="238"/>
      <c r="K48" s="238"/>
      <c r="L48" s="238"/>
      <c r="M48" s="238"/>
      <c r="N48" s="238"/>
      <c r="O48" s="238"/>
      <c r="P48" s="238"/>
      <c r="Q48" s="238"/>
      <c r="R48" s="238"/>
      <c r="S48" s="238"/>
      <c r="T48" s="238"/>
      <c r="U48" s="238"/>
      <c r="V48" s="238"/>
      <c r="W48" s="238"/>
    </row>
    <row r="49" spans="1:23" ht="12.75">
      <c r="A49" s="238"/>
      <c r="B49" s="238"/>
      <c r="C49" s="238"/>
      <c r="D49" s="238"/>
      <c r="E49" s="238"/>
      <c r="F49" s="238"/>
      <c r="G49" s="238"/>
      <c r="H49" s="238"/>
      <c r="I49" s="238"/>
      <c r="J49" s="238"/>
      <c r="K49" s="238"/>
      <c r="L49" s="238"/>
      <c r="M49" s="238"/>
      <c r="N49" s="238"/>
      <c r="O49" s="238"/>
      <c r="P49" s="238"/>
      <c r="Q49" s="238"/>
      <c r="R49" s="238"/>
      <c r="S49" s="238"/>
      <c r="T49" s="238"/>
      <c r="U49" s="238"/>
      <c r="V49" s="238"/>
      <c r="W49" s="238"/>
    </row>
    <row r="50" spans="1:23" ht="12.75">
      <c r="A50" s="238"/>
      <c r="B50" s="238"/>
      <c r="C50" s="238"/>
      <c r="D50" s="238"/>
      <c r="E50" s="238"/>
      <c r="F50" s="238"/>
      <c r="G50" s="238"/>
      <c r="H50" s="238"/>
      <c r="I50" s="238"/>
      <c r="J50" s="238"/>
      <c r="K50" s="238"/>
      <c r="L50" s="238"/>
      <c r="M50" s="238"/>
      <c r="N50" s="238"/>
      <c r="O50" s="238"/>
      <c r="P50" s="238"/>
      <c r="Q50" s="238"/>
      <c r="R50" s="238"/>
      <c r="S50" s="238"/>
      <c r="T50" s="238"/>
      <c r="U50" s="238"/>
      <c r="V50" s="238"/>
      <c r="W50" s="238"/>
    </row>
    <row r="51" spans="1:23" ht="12.75">
      <c r="A51" s="238"/>
      <c r="B51" s="238"/>
      <c r="C51" s="238"/>
      <c r="D51" s="238"/>
      <c r="E51" s="238"/>
      <c r="F51" s="238"/>
      <c r="G51" s="238"/>
      <c r="H51" s="238"/>
      <c r="I51" s="238"/>
      <c r="J51" s="238"/>
      <c r="K51" s="238"/>
      <c r="L51" s="238"/>
      <c r="M51" s="238"/>
      <c r="N51" s="238"/>
      <c r="O51" s="238"/>
      <c r="P51" s="238"/>
      <c r="Q51" s="238"/>
      <c r="R51" s="238"/>
      <c r="S51" s="238"/>
      <c r="T51" s="238"/>
      <c r="U51" s="238"/>
      <c r="V51" s="238"/>
      <c r="W51" s="238"/>
    </row>
    <row r="52" spans="1:23" ht="12.75">
      <c r="A52" s="238"/>
      <c r="B52" s="238"/>
      <c r="C52" s="238"/>
      <c r="D52" s="238"/>
      <c r="E52" s="238"/>
      <c r="F52" s="238"/>
      <c r="G52" s="238"/>
      <c r="H52" s="238"/>
      <c r="I52" s="238"/>
      <c r="J52" s="238"/>
      <c r="K52" s="238"/>
      <c r="L52" s="238"/>
      <c r="M52" s="238"/>
      <c r="N52" s="238"/>
      <c r="O52" s="238"/>
      <c r="P52" s="238"/>
      <c r="Q52" s="238"/>
      <c r="R52" s="238"/>
      <c r="S52" s="238"/>
      <c r="T52" s="238"/>
      <c r="U52" s="238"/>
      <c r="V52" s="238"/>
      <c r="W52" s="238"/>
    </row>
    <row r="53" spans="1:23" ht="12.75">
      <c r="A53" s="238"/>
      <c r="B53" s="238"/>
      <c r="C53" s="238"/>
      <c r="D53" s="238"/>
      <c r="E53" s="238"/>
      <c r="F53" s="238"/>
      <c r="G53" s="238"/>
      <c r="H53" s="238"/>
      <c r="I53" s="238"/>
      <c r="J53" s="238"/>
      <c r="K53" s="238"/>
      <c r="L53" s="238"/>
      <c r="M53" s="238"/>
      <c r="N53" s="238"/>
      <c r="O53" s="238"/>
      <c r="P53" s="238"/>
      <c r="Q53" s="238"/>
      <c r="R53" s="238"/>
      <c r="S53" s="238"/>
      <c r="T53" s="238"/>
      <c r="U53" s="238"/>
      <c r="V53" s="238"/>
      <c r="W53" s="238"/>
    </row>
    <row r="54" spans="1:23" ht="12.75">
      <c r="A54" s="238"/>
      <c r="B54" s="238"/>
      <c r="C54" s="238"/>
      <c r="D54" s="238"/>
      <c r="E54" s="238"/>
      <c r="F54" s="238"/>
      <c r="G54" s="238"/>
      <c r="H54" s="238"/>
      <c r="I54" s="238"/>
      <c r="J54" s="238"/>
      <c r="K54" s="238"/>
      <c r="L54" s="238"/>
      <c r="M54" s="238"/>
      <c r="N54" s="238"/>
      <c r="O54" s="238"/>
      <c r="P54" s="238"/>
      <c r="Q54" s="238"/>
      <c r="R54" s="238"/>
      <c r="S54" s="238"/>
      <c r="T54" s="238"/>
      <c r="U54" s="238"/>
      <c r="V54" s="238"/>
      <c r="W54" s="238"/>
    </row>
    <row r="55" spans="1:23" ht="12.75">
      <c r="A55" s="238"/>
      <c r="B55" s="238"/>
      <c r="C55" s="238"/>
      <c r="D55" s="238"/>
      <c r="E55" s="238"/>
      <c r="F55" s="238"/>
      <c r="G55" s="238"/>
      <c r="H55" s="238"/>
      <c r="I55" s="238"/>
      <c r="J55" s="238"/>
      <c r="K55" s="238"/>
      <c r="L55" s="238"/>
      <c r="M55" s="238"/>
      <c r="N55" s="238"/>
      <c r="O55" s="238"/>
      <c r="P55" s="238"/>
      <c r="Q55" s="238"/>
      <c r="R55" s="238"/>
      <c r="S55" s="238"/>
      <c r="T55" s="238"/>
      <c r="U55" s="238"/>
      <c r="V55" s="238"/>
      <c r="W55" s="238"/>
    </row>
    <row r="56" spans="1:23" ht="12.75">
      <c r="A56" s="238"/>
      <c r="B56" s="238"/>
      <c r="C56" s="238"/>
      <c r="D56" s="238"/>
      <c r="E56" s="238"/>
      <c r="F56" s="238"/>
      <c r="G56" s="238"/>
      <c r="H56" s="238"/>
      <c r="I56" s="238"/>
      <c r="J56" s="238"/>
      <c r="K56" s="238"/>
      <c r="L56" s="238"/>
      <c r="M56" s="238"/>
      <c r="N56" s="238"/>
      <c r="O56" s="238"/>
      <c r="P56" s="238"/>
      <c r="Q56" s="238"/>
      <c r="R56" s="238"/>
      <c r="S56" s="238"/>
      <c r="T56" s="238"/>
      <c r="U56" s="238"/>
      <c r="V56" s="238"/>
      <c r="W56" s="238"/>
    </row>
    <row r="57" spans="1:23" ht="12.75">
      <c r="A57" s="238"/>
      <c r="B57" s="238"/>
      <c r="C57" s="238"/>
      <c r="D57" s="238"/>
      <c r="E57" s="238"/>
      <c r="F57" s="238"/>
      <c r="G57" s="238"/>
      <c r="H57" s="238"/>
      <c r="I57" s="238"/>
      <c r="J57" s="238"/>
      <c r="K57" s="238"/>
      <c r="L57" s="238"/>
      <c r="M57" s="238"/>
      <c r="N57" s="238"/>
      <c r="O57" s="238"/>
      <c r="P57" s="238"/>
      <c r="Q57" s="238"/>
      <c r="R57" s="238"/>
      <c r="S57" s="238"/>
      <c r="T57" s="238"/>
      <c r="U57" s="238"/>
      <c r="V57" s="238"/>
      <c r="W57" s="238"/>
    </row>
    <row r="58" spans="1:23" ht="12.75">
      <c r="A58" s="238"/>
      <c r="B58" s="238"/>
      <c r="C58" s="238"/>
      <c r="D58" s="238"/>
      <c r="E58" s="238"/>
      <c r="F58" s="238"/>
      <c r="G58" s="238"/>
      <c r="H58" s="238"/>
      <c r="I58" s="238"/>
      <c r="J58" s="238"/>
      <c r="K58" s="238"/>
      <c r="L58" s="238"/>
      <c r="M58" s="238"/>
      <c r="N58" s="238"/>
      <c r="O58" s="238"/>
      <c r="P58" s="238"/>
      <c r="Q58" s="238"/>
      <c r="R58" s="238"/>
      <c r="S58" s="238"/>
      <c r="T58" s="238"/>
      <c r="U58" s="238"/>
      <c r="V58" s="238"/>
      <c r="W58" s="238"/>
    </row>
    <row r="59" spans="1:23" ht="12.75">
      <c r="A59" s="238"/>
      <c r="B59" s="238"/>
      <c r="C59" s="238"/>
      <c r="D59" s="238"/>
      <c r="E59" s="238"/>
      <c r="F59" s="238"/>
      <c r="G59" s="238"/>
      <c r="H59" s="238"/>
      <c r="I59" s="238"/>
      <c r="J59" s="238"/>
      <c r="K59" s="238"/>
      <c r="L59" s="238"/>
      <c r="M59" s="238"/>
      <c r="N59" s="238"/>
      <c r="O59" s="238"/>
      <c r="P59" s="238"/>
      <c r="Q59" s="238"/>
      <c r="R59" s="238"/>
      <c r="S59" s="238"/>
      <c r="T59" s="238"/>
      <c r="U59" s="238"/>
      <c r="V59" s="238"/>
      <c r="W59" s="238"/>
    </row>
    <row r="60" spans="1:23" ht="12.75">
      <c r="A60" s="238"/>
      <c r="B60" s="238"/>
      <c r="C60" s="238"/>
      <c r="D60" s="238"/>
      <c r="E60" s="238"/>
      <c r="F60" s="238"/>
      <c r="G60" s="238"/>
      <c r="H60" s="238"/>
      <c r="I60" s="238"/>
      <c r="J60" s="238"/>
      <c r="K60" s="238"/>
      <c r="L60" s="238"/>
      <c r="M60" s="238"/>
      <c r="N60" s="238"/>
      <c r="O60" s="238"/>
      <c r="P60" s="238"/>
      <c r="Q60" s="238"/>
      <c r="R60" s="238"/>
      <c r="S60" s="238"/>
      <c r="T60" s="238"/>
      <c r="U60" s="238"/>
      <c r="V60" s="238"/>
      <c r="W60" s="238"/>
    </row>
    <row r="61" spans="1:23" ht="12.75">
      <c r="A61" s="238"/>
      <c r="B61" s="238"/>
      <c r="C61" s="238"/>
      <c r="D61" s="238"/>
      <c r="E61" s="238"/>
      <c r="F61" s="238"/>
      <c r="G61" s="238"/>
      <c r="H61" s="238"/>
      <c r="I61" s="238"/>
      <c r="J61" s="238"/>
      <c r="K61" s="238"/>
      <c r="L61" s="238"/>
      <c r="M61" s="238"/>
      <c r="N61" s="238"/>
      <c r="O61" s="238"/>
      <c r="P61" s="238"/>
      <c r="Q61" s="238"/>
      <c r="R61" s="238"/>
      <c r="S61" s="238"/>
      <c r="T61" s="238"/>
      <c r="U61" s="238"/>
      <c r="V61" s="238"/>
      <c r="W61" s="238"/>
    </row>
    <row r="62" spans="1:23" ht="12.75">
      <c r="A62" s="238"/>
      <c r="B62" s="238"/>
      <c r="C62" s="238"/>
      <c r="D62" s="238"/>
      <c r="E62" s="238"/>
      <c r="F62" s="238"/>
      <c r="G62" s="238"/>
      <c r="H62" s="238"/>
      <c r="I62" s="238"/>
      <c r="J62" s="238"/>
      <c r="K62" s="238"/>
      <c r="L62" s="238"/>
      <c r="M62" s="238"/>
      <c r="N62" s="238"/>
      <c r="O62" s="238"/>
      <c r="P62" s="238"/>
      <c r="Q62" s="238"/>
      <c r="R62" s="238"/>
      <c r="S62" s="238"/>
      <c r="T62" s="238"/>
      <c r="U62" s="238"/>
      <c r="V62" s="238"/>
      <c r="W62" s="238"/>
    </row>
    <row r="63" spans="1:23" ht="12.75">
      <c r="A63" s="238"/>
      <c r="B63" s="238"/>
      <c r="C63" s="238"/>
      <c r="D63" s="238"/>
      <c r="E63" s="238"/>
      <c r="F63" s="238"/>
      <c r="G63" s="238"/>
      <c r="H63" s="238"/>
      <c r="I63" s="238"/>
      <c r="J63" s="238"/>
      <c r="K63" s="238"/>
      <c r="L63" s="238"/>
      <c r="M63" s="238"/>
      <c r="N63" s="238"/>
      <c r="O63" s="238"/>
      <c r="P63" s="238"/>
      <c r="Q63" s="238"/>
      <c r="R63" s="238"/>
      <c r="S63" s="238"/>
      <c r="T63" s="238"/>
      <c r="U63" s="238"/>
      <c r="V63" s="238"/>
      <c r="W63" s="238"/>
    </row>
    <row r="64" spans="1:23" ht="12.75">
      <c r="A64" s="238"/>
      <c r="B64" s="238"/>
      <c r="C64" s="238"/>
      <c r="D64" s="238"/>
      <c r="E64" s="238"/>
      <c r="F64" s="238"/>
      <c r="G64" s="238"/>
      <c r="H64" s="238"/>
      <c r="I64" s="238"/>
      <c r="J64" s="238"/>
      <c r="K64" s="238"/>
      <c r="L64" s="238"/>
      <c r="M64" s="238"/>
      <c r="N64" s="238"/>
      <c r="O64" s="238"/>
      <c r="P64" s="238"/>
      <c r="Q64" s="238"/>
      <c r="R64" s="238"/>
      <c r="S64" s="238"/>
      <c r="T64" s="238"/>
      <c r="U64" s="238"/>
      <c r="V64" s="238"/>
      <c r="W64" s="238"/>
    </row>
    <row r="65" spans="1:23" ht="12.75">
      <c r="A65" s="238"/>
      <c r="B65" s="238"/>
      <c r="C65" s="238"/>
      <c r="D65" s="238"/>
      <c r="E65" s="238"/>
      <c r="F65" s="238"/>
      <c r="G65" s="238"/>
      <c r="H65" s="238"/>
      <c r="I65" s="238"/>
      <c r="J65" s="238"/>
      <c r="K65" s="238"/>
      <c r="L65" s="238"/>
      <c r="M65" s="238"/>
      <c r="N65" s="238"/>
      <c r="O65" s="238"/>
      <c r="P65" s="238"/>
      <c r="Q65" s="238"/>
      <c r="R65" s="238"/>
      <c r="S65" s="238"/>
      <c r="T65" s="238"/>
      <c r="U65" s="238"/>
      <c r="V65" s="238"/>
      <c r="W65" s="238"/>
    </row>
    <row r="66" spans="1:23" ht="12.75">
      <c r="A66" s="238"/>
      <c r="B66" s="238"/>
      <c r="C66" s="238"/>
      <c r="D66" s="238"/>
      <c r="E66" s="238"/>
      <c r="F66" s="238"/>
      <c r="G66" s="238"/>
      <c r="H66" s="238"/>
      <c r="I66" s="238"/>
      <c r="J66" s="238"/>
      <c r="K66" s="238"/>
      <c r="L66" s="238"/>
      <c r="M66" s="238"/>
      <c r="N66" s="238"/>
      <c r="O66" s="238"/>
      <c r="P66" s="238"/>
      <c r="Q66" s="238"/>
      <c r="R66" s="238"/>
      <c r="S66" s="238"/>
      <c r="T66" s="238"/>
      <c r="U66" s="238"/>
      <c r="V66" s="238"/>
      <c r="W66" s="238"/>
    </row>
    <row r="67" spans="1:23" ht="12.75">
      <c r="A67" s="238"/>
      <c r="B67" s="238"/>
      <c r="C67" s="238"/>
      <c r="D67" s="238"/>
      <c r="E67" s="238"/>
      <c r="F67" s="238"/>
      <c r="G67" s="238"/>
      <c r="H67" s="238"/>
      <c r="I67" s="238"/>
      <c r="J67" s="238"/>
      <c r="K67" s="238"/>
      <c r="L67" s="238"/>
      <c r="M67" s="238"/>
      <c r="N67" s="238"/>
      <c r="O67" s="238"/>
      <c r="P67" s="238"/>
      <c r="Q67" s="238"/>
      <c r="R67" s="238"/>
      <c r="S67" s="238"/>
      <c r="T67" s="238"/>
      <c r="U67" s="238"/>
      <c r="V67" s="238"/>
      <c r="W67" s="238"/>
    </row>
    <row r="68" spans="1:23" ht="12.75">
      <c r="A68" s="238"/>
      <c r="B68" s="238"/>
      <c r="C68" s="238"/>
      <c r="D68" s="238"/>
      <c r="E68" s="238"/>
      <c r="F68" s="238"/>
      <c r="G68" s="238"/>
      <c r="H68" s="238"/>
      <c r="I68" s="238"/>
      <c r="J68" s="238"/>
      <c r="K68" s="238"/>
      <c r="L68" s="238"/>
      <c r="M68" s="238"/>
      <c r="N68" s="238"/>
      <c r="O68" s="238"/>
      <c r="P68" s="238"/>
      <c r="Q68" s="238"/>
      <c r="R68" s="238"/>
      <c r="S68" s="238"/>
      <c r="T68" s="238"/>
      <c r="U68" s="238"/>
      <c r="V68" s="238"/>
      <c r="W68" s="238"/>
    </row>
    <row r="69" spans="1:23" ht="12.75">
      <c r="A69" s="238"/>
      <c r="B69" s="238"/>
      <c r="C69" s="238"/>
      <c r="D69" s="238"/>
      <c r="E69" s="238"/>
      <c r="F69" s="238"/>
      <c r="G69" s="238"/>
      <c r="H69" s="238"/>
      <c r="I69" s="238"/>
      <c r="J69" s="238"/>
      <c r="K69" s="238"/>
      <c r="L69" s="238"/>
      <c r="M69" s="238"/>
      <c r="N69" s="238"/>
      <c r="O69" s="238"/>
      <c r="P69" s="238"/>
      <c r="Q69" s="238"/>
      <c r="R69" s="238"/>
      <c r="S69" s="238"/>
      <c r="T69" s="238"/>
      <c r="U69" s="238"/>
      <c r="V69" s="238"/>
      <c r="W69" s="238"/>
    </row>
    <row r="70" spans="1:23" ht="12.75">
      <c r="A70" s="238"/>
      <c r="B70" s="238"/>
      <c r="C70" s="238"/>
      <c r="D70" s="238"/>
      <c r="E70" s="238"/>
      <c r="F70" s="238"/>
      <c r="G70" s="238"/>
      <c r="H70" s="238"/>
      <c r="I70" s="238"/>
      <c r="J70" s="238"/>
      <c r="K70" s="238"/>
      <c r="L70" s="238"/>
      <c r="M70" s="238"/>
      <c r="N70" s="238"/>
      <c r="O70" s="238"/>
      <c r="P70" s="238"/>
      <c r="Q70" s="238"/>
      <c r="R70" s="238"/>
      <c r="S70" s="238"/>
      <c r="T70" s="238"/>
      <c r="U70" s="238"/>
      <c r="V70" s="238"/>
      <c r="W70" s="238"/>
    </row>
    <row r="71" spans="1:23" ht="12.75">
      <c r="A71" s="238"/>
      <c r="B71" s="238"/>
      <c r="C71" s="238"/>
      <c r="D71" s="238"/>
      <c r="E71" s="238"/>
      <c r="F71" s="238"/>
      <c r="G71" s="238"/>
      <c r="H71" s="238"/>
      <c r="I71" s="238"/>
      <c r="J71" s="238"/>
      <c r="K71" s="238"/>
      <c r="L71" s="238"/>
      <c r="M71" s="238"/>
      <c r="N71" s="238"/>
      <c r="O71" s="238"/>
      <c r="P71" s="238"/>
      <c r="Q71" s="238"/>
      <c r="R71" s="238"/>
      <c r="S71" s="238"/>
      <c r="T71" s="238"/>
      <c r="U71" s="238"/>
      <c r="V71" s="238"/>
      <c r="W71" s="238"/>
    </row>
    <row r="72" spans="1:23" ht="12.75">
      <c r="A72" s="238"/>
      <c r="B72" s="238"/>
      <c r="C72" s="238"/>
      <c r="D72" s="238"/>
      <c r="E72" s="238"/>
      <c r="F72" s="238"/>
      <c r="G72" s="238"/>
      <c r="H72" s="238"/>
      <c r="I72" s="238"/>
      <c r="J72" s="238"/>
      <c r="K72" s="238"/>
      <c r="L72" s="238"/>
      <c r="M72" s="238"/>
      <c r="N72" s="238"/>
      <c r="O72" s="238"/>
      <c r="P72" s="238"/>
      <c r="Q72" s="238"/>
      <c r="R72" s="238"/>
      <c r="S72" s="238"/>
      <c r="T72" s="238"/>
      <c r="U72" s="238"/>
      <c r="V72" s="238"/>
      <c r="W72" s="238"/>
    </row>
    <row r="73" spans="1:23" ht="12.75">
      <c r="A73" s="238"/>
      <c r="B73" s="238"/>
      <c r="C73" s="238"/>
      <c r="D73" s="238"/>
      <c r="E73" s="238"/>
      <c r="F73" s="238"/>
      <c r="G73" s="238"/>
      <c r="H73" s="238"/>
      <c r="I73" s="238"/>
      <c r="J73" s="238"/>
      <c r="K73" s="238"/>
      <c r="L73" s="238"/>
      <c r="M73" s="238"/>
      <c r="N73" s="238"/>
      <c r="O73" s="238"/>
      <c r="P73" s="238"/>
      <c r="Q73" s="238"/>
      <c r="R73" s="238"/>
      <c r="S73" s="238"/>
      <c r="T73" s="238"/>
      <c r="U73" s="238"/>
      <c r="V73" s="238"/>
      <c r="W73" s="238"/>
    </row>
    <row r="74" spans="1:23" ht="12.75">
      <c r="A74" s="238"/>
      <c r="B74" s="238"/>
      <c r="C74" s="238"/>
      <c r="D74" s="238"/>
      <c r="E74" s="238"/>
      <c r="F74" s="238"/>
      <c r="G74" s="238"/>
      <c r="H74" s="238"/>
      <c r="I74" s="238"/>
      <c r="J74" s="238"/>
      <c r="K74" s="238"/>
      <c r="L74" s="238"/>
      <c r="M74" s="238"/>
      <c r="N74" s="238"/>
      <c r="O74" s="238"/>
      <c r="P74" s="238"/>
      <c r="Q74" s="238"/>
      <c r="R74" s="238"/>
      <c r="S74" s="238"/>
      <c r="T74" s="238"/>
      <c r="U74" s="238"/>
      <c r="V74" s="238"/>
      <c r="W74" s="238"/>
    </row>
    <row r="75" spans="1:23" ht="12.75">
      <c r="A75" s="238"/>
      <c r="B75" s="238"/>
      <c r="C75" s="238"/>
      <c r="D75" s="238"/>
      <c r="E75" s="238"/>
      <c r="F75" s="238"/>
      <c r="G75" s="238"/>
      <c r="H75" s="238"/>
      <c r="I75" s="238"/>
      <c r="J75" s="238"/>
      <c r="K75" s="238"/>
      <c r="L75" s="238"/>
      <c r="M75" s="238"/>
      <c r="N75" s="238"/>
      <c r="O75" s="238"/>
      <c r="P75" s="238"/>
      <c r="Q75" s="238"/>
      <c r="R75" s="238"/>
      <c r="S75" s="238"/>
      <c r="T75" s="238"/>
      <c r="U75" s="238"/>
      <c r="V75" s="238"/>
      <c r="W75" s="238"/>
    </row>
    <row r="76" spans="1:23" ht="12.75">
      <c r="A76" s="238"/>
      <c r="B76" s="238"/>
      <c r="C76" s="238"/>
      <c r="D76" s="238"/>
      <c r="E76" s="238"/>
      <c r="F76" s="238"/>
      <c r="G76" s="238"/>
      <c r="H76" s="238"/>
      <c r="I76" s="238"/>
      <c r="J76" s="238"/>
      <c r="K76" s="238"/>
      <c r="L76" s="238"/>
      <c r="M76" s="238"/>
      <c r="N76" s="238"/>
      <c r="O76" s="238"/>
      <c r="P76" s="238"/>
      <c r="Q76" s="238"/>
      <c r="R76" s="238"/>
      <c r="S76" s="238"/>
      <c r="T76" s="238"/>
      <c r="U76" s="238"/>
      <c r="V76" s="238"/>
      <c r="W76" s="238"/>
    </row>
    <row r="77" spans="1:23" ht="12.75">
      <c r="A77" s="238"/>
      <c r="B77" s="238"/>
      <c r="C77" s="238"/>
      <c r="D77" s="238"/>
      <c r="E77" s="238"/>
      <c r="F77" s="238"/>
      <c r="G77" s="238"/>
      <c r="H77" s="238"/>
      <c r="I77" s="238"/>
      <c r="J77" s="238"/>
      <c r="K77" s="238"/>
      <c r="L77" s="238"/>
      <c r="M77" s="238"/>
      <c r="N77" s="238"/>
      <c r="O77" s="238"/>
      <c r="P77" s="238"/>
      <c r="Q77" s="238"/>
      <c r="R77" s="238"/>
      <c r="S77" s="238"/>
      <c r="T77" s="238"/>
      <c r="U77" s="238"/>
      <c r="V77" s="238"/>
      <c r="W77" s="238"/>
    </row>
    <row r="78" spans="1:23" ht="12.75">
      <c r="A78" s="238"/>
      <c r="B78" s="238"/>
      <c r="C78" s="238"/>
      <c r="D78" s="238"/>
      <c r="E78" s="238"/>
      <c r="F78" s="238"/>
      <c r="G78" s="238"/>
      <c r="H78" s="238"/>
      <c r="I78" s="238"/>
      <c r="J78" s="238"/>
      <c r="K78" s="238"/>
      <c r="L78" s="238"/>
      <c r="M78" s="238"/>
      <c r="N78" s="238"/>
      <c r="O78" s="238"/>
      <c r="P78" s="238"/>
      <c r="Q78" s="238"/>
      <c r="R78" s="238"/>
      <c r="S78" s="238"/>
      <c r="T78" s="238"/>
      <c r="U78" s="238"/>
      <c r="V78" s="238"/>
      <c r="W78" s="238"/>
    </row>
    <row r="79" spans="1:23" ht="12.75">
      <c r="A79" s="238"/>
      <c r="B79" s="238"/>
      <c r="C79" s="238"/>
      <c r="D79" s="238"/>
      <c r="E79" s="238"/>
      <c r="F79" s="238"/>
      <c r="G79" s="238"/>
      <c r="H79" s="238"/>
      <c r="I79" s="238"/>
      <c r="J79" s="238"/>
      <c r="K79" s="238"/>
      <c r="L79" s="238"/>
      <c r="M79" s="238"/>
      <c r="N79" s="238"/>
      <c r="O79" s="238"/>
      <c r="P79" s="238"/>
      <c r="Q79" s="238"/>
      <c r="R79" s="238"/>
      <c r="S79" s="238"/>
      <c r="T79" s="238"/>
      <c r="U79" s="238"/>
      <c r="V79" s="238"/>
      <c r="W79" s="238"/>
    </row>
    <row r="80" spans="1:23" ht="12.75">
      <c r="A80" s="238"/>
      <c r="B80" s="238"/>
      <c r="C80" s="238"/>
      <c r="D80" s="238"/>
      <c r="E80" s="238"/>
      <c r="F80" s="238"/>
      <c r="G80" s="238"/>
      <c r="H80" s="238"/>
      <c r="I80" s="238"/>
      <c r="J80" s="238"/>
      <c r="K80" s="238"/>
      <c r="L80" s="238"/>
      <c r="M80" s="238"/>
      <c r="N80" s="238"/>
      <c r="O80" s="238"/>
      <c r="P80" s="238"/>
      <c r="Q80" s="238"/>
      <c r="R80" s="238"/>
      <c r="S80" s="238"/>
      <c r="T80" s="238"/>
      <c r="U80" s="238"/>
      <c r="V80" s="238"/>
      <c r="W80" s="238"/>
    </row>
    <row r="81" spans="1:23" ht="12.75">
      <c r="A81" s="238"/>
      <c r="B81" s="238"/>
      <c r="C81" s="238"/>
      <c r="D81" s="238"/>
      <c r="E81" s="238"/>
      <c r="F81" s="238"/>
      <c r="G81" s="238"/>
      <c r="H81" s="238"/>
      <c r="I81" s="238"/>
      <c r="J81" s="238"/>
      <c r="K81" s="238"/>
      <c r="L81" s="238"/>
      <c r="M81" s="238"/>
      <c r="N81" s="238"/>
      <c r="O81" s="238"/>
      <c r="P81" s="238"/>
      <c r="Q81" s="238"/>
      <c r="R81" s="238"/>
      <c r="S81" s="238"/>
      <c r="T81" s="238"/>
      <c r="U81" s="238"/>
      <c r="V81" s="238"/>
      <c r="W81" s="238"/>
    </row>
    <row r="82" spans="1:23" ht="12.75">
      <c r="A82" s="238"/>
      <c r="B82" s="238"/>
      <c r="C82" s="238"/>
      <c r="D82" s="238"/>
      <c r="E82" s="238"/>
      <c r="F82" s="238"/>
      <c r="G82" s="238"/>
      <c r="H82" s="238"/>
      <c r="I82" s="238"/>
      <c r="J82" s="238"/>
      <c r="K82" s="238"/>
      <c r="L82" s="238"/>
      <c r="M82" s="238"/>
      <c r="N82" s="238"/>
      <c r="O82" s="238"/>
      <c r="P82" s="238"/>
      <c r="Q82" s="238"/>
      <c r="R82" s="238"/>
      <c r="S82" s="238"/>
      <c r="T82" s="238"/>
      <c r="U82" s="238"/>
      <c r="V82" s="238"/>
      <c r="W82" s="238"/>
    </row>
    <row r="83" spans="1:23" ht="12.75">
      <c r="A83" s="238"/>
      <c r="B83" s="238"/>
      <c r="C83" s="238"/>
      <c r="D83" s="238"/>
      <c r="E83" s="238"/>
      <c r="F83" s="238"/>
      <c r="G83" s="238"/>
      <c r="H83" s="238"/>
      <c r="I83" s="238"/>
      <c r="J83" s="238"/>
      <c r="K83" s="238"/>
      <c r="L83" s="238"/>
      <c r="M83" s="238"/>
      <c r="N83" s="238"/>
      <c r="O83" s="238"/>
      <c r="P83" s="238"/>
      <c r="Q83" s="238"/>
      <c r="R83" s="238"/>
      <c r="S83" s="238"/>
      <c r="T83" s="238"/>
      <c r="U83" s="238"/>
      <c r="V83" s="238"/>
      <c r="W83" s="238"/>
    </row>
    <row r="84" spans="1:23" ht="12.75">
      <c r="A84" s="238"/>
      <c r="B84" s="238"/>
      <c r="C84" s="238"/>
      <c r="D84" s="238"/>
      <c r="E84" s="238"/>
      <c r="F84" s="238"/>
      <c r="G84" s="238"/>
      <c r="H84" s="238"/>
      <c r="I84" s="238"/>
      <c r="J84" s="238"/>
      <c r="K84" s="238"/>
      <c r="L84" s="238"/>
      <c r="M84" s="238"/>
      <c r="N84" s="238"/>
      <c r="O84" s="238"/>
      <c r="P84" s="238"/>
      <c r="Q84" s="238"/>
      <c r="R84" s="238"/>
      <c r="S84" s="238"/>
      <c r="T84" s="238"/>
      <c r="U84" s="238"/>
      <c r="V84" s="238"/>
      <c r="W84" s="238"/>
    </row>
    <row r="85" spans="1:23" ht="12.75">
      <c r="A85" s="238"/>
      <c r="B85" s="238"/>
      <c r="C85" s="238"/>
      <c r="D85" s="238"/>
      <c r="E85" s="238"/>
      <c r="F85" s="238"/>
      <c r="G85" s="238"/>
      <c r="H85" s="238"/>
      <c r="I85" s="238"/>
      <c r="J85" s="238"/>
      <c r="K85" s="238"/>
      <c r="L85" s="238"/>
      <c r="M85" s="238"/>
      <c r="N85" s="238"/>
      <c r="O85" s="238"/>
      <c r="P85" s="238"/>
      <c r="Q85" s="238"/>
      <c r="R85" s="238"/>
      <c r="S85" s="238"/>
      <c r="T85" s="238"/>
      <c r="U85" s="238"/>
      <c r="V85" s="238"/>
      <c r="W85" s="238"/>
    </row>
    <row r="86" spans="1:23" ht="12.75">
      <c r="A86" s="238"/>
      <c r="B86" s="238"/>
      <c r="C86" s="238"/>
      <c r="D86" s="238"/>
      <c r="E86" s="238"/>
      <c r="F86" s="238"/>
      <c r="G86" s="238"/>
      <c r="H86" s="238"/>
      <c r="I86" s="238"/>
      <c r="J86" s="238"/>
      <c r="K86" s="238"/>
      <c r="L86" s="238"/>
      <c r="M86" s="238"/>
      <c r="N86" s="238"/>
      <c r="O86" s="238"/>
      <c r="P86" s="238"/>
      <c r="Q86" s="238"/>
      <c r="R86" s="238"/>
      <c r="S86" s="238"/>
      <c r="T86" s="238"/>
      <c r="U86" s="238"/>
      <c r="V86" s="238"/>
      <c r="W86" s="238"/>
    </row>
    <row r="87" spans="1:23" ht="12.75">
      <c r="A87" s="238"/>
      <c r="B87" s="238"/>
      <c r="C87" s="238"/>
      <c r="D87" s="238"/>
      <c r="E87" s="238"/>
      <c r="F87" s="238"/>
      <c r="G87" s="238"/>
      <c r="H87" s="238"/>
      <c r="I87" s="238"/>
      <c r="J87" s="238"/>
      <c r="K87" s="238"/>
      <c r="L87" s="238"/>
      <c r="M87" s="238"/>
      <c r="N87" s="238"/>
      <c r="O87" s="238"/>
      <c r="P87" s="238"/>
      <c r="Q87" s="238"/>
      <c r="R87" s="238"/>
      <c r="S87" s="238"/>
      <c r="T87" s="238"/>
      <c r="U87" s="238"/>
      <c r="V87" s="238"/>
      <c r="W87" s="238"/>
    </row>
    <row r="88" spans="1:23" ht="12.75">
      <c r="A88" s="238"/>
      <c r="B88" s="238"/>
      <c r="C88" s="238"/>
      <c r="D88" s="238"/>
      <c r="E88" s="238"/>
      <c r="F88" s="238"/>
      <c r="G88" s="238"/>
      <c r="H88" s="238"/>
      <c r="I88" s="238"/>
      <c r="J88" s="238"/>
      <c r="K88" s="238"/>
      <c r="L88" s="238"/>
      <c r="M88" s="238"/>
      <c r="N88" s="238"/>
      <c r="O88" s="238"/>
      <c r="P88" s="238"/>
      <c r="Q88" s="238"/>
      <c r="R88" s="238"/>
      <c r="S88" s="238"/>
      <c r="T88" s="238"/>
      <c r="U88" s="238"/>
      <c r="V88" s="238"/>
      <c r="W88" s="238"/>
    </row>
    <row r="89" spans="1:23" ht="12.75">
      <c r="A89" s="238"/>
      <c r="B89" s="238"/>
      <c r="C89" s="238"/>
      <c r="D89" s="238"/>
      <c r="E89" s="238"/>
      <c r="F89" s="238"/>
      <c r="G89" s="238"/>
      <c r="H89" s="238"/>
      <c r="I89" s="238"/>
      <c r="J89" s="238"/>
      <c r="K89" s="238"/>
      <c r="L89" s="238"/>
      <c r="M89" s="238"/>
      <c r="N89" s="238"/>
      <c r="O89" s="238"/>
      <c r="P89" s="238"/>
      <c r="Q89" s="238"/>
      <c r="R89" s="238"/>
      <c r="S89" s="238"/>
      <c r="T89" s="238"/>
      <c r="U89" s="238"/>
      <c r="V89" s="238"/>
      <c r="W89" s="238"/>
    </row>
    <row r="90" spans="1:23" ht="12.75">
      <c r="A90" s="238"/>
      <c r="B90" s="238"/>
      <c r="C90" s="238"/>
      <c r="D90" s="238"/>
      <c r="E90" s="238"/>
      <c r="F90" s="238"/>
      <c r="G90" s="238"/>
      <c r="H90" s="238"/>
      <c r="I90" s="238"/>
      <c r="J90" s="238"/>
      <c r="K90" s="238"/>
      <c r="L90" s="238"/>
      <c r="M90" s="238"/>
      <c r="N90" s="238"/>
      <c r="O90" s="238"/>
      <c r="P90" s="238"/>
      <c r="Q90" s="238"/>
      <c r="R90" s="238"/>
      <c r="S90" s="238"/>
      <c r="T90" s="238"/>
      <c r="U90" s="238"/>
      <c r="V90" s="238"/>
      <c r="W90" s="238"/>
    </row>
    <row r="91" spans="1:23" ht="12.75">
      <c r="A91" s="238"/>
      <c r="B91" s="238"/>
      <c r="C91" s="238"/>
      <c r="D91" s="238"/>
      <c r="E91" s="238"/>
      <c r="F91" s="238"/>
      <c r="G91" s="238"/>
      <c r="H91" s="238"/>
      <c r="I91" s="238"/>
      <c r="J91" s="238"/>
      <c r="K91" s="238"/>
      <c r="L91" s="238"/>
      <c r="M91" s="238"/>
      <c r="N91" s="238"/>
      <c r="O91" s="238"/>
      <c r="P91" s="238"/>
      <c r="Q91" s="238"/>
      <c r="R91" s="238"/>
      <c r="S91" s="238"/>
      <c r="T91" s="238"/>
      <c r="U91" s="238"/>
      <c r="V91" s="238"/>
      <c r="W91" s="238"/>
    </row>
    <row r="92" spans="1:23" ht="12.75">
      <c r="A92" s="238"/>
      <c r="B92" s="238"/>
      <c r="C92" s="238"/>
      <c r="D92" s="238"/>
      <c r="E92" s="238"/>
      <c r="F92" s="238"/>
      <c r="G92" s="238"/>
      <c r="H92" s="238"/>
      <c r="I92" s="238"/>
      <c r="J92" s="238"/>
      <c r="K92" s="238"/>
      <c r="L92" s="238"/>
      <c r="M92" s="238"/>
      <c r="N92" s="238"/>
      <c r="O92" s="238"/>
      <c r="P92" s="238"/>
      <c r="Q92" s="238"/>
      <c r="R92" s="238"/>
      <c r="S92" s="238"/>
      <c r="T92" s="238"/>
      <c r="U92" s="238"/>
      <c r="V92" s="238"/>
      <c r="W92" s="238"/>
    </row>
    <row r="93" spans="1:23" ht="12.75">
      <c r="A93" s="238"/>
      <c r="B93" s="238"/>
      <c r="C93" s="238"/>
      <c r="D93" s="238"/>
      <c r="E93" s="238"/>
      <c r="F93" s="238"/>
      <c r="G93" s="238"/>
      <c r="H93" s="238"/>
      <c r="I93" s="238"/>
      <c r="J93" s="238"/>
      <c r="K93" s="238"/>
      <c r="L93" s="238"/>
      <c r="M93" s="238"/>
      <c r="N93" s="238"/>
      <c r="O93" s="238"/>
      <c r="P93" s="238"/>
      <c r="Q93" s="238"/>
      <c r="R93" s="238"/>
      <c r="S93" s="238"/>
      <c r="T93" s="238"/>
      <c r="U93" s="238"/>
      <c r="V93" s="238"/>
      <c r="W93" s="238"/>
    </row>
    <row r="94" spans="1:23" ht="12.75">
      <c r="A94" s="238"/>
      <c r="B94" s="238"/>
      <c r="C94" s="238"/>
      <c r="D94" s="238"/>
      <c r="E94" s="238"/>
      <c r="F94" s="238"/>
      <c r="G94" s="238"/>
      <c r="H94" s="238"/>
      <c r="I94" s="238"/>
      <c r="J94" s="238"/>
      <c r="K94" s="238"/>
      <c r="L94" s="238"/>
      <c r="M94" s="238"/>
      <c r="N94" s="238"/>
      <c r="O94" s="238"/>
      <c r="P94" s="238"/>
      <c r="Q94" s="238"/>
      <c r="R94" s="238"/>
      <c r="S94" s="238"/>
      <c r="T94" s="238"/>
      <c r="U94" s="238"/>
      <c r="V94" s="238"/>
      <c r="W94" s="238"/>
    </row>
    <row r="95" spans="1:23" ht="12.75">
      <c r="A95" s="238"/>
      <c r="B95" s="238"/>
      <c r="C95" s="238"/>
      <c r="D95" s="238"/>
      <c r="E95" s="238"/>
      <c r="F95" s="238"/>
      <c r="G95" s="238"/>
      <c r="H95" s="238"/>
      <c r="I95" s="238"/>
      <c r="J95" s="238"/>
      <c r="K95" s="238"/>
      <c r="L95" s="238"/>
      <c r="M95" s="238"/>
      <c r="N95" s="238"/>
      <c r="O95" s="238"/>
      <c r="P95" s="238"/>
      <c r="Q95" s="238"/>
      <c r="R95" s="238"/>
      <c r="S95" s="238"/>
      <c r="T95" s="238"/>
      <c r="U95" s="238"/>
      <c r="V95" s="238"/>
      <c r="W95" s="238"/>
    </row>
    <row r="96" spans="1:23" ht="12.75">
      <c r="A96" s="238"/>
      <c r="B96" s="238"/>
      <c r="C96" s="238"/>
      <c r="D96" s="238"/>
      <c r="E96" s="238"/>
      <c r="F96" s="238"/>
      <c r="G96" s="238"/>
      <c r="H96" s="238"/>
      <c r="I96" s="238"/>
      <c r="J96" s="238"/>
      <c r="K96" s="238"/>
      <c r="L96" s="238"/>
      <c r="M96" s="238"/>
      <c r="N96" s="238"/>
      <c r="O96" s="238"/>
      <c r="P96" s="238"/>
      <c r="Q96" s="238"/>
      <c r="R96" s="238"/>
      <c r="S96" s="238"/>
      <c r="T96" s="238"/>
      <c r="U96" s="238"/>
      <c r="V96" s="238"/>
      <c r="W96" s="238"/>
    </row>
    <row r="97" spans="1:23" ht="12.75">
      <c r="A97" s="238"/>
      <c r="B97" s="238"/>
      <c r="C97" s="238"/>
      <c r="D97" s="238"/>
      <c r="E97" s="238"/>
      <c r="F97" s="238"/>
      <c r="G97" s="238"/>
      <c r="H97" s="238"/>
      <c r="I97" s="238"/>
      <c r="J97" s="238"/>
      <c r="K97" s="238"/>
      <c r="L97" s="238"/>
      <c r="M97" s="238"/>
      <c r="N97" s="238"/>
      <c r="O97" s="238"/>
      <c r="P97" s="238"/>
      <c r="Q97" s="238"/>
      <c r="R97" s="238"/>
      <c r="S97" s="238"/>
      <c r="T97" s="238"/>
      <c r="U97" s="238"/>
      <c r="V97" s="238"/>
      <c r="W97" s="238"/>
    </row>
    <row r="98" spans="1:23" ht="12.75">
      <c r="A98" s="238"/>
      <c r="B98" s="238"/>
      <c r="C98" s="238"/>
      <c r="D98" s="238"/>
      <c r="E98" s="238"/>
      <c r="F98" s="238"/>
      <c r="G98" s="238"/>
      <c r="H98" s="238"/>
      <c r="I98" s="238"/>
      <c r="J98" s="238"/>
      <c r="K98" s="238"/>
      <c r="L98" s="238"/>
      <c r="M98" s="238"/>
      <c r="N98" s="238"/>
      <c r="O98" s="238"/>
      <c r="P98" s="238"/>
      <c r="Q98" s="238"/>
      <c r="R98" s="238"/>
      <c r="S98" s="238"/>
      <c r="T98" s="238"/>
      <c r="U98" s="238"/>
      <c r="V98" s="238"/>
      <c r="W98" s="238"/>
    </row>
    <row r="99" spans="1:23" ht="12.75">
      <c r="A99" s="238"/>
      <c r="B99" s="238"/>
      <c r="C99" s="238"/>
      <c r="D99" s="238"/>
      <c r="E99" s="238"/>
      <c r="F99" s="238"/>
      <c r="G99" s="238"/>
      <c r="H99" s="238"/>
      <c r="I99" s="238"/>
      <c r="J99" s="238"/>
      <c r="K99" s="238"/>
      <c r="L99" s="238"/>
      <c r="M99" s="238"/>
      <c r="N99" s="238"/>
      <c r="O99" s="238"/>
      <c r="P99" s="238"/>
      <c r="Q99" s="238"/>
      <c r="R99" s="238"/>
      <c r="S99" s="238"/>
      <c r="T99" s="238"/>
      <c r="U99" s="238"/>
      <c r="V99" s="238"/>
      <c r="W99" s="238"/>
    </row>
    <row r="100" spans="1:23" ht="12.75">
      <c r="A100" s="238"/>
      <c r="B100" s="238"/>
      <c r="C100" s="238"/>
      <c r="D100" s="238"/>
      <c r="E100" s="238"/>
      <c r="F100" s="238"/>
      <c r="G100" s="238"/>
      <c r="H100" s="238"/>
      <c r="I100" s="238"/>
      <c r="J100" s="238"/>
      <c r="K100" s="238"/>
      <c r="L100" s="238"/>
      <c r="M100" s="238"/>
      <c r="N100" s="238"/>
      <c r="O100" s="238"/>
      <c r="P100" s="238"/>
      <c r="Q100" s="238"/>
      <c r="R100" s="238"/>
      <c r="S100" s="238"/>
      <c r="T100" s="238"/>
      <c r="U100" s="238"/>
      <c r="V100" s="238"/>
      <c r="W100" s="238"/>
    </row>
    <row r="101" spans="1:23" ht="12.75">
      <c r="A101" s="238"/>
      <c r="B101" s="238"/>
      <c r="C101" s="238"/>
      <c r="D101" s="238"/>
      <c r="E101" s="238"/>
      <c r="F101" s="238"/>
      <c r="G101" s="238"/>
      <c r="H101" s="238"/>
      <c r="I101" s="238"/>
      <c r="J101" s="238"/>
      <c r="K101" s="238"/>
      <c r="L101" s="238"/>
      <c r="M101" s="238"/>
      <c r="N101" s="238"/>
      <c r="O101" s="238"/>
      <c r="P101" s="238"/>
      <c r="Q101" s="238"/>
      <c r="R101" s="238"/>
      <c r="S101" s="238"/>
      <c r="T101" s="238"/>
      <c r="U101" s="238"/>
      <c r="V101" s="238"/>
      <c r="W101" s="238"/>
    </row>
    <row r="102" spans="1:23" ht="12.75">
      <c r="A102" s="238"/>
      <c r="B102" s="238"/>
      <c r="C102" s="238"/>
      <c r="D102" s="238"/>
      <c r="E102" s="238"/>
      <c r="F102" s="238"/>
      <c r="G102" s="238"/>
      <c r="H102" s="238"/>
      <c r="I102" s="238"/>
      <c r="J102" s="238"/>
      <c r="K102" s="238"/>
      <c r="L102" s="238"/>
      <c r="M102" s="238"/>
      <c r="N102" s="238"/>
      <c r="O102" s="238"/>
      <c r="P102" s="238"/>
      <c r="Q102" s="238"/>
      <c r="R102" s="238"/>
      <c r="S102" s="238"/>
      <c r="T102" s="238"/>
      <c r="U102" s="238"/>
      <c r="V102" s="238"/>
      <c r="W102" s="238"/>
    </row>
    <row r="103" spans="1:23" ht="12.75">
      <c r="A103" s="238"/>
      <c r="B103" s="238"/>
      <c r="C103" s="238"/>
      <c r="D103" s="238"/>
      <c r="E103" s="238"/>
      <c r="F103" s="238"/>
      <c r="G103" s="238"/>
      <c r="H103" s="238"/>
      <c r="I103" s="238"/>
      <c r="J103" s="238"/>
      <c r="K103" s="238"/>
      <c r="L103" s="238"/>
      <c r="M103" s="238"/>
      <c r="N103" s="238"/>
      <c r="O103" s="238"/>
      <c r="P103" s="238"/>
      <c r="Q103" s="238"/>
      <c r="R103" s="238"/>
      <c r="S103" s="238"/>
      <c r="T103" s="238"/>
      <c r="U103" s="238"/>
      <c r="V103" s="238"/>
      <c r="W103" s="238"/>
    </row>
    <row r="104" spans="1:23" ht="12.75">
      <c r="A104" s="238"/>
      <c r="B104" s="238"/>
      <c r="C104" s="238"/>
      <c r="D104" s="238"/>
      <c r="E104" s="238"/>
      <c r="F104" s="238"/>
      <c r="G104" s="238"/>
      <c r="H104" s="238"/>
      <c r="I104" s="238"/>
      <c r="J104" s="238"/>
      <c r="K104" s="238"/>
      <c r="L104" s="238"/>
      <c r="M104" s="238"/>
      <c r="N104" s="238"/>
      <c r="O104" s="238"/>
      <c r="P104" s="238"/>
      <c r="Q104" s="238"/>
      <c r="R104" s="238"/>
      <c r="S104" s="238"/>
      <c r="T104" s="238"/>
      <c r="U104" s="238"/>
      <c r="V104" s="238"/>
      <c r="W104" s="238"/>
    </row>
    <row r="105" spans="1:23" ht="12.75">
      <c r="A105" s="238"/>
      <c r="B105" s="238"/>
      <c r="C105" s="238"/>
      <c r="D105" s="238"/>
      <c r="E105" s="238"/>
      <c r="F105" s="238"/>
      <c r="G105" s="238"/>
      <c r="H105" s="238"/>
      <c r="I105" s="238"/>
      <c r="J105" s="238"/>
      <c r="K105" s="238"/>
      <c r="L105" s="238"/>
      <c r="M105" s="238"/>
      <c r="N105" s="238"/>
      <c r="O105" s="238"/>
      <c r="P105" s="238"/>
      <c r="Q105" s="238"/>
      <c r="R105" s="238"/>
      <c r="S105" s="238"/>
      <c r="T105" s="238"/>
      <c r="U105" s="238"/>
      <c r="V105" s="238"/>
      <c r="W105" s="238"/>
    </row>
    <row r="106" spans="1:23" ht="12.75">
      <c r="A106" s="238"/>
      <c r="B106" s="238"/>
      <c r="C106" s="238"/>
      <c r="D106" s="238"/>
      <c r="E106" s="238"/>
      <c r="F106" s="238"/>
      <c r="G106" s="238"/>
      <c r="H106" s="238"/>
      <c r="I106" s="238"/>
      <c r="J106" s="238"/>
      <c r="K106" s="238"/>
      <c r="L106" s="238"/>
      <c r="M106" s="238"/>
      <c r="N106" s="238"/>
      <c r="O106" s="238"/>
      <c r="P106" s="238"/>
      <c r="Q106" s="238"/>
      <c r="R106" s="238"/>
      <c r="S106" s="238"/>
      <c r="T106" s="238"/>
      <c r="U106" s="238"/>
      <c r="V106" s="238"/>
      <c r="W106" s="238"/>
    </row>
    <row r="107" spans="1:23" ht="12.75">
      <c r="A107" s="238"/>
      <c r="B107" s="238"/>
      <c r="C107" s="238"/>
      <c r="D107" s="238"/>
      <c r="E107" s="238"/>
      <c r="F107" s="238"/>
      <c r="G107" s="238"/>
      <c r="H107" s="238"/>
      <c r="I107" s="238"/>
      <c r="J107" s="238"/>
      <c r="K107" s="238"/>
      <c r="L107" s="238"/>
      <c r="M107" s="238"/>
      <c r="N107" s="238"/>
      <c r="O107" s="238"/>
      <c r="P107" s="238"/>
      <c r="Q107" s="238"/>
      <c r="R107" s="238"/>
      <c r="S107" s="238"/>
      <c r="T107" s="238"/>
      <c r="U107" s="238"/>
      <c r="V107" s="238"/>
      <c r="W107" s="238"/>
    </row>
    <row r="108" spans="1:23" ht="12.75">
      <c r="A108" s="238"/>
      <c r="B108" s="238"/>
      <c r="C108" s="238"/>
      <c r="D108" s="238"/>
      <c r="E108" s="238"/>
      <c r="F108" s="238"/>
      <c r="G108" s="238"/>
      <c r="H108" s="238"/>
      <c r="I108" s="238"/>
      <c r="J108" s="238"/>
      <c r="K108" s="238"/>
      <c r="L108" s="238"/>
      <c r="M108" s="238"/>
      <c r="N108" s="238"/>
      <c r="O108" s="238"/>
      <c r="P108" s="238"/>
      <c r="Q108" s="238"/>
      <c r="R108" s="238"/>
      <c r="S108" s="238"/>
      <c r="T108" s="238"/>
      <c r="U108" s="238"/>
      <c r="V108" s="238"/>
      <c r="W108" s="238"/>
    </row>
    <row r="109" spans="1:23" ht="12.75">
      <c r="A109" s="238"/>
      <c r="B109" s="238"/>
      <c r="C109" s="238"/>
      <c r="D109" s="238"/>
      <c r="E109" s="238"/>
      <c r="F109" s="238"/>
      <c r="G109" s="238"/>
      <c r="H109" s="238"/>
      <c r="I109" s="238"/>
      <c r="J109" s="238"/>
      <c r="K109" s="238"/>
      <c r="L109" s="238"/>
      <c r="M109" s="238"/>
      <c r="N109" s="238"/>
      <c r="O109" s="238"/>
      <c r="P109" s="238"/>
      <c r="Q109" s="238"/>
      <c r="R109" s="238"/>
      <c r="S109" s="238"/>
      <c r="T109" s="238"/>
      <c r="U109" s="238"/>
      <c r="V109" s="238"/>
      <c r="W109" s="238"/>
    </row>
    <row r="110" spans="1:23" ht="12.75">
      <c r="A110" s="238"/>
      <c r="B110" s="238"/>
      <c r="C110" s="238"/>
      <c r="D110" s="238"/>
      <c r="E110" s="238"/>
      <c r="F110" s="238"/>
      <c r="G110" s="238"/>
      <c r="H110" s="238"/>
      <c r="I110" s="238"/>
      <c r="J110" s="238"/>
      <c r="K110" s="238"/>
      <c r="L110" s="238"/>
      <c r="M110" s="238"/>
      <c r="N110" s="238"/>
      <c r="O110" s="238"/>
      <c r="P110" s="238"/>
      <c r="Q110" s="238"/>
      <c r="R110" s="238"/>
      <c r="S110" s="238"/>
      <c r="T110" s="238"/>
      <c r="U110" s="238"/>
      <c r="V110" s="238"/>
      <c r="W110" s="238"/>
    </row>
    <row r="111" spans="1:23" ht="12.75">
      <c r="A111" s="238"/>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row>
    <row r="112" spans="1:23" ht="12.75">
      <c r="A112" s="238"/>
      <c r="B112" s="238"/>
      <c r="C112" s="238"/>
      <c r="D112" s="238"/>
      <c r="E112" s="238"/>
      <c r="F112" s="238"/>
      <c r="G112" s="238"/>
      <c r="H112" s="238"/>
      <c r="I112" s="238"/>
      <c r="J112" s="238"/>
      <c r="K112" s="238"/>
      <c r="L112" s="238"/>
      <c r="M112" s="238"/>
      <c r="N112" s="238"/>
      <c r="O112" s="238"/>
      <c r="P112" s="238"/>
      <c r="Q112" s="238"/>
      <c r="R112" s="238"/>
      <c r="S112" s="238"/>
      <c r="T112" s="238"/>
      <c r="U112" s="238"/>
      <c r="V112" s="238"/>
      <c r="W112" s="238"/>
    </row>
    <row r="113" spans="1:23" ht="12.75">
      <c r="A113" s="238"/>
      <c r="B113" s="238"/>
      <c r="C113" s="238"/>
      <c r="D113" s="238"/>
      <c r="E113" s="238"/>
      <c r="F113" s="238"/>
      <c r="G113" s="238"/>
      <c r="H113" s="238"/>
      <c r="I113" s="238"/>
      <c r="J113" s="238"/>
      <c r="K113" s="238"/>
      <c r="L113" s="238"/>
      <c r="M113" s="238"/>
      <c r="N113" s="238"/>
      <c r="O113" s="238"/>
      <c r="P113" s="238"/>
      <c r="Q113" s="238"/>
      <c r="R113" s="238"/>
      <c r="S113" s="238"/>
      <c r="T113" s="238"/>
      <c r="U113" s="238"/>
      <c r="V113" s="238"/>
      <c r="W113" s="238"/>
    </row>
    <row r="114" spans="1:23" ht="12.75">
      <c r="A114" s="238"/>
      <c r="B114" s="238"/>
      <c r="C114" s="238"/>
      <c r="D114" s="238"/>
      <c r="E114" s="238"/>
      <c r="F114" s="238"/>
      <c r="G114" s="238"/>
      <c r="H114" s="238"/>
      <c r="I114" s="238"/>
      <c r="J114" s="238"/>
      <c r="K114" s="238"/>
      <c r="L114" s="238"/>
      <c r="M114" s="238"/>
      <c r="N114" s="238"/>
      <c r="O114" s="238"/>
      <c r="P114" s="238"/>
      <c r="Q114" s="238"/>
      <c r="R114" s="238"/>
      <c r="S114" s="238"/>
      <c r="T114" s="238"/>
      <c r="U114" s="238"/>
      <c r="V114" s="238"/>
      <c r="W114" s="238"/>
    </row>
    <row r="115" spans="1:23" ht="12.75">
      <c r="A115" s="238"/>
      <c r="B115" s="238"/>
      <c r="C115" s="238"/>
      <c r="D115" s="238"/>
      <c r="E115" s="238"/>
      <c r="F115" s="238"/>
      <c r="G115" s="238"/>
      <c r="H115" s="238"/>
      <c r="I115" s="238"/>
      <c r="J115" s="238"/>
      <c r="K115" s="238"/>
      <c r="L115" s="238"/>
      <c r="M115" s="238"/>
      <c r="N115" s="238"/>
      <c r="O115" s="238"/>
      <c r="P115" s="238"/>
      <c r="Q115" s="238"/>
      <c r="R115" s="238"/>
      <c r="S115" s="238"/>
      <c r="T115" s="238"/>
      <c r="U115" s="238"/>
      <c r="V115" s="238"/>
      <c r="W115" s="238"/>
    </row>
    <row r="116" spans="1:23" ht="12.75">
      <c r="A116" s="238"/>
      <c r="B116" s="238"/>
      <c r="C116" s="238"/>
      <c r="D116" s="238"/>
      <c r="E116" s="238"/>
      <c r="F116" s="238"/>
      <c r="G116" s="238"/>
      <c r="H116" s="238"/>
      <c r="I116" s="238"/>
      <c r="J116" s="238"/>
      <c r="K116" s="238"/>
      <c r="L116" s="238"/>
      <c r="M116" s="238"/>
      <c r="N116" s="238"/>
      <c r="O116" s="238"/>
      <c r="P116" s="238"/>
      <c r="Q116" s="238"/>
      <c r="R116" s="238"/>
      <c r="S116" s="238"/>
      <c r="T116" s="238"/>
      <c r="U116" s="238"/>
      <c r="V116" s="238"/>
      <c r="W116" s="238"/>
    </row>
    <row r="117" spans="1:23" ht="12.75">
      <c r="A117" s="238"/>
      <c r="B117" s="238"/>
      <c r="C117" s="238"/>
      <c r="D117" s="238"/>
      <c r="E117" s="238"/>
      <c r="F117" s="238"/>
      <c r="G117" s="238"/>
      <c r="H117" s="238"/>
      <c r="I117" s="238"/>
      <c r="J117" s="238"/>
      <c r="K117" s="238"/>
      <c r="L117" s="238"/>
      <c r="M117" s="238"/>
      <c r="N117" s="238"/>
      <c r="O117" s="238"/>
      <c r="P117" s="238"/>
      <c r="Q117" s="238"/>
      <c r="R117" s="238"/>
      <c r="S117" s="238"/>
      <c r="T117" s="238"/>
      <c r="U117" s="238"/>
      <c r="V117" s="238"/>
      <c r="W117" s="238"/>
    </row>
    <row r="118" spans="1:23" ht="12.75">
      <c r="A118" s="238"/>
      <c r="B118" s="238"/>
      <c r="C118" s="238"/>
      <c r="D118" s="238"/>
      <c r="E118" s="238"/>
      <c r="F118" s="238"/>
      <c r="G118" s="238"/>
      <c r="H118" s="238"/>
      <c r="I118" s="238"/>
      <c r="J118" s="238"/>
      <c r="K118" s="238"/>
      <c r="L118" s="238"/>
      <c r="M118" s="238"/>
      <c r="N118" s="238"/>
      <c r="O118" s="238"/>
      <c r="P118" s="238"/>
      <c r="Q118" s="238"/>
      <c r="R118" s="238"/>
      <c r="S118" s="238"/>
      <c r="T118" s="238"/>
      <c r="U118" s="238"/>
      <c r="V118" s="238"/>
      <c r="W118" s="238"/>
    </row>
    <row r="119" spans="1:23" ht="12.75">
      <c r="A119" s="238"/>
      <c r="B119" s="238"/>
      <c r="C119" s="238"/>
      <c r="D119" s="238"/>
      <c r="E119" s="238"/>
      <c r="F119" s="238"/>
      <c r="G119" s="238"/>
      <c r="H119" s="238"/>
      <c r="I119" s="238"/>
      <c r="J119" s="238"/>
      <c r="K119" s="238"/>
      <c r="L119" s="238"/>
      <c r="M119" s="238"/>
      <c r="N119" s="238"/>
      <c r="O119" s="238"/>
      <c r="P119" s="238"/>
      <c r="Q119" s="238"/>
      <c r="R119" s="238"/>
      <c r="S119" s="238"/>
      <c r="T119" s="238"/>
      <c r="U119" s="238"/>
      <c r="V119" s="238"/>
      <c r="W119" s="238"/>
    </row>
    <row r="120" spans="1:23" ht="12.75">
      <c r="A120" s="238"/>
      <c r="B120" s="238"/>
      <c r="C120" s="238"/>
      <c r="D120" s="238"/>
      <c r="E120" s="238"/>
      <c r="F120" s="238"/>
      <c r="G120" s="238"/>
      <c r="H120" s="238"/>
      <c r="I120" s="238"/>
      <c r="J120" s="238"/>
      <c r="K120" s="238"/>
      <c r="L120" s="238"/>
      <c r="M120" s="238"/>
      <c r="N120" s="238"/>
      <c r="O120" s="238"/>
      <c r="P120" s="238"/>
      <c r="Q120" s="238"/>
      <c r="R120" s="238"/>
      <c r="S120" s="238"/>
      <c r="T120" s="238"/>
      <c r="U120" s="238"/>
      <c r="V120" s="238"/>
      <c r="W120" s="238"/>
    </row>
    <row r="121" spans="1:23" ht="12.75">
      <c r="A121" s="238"/>
      <c r="B121" s="238"/>
      <c r="C121" s="238"/>
      <c r="D121" s="238"/>
      <c r="E121" s="238"/>
      <c r="F121" s="238"/>
      <c r="G121" s="238"/>
      <c r="H121" s="238"/>
      <c r="I121" s="238"/>
      <c r="J121" s="238"/>
      <c r="K121" s="238"/>
      <c r="L121" s="238"/>
      <c r="M121" s="238"/>
      <c r="N121" s="238"/>
      <c r="O121" s="238"/>
      <c r="P121" s="238"/>
      <c r="Q121" s="238"/>
      <c r="R121" s="238"/>
      <c r="S121" s="238"/>
      <c r="T121" s="238"/>
      <c r="U121" s="238"/>
      <c r="V121" s="238"/>
      <c r="W121" s="238"/>
    </row>
    <row r="122" spans="1:23" ht="12.75">
      <c r="A122" s="238"/>
      <c r="B122" s="238"/>
      <c r="C122" s="238"/>
      <c r="D122" s="238"/>
      <c r="E122" s="238"/>
      <c r="F122" s="238"/>
      <c r="G122" s="238"/>
      <c r="H122" s="238"/>
      <c r="I122" s="238"/>
      <c r="J122" s="238"/>
      <c r="K122" s="238"/>
      <c r="L122" s="238"/>
      <c r="M122" s="238"/>
      <c r="N122" s="238"/>
      <c r="O122" s="238"/>
      <c r="P122" s="238"/>
      <c r="Q122" s="238"/>
      <c r="R122" s="238"/>
      <c r="S122" s="238"/>
      <c r="T122" s="238"/>
      <c r="U122" s="238"/>
      <c r="V122" s="238"/>
      <c r="W122" s="238"/>
    </row>
    <row r="123" spans="1:23" ht="12.75">
      <c r="A123" s="238"/>
      <c r="B123" s="238"/>
      <c r="C123" s="238"/>
      <c r="D123" s="238"/>
      <c r="E123" s="238"/>
      <c r="F123" s="238"/>
      <c r="G123" s="238"/>
      <c r="H123" s="238"/>
      <c r="I123" s="238"/>
      <c r="J123" s="238"/>
      <c r="K123" s="238"/>
      <c r="L123" s="238"/>
      <c r="M123" s="238"/>
      <c r="N123" s="238"/>
      <c r="O123" s="238"/>
      <c r="P123" s="238"/>
      <c r="Q123" s="238"/>
      <c r="R123" s="238"/>
      <c r="S123" s="238"/>
      <c r="T123" s="238"/>
      <c r="U123" s="238"/>
      <c r="V123" s="238"/>
      <c r="W123" s="238"/>
    </row>
    <row r="124" spans="1:23" ht="12.75">
      <c r="A124" s="238"/>
      <c r="B124" s="238"/>
      <c r="C124" s="238"/>
      <c r="D124" s="238"/>
      <c r="E124" s="238"/>
      <c r="F124" s="238"/>
      <c r="G124" s="238"/>
      <c r="H124" s="238"/>
      <c r="I124" s="238"/>
      <c r="J124" s="238"/>
      <c r="K124" s="238"/>
      <c r="L124" s="238"/>
      <c r="M124" s="238"/>
      <c r="N124" s="238"/>
      <c r="O124" s="238"/>
      <c r="P124" s="238"/>
      <c r="Q124" s="238"/>
      <c r="R124" s="238"/>
      <c r="S124" s="238"/>
      <c r="T124" s="238"/>
      <c r="U124" s="238"/>
      <c r="V124" s="238"/>
      <c r="W124" s="238"/>
    </row>
    <row r="125" spans="1:23" ht="12.75">
      <c r="A125" s="238"/>
      <c r="B125" s="238"/>
      <c r="C125" s="238"/>
      <c r="D125" s="238"/>
      <c r="E125" s="238"/>
      <c r="F125" s="238"/>
      <c r="G125" s="238"/>
      <c r="H125" s="238"/>
      <c r="I125" s="238"/>
      <c r="J125" s="238"/>
      <c r="K125" s="238"/>
      <c r="L125" s="238"/>
      <c r="M125" s="238"/>
      <c r="N125" s="238"/>
      <c r="O125" s="238"/>
      <c r="P125" s="238"/>
      <c r="Q125" s="238"/>
      <c r="R125" s="238"/>
      <c r="S125" s="238"/>
      <c r="T125" s="238"/>
      <c r="U125" s="238"/>
      <c r="V125" s="238"/>
      <c r="W125" s="238"/>
    </row>
    <row r="126" spans="1:23" ht="12.75">
      <c r="A126" s="238"/>
      <c r="B126" s="238"/>
      <c r="C126" s="238"/>
      <c r="D126" s="238"/>
      <c r="E126" s="238"/>
      <c r="F126" s="238"/>
      <c r="G126" s="238"/>
      <c r="H126" s="238"/>
      <c r="I126" s="238"/>
      <c r="J126" s="238"/>
      <c r="K126" s="238"/>
      <c r="L126" s="238"/>
      <c r="M126" s="238"/>
      <c r="N126" s="238"/>
      <c r="O126" s="238"/>
      <c r="P126" s="238"/>
      <c r="Q126" s="238"/>
      <c r="R126" s="238"/>
      <c r="S126" s="238"/>
      <c r="T126" s="238"/>
      <c r="U126" s="238"/>
      <c r="V126" s="238"/>
      <c r="W126" s="238"/>
    </row>
    <row r="127" spans="1:23" ht="12.75">
      <c r="A127" s="238"/>
      <c r="B127" s="238"/>
      <c r="C127" s="238"/>
      <c r="D127" s="238"/>
      <c r="E127" s="238"/>
      <c r="F127" s="238"/>
      <c r="G127" s="238"/>
      <c r="H127" s="238"/>
      <c r="I127" s="238"/>
      <c r="J127" s="238"/>
      <c r="K127" s="238"/>
      <c r="L127" s="238"/>
      <c r="M127" s="238"/>
      <c r="N127" s="238"/>
      <c r="O127" s="238"/>
      <c r="P127" s="238"/>
      <c r="Q127" s="238"/>
      <c r="R127" s="238"/>
      <c r="S127" s="238"/>
      <c r="T127" s="238"/>
      <c r="U127" s="238"/>
      <c r="V127" s="238"/>
      <c r="W127" s="238"/>
    </row>
    <row r="128" spans="1:23" ht="12.75">
      <c r="A128" s="238"/>
      <c r="B128" s="238"/>
      <c r="C128" s="238"/>
      <c r="D128" s="238"/>
      <c r="E128" s="238"/>
      <c r="F128" s="238"/>
      <c r="G128" s="238"/>
      <c r="H128" s="238"/>
      <c r="I128" s="238"/>
      <c r="J128" s="238"/>
      <c r="K128" s="238"/>
      <c r="L128" s="238"/>
      <c r="M128" s="238"/>
      <c r="N128" s="238"/>
      <c r="O128" s="238"/>
      <c r="P128" s="238"/>
      <c r="Q128" s="238"/>
      <c r="R128" s="238"/>
      <c r="S128" s="238"/>
      <c r="T128" s="238"/>
      <c r="U128" s="238"/>
      <c r="V128" s="238"/>
      <c r="W128" s="238"/>
    </row>
    <row r="129" spans="1:23" ht="12.75">
      <c r="A129" s="238"/>
      <c r="B129" s="238"/>
      <c r="C129" s="238"/>
      <c r="D129" s="238"/>
      <c r="E129" s="238"/>
      <c r="F129" s="238"/>
      <c r="G129" s="238"/>
      <c r="H129" s="238"/>
      <c r="I129" s="238"/>
      <c r="J129" s="238"/>
      <c r="K129" s="238"/>
      <c r="L129" s="238"/>
      <c r="M129" s="238"/>
      <c r="N129" s="238"/>
      <c r="O129" s="238"/>
      <c r="P129" s="238"/>
      <c r="Q129" s="238"/>
      <c r="R129" s="238"/>
      <c r="S129" s="238"/>
      <c r="T129" s="238"/>
      <c r="U129" s="238"/>
      <c r="V129" s="238"/>
      <c r="W129" s="238"/>
    </row>
    <row r="130" spans="1:23" ht="12.75">
      <c r="A130" s="238"/>
      <c r="B130" s="238"/>
      <c r="C130" s="238"/>
      <c r="D130" s="238"/>
      <c r="E130" s="238"/>
      <c r="F130" s="238"/>
      <c r="G130" s="238"/>
      <c r="H130" s="238"/>
      <c r="I130" s="238"/>
      <c r="J130" s="238"/>
      <c r="K130" s="238"/>
      <c r="L130" s="238"/>
      <c r="M130" s="238"/>
      <c r="N130" s="238"/>
      <c r="O130" s="238"/>
      <c r="P130" s="238"/>
      <c r="Q130" s="238"/>
      <c r="R130" s="238"/>
      <c r="S130" s="238"/>
      <c r="T130" s="238"/>
      <c r="U130" s="238"/>
      <c r="V130" s="238"/>
      <c r="W130" s="238"/>
    </row>
    <row r="131" spans="1:23" ht="12.75">
      <c r="A131" s="238"/>
      <c r="B131" s="238"/>
      <c r="C131" s="238"/>
      <c r="D131" s="238"/>
      <c r="E131" s="238"/>
      <c r="F131" s="238"/>
      <c r="G131" s="238"/>
      <c r="H131" s="238"/>
      <c r="I131" s="238"/>
      <c r="J131" s="238"/>
      <c r="K131" s="238"/>
      <c r="L131" s="238"/>
      <c r="M131" s="238"/>
      <c r="N131" s="238"/>
      <c r="O131" s="238"/>
      <c r="P131" s="238"/>
      <c r="Q131" s="238"/>
      <c r="R131" s="238"/>
      <c r="S131" s="238"/>
      <c r="T131" s="238"/>
      <c r="U131" s="238"/>
      <c r="V131" s="238"/>
      <c r="W131" s="238"/>
    </row>
    <row r="132" spans="1:23" ht="12.75">
      <c r="A132" s="238"/>
      <c r="B132" s="238"/>
      <c r="C132" s="238"/>
      <c r="D132" s="238"/>
      <c r="E132" s="238"/>
      <c r="F132" s="238"/>
      <c r="G132" s="238"/>
      <c r="H132" s="238"/>
      <c r="I132" s="238"/>
      <c r="J132" s="238"/>
      <c r="K132" s="238"/>
      <c r="L132" s="238"/>
      <c r="M132" s="238"/>
      <c r="N132" s="238"/>
      <c r="O132" s="238"/>
      <c r="P132" s="238"/>
      <c r="Q132" s="238"/>
      <c r="R132" s="238"/>
      <c r="S132" s="238"/>
      <c r="T132" s="238"/>
      <c r="U132" s="238"/>
      <c r="V132" s="238"/>
      <c r="W132" s="238"/>
    </row>
    <row r="133" spans="1:23" ht="12.75">
      <c r="A133" s="238"/>
      <c r="B133" s="238"/>
      <c r="C133" s="238"/>
      <c r="D133" s="238"/>
      <c r="E133" s="238"/>
      <c r="F133" s="238"/>
      <c r="G133" s="238"/>
      <c r="H133" s="238"/>
      <c r="I133" s="238"/>
      <c r="J133" s="238"/>
      <c r="K133" s="238"/>
      <c r="L133" s="238"/>
      <c r="M133" s="238"/>
      <c r="N133" s="238"/>
      <c r="O133" s="238"/>
      <c r="P133" s="238"/>
      <c r="Q133" s="238"/>
      <c r="R133" s="238"/>
      <c r="S133" s="238"/>
      <c r="T133" s="238"/>
      <c r="U133" s="238"/>
      <c r="V133" s="238"/>
      <c r="W133" s="238"/>
    </row>
    <row r="134" spans="1:23" ht="12.75">
      <c r="A134" s="238"/>
      <c r="B134" s="238"/>
      <c r="C134" s="238"/>
      <c r="D134" s="238"/>
      <c r="E134" s="238"/>
      <c r="F134" s="238"/>
      <c r="G134" s="238"/>
      <c r="H134" s="238"/>
      <c r="I134" s="238"/>
      <c r="J134" s="238"/>
      <c r="K134" s="238"/>
      <c r="L134" s="238"/>
      <c r="M134" s="238"/>
      <c r="N134" s="238"/>
      <c r="O134" s="238"/>
      <c r="P134" s="238"/>
      <c r="Q134" s="238"/>
      <c r="R134" s="238"/>
      <c r="S134" s="238"/>
      <c r="T134" s="238"/>
      <c r="U134" s="238"/>
      <c r="V134" s="238"/>
      <c r="W134" s="238"/>
    </row>
    <row r="135" spans="1:23" ht="12.75">
      <c r="A135" s="238"/>
      <c r="B135" s="238"/>
      <c r="C135" s="238"/>
      <c r="D135" s="238"/>
      <c r="E135" s="238"/>
      <c r="F135" s="238"/>
      <c r="G135" s="238"/>
      <c r="H135" s="238"/>
      <c r="I135" s="238"/>
      <c r="J135" s="238"/>
      <c r="K135" s="238"/>
      <c r="L135" s="238"/>
      <c r="M135" s="238"/>
      <c r="N135" s="238"/>
      <c r="O135" s="238"/>
      <c r="P135" s="238"/>
      <c r="Q135" s="238"/>
      <c r="R135" s="238"/>
      <c r="S135" s="238"/>
      <c r="T135" s="238"/>
      <c r="U135" s="238"/>
      <c r="V135" s="238"/>
      <c r="W135" s="238"/>
    </row>
    <row r="136" spans="1:23" ht="12.75">
      <c r="A136" s="238"/>
      <c r="B136" s="238"/>
      <c r="C136" s="238"/>
      <c r="D136" s="238"/>
      <c r="E136" s="238"/>
      <c r="F136" s="238"/>
      <c r="G136" s="238"/>
      <c r="H136" s="238"/>
      <c r="I136" s="238"/>
      <c r="J136" s="238"/>
      <c r="K136" s="238"/>
      <c r="L136" s="238"/>
      <c r="M136" s="238"/>
      <c r="N136" s="238"/>
      <c r="O136" s="238"/>
      <c r="P136" s="238"/>
      <c r="Q136" s="238"/>
      <c r="R136" s="238"/>
      <c r="S136" s="238"/>
      <c r="T136" s="238"/>
      <c r="U136" s="238"/>
      <c r="V136" s="238"/>
      <c r="W136" s="238"/>
    </row>
    <row r="137" spans="1:23" ht="12.75">
      <c r="A137" s="238"/>
      <c r="B137" s="238"/>
      <c r="C137" s="238"/>
      <c r="D137" s="238"/>
      <c r="E137" s="238"/>
      <c r="F137" s="238"/>
      <c r="G137" s="238"/>
      <c r="H137" s="238"/>
      <c r="I137" s="238"/>
      <c r="J137" s="238"/>
      <c r="K137" s="238"/>
      <c r="L137" s="238"/>
      <c r="M137" s="238"/>
      <c r="N137" s="238"/>
      <c r="O137" s="238"/>
      <c r="P137" s="238"/>
      <c r="Q137" s="238"/>
      <c r="R137" s="238"/>
      <c r="S137" s="238"/>
      <c r="T137" s="238"/>
      <c r="U137" s="238"/>
      <c r="V137" s="238"/>
      <c r="W137" s="238"/>
    </row>
    <row r="138" spans="1:23" ht="12.75">
      <c r="A138" s="238"/>
      <c r="B138" s="238"/>
      <c r="C138" s="238"/>
      <c r="D138" s="238"/>
      <c r="E138" s="238"/>
      <c r="F138" s="238"/>
      <c r="G138" s="238"/>
      <c r="H138" s="238"/>
      <c r="I138" s="238"/>
      <c r="J138" s="238"/>
      <c r="K138" s="238"/>
      <c r="L138" s="238"/>
      <c r="M138" s="238"/>
      <c r="N138" s="238"/>
      <c r="O138" s="238"/>
      <c r="P138" s="238"/>
      <c r="Q138" s="238"/>
      <c r="R138" s="238"/>
      <c r="S138" s="238"/>
      <c r="T138" s="238"/>
      <c r="U138" s="238"/>
      <c r="V138" s="238"/>
      <c r="W138" s="238"/>
    </row>
    <row r="139" spans="1:23" ht="12.75">
      <c r="A139" s="238"/>
      <c r="B139" s="238"/>
      <c r="C139" s="238"/>
      <c r="D139" s="238"/>
      <c r="E139" s="238"/>
      <c r="F139" s="238"/>
      <c r="G139" s="238"/>
      <c r="H139" s="238"/>
      <c r="I139" s="238"/>
      <c r="J139" s="238"/>
      <c r="K139" s="238"/>
      <c r="L139" s="238"/>
      <c r="M139" s="238"/>
      <c r="N139" s="238"/>
      <c r="O139" s="238"/>
      <c r="P139" s="238"/>
      <c r="Q139" s="238"/>
      <c r="R139" s="238"/>
      <c r="S139" s="238"/>
      <c r="T139" s="238"/>
      <c r="U139" s="238"/>
      <c r="V139" s="238"/>
      <c r="W139" s="238"/>
    </row>
    <row r="140" spans="1:23" ht="12.75">
      <c r="A140" s="238"/>
      <c r="B140" s="238"/>
      <c r="C140" s="238"/>
      <c r="D140" s="238"/>
      <c r="E140" s="238"/>
      <c r="F140" s="238"/>
      <c r="G140" s="238"/>
      <c r="H140" s="238"/>
      <c r="I140" s="238"/>
      <c r="J140" s="238"/>
      <c r="K140" s="238"/>
      <c r="L140" s="238"/>
      <c r="M140" s="238"/>
      <c r="N140" s="238"/>
      <c r="O140" s="238"/>
      <c r="P140" s="238"/>
      <c r="Q140" s="238"/>
      <c r="R140" s="238"/>
      <c r="S140" s="238"/>
      <c r="T140" s="238"/>
      <c r="U140" s="238"/>
      <c r="V140" s="238"/>
      <c r="W140" s="238"/>
    </row>
    <row r="141" spans="1:23" ht="12.75">
      <c r="A141" s="238"/>
      <c r="B141" s="238"/>
      <c r="C141" s="238"/>
      <c r="D141" s="238"/>
      <c r="E141" s="238"/>
      <c r="F141" s="238"/>
      <c r="G141" s="238"/>
      <c r="H141" s="238"/>
      <c r="I141" s="238"/>
      <c r="J141" s="238"/>
      <c r="K141" s="238"/>
      <c r="L141" s="238"/>
      <c r="M141" s="238"/>
      <c r="N141" s="238"/>
      <c r="O141" s="238"/>
      <c r="P141" s="238"/>
      <c r="Q141" s="238"/>
      <c r="R141" s="238"/>
      <c r="S141" s="238"/>
      <c r="T141" s="238"/>
      <c r="U141" s="238"/>
      <c r="V141" s="238"/>
      <c r="W141" s="238"/>
    </row>
    <row r="142" spans="1:23" ht="12.75">
      <c r="A142" s="238"/>
      <c r="B142" s="238"/>
      <c r="C142" s="238"/>
      <c r="D142" s="238"/>
      <c r="E142" s="238"/>
      <c r="F142" s="238"/>
      <c r="G142" s="238"/>
      <c r="H142" s="238"/>
      <c r="I142" s="238"/>
      <c r="J142" s="238"/>
      <c r="K142" s="238"/>
      <c r="L142" s="238"/>
      <c r="M142" s="238"/>
      <c r="N142" s="238"/>
      <c r="O142" s="238"/>
      <c r="P142" s="238"/>
      <c r="Q142" s="238"/>
      <c r="R142" s="238"/>
      <c r="S142" s="238"/>
      <c r="T142" s="238"/>
      <c r="U142" s="238"/>
      <c r="V142" s="238"/>
      <c r="W142" s="238"/>
    </row>
    <row r="143" spans="1:23" ht="12.75">
      <c r="A143" s="238"/>
      <c r="B143" s="238"/>
      <c r="C143" s="238"/>
      <c r="D143" s="238"/>
      <c r="E143" s="238"/>
      <c r="F143" s="238"/>
      <c r="G143" s="238"/>
      <c r="H143" s="238"/>
      <c r="I143" s="238"/>
      <c r="J143" s="238"/>
      <c r="K143" s="238"/>
      <c r="L143" s="238"/>
      <c r="M143" s="238"/>
      <c r="N143" s="238"/>
      <c r="O143" s="238"/>
      <c r="P143" s="238"/>
      <c r="Q143" s="238"/>
      <c r="R143" s="238"/>
      <c r="S143" s="238"/>
      <c r="T143" s="238"/>
      <c r="U143" s="238"/>
      <c r="V143" s="238"/>
      <c r="W143" s="238"/>
    </row>
    <row r="144" spans="1:23" ht="12.75">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row>
    <row r="145" spans="1:23" ht="12.75">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row>
    <row r="146" spans="1:23" ht="12.75">
      <c r="A146" s="238"/>
      <c r="B146" s="238"/>
      <c r="C146" s="238"/>
      <c r="D146" s="238"/>
      <c r="E146" s="238"/>
      <c r="F146" s="238"/>
      <c r="G146" s="238"/>
      <c r="H146" s="238"/>
      <c r="I146" s="238"/>
      <c r="J146" s="238"/>
      <c r="K146" s="238"/>
      <c r="L146" s="238"/>
      <c r="M146" s="238"/>
      <c r="N146" s="238"/>
      <c r="O146" s="238"/>
      <c r="P146" s="238"/>
      <c r="Q146" s="238"/>
      <c r="R146" s="238"/>
      <c r="S146" s="238"/>
      <c r="T146" s="238"/>
      <c r="U146" s="238"/>
      <c r="V146" s="238"/>
      <c r="W146" s="238"/>
    </row>
    <row r="147" spans="1:23" ht="12.75">
      <c r="A147" s="238"/>
      <c r="B147" s="238"/>
      <c r="C147" s="238"/>
      <c r="D147" s="238"/>
      <c r="E147" s="238"/>
      <c r="F147" s="238"/>
      <c r="G147" s="238"/>
      <c r="H147" s="238"/>
      <c r="I147" s="238"/>
      <c r="J147" s="238"/>
      <c r="K147" s="238"/>
      <c r="L147" s="238"/>
      <c r="M147" s="238"/>
      <c r="N147" s="238"/>
      <c r="O147" s="238"/>
      <c r="P147" s="238"/>
      <c r="Q147" s="238"/>
      <c r="R147" s="238"/>
      <c r="S147" s="238"/>
      <c r="T147" s="238"/>
      <c r="U147" s="238"/>
      <c r="V147" s="238"/>
      <c r="W147" s="238"/>
    </row>
    <row r="148" spans="1:23" ht="12.75">
      <c r="A148" s="238"/>
      <c r="B148" s="238"/>
      <c r="C148" s="238"/>
      <c r="D148" s="238"/>
      <c r="E148" s="238"/>
      <c r="F148" s="238"/>
      <c r="G148" s="238"/>
      <c r="H148" s="238"/>
      <c r="I148" s="238"/>
      <c r="J148" s="238"/>
      <c r="K148" s="238"/>
      <c r="L148" s="238"/>
      <c r="M148" s="238"/>
      <c r="N148" s="238"/>
      <c r="O148" s="238"/>
      <c r="P148" s="238"/>
      <c r="Q148" s="238"/>
      <c r="R148" s="238"/>
      <c r="S148" s="238"/>
      <c r="T148" s="238"/>
      <c r="U148" s="238"/>
      <c r="V148" s="238"/>
      <c r="W148" s="238"/>
    </row>
    <row r="149" spans="1:23" ht="12.75">
      <c r="A149" s="238"/>
      <c r="B149" s="238"/>
      <c r="C149" s="238"/>
      <c r="D149" s="238"/>
      <c r="E149" s="238"/>
      <c r="F149" s="238"/>
      <c r="G149" s="238"/>
      <c r="H149" s="238"/>
      <c r="I149" s="238"/>
      <c r="J149" s="238"/>
      <c r="K149" s="238"/>
      <c r="L149" s="238"/>
      <c r="M149" s="238"/>
      <c r="N149" s="238"/>
      <c r="O149" s="238"/>
      <c r="P149" s="238"/>
      <c r="Q149" s="238"/>
      <c r="R149" s="238"/>
      <c r="S149" s="238"/>
      <c r="T149" s="238"/>
      <c r="U149" s="238"/>
      <c r="V149" s="238"/>
      <c r="W149" s="238"/>
    </row>
    <row r="150" spans="1:23" ht="12.75">
      <c r="A150" s="238"/>
      <c r="B150" s="238"/>
      <c r="C150" s="238"/>
      <c r="D150" s="238"/>
      <c r="E150" s="238"/>
      <c r="F150" s="238"/>
      <c r="G150" s="238"/>
      <c r="H150" s="238"/>
      <c r="I150" s="238"/>
      <c r="J150" s="238"/>
      <c r="K150" s="238"/>
      <c r="L150" s="238"/>
      <c r="M150" s="238"/>
      <c r="N150" s="238"/>
      <c r="O150" s="238"/>
      <c r="P150" s="238"/>
      <c r="Q150" s="238"/>
      <c r="R150" s="238"/>
      <c r="S150" s="238"/>
      <c r="T150" s="238"/>
      <c r="U150" s="238"/>
      <c r="V150" s="238"/>
      <c r="W150" s="238"/>
    </row>
    <row r="151" spans="1:23" ht="12.75">
      <c r="A151" s="238"/>
      <c r="B151" s="238"/>
      <c r="C151" s="238"/>
      <c r="D151" s="238"/>
      <c r="E151" s="238"/>
      <c r="F151" s="238"/>
      <c r="G151" s="238"/>
      <c r="H151" s="238"/>
      <c r="I151" s="238"/>
      <c r="J151" s="238"/>
      <c r="K151" s="238"/>
      <c r="L151" s="238"/>
      <c r="M151" s="238"/>
      <c r="N151" s="238"/>
      <c r="O151" s="238"/>
      <c r="P151" s="238"/>
      <c r="Q151" s="238"/>
      <c r="R151" s="238"/>
      <c r="S151" s="238"/>
      <c r="T151" s="238"/>
      <c r="U151" s="238"/>
      <c r="V151" s="238"/>
      <c r="W151" s="238"/>
    </row>
    <row r="152" spans="1:23" ht="12.75">
      <c r="A152" s="238"/>
      <c r="B152" s="238"/>
      <c r="C152" s="238"/>
      <c r="D152" s="238"/>
      <c r="E152" s="238"/>
      <c r="F152" s="238"/>
      <c r="G152" s="238"/>
      <c r="H152" s="238"/>
      <c r="I152" s="238"/>
      <c r="J152" s="238"/>
      <c r="K152" s="238"/>
      <c r="L152" s="238"/>
      <c r="M152" s="238"/>
      <c r="N152" s="238"/>
      <c r="O152" s="238"/>
      <c r="P152" s="238"/>
      <c r="Q152" s="238"/>
      <c r="R152" s="238"/>
      <c r="S152" s="238"/>
      <c r="T152" s="238"/>
      <c r="U152" s="238"/>
      <c r="V152" s="238"/>
      <c r="W152" s="238"/>
    </row>
    <row r="153" spans="1:23" ht="12.75">
      <c r="A153" s="238"/>
      <c r="B153" s="238"/>
      <c r="C153" s="238"/>
      <c r="D153" s="238"/>
      <c r="E153" s="238"/>
      <c r="F153" s="238"/>
      <c r="G153" s="238"/>
      <c r="H153" s="238"/>
      <c r="I153" s="238"/>
      <c r="J153" s="238"/>
      <c r="K153" s="238"/>
      <c r="L153" s="238"/>
      <c r="M153" s="238"/>
      <c r="N153" s="238"/>
      <c r="O153" s="238"/>
      <c r="P153" s="238"/>
      <c r="Q153" s="238"/>
      <c r="R153" s="238"/>
      <c r="S153" s="238"/>
      <c r="T153" s="238"/>
      <c r="U153" s="238"/>
      <c r="V153" s="238"/>
      <c r="W153" s="238"/>
    </row>
    <row r="154" spans="1:23" ht="12.75">
      <c r="A154" s="238"/>
      <c r="B154" s="238"/>
      <c r="C154" s="238"/>
      <c r="D154" s="238"/>
      <c r="E154" s="238"/>
      <c r="F154" s="238"/>
      <c r="G154" s="238"/>
      <c r="H154" s="238"/>
      <c r="I154" s="238"/>
      <c r="J154" s="238"/>
      <c r="K154" s="238"/>
      <c r="L154" s="238"/>
      <c r="M154" s="238"/>
      <c r="N154" s="238"/>
      <c r="O154" s="238"/>
      <c r="P154" s="238"/>
      <c r="Q154" s="238"/>
      <c r="R154" s="238"/>
      <c r="S154" s="238"/>
      <c r="T154" s="238"/>
      <c r="U154" s="238"/>
      <c r="V154" s="238"/>
      <c r="W154" s="238"/>
    </row>
    <row r="155" spans="1:23" ht="12.75">
      <c r="A155" s="238"/>
      <c r="B155" s="238"/>
      <c r="C155" s="238"/>
      <c r="D155" s="238"/>
      <c r="E155" s="238"/>
      <c r="F155" s="238"/>
      <c r="G155" s="238"/>
      <c r="H155" s="238"/>
      <c r="I155" s="238"/>
      <c r="J155" s="238"/>
      <c r="K155" s="238"/>
      <c r="L155" s="238"/>
      <c r="M155" s="238"/>
      <c r="N155" s="238"/>
      <c r="O155" s="238"/>
      <c r="P155" s="238"/>
      <c r="Q155" s="238"/>
      <c r="R155" s="238"/>
      <c r="S155" s="238"/>
      <c r="T155" s="238"/>
      <c r="U155" s="238"/>
      <c r="V155" s="238"/>
      <c r="W155" s="238"/>
    </row>
    <row r="156" spans="1:23" ht="12.75">
      <c r="A156" s="238"/>
      <c r="B156" s="238"/>
      <c r="C156" s="238"/>
      <c r="D156" s="238"/>
      <c r="E156" s="238"/>
      <c r="F156" s="238"/>
      <c r="G156" s="238"/>
      <c r="H156" s="238"/>
      <c r="I156" s="238"/>
      <c r="J156" s="238"/>
      <c r="K156" s="238"/>
      <c r="L156" s="238"/>
      <c r="M156" s="238"/>
      <c r="N156" s="238"/>
      <c r="O156" s="238"/>
      <c r="P156" s="238"/>
      <c r="Q156" s="238"/>
      <c r="R156" s="238"/>
      <c r="S156" s="238"/>
      <c r="T156" s="238"/>
      <c r="U156" s="238"/>
      <c r="V156" s="238"/>
      <c r="W156" s="238"/>
    </row>
    <row r="157" spans="1:23" ht="12.75">
      <c r="A157" s="238"/>
      <c r="B157" s="238"/>
      <c r="C157" s="238"/>
      <c r="D157" s="238"/>
      <c r="E157" s="238"/>
      <c r="F157" s="238"/>
      <c r="G157" s="238"/>
      <c r="H157" s="238"/>
      <c r="I157" s="238"/>
      <c r="J157" s="238"/>
      <c r="K157" s="238"/>
      <c r="L157" s="238"/>
      <c r="M157" s="238"/>
      <c r="N157" s="238"/>
      <c r="O157" s="238"/>
      <c r="P157" s="238"/>
      <c r="Q157" s="238"/>
      <c r="R157" s="238"/>
      <c r="S157" s="238"/>
      <c r="T157" s="238"/>
      <c r="U157" s="238"/>
      <c r="V157" s="238"/>
      <c r="W157" s="238"/>
    </row>
    <row r="158" spans="1:23" ht="12.75">
      <c r="A158" s="238"/>
      <c r="B158" s="238"/>
      <c r="C158" s="238"/>
      <c r="D158" s="238"/>
      <c r="E158" s="238"/>
      <c r="F158" s="238"/>
      <c r="G158" s="238"/>
      <c r="H158" s="238"/>
      <c r="I158" s="238"/>
      <c r="J158" s="238"/>
      <c r="K158" s="238"/>
      <c r="L158" s="238"/>
      <c r="M158" s="238"/>
      <c r="N158" s="238"/>
      <c r="O158" s="238"/>
      <c r="P158" s="238"/>
      <c r="Q158" s="238"/>
      <c r="R158" s="238"/>
      <c r="S158" s="238"/>
      <c r="T158" s="238"/>
      <c r="U158" s="238"/>
      <c r="V158" s="238"/>
      <c r="W158" s="238"/>
    </row>
    <row r="159" spans="1:23" ht="12.75">
      <c r="A159" s="238"/>
      <c r="B159" s="238"/>
      <c r="C159" s="238"/>
      <c r="D159" s="238"/>
      <c r="E159" s="238"/>
      <c r="F159" s="238"/>
      <c r="G159" s="238"/>
      <c r="H159" s="238"/>
      <c r="I159" s="238"/>
      <c r="J159" s="238"/>
      <c r="K159" s="238"/>
      <c r="L159" s="238"/>
      <c r="M159" s="238"/>
      <c r="N159" s="238"/>
      <c r="O159" s="238"/>
      <c r="P159" s="238"/>
      <c r="Q159" s="238"/>
      <c r="R159" s="238"/>
      <c r="S159" s="238"/>
      <c r="T159" s="238"/>
      <c r="U159" s="238"/>
      <c r="V159" s="238"/>
      <c r="W159" s="238"/>
    </row>
    <row r="160" spans="1:23" ht="12.75">
      <c r="A160" s="238"/>
      <c r="B160" s="238"/>
      <c r="C160" s="238"/>
      <c r="D160" s="238"/>
      <c r="E160" s="238"/>
      <c r="F160" s="238"/>
      <c r="G160" s="238"/>
      <c r="H160" s="238"/>
      <c r="I160" s="238"/>
      <c r="J160" s="238"/>
      <c r="K160" s="238"/>
      <c r="L160" s="238"/>
      <c r="M160" s="238"/>
      <c r="N160" s="238"/>
      <c r="O160" s="238"/>
      <c r="P160" s="238"/>
      <c r="Q160" s="238"/>
      <c r="R160" s="238"/>
      <c r="S160" s="238"/>
      <c r="T160" s="238"/>
      <c r="U160" s="238"/>
      <c r="V160" s="238"/>
      <c r="W160" s="238"/>
    </row>
    <row r="161" spans="1:23" ht="12.75">
      <c r="A161" s="238"/>
      <c r="B161" s="238"/>
      <c r="C161" s="238"/>
      <c r="D161" s="238"/>
      <c r="E161" s="238"/>
      <c r="F161" s="238"/>
      <c r="G161" s="238"/>
      <c r="H161" s="238"/>
      <c r="I161" s="238"/>
      <c r="J161" s="238"/>
      <c r="K161" s="238"/>
      <c r="L161" s="238"/>
      <c r="M161" s="238"/>
      <c r="N161" s="238"/>
      <c r="O161" s="238"/>
      <c r="P161" s="238"/>
      <c r="Q161" s="238"/>
      <c r="R161" s="238"/>
      <c r="S161" s="238"/>
      <c r="T161" s="238"/>
      <c r="U161" s="238"/>
      <c r="V161" s="238"/>
      <c r="W161" s="238"/>
    </row>
    <row r="162" spans="1:23" ht="12.75">
      <c r="A162" s="238"/>
      <c r="B162" s="238"/>
      <c r="C162" s="238"/>
      <c r="D162" s="238"/>
      <c r="E162" s="238"/>
      <c r="F162" s="238"/>
      <c r="G162" s="238"/>
      <c r="H162" s="238"/>
      <c r="I162" s="238"/>
      <c r="J162" s="238"/>
      <c r="K162" s="238"/>
      <c r="L162" s="238"/>
      <c r="M162" s="238"/>
      <c r="N162" s="238"/>
      <c r="O162" s="238"/>
      <c r="P162" s="238"/>
      <c r="Q162" s="238"/>
      <c r="R162" s="238"/>
      <c r="S162" s="238"/>
      <c r="T162" s="238"/>
      <c r="U162" s="238"/>
      <c r="V162" s="238"/>
      <c r="W162" s="238"/>
    </row>
    <row r="163" spans="1:23" ht="12.75">
      <c r="A163" s="238"/>
      <c r="B163" s="238"/>
      <c r="C163" s="238"/>
      <c r="D163" s="238"/>
      <c r="E163" s="238"/>
      <c r="F163" s="238"/>
      <c r="G163" s="238"/>
      <c r="H163" s="238"/>
      <c r="I163" s="238"/>
      <c r="J163" s="238"/>
      <c r="K163" s="238"/>
      <c r="L163" s="238"/>
      <c r="M163" s="238"/>
      <c r="N163" s="238"/>
      <c r="O163" s="238"/>
      <c r="P163" s="238"/>
      <c r="Q163" s="238"/>
      <c r="R163" s="238"/>
      <c r="S163" s="238"/>
      <c r="T163" s="238"/>
      <c r="U163" s="238"/>
      <c r="V163" s="238"/>
      <c r="W163" s="238"/>
    </row>
    <row r="164" spans="1:23" ht="12.75">
      <c r="A164" s="238"/>
      <c r="B164" s="238"/>
      <c r="C164" s="238"/>
      <c r="D164" s="238"/>
      <c r="E164" s="238"/>
      <c r="F164" s="238"/>
      <c r="G164" s="238"/>
      <c r="H164" s="238"/>
      <c r="I164" s="238"/>
      <c r="J164" s="238"/>
      <c r="K164" s="238"/>
      <c r="L164" s="238"/>
      <c r="M164" s="238"/>
      <c r="N164" s="238"/>
      <c r="O164" s="238"/>
      <c r="P164" s="238"/>
      <c r="Q164" s="238"/>
      <c r="R164" s="238"/>
      <c r="S164" s="238"/>
      <c r="T164" s="238"/>
      <c r="U164" s="238"/>
      <c r="V164" s="238"/>
      <c r="W164" s="238"/>
    </row>
    <row r="165" spans="1:23" ht="12.75">
      <c r="A165" s="238"/>
      <c r="B165" s="238"/>
      <c r="C165" s="238"/>
      <c r="D165" s="238"/>
      <c r="E165" s="238"/>
      <c r="F165" s="238"/>
      <c r="G165" s="238"/>
      <c r="H165" s="238"/>
      <c r="I165" s="238"/>
      <c r="J165" s="238"/>
      <c r="K165" s="238"/>
      <c r="L165" s="238"/>
      <c r="M165" s="238"/>
      <c r="N165" s="238"/>
      <c r="O165" s="238"/>
      <c r="P165" s="238"/>
      <c r="Q165" s="238"/>
      <c r="R165" s="238"/>
      <c r="S165" s="238"/>
      <c r="T165" s="238"/>
      <c r="U165" s="238"/>
      <c r="V165" s="238"/>
      <c r="W165" s="238"/>
    </row>
    <row r="166" spans="1:23" ht="12.75">
      <c r="A166" s="238"/>
      <c r="B166" s="238"/>
      <c r="C166" s="238"/>
      <c r="D166" s="238"/>
      <c r="E166" s="238"/>
      <c r="F166" s="238"/>
      <c r="G166" s="238"/>
      <c r="H166" s="238"/>
      <c r="I166" s="238"/>
      <c r="J166" s="238"/>
      <c r="K166" s="238"/>
      <c r="L166" s="238"/>
      <c r="M166" s="238"/>
      <c r="N166" s="238"/>
      <c r="O166" s="238"/>
      <c r="P166" s="238"/>
      <c r="Q166" s="238"/>
      <c r="R166" s="238"/>
      <c r="S166" s="238"/>
      <c r="T166" s="238"/>
      <c r="U166" s="238"/>
      <c r="V166" s="238"/>
      <c r="W166" s="238"/>
    </row>
    <row r="167" spans="1:23" ht="12.75">
      <c r="A167" s="238"/>
      <c r="B167" s="238"/>
      <c r="C167" s="238"/>
      <c r="D167" s="238"/>
      <c r="E167" s="238"/>
      <c r="F167" s="238"/>
      <c r="G167" s="238"/>
      <c r="H167" s="238"/>
      <c r="I167" s="238"/>
      <c r="J167" s="238"/>
      <c r="K167" s="238"/>
      <c r="L167" s="238"/>
      <c r="M167" s="238"/>
      <c r="N167" s="238"/>
      <c r="O167" s="238"/>
      <c r="P167" s="238"/>
      <c r="Q167" s="238"/>
      <c r="R167" s="238"/>
      <c r="S167" s="238"/>
      <c r="T167" s="238"/>
      <c r="U167" s="238"/>
      <c r="V167" s="238"/>
      <c r="W167" s="238"/>
    </row>
    <row r="168" spans="1:23" ht="12.75">
      <c r="A168" s="238"/>
      <c r="B168" s="238"/>
      <c r="C168" s="238"/>
      <c r="D168" s="238"/>
      <c r="E168" s="238"/>
      <c r="F168" s="238"/>
      <c r="G168" s="238"/>
      <c r="H168" s="238"/>
      <c r="I168" s="238"/>
      <c r="J168" s="238"/>
      <c r="K168" s="238"/>
      <c r="L168" s="238"/>
      <c r="M168" s="238"/>
      <c r="N168" s="238"/>
      <c r="O168" s="238"/>
      <c r="P168" s="238"/>
      <c r="Q168" s="238"/>
      <c r="R168" s="238"/>
      <c r="S168" s="238"/>
      <c r="T168" s="238"/>
      <c r="U168" s="238"/>
      <c r="V168" s="238"/>
      <c r="W168" s="238"/>
    </row>
    <row r="169" spans="1:23" ht="12.75">
      <c r="A169" s="238"/>
      <c r="B169" s="238"/>
      <c r="C169" s="238"/>
      <c r="D169" s="238"/>
      <c r="E169" s="238"/>
      <c r="F169" s="238"/>
      <c r="G169" s="238"/>
      <c r="H169" s="238"/>
      <c r="I169" s="238"/>
      <c r="J169" s="238"/>
      <c r="K169" s="238"/>
      <c r="L169" s="238"/>
      <c r="M169" s="238"/>
      <c r="N169" s="238"/>
      <c r="O169" s="238"/>
      <c r="P169" s="238"/>
      <c r="Q169" s="238"/>
      <c r="R169" s="238"/>
      <c r="S169" s="238"/>
      <c r="T169" s="238"/>
      <c r="U169" s="238"/>
      <c r="V169" s="238"/>
      <c r="W169" s="238"/>
    </row>
    <row r="170" spans="1:23" ht="12.75">
      <c r="A170" s="238"/>
      <c r="B170" s="238"/>
      <c r="C170" s="238"/>
      <c r="D170" s="238"/>
      <c r="E170" s="238"/>
      <c r="F170" s="238"/>
      <c r="G170" s="238"/>
      <c r="H170" s="238"/>
      <c r="I170" s="238"/>
      <c r="J170" s="238"/>
      <c r="K170" s="238"/>
      <c r="L170" s="238"/>
      <c r="M170" s="238"/>
      <c r="N170" s="238"/>
      <c r="O170" s="238"/>
      <c r="P170" s="238"/>
      <c r="Q170" s="238"/>
      <c r="R170" s="238"/>
      <c r="S170" s="238"/>
      <c r="T170" s="238"/>
      <c r="U170" s="238"/>
      <c r="V170" s="238"/>
      <c r="W170" s="238"/>
    </row>
    <row r="171" spans="1:23" ht="12.75">
      <c r="A171" s="238"/>
      <c r="B171" s="238"/>
      <c r="C171" s="238"/>
      <c r="D171" s="238"/>
      <c r="E171" s="238"/>
      <c r="F171" s="238"/>
      <c r="G171" s="238"/>
      <c r="H171" s="238"/>
      <c r="I171" s="238"/>
      <c r="J171" s="238"/>
      <c r="K171" s="238"/>
      <c r="L171" s="238"/>
      <c r="M171" s="238"/>
      <c r="N171" s="238"/>
      <c r="O171" s="238"/>
      <c r="P171" s="238"/>
      <c r="Q171" s="238"/>
      <c r="R171" s="238"/>
      <c r="S171" s="238"/>
      <c r="T171" s="238"/>
      <c r="U171" s="238"/>
      <c r="V171" s="238"/>
      <c r="W171" s="238"/>
    </row>
    <row r="172" spans="1:23" ht="12.75">
      <c r="A172" s="238"/>
      <c r="B172" s="238"/>
      <c r="C172" s="238"/>
      <c r="D172" s="238"/>
      <c r="E172" s="238"/>
      <c r="F172" s="238"/>
      <c r="G172" s="238"/>
      <c r="H172" s="238"/>
      <c r="I172" s="238"/>
      <c r="J172" s="238"/>
      <c r="K172" s="238"/>
      <c r="L172" s="238"/>
      <c r="M172" s="238"/>
      <c r="N172" s="238"/>
      <c r="O172" s="238"/>
      <c r="P172" s="238"/>
      <c r="Q172" s="238"/>
      <c r="R172" s="238"/>
      <c r="S172" s="238"/>
      <c r="T172" s="238"/>
      <c r="U172" s="238"/>
      <c r="V172" s="238"/>
      <c r="W172" s="238"/>
    </row>
    <row r="173" spans="1:23" ht="12.75">
      <c r="A173" s="238"/>
      <c r="B173" s="238"/>
      <c r="C173" s="238"/>
      <c r="D173" s="238"/>
      <c r="E173" s="238"/>
      <c r="F173" s="238"/>
      <c r="G173" s="238"/>
      <c r="H173" s="238"/>
      <c r="I173" s="238"/>
      <c r="J173" s="238"/>
      <c r="K173" s="238"/>
      <c r="L173" s="238"/>
      <c r="M173" s="238"/>
      <c r="N173" s="238"/>
      <c r="O173" s="238"/>
      <c r="P173" s="238"/>
      <c r="Q173" s="238"/>
      <c r="R173" s="238"/>
      <c r="S173" s="238"/>
      <c r="T173" s="238"/>
      <c r="U173" s="238"/>
      <c r="V173" s="238"/>
      <c r="W173" s="238"/>
    </row>
    <row r="174" spans="1:23" ht="12.75">
      <c r="A174" s="238"/>
      <c r="B174" s="238"/>
      <c r="C174" s="238"/>
      <c r="D174" s="238"/>
      <c r="E174" s="238"/>
      <c r="F174" s="238"/>
      <c r="G174" s="238"/>
      <c r="H174" s="238"/>
      <c r="I174" s="238"/>
      <c r="J174" s="238"/>
      <c r="K174" s="238"/>
      <c r="L174" s="238"/>
      <c r="M174" s="238"/>
      <c r="N174" s="238"/>
      <c r="O174" s="238"/>
      <c r="P174" s="238"/>
      <c r="Q174" s="238"/>
      <c r="R174" s="238"/>
      <c r="S174" s="238"/>
      <c r="T174" s="238"/>
      <c r="U174" s="238"/>
      <c r="V174" s="238"/>
      <c r="W174" s="238"/>
    </row>
    <row r="175" spans="1:23" ht="12.75">
      <c r="A175" s="238"/>
      <c r="B175" s="238"/>
      <c r="C175" s="238"/>
      <c r="D175" s="238"/>
      <c r="E175" s="238"/>
      <c r="F175" s="238"/>
      <c r="G175" s="238"/>
      <c r="H175" s="238"/>
      <c r="I175" s="238"/>
      <c r="J175" s="238"/>
      <c r="K175" s="238"/>
      <c r="L175" s="238"/>
      <c r="M175" s="238"/>
      <c r="N175" s="238"/>
      <c r="O175" s="238"/>
      <c r="P175" s="238"/>
      <c r="Q175" s="238"/>
      <c r="R175" s="238"/>
      <c r="S175" s="238"/>
      <c r="T175" s="238"/>
      <c r="U175" s="238"/>
      <c r="V175" s="238"/>
      <c r="W175" s="238"/>
    </row>
    <row r="176" spans="1:23" ht="12.75">
      <c r="A176" s="238"/>
      <c r="B176" s="238"/>
      <c r="C176" s="238"/>
      <c r="D176" s="238"/>
      <c r="E176" s="238"/>
      <c r="F176" s="238"/>
      <c r="G176" s="238"/>
      <c r="H176" s="238"/>
      <c r="I176" s="238"/>
      <c r="J176" s="238"/>
      <c r="K176" s="238"/>
      <c r="L176" s="238"/>
      <c r="M176" s="238"/>
      <c r="N176" s="238"/>
      <c r="O176" s="238"/>
      <c r="P176" s="238"/>
      <c r="Q176" s="238"/>
      <c r="R176" s="238"/>
      <c r="S176" s="238"/>
      <c r="T176" s="238"/>
      <c r="U176" s="238"/>
      <c r="V176" s="238"/>
      <c r="W176" s="238"/>
    </row>
    <row r="177" spans="1:23" ht="12.75">
      <c r="A177" s="238"/>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row>
    <row r="178" spans="1:23" ht="12.75">
      <c r="A178" s="238"/>
      <c r="B178" s="238"/>
      <c r="C178" s="238"/>
      <c r="D178" s="238"/>
      <c r="E178" s="238"/>
      <c r="F178" s="238"/>
      <c r="G178" s="238"/>
      <c r="H178" s="238"/>
      <c r="I178" s="238"/>
      <c r="J178" s="238"/>
      <c r="K178" s="238"/>
      <c r="L178" s="238"/>
      <c r="M178" s="238"/>
      <c r="N178" s="238"/>
      <c r="O178" s="238"/>
      <c r="P178" s="238"/>
      <c r="Q178" s="238"/>
      <c r="R178" s="238"/>
      <c r="S178" s="238"/>
      <c r="T178" s="238"/>
      <c r="U178" s="238"/>
      <c r="V178" s="238"/>
      <c r="W178" s="238"/>
    </row>
    <row r="179" spans="1:23" ht="12.75">
      <c r="A179" s="238"/>
      <c r="B179" s="238"/>
      <c r="C179" s="238"/>
      <c r="D179" s="238"/>
      <c r="E179" s="238"/>
      <c r="F179" s="238"/>
      <c r="G179" s="238"/>
      <c r="H179" s="238"/>
      <c r="I179" s="238"/>
      <c r="J179" s="238"/>
      <c r="K179" s="238"/>
      <c r="L179" s="238"/>
      <c r="M179" s="238"/>
      <c r="N179" s="238"/>
      <c r="O179" s="238"/>
      <c r="P179" s="238"/>
      <c r="Q179" s="238"/>
      <c r="R179" s="238"/>
      <c r="S179" s="238"/>
      <c r="T179" s="238"/>
      <c r="U179" s="238"/>
      <c r="V179" s="238"/>
      <c r="W179" s="238"/>
    </row>
    <row r="180" spans="1:23" ht="12.75">
      <c r="A180" s="238"/>
      <c r="B180" s="238"/>
      <c r="C180" s="238"/>
      <c r="D180" s="238"/>
      <c r="E180" s="238"/>
      <c r="F180" s="238"/>
      <c r="G180" s="238"/>
      <c r="H180" s="238"/>
      <c r="I180" s="238"/>
      <c r="J180" s="238"/>
      <c r="K180" s="238"/>
      <c r="L180" s="238"/>
      <c r="M180" s="238"/>
      <c r="N180" s="238"/>
      <c r="O180" s="238"/>
      <c r="P180" s="238"/>
      <c r="Q180" s="238"/>
      <c r="R180" s="238"/>
      <c r="S180" s="238"/>
      <c r="T180" s="238"/>
      <c r="U180" s="238"/>
      <c r="V180" s="238"/>
      <c r="W180" s="238"/>
    </row>
    <row r="181" spans="1:23" ht="12.75">
      <c r="A181" s="238"/>
      <c r="B181" s="238"/>
      <c r="C181" s="238"/>
      <c r="D181" s="238"/>
      <c r="E181" s="238"/>
      <c r="F181" s="238"/>
      <c r="G181" s="238"/>
      <c r="H181" s="238"/>
      <c r="I181" s="238"/>
      <c r="J181" s="238"/>
      <c r="K181" s="238"/>
      <c r="L181" s="238"/>
      <c r="M181" s="238"/>
      <c r="N181" s="238"/>
      <c r="O181" s="238"/>
      <c r="P181" s="238"/>
      <c r="Q181" s="238"/>
      <c r="R181" s="238"/>
      <c r="S181" s="238"/>
      <c r="T181" s="238"/>
      <c r="U181" s="238"/>
      <c r="V181" s="238"/>
      <c r="W181" s="238"/>
    </row>
    <row r="182" spans="1:23" ht="12.75">
      <c r="A182" s="238"/>
      <c r="B182" s="238"/>
      <c r="C182" s="238"/>
      <c r="D182" s="238"/>
      <c r="E182" s="238"/>
      <c r="F182" s="238"/>
      <c r="G182" s="238"/>
      <c r="H182" s="238"/>
      <c r="I182" s="238"/>
      <c r="J182" s="238"/>
      <c r="K182" s="238"/>
      <c r="L182" s="238"/>
      <c r="M182" s="238"/>
      <c r="N182" s="238"/>
      <c r="O182" s="238"/>
      <c r="P182" s="238"/>
      <c r="Q182" s="238"/>
      <c r="R182" s="238"/>
      <c r="S182" s="238"/>
      <c r="T182" s="238"/>
      <c r="U182" s="238"/>
      <c r="V182" s="238"/>
      <c r="W182" s="238"/>
    </row>
    <row r="183" spans="1:23" ht="12.75">
      <c r="A183" s="238"/>
      <c r="B183" s="238"/>
      <c r="C183" s="238"/>
      <c r="D183" s="238"/>
      <c r="E183" s="238"/>
      <c r="F183" s="238"/>
      <c r="G183" s="238"/>
      <c r="H183" s="238"/>
      <c r="I183" s="238"/>
      <c r="J183" s="238"/>
      <c r="K183" s="238"/>
      <c r="L183" s="238"/>
      <c r="M183" s="238"/>
      <c r="N183" s="238"/>
      <c r="O183" s="238"/>
      <c r="P183" s="238"/>
      <c r="Q183" s="238"/>
      <c r="R183" s="238"/>
      <c r="S183" s="238"/>
      <c r="T183" s="238"/>
      <c r="U183" s="238"/>
      <c r="V183" s="238"/>
      <c r="W183" s="238"/>
    </row>
    <row r="184" spans="1:23" ht="12.75">
      <c r="A184" s="238"/>
      <c r="B184" s="238"/>
      <c r="C184" s="238"/>
      <c r="D184" s="238"/>
      <c r="E184" s="238"/>
      <c r="F184" s="238"/>
      <c r="G184" s="238"/>
      <c r="H184" s="238"/>
      <c r="I184" s="238"/>
      <c r="J184" s="238"/>
      <c r="K184" s="238"/>
      <c r="L184" s="238"/>
      <c r="M184" s="238"/>
      <c r="N184" s="238"/>
      <c r="O184" s="238"/>
      <c r="P184" s="238"/>
      <c r="Q184" s="238"/>
      <c r="R184" s="238"/>
      <c r="S184" s="238"/>
      <c r="T184" s="238"/>
      <c r="U184" s="238"/>
      <c r="V184" s="238"/>
      <c r="W184" s="238"/>
    </row>
    <row r="185" spans="1:23" ht="12.75">
      <c r="A185" s="238"/>
      <c r="B185" s="238"/>
      <c r="C185" s="238"/>
      <c r="D185" s="238"/>
      <c r="E185" s="238"/>
      <c r="F185" s="238"/>
      <c r="G185" s="238"/>
      <c r="H185" s="238"/>
      <c r="I185" s="238"/>
      <c r="J185" s="238"/>
      <c r="K185" s="238"/>
      <c r="L185" s="238"/>
      <c r="M185" s="238"/>
      <c r="N185" s="238"/>
      <c r="O185" s="238"/>
      <c r="P185" s="238"/>
      <c r="Q185" s="238"/>
      <c r="R185" s="238"/>
      <c r="S185" s="238"/>
      <c r="T185" s="238"/>
      <c r="U185" s="238"/>
      <c r="V185" s="238"/>
      <c r="W185" s="238"/>
    </row>
    <row r="186" spans="1:23" ht="12.75">
      <c r="A186" s="238"/>
      <c r="B186" s="238"/>
      <c r="C186" s="238"/>
      <c r="D186" s="238"/>
      <c r="E186" s="238"/>
      <c r="F186" s="238"/>
      <c r="G186" s="238"/>
      <c r="H186" s="238"/>
      <c r="I186" s="238"/>
      <c r="J186" s="238"/>
      <c r="K186" s="238"/>
      <c r="L186" s="238"/>
      <c r="M186" s="238"/>
      <c r="N186" s="238"/>
      <c r="O186" s="238"/>
      <c r="P186" s="238"/>
      <c r="Q186" s="238"/>
      <c r="R186" s="238"/>
      <c r="S186" s="238"/>
      <c r="T186" s="238"/>
      <c r="U186" s="238"/>
      <c r="V186" s="238"/>
      <c r="W186" s="238"/>
    </row>
    <row r="187" spans="1:23" ht="12.75">
      <c r="A187" s="238"/>
      <c r="B187" s="238"/>
      <c r="C187" s="238"/>
      <c r="D187" s="238"/>
      <c r="E187" s="238"/>
      <c r="F187" s="238"/>
      <c r="G187" s="238"/>
      <c r="H187" s="238"/>
      <c r="I187" s="238"/>
      <c r="J187" s="238"/>
      <c r="K187" s="238"/>
      <c r="L187" s="238"/>
      <c r="M187" s="238"/>
      <c r="N187" s="238"/>
      <c r="O187" s="238"/>
      <c r="P187" s="238"/>
      <c r="Q187" s="238"/>
      <c r="R187" s="238"/>
      <c r="S187" s="238"/>
      <c r="T187" s="238"/>
      <c r="U187" s="238"/>
      <c r="V187" s="238"/>
      <c r="W187" s="238"/>
    </row>
    <row r="188" spans="1:23" ht="12.75">
      <c r="A188" s="238"/>
      <c r="B188" s="238"/>
      <c r="C188" s="238"/>
      <c r="D188" s="238"/>
      <c r="E188" s="238"/>
      <c r="F188" s="238"/>
      <c r="G188" s="238"/>
      <c r="H188" s="238"/>
      <c r="I188" s="238"/>
      <c r="J188" s="238"/>
      <c r="K188" s="238"/>
      <c r="L188" s="238"/>
      <c r="M188" s="238"/>
      <c r="N188" s="238"/>
      <c r="O188" s="238"/>
      <c r="P188" s="238"/>
      <c r="Q188" s="238"/>
      <c r="R188" s="238"/>
      <c r="S188" s="238"/>
      <c r="T188" s="238"/>
      <c r="U188" s="238"/>
      <c r="V188" s="238"/>
      <c r="W188" s="238"/>
    </row>
    <row r="189" spans="1:23" ht="12.75">
      <c r="A189" s="238"/>
      <c r="B189" s="238"/>
      <c r="C189" s="238"/>
      <c r="D189" s="238"/>
      <c r="E189" s="238"/>
      <c r="F189" s="238"/>
      <c r="G189" s="238"/>
      <c r="H189" s="238"/>
      <c r="I189" s="238"/>
      <c r="J189" s="238"/>
      <c r="K189" s="238"/>
      <c r="L189" s="238"/>
      <c r="M189" s="238"/>
      <c r="N189" s="238"/>
      <c r="O189" s="238"/>
      <c r="P189" s="238"/>
      <c r="Q189" s="238"/>
      <c r="R189" s="238"/>
      <c r="S189" s="238"/>
      <c r="T189" s="238"/>
      <c r="U189" s="238"/>
      <c r="V189" s="238"/>
      <c r="W189" s="238"/>
    </row>
    <row r="190" spans="1:23" ht="12.75">
      <c r="A190" s="238"/>
      <c r="B190" s="238"/>
      <c r="C190" s="238"/>
      <c r="D190" s="238"/>
      <c r="E190" s="238"/>
      <c r="F190" s="238"/>
      <c r="G190" s="238"/>
      <c r="H190" s="238"/>
      <c r="I190" s="238"/>
      <c r="J190" s="238"/>
      <c r="K190" s="238"/>
      <c r="L190" s="238"/>
      <c r="M190" s="238"/>
      <c r="N190" s="238"/>
      <c r="O190" s="238"/>
      <c r="P190" s="238"/>
      <c r="Q190" s="238"/>
      <c r="R190" s="238"/>
      <c r="S190" s="238"/>
      <c r="T190" s="238"/>
      <c r="U190" s="238"/>
      <c r="V190" s="238"/>
      <c r="W190" s="238"/>
    </row>
    <row r="191" spans="1:23" ht="12.75">
      <c r="A191" s="238"/>
      <c r="B191" s="238"/>
      <c r="C191" s="238"/>
      <c r="D191" s="238"/>
      <c r="E191" s="238"/>
      <c r="F191" s="238"/>
      <c r="G191" s="238"/>
      <c r="H191" s="238"/>
      <c r="I191" s="238"/>
      <c r="J191" s="238"/>
      <c r="K191" s="238"/>
      <c r="L191" s="238"/>
      <c r="M191" s="238"/>
      <c r="N191" s="238"/>
      <c r="O191" s="238"/>
      <c r="P191" s="238"/>
      <c r="Q191" s="238"/>
      <c r="R191" s="238"/>
      <c r="S191" s="238"/>
      <c r="T191" s="238"/>
      <c r="U191" s="238"/>
      <c r="V191" s="238"/>
      <c r="W191" s="238"/>
    </row>
    <row r="192" spans="1:23" ht="12.75">
      <c r="A192" s="238"/>
      <c r="B192" s="238"/>
      <c r="C192" s="238"/>
      <c r="D192" s="238"/>
      <c r="E192" s="238"/>
      <c r="F192" s="238"/>
      <c r="G192" s="238"/>
      <c r="H192" s="238"/>
      <c r="I192" s="238"/>
      <c r="J192" s="238"/>
      <c r="K192" s="238"/>
      <c r="L192" s="238"/>
      <c r="M192" s="238"/>
      <c r="N192" s="238"/>
      <c r="O192" s="238"/>
      <c r="P192" s="238"/>
      <c r="Q192" s="238"/>
      <c r="R192" s="238"/>
      <c r="S192" s="238"/>
      <c r="T192" s="238"/>
      <c r="U192" s="238"/>
      <c r="V192" s="238"/>
      <c r="W192" s="238"/>
    </row>
    <row r="193" spans="1:23" ht="12.75">
      <c r="A193" s="238"/>
      <c r="B193" s="238"/>
      <c r="C193" s="238"/>
      <c r="D193" s="238"/>
      <c r="E193" s="238"/>
      <c r="F193" s="238"/>
      <c r="G193" s="238"/>
      <c r="H193" s="238"/>
      <c r="I193" s="238"/>
      <c r="J193" s="238"/>
      <c r="K193" s="238"/>
      <c r="L193" s="238"/>
      <c r="M193" s="238"/>
      <c r="N193" s="238"/>
      <c r="O193" s="238"/>
      <c r="P193" s="238"/>
      <c r="Q193" s="238"/>
      <c r="R193" s="238"/>
      <c r="S193" s="238"/>
      <c r="T193" s="238"/>
      <c r="U193" s="238"/>
      <c r="V193" s="238"/>
      <c r="W193" s="238"/>
    </row>
    <row r="194" spans="1:23" ht="12.75">
      <c r="A194" s="238"/>
      <c r="B194" s="238"/>
      <c r="C194" s="238"/>
      <c r="D194" s="238"/>
      <c r="E194" s="238"/>
      <c r="F194" s="238"/>
      <c r="G194" s="238"/>
      <c r="H194" s="238"/>
      <c r="I194" s="238"/>
      <c r="J194" s="238"/>
      <c r="K194" s="238"/>
      <c r="L194" s="238"/>
      <c r="M194" s="238"/>
      <c r="N194" s="238"/>
      <c r="O194" s="238"/>
      <c r="P194" s="238"/>
      <c r="Q194" s="238"/>
      <c r="R194" s="238"/>
      <c r="S194" s="238"/>
      <c r="T194" s="238"/>
      <c r="U194" s="238"/>
      <c r="V194" s="238"/>
      <c r="W194" s="238"/>
    </row>
    <row r="195" spans="1:23" ht="12.75">
      <c r="A195" s="238"/>
      <c r="B195" s="238"/>
      <c r="C195" s="238"/>
      <c r="D195" s="238"/>
      <c r="E195" s="238"/>
      <c r="F195" s="238"/>
      <c r="G195" s="238"/>
      <c r="H195" s="238"/>
      <c r="I195" s="238"/>
      <c r="J195" s="238"/>
      <c r="K195" s="238"/>
      <c r="L195" s="238"/>
      <c r="M195" s="238"/>
      <c r="N195" s="238"/>
      <c r="O195" s="238"/>
      <c r="P195" s="238"/>
      <c r="Q195" s="238"/>
      <c r="R195" s="238"/>
      <c r="S195" s="238"/>
      <c r="T195" s="238"/>
      <c r="U195" s="238"/>
      <c r="V195" s="238"/>
      <c r="W195" s="238"/>
    </row>
    <row r="196" spans="1:23" ht="12.75">
      <c r="A196" s="238"/>
      <c r="B196" s="238"/>
      <c r="C196" s="238"/>
      <c r="D196" s="238"/>
      <c r="E196" s="238"/>
      <c r="F196" s="238"/>
      <c r="G196" s="238"/>
      <c r="H196" s="238"/>
      <c r="I196" s="238"/>
      <c r="J196" s="238"/>
      <c r="K196" s="238"/>
      <c r="L196" s="238"/>
      <c r="M196" s="238"/>
      <c r="N196" s="238"/>
      <c r="O196" s="238"/>
      <c r="P196" s="238"/>
      <c r="Q196" s="238"/>
      <c r="R196" s="238"/>
      <c r="S196" s="238"/>
      <c r="T196" s="238"/>
      <c r="U196" s="238"/>
      <c r="V196" s="238"/>
      <c r="W196" s="238"/>
    </row>
    <row r="197" spans="1:23" ht="12.75">
      <c r="A197" s="238"/>
      <c r="B197" s="238"/>
      <c r="C197" s="238"/>
      <c r="D197" s="238"/>
      <c r="E197" s="238"/>
      <c r="F197" s="238"/>
      <c r="G197" s="238"/>
      <c r="H197" s="238"/>
      <c r="I197" s="238"/>
      <c r="J197" s="238"/>
      <c r="K197" s="238"/>
      <c r="L197" s="238"/>
      <c r="M197" s="238"/>
      <c r="N197" s="238"/>
      <c r="O197" s="238"/>
      <c r="P197" s="238"/>
      <c r="Q197" s="238"/>
      <c r="R197" s="238"/>
      <c r="S197" s="238"/>
      <c r="T197" s="238"/>
      <c r="U197" s="238"/>
      <c r="V197" s="238"/>
      <c r="W197" s="238"/>
    </row>
    <row r="198" spans="1:23" ht="12.75">
      <c r="A198" s="238"/>
      <c r="B198" s="238"/>
      <c r="C198" s="238"/>
      <c r="D198" s="238"/>
      <c r="E198" s="238"/>
      <c r="F198" s="238"/>
      <c r="G198" s="238"/>
      <c r="H198" s="238"/>
      <c r="I198" s="238"/>
      <c r="J198" s="238"/>
      <c r="K198" s="238"/>
      <c r="L198" s="238"/>
      <c r="M198" s="238"/>
      <c r="N198" s="238"/>
      <c r="O198" s="238"/>
      <c r="P198" s="238"/>
      <c r="Q198" s="238"/>
      <c r="R198" s="238"/>
      <c r="S198" s="238"/>
      <c r="T198" s="238"/>
      <c r="U198" s="238"/>
      <c r="V198" s="238"/>
      <c r="W198" s="238"/>
    </row>
    <row r="199" spans="1:23" ht="12.75">
      <c r="A199" s="238"/>
      <c r="B199" s="238"/>
      <c r="C199" s="238"/>
      <c r="D199" s="238"/>
      <c r="E199" s="238"/>
      <c r="F199" s="238"/>
      <c r="G199" s="238"/>
      <c r="H199" s="238"/>
      <c r="I199" s="238"/>
      <c r="J199" s="238"/>
      <c r="K199" s="238"/>
      <c r="L199" s="238"/>
      <c r="M199" s="238"/>
      <c r="N199" s="238"/>
      <c r="O199" s="238"/>
      <c r="P199" s="238"/>
      <c r="Q199" s="238"/>
      <c r="R199" s="238"/>
      <c r="S199" s="238"/>
      <c r="T199" s="238"/>
      <c r="U199" s="238"/>
      <c r="V199" s="238"/>
      <c r="W199" s="238"/>
    </row>
    <row r="200" spans="1:23" ht="12.75">
      <c r="A200" s="238"/>
      <c r="B200" s="238"/>
      <c r="C200" s="238"/>
      <c r="D200" s="238"/>
      <c r="E200" s="238"/>
      <c r="F200" s="238"/>
      <c r="G200" s="238"/>
      <c r="H200" s="238"/>
      <c r="I200" s="238"/>
      <c r="J200" s="238"/>
      <c r="K200" s="238"/>
      <c r="L200" s="238"/>
      <c r="M200" s="238"/>
      <c r="N200" s="238"/>
      <c r="O200" s="238"/>
      <c r="P200" s="238"/>
      <c r="Q200" s="238"/>
      <c r="R200" s="238"/>
      <c r="S200" s="238"/>
      <c r="T200" s="238"/>
      <c r="U200" s="238"/>
      <c r="V200" s="238"/>
      <c r="W200" s="238"/>
    </row>
    <row r="201" spans="1:23" ht="12.75">
      <c r="A201" s="238"/>
      <c r="B201" s="238"/>
      <c r="C201" s="238"/>
      <c r="D201" s="238"/>
      <c r="E201" s="238"/>
      <c r="F201" s="238"/>
      <c r="G201" s="238"/>
      <c r="H201" s="238"/>
      <c r="I201" s="238"/>
      <c r="J201" s="238"/>
      <c r="K201" s="238"/>
      <c r="L201" s="238"/>
      <c r="M201" s="238"/>
      <c r="N201" s="238"/>
      <c r="O201" s="238"/>
      <c r="P201" s="238"/>
      <c r="Q201" s="238"/>
      <c r="R201" s="238"/>
      <c r="S201" s="238"/>
      <c r="T201" s="238"/>
      <c r="U201" s="238"/>
      <c r="V201" s="238"/>
      <c r="W201" s="238"/>
    </row>
    <row r="202" spans="1:23" ht="12.75">
      <c r="A202" s="238"/>
      <c r="B202" s="238"/>
      <c r="C202" s="238"/>
      <c r="D202" s="238"/>
      <c r="E202" s="238"/>
      <c r="F202" s="238"/>
      <c r="G202" s="238"/>
      <c r="H202" s="238"/>
      <c r="I202" s="238"/>
      <c r="J202" s="238"/>
      <c r="K202" s="238"/>
      <c r="L202" s="238"/>
      <c r="M202" s="238"/>
      <c r="N202" s="238"/>
      <c r="O202" s="238"/>
      <c r="P202" s="238"/>
      <c r="Q202" s="238"/>
      <c r="R202" s="238"/>
      <c r="S202" s="238"/>
      <c r="T202" s="238"/>
      <c r="U202" s="238"/>
      <c r="V202" s="238"/>
      <c r="W202" s="238"/>
    </row>
    <row r="203" spans="1:23" ht="12.75">
      <c r="A203" s="238"/>
      <c r="B203" s="238"/>
      <c r="C203" s="238"/>
      <c r="D203" s="238"/>
      <c r="E203" s="238"/>
      <c r="F203" s="238"/>
      <c r="G203" s="238"/>
      <c r="H203" s="238"/>
      <c r="I203" s="238"/>
      <c r="J203" s="238"/>
      <c r="K203" s="238"/>
      <c r="L203" s="238"/>
      <c r="M203" s="238"/>
      <c r="N203" s="238"/>
      <c r="O203" s="238"/>
      <c r="P203" s="238"/>
      <c r="Q203" s="238"/>
      <c r="R203" s="238"/>
      <c r="S203" s="238"/>
      <c r="T203" s="238"/>
      <c r="U203" s="238"/>
      <c r="V203" s="238"/>
      <c r="W203" s="238"/>
    </row>
    <row r="204" spans="1:23" ht="12.75">
      <c r="A204" s="238"/>
      <c r="B204" s="238"/>
      <c r="C204" s="238"/>
      <c r="D204" s="238"/>
      <c r="E204" s="238"/>
      <c r="F204" s="238"/>
      <c r="G204" s="238"/>
      <c r="H204" s="238"/>
      <c r="I204" s="238"/>
      <c r="J204" s="238"/>
      <c r="K204" s="238"/>
      <c r="L204" s="238"/>
      <c r="M204" s="238"/>
      <c r="N204" s="238"/>
      <c r="O204" s="238"/>
      <c r="P204" s="238"/>
      <c r="Q204" s="238"/>
      <c r="R204" s="238"/>
      <c r="S204" s="238"/>
      <c r="T204" s="238"/>
      <c r="U204" s="238"/>
      <c r="V204" s="238"/>
      <c r="W204" s="238"/>
    </row>
    <row r="205" spans="1:23" ht="12.75">
      <c r="A205" s="238"/>
      <c r="B205" s="238"/>
      <c r="C205" s="238"/>
      <c r="D205" s="238"/>
      <c r="E205" s="238"/>
      <c r="F205" s="238"/>
      <c r="G205" s="238"/>
      <c r="H205" s="238"/>
      <c r="I205" s="238"/>
      <c r="J205" s="238"/>
      <c r="K205" s="238"/>
      <c r="L205" s="238"/>
      <c r="M205" s="238"/>
      <c r="N205" s="238"/>
      <c r="O205" s="238"/>
      <c r="P205" s="238"/>
      <c r="Q205" s="238"/>
      <c r="R205" s="238"/>
      <c r="S205" s="238"/>
      <c r="T205" s="238"/>
      <c r="U205" s="238"/>
      <c r="V205" s="238"/>
      <c r="W205" s="238"/>
    </row>
    <row r="206" spans="1:23" ht="12.75">
      <c r="A206" s="238"/>
      <c r="B206" s="238"/>
      <c r="C206" s="238"/>
      <c r="D206" s="238"/>
      <c r="E206" s="238"/>
      <c r="F206" s="238"/>
      <c r="G206" s="238"/>
      <c r="H206" s="238"/>
      <c r="I206" s="238"/>
      <c r="J206" s="238"/>
      <c r="K206" s="238"/>
      <c r="L206" s="238"/>
      <c r="M206" s="238"/>
      <c r="N206" s="238"/>
      <c r="O206" s="238"/>
      <c r="P206" s="238"/>
      <c r="Q206" s="238"/>
      <c r="R206" s="238"/>
      <c r="S206" s="238"/>
      <c r="T206" s="238"/>
      <c r="U206" s="238"/>
      <c r="V206" s="238"/>
      <c r="W206" s="238"/>
    </row>
    <row r="207" spans="1:23" ht="12.75">
      <c r="A207" s="238"/>
      <c r="B207" s="238"/>
      <c r="C207" s="238"/>
      <c r="D207" s="238"/>
      <c r="E207" s="238"/>
      <c r="F207" s="238"/>
      <c r="G207" s="238"/>
      <c r="H207" s="238"/>
      <c r="I207" s="238"/>
      <c r="J207" s="238"/>
      <c r="K207" s="238"/>
      <c r="L207" s="238"/>
      <c r="M207" s="238"/>
      <c r="N207" s="238"/>
      <c r="O207" s="238"/>
      <c r="P207" s="238"/>
      <c r="Q207" s="238"/>
      <c r="R207" s="238"/>
      <c r="S207" s="238"/>
      <c r="T207" s="238"/>
      <c r="U207" s="238"/>
      <c r="V207" s="238"/>
      <c r="W207" s="238"/>
    </row>
    <row r="208" spans="1:23" ht="12.75">
      <c r="A208" s="238"/>
      <c r="B208" s="238"/>
      <c r="C208" s="238"/>
      <c r="D208" s="238"/>
      <c r="E208" s="238"/>
      <c r="F208" s="238"/>
      <c r="G208" s="238"/>
      <c r="H208" s="238"/>
      <c r="I208" s="238"/>
      <c r="J208" s="238"/>
      <c r="K208" s="238"/>
      <c r="L208" s="238"/>
      <c r="M208" s="238"/>
      <c r="N208" s="238"/>
      <c r="O208" s="238"/>
      <c r="P208" s="238"/>
      <c r="Q208" s="238"/>
      <c r="R208" s="238"/>
      <c r="S208" s="238"/>
      <c r="T208" s="238"/>
      <c r="U208" s="238"/>
      <c r="V208" s="238"/>
      <c r="W208" s="238"/>
    </row>
    <row r="209" spans="1:23" ht="12.75">
      <c r="A209" s="238"/>
      <c r="B209" s="238"/>
      <c r="C209" s="238"/>
      <c r="D209" s="238"/>
      <c r="E209" s="238"/>
      <c r="F209" s="238"/>
      <c r="G209" s="238"/>
      <c r="H209" s="238"/>
      <c r="I209" s="238"/>
      <c r="J209" s="238"/>
      <c r="K209" s="238"/>
      <c r="L209" s="238"/>
      <c r="M209" s="238"/>
      <c r="N209" s="238"/>
      <c r="O209" s="238"/>
      <c r="P209" s="238"/>
      <c r="Q209" s="238"/>
      <c r="R209" s="238"/>
      <c r="S209" s="238"/>
      <c r="T209" s="238"/>
      <c r="U209" s="238"/>
      <c r="V209" s="238"/>
      <c r="W209" s="238"/>
    </row>
    <row r="210" spans="1:23" ht="12.75">
      <c r="A210" s="238"/>
      <c r="B210" s="238"/>
      <c r="C210" s="238"/>
      <c r="D210" s="238"/>
      <c r="E210" s="238"/>
      <c r="F210" s="238"/>
      <c r="G210" s="238"/>
      <c r="H210" s="238"/>
      <c r="I210" s="238"/>
      <c r="J210" s="238"/>
      <c r="K210" s="238"/>
      <c r="L210" s="238"/>
      <c r="M210" s="238"/>
      <c r="N210" s="238"/>
      <c r="O210" s="238"/>
      <c r="P210" s="238"/>
      <c r="Q210" s="238"/>
      <c r="R210" s="238"/>
      <c r="S210" s="238"/>
      <c r="T210" s="238"/>
      <c r="U210" s="238"/>
      <c r="V210" s="238"/>
      <c r="W210" s="238"/>
    </row>
    <row r="211" spans="1:23" ht="12.75">
      <c r="A211" s="238"/>
      <c r="B211" s="238"/>
      <c r="C211" s="238"/>
      <c r="D211" s="238"/>
      <c r="E211" s="238"/>
      <c r="F211" s="238"/>
      <c r="G211" s="238"/>
      <c r="H211" s="238"/>
      <c r="I211" s="238"/>
      <c r="J211" s="238"/>
      <c r="K211" s="238"/>
      <c r="L211" s="238"/>
      <c r="M211" s="238"/>
      <c r="N211" s="238"/>
      <c r="O211" s="238"/>
      <c r="P211" s="238"/>
      <c r="Q211" s="238"/>
      <c r="R211" s="238"/>
      <c r="S211" s="238"/>
      <c r="T211" s="238"/>
      <c r="U211" s="238"/>
      <c r="V211" s="238"/>
      <c r="W211" s="238"/>
    </row>
    <row r="212" spans="1:23" ht="12.75">
      <c r="A212" s="238"/>
      <c r="B212" s="238"/>
      <c r="C212" s="238"/>
      <c r="D212" s="238"/>
      <c r="E212" s="238"/>
      <c r="F212" s="238"/>
      <c r="G212" s="238"/>
      <c r="H212" s="238"/>
      <c r="I212" s="238"/>
      <c r="J212" s="238"/>
      <c r="K212" s="238"/>
      <c r="L212" s="238"/>
      <c r="M212" s="238"/>
      <c r="N212" s="238"/>
      <c r="O212" s="238"/>
      <c r="P212" s="238"/>
      <c r="Q212" s="238"/>
      <c r="R212" s="238"/>
      <c r="S212" s="238"/>
      <c r="T212" s="238"/>
      <c r="U212" s="238"/>
      <c r="V212" s="238"/>
      <c r="W212" s="238"/>
    </row>
    <row r="213" spans="1:23" ht="12.75">
      <c r="A213" s="238"/>
      <c r="B213" s="238"/>
      <c r="C213" s="238"/>
      <c r="D213" s="238"/>
      <c r="E213" s="238"/>
      <c r="F213" s="238"/>
      <c r="G213" s="238"/>
      <c r="H213" s="238"/>
      <c r="I213" s="238"/>
      <c r="J213" s="238"/>
      <c r="K213" s="238"/>
      <c r="L213" s="238"/>
      <c r="M213" s="238"/>
      <c r="N213" s="238"/>
      <c r="O213" s="238"/>
      <c r="P213" s="238"/>
      <c r="Q213" s="238"/>
      <c r="R213" s="238"/>
      <c r="S213" s="238"/>
      <c r="T213" s="238"/>
      <c r="U213" s="238"/>
      <c r="V213" s="238"/>
      <c r="W213" s="238"/>
    </row>
    <row r="214" spans="1:23" ht="12.75">
      <c r="A214" s="238"/>
      <c r="B214" s="238"/>
      <c r="C214" s="238"/>
      <c r="D214" s="238"/>
      <c r="E214" s="238"/>
      <c r="F214" s="238"/>
      <c r="G214" s="238"/>
      <c r="H214" s="238"/>
      <c r="I214" s="238"/>
      <c r="J214" s="238"/>
      <c r="K214" s="238"/>
      <c r="L214" s="238"/>
      <c r="M214" s="238"/>
      <c r="N214" s="238"/>
      <c r="O214" s="238"/>
      <c r="P214" s="238"/>
      <c r="Q214" s="238"/>
      <c r="R214" s="238"/>
      <c r="S214" s="238"/>
      <c r="T214" s="238"/>
      <c r="U214" s="238"/>
      <c r="V214" s="238"/>
      <c r="W214" s="238"/>
    </row>
    <row r="215" spans="1:23" ht="12.75">
      <c r="A215" s="238"/>
      <c r="B215" s="238"/>
      <c r="C215" s="238"/>
      <c r="D215" s="238"/>
      <c r="E215" s="238"/>
      <c r="F215" s="238"/>
      <c r="G215" s="238"/>
      <c r="H215" s="238"/>
      <c r="I215" s="238"/>
      <c r="J215" s="238"/>
      <c r="K215" s="238"/>
      <c r="L215" s="238"/>
      <c r="M215" s="238"/>
      <c r="N215" s="238"/>
      <c r="O215" s="238"/>
      <c r="P215" s="238"/>
      <c r="Q215" s="238"/>
      <c r="R215" s="238"/>
      <c r="S215" s="238"/>
      <c r="T215" s="238"/>
      <c r="U215" s="238"/>
      <c r="V215" s="238"/>
      <c r="W215" s="238"/>
    </row>
    <row r="216" spans="1:23" ht="12.75">
      <c r="A216" s="238"/>
      <c r="B216" s="238"/>
      <c r="C216" s="238"/>
      <c r="D216" s="238"/>
      <c r="E216" s="238"/>
      <c r="F216" s="238"/>
      <c r="G216" s="238"/>
      <c r="H216" s="238"/>
      <c r="I216" s="238"/>
      <c r="J216" s="238"/>
      <c r="K216" s="238"/>
      <c r="L216" s="238"/>
      <c r="M216" s="238"/>
      <c r="N216" s="238"/>
      <c r="O216" s="238"/>
      <c r="P216" s="238"/>
      <c r="Q216" s="238"/>
      <c r="R216" s="238"/>
      <c r="S216" s="238"/>
      <c r="T216" s="238"/>
      <c r="U216" s="238"/>
      <c r="V216" s="238"/>
      <c r="W216" s="238"/>
    </row>
    <row r="217" spans="1:23" ht="12.75">
      <c r="A217" s="238"/>
      <c r="B217" s="238"/>
      <c r="C217" s="238"/>
      <c r="D217" s="238"/>
      <c r="E217" s="238"/>
      <c r="F217" s="238"/>
      <c r="G217" s="238"/>
      <c r="H217" s="238"/>
      <c r="I217" s="238"/>
      <c r="J217" s="238"/>
      <c r="K217" s="238"/>
      <c r="L217" s="238"/>
      <c r="M217" s="238"/>
      <c r="N217" s="238"/>
      <c r="O217" s="238"/>
      <c r="P217" s="238"/>
      <c r="Q217" s="238"/>
      <c r="R217" s="238"/>
      <c r="S217" s="238"/>
      <c r="T217" s="238"/>
      <c r="U217" s="238"/>
      <c r="V217" s="238"/>
      <c r="W217" s="238"/>
    </row>
    <row r="218" spans="1:23" ht="12.75">
      <c r="A218" s="238"/>
      <c r="B218" s="238"/>
      <c r="C218" s="238"/>
      <c r="D218" s="238"/>
      <c r="E218" s="238"/>
      <c r="F218" s="238"/>
      <c r="G218" s="238"/>
      <c r="H218" s="238"/>
      <c r="I218" s="238"/>
      <c r="J218" s="238"/>
      <c r="K218" s="238"/>
      <c r="L218" s="238"/>
      <c r="M218" s="238"/>
      <c r="N218" s="238"/>
      <c r="O218" s="238"/>
      <c r="P218" s="238"/>
      <c r="Q218" s="238"/>
      <c r="R218" s="238"/>
      <c r="S218" s="238"/>
      <c r="T218" s="238"/>
      <c r="U218" s="238"/>
      <c r="V218" s="238"/>
      <c r="W218" s="238"/>
    </row>
    <row r="219" spans="1:23" ht="12.75">
      <c r="A219" s="238"/>
      <c r="B219" s="238"/>
      <c r="C219" s="238"/>
      <c r="D219" s="238"/>
      <c r="E219" s="238"/>
      <c r="F219" s="238"/>
      <c r="G219" s="238"/>
      <c r="H219" s="238"/>
      <c r="I219" s="238"/>
      <c r="J219" s="238"/>
      <c r="K219" s="238"/>
      <c r="L219" s="238"/>
      <c r="M219" s="238"/>
      <c r="N219" s="238"/>
      <c r="O219" s="238"/>
      <c r="P219" s="238"/>
      <c r="Q219" s="238"/>
      <c r="R219" s="238"/>
      <c r="S219" s="238"/>
      <c r="T219" s="238"/>
      <c r="U219" s="238"/>
      <c r="V219" s="238"/>
      <c r="W219" s="238"/>
    </row>
    <row r="220" spans="1:23" ht="12.75">
      <c r="A220" s="238"/>
      <c r="B220" s="238"/>
      <c r="C220" s="238"/>
      <c r="D220" s="238"/>
      <c r="E220" s="238"/>
      <c r="F220" s="238"/>
      <c r="G220" s="238"/>
      <c r="H220" s="238"/>
      <c r="I220" s="238"/>
      <c r="J220" s="238"/>
      <c r="K220" s="238"/>
      <c r="L220" s="238"/>
      <c r="M220" s="238"/>
      <c r="N220" s="238"/>
      <c r="O220" s="238"/>
      <c r="P220" s="238"/>
      <c r="Q220" s="238"/>
      <c r="R220" s="238"/>
      <c r="S220" s="238"/>
      <c r="T220" s="238"/>
      <c r="U220" s="238"/>
      <c r="V220" s="238"/>
      <c r="W220" s="238"/>
    </row>
    <row r="221" spans="1:23" ht="12.75">
      <c r="A221" s="238"/>
      <c r="B221" s="238"/>
      <c r="C221" s="238"/>
      <c r="D221" s="238"/>
      <c r="E221" s="238"/>
      <c r="F221" s="238"/>
      <c r="G221" s="238"/>
      <c r="H221" s="238"/>
      <c r="I221" s="238"/>
      <c r="J221" s="238"/>
      <c r="K221" s="238"/>
      <c r="L221" s="238"/>
      <c r="M221" s="238"/>
      <c r="N221" s="238"/>
      <c r="O221" s="238"/>
      <c r="P221" s="238"/>
      <c r="Q221" s="238"/>
      <c r="R221" s="238"/>
      <c r="S221" s="238"/>
      <c r="T221" s="238"/>
      <c r="U221" s="238"/>
      <c r="V221" s="238"/>
      <c r="W221" s="238"/>
    </row>
    <row r="222" spans="1:23" ht="12.75">
      <c r="A222" s="238"/>
      <c r="B222" s="238"/>
      <c r="C222" s="238"/>
      <c r="D222" s="238"/>
      <c r="E222" s="238"/>
      <c r="F222" s="238"/>
      <c r="G222" s="238"/>
      <c r="H222" s="238"/>
      <c r="I222" s="238"/>
      <c r="J222" s="238"/>
      <c r="K222" s="238"/>
      <c r="L222" s="238"/>
      <c r="M222" s="238"/>
      <c r="N222" s="238"/>
      <c r="O222" s="238"/>
      <c r="P222" s="238"/>
      <c r="Q222" s="238"/>
      <c r="R222" s="238"/>
      <c r="S222" s="238"/>
      <c r="T222" s="238"/>
      <c r="U222" s="238"/>
      <c r="V222" s="238"/>
      <c r="W222" s="238"/>
    </row>
    <row r="223" spans="1:23" ht="12.75">
      <c r="A223" s="238"/>
      <c r="B223" s="238"/>
      <c r="C223" s="238"/>
      <c r="D223" s="238"/>
      <c r="E223" s="238"/>
      <c r="F223" s="238"/>
      <c r="G223" s="238"/>
      <c r="H223" s="238"/>
      <c r="I223" s="238"/>
      <c r="J223" s="238"/>
      <c r="K223" s="238"/>
      <c r="L223" s="238"/>
      <c r="M223" s="238"/>
      <c r="N223" s="238"/>
      <c r="O223" s="238"/>
      <c r="P223" s="238"/>
      <c r="Q223" s="238"/>
      <c r="R223" s="238"/>
      <c r="S223" s="238"/>
      <c r="T223" s="238"/>
      <c r="U223" s="238"/>
      <c r="V223" s="238"/>
      <c r="W223" s="238"/>
    </row>
    <row r="224" spans="1:23" ht="12.75">
      <c r="A224" s="238"/>
      <c r="B224" s="238"/>
      <c r="C224" s="238"/>
      <c r="D224" s="238"/>
      <c r="E224" s="238"/>
      <c r="F224" s="238"/>
      <c r="G224" s="238"/>
      <c r="H224" s="238"/>
      <c r="I224" s="238"/>
      <c r="J224" s="238"/>
      <c r="K224" s="238"/>
      <c r="L224" s="238"/>
      <c r="M224" s="238"/>
      <c r="N224" s="238"/>
      <c r="O224" s="238"/>
      <c r="P224" s="238"/>
      <c r="Q224" s="238"/>
      <c r="R224" s="238"/>
      <c r="S224" s="238"/>
      <c r="T224" s="238"/>
      <c r="U224" s="238"/>
      <c r="V224" s="238"/>
      <c r="W224" s="238"/>
    </row>
    <row r="225" spans="1:23" ht="12.75">
      <c r="A225" s="238"/>
      <c r="B225" s="238"/>
      <c r="C225" s="238"/>
      <c r="D225" s="238"/>
      <c r="E225" s="238"/>
      <c r="F225" s="238"/>
      <c r="G225" s="238"/>
      <c r="H225" s="238"/>
      <c r="I225" s="238"/>
      <c r="J225" s="238"/>
      <c r="K225" s="238"/>
      <c r="L225" s="238"/>
      <c r="M225" s="238"/>
      <c r="N225" s="238"/>
      <c r="O225" s="238"/>
      <c r="P225" s="238"/>
      <c r="Q225" s="238"/>
      <c r="R225" s="238"/>
      <c r="S225" s="238"/>
      <c r="T225" s="238"/>
      <c r="U225" s="238"/>
      <c r="V225" s="238"/>
      <c r="W225" s="238"/>
    </row>
    <row r="226" spans="1:23" ht="12.75">
      <c r="A226" s="238"/>
      <c r="B226" s="238"/>
      <c r="C226" s="238"/>
      <c r="D226" s="238"/>
      <c r="E226" s="238"/>
      <c r="F226" s="238"/>
      <c r="G226" s="238"/>
      <c r="H226" s="238"/>
      <c r="I226" s="238"/>
      <c r="J226" s="238"/>
      <c r="K226" s="238"/>
      <c r="L226" s="238"/>
      <c r="M226" s="238"/>
      <c r="N226" s="238"/>
      <c r="O226" s="238"/>
      <c r="P226" s="238"/>
      <c r="Q226" s="238"/>
      <c r="R226" s="238"/>
      <c r="S226" s="238"/>
      <c r="T226" s="238"/>
      <c r="U226" s="238"/>
      <c r="V226" s="238"/>
      <c r="W226" s="238"/>
    </row>
    <row r="227" spans="1:23" ht="12.75">
      <c r="A227" s="238"/>
      <c r="B227" s="238"/>
      <c r="C227" s="238"/>
      <c r="D227" s="238"/>
      <c r="E227" s="238"/>
      <c r="F227" s="238"/>
      <c r="G227" s="238"/>
      <c r="H227" s="238"/>
      <c r="I227" s="238"/>
      <c r="J227" s="238"/>
      <c r="K227" s="238"/>
      <c r="L227" s="238"/>
      <c r="M227" s="238"/>
      <c r="N227" s="238"/>
      <c r="O227" s="238"/>
      <c r="P227" s="238"/>
      <c r="Q227" s="238"/>
      <c r="R227" s="238"/>
      <c r="S227" s="238"/>
      <c r="T227" s="238"/>
      <c r="U227" s="238"/>
      <c r="V227" s="238"/>
      <c r="W227" s="238"/>
    </row>
    <row r="228" spans="1:23" ht="12.75">
      <c r="A228" s="238"/>
      <c r="B228" s="238"/>
      <c r="C228" s="238"/>
      <c r="D228" s="238"/>
      <c r="E228" s="238"/>
      <c r="F228" s="238"/>
      <c r="G228" s="238"/>
      <c r="H228" s="238"/>
      <c r="I228" s="238"/>
      <c r="J228" s="238"/>
      <c r="K228" s="238"/>
      <c r="L228" s="238"/>
      <c r="M228" s="238"/>
      <c r="N228" s="238"/>
      <c r="O228" s="238"/>
      <c r="P228" s="238"/>
      <c r="Q228" s="238"/>
      <c r="R228" s="238"/>
      <c r="S228" s="238"/>
      <c r="T228" s="238"/>
      <c r="U228" s="238"/>
      <c r="V228" s="238"/>
      <c r="W228" s="238"/>
    </row>
    <row r="229" spans="1:23" ht="12.75">
      <c r="A229" s="238"/>
      <c r="B229" s="238"/>
      <c r="C229" s="238"/>
      <c r="D229" s="238"/>
      <c r="E229" s="238"/>
      <c r="F229" s="238"/>
      <c r="G229" s="238"/>
      <c r="H229" s="238"/>
      <c r="I229" s="238"/>
      <c r="J229" s="238"/>
      <c r="K229" s="238"/>
      <c r="L229" s="238"/>
      <c r="M229" s="238"/>
      <c r="N229" s="238"/>
      <c r="O229" s="238"/>
      <c r="P229" s="238"/>
      <c r="Q229" s="238"/>
      <c r="R229" s="238"/>
      <c r="S229" s="238"/>
      <c r="T229" s="238"/>
      <c r="U229" s="238"/>
      <c r="V229" s="238"/>
      <c r="W229" s="238"/>
    </row>
    <row r="230" spans="1:23" ht="12.75">
      <c r="A230" s="238"/>
      <c r="B230" s="238"/>
      <c r="C230" s="238"/>
      <c r="D230" s="238"/>
      <c r="E230" s="238"/>
      <c r="F230" s="238"/>
      <c r="G230" s="238"/>
      <c r="H230" s="238"/>
      <c r="I230" s="238"/>
      <c r="J230" s="238"/>
      <c r="K230" s="238"/>
      <c r="L230" s="238"/>
      <c r="M230" s="238"/>
      <c r="N230" s="238"/>
      <c r="O230" s="238"/>
      <c r="P230" s="238"/>
      <c r="Q230" s="238"/>
      <c r="R230" s="238"/>
      <c r="S230" s="238"/>
      <c r="T230" s="238"/>
      <c r="U230" s="238"/>
      <c r="V230" s="238"/>
      <c r="W230" s="238"/>
    </row>
    <row r="231" spans="1:23" ht="12.75">
      <c r="A231" s="238"/>
      <c r="B231" s="238"/>
      <c r="C231" s="238"/>
      <c r="D231" s="238"/>
      <c r="E231" s="238"/>
      <c r="F231" s="238"/>
      <c r="G231" s="238"/>
      <c r="H231" s="238"/>
      <c r="I231" s="238"/>
      <c r="J231" s="238"/>
      <c r="K231" s="238"/>
      <c r="L231" s="238"/>
      <c r="M231" s="238"/>
      <c r="N231" s="238"/>
      <c r="O231" s="238"/>
      <c r="P231" s="238"/>
      <c r="Q231" s="238"/>
      <c r="R231" s="238"/>
      <c r="S231" s="238"/>
      <c r="T231" s="238"/>
      <c r="U231" s="238"/>
      <c r="V231" s="238"/>
      <c r="W231" s="238"/>
    </row>
    <row r="232" spans="1:23" ht="12.75">
      <c r="A232" s="238"/>
      <c r="B232" s="238"/>
      <c r="C232" s="238"/>
      <c r="D232" s="238"/>
      <c r="E232" s="238"/>
      <c r="F232" s="238"/>
      <c r="G232" s="238"/>
      <c r="H232" s="238"/>
      <c r="I232" s="238"/>
      <c r="J232" s="238"/>
      <c r="K232" s="238"/>
      <c r="L232" s="238"/>
      <c r="M232" s="238"/>
      <c r="N232" s="238"/>
      <c r="O232" s="238"/>
      <c r="P232" s="238"/>
      <c r="Q232" s="238"/>
      <c r="R232" s="238"/>
      <c r="S232" s="238"/>
      <c r="T232" s="238"/>
      <c r="U232" s="238"/>
      <c r="V232" s="238"/>
      <c r="W232" s="238"/>
    </row>
    <row r="233" spans="1:23" ht="12.75">
      <c r="A233" s="238"/>
      <c r="B233" s="238"/>
      <c r="C233" s="238"/>
      <c r="D233" s="238"/>
      <c r="E233" s="238"/>
      <c r="F233" s="238"/>
      <c r="G233" s="238"/>
      <c r="H233" s="238"/>
      <c r="I233" s="238"/>
      <c r="J233" s="238"/>
      <c r="K233" s="238"/>
      <c r="L233" s="238"/>
      <c r="M233" s="238"/>
      <c r="N233" s="238"/>
      <c r="O233" s="238"/>
      <c r="P233" s="238"/>
      <c r="Q233" s="238"/>
      <c r="R233" s="238"/>
      <c r="S233" s="238"/>
      <c r="T233" s="238"/>
      <c r="U233" s="238"/>
      <c r="V233" s="238"/>
      <c r="W233" s="238"/>
    </row>
    <row r="234" spans="1:23" ht="12.75">
      <c r="A234" s="238"/>
      <c r="B234" s="238"/>
      <c r="C234" s="238"/>
      <c r="D234" s="238"/>
      <c r="E234" s="238"/>
      <c r="F234" s="238"/>
      <c r="G234" s="238"/>
      <c r="H234" s="238"/>
      <c r="I234" s="238"/>
      <c r="J234" s="238"/>
      <c r="K234" s="238"/>
      <c r="L234" s="238"/>
      <c r="M234" s="238"/>
      <c r="N234" s="238"/>
      <c r="O234" s="238"/>
      <c r="P234" s="238"/>
      <c r="Q234" s="238"/>
      <c r="R234" s="238"/>
      <c r="S234" s="238"/>
      <c r="T234" s="238"/>
      <c r="U234" s="238"/>
      <c r="V234" s="238"/>
      <c r="W234" s="238"/>
    </row>
    <row r="235" spans="1:23" ht="12.75">
      <c r="A235" s="238"/>
      <c r="B235" s="238"/>
      <c r="C235" s="238"/>
      <c r="D235" s="238"/>
      <c r="E235" s="238"/>
      <c r="F235" s="238"/>
      <c r="G235" s="238"/>
      <c r="H235" s="238"/>
      <c r="I235" s="238"/>
      <c r="J235" s="238"/>
      <c r="K235" s="238"/>
      <c r="L235" s="238"/>
      <c r="M235" s="238"/>
      <c r="N235" s="238"/>
      <c r="O235" s="238"/>
      <c r="P235" s="238"/>
      <c r="Q235" s="238"/>
      <c r="R235" s="238"/>
      <c r="S235" s="238"/>
      <c r="T235" s="238"/>
      <c r="U235" s="238"/>
      <c r="V235" s="238"/>
      <c r="W235" s="238"/>
    </row>
    <row r="236" spans="1:23" ht="12.75">
      <c r="A236" s="238"/>
      <c r="B236" s="238"/>
      <c r="C236" s="238"/>
      <c r="D236" s="238"/>
      <c r="E236" s="238"/>
      <c r="F236" s="238"/>
      <c r="G236" s="238"/>
      <c r="H236" s="238"/>
      <c r="I236" s="238"/>
      <c r="J236" s="238"/>
      <c r="K236" s="238"/>
      <c r="L236" s="238"/>
      <c r="M236" s="238"/>
      <c r="N236" s="238"/>
      <c r="O236" s="238"/>
      <c r="P236" s="238"/>
      <c r="Q236" s="238"/>
      <c r="R236" s="238"/>
      <c r="S236" s="238"/>
      <c r="T236" s="238"/>
      <c r="U236" s="238"/>
      <c r="V236" s="238"/>
      <c r="W236" s="238"/>
    </row>
    <row r="237" spans="1:23" ht="12.75">
      <c r="A237" s="238"/>
      <c r="B237" s="238"/>
      <c r="C237" s="238"/>
      <c r="D237" s="238"/>
      <c r="E237" s="238"/>
      <c r="F237" s="238"/>
      <c r="G237" s="238"/>
      <c r="H237" s="238"/>
      <c r="I237" s="238"/>
      <c r="J237" s="238"/>
      <c r="K237" s="238"/>
      <c r="L237" s="238"/>
      <c r="M237" s="238"/>
      <c r="N237" s="238"/>
      <c r="O237" s="238"/>
      <c r="P237" s="238"/>
      <c r="Q237" s="238"/>
      <c r="R237" s="238"/>
      <c r="S237" s="238"/>
      <c r="T237" s="238"/>
      <c r="U237" s="238"/>
      <c r="V237" s="238"/>
      <c r="W237" s="238"/>
    </row>
    <row r="238" spans="1:23" ht="12.75">
      <c r="A238" s="238"/>
      <c r="B238" s="238"/>
      <c r="C238" s="238"/>
      <c r="D238" s="238"/>
      <c r="E238" s="238"/>
      <c r="F238" s="238"/>
      <c r="G238" s="238"/>
      <c r="H238" s="238"/>
      <c r="I238" s="238"/>
      <c r="J238" s="238"/>
      <c r="K238" s="238"/>
      <c r="L238" s="238"/>
      <c r="M238" s="238"/>
      <c r="N238" s="238"/>
      <c r="O238" s="238"/>
      <c r="P238" s="238"/>
      <c r="Q238" s="238"/>
      <c r="R238" s="238"/>
      <c r="S238" s="238"/>
      <c r="T238" s="238"/>
      <c r="U238" s="238"/>
      <c r="V238" s="238"/>
      <c r="W238" s="238"/>
    </row>
    <row r="239" spans="1:23" ht="12.75">
      <c r="A239" s="238"/>
      <c r="B239" s="238"/>
      <c r="C239" s="238"/>
      <c r="D239" s="238"/>
      <c r="E239" s="238"/>
      <c r="F239" s="238"/>
      <c r="G239" s="238"/>
      <c r="H239" s="238"/>
      <c r="I239" s="238"/>
      <c r="J239" s="238"/>
      <c r="K239" s="238"/>
      <c r="L239" s="238"/>
      <c r="M239" s="238"/>
      <c r="N239" s="238"/>
      <c r="O239" s="238"/>
      <c r="P239" s="238"/>
      <c r="Q239" s="238"/>
      <c r="R239" s="238"/>
      <c r="S239" s="238"/>
      <c r="T239" s="238"/>
      <c r="U239" s="238"/>
      <c r="V239" s="238"/>
      <c r="W239" s="238"/>
    </row>
    <row r="240" spans="1:23" ht="12.75">
      <c r="A240" s="238"/>
      <c r="B240" s="238"/>
      <c r="C240" s="238"/>
      <c r="D240" s="238"/>
      <c r="E240" s="238"/>
      <c r="F240" s="238"/>
      <c r="G240" s="238"/>
      <c r="H240" s="238"/>
      <c r="I240" s="238"/>
      <c r="J240" s="238"/>
      <c r="K240" s="238"/>
      <c r="L240" s="238"/>
      <c r="M240" s="238"/>
      <c r="N240" s="238"/>
      <c r="O240" s="238"/>
      <c r="P240" s="238"/>
      <c r="Q240" s="238"/>
      <c r="R240" s="238"/>
      <c r="S240" s="238"/>
      <c r="T240" s="238"/>
      <c r="U240" s="238"/>
      <c r="V240" s="238"/>
      <c r="W240" s="238"/>
    </row>
    <row r="241" spans="1:23" ht="12.75">
      <c r="A241" s="238"/>
      <c r="B241" s="238"/>
      <c r="C241" s="238"/>
      <c r="D241" s="238"/>
      <c r="E241" s="238"/>
      <c r="F241" s="238"/>
      <c r="G241" s="238"/>
      <c r="H241" s="238"/>
      <c r="I241" s="238"/>
      <c r="J241" s="238"/>
      <c r="K241" s="238"/>
      <c r="L241" s="238"/>
      <c r="M241" s="238"/>
      <c r="N241" s="238"/>
      <c r="O241" s="238"/>
      <c r="P241" s="238"/>
      <c r="Q241" s="238"/>
      <c r="R241" s="238"/>
      <c r="S241" s="238"/>
      <c r="T241" s="238"/>
      <c r="U241" s="238"/>
      <c r="V241" s="238"/>
      <c r="W241" s="238"/>
    </row>
    <row r="242" spans="1:23" ht="12.75">
      <c r="A242" s="238"/>
      <c r="B242" s="238"/>
      <c r="C242" s="238"/>
      <c r="D242" s="238"/>
      <c r="E242" s="238"/>
      <c r="F242" s="238"/>
      <c r="G242" s="238"/>
      <c r="H242" s="238"/>
      <c r="I242" s="238"/>
      <c r="J242" s="238"/>
      <c r="K242" s="238"/>
      <c r="L242" s="238"/>
      <c r="M242" s="238"/>
      <c r="N242" s="238"/>
      <c r="O242" s="238"/>
      <c r="P242" s="238"/>
      <c r="Q242" s="238"/>
      <c r="R242" s="238"/>
      <c r="S242" s="238"/>
      <c r="T242" s="238"/>
      <c r="U242" s="238"/>
      <c r="V242" s="238"/>
      <c r="W242" s="238"/>
    </row>
    <row r="243" spans="1:23" ht="12.75">
      <c r="A243" s="238"/>
      <c r="B243" s="238"/>
      <c r="C243" s="238"/>
      <c r="D243" s="238"/>
      <c r="E243" s="238"/>
      <c r="F243" s="238"/>
      <c r="G243" s="238"/>
      <c r="H243" s="238"/>
      <c r="I243" s="238"/>
      <c r="J243" s="238"/>
      <c r="K243" s="238"/>
      <c r="L243" s="238"/>
      <c r="M243" s="238"/>
      <c r="N243" s="238"/>
      <c r="O243" s="238"/>
      <c r="P243" s="238"/>
      <c r="Q243" s="238"/>
      <c r="R243" s="238"/>
      <c r="S243" s="238"/>
      <c r="T243" s="238"/>
      <c r="U243" s="238"/>
      <c r="V243" s="238"/>
      <c r="W243" s="238"/>
    </row>
    <row r="244" spans="1:23" ht="12.75">
      <c r="A244" s="238"/>
      <c r="B244" s="238"/>
      <c r="C244" s="238"/>
      <c r="D244" s="238"/>
      <c r="E244" s="238"/>
      <c r="F244" s="238"/>
      <c r="G244" s="238"/>
      <c r="H244" s="238"/>
      <c r="I244" s="238"/>
      <c r="J244" s="238"/>
      <c r="K244" s="238"/>
      <c r="L244" s="238"/>
      <c r="M244" s="238"/>
      <c r="N244" s="238"/>
      <c r="O244" s="238"/>
      <c r="P244" s="238"/>
      <c r="Q244" s="238"/>
      <c r="R244" s="238"/>
      <c r="S244" s="238"/>
      <c r="T244" s="238"/>
      <c r="U244" s="238"/>
      <c r="V244" s="238"/>
      <c r="W244" s="238"/>
    </row>
    <row r="245" spans="1:23" ht="12.75">
      <c r="A245" s="238"/>
      <c r="B245" s="238"/>
      <c r="C245" s="238"/>
      <c r="D245" s="238"/>
      <c r="E245" s="238"/>
      <c r="F245" s="238"/>
      <c r="G245" s="238"/>
      <c r="H245" s="238"/>
      <c r="I245" s="238"/>
      <c r="J245" s="238"/>
      <c r="K245" s="238"/>
      <c r="L245" s="238"/>
      <c r="M245" s="238"/>
      <c r="N245" s="238"/>
      <c r="O245" s="238"/>
      <c r="P245" s="238"/>
      <c r="Q245" s="238"/>
      <c r="R245" s="238"/>
      <c r="S245" s="238"/>
      <c r="T245" s="238"/>
      <c r="U245" s="238"/>
      <c r="V245" s="238"/>
      <c r="W245" s="238"/>
    </row>
    <row r="246" spans="1:23" ht="12.75">
      <c r="A246" s="238"/>
      <c r="B246" s="238"/>
      <c r="C246" s="238"/>
      <c r="D246" s="238"/>
      <c r="E246" s="238"/>
      <c r="F246" s="238"/>
      <c r="G246" s="238"/>
      <c r="H246" s="238"/>
      <c r="I246" s="238"/>
      <c r="J246" s="238"/>
      <c r="K246" s="238"/>
      <c r="L246" s="238"/>
      <c r="M246" s="238"/>
      <c r="N246" s="238"/>
      <c r="O246" s="238"/>
      <c r="P246" s="238"/>
      <c r="Q246" s="238"/>
      <c r="R246" s="238"/>
      <c r="S246" s="238"/>
      <c r="T246" s="238"/>
      <c r="U246" s="238"/>
      <c r="V246" s="238"/>
      <c r="W246" s="238"/>
    </row>
    <row r="247" spans="1:23" ht="12.75">
      <c r="A247" s="238"/>
      <c r="B247" s="238"/>
      <c r="C247" s="238"/>
      <c r="D247" s="238"/>
      <c r="E247" s="238"/>
      <c r="F247" s="238"/>
      <c r="G247" s="238"/>
      <c r="H247" s="238"/>
      <c r="I247" s="238"/>
      <c r="J247" s="238"/>
      <c r="K247" s="238"/>
      <c r="L247" s="238"/>
      <c r="M247" s="238"/>
      <c r="N247" s="238"/>
      <c r="O247" s="238"/>
      <c r="P247" s="238"/>
      <c r="Q247" s="238"/>
      <c r="R247" s="238"/>
      <c r="S247" s="238"/>
      <c r="T247" s="238"/>
      <c r="U247" s="238"/>
      <c r="V247" s="238"/>
      <c r="W247" s="238"/>
    </row>
    <row r="248" spans="1:23" ht="12.75">
      <c r="A248" s="238"/>
      <c r="B248" s="238"/>
      <c r="C248" s="238"/>
      <c r="D248" s="238"/>
      <c r="E248" s="238"/>
      <c r="F248" s="238"/>
      <c r="G248" s="238"/>
      <c r="H248" s="238"/>
      <c r="I248" s="238"/>
      <c r="J248" s="238"/>
      <c r="K248" s="238"/>
      <c r="L248" s="238"/>
      <c r="M248" s="238"/>
      <c r="N248" s="238"/>
      <c r="O248" s="238"/>
      <c r="P248" s="238"/>
      <c r="Q248" s="238"/>
      <c r="R248" s="238"/>
      <c r="S248" s="238"/>
      <c r="T248" s="238"/>
      <c r="U248" s="238"/>
      <c r="V248" s="238"/>
      <c r="W248" s="238"/>
    </row>
    <row r="249" spans="1:23" ht="12.75">
      <c r="A249" s="238"/>
      <c r="B249" s="238"/>
      <c r="C249" s="238"/>
      <c r="D249" s="238"/>
      <c r="E249" s="238"/>
      <c r="F249" s="238"/>
      <c r="G249" s="238"/>
      <c r="H249" s="238"/>
      <c r="I249" s="238"/>
      <c r="J249" s="238"/>
      <c r="K249" s="238"/>
      <c r="L249" s="238"/>
      <c r="M249" s="238"/>
      <c r="N249" s="238"/>
      <c r="O249" s="238"/>
      <c r="P249" s="238"/>
      <c r="Q249" s="238"/>
      <c r="R249" s="238"/>
      <c r="S249" s="238"/>
      <c r="T249" s="238"/>
      <c r="U249" s="238"/>
      <c r="V249" s="238"/>
      <c r="W249" s="238"/>
    </row>
    <row r="250" spans="1:23" ht="12.75">
      <c r="A250" s="238"/>
      <c r="B250" s="238"/>
      <c r="C250" s="238"/>
      <c r="D250" s="238"/>
      <c r="E250" s="238"/>
      <c r="F250" s="238"/>
      <c r="G250" s="238"/>
      <c r="H250" s="238"/>
      <c r="I250" s="238"/>
      <c r="J250" s="238"/>
      <c r="K250" s="238"/>
      <c r="L250" s="238"/>
      <c r="M250" s="238"/>
      <c r="N250" s="238"/>
      <c r="O250" s="238"/>
      <c r="P250" s="238"/>
      <c r="Q250" s="238"/>
      <c r="R250" s="238"/>
      <c r="S250" s="238"/>
      <c r="T250" s="238"/>
      <c r="U250" s="238"/>
      <c r="V250" s="238"/>
      <c r="W250" s="238"/>
    </row>
    <row r="251" spans="1:23" ht="12.75">
      <c r="A251" s="238"/>
      <c r="B251" s="238"/>
      <c r="C251" s="238"/>
      <c r="D251" s="238"/>
      <c r="E251" s="238"/>
      <c r="F251" s="238"/>
      <c r="G251" s="238"/>
      <c r="H251" s="238"/>
      <c r="I251" s="238"/>
      <c r="J251" s="238"/>
      <c r="K251" s="238"/>
      <c r="L251" s="238"/>
      <c r="M251" s="238"/>
      <c r="N251" s="238"/>
      <c r="O251" s="238"/>
      <c r="P251" s="238"/>
      <c r="Q251" s="238"/>
      <c r="R251" s="238"/>
      <c r="S251" s="238"/>
      <c r="T251" s="238"/>
      <c r="U251" s="238"/>
      <c r="V251" s="238"/>
      <c r="W251" s="238"/>
    </row>
    <row r="252" spans="1:23" ht="12.75">
      <c r="A252" s="238"/>
      <c r="B252" s="238"/>
      <c r="C252" s="238"/>
      <c r="D252" s="238"/>
      <c r="E252" s="238"/>
      <c r="F252" s="238"/>
      <c r="G252" s="238"/>
      <c r="H252" s="238"/>
      <c r="I252" s="238"/>
      <c r="J252" s="238"/>
      <c r="K252" s="238"/>
      <c r="L252" s="238"/>
      <c r="M252" s="238"/>
      <c r="N252" s="238"/>
      <c r="O252" s="238"/>
      <c r="P252" s="238"/>
      <c r="Q252" s="238"/>
      <c r="R252" s="238"/>
      <c r="S252" s="238"/>
      <c r="T252" s="238"/>
      <c r="U252" s="238"/>
      <c r="V252" s="238"/>
      <c r="W252" s="238"/>
    </row>
    <row r="253" spans="1:23" ht="12.75">
      <c r="A253" s="238"/>
      <c r="B253" s="238"/>
      <c r="C253" s="238"/>
      <c r="D253" s="238"/>
      <c r="E253" s="238"/>
      <c r="F253" s="238"/>
      <c r="G253" s="238"/>
      <c r="H253" s="238"/>
      <c r="I253" s="238"/>
      <c r="J253" s="238"/>
      <c r="K253" s="238"/>
      <c r="L253" s="238"/>
      <c r="M253" s="238"/>
      <c r="N253" s="238"/>
      <c r="O253" s="238"/>
      <c r="P253" s="238"/>
      <c r="Q253" s="238"/>
      <c r="R253" s="238"/>
      <c r="S253" s="238"/>
      <c r="T253" s="238"/>
      <c r="U253" s="238"/>
      <c r="V253" s="238"/>
      <c r="W253" s="238"/>
    </row>
    <row r="254" spans="1:23" ht="12.75">
      <c r="A254" s="238"/>
      <c r="B254" s="238"/>
      <c r="C254" s="238"/>
      <c r="D254" s="238"/>
      <c r="E254" s="238"/>
      <c r="F254" s="238"/>
      <c r="G254" s="238"/>
      <c r="H254" s="238"/>
      <c r="I254" s="238"/>
      <c r="J254" s="238"/>
      <c r="K254" s="238"/>
      <c r="L254" s="238"/>
      <c r="M254" s="238"/>
      <c r="N254" s="238"/>
      <c r="O254" s="238"/>
      <c r="P254" s="238"/>
      <c r="Q254" s="238"/>
      <c r="R254" s="238"/>
      <c r="S254" s="238"/>
      <c r="T254" s="238"/>
      <c r="U254" s="238"/>
      <c r="V254" s="238"/>
      <c r="W254" s="238"/>
    </row>
    <row r="255" spans="1:23" ht="12.75">
      <c r="A255" s="238"/>
      <c r="B255" s="238"/>
      <c r="C255" s="238"/>
      <c r="D255" s="238"/>
      <c r="E255" s="238"/>
      <c r="F255" s="238"/>
      <c r="G255" s="238"/>
      <c r="H255" s="238"/>
      <c r="I255" s="238"/>
      <c r="J255" s="238"/>
      <c r="K255" s="238"/>
      <c r="L255" s="238"/>
      <c r="M255" s="238"/>
      <c r="N255" s="238"/>
      <c r="O255" s="238"/>
      <c r="P255" s="238"/>
      <c r="Q255" s="238"/>
      <c r="R255" s="238"/>
      <c r="S255" s="238"/>
      <c r="T255" s="238"/>
      <c r="U255" s="238"/>
      <c r="V255" s="238"/>
      <c r="W255" s="238"/>
    </row>
    <row r="256" spans="1:23" ht="12.75">
      <c r="A256" s="238"/>
      <c r="B256" s="238"/>
      <c r="C256" s="238"/>
      <c r="D256" s="238"/>
      <c r="E256" s="238"/>
      <c r="F256" s="238"/>
      <c r="G256" s="238"/>
      <c r="H256" s="238"/>
      <c r="I256" s="238"/>
      <c r="J256" s="238"/>
      <c r="K256" s="238"/>
      <c r="L256" s="238"/>
      <c r="M256" s="238"/>
      <c r="N256" s="238"/>
      <c r="O256" s="238"/>
      <c r="P256" s="238"/>
      <c r="Q256" s="238"/>
      <c r="R256" s="238"/>
      <c r="S256" s="238"/>
      <c r="T256" s="238"/>
      <c r="U256" s="238"/>
      <c r="V256" s="238"/>
      <c r="W256" s="238"/>
    </row>
    <row r="257" spans="1:23" ht="12.75">
      <c r="A257" s="238"/>
      <c r="B257" s="238"/>
      <c r="C257" s="238"/>
      <c r="D257" s="238"/>
      <c r="E257" s="238"/>
      <c r="F257" s="238"/>
      <c r="G257" s="238"/>
      <c r="H257" s="238"/>
      <c r="I257" s="238"/>
      <c r="J257" s="238"/>
      <c r="K257" s="238"/>
      <c r="L257" s="238"/>
      <c r="M257" s="238"/>
      <c r="N257" s="238"/>
      <c r="O257" s="238"/>
      <c r="P257" s="238"/>
      <c r="Q257" s="238"/>
      <c r="R257" s="238"/>
      <c r="S257" s="238"/>
      <c r="T257" s="238"/>
      <c r="U257" s="238"/>
      <c r="V257" s="238"/>
      <c r="W257" s="238"/>
    </row>
    <row r="258" spans="1:23" ht="12.75">
      <c r="A258" s="238"/>
      <c r="B258" s="238"/>
      <c r="C258" s="238"/>
      <c r="D258" s="238"/>
      <c r="E258" s="238"/>
      <c r="F258" s="238"/>
      <c r="G258" s="238"/>
      <c r="H258" s="238"/>
      <c r="I258" s="238"/>
      <c r="J258" s="238"/>
      <c r="K258" s="238"/>
      <c r="L258" s="238"/>
      <c r="M258" s="238"/>
      <c r="N258" s="238"/>
      <c r="O258" s="238"/>
      <c r="P258" s="238"/>
      <c r="Q258" s="238"/>
      <c r="R258" s="238"/>
      <c r="S258" s="238"/>
      <c r="T258" s="238"/>
      <c r="U258" s="238"/>
      <c r="V258" s="238"/>
      <c r="W258" s="238"/>
    </row>
    <row r="259" spans="1:23" ht="12.75">
      <c r="A259" s="238"/>
      <c r="B259" s="238"/>
      <c r="C259" s="238"/>
      <c r="D259" s="238"/>
      <c r="E259" s="238"/>
      <c r="F259" s="238"/>
      <c r="G259" s="238"/>
      <c r="H259" s="238"/>
      <c r="I259" s="238"/>
      <c r="J259" s="238"/>
      <c r="K259" s="238"/>
      <c r="L259" s="238"/>
      <c r="M259" s="238"/>
      <c r="N259" s="238"/>
      <c r="O259" s="238"/>
      <c r="P259" s="238"/>
      <c r="Q259" s="238"/>
      <c r="R259" s="238"/>
      <c r="S259" s="238"/>
      <c r="T259" s="238"/>
      <c r="U259" s="238"/>
      <c r="V259" s="238"/>
      <c r="W259" s="238"/>
    </row>
    <row r="260" spans="1:23" ht="12.75">
      <c r="A260" s="238"/>
      <c r="B260" s="238"/>
      <c r="C260" s="238"/>
      <c r="D260" s="238"/>
      <c r="E260" s="238"/>
      <c r="F260" s="238"/>
      <c r="G260" s="238"/>
      <c r="H260" s="238"/>
      <c r="I260" s="238"/>
      <c r="J260" s="238"/>
      <c r="K260" s="238"/>
      <c r="L260" s="238"/>
      <c r="M260" s="238"/>
      <c r="N260" s="238"/>
      <c r="O260" s="238"/>
      <c r="P260" s="238"/>
      <c r="Q260" s="238"/>
      <c r="R260" s="238"/>
      <c r="S260" s="238"/>
      <c r="T260" s="238"/>
      <c r="U260" s="238"/>
      <c r="V260" s="238"/>
      <c r="W260" s="238"/>
    </row>
    <row r="261" spans="1:23" ht="12.75">
      <c r="A261" s="238"/>
      <c r="B261" s="238"/>
      <c r="C261" s="238"/>
      <c r="D261" s="238"/>
      <c r="E261" s="238"/>
      <c r="F261" s="238"/>
      <c r="G261" s="238"/>
      <c r="H261" s="238"/>
      <c r="I261" s="238"/>
      <c r="J261" s="238"/>
      <c r="K261" s="238"/>
      <c r="L261" s="238"/>
      <c r="M261" s="238"/>
      <c r="N261" s="238"/>
      <c r="O261" s="238"/>
      <c r="P261" s="238"/>
      <c r="Q261" s="238"/>
      <c r="R261" s="238"/>
      <c r="S261" s="238"/>
      <c r="T261" s="238"/>
      <c r="U261" s="238"/>
      <c r="V261" s="238"/>
      <c r="W261" s="238"/>
    </row>
    <row r="262" spans="1:23" ht="12.75">
      <c r="A262" s="238"/>
      <c r="B262" s="238"/>
      <c r="C262" s="238"/>
      <c r="D262" s="238"/>
      <c r="E262" s="238"/>
      <c r="F262" s="238"/>
      <c r="G262" s="238"/>
      <c r="H262" s="238"/>
      <c r="I262" s="238"/>
      <c r="J262" s="238"/>
      <c r="K262" s="238"/>
      <c r="L262" s="238"/>
      <c r="M262" s="238"/>
      <c r="N262" s="238"/>
      <c r="O262" s="238"/>
      <c r="P262" s="238"/>
      <c r="Q262" s="238"/>
      <c r="R262" s="238"/>
      <c r="S262" s="238"/>
      <c r="T262" s="238"/>
      <c r="U262" s="238"/>
      <c r="V262" s="238"/>
      <c r="W262" s="238"/>
    </row>
    <row r="263" spans="1:23" ht="12.75">
      <c r="A263" s="238"/>
      <c r="B263" s="238"/>
      <c r="C263" s="238"/>
      <c r="D263" s="238"/>
      <c r="E263" s="238"/>
      <c r="F263" s="238"/>
      <c r="G263" s="238"/>
      <c r="H263" s="238"/>
      <c r="I263" s="238"/>
      <c r="J263" s="238"/>
      <c r="K263" s="238"/>
      <c r="L263" s="238"/>
      <c r="M263" s="238"/>
      <c r="N263" s="238"/>
      <c r="O263" s="238"/>
      <c r="P263" s="238"/>
      <c r="Q263" s="238"/>
      <c r="R263" s="238"/>
      <c r="S263" s="238"/>
      <c r="T263" s="238"/>
      <c r="U263" s="238"/>
      <c r="V263" s="238"/>
      <c r="W263" s="238"/>
    </row>
    <row r="264" spans="1:23" ht="12.75">
      <c r="A264" s="238"/>
      <c r="B264" s="238"/>
      <c r="C264" s="238"/>
      <c r="D264" s="238"/>
      <c r="E264" s="238"/>
      <c r="F264" s="238"/>
      <c r="G264" s="238"/>
      <c r="H264" s="238"/>
      <c r="I264" s="238"/>
      <c r="J264" s="238"/>
      <c r="K264" s="238"/>
      <c r="L264" s="238"/>
      <c r="M264" s="238"/>
      <c r="N264" s="238"/>
      <c r="O264" s="238"/>
      <c r="P264" s="238"/>
      <c r="Q264" s="238"/>
      <c r="R264" s="238"/>
      <c r="S264" s="238"/>
      <c r="T264" s="238"/>
      <c r="U264" s="238"/>
      <c r="V264" s="238"/>
      <c r="W264" s="238"/>
    </row>
    <row r="265" spans="1:23" ht="12.75">
      <c r="A265" s="238"/>
      <c r="B265" s="238"/>
      <c r="C265" s="238"/>
      <c r="D265" s="238"/>
      <c r="E265" s="238"/>
      <c r="F265" s="238"/>
      <c r="G265" s="238"/>
      <c r="H265" s="238"/>
      <c r="I265" s="238"/>
      <c r="J265" s="238"/>
      <c r="K265" s="238"/>
      <c r="L265" s="238"/>
      <c r="M265" s="238"/>
      <c r="N265" s="238"/>
      <c r="O265" s="238"/>
      <c r="P265" s="238"/>
      <c r="Q265" s="238"/>
      <c r="R265" s="238"/>
      <c r="S265" s="238"/>
      <c r="T265" s="238"/>
      <c r="U265" s="238"/>
      <c r="V265" s="238"/>
      <c r="W265" s="238"/>
    </row>
    <row r="266" spans="1:23" ht="12.75">
      <c r="A266" s="238"/>
      <c r="B266" s="238"/>
      <c r="C266" s="238"/>
      <c r="D266" s="238"/>
      <c r="E266" s="238"/>
      <c r="F266" s="238"/>
      <c r="G266" s="238"/>
      <c r="H266" s="238"/>
      <c r="I266" s="238"/>
      <c r="J266" s="238"/>
      <c r="K266" s="238"/>
      <c r="L266" s="238"/>
      <c r="M266" s="238"/>
      <c r="N266" s="238"/>
      <c r="O266" s="238"/>
      <c r="P266" s="238"/>
      <c r="Q266" s="238"/>
      <c r="R266" s="238"/>
      <c r="S266" s="238"/>
      <c r="T266" s="238"/>
      <c r="U266" s="238"/>
      <c r="V266" s="238"/>
      <c r="W266" s="238"/>
    </row>
    <row r="267" spans="1:23" ht="12.75">
      <c r="A267" s="238"/>
      <c r="B267" s="238"/>
      <c r="C267" s="238"/>
      <c r="D267" s="238"/>
      <c r="E267" s="238"/>
      <c r="F267" s="238"/>
      <c r="G267" s="238"/>
      <c r="H267" s="238"/>
      <c r="I267" s="238"/>
      <c r="J267" s="238"/>
      <c r="K267" s="238"/>
      <c r="L267" s="238"/>
      <c r="M267" s="238"/>
      <c r="N267" s="238"/>
      <c r="O267" s="238"/>
      <c r="P267" s="238"/>
      <c r="Q267" s="238"/>
      <c r="R267" s="238"/>
      <c r="S267" s="238"/>
      <c r="T267" s="238"/>
      <c r="U267" s="238"/>
      <c r="V267" s="238"/>
      <c r="W267" s="238"/>
    </row>
    <row r="268" spans="1:23" ht="12.75">
      <c r="A268" s="238"/>
      <c r="B268" s="238"/>
      <c r="C268" s="238"/>
      <c r="D268" s="238"/>
      <c r="E268" s="238"/>
      <c r="F268" s="238"/>
      <c r="G268" s="238"/>
      <c r="H268" s="238"/>
      <c r="I268" s="238"/>
      <c r="J268" s="238"/>
      <c r="K268" s="238"/>
      <c r="L268" s="238"/>
      <c r="M268" s="238"/>
      <c r="N268" s="238"/>
      <c r="O268" s="238"/>
      <c r="P268" s="238"/>
      <c r="Q268" s="238"/>
      <c r="R268" s="238"/>
      <c r="S268" s="238"/>
      <c r="T268" s="238"/>
      <c r="U268" s="238"/>
      <c r="V268" s="238"/>
      <c r="W268" s="238"/>
    </row>
    <row r="269" spans="1:23" ht="12.75">
      <c r="A269" s="238"/>
      <c r="B269" s="238"/>
      <c r="C269" s="238"/>
      <c r="D269" s="238"/>
      <c r="E269" s="238"/>
      <c r="F269" s="238"/>
      <c r="G269" s="238"/>
      <c r="H269" s="238"/>
      <c r="I269" s="238"/>
      <c r="J269" s="238"/>
      <c r="K269" s="238"/>
      <c r="L269" s="238"/>
      <c r="M269" s="238"/>
      <c r="N269" s="238"/>
      <c r="O269" s="238"/>
      <c r="P269" s="238"/>
      <c r="Q269" s="238"/>
      <c r="R269" s="238"/>
      <c r="S269" s="238"/>
      <c r="T269" s="238"/>
      <c r="U269" s="238"/>
      <c r="V269" s="238"/>
      <c r="W269" s="238"/>
    </row>
    <row r="270" spans="1:23" ht="12.75">
      <c r="A270" s="238"/>
      <c r="B270" s="238"/>
      <c r="C270" s="238"/>
      <c r="D270" s="238"/>
      <c r="E270" s="238"/>
      <c r="F270" s="238"/>
      <c r="G270" s="238"/>
      <c r="H270" s="238"/>
      <c r="I270" s="238"/>
      <c r="J270" s="238"/>
      <c r="K270" s="238"/>
      <c r="L270" s="238"/>
      <c r="M270" s="238"/>
      <c r="N270" s="238"/>
      <c r="O270" s="238"/>
      <c r="P270" s="238"/>
      <c r="Q270" s="238"/>
      <c r="R270" s="238"/>
      <c r="S270" s="238"/>
      <c r="T270" s="238"/>
      <c r="U270" s="238"/>
      <c r="V270" s="238"/>
      <c r="W270" s="238"/>
    </row>
    <row r="271" spans="1:23" ht="12.75">
      <c r="A271" s="238"/>
      <c r="B271" s="238"/>
      <c r="C271" s="238"/>
      <c r="D271" s="238"/>
      <c r="E271" s="238"/>
      <c r="F271" s="238"/>
      <c r="G271" s="238"/>
      <c r="H271" s="238"/>
      <c r="I271" s="238"/>
      <c r="J271" s="238"/>
      <c r="K271" s="238"/>
      <c r="L271" s="238"/>
      <c r="M271" s="238"/>
      <c r="N271" s="238"/>
      <c r="O271" s="238"/>
      <c r="P271" s="238"/>
      <c r="Q271" s="238"/>
      <c r="R271" s="238"/>
      <c r="S271" s="238"/>
      <c r="T271" s="238"/>
      <c r="U271" s="238"/>
      <c r="V271" s="238"/>
      <c r="W271" s="238"/>
    </row>
    <row r="272" spans="1:23" ht="12.75">
      <c r="A272" s="238"/>
      <c r="B272" s="238"/>
      <c r="C272" s="238"/>
      <c r="D272" s="238"/>
      <c r="E272" s="238"/>
      <c r="F272" s="238"/>
      <c r="G272" s="238"/>
      <c r="H272" s="238"/>
      <c r="I272" s="238"/>
      <c r="J272" s="238"/>
      <c r="K272" s="238"/>
      <c r="L272" s="238"/>
      <c r="M272" s="238"/>
      <c r="N272" s="238"/>
      <c r="O272" s="238"/>
      <c r="P272" s="238"/>
      <c r="Q272" s="238"/>
      <c r="R272" s="238"/>
      <c r="S272" s="238"/>
      <c r="T272" s="238"/>
      <c r="U272" s="238"/>
      <c r="V272" s="238"/>
      <c r="W272" s="238"/>
    </row>
    <row r="273" spans="1:23" ht="12.75">
      <c r="A273" s="238"/>
      <c r="B273" s="238"/>
      <c r="C273" s="238"/>
      <c r="D273" s="238"/>
      <c r="E273" s="238"/>
      <c r="F273" s="238"/>
      <c r="G273" s="238"/>
      <c r="H273" s="238"/>
      <c r="I273" s="238"/>
      <c r="J273" s="238"/>
      <c r="K273" s="238"/>
      <c r="L273" s="238"/>
      <c r="M273" s="238"/>
      <c r="N273" s="238"/>
      <c r="O273" s="238"/>
      <c r="P273" s="238"/>
      <c r="Q273" s="238"/>
      <c r="R273" s="238"/>
      <c r="S273" s="238"/>
      <c r="T273" s="238"/>
      <c r="U273" s="238"/>
      <c r="V273" s="238"/>
      <c r="W273" s="238"/>
    </row>
    <row r="274" spans="1:23" ht="12.75">
      <c r="A274" s="238"/>
      <c r="B274" s="238"/>
      <c r="C274" s="238"/>
      <c r="D274" s="238"/>
      <c r="E274" s="238"/>
      <c r="F274" s="238"/>
      <c r="G274" s="238"/>
      <c r="H274" s="238"/>
      <c r="I274" s="238"/>
      <c r="J274" s="238"/>
      <c r="K274" s="238"/>
      <c r="L274" s="238"/>
      <c r="M274" s="238"/>
      <c r="N274" s="238"/>
      <c r="O274" s="238"/>
      <c r="P274" s="238"/>
      <c r="Q274" s="238"/>
      <c r="R274" s="238"/>
      <c r="S274" s="238"/>
      <c r="T274" s="238"/>
      <c r="U274" s="238"/>
      <c r="V274" s="238"/>
      <c r="W274" s="238"/>
    </row>
    <row r="275" spans="1:23" ht="12.75">
      <c r="A275" s="238"/>
      <c r="B275" s="238"/>
      <c r="C275" s="238"/>
      <c r="D275" s="238"/>
      <c r="E275" s="238"/>
      <c r="F275" s="238"/>
      <c r="G275" s="238"/>
      <c r="H275" s="238"/>
      <c r="I275" s="238"/>
      <c r="J275" s="238"/>
      <c r="K275" s="238"/>
      <c r="L275" s="238"/>
      <c r="M275" s="238"/>
      <c r="N275" s="238"/>
      <c r="O275" s="238"/>
      <c r="P275" s="238"/>
      <c r="Q275" s="238"/>
      <c r="R275" s="238"/>
      <c r="S275" s="238"/>
      <c r="T275" s="238"/>
      <c r="U275" s="238"/>
      <c r="V275" s="238"/>
      <c r="W275" s="238"/>
    </row>
    <row r="276" spans="1:23" ht="12.75">
      <c r="A276" s="238"/>
      <c r="B276" s="238"/>
      <c r="C276" s="238"/>
      <c r="D276" s="238"/>
      <c r="E276" s="238"/>
      <c r="F276" s="238"/>
      <c r="G276" s="238"/>
      <c r="H276" s="238"/>
      <c r="I276" s="238"/>
      <c r="J276" s="238"/>
      <c r="K276" s="238"/>
      <c r="L276" s="238"/>
      <c r="M276" s="238"/>
      <c r="N276" s="238"/>
      <c r="O276" s="238"/>
      <c r="P276" s="238"/>
      <c r="Q276" s="238"/>
      <c r="R276" s="238"/>
      <c r="S276" s="238"/>
      <c r="T276" s="238"/>
      <c r="U276" s="238"/>
      <c r="V276" s="238"/>
      <c r="W276" s="238"/>
    </row>
    <row r="277" spans="1:23" ht="12.75">
      <c r="A277" s="238"/>
      <c r="B277" s="238"/>
      <c r="C277" s="238"/>
      <c r="D277" s="238"/>
      <c r="E277" s="238"/>
      <c r="F277" s="238"/>
      <c r="G277" s="238"/>
      <c r="H277" s="238"/>
      <c r="I277" s="238"/>
      <c r="J277" s="238"/>
      <c r="K277" s="238"/>
      <c r="L277" s="238"/>
      <c r="M277" s="238"/>
      <c r="N277" s="238"/>
      <c r="O277" s="238"/>
      <c r="P277" s="238"/>
      <c r="Q277" s="238"/>
      <c r="R277" s="238"/>
      <c r="S277" s="238"/>
      <c r="T277" s="238"/>
      <c r="U277" s="238"/>
      <c r="V277" s="238"/>
      <c r="W277" s="238"/>
    </row>
    <row r="278" spans="1:23" ht="12.75">
      <c r="A278" s="238"/>
      <c r="B278" s="238"/>
      <c r="C278" s="238"/>
      <c r="D278" s="238"/>
      <c r="E278" s="238"/>
      <c r="F278" s="238"/>
      <c r="G278" s="238"/>
      <c r="H278" s="238"/>
      <c r="I278" s="238"/>
      <c r="J278" s="238"/>
      <c r="K278" s="238"/>
      <c r="L278" s="238"/>
      <c r="M278" s="238"/>
      <c r="N278" s="238"/>
      <c r="O278" s="238"/>
      <c r="P278" s="238"/>
      <c r="Q278" s="238"/>
      <c r="R278" s="238"/>
      <c r="S278" s="238"/>
      <c r="T278" s="238"/>
      <c r="U278" s="238"/>
      <c r="V278" s="238"/>
      <c r="W278" s="238"/>
    </row>
    <row r="279" spans="1:23" ht="12.75">
      <c r="A279" s="238"/>
      <c r="B279" s="238"/>
      <c r="C279" s="238"/>
      <c r="D279" s="238"/>
      <c r="E279" s="238"/>
      <c r="F279" s="238"/>
      <c r="G279" s="238"/>
      <c r="H279" s="238"/>
      <c r="I279" s="238"/>
      <c r="J279" s="238"/>
      <c r="K279" s="238"/>
      <c r="L279" s="238"/>
      <c r="M279" s="238"/>
      <c r="N279" s="238"/>
      <c r="O279" s="238"/>
      <c r="P279" s="238"/>
      <c r="Q279" s="238"/>
      <c r="R279" s="238"/>
      <c r="S279" s="238"/>
      <c r="T279" s="238"/>
      <c r="U279" s="238"/>
      <c r="V279" s="238"/>
      <c r="W279" s="238"/>
    </row>
    <row r="280" spans="1:23" ht="12.75">
      <c r="A280" s="238"/>
      <c r="B280" s="238"/>
      <c r="C280" s="238"/>
      <c r="D280" s="238"/>
      <c r="E280" s="238"/>
      <c r="F280" s="238"/>
      <c r="G280" s="238"/>
      <c r="H280" s="238"/>
      <c r="I280" s="238"/>
      <c r="J280" s="238"/>
      <c r="K280" s="238"/>
      <c r="L280" s="238"/>
      <c r="M280" s="238"/>
      <c r="N280" s="238"/>
      <c r="O280" s="238"/>
      <c r="P280" s="238"/>
      <c r="Q280" s="238"/>
      <c r="R280" s="238"/>
      <c r="S280" s="238"/>
      <c r="T280" s="238"/>
      <c r="U280" s="238"/>
      <c r="V280" s="238"/>
      <c r="W280" s="238"/>
    </row>
    <row r="281" spans="1:23" ht="12.75">
      <c r="A281" s="238"/>
      <c r="B281" s="238"/>
      <c r="C281" s="238"/>
      <c r="D281" s="238"/>
      <c r="E281" s="238"/>
      <c r="F281" s="238"/>
      <c r="G281" s="238"/>
      <c r="H281" s="238"/>
      <c r="I281" s="238"/>
      <c r="J281" s="238"/>
      <c r="K281" s="238"/>
      <c r="L281" s="238"/>
      <c r="M281" s="238"/>
      <c r="N281" s="238"/>
      <c r="O281" s="238"/>
      <c r="P281" s="238"/>
      <c r="Q281" s="238"/>
      <c r="R281" s="238"/>
      <c r="S281" s="238"/>
      <c r="T281" s="238"/>
      <c r="U281" s="238"/>
      <c r="V281" s="238"/>
      <c r="W281" s="238"/>
    </row>
    <row r="282" spans="1:23" ht="12.75">
      <c r="A282" s="238"/>
      <c r="B282" s="238"/>
      <c r="C282" s="238"/>
      <c r="D282" s="238"/>
      <c r="E282" s="238"/>
      <c r="F282" s="238"/>
      <c r="G282" s="238"/>
      <c r="H282" s="238"/>
      <c r="I282" s="238"/>
      <c r="J282" s="238"/>
      <c r="K282" s="238"/>
      <c r="L282" s="238"/>
      <c r="M282" s="238"/>
      <c r="N282" s="238"/>
      <c r="O282" s="238"/>
      <c r="P282" s="238"/>
      <c r="Q282" s="238"/>
      <c r="R282" s="238"/>
      <c r="S282" s="238"/>
      <c r="T282" s="238"/>
      <c r="U282" s="238"/>
      <c r="V282" s="238"/>
      <c r="W282" s="238"/>
    </row>
    <row r="283" spans="1:23" ht="12.75">
      <c r="A283" s="238"/>
      <c r="B283" s="238"/>
      <c r="C283" s="238"/>
      <c r="D283" s="238"/>
      <c r="E283" s="238"/>
      <c r="F283" s="238"/>
      <c r="G283" s="238"/>
      <c r="H283" s="238"/>
      <c r="I283" s="238"/>
      <c r="J283" s="238"/>
      <c r="K283" s="238"/>
      <c r="L283" s="238"/>
      <c r="M283" s="238"/>
      <c r="N283" s="238"/>
      <c r="O283" s="238"/>
      <c r="P283" s="238"/>
      <c r="Q283" s="238"/>
      <c r="R283" s="238"/>
      <c r="S283" s="238"/>
      <c r="T283" s="238"/>
      <c r="U283" s="238"/>
      <c r="V283" s="238"/>
      <c r="W283" s="238"/>
    </row>
    <row r="284" spans="1:23" ht="12.75">
      <c r="A284" s="238"/>
      <c r="B284" s="238"/>
      <c r="C284" s="238"/>
      <c r="D284" s="238"/>
      <c r="E284" s="238"/>
      <c r="F284" s="238"/>
      <c r="G284" s="238"/>
      <c r="H284" s="238"/>
      <c r="I284" s="238"/>
      <c r="J284" s="238"/>
      <c r="K284" s="238"/>
      <c r="L284" s="238"/>
      <c r="M284" s="238"/>
      <c r="N284" s="238"/>
      <c r="O284" s="238"/>
      <c r="P284" s="238"/>
      <c r="Q284" s="238"/>
      <c r="R284" s="238"/>
      <c r="S284" s="238"/>
      <c r="T284" s="238"/>
      <c r="U284" s="238"/>
      <c r="V284" s="238"/>
      <c r="W284" s="238"/>
    </row>
    <row r="285" spans="1:23" ht="12.75">
      <c r="A285" s="238"/>
      <c r="B285" s="238"/>
      <c r="C285" s="238"/>
      <c r="D285" s="238"/>
      <c r="E285" s="238"/>
      <c r="F285" s="238"/>
      <c r="G285" s="238"/>
      <c r="H285" s="238"/>
      <c r="I285" s="238"/>
      <c r="J285" s="238"/>
      <c r="K285" s="238"/>
      <c r="L285" s="238"/>
      <c r="M285" s="238"/>
      <c r="N285" s="238"/>
      <c r="O285" s="238"/>
      <c r="P285" s="238"/>
      <c r="Q285" s="238"/>
      <c r="R285" s="238"/>
      <c r="S285" s="238"/>
      <c r="T285" s="238"/>
      <c r="U285" s="238"/>
      <c r="V285" s="238"/>
      <c r="W285" s="238"/>
    </row>
    <row r="286" spans="1:23" ht="12.75">
      <c r="A286" s="238"/>
      <c r="B286" s="238"/>
      <c r="C286" s="238"/>
      <c r="D286" s="238"/>
      <c r="E286" s="238"/>
      <c r="F286" s="238"/>
      <c r="G286" s="238"/>
      <c r="H286" s="238"/>
      <c r="I286" s="238"/>
      <c r="J286" s="238"/>
      <c r="K286" s="238"/>
      <c r="L286" s="238"/>
      <c r="M286" s="238"/>
      <c r="N286" s="238"/>
      <c r="O286" s="238"/>
      <c r="P286" s="238"/>
      <c r="Q286" s="238"/>
      <c r="R286" s="238"/>
      <c r="S286" s="238"/>
      <c r="T286" s="238"/>
      <c r="U286" s="238"/>
      <c r="V286" s="238"/>
      <c r="W286" s="238"/>
    </row>
    <row r="287" spans="1:23" ht="12.75">
      <c r="A287" s="238"/>
      <c r="B287" s="238"/>
      <c r="C287" s="238"/>
      <c r="D287" s="238"/>
      <c r="E287" s="238"/>
      <c r="F287" s="238"/>
      <c r="G287" s="238"/>
      <c r="H287" s="238"/>
      <c r="I287" s="238"/>
      <c r="J287" s="238"/>
      <c r="K287" s="238"/>
      <c r="L287" s="238"/>
      <c r="M287" s="238"/>
      <c r="N287" s="238"/>
      <c r="O287" s="238"/>
      <c r="P287" s="238"/>
      <c r="Q287" s="238"/>
      <c r="R287" s="238"/>
      <c r="S287" s="238"/>
      <c r="T287" s="238"/>
      <c r="U287" s="238"/>
      <c r="V287" s="238"/>
      <c r="W287" s="238"/>
    </row>
    <row r="288" spans="1:23" ht="12.75">
      <c r="A288" s="238"/>
      <c r="B288" s="238"/>
      <c r="C288" s="238"/>
      <c r="D288" s="238"/>
      <c r="E288" s="238"/>
      <c r="F288" s="238"/>
      <c r="G288" s="238"/>
      <c r="H288" s="238"/>
      <c r="I288" s="238"/>
      <c r="J288" s="238"/>
      <c r="K288" s="238"/>
      <c r="L288" s="238"/>
      <c r="M288" s="238"/>
      <c r="N288" s="238"/>
      <c r="O288" s="238"/>
      <c r="P288" s="238"/>
      <c r="Q288" s="238"/>
      <c r="R288" s="238"/>
      <c r="S288" s="238"/>
      <c r="T288" s="238"/>
      <c r="U288" s="238"/>
      <c r="V288" s="238"/>
      <c r="W288" s="238"/>
    </row>
    <row r="289" spans="1:23" ht="12.75">
      <c r="A289" s="238"/>
      <c r="B289" s="238"/>
      <c r="C289" s="238"/>
      <c r="D289" s="238"/>
      <c r="E289" s="238"/>
      <c r="F289" s="238"/>
      <c r="G289" s="238"/>
      <c r="H289" s="238"/>
      <c r="I289" s="238"/>
      <c r="J289" s="238"/>
      <c r="K289" s="238"/>
      <c r="L289" s="238"/>
      <c r="M289" s="238"/>
      <c r="N289" s="238"/>
      <c r="O289" s="238"/>
      <c r="P289" s="238"/>
      <c r="Q289" s="238"/>
      <c r="R289" s="238"/>
      <c r="S289" s="238"/>
      <c r="T289" s="238"/>
      <c r="U289" s="238"/>
      <c r="V289" s="238"/>
      <c r="W289" s="238"/>
    </row>
    <row r="290" spans="1:23" ht="12.75">
      <c r="A290" s="238"/>
      <c r="B290" s="238"/>
      <c r="C290" s="238"/>
      <c r="D290" s="238"/>
      <c r="E290" s="238"/>
      <c r="F290" s="238"/>
      <c r="G290" s="238"/>
      <c r="H290" s="238"/>
      <c r="I290" s="238"/>
      <c r="J290" s="238"/>
      <c r="K290" s="238"/>
      <c r="L290" s="238"/>
      <c r="M290" s="238"/>
      <c r="N290" s="238"/>
      <c r="O290" s="238"/>
      <c r="P290" s="238"/>
      <c r="Q290" s="238"/>
      <c r="R290" s="238"/>
      <c r="S290" s="238"/>
      <c r="T290" s="238"/>
      <c r="U290" s="238"/>
      <c r="V290" s="238"/>
      <c r="W290" s="238"/>
    </row>
    <row r="291" spans="1:23" ht="12.75">
      <c r="A291" s="238"/>
      <c r="B291" s="238"/>
      <c r="C291" s="238"/>
      <c r="D291" s="238"/>
      <c r="E291" s="238"/>
      <c r="F291" s="238"/>
      <c r="G291" s="238"/>
      <c r="H291" s="238"/>
      <c r="I291" s="238"/>
      <c r="J291" s="238"/>
      <c r="K291" s="238"/>
      <c r="L291" s="238"/>
      <c r="M291" s="238"/>
      <c r="N291" s="238"/>
      <c r="O291" s="238"/>
      <c r="P291" s="238"/>
      <c r="Q291" s="238"/>
      <c r="R291" s="238"/>
      <c r="S291" s="238"/>
      <c r="T291" s="238"/>
      <c r="U291" s="238"/>
      <c r="V291" s="238"/>
      <c r="W291" s="238"/>
    </row>
    <row r="292" spans="1:23" ht="12.75">
      <c r="A292" s="238"/>
      <c r="B292" s="238"/>
      <c r="C292" s="238"/>
      <c r="D292" s="238"/>
      <c r="E292" s="238"/>
      <c r="F292" s="238"/>
      <c r="G292" s="238"/>
      <c r="H292" s="238"/>
      <c r="I292" s="238"/>
      <c r="J292" s="238"/>
      <c r="K292" s="238"/>
      <c r="L292" s="238"/>
      <c r="M292" s="238"/>
      <c r="N292" s="238"/>
      <c r="O292" s="238"/>
      <c r="P292" s="238"/>
      <c r="Q292" s="238"/>
      <c r="R292" s="238"/>
      <c r="S292" s="238"/>
      <c r="T292" s="238"/>
      <c r="U292" s="238"/>
      <c r="V292" s="238"/>
      <c r="W292" s="238"/>
    </row>
    <row r="293" spans="1:23" ht="12.75">
      <c r="A293" s="238"/>
      <c r="B293" s="238"/>
      <c r="C293" s="238"/>
      <c r="D293" s="238"/>
      <c r="E293" s="238"/>
      <c r="F293" s="238"/>
      <c r="G293" s="238"/>
      <c r="H293" s="238"/>
      <c r="I293" s="238"/>
      <c r="J293" s="238"/>
      <c r="K293" s="238"/>
      <c r="L293" s="238"/>
      <c r="M293" s="238"/>
      <c r="N293" s="238"/>
      <c r="O293" s="238"/>
      <c r="P293" s="238"/>
      <c r="Q293" s="238"/>
      <c r="R293" s="238"/>
      <c r="S293" s="238"/>
      <c r="T293" s="238"/>
      <c r="U293" s="238"/>
      <c r="V293" s="238"/>
      <c r="W293" s="238"/>
    </row>
    <row r="294" spans="1:23" ht="12.75">
      <c r="A294" s="238"/>
      <c r="B294" s="238"/>
      <c r="C294" s="238"/>
      <c r="D294" s="238"/>
      <c r="E294" s="238"/>
      <c r="F294" s="238"/>
      <c r="G294" s="238"/>
      <c r="H294" s="238"/>
      <c r="I294" s="238"/>
      <c r="J294" s="238"/>
      <c r="K294" s="238"/>
      <c r="L294" s="238"/>
      <c r="M294" s="238"/>
      <c r="N294" s="238"/>
      <c r="O294" s="238"/>
      <c r="P294" s="238"/>
      <c r="Q294" s="238"/>
      <c r="R294" s="238"/>
      <c r="S294" s="238"/>
      <c r="T294" s="238"/>
      <c r="U294" s="238"/>
      <c r="V294" s="238"/>
      <c r="W294" s="238"/>
    </row>
    <row r="295" spans="1:23" ht="12.75">
      <c r="A295" s="238"/>
      <c r="B295" s="238"/>
      <c r="C295" s="238"/>
      <c r="D295" s="238"/>
      <c r="E295" s="238"/>
      <c r="F295" s="238"/>
      <c r="G295" s="238"/>
      <c r="H295" s="238"/>
      <c r="I295" s="238"/>
      <c r="J295" s="238"/>
      <c r="K295" s="238"/>
      <c r="L295" s="238"/>
      <c r="M295" s="238"/>
      <c r="N295" s="238"/>
      <c r="O295" s="238"/>
      <c r="P295" s="238"/>
      <c r="Q295" s="238"/>
      <c r="R295" s="238"/>
      <c r="S295" s="238"/>
      <c r="T295" s="238"/>
      <c r="U295" s="238"/>
      <c r="V295" s="238"/>
      <c r="W295" s="238"/>
    </row>
    <row r="296" spans="1:23" ht="12.75">
      <c r="A296" s="238"/>
      <c r="B296" s="238"/>
      <c r="C296" s="238"/>
      <c r="D296" s="238"/>
      <c r="E296" s="238"/>
      <c r="F296" s="238"/>
      <c r="G296" s="238"/>
      <c r="H296" s="238"/>
      <c r="I296" s="238"/>
      <c r="J296" s="238"/>
      <c r="K296" s="238"/>
      <c r="L296" s="238"/>
      <c r="M296" s="238"/>
      <c r="N296" s="238"/>
      <c r="O296" s="238"/>
      <c r="P296" s="238"/>
      <c r="Q296" s="238"/>
      <c r="R296" s="238"/>
      <c r="S296" s="238"/>
      <c r="T296" s="238"/>
      <c r="U296" s="238"/>
      <c r="V296" s="238"/>
      <c r="W296" s="238"/>
    </row>
    <row r="297" spans="1:23" ht="12.75">
      <c r="A297" s="238"/>
      <c r="B297" s="238"/>
      <c r="C297" s="238"/>
      <c r="D297" s="238"/>
      <c r="E297" s="238"/>
      <c r="F297" s="238"/>
      <c r="G297" s="238"/>
      <c r="H297" s="238"/>
      <c r="I297" s="238"/>
      <c r="J297" s="238"/>
      <c r="K297" s="238"/>
      <c r="L297" s="238"/>
      <c r="M297" s="238"/>
      <c r="N297" s="238"/>
      <c r="O297" s="238"/>
      <c r="P297" s="238"/>
      <c r="Q297" s="238"/>
      <c r="R297" s="238"/>
      <c r="S297" s="238"/>
      <c r="T297" s="238"/>
      <c r="U297" s="238"/>
      <c r="V297" s="238"/>
      <c r="W297" s="238"/>
    </row>
    <row r="298" spans="1:23" ht="12.75">
      <c r="A298" s="238"/>
      <c r="B298" s="238"/>
      <c r="C298" s="238"/>
      <c r="D298" s="238"/>
      <c r="E298" s="238"/>
      <c r="F298" s="238"/>
      <c r="G298" s="238"/>
      <c r="H298" s="238"/>
      <c r="I298" s="238"/>
      <c r="J298" s="238"/>
      <c r="K298" s="238"/>
      <c r="L298" s="238"/>
      <c r="M298" s="238"/>
      <c r="N298" s="238"/>
      <c r="O298" s="238"/>
      <c r="P298" s="238"/>
      <c r="Q298" s="238"/>
      <c r="R298" s="238"/>
      <c r="S298" s="238"/>
      <c r="T298" s="238"/>
      <c r="U298" s="238"/>
      <c r="V298" s="238"/>
      <c r="W298" s="238"/>
    </row>
    <row r="299" spans="1:23" ht="12.75">
      <c r="A299" s="238"/>
      <c r="B299" s="238"/>
      <c r="C299" s="238"/>
      <c r="D299" s="238"/>
      <c r="E299" s="238"/>
      <c r="F299" s="238"/>
      <c r="G299" s="238"/>
      <c r="H299" s="238"/>
      <c r="I299" s="238"/>
      <c r="J299" s="238"/>
      <c r="K299" s="238"/>
      <c r="L299" s="238"/>
      <c r="M299" s="238"/>
      <c r="N299" s="238"/>
      <c r="O299" s="238"/>
      <c r="P299" s="238"/>
      <c r="Q299" s="238"/>
      <c r="R299" s="238"/>
      <c r="S299" s="238"/>
      <c r="T299" s="238"/>
      <c r="U299" s="238"/>
      <c r="V299" s="238"/>
      <c r="W299" s="238"/>
    </row>
    <row r="300" spans="1:23" ht="12.75">
      <c r="A300" s="238"/>
      <c r="B300" s="238"/>
      <c r="C300" s="238"/>
      <c r="D300" s="238"/>
      <c r="E300" s="238"/>
      <c r="F300" s="238"/>
      <c r="G300" s="238"/>
      <c r="H300" s="238"/>
      <c r="I300" s="238"/>
      <c r="J300" s="238"/>
      <c r="K300" s="238"/>
      <c r="L300" s="238"/>
      <c r="M300" s="238"/>
      <c r="N300" s="238"/>
      <c r="O300" s="238"/>
      <c r="P300" s="238"/>
      <c r="Q300" s="238"/>
      <c r="R300" s="238"/>
      <c r="S300" s="238"/>
      <c r="T300" s="238"/>
      <c r="U300" s="238"/>
      <c r="V300" s="238"/>
      <c r="W300" s="238"/>
    </row>
    <row r="301" spans="1:23" ht="12.75">
      <c r="A301" s="238"/>
      <c r="B301" s="238"/>
      <c r="C301" s="238"/>
      <c r="D301" s="238"/>
      <c r="E301" s="238"/>
      <c r="F301" s="238"/>
      <c r="G301" s="238"/>
      <c r="H301" s="238"/>
      <c r="I301" s="238"/>
      <c r="J301" s="238"/>
      <c r="K301" s="238"/>
      <c r="L301" s="238"/>
      <c r="M301" s="238"/>
      <c r="N301" s="238"/>
      <c r="O301" s="238"/>
      <c r="P301" s="238"/>
      <c r="Q301" s="238"/>
      <c r="R301" s="238"/>
      <c r="S301" s="238"/>
      <c r="T301" s="238"/>
      <c r="U301" s="238"/>
      <c r="V301" s="238"/>
      <c r="W301" s="238"/>
    </row>
    <row r="302" spans="1:23" ht="12.75">
      <c r="A302" s="238"/>
      <c r="B302" s="238"/>
      <c r="C302" s="238"/>
      <c r="D302" s="238"/>
      <c r="E302" s="238"/>
      <c r="F302" s="238"/>
      <c r="G302" s="238"/>
      <c r="H302" s="238"/>
      <c r="I302" s="238"/>
      <c r="J302" s="238"/>
      <c r="K302" s="238"/>
      <c r="L302" s="238"/>
      <c r="M302" s="238"/>
      <c r="N302" s="238"/>
      <c r="O302" s="238"/>
      <c r="P302" s="238"/>
      <c r="Q302" s="238"/>
      <c r="R302" s="238"/>
      <c r="S302" s="238"/>
      <c r="T302" s="238"/>
      <c r="U302" s="238"/>
      <c r="V302" s="238"/>
      <c r="W302" s="238"/>
    </row>
    <row r="303" spans="1:23" ht="12.75">
      <c r="A303" s="238"/>
      <c r="B303" s="238"/>
      <c r="C303" s="238"/>
      <c r="D303" s="238"/>
      <c r="E303" s="238"/>
      <c r="F303" s="238"/>
      <c r="G303" s="238"/>
      <c r="H303" s="238"/>
      <c r="I303" s="238"/>
      <c r="J303" s="238"/>
      <c r="K303" s="238"/>
      <c r="L303" s="238"/>
      <c r="M303" s="238"/>
      <c r="N303" s="238"/>
      <c r="O303" s="238"/>
      <c r="P303" s="238"/>
      <c r="Q303" s="238"/>
      <c r="R303" s="238"/>
      <c r="S303" s="238"/>
      <c r="T303" s="238"/>
      <c r="U303" s="238"/>
      <c r="V303" s="238"/>
      <c r="W303" s="238"/>
    </row>
    <row r="304" spans="1:23" ht="12.75">
      <c r="A304" s="238"/>
      <c r="B304" s="238"/>
      <c r="C304" s="238"/>
      <c r="D304" s="238"/>
      <c r="E304" s="238"/>
      <c r="F304" s="238"/>
      <c r="G304" s="238"/>
      <c r="H304" s="238"/>
      <c r="I304" s="238"/>
      <c r="J304" s="238"/>
      <c r="K304" s="238"/>
      <c r="L304" s="238"/>
      <c r="M304" s="238"/>
      <c r="N304" s="238"/>
      <c r="O304" s="238"/>
      <c r="P304" s="238"/>
      <c r="Q304" s="238"/>
      <c r="R304" s="238"/>
      <c r="S304" s="238"/>
      <c r="T304" s="238"/>
      <c r="U304" s="238"/>
      <c r="V304" s="238"/>
      <c r="W304" s="238"/>
    </row>
    <row r="305" spans="1:23" ht="12.75">
      <c r="A305" s="238"/>
      <c r="B305" s="238"/>
      <c r="C305" s="238"/>
      <c r="D305" s="238"/>
      <c r="E305" s="238"/>
      <c r="F305" s="238"/>
      <c r="G305" s="238"/>
      <c r="H305" s="238"/>
      <c r="I305" s="238"/>
      <c r="J305" s="238"/>
      <c r="K305" s="238"/>
      <c r="L305" s="238"/>
      <c r="M305" s="238"/>
      <c r="N305" s="238"/>
      <c r="O305" s="238"/>
      <c r="P305" s="238"/>
      <c r="Q305" s="238"/>
      <c r="R305" s="238"/>
      <c r="S305" s="238"/>
      <c r="T305" s="238"/>
      <c r="U305" s="238"/>
      <c r="V305" s="238"/>
      <c r="W305" s="238"/>
    </row>
    <row r="306" spans="1:23" ht="12.75">
      <c r="A306" s="238"/>
      <c r="B306" s="238"/>
      <c r="C306" s="238"/>
      <c r="D306" s="238"/>
      <c r="E306" s="238"/>
      <c r="F306" s="238"/>
      <c r="G306" s="238"/>
      <c r="H306" s="238"/>
      <c r="I306" s="238"/>
      <c r="J306" s="238"/>
      <c r="K306" s="238"/>
      <c r="L306" s="238"/>
      <c r="M306" s="238"/>
      <c r="N306" s="238"/>
      <c r="O306" s="238"/>
      <c r="P306" s="238"/>
      <c r="Q306" s="238"/>
      <c r="R306" s="238"/>
      <c r="S306" s="238"/>
      <c r="T306" s="238"/>
      <c r="U306" s="238"/>
      <c r="V306" s="238"/>
      <c r="W306" s="238"/>
    </row>
    <row r="307" spans="1:23" ht="12.75">
      <c r="A307" s="238"/>
      <c r="B307" s="238"/>
      <c r="C307" s="238"/>
      <c r="D307" s="238"/>
      <c r="E307" s="238"/>
      <c r="F307" s="238"/>
      <c r="G307" s="238"/>
      <c r="H307" s="238"/>
      <c r="I307" s="238"/>
      <c r="J307" s="238"/>
      <c r="K307" s="238"/>
      <c r="L307" s="238"/>
      <c r="M307" s="238"/>
      <c r="N307" s="238"/>
      <c r="O307" s="238"/>
      <c r="P307" s="238"/>
      <c r="Q307" s="238"/>
      <c r="R307" s="238"/>
      <c r="S307" s="238"/>
      <c r="T307" s="238"/>
      <c r="U307" s="238"/>
      <c r="V307" s="238"/>
      <c r="W307" s="238"/>
    </row>
    <row r="308" spans="1:23" ht="12.75">
      <c r="A308" s="238"/>
      <c r="B308" s="238"/>
      <c r="C308" s="238"/>
      <c r="D308" s="238"/>
      <c r="E308" s="238"/>
      <c r="F308" s="238"/>
      <c r="G308" s="238"/>
      <c r="H308" s="238"/>
      <c r="I308" s="238"/>
      <c r="J308" s="238"/>
      <c r="K308" s="238"/>
      <c r="L308" s="238"/>
      <c r="M308" s="238"/>
      <c r="N308" s="238"/>
      <c r="O308" s="238"/>
      <c r="P308" s="238"/>
      <c r="Q308" s="238"/>
      <c r="R308" s="238"/>
      <c r="S308" s="238"/>
      <c r="T308" s="238"/>
      <c r="U308" s="238"/>
      <c r="V308" s="238"/>
      <c r="W308" s="238"/>
    </row>
    <row r="309" spans="1:23" ht="12.75">
      <c r="A309" s="238"/>
      <c r="B309" s="238"/>
      <c r="C309" s="238"/>
      <c r="D309" s="238"/>
      <c r="E309" s="238"/>
      <c r="F309" s="238"/>
      <c r="G309" s="238"/>
      <c r="H309" s="238"/>
      <c r="I309" s="238"/>
      <c r="J309" s="238"/>
      <c r="K309" s="238"/>
      <c r="L309" s="238"/>
      <c r="M309" s="238"/>
      <c r="N309" s="238"/>
      <c r="O309" s="238"/>
      <c r="P309" s="238"/>
      <c r="Q309" s="238"/>
      <c r="R309" s="238"/>
      <c r="S309" s="238"/>
      <c r="T309" s="238"/>
      <c r="U309" s="238"/>
      <c r="V309" s="238"/>
      <c r="W309" s="238"/>
    </row>
    <row r="310" spans="1:23" ht="12.75">
      <c r="A310" s="238"/>
      <c r="B310" s="238"/>
      <c r="C310" s="238"/>
      <c r="D310" s="238"/>
      <c r="E310" s="238"/>
      <c r="F310" s="238"/>
      <c r="G310" s="238"/>
      <c r="H310" s="238"/>
      <c r="I310" s="238"/>
      <c r="J310" s="238"/>
      <c r="K310" s="238"/>
      <c r="L310" s="238"/>
      <c r="M310" s="238"/>
      <c r="N310" s="238"/>
      <c r="O310" s="238"/>
      <c r="P310" s="238"/>
      <c r="Q310" s="238"/>
      <c r="R310" s="238"/>
      <c r="S310" s="238"/>
      <c r="T310" s="238"/>
      <c r="U310" s="238"/>
      <c r="V310" s="238"/>
      <c r="W310" s="238"/>
    </row>
    <row r="311" spans="1:23" ht="12.75">
      <c r="A311" s="238"/>
      <c r="B311" s="238"/>
      <c r="C311" s="238"/>
      <c r="D311" s="238"/>
      <c r="E311" s="238"/>
      <c r="F311" s="238"/>
      <c r="G311" s="238"/>
      <c r="H311" s="238"/>
      <c r="I311" s="238"/>
      <c r="J311" s="238"/>
      <c r="K311" s="238"/>
      <c r="L311" s="238"/>
      <c r="M311" s="238"/>
      <c r="N311" s="238"/>
      <c r="O311" s="238"/>
      <c r="P311" s="238"/>
      <c r="Q311" s="238"/>
      <c r="R311" s="238"/>
      <c r="S311" s="238"/>
      <c r="T311" s="238"/>
      <c r="U311" s="238"/>
      <c r="V311" s="238"/>
      <c r="W311" s="238"/>
    </row>
    <row r="312" spans="1:23" ht="12.75">
      <c r="A312" s="238"/>
      <c r="B312" s="238"/>
      <c r="C312" s="238"/>
      <c r="D312" s="238"/>
      <c r="E312" s="238"/>
      <c r="F312" s="238"/>
      <c r="G312" s="238"/>
      <c r="H312" s="238"/>
      <c r="I312" s="238"/>
      <c r="J312" s="238"/>
      <c r="K312" s="238"/>
      <c r="L312" s="238"/>
      <c r="M312" s="238"/>
      <c r="N312" s="238"/>
      <c r="O312" s="238"/>
      <c r="P312" s="238"/>
      <c r="Q312" s="238"/>
      <c r="R312" s="238"/>
      <c r="S312" s="238"/>
      <c r="T312" s="238"/>
      <c r="U312" s="238"/>
      <c r="V312" s="238"/>
      <c r="W312" s="238"/>
    </row>
    <row r="313" spans="1:23" ht="12.75">
      <c r="A313" s="238"/>
      <c r="B313" s="238"/>
      <c r="C313" s="238"/>
      <c r="D313" s="238"/>
      <c r="E313" s="238"/>
      <c r="F313" s="238"/>
      <c r="G313" s="238"/>
      <c r="H313" s="238"/>
      <c r="I313" s="238"/>
      <c r="J313" s="238"/>
      <c r="K313" s="238"/>
      <c r="L313" s="238"/>
      <c r="M313" s="238"/>
      <c r="N313" s="238"/>
      <c r="O313" s="238"/>
      <c r="P313" s="238"/>
      <c r="Q313" s="238"/>
      <c r="R313" s="238"/>
      <c r="S313" s="238"/>
      <c r="T313" s="238"/>
      <c r="U313" s="238"/>
      <c r="V313" s="238"/>
      <c r="W313" s="238"/>
    </row>
    <row r="314" spans="1:23" ht="12.75">
      <c r="A314" s="238"/>
      <c r="B314" s="238"/>
      <c r="C314" s="238"/>
      <c r="D314" s="238"/>
      <c r="E314" s="238"/>
      <c r="F314" s="238"/>
      <c r="G314" s="238"/>
      <c r="H314" s="238"/>
      <c r="I314" s="238"/>
      <c r="J314" s="238"/>
      <c r="K314" s="238"/>
      <c r="L314" s="238"/>
      <c r="M314" s="238"/>
      <c r="N314" s="238"/>
      <c r="O314" s="238"/>
      <c r="P314" s="238"/>
      <c r="Q314" s="238"/>
      <c r="R314" s="238"/>
      <c r="S314" s="238"/>
      <c r="T314" s="238"/>
      <c r="U314" s="238"/>
      <c r="V314" s="238"/>
      <c r="W314" s="238"/>
    </row>
    <row r="315" spans="1:23" ht="12.75">
      <c r="A315" s="238"/>
      <c r="B315" s="238"/>
      <c r="C315" s="238"/>
      <c r="D315" s="238"/>
      <c r="E315" s="238"/>
      <c r="F315" s="238"/>
      <c r="G315" s="238"/>
      <c r="H315" s="238"/>
      <c r="I315" s="238"/>
      <c r="J315" s="238"/>
      <c r="K315" s="238"/>
      <c r="L315" s="238"/>
      <c r="M315" s="238"/>
      <c r="N315" s="238"/>
      <c r="O315" s="238"/>
      <c r="P315" s="238"/>
      <c r="Q315" s="238"/>
      <c r="R315" s="238"/>
      <c r="S315" s="238"/>
      <c r="T315" s="238"/>
      <c r="U315" s="238"/>
      <c r="V315" s="238"/>
      <c r="W315" s="238"/>
    </row>
    <row r="316" spans="1:23" ht="12.75">
      <c r="A316" s="238"/>
      <c r="B316" s="238"/>
      <c r="C316" s="238"/>
      <c r="D316" s="238"/>
      <c r="E316" s="238"/>
      <c r="F316" s="238"/>
      <c r="G316" s="238"/>
      <c r="H316" s="238"/>
      <c r="I316" s="238"/>
      <c r="J316" s="238"/>
      <c r="K316" s="238"/>
      <c r="L316" s="238"/>
      <c r="M316" s="238"/>
      <c r="N316" s="238"/>
      <c r="O316" s="238"/>
      <c r="P316" s="238"/>
      <c r="Q316" s="238"/>
      <c r="R316" s="238"/>
      <c r="S316" s="238"/>
      <c r="T316" s="238"/>
      <c r="U316" s="238"/>
      <c r="V316" s="238"/>
      <c r="W316" s="238"/>
    </row>
    <row r="317" spans="1:23" ht="12.75">
      <c r="A317" s="238"/>
      <c r="B317" s="238"/>
      <c r="C317" s="238"/>
      <c r="D317" s="238"/>
      <c r="E317" s="238"/>
      <c r="F317" s="238"/>
      <c r="G317" s="238"/>
      <c r="H317" s="238"/>
      <c r="I317" s="238"/>
      <c r="J317" s="238"/>
      <c r="K317" s="238"/>
      <c r="L317" s="238"/>
      <c r="M317" s="238"/>
      <c r="N317" s="238"/>
      <c r="O317" s="238"/>
      <c r="P317" s="238"/>
      <c r="Q317" s="238"/>
      <c r="R317" s="238"/>
      <c r="S317" s="238"/>
      <c r="T317" s="238"/>
      <c r="U317" s="238"/>
      <c r="V317" s="238"/>
      <c r="W317" s="238"/>
    </row>
    <row r="318" spans="1:23" ht="12.75">
      <c r="A318" s="238"/>
      <c r="B318" s="238"/>
      <c r="C318" s="238"/>
      <c r="D318" s="238"/>
      <c r="E318" s="238"/>
      <c r="F318" s="238"/>
      <c r="G318" s="238"/>
      <c r="H318" s="238"/>
      <c r="I318" s="238"/>
      <c r="J318" s="238"/>
      <c r="K318" s="238"/>
      <c r="L318" s="238"/>
      <c r="M318" s="238"/>
      <c r="N318" s="238"/>
      <c r="O318" s="238"/>
      <c r="P318" s="238"/>
      <c r="Q318" s="238"/>
      <c r="R318" s="238"/>
      <c r="S318" s="238"/>
      <c r="T318" s="238"/>
      <c r="U318" s="238"/>
      <c r="V318" s="238"/>
      <c r="W318" s="238"/>
    </row>
    <row r="319" spans="1:23" ht="12.75">
      <c r="A319" s="238"/>
      <c r="B319" s="238"/>
      <c r="C319" s="238"/>
      <c r="D319" s="238"/>
      <c r="E319" s="238"/>
      <c r="F319" s="238"/>
      <c r="G319" s="238"/>
      <c r="H319" s="238"/>
      <c r="I319" s="238"/>
      <c r="J319" s="238"/>
      <c r="K319" s="238"/>
      <c r="L319" s="238"/>
      <c r="M319" s="238"/>
      <c r="N319" s="238"/>
      <c r="O319" s="238"/>
      <c r="P319" s="238"/>
      <c r="Q319" s="238"/>
      <c r="R319" s="238"/>
      <c r="S319" s="238"/>
      <c r="T319" s="238"/>
      <c r="U319" s="238"/>
      <c r="V319" s="238"/>
      <c r="W319" s="238"/>
    </row>
    <row r="320" spans="1:23" ht="12.75">
      <c r="A320" s="238"/>
      <c r="B320" s="238"/>
      <c r="C320" s="238"/>
      <c r="D320" s="238"/>
      <c r="E320" s="238"/>
      <c r="F320" s="238"/>
      <c r="G320" s="238"/>
      <c r="H320" s="238"/>
      <c r="I320" s="238"/>
      <c r="J320" s="238"/>
      <c r="K320" s="238"/>
      <c r="L320" s="238"/>
      <c r="M320" s="238"/>
      <c r="N320" s="238"/>
      <c r="O320" s="238"/>
      <c r="P320" s="238"/>
      <c r="Q320" s="238"/>
      <c r="R320" s="238"/>
      <c r="S320" s="238"/>
      <c r="T320" s="238"/>
      <c r="U320" s="238"/>
      <c r="V320" s="238"/>
      <c r="W320" s="238"/>
    </row>
    <row r="321" spans="1:23" ht="12.75">
      <c r="A321" s="238"/>
      <c r="B321" s="238"/>
      <c r="C321" s="238"/>
      <c r="D321" s="238"/>
      <c r="E321" s="238"/>
      <c r="F321" s="238"/>
      <c r="G321" s="238"/>
      <c r="H321" s="238"/>
      <c r="I321" s="238"/>
      <c r="J321" s="238"/>
      <c r="K321" s="238"/>
      <c r="L321" s="238"/>
      <c r="M321" s="238"/>
      <c r="N321" s="238"/>
      <c r="O321" s="238"/>
      <c r="P321" s="238"/>
      <c r="Q321" s="238"/>
      <c r="R321" s="238"/>
      <c r="S321" s="238"/>
      <c r="T321" s="238"/>
      <c r="U321" s="238"/>
      <c r="V321" s="238"/>
      <c r="W321" s="238"/>
    </row>
    <row r="322" spans="1:23" ht="12.75">
      <c r="A322" s="238"/>
      <c r="B322" s="238"/>
      <c r="C322" s="238"/>
      <c r="D322" s="238"/>
      <c r="E322" s="238"/>
      <c r="F322" s="238"/>
      <c r="G322" s="238"/>
      <c r="H322" s="238"/>
      <c r="I322" s="238"/>
      <c r="J322" s="238"/>
      <c r="K322" s="238"/>
      <c r="L322" s="238"/>
      <c r="M322" s="238"/>
      <c r="N322" s="238"/>
      <c r="O322" s="238"/>
      <c r="P322" s="238"/>
      <c r="Q322" s="238"/>
      <c r="R322" s="238"/>
      <c r="S322" s="238"/>
      <c r="T322" s="238"/>
      <c r="U322" s="238"/>
      <c r="V322" s="238"/>
      <c r="W322" s="238"/>
    </row>
    <row r="323" spans="1:23" ht="12.75">
      <c r="A323" s="238"/>
      <c r="B323" s="238"/>
      <c r="C323" s="238"/>
      <c r="D323" s="238"/>
      <c r="E323" s="238"/>
      <c r="F323" s="238"/>
      <c r="G323" s="238"/>
      <c r="H323" s="238"/>
      <c r="I323" s="238"/>
      <c r="J323" s="238"/>
      <c r="K323" s="238"/>
      <c r="L323" s="238"/>
      <c r="M323" s="238"/>
      <c r="N323" s="238"/>
      <c r="O323" s="238"/>
      <c r="P323" s="238"/>
      <c r="Q323" s="238"/>
      <c r="R323" s="238"/>
      <c r="S323" s="238"/>
      <c r="T323" s="238"/>
      <c r="U323" s="238"/>
      <c r="V323" s="238"/>
      <c r="W323" s="238"/>
    </row>
    <row r="324" spans="1:23" ht="12.75">
      <c r="A324" s="238"/>
      <c r="B324" s="238"/>
      <c r="C324" s="238"/>
      <c r="D324" s="238"/>
      <c r="E324" s="238"/>
      <c r="F324" s="238"/>
      <c r="G324" s="238"/>
      <c r="H324" s="238"/>
      <c r="I324" s="238"/>
      <c r="J324" s="238"/>
      <c r="K324" s="238"/>
      <c r="L324" s="238"/>
      <c r="M324" s="238"/>
      <c r="N324" s="238"/>
      <c r="O324" s="238"/>
      <c r="P324" s="238"/>
      <c r="Q324" s="238"/>
      <c r="R324" s="238"/>
      <c r="S324" s="238"/>
      <c r="T324" s="238"/>
      <c r="U324" s="238"/>
      <c r="V324" s="238"/>
      <c r="W324" s="238"/>
    </row>
    <row r="325" spans="1:23" ht="12.75">
      <c r="A325" s="238"/>
      <c r="B325" s="238"/>
      <c r="C325" s="238"/>
      <c r="D325" s="238"/>
      <c r="E325" s="238"/>
      <c r="F325" s="238"/>
      <c r="G325" s="238"/>
      <c r="H325" s="238"/>
      <c r="I325" s="238"/>
      <c r="J325" s="238"/>
      <c r="K325" s="238"/>
      <c r="L325" s="238"/>
      <c r="M325" s="238"/>
      <c r="N325" s="238"/>
      <c r="O325" s="238"/>
      <c r="P325" s="238"/>
      <c r="Q325" s="238"/>
      <c r="R325" s="238"/>
      <c r="S325" s="238"/>
      <c r="T325" s="238"/>
      <c r="U325" s="238"/>
      <c r="V325" s="238"/>
      <c r="W325" s="238"/>
    </row>
    <row r="326" spans="1:23" ht="12.75">
      <c r="A326" s="238"/>
      <c r="B326" s="238"/>
      <c r="C326" s="238"/>
      <c r="D326" s="238"/>
      <c r="E326" s="238"/>
      <c r="F326" s="238"/>
      <c r="G326" s="238"/>
      <c r="H326" s="238"/>
      <c r="I326" s="238"/>
      <c r="J326" s="238"/>
      <c r="K326" s="238"/>
      <c r="L326" s="238"/>
      <c r="M326" s="238"/>
      <c r="N326" s="238"/>
      <c r="O326" s="238"/>
      <c r="P326" s="238"/>
      <c r="Q326" s="238"/>
      <c r="R326" s="238"/>
      <c r="S326" s="238"/>
      <c r="T326" s="238"/>
      <c r="U326" s="238"/>
      <c r="V326" s="238"/>
      <c r="W326" s="238"/>
    </row>
    <row r="327" spans="1:23" ht="12.75">
      <c r="A327" s="238"/>
      <c r="B327" s="238"/>
      <c r="C327" s="238"/>
      <c r="D327" s="238"/>
      <c r="E327" s="238"/>
      <c r="F327" s="238"/>
      <c r="G327" s="238"/>
      <c r="H327" s="238"/>
      <c r="I327" s="238"/>
      <c r="J327" s="238"/>
      <c r="K327" s="238"/>
      <c r="L327" s="238"/>
      <c r="M327" s="238"/>
      <c r="N327" s="238"/>
      <c r="O327" s="238"/>
      <c r="P327" s="238"/>
      <c r="Q327" s="238"/>
      <c r="R327" s="238"/>
      <c r="S327" s="238"/>
      <c r="T327" s="238"/>
      <c r="U327" s="238"/>
      <c r="V327" s="238"/>
      <c r="W327" s="238"/>
    </row>
    <row r="328" spans="1:23" ht="12.75">
      <c r="A328" s="238"/>
      <c r="B328" s="238"/>
      <c r="C328" s="238"/>
      <c r="D328" s="238"/>
      <c r="E328" s="238"/>
      <c r="F328" s="238"/>
      <c r="G328" s="238"/>
      <c r="H328" s="238"/>
      <c r="I328" s="238"/>
      <c r="J328" s="238"/>
      <c r="K328" s="238"/>
      <c r="L328" s="238"/>
      <c r="M328" s="238"/>
      <c r="N328" s="238"/>
      <c r="O328" s="238"/>
      <c r="P328" s="238"/>
      <c r="Q328" s="238"/>
      <c r="R328" s="238"/>
      <c r="S328" s="238"/>
      <c r="T328" s="238"/>
      <c r="U328" s="238"/>
      <c r="V328" s="238"/>
      <c r="W328" s="238"/>
    </row>
    <row r="329" spans="1:23" ht="12.75">
      <c r="A329" s="238"/>
      <c r="B329" s="238"/>
      <c r="C329" s="238"/>
      <c r="D329" s="238"/>
      <c r="E329" s="238"/>
      <c r="F329" s="238"/>
      <c r="G329" s="238"/>
      <c r="H329" s="238"/>
      <c r="I329" s="238"/>
      <c r="J329" s="238"/>
      <c r="K329" s="238"/>
      <c r="L329" s="238"/>
      <c r="M329" s="238"/>
      <c r="N329" s="238"/>
      <c r="O329" s="238"/>
      <c r="P329" s="238"/>
      <c r="Q329" s="238"/>
      <c r="R329" s="238"/>
      <c r="S329" s="238"/>
      <c r="T329" s="238"/>
      <c r="U329" s="238"/>
      <c r="V329" s="238"/>
      <c r="W329" s="238"/>
    </row>
    <row r="330" spans="1:23" ht="12.75">
      <c r="A330" s="238"/>
      <c r="B330" s="238"/>
      <c r="C330" s="238"/>
      <c r="D330" s="238"/>
      <c r="E330" s="238"/>
      <c r="F330" s="238"/>
      <c r="G330" s="238"/>
      <c r="H330" s="238"/>
      <c r="I330" s="238"/>
      <c r="J330" s="238"/>
      <c r="K330" s="238"/>
      <c r="L330" s="238"/>
      <c r="M330" s="238"/>
      <c r="N330" s="238"/>
      <c r="O330" s="238"/>
      <c r="P330" s="238"/>
      <c r="Q330" s="238"/>
      <c r="R330" s="238"/>
      <c r="S330" s="238"/>
      <c r="T330" s="238"/>
      <c r="U330" s="238"/>
      <c r="V330" s="238"/>
      <c r="W330" s="238"/>
    </row>
    <row r="331" spans="1:23" ht="12.75">
      <c r="A331" s="238"/>
      <c r="B331" s="238"/>
      <c r="C331" s="238"/>
      <c r="D331" s="238"/>
      <c r="E331" s="238"/>
      <c r="F331" s="238"/>
      <c r="G331" s="238"/>
      <c r="H331" s="238"/>
      <c r="I331" s="238"/>
      <c r="J331" s="238"/>
      <c r="K331" s="238"/>
      <c r="L331" s="238"/>
      <c r="M331" s="238"/>
      <c r="N331" s="238"/>
      <c r="O331" s="238"/>
      <c r="P331" s="238"/>
      <c r="Q331" s="238"/>
      <c r="R331" s="238"/>
      <c r="S331" s="238"/>
      <c r="T331" s="238"/>
      <c r="U331" s="238"/>
      <c r="V331" s="238"/>
      <c r="W331" s="238"/>
    </row>
    <row r="332" spans="1:23" ht="12.75">
      <c r="A332" s="238"/>
      <c r="B332" s="238"/>
      <c r="C332" s="238"/>
      <c r="D332" s="238"/>
      <c r="E332" s="238"/>
      <c r="F332" s="238"/>
      <c r="G332" s="238"/>
      <c r="H332" s="238"/>
      <c r="I332" s="238"/>
      <c r="J332" s="238"/>
      <c r="K332" s="238"/>
      <c r="L332" s="238"/>
      <c r="M332" s="238"/>
      <c r="N332" s="238"/>
      <c r="O332" s="238"/>
      <c r="P332" s="238"/>
      <c r="Q332" s="238"/>
      <c r="R332" s="238"/>
      <c r="S332" s="238"/>
      <c r="T332" s="238"/>
      <c r="U332" s="238"/>
      <c r="V332" s="238"/>
      <c r="W332" s="238"/>
    </row>
    <row r="333" spans="1:23" ht="12.75">
      <c r="A333" s="238"/>
      <c r="B333" s="238"/>
      <c r="C333" s="238"/>
      <c r="D333" s="238"/>
      <c r="E333" s="238"/>
      <c r="F333" s="238"/>
      <c r="G333" s="238"/>
      <c r="H333" s="238"/>
      <c r="I333" s="238"/>
      <c r="J333" s="238"/>
      <c r="K333" s="238"/>
      <c r="L333" s="238"/>
      <c r="M333" s="238"/>
      <c r="N333" s="238"/>
      <c r="O333" s="238"/>
      <c r="P333" s="238"/>
      <c r="Q333" s="238"/>
      <c r="R333" s="238"/>
      <c r="S333" s="238"/>
      <c r="T333" s="238"/>
      <c r="U333" s="238"/>
      <c r="V333" s="238"/>
      <c r="W333" s="238"/>
    </row>
    <row r="334" spans="1:23" ht="12.75">
      <c r="A334" s="238"/>
      <c r="B334" s="238"/>
      <c r="C334" s="238"/>
      <c r="D334" s="238"/>
      <c r="E334" s="238"/>
      <c r="F334" s="238"/>
      <c r="G334" s="238"/>
      <c r="H334" s="238"/>
      <c r="I334" s="238"/>
      <c r="J334" s="238"/>
      <c r="K334" s="238"/>
      <c r="L334" s="238"/>
      <c r="M334" s="238"/>
      <c r="N334" s="238"/>
      <c r="O334" s="238"/>
      <c r="P334" s="238"/>
      <c r="Q334" s="238"/>
      <c r="R334" s="238"/>
      <c r="S334" s="238"/>
      <c r="T334" s="238"/>
      <c r="U334" s="238"/>
      <c r="V334" s="238"/>
      <c r="W334" s="238"/>
    </row>
    <row r="335" spans="1:23" ht="12.7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row>
    <row r="336" spans="1:23" ht="12.75">
      <c r="A336" s="238"/>
      <c r="B336" s="238"/>
      <c r="C336" s="238"/>
      <c r="D336" s="238"/>
      <c r="E336" s="238"/>
      <c r="F336" s="238"/>
      <c r="G336" s="238"/>
      <c r="H336" s="238"/>
      <c r="I336" s="238"/>
      <c r="J336" s="238"/>
      <c r="K336" s="238"/>
      <c r="L336" s="238"/>
      <c r="M336" s="238"/>
      <c r="N336" s="238"/>
      <c r="O336" s="238"/>
      <c r="P336" s="238"/>
      <c r="Q336" s="238"/>
      <c r="R336" s="238"/>
      <c r="S336" s="238"/>
      <c r="T336" s="238"/>
      <c r="U336" s="238"/>
      <c r="V336" s="238"/>
      <c r="W336" s="238"/>
    </row>
    <row r="337" spans="1:23" ht="12.75">
      <c r="A337" s="238"/>
      <c r="B337" s="238"/>
      <c r="C337" s="238"/>
      <c r="D337" s="238"/>
      <c r="E337" s="238"/>
      <c r="F337" s="238"/>
      <c r="G337" s="238"/>
      <c r="H337" s="238"/>
      <c r="I337" s="238"/>
      <c r="J337" s="238"/>
      <c r="K337" s="238"/>
      <c r="L337" s="238"/>
      <c r="M337" s="238"/>
      <c r="N337" s="238"/>
      <c r="O337" s="238"/>
      <c r="P337" s="238"/>
      <c r="Q337" s="238"/>
      <c r="R337" s="238"/>
      <c r="S337" s="238"/>
      <c r="T337" s="238"/>
      <c r="U337" s="238"/>
      <c r="V337" s="238"/>
      <c r="W337" s="238"/>
    </row>
    <row r="338" spans="1:23" ht="12.75">
      <c r="A338" s="238"/>
      <c r="B338" s="238"/>
      <c r="C338" s="238"/>
      <c r="D338" s="238"/>
      <c r="E338" s="238"/>
      <c r="F338" s="238"/>
      <c r="G338" s="238"/>
      <c r="H338" s="238"/>
      <c r="I338" s="238"/>
      <c r="J338" s="238"/>
      <c r="K338" s="238"/>
      <c r="L338" s="238"/>
      <c r="M338" s="238"/>
      <c r="N338" s="238"/>
      <c r="O338" s="238"/>
      <c r="P338" s="238"/>
      <c r="Q338" s="238"/>
      <c r="R338" s="238"/>
      <c r="S338" s="238"/>
      <c r="T338" s="238"/>
      <c r="U338" s="238"/>
      <c r="V338" s="238"/>
      <c r="W338" s="238"/>
    </row>
    <row r="339" spans="1:23" ht="12.75">
      <c r="A339" s="238"/>
      <c r="B339" s="238"/>
      <c r="C339" s="238"/>
      <c r="D339" s="238"/>
      <c r="E339" s="238"/>
      <c r="F339" s="238"/>
      <c r="G339" s="238"/>
      <c r="H339" s="238"/>
      <c r="I339" s="238"/>
      <c r="J339" s="238"/>
      <c r="K339" s="238"/>
      <c r="L339" s="238"/>
      <c r="M339" s="238"/>
      <c r="N339" s="238"/>
      <c r="O339" s="238"/>
      <c r="P339" s="238"/>
      <c r="Q339" s="238"/>
      <c r="R339" s="238"/>
      <c r="S339" s="238"/>
      <c r="T339" s="238"/>
      <c r="U339" s="238"/>
      <c r="V339" s="238"/>
      <c r="W339" s="238"/>
    </row>
    <row r="340" spans="1:23" ht="12.75">
      <c r="A340" s="238"/>
      <c r="B340" s="238"/>
      <c r="C340" s="238"/>
      <c r="D340" s="238"/>
      <c r="E340" s="238"/>
      <c r="F340" s="238"/>
      <c r="G340" s="238"/>
      <c r="H340" s="238"/>
      <c r="I340" s="238"/>
      <c r="J340" s="238"/>
      <c r="K340" s="238"/>
      <c r="L340" s="238"/>
      <c r="M340" s="238"/>
      <c r="N340" s="238"/>
      <c r="O340" s="238"/>
      <c r="P340" s="238"/>
      <c r="Q340" s="238"/>
      <c r="R340" s="238"/>
      <c r="S340" s="238"/>
      <c r="T340" s="238"/>
      <c r="U340" s="238"/>
      <c r="V340" s="238"/>
      <c r="W340" s="238"/>
    </row>
    <row r="341" spans="1:23" ht="12.75">
      <c r="A341" s="238"/>
      <c r="B341" s="238"/>
      <c r="C341" s="238"/>
      <c r="D341" s="238"/>
      <c r="E341" s="238"/>
      <c r="F341" s="238"/>
      <c r="G341" s="238"/>
      <c r="H341" s="238"/>
      <c r="I341" s="238"/>
      <c r="J341" s="238"/>
      <c r="K341" s="238"/>
      <c r="L341" s="238"/>
      <c r="M341" s="238"/>
      <c r="N341" s="238"/>
      <c r="O341" s="238"/>
      <c r="P341" s="238"/>
      <c r="Q341" s="238"/>
      <c r="R341" s="238"/>
      <c r="S341" s="238"/>
      <c r="T341" s="238"/>
      <c r="U341" s="238"/>
      <c r="V341" s="238"/>
      <c r="W341" s="238"/>
    </row>
    <row r="342" spans="1:23" ht="12.75">
      <c r="A342" s="238"/>
      <c r="B342" s="238"/>
      <c r="C342" s="238"/>
      <c r="D342" s="238"/>
      <c r="E342" s="238"/>
      <c r="F342" s="238"/>
      <c r="G342" s="238"/>
      <c r="H342" s="238"/>
      <c r="I342" s="238"/>
      <c r="J342" s="238"/>
      <c r="K342" s="238"/>
      <c r="L342" s="238"/>
      <c r="M342" s="238"/>
      <c r="N342" s="238"/>
      <c r="O342" s="238"/>
      <c r="P342" s="238"/>
      <c r="Q342" s="238"/>
      <c r="R342" s="238"/>
      <c r="S342" s="238"/>
      <c r="T342" s="238"/>
      <c r="U342" s="238"/>
      <c r="V342" s="238"/>
      <c r="W342" s="238"/>
    </row>
    <row r="343" spans="1:23" ht="12.75">
      <c r="A343" s="238"/>
      <c r="B343" s="238"/>
      <c r="C343" s="238"/>
      <c r="D343" s="238"/>
      <c r="E343" s="238"/>
      <c r="F343" s="238"/>
      <c r="G343" s="238"/>
      <c r="H343" s="238"/>
      <c r="I343" s="238"/>
      <c r="J343" s="238"/>
      <c r="K343" s="238"/>
      <c r="L343" s="238"/>
      <c r="M343" s="238"/>
      <c r="N343" s="238"/>
      <c r="O343" s="238"/>
      <c r="P343" s="238"/>
      <c r="Q343" s="238"/>
      <c r="R343" s="238"/>
      <c r="S343" s="238"/>
      <c r="T343" s="238"/>
      <c r="U343" s="238"/>
      <c r="V343" s="238"/>
      <c r="W343" s="238"/>
    </row>
    <row r="344" spans="1:23" ht="12.75">
      <c r="A344" s="238"/>
      <c r="B344" s="238"/>
      <c r="C344" s="238"/>
      <c r="D344" s="238"/>
      <c r="E344" s="238"/>
      <c r="F344" s="238"/>
      <c r="G344" s="238"/>
      <c r="H344" s="238"/>
      <c r="I344" s="238"/>
      <c r="J344" s="238"/>
      <c r="K344" s="238"/>
      <c r="L344" s="238"/>
      <c r="M344" s="238"/>
      <c r="N344" s="238"/>
      <c r="O344" s="238"/>
      <c r="P344" s="238"/>
      <c r="Q344" s="238"/>
      <c r="R344" s="238"/>
      <c r="S344" s="238"/>
      <c r="T344" s="238"/>
      <c r="U344" s="238"/>
      <c r="V344" s="238"/>
      <c r="W344" s="238"/>
    </row>
    <row r="345" spans="1:23" ht="12.75">
      <c r="A345" s="238"/>
      <c r="B345" s="238"/>
      <c r="C345" s="238"/>
      <c r="D345" s="238"/>
      <c r="E345" s="238"/>
      <c r="F345" s="238"/>
      <c r="G345" s="238"/>
      <c r="H345" s="238"/>
      <c r="I345" s="238"/>
      <c r="J345" s="238"/>
      <c r="K345" s="238"/>
      <c r="L345" s="238"/>
      <c r="M345" s="238"/>
      <c r="N345" s="238"/>
      <c r="O345" s="238"/>
      <c r="P345" s="238"/>
      <c r="Q345" s="238"/>
      <c r="R345" s="238"/>
      <c r="S345" s="238"/>
      <c r="T345" s="238"/>
      <c r="U345" s="238"/>
      <c r="V345" s="238"/>
      <c r="W345" s="238"/>
    </row>
    <row r="346" spans="1:23" ht="12.75">
      <c r="A346" s="238"/>
      <c r="B346" s="238"/>
      <c r="C346" s="238"/>
      <c r="D346" s="238"/>
      <c r="E346" s="238"/>
      <c r="F346" s="238"/>
      <c r="G346" s="238"/>
      <c r="H346" s="238"/>
      <c r="I346" s="238"/>
      <c r="J346" s="238"/>
      <c r="K346" s="238"/>
      <c r="L346" s="238"/>
      <c r="M346" s="238"/>
      <c r="N346" s="238"/>
      <c r="O346" s="238"/>
      <c r="P346" s="238"/>
      <c r="Q346" s="238"/>
      <c r="R346" s="238"/>
      <c r="S346" s="238"/>
      <c r="T346" s="238"/>
      <c r="U346" s="238"/>
      <c r="V346" s="238"/>
      <c r="W346" s="238"/>
    </row>
    <row r="347" spans="1:23" ht="12.75">
      <c r="A347" s="238"/>
      <c r="B347" s="238"/>
      <c r="C347" s="238"/>
      <c r="D347" s="238"/>
      <c r="E347" s="238"/>
      <c r="F347" s="238"/>
      <c r="G347" s="238"/>
      <c r="H347" s="238"/>
      <c r="I347" s="238"/>
      <c r="J347" s="238"/>
      <c r="K347" s="238"/>
      <c r="L347" s="238"/>
      <c r="M347" s="238"/>
      <c r="N347" s="238"/>
      <c r="O347" s="238"/>
      <c r="P347" s="238"/>
      <c r="Q347" s="238"/>
      <c r="R347" s="238"/>
      <c r="S347" s="238"/>
      <c r="T347" s="238"/>
      <c r="U347" s="238"/>
      <c r="V347" s="238"/>
      <c r="W347" s="238"/>
    </row>
    <row r="348" spans="1:23" ht="12.75">
      <c r="A348" s="238"/>
      <c r="B348" s="238"/>
      <c r="C348" s="238"/>
      <c r="D348" s="238"/>
      <c r="E348" s="238"/>
      <c r="F348" s="238"/>
      <c r="G348" s="238"/>
      <c r="H348" s="238"/>
      <c r="I348" s="238"/>
      <c r="J348" s="238"/>
      <c r="K348" s="238"/>
      <c r="L348" s="238"/>
      <c r="M348" s="238"/>
      <c r="N348" s="238"/>
      <c r="O348" s="238"/>
      <c r="P348" s="238"/>
      <c r="Q348" s="238"/>
      <c r="R348" s="238"/>
      <c r="S348" s="238"/>
      <c r="T348" s="238"/>
      <c r="U348" s="238"/>
      <c r="V348" s="238"/>
      <c r="W348" s="238"/>
    </row>
    <row r="349" spans="1:23" ht="12.75">
      <c r="A349" s="238"/>
      <c r="B349" s="238"/>
      <c r="C349" s="238"/>
      <c r="D349" s="238"/>
      <c r="E349" s="238"/>
      <c r="F349" s="238"/>
      <c r="G349" s="238"/>
      <c r="H349" s="238"/>
      <c r="I349" s="238"/>
      <c r="J349" s="238"/>
      <c r="K349" s="238"/>
      <c r="L349" s="238"/>
      <c r="M349" s="238"/>
      <c r="N349" s="238"/>
      <c r="O349" s="238"/>
      <c r="P349" s="238"/>
      <c r="Q349" s="238"/>
      <c r="R349" s="238"/>
      <c r="S349" s="238"/>
      <c r="T349" s="238"/>
      <c r="U349" s="238"/>
      <c r="V349" s="238"/>
      <c r="W349" s="238"/>
    </row>
    <row r="350" spans="1:23" ht="12.75">
      <c r="A350" s="238"/>
      <c r="B350" s="238"/>
      <c r="C350" s="238"/>
      <c r="D350" s="238"/>
      <c r="E350" s="238"/>
      <c r="F350" s="238"/>
      <c r="G350" s="238"/>
      <c r="H350" s="238"/>
      <c r="I350" s="238"/>
      <c r="J350" s="238"/>
      <c r="K350" s="238"/>
      <c r="L350" s="238"/>
      <c r="M350" s="238"/>
      <c r="N350" s="238"/>
      <c r="O350" s="238"/>
      <c r="P350" s="238"/>
      <c r="Q350" s="238"/>
      <c r="R350" s="238"/>
      <c r="S350" s="238"/>
      <c r="T350" s="238"/>
      <c r="U350" s="238"/>
      <c r="V350" s="238"/>
      <c r="W350" s="238"/>
    </row>
    <row r="351" spans="1:23" ht="12.75">
      <c r="A351" s="238"/>
      <c r="B351" s="238"/>
      <c r="C351" s="238"/>
      <c r="D351" s="238"/>
      <c r="E351" s="238"/>
      <c r="F351" s="238"/>
      <c r="G351" s="238"/>
      <c r="H351" s="238"/>
      <c r="I351" s="238"/>
      <c r="J351" s="238"/>
      <c r="K351" s="238"/>
      <c r="L351" s="238"/>
      <c r="M351" s="238"/>
      <c r="N351" s="238"/>
      <c r="O351" s="238"/>
      <c r="P351" s="238"/>
      <c r="Q351" s="238"/>
      <c r="R351" s="238"/>
      <c r="S351" s="238"/>
      <c r="T351" s="238"/>
      <c r="U351" s="238"/>
      <c r="V351" s="238"/>
      <c r="W351" s="238"/>
    </row>
    <row r="352" spans="1:23" ht="12.75">
      <c r="A352" s="238"/>
      <c r="B352" s="238"/>
      <c r="C352" s="238"/>
      <c r="D352" s="238"/>
      <c r="E352" s="238"/>
      <c r="F352" s="238"/>
      <c r="G352" s="238"/>
      <c r="H352" s="238"/>
      <c r="I352" s="238"/>
      <c r="J352" s="238"/>
      <c r="K352" s="238"/>
      <c r="L352" s="238"/>
      <c r="M352" s="238"/>
      <c r="N352" s="238"/>
      <c r="O352" s="238"/>
      <c r="P352" s="238"/>
      <c r="Q352" s="238"/>
      <c r="R352" s="238"/>
      <c r="S352" s="238"/>
      <c r="T352" s="238"/>
      <c r="U352" s="238"/>
      <c r="V352" s="238"/>
      <c r="W352" s="238"/>
    </row>
    <row r="353" spans="1:23" ht="12.75">
      <c r="A353" s="238"/>
      <c r="B353" s="238"/>
      <c r="C353" s="238"/>
      <c r="D353" s="238"/>
      <c r="E353" s="238"/>
      <c r="F353" s="238"/>
      <c r="G353" s="238"/>
      <c r="H353" s="238"/>
      <c r="I353" s="238"/>
      <c r="J353" s="238"/>
      <c r="K353" s="238"/>
      <c r="L353" s="238"/>
      <c r="M353" s="238"/>
      <c r="N353" s="238"/>
      <c r="O353" s="238"/>
      <c r="P353" s="238"/>
      <c r="Q353" s="238"/>
      <c r="R353" s="238"/>
      <c r="S353" s="238"/>
      <c r="T353" s="238"/>
      <c r="U353" s="238"/>
      <c r="V353" s="238"/>
      <c r="W353" s="238"/>
    </row>
    <row r="354" spans="1:23" ht="12.75">
      <c r="A354" s="238"/>
      <c r="B354" s="238"/>
      <c r="C354" s="238"/>
      <c r="D354" s="238"/>
      <c r="E354" s="238"/>
      <c r="F354" s="238"/>
      <c r="G354" s="238"/>
      <c r="H354" s="238"/>
      <c r="I354" s="238"/>
      <c r="J354" s="238"/>
      <c r="K354" s="238"/>
      <c r="L354" s="238"/>
      <c r="M354" s="238"/>
      <c r="N354" s="238"/>
      <c r="O354" s="238"/>
      <c r="P354" s="238"/>
      <c r="Q354" s="238"/>
      <c r="R354" s="238"/>
      <c r="S354" s="238"/>
      <c r="T354" s="238"/>
      <c r="U354" s="238"/>
      <c r="V354" s="238"/>
      <c r="W354" s="238"/>
    </row>
    <row r="355" spans="1:23" ht="12.75">
      <c r="A355" s="238"/>
      <c r="B355" s="238"/>
      <c r="C355" s="238"/>
      <c r="D355" s="238"/>
      <c r="E355" s="238"/>
      <c r="F355" s="238"/>
      <c r="G355" s="238"/>
      <c r="H355" s="238"/>
      <c r="I355" s="238"/>
      <c r="J355" s="238"/>
      <c r="K355" s="238"/>
      <c r="L355" s="238"/>
      <c r="M355" s="238"/>
      <c r="N355" s="238"/>
      <c r="O355" s="238"/>
      <c r="P355" s="238"/>
      <c r="Q355" s="238"/>
      <c r="R355" s="238"/>
      <c r="S355" s="238"/>
      <c r="T355" s="238"/>
      <c r="U355" s="238"/>
      <c r="V355" s="238"/>
      <c r="W355" s="238"/>
    </row>
    <row r="356" spans="1:23" ht="12.75">
      <c r="A356" s="238"/>
      <c r="B356" s="238"/>
      <c r="C356" s="238"/>
      <c r="D356" s="238"/>
      <c r="E356" s="238"/>
      <c r="F356" s="238"/>
      <c r="G356" s="238"/>
      <c r="H356" s="238"/>
      <c r="I356" s="238"/>
      <c r="J356" s="238"/>
      <c r="K356" s="238"/>
      <c r="L356" s="238"/>
      <c r="M356" s="238"/>
      <c r="N356" s="238"/>
      <c r="O356" s="238"/>
      <c r="P356" s="238"/>
      <c r="Q356" s="238"/>
      <c r="R356" s="238"/>
      <c r="S356" s="238"/>
      <c r="T356" s="238"/>
      <c r="U356" s="238"/>
      <c r="V356" s="238"/>
      <c r="W356" s="238"/>
    </row>
    <row r="357" spans="1:23" ht="12.75">
      <c r="A357" s="238"/>
      <c r="B357" s="238"/>
      <c r="C357" s="238"/>
      <c r="D357" s="238"/>
      <c r="E357" s="238"/>
      <c r="F357" s="238"/>
      <c r="G357" s="238"/>
      <c r="H357" s="238"/>
      <c r="I357" s="238"/>
      <c r="J357" s="238"/>
      <c r="K357" s="238"/>
      <c r="L357" s="238"/>
      <c r="M357" s="238"/>
      <c r="N357" s="238"/>
      <c r="O357" s="238"/>
      <c r="P357" s="238"/>
      <c r="Q357" s="238"/>
      <c r="R357" s="238"/>
      <c r="S357" s="238"/>
      <c r="T357" s="238"/>
      <c r="U357" s="238"/>
      <c r="V357" s="238"/>
      <c r="W357" s="238"/>
    </row>
    <row r="358" spans="1:23" ht="12.7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row>
    <row r="359" spans="1:23" ht="12.75">
      <c r="A359" s="238"/>
      <c r="B359" s="238"/>
      <c r="C359" s="238"/>
      <c r="D359" s="238"/>
      <c r="E359" s="238"/>
      <c r="F359" s="238"/>
      <c r="G359" s="238"/>
      <c r="H359" s="238"/>
      <c r="I359" s="238"/>
      <c r="J359" s="238"/>
      <c r="K359" s="238"/>
      <c r="L359" s="238"/>
      <c r="M359" s="238"/>
      <c r="N359" s="238"/>
      <c r="O359" s="238"/>
      <c r="P359" s="238"/>
      <c r="Q359" s="238"/>
      <c r="R359" s="238"/>
      <c r="S359" s="238"/>
      <c r="T359" s="238"/>
      <c r="U359" s="238"/>
      <c r="V359" s="238"/>
      <c r="W359" s="238"/>
    </row>
    <row r="360" spans="1:23" ht="12.75">
      <c r="A360" s="238"/>
      <c r="B360" s="238"/>
      <c r="C360" s="238"/>
      <c r="D360" s="238"/>
      <c r="E360" s="238"/>
      <c r="F360" s="238"/>
      <c r="G360" s="238"/>
      <c r="H360" s="238"/>
      <c r="I360" s="238"/>
      <c r="J360" s="238"/>
      <c r="K360" s="238"/>
      <c r="L360" s="238"/>
      <c r="M360" s="238"/>
      <c r="N360" s="238"/>
      <c r="O360" s="238"/>
      <c r="P360" s="238"/>
      <c r="Q360" s="238"/>
      <c r="R360" s="238"/>
      <c r="S360" s="238"/>
      <c r="T360" s="238"/>
      <c r="U360" s="238"/>
      <c r="V360" s="238"/>
      <c r="W360" s="238"/>
    </row>
    <row r="361" spans="1:23" ht="12.75">
      <c r="A361" s="238"/>
      <c r="B361" s="238"/>
      <c r="C361" s="238"/>
      <c r="D361" s="238"/>
      <c r="E361" s="238"/>
      <c r="F361" s="238"/>
      <c r="G361" s="238"/>
      <c r="H361" s="238"/>
      <c r="I361" s="238"/>
      <c r="J361" s="238"/>
      <c r="K361" s="238"/>
      <c r="L361" s="238"/>
      <c r="M361" s="238"/>
      <c r="N361" s="238"/>
      <c r="O361" s="238"/>
      <c r="P361" s="238"/>
      <c r="Q361" s="238"/>
      <c r="R361" s="238"/>
      <c r="S361" s="238"/>
      <c r="T361" s="238"/>
      <c r="U361" s="238"/>
      <c r="V361" s="238"/>
      <c r="W361" s="238"/>
    </row>
    <row r="362" spans="1:23" ht="12.75">
      <c r="A362" s="238"/>
      <c r="B362" s="238"/>
      <c r="C362" s="238"/>
      <c r="D362" s="238"/>
      <c r="E362" s="238"/>
      <c r="F362" s="238"/>
      <c r="G362" s="238"/>
      <c r="H362" s="238"/>
      <c r="I362" s="238"/>
      <c r="J362" s="238"/>
      <c r="K362" s="238"/>
      <c r="L362" s="238"/>
      <c r="M362" s="238"/>
      <c r="N362" s="238"/>
      <c r="O362" s="238"/>
      <c r="P362" s="238"/>
      <c r="Q362" s="238"/>
      <c r="R362" s="238"/>
      <c r="S362" s="238"/>
      <c r="T362" s="238"/>
      <c r="U362" s="238"/>
      <c r="V362" s="238"/>
      <c r="W362" s="238"/>
    </row>
    <row r="363" spans="1:23" ht="12.75">
      <c r="A363" s="238"/>
      <c r="B363" s="238"/>
      <c r="C363" s="238"/>
      <c r="D363" s="238"/>
      <c r="E363" s="238"/>
      <c r="F363" s="238"/>
      <c r="G363" s="238"/>
      <c r="H363" s="238"/>
      <c r="I363" s="238"/>
      <c r="J363" s="238"/>
      <c r="K363" s="238"/>
      <c r="L363" s="238"/>
      <c r="M363" s="238"/>
      <c r="N363" s="238"/>
      <c r="O363" s="238"/>
      <c r="P363" s="238"/>
      <c r="Q363" s="238"/>
      <c r="R363" s="238"/>
      <c r="S363" s="238"/>
      <c r="T363" s="238"/>
      <c r="U363" s="238"/>
      <c r="V363" s="238"/>
      <c r="W363" s="238"/>
    </row>
    <row r="364" spans="1:23" ht="12.75">
      <c r="A364" s="238"/>
      <c r="B364" s="238"/>
      <c r="C364" s="238"/>
      <c r="D364" s="238"/>
      <c r="E364" s="238"/>
      <c r="F364" s="238"/>
      <c r="G364" s="238"/>
      <c r="H364" s="238"/>
      <c r="I364" s="238"/>
      <c r="J364" s="238"/>
      <c r="K364" s="238"/>
      <c r="L364" s="238"/>
      <c r="M364" s="238"/>
      <c r="N364" s="238"/>
      <c r="O364" s="238"/>
      <c r="P364" s="238"/>
      <c r="Q364" s="238"/>
      <c r="R364" s="238"/>
      <c r="S364" s="238"/>
      <c r="T364" s="238"/>
      <c r="U364" s="238"/>
      <c r="V364" s="238"/>
      <c r="W364" s="238"/>
    </row>
    <row r="365" spans="1:23" ht="12.75">
      <c r="A365" s="238"/>
      <c r="B365" s="238"/>
      <c r="C365" s="238"/>
      <c r="D365" s="238"/>
      <c r="E365" s="238"/>
      <c r="F365" s="238"/>
      <c r="G365" s="238"/>
      <c r="H365" s="238"/>
      <c r="I365" s="238"/>
      <c r="J365" s="238"/>
      <c r="K365" s="238"/>
      <c r="L365" s="238"/>
      <c r="M365" s="238"/>
      <c r="N365" s="238"/>
      <c r="O365" s="238"/>
      <c r="P365" s="238"/>
      <c r="Q365" s="238"/>
      <c r="R365" s="238"/>
      <c r="S365" s="238"/>
      <c r="T365" s="238"/>
      <c r="U365" s="238"/>
      <c r="V365" s="238"/>
      <c r="W365" s="238"/>
    </row>
    <row r="366" spans="1:23" ht="12.75">
      <c r="A366" s="238"/>
      <c r="B366" s="238"/>
      <c r="C366" s="238"/>
      <c r="D366" s="238"/>
      <c r="E366" s="238"/>
      <c r="F366" s="238"/>
      <c r="G366" s="238"/>
      <c r="H366" s="238"/>
      <c r="I366" s="238"/>
      <c r="J366" s="238"/>
      <c r="K366" s="238"/>
      <c r="L366" s="238"/>
      <c r="M366" s="238"/>
      <c r="N366" s="238"/>
      <c r="O366" s="238"/>
      <c r="P366" s="238"/>
      <c r="Q366" s="238"/>
      <c r="R366" s="238"/>
      <c r="S366" s="238"/>
      <c r="T366" s="238"/>
      <c r="U366" s="238"/>
      <c r="V366" s="238"/>
      <c r="W366" s="238"/>
    </row>
    <row r="367" spans="1:23" ht="12.75">
      <c r="A367" s="238"/>
      <c r="B367" s="238"/>
      <c r="C367" s="238"/>
      <c r="D367" s="238"/>
      <c r="E367" s="238"/>
      <c r="F367" s="238"/>
      <c r="G367" s="238"/>
      <c r="H367" s="238"/>
      <c r="I367" s="238"/>
      <c r="J367" s="238"/>
      <c r="K367" s="238"/>
      <c r="L367" s="238"/>
      <c r="M367" s="238"/>
      <c r="N367" s="238"/>
      <c r="O367" s="238"/>
      <c r="P367" s="238"/>
      <c r="Q367" s="238"/>
      <c r="R367" s="238"/>
      <c r="S367" s="238"/>
      <c r="T367" s="238"/>
      <c r="U367" s="238"/>
      <c r="V367" s="238"/>
      <c r="W367" s="238"/>
    </row>
    <row r="368" spans="1:23" ht="12.75">
      <c r="A368" s="238"/>
      <c r="B368" s="238"/>
      <c r="C368" s="238"/>
      <c r="D368" s="238"/>
      <c r="E368" s="238"/>
      <c r="F368" s="238"/>
      <c r="G368" s="238"/>
      <c r="H368" s="238"/>
      <c r="I368" s="238"/>
      <c r="J368" s="238"/>
      <c r="K368" s="238"/>
      <c r="L368" s="238"/>
      <c r="M368" s="238"/>
      <c r="N368" s="238"/>
      <c r="O368" s="238"/>
      <c r="P368" s="238"/>
      <c r="Q368" s="238"/>
      <c r="R368" s="238"/>
      <c r="S368" s="238"/>
      <c r="T368" s="238"/>
      <c r="U368" s="238"/>
      <c r="V368" s="238"/>
      <c r="W368" s="238"/>
    </row>
    <row r="369" spans="1:23" ht="12.75">
      <c r="A369" s="238"/>
      <c r="B369" s="238"/>
      <c r="C369" s="238"/>
      <c r="D369" s="238"/>
      <c r="E369" s="238"/>
      <c r="F369" s="238"/>
      <c r="G369" s="238"/>
      <c r="H369" s="238"/>
      <c r="I369" s="238"/>
      <c r="J369" s="238"/>
      <c r="K369" s="238"/>
      <c r="L369" s="238"/>
      <c r="M369" s="238"/>
      <c r="N369" s="238"/>
      <c r="O369" s="238"/>
      <c r="P369" s="238"/>
      <c r="Q369" s="238"/>
      <c r="R369" s="238"/>
      <c r="S369" s="238"/>
      <c r="T369" s="238"/>
      <c r="U369" s="238"/>
      <c r="V369" s="238"/>
      <c r="W369" s="238"/>
    </row>
    <row r="370" spans="1:23" ht="12.75">
      <c r="A370" s="238"/>
      <c r="B370" s="238"/>
      <c r="C370" s="238"/>
      <c r="D370" s="238"/>
      <c r="E370" s="238"/>
      <c r="F370" s="238"/>
      <c r="G370" s="238"/>
      <c r="H370" s="238"/>
      <c r="I370" s="238"/>
      <c r="J370" s="238"/>
      <c r="K370" s="238"/>
      <c r="L370" s="238"/>
      <c r="M370" s="238"/>
      <c r="N370" s="238"/>
      <c r="O370" s="238"/>
      <c r="P370" s="238"/>
      <c r="Q370" s="238"/>
      <c r="R370" s="238"/>
      <c r="S370" s="238"/>
      <c r="T370" s="238"/>
      <c r="U370" s="238"/>
      <c r="V370" s="238"/>
      <c r="W370" s="238"/>
    </row>
    <row r="371" spans="1:23" ht="12.75">
      <c r="A371" s="238"/>
      <c r="B371" s="238"/>
      <c r="C371" s="238"/>
      <c r="D371" s="238"/>
      <c r="E371" s="238"/>
      <c r="F371" s="238"/>
      <c r="G371" s="238"/>
      <c r="H371" s="238"/>
      <c r="I371" s="238"/>
      <c r="J371" s="238"/>
      <c r="K371" s="238"/>
      <c r="L371" s="238"/>
      <c r="M371" s="238"/>
      <c r="N371" s="238"/>
      <c r="O371" s="238"/>
      <c r="P371" s="238"/>
      <c r="Q371" s="238"/>
      <c r="R371" s="238"/>
      <c r="S371" s="238"/>
      <c r="T371" s="238"/>
      <c r="U371" s="238"/>
      <c r="V371" s="238"/>
      <c r="W371" s="238"/>
    </row>
    <row r="372" spans="1:23" ht="12.75">
      <c r="A372" s="238"/>
      <c r="B372" s="238"/>
      <c r="C372" s="238"/>
      <c r="D372" s="238"/>
      <c r="E372" s="238"/>
      <c r="F372" s="238"/>
      <c r="G372" s="238"/>
      <c r="H372" s="238"/>
      <c r="I372" s="238"/>
      <c r="J372" s="238"/>
      <c r="K372" s="238"/>
      <c r="L372" s="238"/>
      <c r="M372" s="238"/>
      <c r="N372" s="238"/>
      <c r="O372" s="238"/>
      <c r="P372" s="238"/>
      <c r="Q372" s="238"/>
      <c r="R372" s="238"/>
      <c r="S372" s="238"/>
      <c r="T372" s="238"/>
      <c r="U372" s="238"/>
      <c r="V372" s="238"/>
      <c r="W372" s="238"/>
    </row>
    <row r="373" spans="1:23" ht="12.75">
      <c r="A373" s="238"/>
      <c r="B373" s="238"/>
      <c r="C373" s="238"/>
      <c r="D373" s="238"/>
      <c r="E373" s="238"/>
      <c r="F373" s="238"/>
      <c r="G373" s="238"/>
      <c r="H373" s="238"/>
      <c r="I373" s="238"/>
      <c r="J373" s="238"/>
      <c r="K373" s="238"/>
      <c r="L373" s="238"/>
      <c r="M373" s="238"/>
      <c r="N373" s="238"/>
      <c r="O373" s="238"/>
      <c r="P373" s="238"/>
      <c r="Q373" s="238"/>
      <c r="R373" s="238"/>
      <c r="S373" s="238"/>
      <c r="T373" s="238"/>
      <c r="U373" s="238"/>
      <c r="V373" s="238"/>
      <c r="W373" s="238"/>
    </row>
    <row r="374" spans="1:23" ht="12.75">
      <c r="A374" s="238"/>
      <c r="B374" s="238"/>
      <c r="C374" s="238"/>
      <c r="D374" s="238"/>
      <c r="E374" s="238"/>
      <c r="F374" s="238"/>
      <c r="G374" s="238"/>
      <c r="H374" s="238"/>
      <c r="I374" s="238"/>
      <c r="J374" s="238"/>
      <c r="K374" s="238"/>
      <c r="L374" s="238"/>
      <c r="M374" s="238"/>
      <c r="N374" s="238"/>
      <c r="O374" s="238"/>
      <c r="P374" s="238"/>
      <c r="Q374" s="238"/>
      <c r="R374" s="238"/>
      <c r="S374" s="238"/>
      <c r="T374" s="238"/>
      <c r="U374" s="238"/>
      <c r="V374" s="238"/>
      <c r="W374" s="238"/>
    </row>
    <row r="375" spans="1:23" ht="12.75">
      <c r="A375" s="238"/>
      <c r="B375" s="238"/>
      <c r="C375" s="238"/>
      <c r="D375" s="238"/>
      <c r="E375" s="238"/>
      <c r="F375" s="238"/>
      <c r="G375" s="238"/>
      <c r="H375" s="238"/>
      <c r="I375" s="238"/>
      <c r="J375" s="238"/>
      <c r="K375" s="238"/>
      <c r="L375" s="238"/>
      <c r="M375" s="238"/>
      <c r="N375" s="238"/>
      <c r="O375" s="238"/>
      <c r="P375" s="238"/>
      <c r="Q375" s="238"/>
      <c r="R375" s="238"/>
      <c r="S375" s="238"/>
      <c r="T375" s="238"/>
      <c r="U375" s="238"/>
      <c r="V375" s="238"/>
      <c r="W375" s="238"/>
    </row>
    <row r="376" spans="1:23" ht="12.75">
      <c r="A376" s="238"/>
      <c r="B376" s="238"/>
      <c r="C376" s="238"/>
      <c r="D376" s="238"/>
      <c r="E376" s="238"/>
      <c r="F376" s="238"/>
      <c r="G376" s="238"/>
      <c r="H376" s="238"/>
      <c r="I376" s="238"/>
      <c r="J376" s="238"/>
      <c r="K376" s="238"/>
      <c r="L376" s="238"/>
      <c r="M376" s="238"/>
      <c r="N376" s="238"/>
      <c r="O376" s="238"/>
      <c r="P376" s="238"/>
      <c r="Q376" s="238"/>
      <c r="R376" s="238"/>
      <c r="S376" s="238"/>
      <c r="T376" s="238"/>
      <c r="U376" s="238"/>
      <c r="V376" s="238"/>
      <c r="W376" s="238"/>
    </row>
    <row r="377" spans="1:23" ht="12.75">
      <c r="A377" s="238"/>
      <c r="B377" s="238"/>
      <c r="C377" s="238"/>
      <c r="D377" s="238"/>
      <c r="E377" s="238"/>
      <c r="F377" s="238"/>
      <c r="G377" s="238"/>
      <c r="H377" s="238"/>
      <c r="I377" s="238"/>
      <c r="J377" s="238"/>
      <c r="K377" s="238"/>
      <c r="L377" s="238"/>
      <c r="M377" s="238"/>
      <c r="N377" s="238"/>
      <c r="O377" s="238"/>
      <c r="P377" s="238"/>
      <c r="Q377" s="238"/>
      <c r="R377" s="238"/>
      <c r="S377" s="238"/>
      <c r="T377" s="238"/>
      <c r="U377" s="238"/>
      <c r="V377" s="238"/>
      <c r="W377" s="238"/>
    </row>
    <row r="378" spans="1:23" ht="12.75">
      <c r="A378" s="238"/>
      <c r="B378" s="238"/>
      <c r="C378" s="238"/>
      <c r="D378" s="238"/>
      <c r="E378" s="238"/>
      <c r="F378" s="238"/>
      <c r="G378" s="238"/>
      <c r="H378" s="238"/>
      <c r="I378" s="238"/>
      <c r="J378" s="238"/>
      <c r="K378" s="238"/>
      <c r="L378" s="238"/>
      <c r="M378" s="238"/>
      <c r="N378" s="238"/>
      <c r="O378" s="238"/>
      <c r="P378" s="238"/>
      <c r="Q378" s="238"/>
      <c r="R378" s="238"/>
      <c r="S378" s="238"/>
      <c r="T378" s="238"/>
      <c r="U378" s="238"/>
      <c r="V378" s="238"/>
      <c r="W378" s="238"/>
    </row>
    <row r="379" spans="1:23" ht="12.75">
      <c r="A379" s="238"/>
      <c r="B379" s="238"/>
      <c r="C379" s="238"/>
      <c r="D379" s="238"/>
      <c r="E379" s="238"/>
      <c r="F379" s="238"/>
      <c r="G379" s="238"/>
      <c r="H379" s="238"/>
      <c r="I379" s="238"/>
      <c r="J379" s="238"/>
      <c r="K379" s="238"/>
      <c r="L379" s="238"/>
      <c r="M379" s="238"/>
      <c r="N379" s="238"/>
      <c r="O379" s="238"/>
      <c r="P379" s="238"/>
      <c r="Q379" s="238"/>
      <c r="R379" s="238"/>
      <c r="S379" s="238"/>
      <c r="T379" s="238"/>
      <c r="U379" s="238"/>
      <c r="V379" s="238"/>
      <c r="W379" s="238"/>
    </row>
    <row r="380" spans="1:23" ht="12.75">
      <c r="A380" s="238"/>
      <c r="B380" s="238"/>
      <c r="C380" s="238"/>
      <c r="D380" s="238"/>
      <c r="E380" s="238"/>
      <c r="F380" s="238"/>
      <c r="G380" s="238"/>
      <c r="H380" s="238"/>
      <c r="I380" s="238"/>
      <c r="J380" s="238"/>
      <c r="K380" s="238"/>
      <c r="L380" s="238"/>
      <c r="M380" s="238"/>
      <c r="N380" s="238"/>
      <c r="O380" s="238"/>
      <c r="P380" s="238"/>
      <c r="Q380" s="238"/>
      <c r="R380" s="238"/>
      <c r="S380" s="238"/>
      <c r="T380" s="238"/>
      <c r="U380" s="238"/>
      <c r="V380" s="238"/>
      <c r="W380" s="238"/>
    </row>
    <row r="381" spans="1:23" ht="12.75">
      <c r="A381" s="238"/>
      <c r="B381" s="238"/>
      <c r="C381" s="238"/>
      <c r="D381" s="238"/>
      <c r="E381" s="238"/>
      <c r="F381" s="238"/>
      <c r="G381" s="238"/>
      <c r="H381" s="238"/>
      <c r="I381" s="238"/>
      <c r="J381" s="238"/>
      <c r="K381" s="238"/>
      <c r="L381" s="238"/>
      <c r="M381" s="238"/>
      <c r="N381" s="238"/>
      <c r="O381" s="238"/>
      <c r="P381" s="238"/>
      <c r="Q381" s="238"/>
      <c r="R381" s="238"/>
      <c r="S381" s="238"/>
      <c r="T381" s="238"/>
      <c r="U381" s="238"/>
      <c r="V381" s="238"/>
      <c r="W381" s="238"/>
    </row>
    <row r="382" spans="1:23" ht="12.7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row>
    <row r="383" spans="1:23" ht="12.75">
      <c r="A383" s="238"/>
      <c r="B383" s="238"/>
      <c r="C383" s="238"/>
      <c r="D383" s="238"/>
      <c r="E383" s="238"/>
      <c r="F383" s="238"/>
      <c r="G383" s="238"/>
      <c r="H383" s="238"/>
      <c r="I383" s="238"/>
      <c r="J383" s="238"/>
      <c r="K383" s="238"/>
      <c r="L383" s="238"/>
      <c r="M383" s="238"/>
      <c r="N383" s="238"/>
      <c r="O383" s="238"/>
      <c r="P383" s="238"/>
      <c r="Q383" s="238"/>
      <c r="R383" s="238"/>
      <c r="S383" s="238"/>
      <c r="T383" s="238"/>
      <c r="U383" s="238"/>
      <c r="V383" s="238"/>
      <c r="W383" s="238"/>
    </row>
    <row r="384" spans="1:23" ht="12.75">
      <c r="A384" s="238"/>
      <c r="B384" s="238"/>
      <c r="C384" s="238"/>
      <c r="D384" s="238"/>
      <c r="E384" s="238"/>
      <c r="F384" s="238"/>
      <c r="G384" s="238"/>
      <c r="H384" s="238"/>
      <c r="I384" s="238"/>
      <c r="J384" s="238"/>
      <c r="K384" s="238"/>
      <c r="L384" s="238"/>
      <c r="M384" s="238"/>
      <c r="N384" s="238"/>
      <c r="O384" s="238"/>
      <c r="P384" s="238"/>
      <c r="Q384" s="238"/>
      <c r="R384" s="238"/>
      <c r="S384" s="238"/>
      <c r="T384" s="238"/>
      <c r="U384" s="238"/>
      <c r="V384" s="238"/>
      <c r="W384" s="238"/>
    </row>
    <row r="385" spans="1:23" ht="12.75">
      <c r="A385" s="238"/>
      <c r="B385" s="238"/>
      <c r="C385" s="238"/>
      <c r="D385" s="238"/>
      <c r="E385" s="238"/>
      <c r="F385" s="238"/>
      <c r="G385" s="238"/>
      <c r="H385" s="238"/>
      <c r="I385" s="238"/>
      <c r="J385" s="238"/>
      <c r="K385" s="238"/>
      <c r="L385" s="238"/>
      <c r="M385" s="238"/>
      <c r="N385" s="238"/>
      <c r="O385" s="238"/>
      <c r="P385" s="238"/>
      <c r="Q385" s="238"/>
      <c r="R385" s="238"/>
      <c r="S385" s="238"/>
      <c r="T385" s="238"/>
      <c r="U385" s="238"/>
      <c r="V385" s="238"/>
      <c r="W385" s="238"/>
    </row>
    <row r="386" spans="1:23" ht="12.75">
      <c r="A386" s="238"/>
      <c r="B386" s="238"/>
      <c r="C386" s="238"/>
      <c r="D386" s="238"/>
      <c r="E386" s="238"/>
      <c r="F386" s="238"/>
      <c r="G386" s="238"/>
      <c r="H386" s="238"/>
      <c r="I386" s="238"/>
      <c r="J386" s="238"/>
      <c r="K386" s="238"/>
      <c r="L386" s="238"/>
      <c r="M386" s="238"/>
      <c r="N386" s="238"/>
      <c r="O386" s="238"/>
      <c r="P386" s="238"/>
      <c r="Q386" s="238"/>
      <c r="R386" s="238"/>
      <c r="S386" s="238"/>
      <c r="T386" s="238"/>
      <c r="U386" s="238"/>
      <c r="V386" s="238"/>
      <c r="W386" s="238"/>
    </row>
    <row r="387" spans="1:23" ht="12.75">
      <c r="A387" s="238"/>
      <c r="B387" s="238"/>
      <c r="C387" s="238"/>
      <c r="D387" s="238"/>
      <c r="E387" s="238"/>
      <c r="F387" s="238"/>
      <c r="G387" s="238"/>
      <c r="H387" s="238"/>
      <c r="I387" s="238"/>
      <c r="J387" s="238"/>
      <c r="K387" s="238"/>
      <c r="L387" s="238"/>
      <c r="M387" s="238"/>
      <c r="N387" s="238"/>
      <c r="O387" s="238"/>
      <c r="P387" s="238"/>
      <c r="Q387" s="238"/>
      <c r="R387" s="238"/>
      <c r="S387" s="238"/>
      <c r="T387" s="238"/>
      <c r="U387" s="238"/>
      <c r="V387" s="238"/>
      <c r="W387" s="238"/>
    </row>
    <row r="388" spans="1:23" ht="12.75">
      <c r="A388" s="238"/>
      <c r="B388" s="238"/>
      <c r="C388" s="238"/>
      <c r="D388" s="238"/>
      <c r="E388" s="238"/>
      <c r="F388" s="238"/>
      <c r="G388" s="238"/>
      <c r="H388" s="238"/>
      <c r="I388" s="238"/>
      <c r="J388" s="238"/>
      <c r="K388" s="238"/>
      <c r="L388" s="238"/>
      <c r="M388" s="238"/>
      <c r="N388" s="238"/>
      <c r="O388" s="238"/>
      <c r="P388" s="238"/>
      <c r="Q388" s="238"/>
      <c r="R388" s="238"/>
      <c r="S388" s="238"/>
      <c r="T388" s="238"/>
      <c r="U388" s="238"/>
      <c r="V388" s="238"/>
      <c r="W388" s="238"/>
    </row>
    <row r="389" spans="1:23" ht="12.75">
      <c r="A389" s="238"/>
      <c r="B389" s="238"/>
      <c r="C389" s="238"/>
      <c r="D389" s="238"/>
      <c r="E389" s="238"/>
      <c r="F389" s="238"/>
      <c r="G389" s="238"/>
      <c r="H389" s="238"/>
      <c r="I389" s="238"/>
      <c r="J389" s="238"/>
      <c r="K389" s="238"/>
      <c r="L389" s="238"/>
      <c r="M389" s="238"/>
      <c r="N389" s="238"/>
      <c r="O389" s="238"/>
      <c r="P389" s="238"/>
      <c r="Q389" s="238"/>
      <c r="R389" s="238"/>
      <c r="S389" s="238"/>
      <c r="T389" s="238"/>
      <c r="U389" s="238"/>
      <c r="V389" s="238"/>
      <c r="W389" s="238"/>
    </row>
    <row r="390" spans="1:23" ht="12.75">
      <c r="A390" s="238"/>
      <c r="B390" s="238"/>
      <c r="C390" s="238"/>
      <c r="D390" s="238"/>
      <c r="E390" s="238"/>
      <c r="F390" s="238"/>
      <c r="G390" s="238"/>
      <c r="H390" s="238"/>
      <c r="I390" s="238"/>
      <c r="J390" s="238"/>
      <c r="K390" s="238"/>
      <c r="L390" s="238"/>
      <c r="M390" s="238"/>
      <c r="N390" s="238"/>
      <c r="O390" s="238"/>
      <c r="P390" s="238"/>
      <c r="Q390" s="238"/>
      <c r="R390" s="238"/>
      <c r="S390" s="238"/>
      <c r="T390" s="238"/>
      <c r="U390" s="238"/>
      <c r="V390" s="238"/>
      <c r="W390" s="238"/>
    </row>
    <row r="391" spans="1:23" ht="12.75">
      <c r="A391" s="238"/>
      <c r="B391" s="238"/>
      <c r="C391" s="238"/>
      <c r="D391" s="238"/>
      <c r="E391" s="238"/>
      <c r="F391" s="238"/>
      <c r="G391" s="238"/>
      <c r="H391" s="238"/>
      <c r="I391" s="238"/>
      <c r="J391" s="238"/>
      <c r="K391" s="238"/>
      <c r="L391" s="238"/>
      <c r="M391" s="238"/>
      <c r="N391" s="238"/>
      <c r="O391" s="238"/>
      <c r="P391" s="238"/>
      <c r="Q391" s="238"/>
      <c r="R391" s="238"/>
      <c r="S391" s="238"/>
      <c r="T391" s="238"/>
      <c r="U391" s="238"/>
      <c r="V391" s="238"/>
      <c r="W391" s="238"/>
    </row>
    <row r="392" spans="1:23" ht="12.75">
      <c r="A392" s="238"/>
      <c r="B392" s="238"/>
      <c r="C392" s="238"/>
      <c r="D392" s="238"/>
      <c r="E392" s="238"/>
      <c r="F392" s="238"/>
      <c r="G392" s="238"/>
      <c r="H392" s="238"/>
      <c r="I392" s="238"/>
      <c r="J392" s="238"/>
      <c r="K392" s="238"/>
      <c r="L392" s="238"/>
      <c r="M392" s="238"/>
      <c r="N392" s="238"/>
      <c r="O392" s="238"/>
      <c r="P392" s="238"/>
      <c r="Q392" s="238"/>
      <c r="R392" s="238"/>
      <c r="S392" s="238"/>
      <c r="T392" s="238"/>
      <c r="U392" s="238"/>
      <c r="V392" s="238"/>
      <c r="W392" s="238"/>
    </row>
    <row r="393" spans="1:23" ht="12.75">
      <c r="A393" s="238"/>
      <c r="B393" s="238"/>
      <c r="C393" s="238"/>
      <c r="D393" s="238"/>
      <c r="E393" s="238"/>
      <c r="F393" s="238"/>
      <c r="G393" s="238"/>
      <c r="H393" s="238"/>
      <c r="I393" s="238"/>
      <c r="J393" s="238"/>
      <c r="K393" s="238"/>
      <c r="L393" s="238"/>
      <c r="M393" s="238"/>
      <c r="N393" s="238"/>
      <c r="O393" s="238"/>
      <c r="P393" s="238"/>
      <c r="Q393" s="238"/>
      <c r="R393" s="238"/>
      <c r="S393" s="238"/>
      <c r="T393" s="238"/>
      <c r="U393" s="238"/>
      <c r="V393" s="238"/>
      <c r="W393" s="238"/>
    </row>
    <row r="394" spans="1:23" ht="12.75">
      <c r="A394" s="238"/>
      <c r="B394" s="238"/>
      <c r="C394" s="238"/>
      <c r="D394" s="238"/>
      <c r="E394" s="238"/>
      <c r="F394" s="238"/>
      <c r="G394" s="238"/>
      <c r="H394" s="238"/>
      <c r="I394" s="238"/>
      <c r="J394" s="238"/>
      <c r="K394" s="238"/>
      <c r="L394" s="238"/>
      <c r="M394" s="238"/>
      <c r="N394" s="238"/>
      <c r="O394" s="238"/>
      <c r="P394" s="238"/>
      <c r="Q394" s="238"/>
      <c r="R394" s="238"/>
      <c r="S394" s="238"/>
      <c r="T394" s="238"/>
      <c r="U394" s="238"/>
      <c r="V394" s="238"/>
      <c r="W394" s="238"/>
    </row>
    <row r="395" spans="1:23" ht="12.75">
      <c r="A395" s="238"/>
      <c r="B395" s="238"/>
      <c r="C395" s="238"/>
      <c r="D395" s="238"/>
      <c r="E395" s="238"/>
      <c r="F395" s="238"/>
      <c r="G395" s="238"/>
      <c r="H395" s="238"/>
      <c r="I395" s="238"/>
      <c r="J395" s="238"/>
      <c r="K395" s="238"/>
      <c r="L395" s="238"/>
      <c r="M395" s="238"/>
      <c r="N395" s="238"/>
      <c r="O395" s="238"/>
      <c r="P395" s="238"/>
      <c r="Q395" s="238"/>
      <c r="R395" s="238"/>
      <c r="S395" s="238"/>
      <c r="T395" s="238"/>
      <c r="U395" s="238"/>
      <c r="V395" s="238"/>
      <c r="W395" s="238"/>
    </row>
    <row r="396" spans="1:23" ht="12.75">
      <c r="A396" s="238"/>
      <c r="B396" s="238"/>
      <c r="C396" s="238"/>
      <c r="D396" s="238"/>
      <c r="E396" s="238"/>
      <c r="F396" s="238"/>
      <c r="G396" s="238"/>
      <c r="H396" s="238"/>
      <c r="I396" s="238"/>
      <c r="J396" s="238"/>
      <c r="K396" s="238"/>
      <c r="L396" s="238"/>
      <c r="M396" s="238"/>
      <c r="N396" s="238"/>
      <c r="O396" s="238"/>
      <c r="P396" s="238"/>
      <c r="Q396" s="238"/>
      <c r="R396" s="238"/>
      <c r="S396" s="238"/>
      <c r="T396" s="238"/>
      <c r="U396" s="238"/>
      <c r="V396" s="238"/>
      <c r="W396" s="238"/>
    </row>
    <row r="397" spans="1:23" ht="12.75">
      <c r="A397" s="238"/>
      <c r="B397" s="238"/>
      <c r="C397" s="238"/>
      <c r="D397" s="238"/>
      <c r="E397" s="238"/>
      <c r="F397" s="238"/>
      <c r="G397" s="238"/>
      <c r="H397" s="238"/>
      <c r="I397" s="238"/>
      <c r="J397" s="238"/>
      <c r="K397" s="238"/>
      <c r="L397" s="238"/>
      <c r="M397" s="238"/>
      <c r="N397" s="238"/>
      <c r="O397" s="238"/>
      <c r="P397" s="238"/>
      <c r="Q397" s="238"/>
      <c r="R397" s="238"/>
      <c r="S397" s="238"/>
      <c r="T397" s="238"/>
      <c r="U397" s="238"/>
      <c r="V397" s="238"/>
      <c r="W397" s="238"/>
    </row>
    <row r="398" spans="1:23" ht="12.75">
      <c r="A398" s="238"/>
      <c r="B398" s="238"/>
      <c r="C398" s="238"/>
      <c r="D398" s="238"/>
      <c r="E398" s="238"/>
      <c r="F398" s="238"/>
      <c r="G398" s="238"/>
      <c r="H398" s="238"/>
      <c r="I398" s="238"/>
      <c r="J398" s="238"/>
      <c r="K398" s="238"/>
      <c r="L398" s="238"/>
      <c r="M398" s="238"/>
      <c r="N398" s="238"/>
      <c r="O398" s="238"/>
      <c r="P398" s="238"/>
      <c r="Q398" s="238"/>
      <c r="R398" s="238"/>
      <c r="S398" s="238"/>
      <c r="T398" s="238"/>
      <c r="U398" s="238"/>
      <c r="V398" s="238"/>
      <c r="W398" s="238"/>
    </row>
    <row r="399" spans="1:23" ht="12.75">
      <c r="A399" s="238"/>
      <c r="B399" s="238"/>
      <c r="C399" s="238"/>
      <c r="D399" s="238"/>
      <c r="E399" s="238"/>
      <c r="F399" s="238"/>
      <c r="G399" s="238"/>
      <c r="H399" s="238"/>
      <c r="I399" s="238"/>
      <c r="J399" s="238"/>
      <c r="K399" s="238"/>
      <c r="L399" s="238"/>
      <c r="M399" s="238"/>
      <c r="N399" s="238"/>
      <c r="O399" s="238"/>
      <c r="P399" s="238"/>
      <c r="Q399" s="238"/>
      <c r="R399" s="238"/>
      <c r="S399" s="238"/>
      <c r="T399" s="238"/>
      <c r="U399" s="238"/>
      <c r="V399" s="238"/>
      <c r="W399" s="238"/>
    </row>
    <row r="400" spans="1:23" ht="12.75">
      <c r="A400" s="238"/>
      <c r="B400" s="238"/>
      <c r="C400" s="238"/>
      <c r="D400" s="238"/>
      <c r="E400" s="238"/>
      <c r="F400" s="238"/>
      <c r="G400" s="238"/>
      <c r="H400" s="238"/>
      <c r="I400" s="238"/>
      <c r="J400" s="238"/>
      <c r="K400" s="238"/>
      <c r="L400" s="238"/>
      <c r="M400" s="238"/>
      <c r="N400" s="238"/>
      <c r="O400" s="238"/>
      <c r="P400" s="238"/>
      <c r="Q400" s="238"/>
      <c r="R400" s="238"/>
      <c r="S400" s="238"/>
      <c r="T400" s="238"/>
      <c r="U400" s="238"/>
      <c r="V400" s="238"/>
      <c r="W400" s="238"/>
    </row>
    <row r="401" spans="1:23" ht="12.75">
      <c r="A401" s="238"/>
      <c r="B401" s="238"/>
      <c r="C401" s="238"/>
      <c r="D401" s="238"/>
      <c r="E401" s="238"/>
      <c r="F401" s="238"/>
      <c r="G401" s="238"/>
      <c r="H401" s="238"/>
      <c r="I401" s="238"/>
      <c r="J401" s="238"/>
      <c r="K401" s="238"/>
      <c r="L401" s="238"/>
      <c r="M401" s="238"/>
      <c r="N401" s="238"/>
      <c r="O401" s="238"/>
      <c r="P401" s="238"/>
      <c r="Q401" s="238"/>
      <c r="R401" s="238"/>
      <c r="S401" s="238"/>
      <c r="T401" s="238"/>
      <c r="U401" s="238"/>
      <c r="V401" s="238"/>
      <c r="W401" s="238"/>
    </row>
    <row r="402" spans="1:23" ht="12.75">
      <c r="A402" s="238"/>
      <c r="B402" s="238"/>
      <c r="C402" s="238"/>
      <c r="D402" s="238"/>
      <c r="E402" s="238"/>
      <c r="F402" s="238"/>
      <c r="G402" s="238"/>
      <c r="H402" s="238"/>
      <c r="I402" s="238"/>
      <c r="J402" s="238"/>
      <c r="K402" s="238"/>
      <c r="L402" s="238"/>
      <c r="M402" s="238"/>
      <c r="N402" s="238"/>
      <c r="O402" s="238"/>
      <c r="P402" s="238"/>
      <c r="Q402" s="238"/>
      <c r="R402" s="238"/>
      <c r="S402" s="238"/>
      <c r="T402" s="238"/>
      <c r="U402" s="238"/>
      <c r="V402" s="238"/>
      <c r="W402" s="238"/>
    </row>
    <row r="403" spans="1:23" ht="12.75">
      <c r="A403" s="238"/>
      <c r="B403" s="238"/>
      <c r="C403" s="238"/>
      <c r="D403" s="238"/>
      <c r="E403" s="238"/>
      <c r="F403" s="238"/>
      <c r="G403" s="238"/>
      <c r="H403" s="238"/>
      <c r="I403" s="238"/>
      <c r="J403" s="238"/>
      <c r="K403" s="238"/>
      <c r="L403" s="238"/>
      <c r="M403" s="238"/>
      <c r="N403" s="238"/>
      <c r="O403" s="238"/>
      <c r="P403" s="238"/>
      <c r="Q403" s="238"/>
      <c r="R403" s="238"/>
      <c r="S403" s="238"/>
      <c r="T403" s="238"/>
      <c r="U403" s="238"/>
      <c r="V403" s="238"/>
      <c r="W403" s="238"/>
    </row>
    <row r="404" spans="1:23" ht="12.75">
      <c r="A404" s="238"/>
      <c r="B404" s="238"/>
      <c r="C404" s="238"/>
      <c r="D404" s="238"/>
      <c r="E404" s="238"/>
      <c r="F404" s="238"/>
      <c r="G404" s="238"/>
      <c r="H404" s="238"/>
      <c r="I404" s="238"/>
      <c r="J404" s="238"/>
      <c r="K404" s="238"/>
      <c r="L404" s="238"/>
      <c r="M404" s="238"/>
      <c r="N404" s="238"/>
      <c r="O404" s="238"/>
      <c r="P404" s="238"/>
      <c r="Q404" s="238"/>
      <c r="R404" s="238"/>
      <c r="S404" s="238"/>
      <c r="T404" s="238"/>
      <c r="U404" s="238"/>
      <c r="V404" s="238"/>
      <c r="W404" s="238"/>
    </row>
    <row r="405" spans="1:23" ht="12.75">
      <c r="A405" s="238"/>
      <c r="B405" s="238"/>
      <c r="C405" s="238"/>
      <c r="D405" s="238"/>
      <c r="E405" s="238"/>
      <c r="F405" s="238"/>
      <c r="G405" s="238"/>
      <c r="H405" s="238"/>
      <c r="I405" s="238"/>
      <c r="J405" s="238"/>
      <c r="K405" s="238"/>
      <c r="L405" s="238"/>
      <c r="M405" s="238"/>
      <c r="N405" s="238"/>
      <c r="O405" s="238"/>
      <c r="P405" s="238"/>
      <c r="Q405" s="238"/>
      <c r="R405" s="238"/>
      <c r="S405" s="238"/>
      <c r="T405" s="238"/>
      <c r="U405" s="238"/>
      <c r="V405" s="238"/>
      <c r="W405" s="238"/>
    </row>
    <row r="406" spans="1:23" ht="12.75">
      <c r="A406" s="238"/>
      <c r="B406" s="238"/>
      <c r="C406" s="238"/>
      <c r="D406" s="238"/>
      <c r="E406" s="238"/>
      <c r="F406" s="238"/>
      <c r="G406" s="238"/>
      <c r="H406" s="238"/>
      <c r="I406" s="238"/>
      <c r="J406" s="238"/>
      <c r="K406" s="238"/>
      <c r="L406" s="238"/>
      <c r="M406" s="238"/>
      <c r="N406" s="238"/>
      <c r="O406" s="238"/>
      <c r="P406" s="238"/>
      <c r="Q406" s="238"/>
      <c r="R406" s="238"/>
      <c r="S406" s="238"/>
      <c r="T406" s="238"/>
      <c r="U406" s="238"/>
      <c r="V406" s="238"/>
      <c r="W406" s="238"/>
    </row>
    <row r="407" spans="1:23" ht="12.75">
      <c r="A407" s="238"/>
      <c r="B407" s="238"/>
      <c r="C407" s="238"/>
      <c r="D407" s="238"/>
      <c r="E407" s="238"/>
      <c r="F407" s="238"/>
      <c r="G407" s="238"/>
      <c r="H407" s="238"/>
      <c r="I407" s="238"/>
      <c r="J407" s="238"/>
      <c r="K407" s="238"/>
      <c r="L407" s="238"/>
      <c r="M407" s="238"/>
      <c r="N407" s="238"/>
      <c r="O407" s="238"/>
      <c r="P407" s="238"/>
      <c r="Q407" s="238"/>
      <c r="R407" s="238"/>
      <c r="S407" s="238"/>
      <c r="T407" s="238"/>
      <c r="U407" s="238"/>
      <c r="V407" s="238"/>
      <c r="W407" s="238"/>
    </row>
    <row r="408" spans="1:23" ht="12.75">
      <c r="A408" s="238"/>
      <c r="B408" s="238"/>
      <c r="C408" s="238"/>
      <c r="D408" s="238"/>
      <c r="E408" s="238"/>
      <c r="F408" s="238"/>
      <c r="G408" s="238"/>
      <c r="H408" s="238"/>
      <c r="I408" s="238"/>
      <c r="J408" s="238"/>
      <c r="K408" s="238"/>
      <c r="L408" s="238"/>
      <c r="M408" s="238"/>
      <c r="N408" s="238"/>
      <c r="O408" s="238"/>
      <c r="P408" s="238"/>
      <c r="Q408" s="238"/>
      <c r="R408" s="238"/>
      <c r="S408" s="238"/>
      <c r="T408" s="238"/>
      <c r="U408" s="238"/>
      <c r="V408" s="238"/>
      <c r="W408" s="238"/>
    </row>
    <row r="409" spans="1:23" ht="12.75">
      <c r="A409" s="238"/>
      <c r="B409" s="238"/>
      <c r="C409" s="238"/>
      <c r="D409" s="238"/>
      <c r="E409" s="238"/>
      <c r="F409" s="238"/>
      <c r="G409" s="238"/>
      <c r="H409" s="238"/>
      <c r="I409" s="238"/>
      <c r="J409" s="238"/>
      <c r="K409" s="238"/>
      <c r="L409" s="238"/>
      <c r="M409" s="238"/>
      <c r="N409" s="238"/>
      <c r="O409" s="238"/>
      <c r="P409" s="238"/>
      <c r="Q409" s="238"/>
      <c r="R409" s="238"/>
      <c r="S409" s="238"/>
      <c r="T409" s="238"/>
      <c r="U409" s="238"/>
      <c r="V409" s="238"/>
      <c r="W409" s="238"/>
    </row>
    <row r="410" spans="1:23" ht="12.75">
      <c r="A410" s="238"/>
      <c r="B410" s="238"/>
      <c r="C410" s="238"/>
      <c r="D410" s="238"/>
      <c r="E410" s="238"/>
      <c r="F410" s="238"/>
      <c r="G410" s="238"/>
      <c r="H410" s="238"/>
      <c r="I410" s="238"/>
      <c r="J410" s="238"/>
      <c r="K410" s="238"/>
      <c r="L410" s="238"/>
      <c r="M410" s="238"/>
      <c r="N410" s="238"/>
      <c r="O410" s="238"/>
      <c r="P410" s="238"/>
      <c r="Q410" s="238"/>
      <c r="R410" s="238"/>
      <c r="S410" s="238"/>
      <c r="T410" s="238"/>
      <c r="U410" s="238"/>
      <c r="V410" s="238"/>
      <c r="W410" s="238"/>
    </row>
    <row r="411" spans="1:23" ht="12.75">
      <c r="A411" s="238"/>
      <c r="B411" s="238"/>
      <c r="C411" s="238"/>
      <c r="D411" s="238"/>
      <c r="E411" s="238"/>
      <c r="F411" s="238"/>
      <c r="G411" s="238"/>
      <c r="H411" s="238"/>
      <c r="I411" s="238"/>
      <c r="J411" s="238"/>
      <c r="K411" s="238"/>
      <c r="L411" s="238"/>
      <c r="M411" s="238"/>
      <c r="N411" s="238"/>
      <c r="O411" s="238"/>
      <c r="P411" s="238"/>
      <c r="Q411" s="238"/>
      <c r="R411" s="238"/>
      <c r="S411" s="238"/>
      <c r="T411" s="238"/>
      <c r="U411" s="238"/>
      <c r="V411" s="238"/>
      <c r="W411" s="238"/>
    </row>
    <row r="412" spans="1:23" ht="12.75">
      <c r="A412" s="238"/>
      <c r="B412" s="238"/>
      <c r="C412" s="238"/>
      <c r="D412" s="238"/>
      <c r="E412" s="238"/>
      <c r="F412" s="238"/>
      <c r="G412" s="238"/>
      <c r="H412" s="238"/>
      <c r="I412" s="238"/>
      <c r="J412" s="238"/>
      <c r="K412" s="238"/>
      <c r="L412" s="238"/>
      <c r="M412" s="238"/>
      <c r="N412" s="238"/>
      <c r="O412" s="238"/>
      <c r="P412" s="238"/>
      <c r="Q412" s="238"/>
      <c r="R412" s="238"/>
      <c r="S412" s="238"/>
      <c r="T412" s="238"/>
      <c r="U412" s="238"/>
      <c r="V412" s="238"/>
      <c r="W412" s="238"/>
    </row>
    <row r="413" spans="1:23" ht="12.75">
      <c r="A413" s="238"/>
      <c r="B413" s="238"/>
      <c r="C413" s="238"/>
      <c r="D413" s="238"/>
      <c r="E413" s="238"/>
      <c r="F413" s="238"/>
      <c r="G413" s="238"/>
      <c r="H413" s="238"/>
      <c r="I413" s="238"/>
      <c r="J413" s="238"/>
      <c r="K413" s="238"/>
      <c r="L413" s="238"/>
      <c r="M413" s="238"/>
      <c r="N413" s="238"/>
      <c r="O413" s="238"/>
      <c r="P413" s="238"/>
      <c r="Q413" s="238"/>
      <c r="R413" s="238"/>
      <c r="S413" s="238"/>
      <c r="T413" s="238"/>
      <c r="U413" s="238"/>
      <c r="V413" s="238"/>
      <c r="W413" s="238"/>
    </row>
    <row r="414" spans="1:23" ht="12.75">
      <c r="A414" s="238"/>
      <c r="B414" s="238"/>
      <c r="C414" s="238"/>
      <c r="D414" s="238"/>
      <c r="E414" s="238"/>
      <c r="F414" s="238"/>
      <c r="G414" s="238"/>
      <c r="H414" s="238"/>
      <c r="I414" s="238"/>
      <c r="J414" s="238"/>
      <c r="K414" s="238"/>
      <c r="L414" s="238"/>
      <c r="M414" s="238"/>
      <c r="N414" s="238"/>
      <c r="O414" s="238"/>
      <c r="P414" s="238"/>
      <c r="Q414" s="238"/>
      <c r="R414" s="238"/>
      <c r="S414" s="238"/>
      <c r="T414" s="238"/>
      <c r="U414" s="238"/>
      <c r="V414" s="238"/>
      <c r="W414" s="238"/>
    </row>
    <row r="415" spans="1:23" ht="12.75">
      <c r="A415" s="238"/>
      <c r="B415" s="238"/>
      <c r="C415" s="238"/>
      <c r="D415" s="238"/>
      <c r="E415" s="238"/>
      <c r="F415" s="238"/>
      <c r="G415" s="238"/>
      <c r="H415" s="238"/>
      <c r="I415" s="238"/>
      <c r="J415" s="238"/>
      <c r="K415" s="238"/>
      <c r="L415" s="238"/>
      <c r="M415" s="238"/>
      <c r="N415" s="238"/>
      <c r="O415" s="238"/>
      <c r="P415" s="238"/>
      <c r="Q415" s="238"/>
      <c r="R415" s="238"/>
      <c r="S415" s="238"/>
      <c r="T415" s="238"/>
      <c r="U415" s="238"/>
      <c r="V415" s="238"/>
      <c r="W415" s="238"/>
    </row>
    <row r="416" spans="1:23" ht="12.75">
      <c r="A416" s="238"/>
      <c r="B416" s="238"/>
      <c r="C416" s="238"/>
      <c r="D416" s="238"/>
      <c r="E416" s="238"/>
      <c r="F416" s="238"/>
      <c r="G416" s="238"/>
      <c r="H416" s="238"/>
      <c r="I416" s="238"/>
      <c r="J416" s="238"/>
      <c r="K416" s="238"/>
      <c r="L416" s="238"/>
      <c r="M416" s="238"/>
      <c r="N416" s="238"/>
      <c r="O416" s="238"/>
      <c r="P416" s="238"/>
      <c r="Q416" s="238"/>
      <c r="R416" s="238"/>
      <c r="S416" s="238"/>
      <c r="T416" s="238"/>
      <c r="U416" s="238"/>
      <c r="V416" s="238"/>
      <c r="W416" s="238"/>
    </row>
    <row r="417" spans="1:23" ht="12.75">
      <c r="A417" s="238"/>
      <c r="B417" s="238"/>
      <c r="C417" s="238"/>
      <c r="D417" s="238"/>
      <c r="E417" s="238"/>
      <c r="F417" s="238"/>
      <c r="G417" s="238"/>
      <c r="H417" s="238"/>
      <c r="I417" s="238"/>
      <c r="J417" s="238"/>
      <c r="K417" s="238"/>
      <c r="L417" s="238"/>
      <c r="M417" s="238"/>
      <c r="N417" s="238"/>
      <c r="O417" s="238"/>
      <c r="P417" s="238"/>
      <c r="Q417" s="238"/>
      <c r="R417" s="238"/>
      <c r="S417" s="238"/>
      <c r="T417" s="238"/>
      <c r="U417" s="238"/>
      <c r="V417" s="238"/>
      <c r="W417" s="238"/>
    </row>
    <row r="418" spans="1:23" ht="12.75">
      <c r="A418" s="238"/>
      <c r="B418" s="238"/>
      <c r="C418" s="238"/>
      <c r="D418" s="238"/>
      <c r="E418" s="238"/>
      <c r="F418" s="238"/>
      <c r="G418" s="238"/>
      <c r="H418" s="238"/>
      <c r="I418" s="238"/>
      <c r="J418" s="238"/>
      <c r="K418" s="238"/>
      <c r="L418" s="238"/>
      <c r="M418" s="238"/>
      <c r="N418" s="238"/>
      <c r="O418" s="238"/>
      <c r="P418" s="238"/>
      <c r="Q418" s="238"/>
      <c r="R418" s="238"/>
      <c r="S418" s="238"/>
      <c r="T418" s="238"/>
      <c r="U418" s="238"/>
      <c r="V418" s="238"/>
      <c r="W418" s="238"/>
    </row>
    <row r="419" spans="1:23" ht="12.75">
      <c r="A419" s="238"/>
      <c r="B419" s="238"/>
      <c r="C419" s="238"/>
      <c r="D419" s="238"/>
      <c r="E419" s="238"/>
      <c r="F419" s="238"/>
      <c r="G419" s="238"/>
      <c r="H419" s="238"/>
      <c r="I419" s="238"/>
      <c r="J419" s="238"/>
      <c r="K419" s="238"/>
      <c r="L419" s="238"/>
      <c r="M419" s="238"/>
      <c r="N419" s="238"/>
      <c r="O419" s="238"/>
      <c r="P419" s="238"/>
      <c r="Q419" s="238"/>
      <c r="R419" s="238"/>
      <c r="S419" s="238"/>
      <c r="T419" s="238"/>
      <c r="U419" s="238"/>
      <c r="V419" s="238"/>
      <c r="W419" s="238"/>
    </row>
    <row r="420" spans="1:23" ht="12.75">
      <c r="A420" s="238"/>
      <c r="B420" s="238"/>
      <c r="C420" s="238"/>
      <c r="D420" s="238"/>
      <c r="E420" s="238"/>
      <c r="F420" s="238"/>
      <c r="G420" s="238"/>
      <c r="H420" s="238"/>
      <c r="I420" s="238"/>
      <c r="J420" s="238"/>
      <c r="K420" s="238"/>
      <c r="L420" s="238"/>
      <c r="M420" s="238"/>
      <c r="N420" s="238"/>
      <c r="O420" s="238"/>
      <c r="P420" s="238"/>
      <c r="Q420" s="238"/>
      <c r="R420" s="238"/>
      <c r="S420" s="238"/>
      <c r="T420" s="238"/>
      <c r="U420" s="238"/>
      <c r="V420" s="238"/>
      <c r="W420" s="238"/>
    </row>
    <row r="421" spans="1:23" ht="12.75">
      <c r="A421" s="238"/>
      <c r="B421" s="238"/>
      <c r="C421" s="238"/>
      <c r="D421" s="238"/>
      <c r="E421" s="238"/>
      <c r="F421" s="238"/>
      <c r="G421" s="238"/>
      <c r="H421" s="238"/>
      <c r="I421" s="238"/>
      <c r="J421" s="238"/>
      <c r="K421" s="238"/>
      <c r="L421" s="238"/>
      <c r="M421" s="238"/>
      <c r="N421" s="238"/>
      <c r="O421" s="238"/>
      <c r="P421" s="238"/>
      <c r="Q421" s="238"/>
      <c r="R421" s="238"/>
      <c r="S421" s="238"/>
      <c r="T421" s="238"/>
      <c r="U421" s="238"/>
      <c r="V421" s="238"/>
      <c r="W421" s="238"/>
    </row>
    <row r="422" spans="1:23" ht="12.75">
      <c r="A422" s="238"/>
      <c r="B422" s="238"/>
      <c r="C422" s="238"/>
      <c r="D422" s="238"/>
      <c r="E422" s="238"/>
      <c r="F422" s="238"/>
      <c r="G422" s="238"/>
      <c r="H422" s="238"/>
      <c r="I422" s="238"/>
      <c r="J422" s="238"/>
      <c r="K422" s="238"/>
      <c r="L422" s="238"/>
      <c r="M422" s="238"/>
      <c r="N422" s="238"/>
      <c r="O422" s="238"/>
      <c r="P422" s="238"/>
      <c r="Q422" s="238"/>
      <c r="R422" s="238"/>
      <c r="S422" s="238"/>
      <c r="T422" s="238"/>
      <c r="U422" s="238"/>
      <c r="V422" s="238"/>
      <c r="W422" s="238"/>
    </row>
    <row r="423" spans="1:23" ht="12.75">
      <c r="A423" s="238"/>
      <c r="B423" s="238"/>
      <c r="C423" s="238"/>
      <c r="D423" s="238"/>
      <c r="E423" s="238"/>
      <c r="F423" s="238"/>
      <c r="G423" s="238"/>
      <c r="H423" s="238"/>
      <c r="I423" s="238"/>
      <c r="J423" s="238"/>
      <c r="K423" s="238"/>
      <c r="L423" s="238"/>
      <c r="M423" s="238"/>
      <c r="N423" s="238"/>
      <c r="O423" s="238"/>
      <c r="P423" s="238"/>
      <c r="Q423" s="238"/>
      <c r="R423" s="238"/>
      <c r="S423" s="238"/>
      <c r="T423" s="238"/>
      <c r="U423" s="238"/>
      <c r="V423" s="238"/>
      <c r="W423" s="238"/>
    </row>
    <row r="424" spans="1:23" ht="12.75">
      <c r="A424" s="238"/>
      <c r="B424" s="238"/>
      <c r="C424" s="238"/>
      <c r="D424" s="238"/>
      <c r="E424" s="238"/>
      <c r="F424" s="238"/>
      <c r="G424" s="238"/>
      <c r="H424" s="238"/>
      <c r="I424" s="238"/>
      <c r="J424" s="238"/>
      <c r="K424" s="238"/>
      <c r="L424" s="238"/>
      <c r="M424" s="238"/>
      <c r="N424" s="238"/>
      <c r="O424" s="238"/>
      <c r="P424" s="238"/>
      <c r="Q424" s="238"/>
      <c r="R424" s="238"/>
      <c r="S424" s="238"/>
      <c r="T424" s="238"/>
      <c r="U424" s="238"/>
      <c r="V424" s="238"/>
      <c r="W424" s="238"/>
    </row>
    <row r="425" spans="1:23" ht="12.75">
      <c r="A425" s="238"/>
      <c r="B425" s="238"/>
      <c r="C425" s="238"/>
      <c r="D425" s="238"/>
      <c r="E425" s="238"/>
      <c r="F425" s="238"/>
      <c r="G425" s="238"/>
      <c r="H425" s="238"/>
      <c r="I425" s="238"/>
      <c r="J425" s="238"/>
      <c r="K425" s="238"/>
      <c r="L425" s="238"/>
      <c r="M425" s="238"/>
      <c r="N425" s="238"/>
      <c r="O425" s="238"/>
      <c r="P425" s="238"/>
      <c r="Q425" s="238"/>
      <c r="R425" s="238"/>
      <c r="S425" s="238"/>
      <c r="T425" s="238"/>
      <c r="U425" s="238"/>
      <c r="V425" s="238"/>
      <c r="W425" s="238"/>
    </row>
    <row r="426" spans="1:23" ht="12.75">
      <c r="A426" s="238"/>
      <c r="B426" s="238"/>
      <c r="C426" s="238"/>
      <c r="D426" s="238"/>
      <c r="E426" s="238"/>
      <c r="F426" s="238"/>
      <c r="G426" s="238"/>
      <c r="H426" s="238"/>
      <c r="I426" s="238"/>
      <c r="J426" s="238"/>
      <c r="K426" s="238"/>
      <c r="L426" s="238"/>
      <c r="M426" s="238"/>
      <c r="N426" s="238"/>
      <c r="O426" s="238"/>
      <c r="P426" s="238"/>
      <c r="Q426" s="238"/>
      <c r="R426" s="238"/>
      <c r="S426" s="238"/>
      <c r="T426" s="238"/>
      <c r="U426" s="238"/>
      <c r="V426" s="238"/>
      <c r="W426" s="238"/>
    </row>
    <row r="427" spans="1:23" ht="12.75">
      <c r="A427" s="238"/>
      <c r="B427" s="238"/>
      <c r="C427" s="238"/>
      <c r="D427" s="238"/>
      <c r="E427" s="238"/>
      <c r="F427" s="238"/>
      <c r="G427" s="238"/>
      <c r="H427" s="238"/>
      <c r="I427" s="238"/>
      <c r="J427" s="238"/>
      <c r="K427" s="238"/>
      <c r="L427" s="238"/>
      <c r="M427" s="238"/>
      <c r="N427" s="238"/>
      <c r="O427" s="238"/>
      <c r="P427" s="238"/>
      <c r="Q427" s="238"/>
      <c r="R427" s="238"/>
      <c r="S427" s="238"/>
      <c r="T427" s="238"/>
      <c r="U427" s="238"/>
      <c r="V427" s="238"/>
      <c r="W427" s="238"/>
    </row>
    <row r="428" spans="1:23" ht="12.75">
      <c r="A428" s="238"/>
      <c r="B428" s="238"/>
      <c r="C428" s="238"/>
      <c r="D428" s="238"/>
      <c r="E428" s="238"/>
      <c r="F428" s="238"/>
      <c r="G428" s="238"/>
      <c r="H428" s="238"/>
      <c r="I428" s="238"/>
      <c r="J428" s="238"/>
      <c r="K428" s="238"/>
      <c r="L428" s="238"/>
      <c r="M428" s="238"/>
      <c r="N428" s="238"/>
      <c r="O428" s="238"/>
      <c r="P428" s="238"/>
      <c r="Q428" s="238"/>
      <c r="R428" s="238"/>
      <c r="S428" s="238"/>
      <c r="T428" s="238"/>
      <c r="U428" s="238"/>
      <c r="V428" s="238"/>
      <c r="W428" s="238"/>
    </row>
    <row r="429" spans="1:23" ht="12.75">
      <c r="A429" s="238"/>
      <c r="B429" s="238"/>
      <c r="C429" s="238"/>
      <c r="D429" s="238"/>
      <c r="E429" s="238"/>
      <c r="F429" s="238"/>
      <c r="G429" s="238"/>
      <c r="H429" s="238"/>
      <c r="I429" s="238"/>
      <c r="J429" s="238"/>
      <c r="K429" s="238"/>
      <c r="L429" s="238"/>
      <c r="M429" s="238"/>
      <c r="N429" s="238"/>
      <c r="O429" s="238"/>
      <c r="P429" s="238"/>
      <c r="Q429" s="238"/>
      <c r="R429" s="238"/>
      <c r="S429" s="238"/>
      <c r="T429" s="238"/>
      <c r="U429" s="238"/>
      <c r="V429" s="238"/>
      <c r="W429" s="238"/>
    </row>
    <row r="430" spans="1:23" ht="12.75">
      <c r="A430" s="238"/>
      <c r="B430" s="238"/>
      <c r="C430" s="238"/>
      <c r="D430" s="238"/>
      <c r="E430" s="238"/>
      <c r="F430" s="238"/>
      <c r="G430" s="238"/>
      <c r="H430" s="238"/>
      <c r="I430" s="238"/>
      <c r="J430" s="238"/>
      <c r="K430" s="238"/>
      <c r="L430" s="238"/>
      <c r="M430" s="238"/>
      <c r="N430" s="238"/>
      <c r="O430" s="238"/>
      <c r="P430" s="238"/>
      <c r="Q430" s="238"/>
      <c r="R430" s="238"/>
      <c r="S430" s="238"/>
      <c r="T430" s="238"/>
      <c r="U430" s="238"/>
      <c r="V430" s="238"/>
      <c r="W430" s="238"/>
    </row>
    <row r="431" spans="1:23" ht="12.75">
      <c r="A431" s="238"/>
      <c r="B431" s="238"/>
      <c r="C431" s="238"/>
      <c r="D431" s="238"/>
      <c r="E431" s="238"/>
      <c r="F431" s="238"/>
      <c r="G431" s="238"/>
      <c r="H431" s="238"/>
      <c r="I431" s="238"/>
      <c r="J431" s="238"/>
      <c r="K431" s="238"/>
      <c r="L431" s="238"/>
      <c r="M431" s="238"/>
      <c r="N431" s="238"/>
      <c r="O431" s="238"/>
      <c r="P431" s="238"/>
      <c r="Q431" s="238"/>
      <c r="R431" s="238"/>
      <c r="S431" s="238"/>
      <c r="T431" s="238"/>
      <c r="U431" s="238"/>
      <c r="V431" s="238"/>
      <c r="W431" s="238"/>
    </row>
    <row r="432" spans="1:23" ht="12.75">
      <c r="A432" s="238"/>
      <c r="B432" s="238"/>
      <c r="C432" s="238"/>
      <c r="D432" s="238"/>
      <c r="E432" s="238"/>
      <c r="F432" s="238"/>
      <c r="G432" s="238"/>
      <c r="H432" s="238"/>
      <c r="I432" s="238"/>
      <c r="J432" s="238"/>
      <c r="K432" s="238"/>
      <c r="L432" s="238"/>
      <c r="M432" s="238"/>
      <c r="N432" s="238"/>
      <c r="O432" s="238"/>
      <c r="P432" s="238"/>
      <c r="Q432" s="238"/>
      <c r="R432" s="238"/>
      <c r="S432" s="238"/>
      <c r="T432" s="238"/>
      <c r="U432" s="238"/>
      <c r="V432" s="238"/>
      <c r="W432" s="238"/>
    </row>
    <row r="433" spans="1:23" ht="12.75">
      <c r="A433" s="238"/>
      <c r="B433" s="238"/>
      <c r="C433" s="238"/>
      <c r="D433" s="238"/>
      <c r="E433" s="238"/>
      <c r="F433" s="238"/>
      <c r="G433" s="238"/>
      <c r="H433" s="238"/>
      <c r="I433" s="238"/>
      <c r="J433" s="238"/>
      <c r="K433" s="238"/>
      <c r="L433" s="238"/>
      <c r="M433" s="238"/>
      <c r="N433" s="238"/>
      <c r="O433" s="238"/>
      <c r="P433" s="238"/>
      <c r="Q433" s="238"/>
      <c r="R433" s="238"/>
      <c r="S433" s="238"/>
      <c r="T433" s="238"/>
      <c r="U433" s="238"/>
      <c r="V433" s="238"/>
      <c r="W433" s="238"/>
    </row>
    <row r="434" spans="1:23" ht="12.75">
      <c r="A434" s="238"/>
      <c r="B434" s="238"/>
      <c r="C434" s="238"/>
      <c r="D434" s="238"/>
      <c r="E434" s="238"/>
      <c r="F434" s="238"/>
      <c r="G434" s="238"/>
      <c r="H434" s="238"/>
      <c r="I434" s="238"/>
      <c r="J434" s="238"/>
      <c r="K434" s="238"/>
      <c r="L434" s="238"/>
      <c r="M434" s="238"/>
      <c r="N434" s="238"/>
      <c r="O434" s="238"/>
      <c r="P434" s="238"/>
      <c r="Q434" s="238"/>
      <c r="R434" s="238"/>
      <c r="S434" s="238"/>
      <c r="T434" s="238"/>
      <c r="U434" s="238"/>
      <c r="V434" s="238"/>
      <c r="W434" s="238"/>
    </row>
    <row r="435" spans="1:23" ht="12.75">
      <c r="A435" s="238"/>
      <c r="B435" s="238"/>
      <c r="C435" s="238"/>
      <c r="D435" s="238"/>
      <c r="E435" s="238"/>
      <c r="F435" s="238"/>
      <c r="G435" s="238"/>
      <c r="H435" s="238"/>
      <c r="I435" s="238"/>
      <c r="J435" s="238"/>
      <c r="K435" s="238"/>
      <c r="L435" s="238"/>
      <c r="M435" s="238"/>
      <c r="N435" s="238"/>
      <c r="O435" s="238"/>
      <c r="P435" s="238"/>
      <c r="Q435" s="238"/>
      <c r="R435" s="238"/>
      <c r="S435" s="238"/>
      <c r="T435" s="238"/>
      <c r="U435" s="238"/>
      <c r="V435" s="238"/>
      <c r="W435" s="238"/>
    </row>
    <row r="436" spans="1:23" ht="12.75">
      <c r="A436" s="238"/>
      <c r="B436" s="238"/>
      <c r="C436" s="238"/>
      <c r="D436" s="238"/>
      <c r="E436" s="238"/>
      <c r="F436" s="238"/>
      <c r="G436" s="238"/>
      <c r="H436" s="238"/>
      <c r="I436" s="238"/>
      <c r="J436" s="238"/>
      <c r="K436" s="238"/>
      <c r="L436" s="238"/>
      <c r="M436" s="238"/>
      <c r="N436" s="238"/>
      <c r="O436" s="238"/>
      <c r="P436" s="238"/>
      <c r="Q436" s="238"/>
      <c r="R436" s="238"/>
      <c r="S436" s="238"/>
      <c r="T436" s="238"/>
      <c r="U436" s="238"/>
      <c r="V436" s="238"/>
      <c r="W436" s="238"/>
    </row>
    <row r="437" spans="1:23" ht="12.75">
      <c r="A437" s="238"/>
      <c r="B437" s="238"/>
      <c r="C437" s="238"/>
      <c r="D437" s="238"/>
      <c r="E437" s="238"/>
      <c r="F437" s="238"/>
      <c r="G437" s="238"/>
      <c r="H437" s="238"/>
      <c r="I437" s="238"/>
      <c r="J437" s="238"/>
      <c r="K437" s="238"/>
      <c r="L437" s="238"/>
      <c r="M437" s="238"/>
      <c r="N437" s="238"/>
      <c r="O437" s="238"/>
      <c r="P437" s="238"/>
      <c r="Q437" s="238"/>
      <c r="R437" s="238"/>
      <c r="S437" s="238"/>
      <c r="T437" s="238"/>
      <c r="U437" s="238"/>
      <c r="V437" s="238"/>
      <c r="W437" s="238"/>
    </row>
    <row r="438" spans="1:23" ht="12.75">
      <c r="A438" s="238"/>
      <c r="B438" s="238"/>
      <c r="C438" s="238"/>
      <c r="D438" s="238"/>
      <c r="E438" s="238"/>
      <c r="F438" s="238"/>
      <c r="G438" s="238"/>
      <c r="H438" s="238"/>
      <c r="I438" s="238"/>
      <c r="J438" s="238"/>
      <c r="K438" s="238"/>
      <c r="L438" s="238"/>
      <c r="M438" s="238"/>
      <c r="N438" s="238"/>
      <c r="O438" s="238"/>
      <c r="P438" s="238"/>
      <c r="Q438" s="238"/>
      <c r="R438" s="238"/>
      <c r="S438" s="238"/>
      <c r="T438" s="238"/>
      <c r="U438" s="238"/>
      <c r="V438" s="238"/>
      <c r="W438" s="238"/>
    </row>
    <row r="439" spans="1:23" ht="12.75">
      <c r="A439" s="238"/>
      <c r="B439" s="238"/>
      <c r="C439" s="238"/>
      <c r="D439" s="238"/>
      <c r="E439" s="238"/>
      <c r="F439" s="238"/>
      <c r="G439" s="238"/>
      <c r="H439" s="238"/>
      <c r="I439" s="238"/>
      <c r="J439" s="238"/>
      <c r="K439" s="238"/>
      <c r="L439" s="238"/>
      <c r="M439" s="238"/>
      <c r="N439" s="238"/>
      <c r="O439" s="238"/>
      <c r="P439" s="238"/>
      <c r="Q439" s="238"/>
      <c r="R439" s="238"/>
      <c r="S439" s="238"/>
      <c r="T439" s="238"/>
      <c r="U439" s="238"/>
      <c r="V439" s="238"/>
      <c r="W439" s="238"/>
    </row>
    <row r="440" spans="1:23" ht="12.75">
      <c r="A440" s="238"/>
      <c r="B440" s="238"/>
      <c r="C440" s="238"/>
      <c r="D440" s="238"/>
      <c r="E440" s="238"/>
      <c r="F440" s="238"/>
      <c r="G440" s="238"/>
      <c r="H440" s="238"/>
      <c r="I440" s="238"/>
      <c r="J440" s="238"/>
      <c r="K440" s="238"/>
      <c r="L440" s="238"/>
      <c r="M440" s="238"/>
      <c r="N440" s="238"/>
      <c r="O440" s="238"/>
      <c r="P440" s="238"/>
      <c r="Q440" s="238"/>
      <c r="R440" s="238"/>
      <c r="S440" s="238"/>
      <c r="T440" s="238"/>
      <c r="U440" s="238"/>
      <c r="V440" s="238"/>
      <c r="W440" s="238"/>
    </row>
    <row r="441" spans="1:23" ht="12.75">
      <c r="A441" s="238"/>
      <c r="B441" s="238"/>
      <c r="C441" s="238"/>
      <c r="D441" s="238"/>
      <c r="E441" s="238"/>
      <c r="F441" s="238"/>
      <c r="G441" s="238"/>
      <c r="H441" s="238"/>
      <c r="I441" s="238"/>
      <c r="J441" s="238"/>
      <c r="K441" s="238"/>
      <c r="L441" s="238"/>
      <c r="M441" s="238"/>
      <c r="N441" s="238"/>
      <c r="O441" s="238"/>
      <c r="P441" s="238"/>
      <c r="Q441" s="238"/>
      <c r="R441" s="238"/>
      <c r="S441" s="238"/>
      <c r="T441" s="238"/>
      <c r="U441" s="238"/>
      <c r="V441" s="238"/>
      <c r="W441" s="238"/>
    </row>
    <row r="442" spans="1:23" ht="12.75">
      <c r="A442" s="238"/>
      <c r="B442" s="238"/>
      <c r="C442" s="238"/>
      <c r="D442" s="238"/>
      <c r="E442" s="238"/>
      <c r="F442" s="238"/>
      <c r="G442" s="238"/>
      <c r="H442" s="238"/>
      <c r="I442" s="238"/>
      <c r="J442" s="238"/>
      <c r="K442" s="238"/>
      <c r="L442" s="238"/>
      <c r="M442" s="238"/>
      <c r="N442" s="238"/>
      <c r="O442" s="238"/>
      <c r="P442" s="238"/>
      <c r="Q442" s="238"/>
      <c r="R442" s="238"/>
      <c r="S442" s="238"/>
      <c r="T442" s="238"/>
      <c r="U442" s="238"/>
      <c r="V442" s="238"/>
      <c r="W442" s="238"/>
    </row>
    <row r="443" spans="1:23" ht="12.75">
      <c r="A443" s="238"/>
      <c r="B443" s="238"/>
      <c r="C443" s="238"/>
      <c r="D443" s="238"/>
      <c r="E443" s="238"/>
      <c r="F443" s="238"/>
      <c r="G443" s="238"/>
      <c r="H443" s="238"/>
      <c r="I443" s="238"/>
      <c r="J443" s="238"/>
      <c r="K443" s="238"/>
      <c r="L443" s="238"/>
      <c r="M443" s="238"/>
      <c r="N443" s="238"/>
      <c r="O443" s="238"/>
      <c r="P443" s="238"/>
      <c r="Q443" s="238"/>
      <c r="R443" s="238"/>
      <c r="S443" s="238"/>
      <c r="T443" s="238"/>
      <c r="U443" s="238"/>
      <c r="V443" s="238"/>
      <c r="W443" s="238"/>
    </row>
    <row r="444" spans="1:23" ht="12.75">
      <c r="A444" s="238"/>
      <c r="B444" s="238"/>
      <c r="C444" s="238"/>
      <c r="D444" s="238"/>
      <c r="E444" s="238"/>
      <c r="F444" s="238"/>
      <c r="G444" s="238"/>
      <c r="H444" s="238"/>
      <c r="I444" s="238"/>
      <c r="J444" s="238"/>
      <c r="K444" s="238"/>
      <c r="L444" s="238"/>
      <c r="M444" s="238"/>
      <c r="N444" s="238"/>
      <c r="O444" s="238"/>
      <c r="P444" s="238"/>
      <c r="Q444" s="238"/>
      <c r="R444" s="238"/>
      <c r="S444" s="238"/>
      <c r="T444" s="238"/>
      <c r="U444" s="238"/>
      <c r="V444" s="238"/>
      <c r="W444" s="238"/>
    </row>
    <row r="445" spans="1:23" ht="12.75">
      <c r="A445" s="238"/>
      <c r="B445" s="238"/>
      <c r="C445" s="238"/>
      <c r="D445" s="238"/>
      <c r="E445" s="238"/>
      <c r="F445" s="238"/>
      <c r="G445" s="238"/>
      <c r="H445" s="238"/>
      <c r="I445" s="238"/>
      <c r="J445" s="238"/>
      <c r="K445" s="238"/>
      <c r="L445" s="238"/>
      <c r="M445" s="238"/>
      <c r="N445" s="238"/>
      <c r="O445" s="238"/>
      <c r="P445" s="238"/>
      <c r="Q445" s="238"/>
      <c r="R445" s="238"/>
      <c r="S445" s="238"/>
      <c r="T445" s="238"/>
      <c r="U445" s="238"/>
      <c r="V445" s="238"/>
      <c r="W445" s="238"/>
    </row>
    <row r="446" spans="1:23" ht="12.75">
      <c r="A446" s="238"/>
      <c r="B446" s="238"/>
      <c r="C446" s="238"/>
      <c r="D446" s="238"/>
      <c r="E446" s="238"/>
      <c r="F446" s="238"/>
      <c r="G446" s="238"/>
      <c r="H446" s="238"/>
      <c r="I446" s="238"/>
      <c r="J446" s="238"/>
      <c r="K446" s="238"/>
      <c r="L446" s="238"/>
      <c r="M446" s="238"/>
      <c r="N446" s="238"/>
      <c r="O446" s="238"/>
      <c r="P446" s="238"/>
      <c r="Q446" s="238"/>
      <c r="R446" s="238"/>
      <c r="S446" s="238"/>
      <c r="T446" s="238"/>
      <c r="U446" s="238"/>
      <c r="V446" s="238"/>
      <c r="W446" s="238"/>
    </row>
    <row r="447" spans="1:23" ht="12.75">
      <c r="A447" s="238"/>
      <c r="B447" s="238"/>
      <c r="C447" s="238"/>
      <c r="D447" s="238"/>
      <c r="E447" s="238"/>
      <c r="F447" s="238"/>
      <c r="G447" s="238"/>
      <c r="H447" s="238"/>
      <c r="I447" s="238"/>
      <c r="J447" s="238"/>
      <c r="K447" s="238"/>
      <c r="L447" s="238"/>
      <c r="M447" s="238"/>
      <c r="N447" s="238"/>
      <c r="O447" s="238"/>
      <c r="P447" s="238"/>
      <c r="Q447" s="238"/>
      <c r="R447" s="238"/>
      <c r="S447" s="238"/>
      <c r="T447" s="238"/>
      <c r="U447" s="238"/>
      <c r="V447" s="238"/>
      <c r="W447" s="238"/>
    </row>
    <row r="448" spans="1:23" ht="12.75">
      <c r="A448" s="238"/>
      <c r="B448" s="238"/>
      <c r="C448" s="238"/>
      <c r="D448" s="238"/>
      <c r="E448" s="238"/>
      <c r="F448" s="238"/>
      <c r="G448" s="238"/>
      <c r="H448" s="238"/>
      <c r="I448" s="238"/>
      <c r="J448" s="238"/>
      <c r="K448" s="238"/>
      <c r="L448" s="238"/>
      <c r="M448" s="238"/>
      <c r="N448" s="238"/>
      <c r="O448" s="238"/>
      <c r="P448" s="238"/>
      <c r="Q448" s="238"/>
      <c r="R448" s="238"/>
      <c r="S448" s="238"/>
      <c r="T448" s="238"/>
      <c r="U448" s="238"/>
      <c r="V448" s="238"/>
      <c r="W448" s="238"/>
    </row>
    <row r="449" spans="1:23" ht="12.75">
      <c r="A449" s="238"/>
      <c r="B449" s="238"/>
      <c r="C449" s="238"/>
      <c r="D449" s="238"/>
      <c r="E449" s="238"/>
      <c r="F449" s="238"/>
      <c r="G449" s="238"/>
      <c r="H449" s="238"/>
      <c r="I449" s="238"/>
      <c r="J449" s="238"/>
      <c r="K449" s="238"/>
      <c r="L449" s="238"/>
      <c r="M449" s="238"/>
      <c r="N449" s="238"/>
      <c r="O449" s="238"/>
      <c r="P449" s="238"/>
      <c r="Q449" s="238"/>
      <c r="R449" s="238"/>
      <c r="S449" s="238"/>
      <c r="T449" s="238"/>
      <c r="U449" s="238"/>
      <c r="V449" s="238"/>
      <c r="W449" s="238"/>
    </row>
    <row r="450" spans="1:23" ht="12.75">
      <c r="A450" s="238"/>
      <c r="B450" s="238"/>
      <c r="C450" s="238"/>
      <c r="D450" s="238"/>
      <c r="E450" s="238"/>
      <c r="F450" s="238"/>
      <c r="G450" s="238"/>
      <c r="H450" s="238"/>
      <c r="I450" s="238"/>
      <c r="J450" s="238"/>
      <c r="K450" s="238"/>
      <c r="L450" s="238"/>
      <c r="M450" s="238"/>
      <c r="N450" s="238"/>
      <c r="O450" s="238"/>
      <c r="P450" s="238"/>
      <c r="Q450" s="238"/>
      <c r="R450" s="238"/>
      <c r="S450" s="238"/>
      <c r="T450" s="238"/>
      <c r="U450" s="238"/>
      <c r="V450" s="238"/>
      <c r="W450" s="238"/>
    </row>
    <row r="451" spans="1:23" ht="12.75">
      <c r="A451" s="238"/>
      <c r="B451" s="238"/>
      <c r="C451" s="238"/>
      <c r="D451" s="238"/>
      <c r="E451" s="238"/>
      <c r="F451" s="238"/>
      <c r="G451" s="238"/>
      <c r="H451" s="238"/>
      <c r="I451" s="238"/>
      <c r="J451" s="238"/>
      <c r="K451" s="238"/>
      <c r="L451" s="238"/>
      <c r="M451" s="238"/>
      <c r="N451" s="238"/>
      <c r="O451" s="238"/>
      <c r="P451" s="238"/>
      <c r="Q451" s="238"/>
      <c r="R451" s="238"/>
      <c r="S451" s="238"/>
      <c r="T451" s="238"/>
      <c r="U451" s="238"/>
      <c r="V451" s="238"/>
      <c r="W451" s="238"/>
    </row>
    <row r="452" spans="1:23" ht="12.75">
      <c r="A452" s="238"/>
      <c r="B452" s="238"/>
      <c r="C452" s="238"/>
      <c r="D452" s="238"/>
      <c r="E452" s="238"/>
      <c r="F452" s="238"/>
      <c r="G452" s="238"/>
      <c r="H452" s="238"/>
      <c r="I452" s="238"/>
      <c r="J452" s="238"/>
      <c r="K452" s="238"/>
      <c r="L452" s="238"/>
      <c r="M452" s="238"/>
      <c r="N452" s="238"/>
      <c r="O452" s="238"/>
      <c r="P452" s="238"/>
      <c r="Q452" s="238"/>
      <c r="R452" s="238"/>
      <c r="S452" s="238"/>
      <c r="T452" s="238"/>
      <c r="U452" s="238"/>
      <c r="V452" s="238"/>
      <c r="W452" s="238"/>
    </row>
    <row r="453" spans="1:23" ht="12.75">
      <c r="A453" s="238"/>
      <c r="B453" s="238"/>
      <c r="C453" s="238"/>
      <c r="D453" s="238"/>
      <c r="E453" s="238"/>
      <c r="F453" s="238"/>
      <c r="G453" s="238"/>
      <c r="H453" s="238"/>
      <c r="I453" s="238"/>
      <c r="J453" s="238"/>
      <c r="K453" s="238"/>
      <c r="L453" s="238"/>
      <c r="M453" s="238"/>
      <c r="N453" s="238"/>
      <c r="O453" s="238"/>
      <c r="P453" s="238"/>
      <c r="Q453" s="238"/>
      <c r="R453" s="238"/>
      <c r="S453" s="238"/>
      <c r="T453" s="238"/>
      <c r="U453" s="238"/>
      <c r="V453" s="238"/>
      <c r="W453" s="238"/>
    </row>
    <row r="454" spans="1:23" ht="12.75">
      <c r="A454" s="238"/>
      <c r="B454" s="238"/>
      <c r="C454" s="238"/>
      <c r="D454" s="238"/>
      <c r="E454" s="238"/>
      <c r="F454" s="238"/>
      <c r="G454" s="238"/>
      <c r="H454" s="238"/>
      <c r="I454" s="238"/>
      <c r="J454" s="238"/>
      <c r="K454" s="238"/>
      <c r="L454" s="238"/>
      <c r="M454" s="238"/>
      <c r="N454" s="238"/>
      <c r="O454" s="238"/>
      <c r="P454" s="238"/>
      <c r="Q454" s="238"/>
      <c r="R454" s="238"/>
      <c r="S454" s="238"/>
      <c r="T454" s="238"/>
      <c r="U454" s="238"/>
      <c r="V454" s="238"/>
      <c r="W454" s="238"/>
    </row>
    <row r="455" spans="1:23" ht="12.75">
      <c r="A455" s="238"/>
      <c r="B455" s="238"/>
      <c r="C455" s="238"/>
      <c r="D455" s="238"/>
      <c r="E455" s="238"/>
      <c r="F455" s="238"/>
      <c r="G455" s="238"/>
      <c r="H455" s="238"/>
      <c r="I455" s="238"/>
      <c r="J455" s="238"/>
      <c r="K455" s="238"/>
      <c r="L455" s="238"/>
      <c r="M455" s="238"/>
      <c r="N455" s="238"/>
      <c r="O455" s="238"/>
      <c r="P455" s="238"/>
      <c r="Q455" s="238"/>
      <c r="R455" s="238"/>
      <c r="S455" s="238"/>
      <c r="T455" s="238"/>
      <c r="U455" s="238"/>
      <c r="V455" s="238"/>
      <c r="W455" s="238"/>
    </row>
    <row r="456" spans="1:23" ht="12.75">
      <c r="A456" s="238"/>
      <c r="B456" s="238"/>
      <c r="C456" s="238"/>
      <c r="D456" s="238"/>
      <c r="E456" s="238"/>
      <c r="F456" s="238"/>
      <c r="G456" s="238"/>
      <c r="H456" s="238"/>
      <c r="I456" s="238"/>
      <c r="J456" s="238"/>
      <c r="K456" s="238"/>
      <c r="L456" s="238"/>
      <c r="M456" s="238"/>
      <c r="N456" s="238"/>
      <c r="O456" s="238"/>
      <c r="P456" s="238"/>
      <c r="Q456" s="238"/>
      <c r="R456" s="238"/>
      <c r="S456" s="238"/>
      <c r="T456" s="238"/>
      <c r="U456" s="238"/>
      <c r="V456" s="238"/>
      <c r="W456" s="238"/>
    </row>
    <row r="457" spans="1:23" ht="12.75">
      <c r="A457" s="238"/>
      <c r="B457" s="238"/>
      <c r="C457" s="238"/>
      <c r="D457" s="238"/>
      <c r="E457" s="238"/>
      <c r="F457" s="238"/>
      <c r="G457" s="238"/>
      <c r="H457" s="238"/>
      <c r="I457" s="238"/>
      <c r="J457" s="238"/>
      <c r="K457" s="238"/>
      <c r="L457" s="238"/>
      <c r="M457" s="238"/>
      <c r="N457" s="238"/>
      <c r="O457" s="238"/>
      <c r="P457" s="238"/>
      <c r="Q457" s="238"/>
      <c r="R457" s="238"/>
      <c r="S457" s="238"/>
      <c r="T457" s="238"/>
      <c r="U457" s="238"/>
      <c r="V457" s="238"/>
      <c r="W457" s="238"/>
    </row>
    <row r="458" spans="1:23" ht="12.75">
      <c r="A458" s="238"/>
      <c r="B458" s="238"/>
      <c r="C458" s="238"/>
      <c r="D458" s="238"/>
      <c r="E458" s="238"/>
      <c r="F458" s="238"/>
      <c r="G458" s="238"/>
      <c r="H458" s="238"/>
      <c r="I458" s="238"/>
      <c r="J458" s="238"/>
      <c r="K458" s="238"/>
      <c r="L458" s="238"/>
      <c r="M458" s="238"/>
      <c r="N458" s="238"/>
      <c r="O458" s="238"/>
      <c r="P458" s="238"/>
      <c r="Q458" s="238"/>
      <c r="R458" s="238"/>
      <c r="S458" s="238"/>
      <c r="T458" s="238"/>
      <c r="U458" s="238"/>
      <c r="V458" s="238"/>
      <c r="W458" s="238"/>
    </row>
    <row r="459" spans="1:23" ht="12.75">
      <c r="A459" s="238"/>
      <c r="B459" s="238"/>
      <c r="C459" s="238"/>
      <c r="D459" s="238"/>
      <c r="E459" s="238"/>
      <c r="F459" s="238"/>
      <c r="G459" s="238"/>
      <c r="H459" s="238"/>
      <c r="I459" s="238"/>
      <c r="J459" s="238"/>
      <c r="K459" s="238"/>
      <c r="L459" s="238"/>
      <c r="M459" s="238"/>
      <c r="N459" s="238"/>
      <c r="O459" s="238"/>
      <c r="P459" s="238"/>
      <c r="Q459" s="238"/>
      <c r="R459" s="238"/>
      <c r="S459" s="238"/>
      <c r="T459" s="238"/>
      <c r="U459" s="238"/>
      <c r="V459" s="238"/>
      <c r="W459" s="238"/>
    </row>
    <row r="460" spans="1:23" ht="12.75">
      <c r="A460" s="238"/>
      <c r="B460" s="238"/>
      <c r="C460" s="238"/>
      <c r="D460" s="238"/>
      <c r="E460" s="238"/>
      <c r="F460" s="238"/>
      <c r="G460" s="238"/>
      <c r="H460" s="238"/>
      <c r="I460" s="238"/>
      <c r="J460" s="238"/>
      <c r="K460" s="238"/>
      <c r="L460" s="238"/>
      <c r="M460" s="238"/>
      <c r="N460" s="238"/>
      <c r="O460" s="238"/>
      <c r="P460" s="238"/>
      <c r="Q460" s="238"/>
      <c r="R460" s="238"/>
      <c r="S460" s="238"/>
      <c r="T460" s="238"/>
      <c r="U460" s="238"/>
      <c r="V460" s="238"/>
      <c r="W460" s="238"/>
    </row>
    <row r="461" spans="1:23" ht="12.75">
      <c r="A461" s="238"/>
      <c r="B461" s="238"/>
      <c r="C461" s="238"/>
      <c r="D461" s="238"/>
      <c r="E461" s="238"/>
      <c r="F461" s="238"/>
      <c r="G461" s="238"/>
      <c r="H461" s="238"/>
      <c r="I461" s="238"/>
      <c r="J461" s="238"/>
      <c r="K461" s="238"/>
      <c r="L461" s="238"/>
      <c r="M461" s="238"/>
      <c r="N461" s="238"/>
      <c r="O461" s="238"/>
      <c r="P461" s="238"/>
      <c r="Q461" s="238"/>
      <c r="R461" s="238"/>
      <c r="S461" s="238"/>
      <c r="T461" s="238"/>
      <c r="U461" s="238"/>
      <c r="V461" s="238"/>
      <c r="W461" s="238"/>
    </row>
    <row r="462" spans="1:23" ht="12.75">
      <c r="A462" s="238"/>
      <c r="B462" s="238"/>
      <c r="C462" s="238"/>
      <c r="D462" s="238"/>
      <c r="E462" s="238"/>
      <c r="F462" s="238"/>
      <c r="G462" s="238"/>
      <c r="H462" s="238"/>
      <c r="I462" s="238"/>
      <c r="J462" s="238"/>
      <c r="K462" s="238"/>
      <c r="L462" s="238"/>
      <c r="M462" s="238"/>
      <c r="N462" s="238"/>
      <c r="O462" s="238"/>
      <c r="P462" s="238"/>
      <c r="Q462" s="238"/>
      <c r="R462" s="238"/>
      <c r="S462" s="238"/>
      <c r="T462" s="238"/>
      <c r="U462" s="238"/>
      <c r="V462" s="238"/>
      <c r="W462" s="238"/>
    </row>
    <row r="463" spans="1:23" ht="12.75">
      <c r="A463" s="238"/>
      <c r="B463" s="238"/>
      <c r="C463" s="238"/>
      <c r="D463" s="238"/>
      <c r="E463" s="238"/>
      <c r="F463" s="238"/>
      <c r="G463" s="238"/>
      <c r="H463" s="238"/>
      <c r="I463" s="238"/>
      <c r="J463" s="238"/>
      <c r="K463" s="238"/>
      <c r="L463" s="238"/>
      <c r="M463" s="238"/>
      <c r="N463" s="238"/>
      <c r="O463" s="238"/>
      <c r="P463" s="238"/>
      <c r="Q463" s="238"/>
      <c r="R463" s="238"/>
      <c r="S463" s="238"/>
      <c r="T463" s="238"/>
      <c r="U463" s="238"/>
      <c r="V463" s="238"/>
      <c r="W463" s="238"/>
    </row>
    <row r="464" spans="1:23" ht="12.75">
      <c r="A464" s="238"/>
      <c r="B464" s="238"/>
      <c r="C464" s="238"/>
      <c r="D464" s="238"/>
      <c r="E464" s="238"/>
      <c r="F464" s="238"/>
      <c r="G464" s="238"/>
      <c r="H464" s="238"/>
      <c r="I464" s="238"/>
      <c r="J464" s="238"/>
      <c r="K464" s="238"/>
      <c r="L464" s="238"/>
      <c r="M464" s="238"/>
      <c r="N464" s="238"/>
      <c r="O464" s="238"/>
      <c r="P464" s="238"/>
      <c r="Q464" s="238"/>
      <c r="R464" s="238"/>
      <c r="S464" s="238"/>
      <c r="T464" s="238"/>
      <c r="U464" s="238"/>
      <c r="V464" s="238"/>
      <c r="W464" s="238"/>
    </row>
    <row r="465" spans="1:23" ht="12.75">
      <c r="A465" s="238"/>
      <c r="B465" s="238"/>
      <c r="C465" s="238"/>
      <c r="D465" s="238"/>
      <c r="E465" s="238"/>
      <c r="F465" s="238"/>
      <c r="G465" s="238"/>
      <c r="H465" s="238"/>
      <c r="I465" s="238"/>
      <c r="J465" s="238"/>
      <c r="K465" s="238"/>
      <c r="L465" s="238"/>
      <c r="M465" s="238"/>
      <c r="N465" s="238"/>
      <c r="O465" s="238"/>
      <c r="P465" s="238"/>
      <c r="Q465" s="238"/>
      <c r="R465" s="238"/>
      <c r="S465" s="238"/>
      <c r="T465" s="238"/>
      <c r="U465" s="238"/>
      <c r="V465" s="238"/>
      <c r="W465" s="238"/>
    </row>
    <row r="466" spans="1:23" ht="12.75">
      <c r="A466" s="238"/>
      <c r="B466" s="238"/>
      <c r="C466" s="238"/>
      <c r="D466" s="238"/>
      <c r="E466" s="238"/>
      <c r="F466" s="238"/>
      <c r="G466" s="238"/>
      <c r="H466" s="238"/>
      <c r="I466" s="238"/>
      <c r="J466" s="238"/>
      <c r="K466" s="238"/>
      <c r="L466" s="238"/>
      <c r="M466" s="238"/>
      <c r="N466" s="238"/>
      <c r="O466" s="238"/>
      <c r="P466" s="238"/>
      <c r="Q466" s="238"/>
      <c r="R466" s="238"/>
      <c r="S466" s="238"/>
      <c r="T466" s="238"/>
      <c r="U466" s="238"/>
      <c r="V466" s="238"/>
      <c r="W466" s="238"/>
    </row>
    <row r="467" spans="1:23" ht="12.75">
      <c r="A467" s="238"/>
      <c r="B467" s="238"/>
      <c r="C467" s="238"/>
      <c r="D467" s="238"/>
      <c r="E467" s="238"/>
      <c r="F467" s="238"/>
      <c r="G467" s="238"/>
      <c r="H467" s="238"/>
      <c r="I467" s="238"/>
      <c r="J467" s="238"/>
      <c r="K467" s="238"/>
      <c r="L467" s="238"/>
      <c r="M467" s="238"/>
      <c r="N467" s="238"/>
      <c r="O467" s="238"/>
      <c r="P467" s="238"/>
      <c r="Q467" s="238"/>
      <c r="R467" s="238"/>
      <c r="S467" s="238"/>
      <c r="T467" s="238"/>
      <c r="U467" s="238"/>
      <c r="V467" s="238"/>
      <c r="W467" s="238"/>
    </row>
    <row r="468" spans="1:23" ht="12.75">
      <c r="A468" s="238"/>
      <c r="B468" s="238"/>
      <c r="C468" s="238"/>
      <c r="D468" s="238"/>
      <c r="E468" s="238"/>
      <c r="F468" s="238"/>
      <c r="G468" s="238"/>
      <c r="H468" s="238"/>
      <c r="I468" s="238"/>
      <c r="J468" s="238"/>
      <c r="K468" s="238"/>
      <c r="L468" s="238"/>
      <c r="M468" s="238"/>
      <c r="N468" s="238"/>
      <c r="O468" s="238"/>
      <c r="P468" s="238"/>
      <c r="Q468" s="238"/>
      <c r="R468" s="238"/>
      <c r="S468" s="238"/>
      <c r="T468" s="238"/>
      <c r="U468" s="238"/>
      <c r="V468" s="238"/>
      <c r="W468" s="238"/>
    </row>
    <row r="469" spans="1:23" ht="12.75">
      <c r="A469" s="238"/>
      <c r="B469" s="238"/>
      <c r="C469" s="238"/>
      <c r="D469" s="238"/>
      <c r="E469" s="238"/>
      <c r="F469" s="238"/>
      <c r="G469" s="238"/>
      <c r="H469" s="238"/>
      <c r="I469" s="238"/>
      <c r="J469" s="238"/>
      <c r="K469" s="238"/>
      <c r="L469" s="238"/>
      <c r="M469" s="238"/>
      <c r="N469" s="238"/>
      <c r="O469" s="238"/>
      <c r="P469" s="238"/>
      <c r="Q469" s="238"/>
      <c r="R469" s="238"/>
      <c r="S469" s="238"/>
      <c r="T469" s="238"/>
      <c r="U469" s="238"/>
      <c r="V469" s="238"/>
      <c r="W469" s="238"/>
    </row>
    <row r="470" spans="1:23" ht="12.75">
      <c r="A470" s="238"/>
      <c r="B470" s="238"/>
      <c r="C470" s="238"/>
      <c r="D470" s="238"/>
      <c r="E470" s="238"/>
      <c r="F470" s="238"/>
      <c r="G470" s="238"/>
      <c r="H470" s="238"/>
      <c r="I470" s="238"/>
      <c r="J470" s="238"/>
      <c r="K470" s="238"/>
      <c r="L470" s="238"/>
      <c r="M470" s="238"/>
      <c r="N470" s="238"/>
      <c r="O470" s="238"/>
      <c r="P470" s="238"/>
      <c r="Q470" s="238"/>
      <c r="R470" s="238"/>
      <c r="S470" s="238"/>
      <c r="T470" s="238"/>
      <c r="U470" s="238"/>
      <c r="V470" s="238"/>
      <c r="W470" s="238"/>
    </row>
    <row r="471" spans="1:23" ht="12.75">
      <c r="A471" s="238"/>
      <c r="B471" s="238"/>
      <c r="C471" s="238"/>
      <c r="D471" s="238"/>
      <c r="E471" s="238"/>
      <c r="F471" s="238"/>
      <c r="G471" s="238"/>
      <c r="H471" s="238"/>
      <c r="I471" s="238"/>
      <c r="J471" s="238"/>
      <c r="K471" s="238"/>
      <c r="L471" s="238"/>
      <c r="M471" s="238"/>
      <c r="N471" s="238"/>
      <c r="O471" s="238"/>
      <c r="P471" s="238"/>
      <c r="Q471" s="238"/>
      <c r="R471" s="238"/>
      <c r="S471" s="238"/>
      <c r="T471" s="238"/>
      <c r="U471" s="238"/>
      <c r="V471" s="238"/>
      <c r="W471" s="238"/>
    </row>
    <row r="472" spans="1:23" ht="12.75">
      <c r="A472" s="238"/>
      <c r="B472" s="238"/>
      <c r="C472" s="238"/>
      <c r="D472" s="238"/>
      <c r="E472" s="238"/>
      <c r="F472" s="238"/>
      <c r="G472" s="238"/>
      <c r="H472" s="238"/>
      <c r="I472" s="238"/>
      <c r="J472" s="238"/>
      <c r="K472" s="238"/>
      <c r="L472" s="238"/>
      <c r="M472" s="238"/>
      <c r="N472" s="238"/>
      <c r="O472" s="238"/>
      <c r="P472" s="238"/>
      <c r="Q472" s="238"/>
      <c r="R472" s="238"/>
      <c r="S472" s="238"/>
      <c r="T472" s="238"/>
      <c r="U472" s="238"/>
      <c r="V472" s="238"/>
      <c r="W472" s="238"/>
    </row>
    <row r="473" spans="1:23" ht="12.75">
      <c r="A473" s="238"/>
      <c r="B473" s="238"/>
      <c r="C473" s="238"/>
      <c r="D473" s="238"/>
      <c r="E473" s="238"/>
      <c r="F473" s="238"/>
      <c r="G473" s="238"/>
      <c r="H473" s="238"/>
      <c r="I473" s="238"/>
      <c r="J473" s="238"/>
      <c r="K473" s="238"/>
      <c r="L473" s="238"/>
      <c r="M473" s="238"/>
      <c r="N473" s="238"/>
      <c r="O473" s="238"/>
      <c r="P473" s="238"/>
      <c r="Q473" s="238"/>
      <c r="R473" s="238"/>
      <c r="S473" s="238"/>
      <c r="T473" s="238"/>
      <c r="U473" s="238"/>
      <c r="V473" s="238"/>
      <c r="W473" s="238"/>
    </row>
    <row r="474" spans="1:23" ht="12.75">
      <c r="A474" s="238"/>
      <c r="B474" s="238"/>
      <c r="C474" s="238"/>
      <c r="D474" s="238"/>
      <c r="E474" s="238"/>
      <c r="F474" s="238"/>
      <c r="G474" s="238"/>
      <c r="H474" s="238"/>
      <c r="I474" s="238"/>
      <c r="J474" s="238"/>
      <c r="K474" s="238"/>
      <c r="L474" s="238"/>
      <c r="M474" s="238"/>
      <c r="N474" s="238"/>
      <c r="O474" s="238"/>
      <c r="P474" s="238"/>
      <c r="Q474" s="238"/>
      <c r="R474" s="238"/>
      <c r="S474" s="238"/>
      <c r="T474" s="238"/>
      <c r="U474" s="238"/>
      <c r="V474" s="238"/>
      <c r="W474" s="238"/>
    </row>
    <row r="475" spans="1:23" ht="12.75">
      <c r="A475" s="238"/>
      <c r="B475" s="238"/>
      <c r="C475" s="238"/>
      <c r="D475" s="238"/>
      <c r="E475" s="238"/>
      <c r="F475" s="238"/>
      <c r="G475" s="238"/>
      <c r="H475" s="238"/>
      <c r="I475" s="238"/>
      <c r="J475" s="238"/>
      <c r="K475" s="238"/>
      <c r="L475" s="238"/>
      <c r="M475" s="238"/>
      <c r="N475" s="238"/>
      <c r="O475" s="238"/>
      <c r="P475" s="238"/>
      <c r="Q475" s="238"/>
      <c r="R475" s="238"/>
      <c r="S475" s="238"/>
      <c r="T475" s="238"/>
      <c r="U475" s="238"/>
      <c r="V475" s="238"/>
      <c r="W475" s="238"/>
    </row>
    <row r="476" spans="1:23" ht="12.75">
      <c r="A476" s="238"/>
      <c r="B476" s="238"/>
      <c r="C476" s="238"/>
      <c r="D476" s="238"/>
      <c r="E476" s="238"/>
      <c r="F476" s="238"/>
      <c r="G476" s="238"/>
      <c r="H476" s="238"/>
      <c r="I476" s="238"/>
      <c r="J476" s="238"/>
      <c r="K476" s="238"/>
      <c r="L476" s="238"/>
      <c r="M476" s="238"/>
      <c r="N476" s="238"/>
      <c r="O476" s="238"/>
      <c r="P476" s="238"/>
      <c r="Q476" s="238"/>
      <c r="R476" s="238"/>
      <c r="S476" s="238"/>
      <c r="T476" s="238"/>
      <c r="U476" s="238"/>
      <c r="V476" s="238"/>
      <c r="W476" s="238"/>
    </row>
    <row r="477" spans="1:23" ht="12.75">
      <c r="A477" s="238"/>
      <c r="B477" s="238"/>
      <c r="C477" s="238"/>
      <c r="D477" s="238"/>
      <c r="E477" s="238"/>
      <c r="F477" s="238"/>
      <c r="G477" s="238"/>
      <c r="H477" s="238"/>
      <c r="I477" s="238"/>
      <c r="J477" s="238"/>
      <c r="K477" s="238"/>
      <c r="L477" s="238"/>
      <c r="M477" s="238"/>
      <c r="N477" s="238"/>
      <c r="O477" s="238"/>
      <c r="P477" s="238"/>
      <c r="Q477" s="238"/>
      <c r="R477" s="238"/>
      <c r="S477" s="238"/>
      <c r="T477" s="238"/>
      <c r="U477" s="238"/>
      <c r="V477" s="238"/>
      <c r="W477" s="238"/>
    </row>
    <row r="478" spans="1:23" ht="12.75">
      <c r="A478" s="238"/>
      <c r="B478" s="238"/>
      <c r="C478" s="238"/>
      <c r="D478" s="238"/>
      <c r="E478" s="238"/>
      <c r="F478" s="238"/>
      <c r="G478" s="238"/>
      <c r="H478" s="238"/>
      <c r="I478" s="238"/>
      <c r="J478" s="238"/>
      <c r="K478" s="238"/>
      <c r="L478" s="238"/>
      <c r="M478" s="238"/>
      <c r="N478" s="238"/>
      <c r="O478" s="238"/>
      <c r="P478" s="238"/>
      <c r="Q478" s="238"/>
      <c r="R478" s="238"/>
      <c r="S478" s="238"/>
      <c r="T478" s="238"/>
      <c r="U478" s="238"/>
      <c r="V478" s="238"/>
      <c r="W478" s="238"/>
    </row>
    <row r="479" spans="1:23" ht="12.75">
      <c r="A479" s="238"/>
      <c r="B479" s="238"/>
      <c r="C479" s="238"/>
      <c r="D479" s="238"/>
      <c r="E479" s="238"/>
      <c r="F479" s="238"/>
      <c r="G479" s="238"/>
      <c r="H479" s="238"/>
      <c r="I479" s="238"/>
      <c r="J479" s="238"/>
      <c r="K479" s="238"/>
      <c r="L479" s="238"/>
      <c r="M479" s="238"/>
      <c r="N479" s="238"/>
      <c r="O479" s="238"/>
      <c r="P479" s="238"/>
      <c r="Q479" s="238"/>
      <c r="R479" s="238"/>
      <c r="S479" s="238"/>
      <c r="T479" s="238"/>
      <c r="U479" s="238"/>
      <c r="V479" s="238"/>
      <c r="W479" s="238"/>
    </row>
    <row r="480" spans="1:23" ht="12.75">
      <c r="A480" s="238"/>
      <c r="B480" s="238"/>
      <c r="C480" s="238"/>
      <c r="D480" s="238"/>
      <c r="E480" s="238"/>
      <c r="F480" s="238"/>
      <c r="G480" s="238"/>
      <c r="H480" s="238"/>
      <c r="I480" s="238"/>
      <c r="J480" s="238"/>
      <c r="K480" s="238"/>
      <c r="L480" s="238"/>
      <c r="M480" s="238"/>
      <c r="N480" s="238"/>
      <c r="O480" s="238"/>
      <c r="P480" s="238"/>
      <c r="Q480" s="238"/>
      <c r="R480" s="238"/>
      <c r="S480" s="238"/>
      <c r="T480" s="238"/>
      <c r="U480" s="238"/>
      <c r="V480" s="238"/>
      <c r="W480" s="238"/>
    </row>
    <row r="481" spans="1:23" ht="12.75">
      <c r="A481" s="238"/>
      <c r="B481" s="238"/>
      <c r="C481" s="238"/>
      <c r="D481" s="238"/>
      <c r="E481" s="238"/>
      <c r="F481" s="238"/>
      <c r="G481" s="238"/>
      <c r="H481" s="238"/>
      <c r="I481" s="238"/>
      <c r="J481" s="238"/>
      <c r="K481" s="238"/>
      <c r="L481" s="238"/>
      <c r="M481" s="238"/>
      <c r="N481" s="238"/>
      <c r="O481" s="238"/>
      <c r="P481" s="238"/>
      <c r="Q481" s="238"/>
      <c r="R481" s="238"/>
      <c r="S481" s="238"/>
      <c r="T481" s="238"/>
      <c r="U481" s="238"/>
      <c r="V481" s="238"/>
      <c r="W481" s="238"/>
    </row>
    <row r="482" spans="1:23" ht="12.75">
      <c r="A482" s="238"/>
      <c r="B482" s="238"/>
      <c r="C482" s="238"/>
      <c r="D482" s="238"/>
      <c r="E482" s="238"/>
      <c r="F482" s="238"/>
      <c r="G482" s="238"/>
      <c r="H482" s="238"/>
      <c r="I482" s="238"/>
      <c r="J482" s="238"/>
      <c r="K482" s="238"/>
      <c r="L482" s="238"/>
      <c r="M482" s="238"/>
      <c r="N482" s="238"/>
      <c r="O482" s="238"/>
      <c r="P482" s="238"/>
      <c r="Q482" s="238"/>
      <c r="R482" s="238"/>
      <c r="S482" s="238"/>
      <c r="T482" s="238"/>
      <c r="U482" s="238"/>
      <c r="V482" s="238"/>
      <c r="W482" s="238"/>
    </row>
    <row r="483" spans="1:23" ht="12.75">
      <c r="A483" s="238"/>
      <c r="B483" s="238"/>
      <c r="C483" s="238"/>
      <c r="D483" s="238"/>
      <c r="E483" s="238"/>
      <c r="F483" s="238"/>
      <c r="G483" s="238"/>
      <c r="H483" s="238"/>
      <c r="I483" s="238"/>
      <c r="J483" s="238"/>
      <c r="K483" s="238"/>
      <c r="L483" s="238"/>
      <c r="M483" s="238"/>
      <c r="N483" s="238"/>
      <c r="O483" s="238"/>
      <c r="P483" s="238"/>
      <c r="Q483" s="238"/>
      <c r="R483" s="238"/>
      <c r="S483" s="238"/>
      <c r="T483" s="238"/>
      <c r="U483" s="238"/>
      <c r="V483" s="238"/>
      <c r="W483" s="238"/>
    </row>
    <row r="484" spans="1:23" ht="12.75">
      <c r="A484" s="238"/>
      <c r="B484" s="238"/>
      <c r="C484" s="238"/>
      <c r="D484" s="238"/>
      <c r="E484" s="238"/>
      <c r="F484" s="238"/>
      <c r="G484" s="238"/>
      <c r="H484" s="238"/>
      <c r="I484" s="238"/>
      <c r="J484" s="238"/>
      <c r="K484" s="238"/>
      <c r="L484" s="238"/>
      <c r="M484" s="238"/>
      <c r="N484" s="238"/>
      <c r="O484" s="238"/>
      <c r="P484" s="238"/>
      <c r="Q484" s="238"/>
      <c r="R484" s="238"/>
      <c r="S484" s="238"/>
      <c r="T484" s="238"/>
      <c r="U484" s="238"/>
      <c r="V484" s="238"/>
      <c r="W484" s="238"/>
    </row>
    <row r="485" spans="1:23" ht="12.75">
      <c r="A485" s="238"/>
      <c r="B485" s="238"/>
      <c r="C485" s="238"/>
      <c r="D485" s="238"/>
      <c r="E485" s="238"/>
      <c r="F485" s="238"/>
      <c r="G485" s="238"/>
      <c r="H485" s="238"/>
      <c r="I485" s="238"/>
      <c r="J485" s="238"/>
      <c r="K485" s="238"/>
      <c r="L485" s="238"/>
      <c r="M485" s="238"/>
      <c r="N485" s="238"/>
      <c r="O485" s="238"/>
      <c r="P485" s="238"/>
      <c r="Q485" s="238"/>
      <c r="R485" s="238"/>
      <c r="S485" s="238"/>
      <c r="T485" s="238"/>
      <c r="U485" s="238"/>
      <c r="V485" s="238"/>
      <c r="W485" s="238"/>
    </row>
    <row r="486" spans="1:23" ht="12.75">
      <c r="A486" s="238"/>
      <c r="B486" s="238"/>
      <c r="C486" s="238"/>
      <c r="D486" s="238"/>
      <c r="E486" s="238"/>
      <c r="F486" s="238"/>
      <c r="G486" s="238"/>
      <c r="H486" s="238"/>
      <c r="I486" s="238"/>
      <c r="J486" s="238"/>
      <c r="K486" s="238"/>
      <c r="L486" s="238"/>
      <c r="M486" s="238"/>
      <c r="N486" s="238"/>
      <c r="O486" s="238"/>
      <c r="P486" s="238"/>
      <c r="Q486" s="238"/>
      <c r="R486" s="238"/>
      <c r="S486" s="238"/>
      <c r="T486" s="238"/>
      <c r="U486" s="238"/>
      <c r="V486" s="238"/>
      <c r="W486" s="238"/>
    </row>
    <row r="487" spans="1:23" ht="12.75">
      <c r="A487" s="238"/>
      <c r="B487" s="238"/>
      <c r="C487" s="238"/>
      <c r="D487" s="238"/>
      <c r="E487" s="238"/>
      <c r="F487" s="238"/>
      <c r="G487" s="238"/>
      <c r="H487" s="238"/>
      <c r="I487" s="238"/>
      <c r="J487" s="238"/>
      <c r="K487" s="238"/>
      <c r="L487" s="238"/>
      <c r="M487" s="238"/>
      <c r="N487" s="238"/>
      <c r="O487" s="238"/>
      <c r="P487" s="238"/>
      <c r="Q487" s="238"/>
      <c r="R487" s="238"/>
      <c r="S487" s="238"/>
      <c r="T487" s="238"/>
      <c r="U487" s="238"/>
      <c r="V487" s="238"/>
      <c r="W487" s="238"/>
    </row>
    <row r="488" spans="1:23" ht="12.75">
      <c r="A488" s="238"/>
      <c r="B488" s="238"/>
      <c r="C488" s="238"/>
      <c r="D488" s="238"/>
      <c r="E488" s="238"/>
      <c r="F488" s="238"/>
      <c r="G488" s="238"/>
      <c r="H488" s="238"/>
      <c r="I488" s="238"/>
      <c r="J488" s="238"/>
      <c r="K488" s="238"/>
      <c r="L488" s="238"/>
      <c r="M488" s="238"/>
      <c r="N488" s="238"/>
      <c r="O488" s="238"/>
      <c r="P488" s="238"/>
      <c r="Q488" s="238"/>
      <c r="R488" s="238"/>
      <c r="S488" s="238"/>
      <c r="T488" s="238"/>
      <c r="U488" s="238"/>
      <c r="V488" s="238"/>
      <c r="W488" s="238"/>
    </row>
    <row r="489" spans="1:23" ht="12.75">
      <c r="A489" s="238"/>
      <c r="B489" s="238"/>
      <c r="C489" s="238"/>
      <c r="D489" s="238"/>
      <c r="E489" s="238"/>
      <c r="F489" s="238"/>
      <c r="G489" s="238"/>
      <c r="H489" s="238"/>
      <c r="I489" s="238"/>
      <c r="J489" s="238"/>
      <c r="K489" s="238"/>
      <c r="L489" s="238"/>
      <c r="M489" s="238"/>
      <c r="N489" s="238"/>
      <c r="O489" s="238"/>
      <c r="P489" s="238"/>
      <c r="Q489" s="238"/>
      <c r="R489" s="238"/>
      <c r="S489" s="238"/>
      <c r="T489" s="238"/>
      <c r="U489" s="238"/>
      <c r="V489" s="238"/>
      <c r="W489" s="238"/>
    </row>
    <row r="490" spans="1:23" ht="12.75">
      <c r="A490" s="238"/>
      <c r="B490" s="238"/>
      <c r="C490" s="238"/>
      <c r="D490" s="238"/>
      <c r="E490" s="238"/>
      <c r="F490" s="238"/>
      <c r="G490" s="238"/>
      <c r="H490" s="238"/>
      <c r="I490" s="238"/>
      <c r="J490" s="238"/>
      <c r="K490" s="238"/>
      <c r="L490" s="238"/>
      <c r="M490" s="238"/>
      <c r="N490" s="238"/>
      <c r="O490" s="238"/>
      <c r="P490" s="238"/>
      <c r="Q490" s="238"/>
      <c r="R490" s="238"/>
      <c r="S490" s="238"/>
      <c r="T490" s="238"/>
      <c r="U490" s="238"/>
      <c r="V490" s="238"/>
      <c r="W490" s="238"/>
    </row>
    <row r="491" spans="1:23" ht="12.75">
      <c r="A491" s="238"/>
      <c r="B491" s="238"/>
      <c r="C491" s="238"/>
      <c r="D491" s="238"/>
      <c r="E491" s="238"/>
      <c r="F491" s="238"/>
      <c r="G491" s="238"/>
      <c r="H491" s="238"/>
      <c r="I491" s="238"/>
      <c r="J491" s="238"/>
      <c r="K491" s="238"/>
      <c r="L491" s="238"/>
      <c r="M491" s="238"/>
      <c r="N491" s="238"/>
      <c r="O491" s="238"/>
      <c r="P491" s="238"/>
      <c r="Q491" s="238"/>
      <c r="R491" s="238"/>
      <c r="S491" s="238"/>
      <c r="T491" s="238"/>
      <c r="U491" s="238"/>
      <c r="V491" s="238"/>
      <c r="W491" s="238"/>
    </row>
    <row r="492" spans="1:23" ht="12.75">
      <c r="A492" s="238"/>
      <c r="B492" s="238"/>
      <c r="C492" s="238"/>
      <c r="D492" s="238"/>
      <c r="E492" s="238"/>
      <c r="F492" s="238"/>
      <c r="G492" s="238"/>
      <c r="H492" s="238"/>
      <c r="I492" s="238"/>
      <c r="J492" s="238"/>
      <c r="K492" s="238"/>
      <c r="L492" s="238"/>
      <c r="M492" s="238"/>
      <c r="N492" s="238"/>
      <c r="O492" s="238"/>
      <c r="P492" s="238"/>
      <c r="Q492" s="238"/>
      <c r="R492" s="238"/>
      <c r="S492" s="238"/>
      <c r="T492" s="238"/>
      <c r="U492" s="238"/>
      <c r="V492" s="238"/>
      <c r="W492" s="238"/>
    </row>
    <row r="493" spans="1:23" ht="12.75">
      <c r="A493" s="238"/>
      <c r="B493" s="238"/>
      <c r="C493" s="238"/>
      <c r="D493" s="238"/>
      <c r="E493" s="238"/>
      <c r="F493" s="238"/>
      <c r="G493" s="238"/>
      <c r="H493" s="238"/>
      <c r="I493" s="238"/>
      <c r="J493" s="238"/>
      <c r="K493" s="238"/>
      <c r="L493" s="238"/>
      <c r="M493" s="238"/>
      <c r="N493" s="238"/>
      <c r="O493" s="238"/>
      <c r="P493" s="238"/>
      <c r="Q493" s="238"/>
      <c r="R493" s="238"/>
      <c r="S493" s="238"/>
      <c r="T493" s="238"/>
      <c r="U493" s="238"/>
      <c r="V493" s="238"/>
      <c r="W493" s="238"/>
    </row>
    <row r="494" spans="1:23" ht="12.75">
      <c r="A494" s="238"/>
      <c r="B494" s="238"/>
      <c r="C494" s="238"/>
      <c r="D494" s="238"/>
      <c r="E494" s="238"/>
      <c r="F494" s="238"/>
      <c r="G494" s="238"/>
      <c r="H494" s="238"/>
      <c r="I494" s="238"/>
      <c r="J494" s="238"/>
      <c r="K494" s="238"/>
      <c r="L494" s="238"/>
      <c r="M494" s="238"/>
      <c r="N494" s="238"/>
      <c r="O494" s="238"/>
      <c r="P494" s="238"/>
      <c r="Q494" s="238"/>
      <c r="R494" s="238"/>
      <c r="S494" s="238"/>
      <c r="T494" s="238"/>
      <c r="U494" s="238"/>
      <c r="V494" s="238"/>
      <c r="W494" s="238"/>
    </row>
    <row r="495" spans="1:23" ht="12.75">
      <c r="A495" s="238"/>
      <c r="B495" s="238"/>
      <c r="C495" s="238"/>
      <c r="D495" s="238"/>
      <c r="E495" s="238"/>
      <c r="F495" s="238"/>
      <c r="G495" s="238"/>
      <c r="H495" s="238"/>
      <c r="I495" s="238"/>
      <c r="J495" s="238"/>
      <c r="K495" s="238"/>
      <c r="L495" s="238"/>
      <c r="M495" s="238"/>
      <c r="N495" s="238"/>
      <c r="O495" s="238"/>
      <c r="P495" s="238"/>
      <c r="Q495" s="238"/>
      <c r="R495" s="238"/>
      <c r="S495" s="238"/>
      <c r="T495" s="238"/>
      <c r="U495" s="238"/>
      <c r="V495" s="238"/>
      <c r="W495" s="238"/>
    </row>
    <row r="496" spans="1:23" ht="12.75">
      <c r="A496" s="238"/>
      <c r="B496" s="238"/>
      <c r="C496" s="238"/>
      <c r="D496" s="238"/>
      <c r="E496" s="238"/>
      <c r="F496" s="238"/>
      <c r="G496" s="238"/>
      <c r="H496" s="238"/>
      <c r="I496" s="238"/>
      <c r="J496" s="238"/>
      <c r="K496" s="238"/>
      <c r="L496" s="238"/>
      <c r="M496" s="238"/>
      <c r="N496" s="238"/>
      <c r="O496" s="238"/>
      <c r="P496" s="238"/>
      <c r="Q496" s="238"/>
      <c r="R496" s="238"/>
      <c r="S496" s="238"/>
      <c r="T496" s="238"/>
      <c r="U496" s="238"/>
      <c r="V496" s="238"/>
      <c r="W496" s="238"/>
    </row>
    <row r="497" spans="1:23" ht="12.75">
      <c r="A497" s="238"/>
      <c r="B497" s="238"/>
      <c r="C497" s="238"/>
      <c r="D497" s="238"/>
      <c r="E497" s="238"/>
      <c r="F497" s="238"/>
      <c r="G497" s="238"/>
      <c r="H497" s="238"/>
      <c r="I497" s="238"/>
      <c r="J497" s="238"/>
      <c r="K497" s="238"/>
      <c r="L497" s="238"/>
      <c r="M497" s="238"/>
      <c r="N497" s="238"/>
      <c r="O497" s="238"/>
      <c r="P497" s="238"/>
      <c r="Q497" s="238"/>
      <c r="R497" s="238"/>
      <c r="S497" s="238"/>
      <c r="T497" s="238"/>
      <c r="U497" s="238"/>
      <c r="V497" s="238"/>
      <c r="W497" s="238"/>
    </row>
    <row r="498" spans="1:23" ht="12.75">
      <c r="A498" s="238"/>
      <c r="B498" s="238"/>
      <c r="C498" s="238"/>
      <c r="D498" s="238"/>
      <c r="E498" s="238"/>
      <c r="F498" s="238"/>
      <c r="G498" s="238"/>
      <c r="H498" s="238"/>
      <c r="I498" s="238"/>
      <c r="J498" s="238"/>
      <c r="K498" s="238"/>
      <c r="L498" s="238"/>
      <c r="M498" s="238"/>
      <c r="N498" s="238"/>
      <c r="O498" s="238"/>
      <c r="P498" s="238"/>
      <c r="Q498" s="238"/>
      <c r="R498" s="238"/>
      <c r="S498" s="238"/>
      <c r="T498" s="238"/>
      <c r="U498" s="238"/>
      <c r="V498" s="238"/>
      <c r="W498" s="238"/>
    </row>
    <row r="499" spans="1:23" ht="12.75">
      <c r="A499" s="238"/>
      <c r="B499" s="238"/>
      <c r="C499" s="238"/>
      <c r="D499" s="238"/>
      <c r="E499" s="238"/>
      <c r="F499" s="238"/>
      <c r="G499" s="238"/>
      <c r="H499" s="238"/>
      <c r="I499" s="238"/>
      <c r="J499" s="238"/>
      <c r="K499" s="238"/>
      <c r="L499" s="238"/>
      <c r="M499" s="238"/>
      <c r="N499" s="238"/>
      <c r="O499" s="238"/>
      <c r="P499" s="238"/>
      <c r="Q499" s="238"/>
      <c r="R499" s="238"/>
      <c r="S499" s="238"/>
      <c r="T499" s="238"/>
      <c r="U499" s="238"/>
      <c r="V499" s="238"/>
      <c r="W499" s="238"/>
    </row>
    <row r="500" spans="1:23" ht="12.75">
      <c r="A500" s="238"/>
      <c r="B500" s="238"/>
      <c r="C500" s="238"/>
      <c r="D500" s="238"/>
      <c r="E500" s="238"/>
      <c r="F500" s="238"/>
      <c r="G500" s="238"/>
      <c r="H500" s="238"/>
      <c r="I500" s="238"/>
      <c r="J500" s="238"/>
      <c r="K500" s="238"/>
      <c r="L500" s="238"/>
      <c r="M500" s="238"/>
      <c r="N500" s="238"/>
      <c r="O500" s="238"/>
      <c r="P500" s="238"/>
      <c r="Q500" s="238"/>
      <c r="R500" s="238"/>
      <c r="S500" s="238"/>
      <c r="T500" s="238"/>
      <c r="U500" s="238"/>
      <c r="V500" s="238"/>
      <c r="W500" s="238"/>
    </row>
    <row r="501" spans="1:23" ht="12.75">
      <c r="A501" s="238"/>
      <c r="B501" s="238"/>
      <c r="C501" s="238"/>
      <c r="D501" s="238"/>
      <c r="E501" s="238"/>
      <c r="F501" s="238"/>
      <c r="G501" s="238"/>
      <c r="H501" s="238"/>
      <c r="I501" s="238"/>
      <c r="J501" s="238"/>
      <c r="K501" s="238"/>
      <c r="L501" s="238"/>
      <c r="M501" s="238"/>
      <c r="N501" s="238"/>
      <c r="O501" s="238"/>
      <c r="P501" s="238"/>
      <c r="Q501" s="238"/>
      <c r="R501" s="238"/>
      <c r="S501" s="238"/>
      <c r="T501" s="238"/>
      <c r="U501" s="238"/>
      <c r="V501" s="238"/>
      <c r="W501" s="238"/>
    </row>
    <row r="502" spans="1:23" ht="12.75">
      <c r="A502" s="238"/>
      <c r="B502" s="238"/>
      <c r="C502" s="238"/>
      <c r="D502" s="238"/>
      <c r="E502" s="238"/>
      <c r="F502" s="238"/>
      <c r="G502" s="238"/>
      <c r="H502" s="238"/>
      <c r="I502" s="238"/>
      <c r="J502" s="238"/>
      <c r="K502" s="238"/>
      <c r="L502" s="238"/>
      <c r="M502" s="238"/>
      <c r="N502" s="238"/>
      <c r="O502" s="238"/>
      <c r="P502" s="238"/>
      <c r="Q502" s="238"/>
      <c r="R502" s="238"/>
      <c r="S502" s="238"/>
      <c r="T502" s="238"/>
      <c r="U502" s="238"/>
      <c r="V502" s="238"/>
      <c r="W502" s="238"/>
    </row>
    <row r="503" spans="1:23" ht="12.75">
      <c r="A503" s="238"/>
      <c r="B503" s="238"/>
      <c r="C503" s="238"/>
      <c r="D503" s="238"/>
      <c r="E503" s="238"/>
      <c r="F503" s="238"/>
      <c r="G503" s="238"/>
      <c r="H503" s="238"/>
      <c r="I503" s="238"/>
      <c r="J503" s="238"/>
      <c r="K503" s="238"/>
      <c r="L503" s="238"/>
      <c r="M503" s="238"/>
      <c r="N503" s="238"/>
      <c r="O503" s="238"/>
      <c r="P503" s="238"/>
      <c r="Q503" s="238"/>
      <c r="R503" s="238"/>
      <c r="S503" s="238"/>
      <c r="T503" s="238"/>
      <c r="U503" s="238"/>
      <c r="V503" s="238"/>
      <c r="W503" s="238"/>
    </row>
    <row r="504" spans="1:23" ht="12.75">
      <c r="A504" s="238"/>
      <c r="B504" s="238"/>
      <c r="C504" s="238"/>
      <c r="D504" s="238"/>
      <c r="E504" s="238"/>
      <c r="F504" s="238"/>
      <c r="G504" s="238"/>
      <c r="H504" s="238"/>
      <c r="I504" s="238"/>
      <c r="J504" s="238"/>
      <c r="K504" s="238"/>
      <c r="L504" s="238"/>
      <c r="M504" s="238"/>
      <c r="N504" s="238"/>
      <c r="O504" s="238"/>
      <c r="P504" s="238"/>
      <c r="Q504" s="238"/>
      <c r="R504" s="238"/>
      <c r="S504" s="238"/>
      <c r="T504" s="238"/>
      <c r="U504" s="238"/>
      <c r="V504" s="238"/>
      <c r="W504" s="238"/>
    </row>
    <row r="505" spans="1:23" ht="12.75">
      <c r="A505" s="238"/>
      <c r="B505" s="238"/>
      <c r="C505" s="238"/>
      <c r="D505" s="238"/>
      <c r="E505" s="238"/>
      <c r="F505" s="238"/>
      <c r="G505" s="238"/>
      <c r="H505" s="238"/>
      <c r="I505" s="238"/>
      <c r="J505" s="238"/>
      <c r="K505" s="238"/>
      <c r="L505" s="238"/>
      <c r="M505" s="238"/>
      <c r="N505" s="238"/>
      <c r="O505" s="238"/>
      <c r="P505" s="238"/>
      <c r="Q505" s="238"/>
      <c r="R505" s="238"/>
      <c r="S505" s="238"/>
      <c r="T505" s="238"/>
      <c r="U505" s="238"/>
      <c r="V505" s="238"/>
      <c r="W505" s="238"/>
    </row>
    <row r="506" spans="1:23" ht="12.75">
      <c r="A506" s="238"/>
      <c r="B506" s="238"/>
      <c r="C506" s="238"/>
      <c r="D506" s="238"/>
      <c r="E506" s="238"/>
      <c r="F506" s="238"/>
      <c r="G506" s="238"/>
      <c r="H506" s="238"/>
      <c r="I506" s="238"/>
      <c r="J506" s="238"/>
      <c r="K506" s="238"/>
      <c r="L506" s="238"/>
      <c r="M506" s="238"/>
      <c r="N506" s="238"/>
      <c r="O506" s="238"/>
      <c r="P506" s="238"/>
      <c r="Q506" s="238"/>
      <c r="R506" s="238"/>
      <c r="S506" s="238"/>
      <c r="T506" s="238"/>
      <c r="U506" s="238"/>
      <c r="V506" s="238"/>
      <c r="W506" s="238"/>
    </row>
    <row r="507" spans="1:23" ht="12.75">
      <c r="A507" s="238"/>
      <c r="B507" s="238"/>
      <c r="C507" s="238"/>
      <c r="D507" s="238"/>
      <c r="E507" s="238"/>
      <c r="F507" s="238"/>
      <c r="G507" s="238"/>
      <c r="H507" s="238"/>
      <c r="I507" s="238"/>
      <c r="J507" s="238"/>
      <c r="K507" s="238"/>
      <c r="L507" s="238"/>
      <c r="M507" s="238"/>
      <c r="N507" s="238"/>
      <c r="O507" s="238"/>
      <c r="P507" s="238"/>
      <c r="Q507" s="238"/>
      <c r="R507" s="238"/>
      <c r="S507" s="238"/>
      <c r="T507" s="238"/>
      <c r="U507" s="238"/>
      <c r="V507" s="238"/>
      <c r="W507" s="238"/>
    </row>
    <row r="508" spans="1:23" ht="12.75">
      <c r="A508" s="238"/>
      <c r="B508" s="238"/>
      <c r="C508" s="238"/>
      <c r="D508" s="238"/>
      <c r="E508" s="238"/>
      <c r="F508" s="238"/>
      <c r="G508" s="238"/>
      <c r="H508" s="238"/>
      <c r="I508" s="238"/>
      <c r="J508" s="238"/>
      <c r="K508" s="238"/>
      <c r="L508" s="238"/>
      <c r="M508" s="238"/>
      <c r="N508" s="238"/>
      <c r="O508" s="238"/>
      <c r="P508" s="238"/>
      <c r="Q508" s="238"/>
      <c r="R508" s="238"/>
      <c r="S508" s="238"/>
      <c r="T508" s="238"/>
      <c r="U508" s="238"/>
      <c r="V508" s="238"/>
      <c r="W508" s="238"/>
    </row>
    <row r="509" spans="1:23" ht="12.75">
      <c r="A509" s="238"/>
      <c r="B509" s="238"/>
      <c r="C509" s="238"/>
      <c r="D509" s="238"/>
      <c r="E509" s="238"/>
      <c r="F509" s="238"/>
      <c r="G509" s="238"/>
      <c r="H509" s="238"/>
      <c r="I509" s="238"/>
      <c r="J509" s="238"/>
      <c r="K509" s="238"/>
      <c r="L509" s="238"/>
      <c r="M509" s="238"/>
      <c r="N509" s="238"/>
      <c r="O509" s="238"/>
      <c r="P509" s="238"/>
      <c r="Q509" s="238"/>
      <c r="R509" s="238"/>
      <c r="S509" s="238"/>
      <c r="T509" s="238"/>
      <c r="U509" s="238"/>
      <c r="V509" s="238"/>
      <c r="W509" s="238"/>
    </row>
    <row r="510" spans="1:23" ht="12.75">
      <c r="A510" s="238"/>
      <c r="B510" s="238"/>
      <c r="C510" s="238"/>
      <c r="D510" s="238"/>
      <c r="E510" s="238"/>
      <c r="F510" s="238"/>
      <c r="G510" s="238"/>
      <c r="H510" s="238"/>
      <c r="I510" s="238"/>
      <c r="J510" s="238"/>
      <c r="K510" s="238"/>
      <c r="L510" s="238"/>
      <c r="M510" s="238"/>
      <c r="N510" s="238"/>
      <c r="O510" s="238"/>
      <c r="P510" s="238"/>
      <c r="Q510" s="238"/>
      <c r="R510" s="238"/>
      <c r="S510" s="238"/>
      <c r="T510" s="238"/>
      <c r="U510" s="238"/>
      <c r="V510" s="238"/>
      <c r="W510" s="238"/>
    </row>
    <row r="511" spans="1:23" ht="12.75">
      <c r="A511" s="238"/>
      <c r="B511" s="238"/>
      <c r="C511" s="238"/>
      <c r="D511" s="238"/>
      <c r="E511" s="238"/>
      <c r="F511" s="238"/>
      <c r="G511" s="238"/>
      <c r="H511" s="238"/>
      <c r="I511" s="238"/>
      <c r="J511" s="238"/>
      <c r="K511" s="238"/>
      <c r="L511" s="238"/>
      <c r="M511" s="238"/>
      <c r="N511" s="238"/>
      <c r="O511" s="238"/>
      <c r="P511" s="238"/>
      <c r="Q511" s="238"/>
      <c r="R511" s="238"/>
      <c r="S511" s="238"/>
      <c r="T511" s="238"/>
      <c r="U511" s="238"/>
      <c r="V511" s="238"/>
      <c r="W511" s="238"/>
    </row>
    <row r="512" spans="1:23" ht="12.75">
      <c r="A512" s="238"/>
      <c r="B512" s="238"/>
      <c r="C512" s="238"/>
      <c r="D512" s="238"/>
      <c r="E512" s="238"/>
      <c r="F512" s="238"/>
      <c r="G512" s="238"/>
      <c r="H512" s="238"/>
      <c r="I512" s="238"/>
      <c r="J512" s="238"/>
      <c r="K512" s="238"/>
      <c r="L512" s="238"/>
      <c r="M512" s="238"/>
      <c r="N512" s="238"/>
      <c r="O512" s="238"/>
      <c r="P512" s="238"/>
      <c r="Q512" s="238"/>
      <c r="R512" s="238"/>
      <c r="S512" s="238"/>
      <c r="T512" s="238"/>
      <c r="U512" s="238"/>
      <c r="V512" s="238"/>
      <c r="W512" s="238"/>
    </row>
    <row r="513" spans="1:23" ht="12.75">
      <c r="A513" s="238"/>
      <c r="B513" s="238"/>
      <c r="C513" s="238"/>
      <c r="D513" s="238"/>
      <c r="E513" s="238"/>
      <c r="F513" s="238"/>
      <c r="G513" s="238"/>
      <c r="H513" s="238"/>
      <c r="I513" s="238"/>
      <c r="J513" s="238"/>
      <c r="K513" s="238"/>
      <c r="L513" s="238"/>
      <c r="M513" s="238"/>
      <c r="N513" s="238"/>
      <c r="O513" s="238"/>
      <c r="P513" s="238"/>
      <c r="Q513" s="238"/>
      <c r="R513" s="238"/>
      <c r="S513" s="238"/>
      <c r="T513" s="238"/>
      <c r="U513" s="238"/>
      <c r="V513" s="238"/>
      <c r="W513" s="238"/>
    </row>
    <row r="514" spans="1:23" ht="12.75">
      <c r="A514" s="238"/>
      <c r="B514" s="238"/>
      <c r="C514" s="238"/>
      <c r="D514" s="238"/>
      <c r="E514" s="238"/>
      <c r="F514" s="238"/>
      <c r="G514" s="238"/>
      <c r="H514" s="238"/>
      <c r="I514" s="238"/>
      <c r="J514" s="238"/>
      <c r="K514" s="238"/>
      <c r="L514" s="238"/>
      <c r="M514" s="238"/>
      <c r="N514" s="238"/>
      <c r="O514" s="238"/>
      <c r="P514" s="238"/>
      <c r="Q514" s="238"/>
      <c r="R514" s="238"/>
      <c r="S514" s="238"/>
      <c r="T514" s="238"/>
      <c r="U514" s="238"/>
      <c r="V514" s="238"/>
      <c r="W514" s="238"/>
    </row>
    <row r="515" spans="1:23" ht="12.75">
      <c r="A515" s="238"/>
      <c r="B515" s="238"/>
      <c r="C515" s="238"/>
      <c r="D515" s="238"/>
      <c r="E515" s="238"/>
      <c r="F515" s="238"/>
      <c r="G515" s="238"/>
      <c r="H515" s="238"/>
      <c r="I515" s="238"/>
      <c r="J515" s="238"/>
      <c r="K515" s="238"/>
      <c r="L515" s="238"/>
      <c r="M515" s="238"/>
      <c r="N515" s="238"/>
      <c r="O515" s="238"/>
      <c r="P515" s="238"/>
      <c r="Q515" s="238"/>
      <c r="R515" s="238"/>
      <c r="S515" s="238"/>
      <c r="T515" s="238"/>
      <c r="U515" s="238"/>
      <c r="V515" s="238"/>
      <c r="W515" s="238"/>
    </row>
    <row r="516" spans="1:23" ht="12.75">
      <c r="A516" s="238"/>
      <c r="B516" s="238"/>
      <c r="C516" s="238"/>
      <c r="D516" s="238"/>
      <c r="E516" s="238"/>
      <c r="F516" s="238"/>
      <c r="G516" s="238"/>
      <c r="H516" s="238"/>
      <c r="I516" s="238"/>
      <c r="J516" s="238"/>
      <c r="K516" s="238"/>
      <c r="L516" s="238"/>
      <c r="M516" s="238"/>
      <c r="N516" s="238"/>
      <c r="O516" s="238"/>
      <c r="P516" s="238"/>
      <c r="Q516" s="238"/>
      <c r="R516" s="238"/>
      <c r="S516" s="238"/>
      <c r="T516" s="238"/>
      <c r="U516" s="238"/>
      <c r="V516" s="238"/>
      <c r="W516" s="238"/>
    </row>
    <row r="517" spans="1:23" ht="12.75">
      <c r="A517" s="238"/>
      <c r="B517" s="238"/>
      <c r="C517" s="238"/>
      <c r="D517" s="238"/>
      <c r="E517" s="238"/>
      <c r="F517" s="238"/>
      <c r="G517" s="238"/>
      <c r="H517" s="238"/>
      <c r="I517" s="238"/>
      <c r="J517" s="238"/>
      <c r="K517" s="238"/>
      <c r="L517" s="238"/>
      <c r="M517" s="238"/>
      <c r="N517" s="238"/>
      <c r="O517" s="238"/>
      <c r="P517" s="238"/>
      <c r="Q517" s="238"/>
      <c r="R517" s="238"/>
      <c r="S517" s="238"/>
      <c r="T517" s="238"/>
      <c r="U517" s="238"/>
      <c r="V517" s="238"/>
      <c r="W517" s="238"/>
    </row>
    <row r="518" spans="1:23" ht="12.75">
      <c r="A518" s="238"/>
      <c r="B518" s="238"/>
      <c r="C518" s="238"/>
      <c r="D518" s="238"/>
      <c r="E518" s="238"/>
      <c r="F518" s="238"/>
      <c r="G518" s="238"/>
      <c r="H518" s="238"/>
      <c r="I518" s="238"/>
      <c r="J518" s="238"/>
      <c r="K518" s="238"/>
      <c r="L518" s="238"/>
      <c r="M518" s="238"/>
      <c r="N518" s="238"/>
      <c r="O518" s="238"/>
      <c r="P518" s="238"/>
      <c r="Q518" s="238"/>
      <c r="R518" s="238"/>
      <c r="S518" s="238"/>
      <c r="T518" s="238"/>
      <c r="U518" s="238"/>
      <c r="V518" s="238"/>
      <c r="W518" s="238"/>
    </row>
    <row r="519" spans="1:23" ht="12.75">
      <c r="A519" s="238"/>
      <c r="B519" s="238"/>
      <c r="C519" s="238"/>
      <c r="D519" s="238"/>
      <c r="E519" s="238"/>
      <c r="F519" s="238"/>
      <c r="G519" s="238"/>
      <c r="H519" s="238"/>
      <c r="I519" s="238"/>
      <c r="J519" s="238"/>
      <c r="K519" s="238"/>
      <c r="L519" s="238"/>
      <c r="M519" s="238"/>
      <c r="N519" s="238"/>
      <c r="O519" s="238"/>
      <c r="P519" s="238"/>
      <c r="Q519" s="238"/>
      <c r="R519" s="238"/>
      <c r="S519" s="238"/>
      <c r="T519" s="238"/>
      <c r="U519" s="238"/>
      <c r="V519" s="238"/>
      <c r="W519" s="238"/>
    </row>
    <row r="520" spans="1:23" ht="12.75">
      <c r="A520" s="238"/>
      <c r="B520" s="238"/>
      <c r="C520" s="238"/>
      <c r="D520" s="238"/>
      <c r="E520" s="238"/>
      <c r="F520" s="238"/>
      <c r="G520" s="238"/>
      <c r="H520" s="238"/>
      <c r="I520" s="238"/>
      <c r="J520" s="238"/>
      <c r="K520" s="238"/>
      <c r="L520" s="238"/>
      <c r="M520" s="238"/>
      <c r="N520" s="238"/>
      <c r="O520" s="238"/>
      <c r="P520" s="238"/>
      <c r="Q520" s="238"/>
      <c r="R520" s="238"/>
      <c r="S520" s="238"/>
      <c r="T520" s="238"/>
      <c r="U520" s="238"/>
      <c r="V520" s="238"/>
      <c r="W520" s="238"/>
    </row>
    <row r="521" spans="1:23" ht="12.75">
      <c r="A521" s="238"/>
      <c r="B521" s="238"/>
      <c r="C521" s="238"/>
      <c r="D521" s="238"/>
      <c r="E521" s="238"/>
      <c r="F521" s="238"/>
      <c r="G521" s="238"/>
      <c r="H521" s="238"/>
      <c r="I521" s="238"/>
      <c r="J521" s="238"/>
      <c r="K521" s="238"/>
      <c r="L521" s="238"/>
      <c r="M521" s="238"/>
      <c r="N521" s="238"/>
      <c r="O521" s="238"/>
      <c r="P521" s="238"/>
      <c r="Q521" s="238"/>
      <c r="R521" s="238"/>
      <c r="S521" s="238"/>
      <c r="T521" s="238"/>
      <c r="U521" s="238"/>
      <c r="V521" s="238"/>
      <c r="W521" s="238"/>
    </row>
    <row r="522" spans="1:23" ht="12.75">
      <c r="A522" s="238"/>
      <c r="B522" s="238"/>
      <c r="C522" s="238"/>
      <c r="D522" s="238"/>
      <c r="E522" s="238"/>
      <c r="F522" s="238"/>
      <c r="G522" s="238"/>
      <c r="H522" s="238"/>
      <c r="I522" s="238"/>
      <c r="J522" s="238"/>
      <c r="K522" s="238"/>
      <c r="L522" s="238"/>
      <c r="M522" s="238"/>
      <c r="N522" s="238"/>
      <c r="O522" s="238"/>
      <c r="P522" s="238"/>
      <c r="Q522" s="238"/>
      <c r="R522" s="238"/>
      <c r="S522" s="238"/>
      <c r="T522" s="238"/>
      <c r="U522" s="238"/>
      <c r="V522" s="238"/>
      <c r="W522" s="238"/>
    </row>
    <row r="523" spans="1:23" ht="12.75">
      <c r="A523" s="238"/>
      <c r="B523" s="238"/>
      <c r="C523" s="238"/>
      <c r="D523" s="238"/>
      <c r="E523" s="238"/>
      <c r="F523" s="238"/>
      <c r="G523" s="238"/>
      <c r="H523" s="238"/>
      <c r="I523" s="238"/>
      <c r="J523" s="238"/>
      <c r="K523" s="238"/>
      <c r="L523" s="238"/>
      <c r="M523" s="238"/>
      <c r="N523" s="238"/>
      <c r="O523" s="238"/>
      <c r="P523" s="238"/>
      <c r="Q523" s="238"/>
      <c r="R523" s="238"/>
      <c r="S523" s="238"/>
      <c r="T523" s="238"/>
      <c r="U523" s="238"/>
      <c r="V523" s="238"/>
      <c r="W523" s="238"/>
    </row>
    <row r="524" spans="1:23" ht="12.75">
      <c r="A524" s="238"/>
      <c r="B524" s="238"/>
      <c r="C524" s="238"/>
      <c r="D524" s="238"/>
      <c r="E524" s="238"/>
      <c r="F524" s="238"/>
      <c r="G524" s="238"/>
      <c r="H524" s="238"/>
      <c r="I524" s="238"/>
      <c r="J524" s="238"/>
      <c r="K524" s="238"/>
      <c r="L524" s="238"/>
      <c r="M524" s="238"/>
      <c r="N524" s="238"/>
      <c r="O524" s="238"/>
      <c r="P524" s="238"/>
      <c r="Q524" s="238"/>
      <c r="R524" s="238"/>
      <c r="S524" s="238"/>
      <c r="T524" s="238"/>
      <c r="U524" s="238"/>
      <c r="V524" s="238"/>
      <c r="W524" s="238"/>
    </row>
    <row r="525" spans="1:23" ht="12.75">
      <c r="A525" s="238"/>
      <c r="B525" s="238"/>
      <c r="C525" s="238"/>
      <c r="D525" s="238"/>
      <c r="E525" s="238"/>
      <c r="F525" s="238"/>
      <c r="G525" s="238"/>
      <c r="H525" s="238"/>
      <c r="I525" s="238"/>
      <c r="J525" s="238"/>
      <c r="K525" s="238"/>
      <c r="L525" s="238"/>
      <c r="M525" s="238"/>
      <c r="N525" s="238"/>
      <c r="O525" s="238"/>
      <c r="P525" s="238"/>
      <c r="Q525" s="238"/>
      <c r="R525" s="238"/>
      <c r="S525" s="238"/>
      <c r="T525" s="238"/>
      <c r="U525" s="238"/>
      <c r="V525" s="238"/>
      <c r="W525" s="238"/>
    </row>
    <row r="526" spans="1:23" ht="12.75">
      <c r="A526" s="238"/>
      <c r="B526" s="238"/>
      <c r="C526" s="238"/>
      <c r="D526" s="238"/>
      <c r="E526" s="238"/>
      <c r="F526" s="238"/>
      <c r="G526" s="238"/>
      <c r="H526" s="238"/>
      <c r="I526" s="238"/>
      <c r="J526" s="238"/>
      <c r="K526" s="238"/>
      <c r="L526" s="238"/>
      <c r="M526" s="238"/>
      <c r="N526" s="238"/>
      <c r="O526" s="238"/>
      <c r="P526" s="238"/>
      <c r="Q526" s="238"/>
      <c r="R526" s="238"/>
      <c r="S526" s="238"/>
      <c r="T526" s="238"/>
      <c r="U526" s="238"/>
      <c r="V526" s="238"/>
      <c r="W526" s="238"/>
    </row>
    <row r="527" spans="1:23" ht="12.75">
      <c r="A527" s="238"/>
      <c r="B527" s="238"/>
      <c r="C527" s="238"/>
      <c r="D527" s="238"/>
      <c r="E527" s="238"/>
      <c r="F527" s="238"/>
      <c r="G527" s="238"/>
      <c r="H527" s="238"/>
      <c r="I527" s="238"/>
      <c r="J527" s="238"/>
      <c r="K527" s="238"/>
      <c r="L527" s="238"/>
      <c r="M527" s="238"/>
      <c r="N527" s="238"/>
      <c r="O527" s="238"/>
      <c r="P527" s="238"/>
      <c r="Q527" s="238"/>
      <c r="R527" s="238"/>
      <c r="S527" s="238"/>
      <c r="T527" s="238"/>
      <c r="U527" s="238"/>
      <c r="V527" s="238"/>
      <c r="W527" s="238"/>
    </row>
    <row r="528" spans="1:23" ht="12.75">
      <c r="A528" s="238"/>
      <c r="B528" s="238"/>
      <c r="C528" s="238"/>
      <c r="D528" s="238"/>
      <c r="E528" s="238"/>
      <c r="F528" s="238"/>
      <c r="G528" s="238"/>
      <c r="H528" s="238"/>
      <c r="I528" s="238"/>
      <c r="J528" s="238"/>
      <c r="K528" s="238"/>
      <c r="L528" s="238"/>
      <c r="M528" s="238"/>
      <c r="N528" s="238"/>
      <c r="O528" s="238"/>
      <c r="P528" s="238"/>
      <c r="Q528" s="238"/>
      <c r="R528" s="238"/>
      <c r="S528" s="238"/>
      <c r="T528" s="238"/>
      <c r="U528" s="238"/>
      <c r="V528" s="238"/>
      <c r="W528" s="238"/>
    </row>
    <row r="529" spans="1:23" ht="12.75">
      <c r="A529" s="238"/>
      <c r="B529" s="238"/>
      <c r="C529" s="238"/>
      <c r="D529" s="238"/>
      <c r="E529" s="238"/>
      <c r="F529" s="238"/>
      <c r="G529" s="238"/>
      <c r="H529" s="238"/>
      <c r="I529" s="238"/>
      <c r="J529" s="238"/>
      <c r="K529" s="238"/>
      <c r="L529" s="238"/>
      <c r="M529" s="238"/>
      <c r="N529" s="238"/>
      <c r="O529" s="238"/>
      <c r="P529" s="238"/>
      <c r="Q529" s="238"/>
      <c r="R529" s="238"/>
      <c r="S529" s="238"/>
      <c r="T529" s="238"/>
      <c r="U529" s="238"/>
      <c r="V529" s="238"/>
      <c r="W529" s="238"/>
    </row>
    <row r="530" spans="1:23" ht="12.75">
      <c r="A530" s="238"/>
      <c r="B530" s="238"/>
      <c r="C530" s="238"/>
      <c r="D530" s="238"/>
      <c r="E530" s="238"/>
      <c r="F530" s="238"/>
      <c r="G530" s="238"/>
      <c r="H530" s="238"/>
      <c r="I530" s="238"/>
      <c r="J530" s="238"/>
      <c r="K530" s="238"/>
      <c r="L530" s="238"/>
      <c r="M530" s="238"/>
      <c r="N530" s="238"/>
      <c r="O530" s="238"/>
      <c r="P530" s="238"/>
      <c r="Q530" s="238"/>
      <c r="R530" s="238"/>
      <c r="S530" s="238"/>
      <c r="T530" s="238"/>
      <c r="U530" s="238"/>
      <c r="V530" s="238"/>
      <c r="W530" s="238"/>
    </row>
    <row r="531" spans="1:23" ht="12.75">
      <c r="A531" s="238"/>
      <c r="B531" s="238"/>
      <c r="C531" s="238"/>
      <c r="D531" s="238"/>
      <c r="E531" s="238"/>
      <c r="F531" s="238"/>
      <c r="G531" s="238"/>
      <c r="H531" s="238"/>
      <c r="I531" s="238"/>
      <c r="J531" s="238"/>
      <c r="K531" s="238"/>
      <c r="L531" s="238"/>
      <c r="M531" s="238"/>
      <c r="N531" s="238"/>
      <c r="O531" s="238"/>
      <c r="P531" s="238"/>
      <c r="Q531" s="238"/>
      <c r="R531" s="238"/>
      <c r="S531" s="238"/>
      <c r="T531" s="238"/>
      <c r="U531" s="238"/>
      <c r="V531" s="238"/>
      <c r="W531" s="238"/>
    </row>
    <row r="532" spans="1:23" ht="12.75">
      <c r="A532" s="238"/>
      <c r="B532" s="238"/>
      <c r="C532" s="238"/>
      <c r="D532" s="238"/>
      <c r="E532" s="238"/>
      <c r="F532" s="238"/>
      <c r="G532" s="238"/>
      <c r="H532" s="238"/>
      <c r="I532" s="238"/>
      <c r="J532" s="238"/>
      <c r="K532" s="238"/>
      <c r="L532" s="238"/>
      <c r="M532" s="238"/>
      <c r="N532" s="238"/>
      <c r="O532" s="238"/>
      <c r="P532" s="238"/>
      <c r="Q532" s="238"/>
      <c r="R532" s="238"/>
      <c r="S532" s="238"/>
      <c r="T532" s="238"/>
      <c r="U532" s="238"/>
      <c r="V532" s="238"/>
      <c r="W532" s="238"/>
    </row>
    <row r="533" spans="1:23" ht="12.75">
      <c r="A533" s="238"/>
      <c r="B533" s="238"/>
      <c r="C533" s="238"/>
      <c r="D533" s="238"/>
      <c r="E533" s="238"/>
      <c r="F533" s="238"/>
      <c r="G533" s="238"/>
      <c r="H533" s="238"/>
      <c r="I533" s="238"/>
      <c r="J533" s="238"/>
      <c r="K533" s="238"/>
      <c r="L533" s="238"/>
      <c r="M533" s="238"/>
      <c r="N533" s="238"/>
      <c r="O533" s="238"/>
      <c r="P533" s="238"/>
      <c r="Q533" s="238"/>
      <c r="R533" s="238"/>
      <c r="S533" s="238"/>
      <c r="T533" s="238"/>
      <c r="U533" s="238"/>
      <c r="V533" s="238"/>
      <c r="W533" s="238"/>
    </row>
    <row r="534" spans="1:23" ht="12.75">
      <c r="A534" s="238"/>
      <c r="B534" s="238"/>
      <c r="C534" s="238"/>
      <c r="D534" s="238"/>
      <c r="E534" s="238"/>
      <c r="F534" s="238"/>
      <c r="G534" s="238"/>
      <c r="H534" s="238"/>
      <c r="I534" s="238"/>
      <c r="J534" s="238"/>
      <c r="K534" s="238"/>
      <c r="L534" s="238"/>
      <c r="M534" s="238"/>
      <c r="N534" s="238"/>
      <c r="O534" s="238"/>
      <c r="P534" s="238"/>
      <c r="Q534" s="238"/>
      <c r="R534" s="238"/>
      <c r="S534" s="238"/>
      <c r="T534" s="238"/>
      <c r="U534" s="238"/>
      <c r="V534" s="238"/>
      <c r="W534" s="238"/>
    </row>
    <row r="535" spans="1:23" ht="12.75">
      <c r="A535" s="238"/>
      <c r="B535" s="238"/>
      <c r="C535" s="238"/>
      <c r="D535" s="238"/>
      <c r="E535" s="238"/>
      <c r="F535" s="238"/>
      <c r="G535" s="238"/>
      <c r="H535" s="238"/>
      <c r="I535" s="238"/>
      <c r="J535" s="238"/>
      <c r="K535" s="238"/>
      <c r="L535" s="238"/>
      <c r="M535" s="238"/>
      <c r="N535" s="238"/>
      <c r="O535" s="238"/>
      <c r="P535" s="238"/>
      <c r="Q535" s="238"/>
      <c r="R535" s="238"/>
      <c r="S535" s="238"/>
      <c r="T535" s="238"/>
      <c r="U535" s="238"/>
      <c r="V535" s="238"/>
      <c r="W535" s="238"/>
    </row>
    <row r="536" spans="1:23" ht="12.75">
      <c r="A536" s="238"/>
      <c r="B536" s="238"/>
      <c r="C536" s="238"/>
      <c r="D536" s="238"/>
      <c r="E536" s="238"/>
      <c r="F536" s="238"/>
      <c r="G536" s="238"/>
      <c r="H536" s="238"/>
      <c r="I536" s="238"/>
      <c r="J536" s="238"/>
      <c r="K536" s="238"/>
      <c r="L536" s="238"/>
      <c r="M536" s="238"/>
      <c r="N536" s="238"/>
      <c r="O536" s="238"/>
      <c r="P536" s="238"/>
      <c r="Q536" s="238"/>
      <c r="R536" s="238"/>
      <c r="S536" s="238"/>
      <c r="T536" s="238"/>
      <c r="U536" s="238"/>
      <c r="V536" s="238"/>
      <c r="W536" s="238"/>
    </row>
    <row r="537" spans="1:23" ht="12.75">
      <c r="A537" s="238"/>
      <c r="B537" s="238"/>
      <c r="C537" s="238"/>
      <c r="D537" s="238"/>
      <c r="E537" s="238"/>
      <c r="F537" s="238"/>
      <c r="G537" s="238"/>
      <c r="H537" s="238"/>
      <c r="I537" s="238"/>
      <c r="J537" s="238"/>
      <c r="K537" s="238"/>
      <c r="L537" s="238"/>
      <c r="M537" s="238"/>
      <c r="N537" s="238"/>
      <c r="O537" s="238"/>
      <c r="P537" s="238"/>
      <c r="Q537" s="238"/>
      <c r="R537" s="238"/>
      <c r="S537" s="238"/>
      <c r="T537" s="238"/>
      <c r="U537" s="238"/>
      <c r="V537" s="238"/>
      <c r="W537" s="238"/>
    </row>
    <row r="538" spans="1:23" ht="12.75">
      <c r="A538" s="238"/>
      <c r="B538" s="238"/>
      <c r="C538" s="238"/>
      <c r="D538" s="238"/>
      <c r="E538" s="238"/>
      <c r="F538" s="238"/>
      <c r="G538" s="238"/>
      <c r="H538" s="238"/>
      <c r="I538" s="238"/>
      <c r="J538" s="238"/>
      <c r="K538" s="238"/>
      <c r="L538" s="238"/>
      <c r="M538" s="238"/>
      <c r="N538" s="238"/>
      <c r="O538" s="238"/>
      <c r="P538" s="238"/>
      <c r="Q538" s="238"/>
      <c r="R538" s="238"/>
      <c r="S538" s="238"/>
      <c r="T538" s="238"/>
      <c r="U538" s="238"/>
      <c r="V538" s="238"/>
      <c r="W538" s="238"/>
    </row>
    <row r="539" spans="1:23" ht="12.75">
      <c r="A539" s="238"/>
      <c r="B539" s="238"/>
      <c r="C539" s="238"/>
      <c r="D539" s="238"/>
      <c r="E539" s="238"/>
      <c r="F539" s="238"/>
      <c r="G539" s="238"/>
      <c r="H539" s="238"/>
      <c r="I539" s="238"/>
      <c r="J539" s="238"/>
      <c r="K539" s="238"/>
      <c r="L539" s="238"/>
      <c r="M539" s="238"/>
      <c r="N539" s="238"/>
      <c r="O539" s="238"/>
      <c r="P539" s="238"/>
      <c r="Q539" s="238"/>
      <c r="R539" s="238"/>
      <c r="S539" s="238"/>
      <c r="T539" s="238"/>
      <c r="U539" s="238"/>
      <c r="V539" s="238"/>
      <c r="W539" s="238"/>
    </row>
    <row r="540" spans="1:23" ht="12.75">
      <c r="A540" s="238"/>
      <c r="B540" s="238"/>
      <c r="C540" s="238"/>
      <c r="D540" s="238"/>
      <c r="E540" s="238"/>
      <c r="F540" s="238"/>
      <c r="G540" s="238"/>
      <c r="H540" s="238"/>
      <c r="I540" s="238"/>
      <c r="J540" s="238"/>
      <c r="K540" s="238"/>
      <c r="L540" s="238"/>
      <c r="M540" s="238"/>
      <c r="N540" s="238"/>
      <c r="O540" s="238"/>
      <c r="P540" s="238"/>
      <c r="Q540" s="238"/>
      <c r="R540" s="238"/>
      <c r="S540" s="238"/>
      <c r="T540" s="238"/>
      <c r="U540" s="238"/>
      <c r="V540" s="238"/>
      <c r="W540" s="238"/>
    </row>
    <row r="541" spans="1:23" ht="12.75">
      <c r="A541" s="238"/>
      <c r="B541" s="238"/>
      <c r="C541" s="238"/>
      <c r="D541" s="238"/>
      <c r="E541" s="238"/>
      <c r="F541" s="238"/>
      <c r="G541" s="238"/>
      <c r="H541" s="238"/>
      <c r="I541" s="238"/>
      <c r="J541" s="238"/>
      <c r="K541" s="238"/>
      <c r="L541" s="238"/>
      <c r="M541" s="238"/>
      <c r="N541" s="238"/>
      <c r="O541" s="238"/>
      <c r="P541" s="238"/>
      <c r="Q541" s="238"/>
      <c r="R541" s="238"/>
      <c r="S541" s="238"/>
      <c r="T541" s="238"/>
      <c r="U541" s="238"/>
      <c r="V541" s="238"/>
      <c r="W541" s="238"/>
    </row>
    <row r="542" spans="1:23" ht="12.75">
      <c r="A542" s="238"/>
      <c r="B542" s="238"/>
      <c r="C542" s="238"/>
      <c r="D542" s="238"/>
      <c r="E542" s="238"/>
      <c r="F542" s="238"/>
      <c r="G542" s="238"/>
      <c r="H542" s="238"/>
      <c r="I542" s="238"/>
      <c r="J542" s="238"/>
      <c r="K542" s="238"/>
      <c r="L542" s="238"/>
      <c r="M542" s="238"/>
      <c r="N542" s="238"/>
      <c r="O542" s="238"/>
      <c r="P542" s="238"/>
      <c r="Q542" s="238"/>
      <c r="R542" s="238"/>
      <c r="S542" s="238"/>
      <c r="T542" s="238"/>
      <c r="U542" s="238"/>
      <c r="V542" s="238"/>
      <c r="W542" s="238"/>
    </row>
    <row r="543" spans="1:23" ht="12.75">
      <c r="A543" s="238"/>
      <c r="B543" s="238"/>
      <c r="C543" s="238"/>
      <c r="D543" s="238"/>
      <c r="E543" s="238"/>
      <c r="F543" s="238"/>
      <c r="G543" s="238"/>
      <c r="H543" s="238"/>
      <c r="I543" s="238"/>
      <c r="J543" s="238"/>
      <c r="K543" s="238"/>
      <c r="L543" s="238"/>
      <c r="M543" s="238"/>
      <c r="N543" s="238"/>
      <c r="O543" s="238"/>
      <c r="P543" s="238"/>
      <c r="Q543" s="238"/>
      <c r="R543" s="238"/>
      <c r="S543" s="238"/>
      <c r="T543" s="238"/>
      <c r="U543" s="238"/>
      <c r="V543" s="238"/>
      <c r="W543" s="238"/>
    </row>
    <row r="544" spans="1:23" ht="12.75">
      <c r="A544" s="238"/>
      <c r="B544" s="238"/>
      <c r="C544" s="238"/>
      <c r="D544" s="238"/>
      <c r="E544" s="238"/>
      <c r="F544" s="238"/>
      <c r="G544" s="238"/>
      <c r="H544" s="238"/>
      <c r="I544" s="238"/>
      <c r="J544" s="238"/>
      <c r="K544" s="238"/>
      <c r="L544" s="238"/>
      <c r="M544" s="238"/>
      <c r="N544" s="238"/>
      <c r="O544" s="238"/>
      <c r="P544" s="238"/>
      <c r="Q544" s="238"/>
      <c r="R544" s="238"/>
      <c r="S544" s="238"/>
      <c r="T544" s="238"/>
      <c r="U544" s="238"/>
      <c r="V544" s="238"/>
      <c r="W544" s="238"/>
    </row>
    <row r="545" spans="1:23" ht="12.75">
      <c r="A545" s="238"/>
      <c r="B545" s="238"/>
      <c r="C545" s="238"/>
      <c r="D545" s="238"/>
      <c r="E545" s="238"/>
      <c r="F545" s="238"/>
      <c r="G545" s="238"/>
      <c r="H545" s="238"/>
      <c r="I545" s="238"/>
      <c r="J545" s="238"/>
      <c r="K545" s="238"/>
      <c r="L545" s="238"/>
      <c r="M545" s="238"/>
      <c r="N545" s="238"/>
      <c r="O545" s="238"/>
      <c r="P545" s="238"/>
      <c r="Q545" s="238"/>
      <c r="R545" s="238"/>
      <c r="S545" s="238"/>
      <c r="T545" s="238"/>
      <c r="U545" s="238"/>
      <c r="V545" s="238"/>
      <c r="W545" s="238"/>
    </row>
    <row r="546" spans="1:23" ht="12.75">
      <c r="A546" s="238"/>
      <c r="B546" s="238"/>
      <c r="C546" s="238"/>
      <c r="D546" s="238"/>
      <c r="E546" s="238"/>
      <c r="F546" s="238"/>
      <c r="G546" s="238"/>
      <c r="H546" s="238"/>
      <c r="I546" s="238"/>
      <c r="J546" s="238"/>
      <c r="K546" s="238"/>
      <c r="L546" s="238"/>
      <c r="M546" s="238"/>
      <c r="N546" s="238"/>
      <c r="O546" s="238"/>
      <c r="P546" s="238"/>
      <c r="Q546" s="238"/>
      <c r="R546" s="238"/>
      <c r="S546" s="238"/>
      <c r="T546" s="238"/>
      <c r="U546" s="238"/>
      <c r="V546" s="238"/>
      <c r="W546" s="238"/>
    </row>
    <row r="547" spans="1:23" ht="12.75">
      <c r="A547" s="238"/>
      <c r="B547" s="238"/>
      <c r="C547" s="238"/>
      <c r="D547" s="238"/>
      <c r="E547" s="238"/>
      <c r="F547" s="238"/>
      <c r="G547" s="238"/>
      <c r="H547" s="238"/>
      <c r="I547" s="238"/>
      <c r="J547" s="238"/>
      <c r="K547" s="238"/>
      <c r="L547" s="238"/>
      <c r="M547" s="238"/>
      <c r="N547" s="238"/>
      <c r="O547" s="238"/>
      <c r="P547" s="238"/>
      <c r="Q547" s="238"/>
      <c r="R547" s="238"/>
      <c r="S547" s="238"/>
      <c r="T547" s="238"/>
      <c r="U547" s="238"/>
      <c r="V547" s="238"/>
      <c r="W547" s="238"/>
    </row>
    <row r="548" spans="1:23" ht="12.75">
      <c r="A548" s="238"/>
      <c r="B548" s="238"/>
      <c r="C548" s="238"/>
      <c r="D548" s="238"/>
      <c r="E548" s="238"/>
      <c r="F548" s="238"/>
      <c r="G548" s="238"/>
      <c r="H548" s="238"/>
      <c r="I548" s="238"/>
      <c r="J548" s="238"/>
      <c r="K548" s="238"/>
      <c r="L548" s="238"/>
      <c r="M548" s="238"/>
      <c r="N548" s="238"/>
      <c r="O548" s="238"/>
      <c r="P548" s="238"/>
      <c r="Q548" s="238"/>
      <c r="R548" s="238"/>
      <c r="S548" s="238"/>
      <c r="T548" s="238"/>
      <c r="U548" s="238"/>
      <c r="V548" s="238"/>
      <c r="W548" s="238"/>
    </row>
    <row r="549" spans="1:23" ht="12.75">
      <c r="A549" s="238"/>
      <c r="B549" s="238"/>
      <c r="C549" s="238"/>
      <c r="D549" s="238"/>
      <c r="E549" s="238"/>
      <c r="F549" s="238"/>
      <c r="G549" s="238"/>
      <c r="H549" s="238"/>
      <c r="I549" s="238"/>
      <c r="J549" s="238"/>
      <c r="K549" s="238"/>
      <c r="L549" s="238"/>
      <c r="M549" s="238"/>
      <c r="N549" s="238"/>
      <c r="O549" s="238"/>
      <c r="P549" s="238"/>
      <c r="Q549" s="238"/>
      <c r="R549" s="238"/>
      <c r="S549" s="238"/>
      <c r="T549" s="238"/>
      <c r="U549" s="238"/>
      <c r="V549" s="238"/>
      <c r="W549" s="238"/>
    </row>
    <row r="550" spans="1:23" ht="12.75">
      <c r="A550" s="238"/>
      <c r="B550" s="238"/>
      <c r="C550" s="238"/>
      <c r="D550" s="238"/>
      <c r="E550" s="238"/>
      <c r="F550" s="238"/>
      <c r="G550" s="238"/>
      <c r="H550" s="238"/>
      <c r="I550" s="238"/>
      <c r="J550" s="238"/>
      <c r="K550" s="238"/>
      <c r="L550" s="238"/>
      <c r="M550" s="238"/>
      <c r="N550" s="238"/>
      <c r="O550" s="238"/>
      <c r="P550" s="238"/>
      <c r="Q550" s="238"/>
      <c r="R550" s="238"/>
      <c r="S550" s="238"/>
      <c r="T550" s="238"/>
      <c r="U550" s="238"/>
      <c r="V550" s="238"/>
      <c r="W550" s="238"/>
    </row>
    <row r="551" spans="1:23" ht="12.75">
      <c r="A551" s="238"/>
      <c r="B551" s="238"/>
      <c r="C551" s="238"/>
      <c r="D551" s="238"/>
      <c r="E551" s="238"/>
      <c r="F551" s="238"/>
      <c r="G551" s="238"/>
      <c r="H551" s="238"/>
      <c r="I551" s="238"/>
      <c r="J551" s="238"/>
      <c r="K551" s="238"/>
      <c r="L551" s="238"/>
      <c r="M551" s="238"/>
      <c r="N551" s="238"/>
      <c r="O551" s="238"/>
      <c r="P551" s="238"/>
      <c r="Q551" s="238"/>
      <c r="R551" s="238"/>
      <c r="S551" s="238"/>
      <c r="T551" s="238"/>
      <c r="U551" s="238"/>
      <c r="V551" s="238"/>
      <c r="W551" s="238"/>
    </row>
    <row r="552" spans="1:23" ht="12.75">
      <c r="A552" s="238"/>
      <c r="B552" s="238"/>
      <c r="C552" s="238"/>
      <c r="D552" s="238"/>
      <c r="E552" s="238"/>
      <c r="F552" s="238"/>
      <c r="G552" s="238"/>
      <c r="H552" s="238"/>
      <c r="I552" s="238"/>
      <c r="J552" s="238"/>
      <c r="K552" s="238"/>
      <c r="L552" s="238"/>
      <c r="M552" s="238"/>
      <c r="N552" s="238"/>
      <c r="O552" s="238"/>
      <c r="P552" s="238"/>
      <c r="Q552" s="238"/>
      <c r="R552" s="238"/>
      <c r="S552" s="238"/>
      <c r="T552" s="238"/>
      <c r="U552" s="238"/>
      <c r="V552" s="238"/>
      <c r="W552" s="238"/>
    </row>
    <row r="553" spans="1:23" ht="12.75">
      <c r="A553" s="238"/>
      <c r="B553" s="238"/>
      <c r="C553" s="238"/>
      <c r="D553" s="238"/>
      <c r="E553" s="238"/>
      <c r="F553" s="238"/>
      <c r="G553" s="238"/>
      <c r="H553" s="238"/>
      <c r="I553" s="238"/>
      <c r="J553" s="238"/>
      <c r="K553" s="238"/>
      <c r="L553" s="238"/>
      <c r="M553" s="238"/>
      <c r="N553" s="238"/>
      <c r="O553" s="238"/>
      <c r="P553" s="238"/>
      <c r="Q553" s="238"/>
      <c r="R553" s="238"/>
      <c r="S553" s="238"/>
      <c r="T553" s="238"/>
      <c r="U553" s="238"/>
      <c r="V553" s="238"/>
      <c r="W553" s="238"/>
    </row>
    <row r="554" spans="1:23" ht="12.75">
      <c r="A554" s="238"/>
      <c r="B554" s="238"/>
      <c r="C554" s="238"/>
      <c r="D554" s="238"/>
      <c r="E554" s="238"/>
      <c r="F554" s="238"/>
      <c r="G554" s="238"/>
      <c r="H554" s="238"/>
      <c r="I554" s="238"/>
      <c r="J554" s="238"/>
      <c r="K554" s="238"/>
      <c r="L554" s="238"/>
      <c r="M554" s="238"/>
      <c r="N554" s="238"/>
      <c r="O554" s="238"/>
      <c r="P554" s="238"/>
      <c r="Q554" s="238"/>
      <c r="R554" s="238"/>
      <c r="S554" s="238"/>
      <c r="T554" s="238"/>
      <c r="U554" s="238"/>
      <c r="V554" s="238"/>
      <c r="W554" s="238"/>
    </row>
    <row r="555" spans="1:23" ht="12.75">
      <c r="A555" s="238"/>
      <c r="B555" s="238"/>
      <c r="C555" s="238"/>
      <c r="D555" s="238"/>
      <c r="E555" s="238"/>
      <c r="F555" s="238"/>
      <c r="G555" s="238"/>
      <c r="H555" s="238"/>
      <c r="I555" s="238"/>
      <c r="J555" s="238"/>
      <c r="K555" s="238"/>
      <c r="L555" s="238"/>
      <c r="M555" s="238"/>
      <c r="N555" s="238"/>
      <c r="O555" s="238"/>
      <c r="P555" s="238"/>
      <c r="Q555" s="238"/>
      <c r="R555" s="238"/>
      <c r="S555" s="238"/>
      <c r="T555" s="238"/>
      <c r="U555" s="238"/>
      <c r="V555" s="238"/>
      <c r="W555" s="238"/>
    </row>
    <row r="556" spans="1:23" ht="12.75">
      <c r="A556" s="238"/>
      <c r="B556" s="238"/>
      <c r="C556" s="238"/>
      <c r="D556" s="238"/>
      <c r="E556" s="238"/>
      <c r="F556" s="238"/>
      <c r="G556" s="238"/>
      <c r="H556" s="238"/>
      <c r="I556" s="238"/>
      <c r="J556" s="238"/>
      <c r="K556" s="238"/>
      <c r="L556" s="238"/>
      <c r="M556" s="238"/>
      <c r="N556" s="238"/>
      <c r="O556" s="238"/>
      <c r="P556" s="238"/>
      <c r="Q556" s="238"/>
      <c r="R556" s="238"/>
      <c r="S556" s="238"/>
      <c r="T556" s="238"/>
      <c r="U556" s="238"/>
      <c r="V556" s="238"/>
      <c r="W556" s="238"/>
    </row>
    <row r="557" spans="1:23" ht="12.75">
      <c r="A557" s="238"/>
      <c r="B557" s="238"/>
      <c r="C557" s="238"/>
      <c r="D557" s="238"/>
      <c r="E557" s="238"/>
      <c r="F557" s="238"/>
      <c r="G557" s="238"/>
      <c r="H557" s="238"/>
      <c r="I557" s="238"/>
      <c r="J557" s="238"/>
      <c r="K557" s="238"/>
      <c r="L557" s="238"/>
      <c r="M557" s="238"/>
      <c r="N557" s="238"/>
      <c r="O557" s="238"/>
      <c r="P557" s="238"/>
      <c r="Q557" s="238"/>
      <c r="R557" s="238"/>
      <c r="S557" s="238"/>
      <c r="T557" s="238"/>
      <c r="U557" s="238"/>
      <c r="V557" s="238"/>
      <c r="W557" s="238"/>
    </row>
    <row r="558" spans="1:23" ht="12.75">
      <c r="A558" s="238"/>
      <c r="B558" s="238"/>
      <c r="C558" s="238"/>
      <c r="D558" s="238"/>
      <c r="E558" s="238"/>
      <c r="F558" s="238"/>
      <c r="G558" s="238"/>
      <c r="H558" s="238"/>
      <c r="I558" s="238"/>
      <c r="J558" s="238"/>
      <c r="K558" s="238"/>
      <c r="L558" s="238"/>
      <c r="M558" s="238"/>
      <c r="N558" s="238"/>
      <c r="O558" s="238"/>
      <c r="P558" s="238"/>
      <c r="Q558" s="238"/>
      <c r="R558" s="238"/>
      <c r="S558" s="238"/>
      <c r="T558" s="238"/>
      <c r="U558" s="238"/>
      <c r="V558" s="238"/>
      <c r="W558" s="238"/>
    </row>
    <row r="559" spans="1:23" ht="12.75">
      <c r="A559" s="238"/>
      <c r="B559" s="238"/>
      <c r="C559" s="238"/>
      <c r="D559" s="238"/>
      <c r="E559" s="238"/>
      <c r="F559" s="238"/>
      <c r="G559" s="238"/>
      <c r="H559" s="238"/>
      <c r="I559" s="238"/>
      <c r="J559" s="238"/>
      <c r="K559" s="238"/>
      <c r="L559" s="238"/>
      <c r="M559" s="238"/>
      <c r="N559" s="238"/>
      <c r="O559" s="238"/>
      <c r="P559" s="238"/>
      <c r="Q559" s="238"/>
      <c r="R559" s="238"/>
      <c r="S559" s="238"/>
      <c r="T559" s="238"/>
      <c r="U559" s="238"/>
      <c r="V559" s="238"/>
      <c r="W559" s="238"/>
    </row>
    <row r="560" spans="1:23" ht="12.75">
      <c r="A560" s="238"/>
      <c r="B560" s="238"/>
      <c r="C560" s="238"/>
      <c r="D560" s="238"/>
      <c r="E560" s="238"/>
      <c r="F560" s="238"/>
      <c r="G560" s="238"/>
      <c r="H560" s="238"/>
      <c r="I560" s="238"/>
      <c r="J560" s="238"/>
      <c r="K560" s="238"/>
      <c r="L560" s="238"/>
      <c r="M560" s="238"/>
      <c r="N560" s="238"/>
      <c r="O560" s="238"/>
      <c r="P560" s="238"/>
      <c r="Q560" s="238"/>
      <c r="R560" s="238"/>
      <c r="S560" s="238"/>
      <c r="T560" s="238"/>
      <c r="U560" s="238"/>
      <c r="V560" s="238"/>
      <c r="W560" s="238"/>
    </row>
    <row r="561" spans="1:23" ht="12.75">
      <c r="A561" s="238"/>
      <c r="B561" s="238"/>
      <c r="C561" s="238"/>
      <c r="D561" s="238"/>
      <c r="E561" s="238"/>
      <c r="F561" s="238"/>
      <c r="G561" s="238"/>
      <c r="H561" s="238"/>
      <c r="I561" s="238"/>
      <c r="J561" s="238"/>
      <c r="K561" s="238"/>
      <c r="L561" s="238"/>
      <c r="M561" s="238"/>
      <c r="N561" s="238"/>
      <c r="O561" s="238"/>
      <c r="P561" s="238"/>
      <c r="Q561" s="238"/>
      <c r="R561" s="238"/>
      <c r="S561" s="238"/>
      <c r="T561" s="238"/>
      <c r="U561" s="238"/>
      <c r="V561" s="238"/>
      <c r="W561" s="238"/>
    </row>
    <row r="562" spans="1:23" ht="12.75">
      <c r="A562" s="238"/>
      <c r="B562" s="238"/>
      <c r="C562" s="238"/>
      <c r="D562" s="238"/>
      <c r="E562" s="238"/>
      <c r="F562" s="238"/>
      <c r="G562" s="238"/>
      <c r="H562" s="238"/>
      <c r="I562" s="238"/>
      <c r="J562" s="238"/>
      <c r="K562" s="238"/>
      <c r="L562" s="238"/>
      <c r="M562" s="238"/>
      <c r="N562" s="238"/>
      <c r="O562" s="238"/>
      <c r="P562" s="238"/>
      <c r="Q562" s="238"/>
      <c r="R562" s="238"/>
      <c r="S562" s="238"/>
      <c r="T562" s="238"/>
      <c r="U562" s="238"/>
      <c r="V562" s="238"/>
      <c r="W562" s="238"/>
    </row>
    <row r="563" spans="1:23" ht="12.75">
      <c r="A563" s="238"/>
      <c r="B563" s="238"/>
      <c r="C563" s="238"/>
      <c r="D563" s="238"/>
      <c r="E563" s="238"/>
      <c r="F563" s="238"/>
      <c r="G563" s="238"/>
      <c r="H563" s="238"/>
      <c r="I563" s="238"/>
      <c r="J563" s="238"/>
      <c r="K563" s="238"/>
      <c r="L563" s="238"/>
      <c r="M563" s="238"/>
      <c r="N563" s="238"/>
      <c r="O563" s="238"/>
      <c r="P563" s="238"/>
      <c r="Q563" s="238"/>
      <c r="R563" s="238"/>
      <c r="S563" s="238"/>
      <c r="T563" s="238"/>
      <c r="U563" s="238"/>
      <c r="V563" s="238"/>
      <c r="W563" s="238"/>
    </row>
    <row r="564" spans="1:23" ht="12.75">
      <c r="A564" s="238"/>
      <c r="B564" s="238"/>
      <c r="C564" s="238"/>
      <c r="D564" s="238"/>
      <c r="E564" s="238"/>
      <c r="F564" s="238"/>
      <c r="G564" s="238"/>
      <c r="H564" s="238"/>
      <c r="I564" s="238"/>
      <c r="J564" s="238"/>
      <c r="K564" s="238"/>
      <c r="L564" s="238"/>
      <c r="M564" s="238"/>
      <c r="N564" s="238"/>
      <c r="O564" s="238"/>
      <c r="P564" s="238"/>
      <c r="Q564" s="238"/>
      <c r="R564" s="238"/>
      <c r="S564" s="238"/>
      <c r="T564" s="238"/>
      <c r="U564" s="238"/>
      <c r="V564" s="238"/>
      <c r="W564" s="238"/>
    </row>
    <row r="565" spans="1:23" ht="12.75">
      <c r="A565" s="238"/>
      <c r="B565" s="238"/>
      <c r="C565" s="238"/>
      <c r="D565" s="238"/>
      <c r="E565" s="238"/>
      <c r="F565" s="238"/>
      <c r="G565" s="238"/>
      <c r="H565" s="238"/>
      <c r="I565" s="238"/>
      <c r="J565" s="238"/>
      <c r="K565" s="238"/>
      <c r="L565" s="238"/>
      <c r="M565" s="238"/>
      <c r="N565" s="238"/>
      <c r="O565" s="238"/>
      <c r="P565" s="238"/>
      <c r="Q565" s="238"/>
      <c r="R565" s="238"/>
      <c r="S565" s="238"/>
      <c r="T565" s="238"/>
      <c r="U565" s="238"/>
      <c r="V565" s="238"/>
      <c r="W565" s="238"/>
    </row>
    <row r="566" spans="1:23" ht="12.75">
      <c r="A566" s="238"/>
      <c r="B566" s="238"/>
      <c r="C566" s="238"/>
      <c r="D566" s="238"/>
      <c r="E566" s="238"/>
      <c r="F566" s="238"/>
      <c r="G566" s="238"/>
      <c r="H566" s="238"/>
      <c r="I566" s="238"/>
      <c r="J566" s="238"/>
      <c r="K566" s="238"/>
      <c r="L566" s="238"/>
      <c r="M566" s="238"/>
      <c r="N566" s="238"/>
      <c r="O566" s="238"/>
      <c r="P566" s="238"/>
      <c r="Q566" s="238"/>
      <c r="R566" s="238"/>
      <c r="S566" s="238"/>
      <c r="T566" s="238"/>
      <c r="U566" s="238"/>
      <c r="V566" s="238"/>
      <c r="W566" s="238"/>
    </row>
    <row r="567" spans="1:23" ht="12.75">
      <c r="A567" s="238"/>
      <c r="B567" s="238"/>
      <c r="C567" s="238"/>
      <c r="D567" s="238"/>
      <c r="E567" s="238"/>
      <c r="F567" s="238"/>
      <c r="G567" s="238"/>
      <c r="H567" s="238"/>
      <c r="I567" s="238"/>
      <c r="J567" s="238"/>
      <c r="K567" s="238"/>
      <c r="L567" s="238"/>
      <c r="M567" s="238"/>
      <c r="N567" s="238"/>
      <c r="O567" s="238"/>
      <c r="P567" s="238"/>
      <c r="Q567" s="238"/>
      <c r="R567" s="238"/>
      <c r="S567" s="238"/>
      <c r="T567" s="238"/>
      <c r="U567" s="238"/>
      <c r="V567" s="238"/>
      <c r="W567" s="238"/>
    </row>
    <row r="568" spans="1:23" ht="12.75">
      <c r="A568" s="238"/>
      <c r="B568" s="238"/>
      <c r="C568" s="238"/>
      <c r="D568" s="238"/>
      <c r="E568" s="238"/>
      <c r="F568" s="238"/>
      <c r="G568" s="238"/>
      <c r="H568" s="238"/>
      <c r="I568" s="238"/>
      <c r="J568" s="238"/>
      <c r="K568" s="238"/>
      <c r="L568" s="238"/>
      <c r="M568" s="238"/>
      <c r="N568" s="238"/>
      <c r="O568" s="238"/>
      <c r="P568" s="238"/>
      <c r="Q568" s="238"/>
      <c r="R568" s="238"/>
      <c r="S568" s="238"/>
      <c r="T568" s="238"/>
      <c r="U568" s="238"/>
      <c r="V568" s="238"/>
      <c r="W568" s="238"/>
    </row>
    <row r="569" spans="1:23" ht="12.75">
      <c r="A569" s="238"/>
      <c r="B569" s="238"/>
      <c r="C569" s="238"/>
      <c r="D569" s="238"/>
      <c r="E569" s="238"/>
      <c r="F569" s="238"/>
      <c r="G569" s="238"/>
      <c r="H569" s="238"/>
      <c r="I569" s="238"/>
      <c r="J569" s="238"/>
      <c r="K569" s="238"/>
      <c r="L569" s="238"/>
      <c r="M569" s="238"/>
      <c r="N569" s="238"/>
      <c r="O569" s="238"/>
      <c r="P569" s="238"/>
      <c r="Q569" s="238"/>
      <c r="R569" s="238"/>
      <c r="S569" s="238"/>
      <c r="T569" s="238"/>
      <c r="U569" s="238"/>
      <c r="V569" s="238"/>
      <c r="W569" s="238"/>
    </row>
    <row r="570" spans="1:23" ht="12.75">
      <c r="A570" s="238"/>
      <c r="B570" s="238"/>
      <c r="C570" s="238"/>
      <c r="D570" s="238"/>
      <c r="E570" s="238"/>
      <c r="F570" s="238"/>
      <c r="G570" s="238"/>
      <c r="H570" s="238"/>
      <c r="I570" s="238"/>
      <c r="J570" s="238"/>
      <c r="K570" s="238"/>
      <c r="L570" s="238"/>
      <c r="M570" s="238"/>
      <c r="N570" s="238"/>
      <c r="O570" s="238"/>
      <c r="P570" s="238"/>
      <c r="Q570" s="238"/>
      <c r="R570" s="238"/>
      <c r="S570" s="238"/>
      <c r="T570" s="238"/>
      <c r="U570" s="238"/>
      <c r="V570" s="238"/>
      <c r="W570" s="238"/>
    </row>
    <row r="571" spans="1:23" ht="12.75">
      <c r="A571" s="238"/>
      <c r="B571" s="238"/>
      <c r="C571" s="238"/>
      <c r="D571" s="238"/>
      <c r="E571" s="238"/>
      <c r="F571" s="238"/>
      <c r="G571" s="238"/>
      <c r="H571" s="238"/>
      <c r="I571" s="238"/>
      <c r="J571" s="238"/>
      <c r="K571" s="238"/>
      <c r="L571" s="238"/>
      <c r="M571" s="238"/>
      <c r="N571" s="238"/>
      <c r="O571" s="238"/>
      <c r="P571" s="238"/>
      <c r="Q571" s="238"/>
      <c r="R571" s="238"/>
      <c r="S571" s="238"/>
      <c r="T571" s="238"/>
      <c r="U571" s="238"/>
      <c r="V571" s="238"/>
      <c r="W571" s="238"/>
    </row>
    <row r="572" spans="1:23" ht="12.75">
      <c r="A572" s="238"/>
      <c r="B572" s="238"/>
      <c r="C572" s="238"/>
      <c r="D572" s="238"/>
      <c r="E572" s="238"/>
      <c r="F572" s="238"/>
      <c r="G572" s="238"/>
      <c r="H572" s="238"/>
      <c r="I572" s="238"/>
      <c r="J572" s="238"/>
      <c r="K572" s="238"/>
      <c r="L572" s="238"/>
      <c r="M572" s="238"/>
      <c r="N572" s="238"/>
      <c r="O572" s="238"/>
      <c r="P572" s="238"/>
      <c r="Q572" s="238"/>
      <c r="R572" s="238"/>
      <c r="S572" s="238"/>
      <c r="T572" s="238"/>
      <c r="U572" s="238"/>
      <c r="V572" s="238"/>
      <c r="W572" s="238"/>
    </row>
    <row r="573" spans="1:23" ht="12.75">
      <c r="A573" s="238"/>
      <c r="B573" s="238"/>
      <c r="C573" s="238"/>
      <c r="D573" s="238"/>
      <c r="E573" s="238"/>
      <c r="F573" s="238"/>
      <c r="G573" s="238"/>
      <c r="H573" s="238"/>
      <c r="I573" s="238"/>
      <c r="J573" s="238"/>
      <c r="K573" s="238"/>
      <c r="L573" s="238"/>
      <c r="M573" s="238"/>
      <c r="N573" s="238"/>
      <c r="O573" s="238"/>
      <c r="P573" s="238"/>
      <c r="Q573" s="238"/>
      <c r="R573" s="238"/>
      <c r="S573" s="238"/>
      <c r="T573" s="238"/>
      <c r="U573" s="238"/>
      <c r="V573" s="238"/>
      <c r="W573" s="238"/>
    </row>
    <row r="574" spans="1:23" ht="12.75">
      <c r="A574" s="238"/>
      <c r="B574" s="238"/>
      <c r="C574" s="238"/>
      <c r="D574" s="238"/>
      <c r="E574" s="238"/>
      <c r="F574" s="238"/>
      <c r="G574" s="238"/>
      <c r="H574" s="238"/>
      <c r="I574" s="238"/>
      <c r="J574" s="238"/>
      <c r="K574" s="238"/>
      <c r="L574" s="238"/>
      <c r="M574" s="238"/>
      <c r="N574" s="238"/>
      <c r="O574" s="238"/>
      <c r="P574" s="238"/>
      <c r="Q574" s="238"/>
      <c r="R574" s="238"/>
      <c r="S574" s="238"/>
      <c r="T574" s="238"/>
      <c r="U574" s="238"/>
      <c r="V574" s="238"/>
      <c r="W574" s="238"/>
    </row>
    <row r="575" spans="1:23" ht="12.75">
      <c r="A575" s="238"/>
      <c r="B575" s="238"/>
      <c r="C575" s="238"/>
      <c r="D575" s="238"/>
      <c r="E575" s="238"/>
      <c r="F575" s="238"/>
      <c r="G575" s="238"/>
      <c r="H575" s="238"/>
      <c r="I575" s="238"/>
      <c r="J575" s="238"/>
      <c r="K575" s="238"/>
      <c r="L575" s="238"/>
      <c r="M575" s="238"/>
      <c r="N575" s="238"/>
      <c r="O575" s="238"/>
      <c r="P575" s="238"/>
      <c r="Q575" s="238"/>
      <c r="R575" s="238"/>
      <c r="S575" s="238"/>
      <c r="T575" s="238"/>
      <c r="U575" s="238"/>
      <c r="V575" s="238"/>
      <c r="W575" s="238"/>
    </row>
    <row r="576" spans="1:23" ht="12.75">
      <c r="A576" s="238"/>
      <c r="B576" s="238"/>
      <c r="C576" s="238"/>
      <c r="D576" s="238"/>
      <c r="E576" s="238"/>
      <c r="F576" s="238"/>
      <c r="G576" s="238"/>
      <c r="H576" s="238"/>
      <c r="I576" s="238"/>
      <c r="J576" s="238"/>
      <c r="K576" s="238"/>
      <c r="L576" s="238"/>
      <c r="M576" s="238"/>
      <c r="N576" s="238"/>
      <c r="O576" s="238"/>
      <c r="P576" s="238"/>
      <c r="Q576" s="238"/>
      <c r="R576" s="238"/>
      <c r="S576" s="238"/>
      <c r="T576" s="238"/>
      <c r="U576" s="238"/>
      <c r="V576" s="238"/>
      <c r="W576" s="238"/>
    </row>
    <row r="577" spans="1:23" ht="12.75">
      <c r="A577" s="238"/>
      <c r="B577" s="238"/>
      <c r="C577" s="238"/>
      <c r="D577" s="238"/>
      <c r="E577" s="238"/>
      <c r="F577" s="238"/>
      <c r="G577" s="238"/>
      <c r="H577" s="238"/>
      <c r="I577" s="238"/>
      <c r="J577" s="238"/>
      <c r="K577" s="238"/>
      <c r="L577" s="238"/>
      <c r="M577" s="238"/>
      <c r="N577" s="238"/>
      <c r="O577" s="238"/>
      <c r="P577" s="238"/>
      <c r="Q577" s="238"/>
      <c r="R577" s="238"/>
      <c r="S577" s="238"/>
      <c r="T577" s="238"/>
      <c r="U577" s="238"/>
      <c r="V577" s="238"/>
      <c r="W577" s="238"/>
    </row>
    <row r="578" spans="1:23" ht="12.75">
      <c r="A578" s="238"/>
      <c r="B578" s="238"/>
      <c r="C578" s="238"/>
      <c r="D578" s="238"/>
      <c r="E578" s="238"/>
      <c r="F578" s="238"/>
      <c r="G578" s="238"/>
      <c r="H578" s="238"/>
      <c r="I578" s="238"/>
      <c r="J578" s="238"/>
      <c r="K578" s="238"/>
      <c r="L578" s="238"/>
      <c r="M578" s="238"/>
      <c r="N578" s="238"/>
      <c r="O578" s="238"/>
      <c r="P578" s="238"/>
      <c r="Q578" s="238"/>
      <c r="R578" s="238"/>
      <c r="S578" s="238"/>
      <c r="T578" s="238"/>
      <c r="U578" s="238"/>
      <c r="V578" s="238"/>
      <c r="W578" s="238"/>
    </row>
    <row r="579" spans="1:23" ht="12.75">
      <c r="A579" s="238"/>
      <c r="B579" s="238"/>
      <c r="C579" s="238"/>
      <c r="D579" s="238"/>
      <c r="E579" s="238"/>
      <c r="F579" s="238"/>
      <c r="G579" s="238"/>
      <c r="H579" s="238"/>
      <c r="I579" s="238"/>
      <c r="J579" s="238"/>
      <c r="K579" s="238"/>
      <c r="L579" s="238"/>
      <c r="M579" s="238"/>
      <c r="N579" s="238"/>
      <c r="O579" s="238"/>
      <c r="P579" s="238"/>
      <c r="Q579" s="238"/>
      <c r="R579" s="238"/>
      <c r="S579" s="238"/>
      <c r="T579" s="238"/>
      <c r="U579" s="238"/>
      <c r="V579" s="238"/>
      <c r="W579" s="238"/>
    </row>
    <row r="580" spans="1:23" ht="12.75">
      <c r="A580" s="238"/>
      <c r="B580" s="238"/>
      <c r="C580" s="238"/>
      <c r="D580" s="238"/>
      <c r="E580" s="238"/>
      <c r="F580" s="238"/>
      <c r="G580" s="238"/>
      <c r="H580" s="238"/>
      <c r="I580" s="238"/>
      <c r="J580" s="238"/>
      <c r="K580" s="238"/>
      <c r="L580" s="238"/>
      <c r="M580" s="238"/>
      <c r="N580" s="238"/>
      <c r="O580" s="238"/>
      <c r="P580" s="238"/>
      <c r="Q580" s="238"/>
      <c r="R580" s="238"/>
      <c r="S580" s="238"/>
      <c r="T580" s="238"/>
      <c r="U580" s="238"/>
      <c r="V580" s="238"/>
      <c r="W580" s="238"/>
    </row>
    <row r="581" spans="1:23" ht="12.75">
      <c r="A581" s="238"/>
      <c r="B581" s="238"/>
      <c r="C581" s="238"/>
      <c r="D581" s="238"/>
      <c r="E581" s="238"/>
      <c r="F581" s="238"/>
      <c r="G581" s="238"/>
      <c r="H581" s="238"/>
      <c r="I581" s="238"/>
      <c r="J581" s="238"/>
      <c r="K581" s="238"/>
      <c r="L581" s="238"/>
      <c r="M581" s="238"/>
      <c r="N581" s="238"/>
      <c r="O581" s="238"/>
      <c r="P581" s="238"/>
      <c r="Q581" s="238"/>
      <c r="R581" s="238"/>
      <c r="S581" s="238"/>
      <c r="T581" s="238"/>
      <c r="U581" s="238"/>
      <c r="V581" s="238"/>
      <c r="W581" s="238"/>
    </row>
    <row r="582" spans="1:23" ht="12.75">
      <c r="A582" s="238"/>
      <c r="B582" s="238"/>
      <c r="C582" s="238"/>
      <c r="D582" s="238"/>
      <c r="E582" s="238"/>
      <c r="F582" s="238"/>
      <c r="G582" s="238"/>
      <c r="H582" s="238"/>
      <c r="I582" s="238"/>
      <c r="J582" s="238"/>
      <c r="K582" s="238"/>
      <c r="L582" s="238"/>
      <c r="M582" s="238"/>
      <c r="N582" s="238"/>
      <c r="O582" s="238"/>
      <c r="P582" s="238"/>
      <c r="Q582" s="238"/>
      <c r="R582" s="238"/>
      <c r="S582" s="238"/>
      <c r="T582" s="238"/>
      <c r="U582" s="238"/>
      <c r="V582" s="238"/>
      <c r="W582" s="238"/>
    </row>
    <row r="583" spans="1:23" ht="12.75">
      <c r="A583" s="238"/>
      <c r="B583" s="238"/>
      <c r="C583" s="238"/>
      <c r="D583" s="238"/>
      <c r="E583" s="238"/>
      <c r="F583" s="238"/>
      <c r="G583" s="238"/>
      <c r="H583" s="238"/>
      <c r="I583" s="238"/>
      <c r="J583" s="238"/>
      <c r="K583" s="238"/>
      <c r="L583" s="238"/>
      <c r="M583" s="238"/>
      <c r="N583" s="238"/>
      <c r="O583" s="238"/>
      <c r="P583" s="238"/>
      <c r="Q583" s="238"/>
      <c r="R583" s="238"/>
      <c r="S583" s="238"/>
      <c r="T583" s="238"/>
      <c r="U583" s="238"/>
      <c r="V583" s="238"/>
      <c r="W583" s="238"/>
    </row>
    <row r="584" spans="1:23" ht="12.75">
      <c r="A584" s="238"/>
      <c r="B584" s="238"/>
      <c r="C584" s="238"/>
      <c r="D584" s="238"/>
      <c r="E584" s="238"/>
      <c r="F584" s="238"/>
      <c r="G584" s="238"/>
      <c r="H584" s="238"/>
      <c r="I584" s="238"/>
      <c r="J584" s="238"/>
      <c r="K584" s="238"/>
      <c r="L584" s="238"/>
      <c r="M584" s="238"/>
      <c r="N584" s="238"/>
      <c r="O584" s="238"/>
      <c r="P584" s="238"/>
      <c r="Q584" s="238"/>
      <c r="R584" s="238"/>
      <c r="S584" s="238"/>
      <c r="T584" s="238"/>
      <c r="U584" s="238"/>
      <c r="V584" s="238"/>
      <c r="W584" s="238"/>
    </row>
    <row r="585" spans="1:23" ht="12.75">
      <c r="A585" s="238"/>
      <c r="B585" s="238"/>
      <c r="C585" s="238"/>
      <c r="D585" s="238"/>
      <c r="E585" s="238"/>
      <c r="F585" s="238"/>
      <c r="G585" s="238"/>
      <c r="H585" s="238"/>
      <c r="I585" s="238"/>
      <c r="J585" s="238"/>
      <c r="K585" s="238"/>
      <c r="L585" s="238"/>
      <c r="M585" s="238"/>
      <c r="N585" s="238"/>
      <c r="O585" s="238"/>
      <c r="P585" s="238"/>
      <c r="Q585" s="238"/>
      <c r="R585" s="238"/>
      <c r="S585" s="238"/>
      <c r="T585" s="238"/>
      <c r="U585" s="238"/>
      <c r="V585" s="238"/>
      <c r="W585" s="238"/>
    </row>
    <row r="586" spans="1:23" ht="12.75">
      <c r="A586" s="238"/>
      <c r="B586" s="238"/>
      <c r="C586" s="238"/>
      <c r="D586" s="238"/>
      <c r="E586" s="238"/>
      <c r="F586" s="238"/>
      <c r="G586" s="238"/>
      <c r="H586" s="238"/>
      <c r="I586" s="238"/>
      <c r="J586" s="238"/>
      <c r="K586" s="238"/>
      <c r="L586" s="238"/>
      <c r="M586" s="238"/>
      <c r="N586" s="238"/>
      <c r="O586" s="238"/>
      <c r="P586" s="238"/>
      <c r="Q586" s="238"/>
      <c r="R586" s="238"/>
      <c r="S586" s="238"/>
      <c r="T586" s="238"/>
      <c r="U586" s="238"/>
      <c r="V586" s="238"/>
      <c r="W586" s="238"/>
    </row>
    <row r="587" spans="1:23" ht="12.75">
      <c r="A587" s="238"/>
      <c r="B587" s="238"/>
      <c r="C587" s="238"/>
      <c r="D587" s="238"/>
      <c r="E587" s="238"/>
      <c r="F587" s="238"/>
      <c r="G587" s="238"/>
      <c r="H587" s="238"/>
      <c r="I587" s="238"/>
      <c r="J587" s="238"/>
      <c r="K587" s="238"/>
      <c r="L587" s="238"/>
      <c r="M587" s="238"/>
      <c r="N587" s="238"/>
      <c r="O587" s="238"/>
      <c r="P587" s="238"/>
      <c r="Q587" s="238"/>
      <c r="R587" s="238"/>
      <c r="S587" s="238"/>
      <c r="T587" s="238"/>
      <c r="U587" s="238"/>
      <c r="V587" s="238"/>
      <c r="W587" s="238"/>
    </row>
    <row r="588" spans="1:23" ht="12.75">
      <c r="A588" s="238"/>
      <c r="B588" s="238"/>
      <c r="C588" s="238"/>
      <c r="D588" s="238"/>
      <c r="E588" s="238"/>
      <c r="F588" s="238"/>
      <c r="G588" s="238"/>
      <c r="H588" s="238"/>
      <c r="I588" s="238"/>
      <c r="J588" s="238"/>
      <c r="K588" s="238"/>
      <c r="L588" s="238"/>
      <c r="M588" s="238"/>
      <c r="N588" s="238"/>
      <c r="O588" s="238"/>
      <c r="P588" s="238"/>
      <c r="Q588" s="238"/>
      <c r="R588" s="238"/>
      <c r="S588" s="238"/>
      <c r="T588" s="238"/>
      <c r="U588" s="238"/>
      <c r="V588" s="238"/>
      <c r="W588" s="238"/>
    </row>
    <row r="589" spans="1:23" ht="12.75">
      <c r="A589" s="238"/>
      <c r="B589" s="238"/>
      <c r="C589" s="238"/>
      <c r="D589" s="238"/>
      <c r="E589" s="238"/>
      <c r="F589" s="238"/>
      <c r="G589" s="238"/>
      <c r="H589" s="238"/>
      <c r="I589" s="238"/>
      <c r="J589" s="238"/>
      <c r="K589" s="238"/>
      <c r="L589" s="238"/>
      <c r="M589" s="238"/>
      <c r="N589" s="238"/>
      <c r="O589" s="238"/>
      <c r="P589" s="238"/>
      <c r="Q589" s="238"/>
      <c r="R589" s="238"/>
      <c r="S589" s="238"/>
      <c r="T589" s="238"/>
      <c r="U589" s="238"/>
      <c r="V589" s="238"/>
      <c r="W589" s="238"/>
    </row>
    <row r="590" spans="1:23" ht="12.75">
      <c r="A590" s="238"/>
      <c r="B590" s="238"/>
      <c r="C590" s="238"/>
      <c r="D590" s="238"/>
      <c r="E590" s="238"/>
      <c r="F590" s="238"/>
      <c r="G590" s="238"/>
      <c r="H590" s="238"/>
      <c r="I590" s="238"/>
      <c r="J590" s="238"/>
      <c r="K590" s="238"/>
      <c r="L590" s="238"/>
      <c r="M590" s="238"/>
      <c r="N590" s="238"/>
      <c r="O590" s="238"/>
      <c r="P590" s="238"/>
      <c r="Q590" s="238"/>
      <c r="R590" s="238"/>
      <c r="S590" s="238"/>
      <c r="T590" s="238"/>
      <c r="U590" s="238"/>
      <c r="V590" s="238"/>
      <c r="W590" s="238"/>
    </row>
    <row r="591" spans="1:23" ht="12.75">
      <c r="A591" s="238"/>
      <c r="B591" s="238"/>
      <c r="C591" s="238"/>
      <c r="D591" s="238"/>
      <c r="E591" s="238"/>
      <c r="F591" s="238"/>
      <c r="G591" s="238"/>
      <c r="H591" s="238"/>
      <c r="I591" s="238"/>
      <c r="J591" s="238"/>
      <c r="K591" s="238"/>
      <c r="L591" s="238"/>
      <c r="M591" s="238"/>
      <c r="N591" s="238"/>
      <c r="O591" s="238"/>
      <c r="P591" s="238"/>
      <c r="Q591" s="238"/>
      <c r="R591" s="238"/>
      <c r="S591" s="238"/>
      <c r="T591" s="238"/>
      <c r="U591" s="238"/>
      <c r="V591" s="238"/>
      <c r="W591" s="238"/>
    </row>
    <row r="592" spans="1:23" ht="12.75">
      <c r="A592" s="238"/>
      <c r="B592" s="238"/>
      <c r="C592" s="238"/>
      <c r="D592" s="238"/>
      <c r="E592" s="238"/>
      <c r="F592" s="238"/>
      <c r="G592" s="238"/>
      <c r="H592" s="238"/>
      <c r="I592" s="238"/>
      <c r="J592" s="238"/>
      <c r="K592" s="238"/>
      <c r="L592" s="238"/>
      <c r="M592" s="238"/>
      <c r="N592" s="238"/>
      <c r="O592" s="238"/>
      <c r="P592" s="238"/>
      <c r="Q592" s="238"/>
      <c r="R592" s="238"/>
      <c r="S592" s="238"/>
      <c r="T592" s="238"/>
      <c r="U592" s="238"/>
      <c r="V592" s="238"/>
      <c r="W592" s="238"/>
    </row>
    <row r="593" spans="1:23" ht="12.75">
      <c r="A593" s="238"/>
      <c r="B593" s="238"/>
      <c r="C593" s="238"/>
      <c r="D593" s="238"/>
      <c r="E593" s="238"/>
      <c r="F593" s="238"/>
      <c r="G593" s="238"/>
      <c r="H593" s="238"/>
      <c r="I593" s="238"/>
      <c r="J593" s="238"/>
      <c r="K593" s="238"/>
      <c r="L593" s="238"/>
      <c r="M593" s="238"/>
      <c r="N593" s="238"/>
      <c r="O593" s="238"/>
      <c r="P593" s="238"/>
      <c r="Q593" s="238"/>
      <c r="R593" s="238"/>
      <c r="S593" s="238"/>
      <c r="T593" s="238"/>
      <c r="U593" s="238"/>
      <c r="V593" s="238"/>
      <c r="W593" s="238"/>
    </row>
    <row r="594" spans="1:23" ht="12.75">
      <c r="A594" s="238"/>
      <c r="B594" s="238"/>
      <c r="C594" s="238"/>
      <c r="D594" s="238"/>
      <c r="E594" s="238"/>
      <c r="F594" s="238"/>
      <c r="G594" s="238"/>
      <c r="H594" s="238"/>
      <c r="I594" s="238"/>
      <c r="J594" s="238"/>
      <c r="K594" s="238"/>
      <c r="L594" s="238"/>
      <c r="M594" s="238"/>
      <c r="N594" s="238"/>
      <c r="O594" s="238"/>
      <c r="P594" s="238"/>
      <c r="Q594" s="238"/>
      <c r="R594" s="238"/>
      <c r="S594" s="238"/>
      <c r="T594" s="238"/>
      <c r="U594" s="238"/>
      <c r="V594" s="238"/>
      <c r="W594" s="238"/>
    </row>
    <row r="595" spans="1:23" ht="12.75">
      <c r="A595" s="238"/>
      <c r="B595" s="238"/>
      <c r="C595" s="238"/>
      <c r="D595" s="238"/>
      <c r="E595" s="238"/>
      <c r="F595" s="238"/>
      <c r="G595" s="238"/>
      <c r="H595" s="238"/>
      <c r="I595" s="238"/>
      <c r="J595" s="238"/>
      <c r="K595" s="238"/>
      <c r="L595" s="238"/>
      <c r="M595" s="238"/>
      <c r="N595" s="238"/>
      <c r="O595" s="238"/>
      <c r="P595" s="238"/>
      <c r="Q595" s="238"/>
      <c r="R595" s="238"/>
      <c r="S595" s="238"/>
      <c r="T595" s="238"/>
      <c r="U595" s="238"/>
      <c r="V595" s="238"/>
      <c r="W595" s="238"/>
    </row>
    <row r="596" spans="1:23" ht="12.75">
      <c r="A596" s="238"/>
      <c r="B596" s="238"/>
      <c r="C596" s="238"/>
      <c r="D596" s="238"/>
      <c r="E596" s="238"/>
      <c r="F596" s="238"/>
      <c r="G596" s="238"/>
      <c r="H596" s="238"/>
      <c r="I596" s="238"/>
      <c r="J596" s="238"/>
      <c r="K596" s="238"/>
      <c r="L596" s="238"/>
      <c r="M596" s="238"/>
      <c r="N596" s="238"/>
      <c r="O596" s="238"/>
      <c r="P596" s="238"/>
      <c r="Q596" s="238"/>
      <c r="R596" s="238"/>
      <c r="S596" s="238"/>
      <c r="T596" s="238"/>
      <c r="U596" s="238"/>
      <c r="V596" s="238"/>
      <c r="W596" s="238"/>
    </row>
    <row r="597" spans="1:23" ht="12.75">
      <c r="A597" s="238"/>
      <c r="B597" s="238"/>
      <c r="C597" s="238"/>
      <c r="D597" s="238"/>
      <c r="E597" s="238"/>
      <c r="F597" s="238"/>
      <c r="G597" s="238"/>
      <c r="H597" s="238"/>
      <c r="I597" s="238"/>
      <c r="J597" s="238"/>
      <c r="K597" s="238"/>
      <c r="L597" s="238"/>
      <c r="M597" s="238"/>
      <c r="N597" s="238"/>
      <c r="O597" s="238"/>
      <c r="P597" s="238"/>
      <c r="Q597" s="238"/>
      <c r="R597" s="238"/>
      <c r="S597" s="238"/>
      <c r="T597" s="238"/>
      <c r="U597" s="238"/>
      <c r="V597" s="238"/>
      <c r="W597" s="238"/>
    </row>
    <row r="598" spans="1:23" ht="12.75">
      <c r="A598" s="238"/>
      <c r="B598" s="238"/>
      <c r="C598" s="238"/>
      <c r="D598" s="238"/>
      <c r="E598" s="238"/>
      <c r="F598" s="238"/>
      <c r="G598" s="238"/>
      <c r="H598" s="238"/>
      <c r="I598" s="238"/>
      <c r="J598" s="238"/>
      <c r="K598" s="238"/>
      <c r="L598" s="238"/>
      <c r="M598" s="238"/>
      <c r="N598" s="238"/>
      <c r="O598" s="238"/>
      <c r="P598" s="238"/>
      <c r="Q598" s="238"/>
      <c r="R598" s="238"/>
      <c r="S598" s="238"/>
      <c r="T598" s="238"/>
      <c r="U598" s="238"/>
      <c r="V598" s="238"/>
      <c r="W598" s="238"/>
    </row>
    <row r="599" spans="1:23" ht="12.75">
      <c r="A599" s="238"/>
      <c r="B599" s="238"/>
      <c r="C599" s="238"/>
      <c r="D599" s="238"/>
      <c r="E599" s="238"/>
      <c r="F599" s="238"/>
      <c r="G599" s="238"/>
      <c r="H599" s="238"/>
      <c r="I599" s="238"/>
      <c r="J599" s="238"/>
      <c r="K599" s="238"/>
      <c r="L599" s="238"/>
      <c r="M599" s="238"/>
      <c r="N599" s="238"/>
      <c r="O599" s="238"/>
      <c r="P599" s="238"/>
      <c r="Q599" s="238"/>
      <c r="R599" s="238"/>
      <c r="S599" s="238"/>
      <c r="T599" s="238"/>
      <c r="U599" s="238"/>
      <c r="V599" s="238"/>
      <c r="W599" s="238"/>
    </row>
    <row r="600" spans="1:23" ht="12.75">
      <c r="A600" s="238"/>
      <c r="B600" s="238"/>
      <c r="C600" s="238"/>
      <c r="D600" s="238"/>
      <c r="E600" s="238"/>
      <c r="F600" s="238"/>
      <c r="G600" s="238"/>
      <c r="H600" s="238"/>
      <c r="I600" s="238"/>
      <c r="J600" s="238"/>
      <c r="K600" s="238"/>
      <c r="L600" s="238"/>
      <c r="M600" s="238"/>
      <c r="N600" s="238"/>
      <c r="O600" s="238"/>
      <c r="P600" s="238"/>
      <c r="Q600" s="238"/>
      <c r="R600" s="238"/>
      <c r="S600" s="238"/>
      <c r="T600" s="238"/>
      <c r="U600" s="238"/>
      <c r="V600" s="238"/>
      <c r="W600" s="238"/>
    </row>
    <row r="601" spans="1:23" ht="12.75">
      <c r="A601" s="238"/>
      <c r="B601" s="238"/>
      <c r="C601" s="238"/>
      <c r="D601" s="238"/>
      <c r="E601" s="238"/>
      <c r="F601" s="238"/>
      <c r="G601" s="238"/>
      <c r="H601" s="238"/>
      <c r="I601" s="238"/>
      <c r="J601" s="238"/>
      <c r="K601" s="238"/>
      <c r="L601" s="238"/>
      <c r="M601" s="238"/>
      <c r="N601" s="238"/>
      <c r="O601" s="238"/>
      <c r="P601" s="238"/>
      <c r="Q601" s="238"/>
      <c r="R601" s="238"/>
      <c r="S601" s="238"/>
      <c r="T601" s="238"/>
      <c r="U601" s="238"/>
      <c r="V601" s="238"/>
      <c r="W601" s="238"/>
    </row>
    <row r="602" spans="1:23" ht="12.75">
      <c r="A602" s="238"/>
      <c r="B602" s="238"/>
      <c r="C602" s="238"/>
      <c r="D602" s="238"/>
      <c r="E602" s="238"/>
      <c r="F602" s="238"/>
      <c r="G602" s="238"/>
      <c r="H602" s="238"/>
      <c r="I602" s="238"/>
      <c r="J602" s="238"/>
      <c r="K602" s="238"/>
      <c r="L602" s="238"/>
      <c r="M602" s="238"/>
      <c r="N602" s="238"/>
      <c r="O602" s="238"/>
      <c r="P602" s="238"/>
      <c r="Q602" s="238"/>
      <c r="R602" s="238"/>
      <c r="S602" s="238"/>
      <c r="T602" s="238"/>
      <c r="U602" s="238"/>
      <c r="V602" s="238"/>
      <c r="W602" s="238"/>
    </row>
    <row r="603" spans="1:23" ht="12.75">
      <c r="A603" s="238"/>
      <c r="B603" s="238"/>
      <c r="C603" s="238"/>
      <c r="D603" s="238"/>
      <c r="E603" s="238"/>
      <c r="F603" s="238"/>
      <c r="G603" s="238"/>
      <c r="H603" s="238"/>
      <c r="I603" s="238"/>
      <c r="J603" s="238"/>
      <c r="K603" s="238"/>
      <c r="L603" s="238"/>
      <c r="M603" s="238"/>
      <c r="N603" s="238"/>
      <c r="O603" s="238"/>
      <c r="P603" s="238"/>
      <c r="Q603" s="238"/>
      <c r="R603" s="238"/>
      <c r="S603" s="238"/>
      <c r="T603" s="238"/>
      <c r="U603" s="238"/>
      <c r="V603" s="238"/>
      <c r="W603" s="238"/>
    </row>
    <row r="604" spans="1:23" ht="12.75">
      <c r="A604" s="238"/>
      <c r="B604" s="238"/>
      <c r="C604" s="238"/>
      <c r="D604" s="238"/>
      <c r="E604" s="238"/>
      <c r="F604" s="238"/>
      <c r="G604" s="238"/>
      <c r="H604" s="238"/>
      <c r="I604" s="238"/>
      <c r="J604" s="238"/>
      <c r="K604" s="238"/>
      <c r="L604" s="238"/>
      <c r="M604" s="238"/>
      <c r="N604" s="238"/>
      <c r="O604" s="238"/>
      <c r="P604" s="238"/>
      <c r="Q604" s="238"/>
      <c r="R604" s="238"/>
      <c r="S604" s="238"/>
      <c r="T604" s="238"/>
      <c r="U604" s="238"/>
      <c r="V604" s="238"/>
      <c r="W604" s="238"/>
    </row>
    <row r="605" spans="1:23" ht="12.75">
      <c r="A605" s="238"/>
      <c r="B605" s="238"/>
      <c r="C605" s="238"/>
      <c r="D605" s="238"/>
      <c r="E605" s="238"/>
      <c r="F605" s="238"/>
      <c r="G605" s="238"/>
      <c r="H605" s="238"/>
      <c r="I605" s="238"/>
      <c r="J605" s="238"/>
      <c r="K605" s="238"/>
      <c r="L605" s="238"/>
      <c r="M605" s="238"/>
      <c r="N605" s="238"/>
      <c r="O605" s="238"/>
      <c r="P605" s="238"/>
      <c r="Q605" s="238"/>
      <c r="R605" s="238"/>
      <c r="S605" s="238"/>
      <c r="T605" s="238"/>
      <c r="U605" s="238"/>
      <c r="V605" s="238"/>
      <c r="W605" s="238"/>
    </row>
    <row r="606" spans="1:23" ht="12.75">
      <c r="A606" s="238"/>
      <c r="B606" s="238"/>
      <c r="C606" s="238"/>
      <c r="D606" s="238"/>
      <c r="E606" s="238"/>
      <c r="F606" s="238"/>
      <c r="G606" s="238"/>
      <c r="H606" s="238"/>
      <c r="I606" s="238"/>
      <c r="J606" s="238"/>
      <c r="K606" s="238"/>
      <c r="L606" s="238"/>
      <c r="M606" s="238"/>
      <c r="N606" s="238"/>
      <c r="O606" s="238"/>
      <c r="P606" s="238"/>
      <c r="Q606" s="238"/>
      <c r="R606" s="238"/>
      <c r="S606" s="238"/>
      <c r="T606" s="238"/>
      <c r="U606" s="238"/>
      <c r="V606" s="238"/>
      <c r="W606" s="238"/>
    </row>
    <row r="607" spans="1:23" ht="12.75">
      <c r="A607" s="238"/>
      <c r="B607" s="238"/>
      <c r="C607" s="238"/>
      <c r="D607" s="238"/>
      <c r="E607" s="238"/>
      <c r="F607" s="238"/>
      <c r="G607" s="238"/>
      <c r="H607" s="238"/>
      <c r="I607" s="238"/>
      <c r="J607" s="238"/>
      <c r="K607" s="238"/>
      <c r="L607" s="238"/>
      <c r="M607" s="238"/>
      <c r="N607" s="238"/>
      <c r="O607" s="238"/>
      <c r="P607" s="238"/>
      <c r="Q607" s="238"/>
      <c r="R607" s="238"/>
      <c r="S607" s="238"/>
      <c r="T607" s="238"/>
      <c r="U607" s="238"/>
      <c r="V607" s="238"/>
      <c r="W607" s="238"/>
    </row>
    <row r="608" spans="1:23" ht="12.75">
      <c r="A608" s="238"/>
      <c r="B608" s="238"/>
      <c r="C608" s="238"/>
      <c r="D608" s="238"/>
      <c r="E608" s="238"/>
      <c r="F608" s="238"/>
      <c r="G608" s="238"/>
      <c r="H608" s="238"/>
      <c r="I608" s="238"/>
      <c r="J608" s="238"/>
      <c r="K608" s="238"/>
      <c r="L608" s="238"/>
      <c r="M608" s="238"/>
      <c r="N608" s="238"/>
      <c r="O608" s="238"/>
      <c r="P608" s="238"/>
      <c r="Q608" s="238"/>
      <c r="R608" s="238"/>
      <c r="S608" s="238"/>
      <c r="T608" s="238"/>
      <c r="U608" s="238"/>
      <c r="V608" s="238"/>
      <c r="W608" s="238"/>
    </row>
    <row r="609" spans="1:23" ht="12.75">
      <c r="A609" s="238"/>
      <c r="B609" s="238"/>
      <c r="C609" s="238"/>
      <c r="D609" s="238"/>
      <c r="E609" s="238"/>
      <c r="F609" s="238"/>
      <c r="G609" s="238"/>
      <c r="H609" s="238"/>
      <c r="I609" s="238"/>
      <c r="J609" s="238"/>
      <c r="K609" s="238"/>
      <c r="L609" s="238"/>
      <c r="M609" s="238"/>
      <c r="N609" s="238"/>
      <c r="O609" s="238"/>
      <c r="P609" s="238"/>
      <c r="Q609" s="238"/>
      <c r="R609" s="238"/>
      <c r="S609" s="238"/>
      <c r="T609" s="238"/>
      <c r="U609" s="238"/>
      <c r="V609" s="238"/>
      <c r="W609" s="238"/>
    </row>
    <row r="610" spans="1:23" ht="12.75">
      <c r="A610" s="238"/>
      <c r="B610" s="238"/>
      <c r="C610" s="238"/>
      <c r="D610" s="238"/>
      <c r="E610" s="238"/>
      <c r="F610" s="238"/>
      <c r="G610" s="238"/>
      <c r="H610" s="238"/>
      <c r="I610" s="238"/>
      <c r="J610" s="238"/>
      <c r="K610" s="238"/>
      <c r="L610" s="238"/>
      <c r="M610" s="238"/>
      <c r="N610" s="238"/>
      <c r="O610" s="238"/>
      <c r="P610" s="238"/>
      <c r="Q610" s="238"/>
      <c r="R610" s="238"/>
      <c r="S610" s="238"/>
      <c r="T610" s="238"/>
      <c r="U610" s="238"/>
      <c r="V610" s="238"/>
      <c r="W610" s="238"/>
    </row>
    <row r="611" spans="1:23" ht="12.75">
      <c r="A611" s="238"/>
      <c r="B611" s="238"/>
      <c r="C611" s="238"/>
      <c r="D611" s="238"/>
      <c r="E611" s="238"/>
      <c r="F611" s="238"/>
      <c r="G611" s="238"/>
      <c r="H611" s="238"/>
      <c r="I611" s="238"/>
      <c r="J611" s="238"/>
      <c r="K611" s="238"/>
      <c r="L611" s="238"/>
      <c r="M611" s="238"/>
      <c r="N611" s="238"/>
      <c r="O611" s="238"/>
      <c r="P611" s="238"/>
      <c r="Q611" s="238"/>
      <c r="R611" s="238"/>
      <c r="S611" s="238"/>
      <c r="T611" s="238"/>
      <c r="U611" s="238"/>
      <c r="V611" s="238"/>
      <c r="W611" s="238"/>
    </row>
    <row r="612" spans="1:23" ht="12.75">
      <c r="A612" s="238"/>
      <c r="B612" s="238"/>
      <c r="C612" s="238"/>
      <c r="D612" s="238"/>
      <c r="E612" s="238"/>
      <c r="F612" s="238"/>
      <c r="G612" s="238"/>
      <c r="H612" s="238"/>
      <c r="I612" s="238"/>
      <c r="J612" s="238"/>
      <c r="K612" s="238"/>
      <c r="L612" s="238"/>
      <c r="M612" s="238"/>
      <c r="N612" s="238"/>
      <c r="O612" s="238"/>
      <c r="P612" s="238"/>
      <c r="Q612" s="238"/>
      <c r="R612" s="238"/>
      <c r="S612" s="238"/>
      <c r="T612" s="238"/>
      <c r="U612" s="238"/>
      <c r="V612" s="238"/>
      <c r="W612" s="238"/>
    </row>
    <row r="613" spans="1:23" ht="12.75">
      <c r="A613" s="238"/>
      <c r="B613" s="238"/>
      <c r="C613" s="238"/>
      <c r="D613" s="238"/>
      <c r="E613" s="238"/>
      <c r="F613" s="238"/>
      <c r="G613" s="238"/>
      <c r="H613" s="238"/>
      <c r="I613" s="238"/>
      <c r="J613" s="238"/>
      <c r="K613" s="238"/>
      <c r="L613" s="238"/>
      <c r="M613" s="238"/>
      <c r="N613" s="238"/>
      <c r="O613" s="238"/>
      <c r="P613" s="238"/>
      <c r="Q613" s="238"/>
      <c r="R613" s="238"/>
      <c r="S613" s="238"/>
      <c r="T613" s="238"/>
      <c r="U613" s="238"/>
      <c r="V613" s="238"/>
      <c r="W613" s="238"/>
    </row>
    <row r="614" spans="1:23" ht="12.75">
      <c r="A614" s="238"/>
      <c r="B614" s="238"/>
      <c r="C614" s="238"/>
      <c r="D614" s="238"/>
      <c r="E614" s="238"/>
      <c r="F614" s="238"/>
      <c r="G614" s="238"/>
      <c r="H614" s="238"/>
      <c r="I614" s="238"/>
      <c r="J614" s="238"/>
      <c r="K614" s="238"/>
      <c r="L614" s="238"/>
      <c r="M614" s="238"/>
      <c r="N614" s="238"/>
      <c r="O614" s="238"/>
      <c r="P614" s="238"/>
      <c r="Q614" s="238"/>
      <c r="R614" s="238"/>
      <c r="S614" s="238"/>
      <c r="T614" s="238"/>
      <c r="U614" s="238"/>
      <c r="V614" s="238"/>
      <c r="W614" s="238"/>
    </row>
    <row r="615" spans="1:23" ht="12.75">
      <c r="A615" s="238"/>
      <c r="B615" s="238"/>
      <c r="C615" s="238"/>
      <c r="D615" s="238"/>
      <c r="E615" s="238"/>
      <c r="F615" s="238"/>
      <c r="G615" s="238"/>
      <c r="H615" s="238"/>
      <c r="I615" s="238"/>
      <c r="J615" s="238"/>
      <c r="K615" s="238"/>
      <c r="L615" s="238"/>
      <c r="M615" s="238"/>
      <c r="N615" s="238"/>
      <c r="O615" s="238"/>
      <c r="P615" s="238"/>
      <c r="Q615" s="238"/>
      <c r="R615" s="238"/>
      <c r="S615" s="238"/>
      <c r="T615" s="238"/>
      <c r="U615" s="238"/>
      <c r="V615" s="238"/>
      <c r="W615" s="238"/>
    </row>
    <row r="616" spans="1:23" ht="12.75">
      <c r="A616" s="238"/>
      <c r="B616" s="238"/>
      <c r="C616" s="238"/>
      <c r="D616" s="238"/>
      <c r="E616" s="238"/>
      <c r="F616" s="238"/>
      <c r="G616" s="238"/>
      <c r="H616" s="238"/>
      <c r="I616" s="238"/>
      <c r="J616" s="238"/>
      <c r="K616" s="238"/>
      <c r="L616" s="238"/>
      <c r="M616" s="238"/>
      <c r="N616" s="238"/>
      <c r="O616" s="238"/>
      <c r="P616" s="238"/>
      <c r="Q616" s="238"/>
      <c r="R616" s="238"/>
      <c r="S616" s="238"/>
      <c r="T616" s="238"/>
      <c r="U616" s="238"/>
      <c r="V616" s="238"/>
      <c r="W616" s="238"/>
    </row>
    <row r="617" spans="1:23" ht="12.75">
      <c r="A617" s="238"/>
      <c r="B617" s="238"/>
      <c r="C617" s="238"/>
      <c r="D617" s="238"/>
      <c r="E617" s="238"/>
      <c r="F617" s="238"/>
      <c r="G617" s="238"/>
      <c r="H617" s="238"/>
      <c r="I617" s="238"/>
      <c r="J617" s="238"/>
      <c r="K617" s="238"/>
      <c r="L617" s="238"/>
      <c r="M617" s="238"/>
      <c r="N617" s="238"/>
      <c r="O617" s="238"/>
      <c r="P617" s="238"/>
      <c r="Q617" s="238"/>
      <c r="R617" s="238"/>
      <c r="S617" s="238"/>
      <c r="T617" s="238"/>
      <c r="U617" s="238"/>
      <c r="V617" s="238"/>
      <c r="W617" s="238"/>
    </row>
    <row r="618" spans="1:23" ht="12.75">
      <c r="A618" s="238"/>
      <c r="B618" s="238"/>
      <c r="C618" s="238"/>
      <c r="D618" s="238"/>
      <c r="E618" s="238"/>
      <c r="F618" s="238"/>
      <c r="G618" s="238"/>
      <c r="H618" s="238"/>
      <c r="I618" s="238"/>
      <c r="J618" s="238"/>
      <c r="K618" s="238"/>
      <c r="L618" s="238"/>
      <c r="M618" s="238"/>
      <c r="N618" s="238"/>
      <c r="O618" s="238"/>
      <c r="P618" s="238"/>
      <c r="Q618" s="238"/>
      <c r="R618" s="238"/>
      <c r="S618" s="238"/>
      <c r="T618" s="238"/>
      <c r="U618" s="238"/>
      <c r="V618" s="238"/>
      <c r="W618" s="238"/>
    </row>
    <row r="619" spans="1:23" ht="12.75">
      <c r="A619" s="238"/>
      <c r="B619" s="238"/>
      <c r="C619" s="238"/>
      <c r="D619" s="238"/>
      <c r="E619" s="238"/>
      <c r="F619" s="238"/>
      <c r="G619" s="238"/>
      <c r="H619" s="238"/>
      <c r="I619" s="238"/>
      <c r="J619" s="238"/>
      <c r="K619" s="238"/>
      <c r="L619" s="238"/>
      <c r="M619" s="238"/>
      <c r="N619" s="238"/>
      <c r="O619" s="238"/>
      <c r="P619" s="238"/>
      <c r="Q619" s="238"/>
      <c r="R619" s="238"/>
      <c r="S619" s="238"/>
      <c r="T619" s="238"/>
      <c r="U619" s="238"/>
      <c r="V619" s="238"/>
      <c r="W619" s="238"/>
    </row>
    <row r="620" spans="1:23" ht="12.75">
      <c r="A620" s="238"/>
      <c r="B620" s="238"/>
      <c r="C620" s="238"/>
      <c r="D620" s="238"/>
      <c r="E620" s="238"/>
      <c r="F620" s="238"/>
      <c r="G620" s="238"/>
      <c r="H620" s="238"/>
      <c r="I620" s="238"/>
      <c r="J620" s="238"/>
      <c r="K620" s="238"/>
      <c r="L620" s="238"/>
      <c r="M620" s="238"/>
      <c r="N620" s="238"/>
      <c r="O620" s="238"/>
      <c r="P620" s="238"/>
      <c r="Q620" s="238"/>
      <c r="R620" s="238"/>
      <c r="S620" s="238"/>
      <c r="T620" s="238"/>
      <c r="U620" s="238"/>
      <c r="V620" s="238"/>
      <c r="W620" s="238"/>
    </row>
    <row r="621" spans="1:23" ht="12.75">
      <c r="A621" s="238"/>
      <c r="B621" s="238"/>
      <c r="C621" s="238"/>
      <c r="D621" s="238"/>
      <c r="E621" s="238"/>
      <c r="F621" s="238"/>
      <c r="G621" s="238"/>
      <c r="H621" s="238"/>
      <c r="I621" s="238"/>
      <c r="J621" s="238"/>
      <c r="K621" s="238"/>
      <c r="L621" s="238"/>
      <c r="M621" s="238"/>
      <c r="N621" s="238"/>
      <c r="O621" s="238"/>
      <c r="P621" s="238"/>
      <c r="Q621" s="238"/>
      <c r="R621" s="238"/>
      <c r="S621" s="238"/>
      <c r="T621" s="238"/>
      <c r="U621" s="238"/>
      <c r="V621" s="238"/>
      <c r="W621" s="238"/>
    </row>
    <row r="622" spans="1:23" ht="12.75">
      <c r="A622" s="238"/>
      <c r="B622" s="238"/>
      <c r="C622" s="238"/>
      <c r="D622" s="238"/>
      <c r="E622" s="238"/>
      <c r="F622" s="238"/>
      <c r="G622" s="238"/>
      <c r="H622" s="238"/>
      <c r="I622" s="238"/>
      <c r="J622" s="238"/>
      <c r="K622" s="238"/>
      <c r="L622" s="238"/>
      <c r="M622" s="238"/>
      <c r="N622" s="238"/>
      <c r="O622" s="238"/>
      <c r="P622" s="238"/>
      <c r="Q622" s="238"/>
      <c r="R622" s="238"/>
      <c r="S622" s="238"/>
      <c r="T622" s="238"/>
      <c r="U622" s="238"/>
      <c r="V622" s="238"/>
      <c r="W622" s="238"/>
    </row>
    <row r="623" spans="1:23" ht="12.75">
      <c r="A623" s="238"/>
      <c r="B623" s="238"/>
      <c r="C623" s="238"/>
      <c r="D623" s="238"/>
      <c r="E623" s="238"/>
      <c r="F623" s="238"/>
      <c r="G623" s="238"/>
      <c r="H623" s="238"/>
      <c r="I623" s="238"/>
      <c r="J623" s="238"/>
      <c r="K623" s="238"/>
      <c r="L623" s="238"/>
      <c r="M623" s="238"/>
      <c r="N623" s="238"/>
      <c r="O623" s="238"/>
      <c r="P623" s="238"/>
      <c r="Q623" s="238"/>
      <c r="R623" s="238"/>
      <c r="S623" s="238"/>
      <c r="T623" s="238"/>
      <c r="U623" s="238"/>
      <c r="V623" s="238"/>
      <c r="W623" s="238"/>
    </row>
    <row r="624" spans="1:23" ht="12.75">
      <c r="A624" s="238"/>
      <c r="B624" s="238"/>
      <c r="C624" s="238"/>
      <c r="D624" s="238"/>
      <c r="E624" s="238"/>
      <c r="F624" s="238"/>
      <c r="G624" s="238"/>
      <c r="H624" s="238"/>
      <c r="I624" s="238"/>
      <c r="J624" s="238"/>
      <c r="K624" s="238"/>
      <c r="L624" s="238"/>
      <c r="M624" s="238"/>
      <c r="N624" s="238"/>
      <c r="O624" s="238"/>
      <c r="P624" s="238"/>
      <c r="Q624" s="238"/>
      <c r="R624" s="238"/>
      <c r="S624" s="238"/>
      <c r="T624" s="238"/>
      <c r="U624" s="238"/>
      <c r="V624" s="238"/>
      <c r="W624" s="238"/>
    </row>
    <row r="625" spans="1:23" ht="12.75">
      <c r="A625" s="238"/>
      <c r="B625" s="238"/>
      <c r="C625" s="238"/>
      <c r="D625" s="238"/>
      <c r="E625" s="238"/>
      <c r="F625" s="238"/>
      <c r="G625" s="238"/>
      <c r="H625" s="238"/>
      <c r="I625" s="238"/>
      <c r="J625" s="238"/>
      <c r="K625" s="238"/>
      <c r="L625" s="238"/>
      <c r="M625" s="238"/>
      <c r="N625" s="238"/>
      <c r="O625" s="238"/>
      <c r="P625" s="238"/>
      <c r="Q625" s="238"/>
      <c r="R625" s="238"/>
      <c r="S625" s="238"/>
      <c r="T625" s="238"/>
      <c r="U625" s="238"/>
      <c r="V625" s="238"/>
      <c r="W625" s="238"/>
    </row>
    <row r="626" spans="1:23" ht="12.75">
      <c r="A626" s="238"/>
      <c r="B626" s="238"/>
      <c r="C626" s="238"/>
      <c r="D626" s="238"/>
      <c r="E626" s="238"/>
      <c r="F626" s="238"/>
      <c r="G626" s="238"/>
      <c r="H626" s="238"/>
      <c r="I626" s="238"/>
      <c r="J626" s="238"/>
      <c r="K626" s="238"/>
      <c r="L626" s="238"/>
      <c r="M626" s="238"/>
      <c r="N626" s="238"/>
      <c r="O626" s="238"/>
      <c r="P626" s="238"/>
      <c r="Q626" s="238"/>
      <c r="R626" s="238"/>
      <c r="S626" s="238"/>
      <c r="T626" s="238"/>
      <c r="U626" s="238"/>
      <c r="V626" s="238"/>
      <c r="W626" s="238"/>
    </row>
    <row r="627" spans="1:23" ht="12.75">
      <c r="A627" s="238"/>
      <c r="B627" s="238"/>
      <c r="C627" s="238"/>
      <c r="D627" s="238"/>
      <c r="E627" s="238"/>
      <c r="F627" s="238"/>
      <c r="G627" s="238"/>
      <c r="H627" s="238"/>
      <c r="I627" s="238"/>
      <c r="J627" s="238"/>
      <c r="K627" s="238"/>
      <c r="L627" s="238"/>
      <c r="M627" s="238"/>
      <c r="N627" s="238"/>
      <c r="O627" s="238"/>
      <c r="P627" s="238"/>
      <c r="Q627" s="238"/>
      <c r="R627" s="238"/>
      <c r="S627" s="238"/>
      <c r="T627" s="238"/>
      <c r="U627" s="238"/>
      <c r="V627" s="238"/>
      <c r="W627" s="238"/>
    </row>
    <row r="628" spans="1:23" ht="12.75">
      <c r="A628" s="238"/>
      <c r="B628" s="238"/>
      <c r="C628" s="238"/>
      <c r="D628" s="238"/>
      <c r="E628" s="238"/>
      <c r="F628" s="238"/>
      <c r="G628" s="238"/>
      <c r="H628" s="238"/>
      <c r="I628" s="238"/>
      <c r="J628" s="238"/>
      <c r="K628" s="238"/>
      <c r="L628" s="238"/>
      <c r="M628" s="238"/>
      <c r="N628" s="238"/>
      <c r="O628" s="238"/>
      <c r="P628" s="238"/>
      <c r="Q628" s="238"/>
      <c r="R628" s="238"/>
      <c r="S628" s="238"/>
      <c r="T628" s="238"/>
      <c r="U628" s="238"/>
      <c r="V628" s="238"/>
      <c r="W628" s="238"/>
    </row>
    <row r="629" spans="1:23" ht="12.75">
      <c r="A629" s="238"/>
      <c r="B629" s="238"/>
      <c r="C629" s="238"/>
      <c r="D629" s="238"/>
      <c r="E629" s="238"/>
      <c r="F629" s="238"/>
      <c r="G629" s="238"/>
      <c r="H629" s="238"/>
      <c r="I629" s="238"/>
      <c r="J629" s="238"/>
      <c r="K629" s="238"/>
      <c r="L629" s="238"/>
      <c r="M629" s="238"/>
      <c r="N629" s="238"/>
      <c r="O629" s="238"/>
      <c r="P629" s="238"/>
      <c r="Q629" s="238"/>
      <c r="R629" s="238"/>
      <c r="S629" s="238"/>
      <c r="T629" s="238"/>
      <c r="U629" s="238"/>
      <c r="V629" s="238"/>
      <c r="W629" s="238"/>
    </row>
    <row r="630" spans="1:23" ht="12.75">
      <c r="A630" s="238"/>
      <c r="B630" s="238"/>
      <c r="C630" s="238"/>
      <c r="D630" s="238"/>
      <c r="E630" s="238"/>
      <c r="F630" s="238"/>
      <c r="G630" s="238"/>
      <c r="H630" s="238"/>
      <c r="I630" s="238"/>
      <c r="J630" s="238"/>
      <c r="K630" s="238"/>
      <c r="L630" s="238"/>
      <c r="M630" s="238"/>
      <c r="N630" s="238"/>
      <c r="O630" s="238"/>
      <c r="P630" s="238"/>
      <c r="Q630" s="238"/>
      <c r="R630" s="238"/>
      <c r="S630" s="238"/>
      <c r="T630" s="238"/>
      <c r="U630" s="238"/>
      <c r="V630" s="238"/>
      <c r="W630" s="238"/>
    </row>
    <row r="631" spans="1:23" ht="12.75">
      <c r="A631" s="238"/>
      <c r="B631" s="238"/>
      <c r="C631" s="238"/>
      <c r="D631" s="238"/>
      <c r="E631" s="238"/>
      <c r="F631" s="238"/>
      <c r="G631" s="238"/>
      <c r="H631" s="238"/>
      <c r="I631" s="238"/>
      <c r="J631" s="238"/>
      <c r="K631" s="238"/>
      <c r="L631" s="238"/>
      <c r="M631" s="238"/>
      <c r="N631" s="238"/>
      <c r="O631" s="238"/>
      <c r="P631" s="238"/>
      <c r="Q631" s="238"/>
      <c r="R631" s="238"/>
      <c r="S631" s="238"/>
      <c r="T631" s="238"/>
      <c r="U631" s="238"/>
      <c r="V631" s="238"/>
      <c r="W631" s="238"/>
    </row>
    <row r="632" spans="1:23" ht="12.75">
      <c r="A632" s="238"/>
      <c r="B632" s="238"/>
      <c r="C632" s="238"/>
      <c r="D632" s="238"/>
      <c r="E632" s="238"/>
      <c r="F632" s="238"/>
      <c r="G632" s="238"/>
      <c r="H632" s="238"/>
      <c r="I632" s="238"/>
      <c r="J632" s="238"/>
      <c r="K632" s="238"/>
      <c r="L632" s="238"/>
      <c r="M632" s="238"/>
      <c r="N632" s="238"/>
      <c r="O632" s="238"/>
      <c r="P632" s="238"/>
      <c r="Q632" s="238"/>
      <c r="R632" s="238"/>
      <c r="S632" s="238"/>
      <c r="T632" s="238"/>
      <c r="U632" s="238"/>
      <c r="V632" s="238"/>
      <c r="W632" s="238"/>
    </row>
    <row r="633" spans="1:23" ht="12.75">
      <c r="A633" s="238"/>
      <c r="B633" s="238"/>
      <c r="C633" s="238"/>
      <c r="D633" s="238"/>
      <c r="E633" s="238"/>
      <c r="F633" s="238"/>
      <c r="G633" s="238"/>
      <c r="H633" s="238"/>
      <c r="I633" s="238"/>
      <c r="J633" s="238"/>
      <c r="K633" s="238"/>
      <c r="L633" s="238"/>
      <c r="M633" s="238"/>
      <c r="N633" s="238"/>
      <c r="O633" s="238"/>
      <c r="P633" s="238"/>
      <c r="Q633" s="238"/>
      <c r="R633" s="238"/>
      <c r="S633" s="238"/>
      <c r="T633" s="238"/>
      <c r="U633" s="238"/>
      <c r="V633" s="238"/>
      <c r="W633" s="238"/>
    </row>
    <row r="634" spans="1:23" ht="12.75">
      <c r="A634" s="238"/>
      <c r="B634" s="238"/>
      <c r="C634" s="238"/>
      <c r="D634" s="238"/>
      <c r="E634" s="238"/>
      <c r="F634" s="238"/>
      <c r="G634" s="238"/>
      <c r="H634" s="238"/>
      <c r="I634" s="238"/>
      <c r="J634" s="238"/>
      <c r="K634" s="238"/>
      <c r="L634" s="238"/>
      <c r="M634" s="238"/>
      <c r="N634" s="238"/>
      <c r="O634" s="238"/>
      <c r="P634" s="238"/>
      <c r="Q634" s="238"/>
      <c r="R634" s="238"/>
      <c r="S634" s="238"/>
      <c r="T634" s="238"/>
      <c r="U634" s="238"/>
      <c r="V634" s="238"/>
      <c r="W634" s="238"/>
    </row>
    <row r="635" spans="1:23" ht="12.75">
      <c r="A635" s="238"/>
      <c r="B635" s="238"/>
      <c r="C635" s="238"/>
      <c r="D635" s="238"/>
      <c r="E635" s="238"/>
      <c r="F635" s="238"/>
      <c r="G635" s="238"/>
      <c r="H635" s="238"/>
      <c r="I635" s="238"/>
      <c r="J635" s="238"/>
      <c r="K635" s="238"/>
      <c r="L635" s="238"/>
      <c r="M635" s="238"/>
      <c r="N635" s="238"/>
      <c r="O635" s="238"/>
      <c r="P635" s="238"/>
      <c r="Q635" s="238"/>
      <c r="R635" s="238"/>
      <c r="S635" s="238"/>
      <c r="T635" s="238"/>
      <c r="U635" s="238"/>
      <c r="V635" s="238"/>
      <c r="W635" s="238"/>
    </row>
    <row r="636" spans="1:23" ht="12.75">
      <c r="A636" s="238"/>
      <c r="B636" s="238"/>
      <c r="C636" s="238"/>
      <c r="D636" s="238"/>
      <c r="E636" s="238"/>
      <c r="F636" s="238"/>
      <c r="G636" s="238"/>
      <c r="H636" s="238"/>
      <c r="I636" s="238"/>
      <c r="J636" s="238"/>
      <c r="K636" s="238"/>
      <c r="L636" s="238"/>
      <c r="M636" s="238"/>
      <c r="N636" s="238"/>
      <c r="O636" s="238"/>
      <c r="P636" s="238"/>
      <c r="Q636" s="238"/>
      <c r="R636" s="238"/>
      <c r="S636" s="238"/>
      <c r="T636" s="238"/>
      <c r="U636" s="238"/>
      <c r="V636" s="238"/>
      <c r="W636" s="238"/>
    </row>
    <row r="637" spans="1:23" ht="12.75">
      <c r="A637" s="238"/>
      <c r="B637" s="238"/>
      <c r="C637" s="238"/>
      <c r="D637" s="238"/>
      <c r="E637" s="238"/>
      <c r="F637" s="238"/>
      <c r="G637" s="238"/>
      <c r="H637" s="238"/>
      <c r="I637" s="238"/>
      <c r="J637" s="238"/>
      <c r="K637" s="238"/>
      <c r="L637" s="238"/>
      <c r="M637" s="238"/>
      <c r="N637" s="238"/>
      <c r="O637" s="238"/>
      <c r="P637" s="238"/>
      <c r="Q637" s="238"/>
      <c r="R637" s="238"/>
      <c r="S637" s="238"/>
      <c r="T637" s="238"/>
      <c r="U637" s="238"/>
      <c r="V637" s="238"/>
      <c r="W637" s="238"/>
    </row>
    <row r="638" spans="1:23" ht="12.75">
      <c r="A638" s="238"/>
      <c r="B638" s="238"/>
      <c r="C638" s="238"/>
      <c r="D638" s="238"/>
      <c r="E638" s="238"/>
      <c r="F638" s="238"/>
      <c r="G638" s="238"/>
      <c r="H638" s="238"/>
      <c r="I638" s="238"/>
      <c r="J638" s="238"/>
      <c r="K638" s="238"/>
      <c r="L638" s="238"/>
      <c r="M638" s="238"/>
      <c r="N638" s="238"/>
      <c r="O638" s="238"/>
      <c r="P638" s="238"/>
      <c r="Q638" s="238"/>
      <c r="R638" s="238"/>
      <c r="S638" s="238"/>
      <c r="T638" s="238"/>
      <c r="U638" s="238"/>
      <c r="V638" s="238"/>
      <c r="W638" s="238"/>
    </row>
    <row r="639" spans="1:23" ht="12.75">
      <c r="A639" s="238"/>
      <c r="B639" s="238"/>
      <c r="C639" s="238"/>
      <c r="D639" s="238"/>
      <c r="E639" s="238"/>
      <c r="F639" s="238"/>
      <c r="G639" s="238"/>
      <c r="H639" s="238"/>
      <c r="I639" s="238"/>
      <c r="J639" s="238"/>
      <c r="K639" s="238"/>
      <c r="L639" s="238"/>
      <c r="M639" s="238"/>
      <c r="N639" s="238"/>
      <c r="O639" s="238"/>
      <c r="P639" s="238"/>
      <c r="Q639" s="238"/>
      <c r="R639" s="238"/>
      <c r="S639" s="238"/>
      <c r="T639" s="238"/>
      <c r="U639" s="238"/>
      <c r="V639" s="238"/>
      <c r="W639" s="238"/>
    </row>
    <row r="640" spans="1:23" ht="12.75">
      <c r="A640" s="238"/>
      <c r="B640" s="238"/>
      <c r="C640" s="238"/>
      <c r="D640" s="238"/>
      <c r="E640" s="238"/>
      <c r="F640" s="238"/>
      <c r="G640" s="238"/>
      <c r="H640" s="238"/>
      <c r="I640" s="238"/>
      <c r="J640" s="238"/>
      <c r="K640" s="238"/>
      <c r="L640" s="238"/>
      <c r="M640" s="238"/>
      <c r="N640" s="238"/>
      <c r="O640" s="238"/>
      <c r="P640" s="238"/>
      <c r="Q640" s="238"/>
      <c r="R640" s="238"/>
      <c r="S640" s="238"/>
      <c r="T640" s="238"/>
      <c r="U640" s="238"/>
      <c r="V640" s="238"/>
      <c r="W640" s="238"/>
    </row>
    <row r="641" spans="1:23" ht="12.75">
      <c r="A641" s="238"/>
      <c r="B641" s="238"/>
      <c r="C641" s="238"/>
      <c r="D641" s="238"/>
      <c r="E641" s="238"/>
      <c r="F641" s="238"/>
      <c r="G641" s="238"/>
      <c r="H641" s="238"/>
      <c r="I641" s="238"/>
      <c r="J641" s="238"/>
      <c r="K641" s="238"/>
      <c r="L641" s="238"/>
      <c r="M641" s="238"/>
      <c r="N641" s="238"/>
      <c r="O641" s="238"/>
      <c r="P641" s="238"/>
      <c r="Q641" s="238"/>
      <c r="R641" s="238"/>
      <c r="S641" s="238"/>
      <c r="T641" s="238"/>
      <c r="U641" s="238"/>
      <c r="V641" s="238"/>
      <c r="W641" s="238"/>
    </row>
    <row r="642" spans="1:23" ht="12.75">
      <c r="A642" s="238"/>
      <c r="B642" s="238"/>
      <c r="C642" s="238"/>
      <c r="D642" s="238"/>
      <c r="E642" s="238"/>
      <c r="F642" s="238"/>
      <c r="G642" s="238"/>
      <c r="H642" s="238"/>
      <c r="I642" s="238"/>
      <c r="J642" s="238"/>
      <c r="K642" s="238"/>
      <c r="L642" s="238"/>
      <c r="M642" s="238"/>
      <c r="N642" s="238"/>
      <c r="O642" s="238"/>
      <c r="P642" s="238"/>
      <c r="Q642" s="238"/>
      <c r="R642" s="238"/>
      <c r="S642" s="238"/>
      <c r="T642" s="238"/>
      <c r="U642" s="238"/>
      <c r="V642" s="238"/>
      <c r="W642" s="238"/>
    </row>
    <row r="643" spans="1:23" ht="12.75">
      <c r="A643" s="238"/>
      <c r="B643" s="238"/>
      <c r="C643" s="238"/>
      <c r="D643" s="238"/>
      <c r="E643" s="238"/>
      <c r="F643" s="238"/>
      <c r="G643" s="238"/>
      <c r="H643" s="238"/>
      <c r="I643" s="238"/>
      <c r="J643" s="238"/>
      <c r="K643" s="238"/>
      <c r="L643" s="238"/>
      <c r="M643" s="238"/>
      <c r="N643" s="238"/>
      <c r="O643" s="238"/>
      <c r="P643" s="238"/>
      <c r="Q643" s="238"/>
      <c r="R643" s="238"/>
      <c r="S643" s="238"/>
      <c r="T643" s="238"/>
      <c r="U643" s="238"/>
      <c r="V643" s="238"/>
      <c r="W643" s="238"/>
    </row>
    <row r="644" spans="1:23" ht="12.75">
      <c r="A644" s="238"/>
      <c r="B644" s="238"/>
      <c r="C644" s="238"/>
      <c r="D644" s="238"/>
      <c r="E644" s="238"/>
      <c r="F644" s="238"/>
      <c r="G644" s="238"/>
      <c r="H644" s="238"/>
      <c r="I644" s="238"/>
      <c r="J644" s="238"/>
      <c r="K644" s="238"/>
      <c r="L644" s="238"/>
      <c r="M644" s="238"/>
      <c r="N644" s="238"/>
      <c r="O644" s="238"/>
      <c r="P644" s="238"/>
      <c r="Q644" s="238"/>
      <c r="R644" s="238"/>
      <c r="S644" s="238"/>
      <c r="T644" s="238"/>
      <c r="U644" s="238"/>
      <c r="V644" s="238"/>
      <c r="W644" s="238"/>
    </row>
    <row r="645" spans="1:23" ht="12.75">
      <c r="A645" s="238"/>
      <c r="B645" s="238"/>
      <c r="C645" s="238"/>
      <c r="D645" s="238"/>
      <c r="E645" s="238"/>
      <c r="F645" s="238"/>
      <c r="G645" s="238"/>
      <c r="H645" s="238"/>
      <c r="I645" s="238"/>
      <c r="J645" s="238"/>
      <c r="K645" s="238"/>
      <c r="L645" s="238"/>
      <c r="M645" s="238"/>
      <c r="N645" s="238"/>
      <c r="O645" s="238"/>
      <c r="P645" s="238"/>
      <c r="Q645" s="238"/>
      <c r="R645" s="238"/>
      <c r="S645" s="238"/>
      <c r="T645" s="238"/>
      <c r="U645" s="238"/>
      <c r="V645" s="238"/>
      <c r="W645" s="238"/>
    </row>
    <row r="646" spans="1:23" ht="12.75">
      <c r="A646" s="238"/>
      <c r="B646" s="238"/>
      <c r="C646" s="238"/>
      <c r="D646" s="238"/>
      <c r="E646" s="238"/>
      <c r="F646" s="238"/>
      <c r="G646" s="238"/>
      <c r="H646" s="238"/>
      <c r="I646" s="238"/>
      <c r="J646" s="238"/>
      <c r="K646" s="238"/>
      <c r="L646" s="238"/>
      <c r="M646" s="238"/>
      <c r="N646" s="238"/>
      <c r="O646" s="238"/>
      <c r="P646" s="238"/>
      <c r="Q646" s="238"/>
      <c r="R646" s="238"/>
      <c r="S646" s="238"/>
      <c r="T646" s="238"/>
      <c r="U646" s="238"/>
      <c r="V646" s="238"/>
      <c r="W646" s="238"/>
    </row>
    <row r="647" spans="1:23" ht="12.75">
      <c r="A647" s="238"/>
      <c r="B647" s="238"/>
      <c r="C647" s="238"/>
      <c r="D647" s="238"/>
      <c r="E647" s="238"/>
      <c r="F647" s="238"/>
      <c r="G647" s="238"/>
      <c r="H647" s="238"/>
      <c r="I647" s="238"/>
      <c r="J647" s="238"/>
      <c r="K647" s="238"/>
      <c r="L647" s="238"/>
      <c r="M647" s="238"/>
      <c r="N647" s="238"/>
      <c r="O647" s="238"/>
      <c r="P647" s="238"/>
      <c r="Q647" s="238"/>
      <c r="R647" s="238"/>
      <c r="S647" s="238"/>
      <c r="T647" s="238"/>
      <c r="U647" s="238"/>
      <c r="V647" s="238"/>
      <c r="W647" s="238"/>
    </row>
    <row r="648" spans="1:23" ht="12.75">
      <c r="A648" s="238"/>
      <c r="B648" s="238"/>
      <c r="C648" s="238"/>
      <c r="D648" s="238"/>
      <c r="E648" s="238"/>
      <c r="F648" s="238"/>
      <c r="G648" s="238"/>
      <c r="H648" s="238"/>
      <c r="I648" s="238"/>
      <c r="J648" s="238"/>
      <c r="K648" s="238"/>
      <c r="L648" s="238"/>
      <c r="M648" s="238"/>
      <c r="N648" s="238"/>
      <c r="O648" s="238"/>
      <c r="P648" s="238"/>
      <c r="Q648" s="238"/>
      <c r="R648" s="238"/>
      <c r="S648" s="238"/>
      <c r="T648" s="238"/>
      <c r="U648" s="238"/>
      <c r="V648" s="238"/>
      <c r="W648" s="238"/>
    </row>
    <row r="649" spans="1:23" ht="12.75">
      <c r="A649" s="238"/>
      <c r="B649" s="238"/>
      <c r="C649" s="238"/>
      <c r="D649" s="238"/>
      <c r="E649" s="238"/>
      <c r="F649" s="238"/>
      <c r="G649" s="238"/>
      <c r="H649" s="238"/>
      <c r="I649" s="238"/>
      <c r="J649" s="238"/>
      <c r="K649" s="238"/>
      <c r="L649" s="238"/>
      <c r="M649" s="238"/>
      <c r="N649" s="238"/>
      <c r="O649" s="238"/>
      <c r="P649" s="238"/>
      <c r="Q649" s="238"/>
      <c r="R649" s="238"/>
      <c r="S649" s="238"/>
      <c r="T649" s="238"/>
      <c r="U649" s="238"/>
      <c r="V649" s="238"/>
      <c r="W649" s="238"/>
    </row>
    <row r="650" spans="1:23" ht="12.75">
      <c r="A650" s="238"/>
      <c r="B650" s="238"/>
      <c r="C650" s="238"/>
      <c r="D650" s="238"/>
      <c r="E650" s="238"/>
      <c r="F650" s="238"/>
      <c r="G650" s="238"/>
      <c r="H650" s="238"/>
      <c r="I650" s="238"/>
      <c r="J650" s="238"/>
      <c r="K650" s="238"/>
      <c r="L650" s="238"/>
      <c r="M650" s="238"/>
      <c r="N650" s="238"/>
      <c r="O650" s="238"/>
      <c r="P650" s="238"/>
      <c r="Q650" s="238"/>
      <c r="R650" s="238"/>
      <c r="S650" s="238"/>
      <c r="T650" s="238"/>
      <c r="U650" s="238"/>
      <c r="V650" s="238"/>
      <c r="W650" s="238"/>
    </row>
    <row r="651" spans="1:23" ht="12.75">
      <c r="A651" s="238"/>
      <c r="B651" s="238"/>
      <c r="C651" s="238"/>
      <c r="D651" s="238"/>
      <c r="E651" s="238"/>
      <c r="F651" s="238"/>
      <c r="G651" s="238"/>
      <c r="H651" s="238"/>
      <c r="I651" s="238"/>
      <c r="J651" s="238"/>
      <c r="K651" s="238"/>
      <c r="L651" s="238"/>
      <c r="M651" s="238"/>
      <c r="N651" s="238"/>
      <c r="O651" s="238"/>
      <c r="P651" s="238"/>
      <c r="Q651" s="238"/>
      <c r="R651" s="238"/>
      <c r="S651" s="238"/>
      <c r="T651" s="238"/>
      <c r="U651" s="238"/>
      <c r="V651" s="238"/>
      <c r="W651" s="238"/>
    </row>
    <row r="652" spans="1:23" ht="12.75">
      <c r="A652" s="238"/>
      <c r="B652" s="238"/>
      <c r="C652" s="238"/>
      <c r="D652" s="238"/>
      <c r="E652" s="238"/>
      <c r="F652" s="238"/>
      <c r="G652" s="238"/>
      <c r="H652" s="238"/>
      <c r="I652" s="238"/>
      <c r="J652" s="238"/>
      <c r="K652" s="238"/>
      <c r="L652" s="238"/>
      <c r="M652" s="238"/>
      <c r="N652" s="238"/>
      <c r="O652" s="238"/>
      <c r="P652" s="238"/>
      <c r="Q652" s="238"/>
      <c r="R652" s="238"/>
      <c r="S652" s="238"/>
      <c r="T652" s="238"/>
      <c r="U652" s="238"/>
      <c r="V652" s="238"/>
      <c r="W652" s="238"/>
    </row>
    <row r="653" spans="1:23" ht="12.75">
      <c r="A653" s="238"/>
      <c r="B653" s="238"/>
      <c r="C653" s="238"/>
      <c r="D653" s="238"/>
      <c r="E653" s="238"/>
      <c r="F653" s="238"/>
      <c r="G653" s="238"/>
      <c r="H653" s="238"/>
      <c r="I653" s="238"/>
      <c r="J653" s="238"/>
      <c r="K653" s="238"/>
      <c r="L653" s="238"/>
      <c r="M653" s="238"/>
      <c r="N653" s="238"/>
      <c r="O653" s="238"/>
      <c r="P653" s="238"/>
      <c r="Q653" s="238"/>
      <c r="R653" s="238"/>
      <c r="S653" s="238"/>
      <c r="T653" s="238"/>
      <c r="U653" s="238"/>
      <c r="V653" s="238"/>
      <c r="W653" s="238"/>
    </row>
    <row r="654" spans="1:23" ht="12.75">
      <c r="A654" s="238"/>
      <c r="B654" s="238"/>
      <c r="C654" s="238"/>
      <c r="D654" s="238"/>
      <c r="E654" s="238"/>
      <c r="F654" s="238"/>
      <c r="G654" s="238"/>
      <c r="H654" s="238"/>
      <c r="I654" s="238"/>
      <c r="J654" s="238"/>
      <c r="K654" s="238"/>
      <c r="L654" s="238"/>
      <c r="M654" s="238"/>
      <c r="N654" s="238"/>
      <c r="O654" s="238"/>
      <c r="P654" s="238"/>
      <c r="Q654" s="238"/>
      <c r="R654" s="238"/>
      <c r="S654" s="238"/>
      <c r="T654" s="238"/>
      <c r="U654" s="238"/>
      <c r="V654" s="238"/>
      <c r="W654" s="238"/>
    </row>
    <row r="655" spans="1:23" ht="12.75">
      <c r="A655" s="238"/>
      <c r="B655" s="238"/>
      <c r="C655" s="238"/>
      <c r="D655" s="238"/>
      <c r="E655" s="238"/>
      <c r="F655" s="238"/>
      <c r="G655" s="238"/>
      <c r="H655" s="238"/>
      <c r="I655" s="238"/>
      <c r="J655" s="238"/>
      <c r="K655" s="238"/>
      <c r="L655" s="238"/>
      <c r="M655" s="238"/>
      <c r="N655" s="238"/>
      <c r="O655" s="238"/>
      <c r="P655" s="238"/>
      <c r="Q655" s="238"/>
      <c r="R655" s="238"/>
      <c r="S655" s="238"/>
      <c r="T655" s="238"/>
      <c r="U655" s="238"/>
      <c r="V655" s="238"/>
      <c r="W655" s="238"/>
    </row>
    <row r="656" spans="1:23" ht="12.75">
      <c r="A656" s="238"/>
      <c r="B656" s="238"/>
      <c r="C656" s="238"/>
      <c r="D656" s="238"/>
      <c r="E656" s="238"/>
      <c r="F656" s="238"/>
      <c r="G656" s="238"/>
      <c r="H656" s="238"/>
      <c r="I656" s="238"/>
      <c r="J656" s="238"/>
      <c r="K656" s="238"/>
      <c r="L656" s="238"/>
      <c r="M656" s="238"/>
      <c r="N656" s="238"/>
      <c r="O656" s="238"/>
      <c r="P656" s="238"/>
      <c r="Q656" s="238"/>
      <c r="R656" s="238"/>
      <c r="S656" s="238"/>
      <c r="T656" s="238"/>
      <c r="U656" s="238"/>
      <c r="V656" s="238"/>
      <c r="W656" s="238"/>
    </row>
    <row r="657" spans="1:23" ht="12.75">
      <c r="A657" s="238"/>
      <c r="B657" s="238"/>
      <c r="C657" s="238"/>
      <c r="D657" s="238"/>
      <c r="E657" s="238"/>
      <c r="F657" s="238"/>
      <c r="G657" s="238"/>
      <c r="H657" s="238"/>
      <c r="I657" s="238"/>
      <c r="J657" s="238"/>
      <c r="K657" s="238"/>
      <c r="L657" s="238"/>
      <c r="M657" s="238"/>
      <c r="N657" s="238"/>
      <c r="O657" s="238"/>
      <c r="P657" s="238"/>
      <c r="Q657" s="238"/>
      <c r="R657" s="238"/>
      <c r="S657" s="238"/>
      <c r="T657" s="238"/>
      <c r="U657" s="238"/>
      <c r="V657" s="238"/>
      <c r="W657" s="238"/>
    </row>
    <row r="658" spans="1:23" ht="12.75">
      <c r="A658" s="238"/>
      <c r="B658" s="238"/>
      <c r="C658" s="238"/>
      <c r="D658" s="238"/>
      <c r="E658" s="238"/>
      <c r="F658" s="238"/>
      <c r="G658" s="238"/>
      <c r="H658" s="238"/>
      <c r="I658" s="238"/>
      <c r="J658" s="238"/>
      <c r="K658" s="238"/>
      <c r="L658" s="238"/>
      <c r="M658" s="238"/>
      <c r="N658" s="238"/>
      <c r="O658" s="238"/>
      <c r="P658" s="238"/>
      <c r="Q658" s="238"/>
      <c r="R658" s="238"/>
      <c r="S658" s="238"/>
      <c r="T658" s="238"/>
      <c r="U658" s="238"/>
      <c r="V658" s="238"/>
      <c r="W658" s="238"/>
    </row>
    <row r="659" spans="1:23" ht="12.75">
      <c r="A659" s="238"/>
      <c r="B659" s="238"/>
      <c r="C659" s="238"/>
      <c r="D659" s="238"/>
      <c r="E659" s="238"/>
      <c r="F659" s="238"/>
      <c r="G659" s="238"/>
      <c r="H659" s="238"/>
      <c r="I659" s="238"/>
      <c r="J659" s="238"/>
      <c r="K659" s="238"/>
      <c r="L659" s="238"/>
      <c r="M659" s="238"/>
      <c r="N659" s="238"/>
      <c r="O659" s="238"/>
      <c r="P659" s="238"/>
      <c r="Q659" s="238"/>
      <c r="R659" s="238"/>
      <c r="S659" s="238"/>
      <c r="T659" s="238"/>
      <c r="U659" s="238"/>
      <c r="V659" s="238"/>
      <c r="W659" s="238"/>
    </row>
    <row r="660" spans="1:23" ht="12.75">
      <c r="A660" s="238"/>
      <c r="B660" s="238"/>
      <c r="C660" s="238"/>
      <c r="D660" s="238"/>
      <c r="E660" s="238"/>
      <c r="F660" s="238"/>
      <c r="G660" s="238"/>
      <c r="H660" s="238"/>
      <c r="I660" s="238"/>
      <c r="J660" s="238"/>
      <c r="K660" s="238"/>
      <c r="L660" s="238"/>
      <c r="M660" s="238"/>
      <c r="N660" s="238"/>
      <c r="O660" s="238"/>
      <c r="P660" s="238"/>
      <c r="Q660" s="238"/>
      <c r="R660" s="238"/>
      <c r="S660" s="238"/>
      <c r="T660" s="238"/>
      <c r="U660" s="238"/>
      <c r="V660" s="238"/>
      <c r="W660" s="238"/>
    </row>
    <row r="661" spans="1:23" ht="12.75">
      <c r="A661" s="238"/>
      <c r="B661" s="238"/>
      <c r="C661" s="238"/>
      <c r="D661" s="238"/>
      <c r="E661" s="238"/>
      <c r="F661" s="238"/>
      <c r="G661" s="238"/>
      <c r="H661" s="238"/>
      <c r="I661" s="238"/>
      <c r="J661" s="238"/>
      <c r="K661" s="238"/>
      <c r="L661" s="238"/>
      <c r="M661" s="238"/>
      <c r="N661" s="238"/>
      <c r="O661" s="238"/>
      <c r="P661" s="238"/>
      <c r="Q661" s="238"/>
      <c r="R661" s="238"/>
      <c r="S661" s="238"/>
      <c r="T661" s="238"/>
      <c r="U661" s="238"/>
      <c r="V661" s="238"/>
      <c r="W661" s="238"/>
    </row>
    <row r="662" spans="1:23" ht="12.75">
      <c r="A662" s="238"/>
      <c r="B662" s="238"/>
      <c r="C662" s="238"/>
      <c r="D662" s="238"/>
      <c r="E662" s="238"/>
      <c r="F662" s="238"/>
      <c r="G662" s="238"/>
      <c r="H662" s="238"/>
      <c r="I662" s="238"/>
      <c r="J662" s="238"/>
      <c r="K662" s="238"/>
      <c r="L662" s="238"/>
      <c r="M662" s="238"/>
      <c r="N662" s="238"/>
      <c r="O662" s="238"/>
      <c r="P662" s="238"/>
      <c r="Q662" s="238"/>
      <c r="R662" s="238"/>
      <c r="S662" s="238"/>
      <c r="T662" s="238"/>
      <c r="U662" s="238"/>
      <c r="V662" s="238"/>
      <c r="W662" s="238"/>
    </row>
    <row r="663" spans="1:23" ht="12.75">
      <c r="A663" s="238"/>
      <c r="B663" s="238"/>
      <c r="C663" s="238"/>
      <c r="D663" s="238"/>
      <c r="E663" s="238"/>
      <c r="F663" s="238"/>
      <c r="G663" s="238"/>
      <c r="H663" s="238"/>
      <c r="I663" s="238"/>
      <c r="J663" s="238"/>
      <c r="K663" s="238"/>
      <c r="L663" s="238"/>
      <c r="M663" s="238"/>
      <c r="N663" s="238"/>
      <c r="O663" s="238"/>
      <c r="P663" s="238"/>
      <c r="Q663" s="238"/>
      <c r="R663" s="238"/>
      <c r="S663" s="238"/>
      <c r="T663" s="238"/>
      <c r="U663" s="238"/>
      <c r="V663" s="238"/>
      <c r="W663" s="238"/>
    </row>
    <row r="664" spans="1:23" ht="12.75">
      <c r="A664" s="238"/>
      <c r="B664" s="238"/>
      <c r="C664" s="238"/>
      <c r="D664" s="238"/>
      <c r="E664" s="238"/>
      <c r="F664" s="238"/>
      <c r="G664" s="238"/>
      <c r="H664" s="238"/>
      <c r="I664" s="238"/>
      <c r="J664" s="238"/>
      <c r="K664" s="238"/>
      <c r="L664" s="238"/>
      <c r="M664" s="238"/>
      <c r="N664" s="238"/>
      <c r="O664" s="238"/>
      <c r="P664" s="238"/>
      <c r="Q664" s="238"/>
      <c r="R664" s="238"/>
      <c r="S664" s="238"/>
      <c r="T664" s="238"/>
      <c r="U664" s="238"/>
      <c r="V664" s="238"/>
      <c r="W664" s="238"/>
    </row>
    <row r="665" spans="1:23" ht="12.75">
      <c r="A665" s="238"/>
      <c r="B665" s="238"/>
      <c r="C665" s="238"/>
      <c r="D665" s="238"/>
      <c r="E665" s="238"/>
      <c r="F665" s="238"/>
      <c r="G665" s="238"/>
      <c r="H665" s="238"/>
      <c r="I665" s="238"/>
      <c r="J665" s="238"/>
      <c r="K665" s="238"/>
      <c r="L665" s="238"/>
      <c r="M665" s="238"/>
      <c r="N665" s="238"/>
      <c r="O665" s="238"/>
      <c r="P665" s="238"/>
      <c r="Q665" s="238"/>
      <c r="R665" s="238"/>
      <c r="S665" s="238"/>
      <c r="T665" s="238"/>
      <c r="U665" s="238"/>
      <c r="V665" s="238"/>
      <c r="W665" s="238"/>
    </row>
    <row r="666" spans="1:23" ht="12.75">
      <c r="A666" s="238"/>
      <c r="B666" s="238"/>
      <c r="C666" s="238"/>
      <c r="D666" s="238"/>
      <c r="E666" s="238"/>
      <c r="F666" s="238"/>
      <c r="G666" s="238"/>
      <c r="H666" s="238"/>
      <c r="I666" s="238"/>
      <c r="J666" s="238"/>
      <c r="K666" s="238"/>
      <c r="L666" s="238"/>
      <c r="M666" s="238"/>
      <c r="N666" s="238"/>
      <c r="O666" s="238"/>
      <c r="P666" s="238"/>
      <c r="Q666" s="238"/>
      <c r="R666" s="238"/>
      <c r="S666" s="238"/>
      <c r="T666" s="238"/>
      <c r="U666" s="238"/>
      <c r="V666" s="238"/>
      <c r="W666" s="238"/>
    </row>
    <row r="667" spans="1:23" ht="12.75">
      <c r="A667" s="238"/>
      <c r="B667" s="238"/>
      <c r="C667" s="238"/>
      <c r="D667" s="238"/>
      <c r="E667" s="238"/>
      <c r="F667" s="238"/>
      <c r="G667" s="238"/>
      <c r="H667" s="238"/>
      <c r="I667" s="238"/>
      <c r="J667" s="238"/>
      <c r="K667" s="238"/>
      <c r="L667" s="238"/>
      <c r="M667" s="238"/>
      <c r="N667" s="238"/>
      <c r="O667" s="238"/>
      <c r="P667" s="238"/>
      <c r="Q667" s="238"/>
      <c r="R667" s="238"/>
      <c r="S667" s="238"/>
      <c r="T667" s="238"/>
      <c r="U667" s="238"/>
      <c r="V667" s="238"/>
      <c r="W667" s="238"/>
    </row>
    <row r="668" spans="1:23" ht="12.75">
      <c r="A668" s="238"/>
      <c r="B668" s="238"/>
      <c r="C668" s="238"/>
      <c r="D668" s="238"/>
      <c r="E668" s="238"/>
      <c r="F668" s="238"/>
      <c r="G668" s="238"/>
      <c r="H668" s="238"/>
      <c r="I668" s="238"/>
      <c r="J668" s="238"/>
      <c r="K668" s="238"/>
      <c r="L668" s="238"/>
      <c r="M668" s="238"/>
      <c r="N668" s="238"/>
      <c r="O668" s="238"/>
      <c r="P668" s="238"/>
      <c r="Q668" s="238"/>
      <c r="R668" s="238"/>
      <c r="S668" s="238"/>
      <c r="T668" s="238"/>
      <c r="U668" s="238"/>
      <c r="V668" s="238"/>
      <c r="W668" s="238"/>
    </row>
    <row r="669" spans="1:23" ht="12.75">
      <c r="A669" s="238"/>
      <c r="B669" s="238"/>
      <c r="C669" s="238"/>
      <c r="D669" s="238"/>
      <c r="E669" s="238"/>
      <c r="F669" s="238"/>
      <c r="G669" s="238"/>
      <c r="H669" s="238"/>
      <c r="I669" s="238"/>
      <c r="J669" s="238"/>
      <c r="K669" s="238"/>
      <c r="L669" s="238"/>
      <c r="M669" s="238"/>
      <c r="N669" s="238"/>
      <c r="O669" s="238"/>
      <c r="P669" s="238"/>
      <c r="Q669" s="238"/>
      <c r="R669" s="238"/>
      <c r="S669" s="238"/>
      <c r="T669" s="238"/>
      <c r="U669" s="238"/>
      <c r="V669" s="238"/>
      <c r="W669" s="238"/>
    </row>
    <row r="670" spans="1:23" ht="12.75">
      <c r="A670" s="238"/>
      <c r="B670" s="238"/>
      <c r="C670" s="238"/>
      <c r="D670" s="238"/>
      <c r="E670" s="238"/>
      <c r="F670" s="238"/>
      <c r="G670" s="238"/>
      <c r="H670" s="238"/>
      <c r="I670" s="238"/>
      <c r="J670" s="238"/>
      <c r="K670" s="238"/>
      <c r="L670" s="238"/>
      <c r="M670" s="238"/>
      <c r="N670" s="238"/>
      <c r="O670" s="238"/>
      <c r="P670" s="238"/>
      <c r="Q670" s="238"/>
      <c r="R670" s="238"/>
      <c r="S670" s="238"/>
      <c r="T670" s="238"/>
      <c r="U670" s="238"/>
      <c r="V670" s="238"/>
      <c r="W670" s="238"/>
    </row>
    <row r="671" spans="1:23" ht="12.75">
      <c r="A671" s="238"/>
      <c r="B671" s="238"/>
      <c r="C671" s="238"/>
      <c r="D671" s="238"/>
      <c r="E671" s="238"/>
      <c r="F671" s="238"/>
      <c r="G671" s="238"/>
      <c r="H671" s="238"/>
      <c r="I671" s="238"/>
      <c r="J671" s="238"/>
      <c r="K671" s="238"/>
      <c r="L671" s="238"/>
      <c r="M671" s="238"/>
      <c r="N671" s="238"/>
      <c r="O671" s="238"/>
      <c r="P671" s="238"/>
      <c r="Q671" s="238"/>
      <c r="R671" s="238"/>
      <c r="S671" s="238"/>
      <c r="T671" s="238"/>
      <c r="U671" s="238"/>
      <c r="V671" s="238"/>
      <c r="W671" s="238"/>
    </row>
    <row r="672" spans="1:23" ht="12.75">
      <c r="A672" s="238"/>
      <c r="B672" s="238"/>
      <c r="C672" s="238"/>
      <c r="D672" s="238"/>
      <c r="E672" s="238"/>
      <c r="F672" s="238"/>
      <c r="G672" s="238"/>
      <c r="H672" s="238"/>
      <c r="I672" s="238"/>
      <c r="J672" s="238"/>
      <c r="K672" s="238"/>
      <c r="L672" s="238"/>
      <c r="M672" s="238"/>
      <c r="N672" s="238"/>
      <c r="O672" s="238"/>
      <c r="P672" s="238"/>
      <c r="Q672" s="238"/>
      <c r="R672" s="238"/>
      <c r="S672" s="238"/>
      <c r="T672" s="238"/>
      <c r="U672" s="238"/>
      <c r="V672" s="238"/>
      <c r="W672" s="238"/>
    </row>
    <row r="673" spans="1:23" ht="12.75">
      <c r="A673" s="238"/>
      <c r="B673" s="238"/>
      <c r="C673" s="238"/>
      <c r="D673" s="238"/>
      <c r="E673" s="238"/>
      <c r="F673" s="238"/>
      <c r="G673" s="238"/>
      <c r="H673" s="238"/>
      <c r="I673" s="238"/>
      <c r="J673" s="238"/>
      <c r="K673" s="238"/>
      <c r="L673" s="238"/>
      <c r="M673" s="238"/>
      <c r="N673" s="238"/>
      <c r="O673" s="238"/>
      <c r="P673" s="238"/>
      <c r="Q673" s="238"/>
      <c r="R673" s="238"/>
      <c r="S673" s="238"/>
      <c r="T673" s="238"/>
      <c r="U673" s="238"/>
      <c r="V673" s="238"/>
      <c r="W673" s="238"/>
    </row>
    <row r="674" spans="1:23" ht="12.75">
      <c r="A674" s="238"/>
      <c r="B674" s="238"/>
      <c r="C674" s="238"/>
      <c r="D674" s="238"/>
      <c r="E674" s="238"/>
      <c r="F674" s="238"/>
      <c r="G674" s="238"/>
      <c r="H674" s="238"/>
      <c r="I674" s="238"/>
      <c r="J674" s="238"/>
      <c r="K674" s="238"/>
      <c r="L674" s="238"/>
      <c r="M674" s="238"/>
      <c r="N674" s="238"/>
      <c r="O674" s="238"/>
      <c r="P674" s="238"/>
      <c r="Q674" s="238"/>
      <c r="R674" s="238"/>
      <c r="S674" s="238"/>
      <c r="T674" s="238"/>
      <c r="U674" s="238"/>
      <c r="V674" s="238"/>
      <c r="W674" s="238"/>
    </row>
    <row r="675" spans="1:23" ht="12.75">
      <c r="A675" s="238"/>
      <c r="B675" s="238"/>
      <c r="C675" s="238"/>
      <c r="D675" s="238"/>
      <c r="E675" s="238"/>
      <c r="F675" s="238"/>
      <c r="G675" s="238"/>
      <c r="H675" s="238"/>
      <c r="I675" s="238"/>
      <c r="J675" s="238"/>
      <c r="K675" s="238"/>
      <c r="L675" s="238"/>
      <c r="M675" s="238"/>
      <c r="N675" s="238"/>
      <c r="O675" s="238"/>
      <c r="P675" s="238"/>
      <c r="Q675" s="238"/>
      <c r="R675" s="238"/>
      <c r="S675" s="238"/>
      <c r="T675" s="238"/>
      <c r="U675" s="238"/>
      <c r="V675" s="238"/>
      <c r="W675" s="238"/>
    </row>
    <row r="676" spans="1:23" ht="12.75">
      <c r="A676" s="238"/>
      <c r="B676" s="238"/>
      <c r="C676" s="238"/>
      <c r="D676" s="238"/>
      <c r="E676" s="238"/>
      <c r="F676" s="238"/>
      <c r="G676" s="238"/>
      <c r="H676" s="238"/>
      <c r="I676" s="238"/>
      <c r="J676" s="238"/>
      <c r="K676" s="238"/>
      <c r="L676" s="238"/>
      <c r="M676" s="238"/>
      <c r="N676" s="238"/>
      <c r="O676" s="238"/>
      <c r="P676" s="238"/>
      <c r="Q676" s="238"/>
      <c r="R676" s="238"/>
      <c r="S676" s="238"/>
      <c r="T676" s="238"/>
      <c r="U676" s="238"/>
      <c r="V676" s="238"/>
      <c r="W676" s="238"/>
    </row>
    <row r="677" spans="1:23" ht="12.75">
      <c r="A677" s="238"/>
      <c r="B677" s="238"/>
      <c r="C677" s="238"/>
      <c r="D677" s="238"/>
      <c r="E677" s="238"/>
      <c r="F677" s="238"/>
      <c r="G677" s="238"/>
      <c r="H677" s="238"/>
      <c r="I677" s="238"/>
      <c r="J677" s="238"/>
      <c r="K677" s="238"/>
      <c r="L677" s="238"/>
      <c r="M677" s="238"/>
      <c r="N677" s="238"/>
      <c r="O677" s="238"/>
      <c r="P677" s="238"/>
      <c r="Q677" s="238"/>
      <c r="R677" s="238"/>
      <c r="S677" s="238"/>
      <c r="T677" s="238"/>
      <c r="U677" s="238"/>
      <c r="V677" s="238"/>
      <c r="W677" s="238"/>
    </row>
    <row r="678" spans="1:23" ht="12.75">
      <c r="A678" s="238"/>
      <c r="B678" s="238"/>
      <c r="C678" s="238"/>
      <c r="D678" s="238"/>
      <c r="E678" s="238"/>
      <c r="F678" s="238"/>
      <c r="G678" s="238"/>
      <c r="H678" s="238"/>
      <c r="I678" s="238"/>
      <c r="J678" s="238"/>
      <c r="K678" s="238"/>
      <c r="L678" s="238"/>
      <c r="M678" s="238"/>
      <c r="N678" s="238"/>
      <c r="O678" s="238"/>
      <c r="P678" s="238"/>
      <c r="Q678" s="238"/>
      <c r="R678" s="238"/>
      <c r="S678" s="238"/>
      <c r="T678" s="238"/>
      <c r="U678" s="238"/>
      <c r="V678" s="238"/>
      <c r="W678" s="238"/>
    </row>
    <row r="679" spans="1:23" ht="12.75">
      <c r="A679" s="238"/>
      <c r="B679" s="238"/>
      <c r="C679" s="238"/>
      <c r="D679" s="238"/>
      <c r="E679" s="238"/>
      <c r="F679" s="238"/>
      <c r="G679" s="238"/>
      <c r="H679" s="238"/>
      <c r="I679" s="238"/>
      <c r="J679" s="238"/>
      <c r="K679" s="238"/>
      <c r="L679" s="238"/>
      <c r="M679" s="238"/>
      <c r="N679" s="238"/>
      <c r="O679" s="238"/>
      <c r="P679" s="238"/>
      <c r="Q679" s="238"/>
      <c r="R679" s="238"/>
      <c r="S679" s="238"/>
      <c r="T679" s="238"/>
      <c r="U679" s="238"/>
      <c r="V679" s="238"/>
      <c r="W679" s="238"/>
    </row>
    <row r="680" spans="1:23" ht="12.75">
      <c r="A680" s="238"/>
      <c r="B680" s="238"/>
      <c r="C680" s="238"/>
      <c r="D680" s="238"/>
      <c r="E680" s="238"/>
      <c r="F680" s="238"/>
      <c r="G680" s="238"/>
      <c r="H680" s="238"/>
      <c r="I680" s="238"/>
      <c r="J680" s="238"/>
      <c r="K680" s="238"/>
      <c r="L680" s="238"/>
      <c r="M680" s="238"/>
      <c r="N680" s="238"/>
      <c r="O680" s="238"/>
      <c r="P680" s="238"/>
      <c r="Q680" s="238"/>
      <c r="R680" s="238"/>
      <c r="S680" s="238"/>
      <c r="T680" s="238"/>
      <c r="U680" s="238"/>
      <c r="V680" s="238"/>
      <c r="W680" s="238"/>
    </row>
    <row r="681" spans="1:23" ht="12.75">
      <c r="A681" s="238"/>
      <c r="B681" s="238"/>
      <c r="C681" s="238"/>
      <c r="D681" s="238"/>
      <c r="E681" s="238"/>
      <c r="F681" s="238"/>
      <c r="G681" s="238"/>
      <c r="H681" s="238"/>
      <c r="I681" s="238"/>
      <c r="J681" s="238"/>
      <c r="K681" s="238"/>
      <c r="L681" s="238"/>
      <c r="M681" s="238"/>
      <c r="N681" s="238"/>
      <c r="O681" s="238"/>
      <c r="P681" s="238"/>
      <c r="Q681" s="238"/>
      <c r="R681" s="238"/>
      <c r="S681" s="238"/>
      <c r="T681" s="238"/>
      <c r="U681" s="238"/>
      <c r="V681" s="238"/>
      <c r="W681" s="238"/>
    </row>
    <row r="682" spans="1:23" ht="12.75">
      <c r="A682" s="238"/>
      <c r="B682" s="238"/>
      <c r="C682" s="238"/>
      <c r="D682" s="238"/>
      <c r="E682" s="238"/>
      <c r="F682" s="238"/>
      <c r="G682" s="238"/>
      <c r="H682" s="238"/>
      <c r="I682" s="238"/>
      <c r="J682" s="238"/>
      <c r="K682" s="238"/>
      <c r="L682" s="238"/>
      <c r="M682" s="238"/>
      <c r="N682" s="238"/>
      <c r="O682" s="238"/>
      <c r="P682" s="238"/>
      <c r="Q682" s="238"/>
      <c r="R682" s="238"/>
      <c r="S682" s="238"/>
      <c r="T682" s="238"/>
      <c r="U682" s="238"/>
      <c r="V682" s="238"/>
      <c r="W682" s="238"/>
    </row>
    <row r="683" spans="1:23" ht="12.75">
      <c r="A683" s="238"/>
      <c r="B683" s="238"/>
      <c r="C683" s="238"/>
      <c r="D683" s="238"/>
      <c r="E683" s="238"/>
      <c r="F683" s="238"/>
      <c r="G683" s="238"/>
      <c r="H683" s="238"/>
      <c r="I683" s="238"/>
      <c r="J683" s="238"/>
      <c r="K683" s="238"/>
      <c r="L683" s="238"/>
      <c r="M683" s="238"/>
      <c r="N683" s="238"/>
      <c r="O683" s="238"/>
      <c r="P683" s="238"/>
      <c r="Q683" s="238"/>
      <c r="R683" s="238"/>
      <c r="S683" s="238"/>
      <c r="T683" s="238"/>
      <c r="U683" s="238"/>
      <c r="V683" s="238"/>
      <c r="W683" s="238"/>
    </row>
    <row r="684" spans="1:23" ht="12.75">
      <c r="A684" s="238"/>
      <c r="B684" s="238"/>
      <c r="C684" s="238"/>
      <c r="D684" s="238"/>
      <c r="E684" s="238"/>
      <c r="F684" s="238"/>
      <c r="G684" s="238"/>
      <c r="H684" s="238"/>
      <c r="I684" s="238"/>
      <c r="J684" s="238"/>
      <c r="K684" s="238"/>
      <c r="L684" s="238"/>
      <c r="M684" s="238"/>
      <c r="N684" s="238"/>
      <c r="O684" s="238"/>
      <c r="P684" s="238"/>
      <c r="Q684" s="238"/>
      <c r="R684" s="238"/>
      <c r="S684" s="238"/>
      <c r="T684" s="238"/>
      <c r="U684" s="238"/>
      <c r="V684" s="238"/>
      <c r="W684" s="238"/>
    </row>
    <row r="685" spans="1:23" ht="12.75">
      <c r="A685" s="238"/>
      <c r="B685" s="238"/>
      <c r="C685" s="238"/>
      <c r="D685" s="238"/>
      <c r="E685" s="238"/>
      <c r="F685" s="238"/>
      <c r="G685" s="238"/>
      <c r="H685" s="238"/>
      <c r="I685" s="238"/>
      <c r="J685" s="238"/>
      <c r="K685" s="238"/>
      <c r="L685" s="238"/>
      <c r="M685" s="238"/>
      <c r="N685" s="238"/>
      <c r="O685" s="238"/>
      <c r="P685" s="238"/>
      <c r="Q685" s="238"/>
      <c r="R685" s="238"/>
      <c r="S685" s="238"/>
      <c r="T685" s="238"/>
      <c r="U685" s="238"/>
      <c r="V685" s="238"/>
      <c r="W685" s="238"/>
    </row>
    <row r="686" spans="1:23" ht="12.75">
      <c r="A686" s="238"/>
      <c r="B686" s="238"/>
      <c r="C686" s="238"/>
      <c r="D686" s="238"/>
      <c r="E686" s="238"/>
      <c r="F686" s="238"/>
      <c r="G686" s="238"/>
      <c r="H686" s="238"/>
      <c r="I686" s="238"/>
      <c r="J686" s="238"/>
      <c r="K686" s="238"/>
      <c r="L686" s="238"/>
      <c r="M686" s="238"/>
      <c r="N686" s="238"/>
      <c r="O686" s="238"/>
      <c r="P686" s="238"/>
      <c r="Q686" s="238"/>
      <c r="R686" s="238"/>
      <c r="S686" s="238"/>
      <c r="T686" s="238"/>
      <c r="U686" s="238"/>
      <c r="V686" s="238"/>
      <c r="W686" s="238"/>
    </row>
    <row r="687" spans="1:23" ht="12.75">
      <c r="A687" s="238"/>
      <c r="B687" s="238"/>
      <c r="C687" s="238"/>
      <c r="D687" s="238"/>
      <c r="E687" s="238"/>
      <c r="F687" s="238"/>
      <c r="G687" s="238"/>
      <c r="H687" s="238"/>
      <c r="I687" s="238"/>
      <c r="J687" s="238"/>
      <c r="K687" s="238"/>
      <c r="L687" s="238"/>
      <c r="M687" s="238"/>
      <c r="N687" s="238"/>
      <c r="O687" s="238"/>
      <c r="P687" s="238"/>
      <c r="Q687" s="238"/>
      <c r="R687" s="238"/>
      <c r="S687" s="238"/>
      <c r="T687" s="238"/>
      <c r="U687" s="238"/>
      <c r="V687" s="238"/>
      <c r="W687" s="238"/>
    </row>
    <row r="688" spans="1:23" ht="12.75">
      <c r="A688" s="238"/>
      <c r="B688" s="238"/>
      <c r="C688" s="238"/>
      <c r="D688" s="238"/>
      <c r="E688" s="238"/>
      <c r="F688" s="238"/>
      <c r="G688" s="238"/>
      <c r="H688" s="238"/>
      <c r="I688" s="238"/>
      <c r="J688" s="238"/>
      <c r="K688" s="238"/>
      <c r="L688" s="238"/>
      <c r="M688" s="238"/>
      <c r="N688" s="238"/>
      <c r="O688" s="238"/>
      <c r="P688" s="238"/>
      <c r="Q688" s="238"/>
      <c r="R688" s="238"/>
      <c r="S688" s="238"/>
      <c r="T688" s="238"/>
      <c r="U688" s="238"/>
      <c r="V688" s="238"/>
      <c r="W688" s="238"/>
    </row>
    <row r="689" spans="1:23" ht="12.75">
      <c r="A689" s="238"/>
      <c r="B689" s="238"/>
      <c r="C689" s="238"/>
      <c r="D689" s="238"/>
      <c r="E689" s="238"/>
      <c r="F689" s="238"/>
      <c r="G689" s="238"/>
      <c r="H689" s="238"/>
      <c r="I689" s="238"/>
      <c r="J689" s="238"/>
      <c r="K689" s="238"/>
      <c r="L689" s="238"/>
      <c r="M689" s="238"/>
      <c r="N689" s="238"/>
      <c r="O689" s="238"/>
      <c r="P689" s="238"/>
      <c r="Q689" s="238"/>
      <c r="R689" s="238"/>
      <c r="S689" s="238"/>
      <c r="T689" s="238"/>
      <c r="U689" s="238"/>
      <c r="V689" s="238"/>
      <c r="W689" s="238"/>
    </row>
    <row r="690" spans="1:23" ht="12.75">
      <c r="A690" s="238"/>
      <c r="B690" s="238"/>
      <c r="C690" s="238"/>
      <c r="D690" s="238"/>
      <c r="E690" s="238"/>
      <c r="F690" s="238"/>
      <c r="G690" s="238"/>
      <c r="H690" s="238"/>
      <c r="I690" s="238"/>
      <c r="J690" s="238"/>
      <c r="K690" s="238"/>
      <c r="L690" s="238"/>
      <c r="M690" s="238"/>
      <c r="N690" s="238"/>
      <c r="O690" s="238"/>
      <c r="P690" s="238"/>
      <c r="Q690" s="238"/>
      <c r="R690" s="238"/>
      <c r="S690" s="238"/>
      <c r="T690" s="238"/>
      <c r="U690" s="238"/>
      <c r="V690" s="238"/>
      <c r="W690" s="238"/>
    </row>
    <row r="691" spans="1:23" ht="12.75">
      <c r="A691" s="238"/>
      <c r="B691" s="238"/>
      <c r="C691" s="238"/>
      <c r="D691" s="238"/>
      <c r="E691" s="238"/>
      <c r="F691" s="238"/>
      <c r="G691" s="238"/>
      <c r="H691" s="238"/>
      <c r="I691" s="238"/>
      <c r="J691" s="238"/>
      <c r="K691" s="238"/>
      <c r="L691" s="238"/>
      <c r="M691" s="238"/>
      <c r="N691" s="238"/>
      <c r="O691" s="238"/>
      <c r="P691" s="238"/>
      <c r="Q691" s="238"/>
      <c r="R691" s="238"/>
      <c r="S691" s="238"/>
      <c r="T691" s="238"/>
      <c r="U691" s="238"/>
      <c r="V691" s="238"/>
      <c r="W691" s="238"/>
    </row>
    <row r="692" spans="1:23" ht="12.75">
      <c r="A692" s="238"/>
      <c r="B692" s="238"/>
      <c r="C692" s="238"/>
      <c r="D692" s="238"/>
      <c r="E692" s="238"/>
      <c r="F692" s="238"/>
      <c r="G692" s="238"/>
      <c r="H692" s="238"/>
      <c r="I692" s="238"/>
      <c r="J692" s="238"/>
      <c r="K692" s="238"/>
      <c r="L692" s="238"/>
      <c r="M692" s="238"/>
      <c r="N692" s="238"/>
      <c r="O692" s="238"/>
      <c r="P692" s="238"/>
      <c r="Q692" s="238"/>
      <c r="R692" s="238"/>
      <c r="S692" s="238"/>
      <c r="T692" s="238"/>
      <c r="U692" s="238"/>
      <c r="V692" s="238"/>
      <c r="W692" s="238"/>
    </row>
    <row r="693" spans="1:23" ht="12.75">
      <c r="A693" s="238"/>
      <c r="B693" s="238"/>
      <c r="C693" s="238"/>
      <c r="D693" s="238"/>
      <c r="E693" s="238"/>
      <c r="F693" s="238"/>
      <c r="G693" s="238"/>
      <c r="H693" s="238"/>
      <c r="I693" s="238"/>
      <c r="J693" s="238"/>
      <c r="K693" s="238"/>
      <c r="L693" s="238"/>
      <c r="M693" s="238"/>
      <c r="N693" s="238"/>
      <c r="O693" s="238"/>
      <c r="P693" s="238"/>
      <c r="Q693" s="238"/>
      <c r="R693" s="238"/>
      <c r="S693" s="238"/>
      <c r="T693" s="238"/>
      <c r="U693" s="238"/>
      <c r="V693" s="238"/>
      <c r="W693" s="238"/>
    </row>
    <row r="694" spans="1:23" ht="12.75">
      <c r="A694" s="238"/>
      <c r="B694" s="238"/>
      <c r="C694" s="238"/>
      <c r="D694" s="238"/>
      <c r="E694" s="238"/>
      <c r="F694" s="238"/>
      <c r="G694" s="238"/>
      <c r="H694" s="238"/>
      <c r="I694" s="238"/>
      <c r="J694" s="238"/>
      <c r="K694" s="238"/>
      <c r="L694" s="238"/>
      <c r="M694" s="238"/>
      <c r="N694" s="238"/>
      <c r="O694" s="238"/>
      <c r="P694" s="238"/>
      <c r="Q694" s="238"/>
      <c r="R694" s="238"/>
      <c r="S694" s="238"/>
      <c r="T694" s="238"/>
      <c r="U694" s="238"/>
      <c r="V694" s="238"/>
      <c r="W694" s="238"/>
    </row>
    <row r="695" spans="1:23" ht="12.75">
      <c r="A695" s="238"/>
      <c r="B695" s="238"/>
      <c r="C695" s="238"/>
      <c r="D695" s="238"/>
      <c r="E695" s="238"/>
      <c r="F695" s="238"/>
      <c r="G695" s="238"/>
      <c r="H695" s="238"/>
      <c r="I695" s="238"/>
      <c r="J695" s="238"/>
      <c r="K695" s="238"/>
      <c r="L695" s="238"/>
      <c r="M695" s="238"/>
      <c r="N695" s="238"/>
      <c r="O695" s="238"/>
      <c r="P695" s="238"/>
      <c r="Q695" s="238"/>
      <c r="R695" s="238"/>
      <c r="S695" s="238"/>
      <c r="T695" s="238"/>
      <c r="U695" s="238"/>
      <c r="V695" s="238"/>
      <c r="W695" s="238"/>
    </row>
    <row r="696" spans="1:23" ht="12.75">
      <c r="A696" s="238"/>
      <c r="B696" s="238"/>
      <c r="C696" s="238"/>
      <c r="D696" s="238"/>
      <c r="E696" s="238"/>
      <c r="F696" s="238"/>
      <c r="G696" s="238"/>
      <c r="H696" s="238"/>
      <c r="I696" s="238"/>
      <c r="J696" s="238"/>
      <c r="K696" s="238"/>
      <c r="L696" s="238"/>
      <c r="M696" s="238"/>
      <c r="N696" s="238"/>
      <c r="O696" s="238"/>
      <c r="P696" s="238"/>
      <c r="Q696" s="238"/>
      <c r="R696" s="238"/>
      <c r="S696" s="238"/>
      <c r="T696" s="238"/>
      <c r="U696" s="238"/>
      <c r="V696" s="238"/>
      <c r="W696" s="238"/>
    </row>
    <row r="697" spans="1:23" ht="12.75">
      <c r="A697" s="238"/>
      <c r="B697" s="238"/>
      <c r="C697" s="238"/>
      <c r="D697" s="238"/>
      <c r="E697" s="238"/>
      <c r="F697" s="238"/>
      <c r="G697" s="238"/>
      <c r="H697" s="238"/>
      <c r="I697" s="238"/>
      <c r="J697" s="238"/>
      <c r="K697" s="238"/>
      <c r="L697" s="238"/>
      <c r="M697" s="238"/>
      <c r="N697" s="238"/>
      <c r="O697" s="238"/>
      <c r="P697" s="238"/>
      <c r="Q697" s="238"/>
      <c r="R697" s="238"/>
      <c r="S697" s="238"/>
      <c r="T697" s="238"/>
      <c r="U697" s="238"/>
      <c r="V697" s="238"/>
      <c r="W697" s="238"/>
    </row>
    <row r="698" spans="1:23" ht="12.75">
      <c r="A698" s="238"/>
      <c r="B698" s="238"/>
      <c r="C698" s="238"/>
      <c r="D698" s="238"/>
      <c r="E698" s="238"/>
      <c r="F698" s="238"/>
      <c r="G698" s="238"/>
      <c r="H698" s="238"/>
      <c r="I698" s="238"/>
      <c r="J698" s="238"/>
      <c r="K698" s="238"/>
      <c r="L698" s="238"/>
      <c r="M698" s="238"/>
      <c r="N698" s="238"/>
      <c r="O698" s="238"/>
      <c r="P698" s="238"/>
      <c r="Q698" s="238"/>
      <c r="R698" s="238"/>
      <c r="S698" s="238"/>
      <c r="T698" s="238"/>
      <c r="U698" s="238"/>
      <c r="V698" s="238"/>
      <c r="W698" s="238"/>
    </row>
    <row r="699" spans="1:23" ht="12.75">
      <c r="A699" s="238"/>
      <c r="B699" s="238"/>
      <c r="C699" s="238"/>
      <c r="D699" s="238"/>
      <c r="E699" s="238"/>
      <c r="F699" s="238"/>
      <c r="G699" s="238"/>
      <c r="H699" s="238"/>
      <c r="I699" s="238"/>
      <c r="J699" s="238"/>
      <c r="K699" s="238"/>
      <c r="L699" s="238"/>
      <c r="M699" s="238"/>
      <c r="N699" s="238"/>
      <c r="O699" s="238"/>
      <c r="P699" s="238"/>
      <c r="Q699" s="238"/>
      <c r="R699" s="238"/>
      <c r="S699" s="238"/>
      <c r="T699" s="238"/>
      <c r="U699" s="238"/>
      <c r="V699" s="238"/>
      <c r="W699" s="238"/>
    </row>
    <row r="700" spans="1:23" ht="12.75">
      <c r="A700" s="238"/>
      <c r="B700" s="238"/>
      <c r="C700" s="238"/>
      <c r="D700" s="238"/>
      <c r="E700" s="238"/>
      <c r="F700" s="238"/>
      <c r="G700" s="238"/>
      <c r="H700" s="238"/>
      <c r="I700" s="238"/>
      <c r="J700" s="238"/>
      <c r="K700" s="238"/>
      <c r="L700" s="238"/>
      <c r="M700" s="238"/>
      <c r="N700" s="238"/>
      <c r="O700" s="238"/>
      <c r="P700" s="238"/>
      <c r="Q700" s="238"/>
      <c r="R700" s="238"/>
      <c r="S700" s="238"/>
      <c r="T700" s="238"/>
      <c r="U700" s="238"/>
      <c r="V700" s="238"/>
      <c r="W700" s="238"/>
    </row>
    <row r="701" spans="1:23" ht="12.75">
      <c r="A701" s="238"/>
      <c r="B701" s="238"/>
      <c r="C701" s="238"/>
      <c r="D701" s="238"/>
      <c r="E701" s="238"/>
      <c r="F701" s="238"/>
      <c r="G701" s="238"/>
      <c r="H701" s="238"/>
      <c r="I701" s="238"/>
      <c r="J701" s="238"/>
      <c r="K701" s="238"/>
      <c r="L701" s="238"/>
      <c r="M701" s="238"/>
      <c r="N701" s="238"/>
      <c r="O701" s="238"/>
      <c r="P701" s="238"/>
      <c r="Q701" s="238"/>
      <c r="R701" s="238"/>
      <c r="S701" s="238"/>
      <c r="T701" s="238"/>
      <c r="U701" s="238"/>
      <c r="V701" s="238"/>
      <c r="W701" s="238"/>
    </row>
    <row r="702" spans="1:23" ht="12.75">
      <c r="A702" s="238"/>
      <c r="B702" s="238"/>
      <c r="C702" s="238"/>
      <c r="D702" s="238"/>
      <c r="E702" s="238"/>
      <c r="F702" s="238"/>
      <c r="G702" s="238"/>
      <c r="H702" s="238"/>
      <c r="I702" s="238"/>
      <c r="J702" s="238"/>
      <c r="K702" s="238"/>
      <c r="L702" s="238"/>
      <c r="M702" s="238"/>
      <c r="N702" s="238"/>
      <c r="O702" s="238"/>
      <c r="P702" s="238"/>
      <c r="Q702" s="238"/>
      <c r="R702" s="238"/>
      <c r="S702" s="238"/>
      <c r="T702" s="238"/>
      <c r="U702" s="238"/>
      <c r="V702" s="238"/>
      <c r="W702" s="238"/>
    </row>
    <row r="703" spans="1:23" ht="12.75">
      <c r="A703" s="238"/>
      <c r="B703" s="238"/>
      <c r="C703" s="238"/>
      <c r="D703" s="238"/>
      <c r="E703" s="238"/>
      <c r="F703" s="238"/>
      <c r="G703" s="238"/>
      <c r="H703" s="238"/>
      <c r="I703" s="238"/>
      <c r="J703" s="238"/>
      <c r="K703" s="238"/>
      <c r="L703" s="238"/>
      <c r="M703" s="238"/>
      <c r="N703" s="238"/>
      <c r="O703" s="238"/>
      <c r="P703" s="238"/>
      <c r="Q703" s="238"/>
      <c r="R703" s="238"/>
      <c r="S703" s="238"/>
      <c r="T703" s="238"/>
      <c r="U703" s="238"/>
      <c r="V703" s="238"/>
      <c r="W703" s="238"/>
    </row>
    <row r="704" spans="1:23" ht="12.75">
      <c r="A704" s="238"/>
      <c r="B704" s="238"/>
      <c r="C704" s="238"/>
      <c r="D704" s="238"/>
      <c r="E704" s="238"/>
      <c r="F704" s="238"/>
      <c r="G704" s="238"/>
      <c r="H704" s="238"/>
      <c r="I704" s="238"/>
      <c r="J704" s="238"/>
      <c r="K704" s="238"/>
      <c r="L704" s="238"/>
      <c r="M704" s="238"/>
      <c r="N704" s="238"/>
      <c r="O704" s="238"/>
      <c r="P704" s="238"/>
      <c r="Q704" s="238"/>
      <c r="R704" s="238"/>
      <c r="S704" s="238"/>
      <c r="T704" s="238"/>
      <c r="U704" s="238"/>
      <c r="V704" s="238"/>
      <c r="W704" s="238"/>
    </row>
    <row r="705" spans="1:23" ht="12.75">
      <c r="A705" s="238"/>
      <c r="B705" s="238"/>
      <c r="C705" s="238"/>
      <c r="D705" s="238"/>
      <c r="E705" s="238"/>
      <c r="F705" s="238"/>
      <c r="G705" s="238"/>
      <c r="H705" s="238"/>
      <c r="I705" s="238"/>
      <c r="J705" s="238"/>
      <c r="K705" s="238"/>
      <c r="L705" s="238"/>
      <c r="M705" s="238"/>
      <c r="N705" s="238"/>
      <c r="O705" s="238"/>
      <c r="P705" s="238"/>
      <c r="Q705" s="238"/>
      <c r="R705" s="238"/>
      <c r="S705" s="238"/>
      <c r="T705" s="238"/>
      <c r="U705" s="238"/>
      <c r="V705" s="238"/>
      <c r="W705" s="238"/>
    </row>
    <row r="706" spans="1:23" ht="12.75">
      <c r="A706" s="238"/>
      <c r="B706" s="238"/>
      <c r="C706" s="238"/>
      <c r="D706" s="238"/>
      <c r="E706" s="238"/>
      <c r="F706" s="238"/>
      <c r="G706" s="238"/>
      <c r="H706" s="238"/>
      <c r="I706" s="238"/>
      <c r="J706" s="238"/>
      <c r="K706" s="238"/>
      <c r="L706" s="238"/>
      <c r="M706" s="238"/>
      <c r="N706" s="238"/>
      <c r="O706" s="238"/>
      <c r="P706" s="238"/>
      <c r="Q706" s="238"/>
      <c r="R706" s="238"/>
      <c r="S706" s="238"/>
      <c r="T706" s="238"/>
      <c r="U706" s="238"/>
      <c r="V706" s="238"/>
      <c r="W706" s="238"/>
    </row>
    <row r="707" spans="1:23" ht="12.75">
      <c r="A707" s="238"/>
      <c r="B707" s="238"/>
      <c r="C707" s="238"/>
      <c r="D707" s="238"/>
      <c r="E707" s="238"/>
      <c r="F707" s="238"/>
      <c r="G707" s="238"/>
      <c r="H707" s="238"/>
      <c r="I707" s="238"/>
      <c r="J707" s="238"/>
      <c r="K707" s="238"/>
      <c r="L707" s="238"/>
      <c r="M707" s="238"/>
      <c r="N707" s="238"/>
      <c r="O707" s="238"/>
      <c r="P707" s="238"/>
      <c r="Q707" s="238"/>
      <c r="R707" s="238"/>
      <c r="S707" s="238"/>
      <c r="T707" s="238"/>
      <c r="U707" s="238"/>
      <c r="V707" s="238"/>
      <c r="W707" s="238"/>
    </row>
    <row r="708" spans="1:23" ht="12.75">
      <c r="A708" s="238"/>
      <c r="B708" s="238"/>
      <c r="C708" s="238"/>
      <c r="D708" s="238"/>
      <c r="E708" s="238"/>
      <c r="F708" s="238"/>
      <c r="G708" s="238"/>
      <c r="H708" s="238"/>
      <c r="I708" s="238"/>
      <c r="J708" s="238"/>
      <c r="K708" s="238"/>
      <c r="L708" s="238"/>
      <c r="M708" s="238"/>
      <c r="N708" s="238"/>
      <c r="O708" s="238"/>
      <c r="P708" s="238"/>
      <c r="Q708" s="238"/>
      <c r="R708" s="238"/>
      <c r="S708" s="238"/>
      <c r="T708" s="238"/>
      <c r="U708" s="238"/>
      <c r="V708" s="238"/>
      <c r="W708" s="238"/>
    </row>
    <row r="709" spans="1:23" ht="12.75">
      <c r="A709" s="238"/>
      <c r="B709" s="238"/>
      <c r="C709" s="238"/>
      <c r="D709" s="238"/>
      <c r="E709" s="238"/>
      <c r="F709" s="238"/>
      <c r="G709" s="238"/>
      <c r="H709" s="238"/>
      <c r="I709" s="238"/>
      <c r="J709" s="238"/>
      <c r="K709" s="238"/>
      <c r="L709" s="238"/>
      <c r="M709" s="238"/>
      <c r="N709" s="238"/>
      <c r="O709" s="238"/>
      <c r="P709" s="238"/>
      <c r="Q709" s="238"/>
      <c r="R709" s="238"/>
      <c r="S709" s="238"/>
      <c r="T709" s="238"/>
      <c r="U709" s="238"/>
      <c r="V709" s="238"/>
      <c r="W709" s="238"/>
    </row>
    <row r="710" spans="1:23" ht="12.75">
      <c r="A710" s="238"/>
      <c r="B710" s="238"/>
      <c r="C710" s="238"/>
      <c r="D710" s="238"/>
      <c r="E710" s="238"/>
      <c r="F710" s="238"/>
      <c r="G710" s="238"/>
      <c r="H710" s="238"/>
      <c r="I710" s="238"/>
      <c r="J710" s="238"/>
      <c r="K710" s="238"/>
      <c r="L710" s="238"/>
      <c r="M710" s="238"/>
      <c r="N710" s="238"/>
      <c r="O710" s="238"/>
      <c r="P710" s="238"/>
      <c r="Q710" s="238"/>
      <c r="R710" s="238"/>
      <c r="S710" s="238"/>
      <c r="T710" s="238"/>
      <c r="U710" s="238"/>
      <c r="V710" s="238"/>
      <c r="W710" s="238"/>
    </row>
    <row r="711" spans="1:23" ht="12.75">
      <c r="A711" s="238"/>
      <c r="B711" s="238"/>
      <c r="C711" s="238"/>
      <c r="D711" s="238"/>
      <c r="E711" s="238"/>
      <c r="F711" s="238"/>
      <c r="G711" s="238"/>
      <c r="H711" s="238"/>
      <c r="I711" s="238"/>
      <c r="J711" s="238"/>
      <c r="K711" s="238"/>
      <c r="L711" s="238"/>
      <c r="M711" s="238"/>
      <c r="N711" s="238"/>
      <c r="O711" s="238"/>
      <c r="P711" s="238"/>
      <c r="Q711" s="238"/>
      <c r="R711" s="238"/>
      <c r="S711" s="238"/>
      <c r="T711" s="238"/>
      <c r="U711" s="238"/>
      <c r="V711" s="238"/>
      <c r="W711" s="238"/>
    </row>
    <row r="712" spans="1:23" ht="12.75">
      <c r="A712" s="238"/>
      <c r="B712" s="238"/>
      <c r="C712" s="238"/>
      <c r="D712" s="238"/>
      <c r="E712" s="238"/>
      <c r="F712" s="238"/>
      <c r="G712" s="238"/>
      <c r="H712" s="238"/>
      <c r="I712" s="238"/>
      <c r="J712" s="238"/>
      <c r="K712" s="238"/>
      <c r="L712" s="238"/>
      <c r="M712" s="238"/>
      <c r="N712" s="238"/>
      <c r="O712" s="238"/>
      <c r="P712" s="238"/>
      <c r="Q712" s="238"/>
      <c r="R712" s="238"/>
      <c r="S712" s="238"/>
      <c r="T712" s="238"/>
      <c r="U712" s="238"/>
      <c r="V712" s="238"/>
      <c r="W712" s="238"/>
    </row>
    <row r="713" spans="1:23" ht="12.75">
      <c r="A713" s="238"/>
      <c r="B713" s="238"/>
      <c r="C713" s="238"/>
      <c r="D713" s="238"/>
      <c r="E713" s="238"/>
      <c r="F713" s="238"/>
      <c r="G713" s="238"/>
      <c r="H713" s="238"/>
      <c r="I713" s="238"/>
      <c r="J713" s="238"/>
      <c r="K713" s="238"/>
      <c r="L713" s="238"/>
      <c r="M713" s="238"/>
      <c r="N713" s="238"/>
      <c r="O713" s="238"/>
      <c r="P713" s="238"/>
      <c r="Q713" s="238"/>
      <c r="R713" s="238"/>
      <c r="S713" s="238"/>
      <c r="T713" s="238"/>
      <c r="U713" s="238"/>
      <c r="V713" s="238"/>
      <c r="W713" s="238"/>
    </row>
    <row r="714" spans="1:23" ht="12.75">
      <c r="A714" s="238"/>
      <c r="B714" s="238"/>
      <c r="C714" s="238"/>
      <c r="D714" s="238"/>
      <c r="E714" s="238"/>
      <c r="F714" s="238"/>
      <c r="G714" s="238"/>
      <c r="H714" s="238"/>
      <c r="I714" s="238"/>
      <c r="J714" s="238"/>
      <c r="K714" s="238"/>
      <c r="L714" s="238"/>
      <c r="M714" s="238"/>
      <c r="N714" s="238"/>
      <c r="O714" s="238"/>
      <c r="P714" s="238"/>
      <c r="Q714" s="238"/>
      <c r="R714" s="238"/>
      <c r="S714" s="238"/>
      <c r="T714" s="238"/>
      <c r="U714" s="238"/>
      <c r="V714" s="238"/>
      <c r="W714" s="238"/>
    </row>
    <row r="715" spans="1:23" ht="12.75">
      <c r="A715" s="238"/>
      <c r="B715" s="238"/>
      <c r="C715" s="238"/>
      <c r="D715" s="238"/>
      <c r="E715" s="238"/>
      <c r="F715" s="238"/>
      <c r="G715" s="238"/>
      <c r="H715" s="238"/>
      <c r="I715" s="238"/>
      <c r="J715" s="238"/>
      <c r="K715" s="238"/>
      <c r="L715" s="238"/>
      <c r="M715" s="238"/>
      <c r="N715" s="238"/>
      <c r="O715" s="238"/>
      <c r="P715" s="238"/>
      <c r="Q715" s="238"/>
      <c r="R715" s="238"/>
      <c r="S715" s="238"/>
      <c r="T715" s="238"/>
      <c r="U715" s="238"/>
      <c r="V715" s="238"/>
      <c r="W715" s="238"/>
    </row>
    <row r="716" spans="1:23" ht="12.75">
      <c r="A716" s="238"/>
      <c r="B716" s="238"/>
      <c r="C716" s="238"/>
      <c r="D716" s="238"/>
      <c r="E716" s="238"/>
      <c r="F716" s="238"/>
      <c r="G716" s="238"/>
      <c r="H716" s="238"/>
      <c r="I716" s="238"/>
      <c r="J716" s="238"/>
      <c r="K716" s="238"/>
      <c r="L716" s="238"/>
      <c r="M716" s="238"/>
      <c r="N716" s="238"/>
      <c r="O716" s="238"/>
      <c r="P716" s="238"/>
      <c r="Q716" s="238"/>
      <c r="R716" s="238"/>
      <c r="S716" s="238"/>
      <c r="T716" s="238"/>
      <c r="U716" s="238"/>
      <c r="V716" s="238"/>
      <c r="W716" s="238"/>
    </row>
    <row r="717" spans="1:23" ht="12.75">
      <c r="A717" s="238"/>
      <c r="B717" s="238"/>
      <c r="C717" s="238"/>
      <c r="D717" s="238"/>
      <c r="E717" s="238"/>
      <c r="F717" s="238"/>
      <c r="G717" s="238"/>
      <c r="H717" s="238"/>
      <c r="I717" s="238"/>
      <c r="J717" s="238"/>
      <c r="K717" s="238"/>
      <c r="L717" s="238"/>
      <c r="M717" s="238"/>
      <c r="N717" s="238"/>
      <c r="O717" s="238"/>
      <c r="P717" s="238"/>
      <c r="Q717" s="238"/>
      <c r="R717" s="238"/>
      <c r="S717" s="238"/>
      <c r="T717" s="238"/>
      <c r="U717" s="238"/>
      <c r="V717" s="238"/>
      <c r="W717" s="238"/>
    </row>
    <row r="718" spans="1:23" ht="12.75">
      <c r="A718" s="238"/>
      <c r="B718" s="238"/>
      <c r="C718" s="238"/>
      <c r="D718" s="238"/>
      <c r="E718" s="238"/>
      <c r="F718" s="238"/>
      <c r="G718" s="238"/>
      <c r="H718" s="238"/>
      <c r="I718" s="238"/>
      <c r="J718" s="238"/>
      <c r="K718" s="238"/>
      <c r="L718" s="238"/>
      <c r="M718" s="238"/>
      <c r="N718" s="238"/>
      <c r="O718" s="238"/>
      <c r="P718" s="238"/>
      <c r="Q718" s="238"/>
      <c r="R718" s="238"/>
      <c r="S718" s="238"/>
      <c r="T718" s="238"/>
      <c r="U718" s="238"/>
      <c r="V718" s="238"/>
      <c r="W718" s="238"/>
    </row>
    <row r="719" spans="1:23" ht="12.75">
      <c r="A719" s="238"/>
      <c r="B719" s="238"/>
      <c r="C719" s="238"/>
      <c r="D719" s="238"/>
      <c r="E719" s="238"/>
      <c r="F719" s="238"/>
      <c r="G719" s="238"/>
      <c r="H719" s="238"/>
      <c r="I719" s="238"/>
      <c r="J719" s="238"/>
      <c r="K719" s="238"/>
      <c r="L719" s="238"/>
      <c r="M719" s="238"/>
      <c r="N719" s="238"/>
      <c r="O719" s="238"/>
      <c r="P719" s="238"/>
      <c r="Q719" s="238"/>
      <c r="R719" s="238"/>
      <c r="S719" s="238"/>
      <c r="T719" s="238"/>
      <c r="U719" s="238"/>
      <c r="V719" s="238"/>
      <c r="W719" s="238"/>
    </row>
    <row r="720" spans="1:23" ht="12.75">
      <c r="A720" s="238"/>
      <c r="B720" s="238"/>
      <c r="C720" s="238"/>
      <c r="D720" s="238"/>
      <c r="E720" s="238"/>
      <c r="F720" s="238"/>
      <c r="G720" s="238"/>
      <c r="H720" s="238"/>
      <c r="I720" s="238"/>
      <c r="J720" s="238"/>
      <c r="K720" s="238"/>
      <c r="L720" s="238"/>
      <c r="M720" s="238"/>
      <c r="N720" s="238"/>
      <c r="O720" s="238"/>
      <c r="P720" s="238"/>
      <c r="Q720" s="238"/>
      <c r="R720" s="238"/>
      <c r="S720" s="238"/>
      <c r="T720" s="238"/>
      <c r="U720" s="238"/>
      <c r="V720" s="238"/>
      <c r="W720" s="238"/>
    </row>
    <row r="721" spans="1:23" ht="12.75">
      <c r="A721" s="238"/>
      <c r="B721" s="238"/>
      <c r="C721" s="238"/>
      <c r="D721" s="238"/>
      <c r="E721" s="238"/>
      <c r="F721" s="238"/>
      <c r="G721" s="238"/>
      <c r="H721" s="238"/>
      <c r="I721" s="238"/>
      <c r="J721" s="238"/>
      <c r="K721" s="238"/>
      <c r="L721" s="238"/>
      <c r="M721" s="238"/>
      <c r="N721" s="238"/>
      <c r="O721" s="238"/>
      <c r="P721" s="238"/>
      <c r="Q721" s="238"/>
      <c r="R721" s="238"/>
      <c r="S721" s="238"/>
      <c r="T721" s="238"/>
      <c r="U721" s="238"/>
      <c r="V721" s="238"/>
      <c r="W721" s="238"/>
    </row>
    <row r="722" spans="1:23" ht="12.75">
      <c r="A722" s="238"/>
      <c r="B722" s="238"/>
      <c r="C722" s="238"/>
      <c r="D722" s="238"/>
      <c r="E722" s="238"/>
      <c r="F722" s="238"/>
      <c r="G722" s="238"/>
      <c r="H722" s="238"/>
      <c r="I722" s="238"/>
      <c r="J722" s="238"/>
      <c r="K722" s="238"/>
      <c r="L722" s="238"/>
      <c r="M722" s="238"/>
      <c r="N722" s="238"/>
      <c r="O722" s="238"/>
      <c r="P722" s="238"/>
      <c r="Q722" s="238"/>
      <c r="R722" s="238"/>
      <c r="S722" s="238"/>
      <c r="T722" s="238"/>
      <c r="U722" s="238"/>
      <c r="V722" s="238"/>
      <c r="W722" s="238"/>
    </row>
    <row r="723" spans="1:23" ht="12.75">
      <c r="A723" s="238"/>
      <c r="B723" s="238"/>
      <c r="C723" s="238"/>
      <c r="D723" s="238"/>
      <c r="E723" s="238"/>
      <c r="F723" s="238"/>
      <c r="G723" s="238"/>
      <c r="H723" s="238"/>
      <c r="I723" s="238"/>
      <c r="J723" s="238"/>
      <c r="K723" s="238"/>
      <c r="L723" s="238"/>
      <c r="M723" s="238"/>
      <c r="N723" s="238"/>
      <c r="O723" s="238"/>
      <c r="P723" s="238"/>
      <c r="Q723" s="238"/>
      <c r="R723" s="238"/>
      <c r="S723" s="238"/>
      <c r="T723" s="238"/>
      <c r="U723" s="238"/>
      <c r="V723" s="238"/>
      <c r="W723" s="238"/>
    </row>
    <row r="724" spans="1:23" ht="12.75">
      <c r="A724" s="238"/>
      <c r="B724" s="238"/>
      <c r="C724" s="238"/>
      <c r="D724" s="238"/>
      <c r="E724" s="238"/>
      <c r="F724" s="238"/>
      <c r="G724" s="238"/>
      <c r="H724" s="238"/>
      <c r="I724" s="238"/>
      <c r="J724" s="238"/>
      <c r="K724" s="238"/>
      <c r="L724" s="238"/>
      <c r="M724" s="238"/>
      <c r="N724" s="238"/>
      <c r="O724" s="238"/>
      <c r="P724" s="238"/>
      <c r="Q724" s="238"/>
      <c r="R724" s="238"/>
      <c r="S724" s="238"/>
      <c r="T724" s="238"/>
      <c r="U724" s="238"/>
      <c r="V724" s="238"/>
      <c r="W724" s="238"/>
    </row>
    <row r="725" spans="1:23" ht="12.75">
      <c r="A725" s="238"/>
      <c r="B725" s="238"/>
      <c r="C725" s="238"/>
      <c r="D725" s="238"/>
      <c r="E725" s="238"/>
      <c r="F725" s="238"/>
      <c r="G725" s="238"/>
      <c r="H725" s="238"/>
      <c r="I725" s="238"/>
      <c r="J725" s="238"/>
      <c r="K725" s="238"/>
      <c r="L725" s="238"/>
      <c r="M725" s="238"/>
      <c r="N725" s="238"/>
      <c r="O725" s="238"/>
      <c r="P725" s="238"/>
      <c r="Q725" s="238"/>
      <c r="R725" s="238"/>
      <c r="S725" s="238"/>
      <c r="T725" s="238"/>
      <c r="U725" s="238"/>
      <c r="V725" s="238"/>
      <c r="W725" s="238"/>
    </row>
    <row r="726" spans="1:23" ht="12.75">
      <c r="A726" s="238"/>
      <c r="B726" s="238"/>
      <c r="C726" s="238"/>
      <c r="D726" s="238"/>
      <c r="E726" s="238"/>
      <c r="F726" s="238"/>
      <c r="G726" s="238"/>
      <c r="H726" s="238"/>
      <c r="I726" s="238"/>
      <c r="J726" s="238"/>
      <c r="K726" s="238"/>
      <c r="L726" s="238"/>
      <c r="M726" s="238"/>
      <c r="N726" s="238"/>
      <c r="O726" s="238"/>
      <c r="P726" s="238"/>
      <c r="Q726" s="238"/>
      <c r="R726" s="238"/>
      <c r="S726" s="238"/>
      <c r="T726" s="238"/>
      <c r="U726" s="238"/>
      <c r="V726" s="238"/>
      <c r="W726" s="238"/>
    </row>
    <row r="727" spans="1:23" ht="12.75">
      <c r="A727" s="238"/>
      <c r="B727" s="238"/>
      <c r="C727" s="238"/>
      <c r="D727" s="238"/>
      <c r="E727" s="238"/>
      <c r="F727" s="238"/>
      <c r="G727" s="238"/>
      <c r="H727" s="238"/>
      <c r="I727" s="238"/>
      <c r="J727" s="238"/>
      <c r="K727" s="238"/>
      <c r="L727" s="238"/>
      <c r="M727" s="238"/>
      <c r="N727" s="238"/>
      <c r="O727" s="238"/>
      <c r="P727" s="238"/>
      <c r="Q727" s="238"/>
      <c r="R727" s="238"/>
      <c r="S727" s="238"/>
      <c r="T727" s="238"/>
      <c r="U727" s="238"/>
      <c r="V727" s="238"/>
      <c r="W727" s="238"/>
    </row>
    <row r="728" spans="1:23" ht="12.75">
      <c r="A728" s="238"/>
      <c r="B728" s="238"/>
      <c r="C728" s="238"/>
      <c r="D728" s="238"/>
      <c r="E728" s="238"/>
      <c r="F728" s="238"/>
      <c r="G728" s="238"/>
      <c r="H728" s="238"/>
      <c r="I728" s="238"/>
      <c r="J728" s="238"/>
      <c r="K728" s="238"/>
      <c r="L728" s="238"/>
      <c r="M728" s="238"/>
      <c r="N728" s="238"/>
      <c r="O728" s="238"/>
      <c r="P728" s="238"/>
      <c r="Q728" s="238"/>
      <c r="R728" s="238"/>
      <c r="S728" s="238"/>
      <c r="T728" s="238"/>
      <c r="U728" s="238"/>
      <c r="V728" s="238"/>
      <c r="W728" s="238"/>
    </row>
    <row r="729" spans="1:23" ht="12.75">
      <c r="A729" s="238"/>
      <c r="B729" s="238"/>
      <c r="C729" s="238"/>
      <c r="D729" s="238"/>
      <c r="E729" s="238"/>
      <c r="F729" s="238"/>
      <c r="G729" s="238"/>
      <c r="H729" s="238"/>
      <c r="I729" s="238"/>
      <c r="J729" s="238"/>
      <c r="K729" s="238"/>
      <c r="L729" s="238"/>
      <c r="M729" s="238"/>
      <c r="N729" s="238"/>
      <c r="O729" s="238"/>
      <c r="P729" s="238"/>
      <c r="Q729" s="238"/>
      <c r="R729" s="238"/>
      <c r="S729" s="238"/>
      <c r="T729" s="238"/>
      <c r="U729" s="238"/>
      <c r="V729" s="238"/>
      <c r="W729" s="238"/>
    </row>
    <row r="730" spans="1:23" ht="12.75">
      <c r="A730" s="238"/>
      <c r="B730" s="238"/>
      <c r="C730" s="238"/>
      <c r="D730" s="238"/>
      <c r="E730" s="238"/>
      <c r="F730" s="238"/>
      <c r="G730" s="238"/>
      <c r="H730" s="238"/>
      <c r="I730" s="238"/>
      <c r="J730" s="238"/>
      <c r="K730" s="238"/>
      <c r="L730" s="238"/>
      <c r="M730" s="238"/>
      <c r="N730" s="238"/>
      <c r="O730" s="238"/>
      <c r="P730" s="238"/>
      <c r="Q730" s="238"/>
      <c r="R730" s="238"/>
      <c r="S730" s="238"/>
      <c r="T730" s="238"/>
      <c r="U730" s="238"/>
      <c r="V730" s="238"/>
      <c r="W730" s="238"/>
    </row>
    <row r="731" spans="1:23" ht="12.75">
      <c r="A731" s="238"/>
      <c r="B731" s="238"/>
      <c r="C731" s="238"/>
      <c r="D731" s="238"/>
      <c r="E731" s="238"/>
      <c r="F731" s="238"/>
      <c r="G731" s="238"/>
      <c r="H731" s="238"/>
      <c r="I731" s="238"/>
      <c r="J731" s="238"/>
      <c r="K731" s="238"/>
      <c r="L731" s="238"/>
      <c r="M731" s="238"/>
      <c r="N731" s="238"/>
      <c r="O731" s="238"/>
      <c r="P731" s="238"/>
      <c r="Q731" s="238"/>
      <c r="R731" s="238"/>
      <c r="S731" s="238"/>
      <c r="T731" s="238"/>
      <c r="U731" s="238"/>
      <c r="V731" s="238"/>
      <c r="W731" s="238"/>
    </row>
    <row r="732" spans="1:23" ht="12.75">
      <c r="A732" s="238"/>
      <c r="B732" s="238"/>
      <c r="C732" s="238"/>
      <c r="D732" s="238"/>
      <c r="E732" s="238"/>
      <c r="F732" s="238"/>
      <c r="G732" s="238"/>
      <c r="H732" s="238"/>
      <c r="I732" s="238"/>
      <c r="J732" s="238"/>
      <c r="K732" s="238"/>
      <c r="L732" s="238"/>
      <c r="M732" s="238"/>
      <c r="N732" s="238"/>
      <c r="O732" s="238"/>
      <c r="P732" s="238"/>
      <c r="Q732" s="238"/>
      <c r="R732" s="238"/>
      <c r="S732" s="238"/>
      <c r="T732" s="238"/>
      <c r="U732" s="238"/>
      <c r="V732" s="238"/>
      <c r="W732" s="238"/>
    </row>
    <row r="733" spans="1:23" ht="12.75">
      <c r="A733" s="238"/>
      <c r="B733" s="238"/>
      <c r="C733" s="238"/>
      <c r="D733" s="238"/>
      <c r="E733" s="238"/>
      <c r="F733" s="238"/>
      <c r="G733" s="238"/>
      <c r="H733" s="238"/>
      <c r="I733" s="238"/>
      <c r="J733" s="238"/>
      <c r="K733" s="238"/>
      <c r="L733" s="238"/>
      <c r="M733" s="238"/>
      <c r="N733" s="238"/>
      <c r="O733" s="238"/>
      <c r="P733" s="238"/>
      <c r="Q733" s="238"/>
      <c r="R733" s="238"/>
      <c r="S733" s="238"/>
      <c r="T733" s="238"/>
      <c r="U733" s="238"/>
      <c r="V733" s="238"/>
      <c r="W733" s="238"/>
    </row>
    <row r="734" spans="1:23" ht="12.75">
      <c r="A734" s="238"/>
      <c r="B734" s="238"/>
      <c r="C734" s="238"/>
      <c r="D734" s="238"/>
      <c r="E734" s="238"/>
      <c r="F734" s="238"/>
      <c r="G734" s="238"/>
      <c r="H734" s="238"/>
      <c r="I734" s="238"/>
      <c r="J734" s="238"/>
      <c r="K734" s="238"/>
      <c r="L734" s="238"/>
      <c r="M734" s="238"/>
      <c r="N734" s="238"/>
      <c r="O734" s="238"/>
      <c r="P734" s="238"/>
      <c r="Q734" s="238"/>
      <c r="R734" s="238"/>
      <c r="S734" s="238"/>
      <c r="T734" s="238"/>
      <c r="U734" s="238"/>
      <c r="V734" s="238"/>
      <c r="W734" s="238"/>
    </row>
    <row r="735" spans="1:23" ht="12.75">
      <c r="A735" s="238"/>
      <c r="B735" s="238"/>
      <c r="C735" s="238"/>
      <c r="D735" s="238"/>
      <c r="E735" s="238"/>
      <c r="F735" s="238"/>
      <c r="G735" s="238"/>
      <c r="H735" s="238"/>
      <c r="I735" s="238"/>
      <c r="J735" s="238"/>
      <c r="K735" s="238"/>
      <c r="L735" s="238"/>
      <c r="M735" s="238"/>
      <c r="N735" s="238"/>
      <c r="O735" s="238"/>
      <c r="P735" s="238"/>
      <c r="Q735" s="238"/>
      <c r="R735" s="238"/>
      <c r="S735" s="238"/>
      <c r="T735" s="238"/>
      <c r="U735" s="238"/>
      <c r="V735" s="238"/>
      <c r="W735" s="238"/>
    </row>
    <row r="736" spans="1:23" ht="12.75">
      <c r="A736" s="238"/>
      <c r="B736" s="238"/>
      <c r="C736" s="238"/>
      <c r="D736" s="238"/>
      <c r="E736" s="238"/>
      <c r="F736" s="238"/>
      <c r="G736" s="238"/>
      <c r="H736" s="238"/>
      <c r="I736" s="238"/>
      <c r="J736" s="238"/>
      <c r="K736" s="238"/>
      <c r="L736" s="238"/>
      <c r="M736" s="238"/>
      <c r="N736" s="238"/>
      <c r="O736" s="238"/>
      <c r="P736" s="238"/>
      <c r="Q736" s="238"/>
      <c r="R736" s="238"/>
      <c r="S736" s="238"/>
      <c r="T736" s="238"/>
      <c r="U736" s="238"/>
      <c r="V736" s="238"/>
      <c r="W736" s="238"/>
    </row>
    <row r="737" spans="1:23" ht="12.75">
      <c r="A737" s="238"/>
      <c r="B737" s="238"/>
      <c r="C737" s="238"/>
      <c r="D737" s="238"/>
      <c r="E737" s="238"/>
      <c r="F737" s="238"/>
      <c r="G737" s="238"/>
      <c r="H737" s="238"/>
      <c r="I737" s="238"/>
      <c r="J737" s="238"/>
      <c r="K737" s="238"/>
      <c r="L737" s="238"/>
      <c r="M737" s="238"/>
      <c r="N737" s="238"/>
      <c r="O737" s="238"/>
      <c r="P737" s="238"/>
      <c r="Q737" s="238"/>
      <c r="R737" s="238"/>
      <c r="S737" s="238"/>
      <c r="T737" s="238"/>
      <c r="U737" s="238"/>
      <c r="V737" s="238"/>
      <c r="W737" s="238"/>
    </row>
    <row r="738" spans="1:23" ht="12.75">
      <c r="A738" s="238"/>
      <c r="B738" s="238"/>
      <c r="C738" s="238"/>
      <c r="D738" s="238"/>
      <c r="E738" s="238"/>
      <c r="F738" s="238"/>
      <c r="G738" s="238"/>
      <c r="H738" s="238"/>
      <c r="I738" s="238"/>
      <c r="J738" s="238"/>
      <c r="K738" s="238"/>
      <c r="L738" s="238"/>
      <c r="M738" s="238"/>
      <c r="N738" s="238"/>
      <c r="O738" s="238"/>
      <c r="P738" s="238"/>
      <c r="Q738" s="238"/>
      <c r="R738" s="238"/>
      <c r="S738" s="238"/>
      <c r="T738" s="238"/>
      <c r="U738" s="238"/>
      <c r="V738" s="238"/>
      <c r="W738" s="238"/>
    </row>
    <row r="739" spans="1:23" ht="12.75">
      <c r="A739" s="238"/>
      <c r="B739" s="238"/>
      <c r="C739" s="238"/>
      <c r="D739" s="238"/>
      <c r="E739" s="238"/>
      <c r="F739" s="238"/>
      <c r="G739" s="238"/>
      <c r="H739" s="238"/>
      <c r="I739" s="238"/>
      <c r="J739" s="238"/>
      <c r="K739" s="238"/>
      <c r="L739" s="238"/>
      <c r="M739" s="238"/>
      <c r="N739" s="238"/>
      <c r="O739" s="238"/>
      <c r="P739" s="238"/>
      <c r="Q739" s="238"/>
      <c r="R739" s="238"/>
      <c r="S739" s="238"/>
      <c r="T739" s="238"/>
      <c r="U739" s="238"/>
      <c r="V739" s="238"/>
      <c r="W739" s="238"/>
    </row>
    <row r="740" spans="1:23" ht="12.75">
      <c r="A740" s="238"/>
      <c r="B740" s="238"/>
      <c r="C740" s="238"/>
      <c r="D740" s="238"/>
      <c r="E740" s="238"/>
      <c r="F740" s="238"/>
      <c r="G740" s="238"/>
      <c r="H740" s="238"/>
      <c r="I740" s="238"/>
      <c r="J740" s="238"/>
      <c r="K740" s="238"/>
      <c r="L740" s="238"/>
      <c r="M740" s="238"/>
      <c r="N740" s="238"/>
      <c r="O740" s="238"/>
      <c r="P740" s="238"/>
      <c r="Q740" s="238"/>
      <c r="R740" s="238"/>
      <c r="S740" s="238"/>
      <c r="T740" s="238"/>
      <c r="U740" s="238"/>
      <c r="V740" s="238"/>
      <c r="W740" s="238"/>
    </row>
    <row r="741" spans="1:23" ht="12.75">
      <c r="A741" s="238"/>
      <c r="B741" s="238"/>
      <c r="C741" s="238"/>
      <c r="D741" s="238"/>
      <c r="E741" s="238"/>
      <c r="F741" s="238"/>
      <c r="G741" s="238"/>
      <c r="H741" s="238"/>
      <c r="I741" s="238"/>
      <c r="J741" s="238"/>
      <c r="K741" s="238"/>
      <c r="L741" s="238"/>
      <c r="M741" s="238"/>
      <c r="N741" s="238"/>
      <c r="O741" s="238"/>
      <c r="P741" s="238"/>
      <c r="Q741" s="238"/>
      <c r="R741" s="238"/>
      <c r="S741" s="238"/>
      <c r="T741" s="238"/>
      <c r="U741" s="238"/>
      <c r="V741" s="238"/>
      <c r="W741" s="238"/>
    </row>
    <row r="742" spans="1:23" ht="12.75">
      <c r="A742" s="238"/>
      <c r="B742" s="238"/>
      <c r="C742" s="238"/>
      <c r="D742" s="238"/>
      <c r="E742" s="238"/>
      <c r="F742" s="238"/>
      <c r="G742" s="238"/>
      <c r="H742" s="238"/>
      <c r="I742" s="238"/>
      <c r="J742" s="238"/>
      <c r="K742" s="238"/>
      <c r="L742" s="238"/>
      <c r="M742" s="238"/>
      <c r="N742" s="238"/>
      <c r="O742" s="238"/>
      <c r="P742" s="238"/>
      <c r="Q742" s="238"/>
      <c r="R742" s="238"/>
      <c r="S742" s="238"/>
      <c r="T742" s="238"/>
      <c r="U742" s="238"/>
      <c r="V742" s="238"/>
      <c r="W742" s="238"/>
    </row>
    <row r="743" spans="1:23" ht="12.75">
      <c r="A743" s="238"/>
      <c r="B743" s="238"/>
      <c r="C743" s="238"/>
      <c r="D743" s="238"/>
      <c r="E743" s="238"/>
      <c r="F743" s="238"/>
      <c r="G743" s="238"/>
      <c r="H743" s="238"/>
      <c r="I743" s="238"/>
      <c r="J743" s="238"/>
      <c r="K743" s="238"/>
      <c r="L743" s="238"/>
      <c r="M743" s="238"/>
      <c r="N743" s="238"/>
      <c r="O743" s="238"/>
      <c r="P743" s="238"/>
      <c r="Q743" s="238"/>
      <c r="R743" s="238"/>
      <c r="S743" s="238"/>
      <c r="T743" s="238"/>
      <c r="U743" s="238"/>
      <c r="V743" s="238"/>
      <c r="W743" s="238"/>
    </row>
    <row r="744" spans="1:23" ht="12.75">
      <c r="A744" s="238"/>
      <c r="B744" s="238"/>
      <c r="C744" s="238"/>
      <c r="D744" s="238"/>
      <c r="E744" s="238"/>
      <c r="F744" s="238"/>
      <c r="G744" s="238"/>
      <c r="H744" s="238"/>
      <c r="I744" s="238"/>
      <c r="J744" s="238"/>
      <c r="K744" s="238"/>
      <c r="L744" s="238"/>
      <c r="M744" s="238"/>
      <c r="N744" s="238"/>
      <c r="O744" s="238"/>
      <c r="P744" s="238"/>
      <c r="Q744" s="238"/>
      <c r="R744" s="238"/>
      <c r="S744" s="238"/>
      <c r="T744" s="238"/>
      <c r="U744" s="238"/>
      <c r="V744" s="238"/>
      <c r="W744" s="238"/>
    </row>
    <row r="745" spans="1:23" ht="12.75">
      <c r="A745" s="238"/>
      <c r="B745" s="238"/>
      <c r="C745" s="238"/>
      <c r="D745" s="238"/>
      <c r="E745" s="238"/>
      <c r="F745" s="238"/>
      <c r="G745" s="238"/>
      <c r="H745" s="238"/>
      <c r="I745" s="238"/>
      <c r="J745" s="238"/>
      <c r="K745" s="238"/>
      <c r="L745" s="238"/>
      <c r="M745" s="238"/>
      <c r="N745" s="238"/>
      <c r="O745" s="238"/>
      <c r="P745" s="238"/>
      <c r="Q745" s="238"/>
      <c r="R745" s="238"/>
      <c r="S745" s="238"/>
      <c r="T745" s="238"/>
      <c r="U745" s="238"/>
      <c r="V745" s="238"/>
      <c r="W745" s="238"/>
    </row>
    <row r="746" spans="1:23" ht="12.75">
      <c r="A746" s="238"/>
      <c r="B746" s="238"/>
      <c r="C746" s="238"/>
      <c r="D746" s="238"/>
      <c r="E746" s="238"/>
      <c r="F746" s="238"/>
      <c r="G746" s="238"/>
      <c r="H746" s="238"/>
      <c r="I746" s="238"/>
      <c r="J746" s="238"/>
      <c r="K746" s="238"/>
      <c r="L746" s="238"/>
      <c r="M746" s="238"/>
      <c r="N746" s="238"/>
      <c r="O746" s="238"/>
      <c r="P746" s="238"/>
      <c r="Q746" s="238"/>
      <c r="R746" s="238"/>
      <c r="S746" s="238"/>
      <c r="T746" s="238"/>
      <c r="U746" s="238"/>
      <c r="V746" s="238"/>
      <c r="W746" s="238"/>
    </row>
    <row r="747" spans="1:23" ht="12.75">
      <c r="A747" s="238"/>
      <c r="B747" s="238"/>
      <c r="C747" s="238"/>
      <c r="D747" s="238"/>
      <c r="E747" s="238"/>
      <c r="F747" s="238"/>
      <c r="G747" s="238"/>
      <c r="H747" s="238"/>
      <c r="I747" s="238"/>
      <c r="J747" s="238"/>
      <c r="K747" s="238"/>
      <c r="L747" s="238"/>
      <c r="M747" s="238"/>
      <c r="N747" s="238"/>
      <c r="O747" s="238"/>
      <c r="P747" s="238"/>
      <c r="Q747" s="238"/>
      <c r="R747" s="238"/>
      <c r="S747" s="238"/>
      <c r="T747" s="238"/>
      <c r="U747" s="238"/>
      <c r="V747" s="238"/>
      <c r="W747" s="238"/>
    </row>
    <row r="748" spans="1:23" ht="12.75">
      <c r="A748" s="238"/>
      <c r="B748" s="238"/>
      <c r="C748" s="238"/>
      <c r="D748" s="238"/>
      <c r="E748" s="238"/>
      <c r="F748" s="238"/>
      <c r="G748" s="238"/>
      <c r="H748" s="238"/>
      <c r="I748" s="238"/>
      <c r="J748" s="238"/>
      <c r="K748" s="238"/>
      <c r="L748" s="238"/>
      <c r="M748" s="238"/>
      <c r="N748" s="238"/>
      <c r="O748" s="238"/>
      <c r="P748" s="238"/>
      <c r="Q748" s="238"/>
      <c r="R748" s="238"/>
      <c r="S748" s="238"/>
      <c r="T748" s="238"/>
      <c r="U748" s="238"/>
      <c r="V748" s="238"/>
      <c r="W748" s="238"/>
    </row>
    <row r="749" spans="1:23" ht="12.75">
      <c r="A749" s="238"/>
      <c r="B749" s="238"/>
      <c r="C749" s="238"/>
      <c r="D749" s="238"/>
      <c r="E749" s="238"/>
      <c r="F749" s="238"/>
      <c r="G749" s="238"/>
      <c r="H749" s="238"/>
      <c r="I749" s="238"/>
      <c r="J749" s="238"/>
      <c r="K749" s="238"/>
      <c r="L749" s="238"/>
      <c r="M749" s="238"/>
      <c r="N749" s="238"/>
      <c r="O749" s="238"/>
      <c r="P749" s="238"/>
      <c r="Q749" s="238"/>
      <c r="R749" s="238"/>
      <c r="S749" s="238"/>
      <c r="T749" s="238"/>
      <c r="U749" s="238"/>
      <c r="V749" s="238"/>
      <c r="W749" s="238"/>
    </row>
    <row r="750" spans="1:23" ht="12.75">
      <c r="A750" s="238"/>
      <c r="B750" s="238"/>
      <c r="C750" s="238"/>
      <c r="D750" s="238"/>
      <c r="E750" s="238"/>
      <c r="F750" s="238"/>
      <c r="G750" s="238"/>
      <c r="H750" s="238"/>
      <c r="I750" s="238"/>
      <c r="J750" s="238"/>
      <c r="K750" s="238"/>
      <c r="L750" s="238"/>
      <c r="M750" s="238"/>
      <c r="N750" s="238"/>
      <c r="O750" s="238"/>
      <c r="P750" s="238"/>
      <c r="Q750" s="238"/>
      <c r="R750" s="238"/>
      <c r="S750" s="238"/>
      <c r="T750" s="238"/>
      <c r="U750" s="238"/>
      <c r="V750" s="238"/>
      <c r="W750" s="238"/>
    </row>
    <row r="751" spans="1:23" ht="12.75">
      <c r="A751" s="238"/>
      <c r="B751" s="238"/>
      <c r="C751" s="238"/>
      <c r="D751" s="238"/>
      <c r="E751" s="238"/>
      <c r="F751" s="238"/>
      <c r="G751" s="238"/>
      <c r="H751" s="238"/>
      <c r="I751" s="238"/>
      <c r="J751" s="238"/>
      <c r="K751" s="238"/>
      <c r="L751" s="238"/>
      <c r="M751" s="238"/>
      <c r="N751" s="238"/>
      <c r="O751" s="238"/>
      <c r="P751" s="238"/>
      <c r="Q751" s="238"/>
      <c r="R751" s="238"/>
      <c r="S751" s="238"/>
      <c r="T751" s="238"/>
      <c r="U751" s="238"/>
      <c r="V751" s="238"/>
      <c r="W751" s="238"/>
    </row>
    <row r="752" spans="1:23" ht="12.75">
      <c r="A752" s="238"/>
      <c r="B752" s="238"/>
      <c r="C752" s="238"/>
      <c r="D752" s="238"/>
      <c r="E752" s="238"/>
      <c r="F752" s="238"/>
      <c r="G752" s="238"/>
      <c r="H752" s="238"/>
      <c r="I752" s="238"/>
      <c r="J752" s="238"/>
      <c r="K752" s="238"/>
      <c r="L752" s="238"/>
      <c r="M752" s="238"/>
      <c r="N752" s="238"/>
      <c r="O752" s="238"/>
      <c r="P752" s="238"/>
      <c r="Q752" s="238"/>
      <c r="R752" s="238"/>
      <c r="S752" s="238"/>
      <c r="T752" s="238"/>
      <c r="U752" s="238"/>
      <c r="V752" s="238"/>
      <c r="W752" s="238"/>
    </row>
    <row r="753" spans="1:23" ht="12.75">
      <c r="A753" s="238"/>
      <c r="B753" s="238"/>
      <c r="C753" s="238"/>
      <c r="D753" s="238"/>
      <c r="E753" s="238"/>
      <c r="F753" s="238"/>
      <c r="G753" s="238"/>
      <c r="H753" s="238"/>
      <c r="I753" s="238"/>
      <c r="J753" s="238"/>
      <c r="K753" s="238"/>
      <c r="L753" s="238"/>
      <c r="M753" s="238"/>
      <c r="N753" s="238"/>
      <c r="O753" s="238"/>
      <c r="P753" s="238"/>
      <c r="Q753" s="238"/>
      <c r="R753" s="238"/>
      <c r="S753" s="238"/>
      <c r="T753" s="238"/>
      <c r="U753" s="238"/>
      <c r="V753" s="238"/>
      <c r="W753" s="238"/>
    </row>
    <row r="754" spans="1:23" ht="12.75">
      <c r="A754" s="238"/>
      <c r="B754" s="238"/>
      <c r="C754" s="238"/>
      <c r="D754" s="238"/>
      <c r="E754" s="238"/>
      <c r="F754" s="238"/>
      <c r="G754" s="238"/>
      <c r="H754" s="238"/>
      <c r="I754" s="238"/>
      <c r="J754" s="238"/>
      <c r="K754" s="238"/>
      <c r="L754" s="238"/>
      <c r="M754" s="238"/>
      <c r="N754" s="238"/>
      <c r="O754" s="238"/>
      <c r="P754" s="238"/>
      <c r="Q754" s="238"/>
      <c r="R754" s="238"/>
      <c r="S754" s="238"/>
      <c r="T754" s="238"/>
      <c r="U754" s="238"/>
      <c r="V754" s="238"/>
      <c r="W754" s="238"/>
    </row>
    <row r="755" spans="1:23" ht="12.75">
      <c r="A755" s="238"/>
      <c r="B755" s="238"/>
      <c r="C755" s="238"/>
      <c r="D755" s="238"/>
      <c r="E755" s="238"/>
      <c r="F755" s="238"/>
      <c r="G755" s="238"/>
      <c r="H755" s="238"/>
      <c r="I755" s="238"/>
      <c r="J755" s="238"/>
      <c r="K755" s="238"/>
      <c r="L755" s="238"/>
      <c r="M755" s="238"/>
      <c r="N755" s="238"/>
      <c r="O755" s="238"/>
      <c r="P755" s="238"/>
      <c r="Q755" s="238"/>
      <c r="R755" s="238"/>
      <c r="S755" s="238"/>
      <c r="T755" s="238"/>
      <c r="U755" s="238"/>
      <c r="V755" s="238"/>
      <c r="W755" s="238"/>
    </row>
    <row r="756" spans="1:23" ht="12.75">
      <c r="A756" s="238"/>
      <c r="B756" s="238"/>
      <c r="C756" s="238"/>
      <c r="D756" s="238"/>
      <c r="E756" s="238"/>
      <c r="F756" s="238"/>
      <c r="G756" s="238"/>
      <c r="H756" s="238"/>
      <c r="I756" s="238"/>
      <c r="J756" s="238"/>
      <c r="K756" s="238"/>
      <c r="L756" s="238"/>
      <c r="M756" s="238"/>
      <c r="N756" s="238"/>
      <c r="O756" s="238"/>
      <c r="P756" s="238"/>
      <c r="Q756" s="238"/>
      <c r="R756" s="238"/>
      <c r="S756" s="238"/>
      <c r="T756" s="238"/>
      <c r="U756" s="238"/>
      <c r="V756" s="238"/>
      <c r="W756" s="238"/>
    </row>
    <row r="757" spans="1:23" ht="12.75">
      <c r="A757" s="238"/>
      <c r="B757" s="238"/>
      <c r="C757" s="238"/>
      <c r="D757" s="238"/>
      <c r="E757" s="238"/>
      <c r="F757" s="238"/>
      <c r="G757" s="238"/>
      <c r="H757" s="238"/>
      <c r="I757" s="238"/>
      <c r="J757" s="238"/>
      <c r="K757" s="238"/>
      <c r="L757" s="238"/>
      <c r="M757" s="238"/>
      <c r="N757" s="238"/>
      <c r="O757" s="238"/>
      <c r="P757" s="238"/>
      <c r="Q757" s="238"/>
      <c r="R757" s="238"/>
      <c r="S757" s="238"/>
      <c r="T757" s="238"/>
      <c r="U757" s="238"/>
      <c r="V757" s="238"/>
      <c r="W757" s="238"/>
    </row>
    <row r="758" spans="1:23" ht="12.75">
      <c r="A758" s="238"/>
      <c r="B758" s="238"/>
      <c r="C758" s="238"/>
      <c r="D758" s="238"/>
      <c r="E758" s="238"/>
      <c r="F758" s="238"/>
      <c r="G758" s="238"/>
      <c r="H758" s="238"/>
      <c r="I758" s="238"/>
      <c r="J758" s="238"/>
      <c r="K758" s="238"/>
      <c r="L758" s="238"/>
      <c r="M758" s="238"/>
      <c r="N758" s="238"/>
      <c r="O758" s="238"/>
      <c r="P758" s="238"/>
      <c r="Q758" s="238"/>
      <c r="R758" s="238"/>
      <c r="S758" s="238"/>
      <c r="T758" s="238"/>
      <c r="U758" s="238"/>
      <c r="V758" s="238"/>
      <c r="W758" s="238"/>
    </row>
    <row r="759" spans="1:23" ht="12.75">
      <c r="A759" s="238"/>
      <c r="B759" s="238"/>
      <c r="C759" s="238"/>
      <c r="D759" s="238"/>
      <c r="E759" s="238"/>
      <c r="F759" s="238"/>
      <c r="G759" s="238"/>
      <c r="H759" s="238"/>
      <c r="I759" s="238"/>
      <c r="J759" s="238"/>
      <c r="K759" s="238"/>
      <c r="L759" s="238"/>
      <c r="M759" s="238"/>
      <c r="N759" s="238"/>
      <c r="O759" s="238"/>
      <c r="P759" s="238"/>
      <c r="Q759" s="238"/>
      <c r="R759" s="238"/>
      <c r="S759" s="238"/>
      <c r="T759" s="238"/>
      <c r="U759" s="238"/>
      <c r="V759" s="238"/>
      <c r="W759" s="238"/>
    </row>
    <row r="760" spans="1:23" ht="12.75">
      <c r="A760" s="238"/>
      <c r="B760" s="238"/>
      <c r="C760" s="238"/>
      <c r="D760" s="238"/>
      <c r="E760" s="238"/>
      <c r="F760" s="238"/>
      <c r="G760" s="238"/>
      <c r="H760" s="238"/>
      <c r="I760" s="238"/>
      <c r="J760" s="238"/>
      <c r="K760" s="238"/>
      <c r="L760" s="238"/>
      <c r="M760" s="238"/>
      <c r="N760" s="238"/>
      <c r="O760" s="238"/>
      <c r="P760" s="238"/>
      <c r="Q760" s="238"/>
      <c r="R760" s="238"/>
      <c r="S760" s="238"/>
      <c r="T760" s="238"/>
      <c r="U760" s="238"/>
      <c r="V760" s="238"/>
      <c r="W760" s="238"/>
    </row>
    <row r="761" spans="1:23" ht="12.75">
      <c r="A761" s="238"/>
      <c r="B761" s="238"/>
      <c r="C761" s="238"/>
      <c r="D761" s="238"/>
      <c r="E761" s="238"/>
      <c r="F761" s="238"/>
      <c r="G761" s="238"/>
      <c r="H761" s="238"/>
      <c r="I761" s="238"/>
      <c r="J761" s="238"/>
      <c r="K761" s="238"/>
      <c r="L761" s="238"/>
      <c r="M761" s="238"/>
      <c r="N761" s="238"/>
      <c r="O761" s="238"/>
      <c r="P761" s="238"/>
      <c r="Q761" s="238"/>
      <c r="R761" s="238"/>
      <c r="S761" s="238"/>
      <c r="T761" s="238"/>
      <c r="U761" s="238"/>
      <c r="V761" s="238"/>
      <c r="W761" s="238"/>
    </row>
    <row r="762" spans="1:23" ht="12.75">
      <c r="A762" s="238"/>
      <c r="B762" s="238"/>
      <c r="C762" s="238"/>
      <c r="D762" s="238"/>
      <c r="E762" s="238"/>
      <c r="F762" s="238"/>
      <c r="G762" s="238"/>
      <c r="H762" s="238"/>
      <c r="I762" s="238"/>
      <c r="J762" s="238"/>
      <c r="K762" s="238"/>
      <c r="L762" s="238"/>
      <c r="M762" s="238"/>
      <c r="N762" s="238"/>
      <c r="O762" s="238"/>
      <c r="P762" s="238"/>
      <c r="Q762" s="238"/>
      <c r="R762" s="238"/>
      <c r="S762" s="238"/>
      <c r="T762" s="238"/>
      <c r="U762" s="238"/>
      <c r="V762" s="238"/>
      <c r="W762" s="238"/>
    </row>
    <row r="763" spans="1:23" ht="12.75">
      <c r="A763" s="238"/>
      <c r="B763" s="238"/>
      <c r="C763" s="238"/>
      <c r="D763" s="238"/>
      <c r="E763" s="238"/>
      <c r="F763" s="238"/>
      <c r="G763" s="238"/>
      <c r="H763" s="238"/>
      <c r="I763" s="238"/>
      <c r="J763" s="238"/>
      <c r="K763" s="238"/>
      <c r="L763" s="238"/>
      <c r="M763" s="238"/>
      <c r="N763" s="238"/>
      <c r="O763" s="238"/>
      <c r="P763" s="238"/>
      <c r="Q763" s="238"/>
      <c r="R763" s="238"/>
      <c r="S763" s="238"/>
      <c r="T763" s="238"/>
      <c r="U763" s="238"/>
      <c r="V763" s="238"/>
      <c r="W763" s="238"/>
    </row>
    <row r="764" spans="1:23" ht="12.75">
      <c r="A764" s="238"/>
      <c r="B764" s="238"/>
      <c r="C764" s="238"/>
      <c r="D764" s="238"/>
      <c r="E764" s="238"/>
      <c r="F764" s="238"/>
      <c r="G764" s="238"/>
      <c r="H764" s="238"/>
      <c r="I764" s="238"/>
      <c r="J764" s="238"/>
      <c r="K764" s="238"/>
      <c r="L764" s="238"/>
      <c r="M764" s="238"/>
      <c r="N764" s="238"/>
      <c r="O764" s="238"/>
      <c r="P764" s="238"/>
      <c r="Q764" s="238"/>
      <c r="R764" s="238"/>
      <c r="S764" s="238"/>
      <c r="T764" s="238"/>
      <c r="U764" s="238"/>
      <c r="V764" s="238"/>
      <c r="W764" s="238"/>
    </row>
    <row r="765" spans="1:23" ht="12.75">
      <c r="A765" s="238"/>
      <c r="B765" s="238"/>
      <c r="C765" s="238"/>
      <c r="D765" s="238"/>
      <c r="E765" s="238"/>
      <c r="F765" s="238"/>
      <c r="G765" s="238"/>
      <c r="H765" s="238"/>
      <c r="I765" s="238"/>
      <c r="J765" s="238"/>
      <c r="K765" s="238"/>
      <c r="L765" s="238"/>
      <c r="M765" s="238"/>
      <c r="N765" s="238"/>
      <c r="O765" s="238"/>
      <c r="P765" s="238"/>
      <c r="Q765" s="238"/>
      <c r="R765" s="238"/>
      <c r="S765" s="238"/>
      <c r="T765" s="238"/>
      <c r="U765" s="238"/>
      <c r="V765" s="238"/>
      <c r="W765" s="238"/>
    </row>
    <row r="766" spans="1:23" ht="12.75">
      <c r="A766" s="238"/>
      <c r="B766" s="238"/>
      <c r="C766" s="238"/>
      <c r="D766" s="238"/>
      <c r="E766" s="238"/>
      <c r="F766" s="238"/>
      <c r="G766" s="238"/>
      <c r="H766" s="238"/>
      <c r="I766" s="238"/>
      <c r="J766" s="238"/>
      <c r="K766" s="238"/>
      <c r="L766" s="238"/>
      <c r="M766" s="238"/>
      <c r="N766" s="238"/>
      <c r="O766" s="238"/>
      <c r="P766" s="238"/>
      <c r="Q766" s="238"/>
      <c r="R766" s="238"/>
      <c r="S766" s="238"/>
      <c r="T766" s="238"/>
      <c r="U766" s="238"/>
      <c r="V766" s="238"/>
      <c r="W766" s="238"/>
    </row>
    <row r="767" spans="1:23" ht="12.75">
      <c r="A767" s="238"/>
      <c r="B767" s="238"/>
      <c r="C767" s="238"/>
      <c r="D767" s="238"/>
      <c r="E767" s="238"/>
      <c r="F767" s="238"/>
      <c r="G767" s="238"/>
      <c r="H767" s="238"/>
      <c r="I767" s="238"/>
      <c r="J767" s="238"/>
      <c r="K767" s="238"/>
      <c r="L767" s="238"/>
      <c r="M767" s="238"/>
      <c r="N767" s="238"/>
      <c r="O767" s="238"/>
      <c r="P767" s="238"/>
      <c r="Q767" s="238"/>
      <c r="R767" s="238"/>
      <c r="S767" s="238"/>
      <c r="T767" s="238"/>
      <c r="U767" s="238"/>
      <c r="V767" s="238"/>
      <c r="W767" s="238"/>
    </row>
    <row r="768" spans="1:23" ht="12.75">
      <c r="A768" s="238"/>
      <c r="B768" s="238"/>
      <c r="C768" s="238"/>
      <c r="D768" s="238"/>
      <c r="E768" s="238"/>
      <c r="F768" s="238"/>
      <c r="G768" s="238"/>
      <c r="H768" s="238"/>
      <c r="I768" s="238"/>
      <c r="J768" s="238"/>
      <c r="K768" s="238"/>
      <c r="L768" s="238"/>
      <c r="M768" s="238"/>
      <c r="N768" s="238"/>
      <c r="O768" s="238"/>
      <c r="P768" s="238"/>
      <c r="Q768" s="238"/>
      <c r="R768" s="238"/>
      <c r="S768" s="238"/>
      <c r="T768" s="238"/>
      <c r="U768" s="238"/>
      <c r="V768" s="238"/>
      <c r="W768" s="238"/>
    </row>
    <row r="769" spans="1:23" ht="12.75">
      <c r="A769" s="238"/>
      <c r="B769" s="238"/>
      <c r="C769" s="238"/>
      <c r="D769" s="238"/>
      <c r="E769" s="238"/>
      <c r="F769" s="238"/>
      <c r="G769" s="238"/>
      <c r="H769" s="238"/>
      <c r="I769" s="238"/>
      <c r="J769" s="238"/>
      <c r="K769" s="238"/>
      <c r="L769" s="238"/>
      <c r="M769" s="238"/>
      <c r="N769" s="238"/>
      <c r="O769" s="238"/>
      <c r="P769" s="238"/>
      <c r="Q769" s="238"/>
      <c r="R769" s="238"/>
      <c r="S769" s="238"/>
      <c r="T769" s="238"/>
      <c r="U769" s="238"/>
      <c r="V769" s="238"/>
      <c r="W769" s="238"/>
    </row>
    <row r="770" spans="1:23" ht="12.75">
      <c r="A770" s="238"/>
      <c r="B770" s="238"/>
      <c r="C770" s="238"/>
      <c r="D770" s="238"/>
      <c r="E770" s="238"/>
      <c r="F770" s="238"/>
      <c r="G770" s="238"/>
      <c r="H770" s="238"/>
      <c r="I770" s="238"/>
      <c r="J770" s="238"/>
      <c r="K770" s="238"/>
      <c r="L770" s="238"/>
      <c r="M770" s="238"/>
      <c r="N770" s="238"/>
      <c r="O770" s="238"/>
      <c r="P770" s="238"/>
      <c r="Q770" s="238"/>
      <c r="R770" s="238"/>
      <c r="S770" s="238"/>
      <c r="T770" s="238"/>
      <c r="U770" s="238"/>
      <c r="V770" s="238"/>
      <c r="W770" s="238"/>
    </row>
    <row r="771" spans="1:23" ht="12.75">
      <c r="A771" s="238"/>
      <c r="B771" s="238"/>
      <c r="C771" s="238"/>
      <c r="D771" s="238"/>
      <c r="E771" s="238"/>
      <c r="F771" s="238"/>
      <c r="G771" s="238"/>
      <c r="H771" s="238"/>
      <c r="I771" s="238"/>
      <c r="J771" s="238"/>
      <c r="K771" s="238"/>
      <c r="L771" s="238"/>
      <c r="M771" s="238"/>
      <c r="N771" s="238"/>
      <c r="O771" s="238"/>
      <c r="P771" s="238"/>
      <c r="Q771" s="238"/>
      <c r="R771" s="238"/>
      <c r="S771" s="238"/>
      <c r="T771" s="238"/>
      <c r="U771" s="238"/>
      <c r="V771" s="238"/>
      <c r="W771" s="238"/>
    </row>
    <row r="772" spans="1:23" ht="12.75">
      <c r="A772" s="238"/>
      <c r="B772" s="238"/>
      <c r="C772" s="238"/>
      <c r="D772" s="238"/>
      <c r="E772" s="238"/>
      <c r="F772" s="238"/>
      <c r="G772" s="238"/>
      <c r="H772" s="238"/>
      <c r="I772" s="238"/>
      <c r="J772" s="238"/>
      <c r="K772" s="238"/>
      <c r="L772" s="238"/>
      <c r="M772" s="238"/>
      <c r="N772" s="238"/>
      <c r="O772" s="238"/>
      <c r="P772" s="238"/>
      <c r="Q772" s="238"/>
      <c r="R772" s="238"/>
      <c r="S772" s="238"/>
      <c r="T772" s="238"/>
      <c r="U772" s="238"/>
      <c r="V772" s="238"/>
      <c r="W772" s="238"/>
    </row>
    <row r="773" spans="1:23" ht="12.75">
      <c r="A773" s="238"/>
      <c r="B773" s="238"/>
      <c r="C773" s="238"/>
      <c r="D773" s="238"/>
      <c r="E773" s="238"/>
      <c r="F773" s="238"/>
      <c r="G773" s="238"/>
      <c r="H773" s="238"/>
      <c r="I773" s="238"/>
      <c r="J773" s="238"/>
      <c r="K773" s="238"/>
      <c r="L773" s="238"/>
      <c r="M773" s="238"/>
      <c r="N773" s="238"/>
      <c r="O773" s="238"/>
      <c r="P773" s="238"/>
      <c r="Q773" s="238"/>
      <c r="R773" s="238"/>
      <c r="S773" s="238"/>
      <c r="T773" s="238"/>
      <c r="U773" s="238"/>
      <c r="V773" s="238"/>
      <c r="W773" s="238"/>
    </row>
    <row r="774" spans="1:23" ht="12.75">
      <c r="A774" s="238"/>
      <c r="B774" s="238"/>
      <c r="C774" s="238"/>
      <c r="D774" s="238"/>
      <c r="E774" s="238"/>
      <c r="F774" s="238"/>
      <c r="G774" s="238"/>
      <c r="H774" s="238"/>
      <c r="I774" s="238"/>
      <c r="J774" s="238"/>
      <c r="K774" s="238"/>
      <c r="L774" s="238"/>
      <c r="M774" s="238"/>
      <c r="N774" s="238"/>
      <c r="O774" s="238"/>
      <c r="P774" s="238"/>
      <c r="Q774" s="238"/>
      <c r="R774" s="238"/>
      <c r="S774" s="238"/>
      <c r="T774" s="238"/>
      <c r="U774" s="238"/>
      <c r="V774" s="238"/>
      <c r="W774" s="238"/>
    </row>
    <row r="775" spans="1:23" ht="12.75">
      <c r="A775" s="238"/>
      <c r="B775" s="238"/>
      <c r="C775" s="238"/>
      <c r="D775" s="238"/>
      <c r="E775" s="238"/>
      <c r="F775" s="238"/>
      <c r="G775" s="238"/>
      <c r="H775" s="238"/>
      <c r="I775" s="238"/>
      <c r="J775" s="238"/>
      <c r="K775" s="238"/>
      <c r="L775" s="238"/>
      <c r="M775" s="238"/>
      <c r="N775" s="238"/>
      <c r="O775" s="238"/>
      <c r="P775" s="238"/>
      <c r="Q775" s="238"/>
      <c r="R775" s="238"/>
      <c r="S775" s="238"/>
      <c r="T775" s="238"/>
      <c r="U775" s="238"/>
      <c r="V775" s="238"/>
      <c r="W775" s="238"/>
    </row>
    <row r="776" spans="1:23" ht="12.75">
      <c r="A776" s="238"/>
      <c r="B776" s="238"/>
      <c r="C776" s="238"/>
      <c r="D776" s="238"/>
      <c r="E776" s="238"/>
      <c r="F776" s="238"/>
      <c r="G776" s="238"/>
      <c r="H776" s="238"/>
      <c r="I776" s="238"/>
      <c r="J776" s="238"/>
      <c r="K776" s="238"/>
      <c r="L776" s="238"/>
      <c r="M776" s="238"/>
      <c r="N776" s="238"/>
      <c r="O776" s="238"/>
      <c r="P776" s="238"/>
      <c r="Q776" s="238"/>
      <c r="R776" s="238"/>
      <c r="S776" s="238"/>
      <c r="T776" s="238"/>
      <c r="U776" s="238"/>
      <c r="V776" s="238"/>
      <c r="W776" s="238"/>
    </row>
    <row r="777" spans="1:23" ht="12.75">
      <c r="A777" s="238"/>
      <c r="B777" s="238"/>
      <c r="C777" s="238"/>
      <c r="D777" s="238"/>
      <c r="E777" s="238"/>
      <c r="F777" s="238"/>
      <c r="G777" s="238"/>
      <c r="H777" s="238"/>
      <c r="I777" s="238"/>
      <c r="J777" s="238"/>
      <c r="K777" s="238"/>
      <c r="L777" s="238"/>
      <c r="M777" s="238"/>
      <c r="N777" s="238"/>
      <c r="O777" s="238"/>
      <c r="P777" s="238"/>
      <c r="Q777" s="238"/>
      <c r="R777" s="238"/>
      <c r="S777" s="238"/>
      <c r="T777" s="238"/>
      <c r="U777" s="238"/>
      <c r="V777" s="238"/>
      <c r="W777" s="238"/>
    </row>
    <row r="778" spans="1:23" ht="12.75">
      <c r="A778" s="238"/>
      <c r="B778" s="238"/>
      <c r="C778" s="238"/>
      <c r="D778" s="238"/>
      <c r="E778" s="238"/>
      <c r="F778" s="238"/>
      <c r="G778" s="238"/>
      <c r="H778" s="238"/>
      <c r="I778" s="238"/>
      <c r="J778" s="238"/>
      <c r="K778" s="238"/>
      <c r="L778" s="238"/>
      <c r="M778" s="238"/>
      <c r="N778" s="238"/>
      <c r="O778" s="238"/>
      <c r="P778" s="238"/>
      <c r="Q778" s="238"/>
      <c r="R778" s="238"/>
      <c r="S778" s="238"/>
      <c r="T778" s="238"/>
      <c r="U778" s="238"/>
      <c r="V778" s="238"/>
      <c r="W778" s="238"/>
    </row>
    <row r="779" spans="1:23" ht="12.75">
      <c r="A779" s="238"/>
      <c r="B779" s="238"/>
      <c r="C779" s="238"/>
      <c r="D779" s="238"/>
      <c r="E779" s="238"/>
      <c r="F779" s="238"/>
      <c r="G779" s="238"/>
      <c r="H779" s="238"/>
      <c r="I779" s="238"/>
      <c r="J779" s="238"/>
      <c r="K779" s="238"/>
      <c r="L779" s="238"/>
      <c r="M779" s="238"/>
      <c r="N779" s="238"/>
      <c r="O779" s="238"/>
      <c r="P779" s="238"/>
      <c r="Q779" s="238"/>
      <c r="R779" s="238"/>
      <c r="S779" s="238"/>
      <c r="T779" s="238"/>
      <c r="U779" s="238"/>
      <c r="V779" s="238"/>
      <c r="W779" s="238"/>
    </row>
    <row r="780" spans="1:23" ht="12.75">
      <c r="A780" s="238"/>
      <c r="B780" s="238"/>
      <c r="C780" s="238"/>
      <c r="D780" s="238"/>
      <c r="E780" s="238"/>
      <c r="F780" s="238"/>
      <c r="G780" s="238"/>
      <c r="H780" s="238"/>
      <c r="I780" s="238"/>
      <c r="J780" s="238"/>
      <c r="K780" s="238"/>
      <c r="L780" s="238"/>
      <c r="M780" s="238"/>
      <c r="N780" s="238"/>
      <c r="O780" s="238"/>
      <c r="P780" s="238"/>
      <c r="Q780" s="238"/>
      <c r="R780" s="238"/>
      <c r="S780" s="238"/>
      <c r="T780" s="238"/>
      <c r="U780" s="238"/>
      <c r="V780" s="238"/>
      <c r="W780" s="238"/>
    </row>
    <row r="781" spans="1:23" ht="12.75">
      <c r="A781" s="238"/>
      <c r="B781" s="238"/>
      <c r="C781" s="238"/>
      <c r="D781" s="238"/>
      <c r="E781" s="238"/>
      <c r="F781" s="238"/>
      <c r="G781" s="238"/>
      <c r="H781" s="238"/>
      <c r="I781" s="238"/>
      <c r="J781" s="238"/>
      <c r="K781" s="238"/>
      <c r="L781" s="238"/>
      <c r="M781" s="238"/>
      <c r="N781" s="238"/>
      <c r="O781" s="238"/>
      <c r="P781" s="238"/>
      <c r="Q781" s="238"/>
      <c r="R781" s="238"/>
      <c r="S781" s="238"/>
      <c r="T781" s="238"/>
      <c r="U781" s="238"/>
      <c r="V781" s="238"/>
      <c r="W781" s="238"/>
    </row>
    <row r="782" spans="1:23" ht="12.75">
      <c r="A782" s="238"/>
      <c r="B782" s="238"/>
      <c r="C782" s="238"/>
      <c r="D782" s="238"/>
      <c r="E782" s="238"/>
      <c r="F782" s="238"/>
      <c r="G782" s="238"/>
      <c r="H782" s="238"/>
      <c r="I782" s="238"/>
      <c r="J782" s="238"/>
      <c r="K782" s="238"/>
      <c r="L782" s="238"/>
      <c r="M782" s="238"/>
      <c r="N782" s="238"/>
      <c r="O782" s="238"/>
      <c r="P782" s="238"/>
      <c r="Q782" s="238"/>
      <c r="R782" s="238"/>
      <c r="S782" s="238"/>
      <c r="T782" s="238"/>
      <c r="U782" s="238"/>
      <c r="V782" s="238"/>
      <c r="W782" s="238"/>
    </row>
    <row r="783" spans="1:23" ht="12.75">
      <c r="A783" s="238"/>
      <c r="B783" s="238"/>
      <c r="C783" s="238"/>
      <c r="D783" s="238"/>
      <c r="E783" s="238"/>
      <c r="F783" s="238"/>
      <c r="G783" s="238"/>
      <c r="H783" s="238"/>
      <c r="I783" s="238"/>
      <c r="J783" s="238"/>
      <c r="K783" s="238"/>
      <c r="L783" s="238"/>
      <c r="M783" s="238"/>
      <c r="N783" s="238"/>
      <c r="O783" s="238"/>
      <c r="P783" s="238"/>
      <c r="Q783" s="238"/>
      <c r="R783" s="238"/>
      <c r="S783" s="238"/>
      <c r="T783" s="238"/>
      <c r="U783" s="238"/>
      <c r="V783" s="238"/>
      <c r="W783" s="238"/>
    </row>
    <row r="784" spans="1:23" ht="12.75">
      <c r="A784" s="238"/>
      <c r="B784" s="238"/>
      <c r="C784" s="238"/>
      <c r="D784" s="238"/>
      <c r="E784" s="238"/>
      <c r="F784" s="238"/>
      <c r="G784" s="238"/>
      <c r="H784" s="238"/>
      <c r="I784" s="238"/>
      <c r="J784" s="238"/>
      <c r="K784" s="238"/>
      <c r="L784" s="238"/>
      <c r="M784" s="238"/>
      <c r="N784" s="238"/>
      <c r="O784" s="238"/>
      <c r="P784" s="238"/>
      <c r="Q784" s="238"/>
      <c r="R784" s="238"/>
      <c r="S784" s="238"/>
      <c r="T784" s="238"/>
      <c r="U784" s="238"/>
      <c r="V784" s="238"/>
      <c r="W784" s="238"/>
    </row>
    <row r="785" spans="1:23" ht="12.75">
      <c r="A785" s="238"/>
      <c r="B785" s="238"/>
      <c r="C785" s="238"/>
      <c r="D785" s="238"/>
      <c r="E785" s="238"/>
      <c r="F785" s="238"/>
      <c r="G785" s="238"/>
      <c r="H785" s="238"/>
      <c r="I785" s="238"/>
      <c r="J785" s="238"/>
      <c r="K785" s="238"/>
      <c r="L785" s="238"/>
      <c r="M785" s="238"/>
      <c r="N785" s="238"/>
      <c r="O785" s="238"/>
      <c r="P785" s="238"/>
      <c r="Q785" s="238"/>
      <c r="R785" s="238"/>
      <c r="S785" s="238"/>
      <c r="T785" s="238"/>
      <c r="U785" s="238"/>
      <c r="V785" s="238"/>
      <c r="W785" s="238"/>
    </row>
    <row r="786" spans="1:23" ht="12.75">
      <c r="A786" s="238"/>
      <c r="B786" s="238"/>
      <c r="C786" s="238"/>
      <c r="D786" s="238"/>
      <c r="E786" s="238"/>
      <c r="F786" s="238"/>
      <c r="G786" s="238"/>
      <c r="H786" s="238"/>
      <c r="I786" s="238"/>
      <c r="J786" s="238"/>
      <c r="K786" s="238"/>
      <c r="L786" s="238"/>
      <c r="M786" s="238"/>
      <c r="N786" s="238"/>
      <c r="O786" s="238"/>
      <c r="P786" s="238"/>
      <c r="Q786" s="238"/>
      <c r="R786" s="238"/>
      <c r="S786" s="238"/>
      <c r="T786" s="238"/>
      <c r="U786" s="238"/>
      <c r="V786" s="238"/>
      <c r="W786" s="238"/>
    </row>
    <row r="787" spans="1:23" ht="12.75">
      <c r="A787" s="238"/>
      <c r="B787" s="238"/>
      <c r="C787" s="238"/>
      <c r="D787" s="238"/>
      <c r="E787" s="238"/>
      <c r="F787" s="238"/>
      <c r="G787" s="238"/>
      <c r="H787" s="238"/>
      <c r="I787" s="238"/>
      <c r="J787" s="238"/>
      <c r="K787" s="238"/>
      <c r="L787" s="238"/>
      <c r="M787" s="238"/>
      <c r="N787" s="238"/>
      <c r="O787" s="238"/>
      <c r="P787" s="238"/>
      <c r="Q787" s="238"/>
      <c r="R787" s="238"/>
      <c r="S787" s="238"/>
      <c r="T787" s="238"/>
      <c r="U787" s="238"/>
      <c r="V787" s="238"/>
      <c r="W787" s="238"/>
    </row>
    <row r="788" spans="1:23" ht="12.75">
      <c r="A788" s="238"/>
      <c r="B788" s="238"/>
      <c r="C788" s="238"/>
      <c r="D788" s="238"/>
      <c r="E788" s="238"/>
      <c r="F788" s="238"/>
      <c r="G788" s="238"/>
      <c r="H788" s="238"/>
      <c r="I788" s="238"/>
      <c r="J788" s="238"/>
      <c r="K788" s="238"/>
      <c r="L788" s="238"/>
      <c r="M788" s="238"/>
      <c r="N788" s="238"/>
      <c r="O788" s="238"/>
      <c r="P788" s="238"/>
      <c r="Q788" s="238"/>
      <c r="R788" s="238"/>
      <c r="S788" s="238"/>
      <c r="T788" s="238"/>
      <c r="U788" s="238"/>
      <c r="V788" s="238"/>
      <c r="W788" s="238"/>
    </row>
    <row r="789" spans="1:23" ht="12.75">
      <c r="A789" s="238"/>
      <c r="B789" s="238"/>
      <c r="C789" s="238"/>
      <c r="D789" s="238"/>
      <c r="E789" s="238"/>
      <c r="F789" s="238"/>
      <c r="G789" s="238"/>
      <c r="H789" s="238"/>
      <c r="I789" s="238"/>
      <c r="J789" s="238"/>
      <c r="K789" s="238"/>
      <c r="L789" s="238"/>
      <c r="M789" s="238"/>
      <c r="N789" s="238"/>
      <c r="O789" s="238"/>
      <c r="P789" s="238"/>
      <c r="Q789" s="238"/>
      <c r="R789" s="238"/>
      <c r="S789" s="238"/>
      <c r="T789" s="238"/>
      <c r="U789" s="238"/>
      <c r="V789" s="238"/>
      <c r="W789" s="238"/>
    </row>
    <row r="790" spans="1:23" ht="12.75">
      <c r="A790" s="238"/>
      <c r="B790" s="238"/>
      <c r="C790" s="238"/>
      <c r="D790" s="238"/>
      <c r="E790" s="238"/>
      <c r="F790" s="238"/>
      <c r="G790" s="238"/>
      <c r="H790" s="238"/>
      <c r="I790" s="238"/>
      <c r="J790" s="238"/>
      <c r="K790" s="238"/>
      <c r="L790" s="238"/>
      <c r="M790" s="238"/>
      <c r="N790" s="238"/>
      <c r="O790" s="238"/>
      <c r="P790" s="238"/>
      <c r="Q790" s="238"/>
      <c r="R790" s="238"/>
      <c r="S790" s="238"/>
      <c r="T790" s="238"/>
      <c r="U790" s="238"/>
      <c r="V790" s="238"/>
      <c r="W790" s="238"/>
    </row>
    <row r="791" spans="1:23" ht="12.75">
      <c r="A791" s="238"/>
      <c r="B791" s="238"/>
      <c r="C791" s="238"/>
      <c r="D791" s="238"/>
      <c r="E791" s="238"/>
      <c r="F791" s="238"/>
      <c r="G791" s="238"/>
      <c r="H791" s="238"/>
      <c r="I791" s="238"/>
      <c r="J791" s="238"/>
      <c r="K791" s="238"/>
      <c r="L791" s="238"/>
      <c r="M791" s="238"/>
      <c r="N791" s="238"/>
      <c r="O791" s="238"/>
      <c r="P791" s="238"/>
      <c r="Q791" s="238"/>
      <c r="R791" s="238"/>
      <c r="S791" s="238"/>
      <c r="T791" s="238"/>
      <c r="U791" s="238"/>
      <c r="V791" s="238"/>
      <c r="W791" s="238"/>
    </row>
    <row r="792" spans="1:23" ht="12.75">
      <c r="A792" s="238"/>
      <c r="B792" s="238"/>
      <c r="C792" s="238"/>
      <c r="D792" s="238"/>
      <c r="E792" s="238"/>
      <c r="F792" s="238"/>
      <c r="G792" s="238"/>
      <c r="H792" s="238"/>
      <c r="I792" s="238"/>
      <c r="J792" s="238"/>
      <c r="K792" s="238"/>
      <c r="L792" s="238"/>
      <c r="M792" s="238"/>
      <c r="N792" s="238"/>
      <c r="O792" s="238"/>
      <c r="P792" s="238"/>
      <c r="Q792" s="238"/>
      <c r="R792" s="238"/>
      <c r="S792" s="238"/>
      <c r="T792" s="238"/>
      <c r="U792" s="238"/>
      <c r="V792" s="238"/>
      <c r="W792" s="238"/>
    </row>
    <row r="793" spans="1:23" ht="12.75">
      <c r="A793" s="238"/>
      <c r="B793" s="238"/>
      <c r="C793" s="238"/>
      <c r="D793" s="238"/>
      <c r="E793" s="238"/>
      <c r="F793" s="238"/>
      <c r="G793" s="238"/>
      <c r="H793" s="238"/>
      <c r="I793" s="238"/>
      <c r="J793" s="238"/>
      <c r="K793" s="238"/>
      <c r="L793" s="238"/>
      <c r="M793" s="238"/>
      <c r="N793" s="238"/>
      <c r="O793" s="238"/>
      <c r="P793" s="238"/>
      <c r="Q793" s="238"/>
      <c r="R793" s="238"/>
      <c r="S793" s="238"/>
      <c r="T793" s="238"/>
      <c r="U793" s="238"/>
      <c r="V793" s="238"/>
      <c r="W793" s="238"/>
    </row>
    <row r="794" spans="1:23" ht="12.75">
      <c r="A794" s="238"/>
      <c r="B794" s="238"/>
      <c r="C794" s="238"/>
      <c r="D794" s="238"/>
      <c r="E794" s="238"/>
      <c r="F794" s="238"/>
      <c r="G794" s="238"/>
      <c r="H794" s="238"/>
      <c r="I794" s="238"/>
      <c r="J794" s="238"/>
      <c r="K794" s="238"/>
      <c r="L794" s="238"/>
      <c r="M794" s="238"/>
      <c r="N794" s="238"/>
      <c r="O794" s="238"/>
      <c r="P794" s="238"/>
      <c r="Q794" s="238"/>
      <c r="R794" s="238"/>
      <c r="S794" s="238"/>
      <c r="T794" s="238"/>
      <c r="U794" s="238"/>
      <c r="V794" s="238"/>
      <c r="W794" s="238"/>
    </row>
    <row r="795" spans="1:23" ht="12.75">
      <c r="A795" s="238"/>
      <c r="B795" s="238"/>
      <c r="C795" s="238"/>
      <c r="D795" s="238"/>
      <c r="E795" s="238"/>
      <c r="F795" s="238"/>
      <c r="G795" s="238"/>
      <c r="H795" s="238"/>
      <c r="I795" s="238"/>
      <c r="J795" s="238"/>
      <c r="K795" s="238"/>
      <c r="L795" s="238"/>
      <c r="M795" s="238"/>
      <c r="N795" s="238"/>
      <c r="O795" s="238"/>
      <c r="P795" s="238"/>
      <c r="Q795" s="238"/>
      <c r="R795" s="238"/>
      <c r="S795" s="238"/>
      <c r="T795" s="238"/>
      <c r="U795" s="238"/>
      <c r="V795" s="238"/>
      <c r="W795" s="238"/>
    </row>
    <row r="796" spans="1:23" ht="12.75">
      <c r="A796" s="238"/>
      <c r="B796" s="238"/>
      <c r="C796" s="238"/>
      <c r="D796" s="238"/>
      <c r="E796" s="238"/>
      <c r="F796" s="238"/>
      <c r="G796" s="238"/>
      <c r="H796" s="238"/>
      <c r="I796" s="238"/>
      <c r="J796" s="238"/>
      <c r="K796" s="238"/>
      <c r="L796" s="238"/>
      <c r="M796" s="238"/>
      <c r="N796" s="238"/>
      <c r="O796" s="238"/>
      <c r="P796" s="238"/>
      <c r="Q796" s="238"/>
      <c r="R796" s="238"/>
      <c r="S796" s="238"/>
      <c r="T796" s="238"/>
      <c r="U796" s="238"/>
      <c r="V796" s="238"/>
      <c r="W796" s="238"/>
    </row>
    <row r="797" spans="1:23" ht="12.75">
      <c r="A797" s="238"/>
      <c r="B797" s="238"/>
      <c r="C797" s="238"/>
      <c r="D797" s="238"/>
      <c r="E797" s="238"/>
      <c r="F797" s="238"/>
      <c r="G797" s="238"/>
      <c r="H797" s="238"/>
      <c r="I797" s="238"/>
      <c r="J797" s="238"/>
      <c r="K797" s="238"/>
      <c r="L797" s="238"/>
      <c r="M797" s="238"/>
      <c r="N797" s="238"/>
      <c r="O797" s="238"/>
      <c r="P797" s="238"/>
      <c r="Q797" s="238"/>
      <c r="R797" s="238"/>
      <c r="S797" s="238"/>
      <c r="T797" s="238"/>
      <c r="U797" s="238"/>
      <c r="V797" s="238"/>
      <c r="W797" s="238"/>
    </row>
    <row r="798" spans="1:23" ht="12.75">
      <c r="A798" s="238"/>
      <c r="B798" s="238"/>
      <c r="C798" s="238"/>
      <c r="D798" s="238"/>
      <c r="E798" s="238"/>
      <c r="F798" s="238"/>
      <c r="G798" s="238"/>
      <c r="H798" s="238"/>
      <c r="I798" s="238"/>
      <c r="J798" s="238"/>
      <c r="K798" s="238"/>
      <c r="L798" s="238"/>
      <c r="M798" s="238"/>
      <c r="N798" s="238"/>
      <c r="O798" s="238"/>
      <c r="P798" s="238"/>
      <c r="Q798" s="238"/>
      <c r="R798" s="238"/>
      <c r="S798" s="238"/>
      <c r="T798" s="238"/>
      <c r="U798" s="238"/>
      <c r="V798" s="238"/>
      <c r="W798" s="238"/>
    </row>
    <row r="799" spans="1:23" ht="12.75">
      <c r="A799" s="238"/>
      <c r="B799" s="238"/>
      <c r="C799" s="238"/>
      <c r="D799" s="238"/>
      <c r="E799" s="238"/>
      <c r="F799" s="238"/>
      <c r="G799" s="238"/>
      <c r="H799" s="238"/>
      <c r="I799" s="238"/>
      <c r="J799" s="238"/>
      <c r="K799" s="238"/>
      <c r="L799" s="238"/>
      <c r="M799" s="238"/>
      <c r="N799" s="238"/>
      <c r="O799" s="238"/>
      <c r="P799" s="238"/>
      <c r="Q799" s="238"/>
      <c r="R799" s="238"/>
      <c r="S799" s="238"/>
      <c r="T799" s="238"/>
      <c r="U799" s="238"/>
      <c r="V799" s="238"/>
      <c r="W799" s="238"/>
    </row>
    <row r="800" spans="1:23" ht="12.75">
      <c r="A800" s="238"/>
      <c r="B800" s="238"/>
      <c r="C800" s="238"/>
      <c r="D800" s="238"/>
      <c r="E800" s="238"/>
      <c r="F800" s="238"/>
      <c r="G800" s="238"/>
      <c r="H800" s="238"/>
      <c r="I800" s="238"/>
      <c r="J800" s="238"/>
      <c r="K800" s="238"/>
      <c r="L800" s="238"/>
      <c r="M800" s="238"/>
      <c r="N800" s="238"/>
      <c r="O800" s="238"/>
      <c r="P800" s="238"/>
      <c r="Q800" s="238"/>
      <c r="R800" s="238"/>
      <c r="S800" s="238"/>
      <c r="T800" s="238"/>
      <c r="U800" s="238"/>
      <c r="V800" s="238"/>
      <c r="W800" s="238"/>
    </row>
    <row r="801" spans="1:23" ht="12.75">
      <c r="A801" s="238"/>
      <c r="B801" s="238"/>
      <c r="C801" s="238"/>
      <c r="D801" s="238"/>
      <c r="E801" s="238"/>
      <c r="F801" s="238"/>
      <c r="G801" s="238"/>
      <c r="H801" s="238"/>
      <c r="I801" s="238"/>
      <c r="J801" s="238"/>
      <c r="K801" s="238"/>
      <c r="L801" s="238"/>
      <c r="M801" s="238"/>
      <c r="N801" s="238"/>
      <c r="O801" s="238"/>
      <c r="P801" s="238"/>
      <c r="Q801" s="238"/>
      <c r="R801" s="238"/>
      <c r="S801" s="238"/>
      <c r="T801" s="238"/>
      <c r="U801" s="238"/>
      <c r="V801" s="238"/>
      <c r="W801" s="238"/>
    </row>
    <row r="802" spans="1:23" ht="12.75">
      <c r="A802" s="238"/>
      <c r="B802" s="238"/>
      <c r="C802" s="238"/>
      <c r="D802" s="238"/>
      <c r="E802" s="238"/>
      <c r="F802" s="238"/>
      <c r="G802" s="238"/>
      <c r="H802" s="238"/>
      <c r="I802" s="238"/>
      <c r="J802" s="238"/>
      <c r="K802" s="238"/>
      <c r="L802" s="238"/>
      <c r="M802" s="238"/>
      <c r="N802" s="238"/>
      <c r="O802" s="238"/>
      <c r="P802" s="238"/>
      <c r="Q802" s="238"/>
      <c r="R802" s="238"/>
      <c r="S802" s="238"/>
      <c r="T802" s="238"/>
      <c r="U802" s="238"/>
      <c r="V802" s="238"/>
      <c r="W802" s="238"/>
    </row>
    <row r="803" spans="1:23" ht="12.75">
      <c r="A803" s="238"/>
      <c r="B803" s="238"/>
      <c r="C803" s="238"/>
      <c r="D803" s="238"/>
      <c r="E803" s="238"/>
      <c r="F803" s="238"/>
      <c r="G803" s="238"/>
      <c r="H803" s="238"/>
      <c r="I803" s="238"/>
      <c r="J803" s="238"/>
      <c r="K803" s="238"/>
      <c r="L803" s="238"/>
      <c r="M803" s="238"/>
      <c r="N803" s="238"/>
      <c r="O803" s="238"/>
      <c r="P803" s="238"/>
      <c r="Q803" s="238"/>
      <c r="R803" s="238"/>
      <c r="S803" s="238"/>
      <c r="T803" s="238"/>
      <c r="U803" s="238"/>
      <c r="V803" s="238"/>
      <c r="W803" s="238"/>
    </row>
    <row r="804" spans="1:23" ht="12.75">
      <c r="A804" s="238"/>
      <c r="B804" s="238"/>
      <c r="C804" s="238"/>
      <c r="D804" s="238"/>
      <c r="E804" s="238"/>
      <c r="F804" s="238"/>
      <c r="G804" s="238"/>
      <c r="H804" s="238"/>
      <c r="I804" s="238"/>
      <c r="J804" s="238"/>
      <c r="K804" s="238"/>
      <c r="L804" s="238"/>
      <c r="M804" s="238"/>
      <c r="N804" s="238"/>
      <c r="O804" s="238"/>
      <c r="P804" s="238"/>
      <c r="Q804" s="238"/>
      <c r="R804" s="238"/>
      <c r="S804" s="238"/>
      <c r="T804" s="238"/>
      <c r="U804" s="238"/>
      <c r="V804" s="238"/>
      <c r="W804" s="238"/>
    </row>
    <row r="805" spans="1:23" ht="12.75">
      <c r="A805" s="238"/>
      <c r="B805" s="238"/>
      <c r="C805" s="238"/>
      <c r="D805" s="238"/>
      <c r="E805" s="238"/>
      <c r="F805" s="238"/>
      <c r="G805" s="238"/>
      <c r="H805" s="238"/>
      <c r="I805" s="238"/>
      <c r="J805" s="238"/>
      <c r="K805" s="238"/>
      <c r="L805" s="238"/>
      <c r="M805" s="238"/>
      <c r="N805" s="238"/>
      <c r="O805" s="238"/>
      <c r="P805" s="238"/>
      <c r="Q805" s="238"/>
      <c r="R805" s="238"/>
      <c r="S805" s="238"/>
      <c r="T805" s="238"/>
      <c r="U805" s="238"/>
      <c r="V805" s="238"/>
      <c r="W805" s="238"/>
    </row>
    <row r="806" spans="1:23" ht="12.75">
      <c r="A806" s="238"/>
      <c r="B806" s="238"/>
      <c r="C806" s="238"/>
      <c r="D806" s="238"/>
      <c r="E806" s="238"/>
      <c r="F806" s="238"/>
      <c r="G806" s="238"/>
      <c r="H806" s="238"/>
      <c r="I806" s="238"/>
      <c r="J806" s="238"/>
      <c r="K806" s="238"/>
      <c r="L806" s="238"/>
      <c r="M806" s="238"/>
      <c r="N806" s="238"/>
      <c r="O806" s="238"/>
      <c r="P806" s="238"/>
      <c r="Q806" s="238"/>
      <c r="R806" s="238"/>
      <c r="S806" s="238"/>
      <c r="T806" s="238"/>
      <c r="U806" s="238"/>
      <c r="V806" s="238"/>
      <c r="W806" s="238"/>
    </row>
    <row r="807" spans="1:23" ht="12.75">
      <c r="A807" s="238"/>
      <c r="B807" s="238"/>
      <c r="C807" s="238"/>
      <c r="D807" s="238"/>
      <c r="E807" s="238"/>
      <c r="F807" s="238"/>
      <c r="G807" s="238"/>
      <c r="H807" s="238"/>
      <c r="I807" s="238"/>
      <c r="J807" s="238"/>
      <c r="K807" s="238"/>
      <c r="L807" s="238"/>
      <c r="M807" s="238"/>
      <c r="N807" s="238"/>
      <c r="O807" s="238"/>
      <c r="P807" s="238"/>
      <c r="Q807" s="238"/>
      <c r="R807" s="238"/>
      <c r="S807" s="238"/>
      <c r="T807" s="238"/>
      <c r="U807" s="238"/>
      <c r="V807" s="238"/>
      <c r="W807" s="238"/>
    </row>
    <row r="808" spans="1:23" ht="12.75">
      <c r="A808" s="238"/>
      <c r="B808" s="238"/>
      <c r="C808" s="238"/>
      <c r="D808" s="238"/>
      <c r="E808" s="238"/>
      <c r="F808" s="238"/>
      <c r="G808" s="238"/>
      <c r="H808" s="238"/>
      <c r="I808" s="238"/>
      <c r="J808" s="238"/>
      <c r="K808" s="238"/>
      <c r="L808" s="238"/>
      <c r="M808" s="238"/>
      <c r="N808" s="238"/>
      <c r="O808" s="238"/>
      <c r="P808" s="238"/>
      <c r="Q808" s="238"/>
      <c r="R808" s="238"/>
      <c r="S808" s="238"/>
      <c r="T808" s="238"/>
      <c r="U808" s="238"/>
      <c r="V808" s="238"/>
      <c r="W808" s="238"/>
    </row>
    <row r="809" spans="1:23" ht="12.75">
      <c r="A809" s="238"/>
      <c r="B809" s="238"/>
      <c r="C809" s="238"/>
      <c r="D809" s="238"/>
      <c r="E809" s="238"/>
      <c r="F809" s="238"/>
      <c r="G809" s="238"/>
      <c r="H809" s="238"/>
      <c r="I809" s="238"/>
      <c r="J809" s="238"/>
      <c r="K809" s="238"/>
      <c r="L809" s="238"/>
      <c r="M809" s="238"/>
      <c r="N809" s="238"/>
      <c r="O809" s="238"/>
      <c r="P809" s="238"/>
      <c r="Q809" s="238"/>
      <c r="R809" s="238"/>
      <c r="S809" s="238"/>
      <c r="T809" s="238"/>
      <c r="U809" s="238"/>
      <c r="V809" s="238"/>
      <c r="W809" s="238"/>
    </row>
    <row r="810" spans="1:23" ht="12.75">
      <c r="A810" s="238"/>
      <c r="B810" s="238"/>
      <c r="C810" s="238"/>
      <c r="D810" s="238"/>
      <c r="E810" s="238"/>
      <c r="F810" s="238"/>
      <c r="G810" s="238"/>
      <c r="H810" s="238"/>
      <c r="I810" s="238"/>
      <c r="J810" s="238"/>
      <c r="K810" s="238"/>
      <c r="L810" s="238"/>
      <c r="M810" s="238"/>
      <c r="N810" s="238"/>
      <c r="O810" s="238"/>
      <c r="P810" s="238"/>
      <c r="Q810" s="238"/>
      <c r="R810" s="238"/>
      <c r="S810" s="238"/>
      <c r="T810" s="238"/>
      <c r="U810" s="238"/>
      <c r="V810" s="238"/>
      <c r="W810" s="238"/>
    </row>
    <row r="811" spans="1:23" ht="12.75">
      <c r="A811" s="238"/>
      <c r="B811" s="238"/>
      <c r="C811" s="238"/>
      <c r="D811" s="238"/>
      <c r="E811" s="238"/>
      <c r="F811" s="238"/>
      <c r="G811" s="238"/>
      <c r="H811" s="238"/>
      <c r="I811" s="238"/>
      <c r="J811" s="238"/>
      <c r="K811" s="238"/>
      <c r="L811" s="238"/>
      <c r="M811" s="238"/>
      <c r="N811" s="238"/>
      <c r="O811" s="238"/>
      <c r="P811" s="238"/>
      <c r="Q811" s="238"/>
      <c r="R811" s="238"/>
      <c r="S811" s="238"/>
      <c r="T811" s="238"/>
      <c r="U811" s="238"/>
      <c r="V811" s="238"/>
      <c r="W811" s="238"/>
    </row>
    <row r="812" spans="1:23" ht="12.75">
      <c r="A812" s="238"/>
      <c r="B812" s="238"/>
      <c r="C812" s="238"/>
      <c r="D812" s="238"/>
      <c r="E812" s="238"/>
      <c r="F812" s="238"/>
      <c r="G812" s="238"/>
      <c r="H812" s="238"/>
      <c r="I812" s="238"/>
      <c r="J812" s="238"/>
      <c r="K812" s="238"/>
      <c r="L812" s="238"/>
      <c r="M812" s="238"/>
      <c r="N812" s="238"/>
      <c r="O812" s="238"/>
      <c r="P812" s="238"/>
      <c r="Q812" s="238"/>
      <c r="R812" s="238"/>
      <c r="S812" s="238"/>
      <c r="T812" s="238"/>
      <c r="U812" s="238"/>
      <c r="V812" s="238"/>
      <c r="W812" s="238"/>
    </row>
    <row r="813" spans="1:23" ht="12.75">
      <c r="A813" s="238"/>
      <c r="B813" s="238"/>
      <c r="C813" s="238"/>
      <c r="D813" s="238"/>
      <c r="E813" s="238"/>
      <c r="F813" s="238"/>
      <c r="G813" s="238"/>
      <c r="H813" s="238"/>
      <c r="I813" s="238"/>
      <c r="J813" s="238"/>
      <c r="K813" s="238"/>
      <c r="L813" s="238"/>
      <c r="M813" s="238"/>
      <c r="N813" s="238"/>
      <c r="O813" s="238"/>
      <c r="P813" s="238"/>
      <c r="Q813" s="238"/>
      <c r="R813" s="238"/>
      <c r="S813" s="238"/>
      <c r="T813" s="238"/>
      <c r="U813" s="238"/>
      <c r="V813" s="238"/>
      <c r="W813" s="238"/>
    </row>
    <row r="814" spans="1:23" ht="12.75">
      <c r="A814" s="238"/>
      <c r="B814" s="238"/>
      <c r="C814" s="238"/>
      <c r="D814" s="238"/>
      <c r="E814" s="238"/>
      <c r="F814" s="238"/>
      <c r="G814" s="238"/>
      <c r="H814" s="238"/>
      <c r="I814" s="238"/>
      <c r="J814" s="238"/>
      <c r="K814" s="238"/>
      <c r="L814" s="238"/>
      <c r="M814" s="238"/>
      <c r="N814" s="238"/>
      <c r="O814" s="238"/>
      <c r="P814" s="238"/>
      <c r="Q814" s="238"/>
      <c r="R814" s="238"/>
      <c r="S814" s="238"/>
      <c r="T814" s="238"/>
      <c r="U814" s="238"/>
      <c r="V814" s="238"/>
      <c r="W814" s="238"/>
    </row>
    <row r="815" spans="1:23" ht="12.75">
      <c r="A815" s="238"/>
      <c r="B815" s="238"/>
      <c r="C815" s="238"/>
      <c r="D815" s="238"/>
      <c r="E815" s="238"/>
      <c r="F815" s="238"/>
      <c r="G815" s="238"/>
      <c r="H815" s="238"/>
      <c r="I815" s="238"/>
      <c r="J815" s="238"/>
      <c r="K815" s="238"/>
      <c r="L815" s="238"/>
      <c r="M815" s="238"/>
      <c r="N815" s="238"/>
      <c r="O815" s="238"/>
      <c r="P815" s="238"/>
      <c r="Q815" s="238"/>
      <c r="R815" s="238"/>
      <c r="S815" s="238"/>
      <c r="T815" s="238"/>
      <c r="U815" s="238"/>
      <c r="V815" s="238"/>
      <c r="W815" s="238"/>
    </row>
    <row r="816" spans="1:23" ht="12.75">
      <c r="A816" s="238"/>
      <c r="B816" s="238"/>
      <c r="C816" s="238"/>
      <c r="D816" s="238"/>
      <c r="E816" s="238"/>
      <c r="F816" s="238"/>
      <c r="G816" s="238"/>
      <c r="H816" s="238"/>
      <c r="I816" s="238"/>
      <c r="J816" s="238"/>
      <c r="K816" s="238"/>
      <c r="L816" s="238"/>
      <c r="M816" s="238"/>
      <c r="N816" s="238"/>
      <c r="O816" s="238"/>
      <c r="P816" s="238"/>
      <c r="Q816" s="238"/>
      <c r="R816" s="238"/>
      <c r="S816" s="238"/>
      <c r="T816" s="238"/>
      <c r="U816" s="238"/>
      <c r="V816" s="238"/>
      <c r="W816" s="238"/>
    </row>
    <row r="817" spans="1:23" ht="12.75">
      <c r="A817" s="238"/>
      <c r="B817" s="238"/>
      <c r="C817" s="238"/>
      <c r="D817" s="238"/>
      <c r="E817" s="238"/>
      <c r="F817" s="238"/>
      <c r="G817" s="238"/>
      <c r="H817" s="238"/>
      <c r="I817" s="238"/>
      <c r="J817" s="238"/>
      <c r="K817" s="238"/>
      <c r="L817" s="238"/>
      <c r="M817" s="238"/>
      <c r="N817" s="238"/>
      <c r="O817" s="238"/>
      <c r="P817" s="238"/>
      <c r="Q817" s="238"/>
      <c r="R817" s="238"/>
      <c r="S817" s="238"/>
      <c r="T817" s="238"/>
      <c r="U817" s="238"/>
      <c r="V817" s="238"/>
      <c r="W817" s="238"/>
    </row>
    <row r="818" spans="1:23" ht="12.75">
      <c r="A818" s="238"/>
      <c r="B818" s="238"/>
      <c r="C818" s="238"/>
      <c r="D818" s="238"/>
      <c r="E818" s="238"/>
      <c r="F818" s="238"/>
      <c r="G818" s="238"/>
      <c r="H818" s="238"/>
      <c r="I818" s="238"/>
      <c r="J818" s="238"/>
      <c r="K818" s="238"/>
      <c r="L818" s="238"/>
      <c r="M818" s="238"/>
      <c r="N818" s="238"/>
      <c r="O818" s="238"/>
      <c r="P818" s="238"/>
      <c r="Q818" s="238"/>
      <c r="R818" s="238"/>
      <c r="S818" s="238"/>
      <c r="T818" s="238"/>
      <c r="U818" s="238"/>
      <c r="V818" s="238"/>
      <c r="W818" s="238"/>
    </row>
    <row r="819" spans="1:23" ht="12.75">
      <c r="A819" s="238"/>
      <c r="B819" s="238"/>
      <c r="C819" s="238"/>
      <c r="D819" s="238"/>
      <c r="E819" s="238"/>
      <c r="F819" s="238"/>
      <c r="G819" s="238"/>
      <c r="H819" s="238"/>
      <c r="I819" s="238"/>
      <c r="J819" s="238"/>
      <c r="K819" s="238"/>
      <c r="L819" s="238"/>
      <c r="M819" s="238"/>
      <c r="N819" s="238"/>
      <c r="O819" s="238"/>
      <c r="P819" s="238"/>
      <c r="Q819" s="238"/>
      <c r="R819" s="238"/>
      <c r="S819" s="238"/>
      <c r="T819" s="238"/>
      <c r="U819" s="238"/>
      <c r="V819" s="238"/>
      <c r="W819" s="238"/>
    </row>
    <row r="820" spans="1:23" ht="12.75">
      <c r="A820" s="238"/>
      <c r="B820" s="238"/>
      <c r="C820" s="238"/>
      <c r="D820" s="238"/>
      <c r="E820" s="238"/>
      <c r="F820" s="238"/>
      <c r="G820" s="238"/>
      <c r="H820" s="238"/>
      <c r="I820" s="238"/>
      <c r="J820" s="238"/>
      <c r="K820" s="238"/>
      <c r="L820" s="238"/>
      <c r="M820" s="238"/>
      <c r="N820" s="238"/>
      <c r="O820" s="238"/>
      <c r="P820" s="238"/>
      <c r="Q820" s="238"/>
      <c r="R820" s="238"/>
      <c r="S820" s="238"/>
      <c r="T820" s="238"/>
      <c r="U820" s="238"/>
      <c r="V820" s="238"/>
      <c r="W820" s="238"/>
    </row>
    <row r="821" spans="1:23" ht="12.75">
      <c r="A821" s="238"/>
      <c r="B821" s="238"/>
      <c r="C821" s="238"/>
      <c r="D821" s="238"/>
      <c r="E821" s="238"/>
      <c r="F821" s="238"/>
      <c r="G821" s="238"/>
      <c r="H821" s="238"/>
      <c r="I821" s="238"/>
      <c r="J821" s="238"/>
      <c r="K821" s="238"/>
      <c r="L821" s="238"/>
      <c r="M821" s="238"/>
      <c r="N821" s="238"/>
      <c r="O821" s="238"/>
      <c r="P821" s="238"/>
      <c r="Q821" s="238"/>
      <c r="R821" s="238"/>
      <c r="S821" s="238"/>
      <c r="T821" s="238"/>
      <c r="U821" s="238"/>
      <c r="V821" s="238"/>
      <c r="W821" s="238"/>
    </row>
    <row r="822" spans="1:23" ht="12.75">
      <c r="A822" s="238"/>
      <c r="B822" s="238"/>
      <c r="C822" s="238"/>
      <c r="D822" s="238"/>
      <c r="E822" s="238"/>
      <c r="F822" s="238"/>
      <c r="G822" s="238"/>
      <c r="H822" s="238"/>
      <c r="I822" s="238"/>
      <c r="J822" s="238"/>
      <c r="K822" s="238"/>
      <c r="L822" s="238"/>
      <c r="M822" s="238"/>
      <c r="N822" s="238"/>
      <c r="O822" s="238"/>
      <c r="P822" s="238"/>
      <c r="Q822" s="238"/>
      <c r="R822" s="238"/>
      <c r="S822" s="238"/>
      <c r="T822" s="238"/>
      <c r="U822" s="238"/>
      <c r="V822" s="238"/>
      <c r="W822" s="238"/>
    </row>
    <row r="823" spans="1:23" ht="12.75">
      <c r="A823" s="238"/>
      <c r="B823" s="238"/>
      <c r="C823" s="238"/>
      <c r="D823" s="238"/>
      <c r="E823" s="238"/>
      <c r="F823" s="238"/>
      <c r="G823" s="238"/>
      <c r="H823" s="238"/>
      <c r="I823" s="238"/>
      <c r="J823" s="238"/>
      <c r="K823" s="238"/>
      <c r="L823" s="238"/>
      <c r="M823" s="238"/>
      <c r="N823" s="238"/>
      <c r="O823" s="238"/>
      <c r="P823" s="238"/>
      <c r="Q823" s="238"/>
      <c r="R823" s="238"/>
      <c r="S823" s="238"/>
      <c r="T823" s="238"/>
      <c r="U823" s="238"/>
      <c r="V823" s="238"/>
      <c r="W823" s="238"/>
    </row>
    <row r="824" spans="1:23" ht="12.75">
      <c r="A824" s="238"/>
      <c r="B824" s="238"/>
      <c r="C824" s="238"/>
      <c r="D824" s="238"/>
      <c r="E824" s="238"/>
      <c r="F824" s="238"/>
      <c r="G824" s="238"/>
      <c r="H824" s="238"/>
      <c r="I824" s="238"/>
      <c r="J824" s="238"/>
      <c r="K824" s="238"/>
      <c r="L824" s="238"/>
      <c r="M824" s="238"/>
      <c r="N824" s="238"/>
      <c r="O824" s="238"/>
      <c r="P824" s="238"/>
      <c r="Q824" s="238"/>
      <c r="R824" s="238"/>
      <c r="S824" s="238"/>
      <c r="T824" s="238"/>
      <c r="U824" s="238"/>
      <c r="V824" s="238"/>
      <c r="W824" s="238"/>
    </row>
    <row r="825" spans="1:23" ht="12.75">
      <c r="A825" s="238"/>
      <c r="B825" s="238"/>
      <c r="C825" s="238"/>
      <c r="D825" s="238"/>
      <c r="E825" s="238"/>
      <c r="F825" s="238"/>
      <c r="G825" s="238"/>
      <c r="H825" s="238"/>
      <c r="I825" s="238"/>
      <c r="J825" s="238"/>
      <c r="K825" s="238"/>
      <c r="L825" s="238"/>
      <c r="M825" s="238"/>
      <c r="N825" s="238"/>
      <c r="O825" s="238"/>
      <c r="P825" s="238"/>
      <c r="Q825" s="238"/>
      <c r="R825" s="238"/>
      <c r="S825" s="238"/>
      <c r="T825" s="238"/>
      <c r="U825" s="238"/>
      <c r="V825" s="238"/>
      <c r="W825" s="238"/>
    </row>
    <row r="826" spans="1:23" ht="12.75">
      <c r="A826" s="238"/>
      <c r="B826" s="238"/>
      <c r="C826" s="238"/>
      <c r="D826" s="238"/>
      <c r="E826" s="238"/>
      <c r="F826" s="238"/>
      <c r="G826" s="238"/>
      <c r="H826" s="238"/>
      <c r="I826" s="238"/>
      <c r="J826" s="238"/>
      <c r="K826" s="238"/>
      <c r="L826" s="238"/>
      <c r="M826" s="238"/>
      <c r="N826" s="238"/>
      <c r="O826" s="238"/>
      <c r="P826" s="238"/>
      <c r="Q826" s="238"/>
      <c r="R826" s="238"/>
      <c r="S826" s="238"/>
      <c r="T826" s="238"/>
      <c r="U826" s="238"/>
      <c r="V826" s="238"/>
      <c r="W826" s="238"/>
    </row>
    <row r="827" spans="1:23" ht="12.75">
      <c r="A827" s="238"/>
      <c r="B827" s="238"/>
      <c r="C827" s="238"/>
      <c r="D827" s="238"/>
      <c r="E827" s="238"/>
      <c r="F827" s="238"/>
      <c r="G827" s="238"/>
      <c r="H827" s="238"/>
      <c r="I827" s="238"/>
      <c r="J827" s="238"/>
      <c r="K827" s="238"/>
      <c r="L827" s="238"/>
      <c r="M827" s="238"/>
      <c r="N827" s="238"/>
      <c r="O827" s="238"/>
      <c r="P827" s="238"/>
      <c r="Q827" s="238"/>
      <c r="R827" s="238"/>
      <c r="S827" s="238"/>
      <c r="T827" s="238"/>
      <c r="U827" s="238"/>
      <c r="V827" s="238"/>
      <c r="W827" s="238"/>
    </row>
    <row r="828" spans="1:23" ht="12.75">
      <c r="A828" s="238"/>
      <c r="B828" s="238"/>
      <c r="C828" s="238"/>
      <c r="D828" s="238"/>
      <c r="E828" s="238"/>
      <c r="F828" s="238"/>
      <c r="G828" s="238"/>
      <c r="H828" s="238"/>
      <c r="I828" s="238"/>
      <c r="J828" s="238"/>
      <c r="K828" s="238"/>
      <c r="L828" s="238"/>
      <c r="M828" s="238"/>
      <c r="N828" s="238"/>
      <c r="O828" s="238"/>
      <c r="P828" s="238"/>
      <c r="Q828" s="238"/>
      <c r="R828" s="238"/>
      <c r="S828" s="238"/>
      <c r="T828" s="238"/>
      <c r="U828" s="238"/>
      <c r="V828" s="238"/>
      <c r="W828" s="238"/>
    </row>
    <row r="829" spans="1:23" ht="12.75">
      <c r="A829" s="238"/>
      <c r="B829" s="238"/>
      <c r="C829" s="238"/>
      <c r="D829" s="238"/>
      <c r="E829" s="238"/>
      <c r="F829" s="238"/>
      <c r="G829" s="238"/>
      <c r="H829" s="238"/>
      <c r="I829" s="238"/>
      <c r="J829" s="238"/>
      <c r="K829" s="238"/>
      <c r="L829" s="238"/>
      <c r="M829" s="238"/>
      <c r="N829" s="238"/>
      <c r="O829" s="238"/>
      <c r="P829" s="238"/>
      <c r="Q829" s="238"/>
      <c r="R829" s="238"/>
      <c r="S829" s="238"/>
      <c r="T829" s="238"/>
      <c r="U829" s="238"/>
      <c r="V829" s="238"/>
      <c r="W829" s="238"/>
    </row>
    <row r="830" spans="1:23" ht="12.75">
      <c r="A830" s="238"/>
      <c r="B830" s="238"/>
      <c r="C830" s="238"/>
      <c r="D830" s="238"/>
      <c r="E830" s="238"/>
      <c r="F830" s="238"/>
      <c r="G830" s="238"/>
      <c r="H830" s="238"/>
      <c r="I830" s="238"/>
      <c r="J830" s="238"/>
      <c r="K830" s="238"/>
      <c r="L830" s="238"/>
      <c r="M830" s="238"/>
      <c r="N830" s="238"/>
      <c r="O830" s="238"/>
      <c r="P830" s="238"/>
      <c r="Q830" s="238"/>
      <c r="R830" s="238"/>
      <c r="S830" s="238"/>
      <c r="T830" s="238"/>
      <c r="U830" s="238"/>
      <c r="V830" s="238"/>
      <c r="W830" s="238"/>
    </row>
    <row r="831" spans="1:23" ht="12.75">
      <c r="A831" s="238"/>
      <c r="B831" s="238"/>
      <c r="C831" s="238"/>
      <c r="D831" s="238"/>
      <c r="E831" s="238"/>
      <c r="F831" s="238"/>
      <c r="G831" s="238"/>
      <c r="H831" s="238"/>
      <c r="I831" s="238"/>
      <c r="J831" s="238"/>
      <c r="K831" s="238"/>
      <c r="L831" s="238"/>
      <c r="M831" s="238"/>
      <c r="N831" s="238"/>
      <c r="O831" s="238"/>
      <c r="P831" s="238"/>
      <c r="Q831" s="238"/>
      <c r="R831" s="238"/>
      <c r="S831" s="238"/>
      <c r="T831" s="238"/>
      <c r="U831" s="238"/>
      <c r="V831" s="238"/>
      <c r="W831" s="238"/>
    </row>
    <row r="832" spans="1:23" ht="12.75">
      <c r="A832" s="238"/>
      <c r="B832" s="238"/>
      <c r="C832" s="238"/>
      <c r="D832" s="238"/>
      <c r="E832" s="238"/>
      <c r="F832" s="238"/>
      <c r="G832" s="238"/>
      <c r="H832" s="238"/>
      <c r="I832" s="238"/>
      <c r="J832" s="238"/>
      <c r="K832" s="238"/>
      <c r="L832" s="238"/>
      <c r="M832" s="238"/>
      <c r="N832" s="238"/>
      <c r="O832" s="238"/>
      <c r="P832" s="238"/>
      <c r="Q832" s="238"/>
      <c r="R832" s="238"/>
      <c r="S832" s="238"/>
      <c r="T832" s="238"/>
      <c r="U832" s="238"/>
      <c r="V832" s="238"/>
      <c r="W832" s="238"/>
    </row>
    <row r="833" spans="1:23" ht="12.75">
      <c r="A833" s="238"/>
      <c r="B833" s="238"/>
      <c r="C833" s="238"/>
      <c r="D833" s="238"/>
      <c r="E833" s="238"/>
      <c r="F833" s="238"/>
      <c r="G833" s="238"/>
      <c r="H833" s="238"/>
      <c r="I833" s="238"/>
      <c r="J833" s="238"/>
      <c r="K833" s="238"/>
      <c r="L833" s="238"/>
      <c r="M833" s="238"/>
      <c r="N833" s="238"/>
      <c r="O833" s="238"/>
      <c r="P833" s="238"/>
      <c r="Q833" s="238"/>
      <c r="R833" s="238"/>
      <c r="S833" s="238"/>
      <c r="T833" s="238"/>
      <c r="U833" s="238"/>
      <c r="V833" s="238"/>
      <c r="W833" s="238"/>
    </row>
    <row r="834" spans="1:23" ht="12.75">
      <c r="A834" s="238"/>
      <c r="B834" s="238"/>
      <c r="C834" s="238"/>
      <c r="D834" s="238"/>
      <c r="E834" s="238"/>
      <c r="F834" s="238"/>
      <c r="G834" s="238"/>
      <c r="H834" s="238"/>
      <c r="I834" s="238"/>
      <c r="J834" s="238"/>
      <c r="K834" s="238"/>
      <c r="L834" s="238"/>
      <c r="M834" s="238"/>
      <c r="N834" s="238"/>
      <c r="O834" s="238"/>
      <c r="P834" s="238"/>
      <c r="Q834" s="238"/>
      <c r="R834" s="238"/>
      <c r="S834" s="238"/>
      <c r="T834" s="238"/>
      <c r="U834" s="238"/>
      <c r="V834" s="238"/>
      <c r="W834" s="238"/>
    </row>
    <row r="835" spans="1:23" ht="12.75">
      <c r="A835" s="238"/>
      <c r="B835" s="238"/>
      <c r="C835" s="238"/>
      <c r="D835" s="238"/>
      <c r="E835" s="238"/>
      <c r="F835" s="238"/>
      <c r="G835" s="238"/>
      <c r="H835" s="238"/>
      <c r="I835" s="238"/>
      <c r="J835" s="238"/>
      <c r="K835" s="238"/>
      <c r="L835" s="238"/>
      <c r="M835" s="238"/>
      <c r="N835" s="238"/>
      <c r="O835" s="238"/>
      <c r="P835" s="238"/>
      <c r="Q835" s="238"/>
      <c r="R835" s="238"/>
      <c r="S835" s="238"/>
      <c r="T835" s="238"/>
      <c r="U835" s="238"/>
      <c r="V835" s="238"/>
      <c r="W835" s="238"/>
    </row>
    <row r="836" spans="1:23" ht="12.75">
      <c r="A836" s="238"/>
      <c r="B836" s="238"/>
      <c r="C836" s="238"/>
      <c r="D836" s="238"/>
      <c r="E836" s="238"/>
      <c r="F836" s="238"/>
      <c r="G836" s="238"/>
      <c r="H836" s="238"/>
      <c r="I836" s="238"/>
      <c r="J836" s="238"/>
      <c r="K836" s="238"/>
      <c r="L836" s="238"/>
      <c r="M836" s="238"/>
      <c r="N836" s="238"/>
      <c r="O836" s="238"/>
      <c r="P836" s="238"/>
      <c r="Q836" s="238"/>
      <c r="R836" s="238"/>
      <c r="S836" s="238"/>
      <c r="T836" s="238"/>
      <c r="U836" s="238"/>
      <c r="V836" s="238"/>
      <c r="W836" s="238"/>
    </row>
    <row r="837" spans="1:23" ht="12.75">
      <c r="A837" s="238"/>
      <c r="B837" s="238"/>
      <c r="C837" s="238"/>
      <c r="D837" s="238"/>
      <c r="E837" s="238"/>
      <c r="F837" s="238"/>
      <c r="G837" s="238"/>
      <c r="H837" s="238"/>
      <c r="I837" s="238"/>
      <c r="J837" s="238"/>
      <c r="K837" s="238"/>
      <c r="L837" s="238"/>
      <c r="M837" s="238"/>
      <c r="N837" s="238"/>
      <c r="O837" s="238"/>
      <c r="P837" s="238"/>
      <c r="Q837" s="238"/>
      <c r="R837" s="238"/>
      <c r="S837" s="238"/>
      <c r="T837" s="238"/>
      <c r="U837" s="238"/>
      <c r="V837" s="238"/>
      <c r="W837" s="238"/>
    </row>
    <row r="838" spans="1:23" ht="12.75">
      <c r="A838" s="238"/>
      <c r="B838" s="238"/>
      <c r="C838" s="238"/>
      <c r="D838" s="238"/>
      <c r="E838" s="238"/>
      <c r="F838" s="238"/>
      <c r="G838" s="238"/>
      <c r="H838" s="238"/>
      <c r="I838" s="238"/>
      <c r="J838" s="238"/>
      <c r="K838" s="238"/>
      <c r="L838" s="238"/>
      <c r="M838" s="238"/>
      <c r="N838" s="238"/>
      <c r="O838" s="238"/>
      <c r="P838" s="238"/>
      <c r="Q838" s="238"/>
      <c r="R838" s="238"/>
      <c r="S838" s="238"/>
      <c r="T838" s="238"/>
      <c r="U838" s="238"/>
      <c r="V838" s="238"/>
      <c r="W838" s="238"/>
    </row>
    <row r="839" spans="1:23" ht="12.75">
      <c r="A839" s="238"/>
      <c r="B839" s="238"/>
      <c r="C839" s="238"/>
      <c r="D839" s="238"/>
      <c r="E839" s="238"/>
      <c r="F839" s="238"/>
      <c r="G839" s="238"/>
      <c r="H839" s="238"/>
      <c r="I839" s="238"/>
      <c r="J839" s="238"/>
      <c r="K839" s="238"/>
      <c r="L839" s="238"/>
      <c r="M839" s="238"/>
      <c r="N839" s="238"/>
      <c r="O839" s="238"/>
      <c r="P839" s="238"/>
      <c r="Q839" s="238"/>
      <c r="R839" s="238"/>
      <c r="S839" s="238"/>
      <c r="T839" s="238"/>
      <c r="U839" s="238"/>
      <c r="V839" s="238"/>
      <c r="W839" s="238"/>
    </row>
    <row r="840" spans="1:23" ht="12.75">
      <c r="A840" s="238"/>
      <c r="B840" s="238"/>
      <c r="C840" s="238"/>
      <c r="D840" s="238"/>
      <c r="E840" s="238"/>
      <c r="F840" s="238"/>
      <c r="G840" s="238"/>
      <c r="H840" s="238"/>
      <c r="I840" s="238"/>
      <c r="J840" s="238"/>
      <c r="K840" s="238"/>
      <c r="L840" s="238"/>
      <c r="M840" s="238"/>
      <c r="N840" s="238"/>
      <c r="O840" s="238"/>
      <c r="P840" s="238"/>
      <c r="Q840" s="238"/>
      <c r="R840" s="238"/>
      <c r="S840" s="238"/>
      <c r="T840" s="238"/>
      <c r="U840" s="238"/>
      <c r="V840" s="238"/>
      <c r="W840" s="238"/>
    </row>
    <row r="841" spans="1:23" ht="12.75">
      <c r="A841" s="238"/>
      <c r="B841" s="238"/>
      <c r="C841" s="238"/>
      <c r="D841" s="238"/>
      <c r="E841" s="238"/>
      <c r="F841" s="238"/>
      <c r="G841" s="238"/>
      <c r="H841" s="238"/>
      <c r="I841" s="238"/>
      <c r="J841" s="238"/>
      <c r="K841" s="238"/>
      <c r="L841" s="238"/>
      <c r="M841" s="238"/>
      <c r="N841" s="238"/>
      <c r="O841" s="238"/>
      <c r="P841" s="238"/>
      <c r="Q841" s="238"/>
      <c r="R841" s="238"/>
      <c r="S841" s="238"/>
      <c r="T841" s="238"/>
      <c r="U841" s="238"/>
      <c r="V841" s="238"/>
      <c r="W841" s="238"/>
    </row>
    <row r="842" spans="1:23" ht="12.75">
      <c r="A842" s="238"/>
      <c r="B842" s="238"/>
      <c r="C842" s="238"/>
      <c r="D842" s="238"/>
      <c r="E842" s="238"/>
      <c r="F842" s="238"/>
      <c r="G842" s="238"/>
      <c r="H842" s="238"/>
      <c r="I842" s="238"/>
      <c r="J842" s="238"/>
      <c r="K842" s="238"/>
      <c r="L842" s="238"/>
      <c r="M842" s="238"/>
      <c r="N842" s="238"/>
      <c r="O842" s="238"/>
      <c r="P842" s="238"/>
      <c r="Q842" s="238"/>
      <c r="R842" s="238"/>
      <c r="S842" s="238"/>
      <c r="T842" s="238"/>
      <c r="U842" s="238"/>
      <c r="V842" s="238"/>
      <c r="W842" s="238"/>
    </row>
    <row r="843" spans="1:23" ht="12.75">
      <c r="A843" s="238"/>
      <c r="B843" s="238"/>
      <c r="C843" s="238"/>
      <c r="D843" s="238"/>
      <c r="E843" s="238"/>
      <c r="F843" s="238"/>
      <c r="G843" s="238"/>
      <c r="H843" s="238"/>
      <c r="I843" s="238"/>
      <c r="J843" s="238"/>
      <c r="K843" s="238"/>
      <c r="L843" s="238"/>
      <c r="M843" s="238"/>
      <c r="N843" s="238"/>
      <c r="O843" s="238"/>
      <c r="P843" s="238"/>
      <c r="Q843" s="238"/>
      <c r="R843" s="238"/>
      <c r="S843" s="238"/>
      <c r="T843" s="238"/>
      <c r="U843" s="238"/>
      <c r="V843" s="238"/>
      <c r="W843" s="238"/>
    </row>
    <row r="844" spans="1:23" ht="12.75">
      <c r="A844" s="238"/>
      <c r="B844" s="238"/>
      <c r="C844" s="238"/>
      <c r="D844" s="238"/>
      <c r="E844" s="238"/>
      <c r="F844" s="238"/>
      <c r="G844" s="238"/>
      <c r="H844" s="238"/>
      <c r="I844" s="238"/>
      <c r="J844" s="238"/>
      <c r="K844" s="238"/>
      <c r="L844" s="238"/>
      <c r="M844" s="238"/>
      <c r="N844" s="238"/>
      <c r="O844" s="238"/>
      <c r="P844" s="238"/>
      <c r="Q844" s="238"/>
      <c r="R844" s="238"/>
      <c r="S844" s="238"/>
      <c r="T844" s="238"/>
      <c r="U844" s="238"/>
      <c r="V844" s="238"/>
      <c r="W844" s="238"/>
    </row>
    <row r="845" spans="1:23" ht="12.75">
      <c r="A845" s="238"/>
      <c r="B845" s="238"/>
      <c r="C845" s="238"/>
      <c r="D845" s="238"/>
      <c r="E845" s="238"/>
      <c r="F845" s="238"/>
      <c r="G845" s="238"/>
      <c r="H845" s="238"/>
      <c r="I845" s="238"/>
      <c r="J845" s="238"/>
      <c r="K845" s="238"/>
      <c r="L845" s="238"/>
      <c r="M845" s="238"/>
      <c r="N845" s="238"/>
      <c r="O845" s="238"/>
      <c r="P845" s="238"/>
      <c r="Q845" s="238"/>
      <c r="R845" s="238"/>
      <c r="S845" s="238"/>
      <c r="T845" s="238"/>
      <c r="U845" s="238"/>
      <c r="V845" s="238"/>
      <c r="W845" s="238"/>
    </row>
    <row r="846" spans="1:23" ht="12.75">
      <c r="A846" s="238"/>
      <c r="B846" s="238"/>
      <c r="C846" s="238"/>
      <c r="D846" s="238"/>
      <c r="E846" s="238"/>
      <c r="F846" s="238"/>
      <c r="G846" s="238"/>
      <c r="H846" s="238"/>
      <c r="I846" s="238"/>
      <c r="J846" s="238"/>
      <c r="K846" s="238"/>
      <c r="L846" s="238"/>
      <c r="M846" s="238"/>
      <c r="N846" s="238"/>
      <c r="O846" s="238"/>
      <c r="P846" s="238"/>
      <c r="Q846" s="238"/>
      <c r="R846" s="238"/>
      <c r="S846" s="238"/>
      <c r="T846" s="238"/>
      <c r="U846" s="238"/>
      <c r="V846" s="238"/>
      <c r="W846" s="238"/>
    </row>
    <row r="847" spans="1:23" ht="12.75">
      <c r="A847" s="238"/>
      <c r="B847" s="238"/>
      <c r="C847" s="238"/>
      <c r="D847" s="238"/>
      <c r="E847" s="238"/>
      <c r="F847" s="238"/>
      <c r="G847" s="238"/>
      <c r="H847" s="238"/>
      <c r="I847" s="238"/>
      <c r="J847" s="238"/>
      <c r="K847" s="238"/>
      <c r="L847" s="238"/>
      <c r="M847" s="238"/>
      <c r="N847" s="238"/>
      <c r="O847" s="238"/>
      <c r="P847" s="238"/>
      <c r="Q847" s="238"/>
      <c r="R847" s="238"/>
      <c r="S847" s="238"/>
      <c r="T847" s="238"/>
      <c r="U847" s="238"/>
      <c r="V847" s="238"/>
      <c r="W847" s="238"/>
    </row>
    <row r="848" spans="1:23" ht="12.75">
      <c r="A848" s="238"/>
      <c r="B848" s="238"/>
      <c r="C848" s="238"/>
      <c r="D848" s="238"/>
      <c r="E848" s="238"/>
      <c r="F848" s="238"/>
      <c r="G848" s="238"/>
      <c r="H848" s="238"/>
      <c r="I848" s="238"/>
      <c r="J848" s="238"/>
      <c r="K848" s="238"/>
      <c r="L848" s="238"/>
      <c r="M848" s="238"/>
      <c r="N848" s="238"/>
      <c r="O848" s="238"/>
      <c r="P848" s="238"/>
      <c r="Q848" s="238"/>
      <c r="R848" s="238"/>
      <c r="S848" s="238"/>
      <c r="T848" s="238"/>
      <c r="U848" s="238"/>
      <c r="V848" s="238"/>
      <c r="W848" s="238"/>
    </row>
    <row r="849" spans="1:23" ht="12.75">
      <c r="A849" s="238"/>
      <c r="B849" s="238"/>
      <c r="C849" s="238"/>
      <c r="D849" s="238"/>
      <c r="E849" s="238"/>
      <c r="F849" s="238"/>
      <c r="G849" s="238"/>
      <c r="H849" s="238"/>
      <c r="I849" s="238"/>
      <c r="J849" s="238"/>
      <c r="K849" s="238"/>
      <c r="L849" s="238"/>
      <c r="M849" s="238"/>
      <c r="N849" s="238"/>
      <c r="O849" s="238"/>
      <c r="P849" s="238"/>
      <c r="Q849" s="238"/>
      <c r="R849" s="238"/>
      <c r="S849" s="238"/>
      <c r="T849" s="238"/>
      <c r="U849" s="238"/>
      <c r="V849" s="238"/>
      <c r="W849" s="238"/>
    </row>
    <row r="850" spans="1:23" ht="12.75">
      <c r="A850" s="238"/>
      <c r="B850" s="238"/>
      <c r="C850" s="238"/>
      <c r="D850" s="238"/>
      <c r="E850" s="238"/>
      <c r="F850" s="238"/>
      <c r="G850" s="238"/>
      <c r="H850" s="238"/>
      <c r="I850" s="238"/>
      <c r="J850" s="238"/>
      <c r="K850" s="238"/>
      <c r="L850" s="238"/>
      <c r="M850" s="238"/>
      <c r="N850" s="238"/>
      <c r="O850" s="238"/>
      <c r="P850" s="238"/>
      <c r="Q850" s="238"/>
      <c r="R850" s="238"/>
      <c r="S850" s="238"/>
      <c r="T850" s="238"/>
      <c r="U850" s="238"/>
      <c r="V850" s="238"/>
      <c r="W850" s="238"/>
    </row>
    <row r="851" spans="1:23" ht="12.75">
      <c r="A851" s="238"/>
      <c r="B851" s="238"/>
      <c r="C851" s="238"/>
      <c r="D851" s="238"/>
      <c r="E851" s="238"/>
      <c r="F851" s="238"/>
      <c r="G851" s="238"/>
      <c r="H851" s="238"/>
      <c r="I851" s="238"/>
      <c r="J851" s="238"/>
      <c r="K851" s="238"/>
      <c r="L851" s="238"/>
      <c r="M851" s="238"/>
      <c r="N851" s="238"/>
      <c r="O851" s="238"/>
      <c r="P851" s="238"/>
      <c r="Q851" s="238"/>
      <c r="R851" s="238"/>
      <c r="S851" s="238"/>
      <c r="T851" s="238"/>
      <c r="U851" s="238"/>
      <c r="V851" s="238"/>
      <c r="W851" s="238"/>
    </row>
    <row r="852" spans="1:23" ht="12.75">
      <c r="A852" s="238"/>
      <c r="B852" s="238"/>
      <c r="C852" s="238"/>
      <c r="D852" s="238"/>
      <c r="E852" s="238"/>
      <c r="F852" s="238"/>
      <c r="G852" s="238"/>
      <c r="H852" s="238"/>
      <c r="I852" s="238"/>
      <c r="J852" s="238"/>
      <c r="K852" s="238"/>
      <c r="L852" s="238"/>
      <c r="M852" s="238"/>
      <c r="N852" s="238"/>
      <c r="O852" s="238"/>
      <c r="P852" s="238"/>
      <c r="Q852" s="238"/>
      <c r="R852" s="238"/>
      <c r="S852" s="238"/>
      <c r="T852" s="238"/>
      <c r="U852" s="238"/>
      <c r="V852" s="238"/>
      <c r="W852" s="238"/>
    </row>
    <row r="853" spans="1:23" ht="12.75">
      <c r="A853" s="238"/>
      <c r="B853" s="238"/>
      <c r="C853" s="238"/>
      <c r="D853" s="238"/>
      <c r="E853" s="238"/>
      <c r="F853" s="238"/>
      <c r="G853" s="238"/>
      <c r="H853" s="238"/>
      <c r="I853" s="238"/>
      <c r="J853" s="238"/>
      <c r="K853" s="238"/>
      <c r="L853" s="238"/>
      <c r="M853" s="238"/>
      <c r="N853" s="238"/>
      <c r="O853" s="238"/>
      <c r="P853" s="238"/>
      <c r="Q853" s="238"/>
      <c r="R853" s="238"/>
      <c r="S853" s="238"/>
      <c r="T853" s="238"/>
      <c r="U853" s="238"/>
      <c r="V853" s="238"/>
      <c r="W853" s="238"/>
    </row>
    <row r="854" spans="1:23" ht="12.75">
      <c r="A854" s="238"/>
      <c r="B854" s="238"/>
      <c r="C854" s="238"/>
      <c r="D854" s="238"/>
      <c r="E854" s="238"/>
      <c r="F854" s="238"/>
      <c r="G854" s="238"/>
      <c r="H854" s="238"/>
      <c r="I854" s="238"/>
      <c r="J854" s="238"/>
      <c r="K854" s="238"/>
      <c r="L854" s="238"/>
      <c r="M854" s="238"/>
      <c r="N854" s="238"/>
      <c r="O854" s="238"/>
      <c r="P854" s="238"/>
      <c r="Q854" s="238"/>
      <c r="R854" s="238"/>
      <c r="S854" s="238"/>
      <c r="T854" s="238"/>
      <c r="U854" s="238"/>
      <c r="V854" s="238"/>
      <c r="W854" s="238"/>
    </row>
    <row r="855" spans="1:23" ht="12.75">
      <c r="A855" s="238"/>
      <c r="B855" s="238"/>
      <c r="C855" s="238"/>
      <c r="D855" s="238"/>
      <c r="E855" s="238"/>
      <c r="F855" s="238"/>
      <c r="G855" s="238"/>
      <c r="H855" s="238"/>
      <c r="I855" s="238"/>
      <c r="J855" s="238"/>
      <c r="K855" s="238"/>
      <c r="L855" s="238"/>
      <c r="M855" s="238"/>
      <c r="N855" s="238"/>
      <c r="O855" s="238"/>
      <c r="P855" s="238"/>
      <c r="Q855" s="238"/>
      <c r="R855" s="238"/>
      <c r="S855" s="238"/>
      <c r="T855" s="238"/>
      <c r="U855" s="238"/>
      <c r="V855" s="238"/>
      <c r="W855" s="238"/>
    </row>
    <row r="856" spans="1:23" ht="12.75">
      <c r="A856" s="238"/>
      <c r="B856" s="238"/>
      <c r="C856" s="238"/>
      <c r="D856" s="238"/>
      <c r="E856" s="238"/>
      <c r="F856" s="238"/>
      <c r="G856" s="238"/>
      <c r="H856" s="238"/>
      <c r="I856" s="238"/>
      <c r="J856" s="238"/>
      <c r="K856" s="238"/>
      <c r="L856" s="238"/>
      <c r="M856" s="238"/>
      <c r="N856" s="238"/>
      <c r="O856" s="238"/>
      <c r="P856" s="238"/>
      <c r="Q856" s="238"/>
      <c r="R856" s="238"/>
      <c r="S856" s="238"/>
      <c r="T856" s="238"/>
      <c r="U856" s="238"/>
      <c r="V856" s="238"/>
      <c r="W856" s="238"/>
    </row>
    <row r="857" spans="1:23" ht="12.75">
      <c r="A857" s="238"/>
      <c r="B857" s="238"/>
      <c r="C857" s="238"/>
      <c r="D857" s="238"/>
      <c r="E857" s="238"/>
      <c r="F857" s="238"/>
      <c r="G857" s="238"/>
      <c r="H857" s="238"/>
      <c r="I857" s="238"/>
      <c r="J857" s="238"/>
      <c r="K857" s="238"/>
      <c r="L857" s="238"/>
      <c r="M857" s="238"/>
      <c r="N857" s="238"/>
      <c r="O857" s="238"/>
      <c r="P857" s="238"/>
      <c r="Q857" s="238"/>
      <c r="R857" s="238"/>
      <c r="S857" s="238"/>
      <c r="T857" s="238"/>
      <c r="U857" s="238"/>
      <c r="V857" s="238"/>
      <c r="W857" s="238"/>
    </row>
    <row r="858" spans="1:23" ht="12.75">
      <c r="A858" s="238"/>
      <c r="B858" s="238"/>
      <c r="C858" s="238"/>
      <c r="D858" s="238"/>
      <c r="E858" s="238"/>
      <c r="F858" s="238"/>
      <c r="G858" s="238"/>
      <c r="H858" s="238"/>
      <c r="I858" s="238"/>
      <c r="J858" s="238"/>
      <c r="K858" s="238"/>
      <c r="L858" s="238"/>
      <c r="M858" s="238"/>
      <c r="N858" s="238"/>
      <c r="O858" s="238"/>
      <c r="P858" s="238"/>
      <c r="Q858" s="238"/>
      <c r="R858" s="238"/>
      <c r="S858" s="238"/>
      <c r="T858" s="238"/>
      <c r="U858" s="238"/>
      <c r="V858" s="238"/>
      <c r="W858" s="238"/>
    </row>
    <row r="859" spans="1:23" ht="12.75">
      <c r="A859" s="238"/>
      <c r="B859" s="238"/>
      <c r="C859" s="238"/>
      <c r="D859" s="238"/>
      <c r="E859" s="238"/>
      <c r="F859" s="238"/>
      <c r="G859" s="238"/>
      <c r="H859" s="238"/>
      <c r="I859" s="238"/>
      <c r="J859" s="238"/>
      <c r="K859" s="238"/>
      <c r="L859" s="238"/>
      <c r="M859" s="238"/>
      <c r="N859" s="238"/>
      <c r="O859" s="238"/>
      <c r="P859" s="238"/>
      <c r="Q859" s="238"/>
      <c r="R859" s="238"/>
      <c r="S859" s="238"/>
      <c r="T859" s="238"/>
      <c r="U859" s="238"/>
      <c r="V859" s="238"/>
      <c r="W859" s="238"/>
    </row>
    <row r="860" spans="1:23" ht="12.75">
      <c r="A860" s="238"/>
      <c r="B860" s="238"/>
      <c r="C860" s="238"/>
      <c r="D860" s="238"/>
      <c r="E860" s="238"/>
      <c r="F860" s="238"/>
      <c r="G860" s="238"/>
      <c r="H860" s="238"/>
      <c r="I860" s="238"/>
      <c r="J860" s="238"/>
      <c r="K860" s="238"/>
      <c r="L860" s="238"/>
      <c r="M860" s="238"/>
      <c r="N860" s="238"/>
      <c r="O860" s="238"/>
      <c r="P860" s="238"/>
      <c r="Q860" s="238"/>
      <c r="R860" s="238"/>
      <c r="S860" s="238"/>
      <c r="T860" s="238"/>
      <c r="U860" s="238"/>
      <c r="V860" s="238"/>
      <c r="W860" s="238"/>
    </row>
    <row r="861" spans="1:23" ht="12.75">
      <c r="A861" s="238"/>
      <c r="B861" s="238"/>
      <c r="C861" s="238"/>
      <c r="D861" s="238"/>
      <c r="E861" s="238"/>
      <c r="F861" s="238"/>
      <c r="G861" s="238"/>
      <c r="H861" s="238"/>
      <c r="I861" s="238"/>
      <c r="J861" s="238"/>
      <c r="K861" s="238"/>
      <c r="L861" s="238"/>
      <c r="M861" s="238"/>
      <c r="N861" s="238"/>
      <c r="O861" s="238"/>
      <c r="P861" s="238"/>
      <c r="Q861" s="238"/>
      <c r="R861" s="238"/>
      <c r="S861" s="238"/>
      <c r="T861" s="238"/>
      <c r="U861" s="238"/>
      <c r="V861" s="238"/>
      <c r="W861" s="238"/>
    </row>
    <row r="862" spans="1:23" ht="12.75">
      <c r="A862" s="238"/>
      <c r="B862" s="238"/>
      <c r="C862" s="238"/>
      <c r="D862" s="238"/>
      <c r="E862" s="238"/>
      <c r="F862" s="238"/>
      <c r="G862" s="238"/>
      <c r="H862" s="238"/>
      <c r="I862" s="238"/>
      <c r="J862" s="238"/>
      <c r="K862" s="238"/>
      <c r="L862" s="238"/>
      <c r="M862" s="238"/>
      <c r="N862" s="238"/>
      <c r="O862" s="238"/>
      <c r="P862" s="238"/>
      <c r="Q862" s="238"/>
      <c r="R862" s="238"/>
      <c r="S862" s="238"/>
      <c r="T862" s="238"/>
      <c r="U862" s="238"/>
      <c r="V862" s="238"/>
      <c r="W862" s="238"/>
    </row>
    <row r="863" spans="1:23" ht="12.75">
      <c r="A863" s="238"/>
      <c r="B863" s="238"/>
      <c r="C863" s="238"/>
      <c r="D863" s="238"/>
      <c r="E863" s="238"/>
      <c r="F863" s="238"/>
      <c r="G863" s="238"/>
      <c r="H863" s="238"/>
      <c r="I863" s="238"/>
      <c r="J863" s="238"/>
      <c r="K863" s="238"/>
      <c r="L863" s="238"/>
      <c r="M863" s="238"/>
      <c r="N863" s="238"/>
      <c r="O863" s="238"/>
      <c r="P863" s="238"/>
      <c r="Q863" s="238"/>
      <c r="R863" s="238"/>
      <c r="S863" s="238"/>
      <c r="T863" s="238"/>
      <c r="U863" s="238"/>
      <c r="V863" s="238"/>
      <c r="W863" s="238"/>
    </row>
    <row r="864" spans="1:23" ht="12.75">
      <c r="A864" s="238"/>
      <c r="B864" s="238"/>
      <c r="C864" s="238"/>
      <c r="D864" s="238"/>
      <c r="E864" s="238"/>
      <c r="F864" s="238"/>
      <c r="G864" s="238"/>
      <c r="H864" s="238"/>
      <c r="I864" s="238"/>
      <c r="J864" s="238"/>
      <c r="K864" s="238"/>
      <c r="L864" s="238"/>
      <c r="M864" s="238"/>
      <c r="N864" s="238"/>
      <c r="O864" s="238"/>
      <c r="P864" s="238"/>
      <c r="Q864" s="238"/>
      <c r="R864" s="238"/>
      <c r="S864" s="238"/>
      <c r="T864" s="238"/>
      <c r="U864" s="238"/>
      <c r="V864" s="238"/>
      <c r="W864" s="238"/>
    </row>
    <row r="865" spans="1:23" ht="12.75">
      <c r="A865" s="238"/>
      <c r="B865" s="238"/>
      <c r="C865" s="238"/>
      <c r="D865" s="238"/>
      <c r="E865" s="238"/>
      <c r="F865" s="238"/>
      <c r="G865" s="238"/>
      <c r="H865" s="238"/>
      <c r="I865" s="238"/>
      <c r="J865" s="238"/>
      <c r="K865" s="238"/>
      <c r="L865" s="238"/>
      <c r="M865" s="238"/>
      <c r="N865" s="238"/>
      <c r="O865" s="238"/>
      <c r="P865" s="238"/>
      <c r="Q865" s="238"/>
      <c r="R865" s="238"/>
      <c r="S865" s="238"/>
      <c r="T865" s="238"/>
      <c r="U865" s="238"/>
      <c r="V865" s="238"/>
      <c r="W865" s="238"/>
    </row>
    <row r="866" spans="1:23" ht="12.75">
      <c r="A866" s="238"/>
      <c r="B866" s="238"/>
      <c r="C866" s="238"/>
      <c r="D866" s="238"/>
      <c r="E866" s="238"/>
      <c r="F866" s="238"/>
      <c r="G866" s="238"/>
      <c r="H866" s="238"/>
      <c r="I866" s="238"/>
      <c r="J866" s="238"/>
      <c r="K866" s="238"/>
      <c r="L866" s="238"/>
      <c r="M866" s="238"/>
      <c r="N866" s="238"/>
      <c r="O866" s="238"/>
      <c r="P866" s="238"/>
      <c r="Q866" s="238"/>
      <c r="R866" s="238"/>
      <c r="S866" s="238"/>
      <c r="T866" s="238"/>
      <c r="U866" s="238"/>
      <c r="V866" s="238"/>
      <c r="W866" s="238"/>
    </row>
    <row r="867" spans="1:23" ht="12.75">
      <c r="A867" s="238"/>
      <c r="B867" s="238"/>
      <c r="C867" s="238"/>
      <c r="D867" s="238"/>
      <c r="E867" s="238"/>
      <c r="F867" s="238"/>
      <c r="G867" s="238"/>
      <c r="H867" s="238"/>
      <c r="I867" s="238"/>
      <c r="J867" s="238"/>
      <c r="K867" s="238"/>
      <c r="L867" s="238"/>
      <c r="M867" s="238"/>
      <c r="N867" s="238"/>
      <c r="O867" s="238"/>
      <c r="P867" s="238"/>
      <c r="Q867" s="238"/>
      <c r="R867" s="238"/>
      <c r="S867" s="238"/>
      <c r="T867" s="238"/>
      <c r="U867" s="238"/>
      <c r="V867" s="238"/>
      <c r="W867" s="238"/>
    </row>
    <row r="868" spans="1:23" ht="12.75">
      <c r="A868" s="238"/>
      <c r="B868" s="238"/>
      <c r="C868" s="238"/>
      <c r="D868" s="238"/>
      <c r="E868" s="238"/>
      <c r="F868" s="238"/>
      <c r="G868" s="238"/>
      <c r="H868" s="238"/>
      <c r="I868" s="238"/>
      <c r="J868" s="238"/>
      <c r="K868" s="238"/>
      <c r="L868" s="238"/>
      <c r="M868" s="238"/>
      <c r="N868" s="238"/>
      <c r="O868" s="238"/>
      <c r="P868" s="238"/>
      <c r="Q868" s="238"/>
      <c r="R868" s="238"/>
      <c r="S868" s="238"/>
      <c r="T868" s="238"/>
      <c r="U868" s="238"/>
      <c r="V868" s="238"/>
      <c r="W868" s="238"/>
    </row>
    <row r="869" spans="1:23" ht="12.75">
      <c r="A869" s="238"/>
      <c r="B869" s="238"/>
      <c r="C869" s="238"/>
      <c r="D869" s="238"/>
      <c r="E869" s="238"/>
      <c r="F869" s="238"/>
      <c r="G869" s="238"/>
      <c r="H869" s="238"/>
      <c r="I869" s="238"/>
      <c r="J869" s="238"/>
      <c r="K869" s="238"/>
      <c r="L869" s="238"/>
      <c r="M869" s="238"/>
      <c r="N869" s="238"/>
      <c r="O869" s="238"/>
      <c r="P869" s="238"/>
      <c r="Q869" s="238"/>
      <c r="R869" s="238"/>
      <c r="S869" s="238"/>
      <c r="T869" s="238"/>
      <c r="U869" s="238"/>
      <c r="V869" s="238"/>
      <c r="W869" s="238"/>
    </row>
    <row r="870" spans="1:23" ht="12.75">
      <c r="A870" s="238"/>
      <c r="B870" s="238"/>
      <c r="C870" s="238"/>
      <c r="D870" s="238"/>
      <c r="E870" s="238"/>
      <c r="F870" s="238"/>
      <c r="G870" s="238"/>
      <c r="H870" s="238"/>
      <c r="I870" s="238"/>
      <c r="J870" s="238"/>
      <c r="K870" s="238"/>
      <c r="L870" s="238"/>
      <c r="M870" s="238"/>
      <c r="N870" s="238"/>
      <c r="O870" s="238"/>
      <c r="P870" s="238"/>
      <c r="Q870" s="238"/>
      <c r="R870" s="238"/>
      <c r="S870" s="238"/>
      <c r="T870" s="238"/>
      <c r="U870" s="238"/>
      <c r="V870" s="238"/>
      <c r="W870" s="238"/>
    </row>
    <row r="871" spans="1:23" ht="12.75">
      <c r="A871" s="238"/>
      <c r="B871" s="238"/>
      <c r="C871" s="238"/>
      <c r="D871" s="238"/>
      <c r="E871" s="238"/>
      <c r="F871" s="238"/>
      <c r="G871" s="238"/>
      <c r="H871" s="238"/>
      <c r="I871" s="238"/>
      <c r="J871" s="238"/>
      <c r="K871" s="238"/>
      <c r="L871" s="238"/>
      <c r="M871" s="238"/>
      <c r="N871" s="238"/>
      <c r="O871" s="238"/>
      <c r="P871" s="238"/>
      <c r="Q871" s="238"/>
      <c r="R871" s="238"/>
      <c r="S871" s="238"/>
      <c r="T871" s="238"/>
      <c r="U871" s="238"/>
      <c r="V871" s="238"/>
      <c r="W871" s="238"/>
    </row>
    <row r="872" spans="1:23" ht="12.75">
      <c r="A872" s="238"/>
      <c r="B872" s="238"/>
      <c r="C872" s="238"/>
      <c r="D872" s="238"/>
      <c r="E872" s="238"/>
      <c r="F872" s="238"/>
      <c r="G872" s="238"/>
      <c r="H872" s="238"/>
      <c r="I872" s="238"/>
      <c r="J872" s="238"/>
      <c r="K872" s="238"/>
      <c r="L872" s="238"/>
      <c r="M872" s="238"/>
      <c r="N872" s="238"/>
      <c r="O872" s="238"/>
      <c r="P872" s="238"/>
      <c r="Q872" s="238"/>
      <c r="R872" s="238"/>
      <c r="S872" s="238"/>
      <c r="T872" s="238"/>
      <c r="U872" s="238"/>
      <c r="V872" s="238"/>
      <c r="W872" s="238"/>
    </row>
    <row r="873" spans="1:23" ht="12.75">
      <c r="A873" s="238"/>
      <c r="B873" s="238"/>
      <c r="C873" s="238"/>
      <c r="D873" s="238"/>
      <c r="E873" s="238"/>
      <c r="F873" s="238"/>
      <c r="G873" s="238"/>
      <c r="H873" s="238"/>
      <c r="I873" s="238"/>
      <c r="J873" s="238"/>
      <c r="K873" s="238"/>
      <c r="L873" s="238"/>
      <c r="M873" s="238"/>
      <c r="N873" s="238"/>
      <c r="O873" s="238"/>
      <c r="P873" s="238"/>
      <c r="Q873" s="238"/>
      <c r="R873" s="238"/>
      <c r="S873" s="238"/>
      <c r="T873" s="238"/>
      <c r="U873" s="238"/>
      <c r="V873" s="238"/>
      <c r="W873" s="238"/>
    </row>
    <row r="874" spans="1:23" ht="12.75">
      <c r="A874" s="238"/>
      <c r="B874" s="238"/>
      <c r="C874" s="238"/>
      <c r="D874" s="238"/>
      <c r="E874" s="238"/>
      <c r="F874" s="238"/>
      <c r="G874" s="238"/>
      <c r="H874" s="238"/>
      <c r="I874" s="238"/>
      <c r="J874" s="238"/>
      <c r="K874" s="238"/>
      <c r="L874" s="238"/>
      <c r="M874" s="238"/>
      <c r="N874" s="238"/>
      <c r="O874" s="238"/>
      <c r="P874" s="238"/>
      <c r="Q874" s="238"/>
      <c r="R874" s="238"/>
      <c r="S874" s="238"/>
      <c r="T874" s="238"/>
      <c r="U874" s="238"/>
      <c r="V874" s="238"/>
      <c r="W874" s="238"/>
    </row>
    <row r="875" spans="1:23" ht="12.75">
      <c r="A875" s="238"/>
      <c r="B875" s="238"/>
      <c r="C875" s="238"/>
      <c r="D875" s="238"/>
      <c r="E875" s="238"/>
      <c r="F875" s="238"/>
      <c r="G875" s="238"/>
      <c r="H875" s="238"/>
      <c r="I875" s="238"/>
      <c r="J875" s="238"/>
      <c r="K875" s="238"/>
      <c r="L875" s="238"/>
      <c r="M875" s="238"/>
      <c r="N875" s="238"/>
      <c r="O875" s="238"/>
      <c r="P875" s="238"/>
      <c r="Q875" s="238"/>
      <c r="R875" s="238"/>
      <c r="S875" s="238"/>
      <c r="T875" s="238"/>
      <c r="U875" s="238"/>
      <c r="V875" s="238"/>
      <c r="W875" s="238"/>
    </row>
    <row r="876" spans="1:23" ht="12.75">
      <c r="A876" s="238"/>
      <c r="B876" s="238"/>
      <c r="C876" s="238"/>
      <c r="D876" s="238"/>
      <c r="E876" s="238"/>
      <c r="F876" s="238"/>
      <c r="G876" s="238"/>
      <c r="H876" s="238"/>
      <c r="I876" s="238"/>
      <c r="J876" s="238"/>
      <c r="K876" s="238"/>
      <c r="L876" s="238"/>
      <c r="M876" s="238"/>
      <c r="N876" s="238"/>
      <c r="O876" s="238"/>
      <c r="P876" s="238"/>
      <c r="Q876" s="238"/>
      <c r="R876" s="238"/>
      <c r="S876" s="238"/>
      <c r="T876" s="238"/>
      <c r="U876" s="238"/>
      <c r="V876" s="238"/>
      <c r="W876" s="238"/>
    </row>
    <row r="877" spans="1:23" ht="12.75">
      <c r="A877" s="238"/>
      <c r="B877" s="238"/>
      <c r="C877" s="238"/>
      <c r="D877" s="238"/>
      <c r="E877" s="238"/>
      <c r="F877" s="238"/>
      <c r="G877" s="238"/>
      <c r="H877" s="238"/>
      <c r="I877" s="238"/>
      <c r="J877" s="238"/>
      <c r="K877" s="238"/>
      <c r="L877" s="238"/>
      <c r="M877" s="238"/>
      <c r="N877" s="238"/>
      <c r="O877" s="238"/>
      <c r="P877" s="238"/>
      <c r="Q877" s="238"/>
      <c r="R877" s="238"/>
      <c r="S877" s="238"/>
      <c r="T877" s="238"/>
      <c r="U877" s="238"/>
      <c r="V877" s="238"/>
      <c r="W877" s="238"/>
    </row>
    <row r="878" spans="1:23" ht="12.75">
      <c r="A878" s="238"/>
      <c r="B878" s="238"/>
      <c r="C878" s="238"/>
      <c r="D878" s="238"/>
      <c r="E878" s="238"/>
      <c r="F878" s="238"/>
      <c r="G878" s="238"/>
      <c r="H878" s="238"/>
      <c r="I878" s="238"/>
      <c r="J878" s="238"/>
      <c r="K878" s="238"/>
      <c r="L878" s="238"/>
      <c r="M878" s="238"/>
      <c r="N878" s="238"/>
      <c r="O878" s="238"/>
      <c r="P878" s="238"/>
      <c r="Q878" s="238"/>
      <c r="R878" s="238"/>
      <c r="S878" s="238"/>
      <c r="T878" s="238"/>
      <c r="U878" s="238"/>
      <c r="V878" s="238"/>
      <c r="W878" s="238"/>
    </row>
    <row r="879" spans="1:23" ht="12.75">
      <c r="A879" s="238"/>
      <c r="B879" s="238"/>
      <c r="C879" s="238"/>
      <c r="D879" s="238"/>
      <c r="E879" s="238"/>
      <c r="F879" s="238"/>
      <c r="G879" s="238"/>
      <c r="H879" s="238"/>
      <c r="I879" s="238"/>
      <c r="J879" s="238"/>
      <c r="K879" s="238"/>
      <c r="L879" s="238"/>
      <c r="M879" s="238"/>
      <c r="N879" s="238"/>
      <c r="O879" s="238"/>
      <c r="P879" s="238"/>
      <c r="Q879" s="238"/>
      <c r="R879" s="238"/>
      <c r="S879" s="238"/>
      <c r="T879" s="238"/>
      <c r="U879" s="238"/>
      <c r="V879" s="238"/>
      <c r="W879" s="238"/>
    </row>
    <row r="880" spans="1:23" ht="12.75">
      <c r="A880" s="238"/>
      <c r="B880" s="238"/>
      <c r="C880" s="238"/>
      <c r="D880" s="238"/>
      <c r="E880" s="238"/>
      <c r="F880" s="238"/>
      <c r="G880" s="238"/>
      <c r="H880" s="238"/>
      <c r="I880" s="238"/>
      <c r="J880" s="238"/>
      <c r="K880" s="238"/>
      <c r="L880" s="238"/>
      <c r="M880" s="238"/>
      <c r="N880" s="238"/>
      <c r="O880" s="238"/>
      <c r="P880" s="238"/>
      <c r="Q880" s="238"/>
      <c r="R880" s="238"/>
      <c r="S880" s="238"/>
      <c r="T880" s="238"/>
      <c r="U880" s="238"/>
      <c r="V880" s="238"/>
      <c r="W880" s="238"/>
    </row>
    <row r="881" spans="1:23" ht="12.75">
      <c r="A881" s="238"/>
      <c r="B881" s="238"/>
      <c r="C881" s="238"/>
      <c r="D881" s="238"/>
      <c r="E881" s="238"/>
      <c r="F881" s="238"/>
      <c r="G881" s="238"/>
      <c r="H881" s="238"/>
      <c r="I881" s="238"/>
      <c r="J881" s="238"/>
      <c r="K881" s="238"/>
      <c r="L881" s="238"/>
      <c r="M881" s="238"/>
      <c r="N881" s="238"/>
      <c r="O881" s="238"/>
      <c r="P881" s="238"/>
      <c r="Q881" s="238"/>
      <c r="R881" s="238"/>
      <c r="S881" s="238"/>
      <c r="T881" s="238"/>
      <c r="U881" s="238"/>
      <c r="V881" s="238"/>
      <c r="W881" s="238"/>
    </row>
    <row r="882" spans="1:23" ht="12.75">
      <c r="A882" s="238"/>
      <c r="B882" s="238"/>
      <c r="C882" s="238"/>
      <c r="D882" s="238"/>
      <c r="E882" s="238"/>
      <c r="F882" s="238"/>
      <c r="G882" s="238"/>
      <c r="H882" s="238"/>
      <c r="I882" s="238"/>
      <c r="J882" s="238"/>
      <c r="K882" s="238"/>
      <c r="L882" s="238"/>
      <c r="M882" s="238"/>
      <c r="N882" s="238"/>
      <c r="O882" s="238"/>
      <c r="P882" s="238"/>
      <c r="Q882" s="238"/>
      <c r="R882" s="238"/>
      <c r="S882" s="238"/>
      <c r="T882" s="238"/>
      <c r="U882" s="238"/>
      <c r="V882" s="238"/>
      <c r="W882" s="238"/>
    </row>
    <row r="883" spans="1:23" ht="12.75">
      <c r="A883" s="238"/>
      <c r="B883" s="238"/>
      <c r="C883" s="238"/>
      <c r="D883" s="238"/>
      <c r="E883" s="238"/>
      <c r="F883" s="238"/>
      <c r="G883" s="238"/>
      <c r="H883" s="238"/>
      <c r="I883" s="238"/>
      <c r="J883" s="238"/>
      <c r="K883" s="238"/>
      <c r="L883" s="238"/>
      <c r="M883" s="238"/>
      <c r="N883" s="238"/>
      <c r="O883" s="238"/>
      <c r="P883" s="238"/>
      <c r="Q883" s="238"/>
      <c r="R883" s="238"/>
      <c r="S883" s="238"/>
      <c r="T883" s="238"/>
      <c r="U883" s="238"/>
      <c r="V883" s="238"/>
      <c r="W883" s="238"/>
    </row>
    <row r="884" spans="1:23" ht="12.75">
      <c r="A884" s="238"/>
      <c r="B884" s="238"/>
      <c r="C884" s="238"/>
      <c r="D884" s="238"/>
      <c r="E884" s="238"/>
      <c r="F884" s="238"/>
      <c r="G884" s="238"/>
      <c r="H884" s="238"/>
      <c r="I884" s="238"/>
      <c r="J884" s="238"/>
      <c r="K884" s="238"/>
      <c r="L884" s="238"/>
      <c r="M884" s="238"/>
      <c r="N884" s="238"/>
      <c r="O884" s="238"/>
      <c r="P884" s="238"/>
      <c r="Q884" s="238"/>
      <c r="R884" s="238"/>
      <c r="S884" s="238"/>
      <c r="T884" s="238"/>
      <c r="U884" s="238"/>
      <c r="V884" s="238"/>
      <c r="W884" s="238"/>
    </row>
    <row r="885" spans="1:23" ht="12.75">
      <c r="A885" s="238"/>
      <c r="B885" s="238"/>
      <c r="C885" s="238"/>
      <c r="D885" s="238"/>
      <c r="E885" s="238"/>
      <c r="F885" s="238"/>
      <c r="G885" s="238"/>
      <c r="H885" s="238"/>
      <c r="I885" s="238"/>
      <c r="J885" s="238"/>
      <c r="K885" s="238"/>
      <c r="L885" s="238"/>
      <c r="M885" s="238"/>
      <c r="N885" s="238"/>
      <c r="O885" s="238"/>
      <c r="P885" s="238"/>
      <c r="Q885" s="238"/>
      <c r="R885" s="238"/>
      <c r="S885" s="238"/>
      <c r="T885" s="238"/>
      <c r="U885" s="238"/>
      <c r="V885" s="238"/>
      <c r="W885" s="238"/>
    </row>
    <row r="886" spans="1:23" ht="12.75">
      <c r="A886" s="238"/>
      <c r="B886" s="238"/>
      <c r="C886" s="238"/>
      <c r="D886" s="238"/>
      <c r="E886" s="238"/>
      <c r="F886" s="238"/>
      <c r="G886" s="238"/>
      <c r="H886" s="238"/>
      <c r="I886" s="238"/>
      <c r="J886" s="238"/>
      <c r="K886" s="238"/>
      <c r="L886" s="238"/>
      <c r="M886" s="238"/>
      <c r="N886" s="238"/>
      <c r="O886" s="238"/>
      <c r="P886" s="238"/>
      <c r="Q886" s="238"/>
      <c r="R886" s="238"/>
      <c r="S886" s="238"/>
      <c r="T886" s="238"/>
      <c r="U886" s="238"/>
      <c r="V886" s="238"/>
      <c r="W886" s="238"/>
    </row>
    <row r="887" spans="1:23" ht="12.75">
      <c r="A887" s="238"/>
      <c r="B887" s="238"/>
      <c r="C887" s="238"/>
      <c r="D887" s="238"/>
      <c r="E887" s="238"/>
      <c r="F887" s="238"/>
      <c r="G887" s="238"/>
      <c r="H887" s="238"/>
      <c r="I887" s="238"/>
      <c r="J887" s="238"/>
      <c r="K887" s="238"/>
      <c r="L887" s="238"/>
      <c r="M887" s="238"/>
      <c r="N887" s="238"/>
      <c r="O887" s="238"/>
      <c r="P887" s="238"/>
      <c r="Q887" s="238"/>
      <c r="R887" s="238"/>
      <c r="S887" s="238"/>
      <c r="T887" s="238"/>
      <c r="U887" s="238"/>
      <c r="V887" s="238"/>
      <c r="W887" s="238"/>
    </row>
    <row r="888" spans="1:23" ht="12.75">
      <c r="A888" s="238"/>
      <c r="B888" s="238"/>
      <c r="C888" s="238"/>
      <c r="D888" s="238"/>
      <c r="E888" s="238"/>
      <c r="F888" s="238"/>
      <c r="G888" s="238"/>
      <c r="H888" s="238"/>
      <c r="I888" s="238"/>
      <c r="J888" s="238"/>
      <c r="K888" s="238"/>
      <c r="L888" s="238"/>
      <c r="M888" s="238"/>
      <c r="N888" s="238"/>
      <c r="O888" s="238"/>
      <c r="P888" s="238"/>
      <c r="Q888" s="238"/>
      <c r="R888" s="238"/>
      <c r="S888" s="238"/>
      <c r="T888" s="238"/>
      <c r="U888" s="238"/>
      <c r="V888" s="238"/>
      <c r="W888" s="238"/>
    </row>
    <row r="889" spans="1:23" ht="12.75">
      <c r="A889" s="238"/>
      <c r="B889" s="238"/>
      <c r="C889" s="238"/>
      <c r="D889" s="238"/>
      <c r="E889" s="238"/>
      <c r="F889" s="238"/>
      <c r="G889" s="238"/>
      <c r="H889" s="238"/>
      <c r="I889" s="238"/>
      <c r="J889" s="238"/>
      <c r="K889" s="238"/>
      <c r="L889" s="238"/>
      <c r="M889" s="238"/>
      <c r="N889" s="238"/>
      <c r="O889" s="238"/>
      <c r="P889" s="238"/>
      <c r="Q889" s="238"/>
      <c r="R889" s="238"/>
      <c r="S889" s="238"/>
      <c r="T889" s="238"/>
      <c r="U889" s="238"/>
      <c r="V889" s="238"/>
      <c r="W889" s="238"/>
    </row>
    <row r="890" spans="1:23" ht="12.75">
      <c r="A890" s="238"/>
      <c r="B890" s="238"/>
      <c r="C890" s="238"/>
      <c r="D890" s="238"/>
      <c r="E890" s="238"/>
      <c r="F890" s="238"/>
      <c r="G890" s="238"/>
      <c r="H890" s="238"/>
      <c r="I890" s="238"/>
      <c r="J890" s="238"/>
      <c r="K890" s="238"/>
      <c r="L890" s="238"/>
      <c r="M890" s="238"/>
      <c r="N890" s="238"/>
      <c r="O890" s="238"/>
      <c r="P890" s="238"/>
      <c r="Q890" s="238"/>
      <c r="R890" s="238"/>
      <c r="S890" s="238"/>
      <c r="T890" s="238"/>
      <c r="U890" s="238"/>
      <c r="V890" s="238"/>
      <c r="W890" s="238"/>
    </row>
    <row r="891" spans="1:23" ht="12.75">
      <c r="A891" s="238"/>
      <c r="B891" s="238"/>
      <c r="C891" s="238"/>
      <c r="D891" s="238"/>
      <c r="E891" s="238"/>
      <c r="F891" s="238"/>
      <c r="G891" s="238"/>
      <c r="H891" s="238"/>
      <c r="I891" s="238"/>
      <c r="J891" s="238"/>
      <c r="K891" s="238"/>
      <c r="L891" s="238"/>
      <c r="M891" s="238"/>
      <c r="N891" s="238"/>
      <c r="O891" s="238"/>
      <c r="P891" s="238"/>
      <c r="Q891" s="238"/>
      <c r="R891" s="238"/>
      <c r="S891" s="238"/>
      <c r="T891" s="238"/>
      <c r="U891" s="238"/>
      <c r="V891" s="238"/>
      <c r="W891" s="238"/>
    </row>
    <row r="892" spans="1:23" ht="12.75">
      <c r="A892" s="238"/>
      <c r="B892" s="238"/>
      <c r="C892" s="238"/>
      <c r="D892" s="238"/>
      <c r="E892" s="238"/>
      <c r="F892" s="238"/>
      <c r="G892" s="238"/>
      <c r="H892" s="238"/>
      <c r="I892" s="238"/>
      <c r="J892" s="238"/>
      <c r="K892" s="238"/>
      <c r="L892" s="238"/>
      <c r="M892" s="238"/>
      <c r="N892" s="238"/>
      <c r="O892" s="238"/>
      <c r="P892" s="238"/>
      <c r="Q892" s="238"/>
      <c r="R892" s="238"/>
      <c r="S892" s="238"/>
      <c r="T892" s="238"/>
      <c r="U892" s="238"/>
      <c r="V892" s="238"/>
      <c r="W892" s="238"/>
    </row>
    <row r="893" spans="1:23" ht="12.75">
      <c r="A893" s="238"/>
      <c r="B893" s="238"/>
      <c r="C893" s="238"/>
      <c r="D893" s="238"/>
      <c r="E893" s="238"/>
      <c r="F893" s="238"/>
      <c r="G893" s="238"/>
      <c r="H893" s="238"/>
      <c r="I893" s="238"/>
      <c r="J893" s="238"/>
      <c r="K893" s="238"/>
      <c r="L893" s="238"/>
      <c r="M893" s="238"/>
      <c r="N893" s="238"/>
      <c r="O893" s="238"/>
      <c r="P893" s="238"/>
      <c r="Q893" s="238"/>
      <c r="R893" s="238"/>
      <c r="S893" s="238"/>
      <c r="T893" s="238"/>
      <c r="U893" s="238"/>
      <c r="V893" s="238"/>
      <c r="W893" s="238"/>
    </row>
    <row r="894" spans="1:23" ht="12.75">
      <c r="A894" s="238"/>
      <c r="B894" s="238"/>
      <c r="C894" s="238"/>
      <c r="D894" s="238"/>
      <c r="E894" s="238"/>
      <c r="F894" s="238"/>
      <c r="G894" s="238"/>
      <c r="H894" s="238"/>
      <c r="I894" s="238"/>
      <c r="J894" s="238"/>
      <c r="K894" s="238"/>
      <c r="L894" s="238"/>
      <c r="M894" s="238"/>
      <c r="N894" s="238"/>
      <c r="O894" s="238"/>
      <c r="P894" s="238"/>
      <c r="Q894" s="238"/>
      <c r="R894" s="238"/>
      <c r="S894" s="238"/>
      <c r="T894" s="238"/>
      <c r="U894" s="238"/>
      <c r="V894" s="238"/>
      <c r="W894" s="238"/>
    </row>
    <row r="895" spans="1:23" ht="12.75">
      <c r="A895" s="238"/>
      <c r="B895" s="238"/>
      <c r="C895" s="238"/>
      <c r="D895" s="238"/>
      <c r="E895" s="238"/>
      <c r="F895" s="238"/>
      <c r="G895" s="238"/>
      <c r="H895" s="238"/>
      <c r="I895" s="238"/>
      <c r="J895" s="238"/>
      <c r="K895" s="238"/>
      <c r="L895" s="238"/>
      <c r="M895" s="238"/>
      <c r="N895" s="238"/>
      <c r="O895" s="238"/>
      <c r="P895" s="238"/>
      <c r="Q895" s="238"/>
      <c r="R895" s="238"/>
      <c r="S895" s="238"/>
      <c r="T895" s="238"/>
      <c r="U895" s="238"/>
      <c r="V895" s="238"/>
      <c r="W895" s="238"/>
    </row>
    <row r="896" spans="1:23" ht="12.75">
      <c r="A896" s="238"/>
      <c r="B896" s="238"/>
      <c r="C896" s="238"/>
      <c r="D896" s="238"/>
      <c r="E896" s="238"/>
      <c r="F896" s="238"/>
      <c r="G896" s="238"/>
      <c r="H896" s="238"/>
      <c r="I896" s="238"/>
      <c r="J896" s="238"/>
      <c r="K896" s="238"/>
      <c r="L896" s="238"/>
      <c r="M896" s="238"/>
      <c r="N896" s="238"/>
      <c r="O896" s="238"/>
      <c r="P896" s="238"/>
      <c r="Q896" s="238"/>
      <c r="R896" s="238"/>
      <c r="S896" s="238"/>
      <c r="T896" s="238"/>
      <c r="U896" s="238"/>
      <c r="V896" s="238"/>
      <c r="W896" s="238"/>
    </row>
    <row r="897" spans="1:23" ht="12.75">
      <c r="A897" s="238"/>
      <c r="B897" s="238"/>
      <c r="C897" s="238"/>
      <c r="D897" s="238"/>
      <c r="E897" s="238"/>
      <c r="F897" s="238"/>
      <c r="G897" s="238"/>
      <c r="H897" s="238"/>
      <c r="I897" s="238"/>
      <c r="J897" s="238"/>
      <c r="K897" s="238"/>
      <c r="L897" s="238"/>
      <c r="M897" s="238"/>
      <c r="N897" s="238"/>
      <c r="O897" s="238"/>
      <c r="P897" s="238"/>
      <c r="Q897" s="238"/>
      <c r="R897" s="238"/>
      <c r="S897" s="238"/>
      <c r="T897" s="238"/>
      <c r="U897" s="238"/>
      <c r="V897" s="238"/>
      <c r="W897" s="238"/>
    </row>
    <row r="898" spans="1:23" ht="12.75">
      <c r="A898" s="238"/>
      <c r="B898" s="238"/>
      <c r="C898" s="238"/>
      <c r="D898" s="238"/>
      <c r="E898" s="238"/>
      <c r="F898" s="238"/>
      <c r="G898" s="238"/>
      <c r="H898" s="238"/>
      <c r="I898" s="238"/>
      <c r="J898" s="238"/>
      <c r="K898" s="238"/>
      <c r="L898" s="238"/>
      <c r="M898" s="238"/>
      <c r="N898" s="238"/>
      <c r="O898" s="238"/>
      <c r="P898" s="238"/>
      <c r="Q898" s="238"/>
      <c r="R898" s="238"/>
      <c r="S898" s="238"/>
      <c r="T898" s="238"/>
      <c r="U898" s="238"/>
      <c r="V898" s="238"/>
      <c r="W898" s="238"/>
    </row>
    <row r="899" spans="1:23" ht="12.75">
      <c r="A899" s="238"/>
      <c r="B899" s="238"/>
      <c r="C899" s="238"/>
      <c r="D899" s="238"/>
      <c r="E899" s="238"/>
      <c r="F899" s="238"/>
      <c r="G899" s="238"/>
      <c r="H899" s="238"/>
      <c r="I899" s="238"/>
      <c r="J899" s="238"/>
      <c r="K899" s="238"/>
      <c r="L899" s="238"/>
      <c r="M899" s="238"/>
      <c r="N899" s="238"/>
      <c r="O899" s="238"/>
      <c r="P899" s="238"/>
      <c r="Q899" s="238"/>
      <c r="R899" s="238"/>
      <c r="S899" s="238"/>
      <c r="T899" s="238"/>
      <c r="U899" s="238"/>
      <c r="V899" s="238"/>
      <c r="W899" s="238"/>
    </row>
    <row r="900" spans="1:23" ht="12.75">
      <c r="A900" s="238"/>
      <c r="B900" s="238"/>
      <c r="C900" s="238"/>
      <c r="D900" s="238"/>
      <c r="E900" s="238"/>
      <c r="F900" s="238"/>
      <c r="G900" s="238"/>
      <c r="H900" s="238"/>
      <c r="I900" s="238"/>
      <c r="J900" s="238"/>
      <c r="K900" s="238"/>
      <c r="L900" s="238"/>
      <c r="M900" s="238"/>
      <c r="N900" s="238"/>
      <c r="O900" s="238"/>
      <c r="P900" s="238"/>
      <c r="Q900" s="238"/>
      <c r="R900" s="238"/>
      <c r="S900" s="238"/>
      <c r="T900" s="238"/>
      <c r="U900" s="238"/>
      <c r="V900" s="238"/>
      <c r="W900" s="238"/>
    </row>
    <row r="901" spans="1:23" ht="12.75">
      <c r="A901" s="238"/>
      <c r="B901" s="238"/>
      <c r="C901" s="238"/>
      <c r="D901" s="238"/>
      <c r="E901" s="238"/>
      <c r="F901" s="238"/>
      <c r="G901" s="238"/>
      <c r="H901" s="238"/>
      <c r="I901" s="238"/>
      <c r="J901" s="238"/>
      <c r="K901" s="238"/>
      <c r="L901" s="238"/>
      <c r="M901" s="238"/>
      <c r="N901" s="238"/>
      <c r="O901" s="238"/>
      <c r="P901" s="238"/>
      <c r="Q901" s="238"/>
      <c r="R901" s="238"/>
      <c r="S901" s="238"/>
      <c r="T901" s="238"/>
      <c r="U901" s="238"/>
      <c r="V901" s="238"/>
      <c r="W901" s="238"/>
    </row>
    <row r="902" spans="1:23" ht="12.75">
      <c r="A902" s="238"/>
      <c r="B902" s="238"/>
      <c r="C902" s="238"/>
      <c r="D902" s="238"/>
      <c r="E902" s="238"/>
      <c r="F902" s="238"/>
      <c r="G902" s="238"/>
      <c r="H902" s="238"/>
      <c r="I902" s="238"/>
      <c r="J902" s="238"/>
      <c r="K902" s="238"/>
      <c r="L902" s="238"/>
      <c r="M902" s="238"/>
      <c r="N902" s="238"/>
      <c r="O902" s="238"/>
      <c r="P902" s="238"/>
      <c r="Q902" s="238"/>
      <c r="R902" s="238"/>
      <c r="S902" s="238"/>
      <c r="T902" s="238"/>
      <c r="U902" s="238"/>
      <c r="V902" s="238"/>
      <c r="W902" s="238"/>
    </row>
    <row r="903" spans="1:23" ht="12.75">
      <c r="A903" s="238"/>
      <c r="B903" s="238"/>
      <c r="C903" s="238"/>
      <c r="D903" s="238"/>
      <c r="E903" s="238"/>
      <c r="F903" s="238"/>
      <c r="G903" s="238"/>
      <c r="H903" s="238"/>
      <c r="I903" s="238"/>
      <c r="J903" s="238"/>
      <c r="K903" s="238"/>
      <c r="L903" s="238"/>
      <c r="M903" s="238"/>
      <c r="N903" s="238"/>
      <c r="O903" s="238"/>
      <c r="P903" s="238"/>
      <c r="Q903" s="238"/>
      <c r="R903" s="238"/>
      <c r="S903" s="238"/>
      <c r="T903" s="238"/>
      <c r="U903" s="238"/>
      <c r="V903" s="238"/>
      <c r="W903" s="238"/>
    </row>
    <row r="904" spans="1:23" ht="12.75">
      <c r="A904" s="238"/>
      <c r="B904" s="238"/>
      <c r="C904" s="238"/>
      <c r="D904" s="238"/>
      <c r="E904" s="238"/>
      <c r="F904" s="238"/>
      <c r="G904" s="238"/>
      <c r="H904" s="238"/>
      <c r="I904" s="238"/>
      <c r="J904" s="238"/>
      <c r="K904" s="238"/>
      <c r="L904" s="238"/>
      <c r="M904" s="238"/>
      <c r="N904" s="238"/>
      <c r="O904" s="238"/>
      <c r="P904" s="238"/>
      <c r="Q904" s="238"/>
      <c r="R904" s="238"/>
      <c r="S904" s="238"/>
      <c r="T904" s="238"/>
      <c r="U904" s="238"/>
      <c r="V904" s="238"/>
      <c r="W904" s="238"/>
    </row>
    <row r="905" spans="1:23" ht="12.75">
      <c r="A905" s="238"/>
      <c r="B905" s="238"/>
      <c r="C905" s="238"/>
      <c r="D905" s="238"/>
      <c r="E905" s="238"/>
      <c r="F905" s="238"/>
      <c r="G905" s="238"/>
      <c r="H905" s="238"/>
      <c r="I905" s="238"/>
      <c r="J905" s="238"/>
      <c r="K905" s="238"/>
      <c r="L905" s="238"/>
      <c r="M905" s="238"/>
      <c r="N905" s="238"/>
      <c r="O905" s="238"/>
      <c r="P905" s="238"/>
      <c r="Q905" s="238"/>
      <c r="R905" s="238"/>
      <c r="S905" s="238"/>
      <c r="T905" s="238"/>
      <c r="U905" s="238"/>
      <c r="V905" s="238"/>
      <c r="W905" s="238"/>
    </row>
    <row r="906" spans="1:23" ht="12.75">
      <c r="A906" s="238"/>
      <c r="B906" s="238"/>
      <c r="C906" s="238"/>
      <c r="D906" s="238"/>
      <c r="E906" s="238"/>
      <c r="F906" s="238"/>
      <c r="G906" s="238"/>
      <c r="H906" s="238"/>
      <c r="I906" s="238"/>
      <c r="J906" s="238"/>
      <c r="K906" s="238"/>
      <c r="L906" s="238"/>
      <c r="M906" s="238"/>
      <c r="N906" s="238"/>
      <c r="O906" s="238"/>
      <c r="P906" s="238"/>
      <c r="Q906" s="238"/>
      <c r="R906" s="238"/>
      <c r="S906" s="238"/>
      <c r="T906" s="238"/>
      <c r="U906" s="238"/>
      <c r="V906" s="238"/>
      <c r="W906" s="238"/>
    </row>
    <row r="907" spans="1:23" ht="12.75">
      <c r="A907" s="238"/>
      <c r="B907" s="238"/>
      <c r="C907" s="238"/>
      <c r="D907" s="238"/>
      <c r="E907" s="238"/>
      <c r="F907" s="238"/>
      <c r="G907" s="238"/>
      <c r="H907" s="238"/>
      <c r="I907" s="238"/>
      <c r="J907" s="238"/>
      <c r="K907" s="238"/>
      <c r="L907" s="238"/>
      <c r="M907" s="238"/>
      <c r="N907" s="238"/>
      <c r="O907" s="238"/>
      <c r="P907" s="238"/>
      <c r="Q907" s="238"/>
      <c r="R907" s="238"/>
      <c r="S907" s="238"/>
      <c r="T907" s="238"/>
      <c r="U907" s="238"/>
      <c r="V907" s="238"/>
      <c r="W907" s="238"/>
    </row>
    <row r="908" spans="1:23" ht="12.75">
      <c r="A908" s="238"/>
      <c r="B908" s="238"/>
      <c r="C908" s="238"/>
      <c r="D908" s="238"/>
      <c r="E908" s="238"/>
      <c r="F908" s="238"/>
      <c r="G908" s="238"/>
      <c r="H908" s="238"/>
      <c r="I908" s="238"/>
      <c r="J908" s="238"/>
      <c r="K908" s="238"/>
      <c r="L908" s="238"/>
      <c r="M908" s="238"/>
      <c r="N908" s="238"/>
      <c r="O908" s="238"/>
      <c r="P908" s="238"/>
      <c r="Q908" s="238"/>
      <c r="R908" s="238"/>
      <c r="S908" s="238"/>
      <c r="T908" s="238"/>
      <c r="U908" s="238"/>
      <c r="V908" s="238"/>
      <c r="W908" s="238"/>
    </row>
    <row r="909" spans="1:23" ht="12.75">
      <c r="A909" s="238"/>
      <c r="B909" s="238"/>
      <c r="C909" s="238"/>
      <c r="D909" s="238"/>
      <c r="E909" s="238"/>
      <c r="F909" s="238"/>
      <c r="G909" s="238"/>
      <c r="H909" s="238"/>
      <c r="I909" s="238"/>
      <c r="J909" s="238"/>
      <c r="K909" s="238"/>
      <c r="L909" s="238"/>
      <c r="M909" s="238"/>
      <c r="N909" s="238"/>
      <c r="O909" s="238"/>
      <c r="P909" s="238"/>
      <c r="Q909" s="238"/>
      <c r="R909" s="238"/>
      <c r="S909" s="238"/>
      <c r="T909" s="238"/>
      <c r="U909" s="238"/>
      <c r="V909" s="238"/>
      <c r="W909" s="238"/>
    </row>
    <row r="910" spans="1:23" ht="12.75">
      <c r="A910" s="238"/>
      <c r="B910" s="238"/>
      <c r="C910" s="238"/>
      <c r="D910" s="238"/>
      <c r="E910" s="238"/>
      <c r="F910" s="238"/>
      <c r="G910" s="238"/>
      <c r="H910" s="238"/>
      <c r="I910" s="238"/>
      <c r="J910" s="238"/>
      <c r="K910" s="238"/>
      <c r="L910" s="238"/>
      <c r="M910" s="238"/>
      <c r="N910" s="238"/>
      <c r="O910" s="238"/>
      <c r="P910" s="238"/>
      <c r="Q910" s="238"/>
      <c r="R910" s="238"/>
      <c r="S910" s="238"/>
      <c r="T910" s="238"/>
      <c r="U910" s="238"/>
      <c r="V910" s="238"/>
      <c r="W910" s="238"/>
    </row>
    <row r="911" spans="1:23" ht="12.75">
      <c r="A911" s="238"/>
      <c r="B911" s="238"/>
      <c r="C911" s="238"/>
      <c r="D911" s="238"/>
      <c r="E911" s="238"/>
      <c r="F911" s="238"/>
      <c r="G911" s="238"/>
      <c r="H911" s="238"/>
      <c r="I911" s="238"/>
      <c r="J911" s="238"/>
      <c r="K911" s="238"/>
      <c r="L911" s="238"/>
      <c r="M911" s="238"/>
      <c r="N911" s="238"/>
      <c r="O911" s="238"/>
      <c r="P911" s="238"/>
      <c r="Q911" s="238"/>
      <c r="R911" s="238"/>
      <c r="S911" s="238"/>
      <c r="T911" s="238"/>
      <c r="U911" s="238"/>
      <c r="V911" s="238"/>
      <c r="W911" s="238"/>
    </row>
    <row r="912" spans="1:23" ht="12.75">
      <c r="A912" s="238"/>
      <c r="B912" s="238"/>
      <c r="C912" s="238"/>
      <c r="D912" s="238"/>
      <c r="E912" s="238"/>
      <c r="F912" s="238"/>
      <c r="G912" s="238"/>
      <c r="H912" s="238"/>
      <c r="I912" s="238"/>
      <c r="J912" s="238"/>
      <c r="K912" s="238"/>
      <c r="L912" s="238"/>
      <c r="M912" s="238"/>
      <c r="N912" s="238"/>
      <c r="O912" s="238"/>
      <c r="P912" s="238"/>
      <c r="Q912" s="238"/>
      <c r="R912" s="238"/>
      <c r="S912" s="238"/>
      <c r="T912" s="238"/>
      <c r="U912" s="238"/>
      <c r="V912" s="238"/>
      <c r="W912" s="238"/>
    </row>
    <row r="913" spans="1:23" ht="12.75">
      <c r="A913" s="238"/>
      <c r="B913" s="238"/>
      <c r="C913" s="238"/>
      <c r="D913" s="238"/>
      <c r="E913" s="238"/>
      <c r="F913" s="238"/>
      <c r="G913" s="238"/>
      <c r="H913" s="238"/>
      <c r="I913" s="238"/>
      <c r="J913" s="238"/>
      <c r="K913" s="238"/>
      <c r="L913" s="238"/>
      <c r="M913" s="238"/>
      <c r="N913" s="238"/>
      <c r="O913" s="238"/>
      <c r="P913" s="238"/>
      <c r="Q913" s="238"/>
      <c r="R913" s="238"/>
      <c r="S913" s="238"/>
      <c r="T913" s="238"/>
      <c r="U913" s="238"/>
      <c r="V913" s="238"/>
      <c r="W913" s="238"/>
    </row>
    <row r="914" spans="1:23" ht="12.75">
      <c r="A914" s="238"/>
      <c r="B914" s="238"/>
      <c r="C914" s="238"/>
      <c r="D914" s="238"/>
      <c r="E914" s="238"/>
      <c r="F914" s="238"/>
      <c r="G914" s="238"/>
      <c r="H914" s="238"/>
      <c r="I914" s="238"/>
      <c r="J914" s="238"/>
      <c r="K914" s="238"/>
      <c r="L914" s="238"/>
      <c r="M914" s="238"/>
      <c r="N914" s="238"/>
      <c r="O914" s="238"/>
      <c r="P914" s="238"/>
      <c r="Q914" s="238"/>
      <c r="R914" s="238"/>
      <c r="S914" s="238"/>
      <c r="T914" s="238"/>
      <c r="U914" s="238"/>
      <c r="V914" s="238"/>
      <c r="W914" s="238"/>
    </row>
    <row r="915" spans="1:23" ht="12.75">
      <c r="A915" s="238"/>
      <c r="B915" s="238"/>
      <c r="C915" s="238"/>
      <c r="D915" s="238"/>
      <c r="E915" s="238"/>
      <c r="F915" s="238"/>
      <c r="G915" s="238"/>
      <c r="H915" s="238"/>
      <c r="I915" s="238"/>
      <c r="J915" s="238"/>
      <c r="K915" s="238"/>
      <c r="L915" s="238"/>
      <c r="M915" s="238"/>
      <c r="N915" s="238"/>
      <c r="O915" s="238"/>
      <c r="P915" s="238"/>
      <c r="Q915" s="238"/>
      <c r="R915" s="238"/>
      <c r="S915" s="238"/>
      <c r="T915" s="238"/>
      <c r="U915" s="238"/>
      <c r="V915" s="238"/>
      <c r="W915" s="238"/>
    </row>
    <row r="916" spans="1:23" ht="12.75">
      <c r="A916" s="238"/>
      <c r="B916" s="238"/>
      <c r="C916" s="238"/>
      <c r="D916" s="238"/>
      <c r="E916" s="238"/>
      <c r="F916" s="238"/>
      <c r="G916" s="238"/>
      <c r="H916" s="238"/>
      <c r="I916" s="238"/>
      <c r="J916" s="238"/>
      <c r="K916" s="238"/>
      <c r="L916" s="238"/>
      <c r="M916" s="238"/>
      <c r="N916" s="238"/>
      <c r="O916" s="238"/>
      <c r="P916" s="238"/>
      <c r="Q916" s="238"/>
      <c r="R916" s="238"/>
      <c r="S916" s="238"/>
      <c r="T916" s="238"/>
      <c r="U916" s="238"/>
      <c r="V916" s="238"/>
      <c r="W916" s="238"/>
    </row>
    <row r="917" spans="1:23" ht="12.75">
      <c r="A917" s="238"/>
      <c r="B917" s="238"/>
      <c r="C917" s="238"/>
      <c r="D917" s="238"/>
      <c r="E917" s="238"/>
      <c r="F917" s="238"/>
      <c r="G917" s="238"/>
      <c r="H917" s="238"/>
      <c r="I917" s="238"/>
      <c r="J917" s="238"/>
      <c r="K917" s="238"/>
      <c r="L917" s="238"/>
      <c r="M917" s="238"/>
      <c r="N917" s="238"/>
      <c r="O917" s="238"/>
      <c r="P917" s="238"/>
      <c r="Q917" s="238"/>
      <c r="R917" s="238"/>
      <c r="S917" s="238"/>
      <c r="T917" s="238"/>
      <c r="U917" s="238"/>
      <c r="V917" s="238"/>
      <c r="W917" s="238"/>
    </row>
    <row r="918" spans="1:23" ht="12.75">
      <c r="A918" s="238"/>
      <c r="B918" s="238"/>
      <c r="C918" s="238"/>
      <c r="D918" s="238"/>
      <c r="E918" s="238"/>
      <c r="F918" s="238"/>
      <c r="G918" s="238"/>
      <c r="H918" s="238"/>
      <c r="I918" s="238"/>
      <c r="J918" s="238"/>
      <c r="K918" s="238"/>
      <c r="L918" s="238"/>
      <c r="M918" s="238"/>
      <c r="N918" s="238"/>
      <c r="O918" s="238"/>
      <c r="P918" s="238"/>
      <c r="Q918" s="238"/>
      <c r="R918" s="238"/>
      <c r="S918" s="238"/>
      <c r="T918" s="238"/>
      <c r="U918" s="238"/>
      <c r="V918" s="238"/>
      <c r="W918" s="238"/>
    </row>
    <row r="919" spans="1:23" ht="12.75">
      <c r="A919" s="238"/>
      <c r="B919" s="238"/>
      <c r="C919" s="238"/>
      <c r="D919" s="238"/>
      <c r="E919" s="238"/>
      <c r="F919" s="238"/>
      <c r="G919" s="238"/>
      <c r="H919" s="238"/>
      <c r="I919" s="238"/>
      <c r="J919" s="238"/>
      <c r="K919" s="238"/>
      <c r="L919" s="238"/>
      <c r="M919" s="238"/>
      <c r="N919" s="238"/>
      <c r="O919" s="238"/>
      <c r="P919" s="238"/>
      <c r="Q919" s="238"/>
      <c r="R919" s="238"/>
      <c r="S919" s="238"/>
      <c r="T919" s="238"/>
      <c r="U919" s="238"/>
      <c r="V919" s="238"/>
      <c r="W919" s="238"/>
    </row>
    <row r="920" spans="1:23" ht="12.75">
      <c r="A920" s="238"/>
      <c r="B920" s="238"/>
      <c r="C920" s="238"/>
      <c r="D920" s="238"/>
      <c r="E920" s="238"/>
      <c r="F920" s="238"/>
      <c r="G920" s="238"/>
      <c r="H920" s="238"/>
      <c r="I920" s="238"/>
      <c r="J920" s="238"/>
      <c r="K920" s="238"/>
      <c r="L920" s="238"/>
      <c r="M920" s="238"/>
      <c r="N920" s="238"/>
      <c r="O920" s="238"/>
      <c r="P920" s="238"/>
      <c r="Q920" s="238"/>
      <c r="R920" s="238"/>
      <c r="S920" s="238"/>
      <c r="T920" s="238"/>
      <c r="U920" s="238"/>
      <c r="V920" s="238"/>
      <c r="W920" s="238"/>
    </row>
    <row r="921" spans="1:23" ht="12.75">
      <c r="A921" s="238"/>
      <c r="B921" s="238"/>
      <c r="C921" s="238"/>
      <c r="D921" s="238"/>
      <c r="E921" s="238"/>
      <c r="F921" s="238"/>
      <c r="G921" s="238"/>
      <c r="H921" s="238"/>
      <c r="I921" s="238"/>
      <c r="J921" s="238"/>
      <c r="K921" s="238"/>
      <c r="L921" s="238"/>
      <c r="M921" s="238"/>
      <c r="N921" s="238"/>
      <c r="O921" s="238"/>
      <c r="P921" s="238"/>
      <c r="Q921" s="238"/>
      <c r="R921" s="238"/>
      <c r="S921" s="238"/>
      <c r="T921" s="238"/>
      <c r="U921" s="238"/>
      <c r="V921" s="238"/>
      <c r="W921" s="238"/>
    </row>
    <row r="922" spans="1:23" ht="12.75">
      <c r="A922" s="238"/>
      <c r="B922" s="238"/>
      <c r="C922" s="238"/>
      <c r="D922" s="238"/>
      <c r="E922" s="238"/>
      <c r="F922" s="238"/>
      <c r="G922" s="238"/>
      <c r="H922" s="238"/>
      <c r="I922" s="238"/>
      <c r="J922" s="238"/>
      <c r="K922" s="238"/>
      <c r="L922" s="238"/>
      <c r="M922" s="238"/>
      <c r="N922" s="238"/>
      <c r="O922" s="238"/>
      <c r="P922" s="238"/>
      <c r="Q922" s="238"/>
      <c r="R922" s="238"/>
      <c r="S922" s="238"/>
      <c r="T922" s="238"/>
      <c r="U922" s="238"/>
      <c r="V922" s="238"/>
      <c r="W922" s="238"/>
    </row>
    <row r="923" spans="1:23" ht="12.75">
      <c r="A923" s="238"/>
      <c r="B923" s="238"/>
      <c r="C923" s="238"/>
      <c r="D923" s="238"/>
      <c r="E923" s="238"/>
      <c r="F923" s="238"/>
      <c r="G923" s="238"/>
      <c r="H923" s="238"/>
      <c r="I923" s="238"/>
      <c r="J923" s="238"/>
      <c r="K923" s="238"/>
      <c r="L923" s="238"/>
      <c r="M923" s="238"/>
      <c r="N923" s="238"/>
      <c r="O923" s="238"/>
      <c r="P923" s="238"/>
      <c r="Q923" s="238"/>
      <c r="R923" s="238"/>
      <c r="S923" s="238"/>
      <c r="T923" s="238"/>
      <c r="U923" s="238"/>
      <c r="V923" s="238"/>
      <c r="W923" s="238"/>
    </row>
    <row r="924" spans="1:23" ht="12.75">
      <c r="A924" s="238"/>
      <c r="B924" s="238"/>
      <c r="C924" s="238"/>
      <c r="D924" s="238"/>
      <c r="E924" s="238"/>
      <c r="F924" s="238"/>
      <c r="G924" s="238"/>
      <c r="H924" s="238"/>
      <c r="I924" s="238"/>
      <c r="J924" s="238"/>
      <c r="K924" s="238"/>
      <c r="L924" s="238"/>
      <c r="M924" s="238"/>
      <c r="N924" s="238"/>
      <c r="O924" s="238"/>
      <c r="P924" s="238"/>
      <c r="Q924" s="238"/>
      <c r="R924" s="238"/>
      <c r="S924" s="238"/>
      <c r="T924" s="238"/>
      <c r="U924" s="238"/>
      <c r="V924" s="238"/>
      <c r="W924" s="238"/>
    </row>
    <row r="925" spans="1:23" ht="12.75">
      <c r="A925" s="238"/>
      <c r="B925" s="238"/>
      <c r="C925" s="238"/>
      <c r="D925" s="238"/>
      <c r="E925" s="238"/>
      <c r="F925" s="238"/>
      <c r="G925" s="238"/>
      <c r="H925" s="238"/>
      <c r="I925" s="238"/>
      <c r="J925" s="238"/>
      <c r="K925" s="238"/>
      <c r="L925" s="238"/>
      <c r="M925" s="238"/>
      <c r="N925" s="238"/>
      <c r="O925" s="238"/>
      <c r="P925" s="238"/>
      <c r="Q925" s="238"/>
      <c r="R925" s="238"/>
      <c r="S925" s="238"/>
      <c r="T925" s="238"/>
      <c r="U925" s="238"/>
      <c r="V925" s="238"/>
      <c r="W925" s="238"/>
    </row>
    <row r="926" spans="1:23" ht="12.75">
      <c r="A926" s="238"/>
      <c r="B926" s="238"/>
      <c r="C926" s="238"/>
      <c r="D926" s="238"/>
      <c r="E926" s="238"/>
      <c r="F926" s="238"/>
      <c r="G926" s="238"/>
      <c r="H926" s="238"/>
      <c r="I926" s="238"/>
      <c r="J926" s="238"/>
      <c r="K926" s="238"/>
      <c r="L926" s="238"/>
      <c r="M926" s="238"/>
      <c r="N926" s="238"/>
      <c r="O926" s="238"/>
      <c r="P926" s="238"/>
      <c r="Q926" s="238"/>
      <c r="R926" s="238"/>
      <c r="S926" s="238"/>
      <c r="T926" s="238"/>
      <c r="U926" s="238"/>
      <c r="V926" s="238"/>
      <c r="W926" s="238"/>
    </row>
    <row r="927" spans="1:23" ht="12.75">
      <c r="A927" s="238"/>
      <c r="B927" s="238"/>
      <c r="C927" s="238"/>
      <c r="D927" s="238"/>
      <c r="E927" s="238"/>
      <c r="F927" s="238"/>
      <c r="G927" s="238"/>
      <c r="H927" s="238"/>
      <c r="I927" s="238"/>
      <c r="J927" s="238"/>
      <c r="K927" s="238"/>
      <c r="L927" s="238"/>
      <c r="M927" s="238"/>
      <c r="N927" s="238"/>
      <c r="O927" s="238"/>
      <c r="P927" s="238"/>
      <c r="Q927" s="238"/>
      <c r="R927" s="238"/>
      <c r="S927" s="238"/>
      <c r="T927" s="238"/>
      <c r="U927" s="238"/>
      <c r="V927" s="238"/>
      <c r="W927" s="238"/>
    </row>
    <row r="928" spans="1:23" ht="12.75">
      <c r="A928" s="238"/>
      <c r="B928" s="238"/>
      <c r="C928" s="238"/>
      <c r="D928" s="238"/>
      <c r="E928" s="238"/>
      <c r="F928" s="238"/>
      <c r="G928" s="238"/>
      <c r="H928" s="238"/>
      <c r="I928" s="238"/>
      <c r="J928" s="238"/>
      <c r="K928" s="238"/>
      <c r="L928" s="238"/>
      <c r="M928" s="238"/>
      <c r="N928" s="238"/>
      <c r="O928" s="238"/>
      <c r="P928" s="238"/>
      <c r="Q928" s="238"/>
      <c r="R928" s="238"/>
      <c r="S928" s="238"/>
      <c r="T928" s="238"/>
      <c r="U928" s="238"/>
      <c r="V928" s="238"/>
      <c r="W928" s="238"/>
    </row>
    <row r="929" spans="1:23" ht="12.75">
      <c r="A929" s="238"/>
      <c r="B929" s="238"/>
      <c r="C929" s="238"/>
      <c r="D929" s="238"/>
      <c r="E929" s="238"/>
      <c r="F929" s="238"/>
      <c r="G929" s="238"/>
      <c r="H929" s="238"/>
      <c r="I929" s="238"/>
      <c r="J929" s="238"/>
      <c r="K929" s="238"/>
      <c r="L929" s="238"/>
      <c r="M929" s="238"/>
      <c r="N929" s="238"/>
      <c r="O929" s="238"/>
      <c r="P929" s="238"/>
      <c r="Q929" s="238"/>
      <c r="R929" s="238"/>
      <c r="S929" s="238"/>
      <c r="T929" s="238"/>
      <c r="U929" s="238"/>
      <c r="V929" s="238"/>
      <c r="W929" s="238"/>
    </row>
    <row r="930" spans="1:23" ht="12.75">
      <c r="A930" s="238"/>
      <c r="B930" s="238"/>
      <c r="C930" s="238"/>
      <c r="D930" s="238"/>
      <c r="E930" s="238"/>
      <c r="F930" s="238"/>
      <c r="G930" s="238"/>
      <c r="H930" s="238"/>
      <c r="I930" s="238"/>
      <c r="J930" s="238"/>
      <c r="K930" s="238"/>
      <c r="L930" s="238"/>
      <c r="M930" s="238"/>
      <c r="N930" s="238"/>
      <c r="O930" s="238"/>
      <c r="P930" s="238"/>
      <c r="Q930" s="238"/>
      <c r="R930" s="238"/>
      <c r="S930" s="238"/>
      <c r="T930" s="238"/>
      <c r="U930" s="238"/>
      <c r="V930" s="238"/>
      <c r="W930" s="238"/>
    </row>
    <row r="931" spans="1:23" ht="12.75">
      <c r="A931" s="238"/>
      <c r="B931" s="238"/>
      <c r="C931" s="238"/>
      <c r="D931" s="238"/>
      <c r="E931" s="238"/>
      <c r="F931" s="238"/>
      <c r="G931" s="238"/>
      <c r="H931" s="238"/>
      <c r="I931" s="238"/>
      <c r="J931" s="238"/>
      <c r="K931" s="238"/>
      <c r="L931" s="238"/>
      <c r="M931" s="238"/>
      <c r="N931" s="238"/>
      <c r="O931" s="238"/>
      <c r="P931" s="238"/>
      <c r="Q931" s="238"/>
      <c r="R931" s="238"/>
      <c r="S931" s="238"/>
      <c r="T931" s="238"/>
      <c r="U931" s="238"/>
      <c r="V931" s="238"/>
      <c r="W931" s="238"/>
    </row>
    <row r="932" spans="1:23" ht="12.75">
      <c r="A932" s="238"/>
      <c r="B932" s="238"/>
      <c r="C932" s="238"/>
      <c r="D932" s="238"/>
      <c r="E932" s="238"/>
      <c r="F932" s="238"/>
      <c r="G932" s="238"/>
      <c r="H932" s="238"/>
      <c r="I932" s="238"/>
      <c r="J932" s="238"/>
      <c r="K932" s="238"/>
      <c r="L932" s="238"/>
      <c r="M932" s="238"/>
      <c r="N932" s="238"/>
      <c r="O932" s="238"/>
      <c r="P932" s="238"/>
      <c r="Q932" s="238"/>
      <c r="R932" s="238"/>
      <c r="S932" s="238"/>
      <c r="T932" s="238"/>
      <c r="U932" s="238"/>
      <c r="V932" s="238"/>
      <c r="W932" s="238"/>
    </row>
    <row r="933" spans="1:23" ht="12.75">
      <c r="A933" s="238"/>
      <c r="B933" s="238"/>
      <c r="C933" s="238"/>
      <c r="D933" s="238"/>
      <c r="E933" s="238"/>
      <c r="F933" s="238"/>
      <c r="G933" s="238"/>
      <c r="H933" s="238"/>
      <c r="I933" s="238"/>
      <c r="J933" s="238"/>
      <c r="K933" s="238"/>
      <c r="L933" s="238"/>
      <c r="M933" s="238"/>
      <c r="N933" s="238"/>
      <c r="O933" s="238"/>
      <c r="P933" s="238"/>
      <c r="Q933" s="238"/>
      <c r="R933" s="238"/>
      <c r="S933" s="238"/>
      <c r="T933" s="238"/>
      <c r="U933" s="238"/>
      <c r="V933" s="238"/>
      <c r="W933" s="238"/>
    </row>
    <row r="934" spans="1:23" ht="12.75">
      <c r="A934" s="238"/>
      <c r="B934" s="238"/>
      <c r="C934" s="238"/>
      <c r="D934" s="238"/>
      <c r="E934" s="238"/>
      <c r="F934" s="238"/>
      <c r="G934" s="238"/>
      <c r="H934" s="238"/>
      <c r="I934" s="238"/>
      <c r="J934" s="238"/>
      <c r="K934" s="238"/>
      <c r="L934" s="238"/>
      <c r="M934" s="238"/>
      <c r="N934" s="238"/>
      <c r="O934" s="238"/>
      <c r="P934" s="238"/>
      <c r="Q934" s="238"/>
      <c r="R934" s="238"/>
      <c r="S934" s="238"/>
      <c r="T934" s="238"/>
      <c r="U934" s="238"/>
      <c r="V934" s="238"/>
      <c r="W934" s="238"/>
    </row>
    <row r="935" spans="1:23" ht="12.75">
      <c r="A935" s="238"/>
      <c r="B935" s="238"/>
      <c r="C935" s="238"/>
      <c r="D935" s="238"/>
      <c r="E935" s="238"/>
      <c r="F935" s="238"/>
      <c r="G935" s="238"/>
      <c r="H935" s="238"/>
      <c r="I935" s="238"/>
      <c r="J935" s="238"/>
      <c r="K935" s="238"/>
      <c r="L935" s="238"/>
      <c r="M935" s="238"/>
      <c r="N935" s="238"/>
      <c r="O935" s="238"/>
      <c r="P935" s="238"/>
      <c r="Q935" s="238"/>
      <c r="R935" s="238"/>
      <c r="S935" s="238"/>
      <c r="T935" s="238"/>
      <c r="U935" s="238"/>
      <c r="V935" s="238"/>
      <c r="W935" s="238"/>
    </row>
    <row r="936" spans="1:23" ht="12.75">
      <c r="A936" s="238"/>
      <c r="B936" s="238"/>
      <c r="C936" s="238"/>
      <c r="D936" s="238"/>
      <c r="E936" s="238"/>
      <c r="F936" s="238"/>
      <c r="G936" s="238"/>
      <c r="H936" s="238"/>
      <c r="I936" s="238"/>
      <c r="J936" s="238"/>
      <c r="K936" s="238"/>
      <c r="L936" s="238"/>
      <c r="M936" s="238"/>
      <c r="N936" s="238"/>
      <c r="O936" s="238"/>
      <c r="P936" s="238"/>
      <c r="Q936" s="238"/>
      <c r="R936" s="238"/>
      <c r="S936" s="238"/>
      <c r="T936" s="238"/>
      <c r="U936" s="238"/>
      <c r="V936" s="238"/>
      <c r="W936" s="238"/>
    </row>
    <row r="937" spans="1:23" ht="12.75">
      <c r="A937" s="238"/>
      <c r="B937" s="238"/>
      <c r="C937" s="238"/>
      <c r="D937" s="238"/>
      <c r="E937" s="238"/>
      <c r="F937" s="238"/>
      <c r="G937" s="238"/>
      <c r="H937" s="238"/>
      <c r="I937" s="238"/>
      <c r="J937" s="238"/>
      <c r="K937" s="238"/>
      <c r="L937" s="238"/>
      <c r="M937" s="238"/>
      <c r="N937" s="238"/>
      <c r="O937" s="238"/>
      <c r="P937" s="238"/>
      <c r="Q937" s="238"/>
      <c r="R937" s="238"/>
      <c r="S937" s="238"/>
      <c r="T937" s="238"/>
      <c r="U937" s="238"/>
      <c r="V937" s="238"/>
      <c r="W937" s="238"/>
    </row>
    <row r="938" spans="1:23" ht="12.75">
      <c r="A938" s="238"/>
      <c r="B938" s="238"/>
      <c r="C938" s="238"/>
      <c r="D938" s="238"/>
      <c r="E938" s="238"/>
      <c r="F938" s="238"/>
      <c r="G938" s="238"/>
      <c r="H938" s="238"/>
      <c r="I938" s="238"/>
      <c r="J938" s="238"/>
      <c r="K938" s="238"/>
      <c r="L938" s="238"/>
      <c r="M938" s="238"/>
      <c r="N938" s="238"/>
      <c r="O938" s="238"/>
      <c r="P938" s="238"/>
      <c r="Q938" s="238"/>
      <c r="R938" s="238"/>
      <c r="S938" s="238"/>
      <c r="T938" s="238"/>
      <c r="U938" s="238"/>
      <c r="V938" s="238"/>
      <c r="W938" s="238"/>
    </row>
    <row r="939" spans="1:23" ht="12.75">
      <c r="A939" s="238"/>
      <c r="B939" s="238"/>
      <c r="C939" s="238"/>
      <c r="D939" s="238"/>
      <c r="E939" s="238"/>
      <c r="F939" s="238"/>
      <c r="G939" s="238"/>
      <c r="H939" s="238"/>
      <c r="I939" s="238"/>
      <c r="J939" s="238"/>
      <c r="K939" s="238"/>
      <c r="L939" s="238"/>
      <c r="M939" s="238"/>
      <c r="N939" s="238"/>
      <c r="O939" s="238"/>
      <c r="P939" s="238"/>
      <c r="Q939" s="238"/>
      <c r="R939" s="238"/>
      <c r="S939" s="238"/>
      <c r="T939" s="238"/>
      <c r="U939" s="238"/>
      <c r="V939" s="238"/>
      <c r="W939" s="238"/>
    </row>
    <row r="940" spans="1:23" ht="12.75">
      <c r="A940" s="238"/>
      <c r="B940" s="238"/>
      <c r="C940" s="238"/>
      <c r="D940" s="238"/>
      <c r="E940" s="238"/>
      <c r="F940" s="238"/>
      <c r="G940" s="238"/>
      <c r="H940" s="238"/>
      <c r="I940" s="238"/>
      <c r="J940" s="238"/>
      <c r="K940" s="238"/>
      <c r="L940" s="238"/>
      <c r="M940" s="238"/>
      <c r="N940" s="238"/>
      <c r="O940" s="238"/>
      <c r="P940" s="238"/>
      <c r="Q940" s="238"/>
      <c r="R940" s="238"/>
      <c r="S940" s="238"/>
      <c r="T940" s="238"/>
      <c r="U940" s="238"/>
      <c r="V940" s="238"/>
      <c r="W940" s="238"/>
    </row>
    <row r="941" spans="1:23" ht="12.75">
      <c r="A941" s="238"/>
      <c r="B941" s="238"/>
      <c r="C941" s="238"/>
      <c r="D941" s="238"/>
      <c r="E941" s="238"/>
      <c r="F941" s="238"/>
      <c r="G941" s="238"/>
      <c r="H941" s="238"/>
      <c r="I941" s="238"/>
      <c r="J941" s="238"/>
      <c r="K941" s="238"/>
      <c r="L941" s="238"/>
      <c r="M941" s="238"/>
      <c r="N941" s="238"/>
      <c r="O941" s="238"/>
      <c r="P941" s="238"/>
      <c r="Q941" s="238"/>
      <c r="R941" s="238"/>
      <c r="S941" s="238"/>
      <c r="T941" s="238"/>
      <c r="U941" s="238"/>
      <c r="V941" s="238"/>
      <c r="W941" s="238"/>
    </row>
    <row r="942" spans="1:23" ht="12.75">
      <c r="A942" s="238"/>
      <c r="B942" s="238"/>
      <c r="C942" s="238"/>
      <c r="D942" s="238"/>
      <c r="E942" s="238"/>
      <c r="F942" s="238"/>
      <c r="G942" s="238"/>
      <c r="H942" s="238"/>
      <c r="I942" s="238"/>
      <c r="J942" s="238"/>
      <c r="K942" s="238"/>
      <c r="L942" s="238"/>
      <c r="M942" s="238"/>
      <c r="N942" s="238"/>
      <c r="O942" s="238"/>
      <c r="P942" s="238"/>
      <c r="Q942" s="238"/>
      <c r="R942" s="238"/>
      <c r="S942" s="238"/>
      <c r="T942" s="238"/>
      <c r="U942" s="238"/>
      <c r="V942" s="238"/>
      <c r="W942" s="238"/>
    </row>
    <row r="943" spans="1:23" ht="12.75">
      <c r="A943" s="238"/>
      <c r="B943" s="238"/>
      <c r="C943" s="238"/>
      <c r="D943" s="238"/>
      <c r="E943" s="238"/>
      <c r="F943" s="238"/>
      <c r="G943" s="238"/>
      <c r="H943" s="238"/>
      <c r="I943" s="238"/>
      <c r="J943" s="238"/>
      <c r="K943" s="238"/>
      <c r="L943" s="238"/>
      <c r="M943" s="238"/>
      <c r="N943" s="238"/>
      <c r="O943" s="238"/>
      <c r="P943" s="238"/>
      <c r="Q943" s="238"/>
      <c r="R943" s="238"/>
      <c r="S943" s="238"/>
      <c r="T943" s="238"/>
      <c r="U943" s="238"/>
      <c r="V943" s="238"/>
      <c r="W943" s="238"/>
    </row>
    <row r="944" spans="1:23" ht="12.75">
      <c r="A944" s="238"/>
      <c r="B944" s="238"/>
      <c r="C944" s="238"/>
      <c r="D944" s="238"/>
      <c r="E944" s="238"/>
      <c r="F944" s="238"/>
      <c r="G944" s="238"/>
      <c r="H944" s="238"/>
      <c r="I944" s="238"/>
      <c r="J944" s="238"/>
      <c r="K944" s="238"/>
      <c r="L944" s="238"/>
      <c r="M944" s="238"/>
      <c r="N944" s="238"/>
      <c r="O944" s="238"/>
      <c r="P944" s="238"/>
      <c r="Q944" s="238"/>
      <c r="R944" s="238"/>
      <c r="S944" s="238"/>
      <c r="T944" s="238"/>
      <c r="U944" s="238"/>
      <c r="V944" s="238"/>
      <c r="W944" s="238"/>
    </row>
    <row r="945" spans="1:23" ht="12.75">
      <c r="A945" s="238"/>
      <c r="B945" s="238"/>
      <c r="C945" s="238"/>
      <c r="D945" s="238"/>
      <c r="E945" s="238"/>
      <c r="F945" s="238"/>
      <c r="G945" s="238"/>
      <c r="H945" s="238"/>
      <c r="I945" s="238"/>
      <c r="J945" s="238"/>
      <c r="K945" s="238"/>
      <c r="L945" s="238"/>
      <c r="M945" s="238"/>
      <c r="N945" s="238"/>
      <c r="O945" s="238"/>
      <c r="P945" s="238"/>
      <c r="Q945" s="238"/>
      <c r="R945" s="238"/>
      <c r="S945" s="238"/>
      <c r="T945" s="238"/>
      <c r="U945" s="238"/>
      <c r="V945" s="238"/>
      <c r="W945" s="238"/>
    </row>
    <row r="946" spans="1:23" ht="12.75">
      <c r="A946" s="238"/>
      <c r="B946" s="238"/>
      <c r="C946" s="238"/>
      <c r="D946" s="238"/>
      <c r="E946" s="238"/>
      <c r="F946" s="238"/>
      <c r="G946" s="238"/>
      <c r="H946" s="238"/>
      <c r="I946" s="238"/>
      <c r="J946" s="238"/>
      <c r="K946" s="238"/>
      <c r="L946" s="238"/>
      <c r="M946" s="238"/>
      <c r="N946" s="238"/>
      <c r="O946" s="238"/>
      <c r="P946" s="238"/>
      <c r="Q946" s="238"/>
      <c r="R946" s="238"/>
      <c r="S946" s="238"/>
      <c r="T946" s="238"/>
      <c r="U946" s="238"/>
      <c r="V946" s="238"/>
      <c r="W946" s="238"/>
    </row>
    <row r="947" spans="1:23" ht="12.75">
      <c r="A947" s="238"/>
      <c r="B947" s="238"/>
      <c r="C947" s="238"/>
      <c r="D947" s="238"/>
      <c r="E947" s="238"/>
      <c r="F947" s="238"/>
      <c r="G947" s="238"/>
      <c r="H947" s="238"/>
      <c r="I947" s="238"/>
      <c r="J947" s="238"/>
      <c r="K947" s="238"/>
      <c r="L947" s="238"/>
      <c r="M947" s="238"/>
      <c r="N947" s="238"/>
      <c r="O947" s="238"/>
      <c r="P947" s="238"/>
      <c r="Q947" s="238"/>
      <c r="R947" s="238"/>
      <c r="S947" s="238"/>
      <c r="T947" s="238"/>
      <c r="U947" s="238"/>
      <c r="V947" s="238"/>
      <c r="W947" s="238"/>
    </row>
    <row r="948" spans="1:23" ht="12.75">
      <c r="A948" s="238"/>
      <c r="B948" s="238"/>
      <c r="C948" s="238"/>
      <c r="D948" s="238"/>
      <c r="E948" s="238"/>
      <c r="F948" s="238"/>
      <c r="G948" s="238"/>
      <c r="H948" s="238"/>
      <c r="I948" s="238"/>
      <c r="J948" s="238"/>
      <c r="K948" s="238"/>
      <c r="L948" s="238"/>
      <c r="M948" s="238"/>
      <c r="N948" s="238"/>
      <c r="O948" s="238"/>
      <c r="P948" s="238"/>
      <c r="Q948" s="238"/>
      <c r="R948" s="238"/>
      <c r="S948" s="238"/>
      <c r="T948" s="238"/>
      <c r="U948" s="238"/>
      <c r="V948" s="238"/>
      <c r="W948" s="238"/>
    </row>
    <row r="949" spans="1:23" ht="12.75">
      <c r="A949" s="238"/>
      <c r="B949" s="238"/>
      <c r="C949" s="238"/>
      <c r="D949" s="238"/>
      <c r="E949" s="238"/>
      <c r="F949" s="238"/>
      <c r="G949" s="238"/>
      <c r="H949" s="238"/>
      <c r="I949" s="238"/>
      <c r="J949" s="238"/>
      <c r="K949" s="238"/>
      <c r="L949" s="238"/>
      <c r="M949" s="238"/>
      <c r="N949" s="238"/>
      <c r="O949" s="238"/>
      <c r="P949" s="238"/>
      <c r="Q949" s="238"/>
      <c r="R949" s="238"/>
      <c r="S949" s="238"/>
      <c r="T949" s="238"/>
      <c r="U949" s="238"/>
      <c r="V949" s="238"/>
      <c r="W949" s="238"/>
    </row>
    <row r="950" spans="1:23" ht="12.75">
      <c r="A950" s="238"/>
      <c r="B950" s="238"/>
      <c r="C950" s="238"/>
      <c r="D950" s="238"/>
      <c r="E950" s="238"/>
      <c r="F950" s="238"/>
      <c r="G950" s="238"/>
      <c r="H950" s="238"/>
      <c r="I950" s="238"/>
      <c r="J950" s="238"/>
      <c r="K950" s="238"/>
      <c r="L950" s="238"/>
      <c r="M950" s="238"/>
      <c r="N950" s="238"/>
      <c r="O950" s="238"/>
      <c r="P950" s="238"/>
      <c r="Q950" s="238"/>
      <c r="R950" s="238"/>
      <c r="S950" s="238"/>
      <c r="T950" s="238"/>
      <c r="U950" s="238"/>
      <c r="V950" s="238"/>
      <c r="W950" s="238"/>
    </row>
    <row r="951" spans="1:23" ht="12.75">
      <c r="A951" s="238"/>
      <c r="B951" s="238"/>
      <c r="C951" s="238"/>
      <c r="D951" s="238"/>
      <c r="E951" s="238"/>
      <c r="F951" s="238"/>
      <c r="G951" s="238"/>
      <c r="H951" s="238"/>
      <c r="I951" s="238"/>
      <c r="J951" s="238"/>
      <c r="K951" s="238"/>
      <c r="L951" s="238"/>
      <c r="M951" s="238"/>
      <c r="N951" s="238"/>
      <c r="O951" s="238"/>
      <c r="P951" s="238"/>
      <c r="Q951" s="238"/>
      <c r="R951" s="238"/>
      <c r="S951" s="238"/>
      <c r="T951" s="238"/>
      <c r="U951" s="238"/>
      <c r="V951" s="238"/>
      <c r="W951" s="238"/>
    </row>
    <row r="952" spans="1:23" ht="12.75">
      <c r="A952" s="238"/>
      <c r="B952" s="238"/>
      <c r="C952" s="238"/>
      <c r="D952" s="238"/>
      <c r="E952" s="238"/>
      <c r="F952" s="238"/>
      <c r="G952" s="238"/>
      <c r="H952" s="238"/>
      <c r="I952" s="238"/>
      <c r="J952" s="238"/>
      <c r="K952" s="238"/>
      <c r="L952" s="238"/>
      <c r="M952" s="238"/>
      <c r="N952" s="238"/>
      <c r="O952" s="238"/>
      <c r="P952" s="238"/>
      <c r="Q952" s="238"/>
      <c r="R952" s="238"/>
      <c r="S952" s="238"/>
      <c r="T952" s="238"/>
      <c r="U952" s="238"/>
      <c r="V952" s="238"/>
      <c r="W952" s="238"/>
    </row>
    <row r="953" spans="1:23" ht="12.75">
      <c r="A953" s="238"/>
      <c r="B953" s="238"/>
      <c r="C953" s="238"/>
      <c r="D953" s="238"/>
      <c r="E953" s="238"/>
      <c r="F953" s="238"/>
      <c r="G953" s="238"/>
      <c r="H953" s="238"/>
      <c r="I953" s="238"/>
      <c r="J953" s="238"/>
      <c r="K953" s="238"/>
      <c r="L953" s="238"/>
      <c r="M953" s="238"/>
      <c r="N953" s="238"/>
      <c r="O953" s="238"/>
      <c r="P953" s="238"/>
      <c r="Q953" s="238"/>
      <c r="R953" s="238"/>
      <c r="S953" s="238"/>
      <c r="T953" s="238"/>
      <c r="U953" s="238"/>
      <c r="V953" s="238"/>
      <c r="W953" s="238"/>
    </row>
    <row r="954" spans="1:23" ht="12.75">
      <c r="A954" s="238"/>
      <c r="B954" s="238"/>
      <c r="C954" s="238"/>
      <c r="D954" s="238"/>
      <c r="E954" s="238"/>
      <c r="F954" s="238"/>
      <c r="G954" s="238"/>
      <c r="H954" s="238"/>
      <c r="I954" s="238"/>
      <c r="J954" s="238"/>
      <c r="K954" s="238"/>
      <c r="L954" s="238"/>
      <c r="M954" s="238"/>
      <c r="N954" s="238"/>
      <c r="O954" s="238"/>
      <c r="P954" s="238"/>
      <c r="Q954" s="238"/>
      <c r="R954" s="238"/>
      <c r="S954" s="238"/>
      <c r="T954" s="238"/>
      <c r="U954" s="238"/>
      <c r="V954" s="238"/>
      <c r="W954" s="238"/>
    </row>
    <row r="955" spans="1:23" ht="12.75">
      <c r="A955" s="238"/>
      <c r="B955" s="238"/>
      <c r="C955" s="238"/>
      <c r="D955" s="238"/>
      <c r="E955" s="238"/>
      <c r="F955" s="238"/>
      <c r="G955" s="238"/>
      <c r="H955" s="238"/>
      <c r="I955" s="238"/>
      <c r="J955" s="238"/>
      <c r="K955" s="238"/>
      <c r="L955" s="238"/>
      <c r="M955" s="238"/>
      <c r="N955" s="238"/>
      <c r="O955" s="238"/>
      <c r="P955" s="238"/>
      <c r="Q955" s="238"/>
      <c r="R955" s="238"/>
      <c r="S955" s="238"/>
      <c r="T955" s="238"/>
      <c r="U955" s="238"/>
      <c r="V955" s="238"/>
      <c r="W955" s="238"/>
    </row>
    <row r="956" spans="1:23" ht="12.75">
      <c r="A956" s="238"/>
      <c r="B956" s="238"/>
      <c r="C956" s="238"/>
      <c r="D956" s="238"/>
      <c r="E956" s="238"/>
      <c r="F956" s="238"/>
      <c r="G956" s="238"/>
      <c r="H956" s="238"/>
      <c r="I956" s="238"/>
      <c r="J956" s="238"/>
      <c r="K956" s="238"/>
      <c r="L956" s="238"/>
      <c r="M956" s="238"/>
      <c r="N956" s="238"/>
      <c r="O956" s="238"/>
      <c r="P956" s="238"/>
      <c r="Q956" s="238"/>
      <c r="R956" s="238"/>
      <c r="S956" s="238"/>
      <c r="T956" s="238"/>
      <c r="U956" s="238"/>
      <c r="V956" s="238"/>
      <c r="W956" s="238"/>
    </row>
    <row r="957" spans="1:23" ht="12.75">
      <c r="A957" s="238"/>
      <c r="B957" s="238"/>
      <c r="C957" s="238"/>
      <c r="D957" s="238"/>
      <c r="E957" s="238"/>
      <c r="F957" s="238"/>
      <c r="G957" s="238"/>
      <c r="H957" s="238"/>
      <c r="I957" s="238"/>
      <c r="J957" s="238"/>
      <c r="K957" s="238"/>
      <c r="L957" s="238"/>
      <c r="M957" s="238"/>
      <c r="N957" s="238"/>
      <c r="O957" s="238"/>
      <c r="P957" s="238"/>
      <c r="Q957" s="238"/>
      <c r="R957" s="238"/>
      <c r="S957" s="238"/>
      <c r="T957" s="238"/>
      <c r="U957" s="238"/>
      <c r="V957" s="238"/>
      <c r="W957" s="238"/>
    </row>
    <row r="958" spans="1:23" ht="12.75">
      <c r="A958" s="238"/>
      <c r="B958" s="238"/>
      <c r="C958" s="238"/>
      <c r="D958" s="238"/>
      <c r="E958" s="238"/>
      <c r="F958" s="238"/>
      <c r="G958" s="238"/>
      <c r="H958" s="238"/>
      <c r="I958" s="238"/>
      <c r="J958" s="238"/>
      <c r="K958" s="238"/>
      <c r="L958" s="238"/>
      <c r="M958" s="238"/>
      <c r="N958" s="238"/>
      <c r="O958" s="238"/>
      <c r="P958" s="238"/>
      <c r="Q958" s="238"/>
      <c r="R958" s="238"/>
      <c r="S958" s="238"/>
      <c r="T958" s="238"/>
      <c r="U958" s="238"/>
      <c r="V958" s="238"/>
      <c r="W958" s="238"/>
    </row>
    <row r="959" spans="1:23" ht="12.75">
      <c r="A959" s="238"/>
      <c r="B959" s="238"/>
      <c r="C959" s="238"/>
      <c r="D959" s="238"/>
      <c r="E959" s="238"/>
      <c r="F959" s="238"/>
      <c r="G959" s="238"/>
      <c r="H959" s="238"/>
      <c r="I959" s="238"/>
      <c r="J959" s="238"/>
      <c r="K959" s="238"/>
      <c r="L959" s="238"/>
      <c r="M959" s="238"/>
      <c r="N959" s="238"/>
      <c r="O959" s="238"/>
      <c r="P959" s="238"/>
      <c r="Q959" s="238"/>
      <c r="R959" s="238"/>
      <c r="S959" s="238"/>
      <c r="T959" s="238"/>
      <c r="U959" s="238"/>
      <c r="V959" s="238"/>
      <c r="W959" s="238"/>
    </row>
    <row r="960" spans="1:23" ht="12.75">
      <c r="A960" s="238"/>
      <c r="B960" s="238"/>
      <c r="C960" s="238"/>
      <c r="D960" s="238"/>
      <c r="E960" s="238"/>
      <c r="F960" s="238"/>
      <c r="G960" s="238"/>
      <c r="H960" s="238"/>
      <c r="I960" s="238"/>
      <c r="J960" s="238"/>
      <c r="K960" s="238"/>
      <c r="L960" s="238"/>
      <c r="M960" s="238"/>
      <c r="N960" s="238"/>
      <c r="O960" s="238"/>
      <c r="P960" s="238"/>
      <c r="Q960" s="238"/>
      <c r="R960" s="238"/>
      <c r="S960" s="238"/>
      <c r="T960" s="238"/>
      <c r="U960" s="238"/>
      <c r="V960" s="238"/>
      <c r="W960" s="238"/>
    </row>
    <row r="961" spans="1:23" ht="12.75">
      <c r="A961" s="238"/>
      <c r="B961" s="238"/>
      <c r="C961" s="238"/>
      <c r="D961" s="238"/>
      <c r="E961" s="238"/>
      <c r="F961" s="238"/>
      <c r="G961" s="238"/>
      <c r="H961" s="238"/>
      <c r="I961" s="238"/>
      <c r="J961" s="238"/>
      <c r="K961" s="238"/>
      <c r="L961" s="238"/>
      <c r="M961" s="238"/>
      <c r="N961" s="238"/>
      <c r="O961" s="238"/>
      <c r="P961" s="238"/>
      <c r="Q961" s="238"/>
      <c r="R961" s="238"/>
      <c r="S961" s="238"/>
      <c r="T961" s="238"/>
      <c r="U961" s="238"/>
      <c r="V961" s="238"/>
      <c r="W961" s="238"/>
    </row>
    <row r="962" spans="1:23" ht="12.75">
      <c r="A962" s="238"/>
      <c r="B962" s="238"/>
      <c r="C962" s="238"/>
      <c r="D962" s="238"/>
      <c r="E962" s="238"/>
      <c r="F962" s="238"/>
      <c r="G962" s="238"/>
      <c r="H962" s="238"/>
      <c r="I962" s="238"/>
      <c r="J962" s="238"/>
      <c r="K962" s="238"/>
      <c r="L962" s="238"/>
      <c r="M962" s="238"/>
      <c r="N962" s="238"/>
      <c r="O962" s="238"/>
      <c r="P962" s="238"/>
      <c r="Q962" s="238"/>
      <c r="R962" s="238"/>
      <c r="S962" s="238"/>
      <c r="T962" s="238"/>
      <c r="U962" s="238"/>
      <c r="V962" s="238"/>
      <c r="W962" s="238"/>
    </row>
    <row r="963" spans="1:23" ht="12.75">
      <c r="A963" s="238"/>
      <c r="B963" s="238"/>
      <c r="C963" s="238"/>
      <c r="D963" s="238"/>
      <c r="E963" s="238"/>
      <c r="F963" s="238"/>
      <c r="G963" s="238"/>
      <c r="H963" s="238"/>
      <c r="I963" s="238"/>
      <c r="J963" s="238"/>
      <c r="K963" s="238"/>
      <c r="L963" s="238"/>
      <c r="M963" s="238"/>
      <c r="N963" s="238"/>
      <c r="O963" s="238"/>
      <c r="P963" s="238"/>
      <c r="Q963" s="238"/>
      <c r="R963" s="238"/>
      <c r="S963" s="238"/>
      <c r="T963" s="238"/>
      <c r="U963" s="238"/>
      <c r="V963" s="238"/>
      <c r="W963" s="238"/>
    </row>
    <row r="964" spans="1:23" ht="12.75">
      <c r="A964" s="238"/>
      <c r="B964" s="238"/>
      <c r="C964" s="238"/>
      <c r="D964" s="238"/>
      <c r="E964" s="238"/>
      <c r="F964" s="238"/>
      <c r="G964" s="238"/>
      <c r="H964" s="238"/>
      <c r="I964" s="238"/>
      <c r="J964" s="238"/>
      <c r="K964" s="238"/>
      <c r="L964" s="238"/>
      <c r="M964" s="238"/>
      <c r="N964" s="238"/>
      <c r="O964" s="238"/>
      <c r="P964" s="238"/>
      <c r="Q964" s="238"/>
      <c r="R964" s="238"/>
      <c r="S964" s="238"/>
      <c r="T964" s="238"/>
      <c r="U964" s="238"/>
      <c r="V964" s="238"/>
      <c r="W964" s="238"/>
    </row>
    <row r="965" spans="1:23" ht="12.75">
      <c r="A965" s="238"/>
      <c r="B965" s="238"/>
      <c r="C965" s="238"/>
      <c r="D965" s="238"/>
      <c r="E965" s="238"/>
      <c r="F965" s="238"/>
      <c r="G965" s="238"/>
      <c r="H965" s="238"/>
      <c r="I965" s="238"/>
      <c r="J965" s="238"/>
      <c r="K965" s="238"/>
      <c r="L965" s="238"/>
      <c r="M965" s="238"/>
      <c r="N965" s="238"/>
      <c r="O965" s="238"/>
      <c r="P965" s="238"/>
      <c r="Q965" s="238"/>
      <c r="R965" s="238"/>
      <c r="S965" s="238"/>
      <c r="T965" s="238"/>
      <c r="U965" s="238"/>
      <c r="V965" s="238"/>
      <c r="W965" s="238"/>
    </row>
    <row r="966" spans="1:23" ht="12.75">
      <c r="A966" s="238"/>
      <c r="B966" s="238"/>
      <c r="C966" s="238"/>
      <c r="D966" s="238"/>
      <c r="E966" s="238"/>
      <c r="F966" s="238"/>
      <c r="G966" s="238"/>
      <c r="H966" s="238"/>
      <c r="I966" s="238"/>
      <c r="J966" s="238"/>
      <c r="K966" s="238"/>
      <c r="L966" s="238"/>
      <c r="M966" s="238"/>
      <c r="N966" s="238"/>
      <c r="O966" s="238"/>
      <c r="P966" s="238"/>
      <c r="Q966" s="238"/>
      <c r="R966" s="238"/>
      <c r="S966" s="238"/>
      <c r="T966" s="238"/>
      <c r="U966" s="238"/>
      <c r="V966" s="238"/>
      <c r="W966" s="238"/>
    </row>
    <row r="967" spans="1:23" ht="12.75">
      <c r="A967" s="238"/>
      <c r="B967" s="238"/>
      <c r="C967" s="238"/>
      <c r="D967" s="238"/>
      <c r="E967" s="238"/>
      <c r="F967" s="238"/>
      <c r="G967" s="238"/>
      <c r="H967" s="238"/>
      <c r="I967" s="238"/>
      <c r="J967" s="238"/>
      <c r="K967" s="238"/>
      <c r="L967" s="238"/>
      <c r="M967" s="238"/>
      <c r="N967" s="238"/>
      <c r="O967" s="238"/>
      <c r="P967" s="238"/>
      <c r="Q967" s="238"/>
      <c r="R967" s="238"/>
      <c r="S967" s="238"/>
      <c r="T967" s="238"/>
      <c r="U967" s="238"/>
      <c r="V967" s="238"/>
      <c r="W967" s="238"/>
    </row>
    <row r="968" spans="1:23" ht="12.75">
      <c r="A968" s="238"/>
      <c r="B968" s="238"/>
      <c r="C968" s="238"/>
      <c r="D968" s="238"/>
      <c r="E968" s="238"/>
      <c r="F968" s="238"/>
      <c r="G968" s="238"/>
      <c r="H968" s="238"/>
      <c r="I968" s="238"/>
      <c r="J968" s="238"/>
      <c r="K968" s="238"/>
      <c r="L968" s="238"/>
      <c r="M968" s="238"/>
      <c r="N968" s="238"/>
      <c r="O968" s="238"/>
      <c r="P968" s="238"/>
      <c r="Q968" s="238"/>
      <c r="R968" s="238"/>
      <c r="S968" s="238"/>
      <c r="T968" s="238"/>
      <c r="U968" s="238"/>
      <c r="V968" s="238"/>
      <c r="W968" s="238"/>
    </row>
    <row r="969" spans="1:23" ht="12.75">
      <c r="A969" s="238"/>
      <c r="B969" s="238"/>
      <c r="C969" s="238"/>
      <c r="D969" s="238"/>
      <c r="E969" s="238"/>
      <c r="F969" s="238"/>
      <c r="G969" s="238"/>
      <c r="H969" s="238"/>
      <c r="I969" s="238"/>
      <c r="J969" s="238"/>
      <c r="K969" s="238"/>
      <c r="L969" s="238"/>
      <c r="M969" s="238"/>
      <c r="N969" s="238"/>
      <c r="O969" s="238"/>
      <c r="P969" s="238"/>
      <c r="Q969" s="238"/>
      <c r="R969" s="238"/>
      <c r="S969" s="238"/>
      <c r="T969" s="238"/>
      <c r="U969" s="238"/>
      <c r="V969" s="238"/>
      <c r="W969" s="238"/>
    </row>
    <row r="970" spans="1:23" ht="12.75">
      <c r="A970" s="238"/>
      <c r="B970" s="238"/>
      <c r="C970" s="238"/>
      <c r="D970" s="238"/>
      <c r="E970" s="238"/>
      <c r="F970" s="238"/>
      <c r="G970" s="238"/>
      <c r="H970" s="238"/>
      <c r="I970" s="238"/>
      <c r="J970" s="238"/>
      <c r="K970" s="238"/>
      <c r="L970" s="238"/>
      <c r="M970" s="238"/>
      <c r="N970" s="238"/>
      <c r="O970" s="238"/>
      <c r="P970" s="238"/>
      <c r="Q970" s="238"/>
      <c r="R970" s="238"/>
      <c r="S970" s="238"/>
      <c r="T970" s="238"/>
      <c r="U970" s="238"/>
      <c r="V970" s="238"/>
      <c r="W970" s="238"/>
    </row>
    <row r="971" spans="1:23" ht="12.75">
      <c r="A971" s="238"/>
      <c r="B971" s="238"/>
      <c r="C971" s="238"/>
      <c r="D971" s="238"/>
      <c r="E971" s="238"/>
      <c r="F971" s="238"/>
      <c r="G971" s="238"/>
      <c r="H971" s="238"/>
      <c r="I971" s="238"/>
      <c r="J971" s="238"/>
      <c r="K971" s="238"/>
      <c r="L971" s="238"/>
      <c r="M971" s="238"/>
      <c r="N971" s="238"/>
      <c r="O971" s="238"/>
      <c r="P971" s="238"/>
      <c r="Q971" s="238"/>
      <c r="R971" s="238"/>
      <c r="S971" s="238"/>
      <c r="T971" s="238"/>
      <c r="U971" s="238"/>
      <c r="V971" s="238"/>
      <c r="W971" s="238"/>
    </row>
    <row r="972" spans="1:23" ht="12.75">
      <c r="A972" s="238"/>
      <c r="B972" s="238"/>
      <c r="C972" s="238"/>
      <c r="D972" s="238"/>
      <c r="E972" s="238"/>
      <c r="F972" s="238"/>
      <c r="G972" s="238"/>
      <c r="H972" s="238"/>
      <c r="I972" s="238"/>
      <c r="J972" s="238"/>
      <c r="K972" s="238"/>
      <c r="L972" s="238"/>
      <c r="M972" s="238"/>
      <c r="N972" s="238"/>
      <c r="O972" s="238"/>
      <c r="P972" s="238"/>
      <c r="Q972" s="238"/>
      <c r="R972" s="238"/>
      <c r="S972" s="238"/>
      <c r="T972" s="238"/>
      <c r="U972" s="238"/>
      <c r="V972" s="238"/>
      <c r="W972" s="238"/>
    </row>
    <row r="973" spans="1:23" ht="12.75">
      <c r="A973" s="238"/>
      <c r="B973" s="238"/>
      <c r="C973" s="238"/>
      <c r="D973" s="238"/>
      <c r="E973" s="238"/>
      <c r="F973" s="238"/>
      <c r="G973" s="238"/>
      <c r="H973" s="238"/>
      <c r="I973" s="238"/>
      <c r="J973" s="238"/>
      <c r="K973" s="238"/>
      <c r="L973" s="238"/>
      <c r="M973" s="238"/>
      <c r="N973" s="238"/>
      <c r="O973" s="238"/>
      <c r="P973" s="238"/>
      <c r="Q973" s="238"/>
      <c r="R973" s="238"/>
      <c r="S973" s="238"/>
      <c r="T973" s="238"/>
      <c r="U973" s="238"/>
      <c r="V973" s="238"/>
      <c r="W973" s="238"/>
    </row>
    <row r="974" spans="1:23" ht="12.75">
      <c r="A974" s="238"/>
      <c r="B974" s="238"/>
      <c r="C974" s="238"/>
      <c r="D974" s="238"/>
      <c r="E974" s="238"/>
      <c r="F974" s="238"/>
      <c r="G974" s="238"/>
      <c r="H974" s="238"/>
      <c r="I974" s="238"/>
      <c r="J974" s="238"/>
      <c r="K974" s="238"/>
      <c r="L974" s="238"/>
      <c r="M974" s="238"/>
      <c r="N974" s="238"/>
      <c r="O974" s="238"/>
      <c r="P974" s="238"/>
      <c r="Q974" s="238"/>
      <c r="R974" s="238"/>
      <c r="S974" s="238"/>
      <c r="T974" s="238"/>
      <c r="U974" s="238"/>
      <c r="V974" s="238"/>
      <c r="W974" s="238"/>
    </row>
    <row r="975" spans="1:23" ht="12.75">
      <c r="A975" s="238"/>
      <c r="B975" s="238"/>
      <c r="C975" s="238"/>
      <c r="D975" s="238"/>
      <c r="E975" s="238"/>
      <c r="F975" s="238"/>
      <c r="G975" s="238"/>
      <c r="H975" s="238"/>
      <c r="I975" s="238"/>
      <c r="J975" s="238"/>
      <c r="K975" s="238"/>
      <c r="L975" s="238"/>
      <c r="M975" s="238"/>
      <c r="N975" s="238"/>
      <c r="O975" s="238"/>
      <c r="P975" s="238"/>
      <c r="Q975" s="238"/>
      <c r="R975" s="238"/>
      <c r="S975" s="238"/>
      <c r="T975" s="238"/>
      <c r="U975" s="238"/>
      <c r="V975" s="238"/>
      <c r="W975" s="238"/>
    </row>
    <row r="976" spans="1:23" ht="12.75">
      <c r="A976" s="238"/>
      <c r="B976" s="238"/>
      <c r="C976" s="238"/>
      <c r="D976" s="238"/>
      <c r="E976" s="238"/>
      <c r="F976" s="238"/>
      <c r="G976" s="238"/>
      <c r="H976" s="238"/>
      <c r="I976" s="238"/>
      <c r="J976" s="238"/>
      <c r="K976" s="238"/>
      <c r="L976" s="238"/>
      <c r="M976" s="238"/>
      <c r="N976" s="238"/>
      <c r="O976" s="238"/>
      <c r="P976" s="238"/>
      <c r="Q976" s="238"/>
      <c r="R976" s="238"/>
      <c r="S976" s="238"/>
      <c r="T976" s="238"/>
      <c r="U976" s="238"/>
      <c r="V976" s="238"/>
      <c r="W976" s="238"/>
    </row>
    <row r="977" spans="1:23" ht="12.75">
      <c r="A977" s="238"/>
      <c r="B977" s="238"/>
      <c r="C977" s="238"/>
      <c r="D977" s="238"/>
      <c r="E977" s="238"/>
      <c r="F977" s="238"/>
      <c r="G977" s="238"/>
      <c r="H977" s="238"/>
      <c r="I977" s="238"/>
      <c r="J977" s="238"/>
      <c r="K977" s="238"/>
      <c r="L977" s="238"/>
      <c r="M977" s="238"/>
      <c r="N977" s="238"/>
      <c r="O977" s="238"/>
      <c r="P977" s="238"/>
      <c r="Q977" s="238"/>
      <c r="R977" s="238"/>
      <c r="S977" s="238"/>
      <c r="T977" s="238"/>
      <c r="U977" s="238"/>
      <c r="V977" s="238"/>
      <c r="W977" s="238"/>
    </row>
    <row r="978" spans="1:23" ht="12.75">
      <c r="A978" s="238"/>
      <c r="B978" s="238"/>
      <c r="C978" s="238"/>
      <c r="D978" s="238"/>
      <c r="E978" s="238"/>
      <c r="F978" s="238"/>
      <c r="G978" s="238"/>
      <c r="H978" s="238"/>
      <c r="I978" s="238"/>
      <c r="J978" s="238"/>
      <c r="K978" s="238"/>
      <c r="L978" s="238"/>
      <c r="M978" s="238"/>
      <c r="N978" s="238"/>
      <c r="O978" s="238"/>
      <c r="P978" s="238"/>
      <c r="Q978" s="238"/>
      <c r="R978" s="238"/>
      <c r="S978" s="238"/>
      <c r="T978" s="238"/>
      <c r="U978" s="238"/>
      <c r="V978" s="238"/>
      <c r="W978" s="238"/>
    </row>
    <row r="979" spans="1:23" ht="12.75">
      <c r="A979" s="238"/>
      <c r="B979" s="238"/>
      <c r="C979" s="238"/>
      <c r="D979" s="238"/>
      <c r="E979" s="238"/>
      <c r="F979" s="238"/>
      <c r="G979" s="238"/>
      <c r="H979" s="238"/>
      <c r="I979" s="238"/>
      <c r="J979" s="238"/>
      <c r="K979" s="238"/>
      <c r="L979" s="238"/>
      <c r="M979" s="238"/>
      <c r="N979" s="238"/>
      <c r="O979" s="238"/>
      <c r="P979" s="238"/>
      <c r="Q979" s="238"/>
      <c r="R979" s="238"/>
      <c r="S979" s="238"/>
      <c r="T979" s="238"/>
      <c r="U979" s="238"/>
      <c r="V979" s="238"/>
      <c r="W979" s="238"/>
    </row>
    <row r="980" spans="1:23" ht="12.75">
      <c r="A980" s="238"/>
      <c r="B980" s="238"/>
      <c r="C980" s="238"/>
      <c r="D980" s="238"/>
      <c r="E980" s="238"/>
      <c r="F980" s="238"/>
      <c r="G980" s="238"/>
      <c r="H980" s="238"/>
      <c r="I980" s="238"/>
      <c r="J980" s="238"/>
      <c r="K980" s="238"/>
      <c r="L980" s="238"/>
      <c r="M980" s="238"/>
      <c r="N980" s="238"/>
      <c r="O980" s="238"/>
      <c r="P980" s="238"/>
      <c r="Q980" s="238"/>
      <c r="R980" s="238"/>
      <c r="S980" s="238"/>
      <c r="T980" s="238"/>
      <c r="U980" s="238"/>
      <c r="V980" s="238"/>
      <c r="W980" s="238"/>
    </row>
    <row r="981" spans="1:23" ht="12.75">
      <c r="A981" s="238"/>
      <c r="B981" s="238"/>
      <c r="C981" s="238"/>
      <c r="D981" s="238"/>
      <c r="E981" s="238"/>
      <c r="F981" s="238"/>
      <c r="G981" s="238"/>
      <c r="H981" s="238"/>
      <c r="I981" s="238"/>
      <c r="J981" s="238"/>
      <c r="K981" s="238"/>
      <c r="L981" s="238"/>
      <c r="M981" s="238"/>
      <c r="N981" s="238"/>
      <c r="O981" s="238"/>
      <c r="P981" s="238"/>
      <c r="Q981" s="238"/>
      <c r="R981" s="238"/>
      <c r="S981" s="238"/>
      <c r="T981" s="238"/>
      <c r="U981" s="238"/>
      <c r="V981" s="238"/>
      <c r="W981" s="238"/>
    </row>
    <row r="982" spans="1:23" ht="12.75">
      <c r="A982" s="238"/>
      <c r="B982" s="238"/>
      <c r="C982" s="238"/>
      <c r="D982" s="238"/>
      <c r="E982" s="238"/>
      <c r="F982" s="238"/>
      <c r="G982" s="238"/>
      <c r="H982" s="238"/>
      <c r="I982" s="238"/>
      <c r="J982" s="238"/>
      <c r="K982" s="238"/>
      <c r="L982" s="238"/>
      <c r="M982" s="238"/>
      <c r="N982" s="238"/>
      <c r="O982" s="238"/>
      <c r="P982" s="238"/>
      <c r="Q982" s="238"/>
      <c r="R982" s="238"/>
      <c r="S982" s="238"/>
      <c r="T982" s="238"/>
      <c r="U982" s="238"/>
      <c r="V982" s="238"/>
      <c r="W982" s="238"/>
    </row>
    <row r="983" spans="1:23" ht="12.75">
      <c r="A983" s="238"/>
      <c r="B983" s="238"/>
      <c r="C983" s="238"/>
      <c r="D983" s="238"/>
      <c r="E983" s="238"/>
      <c r="F983" s="238"/>
      <c r="G983" s="238"/>
      <c r="H983" s="238"/>
      <c r="I983" s="238"/>
      <c r="J983" s="238"/>
      <c r="K983" s="238"/>
      <c r="L983" s="238"/>
      <c r="M983" s="238"/>
      <c r="N983" s="238"/>
      <c r="O983" s="238"/>
      <c r="P983" s="238"/>
      <c r="Q983" s="238"/>
      <c r="R983" s="238"/>
      <c r="S983" s="238"/>
      <c r="T983" s="238"/>
      <c r="U983" s="238"/>
      <c r="V983" s="238"/>
      <c r="W983" s="238"/>
    </row>
    <row r="984" spans="1:23" ht="12.75">
      <c r="A984" s="238"/>
      <c r="B984" s="238"/>
      <c r="C984" s="238"/>
      <c r="D984" s="238"/>
      <c r="E984" s="238"/>
      <c r="F984" s="238"/>
      <c r="G984" s="238"/>
      <c r="H984" s="238"/>
      <c r="I984" s="238"/>
      <c r="J984" s="238"/>
      <c r="K984" s="238"/>
      <c r="L984" s="238"/>
      <c r="M984" s="238"/>
      <c r="N984" s="238"/>
      <c r="O984" s="238"/>
      <c r="P984" s="238"/>
      <c r="Q984" s="238"/>
      <c r="R984" s="238"/>
      <c r="S984" s="238"/>
      <c r="T984" s="238"/>
      <c r="U984" s="238"/>
      <c r="V984" s="238"/>
      <c r="W984" s="238"/>
    </row>
    <row r="985" spans="1:23" ht="12.75">
      <c r="A985" s="238"/>
      <c r="B985" s="238"/>
      <c r="C985" s="238"/>
      <c r="D985" s="238"/>
      <c r="E985" s="238"/>
      <c r="F985" s="238"/>
      <c r="G985" s="238"/>
      <c r="H985" s="238"/>
      <c r="I985" s="238"/>
      <c r="J985" s="238"/>
      <c r="K985" s="238"/>
      <c r="L985" s="238"/>
      <c r="M985" s="238"/>
      <c r="N985" s="238"/>
      <c r="O985" s="238"/>
      <c r="P985" s="238"/>
      <c r="Q985" s="238"/>
      <c r="R985" s="238"/>
      <c r="S985" s="238"/>
      <c r="T985" s="238"/>
      <c r="U985" s="238"/>
      <c r="V985" s="238"/>
      <c r="W985" s="238"/>
    </row>
    <row r="986" spans="1:23" ht="12.75">
      <c r="A986" s="238"/>
      <c r="B986" s="238"/>
      <c r="C986" s="238"/>
      <c r="D986" s="238"/>
      <c r="E986" s="238"/>
      <c r="F986" s="238"/>
      <c r="G986" s="238"/>
      <c r="H986" s="238"/>
      <c r="I986" s="238"/>
      <c r="J986" s="238"/>
      <c r="K986" s="238"/>
      <c r="L986" s="238"/>
      <c r="M986" s="238"/>
      <c r="N986" s="238"/>
      <c r="O986" s="238"/>
      <c r="P986" s="238"/>
      <c r="Q986" s="238"/>
      <c r="R986" s="238"/>
      <c r="S986" s="238"/>
      <c r="T986" s="238"/>
      <c r="U986" s="238"/>
      <c r="V986" s="238"/>
      <c r="W986" s="238"/>
    </row>
    <row r="987" spans="1:23" ht="12.75">
      <c r="A987" s="238"/>
      <c r="B987" s="238"/>
      <c r="C987" s="238"/>
      <c r="D987" s="238"/>
      <c r="E987" s="238"/>
      <c r="F987" s="238"/>
      <c r="G987" s="238"/>
      <c r="H987" s="238"/>
      <c r="I987" s="238"/>
      <c r="J987" s="238"/>
      <c r="K987" s="238"/>
      <c r="L987" s="238"/>
      <c r="M987" s="238"/>
      <c r="N987" s="238"/>
      <c r="O987" s="238"/>
      <c r="P987" s="238"/>
      <c r="Q987" s="238"/>
      <c r="R987" s="238"/>
      <c r="S987" s="238"/>
      <c r="T987" s="238"/>
      <c r="U987" s="238"/>
      <c r="V987" s="238"/>
      <c r="W987" s="238"/>
    </row>
    <row r="988" spans="1:23" ht="12.75">
      <c r="A988" s="238"/>
      <c r="B988" s="238"/>
      <c r="C988" s="238"/>
      <c r="D988" s="238"/>
      <c r="E988" s="238"/>
      <c r="F988" s="238"/>
      <c r="G988" s="238"/>
      <c r="H988" s="238"/>
      <c r="I988" s="238"/>
      <c r="J988" s="238"/>
      <c r="K988" s="238"/>
      <c r="L988" s="238"/>
      <c r="M988" s="238"/>
      <c r="N988" s="238"/>
      <c r="O988" s="238"/>
      <c r="P988" s="238"/>
      <c r="Q988" s="238"/>
      <c r="R988" s="238"/>
      <c r="S988" s="238"/>
      <c r="T988" s="238"/>
      <c r="U988" s="238"/>
      <c r="V988" s="238"/>
      <c r="W988" s="238"/>
    </row>
    <row r="989" spans="1:23" ht="12.75">
      <c r="A989" s="238"/>
      <c r="B989" s="238"/>
      <c r="C989" s="238"/>
      <c r="D989" s="238"/>
      <c r="E989" s="238"/>
      <c r="F989" s="238"/>
      <c r="G989" s="238"/>
      <c r="H989" s="238"/>
      <c r="I989" s="238"/>
      <c r="J989" s="238"/>
      <c r="K989" s="238"/>
      <c r="L989" s="238"/>
      <c r="M989" s="238"/>
      <c r="N989" s="238"/>
      <c r="O989" s="238"/>
      <c r="P989" s="238"/>
      <c r="Q989" s="238"/>
      <c r="R989" s="238"/>
      <c r="S989" s="238"/>
      <c r="T989" s="238"/>
      <c r="U989" s="238"/>
      <c r="V989" s="238"/>
      <c r="W989" s="238"/>
    </row>
    <row r="990" spans="1:23" ht="12.75">
      <c r="A990" s="238"/>
      <c r="B990" s="238"/>
      <c r="C990" s="238"/>
      <c r="D990" s="238"/>
      <c r="E990" s="238"/>
      <c r="F990" s="238"/>
      <c r="G990" s="238"/>
      <c r="H990" s="238"/>
      <c r="I990" s="238"/>
      <c r="J990" s="238"/>
      <c r="K990" s="238"/>
      <c r="L990" s="238"/>
      <c r="M990" s="238"/>
      <c r="N990" s="238"/>
      <c r="O990" s="238"/>
      <c r="P990" s="238"/>
      <c r="Q990" s="238"/>
      <c r="R990" s="238"/>
      <c r="S990" s="238"/>
      <c r="T990" s="238"/>
      <c r="U990" s="238"/>
      <c r="V990" s="238"/>
      <c r="W990" s="238"/>
    </row>
    <row r="991" spans="1:23" ht="12.75">
      <c r="A991" s="238"/>
      <c r="B991" s="238"/>
      <c r="C991" s="238"/>
      <c r="D991" s="238"/>
      <c r="E991" s="238"/>
      <c r="F991" s="238"/>
      <c r="G991" s="238"/>
      <c r="H991" s="238"/>
      <c r="I991" s="238"/>
      <c r="J991" s="238"/>
      <c r="K991" s="238"/>
      <c r="L991" s="238"/>
      <c r="M991" s="238"/>
      <c r="N991" s="238"/>
      <c r="O991" s="238"/>
      <c r="P991" s="238"/>
      <c r="Q991" s="238"/>
      <c r="R991" s="238"/>
      <c r="S991" s="238"/>
      <c r="T991" s="238"/>
      <c r="U991" s="238"/>
      <c r="V991" s="238"/>
      <c r="W991" s="238"/>
    </row>
    <row r="992" spans="1:23" ht="12.75">
      <c r="A992" s="238"/>
      <c r="B992" s="238"/>
      <c r="C992" s="238"/>
      <c r="D992" s="238"/>
      <c r="E992" s="238"/>
      <c r="F992" s="238"/>
      <c r="G992" s="238"/>
      <c r="H992" s="238"/>
      <c r="I992" s="238"/>
      <c r="J992" s="238"/>
      <c r="K992" s="238"/>
      <c r="L992" s="238"/>
      <c r="M992" s="238"/>
      <c r="N992" s="238"/>
      <c r="O992" s="238"/>
      <c r="P992" s="238"/>
      <c r="Q992" s="238"/>
      <c r="R992" s="238"/>
      <c r="S992" s="238"/>
      <c r="T992" s="238"/>
      <c r="U992" s="238"/>
      <c r="V992" s="238"/>
      <c r="W992" s="238"/>
    </row>
    <row r="993" spans="1:23" ht="12.75">
      <c r="A993" s="238"/>
      <c r="B993" s="238"/>
      <c r="C993" s="238"/>
      <c r="D993" s="238"/>
      <c r="E993" s="238"/>
      <c r="F993" s="238"/>
      <c r="G993" s="238"/>
      <c r="H993" s="238"/>
      <c r="I993" s="238"/>
      <c r="J993" s="238"/>
      <c r="K993" s="238"/>
      <c r="L993" s="238"/>
      <c r="M993" s="238"/>
      <c r="N993" s="238"/>
      <c r="O993" s="238"/>
      <c r="P993" s="238"/>
      <c r="Q993" s="238"/>
      <c r="R993" s="238"/>
      <c r="S993" s="238"/>
      <c r="T993" s="238"/>
      <c r="U993" s="238"/>
      <c r="V993" s="238"/>
      <c r="W993" s="238"/>
    </row>
    <row r="994" spans="1:23" ht="12.75">
      <c r="A994" s="238"/>
      <c r="B994" s="238"/>
      <c r="C994" s="238"/>
      <c r="D994" s="238"/>
      <c r="E994" s="238"/>
      <c r="F994" s="238"/>
      <c r="G994" s="238"/>
      <c r="H994" s="238"/>
      <c r="I994" s="238"/>
      <c r="J994" s="238"/>
      <c r="K994" s="238"/>
      <c r="L994" s="238"/>
      <c r="M994" s="238"/>
      <c r="N994" s="238"/>
      <c r="O994" s="238"/>
      <c r="P994" s="238"/>
      <c r="Q994" s="238"/>
      <c r="R994" s="238"/>
      <c r="S994" s="238"/>
      <c r="T994" s="238"/>
      <c r="U994" s="238"/>
      <c r="V994" s="238"/>
      <c r="W994" s="238"/>
    </row>
    <row r="995" spans="1:23" ht="12.75">
      <c r="A995" s="238"/>
      <c r="B995" s="238"/>
      <c r="C995" s="238"/>
      <c r="D995" s="238"/>
      <c r="E995" s="238"/>
      <c r="F995" s="238"/>
      <c r="G995" s="238"/>
      <c r="H995" s="238"/>
      <c r="I995" s="238"/>
      <c r="J995" s="238"/>
      <c r="K995" s="238"/>
      <c r="L995" s="238"/>
      <c r="M995" s="238"/>
      <c r="N995" s="238"/>
      <c r="O995" s="238"/>
      <c r="P995" s="238"/>
      <c r="Q995" s="238"/>
      <c r="R995" s="238"/>
      <c r="S995" s="238"/>
      <c r="T995" s="238"/>
      <c r="U995" s="238"/>
      <c r="V995" s="238"/>
      <c r="W995" s="238"/>
    </row>
    <row r="996" spans="1:23" ht="12.75">
      <c r="A996" s="238"/>
      <c r="B996" s="238"/>
      <c r="C996" s="238"/>
      <c r="D996" s="238"/>
      <c r="E996" s="238"/>
      <c r="F996" s="238"/>
      <c r="G996" s="238"/>
      <c r="H996" s="238"/>
      <c r="I996" s="238"/>
      <c r="J996" s="238"/>
      <c r="K996" s="238"/>
      <c r="L996" s="238"/>
      <c r="M996" s="238"/>
      <c r="N996" s="238"/>
      <c r="O996" s="238"/>
      <c r="P996" s="238"/>
      <c r="Q996" s="238"/>
      <c r="R996" s="238"/>
      <c r="S996" s="238"/>
      <c r="T996" s="238"/>
      <c r="U996" s="238"/>
      <c r="V996" s="238"/>
      <c r="W996" s="238"/>
    </row>
    <row r="997" spans="1:23" ht="12.75">
      <c r="A997" s="238"/>
      <c r="B997" s="238"/>
      <c r="C997" s="238"/>
      <c r="D997" s="238"/>
      <c r="E997" s="238"/>
      <c r="F997" s="238"/>
      <c r="G997" s="238"/>
      <c r="H997" s="238"/>
      <c r="I997" s="238"/>
      <c r="J997" s="238"/>
      <c r="K997" s="238"/>
      <c r="L997" s="238"/>
      <c r="M997" s="238"/>
      <c r="N997" s="238"/>
      <c r="O997" s="238"/>
      <c r="P997" s="238"/>
      <c r="Q997" s="238"/>
      <c r="R997" s="238"/>
      <c r="S997" s="238"/>
      <c r="T997" s="238"/>
      <c r="U997" s="238"/>
      <c r="V997" s="238"/>
      <c r="W997" s="238"/>
    </row>
    <row r="998" spans="1:23" ht="12.75">
      <c r="A998" s="238"/>
      <c r="B998" s="238"/>
      <c r="C998" s="238"/>
      <c r="D998" s="238"/>
      <c r="E998" s="238"/>
      <c r="F998" s="238"/>
      <c r="G998" s="238"/>
      <c r="H998" s="238"/>
      <c r="I998" s="238"/>
      <c r="J998" s="238"/>
      <c r="K998" s="238"/>
      <c r="L998" s="238"/>
      <c r="M998" s="238"/>
      <c r="N998" s="238"/>
      <c r="O998" s="238"/>
      <c r="P998" s="238"/>
      <c r="Q998" s="238"/>
      <c r="R998" s="238"/>
      <c r="S998" s="238"/>
      <c r="T998" s="238"/>
      <c r="U998" s="238"/>
      <c r="V998" s="238"/>
      <c r="W998" s="238"/>
    </row>
    <row r="999" spans="1:23" ht="12.75">
      <c r="A999" s="238"/>
      <c r="B999" s="238"/>
      <c r="C999" s="238"/>
      <c r="D999" s="238"/>
      <c r="E999" s="238"/>
      <c r="F999" s="238"/>
      <c r="G999" s="238"/>
      <c r="H999" s="238"/>
      <c r="I999" s="238"/>
      <c r="J999" s="238"/>
      <c r="K999" s="238"/>
      <c r="L999" s="238"/>
      <c r="M999" s="238"/>
      <c r="N999" s="238"/>
      <c r="O999" s="238"/>
      <c r="P999" s="238"/>
      <c r="Q999" s="238"/>
      <c r="R999" s="238"/>
      <c r="S999" s="238"/>
      <c r="T999" s="238"/>
      <c r="U999" s="238"/>
      <c r="V999" s="238"/>
      <c r="W999" s="238"/>
    </row>
    <row r="1000" spans="1:23" ht="12.75">
      <c r="A1000" s="238"/>
      <c r="B1000" s="238"/>
      <c r="C1000" s="238"/>
      <c r="D1000" s="238"/>
      <c r="E1000" s="238"/>
      <c r="F1000" s="238"/>
      <c r="G1000" s="238"/>
      <c r="H1000" s="238"/>
      <c r="I1000" s="238"/>
      <c r="J1000" s="238"/>
      <c r="K1000" s="238"/>
      <c r="L1000" s="238"/>
      <c r="M1000" s="238"/>
      <c r="N1000" s="238"/>
      <c r="O1000" s="238"/>
      <c r="P1000" s="238"/>
      <c r="Q1000" s="238"/>
      <c r="R1000" s="238"/>
      <c r="S1000" s="238"/>
      <c r="T1000" s="238"/>
      <c r="U1000" s="238"/>
      <c r="V1000" s="238"/>
      <c r="W1000" s="238"/>
    </row>
    <row r="1001" spans="1:23" ht="12.75">
      <c r="A1001" s="238"/>
      <c r="B1001" s="238"/>
      <c r="C1001" s="238"/>
      <c r="D1001" s="238"/>
      <c r="E1001" s="238"/>
      <c r="F1001" s="238"/>
      <c r="G1001" s="238"/>
      <c r="H1001" s="238"/>
      <c r="I1001" s="238"/>
      <c r="J1001" s="238"/>
      <c r="K1001" s="238"/>
      <c r="L1001" s="238"/>
      <c r="M1001" s="238"/>
      <c r="N1001" s="238"/>
      <c r="O1001" s="238"/>
      <c r="P1001" s="238"/>
      <c r="Q1001" s="238"/>
      <c r="R1001" s="238"/>
      <c r="S1001" s="238"/>
      <c r="T1001" s="238"/>
      <c r="U1001" s="238"/>
      <c r="V1001" s="238"/>
      <c r="W1001" s="238"/>
    </row>
  </sheetData>
  <customSheetViews>
    <customSheetView guid="{448E872C-185B-42E9-9393-93457B29FC18}" filter="1" showAutoFilter="1">
      <pageMargins left="0.7" right="0.7" top="0.75" bottom="0.75" header="0.3" footer="0.3"/>
      <autoFilter ref="M9"/>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V1026"/>
  <sheetViews>
    <sheetView workbookViewId="0"/>
  </sheetViews>
  <sheetFormatPr baseColWidth="10" defaultColWidth="12.5703125" defaultRowHeight="15.75" customHeight="1"/>
  <sheetData>
    <row r="1" spans="1:22" ht="60">
      <c r="A1" s="1" t="s">
        <v>0</v>
      </c>
      <c r="B1" s="1" t="s">
        <v>1</v>
      </c>
      <c r="C1" s="1" t="s">
        <v>2</v>
      </c>
      <c r="D1" s="1" t="s">
        <v>3</v>
      </c>
      <c r="E1" s="2" t="s">
        <v>4</v>
      </c>
      <c r="F1" s="2" t="s">
        <v>5</v>
      </c>
      <c r="G1" s="2" t="s">
        <v>6</v>
      </c>
      <c r="H1" s="2" t="s">
        <v>8</v>
      </c>
      <c r="I1" s="172" t="s">
        <v>9</v>
      </c>
      <c r="J1" s="2" t="s">
        <v>10</v>
      </c>
      <c r="K1" s="2" t="s">
        <v>11</v>
      </c>
      <c r="L1" s="2" t="s">
        <v>12</v>
      </c>
      <c r="M1" s="2" t="s">
        <v>13</v>
      </c>
      <c r="N1" s="2"/>
      <c r="O1" s="2" t="s">
        <v>14</v>
      </c>
      <c r="P1" s="4" t="s">
        <v>15</v>
      </c>
      <c r="Q1" s="4" t="s">
        <v>16</v>
      </c>
      <c r="R1" s="1" t="s">
        <v>17</v>
      </c>
      <c r="S1" s="4" t="s">
        <v>18</v>
      </c>
      <c r="T1" s="2" t="s">
        <v>19</v>
      </c>
      <c r="U1" s="4" t="s">
        <v>20</v>
      </c>
      <c r="V1" s="4" t="s">
        <v>21</v>
      </c>
    </row>
    <row r="2" spans="1:22" ht="15.75" customHeight="1">
      <c r="A2" s="9" t="s">
        <v>26</v>
      </c>
      <c r="B2" s="10" t="s">
        <v>27</v>
      </c>
      <c r="C2" s="11" t="s">
        <v>28</v>
      </c>
      <c r="D2" s="12"/>
      <c r="E2" s="13" t="s">
        <v>29</v>
      </c>
      <c r="F2" s="6" t="s">
        <v>30</v>
      </c>
      <c r="G2" s="6" t="str">
        <f ca="1">IFERROR(__xludf.DUMMYFUNCTION("CONCATENATE(B2,(VLOOKUP(C2,CATALOGOS!$F$2:$H$6,3,FALSE)),(VLOOKUP(T2,CATALOGOS!$J$2:$K$18,2,FALSE)),""-"",TO_TEXT(A2))"),"P05DA-0001")</f>
        <v>P05DA-0001</v>
      </c>
      <c r="H2" s="6" t="s">
        <v>31</v>
      </c>
      <c r="I2" s="6" t="s">
        <v>32</v>
      </c>
      <c r="J2" s="6" t="s">
        <v>33</v>
      </c>
      <c r="K2" s="6" t="s">
        <v>34</v>
      </c>
      <c r="L2" s="17"/>
      <c r="M2" s="17"/>
      <c r="N2" s="17" t="str">
        <f t="shared" ref="N2:N26" si="0">IF(COUNTIF($K$2:$K$997,K2)&gt;1,"REPETIDO","OK")</f>
        <v>OK</v>
      </c>
      <c r="O2" s="17" t="s">
        <v>35</v>
      </c>
      <c r="P2" s="6" t="s">
        <v>35</v>
      </c>
      <c r="Q2" s="6" t="s">
        <v>36</v>
      </c>
      <c r="R2" s="213" t="s">
        <v>37</v>
      </c>
      <c r="S2" s="173" t="s">
        <v>38</v>
      </c>
      <c r="T2" s="11" t="s">
        <v>28</v>
      </c>
      <c r="U2" s="22" t="s">
        <v>40</v>
      </c>
      <c r="V2" s="22" t="s">
        <v>40</v>
      </c>
    </row>
    <row r="3" spans="1:22" ht="15.75" customHeight="1">
      <c r="A3" s="9" t="s">
        <v>42</v>
      </c>
      <c r="B3" s="10" t="s">
        <v>27</v>
      </c>
      <c r="C3" s="11" t="s">
        <v>28</v>
      </c>
      <c r="D3" s="12"/>
      <c r="E3" s="13" t="s">
        <v>43</v>
      </c>
      <c r="F3" s="6" t="s">
        <v>44</v>
      </c>
      <c r="G3" s="6" t="str">
        <f ca="1">IFERROR(__xludf.DUMMYFUNCTION("CONCATENATE(B3,(VLOOKUP(C3,CATALOGOS!$F$2:$H$6,3,FALSE)),(VLOOKUP(T3,CATALOGOS!$J$2:$K$18,2,FALSE)),""-"",TO_TEXT(A3))"),"P05DA-0002")</f>
        <v>P05DA-0002</v>
      </c>
      <c r="H3" s="6" t="s">
        <v>45</v>
      </c>
      <c r="I3" s="6" t="s">
        <v>46</v>
      </c>
      <c r="J3" s="6" t="s">
        <v>47</v>
      </c>
      <c r="K3" s="6" t="s">
        <v>48</v>
      </c>
      <c r="L3" s="17"/>
      <c r="M3" s="17"/>
      <c r="N3" s="17" t="str">
        <f t="shared" si="0"/>
        <v>OK</v>
      </c>
      <c r="O3" s="17" t="s">
        <v>49</v>
      </c>
      <c r="P3" s="6">
        <v>3358</v>
      </c>
      <c r="Q3" s="6" t="s">
        <v>36</v>
      </c>
      <c r="R3" s="214" t="s">
        <v>50</v>
      </c>
      <c r="S3" s="173" t="s">
        <v>38</v>
      </c>
      <c r="T3" s="11" t="s">
        <v>28</v>
      </c>
      <c r="U3" s="22" t="s">
        <v>40</v>
      </c>
      <c r="V3" s="22" t="s">
        <v>40</v>
      </c>
    </row>
    <row r="4" spans="1:22" ht="15.75" customHeight="1">
      <c r="A4" s="9" t="s">
        <v>52</v>
      </c>
      <c r="B4" s="10" t="s">
        <v>27</v>
      </c>
      <c r="C4" s="11" t="s">
        <v>28</v>
      </c>
      <c r="D4" s="12"/>
      <c r="E4" s="13" t="s">
        <v>53</v>
      </c>
      <c r="F4" s="6" t="s">
        <v>9267</v>
      </c>
      <c r="G4" s="6" t="str">
        <f ca="1">IFERROR(__xludf.DUMMYFUNCTION("CONCATENATE(B4,(VLOOKUP(C4,CATALOGOS!$F$2:$H$6,3,FALSE)),(VLOOKUP(T4,CATALOGOS!$J$2:$K$18,2,FALSE)),""-"",TO_TEXT(A4))"),"P05DA-0003")</f>
        <v>P05DA-0003</v>
      </c>
      <c r="H4" s="6" t="s">
        <v>55</v>
      </c>
      <c r="I4" s="6" t="s">
        <v>56</v>
      </c>
      <c r="J4" s="6" t="s">
        <v>57</v>
      </c>
      <c r="K4" s="6" t="s">
        <v>58</v>
      </c>
      <c r="L4" s="17"/>
      <c r="M4" s="17"/>
      <c r="N4" s="17" t="str">
        <f t="shared" si="0"/>
        <v>OK</v>
      </c>
      <c r="O4" s="17" t="s">
        <v>35</v>
      </c>
      <c r="P4" s="6" t="s">
        <v>35</v>
      </c>
      <c r="Q4" s="6" t="s">
        <v>36</v>
      </c>
      <c r="R4" s="214" t="s">
        <v>59</v>
      </c>
      <c r="S4" s="173" t="s">
        <v>38</v>
      </c>
      <c r="T4" s="174" t="s">
        <v>28</v>
      </c>
      <c r="U4" s="22" t="s">
        <v>40</v>
      </c>
      <c r="V4" s="22" t="s">
        <v>40</v>
      </c>
    </row>
    <row r="5" spans="1:22" ht="15.75" customHeight="1">
      <c r="A5" s="10" t="s">
        <v>61</v>
      </c>
      <c r="B5" s="10" t="s">
        <v>27</v>
      </c>
      <c r="C5" s="11" t="s">
        <v>28</v>
      </c>
      <c r="D5" s="12"/>
      <c r="E5" s="13" t="s">
        <v>62</v>
      </c>
      <c r="F5" s="6" t="s">
        <v>63</v>
      </c>
      <c r="G5" s="6" t="str">
        <f ca="1">IFERROR(__xludf.DUMMYFUNCTION("CONCATENATE(B5,(VLOOKUP(C5,CATALOGOS!$F$2:$H$6,3,FALSE)),(VLOOKUP(T5,CATALOGOS!$J$2:$K$18,2,FALSE)),""-"",TO_TEXT(A5))"),"P05DA-0004")</f>
        <v>P05DA-0004</v>
      </c>
      <c r="H5" s="6" t="s">
        <v>64</v>
      </c>
      <c r="I5" s="6" t="s">
        <v>65</v>
      </c>
      <c r="J5" s="6" t="s">
        <v>66</v>
      </c>
      <c r="K5" s="6" t="s">
        <v>67</v>
      </c>
      <c r="L5" s="17"/>
      <c r="M5" s="17"/>
      <c r="N5" s="17" t="str">
        <f t="shared" si="0"/>
        <v>OK</v>
      </c>
      <c r="O5" s="17" t="s">
        <v>35</v>
      </c>
      <c r="P5" s="6" t="s">
        <v>35</v>
      </c>
      <c r="Q5" s="6" t="s">
        <v>36</v>
      </c>
      <c r="R5" s="213" t="s">
        <v>68</v>
      </c>
      <c r="S5" s="173" t="s">
        <v>38</v>
      </c>
      <c r="T5" s="11" t="s">
        <v>28</v>
      </c>
      <c r="U5" s="22" t="s">
        <v>40</v>
      </c>
      <c r="V5" s="22" t="s">
        <v>40</v>
      </c>
    </row>
    <row r="6" spans="1:22" ht="15.75" customHeight="1">
      <c r="A6" s="10" t="s">
        <v>70</v>
      </c>
      <c r="B6" s="10" t="s">
        <v>27</v>
      </c>
      <c r="C6" s="11" t="s">
        <v>28</v>
      </c>
      <c r="D6" s="12"/>
      <c r="E6" s="13" t="s">
        <v>71</v>
      </c>
      <c r="F6" s="6" t="s">
        <v>72</v>
      </c>
      <c r="G6" s="6" t="str">
        <f ca="1">IFERROR(__xludf.DUMMYFUNCTION("CONCATENATE(B6,(VLOOKUP(C6,CATALOGOS!$F$2:$H$6,3,FALSE)),(VLOOKUP(T6,CATALOGOS!$J$2:$K$18,2,FALSE)),""-"",TO_TEXT(A6))"),"P05DA-0005")</f>
        <v>P05DA-0005</v>
      </c>
      <c r="H6" s="6" t="s">
        <v>73</v>
      </c>
      <c r="I6" s="6" t="s">
        <v>74</v>
      </c>
      <c r="J6" s="6" t="s">
        <v>75</v>
      </c>
      <c r="K6" s="6" t="s">
        <v>76</v>
      </c>
      <c r="L6" s="17"/>
      <c r="M6" s="17"/>
      <c r="N6" s="17" t="str">
        <f t="shared" si="0"/>
        <v>OK</v>
      </c>
      <c r="O6" s="17" t="s">
        <v>35</v>
      </c>
      <c r="P6" s="6" t="s">
        <v>35</v>
      </c>
      <c r="Q6" s="6" t="s">
        <v>36</v>
      </c>
      <c r="R6" s="214" t="s">
        <v>77</v>
      </c>
      <c r="S6" s="173" t="s">
        <v>38</v>
      </c>
      <c r="T6" s="11" t="s">
        <v>28</v>
      </c>
      <c r="U6" s="22" t="s">
        <v>40</v>
      </c>
      <c r="V6" s="22" t="s">
        <v>40</v>
      </c>
    </row>
    <row r="7" spans="1:22" ht="15.75" customHeight="1">
      <c r="A7" s="10" t="s">
        <v>79</v>
      </c>
      <c r="B7" s="10" t="s">
        <v>27</v>
      </c>
      <c r="C7" s="11" t="s">
        <v>28</v>
      </c>
      <c r="D7" s="12"/>
      <c r="E7" s="13" t="s">
        <v>80</v>
      </c>
      <c r="F7" s="6" t="s">
        <v>81</v>
      </c>
      <c r="G7" s="6" t="str">
        <f ca="1">IFERROR(__xludf.DUMMYFUNCTION("CONCATENATE(B7,(VLOOKUP(C7,CATALOGOS!$F$2:$H$6,3,FALSE)),(VLOOKUP(T7,CATALOGOS!$J$2:$K$18,2,FALSE)),""-"",TO_TEXT(A7))"),"P05DA-0006")</f>
        <v>P05DA-0006</v>
      </c>
      <c r="H7" s="6" t="s">
        <v>82</v>
      </c>
      <c r="I7" s="6" t="s">
        <v>83</v>
      </c>
      <c r="J7" s="6">
        <v>0</v>
      </c>
      <c r="K7" s="32" t="s">
        <v>84</v>
      </c>
      <c r="L7" s="17"/>
      <c r="M7" s="17"/>
      <c r="N7" s="17" t="str">
        <f t="shared" si="0"/>
        <v>OK</v>
      </c>
      <c r="O7" s="17" t="s">
        <v>35</v>
      </c>
      <c r="P7" s="6" t="s">
        <v>35</v>
      </c>
      <c r="Q7" s="6" t="s">
        <v>36</v>
      </c>
      <c r="R7" s="215" t="s">
        <v>85</v>
      </c>
      <c r="S7" s="173" t="s">
        <v>38</v>
      </c>
      <c r="T7" s="11" t="s">
        <v>28</v>
      </c>
      <c r="U7" s="22" t="s">
        <v>40</v>
      </c>
      <c r="V7" s="22" t="s">
        <v>40</v>
      </c>
    </row>
    <row r="8" spans="1:22" ht="15.75" customHeight="1">
      <c r="A8" s="10" t="s">
        <v>87</v>
      </c>
      <c r="B8" s="10" t="s">
        <v>27</v>
      </c>
      <c r="C8" s="11" t="s">
        <v>28</v>
      </c>
      <c r="D8" s="12"/>
      <c r="E8" s="13" t="s">
        <v>80</v>
      </c>
      <c r="F8" s="6" t="s">
        <v>8429</v>
      </c>
      <c r="G8" s="6" t="str">
        <f ca="1">IFERROR(__xludf.DUMMYFUNCTION("CONCATENATE(B8,(VLOOKUP(C8,CATALOGOS!$F$2:$H$6,3,FALSE)),(VLOOKUP(T8,CATALOGOS!$J$2:$K$18,2,FALSE)),""-"",TO_TEXT(A8))"),"P05DA-0007")</f>
        <v>P05DA-0007</v>
      </c>
      <c r="H8" s="6" t="s">
        <v>7389</v>
      </c>
      <c r="I8" s="6" t="s">
        <v>88</v>
      </c>
      <c r="J8" s="6" t="s">
        <v>89</v>
      </c>
      <c r="K8" s="6" t="s">
        <v>8430</v>
      </c>
      <c r="L8" s="17"/>
      <c r="M8" s="17"/>
      <c r="N8" s="17" t="str">
        <f t="shared" si="0"/>
        <v>OK</v>
      </c>
      <c r="O8" s="17" t="s">
        <v>35</v>
      </c>
      <c r="P8" s="6" t="s">
        <v>35</v>
      </c>
      <c r="Q8" s="6" t="s">
        <v>36</v>
      </c>
      <c r="R8" s="214" t="s">
        <v>91</v>
      </c>
      <c r="S8" s="173" t="s">
        <v>38</v>
      </c>
      <c r="T8" s="11" t="s">
        <v>28</v>
      </c>
      <c r="U8" s="22" t="s">
        <v>40</v>
      </c>
      <c r="V8" s="22" t="s">
        <v>40</v>
      </c>
    </row>
    <row r="9" spans="1:22" ht="15.75" customHeight="1">
      <c r="A9" s="10" t="s">
        <v>92</v>
      </c>
      <c r="B9" s="10" t="s">
        <v>27</v>
      </c>
      <c r="C9" s="11" t="s">
        <v>28</v>
      </c>
      <c r="D9" s="12"/>
      <c r="E9" s="13" t="s">
        <v>93</v>
      </c>
      <c r="F9" s="6" t="s">
        <v>94</v>
      </c>
      <c r="G9" s="6" t="str">
        <f ca="1">IFERROR(__xludf.DUMMYFUNCTION("CONCATENATE(B9,(VLOOKUP(C9,CATALOGOS!$F$2:$H$6,3,FALSE)),(VLOOKUP(T9,CATALOGOS!$J$2:$K$18,2,FALSE)),""-"",TO_TEXT(A9))"),"P05DA-0008")</f>
        <v>P05DA-0008</v>
      </c>
      <c r="H9" s="6" t="s">
        <v>95</v>
      </c>
      <c r="I9" s="6" t="s">
        <v>96</v>
      </c>
      <c r="J9" s="6" t="s">
        <v>97</v>
      </c>
      <c r="K9" s="6" t="s">
        <v>98</v>
      </c>
      <c r="L9" s="17"/>
      <c r="M9" s="17"/>
      <c r="N9" s="17" t="str">
        <f t="shared" si="0"/>
        <v>OK</v>
      </c>
      <c r="O9" s="17" t="s">
        <v>35</v>
      </c>
      <c r="P9" s="6" t="s">
        <v>35</v>
      </c>
      <c r="Q9" s="6" t="s">
        <v>36</v>
      </c>
      <c r="R9" s="213" t="s">
        <v>99</v>
      </c>
      <c r="S9" s="173" t="s">
        <v>38</v>
      </c>
      <c r="T9" s="11" t="s">
        <v>28</v>
      </c>
      <c r="U9" s="22" t="s">
        <v>40</v>
      </c>
      <c r="V9" s="22" t="s">
        <v>40</v>
      </c>
    </row>
    <row r="10" spans="1:22" ht="15.75" customHeight="1">
      <c r="A10" s="10" t="s">
        <v>102</v>
      </c>
      <c r="B10" s="10" t="s">
        <v>27</v>
      </c>
      <c r="C10" s="11" t="s">
        <v>28</v>
      </c>
      <c r="D10" s="12"/>
      <c r="E10" s="13" t="s">
        <v>62</v>
      </c>
      <c r="F10" s="6" t="s">
        <v>103</v>
      </c>
      <c r="G10" s="6" t="str">
        <f ca="1">IFERROR(__xludf.DUMMYFUNCTION("CONCATENATE(B10,(VLOOKUP(C10,CATALOGOS!$F$2:$H$6,3,FALSE)),(VLOOKUP(T10,CATALOGOS!$J$2:$K$18,2,FALSE)),""-"",TO_TEXT(A10))"),"P05DA-0009")</f>
        <v>P05DA-0009</v>
      </c>
      <c r="H10" s="6" t="s">
        <v>104</v>
      </c>
      <c r="I10" s="6" t="s">
        <v>105</v>
      </c>
      <c r="J10" s="6" t="s">
        <v>106</v>
      </c>
      <c r="K10" s="6" t="s">
        <v>107</v>
      </c>
      <c r="L10" s="17"/>
      <c r="M10" s="17"/>
      <c r="N10" s="17" t="str">
        <f t="shared" si="0"/>
        <v>OK</v>
      </c>
      <c r="O10" s="17" t="s">
        <v>35</v>
      </c>
      <c r="P10" s="6" t="s">
        <v>35</v>
      </c>
      <c r="Q10" s="6" t="s">
        <v>36</v>
      </c>
      <c r="R10" s="214" t="s">
        <v>108</v>
      </c>
      <c r="S10" s="173" t="s">
        <v>38</v>
      </c>
      <c r="T10" s="11" t="s">
        <v>28</v>
      </c>
      <c r="U10" s="22" t="s">
        <v>40</v>
      </c>
      <c r="V10" s="22" t="s">
        <v>40</v>
      </c>
    </row>
    <row r="11" spans="1:22" ht="15.75" customHeight="1">
      <c r="A11" s="10" t="s">
        <v>109</v>
      </c>
      <c r="B11" s="10" t="s">
        <v>27</v>
      </c>
      <c r="C11" s="11" t="s">
        <v>28</v>
      </c>
      <c r="D11" s="12"/>
      <c r="E11" s="13" t="s">
        <v>29</v>
      </c>
      <c r="F11" s="6" t="s">
        <v>110</v>
      </c>
      <c r="G11" s="6" t="str">
        <f ca="1">IFERROR(__xludf.DUMMYFUNCTION("CONCATENATE(B11,(VLOOKUP(C11,CATALOGOS!$F$2:$H$6,3,FALSE)),(VLOOKUP(T11,CATALOGOS!$J$2:$K$18,2,FALSE)),""-"",TO_TEXT(A11))"),"P05DA-0010")</f>
        <v>P05DA-0010</v>
      </c>
      <c r="H11" s="6" t="s">
        <v>111</v>
      </c>
      <c r="I11" s="36"/>
      <c r="J11" s="6" t="s">
        <v>112</v>
      </c>
      <c r="K11" s="6" t="s">
        <v>113</v>
      </c>
      <c r="L11" s="17"/>
      <c r="M11" s="35"/>
      <c r="N11" s="17" t="str">
        <f t="shared" si="0"/>
        <v>OK</v>
      </c>
      <c r="O11" s="17" t="s">
        <v>35</v>
      </c>
      <c r="P11" s="6" t="s">
        <v>35</v>
      </c>
      <c r="Q11" s="6" t="s">
        <v>36</v>
      </c>
      <c r="R11" s="214" t="s">
        <v>114</v>
      </c>
      <c r="S11" s="173" t="s">
        <v>38</v>
      </c>
      <c r="T11" s="11" t="s">
        <v>28</v>
      </c>
      <c r="U11" s="22" t="s">
        <v>40</v>
      </c>
      <c r="V11" s="22" t="s">
        <v>40</v>
      </c>
    </row>
    <row r="12" spans="1:22" ht="15.75" customHeight="1">
      <c r="A12" s="10" t="s">
        <v>115</v>
      </c>
      <c r="B12" s="10" t="s">
        <v>27</v>
      </c>
      <c r="C12" s="11" t="s">
        <v>28</v>
      </c>
      <c r="D12" s="12"/>
      <c r="E12" s="13" t="s">
        <v>116</v>
      </c>
      <c r="F12" s="6" t="s">
        <v>117</v>
      </c>
      <c r="G12" s="6" t="str">
        <f ca="1">IFERROR(__xludf.DUMMYFUNCTION("CONCATENATE(B12,(VLOOKUP(C12,CATALOGOS!$F$2:$H$6,3,FALSE)),(VLOOKUP(T12,CATALOGOS!$J$2:$K$18,2,FALSE)),""-"",TO_TEXT(A12))"),"P05DA-0011")</f>
        <v>P05DA-0011</v>
      </c>
      <c r="H12" s="6" t="s">
        <v>118</v>
      </c>
      <c r="I12" s="37"/>
      <c r="J12" s="6" t="s">
        <v>119</v>
      </c>
      <c r="K12" s="6" t="s">
        <v>120</v>
      </c>
      <c r="L12" s="17"/>
      <c r="M12" s="17"/>
      <c r="N12" s="17" t="str">
        <f t="shared" si="0"/>
        <v>OK</v>
      </c>
      <c r="O12" s="17" t="s">
        <v>35</v>
      </c>
      <c r="P12" s="6" t="s">
        <v>35</v>
      </c>
      <c r="Q12" s="6" t="s">
        <v>36</v>
      </c>
      <c r="R12" s="214" t="s">
        <v>121</v>
      </c>
      <c r="S12" s="173" t="s">
        <v>38</v>
      </c>
      <c r="T12" s="11" t="s">
        <v>28</v>
      </c>
      <c r="U12" s="22" t="s">
        <v>40</v>
      </c>
      <c r="V12" s="22" t="s">
        <v>40</v>
      </c>
    </row>
    <row r="13" spans="1:22" ht="15.75" customHeight="1">
      <c r="A13" s="10" t="s">
        <v>122</v>
      </c>
      <c r="B13" s="10" t="s">
        <v>27</v>
      </c>
      <c r="C13" s="11" t="s">
        <v>28</v>
      </c>
      <c r="D13" s="12"/>
      <c r="E13" s="13" t="s">
        <v>116</v>
      </c>
      <c r="F13" s="6" t="s">
        <v>123</v>
      </c>
      <c r="G13" s="6" t="str">
        <f ca="1">IFERROR(__xludf.DUMMYFUNCTION("CONCATENATE(B13,(VLOOKUP(C13,CATALOGOS!$F$2:$H$6,3,FALSE)),(VLOOKUP(T13,CATALOGOS!$J$2:$K$18,2,FALSE)),""-"",TO_TEXT(A13))"),"P05DA-0012")</f>
        <v>P05DA-0012</v>
      </c>
      <c r="H13" s="6" t="s">
        <v>124</v>
      </c>
      <c r="I13" s="36"/>
      <c r="J13" s="6" t="s">
        <v>125</v>
      </c>
      <c r="K13" s="6" t="s">
        <v>126</v>
      </c>
      <c r="L13" s="17"/>
      <c r="M13" s="17"/>
      <c r="N13" s="17" t="str">
        <f t="shared" si="0"/>
        <v>OK</v>
      </c>
      <c r="O13" s="17" t="s">
        <v>35</v>
      </c>
      <c r="P13" s="6" t="s">
        <v>35</v>
      </c>
      <c r="Q13" s="6" t="s">
        <v>36</v>
      </c>
      <c r="R13" s="214" t="s">
        <v>127</v>
      </c>
      <c r="S13" s="173" t="s">
        <v>38</v>
      </c>
      <c r="T13" s="11" t="s">
        <v>28</v>
      </c>
      <c r="U13" s="22" t="s">
        <v>40</v>
      </c>
      <c r="V13" s="22" t="s">
        <v>40</v>
      </c>
    </row>
    <row r="14" spans="1:22" ht="15.75" customHeight="1">
      <c r="A14" s="10" t="s">
        <v>128</v>
      </c>
      <c r="B14" s="10" t="s">
        <v>27</v>
      </c>
      <c r="C14" s="11" t="s">
        <v>28</v>
      </c>
      <c r="D14" s="12"/>
      <c r="E14" s="13" t="s">
        <v>116</v>
      </c>
      <c r="F14" s="6" t="s">
        <v>129</v>
      </c>
      <c r="G14" s="6" t="str">
        <f ca="1">IFERROR(__xludf.DUMMYFUNCTION("CONCATENATE(B14,(VLOOKUP(C14,CATALOGOS!$F$2:$H$6,3,FALSE)),(VLOOKUP(T14,CATALOGOS!$J$2:$K$18,2,FALSE)),""-"",TO_TEXT(A14))"),"P05DA-0013")</f>
        <v>P05DA-0013</v>
      </c>
      <c r="H14" s="6" t="s">
        <v>130</v>
      </c>
      <c r="I14" s="6" t="s">
        <v>131</v>
      </c>
      <c r="J14" s="6" t="s">
        <v>132</v>
      </c>
      <c r="K14" s="6" t="s">
        <v>133</v>
      </c>
      <c r="L14" s="17"/>
      <c r="M14" s="17"/>
      <c r="N14" s="17" t="str">
        <f t="shared" si="0"/>
        <v>OK</v>
      </c>
      <c r="O14" s="17" t="s">
        <v>35</v>
      </c>
      <c r="P14" s="6" t="s">
        <v>35</v>
      </c>
      <c r="Q14" s="6" t="s">
        <v>36</v>
      </c>
      <c r="R14" s="214" t="s">
        <v>134</v>
      </c>
      <c r="S14" s="173" t="s">
        <v>38</v>
      </c>
      <c r="T14" s="11" t="s">
        <v>28</v>
      </c>
      <c r="U14" s="22" t="s">
        <v>40</v>
      </c>
      <c r="V14" s="22" t="s">
        <v>40</v>
      </c>
    </row>
    <row r="15" spans="1:22" ht="15.75" customHeight="1">
      <c r="A15" s="10" t="s">
        <v>135</v>
      </c>
      <c r="B15" s="10" t="s">
        <v>27</v>
      </c>
      <c r="C15" s="11" t="s">
        <v>28</v>
      </c>
      <c r="D15" s="12"/>
      <c r="E15" s="13" t="s">
        <v>136</v>
      </c>
      <c r="F15" s="6" t="s">
        <v>137</v>
      </c>
      <c r="G15" s="6" t="str">
        <f ca="1">IFERROR(__xludf.DUMMYFUNCTION("CONCATENATE(B15,(VLOOKUP(C15,CATALOGOS!$F$2:$H$6,3,FALSE)),(VLOOKUP(T15,CATALOGOS!$J$2:$K$18,2,FALSE)),""-"",TO_TEXT(A15))"),"P05DA-0014")</f>
        <v>P05DA-0014</v>
      </c>
      <c r="H15" s="6" t="s">
        <v>138</v>
      </c>
      <c r="I15" s="6" t="s">
        <v>139</v>
      </c>
      <c r="J15" s="6" t="s">
        <v>140</v>
      </c>
      <c r="K15" s="6" t="s">
        <v>141</v>
      </c>
      <c r="L15" s="17"/>
      <c r="M15" s="17"/>
      <c r="N15" s="17" t="str">
        <f t="shared" si="0"/>
        <v>REPETIDO</v>
      </c>
      <c r="O15" s="17" t="s">
        <v>143</v>
      </c>
      <c r="P15" s="6" t="s">
        <v>144</v>
      </c>
      <c r="Q15" s="6" t="s">
        <v>145</v>
      </c>
      <c r="R15" s="213" t="s">
        <v>146</v>
      </c>
      <c r="S15" s="173" t="s">
        <v>38</v>
      </c>
      <c r="T15" s="11" t="s">
        <v>28</v>
      </c>
      <c r="U15" s="22" t="s">
        <v>40</v>
      </c>
      <c r="V15" s="22" t="s">
        <v>40</v>
      </c>
    </row>
    <row r="16" spans="1:22" ht="15.75" customHeight="1">
      <c r="A16" s="10" t="s">
        <v>150</v>
      </c>
      <c r="B16" s="10" t="s">
        <v>27</v>
      </c>
      <c r="C16" s="11" t="s">
        <v>28</v>
      </c>
      <c r="D16" s="12"/>
      <c r="E16" s="13" t="s">
        <v>151</v>
      </c>
      <c r="F16" s="6" t="s">
        <v>152</v>
      </c>
      <c r="G16" s="6" t="str">
        <f ca="1">IFERROR(__xludf.DUMMYFUNCTION("CONCATENATE(B16,(VLOOKUP(C16,CATALOGOS!$F$2:$H$6,3,FALSE)),(VLOOKUP(T16,CATALOGOS!$J$2:$K$18,2,FALSE)),""-"",TO_TEXT(A16))"),"P05DA-0015")</f>
        <v>P05DA-0015</v>
      </c>
      <c r="H16" s="6" t="s">
        <v>153</v>
      </c>
      <c r="I16" s="6" t="s">
        <v>154</v>
      </c>
      <c r="J16" s="6" t="s">
        <v>155</v>
      </c>
      <c r="K16" s="6" t="s">
        <v>156</v>
      </c>
      <c r="L16" s="17"/>
      <c r="M16" s="17"/>
      <c r="N16" s="17" t="str">
        <f t="shared" si="0"/>
        <v>OK</v>
      </c>
      <c r="O16" s="17" t="s">
        <v>157</v>
      </c>
      <c r="P16" s="6" t="s">
        <v>158</v>
      </c>
      <c r="Q16" s="6" t="s">
        <v>159</v>
      </c>
      <c r="R16" s="213" t="s">
        <v>160</v>
      </c>
      <c r="S16" s="173" t="s">
        <v>38</v>
      </c>
      <c r="T16" s="11" t="s">
        <v>28</v>
      </c>
      <c r="U16" s="22" t="s">
        <v>40</v>
      </c>
      <c r="V16" s="22" t="s">
        <v>40</v>
      </c>
    </row>
    <row r="17" spans="1:22" ht="15.75" customHeight="1">
      <c r="A17" s="10" t="s">
        <v>161</v>
      </c>
      <c r="B17" s="10" t="s">
        <v>27</v>
      </c>
      <c r="C17" s="11" t="s">
        <v>28</v>
      </c>
      <c r="D17" s="12"/>
      <c r="E17" s="13" t="s">
        <v>162</v>
      </c>
      <c r="F17" s="6" t="s">
        <v>163</v>
      </c>
      <c r="G17" s="6" t="str">
        <f ca="1">IFERROR(__xludf.DUMMYFUNCTION("CONCATENATE(B17,(VLOOKUP(C17,CATALOGOS!$F$2:$H$6,3,FALSE)),(VLOOKUP(T17,CATALOGOS!$J$2:$K$18,2,FALSE)),""-"",TO_TEXT(A17))"),"P05DA-0016")</f>
        <v>P05DA-0016</v>
      </c>
      <c r="H17" s="6" t="s">
        <v>164</v>
      </c>
      <c r="I17" s="6" t="s">
        <v>165</v>
      </c>
      <c r="J17" s="6" t="s">
        <v>166</v>
      </c>
      <c r="K17" s="32" t="s">
        <v>167</v>
      </c>
      <c r="L17" s="17"/>
      <c r="M17" s="17"/>
      <c r="N17" s="17" t="str">
        <f t="shared" si="0"/>
        <v>OK</v>
      </c>
      <c r="O17" s="17" t="s">
        <v>168</v>
      </c>
      <c r="P17" s="6" t="s">
        <v>169</v>
      </c>
      <c r="Q17" s="6" t="s">
        <v>170</v>
      </c>
      <c r="R17" s="214" t="s">
        <v>171</v>
      </c>
      <c r="S17" s="173" t="s">
        <v>38</v>
      </c>
      <c r="T17" s="11" t="s">
        <v>28</v>
      </c>
      <c r="U17" s="22" t="s">
        <v>40</v>
      </c>
      <c r="V17" s="22" t="s">
        <v>40</v>
      </c>
    </row>
    <row r="18" spans="1:22" ht="15.75" customHeight="1">
      <c r="A18" s="10" t="s">
        <v>172</v>
      </c>
      <c r="B18" s="10" t="s">
        <v>27</v>
      </c>
      <c r="C18" s="11" t="s">
        <v>28</v>
      </c>
      <c r="D18" s="12"/>
      <c r="E18" s="13" t="s">
        <v>173</v>
      </c>
      <c r="F18" s="6" t="s">
        <v>174</v>
      </c>
      <c r="G18" s="6" t="str">
        <f ca="1">IFERROR(__xludf.DUMMYFUNCTION("CONCATENATE(B18,(VLOOKUP(C18,CATALOGOS!$F$2:$H$6,3,FALSE)),(VLOOKUP(T18,CATALOGOS!$J$2:$K$18,2,FALSE)),""-"",TO_TEXT(A18))"),"P05DA-0017")</f>
        <v>P05DA-0017</v>
      </c>
      <c r="H18" s="6" t="s">
        <v>175</v>
      </c>
      <c r="I18" s="6" t="s">
        <v>176</v>
      </c>
      <c r="J18" s="6" t="s">
        <v>177</v>
      </c>
      <c r="K18" s="6" t="s">
        <v>178</v>
      </c>
      <c r="L18" s="17"/>
      <c r="M18" s="17"/>
      <c r="N18" s="17" t="str">
        <f t="shared" si="0"/>
        <v>OK</v>
      </c>
      <c r="O18" s="17" t="s">
        <v>179</v>
      </c>
      <c r="P18" s="6" t="s">
        <v>180</v>
      </c>
      <c r="Q18" s="6" t="s">
        <v>181</v>
      </c>
      <c r="R18" s="214" t="s">
        <v>182</v>
      </c>
      <c r="S18" s="173" t="s">
        <v>38</v>
      </c>
      <c r="T18" s="11" t="s">
        <v>28</v>
      </c>
      <c r="U18" s="22" t="s">
        <v>40</v>
      </c>
      <c r="V18" s="22" t="s">
        <v>40</v>
      </c>
    </row>
    <row r="19" spans="1:22" ht="15.75" customHeight="1">
      <c r="A19" s="10" t="s">
        <v>183</v>
      </c>
      <c r="B19" s="10" t="s">
        <v>27</v>
      </c>
      <c r="C19" s="11" t="s">
        <v>28</v>
      </c>
      <c r="D19" s="12"/>
      <c r="E19" s="13" t="s">
        <v>184</v>
      </c>
      <c r="F19" s="6" t="s">
        <v>185</v>
      </c>
      <c r="G19" s="6" t="str">
        <f ca="1">IFERROR(__xludf.DUMMYFUNCTION("CONCATENATE(B19,(VLOOKUP(C19,CATALOGOS!$F$2:$H$6,3,FALSE)),(VLOOKUP(T19,CATALOGOS!$J$2:$K$18,2,FALSE)),""-"",TO_TEXT(A19))"),"P05DA-0018")</f>
        <v>P05DA-0018</v>
      </c>
      <c r="H19" s="6" t="s">
        <v>186</v>
      </c>
      <c r="I19" s="6" t="s">
        <v>187</v>
      </c>
      <c r="J19" s="6" t="s">
        <v>188</v>
      </c>
      <c r="K19" s="6" t="s">
        <v>189</v>
      </c>
      <c r="L19" s="17"/>
      <c r="M19" s="17"/>
      <c r="N19" s="17" t="str">
        <f t="shared" si="0"/>
        <v>OK</v>
      </c>
      <c r="O19" s="35" t="s">
        <v>35</v>
      </c>
      <c r="P19" s="6" t="s">
        <v>35</v>
      </c>
      <c r="Q19" s="10" t="s">
        <v>36</v>
      </c>
      <c r="R19" s="214" t="s">
        <v>190</v>
      </c>
      <c r="S19" s="173" t="s">
        <v>38</v>
      </c>
      <c r="T19" s="11" t="s">
        <v>28</v>
      </c>
      <c r="U19" s="22" t="s">
        <v>40</v>
      </c>
      <c r="V19" s="22" t="s">
        <v>40</v>
      </c>
    </row>
    <row r="20" spans="1:22" ht="15.75" customHeight="1">
      <c r="A20" s="10" t="s">
        <v>191</v>
      </c>
      <c r="B20" s="10" t="s">
        <v>27</v>
      </c>
      <c r="C20" s="11" t="s">
        <v>28</v>
      </c>
      <c r="D20" s="12"/>
      <c r="E20" s="13" t="s">
        <v>53</v>
      </c>
      <c r="F20" s="6" t="s">
        <v>192</v>
      </c>
      <c r="G20" s="6" t="str">
        <f ca="1">IFERROR(__xludf.DUMMYFUNCTION("CONCATENATE(B20,(VLOOKUP(C20,CATALOGOS!$F$2:$H$6,3,FALSE)),(VLOOKUP(T20,CATALOGOS!$J$2:$K$18,2,FALSE)),""-"",TO_TEXT(A20))"),"P05DA-0019")</f>
        <v>P05DA-0019</v>
      </c>
      <c r="H20" s="6" t="s">
        <v>193</v>
      </c>
      <c r="I20" s="6" t="s">
        <v>194</v>
      </c>
      <c r="J20" s="6" t="s">
        <v>195</v>
      </c>
      <c r="K20" s="6" t="s">
        <v>196</v>
      </c>
      <c r="L20" s="17"/>
      <c r="M20" s="17"/>
      <c r="N20" s="17" t="str">
        <f t="shared" si="0"/>
        <v>OK</v>
      </c>
      <c r="O20" s="35" t="s">
        <v>35</v>
      </c>
      <c r="P20" s="6" t="s">
        <v>35</v>
      </c>
      <c r="Q20" s="10" t="s">
        <v>36</v>
      </c>
      <c r="R20" s="214" t="s">
        <v>197</v>
      </c>
      <c r="S20" s="173" t="s">
        <v>38</v>
      </c>
      <c r="T20" s="11" t="s">
        <v>28</v>
      </c>
      <c r="U20" s="22" t="s">
        <v>40</v>
      </c>
      <c r="V20" s="22" t="s">
        <v>40</v>
      </c>
    </row>
    <row r="21" spans="1:22" ht="15.75" customHeight="1">
      <c r="A21" s="10" t="s">
        <v>198</v>
      </c>
      <c r="B21" s="10" t="s">
        <v>27</v>
      </c>
      <c r="C21" s="11" t="s">
        <v>28</v>
      </c>
      <c r="D21" s="12"/>
      <c r="E21" s="13" t="s">
        <v>199</v>
      </c>
      <c r="F21" s="6" t="s">
        <v>200</v>
      </c>
      <c r="G21" s="6" t="str">
        <f ca="1">IFERROR(__xludf.DUMMYFUNCTION("CONCATENATE(B21,(VLOOKUP(C21,CATALOGOS!$F$2:$H$6,3,FALSE)),(VLOOKUP(T21,CATALOGOS!$J$2:$K$18,2,FALSE)),""-"",TO_TEXT(A21))"),"P05DA-0020")</f>
        <v>P05DA-0020</v>
      </c>
      <c r="H21" s="6" t="s">
        <v>201</v>
      </c>
      <c r="I21" s="6" t="s">
        <v>202</v>
      </c>
      <c r="J21" s="6" t="s">
        <v>203</v>
      </c>
      <c r="K21" s="6" t="s">
        <v>204</v>
      </c>
      <c r="L21" s="17"/>
      <c r="M21" s="17"/>
      <c r="N21" s="17" t="str">
        <f t="shared" si="0"/>
        <v>OK</v>
      </c>
      <c r="O21" s="17" t="s">
        <v>205</v>
      </c>
      <c r="P21" s="6" t="s">
        <v>206</v>
      </c>
      <c r="Q21" s="6" t="s">
        <v>207</v>
      </c>
      <c r="R21" s="213" t="s">
        <v>208</v>
      </c>
      <c r="S21" s="173" t="s">
        <v>38</v>
      </c>
      <c r="T21" s="11" t="s">
        <v>28</v>
      </c>
      <c r="U21" s="22" t="s">
        <v>40</v>
      </c>
      <c r="V21" s="22" t="s">
        <v>40</v>
      </c>
    </row>
    <row r="22" spans="1:22" ht="15.75" customHeight="1">
      <c r="A22" s="10" t="s">
        <v>209</v>
      </c>
      <c r="B22" s="10" t="s">
        <v>27</v>
      </c>
      <c r="C22" s="11" t="s">
        <v>28</v>
      </c>
      <c r="D22" s="12"/>
      <c r="E22" s="13" t="s">
        <v>210</v>
      </c>
      <c r="F22" s="6" t="s">
        <v>211</v>
      </c>
      <c r="G22" s="6" t="str">
        <f ca="1">IFERROR(__xludf.DUMMYFUNCTION("CONCATENATE(B22,(VLOOKUP(C22,CATALOGOS!$F$2:$H$6,3,FALSE)),(VLOOKUP(T22,CATALOGOS!$J$2:$K$18,2,FALSE)),""-"",TO_TEXT(A22))"),"P05DA-0021")</f>
        <v>P05DA-0021</v>
      </c>
      <c r="H22" s="6" t="s">
        <v>212</v>
      </c>
      <c r="I22" s="6" t="s">
        <v>213</v>
      </c>
      <c r="J22" s="6" t="s">
        <v>214</v>
      </c>
      <c r="K22" s="6" t="s">
        <v>215</v>
      </c>
      <c r="L22" s="17"/>
      <c r="M22" s="17"/>
      <c r="N22" s="17" t="str">
        <f t="shared" si="0"/>
        <v>OK</v>
      </c>
      <c r="O22" s="17" t="s">
        <v>216</v>
      </c>
      <c r="P22" s="6" t="s">
        <v>217</v>
      </c>
      <c r="Q22" s="6" t="s">
        <v>218</v>
      </c>
      <c r="R22" s="214" t="s">
        <v>219</v>
      </c>
      <c r="S22" s="173" t="s">
        <v>38</v>
      </c>
      <c r="T22" s="11" t="s">
        <v>28</v>
      </c>
      <c r="U22" s="22" t="s">
        <v>40</v>
      </c>
      <c r="V22" s="22" t="s">
        <v>40</v>
      </c>
    </row>
    <row r="23" spans="1:22" ht="15.75" customHeight="1">
      <c r="A23" s="10" t="s">
        <v>220</v>
      </c>
      <c r="B23" s="10" t="s">
        <v>27</v>
      </c>
      <c r="C23" s="11" t="s">
        <v>28</v>
      </c>
      <c r="D23" s="12"/>
      <c r="E23" s="13" t="s">
        <v>184</v>
      </c>
      <c r="F23" s="6" t="s">
        <v>221</v>
      </c>
      <c r="G23" s="6" t="str">
        <f ca="1">IFERROR(__xludf.DUMMYFUNCTION("CONCATENATE(B23,(VLOOKUP(C23,CATALOGOS!$F$2:$H$6,3,FALSE)),(VLOOKUP(T23,CATALOGOS!$J$2:$K$18,2,FALSE)),""-"",TO_TEXT(A23))"),"P05DA-0022")</f>
        <v>P05DA-0022</v>
      </c>
      <c r="H23" s="6" t="s">
        <v>222</v>
      </c>
      <c r="I23" s="6" t="s">
        <v>223</v>
      </c>
      <c r="J23" s="6" t="s">
        <v>224</v>
      </c>
      <c r="K23" s="6" t="s">
        <v>225</v>
      </c>
      <c r="L23" s="17"/>
      <c r="M23" s="17"/>
      <c r="N23" s="17" t="str">
        <f t="shared" si="0"/>
        <v>OK</v>
      </c>
      <c r="O23" s="17" t="s">
        <v>35</v>
      </c>
      <c r="P23" s="6" t="s">
        <v>35</v>
      </c>
      <c r="Q23" s="6" t="s">
        <v>36</v>
      </c>
      <c r="R23" s="214" t="s">
        <v>226</v>
      </c>
      <c r="S23" s="173" t="s">
        <v>38</v>
      </c>
      <c r="T23" s="11" t="s">
        <v>28</v>
      </c>
      <c r="U23" s="22" t="s">
        <v>40</v>
      </c>
      <c r="V23" s="22" t="s">
        <v>40</v>
      </c>
    </row>
    <row r="24" spans="1:22" ht="15.75" customHeight="1">
      <c r="A24" s="10" t="s">
        <v>227</v>
      </c>
      <c r="B24" s="10" t="s">
        <v>27</v>
      </c>
      <c r="C24" s="11" t="s">
        <v>28</v>
      </c>
      <c r="D24" s="12"/>
      <c r="E24" s="13" t="s">
        <v>184</v>
      </c>
      <c r="F24" s="6" t="s">
        <v>221</v>
      </c>
      <c r="G24" s="6" t="str">
        <f ca="1">IFERROR(__xludf.DUMMYFUNCTION("CONCATENATE(B24,(VLOOKUP(C24,CATALOGOS!$F$2:$H$6,3,FALSE)),(VLOOKUP(T24,CATALOGOS!$J$2:$K$18,2,FALSE)),""-"",TO_TEXT(A24))"),"P05DA-0023")</f>
        <v>P05DA-0023</v>
      </c>
      <c r="H24" s="6" t="s">
        <v>228</v>
      </c>
      <c r="I24" s="6" t="s">
        <v>229</v>
      </c>
      <c r="J24" s="6" t="s">
        <v>230</v>
      </c>
      <c r="K24" s="6" t="s">
        <v>231</v>
      </c>
      <c r="L24" s="17"/>
      <c r="M24" s="17"/>
      <c r="N24" s="17" t="str">
        <f t="shared" si="0"/>
        <v>OK</v>
      </c>
      <c r="O24" s="17" t="s">
        <v>35</v>
      </c>
      <c r="P24" s="6" t="s">
        <v>35</v>
      </c>
      <c r="Q24" s="17" t="s">
        <v>36</v>
      </c>
      <c r="R24" s="177" t="s">
        <v>232</v>
      </c>
      <c r="S24" s="173" t="s">
        <v>38</v>
      </c>
      <c r="T24" s="11" t="s">
        <v>28</v>
      </c>
      <c r="U24" s="22" t="s">
        <v>40</v>
      </c>
      <c r="V24" s="22" t="s">
        <v>40</v>
      </c>
    </row>
    <row r="25" spans="1:22" ht="15.75" customHeight="1">
      <c r="A25" s="10" t="s">
        <v>233</v>
      </c>
      <c r="B25" s="10" t="s">
        <v>27</v>
      </c>
      <c r="C25" s="11" t="s">
        <v>28</v>
      </c>
      <c r="D25" s="12"/>
      <c r="E25" s="13" t="s">
        <v>234</v>
      </c>
      <c r="F25" s="6" t="s">
        <v>235</v>
      </c>
      <c r="G25" s="6" t="str">
        <f ca="1">IFERROR(__xludf.DUMMYFUNCTION("CONCATENATE(B25,(VLOOKUP(C25,CATALOGOS!$F$2:$H$6,3,FALSE)),(VLOOKUP(T25,CATALOGOS!$J$2:$K$18,2,FALSE)),""-"",TO_TEXT(A25))"),"P05DA-0024")</f>
        <v>P05DA-0024</v>
      </c>
      <c r="H25" s="6" t="s">
        <v>236</v>
      </c>
      <c r="I25" s="6" t="s">
        <v>237</v>
      </c>
      <c r="J25" s="6" t="s">
        <v>238</v>
      </c>
      <c r="K25" s="6" t="s">
        <v>239</v>
      </c>
      <c r="L25" s="17"/>
      <c r="M25" s="17"/>
      <c r="N25" s="17" t="str">
        <f t="shared" si="0"/>
        <v>OK</v>
      </c>
      <c r="O25" s="17" t="s">
        <v>35</v>
      </c>
      <c r="P25" s="6" t="s">
        <v>35</v>
      </c>
      <c r="Q25" s="17" t="s">
        <v>36</v>
      </c>
      <c r="R25" s="177" t="s">
        <v>240</v>
      </c>
      <c r="S25" s="173" t="s">
        <v>38</v>
      </c>
      <c r="T25" s="174" t="s">
        <v>28</v>
      </c>
      <c r="U25" s="22" t="s">
        <v>40</v>
      </c>
      <c r="V25" s="22" t="s">
        <v>40</v>
      </c>
    </row>
    <row r="26" spans="1:22" ht="15.75" customHeight="1">
      <c r="A26" s="10" t="s">
        <v>241</v>
      </c>
      <c r="B26" s="10" t="s">
        <v>27</v>
      </c>
      <c r="C26" s="11" t="s">
        <v>28</v>
      </c>
      <c r="D26" s="38"/>
      <c r="E26" s="13" t="s">
        <v>242</v>
      </c>
      <c r="F26" s="6" t="s">
        <v>242</v>
      </c>
      <c r="G26" s="6" t="str">
        <f ca="1">IFERROR(__xludf.DUMMYFUNCTION("CONCATENATE(B26,(VLOOKUP(C26,CATALOGOS!$F$2:$H$6,3,FALSE)),(VLOOKUP(T26,CATALOGOS!$J$2:$K$18,2,FALSE)),""-"",TO_TEXT(A26))"),"P05DA-0025")</f>
        <v>P05DA-0025</v>
      </c>
      <c r="H26" s="6" t="s">
        <v>243</v>
      </c>
      <c r="I26" s="6" t="s">
        <v>244</v>
      </c>
      <c r="J26" s="36"/>
      <c r="K26" s="6" t="s">
        <v>141</v>
      </c>
      <c r="L26" s="17"/>
      <c r="M26" s="17"/>
      <c r="N26" s="17" t="str">
        <f t="shared" si="0"/>
        <v>REPETIDO</v>
      </c>
      <c r="O26" s="17" t="s">
        <v>245</v>
      </c>
      <c r="P26" s="6" t="s">
        <v>246</v>
      </c>
      <c r="Q26" s="6" t="s">
        <v>36</v>
      </c>
      <c r="R26" s="215" t="s">
        <v>85</v>
      </c>
      <c r="S26" s="173" t="s">
        <v>38</v>
      </c>
      <c r="T26" s="11" t="s">
        <v>28</v>
      </c>
      <c r="U26" s="22" t="s">
        <v>40</v>
      </c>
      <c r="V26" s="22" t="s">
        <v>40</v>
      </c>
    </row>
    <row r="27" spans="1:22" ht="15.75" customHeight="1">
      <c r="A27" s="10" t="s">
        <v>247</v>
      </c>
      <c r="B27" s="10" t="s">
        <v>27</v>
      </c>
      <c r="C27" s="11" t="s">
        <v>28</v>
      </c>
      <c r="D27" s="38"/>
      <c r="E27" s="13" t="s">
        <v>248</v>
      </c>
      <c r="F27" s="6" t="s">
        <v>249</v>
      </c>
      <c r="G27" s="6" t="str">
        <f ca="1">IFERROR(__xludf.DUMMYFUNCTION("CONCATENATE(B27,(VLOOKUP(C27,CATALOGOS!$F$2:$H$6,3,FALSE)),(VLOOKUP(T27,CATALOGOS!$J$2:$K$18,2,FALSE)),""-"",TO_TEXT(A27))"),"P05DA-0026")</f>
        <v>P05DA-0026</v>
      </c>
      <c r="H27" s="6"/>
      <c r="I27" s="6"/>
      <c r="J27" s="36"/>
      <c r="K27" s="6" t="s">
        <v>141</v>
      </c>
      <c r="L27" s="17"/>
      <c r="M27" s="17"/>
      <c r="N27" s="17"/>
      <c r="O27" s="35" t="s">
        <v>250</v>
      </c>
      <c r="P27" s="6" t="s">
        <v>251</v>
      </c>
      <c r="Q27" s="6">
        <v>5827700022</v>
      </c>
      <c r="R27" s="214" t="s">
        <v>252</v>
      </c>
      <c r="S27" s="173" t="s">
        <v>38</v>
      </c>
      <c r="T27" s="11" t="s">
        <v>28</v>
      </c>
      <c r="U27" s="20" t="s">
        <v>40</v>
      </c>
      <c r="V27" s="20" t="s">
        <v>40</v>
      </c>
    </row>
    <row r="28" spans="1:22" ht="57.75">
      <c r="A28" s="10" t="s">
        <v>253</v>
      </c>
      <c r="B28" s="10" t="s">
        <v>27</v>
      </c>
      <c r="C28" s="11" t="s">
        <v>28</v>
      </c>
      <c r="D28" s="12"/>
      <c r="E28" s="13" t="s">
        <v>184</v>
      </c>
      <c r="F28" s="6" t="s">
        <v>254</v>
      </c>
      <c r="G28" s="6" t="str">
        <f ca="1">IFERROR(__xludf.DUMMYFUNCTION("CONCATENATE(B28,(VLOOKUP(C28,CATALOGOS!$F$2:$H$6,3,FALSE)),(VLOOKUP(T28,CATALOGOS!$J$2:$K$18,2,FALSE)),""-"",TO_TEXT(A28))"),"P05RM-0027")</f>
        <v>P05RM-0027</v>
      </c>
      <c r="H28" s="6" t="s">
        <v>255</v>
      </c>
      <c r="I28" s="6" t="s">
        <v>256</v>
      </c>
      <c r="J28" s="6" t="s">
        <v>257</v>
      </c>
      <c r="K28" s="6" t="s">
        <v>258</v>
      </c>
      <c r="L28" s="17"/>
      <c r="M28" s="17"/>
      <c r="N28" s="17" t="str">
        <f t="shared" ref="N28:N430" si="1">IF(COUNTIF($K$2:$K$997,K28)&gt;1,"REPETIDO","OK")</f>
        <v>OK</v>
      </c>
      <c r="O28" s="17" t="s">
        <v>35</v>
      </c>
      <c r="P28" s="6" t="s">
        <v>35</v>
      </c>
      <c r="Q28" s="17" t="s">
        <v>36</v>
      </c>
      <c r="R28" s="176" t="s">
        <v>259</v>
      </c>
      <c r="S28" s="173" t="s">
        <v>38</v>
      </c>
      <c r="T28" s="11" t="s">
        <v>147</v>
      </c>
      <c r="U28" s="20" t="s">
        <v>260</v>
      </c>
      <c r="V28" s="20" t="s">
        <v>260</v>
      </c>
    </row>
    <row r="29" spans="1:22" ht="72">
      <c r="A29" s="10" t="s">
        <v>262</v>
      </c>
      <c r="B29" s="10" t="s">
        <v>27</v>
      </c>
      <c r="C29" s="11" t="s">
        <v>28</v>
      </c>
      <c r="D29" s="12"/>
      <c r="E29" s="13" t="s">
        <v>116</v>
      </c>
      <c r="F29" s="6" t="s">
        <v>263</v>
      </c>
      <c r="G29" s="6" t="str">
        <f ca="1">IFERROR(__xludf.DUMMYFUNCTION("CONCATENATE(B29,(VLOOKUP(C29,CATALOGOS!$F$2:$H$6,3,FALSE)),(VLOOKUP(T29,CATALOGOS!$J$2:$K$18,2,FALSE)),""-"",TO_TEXT(A29))"),"P05DA-0028")</f>
        <v>P05DA-0028</v>
      </c>
      <c r="H29" s="6" t="s">
        <v>264</v>
      </c>
      <c r="I29" s="6" t="s">
        <v>265</v>
      </c>
      <c r="J29" s="6" t="s">
        <v>266</v>
      </c>
      <c r="K29" s="6" t="s">
        <v>267</v>
      </c>
      <c r="L29" s="17"/>
      <c r="M29" s="17"/>
      <c r="N29" s="17" t="str">
        <f t="shared" si="1"/>
        <v>OK</v>
      </c>
      <c r="O29" s="17" t="s">
        <v>35</v>
      </c>
      <c r="P29" s="6" t="s">
        <v>35</v>
      </c>
      <c r="Q29" s="17" t="s">
        <v>36</v>
      </c>
      <c r="R29" s="177" t="s">
        <v>268</v>
      </c>
      <c r="S29" s="173" t="s">
        <v>38</v>
      </c>
      <c r="T29" s="11" t="s">
        <v>28</v>
      </c>
      <c r="U29" s="22" t="s">
        <v>39</v>
      </c>
      <c r="V29" s="22" t="s">
        <v>39</v>
      </c>
    </row>
    <row r="30" spans="1:22" ht="57.75">
      <c r="A30" s="10" t="s">
        <v>269</v>
      </c>
      <c r="B30" s="10" t="s">
        <v>27</v>
      </c>
      <c r="C30" s="11" t="s">
        <v>28</v>
      </c>
      <c r="D30" s="12"/>
      <c r="E30" s="13" t="s">
        <v>199</v>
      </c>
      <c r="F30" s="6" t="s">
        <v>199</v>
      </c>
      <c r="G30" s="6" t="str">
        <f ca="1">IFERROR(__xludf.DUMMYFUNCTION("CONCATENATE(B30,(VLOOKUP(C30,CATALOGOS!$F$2:$H$6,3,FALSE)),(VLOOKUP(T30,CATALOGOS!$J$2:$K$18,2,FALSE)),""-"",TO_TEXT(A30))"),"P05DA-0029")</f>
        <v>P05DA-0029</v>
      </c>
      <c r="H30" s="6" t="s">
        <v>270</v>
      </c>
      <c r="I30" s="6" t="s">
        <v>271</v>
      </c>
      <c r="J30" s="36"/>
      <c r="K30" s="6" t="s">
        <v>272</v>
      </c>
      <c r="L30" s="17"/>
      <c r="M30" s="17"/>
      <c r="N30" s="17" t="str">
        <f t="shared" si="1"/>
        <v>OK</v>
      </c>
      <c r="O30" s="17" t="s">
        <v>273</v>
      </c>
      <c r="P30" s="6" t="s">
        <v>274</v>
      </c>
      <c r="Q30" s="6">
        <v>11392903015651</v>
      </c>
      <c r="R30" s="215" t="s">
        <v>85</v>
      </c>
      <c r="S30" s="173" t="s">
        <v>38</v>
      </c>
      <c r="T30" s="11" t="s">
        <v>28</v>
      </c>
      <c r="U30" s="22" t="s">
        <v>39</v>
      </c>
      <c r="V30" s="22" t="s">
        <v>39</v>
      </c>
    </row>
    <row r="31" spans="1:22" ht="72">
      <c r="A31" s="10" t="s">
        <v>277</v>
      </c>
      <c r="B31" s="10" t="s">
        <v>27</v>
      </c>
      <c r="C31" s="11" t="s">
        <v>28</v>
      </c>
      <c r="D31" s="12"/>
      <c r="E31" s="13" t="s">
        <v>278</v>
      </c>
      <c r="F31" s="43" t="s">
        <v>278</v>
      </c>
      <c r="G31" s="6" t="str">
        <f ca="1">IFERROR(__xludf.DUMMYFUNCTION("CONCATENATE(B31,(VLOOKUP(C31,CATALOGOS!$F$2:$H$6,3,FALSE)),(VLOOKUP(T31,CATALOGOS!$J$2:$K$18,2,FALSE)),""-"",TO_TEXT(A31))"),"P05DA-0030")</f>
        <v>P05DA-0030</v>
      </c>
      <c r="H31" s="6" t="s">
        <v>279</v>
      </c>
      <c r="I31" s="6" t="s">
        <v>280</v>
      </c>
      <c r="J31" s="6" t="s">
        <v>8432</v>
      </c>
      <c r="K31" s="6" t="s">
        <v>282</v>
      </c>
      <c r="L31" s="17"/>
      <c r="M31" s="17"/>
      <c r="N31" s="17" t="str">
        <f t="shared" si="1"/>
        <v>OK</v>
      </c>
      <c r="O31" s="17" t="s">
        <v>35</v>
      </c>
      <c r="P31" s="6" t="s">
        <v>35</v>
      </c>
      <c r="Q31" s="17" t="s">
        <v>36</v>
      </c>
      <c r="R31" s="177" t="s">
        <v>283</v>
      </c>
      <c r="S31" s="173" t="s">
        <v>38</v>
      </c>
      <c r="T31" s="11" t="s">
        <v>28</v>
      </c>
      <c r="U31" s="22" t="s">
        <v>39</v>
      </c>
      <c r="V31" s="22" t="s">
        <v>39</v>
      </c>
    </row>
    <row r="32" spans="1:22" ht="29.25">
      <c r="A32" s="10" t="s">
        <v>284</v>
      </c>
      <c r="B32" s="10" t="s">
        <v>27</v>
      </c>
      <c r="C32" s="11" t="s">
        <v>28</v>
      </c>
      <c r="D32" s="12"/>
      <c r="E32" s="13" t="s">
        <v>162</v>
      </c>
      <c r="F32" s="6" t="s">
        <v>285</v>
      </c>
      <c r="G32" s="6" t="str">
        <f ca="1">IFERROR(__xludf.DUMMYFUNCTION("CONCATENATE(B32,(VLOOKUP(C32,CATALOGOS!$F$2:$H$6,3,FALSE)),(VLOOKUP(T32,CATALOGOS!$J$2:$K$18,2,FALSE)),""-"",TO_TEXT(A32))"),"P05DA-0031")</f>
        <v>P05DA-0031</v>
      </c>
      <c r="H32" s="6" t="s">
        <v>286</v>
      </c>
      <c r="I32" s="6" t="s">
        <v>287</v>
      </c>
      <c r="J32" s="6" t="s">
        <v>288</v>
      </c>
      <c r="K32" s="6" t="s">
        <v>289</v>
      </c>
      <c r="L32" s="17"/>
      <c r="M32" s="17"/>
      <c r="N32" s="17" t="str">
        <f t="shared" si="1"/>
        <v>OK</v>
      </c>
      <c r="O32" s="17" t="s">
        <v>168</v>
      </c>
      <c r="P32" s="6" t="s">
        <v>169</v>
      </c>
      <c r="Q32" s="17" t="s">
        <v>290</v>
      </c>
      <c r="R32" s="177" t="s">
        <v>291</v>
      </c>
      <c r="S32" s="173" t="s">
        <v>38</v>
      </c>
      <c r="T32" s="11" t="s">
        <v>28</v>
      </c>
      <c r="U32" s="22" t="s">
        <v>39</v>
      </c>
      <c r="V32" s="22" t="s">
        <v>39</v>
      </c>
    </row>
    <row r="33" spans="1:22" ht="43.5">
      <c r="A33" s="10" t="s">
        <v>292</v>
      </c>
      <c r="B33" s="10" t="s">
        <v>27</v>
      </c>
      <c r="C33" s="11" t="s">
        <v>28</v>
      </c>
      <c r="D33" s="12"/>
      <c r="E33" s="13" t="s">
        <v>151</v>
      </c>
      <c r="F33" s="6" t="s">
        <v>293</v>
      </c>
      <c r="G33" s="6" t="str">
        <f ca="1">IFERROR(__xludf.DUMMYFUNCTION("CONCATENATE(B33,(VLOOKUP(C33,CATALOGOS!$F$2:$H$6,3,FALSE)),(VLOOKUP(T33,CATALOGOS!$J$2:$K$18,2,FALSE)),""-"",TO_TEXT(A33))"),"P05DA-0032")</f>
        <v>P05DA-0032</v>
      </c>
      <c r="H33" s="6" t="s">
        <v>294</v>
      </c>
      <c r="I33" s="6" t="s">
        <v>295</v>
      </c>
      <c r="J33" s="36"/>
      <c r="K33" s="6" t="s">
        <v>296</v>
      </c>
      <c r="L33" s="17"/>
      <c r="M33" s="17"/>
      <c r="N33" s="17" t="str">
        <f t="shared" si="1"/>
        <v>OK</v>
      </c>
      <c r="O33" s="17" t="s">
        <v>297</v>
      </c>
      <c r="P33" s="6" t="s">
        <v>298</v>
      </c>
      <c r="Q33" s="6" t="s">
        <v>299</v>
      </c>
      <c r="R33" s="215" t="s">
        <v>85</v>
      </c>
      <c r="S33" s="173" t="s">
        <v>38</v>
      </c>
      <c r="T33" s="11" t="s">
        <v>28</v>
      </c>
      <c r="U33" s="22" t="s">
        <v>39</v>
      </c>
      <c r="V33" s="22" t="s">
        <v>39</v>
      </c>
    </row>
    <row r="34" spans="1:22" ht="29.25">
      <c r="A34" s="10" t="s">
        <v>300</v>
      </c>
      <c r="B34" s="10" t="s">
        <v>27</v>
      </c>
      <c r="C34" s="11" t="s">
        <v>28</v>
      </c>
      <c r="D34" s="12"/>
      <c r="E34" s="13" t="s">
        <v>248</v>
      </c>
      <c r="F34" s="6" t="s">
        <v>248</v>
      </c>
      <c r="G34" s="6" t="str">
        <f ca="1">IFERROR(__xludf.DUMMYFUNCTION("CONCATENATE(B34,(VLOOKUP(C34,CATALOGOS!$F$2:$H$6,3,FALSE)),(VLOOKUP(T34,CATALOGOS!$J$2:$K$18,2,FALSE)),""-"",TO_TEXT(A34))"),"P05DA-0033")</f>
        <v>P05DA-0033</v>
      </c>
      <c r="H34" s="6" t="s">
        <v>301</v>
      </c>
      <c r="I34" s="6" t="s">
        <v>302</v>
      </c>
      <c r="J34" s="36"/>
      <c r="K34" s="6" t="s">
        <v>141</v>
      </c>
      <c r="L34" s="44"/>
      <c r="M34" s="17"/>
      <c r="N34" s="17" t="str">
        <f t="shared" si="1"/>
        <v>REPETIDO</v>
      </c>
      <c r="O34" s="17" t="s">
        <v>303</v>
      </c>
      <c r="P34" s="6" t="s">
        <v>304</v>
      </c>
      <c r="Q34" s="6" t="s">
        <v>305</v>
      </c>
      <c r="R34" s="213" t="s">
        <v>306</v>
      </c>
      <c r="S34" s="173" t="s">
        <v>38</v>
      </c>
      <c r="T34" s="11" t="s">
        <v>28</v>
      </c>
      <c r="U34" s="22" t="s">
        <v>39</v>
      </c>
      <c r="V34" s="22" t="s">
        <v>39</v>
      </c>
    </row>
    <row r="35" spans="1:22" ht="86.25">
      <c r="A35" s="10" t="s">
        <v>307</v>
      </c>
      <c r="B35" s="10" t="s">
        <v>27</v>
      </c>
      <c r="C35" s="11" t="s">
        <v>28</v>
      </c>
      <c r="D35" s="12"/>
      <c r="E35" s="13" t="s">
        <v>93</v>
      </c>
      <c r="F35" s="6" t="s">
        <v>308</v>
      </c>
      <c r="G35" s="6" t="str">
        <f ca="1">IFERROR(__xludf.DUMMYFUNCTION("CONCATENATE(B35,(VLOOKUP(C35,CATALOGOS!$F$2:$H$6,3,FALSE)),(VLOOKUP(T35,CATALOGOS!$J$2:$K$18,2,FALSE)),""-"",TO_TEXT(A35))"),"P05DA-0034")</f>
        <v>P05DA-0034</v>
      </c>
      <c r="H35" s="6" t="s">
        <v>309</v>
      </c>
      <c r="I35" s="6" t="s">
        <v>310</v>
      </c>
      <c r="J35" s="6" t="s">
        <v>311</v>
      </c>
      <c r="K35" s="6" t="s">
        <v>312</v>
      </c>
      <c r="L35" s="17"/>
      <c r="M35" s="17"/>
      <c r="N35" s="17" t="str">
        <f t="shared" si="1"/>
        <v>OK</v>
      </c>
      <c r="O35" s="17" t="s">
        <v>35</v>
      </c>
      <c r="P35" s="6" t="s">
        <v>35</v>
      </c>
      <c r="Q35" s="17" t="s">
        <v>36</v>
      </c>
      <c r="R35" s="177" t="s">
        <v>313</v>
      </c>
      <c r="S35" s="173" t="s">
        <v>38</v>
      </c>
      <c r="T35" s="11" t="s">
        <v>28</v>
      </c>
      <c r="U35" s="22" t="s">
        <v>39</v>
      </c>
      <c r="V35" s="22" t="s">
        <v>39</v>
      </c>
    </row>
    <row r="36" spans="1:22" ht="43.5">
      <c r="A36" s="10" t="s">
        <v>314</v>
      </c>
      <c r="B36" s="10" t="s">
        <v>27</v>
      </c>
      <c r="C36" s="11" t="s">
        <v>28</v>
      </c>
      <c r="D36" s="12"/>
      <c r="E36" s="13" t="s">
        <v>43</v>
      </c>
      <c r="F36" s="6" t="s">
        <v>315</v>
      </c>
      <c r="G36" s="6" t="str">
        <f ca="1">IFERROR(__xludf.DUMMYFUNCTION("CONCATENATE(B36,(VLOOKUP(C36,CATALOGOS!$F$2:$H$6,3,FALSE)),(VLOOKUP(T36,CATALOGOS!$J$2:$K$18,2,FALSE)),""-"",TO_TEXT(A36))"),"P05DA-0035")</f>
        <v>P05DA-0035</v>
      </c>
      <c r="H36" s="6" t="s">
        <v>316</v>
      </c>
      <c r="I36" s="6" t="s">
        <v>317</v>
      </c>
      <c r="J36" s="36"/>
      <c r="K36" s="6" t="s">
        <v>141</v>
      </c>
      <c r="L36" s="17"/>
      <c r="M36" s="17"/>
      <c r="N36" s="17" t="str">
        <f t="shared" si="1"/>
        <v>REPETIDO</v>
      </c>
      <c r="O36" s="17" t="s">
        <v>318</v>
      </c>
      <c r="P36" s="6">
        <v>10188</v>
      </c>
      <c r="Q36" s="6" t="s">
        <v>36</v>
      </c>
      <c r="R36" s="214" t="s">
        <v>319</v>
      </c>
      <c r="S36" s="173" t="s">
        <v>38</v>
      </c>
      <c r="T36" s="11" t="s">
        <v>28</v>
      </c>
      <c r="U36" s="22" t="s">
        <v>39</v>
      </c>
      <c r="V36" s="22" t="s">
        <v>39</v>
      </c>
    </row>
    <row r="37" spans="1:22" ht="43.5">
      <c r="A37" s="10" t="s">
        <v>320</v>
      </c>
      <c r="B37" s="10" t="s">
        <v>27</v>
      </c>
      <c r="C37" s="11" t="s">
        <v>28</v>
      </c>
      <c r="D37" s="38"/>
      <c r="E37" s="13" t="s">
        <v>321</v>
      </c>
      <c r="F37" s="6" t="s">
        <v>322</v>
      </c>
      <c r="G37" s="6" t="str">
        <f ca="1">IFERROR(__xludf.DUMMYFUNCTION("CONCATENATE(B37,(VLOOKUP(C37,CATALOGOS!$F$2:$H$6,3,FALSE)),(VLOOKUP(T37,CATALOGOS!$J$2:$K$18,2,FALSE)),""-"",TO_TEXT(A37))"),"P05DA-0036")</f>
        <v>P05DA-0036</v>
      </c>
      <c r="H37" s="6" t="s">
        <v>323</v>
      </c>
      <c r="I37" s="6" t="s">
        <v>324</v>
      </c>
      <c r="J37" s="36"/>
      <c r="K37" s="6" t="s">
        <v>141</v>
      </c>
      <c r="L37" s="17"/>
      <c r="M37" s="17"/>
      <c r="N37" s="17" t="str">
        <f t="shared" si="1"/>
        <v>REPETIDO</v>
      </c>
      <c r="O37" s="17" t="s">
        <v>325</v>
      </c>
      <c r="P37" s="6" t="s">
        <v>326</v>
      </c>
      <c r="Q37" s="6" t="s">
        <v>36</v>
      </c>
      <c r="R37" s="216" t="s">
        <v>85</v>
      </c>
      <c r="S37" s="173" t="s">
        <v>38</v>
      </c>
      <c r="T37" s="11" t="s">
        <v>28</v>
      </c>
      <c r="U37" s="22" t="s">
        <v>39</v>
      </c>
      <c r="V37" s="22" t="s">
        <v>39</v>
      </c>
    </row>
    <row r="38" spans="1:22" ht="43.5">
      <c r="A38" s="10" t="s">
        <v>327</v>
      </c>
      <c r="B38" s="10" t="s">
        <v>27</v>
      </c>
      <c r="C38" s="11" t="s">
        <v>28</v>
      </c>
      <c r="D38" s="12"/>
      <c r="E38" s="13" t="s">
        <v>151</v>
      </c>
      <c r="F38" s="6" t="s">
        <v>293</v>
      </c>
      <c r="G38" s="6" t="str">
        <f ca="1">IFERROR(__xludf.DUMMYFUNCTION("CONCATENATE(B38,(VLOOKUP(C38,CATALOGOS!$F$2:$H$6,3,FALSE)),(VLOOKUP(T38,CATALOGOS!$J$2:$K$18,2,FALSE)),""-"",TO_TEXT(A38))"),"P05DA-0037")</f>
        <v>P05DA-0037</v>
      </c>
      <c r="H38" s="6" t="s">
        <v>328</v>
      </c>
      <c r="I38" s="6" t="s">
        <v>329</v>
      </c>
      <c r="J38" s="36"/>
      <c r="K38" s="6" t="s">
        <v>330</v>
      </c>
      <c r="L38" s="17"/>
      <c r="M38" s="17"/>
      <c r="N38" s="17" t="str">
        <f t="shared" si="1"/>
        <v>OK</v>
      </c>
      <c r="O38" s="17" t="s">
        <v>297</v>
      </c>
      <c r="P38" s="6" t="s">
        <v>298</v>
      </c>
      <c r="Q38" s="6" t="s">
        <v>331</v>
      </c>
      <c r="R38" s="215" t="s">
        <v>85</v>
      </c>
      <c r="S38" s="173" t="s">
        <v>38</v>
      </c>
      <c r="T38" s="11" t="s">
        <v>28</v>
      </c>
      <c r="U38" s="22" t="s">
        <v>332</v>
      </c>
      <c r="V38" s="22" t="s">
        <v>332</v>
      </c>
    </row>
    <row r="39" spans="1:22" ht="29.25">
      <c r="A39" s="10" t="s">
        <v>333</v>
      </c>
      <c r="B39" s="10" t="s">
        <v>27</v>
      </c>
      <c r="C39" s="11" t="s">
        <v>28</v>
      </c>
      <c r="D39" s="12"/>
      <c r="E39" s="13" t="s">
        <v>162</v>
      </c>
      <c r="F39" s="6" t="s">
        <v>285</v>
      </c>
      <c r="G39" s="6" t="str">
        <f ca="1">IFERROR(__xludf.DUMMYFUNCTION("CONCATENATE(B39,(VLOOKUP(C39,CATALOGOS!$F$2:$H$6,3,FALSE)),(VLOOKUP(T39,CATALOGOS!$J$2:$K$18,2,FALSE)),""-"",TO_TEXT(A39))"),"P05DA-0038")</f>
        <v>P05DA-0038</v>
      </c>
      <c r="H39" s="6" t="s">
        <v>334</v>
      </c>
      <c r="I39" s="6" t="s">
        <v>335</v>
      </c>
      <c r="J39" s="6" t="s">
        <v>336</v>
      </c>
      <c r="K39" s="6" t="s">
        <v>337</v>
      </c>
      <c r="L39" s="17"/>
      <c r="M39" s="17"/>
      <c r="N39" s="17" t="str">
        <f t="shared" si="1"/>
        <v>OK</v>
      </c>
      <c r="O39" s="17" t="s">
        <v>168</v>
      </c>
      <c r="P39" s="6" t="s">
        <v>169</v>
      </c>
      <c r="Q39" s="17" t="s">
        <v>338</v>
      </c>
      <c r="R39" s="177" t="s">
        <v>339</v>
      </c>
      <c r="S39" s="173" t="s">
        <v>38</v>
      </c>
      <c r="T39" s="11" t="s">
        <v>28</v>
      </c>
      <c r="U39" s="22" t="s">
        <v>332</v>
      </c>
      <c r="V39" s="22" t="s">
        <v>332</v>
      </c>
    </row>
    <row r="40" spans="1:22" ht="57.75">
      <c r="A40" s="10" t="s">
        <v>341</v>
      </c>
      <c r="B40" s="10" t="s">
        <v>27</v>
      </c>
      <c r="C40" s="11" t="s">
        <v>28</v>
      </c>
      <c r="D40" s="12"/>
      <c r="E40" s="13" t="s">
        <v>199</v>
      </c>
      <c r="F40" s="6" t="s">
        <v>199</v>
      </c>
      <c r="G40" s="6" t="str">
        <f ca="1">IFERROR(__xludf.DUMMYFUNCTION("CONCATENATE(B40,(VLOOKUP(C40,CATALOGOS!$F$2:$H$6,3,FALSE)),(VLOOKUP(T40,CATALOGOS!$J$2:$K$18,2,FALSE)),""-"",TO_TEXT(A40))"),"P05DA-0039")</f>
        <v>P05DA-0039</v>
      </c>
      <c r="H40" s="6" t="s">
        <v>342</v>
      </c>
      <c r="I40" s="6" t="s">
        <v>343</v>
      </c>
      <c r="J40" s="36"/>
      <c r="K40" s="6" t="s">
        <v>344</v>
      </c>
      <c r="L40" s="17"/>
      <c r="M40" s="17"/>
      <c r="N40" s="17" t="str">
        <f t="shared" si="1"/>
        <v>OK</v>
      </c>
      <c r="O40" s="17" t="s">
        <v>273</v>
      </c>
      <c r="P40" s="6" t="s">
        <v>274</v>
      </c>
      <c r="Q40" s="6">
        <v>11392903011586</v>
      </c>
      <c r="R40" s="215" t="s">
        <v>85</v>
      </c>
      <c r="S40" s="173" t="s">
        <v>38</v>
      </c>
      <c r="T40" s="11" t="s">
        <v>28</v>
      </c>
      <c r="U40" s="22" t="s">
        <v>332</v>
      </c>
      <c r="V40" s="22" t="s">
        <v>332</v>
      </c>
    </row>
    <row r="41" spans="1:22" ht="57.75">
      <c r="A41" s="10" t="s">
        <v>345</v>
      </c>
      <c r="B41" s="10" t="s">
        <v>27</v>
      </c>
      <c r="C41" s="11" t="s">
        <v>28</v>
      </c>
      <c r="D41" s="12"/>
      <c r="E41" s="13" t="s">
        <v>62</v>
      </c>
      <c r="F41" s="6" t="s">
        <v>346</v>
      </c>
      <c r="G41" s="6" t="str">
        <f ca="1">IFERROR(__xludf.DUMMYFUNCTION("CONCATENATE(B41,(VLOOKUP(C41,CATALOGOS!$F$2:$H$6,3,FALSE)),(VLOOKUP(T41,CATALOGOS!$J$2:$K$18,2,FALSE)),""-"",TO_TEXT(A41))"),"P05DA-0040")</f>
        <v>P05DA-0040</v>
      </c>
      <c r="H41" s="6" t="s">
        <v>347</v>
      </c>
      <c r="I41" s="6" t="s">
        <v>348</v>
      </c>
      <c r="J41" s="6" t="s">
        <v>349</v>
      </c>
      <c r="K41" s="6" t="s">
        <v>350</v>
      </c>
      <c r="L41" s="17"/>
      <c r="M41" s="17"/>
      <c r="N41" s="17" t="str">
        <f t="shared" si="1"/>
        <v>OK</v>
      </c>
      <c r="O41" s="17" t="s">
        <v>35</v>
      </c>
      <c r="P41" s="6" t="s">
        <v>35</v>
      </c>
      <c r="Q41" s="35" t="s">
        <v>36</v>
      </c>
      <c r="R41" s="177" t="s">
        <v>351</v>
      </c>
      <c r="S41" s="173" t="s">
        <v>38</v>
      </c>
      <c r="T41" s="11" t="s">
        <v>28</v>
      </c>
      <c r="U41" s="22" t="s">
        <v>332</v>
      </c>
      <c r="V41" s="22" t="s">
        <v>332</v>
      </c>
    </row>
    <row r="42" spans="1:22" ht="43.5">
      <c r="A42" s="10" t="s">
        <v>352</v>
      </c>
      <c r="B42" s="10" t="s">
        <v>27</v>
      </c>
      <c r="C42" s="11" t="s">
        <v>28</v>
      </c>
      <c r="D42" s="12"/>
      <c r="E42" s="13" t="s">
        <v>353</v>
      </c>
      <c r="F42" s="6" t="s">
        <v>354</v>
      </c>
      <c r="G42" s="6" t="str">
        <f ca="1">IFERROR(__xludf.DUMMYFUNCTION("CONCATENATE(B42,(VLOOKUP(C42,CATALOGOS!$F$2:$H$6,3,FALSE)),(VLOOKUP(T42,CATALOGOS!$J$2:$K$18,2,FALSE)),""-"",TO_TEXT(A42))"),"P05DA-0041")</f>
        <v>P05DA-0041</v>
      </c>
      <c r="H42" s="6" t="s">
        <v>355</v>
      </c>
      <c r="I42" s="6" t="s">
        <v>356</v>
      </c>
      <c r="J42" s="6" t="s">
        <v>357</v>
      </c>
      <c r="K42" s="6" t="s">
        <v>358</v>
      </c>
      <c r="L42" s="17"/>
      <c r="M42" s="17"/>
      <c r="N42" s="17" t="str">
        <f t="shared" si="1"/>
        <v>OK</v>
      </c>
      <c r="O42" s="17" t="s">
        <v>359</v>
      </c>
      <c r="P42" s="6" t="s">
        <v>360</v>
      </c>
      <c r="Q42" s="17" t="s">
        <v>361</v>
      </c>
      <c r="R42" s="177" t="s">
        <v>362</v>
      </c>
      <c r="S42" s="173" t="s">
        <v>38</v>
      </c>
      <c r="T42" s="11" t="s">
        <v>28</v>
      </c>
      <c r="U42" s="22" t="s">
        <v>332</v>
      </c>
      <c r="V42" s="22" t="s">
        <v>332</v>
      </c>
    </row>
    <row r="43" spans="1:22" ht="57.75">
      <c r="A43" s="10" t="s">
        <v>363</v>
      </c>
      <c r="B43" s="10" t="s">
        <v>27</v>
      </c>
      <c r="C43" s="11" t="s">
        <v>28</v>
      </c>
      <c r="D43" s="12"/>
      <c r="E43" s="13" t="s">
        <v>116</v>
      </c>
      <c r="F43" s="6" t="s">
        <v>364</v>
      </c>
      <c r="G43" s="6" t="str">
        <f ca="1">IFERROR(__xludf.DUMMYFUNCTION("CONCATENATE(B43,(VLOOKUP(C43,CATALOGOS!$F$2:$H$6,3,FALSE)),(VLOOKUP(T43,CATALOGOS!$J$2:$K$18,2,FALSE)),""-"",TO_TEXT(A43))"),"P05DA-0042")</f>
        <v>P05DA-0042</v>
      </c>
      <c r="H43" s="6" t="s">
        <v>365</v>
      </c>
      <c r="I43" s="6" t="s">
        <v>366</v>
      </c>
      <c r="J43" s="6" t="s">
        <v>367</v>
      </c>
      <c r="K43" s="6" t="s">
        <v>368</v>
      </c>
      <c r="L43" s="17"/>
      <c r="M43" s="17"/>
      <c r="N43" s="17" t="str">
        <f t="shared" si="1"/>
        <v>OK</v>
      </c>
      <c r="O43" s="17" t="s">
        <v>35</v>
      </c>
      <c r="P43" s="6" t="s">
        <v>35</v>
      </c>
      <c r="Q43" s="17" t="s">
        <v>36</v>
      </c>
      <c r="R43" s="177" t="s">
        <v>369</v>
      </c>
      <c r="S43" s="173" t="s">
        <v>38</v>
      </c>
      <c r="T43" s="11" t="s">
        <v>28</v>
      </c>
      <c r="U43" s="22" t="s">
        <v>332</v>
      </c>
      <c r="V43" s="22" t="s">
        <v>332</v>
      </c>
    </row>
    <row r="44" spans="1:22" ht="72">
      <c r="A44" s="10" t="s">
        <v>370</v>
      </c>
      <c r="B44" s="10" t="s">
        <v>27</v>
      </c>
      <c r="C44" s="11" t="s">
        <v>28</v>
      </c>
      <c r="D44" s="12"/>
      <c r="E44" s="13" t="s">
        <v>93</v>
      </c>
      <c r="F44" s="6" t="s">
        <v>371</v>
      </c>
      <c r="G44" s="6" t="str">
        <f ca="1">IFERROR(__xludf.DUMMYFUNCTION("CONCATENATE(B44,(VLOOKUP(C44,CATALOGOS!$F$2:$H$6,3,FALSE)),(VLOOKUP(T44,CATALOGOS!$J$2:$K$18,2,FALSE)),""-"",TO_TEXT(A44))"),"P05DA-0043")</f>
        <v>P05DA-0043</v>
      </c>
      <c r="H44" s="6" t="s">
        <v>372</v>
      </c>
      <c r="I44" s="6" t="s">
        <v>373</v>
      </c>
      <c r="J44" s="6" t="s">
        <v>374</v>
      </c>
      <c r="K44" s="6" t="s">
        <v>375</v>
      </c>
      <c r="L44" s="17"/>
      <c r="M44" s="17"/>
      <c r="N44" s="17" t="str">
        <f t="shared" si="1"/>
        <v>OK</v>
      </c>
      <c r="O44" s="17" t="s">
        <v>35</v>
      </c>
      <c r="P44" s="6" t="s">
        <v>35</v>
      </c>
      <c r="Q44" s="17" t="s">
        <v>36</v>
      </c>
      <c r="R44" s="177" t="s">
        <v>376</v>
      </c>
      <c r="S44" s="173" t="s">
        <v>38</v>
      </c>
      <c r="T44" s="11" t="s">
        <v>28</v>
      </c>
      <c r="U44" s="22" t="s">
        <v>332</v>
      </c>
      <c r="V44" s="22" t="s">
        <v>332</v>
      </c>
    </row>
    <row r="45" spans="1:22" ht="57.75">
      <c r="A45" s="10" t="s">
        <v>377</v>
      </c>
      <c r="B45" s="10" t="s">
        <v>27</v>
      </c>
      <c r="C45" s="11" t="s">
        <v>28</v>
      </c>
      <c r="D45" s="38"/>
      <c r="E45" s="13" t="s">
        <v>378</v>
      </c>
      <c r="F45" s="6" t="s">
        <v>379</v>
      </c>
      <c r="G45" s="6" t="str">
        <f ca="1">IFERROR(__xludf.DUMMYFUNCTION("CONCATENATE(B45,(VLOOKUP(C45,CATALOGOS!$F$2:$H$6,3,FALSE)),(VLOOKUP(T45,CATALOGOS!$J$2:$K$18,2,FALSE)),""-"",TO_TEXT(A45))"),"P05DA-0044")</f>
        <v>P05DA-0044</v>
      </c>
      <c r="H45" s="6" t="s">
        <v>380</v>
      </c>
      <c r="I45" s="6" t="s">
        <v>381</v>
      </c>
      <c r="J45" s="6" t="s">
        <v>382</v>
      </c>
      <c r="K45" s="6" t="s">
        <v>383</v>
      </c>
      <c r="L45" s="17"/>
      <c r="M45" s="17"/>
      <c r="N45" s="17" t="str">
        <f t="shared" si="1"/>
        <v>OK</v>
      </c>
      <c r="O45" s="17" t="s">
        <v>35</v>
      </c>
      <c r="P45" s="6" t="s">
        <v>35</v>
      </c>
      <c r="Q45" s="46" t="s">
        <v>36</v>
      </c>
      <c r="R45" s="177" t="s">
        <v>384</v>
      </c>
      <c r="S45" s="173" t="s">
        <v>517</v>
      </c>
      <c r="T45" s="11" t="s">
        <v>28</v>
      </c>
      <c r="U45" s="22" t="s">
        <v>332</v>
      </c>
      <c r="V45" s="22" t="s">
        <v>332</v>
      </c>
    </row>
    <row r="46" spans="1:22" ht="29.25">
      <c r="A46" s="10" t="s">
        <v>386</v>
      </c>
      <c r="B46" s="10" t="s">
        <v>27</v>
      </c>
      <c r="C46" s="11" t="s">
        <v>28</v>
      </c>
      <c r="D46" s="12"/>
      <c r="E46" s="13" t="s">
        <v>387</v>
      </c>
      <c r="F46" s="6" t="s">
        <v>387</v>
      </c>
      <c r="G46" s="6" t="str">
        <f ca="1">IFERROR(__xludf.DUMMYFUNCTION("CONCATENATE(B46,(VLOOKUP(C46,CATALOGOS!$F$2:$H$6,3,FALSE)),(VLOOKUP(T46,CATALOGOS!$J$2:$K$18,2,FALSE)),""-"",TO_TEXT(A46))"),"P05DA-0045")</f>
        <v>P05DA-0045</v>
      </c>
      <c r="H46" s="6" t="s">
        <v>388</v>
      </c>
      <c r="I46" s="6" t="s">
        <v>389</v>
      </c>
      <c r="J46" s="36"/>
      <c r="K46" s="6" t="s">
        <v>141</v>
      </c>
      <c r="L46" s="17"/>
      <c r="M46" s="17"/>
      <c r="N46" s="17" t="str">
        <f t="shared" si="1"/>
        <v>REPETIDO</v>
      </c>
      <c r="O46" s="17" t="s">
        <v>390</v>
      </c>
      <c r="P46" s="6">
        <v>40514</v>
      </c>
      <c r="Q46" s="6" t="s">
        <v>391</v>
      </c>
      <c r="R46" s="215" t="s">
        <v>85</v>
      </c>
      <c r="S46" s="173" t="s">
        <v>38</v>
      </c>
      <c r="T46" s="11" t="s">
        <v>28</v>
      </c>
      <c r="U46" s="22" t="s">
        <v>392</v>
      </c>
      <c r="V46" s="22" t="s">
        <v>392</v>
      </c>
    </row>
    <row r="47" spans="1:22" ht="72">
      <c r="A47" s="10" t="s">
        <v>393</v>
      </c>
      <c r="B47" s="10" t="s">
        <v>27</v>
      </c>
      <c r="C47" s="11" t="s">
        <v>28</v>
      </c>
      <c r="D47" s="12"/>
      <c r="E47" s="13" t="s">
        <v>93</v>
      </c>
      <c r="F47" s="6" t="s">
        <v>394</v>
      </c>
      <c r="G47" s="6" t="str">
        <f ca="1">IFERROR(__xludf.DUMMYFUNCTION("CONCATENATE(B47,(VLOOKUP(C47,CATALOGOS!$F$2:$H$6,3,FALSE)),(VLOOKUP(T47,CATALOGOS!$J$2:$K$18,2,FALSE)),""-"",TO_TEXT(A47))"),"P05DA-0046")</f>
        <v>P05DA-0046</v>
      </c>
      <c r="H47" s="6" t="s">
        <v>395</v>
      </c>
      <c r="I47" s="6" t="s">
        <v>396</v>
      </c>
      <c r="J47" s="6" t="s">
        <v>397</v>
      </c>
      <c r="K47" s="43" t="s">
        <v>398</v>
      </c>
      <c r="L47" s="17"/>
      <c r="M47" s="17"/>
      <c r="N47" s="17" t="str">
        <f t="shared" si="1"/>
        <v>OK</v>
      </c>
      <c r="O47" s="17" t="s">
        <v>35</v>
      </c>
      <c r="P47" s="6" t="s">
        <v>35</v>
      </c>
      <c r="Q47" s="6" t="s">
        <v>36</v>
      </c>
      <c r="R47" s="214" t="s">
        <v>399</v>
      </c>
      <c r="S47" s="173" t="s">
        <v>38</v>
      </c>
      <c r="T47" s="11" t="s">
        <v>28</v>
      </c>
      <c r="U47" s="22" t="s">
        <v>392</v>
      </c>
      <c r="V47" s="22" t="s">
        <v>392</v>
      </c>
    </row>
    <row r="48" spans="1:22" ht="43.5">
      <c r="A48" s="10" t="s">
        <v>400</v>
      </c>
      <c r="B48" s="10" t="s">
        <v>27</v>
      </c>
      <c r="C48" s="11" t="s">
        <v>28</v>
      </c>
      <c r="D48" s="12"/>
      <c r="E48" s="13" t="s">
        <v>43</v>
      </c>
      <c r="F48" s="6" t="s">
        <v>401</v>
      </c>
      <c r="G48" s="6" t="str">
        <f ca="1">IFERROR(__xludf.DUMMYFUNCTION("CONCATENATE(B48,(VLOOKUP(C48,CATALOGOS!$F$2:$H$6,3,FALSE)),(VLOOKUP(T48,CATALOGOS!$J$2:$K$18,2,FALSE)),""-"",TO_TEXT(A48))"),"P05DA-0047")</f>
        <v>P05DA-0047</v>
      </c>
      <c r="H48" s="6" t="s">
        <v>402</v>
      </c>
      <c r="I48" s="6" t="s">
        <v>403</v>
      </c>
      <c r="J48" s="6" t="s">
        <v>404</v>
      </c>
      <c r="K48" s="6" t="s">
        <v>405</v>
      </c>
      <c r="L48" s="17"/>
      <c r="M48" s="17"/>
      <c r="N48" s="17" t="str">
        <f t="shared" si="1"/>
        <v>OK</v>
      </c>
      <c r="O48" s="17" t="s">
        <v>406</v>
      </c>
      <c r="P48" s="10" t="s">
        <v>407</v>
      </c>
      <c r="Q48" s="17" t="s">
        <v>408</v>
      </c>
      <c r="R48" s="177" t="s">
        <v>409</v>
      </c>
      <c r="S48" s="173" t="s">
        <v>38</v>
      </c>
      <c r="T48" s="11" t="s">
        <v>28</v>
      </c>
      <c r="U48" s="22" t="s">
        <v>392</v>
      </c>
      <c r="V48" s="22" t="s">
        <v>392</v>
      </c>
    </row>
    <row r="49" spans="1:22" ht="43.5">
      <c r="A49" s="10" t="s">
        <v>410</v>
      </c>
      <c r="B49" s="10" t="s">
        <v>27</v>
      </c>
      <c r="C49" s="11" t="s">
        <v>28</v>
      </c>
      <c r="D49" s="12"/>
      <c r="E49" s="13" t="s">
        <v>43</v>
      </c>
      <c r="F49" s="6" t="s">
        <v>401</v>
      </c>
      <c r="G49" s="6" t="str">
        <f ca="1">IFERROR(__xludf.DUMMYFUNCTION("CONCATENATE(B49,(VLOOKUP(C49,CATALOGOS!$F$2:$H$6,3,FALSE)),(VLOOKUP(T49,CATALOGOS!$J$2:$K$18,2,FALSE)),""-"",TO_TEXT(A49))"),"P05DA-0048")</f>
        <v>P05DA-0048</v>
      </c>
      <c r="H49" s="6" t="s">
        <v>411</v>
      </c>
      <c r="I49" s="6" t="s">
        <v>412</v>
      </c>
      <c r="J49" s="6" t="s">
        <v>413</v>
      </c>
      <c r="K49" s="6" t="s">
        <v>414</v>
      </c>
      <c r="L49" s="17"/>
      <c r="M49" s="17"/>
      <c r="N49" s="17" t="str">
        <f t="shared" si="1"/>
        <v>OK</v>
      </c>
      <c r="O49" s="17" t="s">
        <v>406</v>
      </c>
      <c r="P49" s="6" t="s">
        <v>407</v>
      </c>
      <c r="Q49" s="17" t="s">
        <v>415</v>
      </c>
      <c r="R49" s="177" t="s">
        <v>416</v>
      </c>
      <c r="S49" s="173" t="s">
        <v>38</v>
      </c>
      <c r="T49" s="11" t="s">
        <v>28</v>
      </c>
      <c r="U49" s="22" t="s">
        <v>392</v>
      </c>
      <c r="V49" s="22" t="s">
        <v>392</v>
      </c>
    </row>
    <row r="50" spans="1:22" ht="43.5">
      <c r="A50" s="10" t="s">
        <v>417</v>
      </c>
      <c r="B50" s="10" t="s">
        <v>27</v>
      </c>
      <c r="C50" s="11" t="s">
        <v>28</v>
      </c>
      <c r="D50" s="12"/>
      <c r="E50" s="13" t="s">
        <v>43</v>
      </c>
      <c r="F50" s="6" t="s">
        <v>401</v>
      </c>
      <c r="G50" s="6" t="str">
        <f ca="1">IFERROR(__xludf.DUMMYFUNCTION("CONCATENATE(B50,(VLOOKUP(C50,CATALOGOS!$F$2:$H$6,3,FALSE)),(VLOOKUP(T50,CATALOGOS!$J$2:$K$18,2,FALSE)),""-"",TO_TEXT(A50))"),"P05DA-0049")</f>
        <v>P05DA-0049</v>
      </c>
      <c r="H50" s="6" t="s">
        <v>418</v>
      </c>
      <c r="I50" s="6" t="s">
        <v>419</v>
      </c>
      <c r="J50" s="6" t="s">
        <v>420</v>
      </c>
      <c r="K50" s="6" t="s">
        <v>421</v>
      </c>
      <c r="L50" s="17"/>
      <c r="M50" s="17"/>
      <c r="N50" s="17" t="str">
        <f t="shared" si="1"/>
        <v>OK</v>
      </c>
      <c r="O50" s="17" t="s">
        <v>406</v>
      </c>
      <c r="P50" s="6" t="s">
        <v>407</v>
      </c>
      <c r="Q50" s="17" t="s">
        <v>422</v>
      </c>
      <c r="R50" s="177" t="s">
        <v>423</v>
      </c>
      <c r="S50" s="173" t="s">
        <v>38</v>
      </c>
      <c r="T50" s="11" t="s">
        <v>28</v>
      </c>
      <c r="U50" s="22" t="s">
        <v>392</v>
      </c>
      <c r="V50" s="22" t="s">
        <v>392</v>
      </c>
    </row>
    <row r="51" spans="1:22" ht="29.25">
      <c r="A51" s="10" t="s">
        <v>424</v>
      </c>
      <c r="B51" s="10" t="s">
        <v>27</v>
      </c>
      <c r="C51" s="11" t="s">
        <v>28</v>
      </c>
      <c r="D51" s="12"/>
      <c r="E51" s="13" t="s">
        <v>425</v>
      </c>
      <c r="F51" s="43" t="s">
        <v>426</v>
      </c>
      <c r="G51" s="6" t="str">
        <f ca="1">IFERROR(__xludf.DUMMYFUNCTION("CONCATENATE(B51,(VLOOKUP(C51,CATALOGOS!$F$2:$H$6,3,FALSE)),(VLOOKUP(T51,CATALOGOS!$J$2:$K$18,2,FALSE)),""-"",TO_TEXT(A51))"),"P05DA-0050")</f>
        <v>P05DA-0050</v>
      </c>
      <c r="H51" s="6" t="s">
        <v>427</v>
      </c>
      <c r="I51" s="6" t="s">
        <v>428</v>
      </c>
      <c r="J51" s="6" t="s">
        <v>429</v>
      </c>
      <c r="K51" s="6" t="s">
        <v>430</v>
      </c>
      <c r="L51" s="17"/>
      <c r="M51" s="17"/>
      <c r="N51" s="17" t="str">
        <f t="shared" si="1"/>
        <v>OK</v>
      </c>
      <c r="O51" s="17" t="s">
        <v>35</v>
      </c>
      <c r="P51" s="6" t="s">
        <v>35</v>
      </c>
      <c r="Q51" s="17" t="s">
        <v>36</v>
      </c>
      <c r="R51" s="177" t="s">
        <v>431</v>
      </c>
      <c r="S51" s="173" t="s">
        <v>38</v>
      </c>
      <c r="T51" s="11" t="s">
        <v>28</v>
      </c>
      <c r="U51" s="22" t="s">
        <v>392</v>
      </c>
      <c r="V51" s="22" t="s">
        <v>392</v>
      </c>
    </row>
    <row r="52" spans="1:22" ht="43.5">
      <c r="A52" s="10" t="s">
        <v>433</v>
      </c>
      <c r="B52" s="10" t="s">
        <v>27</v>
      </c>
      <c r="C52" s="11" t="s">
        <v>28</v>
      </c>
      <c r="D52" s="12"/>
      <c r="E52" s="13" t="s">
        <v>378</v>
      </c>
      <c r="F52" s="43" t="s">
        <v>434</v>
      </c>
      <c r="G52" s="6" t="str">
        <f ca="1">IFERROR(__xludf.DUMMYFUNCTION("CONCATENATE(B52,(VLOOKUP(C52,CATALOGOS!$F$2:$H$6,3,FALSE)),(VLOOKUP(T52,CATALOGOS!$J$2:$K$18,2,FALSE)),""-"",TO_TEXT(A52))"),"P05DA-0051")</f>
        <v>P05DA-0051</v>
      </c>
      <c r="H52" s="6" t="s">
        <v>435</v>
      </c>
      <c r="I52" s="6" t="s">
        <v>436</v>
      </c>
      <c r="J52" s="6" t="s">
        <v>437</v>
      </c>
      <c r="K52" s="6" t="s">
        <v>438</v>
      </c>
      <c r="L52" s="17"/>
      <c r="M52" s="17"/>
      <c r="N52" s="17" t="str">
        <f t="shared" si="1"/>
        <v>OK</v>
      </c>
      <c r="O52" s="35" t="s">
        <v>35</v>
      </c>
      <c r="P52" s="6" t="s">
        <v>35</v>
      </c>
      <c r="Q52" s="17" t="s">
        <v>36</v>
      </c>
      <c r="R52" s="177" t="s">
        <v>439</v>
      </c>
      <c r="S52" s="173" t="s">
        <v>100</v>
      </c>
      <c r="T52" s="11" t="s">
        <v>28</v>
      </c>
      <c r="U52" s="22" t="s">
        <v>392</v>
      </c>
      <c r="V52" s="22" t="s">
        <v>392</v>
      </c>
    </row>
    <row r="53" spans="1:22" ht="72">
      <c r="A53" s="10" t="s">
        <v>441</v>
      </c>
      <c r="B53" s="10" t="s">
        <v>27</v>
      </c>
      <c r="C53" s="11" t="s">
        <v>28</v>
      </c>
      <c r="D53" s="12"/>
      <c r="E53" s="13" t="s">
        <v>93</v>
      </c>
      <c r="F53" s="43" t="s">
        <v>442</v>
      </c>
      <c r="G53" s="6" t="str">
        <f ca="1">IFERROR(__xludf.DUMMYFUNCTION("CONCATENATE(B53,(VLOOKUP(C53,CATALOGOS!$F$2:$H$6,3,FALSE)),(VLOOKUP(T53,CATALOGOS!$J$2:$K$18,2,FALSE)),""-"",TO_TEXT(A53))"),"P05DA-0052")</f>
        <v>P05DA-0052</v>
      </c>
      <c r="H53" s="6" t="s">
        <v>443</v>
      </c>
      <c r="I53" s="6" t="s">
        <v>444</v>
      </c>
      <c r="J53" s="6" t="s">
        <v>445</v>
      </c>
      <c r="K53" s="6" t="s">
        <v>446</v>
      </c>
      <c r="L53" s="17"/>
      <c r="M53" s="17"/>
      <c r="N53" s="17" t="str">
        <f t="shared" si="1"/>
        <v>OK</v>
      </c>
      <c r="O53" s="17" t="s">
        <v>35</v>
      </c>
      <c r="P53" s="6" t="s">
        <v>35</v>
      </c>
      <c r="Q53" s="17" t="s">
        <v>36</v>
      </c>
      <c r="R53" s="177" t="s">
        <v>447</v>
      </c>
      <c r="S53" s="173" t="s">
        <v>38</v>
      </c>
      <c r="T53" s="11" t="s">
        <v>28</v>
      </c>
      <c r="U53" s="22" t="s">
        <v>392</v>
      </c>
      <c r="V53" s="22" t="s">
        <v>392</v>
      </c>
    </row>
    <row r="54" spans="1:22" ht="29.25">
      <c r="A54" s="10" t="s">
        <v>448</v>
      </c>
      <c r="B54" s="10" t="s">
        <v>27</v>
      </c>
      <c r="C54" s="11" t="s">
        <v>28</v>
      </c>
      <c r="D54" s="12"/>
      <c r="E54" s="13" t="s">
        <v>184</v>
      </c>
      <c r="F54" s="6" t="s">
        <v>449</v>
      </c>
      <c r="G54" s="6" t="str">
        <f ca="1">IFERROR(__xludf.DUMMYFUNCTION("CONCATENATE(B54,(VLOOKUP(C54,CATALOGOS!$F$2:$H$6,3,FALSE)),(VLOOKUP(T54,CATALOGOS!$J$2:$K$18,2,FALSE)),""-"",TO_TEXT(A54))"),"P05DA-0053")</f>
        <v>P05DA-0053</v>
      </c>
      <c r="H54" s="6" t="s">
        <v>450</v>
      </c>
      <c r="I54" s="6" t="s">
        <v>451</v>
      </c>
      <c r="J54" s="6" t="s">
        <v>452</v>
      </c>
      <c r="K54" s="6" t="s">
        <v>453</v>
      </c>
      <c r="L54" s="17"/>
      <c r="M54" s="17"/>
      <c r="N54" s="17" t="str">
        <f t="shared" si="1"/>
        <v>OK</v>
      </c>
      <c r="O54" s="17" t="s">
        <v>35</v>
      </c>
      <c r="P54" s="6" t="s">
        <v>35</v>
      </c>
      <c r="Q54" s="17" t="s">
        <v>36</v>
      </c>
      <c r="R54" s="177" t="s">
        <v>454</v>
      </c>
      <c r="S54" s="173" t="s">
        <v>38</v>
      </c>
      <c r="T54" s="11" t="s">
        <v>28</v>
      </c>
      <c r="U54" s="22" t="s">
        <v>392</v>
      </c>
      <c r="V54" s="22" t="s">
        <v>392</v>
      </c>
    </row>
    <row r="55" spans="1:22" ht="29.25">
      <c r="A55" s="10" t="s">
        <v>456</v>
      </c>
      <c r="B55" s="10" t="s">
        <v>27</v>
      </c>
      <c r="C55" s="11" t="s">
        <v>28</v>
      </c>
      <c r="D55" s="12"/>
      <c r="E55" s="13" t="s">
        <v>43</v>
      </c>
      <c r="F55" s="43" t="s">
        <v>457</v>
      </c>
      <c r="G55" s="6" t="str">
        <f ca="1">IFERROR(__xludf.DUMMYFUNCTION("CONCATENATE(B55,(VLOOKUP(C55,CATALOGOS!$F$2:$H$6,3,FALSE)),(VLOOKUP(T55,CATALOGOS!$J$2:$K$18,2,FALSE)),""-"",TO_TEXT(A55))"),"P05DA-0054")</f>
        <v>P05DA-0054</v>
      </c>
      <c r="H55" s="6" t="s">
        <v>458</v>
      </c>
      <c r="I55" s="6" t="s">
        <v>459</v>
      </c>
      <c r="J55" s="6" t="s">
        <v>460</v>
      </c>
      <c r="K55" s="6" t="s">
        <v>461</v>
      </c>
      <c r="L55" s="17"/>
      <c r="M55" s="17"/>
      <c r="N55" s="17" t="str">
        <f t="shared" si="1"/>
        <v>OK</v>
      </c>
      <c r="O55" s="17" t="s">
        <v>462</v>
      </c>
      <c r="P55" s="6" t="s">
        <v>35</v>
      </c>
      <c r="Q55" s="17" t="s">
        <v>463</v>
      </c>
      <c r="R55" s="177" t="s">
        <v>464</v>
      </c>
      <c r="S55" s="173" t="s">
        <v>38</v>
      </c>
      <c r="T55" s="11" t="s">
        <v>28</v>
      </c>
      <c r="U55" s="22" t="s">
        <v>392</v>
      </c>
      <c r="V55" s="22" t="s">
        <v>392</v>
      </c>
    </row>
    <row r="56" spans="1:22" ht="43.5">
      <c r="A56" s="10" t="s">
        <v>465</v>
      </c>
      <c r="B56" s="10" t="s">
        <v>27</v>
      </c>
      <c r="C56" s="11" t="s">
        <v>28</v>
      </c>
      <c r="D56" s="12"/>
      <c r="E56" s="13" t="s">
        <v>466</v>
      </c>
      <c r="F56" s="6" t="s">
        <v>467</v>
      </c>
      <c r="G56" s="6" t="str">
        <f ca="1">IFERROR(__xludf.DUMMYFUNCTION("CONCATENATE(B56,(VLOOKUP(C56,CATALOGOS!$F$2:$H$6,3,FALSE)),(VLOOKUP(T56,CATALOGOS!$J$2:$K$18,2,FALSE)),""-"",TO_TEXT(A56))"),"P05DA-0055")</f>
        <v>P05DA-0055</v>
      </c>
      <c r="H56" s="6" t="s">
        <v>468</v>
      </c>
      <c r="I56" s="6" t="s">
        <v>469</v>
      </c>
      <c r="J56" s="6" t="s">
        <v>470</v>
      </c>
      <c r="K56" s="6" t="s">
        <v>471</v>
      </c>
      <c r="L56" s="17"/>
      <c r="M56" s="17"/>
      <c r="N56" s="17" t="str">
        <f t="shared" si="1"/>
        <v>OK</v>
      </c>
      <c r="O56" s="17" t="s">
        <v>35</v>
      </c>
      <c r="P56" s="6" t="s">
        <v>35</v>
      </c>
      <c r="Q56" s="17" t="s">
        <v>36</v>
      </c>
      <c r="R56" s="177" t="s">
        <v>472</v>
      </c>
      <c r="S56" s="173" t="s">
        <v>38</v>
      </c>
      <c r="T56" s="11" t="s">
        <v>28</v>
      </c>
      <c r="U56" s="22" t="s">
        <v>392</v>
      </c>
      <c r="V56" s="22" t="s">
        <v>392</v>
      </c>
    </row>
    <row r="57" spans="1:22" ht="57.75">
      <c r="A57" s="10" t="s">
        <v>473</v>
      </c>
      <c r="B57" s="10" t="s">
        <v>27</v>
      </c>
      <c r="C57" s="11" t="s">
        <v>28</v>
      </c>
      <c r="D57" s="12"/>
      <c r="E57" s="13" t="s">
        <v>353</v>
      </c>
      <c r="F57" s="43" t="s">
        <v>475</v>
      </c>
      <c r="G57" s="6" t="str">
        <f ca="1">IFERROR(__xludf.DUMMYFUNCTION("CONCATENATE(B57,(VLOOKUP(C57,CATALOGOS!$F$2:$H$6,3,FALSE)),(VLOOKUP(T57,CATALOGOS!$J$2:$K$18,2,FALSE)),""-"",TO_TEXT(A57))"),"P05RM-0056")</f>
        <v>P05RM-0056</v>
      </c>
      <c r="H57" s="6" t="s">
        <v>476</v>
      </c>
      <c r="I57" s="6" t="s">
        <v>477</v>
      </c>
      <c r="J57" s="6" t="s">
        <v>478</v>
      </c>
      <c r="K57" s="43" t="s">
        <v>479</v>
      </c>
      <c r="L57" s="17"/>
      <c r="M57" s="17"/>
      <c r="N57" s="17" t="str">
        <f t="shared" si="1"/>
        <v>OK</v>
      </c>
      <c r="O57" s="17" t="s">
        <v>480</v>
      </c>
      <c r="P57" s="6">
        <v>1300</v>
      </c>
      <c r="Q57" s="17" t="s">
        <v>481</v>
      </c>
      <c r="R57" s="176" t="s">
        <v>482</v>
      </c>
      <c r="S57" s="173" t="s">
        <v>38</v>
      </c>
      <c r="T57" s="11" t="s">
        <v>147</v>
      </c>
      <c r="U57" s="20" t="s">
        <v>484</v>
      </c>
      <c r="V57" s="20" t="s">
        <v>484</v>
      </c>
    </row>
    <row r="58" spans="1:22" ht="72">
      <c r="A58" s="10" t="s">
        <v>485</v>
      </c>
      <c r="B58" s="10" t="s">
        <v>27</v>
      </c>
      <c r="C58" s="11" t="s">
        <v>28</v>
      </c>
      <c r="D58" s="12"/>
      <c r="E58" s="13" t="s">
        <v>93</v>
      </c>
      <c r="F58" s="48" t="s">
        <v>486</v>
      </c>
      <c r="G58" s="6" t="str">
        <f ca="1">IFERROR(__xludf.DUMMYFUNCTION("CONCATENATE(B58,(VLOOKUP(C58,CATALOGOS!$F$2:$H$6,3,FALSE)),(VLOOKUP(T58,CATALOGOS!$J$2:$K$18,2,FALSE)),""-"",TO_TEXT(A58))"),"P05RM-0057")</f>
        <v>P05RM-0057</v>
      </c>
      <c r="H58" s="6" t="s">
        <v>487</v>
      </c>
      <c r="I58" s="6" t="s">
        <v>488</v>
      </c>
      <c r="J58" s="6" t="s">
        <v>489</v>
      </c>
      <c r="K58" s="6" t="s">
        <v>490</v>
      </c>
      <c r="L58" s="17"/>
      <c r="M58" s="17"/>
      <c r="N58" s="17" t="str">
        <f t="shared" si="1"/>
        <v>OK</v>
      </c>
      <c r="O58" s="17" t="s">
        <v>35</v>
      </c>
      <c r="P58" s="6" t="s">
        <v>35</v>
      </c>
      <c r="Q58" s="17" t="s">
        <v>36</v>
      </c>
      <c r="R58" s="177" t="s">
        <v>491</v>
      </c>
      <c r="S58" s="173" t="s">
        <v>38</v>
      </c>
      <c r="T58" s="11" t="s">
        <v>147</v>
      </c>
      <c r="U58" s="20" t="s">
        <v>493</v>
      </c>
      <c r="V58" s="20" t="s">
        <v>493</v>
      </c>
    </row>
    <row r="59" spans="1:22" ht="29.25">
      <c r="A59" s="10" t="s">
        <v>494</v>
      </c>
      <c r="B59" s="10" t="s">
        <v>27</v>
      </c>
      <c r="C59" s="11" t="s">
        <v>28</v>
      </c>
      <c r="D59" s="12"/>
      <c r="E59" s="13" t="s">
        <v>425</v>
      </c>
      <c r="F59" s="43" t="s">
        <v>426</v>
      </c>
      <c r="G59" s="6" t="str">
        <f ca="1">IFERROR(__xludf.DUMMYFUNCTION("CONCATENATE(B59,(VLOOKUP(C59,CATALOGOS!$F$2:$H$6,3,FALSE)),(VLOOKUP(T59,CATALOGOS!$J$2:$K$18,2,FALSE)),""-"",TO_TEXT(A59))"),"P05DA-0058")</f>
        <v>P05DA-0058</v>
      </c>
      <c r="H59" s="6" t="s">
        <v>495</v>
      </c>
      <c r="I59" s="6" t="s">
        <v>496</v>
      </c>
      <c r="J59" s="6" t="s">
        <v>497</v>
      </c>
      <c r="K59" s="6" t="s">
        <v>498</v>
      </c>
      <c r="L59" s="17"/>
      <c r="M59" s="17"/>
      <c r="N59" s="17" t="str">
        <f t="shared" si="1"/>
        <v>OK</v>
      </c>
      <c r="O59" s="17" t="s">
        <v>35</v>
      </c>
      <c r="P59" s="6" t="s">
        <v>35</v>
      </c>
      <c r="Q59" s="17" t="s">
        <v>36</v>
      </c>
      <c r="R59" s="177" t="s">
        <v>499</v>
      </c>
      <c r="S59" s="173" t="s">
        <v>38</v>
      </c>
      <c r="T59" s="11" t="s">
        <v>28</v>
      </c>
      <c r="U59" s="22" t="s">
        <v>392</v>
      </c>
      <c r="V59" s="22" t="s">
        <v>392</v>
      </c>
    </row>
    <row r="60" spans="1:22" ht="43.5">
      <c r="A60" s="10" t="s">
        <v>500</v>
      </c>
      <c r="B60" s="10" t="s">
        <v>27</v>
      </c>
      <c r="C60" s="11" t="s">
        <v>28</v>
      </c>
      <c r="D60" s="12"/>
      <c r="E60" s="13" t="s">
        <v>501</v>
      </c>
      <c r="F60" s="6" t="s">
        <v>502</v>
      </c>
      <c r="G60" s="6" t="str">
        <f ca="1">IFERROR(__xludf.DUMMYFUNCTION("CONCATENATE(B60,(VLOOKUP(C60,CATALOGOS!$F$2:$H$6,3,FALSE)),(VLOOKUP(T60,CATALOGOS!$J$2:$K$18,2,FALSE)),""-"",TO_TEXT(A60))"),"P05RM-0059")</f>
        <v>P05RM-0059</v>
      </c>
      <c r="H60" s="6" t="s">
        <v>503</v>
      </c>
      <c r="I60" s="6" t="s">
        <v>504</v>
      </c>
      <c r="J60" s="6" t="s">
        <v>505</v>
      </c>
      <c r="K60" s="6" t="s">
        <v>506</v>
      </c>
      <c r="L60" s="17"/>
      <c r="M60" s="17"/>
      <c r="N60" s="17" t="str">
        <f t="shared" si="1"/>
        <v>OK</v>
      </c>
      <c r="O60" s="17" t="s">
        <v>35</v>
      </c>
      <c r="P60" s="6" t="s">
        <v>35</v>
      </c>
      <c r="Q60" s="17" t="s">
        <v>36</v>
      </c>
      <c r="R60" s="177" t="s">
        <v>507</v>
      </c>
      <c r="S60" s="173" t="s">
        <v>38</v>
      </c>
      <c r="T60" s="11" t="s">
        <v>147</v>
      </c>
      <c r="U60" s="20" t="s">
        <v>508</v>
      </c>
      <c r="V60" s="20" t="s">
        <v>508</v>
      </c>
    </row>
    <row r="61" spans="1:22" ht="29.25">
      <c r="A61" s="10" t="s">
        <v>510</v>
      </c>
      <c r="B61" s="10" t="s">
        <v>474</v>
      </c>
      <c r="C61" s="11" t="s">
        <v>28</v>
      </c>
      <c r="D61" s="12"/>
      <c r="E61" s="13" t="s">
        <v>378</v>
      </c>
      <c r="F61" s="43" t="s">
        <v>511</v>
      </c>
      <c r="G61" s="6" t="str">
        <f ca="1">IFERROR(__xludf.DUMMYFUNCTION("CONCATENATE(B61,(VLOOKUP(C61,CATALOGOS!$F$2:$H$6,3,FALSE)),(VLOOKUP(T61,CATALOGOS!$J$2:$K$18,2,FALSE)),""-"",TO_TEXT(A61))"),"P35DA-0060")</f>
        <v>P35DA-0060</v>
      </c>
      <c r="H61" s="6" t="s">
        <v>512</v>
      </c>
      <c r="I61" s="6" t="s">
        <v>513</v>
      </c>
      <c r="J61" s="6" t="s">
        <v>514</v>
      </c>
      <c r="K61" s="6" t="s">
        <v>515</v>
      </c>
      <c r="L61" s="17"/>
      <c r="M61" s="17"/>
      <c r="N61" s="17" t="str">
        <f t="shared" si="1"/>
        <v>OK</v>
      </c>
      <c r="O61" s="17" t="s">
        <v>35</v>
      </c>
      <c r="P61" s="6" t="s">
        <v>35</v>
      </c>
      <c r="Q61" s="17" t="s">
        <v>36</v>
      </c>
      <c r="R61" s="17" t="s">
        <v>516</v>
      </c>
      <c r="S61" s="173" t="s">
        <v>517</v>
      </c>
      <c r="T61" s="11" t="s">
        <v>28</v>
      </c>
      <c r="U61" s="22" t="s">
        <v>392</v>
      </c>
      <c r="V61" s="22" t="s">
        <v>392</v>
      </c>
    </row>
    <row r="62" spans="1:22" ht="43.5">
      <c r="A62" s="10" t="s">
        <v>519</v>
      </c>
      <c r="B62" s="10" t="s">
        <v>27</v>
      </c>
      <c r="C62" s="11" t="s">
        <v>28</v>
      </c>
      <c r="D62" s="12"/>
      <c r="E62" s="13" t="s">
        <v>378</v>
      </c>
      <c r="F62" s="6" t="s">
        <v>520</v>
      </c>
      <c r="G62" s="6" t="str">
        <f ca="1">IFERROR(__xludf.DUMMYFUNCTION("CONCATENATE(B62,(VLOOKUP(C62,CATALOGOS!$F$2:$H$6,3,FALSE)),(VLOOKUP(T62,CATALOGOS!$J$2:$K$18,2,FALSE)),""-"",TO_TEXT(A62))"),"P05DA-0061")</f>
        <v>P05DA-0061</v>
      </c>
      <c r="H62" s="6" t="s">
        <v>521</v>
      </c>
      <c r="I62" s="6" t="s">
        <v>522</v>
      </c>
      <c r="J62" s="6" t="s">
        <v>523</v>
      </c>
      <c r="K62" s="6" t="s">
        <v>524</v>
      </c>
      <c r="L62" s="17"/>
      <c r="M62" s="17"/>
      <c r="N62" s="17" t="str">
        <f t="shared" si="1"/>
        <v>OK</v>
      </c>
      <c r="O62" s="17" t="s">
        <v>35</v>
      </c>
      <c r="P62" s="6" t="s">
        <v>35</v>
      </c>
      <c r="Q62" s="17" t="s">
        <v>36</v>
      </c>
      <c r="R62" s="17" t="s">
        <v>525</v>
      </c>
      <c r="S62" s="173" t="s">
        <v>38</v>
      </c>
      <c r="T62" s="11" t="s">
        <v>28</v>
      </c>
      <c r="U62" s="22" t="s">
        <v>392</v>
      </c>
      <c r="V62" s="22" t="s">
        <v>392</v>
      </c>
    </row>
    <row r="63" spans="1:22" ht="57.75">
      <c r="A63" s="10" t="s">
        <v>527</v>
      </c>
      <c r="B63" s="10" t="s">
        <v>27</v>
      </c>
      <c r="C63" s="11" t="s">
        <v>28</v>
      </c>
      <c r="D63" s="12"/>
      <c r="E63" s="13" t="s">
        <v>93</v>
      </c>
      <c r="F63" s="6" t="s">
        <v>528</v>
      </c>
      <c r="G63" s="6" t="str">
        <f ca="1">IFERROR(__xludf.DUMMYFUNCTION("CONCATENATE(B63,(VLOOKUP(C63,CATALOGOS!$F$2:$H$6,3,FALSE)),(VLOOKUP(T63,CATALOGOS!$J$2:$K$18,2,FALSE)),""-"",TO_TEXT(A63))"),"P05DA-0062")</f>
        <v>P05DA-0062</v>
      </c>
      <c r="H63" s="6" t="s">
        <v>529</v>
      </c>
      <c r="I63" s="6" t="s">
        <v>530</v>
      </c>
      <c r="J63" s="6" t="s">
        <v>531</v>
      </c>
      <c r="K63" s="6" t="s">
        <v>532</v>
      </c>
      <c r="L63" s="17"/>
      <c r="M63" s="17"/>
      <c r="N63" s="17" t="str">
        <f t="shared" si="1"/>
        <v>OK</v>
      </c>
      <c r="O63" s="17" t="s">
        <v>35</v>
      </c>
      <c r="P63" s="6" t="s">
        <v>35</v>
      </c>
      <c r="Q63" s="17" t="s">
        <v>36</v>
      </c>
      <c r="R63" s="17" t="s">
        <v>533</v>
      </c>
      <c r="S63" s="173" t="s">
        <v>38</v>
      </c>
      <c r="T63" s="11" t="s">
        <v>28</v>
      </c>
      <c r="U63" s="22" t="s">
        <v>392</v>
      </c>
      <c r="V63" s="22" t="s">
        <v>392</v>
      </c>
    </row>
    <row r="64" spans="1:22" ht="29.25">
      <c r="A64" s="10" t="s">
        <v>534</v>
      </c>
      <c r="B64" s="10" t="s">
        <v>474</v>
      </c>
      <c r="C64" s="11" t="s">
        <v>28</v>
      </c>
      <c r="D64" s="12"/>
      <c r="E64" s="13" t="s">
        <v>378</v>
      </c>
      <c r="F64" s="6" t="s">
        <v>535</v>
      </c>
      <c r="G64" s="6" t="str">
        <f ca="1">IFERROR(__xludf.DUMMYFUNCTION("CONCATENATE(B64,(VLOOKUP(C64,CATALOGOS!$F$2:$H$6,3,FALSE)),(VLOOKUP(T64,CATALOGOS!$J$2:$K$18,2,FALSE)),""-"",TO_TEXT(A64))"),"P35DA-0063")</f>
        <v>P35DA-0063</v>
      </c>
      <c r="H64" s="6" t="s">
        <v>536</v>
      </c>
      <c r="I64" s="6" t="s">
        <v>537</v>
      </c>
      <c r="J64" s="6" t="s">
        <v>538</v>
      </c>
      <c r="K64" s="6" t="s">
        <v>539</v>
      </c>
      <c r="L64" s="17"/>
      <c r="M64" s="17"/>
      <c r="N64" s="17" t="str">
        <f t="shared" si="1"/>
        <v>OK</v>
      </c>
      <c r="O64" s="17" t="s">
        <v>35</v>
      </c>
      <c r="P64" s="6" t="s">
        <v>35</v>
      </c>
      <c r="Q64" s="17" t="s">
        <v>36</v>
      </c>
      <c r="R64" s="17" t="s">
        <v>540</v>
      </c>
      <c r="S64" s="173" t="s">
        <v>38</v>
      </c>
      <c r="T64" s="11" t="s">
        <v>28</v>
      </c>
      <c r="U64" s="22" t="s">
        <v>392</v>
      </c>
      <c r="V64" s="22" t="s">
        <v>392</v>
      </c>
    </row>
    <row r="65" spans="1:22" ht="57.75">
      <c r="A65" s="10" t="s">
        <v>542</v>
      </c>
      <c r="B65" s="10" t="s">
        <v>27</v>
      </c>
      <c r="C65" s="11" t="s">
        <v>28</v>
      </c>
      <c r="D65" s="12"/>
      <c r="E65" s="13" t="s">
        <v>93</v>
      </c>
      <c r="F65" s="6" t="s">
        <v>543</v>
      </c>
      <c r="G65" s="6" t="str">
        <f ca="1">IFERROR(__xludf.DUMMYFUNCTION("CONCATENATE(B65,(VLOOKUP(C65,CATALOGOS!$F$2:$H$6,3,FALSE)),(VLOOKUP(T65,CATALOGOS!$J$2:$K$18,2,FALSE)),""-"",TO_TEXT(A65))"),"P05DA-0064")</f>
        <v>P05DA-0064</v>
      </c>
      <c r="H65" s="6" t="s">
        <v>544</v>
      </c>
      <c r="I65" s="6" t="s">
        <v>545</v>
      </c>
      <c r="J65" s="6" t="s">
        <v>546</v>
      </c>
      <c r="K65" s="6" t="s">
        <v>547</v>
      </c>
      <c r="L65" s="17"/>
      <c r="M65" s="17"/>
      <c r="N65" s="17" t="str">
        <f t="shared" si="1"/>
        <v>OK</v>
      </c>
      <c r="O65" s="17" t="s">
        <v>35</v>
      </c>
      <c r="P65" s="6" t="s">
        <v>35</v>
      </c>
      <c r="Q65" s="17" t="s">
        <v>36</v>
      </c>
      <c r="R65" s="17" t="s">
        <v>548</v>
      </c>
      <c r="S65" s="173" t="s">
        <v>549</v>
      </c>
      <c r="T65" s="11" t="s">
        <v>28</v>
      </c>
      <c r="U65" s="22" t="s">
        <v>392</v>
      </c>
      <c r="V65" s="22" t="s">
        <v>392</v>
      </c>
    </row>
    <row r="66" spans="1:22" ht="72">
      <c r="A66" s="10" t="s">
        <v>550</v>
      </c>
      <c r="B66" s="10" t="s">
        <v>27</v>
      </c>
      <c r="C66" s="11" t="s">
        <v>28</v>
      </c>
      <c r="D66" s="12"/>
      <c r="E66" s="13" t="s">
        <v>466</v>
      </c>
      <c r="F66" s="6" t="s">
        <v>551</v>
      </c>
      <c r="G66" s="6" t="str">
        <f ca="1">IFERROR(__xludf.DUMMYFUNCTION("CONCATENATE(B66,(VLOOKUP(C66,CATALOGOS!$F$2:$H$6,3,FALSE)),(VLOOKUP(T66,CATALOGOS!$J$2:$K$18,2,FALSE)),""-"",TO_TEXT(A66))"),"P05DA-0065")</f>
        <v>P05DA-0065</v>
      </c>
      <c r="H66" s="6" t="s">
        <v>552</v>
      </c>
      <c r="I66" s="6" t="s">
        <v>553</v>
      </c>
      <c r="J66" s="6" t="s">
        <v>554</v>
      </c>
      <c r="K66" s="6" t="s">
        <v>555</v>
      </c>
      <c r="L66" s="17"/>
      <c r="M66" s="17"/>
      <c r="N66" s="17" t="str">
        <f t="shared" si="1"/>
        <v>OK</v>
      </c>
      <c r="O66" s="17" t="s">
        <v>35</v>
      </c>
      <c r="P66" s="6" t="s">
        <v>35</v>
      </c>
      <c r="Q66" s="17" t="s">
        <v>36</v>
      </c>
      <c r="R66" s="17" t="s">
        <v>556</v>
      </c>
      <c r="S66" s="173" t="s">
        <v>38</v>
      </c>
      <c r="T66" s="11" t="s">
        <v>28</v>
      </c>
      <c r="U66" s="22" t="s">
        <v>392</v>
      </c>
      <c r="V66" s="22" t="s">
        <v>392</v>
      </c>
    </row>
    <row r="67" spans="1:22" ht="29.25">
      <c r="A67" s="10" t="s">
        <v>557</v>
      </c>
      <c r="B67" s="10" t="s">
        <v>27</v>
      </c>
      <c r="C67" s="11" t="s">
        <v>28</v>
      </c>
      <c r="D67" s="12"/>
      <c r="E67" s="13" t="s">
        <v>53</v>
      </c>
      <c r="F67" s="6" t="s">
        <v>558</v>
      </c>
      <c r="G67" s="6" t="str">
        <f ca="1">IFERROR(__xludf.DUMMYFUNCTION("CONCATENATE(B67,(VLOOKUP(C67,CATALOGOS!$F$2:$H$6,3,FALSE)),(VLOOKUP(T67,CATALOGOS!$J$2:$K$18,2,FALSE)),""-"",TO_TEXT(A67))"),"P05DA-0066")</f>
        <v>P05DA-0066</v>
      </c>
      <c r="H67" s="6" t="s">
        <v>559</v>
      </c>
      <c r="I67" s="6" t="s">
        <v>560</v>
      </c>
      <c r="J67" s="6" t="s">
        <v>561</v>
      </c>
      <c r="K67" s="6" t="s">
        <v>562</v>
      </c>
      <c r="L67" s="17"/>
      <c r="M67" s="17"/>
      <c r="N67" s="17" t="str">
        <f t="shared" si="1"/>
        <v>OK</v>
      </c>
      <c r="O67" s="17" t="s">
        <v>35</v>
      </c>
      <c r="P67" s="6" t="s">
        <v>35</v>
      </c>
      <c r="Q67" s="17" t="s">
        <v>36</v>
      </c>
      <c r="R67" s="17" t="s">
        <v>563</v>
      </c>
      <c r="S67" s="173" t="s">
        <v>38</v>
      </c>
      <c r="T67" s="11" t="s">
        <v>28</v>
      </c>
      <c r="U67" s="22" t="s">
        <v>392</v>
      </c>
      <c r="V67" s="22" t="s">
        <v>392</v>
      </c>
    </row>
    <row r="68" spans="1:22" ht="100.5">
      <c r="A68" s="10" t="s">
        <v>564</v>
      </c>
      <c r="B68" s="10" t="s">
        <v>27</v>
      </c>
      <c r="C68" s="11" t="s">
        <v>28</v>
      </c>
      <c r="D68" s="38"/>
      <c r="E68" s="13" t="s">
        <v>565</v>
      </c>
      <c r="F68" s="6" t="s">
        <v>566</v>
      </c>
      <c r="G68" s="6" t="str">
        <f ca="1">IFERROR(__xludf.DUMMYFUNCTION("CONCATENATE(B68,(VLOOKUP(C68,CATALOGOS!$F$2:$H$6,3,FALSE)),(VLOOKUP(T68,CATALOGOS!$J$2:$K$18,2,FALSE)),""-"",TO_TEXT(A68))"),"P05DA-0067")</f>
        <v>P05DA-0067</v>
      </c>
      <c r="H68" s="6" t="s">
        <v>567</v>
      </c>
      <c r="I68" s="6" t="s">
        <v>568</v>
      </c>
      <c r="J68" s="6" t="s">
        <v>569</v>
      </c>
      <c r="K68" s="6" t="s">
        <v>570</v>
      </c>
      <c r="L68" s="17"/>
      <c r="M68" s="17"/>
      <c r="N68" s="17" t="str">
        <f t="shared" si="1"/>
        <v>OK</v>
      </c>
      <c r="O68" s="17" t="s">
        <v>35</v>
      </c>
      <c r="P68" s="6" t="s">
        <v>35</v>
      </c>
      <c r="Q68" s="46" t="s">
        <v>36</v>
      </c>
      <c r="R68" s="17" t="s">
        <v>85</v>
      </c>
      <c r="S68" s="173" t="s">
        <v>38</v>
      </c>
      <c r="T68" s="11" t="s">
        <v>28</v>
      </c>
      <c r="U68" s="22" t="s">
        <v>392</v>
      </c>
      <c r="V68" s="22" t="s">
        <v>392</v>
      </c>
    </row>
    <row r="69" spans="1:22" ht="57.75">
      <c r="A69" s="10" t="s">
        <v>571</v>
      </c>
      <c r="B69" s="10" t="s">
        <v>27</v>
      </c>
      <c r="C69" s="11" t="s">
        <v>28</v>
      </c>
      <c r="D69" s="12"/>
      <c r="E69" s="13" t="s">
        <v>501</v>
      </c>
      <c r="F69" s="6" t="s">
        <v>572</v>
      </c>
      <c r="G69" s="6" t="str">
        <f ca="1">IFERROR(__xludf.DUMMYFUNCTION("CONCATENATE(B69,(VLOOKUP(C69,CATALOGOS!$F$2:$H$6,3,FALSE)),(VLOOKUP(T69,CATALOGOS!$J$2:$K$18,2,FALSE)),""-"",TO_TEXT(A69))"),"P05RM-0068")</f>
        <v>P05RM-0068</v>
      </c>
      <c r="H69" s="6" t="s">
        <v>573</v>
      </c>
      <c r="I69" s="6" t="s">
        <v>574</v>
      </c>
      <c r="J69" s="6" t="s">
        <v>575</v>
      </c>
      <c r="K69" s="6" t="s">
        <v>576</v>
      </c>
      <c r="L69" s="17"/>
      <c r="M69" s="17"/>
      <c r="N69" s="17" t="str">
        <f t="shared" si="1"/>
        <v>OK</v>
      </c>
      <c r="O69" s="17" t="s">
        <v>35</v>
      </c>
      <c r="P69" s="6" t="s">
        <v>35</v>
      </c>
      <c r="Q69" s="17" t="s">
        <v>36</v>
      </c>
      <c r="R69" s="17" t="s">
        <v>577</v>
      </c>
      <c r="S69" s="173" t="s">
        <v>38</v>
      </c>
      <c r="T69" s="11" t="s">
        <v>147</v>
      </c>
      <c r="U69" s="22" t="s">
        <v>493</v>
      </c>
      <c r="V69" s="22" t="s">
        <v>493</v>
      </c>
    </row>
    <row r="70" spans="1:22" ht="57.75">
      <c r="A70" s="10" t="s">
        <v>578</v>
      </c>
      <c r="B70" s="10" t="s">
        <v>27</v>
      </c>
      <c r="C70" s="11" t="s">
        <v>28</v>
      </c>
      <c r="D70" s="12"/>
      <c r="E70" s="13" t="s">
        <v>501</v>
      </c>
      <c r="F70" s="6" t="s">
        <v>579</v>
      </c>
      <c r="G70" s="6" t="str">
        <f ca="1">IFERROR(__xludf.DUMMYFUNCTION("CONCATENATE(B70,(VLOOKUP(C70,CATALOGOS!$F$2:$H$6,3,FALSE)),(VLOOKUP(T70,CATALOGOS!$J$2:$K$18,2,FALSE)),""-"",TO_TEXT(A70))"),"P05RM-0069")</f>
        <v>P05RM-0069</v>
      </c>
      <c r="H70" s="6" t="s">
        <v>580</v>
      </c>
      <c r="I70" s="6" t="s">
        <v>581</v>
      </c>
      <c r="J70" s="6" t="s">
        <v>582</v>
      </c>
      <c r="K70" s="6" t="s">
        <v>583</v>
      </c>
      <c r="L70" s="17"/>
      <c r="M70" s="17"/>
      <c r="N70" s="17" t="str">
        <f t="shared" si="1"/>
        <v>OK</v>
      </c>
      <c r="O70" s="17" t="s">
        <v>35</v>
      </c>
      <c r="P70" s="6" t="s">
        <v>35</v>
      </c>
      <c r="Q70" s="17" t="s">
        <v>36</v>
      </c>
      <c r="R70" s="17" t="s">
        <v>584</v>
      </c>
      <c r="S70" s="173" t="s">
        <v>38</v>
      </c>
      <c r="T70" s="11" t="s">
        <v>147</v>
      </c>
      <c r="U70" s="22" t="s">
        <v>493</v>
      </c>
      <c r="V70" s="22" t="s">
        <v>493</v>
      </c>
    </row>
    <row r="71" spans="1:22" ht="86.25">
      <c r="A71" s="10" t="s">
        <v>275</v>
      </c>
      <c r="B71" s="10" t="s">
        <v>27</v>
      </c>
      <c r="C71" s="11" t="s">
        <v>28</v>
      </c>
      <c r="D71" s="12"/>
      <c r="E71" s="13" t="s">
        <v>62</v>
      </c>
      <c r="F71" s="6" t="s">
        <v>585</v>
      </c>
      <c r="G71" s="6" t="str">
        <f ca="1">IFERROR(__xludf.DUMMYFUNCTION("CONCATENATE(B71,(VLOOKUP(C71,CATALOGOS!$F$2:$H$6,3,FALSE)),(VLOOKUP(T71,CATALOGOS!$J$2:$K$18,2,FALSE)),""-"",TO_TEXT(A71))"),"P05RM-0070")</f>
        <v>P05RM-0070</v>
      </c>
      <c r="H71" s="6" t="s">
        <v>586</v>
      </c>
      <c r="I71" s="6" t="s">
        <v>587</v>
      </c>
      <c r="J71" s="6" t="s">
        <v>588</v>
      </c>
      <c r="K71" s="6" t="s">
        <v>589</v>
      </c>
      <c r="L71" s="17"/>
      <c r="M71" s="17"/>
      <c r="N71" s="17" t="str">
        <f t="shared" si="1"/>
        <v>OK</v>
      </c>
      <c r="O71" s="17" t="s">
        <v>35</v>
      </c>
      <c r="P71" s="6" t="s">
        <v>35</v>
      </c>
      <c r="Q71" s="17" t="s">
        <v>36</v>
      </c>
      <c r="R71" s="17" t="s">
        <v>590</v>
      </c>
      <c r="S71" s="173" t="s">
        <v>38</v>
      </c>
      <c r="T71" s="11" t="s">
        <v>147</v>
      </c>
      <c r="U71" s="22" t="s">
        <v>493</v>
      </c>
      <c r="V71" s="22" t="s">
        <v>493</v>
      </c>
    </row>
    <row r="72" spans="1:22" ht="86.25">
      <c r="A72" s="10" t="s">
        <v>591</v>
      </c>
      <c r="B72" s="10" t="s">
        <v>27</v>
      </c>
      <c r="C72" s="11" t="s">
        <v>28</v>
      </c>
      <c r="D72" s="12"/>
      <c r="E72" s="13" t="s">
        <v>93</v>
      </c>
      <c r="F72" s="6" t="s">
        <v>592</v>
      </c>
      <c r="G72" s="6" t="str">
        <f ca="1">IFERROR(__xludf.DUMMYFUNCTION("CONCATENATE(B72,(VLOOKUP(C72,CATALOGOS!$F$2:$H$6,3,FALSE)),(VLOOKUP(T72,CATALOGOS!$J$2:$K$18,2,FALSE)),""-"",TO_TEXT(A72))"),"P05RM-0071")</f>
        <v>P05RM-0071</v>
      </c>
      <c r="H72" s="6" t="s">
        <v>593</v>
      </c>
      <c r="I72" s="6" t="s">
        <v>594</v>
      </c>
      <c r="J72" s="6" t="s">
        <v>595</v>
      </c>
      <c r="K72" s="6" t="s">
        <v>596</v>
      </c>
      <c r="L72" s="17"/>
      <c r="M72" s="17"/>
      <c r="N72" s="17" t="str">
        <f t="shared" si="1"/>
        <v>OK</v>
      </c>
      <c r="O72" s="17" t="s">
        <v>35</v>
      </c>
      <c r="P72" s="49" t="s">
        <v>35</v>
      </c>
      <c r="Q72" s="17" t="s">
        <v>36</v>
      </c>
      <c r="R72" s="17" t="s">
        <v>597</v>
      </c>
      <c r="S72" s="173" t="s">
        <v>38</v>
      </c>
      <c r="T72" s="11" t="s">
        <v>147</v>
      </c>
      <c r="U72" s="22" t="s">
        <v>493</v>
      </c>
      <c r="V72" s="22" t="s">
        <v>493</v>
      </c>
    </row>
    <row r="73" spans="1:22" ht="86.25">
      <c r="A73" s="10" t="s">
        <v>598</v>
      </c>
      <c r="B73" s="10" t="s">
        <v>27</v>
      </c>
      <c r="C73" s="11" t="s">
        <v>28</v>
      </c>
      <c r="D73" s="12"/>
      <c r="E73" s="13" t="s">
        <v>116</v>
      </c>
      <c r="F73" s="6" t="s">
        <v>599</v>
      </c>
      <c r="G73" s="6" t="str">
        <f ca="1">IFERROR(__xludf.DUMMYFUNCTION("CONCATENATE(B73,(VLOOKUP(C73,CATALOGOS!$F$2:$H$6,3,FALSE)),(VLOOKUP(T73,CATALOGOS!$J$2:$K$18,2,FALSE)),""-"",TO_TEXT(A73))"),"P05RM-0072")</f>
        <v>P05RM-0072</v>
      </c>
      <c r="H73" s="6" t="s">
        <v>600</v>
      </c>
      <c r="I73" s="6" t="s">
        <v>601</v>
      </c>
      <c r="J73" s="6" t="s">
        <v>602</v>
      </c>
      <c r="K73" s="6" t="s">
        <v>603</v>
      </c>
      <c r="L73" s="17"/>
      <c r="M73" s="17"/>
      <c r="N73" s="17" t="str">
        <f t="shared" si="1"/>
        <v>OK</v>
      </c>
      <c r="O73" s="17" t="s">
        <v>35</v>
      </c>
      <c r="P73" s="6" t="s">
        <v>35</v>
      </c>
      <c r="Q73" s="17" t="s">
        <v>36</v>
      </c>
      <c r="R73" s="17" t="s">
        <v>604</v>
      </c>
      <c r="S73" s="173" t="s">
        <v>38</v>
      </c>
      <c r="T73" s="11" t="s">
        <v>147</v>
      </c>
      <c r="U73" s="22" t="s">
        <v>493</v>
      </c>
      <c r="V73" s="22" t="s">
        <v>493</v>
      </c>
    </row>
    <row r="74" spans="1:22" ht="43.5">
      <c r="A74" s="10" t="s">
        <v>605</v>
      </c>
      <c r="B74" s="10" t="s">
        <v>27</v>
      </c>
      <c r="C74" s="11" t="s">
        <v>28</v>
      </c>
      <c r="D74" s="12"/>
      <c r="E74" s="13" t="s">
        <v>378</v>
      </c>
      <c r="F74" s="6" t="s">
        <v>606</v>
      </c>
      <c r="G74" s="6" t="str">
        <f ca="1">IFERROR(__xludf.DUMMYFUNCTION("CONCATENATE(B74,(VLOOKUP(C74,CATALOGOS!$F$2:$H$6,3,FALSE)),(VLOOKUP(T74,CATALOGOS!$J$2:$K$18,2,FALSE)),""-"",TO_TEXT(A74))"),"P05RM-0073")</f>
        <v>P05RM-0073</v>
      </c>
      <c r="H74" s="6" t="s">
        <v>607</v>
      </c>
      <c r="I74" s="6" t="s">
        <v>608</v>
      </c>
      <c r="J74" s="6" t="s">
        <v>609</v>
      </c>
      <c r="K74" s="6" t="s">
        <v>610</v>
      </c>
      <c r="L74" s="17"/>
      <c r="M74" s="17"/>
      <c r="N74" s="17" t="str">
        <f t="shared" si="1"/>
        <v>OK</v>
      </c>
      <c r="O74" s="17" t="s">
        <v>35</v>
      </c>
      <c r="P74" s="6" t="s">
        <v>35</v>
      </c>
      <c r="Q74" s="17" t="s">
        <v>36</v>
      </c>
      <c r="R74" s="17" t="s">
        <v>611</v>
      </c>
      <c r="S74" s="173" t="s">
        <v>38</v>
      </c>
      <c r="T74" s="11" t="s">
        <v>147</v>
      </c>
      <c r="U74" s="22" t="s">
        <v>493</v>
      </c>
      <c r="V74" s="22" t="s">
        <v>493</v>
      </c>
    </row>
    <row r="75" spans="1:22" ht="43.5">
      <c r="A75" s="10" t="s">
        <v>612</v>
      </c>
      <c r="B75" s="10" t="s">
        <v>27</v>
      </c>
      <c r="C75" s="11" t="s">
        <v>28</v>
      </c>
      <c r="D75" s="12"/>
      <c r="E75" s="13" t="s">
        <v>378</v>
      </c>
      <c r="F75" s="6" t="s">
        <v>606</v>
      </c>
      <c r="G75" s="6" t="str">
        <f ca="1">IFERROR(__xludf.DUMMYFUNCTION("CONCATENATE(B75,(VLOOKUP(C75,CATALOGOS!$F$2:$H$6,3,FALSE)),(VLOOKUP(T75,CATALOGOS!$J$2:$K$18,2,FALSE)),""-"",TO_TEXT(A75))"),"P05RM-0074")</f>
        <v>P05RM-0074</v>
      </c>
      <c r="H75" s="6" t="s">
        <v>613</v>
      </c>
      <c r="I75" s="6" t="s">
        <v>614</v>
      </c>
      <c r="J75" s="6" t="s">
        <v>615</v>
      </c>
      <c r="K75" s="6" t="s">
        <v>616</v>
      </c>
      <c r="L75" s="17"/>
      <c r="M75" s="17"/>
      <c r="N75" s="17" t="str">
        <f t="shared" si="1"/>
        <v>OK</v>
      </c>
      <c r="O75" s="17" t="s">
        <v>35</v>
      </c>
      <c r="P75" s="6" t="s">
        <v>35</v>
      </c>
      <c r="Q75" s="17" t="s">
        <v>36</v>
      </c>
      <c r="R75" s="17" t="s">
        <v>617</v>
      </c>
      <c r="S75" s="173" t="s">
        <v>38</v>
      </c>
      <c r="T75" s="11" t="s">
        <v>147</v>
      </c>
      <c r="U75" s="22" t="s">
        <v>493</v>
      </c>
      <c r="V75" s="22" t="s">
        <v>493</v>
      </c>
    </row>
    <row r="76" spans="1:22" ht="29.25">
      <c r="A76" s="10" t="s">
        <v>618</v>
      </c>
      <c r="B76" s="10" t="s">
        <v>27</v>
      </c>
      <c r="C76" s="11" t="s">
        <v>28</v>
      </c>
      <c r="D76" s="12"/>
      <c r="E76" s="13" t="s">
        <v>151</v>
      </c>
      <c r="F76" s="6" t="s">
        <v>152</v>
      </c>
      <c r="G76" s="6" t="str">
        <f ca="1">IFERROR(__xludf.DUMMYFUNCTION("CONCATENATE(B76,(VLOOKUP(C76,CATALOGOS!$F$2:$H$6,3,FALSE)),(VLOOKUP(T76,CATALOGOS!$J$2:$K$18,2,FALSE)),""-"",TO_TEXT(A76))"),"P05RM-0075")</f>
        <v>P05RM-0075</v>
      </c>
      <c r="H76" s="6" t="s">
        <v>619</v>
      </c>
      <c r="I76" s="6" t="s">
        <v>620</v>
      </c>
      <c r="J76" s="6" t="s">
        <v>621</v>
      </c>
      <c r="K76" s="6" t="s">
        <v>141</v>
      </c>
      <c r="L76" s="17"/>
      <c r="M76" s="17"/>
      <c r="N76" s="17" t="str">
        <f t="shared" si="1"/>
        <v>REPETIDO</v>
      </c>
      <c r="O76" s="17" t="s">
        <v>157</v>
      </c>
      <c r="P76" s="6" t="s">
        <v>158</v>
      </c>
      <c r="Q76" s="17" t="s">
        <v>36</v>
      </c>
      <c r="R76" s="10" t="s">
        <v>622</v>
      </c>
      <c r="S76" s="173" t="s">
        <v>38</v>
      </c>
      <c r="T76" s="11" t="s">
        <v>147</v>
      </c>
      <c r="U76" s="22" t="s">
        <v>493</v>
      </c>
      <c r="V76" s="22" t="s">
        <v>493</v>
      </c>
    </row>
    <row r="77" spans="1:22" ht="57.75">
      <c r="A77" s="10" t="s">
        <v>623</v>
      </c>
      <c r="B77" s="10" t="s">
        <v>27</v>
      </c>
      <c r="C77" s="11" t="s">
        <v>28</v>
      </c>
      <c r="D77" s="12"/>
      <c r="E77" s="13" t="s">
        <v>199</v>
      </c>
      <c r="F77" s="6" t="s">
        <v>199</v>
      </c>
      <c r="G77" s="6" t="str">
        <f ca="1">IFERROR(__xludf.DUMMYFUNCTION("CONCATENATE(B77,(VLOOKUP(C77,CATALOGOS!$F$2:$H$6,3,FALSE)),(VLOOKUP(T77,CATALOGOS!$J$2:$K$18,2,FALSE)),""-"",TO_TEXT(A77))"),"P05RM-0076")</f>
        <v>P05RM-0076</v>
      </c>
      <c r="H77" s="6" t="s">
        <v>624</v>
      </c>
      <c r="I77" s="6" t="s">
        <v>625</v>
      </c>
      <c r="J77" s="6" t="s">
        <v>626</v>
      </c>
      <c r="K77" s="6" t="s">
        <v>627</v>
      </c>
      <c r="L77" s="17"/>
      <c r="M77" s="17"/>
      <c r="N77" s="17" t="str">
        <f t="shared" si="1"/>
        <v>OK</v>
      </c>
      <c r="O77" s="17" t="s">
        <v>157</v>
      </c>
      <c r="P77" s="6">
        <v>2378</v>
      </c>
      <c r="Q77" s="17" t="s">
        <v>628</v>
      </c>
      <c r="R77" s="17" t="s">
        <v>629</v>
      </c>
      <c r="S77" s="173" t="s">
        <v>38</v>
      </c>
      <c r="T77" s="11" t="s">
        <v>147</v>
      </c>
      <c r="U77" s="22" t="s">
        <v>493</v>
      </c>
      <c r="V77" s="22" t="s">
        <v>493</v>
      </c>
    </row>
    <row r="78" spans="1:22" ht="29.25">
      <c r="A78" s="10" t="s">
        <v>630</v>
      </c>
      <c r="B78" s="10" t="s">
        <v>27</v>
      </c>
      <c r="C78" s="11" t="s">
        <v>28</v>
      </c>
      <c r="D78" s="12"/>
      <c r="E78" s="13" t="s">
        <v>151</v>
      </c>
      <c r="F78" s="6" t="s">
        <v>152</v>
      </c>
      <c r="G78" s="6" t="str">
        <f ca="1">IFERROR(__xludf.DUMMYFUNCTION("CONCATENATE(B78,(VLOOKUP(C78,CATALOGOS!$F$2:$H$6,3,FALSE)),(VLOOKUP(T78,CATALOGOS!$J$2:$K$18,2,FALSE)),""-"",TO_TEXT(A78))"),"P05RM-0077")</f>
        <v>P05RM-0077</v>
      </c>
      <c r="H78" s="6" t="s">
        <v>631</v>
      </c>
      <c r="I78" s="6" t="s">
        <v>632</v>
      </c>
      <c r="J78" s="6" t="s">
        <v>633</v>
      </c>
      <c r="K78" s="6" t="s">
        <v>634</v>
      </c>
      <c r="L78" s="17"/>
      <c r="M78" s="17"/>
      <c r="N78" s="17" t="str">
        <f t="shared" si="1"/>
        <v>OK</v>
      </c>
      <c r="O78" s="17" t="s">
        <v>157</v>
      </c>
      <c r="P78" s="6" t="s">
        <v>158</v>
      </c>
      <c r="Q78" s="17" t="s">
        <v>635</v>
      </c>
      <c r="R78" s="10" t="s">
        <v>636</v>
      </c>
      <c r="S78" s="173" t="s">
        <v>38</v>
      </c>
      <c r="T78" s="11" t="s">
        <v>147</v>
      </c>
      <c r="U78" s="22" t="s">
        <v>493</v>
      </c>
      <c r="V78" s="22" t="s">
        <v>493</v>
      </c>
    </row>
    <row r="79" spans="1:22" ht="43.5">
      <c r="A79" s="10" t="s">
        <v>637</v>
      </c>
      <c r="B79" s="10" t="s">
        <v>27</v>
      </c>
      <c r="C79" s="11" t="s">
        <v>28</v>
      </c>
      <c r="D79" s="12"/>
      <c r="E79" s="13" t="s">
        <v>353</v>
      </c>
      <c r="F79" s="43" t="s">
        <v>638</v>
      </c>
      <c r="G79" s="6" t="str">
        <f ca="1">IFERROR(__xludf.DUMMYFUNCTION("CONCATENATE(B79,(VLOOKUP(C79,CATALOGOS!$F$2:$H$6,3,FALSE)),(VLOOKUP(T79,CATALOGOS!$J$2:$K$18,2,FALSE)),""-"",TO_TEXT(A79))"),"P05RM-0078")</f>
        <v>P05RM-0078</v>
      </c>
      <c r="H79" s="6" t="s">
        <v>639</v>
      </c>
      <c r="I79" s="6" t="s">
        <v>640</v>
      </c>
      <c r="J79" s="6" t="s">
        <v>641</v>
      </c>
      <c r="K79" s="6" t="s">
        <v>642</v>
      </c>
      <c r="L79" s="17"/>
      <c r="M79" s="17"/>
      <c r="N79" s="17" t="str">
        <f t="shared" si="1"/>
        <v>OK</v>
      </c>
      <c r="O79" s="17" t="s">
        <v>359</v>
      </c>
      <c r="P79" s="6" t="s">
        <v>360</v>
      </c>
      <c r="Q79" s="17" t="s">
        <v>643</v>
      </c>
      <c r="R79" s="17" t="s">
        <v>644</v>
      </c>
      <c r="S79" s="173" t="s">
        <v>38</v>
      </c>
      <c r="T79" s="11" t="s">
        <v>147</v>
      </c>
      <c r="U79" s="22" t="s">
        <v>493</v>
      </c>
      <c r="V79" s="22" t="s">
        <v>493</v>
      </c>
    </row>
    <row r="80" spans="1:22" ht="57.75">
      <c r="A80" s="10" t="s">
        <v>645</v>
      </c>
      <c r="B80" s="10" t="s">
        <v>27</v>
      </c>
      <c r="C80" s="11" t="s">
        <v>28</v>
      </c>
      <c r="D80" s="12"/>
      <c r="E80" s="13" t="s">
        <v>93</v>
      </c>
      <c r="F80" s="6" t="s">
        <v>646</v>
      </c>
      <c r="G80" s="6" t="str">
        <f ca="1">IFERROR(__xludf.DUMMYFUNCTION("CONCATENATE(B80,(VLOOKUP(C80,CATALOGOS!$F$2:$H$6,3,FALSE)),(VLOOKUP(T80,CATALOGOS!$J$2:$K$18,2,FALSE)),""-"",TO_TEXT(A80))"),"P05RM-0079")</f>
        <v>P05RM-0079</v>
      </c>
      <c r="H80" s="6" t="s">
        <v>647</v>
      </c>
      <c r="I80" s="6" t="s">
        <v>648</v>
      </c>
      <c r="J80" s="6" t="s">
        <v>649</v>
      </c>
      <c r="K80" s="6" t="s">
        <v>650</v>
      </c>
      <c r="L80" s="17"/>
      <c r="M80" s="17"/>
      <c r="N80" s="17" t="str">
        <f t="shared" si="1"/>
        <v>OK</v>
      </c>
      <c r="O80" s="17" t="s">
        <v>35</v>
      </c>
      <c r="P80" s="6" t="s">
        <v>35</v>
      </c>
      <c r="Q80" s="17" t="s">
        <v>36</v>
      </c>
      <c r="R80" s="17" t="s">
        <v>651</v>
      </c>
      <c r="S80" s="173" t="s">
        <v>38</v>
      </c>
      <c r="T80" s="11" t="s">
        <v>147</v>
      </c>
      <c r="U80" s="22" t="s">
        <v>493</v>
      </c>
      <c r="V80" s="22" t="s">
        <v>493</v>
      </c>
    </row>
    <row r="81" spans="1:22" ht="57.75">
      <c r="A81" s="10" t="s">
        <v>652</v>
      </c>
      <c r="B81" s="10" t="s">
        <v>27</v>
      </c>
      <c r="C81" s="11" t="s">
        <v>28</v>
      </c>
      <c r="D81" s="12"/>
      <c r="E81" s="13" t="s">
        <v>184</v>
      </c>
      <c r="F81" s="6" t="s">
        <v>653</v>
      </c>
      <c r="G81" s="6" t="str">
        <f ca="1">IFERROR(__xludf.DUMMYFUNCTION("CONCATENATE(B81,(VLOOKUP(C81,CATALOGOS!$F$2:$H$6,3,FALSE)),(VLOOKUP(T81,CATALOGOS!$J$2:$K$18,2,FALSE)),""-"",TO_TEXT(A81))"),"P05RM-0080")</f>
        <v>P05RM-0080</v>
      </c>
      <c r="H81" s="6" t="s">
        <v>654</v>
      </c>
      <c r="I81" s="6" t="s">
        <v>655</v>
      </c>
      <c r="J81" s="6" t="s">
        <v>656</v>
      </c>
      <c r="K81" s="6" t="s">
        <v>657</v>
      </c>
      <c r="L81" s="17"/>
      <c r="M81" s="17"/>
      <c r="N81" s="17" t="str">
        <f t="shared" si="1"/>
        <v>OK</v>
      </c>
      <c r="O81" s="17" t="s">
        <v>35</v>
      </c>
      <c r="P81" s="6" t="s">
        <v>35</v>
      </c>
      <c r="Q81" s="17" t="s">
        <v>36</v>
      </c>
      <c r="R81" s="17" t="s">
        <v>658</v>
      </c>
      <c r="S81" s="173" t="s">
        <v>38</v>
      </c>
      <c r="T81" s="11" t="s">
        <v>147</v>
      </c>
      <c r="U81" s="22" t="s">
        <v>493</v>
      </c>
      <c r="V81" s="22" t="s">
        <v>493</v>
      </c>
    </row>
    <row r="82" spans="1:22" ht="29.25">
      <c r="A82" s="10" t="s">
        <v>659</v>
      </c>
      <c r="B82" s="10" t="s">
        <v>27</v>
      </c>
      <c r="C82" s="11" t="s">
        <v>28</v>
      </c>
      <c r="D82" s="12"/>
      <c r="E82" s="13" t="s">
        <v>162</v>
      </c>
      <c r="F82" s="6" t="s">
        <v>162</v>
      </c>
      <c r="G82" s="6" t="str">
        <f ca="1">IFERROR(__xludf.DUMMYFUNCTION("CONCATENATE(B82,(VLOOKUP(C82,CATALOGOS!$F$2:$H$6,3,FALSE)),(VLOOKUP(T82,CATALOGOS!$J$2:$K$18,2,FALSE)),""-"",TO_TEXT(A82))"),"P05RM-0081")</f>
        <v>P05RM-0081</v>
      </c>
      <c r="H82" s="6" t="s">
        <v>660</v>
      </c>
      <c r="I82" s="6" t="s">
        <v>661</v>
      </c>
      <c r="J82" s="6" t="s">
        <v>662</v>
      </c>
      <c r="K82" s="6" t="s">
        <v>141</v>
      </c>
      <c r="L82" s="17"/>
      <c r="M82" s="17"/>
      <c r="N82" s="17" t="str">
        <f t="shared" si="1"/>
        <v>REPETIDO</v>
      </c>
      <c r="O82" s="17" t="s">
        <v>663</v>
      </c>
      <c r="P82" s="6" t="s">
        <v>664</v>
      </c>
      <c r="Q82" s="17" t="s">
        <v>665</v>
      </c>
      <c r="R82" s="17" t="s">
        <v>85</v>
      </c>
      <c r="S82" s="173" t="s">
        <v>38</v>
      </c>
      <c r="T82" s="11" t="s">
        <v>147</v>
      </c>
      <c r="U82" s="22" t="s">
        <v>493</v>
      </c>
      <c r="V82" s="22" t="s">
        <v>493</v>
      </c>
    </row>
    <row r="83" spans="1:22" ht="57.75">
      <c r="A83" s="10" t="s">
        <v>666</v>
      </c>
      <c r="B83" s="10" t="s">
        <v>27</v>
      </c>
      <c r="C83" s="11" t="s">
        <v>28</v>
      </c>
      <c r="D83" s="38"/>
      <c r="E83" s="13" t="s">
        <v>43</v>
      </c>
      <c r="F83" s="6" t="s">
        <v>667</v>
      </c>
      <c r="G83" s="6" t="str">
        <f ca="1">IFERROR(__xludf.DUMMYFUNCTION("CONCATENATE(B83,(VLOOKUP(C83,CATALOGOS!$F$2:$H$6,3,FALSE)),(VLOOKUP(T83,CATALOGOS!$J$2:$K$18,2,FALSE)),""-"",TO_TEXT(A83))"),"P05RM-0082")</f>
        <v>P05RM-0082</v>
      </c>
      <c r="H83" s="6" t="s">
        <v>668</v>
      </c>
      <c r="I83" s="6" t="s">
        <v>669</v>
      </c>
      <c r="J83" s="6" t="s">
        <v>670</v>
      </c>
      <c r="K83" s="6" t="s">
        <v>671</v>
      </c>
      <c r="L83" s="17"/>
      <c r="M83" s="17"/>
      <c r="N83" s="17" t="str">
        <f t="shared" si="1"/>
        <v>OK</v>
      </c>
      <c r="O83" s="17" t="s">
        <v>672</v>
      </c>
      <c r="P83" s="6" t="s">
        <v>673</v>
      </c>
      <c r="Q83" s="46" t="s">
        <v>674</v>
      </c>
      <c r="R83" s="17" t="s">
        <v>675</v>
      </c>
      <c r="S83" s="173" t="s">
        <v>38</v>
      </c>
      <c r="T83" s="11" t="s">
        <v>147</v>
      </c>
      <c r="U83" s="22" t="s">
        <v>493</v>
      </c>
      <c r="V83" s="22" t="s">
        <v>493</v>
      </c>
    </row>
    <row r="84" spans="1:22" ht="72">
      <c r="A84" s="10" t="s">
        <v>676</v>
      </c>
      <c r="B84" s="10" t="s">
        <v>27</v>
      </c>
      <c r="C84" s="11" t="s">
        <v>28</v>
      </c>
      <c r="D84" s="12"/>
      <c r="E84" s="13" t="s">
        <v>199</v>
      </c>
      <c r="F84" s="6" t="s">
        <v>677</v>
      </c>
      <c r="G84" s="6" t="str">
        <f ca="1">IFERROR(__xludf.DUMMYFUNCTION("CONCATENATE(B84,(VLOOKUP(C84,CATALOGOS!$F$2:$H$6,3,FALSE)),(VLOOKUP(T84,CATALOGOS!$J$2:$K$18,2,FALSE)),""-"",TO_TEXT(A84))"),"P05RH-0083")</f>
        <v>P05RH-0083</v>
      </c>
      <c r="H84" s="6" t="s">
        <v>678</v>
      </c>
      <c r="I84" s="6" t="s">
        <v>679</v>
      </c>
      <c r="J84" s="6" t="s">
        <v>680</v>
      </c>
      <c r="K84" s="6" t="s">
        <v>681</v>
      </c>
      <c r="L84" s="17"/>
      <c r="M84" s="17"/>
      <c r="N84" s="17" t="str">
        <f t="shared" si="1"/>
        <v>OK</v>
      </c>
      <c r="O84" s="17" t="s">
        <v>682</v>
      </c>
      <c r="P84" s="6" t="s">
        <v>683</v>
      </c>
      <c r="Q84" s="6" t="s">
        <v>684</v>
      </c>
      <c r="R84" s="10" t="s">
        <v>685</v>
      </c>
      <c r="S84" s="173" t="s">
        <v>38</v>
      </c>
      <c r="T84" s="11" t="s">
        <v>723</v>
      </c>
      <c r="U84" s="20" t="s">
        <v>687</v>
      </c>
      <c r="V84" s="20" t="s">
        <v>687</v>
      </c>
    </row>
    <row r="85" spans="1:22" ht="43.5">
      <c r="A85" s="10" t="s">
        <v>688</v>
      </c>
      <c r="B85" s="10" t="s">
        <v>27</v>
      </c>
      <c r="C85" s="11" t="s">
        <v>28</v>
      </c>
      <c r="D85" s="12"/>
      <c r="E85" s="13" t="s">
        <v>136</v>
      </c>
      <c r="F85" s="6" t="s">
        <v>689</v>
      </c>
      <c r="G85" s="6" t="str">
        <f ca="1">IFERROR(__xludf.DUMMYFUNCTION("CONCATENATE(B85,(VLOOKUP(C85,CATALOGOS!$F$2:$H$6,3,FALSE)),(VLOOKUP(T85,CATALOGOS!$J$2:$K$18,2,FALSE)),""-"",TO_TEXT(A85))"),"P05RM-0084")</f>
        <v>P05RM-0084</v>
      </c>
      <c r="H85" s="6" t="s">
        <v>690</v>
      </c>
      <c r="I85" s="6" t="s">
        <v>691</v>
      </c>
      <c r="J85" s="6" t="s">
        <v>692</v>
      </c>
      <c r="K85" s="6" t="s">
        <v>693</v>
      </c>
      <c r="L85" s="17"/>
      <c r="M85" s="17"/>
      <c r="N85" s="17" t="str">
        <f t="shared" si="1"/>
        <v>OK</v>
      </c>
      <c r="O85" s="17" t="s">
        <v>205</v>
      </c>
      <c r="P85" s="6" t="s">
        <v>694</v>
      </c>
      <c r="Q85" s="17" t="s">
        <v>695</v>
      </c>
      <c r="R85" s="17" t="s">
        <v>696</v>
      </c>
      <c r="S85" s="173" t="s">
        <v>8433</v>
      </c>
      <c r="T85" s="11" t="s">
        <v>147</v>
      </c>
      <c r="U85" s="22" t="s">
        <v>484</v>
      </c>
      <c r="V85" s="22" t="s">
        <v>484</v>
      </c>
    </row>
    <row r="86" spans="1:22" ht="29.25">
      <c r="A86" s="10" t="s">
        <v>697</v>
      </c>
      <c r="B86" s="10" t="s">
        <v>27</v>
      </c>
      <c r="C86" s="11" t="s">
        <v>28</v>
      </c>
      <c r="D86" s="12"/>
      <c r="E86" s="13" t="s">
        <v>151</v>
      </c>
      <c r="F86" s="6" t="s">
        <v>698</v>
      </c>
      <c r="G86" s="6" t="str">
        <f ca="1">IFERROR(__xludf.DUMMYFUNCTION("CONCATENATE(B86,(VLOOKUP(C86,CATALOGOS!$F$2:$H$6,3,FALSE)),(VLOOKUP(T86,CATALOGOS!$J$2:$K$18,2,FALSE)),""-"",TO_TEXT(A86))"),"P05RM-0085")</f>
        <v>P05RM-0085</v>
      </c>
      <c r="H86" s="6" t="s">
        <v>699</v>
      </c>
      <c r="I86" s="6" t="s">
        <v>700</v>
      </c>
      <c r="J86" s="6" t="s">
        <v>701</v>
      </c>
      <c r="K86" s="43" t="s">
        <v>702</v>
      </c>
      <c r="L86" s="17"/>
      <c r="M86" s="17"/>
      <c r="N86" s="17" t="str">
        <f t="shared" si="1"/>
        <v>OK</v>
      </c>
      <c r="O86" s="17" t="s">
        <v>703</v>
      </c>
      <c r="P86" s="6" t="s">
        <v>704</v>
      </c>
      <c r="Q86" s="32" t="s">
        <v>705</v>
      </c>
      <c r="R86" s="32" t="s">
        <v>8373</v>
      </c>
      <c r="S86" s="173" t="s">
        <v>38</v>
      </c>
      <c r="T86" s="11" t="s">
        <v>147</v>
      </c>
      <c r="U86" s="22" t="s">
        <v>484</v>
      </c>
      <c r="V86" s="22" t="s">
        <v>484</v>
      </c>
    </row>
    <row r="87" spans="1:22" ht="29.25">
      <c r="A87" s="10" t="s">
        <v>706</v>
      </c>
      <c r="B87" s="10" t="s">
        <v>27</v>
      </c>
      <c r="C87" s="11" t="s">
        <v>28</v>
      </c>
      <c r="D87" s="12"/>
      <c r="E87" s="13" t="s">
        <v>151</v>
      </c>
      <c r="F87" s="6" t="s">
        <v>698</v>
      </c>
      <c r="G87" s="6" t="str">
        <f ca="1">IFERROR(__xludf.DUMMYFUNCTION("CONCATENATE(B87,(VLOOKUP(C87,CATALOGOS!$F$2:$H$6,3,FALSE)),(VLOOKUP(T87,CATALOGOS!$J$2:$K$18,2,FALSE)),""-"",TO_TEXT(A87))"),"P05RM-0086")</f>
        <v>P05RM-0086</v>
      </c>
      <c r="H87" s="6" t="s">
        <v>707</v>
      </c>
      <c r="I87" s="6" t="s">
        <v>708</v>
      </c>
      <c r="J87" s="6" t="s">
        <v>709</v>
      </c>
      <c r="K87" s="6" t="s">
        <v>710</v>
      </c>
      <c r="L87" s="17"/>
      <c r="M87" s="17"/>
      <c r="N87" s="17" t="str">
        <f t="shared" si="1"/>
        <v>OK</v>
      </c>
      <c r="O87" s="17" t="s">
        <v>703</v>
      </c>
      <c r="P87" s="6" t="s">
        <v>704</v>
      </c>
      <c r="Q87" s="32" t="s">
        <v>711</v>
      </c>
      <c r="R87" s="32" t="s">
        <v>712</v>
      </c>
      <c r="S87" s="173" t="s">
        <v>38</v>
      </c>
      <c r="T87" s="11" t="s">
        <v>147</v>
      </c>
      <c r="U87" s="22" t="s">
        <v>484</v>
      </c>
      <c r="V87" s="22" t="s">
        <v>484</v>
      </c>
    </row>
    <row r="88" spans="1:22" ht="29.25">
      <c r="A88" s="10" t="s">
        <v>713</v>
      </c>
      <c r="B88" s="10" t="s">
        <v>27</v>
      </c>
      <c r="C88" s="11" t="s">
        <v>28</v>
      </c>
      <c r="D88" s="12"/>
      <c r="E88" s="13" t="s">
        <v>151</v>
      </c>
      <c r="F88" s="6" t="s">
        <v>714</v>
      </c>
      <c r="G88" s="6" t="str">
        <f ca="1">IFERROR(__xludf.DUMMYFUNCTION("CONCATENATE(B88,(VLOOKUP(C88,CATALOGOS!$F$2:$H$6,3,FALSE)),(VLOOKUP(T88,CATALOGOS!$J$2:$K$18,2,FALSE)),""-"",TO_TEXT(A88))"),"P05RH-0087")</f>
        <v>P05RH-0087</v>
      </c>
      <c r="H88" s="6" t="s">
        <v>715</v>
      </c>
      <c r="I88" s="6" t="s">
        <v>716</v>
      </c>
      <c r="J88" s="6" t="s">
        <v>717</v>
      </c>
      <c r="K88" s="6" t="s">
        <v>718</v>
      </c>
      <c r="L88" s="17"/>
      <c r="M88" s="17"/>
      <c r="N88" s="17" t="str">
        <f t="shared" si="1"/>
        <v>OK</v>
      </c>
      <c r="O88" s="17" t="s">
        <v>719</v>
      </c>
      <c r="P88" s="6" t="s">
        <v>720</v>
      </c>
      <c r="Q88" s="17" t="s">
        <v>721</v>
      </c>
      <c r="R88" s="17" t="s">
        <v>722</v>
      </c>
      <c r="S88" s="173" t="s">
        <v>38</v>
      </c>
      <c r="T88" s="11" t="s">
        <v>723</v>
      </c>
      <c r="U88" s="20" t="s">
        <v>724</v>
      </c>
      <c r="V88" s="20" t="s">
        <v>724</v>
      </c>
    </row>
    <row r="89" spans="1:22" ht="72">
      <c r="A89" s="10" t="s">
        <v>725</v>
      </c>
      <c r="B89" s="10" t="s">
        <v>27</v>
      </c>
      <c r="C89" s="11" t="s">
        <v>28</v>
      </c>
      <c r="D89" s="12"/>
      <c r="E89" s="13" t="s">
        <v>501</v>
      </c>
      <c r="F89" s="6" t="s">
        <v>726</v>
      </c>
      <c r="G89" s="6" t="str">
        <f ca="1">IFERROR(__xludf.DUMMYFUNCTION("CONCATENATE(B89,(VLOOKUP(C89,CATALOGOS!$F$2:$H$6,3,FALSE)),(VLOOKUP(T89,CATALOGOS!$J$2:$K$18,2,FALSE)),""-"",TO_TEXT(A89))"),"P05RM-0088")</f>
        <v>P05RM-0088</v>
      </c>
      <c r="H89" s="6" t="s">
        <v>727</v>
      </c>
      <c r="I89" s="6" t="s">
        <v>728</v>
      </c>
      <c r="J89" s="6" t="s">
        <v>729</v>
      </c>
      <c r="K89" s="6" t="s">
        <v>730</v>
      </c>
      <c r="L89" s="17"/>
      <c r="M89" s="17"/>
      <c r="N89" s="17" t="str">
        <f t="shared" si="1"/>
        <v>OK</v>
      </c>
      <c r="O89" s="17" t="s">
        <v>35</v>
      </c>
      <c r="P89" s="6" t="s">
        <v>35</v>
      </c>
      <c r="Q89" s="17" t="s">
        <v>36</v>
      </c>
      <c r="R89" s="17" t="s">
        <v>731</v>
      </c>
      <c r="S89" s="173" t="s">
        <v>38</v>
      </c>
      <c r="T89" s="11" t="s">
        <v>147</v>
      </c>
      <c r="U89" s="22" t="s">
        <v>484</v>
      </c>
      <c r="V89" s="22" t="s">
        <v>484</v>
      </c>
    </row>
    <row r="90" spans="1:22" ht="86.25">
      <c r="A90" s="10" t="s">
        <v>732</v>
      </c>
      <c r="B90" s="10" t="s">
        <v>27</v>
      </c>
      <c r="C90" s="11" t="s">
        <v>28</v>
      </c>
      <c r="D90" s="12"/>
      <c r="E90" s="13" t="s">
        <v>210</v>
      </c>
      <c r="F90" s="6" t="s">
        <v>733</v>
      </c>
      <c r="G90" s="6" t="str">
        <f ca="1">IFERROR(__xludf.DUMMYFUNCTION("CONCATENATE(B90,(VLOOKUP(C90,CATALOGOS!$F$2:$H$6,3,FALSE)),(VLOOKUP(T90,CATALOGOS!$J$2:$K$18,2,FALSE)),""-"",TO_TEXT(A90))"),"P05RM-0089")</f>
        <v>P05RM-0089</v>
      </c>
      <c r="H90" s="6" t="s">
        <v>734</v>
      </c>
      <c r="I90" s="6" t="s">
        <v>735</v>
      </c>
      <c r="J90" s="36"/>
      <c r="K90" s="6" t="s">
        <v>736</v>
      </c>
      <c r="L90" s="17"/>
      <c r="M90" s="17"/>
      <c r="N90" s="17" t="str">
        <f t="shared" si="1"/>
        <v>OK</v>
      </c>
      <c r="O90" s="17" t="s">
        <v>216</v>
      </c>
      <c r="P90" s="6" t="s">
        <v>737</v>
      </c>
      <c r="Q90" s="6">
        <v>194708563</v>
      </c>
      <c r="R90" s="10" t="s">
        <v>85</v>
      </c>
      <c r="S90" s="173" t="s">
        <v>38</v>
      </c>
      <c r="T90" s="11" t="s">
        <v>147</v>
      </c>
      <c r="U90" s="22" t="s">
        <v>484</v>
      </c>
      <c r="V90" s="22" t="s">
        <v>484</v>
      </c>
    </row>
    <row r="91" spans="1:22" ht="43.5">
      <c r="A91" s="10" t="s">
        <v>738</v>
      </c>
      <c r="B91" s="10" t="s">
        <v>27</v>
      </c>
      <c r="C91" s="11" t="s">
        <v>28</v>
      </c>
      <c r="D91" s="12"/>
      <c r="E91" s="13" t="s">
        <v>53</v>
      </c>
      <c r="F91" s="6" t="s">
        <v>739</v>
      </c>
      <c r="G91" s="6" t="str">
        <f ca="1">IFERROR(__xludf.DUMMYFUNCTION("CONCATENATE(B91,(VLOOKUP(C91,CATALOGOS!$F$2:$H$6,3,FALSE)),(VLOOKUP(T91,CATALOGOS!$J$2:$K$18,2,FALSE)),""-"",TO_TEXT(A91))"),"P05RM-0090")</f>
        <v>P05RM-0090</v>
      </c>
      <c r="H91" s="6" t="s">
        <v>740</v>
      </c>
      <c r="I91" s="6" t="s">
        <v>741</v>
      </c>
      <c r="J91" s="36"/>
      <c r="K91" s="6" t="s">
        <v>141</v>
      </c>
      <c r="L91" s="17"/>
      <c r="M91" s="17"/>
      <c r="N91" s="17" t="str">
        <f t="shared" si="1"/>
        <v>REPETIDO</v>
      </c>
      <c r="O91" s="35" t="s">
        <v>35</v>
      </c>
      <c r="P91" s="6" t="s">
        <v>35</v>
      </c>
      <c r="Q91" s="10" t="s">
        <v>36</v>
      </c>
      <c r="R91" s="32" t="s">
        <v>85</v>
      </c>
      <c r="S91" s="173" t="s">
        <v>38</v>
      </c>
      <c r="T91" s="11" t="s">
        <v>147</v>
      </c>
      <c r="U91" s="22" t="s">
        <v>484</v>
      </c>
      <c r="V91" s="22" t="s">
        <v>484</v>
      </c>
    </row>
    <row r="92" spans="1:22" ht="86.25">
      <c r="A92" s="10" t="s">
        <v>742</v>
      </c>
      <c r="B92" s="10" t="s">
        <v>27</v>
      </c>
      <c r="C92" s="11" t="s">
        <v>28</v>
      </c>
      <c r="D92" s="12"/>
      <c r="E92" s="13" t="s">
        <v>93</v>
      </c>
      <c r="F92" s="6" t="s">
        <v>743</v>
      </c>
      <c r="G92" s="6" t="str">
        <f ca="1">IFERROR(__xludf.DUMMYFUNCTION("CONCATENATE(B92,(VLOOKUP(C92,CATALOGOS!$F$2:$H$6,3,FALSE)),(VLOOKUP(T92,CATALOGOS!$J$2:$K$18,2,FALSE)),""-"",TO_TEXT(A92))"),"P05RM-0091")</f>
        <v>P05RM-0091</v>
      </c>
      <c r="H92" s="6" t="s">
        <v>744</v>
      </c>
      <c r="I92" s="6" t="s">
        <v>745</v>
      </c>
      <c r="J92" s="6" t="s">
        <v>746</v>
      </c>
      <c r="K92" s="6" t="s">
        <v>747</v>
      </c>
      <c r="L92" s="17"/>
      <c r="M92" s="17"/>
      <c r="N92" s="17" t="str">
        <f t="shared" si="1"/>
        <v>OK</v>
      </c>
      <c r="O92" s="17" t="s">
        <v>35</v>
      </c>
      <c r="P92" s="6" t="s">
        <v>35</v>
      </c>
      <c r="Q92" s="17" t="s">
        <v>36</v>
      </c>
      <c r="R92" s="17" t="s">
        <v>748</v>
      </c>
      <c r="S92" s="173" t="s">
        <v>38</v>
      </c>
      <c r="T92" s="11" t="s">
        <v>147</v>
      </c>
      <c r="U92" s="22" t="s">
        <v>484</v>
      </c>
      <c r="V92" s="22" t="s">
        <v>484</v>
      </c>
    </row>
    <row r="93" spans="1:22" ht="86.25">
      <c r="A93" s="10" t="s">
        <v>750</v>
      </c>
      <c r="B93" s="10" t="s">
        <v>27</v>
      </c>
      <c r="C93" s="11" t="s">
        <v>28</v>
      </c>
      <c r="D93" s="12"/>
      <c r="E93" s="13" t="s">
        <v>93</v>
      </c>
      <c r="F93" s="6" t="s">
        <v>751</v>
      </c>
      <c r="G93" s="6" t="str">
        <f ca="1">IFERROR(__xludf.DUMMYFUNCTION("CONCATENATE(B93,(VLOOKUP(C93,CATALOGOS!$F$2:$H$6,3,FALSE)),(VLOOKUP(T93,CATALOGOS!$J$2:$K$18,2,FALSE)),""-"",TO_TEXT(A93))"),"P05RM-0092")</f>
        <v>P05RM-0092</v>
      </c>
      <c r="H93" s="6" t="s">
        <v>752</v>
      </c>
      <c r="I93" s="6" t="s">
        <v>753</v>
      </c>
      <c r="J93" s="6" t="s">
        <v>754</v>
      </c>
      <c r="K93" s="43" t="s">
        <v>755</v>
      </c>
      <c r="L93" s="17"/>
      <c r="M93" s="17"/>
      <c r="N93" s="17" t="str">
        <f t="shared" si="1"/>
        <v>OK</v>
      </c>
      <c r="O93" s="17" t="s">
        <v>35</v>
      </c>
      <c r="P93" s="6" t="s">
        <v>35</v>
      </c>
      <c r="Q93" s="17" t="s">
        <v>36</v>
      </c>
      <c r="R93" s="17" t="s">
        <v>756</v>
      </c>
      <c r="S93" s="173" t="s">
        <v>38</v>
      </c>
      <c r="T93" s="11" t="s">
        <v>147</v>
      </c>
      <c r="U93" s="22" t="s">
        <v>484</v>
      </c>
      <c r="V93" s="22" t="s">
        <v>484</v>
      </c>
    </row>
    <row r="94" spans="1:22" ht="86.25">
      <c r="A94" s="10" t="s">
        <v>757</v>
      </c>
      <c r="B94" s="10" t="s">
        <v>27</v>
      </c>
      <c r="C94" s="11" t="s">
        <v>28</v>
      </c>
      <c r="D94" s="12"/>
      <c r="E94" s="13" t="s">
        <v>93</v>
      </c>
      <c r="F94" s="6" t="s">
        <v>758</v>
      </c>
      <c r="G94" s="6" t="str">
        <f ca="1">IFERROR(__xludf.DUMMYFUNCTION("CONCATENATE(B94,(VLOOKUP(C94,CATALOGOS!$F$2:$H$6,3,FALSE)),(VLOOKUP(T94,CATALOGOS!$J$2:$K$18,2,FALSE)),""-"",TO_TEXT(A94))"),"P05RM-0093")</f>
        <v>P05RM-0093</v>
      </c>
      <c r="H94" s="6" t="s">
        <v>759</v>
      </c>
      <c r="I94" s="6" t="s">
        <v>760</v>
      </c>
      <c r="J94" s="6" t="s">
        <v>761</v>
      </c>
      <c r="K94" s="6" t="s">
        <v>762</v>
      </c>
      <c r="L94" s="17"/>
      <c r="M94" s="17"/>
      <c r="N94" s="17" t="str">
        <f t="shared" si="1"/>
        <v>OK</v>
      </c>
      <c r="O94" s="17" t="s">
        <v>35</v>
      </c>
      <c r="P94" s="6" t="s">
        <v>35</v>
      </c>
      <c r="Q94" s="17" t="s">
        <v>36</v>
      </c>
      <c r="R94" s="17" t="s">
        <v>763</v>
      </c>
      <c r="S94" s="173" t="s">
        <v>38</v>
      </c>
      <c r="T94" s="11" t="s">
        <v>147</v>
      </c>
      <c r="U94" s="22" t="s">
        <v>484</v>
      </c>
      <c r="V94" s="22" t="s">
        <v>484</v>
      </c>
    </row>
    <row r="95" spans="1:22" ht="86.25">
      <c r="A95" s="10" t="s">
        <v>764</v>
      </c>
      <c r="B95" s="10" t="s">
        <v>27</v>
      </c>
      <c r="C95" s="11" t="s">
        <v>28</v>
      </c>
      <c r="D95" s="12"/>
      <c r="E95" s="13" t="s">
        <v>93</v>
      </c>
      <c r="F95" s="6" t="s">
        <v>765</v>
      </c>
      <c r="G95" s="6" t="str">
        <f ca="1">IFERROR(__xludf.DUMMYFUNCTION("CONCATENATE(B95,(VLOOKUP(C95,CATALOGOS!$F$2:$H$6,3,FALSE)),(VLOOKUP(T95,CATALOGOS!$J$2:$K$18,2,FALSE)),""-"",TO_TEXT(A95))"),"P05DA-0094")</f>
        <v>P05DA-0094</v>
      </c>
      <c r="H95" s="6" t="s">
        <v>766</v>
      </c>
      <c r="I95" s="6" t="s">
        <v>767</v>
      </c>
      <c r="J95" s="6" t="s">
        <v>768</v>
      </c>
      <c r="K95" s="6" t="s">
        <v>769</v>
      </c>
      <c r="L95" s="17"/>
      <c r="M95" s="17"/>
      <c r="N95" s="17" t="str">
        <f t="shared" si="1"/>
        <v>OK</v>
      </c>
      <c r="O95" s="17" t="s">
        <v>35</v>
      </c>
      <c r="P95" s="6" t="s">
        <v>35</v>
      </c>
      <c r="Q95" s="17" t="s">
        <v>36</v>
      </c>
      <c r="R95" s="17" t="s">
        <v>770</v>
      </c>
      <c r="S95" s="173" t="s">
        <v>38</v>
      </c>
      <c r="T95" s="11" t="s">
        <v>28</v>
      </c>
      <c r="U95" s="20" t="s">
        <v>392</v>
      </c>
      <c r="V95" s="20" t="s">
        <v>392</v>
      </c>
    </row>
    <row r="96" spans="1:22" ht="72">
      <c r="A96" s="10" t="s">
        <v>771</v>
      </c>
      <c r="B96" s="10" t="s">
        <v>27</v>
      </c>
      <c r="C96" s="11" t="s">
        <v>28</v>
      </c>
      <c r="D96" s="12"/>
      <c r="E96" s="13" t="s">
        <v>93</v>
      </c>
      <c r="F96" s="6" t="s">
        <v>772</v>
      </c>
      <c r="G96" s="6" t="str">
        <f ca="1">IFERROR(__xludf.DUMMYFUNCTION("CONCATENATE(B96,(VLOOKUP(C96,CATALOGOS!$F$2:$H$6,3,FALSE)),(VLOOKUP(T96,CATALOGOS!$J$2:$K$18,2,FALSE)),""-"",TO_TEXT(A96))"),"P05RM-0095")</f>
        <v>P05RM-0095</v>
      </c>
      <c r="H96" s="6" t="s">
        <v>773</v>
      </c>
      <c r="I96" s="6" t="s">
        <v>774</v>
      </c>
      <c r="J96" s="6" t="s">
        <v>775</v>
      </c>
      <c r="K96" s="6" t="s">
        <v>776</v>
      </c>
      <c r="L96" s="17"/>
      <c r="M96" s="17"/>
      <c r="N96" s="17" t="str">
        <f t="shared" si="1"/>
        <v>OK</v>
      </c>
      <c r="O96" s="17" t="s">
        <v>35</v>
      </c>
      <c r="P96" s="6" t="s">
        <v>35</v>
      </c>
      <c r="Q96" s="17" t="s">
        <v>36</v>
      </c>
      <c r="R96" s="17" t="s">
        <v>777</v>
      </c>
      <c r="S96" s="173" t="s">
        <v>38</v>
      </c>
      <c r="T96" s="11" t="s">
        <v>147</v>
      </c>
      <c r="U96" s="22" t="s">
        <v>484</v>
      </c>
      <c r="V96" s="22" t="s">
        <v>484</v>
      </c>
    </row>
    <row r="97" spans="1:22" ht="86.25">
      <c r="A97" s="10" t="s">
        <v>778</v>
      </c>
      <c r="B97" s="10" t="s">
        <v>27</v>
      </c>
      <c r="C97" s="11" t="s">
        <v>28</v>
      </c>
      <c r="D97" s="12"/>
      <c r="E97" s="13" t="s">
        <v>93</v>
      </c>
      <c r="F97" s="6" t="s">
        <v>779</v>
      </c>
      <c r="G97" s="6" t="str">
        <f ca="1">IFERROR(__xludf.DUMMYFUNCTION("CONCATENATE(B97,(VLOOKUP(C97,CATALOGOS!$F$2:$H$6,3,FALSE)),(VLOOKUP(T97,CATALOGOS!$J$2:$K$18,2,FALSE)),""-"",TO_TEXT(A97))"),"P05RM-0096")</f>
        <v>P05RM-0096</v>
      </c>
      <c r="H97" s="6" t="s">
        <v>780</v>
      </c>
      <c r="I97" s="6" t="s">
        <v>781</v>
      </c>
      <c r="J97" s="36"/>
      <c r="K97" s="6" t="s">
        <v>141</v>
      </c>
      <c r="L97" s="17"/>
      <c r="M97" s="17"/>
      <c r="N97" s="17" t="str">
        <f t="shared" si="1"/>
        <v>REPETIDO</v>
      </c>
      <c r="O97" s="35" t="s">
        <v>35</v>
      </c>
      <c r="P97" s="6" t="s">
        <v>35</v>
      </c>
      <c r="Q97" s="10" t="s">
        <v>36</v>
      </c>
      <c r="R97" s="32" t="s">
        <v>85</v>
      </c>
      <c r="S97" s="173" t="s">
        <v>38</v>
      </c>
      <c r="T97" s="11" t="s">
        <v>147</v>
      </c>
      <c r="U97" s="22" t="s">
        <v>484</v>
      </c>
      <c r="V97" s="22" t="s">
        <v>484</v>
      </c>
    </row>
    <row r="98" spans="1:22" ht="57.75">
      <c r="A98" s="10" t="s">
        <v>782</v>
      </c>
      <c r="B98" s="10" t="s">
        <v>27</v>
      </c>
      <c r="C98" s="11" t="s">
        <v>28</v>
      </c>
      <c r="D98" s="12"/>
      <c r="E98" s="13" t="s">
        <v>501</v>
      </c>
      <c r="F98" s="6" t="s">
        <v>783</v>
      </c>
      <c r="G98" s="6" t="str">
        <f ca="1">IFERROR(__xludf.DUMMYFUNCTION("CONCATENATE(B98,(VLOOKUP(C98,CATALOGOS!$F$2:$H$6,3,FALSE)),(VLOOKUP(T98,CATALOGOS!$J$2:$K$18,2,FALSE)),""-"",TO_TEXT(A98))"),"P05RM-0097")</f>
        <v>P05RM-0097</v>
      </c>
      <c r="H98" s="6" t="s">
        <v>784</v>
      </c>
      <c r="I98" s="6" t="s">
        <v>785</v>
      </c>
      <c r="J98" s="6" t="s">
        <v>786</v>
      </c>
      <c r="K98" s="6" t="s">
        <v>787</v>
      </c>
      <c r="L98" s="17"/>
      <c r="M98" s="17"/>
      <c r="N98" s="17" t="str">
        <f t="shared" si="1"/>
        <v>OK</v>
      </c>
      <c r="O98" s="17" t="s">
        <v>35</v>
      </c>
      <c r="P98" s="6" t="s">
        <v>35</v>
      </c>
      <c r="Q98" s="17" t="s">
        <v>36</v>
      </c>
      <c r="R98" s="17" t="s">
        <v>788</v>
      </c>
      <c r="S98" s="173" t="s">
        <v>38</v>
      </c>
      <c r="T98" s="11" t="s">
        <v>147</v>
      </c>
      <c r="U98" s="22" t="s">
        <v>484</v>
      </c>
      <c r="V98" s="22" t="s">
        <v>484</v>
      </c>
    </row>
    <row r="99" spans="1:22" ht="57.75">
      <c r="A99" s="10" t="s">
        <v>789</v>
      </c>
      <c r="B99" s="10" t="s">
        <v>27</v>
      </c>
      <c r="C99" s="11" t="s">
        <v>28</v>
      </c>
      <c r="D99" s="12"/>
      <c r="E99" s="13" t="s">
        <v>199</v>
      </c>
      <c r="F99" s="6" t="s">
        <v>199</v>
      </c>
      <c r="G99" s="6" t="str">
        <f ca="1">IFERROR(__xludf.DUMMYFUNCTION("CONCATENATE(B99,(VLOOKUP(C99,CATALOGOS!$F$2:$H$6,3,FALSE)),(VLOOKUP(T99,CATALOGOS!$J$2:$K$18,2,FALSE)),""-"",TO_TEXT(A99))"),"P05RM-0098")</f>
        <v>P05RM-0098</v>
      </c>
      <c r="H99" s="6" t="s">
        <v>790</v>
      </c>
      <c r="I99" s="6" t="s">
        <v>791</v>
      </c>
      <c r="J99" s="6" t="s">
        <v>792</v>
      </c>
      <c r="K99" s="6" t="s">
        <v>793</v>
      </c>
      <c r="L99" s="17"/>
      <c r="M99" s="17"/>
      <c r="N99" s="17" t="str">
        <f t="shared" si="1"/>
        <v>OK</v>
      </c>
      <c r="O99" s="17" t="s">
        <v>205</v>
      </c>
      <c r="P99" s="6" t="s">
        <v>794</v>
      </c>
      <c r="Q99" s="17" t="s">
        <v>795</v>
      </c>
      <c r="R99" s="17" t="s">
        <v>796</v>
      </c>
      <c r="S99" s="173" t="s">
        <v>38</v>
      </c>
      <c r="T99" s="11" t="s">
        <v>147</v>
      </c>
      <c r="U99" s="22" t="s">
        <v>484</v>
      </c>
      <c r="V99" s="22" t="s">
        <v>484</v>
      </c>
    </row>
    <row r="100" spans="1:22" ht="72">
      <c r="A100" s="10" t="s">
        <v>797</v>
      </c>
      <c r="B100" s="10" t="s">
        <v>27</v>
      </c>
      <c r="C100" s="11" t="s">
        <v>28</v>
      </c>
      <c r="D100" s="12"/>
      <c r="E100" s="13" t="s">
        <v>199</v>
      </c>
      <c r="F100" s="6" t="s">
        <v>798</v>
      </c>
      <c r="G100" s="6" t="str">
        <f ca="1">IFERROR(__xludf.DUMMYFUNCTION("CONCATENATE(B100,(VLOOKUP(C100,CATALOGOS!$F$2:$H$6,3,FALSE)),(VLOOKUP(T100,CATALOGOS!$J$2:$K$18,2,FALSE)),""-"",TO_TEXT(A100))"),"P05RM-0099")</f>
        <v>P05RM-0099</v>
      </c>
      <c r="H100" s="6" t="s">
        <v>799</v>
      </c>
      <c r="I100" s="6" t="s">
        <v>800</v>
      </c>
      <c r="J100" s="6" t="s">
        <v>801</v>
      </c>
      <c r="K100" s="43" t="s">
        <v>141</v>
      </c>
      <c r="L100" s="17"/>
      <c r="M100" s="17"/>
      <c r="N100" s="17" t="str">
        <f t="shared" si="1"/>
        <v>REPETIDO</v>
      </c>
      <c r="O100" s="17" t="s">
        <v>205</v>
      </c>
      <c r="P100" s="6" t="s">
        <v>802</v>
      </c>
      <c r="Q100" s="17" t="s">
        <v>803</v>
      </c>
      <c r="R100" s="10" t="s">
        <v>804</v>
      </c>
      <c r="S100" s="178" t="s">
        <v>549</v>
      </c>
      <c r="T100" s="11" t="s">
        <v>147</v>
      </c>
      <c r="U100" s="22" t="s">
        <v>484</v>
      </c>
      <c r="V100" s="22" t="s">
        <v>484</v>
      </c>
    </row>
    <row r="101" spans="1:22" ht="57.75">
      <c r="A101" s="10" t="s">
        <v>805</v>
      </c>
      <c r="B101" s="10" t="s">
        <v>27</v>
      </c>
      <c r="C101" s="11" t="s">
        <v>28</v>
      </c>
      <c r="D101" s="12"/>
      <c r="E101" s="13" t="s">
        <v>199</v>
      </c>
      <c r="F101" s="6" t="s">
        <v>199</v>
      </c>
      <c r="G101" s="6" t="str">
        <f ca="1">IFERROR(__xludf.DUMMYFUNCTION("CONCATENATE(B101,(VLOOKUP(C101,CATALOGOS!$F$2:$H$6,3,FALSE)),(VLOOKUP(T101,CATALOGOS!$J$2:$K$18,2,FALSE)),""-"",TO_TEXT(A101))"),"P05RM-0100")</f>
        <v>P05RM-0100</v>
      </c>
      <c r="H101" s="6" t="s">
        <v>806</v>
      </c>
      <c r="I101" s="6" t="s">
        <v>807</v>
      </c>
      <c r="J101" s="6" t="s">
        <v>808</v>
      </c>
      <c r="K101" s="43" t="s">
        <v>141</v>
      </c>
      <c r="L101" s="17"/>
      <c r="M101" s="17"/>
      <c r="N101" s="17" t="str">
        <f t="shared" si="1"/>
        <v>REPETIDO</v>
      </c>
      <c r="O101" s="17" t="s">
        <v>205</v>
      </c>
      <c r="P101" s="6" t="s">
        <v>794</v>
      </c>
      <c r="Q101" s="17" t="s">
        <v>809</v>
      </c>
      <c r="R101" s="17" t="s">
        <v>810</v>
      </c>
      <c r="S101" s="173" t="s">
        <v>38</v>
      </c>
      <c r="T101" s="11" t="s">
        <v>147</v>
      </c>
      <c r="U101" s="22" t="s">
        <v>484</v>
      </c>
      <c r="V101" s="22" t="s">
        <v>484</v>
      </c>
    </row>
    <row r="102" spans="1:22" ht="57.75">
      <c r="A102" s="10" t="s">
        <v>811</v>
      </c>
      <c r="B102" s="10" t="s">
        <v>27</v>
      </c>
      <c r="C102" s="11" t="s">
        <v>28</v>
      </c>
      <c r="D102" s="12"/>
      <c r="E102" s="13" t="s">
        <v>199</v>
      </c>
      <c r="F102" s="6" t="s">
        <v>199</v>
      </c>
      <c r="G102" s="6" t="str">
        <f ca="1">IFERROR(__xludf.DUMMYFUNCTION("CONCATENATE(B102,(VLOOKUP(C102,CATALOGOS!$F$2:$H$6,3,FALSE)),(VLOOKUP(T102,CATALOGOS!$J$2:$K$18,2,FALSE)),""-"",TO_TEXT(A102))"),"P05RM-0101")</f>
        <v>P05RM-0101</v>
      </c>
      <c r="H102" s="6" t="s">
        <v>812</v>
      </c>
      <c r="I102" s="6" t="s">
        <v>813</v>
      </c>
      <c r="J102" s="36"/>
      <c r="K102" s="6" t="s">
        <v>814</v>
      </c>
      <c r="L102" s="17"/>
      <c r="M102" s="17"/>
      <c r="N102" s="17" t="str">
        <f t="shared" si="1"/>
        <v>OK</v>
      </c>
      <c r="O102" s="17" t="s">
        <v>205</v>
      </c>
      <c r="P102" s="6" t="s">
        <v>794</v>
      </c>
      <c r="Q102" s="6" t="s">
        <v>815</v>
      </c>
      <c r="R102" s="10" t="s">
        <v>816</v>
      </c>
      <c r="S102" s="178" t="s">
        <v>817</v>
      </c>
      <c r="T102" s="20" t="s">
        <v>147</v>
      </c>
      <c r="U102" s="22" t="s">
        <v>484</v>
      </c>
      <c r="V102" s="22" t="s">
        <v>484</v>
      </c>
    </row>
    <row r="103" spans="1:22" ht="57.75">
      <c r="A103" s="10" t="s">
        <v>818</v>
      </c>
      <c r="B103" s="10" t="s">
        <v>27</v>
      </c>
      <c r="C103" s="11" t="s">
        <v>28</v>
      </c>
      <c r="D103" s="12"/>
      <c r="E103" s="13" t="s">
        <v>199</v>
      </c>
      <c r="F103" s="6" t="s">
        <v>199</v>
      </c>
      <c r="G103" s="6" t="str">
        <f ca="1">IFERROR(__xludf.DUMMYFUNCTION("CONCATENATE(B103,(VLOOKUP(C103,CATALOGOS!$F$2:$H$6,3,FALSE)),(VLOOKUP(T103,CATALOGOS!$J$2:$K$18,2,FALSE)),""-"",TO_TEXT(A103))"),"P05RM-0102")</f>
        <v>P05RM-0102</v>
      </c>
      <c r="H103" s="6" t="s">
        <v>819</v>
      </c>
      <c r="I103" s="6" t="s">
        <v>820</v>
      </c>
      <c r="J103" s="6" t="s">
        <v>821</v>
      </c>
      <c r="K103" s="43" t="s">
        <v>141</v>
      </c>
      <c r="L103" s="17"/>
      <c r="M103" s="17"/>
      <c r="N103" s="17" t="str">
        <f t="shared" si="1"/>
        <v>REPETIDO</v>
      </c>
      <c r="O103" s="17" t="s">
        <v>205</v>
      </c>
      <c r="P103" s="6" t="s">
        <v>794</v>
      </c>
      <c r="Q103" s="17" t="s">
        <v>822</v>
      </c>
      <c r="R103" s="17" t="s">
        <v>823</v>
      </c>
      <c r="S103" s="173" t="s">
        <v>38</v>
      </c>
      <c r="T103" s="11" t="s">
        <v>147</v>
      </c>
      <c r="U103" s="22" t="s">
        <v>484</v>
      </c>
      <c r="V103" s="22" t="s">
        <v>484</v>
      </c>
    </row>
    <row r="104" spans="1:22" ht="43.5">
      <c r="A104" s="10" t="s">
        <v>824</v>
      </c>
      <c r="B104" s="10" t="s">
        <v>27</v>
      </c>
      <c r="C104" s="11" t="s">
        <v>28</v>
      </c>
      <c r="D104" s="12"/>
      <c r="E104" s="13" t="s">
        <v>353</v>
      </c>
      <c r="F104" s="6" t="s">
        <v>354</v>
      </c>
      <c r="G104" s="6" t="str">
        <f ca="1">IFERROR(__xludf.DUMMYFUNCTION("CONCATENATE(B104,(VLOOKUP(C104,CATALOGOS!$F$2:$H$6,3,FALSE)),(VLOOKUP(T104,CATALOGOS!$J$2:$K$18,2,FALSE)),""-"",TO_TEXT(A104))"),"P05RM-0103")</f>
        <v>P05RM-0103</v>
      </c>
      <c r="H104" s="6" t="s">
        <v>825</v>
      </c>
      <c r="I104" s="6" t="s">
        <v>826</v>
      </c>
      <c r="J104" s="36"/>
      <c r="K104" s="6" t="s">
        <v>141</v>
      </c>
      <c r="L104" s="17"/>
      <c r="M104" s="17"/>
      <c r="N104" s="17" t="str">
        <f t="shared" si="1"/>
        <v>REPETIDO</v>
      </c>
      <c r="O104" s="17" t="s">
        <v>827</v>
      </c>
      <c r="P104" s="6" t="s">
        <v>828</v>
      </c>
      <c r="Q104" s="6" t="s">
        <v>829</v>
      </c>
      <c r="R104" s="10" t="s">
        <v>85</v>
      </c>
      <c r="S104" s="173" t="s">
        <v>38</v>
      </c>
      <c r="T104" s="11" t="s">
        <v>147</v>
      </c>
      <c r="U104" s="22" t="s">
        <v>484</v>
      </c>
      <c r="V104" s="22" t="s">
        <v>484</v>
      </c>
    </row>
    <row r="105" spans="1:22" ht="43.5">
      <c r="A105" s="10" t="s">
        <v>830</v>
      </c>
      <c r="B105" s="10" t="s">
        <v>27</v>
      </c>
      <c r="C105" s="11" t="s">
        <v>28</v>
      </c>
      <c r="D105" s="12"/>
      <c r="E105" s="13" t="s">
        <v>378</v>
      </c>
      <c r="F105" s="6" t="s">
        <v>831</v>
      </c>
      <c r="G105" s="6" t="str">
        <f ca="1">IFERROR(__xludf.DUMMYFUNCTION("CONCATENATE(B105,(VLOOKUP(C105,CATALOGOS!$F$2:$H$6,3,FALSE)),(VLOOKUP(T105,CATALOGOS!$J$2:$K$18,2,FALSE)),""-"",TO_TEXT(A105))"),"P05RM-0104")</f>
        <v>P05RM-0104</v>
      </c>
      <c r="H105" s="6" t="s">
        <v>832</v>
      </c>
      <c r="I105" s="6" t="s">
        <v>833</v>
      </c>
      <c r="J105" s="36"/>
      <c r="K105" s="6" t="s">
        <v>141</v>
      </c>
      <c r="L105" s="17"/>
      <c r="M105" s="17"/>
      <c r="N105" s="17" t="str">
        <f t="shared" si="1"/>
        <v>REPETIDO</v>
      </c>
      <c r="O105" s="35" t="s">
        <v>35</v>
      </c>
      <c r="P105" s="6" t="s">
        <v>35</v>
      </c>
      <c r="Q105" s="10" t="s">
        <v>36</v>
      </c>
      <c r="R105" s="32" t="s">
        <v>85</v>
      </c>
      <c r="S105" s="173" t="s">
        <v>38</v>
      </c>
      <c r="T105" s="11" t="s">
        <v>147</v>
      </c>
      <c r="U105" s="22" t="s">
        <v>484</v>
      </c>
      <c r="V105" s="22" t="s">
        <v>484</v>
      </c>
    </row>
    <row r="106" spans="1:22" ht="57.75">
      <c r="A106" s="10" t="s">
        <v>834</v>
      </c>
      <c r="B106" s="10" t="s">
        <v>27</v>
      </c>
      <c r="C106" s="11" t="s">
        <v>28</v>
      </c>
      <c r="D106" s="38"/>
      <c r="E106" s="13" t="s">
        <v>835</v>
      </c>
      <c r="F106" s="43" t="s">
        <v>836</v>
      </c>
      <c r="G106" s="6" t="str">
        <f ca="1">IFERROR(__xludf.DUMMYFUNCTION("CONCATENATE(B106,(VLOOKUP(C106,CATALOGOS!$F$2:$H$6,3,FALSE)),(VLOOKUP(T106,CATALOGOS!$J$2:$K$18,2,FALSE)),""-"",TO_TEXT(A106))"),"P05RM-0105")</f>
        <v>P05RM-0105</v>
      </c>
      <c r="H106" s="6" t="s">
        <v>837</v>
      </c>
      <c r="I106" s="6" t="s">
        <v>838</v>
      </c>
      <c r="J106" s="6" t="s">
        <v>839</v>
      </c>
      <c r="K106" s="6" t="s">
        <v>141</v>
      </c>
      <c r="L106" s="17"/>
      <c r="M106" s="17"/>
      <c r="N106" s="17" t="str">
        <f t="shared" si="1"/>
        <v>REPETIDO</v>
      </c>
      <c r="O106" s="17" t="s">
        <v>840</v>
      </c>
      <c r="P106" s="6" t="s">
        <v>35</v>
      </c>
      <c r="Q106" s="6" t="s">
        <v>36</v>
      </c>
      <c r="R106" s="17" t="s">
        <v>841</v>
      </c>
      <c r="S106" s="173" t="s">
        <v>38</v>
      </c>
      <c r="T106" s="11" t="s">
        <v>147</v>
      </c>
      <c r="U106" s="22" t="s">
        <v>484</v>
      </c>
      <c r="V106" s="22" t="s">
        <v>484</v>
      </c>
    </row>
    <row r="107" spans="1:22" ht="29.25">
      <c r="A107" s="10" t="s">
        <v>842</v>
      </c>
      <c r="B107" s="10" t="s">
        <v>27</v>
      </c>
      <c r="C107" s="11" t="s">
        <v>28</v>
      </c>
      <c r="D107" s="12"/>
      <c r="E107" s="13" t="s">
        <v>843</v>
      </c>
      <c r="F107" s="6" t="s">
        <v>843</v>
      </c>
      <c r="G107" s="6" t="str">
        <f ca="1">IFERROR(__xludf.DUMMYFUNCTION("CONCATENATE(B107,(VLOOKUP(C107,CATALOGOS!$F$2:$H$6,3,FALSE)),(VLOOKUP(T107,CATALOGOS!$J$2:$K$18,2,FALSE)),""-"",TO_TEXT(A107))"),"P05RM-0106")</f>
        <v>P05RM-0106</v>
      </c>
      <c r="H107" s="6" t="s">
        <v>844</v>
      </c>
      <c r="I107" s="6" t="s">
        <v>845</v>
      </c>
      <c r="J107" s="6" t="s">
        <v>846</v>
      </c>
      <c r="K107" s="43" t="s">
        <v>141</v>
      </c>
      <c r="L107" s="17"/>
      <c r="M107" s="17"/>
      <c r="N107" s="17" t="str">
        <f t="shared" si="1"/>
        <v>REPETIDO</v>
      </c>
      <c r="O107" s="51" t="s">
        <v>35</v>
      </c>
      <c r="P107" s="6" t="s">
        <v>35</v>
      </c>
      <c r="Q107" s="17" t="s">
        <v>36</v>
      </c>
      <c r="R107" s="17" t="s">
        <v>847</v>
      </c>
      <c r="S107" s="173" t="s">
        <v>38</v>
      </c>
      <c r="T107" s="11" t="s">
        <v>147</v>
      </c>
      <c r="U107" s="20" t="s">
        <v>848</v>
      </c>
      <c r="V107" s="20" t="s">
        <v>848</v>
      </c>
    </row>
    <row r="108" spans="1:22" ht="57.75">
      <c r="A108" s="10" t="s">
        <v>849</v>
      </c>
      <c r="B108" s="10" t="s">
        <v>27</v>
      </c>
      <c r="C108" s="11" t="s">
        <v>28</v>
      </c>
      <c r="D108" s="12"/>
      <c r="E108" s="13" t="s">
        <v>850</v>
      </c>
      <c r="F108" s="43" t="s">
        <v>851</v>
      </c>
      <c r="G108" s="6" t="str">
        <f ca="1">IFERROR(__xludf.DUMMYFUNCTION("CONCATENATE(B108,(VLOOKUP(C108,CATALOGOS!$F$2:$H$6,3,FALSE)),(VLOOKUP(T108,CATALOGOS!$J$2:$K$18,2,FALSE)),""-"",TO_TEXT(A108))"),"P05RM-0107")</f>
        <v>P05RM-0107</v>
      </c>
      <c r="H108" s="6" t="s">
        <v>852</v>
      </c>
      <c r="I108" s="6" t="s">
        <v>853</v>
      </c>
      <c r="J108" s="6" t="s">
        <v>854</v>
      </c>
      <c r="K108" s="6" t="s">
        <v>855</v>
      </c>
      <c r="L108" s="17"/>
      <c r="M108" s="17"/>
      <c r="N108" s="17" t="str">
        <f t="shared" si="1"/>
        <v>OK</v>
      </c>
      <c r="O108" s="17" t="s">
        <v>856</v>
      </c>
      <c r="P108" s="6" t="s">
        <v>857</v>
      </c>
      <c r="Q108" s="6" t="s">
        <v>858</v>
      </c>
      <c r="R108" s="10" t="s">
        <v>859</v>
      </c>
      <c r="S108" s="173" t="s">
        <v>38</v>
      </c>
      <c r="T108" s="11" t="s">
        <v>147</v>
      </c>
      <c r="U108" s="20" t="s">
        <v>848</v>
      </c>
      <c r="V108" s="20" t="s">
        <v>848</v>
      </c>
    </row>
    <row r="109" spans="1:22" ht="72">
      <c r="A109" s="10" t="s">
        <v>860</v>
      </c>
      <c r="B109" s="10" t="s">
        <v>27</v>
      </c>
      <c r="C109" s="11" t="s">
        <v>28</v>
      </c>
      <c r="D109" s="12"/>
      <c r="E109" s="13" t="s">
        <v>93</v>
      </c>
      <c r="F109" s="6" t="s">
        <v>861</v>
      </c>
      <c r="G109" s="6" t="str">
        <f ca="1">IFERROR(__xludf.DUMMYFUNCTION("CONCATENATE(B109,(VLOOKUP(C109,CATALOGOS!$F$2:$H$6,3,FALSE)),(VLOOKUP(T109,CATALOGOS!$J$2:$K$18,2,FALSE)),""-"",TO_TEXT(A109))"),"P05RM-0108")</f>
        <v>P05RM-0108</v>
      </c>
      <c r="H109" s="6" t="s">
        <v>862</v>
      </c>
      <c r="I109" s="6" t="s">
        <v>863</v>
      </c>
      <c r="J109" s="6" t="s">
        <v>864</v>
      </c>
      <c r="K109" s="6" t="s">
        <v>865</v>
      </c>
      <c r="L109" s="17"/>
      <c r="M109" s="17"/>
      <c r="N109" s="17" t="str">
        <f t="shared" si="1"/>
        <v>OK</v>
      </c>
      <c r="O109" s="17" t="s">
        <v>35</v>
      </c>
      <c r="P109" s="6" t="s">
        <v>35</v>
      </c>
      <c r="Q109" s="17" t="s">
        <v>36</v>
      </c>
      <c r="R109" s="17" t="s">
        <v>866</v>
      </c>
      <c r="S109" s="173" t="s">
        <v>38</v>
      </c>
      <c r="T109" s="11" t="s">
        <v>147</v>
      </c>
      <c r="U109" s="20" t="s">
        <v>848</v>
      </c>
      <c r="V109" s="20" t="s">
        <v>848</v>
      </c>
    </row>
    <row r="110" spans="1:22" ht="72">
      <c r="A110" s="10" t="s">
        <v>867</v>
      </c>
      <c r="B110" s="10" t="s">
        <v>27</v>
      </c>
      <c r="C110" s="11" t="s">
        <v>28</v>
      </c>
      <c r="D110" s="12"/>
      <c r="E110" s="13" t="s">
        <v>93</v>
      </c>
      <c r="F110" s="6" t="s">
        <v>869</v>
      </c>
      <c r="G110" s="6" t="str">
        <f ca="1">IFERROR(__xludf.DUMMYFUNCTION("CONCATENATE(B110,(VLOOKUP(C110,CATALOGOS!$F$2:$H$6,3,FALSE)),(VLOOKUP(T110,CATALOGOS!$J$2:$K$18,2,FALSE)),""-"",TO_TEXT(A110))"),"P05RM-0109")</f>
        <v>P05RM-0109</v>
      </c>
      <c r="H110" s="6" t="s">
        <v>870</v>
      </c>
      <c r="I110" s="6" t="s">
        <v>871</v>
      </c>
      <c r="J110" s="6" t="s">
        <v>872</v>
      </c>
      <c r="K110" s="6" t="s">
        <v>873</v>
      </c>
      <c r="L110" s="17"/>
      <c r="M110" s="17"/>
      <c r="N110" s="17" t="str">
        <f t="shared" si="1"/>
        <v>OK</v>
      </c>
      <c r="O110" s="17" t="s">
        <v>35</v>
      </c>
      <c r="P110" s="6" t="s">
        <v>35</v>
      </c>
      <c r="Q110" s="17" t="s">
        <v>36</v>
      </c>
      <c r="R110" s="17" t="s">
        <v>874</v>
      </c>
      <c r="S110" s="173" t="s">
        <v>38</v>
      </c>
      <c r="T110" s="11" t="s">
        <v>147</v>
      </c>
      <c r="U110" s="20" t="s">
        <v>848</v>
      </c>
      <c r="V110" s="20" t="s">
        <v>848</v>
      </c>
    </row>
    <row r="111" spans="1:22" ht="57.75">
      <c r="A111" s="10" t="s">
        <v>877</v>
      </c>
      <c r="B111" s="10" t="s">
        <v>27</v>
      </c>
      <c r="C111" s="11" t="s">
        <v>28</v>
      </c>
      <c r="D111" s="12"/>
      <c r="E111" s="13" t="s">
        <v>378</v>
      </c>
      <c r="F111" s="6" t="s">
        <v>878</v>
      </c>
      <c r="G111" s="6" t="str">
        <f ca="1">IFERROR(__xludf.DUMMYFUNCTION("CONCATENATE(B111,(VLOOKUP(C111,CATALOGOS!$F$2:$H$6,3,FALSE)),(VLOOKUP(T111,CATALOGOS!$J$2:$K$18,2,FALSE)),""-"",TO_TEXT(A111))"),"P05RM-0110")</f>
        <v>P05RM-0110</v>
      </c>
      <c r="H111" s="6" t="s">
        <v>879</v>
      </c>
      <c r="I111" s="6" t="s">
        <v>880</v>
      </c>
      <c r="J111" s="6" t="s">
        <v>881</v>
      </c>
      <c r="K111" s="6" t="s">
        <v>882</v>
      </c>
      <c r="L111" s="17"/>
      <c r="M111" s="17"/>
      <c r="N111" s="17" t="str">
        <f t="shared" si="1"/>
        <v>OK</v>
      </c>
      <c r="O111" s="17" t="s">
        <v>35</v>
      </c>
      <c r="P111" s="6" t="s">
        <v>35</v>
      </c>
      <c r="Q111" s="17" t="s">
        <v>36</v>
      </c>
      <c r="R111" s="17" t="s">
        <v>883</v>
      </c>
      <c r="S111" s="173" t="s">
        <v>38</v>
      </c>
      <c r="T111" s="11" t="s">
        <v>147</v>
      </c>
      <c r="U111" s="20" t="s">
        <v>848</v>
      </c>
      <c r="V111" s="20" t="s">
        <v>848</v>
      </c>
    </row>
    <row r="112" spans="1:22" ht="43.5">
      <c r="A112" s="10" t="s">
        <v>884</v>
      </c>
      <c r="B112" s="10" t="s">
        <v>27</v>
      </c>
      <c r="C112" s="11" t="s">
        <v>28</v>
      </c>
      <c r="D112" s="12"/>
      <c r="E112" s="13" t="s">
        <v>43</v>
      </c>
      <c r="F112" s="6" t="s">
        <v>885</v>
      </c>
      <c r="G112" s="6" t="str">
        <f ca="1">IFERROR(__xludf.DUMMYFUNCTION("CONCATENATE(B112,(VLOOKUP(C112,CATALOGOS!$F$2:$H$6,3,FALSE)),(VLOOKUP(T112,CATALOGOS!$J$2:$K$18,2,FALSE)),""-"",TO_TEXT(A112))"),"P05RM-0111")</f>
        <v>P05RM-0111</v>
      </c>
      <c r="H112" s="6" t="s">
        <v>886</v>
      </c>
      <c r="I112" s="6" t="s">
        <v>887</v>
      </c>
      <c r="J112" s="6" t="s">
        <v>888</v>
      </c>
      <c r="K112" s="43" t="s">
        <v>889</v>
      </c>
      <c r="L112" s="17"/>
      <c r="M112" s="17"/>
      <c r="N112" s="17" t="str">
        <f t="shared" si="1"/>
        <v>OK</v>
      </c>
      <c r="O112" s="17" t="s">
        <v>890</v>
      </c>
      <c r="P112" s="6" t="s">
        <v>35</v>
      </c>
      <c r="Q112" s="17" t="s">
        <v>36</v>
      </c>
      <c r="R112" s="17" t="s">
        <v>891</v>
      </c>
      <c r="S112" s="173" t="s">
        <v>38</v>
      </c>
      <c r="T112" s="11" t="s">
        <v>147</v>
      </c>
      <c r="U112" s="20" t="s">
        <v>848</v>
      </c>
      <c r="V112" s="20" t="s">
        <v>848</v>
      </c>
    </row>
    <row r="113" spans="1:22" ht="86.25">
      <c r="A113" s="10" t="s">
        <v>892</v>
      </c>
      <c r="B113" s="10" t="s">
        <v>27</v>
      </c>
      <c r="C113" s="11" t="s">
        <v>28</v>
      </c>
      <c r="D113" s="12"/>
      <c r="E113" s="13" t="s">
        <v>43</v>
      </c>
      <c r="F113" s="6" t="s">
        <v>893</v>
      </c>
      <c r="G113" s="6" t="str">
        <f ca="1">IFERROR(__xludf.DUMMYFUNCTION("CONCATENATE(B113,(VLOOKUP(C113,CATALOGOS!$F$2:$H$6,3,FALSE)),(VLOOKUP(T113,CATALOGOS!$J$2:$K$18,2,FALSE)),""-"",TO_TEXT(A113))"),"P05RM-0112")</f>
        <v>P05RM-0112</v>
      </c>
      <c r="H113" s="6" t="s">
        <v>894</v>
      </c>
      <c r="I113" s="6" t="s">
        <v>895</v>
      </c>
      <c r="J113" s="6" t="s">
        <v>896</v>
      </c>
      <c r="K113" s="6" t="s">
        <v>897</v>
      </c>
      <c r="L113" s="17"/>
      <c r="M113" s="17"/>
      <c r="N113" s="17" t="str">
        <f t="shared" si="1"/>
        <v>OK</v>
      </c>
      <c r="O113" s="17" t="s">
        <v>898</v>
      </c>
      <c r="P113" s="6" t="s">
        <v>899</v>
      </c>
      <c r="Q113" s="6" t="s">
        <v>36</v>
      </c>
      <c r="R113" s="17" t="s">
        <v>85</v>
      </c>
      <c r="S113" s="173" t="s">
        <v>38</v>
      </c>
      <c r="T113" s="19" t="s">
        <v>147</v>
      </c>
      <c r="U113" s="20" t="s">
        <v>848</v>
      </c>
      <c r="V113" s="20" t="s">
        <v>848</v>
      </c>
    </row>
    <row r="114" spans="1:22" ht="43.5">
      <c r="A114" s="10" t="s">
        <v>900</v>
      </c>
      <c r="B114" s="10" t="s">
        <v>27</v>
      </c>
      <c r="C114" s="11" t="s">
        <v>28</v>
      </c>
      <c r="D114" s="12"/>
      <c r="E114" s="13" t="s">
        <v>53</v>
      </c>
      <c r="F114" s="6" t="s">
        <v>901</v>
      </c>
      <c r="G114" s="6" t="str">
        <f ca="1">IFERROR(__xludf.DUMMYFUNCTION("CONCATENATE(B114,(VLOOKUP(C114,CATALOGOS!$F$2:$H$6,3,FALSE)),(VLOOKUP(T114,CATALOGOS!$J$2:$K$18,2,FALSE)),""-"",TO_TEXT(A114))"),"P05RM-0113")</f>
        <v>P05RM-0113</v>
      </c>
      <c r="H114" s="6" t="s">
        <v>902</v>
      </c>
      <c r="I114" s="6" t="s">
        <v>903</v>
      </c>
      <c r="J114" s="36"/>
      <c r="K114" s="6" t="s">
        <v>141</v>
      </c>
      <c r="L114" s="17"/>
      <c r="M114" s="17"/>
      <c r="N114" s="17" t="str">
        <f t="shared" si="1"/>
        <v>REPETIDO</v>
      </c>
      <c r="O114" s="35" t="s">
        <v>35</v>
      </c>
      <c r="P114" s="6" t="s">
        <v>35</v>
      </c>
      <c r="Q114" s="10" t="s">
        <v>36</v>
      </c>
      <c r="R114" s="32" t="s">
        <v>85</v>
      </c>
      <c r="S114" s="173" t="s">
        <v>38</v>
      </c>
      <c r="T114" s="11" t="s">
        <v>147</v>
      </c>
      <c r="U114" s="20" t="s">
        <v>848</v>
      </c>
      <c r="V114" s="20" t="s">
        <v>848</v>
      </c>
    </row>
    <row r="115" spans="1:22" ht="29.25">
      <c r="A115" s="10" t="s">
        <v>904</v>
      </c>
      <c r="B115" s="10" t="s">
        <v>27</v>
      </c>
      <c r="C115" s="11" t="s">
        <v>28</v>
      </c>
      <c r="D115" s="12"/>
      <c r="E115" s="13" t="s">
        <v>151</v>
      </c>
      <c r="F115" s="6" t="s">
        <v>152</v>
      </c>
      <c r="G115" s="6" t="str">
        <f ca="1">IFERROR(__xludf.DUMMYFUNCTION("CONCATENATE(B115,(VLOOKUP(C115,CATALOGOS!$F$2:$H$6,3,FALSE)),(VLOOKUP(T115,CATALOGOS!$J$2:$K$18,2,FALSE)),""-"",TO_TEXT(A115))"),"P05RM-0114")</f>
        <v>P05RM-0114</v>
      </c>
      <c r="H115" s="6" t="s">
        <v>905</v>
      </c>
      <c r="I115" s="15" t="s">
        <v>906</v>
      </c>
      <c r="J115" s="6" t="s">
        <v>907</v>
      </c>
      <c r="K115" s="6" t="s">
        <v>908</v>
      </c>
      <c r="L115" s="17"/>
      <c r="M115" s="17"/>
      <c r="N115" s="17" t="str">
        <f t="shared" si="1"/>
        <v>OK</v>
      </c>
      <c r="O115" s="17" t="s">
        <v>157</v>
      </c>
      <c r="P115" s="6" t="s">
        <v>158</v>
      </c>
      <c r="Q115" s="17" t="s">
        <v>909</v>
      </c>
      <c r="R115" s="10" t="s">
        <v>910</v>
      </c>
      <c r="S115" s="173" t="s">
        <v>38</v>
      </c>
      <c r="T115" s="11" t="s">
        <v>147</v>
      </c>
      <c r="U115" s="20" t="s">
        <v>848</v>
      </c>
      <c r="V115" s="20" t="s">
        <v>848</v>
      </c>
    </row>
    <row r="116" spans="1:22" ht="29.25">
      <c r="A116" s="10" t="s">
        <v>911</v>
      </c>
      <c r="B116" s="10" t="s">
        <v>27</v>
      </c>
      <c r="C116" s="11" t="s">
        <v>28</v>
      </c>
      <c r="D116" s="12"/>
      <c r="E116" s="13" t="s">
        <v>151</v>
      </c>
      <c r="F116" s="6" t="s">
        <v>714</v>
      </c>
      <c r="G116" s="6" t="str">
        <f ca="1">IFERROR(__xludf.DUMMYFUNCTION("CONCATENATE(B116,(VLOOKUP(C116,CATALOGOS!$F$2:$H$6,3,FALSE)),(VLOOKUP(T116,CATALOGOS!$J$2:$K$18,2,FALSE)),""-"",TO_TEXT(A116))"),"P05RM-0115")</f>
        <v>P05RM-0115</v>
      </c>
      <c r="H116" s="6" t="s">
        <v>912</v>
      </c>
      <c r="I116" s="6" t="s">
        <v>913</v>
      </c>
      <c r="J116" s="6" t="s">
        <v>914</v>
      </c>
      <c r="K116" s="6" t="s">
        <v>915</v>
      </c>
      <c r="L116" s="17"/>
      <c r="M116" s="17"/>
      <c r="N116" s="17" t="str">
        <f t="shared" si="1"/>
        <v>OK</v>
      </c>
      <c r="O116" s="17" t="s">
        <v>205</v>
      </c>
      <c r="P116" s="6" t="s">
        <v>916</v>
      </c>
      <c r="Q116" s="17" t="s">
        <v>917</v>
      </c>
      <c r="R116" s="17" t="s">
        <v>918</v>
      </c>
      <c r="S116" s="173" t="s">
        <v>38</v>
      </c>
      <c r="T116" s="11" t="s">
        <v>147</v>
      </c>
      <c r="U116" s="20" t="s">
        <v>848</v>
      </c>
      <c r="V116" s="20" t="s">
        <v>848</v>
      </c>
    </row>
    <row r="117" spans="1:22" ht="86.25">
      <c r="A117" s="10" t="s">
        <v>919</v>
      </c>
      <c r="B117" s="10" t="s">
        <v>27</v>
      </c>
      <c r="C117" s="11" t="s">
        <v>28</v>
      </c>
      <c r="D117" s="12"/>
      <c r="E117" s="13" t="s">
        <v>116</v>
      </c>
      <c r="F117" s="6" t="s">
        <v>920</v>
      </c>
      <c r="G117" s="6" t="str">
        <f ca="1">IFERROR(__xludf.DUMMYFUNCTION("CONCATENATE(B117,(VLOOKUP(C117,CATALOGOS!$F$2:$H$6,3,FALSE)),(VLOOKUP(T117,CATALOGOS!$J$2:$K$18,2,FALSE)),""-"",TO_TEXT(A117))"),"P05RM-0116")</f>
        <v>P05RM-0116</v>
      </c>
      <c r="H117" s="6" t="s">
        <v>921</v>
      </c>
      <c r="I117" s="6" t="s">
        <v>922</v>
      </c>
      <c r="J117" s="6" t="s">
        <v>923</v>
      </c>
      <c r="K117" s="43" t="s">
        <v>924</v>
      </c>
      <c r="L117" s="17"/>
      <c r="M117" s="17"/>
      <c r="N117" s="17" t="str">
        <f t="shared" si="1"/>
        <v>OK</v>
      </c>
      <c r="O117" s="17" t="s">
        <v>35</v>
      </c>
      <c r="P117" s="6" t="s">
        <v>35</v>
      </c>
      <c r="Q117" s="17" t="s">
        <v>36</v>
      </c>
      <c r="R117" s="17" t="s">
        <v>925</v>
      </c>
      <c r="S117" s="173" t="s">
        <v>38</v>
      </c>
      <c r="T117" s="11" t="s">
        <v>147</v>
      </c>
      <c r="U117" s="20" t="s">
        <v>848</v>
      </c>
      <c r="V117" s="20" t="s">
        <v>848</v>
      </c>
    </row>
    <row r="118" spans="1:22" ht="57.75">
      <c r="A118" s="10" t="s">
        <v>926</v>
      </c>
      <c r="B118" s="10" t="s">
        <v>27</v>
      </c>
      <c r="C118" s="11" t="s">
        <v>28</v>
      </c>
      <c r="D118" s="12"/>
      <c r="E118" s="13" t="s">
        <v>184</v>
      </c>
      <c r="F118" s="6" t="s">
        <v>927</v>
      </c>
      <c r="G118" s="6" t="str">
        <f ca="1">IFERROR(__xludf.DUMMYFUNCTION("CONCATENATE(B118,(VLOOKUP(C118,CATALOGOS!$F$2:$H$6,3,FALSE)),(VLOOKUP(T118,CATALOGOS!$J$2:$K$18,2,FALSE)),""-"",TO_TEXT(A118))"),"P05RM-0117")</f>
        <v>P05RM-0117</v>
      </c>
      <c r="H118" s="6" t="s">
        <v>928</v>
      </c>
      <c r="I118" s="15" t="s">
        <v>929</v>
      </c>
      <c r="J118" s="6" t="s">
        <v>930</v>
      </c>
      <c r="K118" s="6" t="s">
        <v>931</v>
      </c>
      <c r="L118" s="17"/>
      <c r="M118" s="17"/>
      <c r="N118" s="17" t="str">
        <f t="shared" si="1"/>
        <v>OK</v>
      </c>
      <c r="O118" s="17" t="s">
        <v>35</v>
      </c>
      <c r="P118" s="6" t="s">
        <v>35</v>
      </c>
      <c r="Q118" s="17" t="s">
        <v>36</v>
      </c>
      <c r="R118" s="17" t="s">
        <v>932</v>
      </c>
      <c r="S118" s="173" t="s">
        <v>38</v>
      </c>
      <c r="T118" s="11" t="s">
        <v>147</v>
      </c>
      <c r="U118" s="20" t="s">
        <v>848</v>
      </c>
      <c r="V118" s="20" t="s">
        <v>848</v>
      </c>
    </row>
    <row r="119" spans="1:22" ht="43.5">
      <c r="A119" s="10" t="s">
        <v>933</v>
      </c>
      <c r="B119" s="10" t="s">
        <v>27</v>
      </c>
      <c r="C119" s="11" t="s">
        <v>28</v>
      </c>
      <c r="D119" s="12"/>
      <c r="E119" s="13" t="s">
        <v>353</v>
      </c>
      <c r="F119" s="6" t="s">
        <v>638</v>
      </c>
      <c r="G119" s="6" t="str">
        <f ca="1">IFERROR(__xludf.DUMMYFUNCTION("CONCATENATE(B119,(VLOOKUP(C119,CATALOGOS!$F$2:$H$6,3,FALSE)),(VLOOKUP(T119,CATALOGOS!$J$2:$K$18,2,FALSE)),""-"",TO_TEXT(A119))"),"P05RM-0118")</f>
        <v>P05RM-0118</v>
      </c>
      <c r="H119" s="6" t="s">
        <v>934</v>
      </c>
      <c r="I119" s="6" t="s">
        <v>935</v>
      </c>
      <c r="J119" s="6" t="s">
        <v>936</v>
      </c>
      <c r="K119" s="6" t="s">
        <v>937</v>
      </c>
      <c r="L119" s="17"/>
      <c r="M119" s="17"/>
      <c r="N119" s="17" t="str">
        <f t="shared" si="1"/>
        <v>OK</v>
      </c>
      <c r="O119" s="17" t="s">
        <v>359</v>
      </c>
      <c r="P119" s="6" t="s">
        <v>938</v>
      </c>
      <c r="Q119" s="17" t="s">
        <v>939</v>
      </c>
      <c r="R119" s="10" t="s">
        <v>940</v>
      </c>
      <c r="S119" s="173" t="s">
        <v>38</v>
      </c>
      <c r="T119" s="11" t="s">
        <v>147</v>
      </c>
      <c r="U119" s="20" t="s">
        <v>848</v>
      </c>
      <c r="V119" s="20" t="s">
        <v>848</v>
      </c>
    </row>
    <row r="120" spans="1:22" ht="57.75">
      <c r="A120" s="10" t="s">
        <v>941</v>
      </c>
      <c r="B120" s="10" t="s">
        <v>27</v>
      </c>
      <c r="C120" s="11" t="s">
        <v>28</v>
      </c>
      <c r="D120" s="12"/>
      <c r="E120" s="13" t="s">
        <v>199</v>
      </c>
      <c r="F120" s="6" t="s">
        <v>199</v>
      </c>
      <c r="G120" s="6" t="str">
        <f ca="1">IFERROR(__xludf.DUMMYFUNCTION("CONCATENATE(B120,(VLOOKUP(C120,CATALOGOS!$F$2:$H$6,3,FALSE)),(VLOOKUP(T120,CATALOGOS!$J$2:$K$18,2,FALSE)),""-"",TO_TEXT(A120))"),"P05RM-0119")</f>
        <v>P05RM-0119</v>
      </c>
      <c r="H120" s="6" t="s">
        <v>942</v>
      </c>
      <c r="I120" s="6" t="s">
        <v>943</v>
      </c>
      <c r="J120" s="6" t="s">
        <v>944</v>
      </c>
      <c r="K120" s="6" t="s">
        <v>945</v>
      </c>
      <c r="L120" s="17"/>
      <c r="M120" s="17"/>
      <c r="N120" s="17" t="str">
        <f t="shared" si="1"/>
        <v>OK</v>
      </c>
      <c r="O120" s="17" t="s">
        <v>157</v>
      </c>
      <c r="P120" s="6">
        <v>2378</v>
      </c>
      <c r="Q120" s="17" t="s">
        <v>946</v>
      </c>
      <c r="R120" s="17" t="s">
        <v>947</v>
      </c>
      <c r="S120" s="173" t="s">
        <v>38</v>
      </c>
      <c r="T120" s="11" t="s">
        <v>147</v>
      </c>
      <c r="U120" s="20" t="s">
        <v>848</v>
      </c>
      <c r="V120" s="20" t="s">
        <v>848</v>
      </c>
    </row>
    <row r="121" spans="1:22" ht="86.25">
      <c r="A121" s="10" t="s">
        <v>948</v>
      </c>
      <c r="B121" s="10" t="s">
        <v>27</v>
      </c>
      <c r="C121" s="11" t="s">
        <v>28</v>
      </c>
      <c r="D121" s="12"/>
      <c r="E121" s="13" t="s">
        <v>210</v>
      </c>
      <c r="F121" s="6" t="s">
        <v>949</v>
      </c>
      <c r="G121" s="6" t="str">
        <f ca="1">IFERROR(__xludf.DUMMYFUNCTION("CONCATENATE(B121,(VLOOKUP(C121,CATALOGOS!$F$2:$H$6,3,FALSE)),(VLOOKUP(T121,CATALOGOS!$J$2:$K$18,2,FALSE)),""-"",TO_TEXT(A121))"),"P05RM-0120")</f>
        <v>P05RM-0120</v>
      </c>
      <c r="H121" s="6" t="s">
        <v>950</v>
      </c>
      <c r="I121" s="6" t="s">
        <v>951</v>
      </c>
      <c r="J121" s="6" t="s">
        <v>952</v>
      </c>
      <c r="K121" s="6" t="s">
        <v>953</v>
      </c>
      <c r="L121" s="17"/>
      <c r="M121" s="17"/>
      <c r="N121" s="17" t="str">
        <f t="shared" si="1"/>
        <v>OK</v>
      </c>
      <c r="O121" s="17" t="s">
        <v>216</v>
      </c>
      <c r="P121" s="6" t="s">
        <v>737</v>
      </c>
      <c r="Q121" s="17" t="s">
        <v>954</v>
      </c>
      <c r="R121" s="17" t="s">
        <v>85</v>
      </c>
      <c r="S121" s="173" t="s">
        <v>38</v>
      </c>
      <c r="T121" s="11" t="s">
        <v>147</v>
      </c>
      <c r="U121" s="20" t="s">
        <v>848</v>
      </c>
      <c r="V121" s="20" t="s">
        <v>848</v>
      </c>
    </row>
    <row r="122" spans="1:22" ht="29.25">
      <c r="A122" s="10" t="s">
        <v>955</v>
      </c>
      <c r="B122" s="10" t="s">
        <v>27</v>
      </c>
      <c r="C122" s="11" t="s">
        <v>28</v>
      </c>
      <c r="D122" s="38"/>
      <c r="E122" s="13" t="s">
        <v>378</v>
      </c>
      <c r="F122" s="6" t="s">
        <v>956</v>
      </c>
      <c r="G122" s="6" t="str">
        <f ca="1">IFERROR(__xludf.DUMMYFUNCTION("CONCATENATE(B122,(VLOOKUP(C122,CATALOGOS!$F$2:$H$6,3,FALSE)),(VLOOKUP(T122,CATALOGOS!$J$2:$K$18,2,FALSE)),""-"",TO_TEXT(A122))"),"P05RM-0121")</f>
        <v>P05RM-0121</v>
      </c>
      <c r="H122" s="6" t="s">
        <v>957</v>
      </c>
      <c r="I122" s="6" t="s">
        <v>958</v>
      </c>
      <c r="J122" s="6" t="s">
        <v>959</v>
      </c>
      <c r="K122" s="6" t="s">
        <v>960</v>
      </c>
      <c r="L122" s="17"/>
      <c r="M122" s="17"/>
      <c r="N122" s="17" t="str">
        <f t="shared" si="1"/>
        <v>OK</v>
      </c>
      <c r="O122" s="17" t="s">
        <v>35</v>
      </c>
      <c r="P122" s="6" t="s">
        <v>35</v>
      </c>
      <c r="Q122" s="46" t="s">
        <v>36</v>
      </c>
      <c r="R122" s="17" t="s">
        <v>961</v>
      </c>
      <c r="S122" s="173" t="s">
        <v>38</v>
      </c>
      <c r="T122" s="11" t="s">
        <v>147</v>
      </c>
      <c r="U122" s="20" t="s">
        <v>848</v>
      </c>
      <c r="V122" s="20" t="s">
        <v>848</v>
      </c>
    </row>
    <row r="123" spans="1:22" ht="29.25">
      <c r="A123" s="10" t="s">
        <v>962</v>
      </c>
      <c r="B123" s="10" t="s">
        <v>27</v>
      </c>
      <c r="C123" s="11" t="s">
        <v>28</v>
      </c>
      <c r="D123" s="12"/>
      <c r="E123" s="13" t="s">
        <v>151</v>
      </c>
      <c r="F123" s="6" t="s">
        <v>963</v>
      </c>
      <c r="G123" s="6" t="str">
        <f ca="1">IFERROR(__xludf.DUMMYFUNCTION("CONCATENATE(B123,(VLOOKUP(C123,CATALOGOS!$F$2:$H$6,3,FALSE)),(VLOOKUP(T123,CATALOGOS!$J$2:$K$18,2,FALSE)),""-"",TO_TEXT(A123))"),"P05RM-0122")</f>
        <v>P05RM-0122</v>
      </c>
      <c r="H123" s="6" t="s">
        <v>964</v>
      </c>
      <c r="I123" s="6" t="s">
        <v>965</v>
      </c>
      <c r="J123" s="6" t="s">
        <v>966</v>
      </c>
      <c r="K123" s="43" t="s">
        <v>967</v>
      </c>
      <c r="L123" s="17"/>
      <c r="M123" s="17"/>
      <c r="N123" s="17" t="str">
        <f t="shared" si="1"/>
        <v>OK</v>
      </c>
      <c r="O123" s="17" t="s">
        <v>703</v>
      </c>
      <c r="P123" s="6" t="s">
        <v>968</v>
      </c>
      <c r="Q123" s="17" t="s">
        <v>969</v>
      </c>
      <c r="R123" s="10" t="s">
        <v>970</v>
      </c>
      <c r="S123" s="173" t="s">
        <v>971</v>
      </c>
      <c r="T123" s="11" t="s">
        <v>147</v>
      </c>
      <c r="U123" s="22" t="s">
        <v>686</v>
      </c>
      <c r="V123" s="22" t="s">
        <v>686</v>
      </c>
    </row>
    <row r="124" spans="1:22" ht="29.25">
      <c r="A124" s="10" t="s">
        <v>972</v>
      </c>
      <c r="B124" s="10" t="s">
        <v>27</v>
      </c>
      <c r="C124" s="11" t="s">
        <v>28</v>
      </c>
      <c r="D124" s="12"/>
      <c r="E124" s="13" t="s">
        <v>248</v>
      </c>
      <c r="F124" s="6" t="s">
        <v>973</v>
      </c>
      <c r="G124" s="6" t="str">
        <f ca="1">IFERROR(__xludf.DUMMYFUNCTION("CONCATENATE(B124,(VLOOKUP(C124,CATALOGOS!$F$2:$H$6,3,FALSE)),(VLOOKUP(T124,CATALOGOS!$J$2:$K$18,2,FALSE)),""-"",TO_TEXT(A124))"),"P05RM-0123")</f>
        <v>P05RM-0123</v>
      </c>
      <c r="H124" s="6" t="s">
        <v>974</v>
      </c>
      <c r="I124" s="6" t="s">
        <v>975</v>
      </c>
      <c r="J124" s="6" t="s">
        <v>976</v>
      </c>
      <c r="K124" s="6" t="s">
        <v>977</v>
      </c>
      <c r="L124" s="17"/>
      <c r="M124" s="17"/>
      <c r="N124" s="17" t="str">
        <f t="shared" si="1"/>
        <v>OK</v>
      </c>
      <c r="O124" s="17" t="s">
        <v>978</v>
      </c>
      <c r="P124" s="6" t="s">
        <v>979</v>
      </c>
      <c r="Q124" s="17" t="s">
        <v>980</v>
      </c>
      <c r="R124" s="17" t="s">
        <v>981</v>
      </c>
      <c r="S124" s="173" t="s">
        <v>38</v>
      </c>
      <c r="T124" s="11" t="s">
        <v>147</v>
      </c>
      <c r="U124" s="22" t="s">
        <v>686</v>
      </c>
      <c r="V124" s="22" t="s">
        <v>686</v>
      </c>
    </row>
    <row r="125" spans="1:22" ht="72">
      <c r="A125" s="10" t="s">
        <v>982</v>
      </c>
      <c r="B125" s="10" t="s">
        <v>27</v>
      </c>
      <c r="C125" s="11" t="s">
        <v>28</v>
      </c>
      <c r="D125" s="12"/>
      <c r="E125" s="13" t="s">
        <v>93</v>
      </c>
      <c r="F125" s="6" t="s">
        <v>869</v>
      </c>
      <c r="G125" s="6" t="str">
        <f ca="1">IFERROR(__xludf.DUMMYFUNCTION("CONCATENATE(B125,(VLOOKUP(C125,CATALOGOS!$F$2:$H$6,3,FALSE)),(VLOOKUP(T125,CATALOGOS!$J$2:$K$18,2,FALSE)),""-"",TO_TEXT(A125))"),"P05RH-0124")</f>
        <v>P05RH-0124</v>
      </c>
      <c r="H125" s="6" t="s">
        <v>983</v>
      </c>
      <c r="I125" s="6" t="s">
        <v>984</v>
      </c>
      <c r="J125" s="6" t="s">
        <v>985</v>
      </c>
      <c r="K125" s="43" t="s">
        <v>986</v>
      </c>
      <c r="L125" s="17"/>
      <c r="M125" s="17"/>
      <c r="N125" s="17" t="str">
        <f t="shared" si="1"/>
        <v>OK</v>
      </c>
      <c r="O125" s="17" t="s">
        <v>35</v>
      </c>
      <c r="P125" s="6" t="s">
        <v>35</v>
      </c>
      <c r="Q125" s="17" t="s">
        <v>36</v>
      </c>
      <c r="R125" s="17" t="s">
        <v>987</v>
      </c>
      <c r="S125" s="173" t="s">
        <v>38</v>
      </c>
      <c r="T125" s="11" t="s">
        <v>723</v>
      </c>
      <c r="U125" s="20" t="s">
        <v>687</v>
      </c>
      <c r="V125" s="20" t="s">
        <v>687</v>
      </c>
    </row>
    <row r="126" spans="1:22" ht="57.75">
      <c r="A126" s="10" t="s">
        <v>988</v>
      </c>
      <c r="B126" s="10" t="s">
        <v>27</v>
      </c>
      <c r="C126" s="11" t="s">
        <v>28</v>
      </c>
      <c r="D126" s="12"/>
      <c r="E126" s="13" t="s">
        <v>199</v>
      </c>
      <c r="F126" s="6" t="s">
        <v>199</v>
      </c>
      <c r="G126" s="6" t="str">
        <f ca="1">IFERROR(__xludf.DUMMYFUNCTION("CONCATENATE(B126,(VLOOKUP(C126,CATALOGOS!$F$2:$H$6,3,FALSE)),(VLOOKUP(T126,CATALOGOS!$J$2:$K$18,2,FALSE)),""-"",TO_TEXT(A126))"),"P05RM-0125")</f>
        <v>P05RM-0125</v>
      </c>
      <c r="H126" s="6" t="s">
        <v>989</v>
      </c>
      <c r="I126" s="6" t="s">
        <v>990</v>
      </c>
      <c r="J126" s="6" t="s">
        <v>991</v>
      </c>
      <c r="K126" s="6" t="s">
        <v>992</v>
      </c>
      <c r="L126" s="17"/>
      <c r="M126" s="17"/>
      <c r="N126" s="17" t="str">
        <f t="shared" si="1"/>
        <v>OK</v>
      </c>
      <c r="O126" s="17" t="s">
        <v>205</v>
      </c>
      <c r="P126" s="6" t="s">
        <v>993</v>
      </c>
      <c r="Q126" s="17" t="s">
        <v>994</v>
      </c>
      <c r="R126" s="17" t="s">
        <v>995</v>
      </c>
      <c r="S126" s="173" t="s">
        <v>38</v>
      </c>
      <c r="T126" s="11" t="s">
        <v>147</v>
      </c>
      <c r="U126" s="22" t="s">
        <v>686</v>
      </c>
      <c r="V126" s="22" t="s">
        <v>686</v>
      </c>
    </row>
    <row r="127" spans="1:22" ht="29.25">
      <c r="A127" s="10" t="s">
        <v>996</v>
      </c>
      <c r="B127" s="10" t="s">
        <v>27</v>
      </c>
      <c r="C127" s="52" t="s">
        <v>868</v>
      </c>
      <c r="D127" s="12"/>
      <c r="E127" s="13" t="s">
        <v>151</v>
      </c>
      <c r="F127" s="6" t="s">
        <v>963</v>
      </c>
      <c r="G127" s="6" t="str">
        <f ca="1">IFERROR(__xludf.DUMMYFUNCTION("CONCATENATE(B127,(VLOOKUP(C127,CATALOGOS!$F$2:$H$6,3,FALSE)),(VLOOKUP(T127,CATALOGOS!$J$2:$K$18,2,FALSE)),""-"",TO_TEXT(A127))"),"P03CV-0126")</f>
        <v>P03CV-0126</v>
      </c>
      <c r="H127" s="6" t="s">
        <v>997</v>
      </c>
      <c r="I127" s="6" t="s">
        <v>998</v>
      </c>
      <c r="J127" s="6" t="s">
        <v>999</v>
      </c>
      <c r="K127" s="6" t="s">
        <v>1000</v>
      </c>
      <c r="L127" s="17"/>
      <c r="M127" s="17"/>
      <c r="N127" s="17" t="str">
        <f t="shared" si="1"/>
        <v>OK</v>
      </c>
      <c r="O127" s="17" t="s">
        <v>297</v>
      </c>
      <c r="P127" s="6" t="s">
        <v>1001</v>
      </c>
      <c r="Q127" s="17" t="s">
        <v>1002</v>
      </c>
      <c r="R127" s="17" t="s">
        <v>1003</v>
      </c>
      <c r="S127" s="179" t="s">
        <v>517</v>
      </c>
      <c r="T127" s="11" t="s">
        <v>875</v>
      </c>
      <c r="U127" s="20" t="s">
        <v>1004</v>
      </c>
      <c r="V127" s="20" t="s">
        <v>1004</v>
      </c>
    </row>
    <row r="128" spans="1:22" ht="43.5">
      <c r="A128" s="10" t="s">
        <v>1005</v>
      </c>
      <c r="B128" s="10" t="s">
        <v>27</v>
      </c>
      <c r="C128" s="11" t="s">
        <v>28</v>
      </c>
      <c r="D128" s="38"/>
      <c r="E128" s="13" t="s">
        <v>378</v>
      </c>
      <c r="F128" s="6" t="s">
        <v>1006</v>
      </c>
      <c r="G128" s="6" t="str">
        <f ca="1">IFERROR(__xludf.DUMMYFUNCTION("CONCATENATE(B128,(VLOOKUP(C128,CATALOGOS!$F$2:$H$6,3,FALSE)),(VLOOKUP(T128,CATALOGOS!$J$2:$K$18,2,FALSE)),""-"",TO_TEXT(A128))"),"P05DA-0127")</f>
        <v>P05DA-0127</v>
      </c>
      <c r="H128" s="6" t="s">
        <v>1007</v>
      </c>
      <c r="I128" s="6" t="s">
        <v>1008</v>
      </c>
      <c r="J128" s="6" t="s">
        <v>1009</v>
      </c>
      <c r="K128" s="6" t="s">
        <v>1010</v>
      </c>
      <c r="L128" s="17"/>
      <c r="M128" s="17"/>
      <c r="N128" s="17" t="str">
        <f t="shared" si="1"/>
        <v>OK</v>
      </c>
      <c r="O128" s="17" t="s">
        <v>35</v>
      </c>
      <c r="P128" s="6" t="s">
        <v>35</v>
      </c>
      <c r="Q128" s="46" t="s">
        <v>36</v>
      </c>
      <c r="R128" s="17" t="s">
        <v>1011</v>
      </c>
      <c r="S128" s="173" t="s">
        <v>38</v>
      </c>
      <c r="T128" s="11" t="s">
        <v>28</v>
      </c>
      <c r="U128" s="20" t="s">
        <v>39</v>
      </c>
      <c r="V128" s="20" t="s">
        <v>39</v>
      </c>
    </row>
    <row r="129" spans="1:22" ht="86.25">
      <c r="A129" s="10" t="s">
        <v>1012</v>
      </c>
      <c r="B129" s="10" t="s">
        <v>27</v>
      </c>
      <c r="C129" s="11" t="s">
        <v>28</v>
      </c>
      <c r="D129" s="12"/>
      <c r="E129" s="13" t="s">
        <v>116</v>
      </c>
      <c r="F129" s="6" t="s">
        <v>1013</v>
      </c>
      <c r="G129" s="6" t="str">
        <f ca="1">IFERROR(__xludf.DUMMYFUNCTION("CONCATENATE(B129,(VLOOKUP(C129,CATALOGOS!$F$2:$H$6,3,FALSE)),(VLOOKUP(T129,CATALOGOS!$J$2:$K$18,2,FALSE)),""-"",TO_TEXT(A129))"),"P05RM-0128")</f>
        <v>P05RM-0128</v>
      </c>
      <c r="H129" s="6" t="s">
        <v>1014</v>
      </c>
      <c r="I129" s="6" t="s">
        <v>1015</v>
      </c>
      <c r="J129" s="36"/>
      <c r="K129" s="6" t="s">
        <v>1016</v>
      </c>
      <c r="L129" s="17"/>
      <c r="M129" s="17"/>
      <c r="N129" s="17" t="str">
        <f t="shared" si="1"/>
        <v>OK</v>
      </c>
      <c r="O129" s="35" t="s">
        <v>35</v>
      </c>
      <c r="P129" s="6" t="s">
        <v>35</v>
      </c>
      <c r="Q129" s="10" t="s">
        <v>36</v>
      </c>
      <c r="R129" s="32" t="s">
        <v>85</v>
      </c>
      <c r="S129" s="173" t="s">
        <v>38</v>
      </c>
      <c r="T129" s="11" t="s">
        <v>147</v>
      </c>
      <c r="U129" s="22" t="s">
        <v>260</v>
      </c>
      <c r="V129" s="22" t="s">
        <v>260</v>
      </c>
    </row>
    <row r="130" spans="1:22" ht="72">
      <c r="A130" s="10" t="s">
        <v>1017</v>
      </c>
      <c r="B130" s="10" t="s">
        <v>27</v>
      </c>
      <c r="C130" s="11" t="s">
        <v>28</v>
      </c>
      <c r="D130" s="12"/>
      <c r="E130" s="13" t="s">
        <v>184</v>
      </c>
      <c r="F130" s="6" t="s">
        <v>1018</v>
      </c>
      <c r="G130" s="6" t="str">
        <f ca="1">IFERROR(__xludf.DUMMYFUNCTION("CONCATENATE(B130,(VLOOKUP(C130,CATALOGOS!$F$2:$H$6,3,FALSE)),(VLOOKUP(T130,CATALOGOS!$J$2:$K$18,2,FALSE)),""-"",TO_TEXT(A130))"),"P05RH-0129")</f>
        <v>P05RH-0129</v>
      </c>
      <c r="H130" s="6" t="s">
        <v>1019</v>
      </c>
      <c r="I130" s="6" t="s">
        <v>1020</v>
      </c>
      <c r="J130" s="6" t="s">
        <v>1021</v>
      </c>
      <c r="K130" s="6" t="s">
        <v>1022</v>
      </c>
      <c r="L130" s="17"/>
      <c r="M130" s="17"/>
      <c r="N130" s="17" t="str">
        <f t="shared" si="1"/>
        <v>OK</v>
      </c>
      <c r="O130" s="17" t="s">
        <v>35</v>
      </c>
      <c r="P130" s="6" t="s">
        <v>35</v>
      </c>
      <c r="Q130" s="17" t="s">
        <v>36</v>
      </c>
      <c r="R130" s="17" t="s">
        <v>1023</v>
      </c>
      <c r="S130" s="173" t="s">
        <v>38</v>
      </c>
      <c r="T130" s="11" t="s">
        <v>723</v>
      </c>
      <c r="U130" s="20" t="s">
        <v>687</v>
      </c>
      <c r="V130" s="20" t="s">
        <v>687</v>
      </c>
    </row>
    <row r="131" spans="1:22" ht="57.75">
      <c r="A131" s="10" t="s">
        <v>1024</v>
      </c>
      <c r="B131" s="10" t="s">
        <v>27</v>
      </c>
      <c r="C131" s="11" t="s">
        <v>28</v>
      </c>
      <c r="D131" s="12"/>
      <c r="E131" s="13" t="s">
        <v>199</v>
      </c>
      <c r="F131" s="6" t="s">
        <v>199</v>
      </c>
      <c r="G131" s="6" t="str">
        <f ca="1">IFERROR(__xludf.DUMMYFUNCTION("CONCATENATE(B131,(VLOOKUP(C131,CATALOGOS!$F$2:$H$6,3,FALSE)),(VLOOKUP(T131,CATALOGOS!$J$2:$K$18,2,FALSE)),""-"",TO_TEXT(A131))"),"P05RM-0130")</f>
        <v>P05RM-0130</v>
      </c>
      <c r="H131" s="6" t="s">
        <v>1025</v>
      </c>
      <c r="I131" s="6" t="s">
        <v>1026</v>
      </c>
      <c r="J131" s="6" t="s">
        <v>1027</v>
      </c>
      <c r="K131" s="6" t="s">
        <v>1028</v>
      </c>
      <c r="L131" s="17"/>
      <c r="M131" s="17"/>
      <c r="N131" s="17" t="str">
        <f t="shared" si="1"/>
        <v>OK</v>
      </c>
      <c r="O131" s="17" t="s">
        <v>297</v>
      </c>
      <c r="P131" s="6" t="s">
        <v>1029</v>
      </c>
      <c r="Q131" s="17" t="s">
        <v>1030</v>
      </c>
      <c r="R131" s="17" t="s">
        <v>1031</v>
      </c>
      <c r="S131" s="173" t="s">
        <v>38</v>
      </c>
      <c r="T131" s="11" t="s">
        <v>147</v>
      </c>
      <c r="U131" s="22" t="s">
        <v>260</v>
      </c>
      <c r="V131" s="22" t="s">
        <v>260</v>
      </c>
    </row>
    <row r="132" spans="1:22" ht="29.25">
      <c r="A132" s="10" t="s">
        <v>1032</v>
      </c>
      <c r="B132" s="10" t="s">
        <v>27</v>
      </c>
      <c r="C132" s="11" t="s">
        <v>28</v>
      </c>
      <c r="D132" s="12"/>
      <c r="E132" s="13" t="s">
        <v>151</v>
      </c>
      <c r="F132" s="6" t="s">
        <v>963</v>
      </c>
      <c r="G132" s="6" t="str">
        <f ca="1">IFERROR(__xludf.DUMMYFUNCTION("CONCATENATE(B132,(VLOOKUP(C132,CATALOGOS!$F$2:$H$6,3,FALSE)),(VLOOKUP(T132,CATALOGOS!$J$2:$K$18,2,FALSE)),""-"",TO_TEXT(A132))"),"P05RM-0131")</f>
        <v>P05RM-0131</v>
      </c>
      <c r="H132" s="6" t="s">
        <v>1033</v>
      </c>
      <c r="I132" s="6" t="s">
        <v>1034</v>
      </c>
      <c r="J132" s="6" t="s">
        <v>1035</v>
      </c>
      <c r="K132" s="6" t="s">
        <v>1036</v>
      </c>
      <c r="L132" s="17"/>
      <c r="M132" s="17"/>
      <c r="N132" s="17" t="str">
        <f t="shared" si="1"/>
        <v>OK</v>
      </c>
      <c r="O132" s="17" t="s">
        <v>297</v>
      </c>
      <c r="P132" s="6" t="s">
        <v>1037</v>
      </c>
      <c r="Q132" s="17" t="s">
        <v>1038</v>
      </c>
      <c r="R132" s="17" t="s">
        <v>1039</v>
      </c>
      <c r="S132" s="173" t="s">
        <v>38</v>
      </c>
      <c r="T132" s="11" t="s">
        <v>147</v>
      </c>
      <c r="U132" s="22" t="s">
        <v>260</v>
      </c>
      <c r="V132" s="22" t="s">
        <v>260</v>
      </c>
    </row>
    <row r="133" spans="1:22" ht="43.5">
      <c r="A133" s="10" t="s">
        <v>1040</v>
      </c>
      <c r="B133" s="10" t="s">
        <v>27</v>
      </c>
      <c r="C133" s="52" t="s">
        <v>868</v>
      </c>
      <c r="D133" s="38"/>
      <c r="E133" s="13" t="s">
        <v>353</v>
      </c>
      <c r="F133" s="43" t="s">
        <v>354</v>
      </c>
      <c r="G133" s="6" t="str">
        <f ca="1">IFERROR(__xludf.DUMMYFUNCTION("CONCATENATE(B133,(VLOOKUP(C133,CATALOGOS!$F$2:$H$6,3,FALSE)),(VLOOKUP(T133,CATALOGOS!$J$2:$K$18,2,FALSE)),""-"",TO_TEXT(A133))"),"P03CV-0132")</f>
        <v>P03CV-0132</v>
      </c>
      <c r="H133" s="6" t="s">
        <v>1041</v>
      </c>
      <c r="I133" s="6" t="s">
        <v>1042</v>
      </c>
      <c r="J133" s="6" t="s">
        <v>1043</v>
      </c>
      <c r="K133" s="6" t="s">
        <v>1044</v>
      </c>
      <c r="L133" s="17"/>
      <c r="M133" s="17"/>
      <c r="N133" s="17" t="str">
        <f t="shared" si="1"/>
        <v>OK</v>
      </c>
      <c r="O133" s="17" t="s">
        <v>359</v>
      </c>
      <c r="P133" s="6">
        <v>1350</v>
      </c>
      <c r="Q133" s="46" t="s">
        <v>1045</v>
      </c>
      <c r="R133" s="17" t="s">
        <v>1046</v>
      </c>
      <c r="S133" s="173" t="s">
        <v>38</v>
      </c>
      <c r="T133" s="11" t="s">
        <v>875</v>
      </c>
      <c r="U133" s="20" t="s">
        <v>876</v>
      </c>
      <c r="V133" s="20" t="s">
        <v>876</v>
      </c>
    </row>
    <row r="134" spans="1:22" ht="57.75">
      <c r="A134" s="10" t="s">
        <v>1047</v>
      </c>
      <c r="B134" s="10" t="s">
        <v>27</v>
      </c>
      <c r="C134" s="11" t="s">
        <v>28</v>
      </c>
      <c r="D134" s="12"/>
      <c r="E134" s="13" t="s">
        <v>501</v>
      </c>
      <c r="F134" s="6" t="s">
        <v>1048</v>
      </c>
      <c r="G134" s="6" t="str">
        <f ca="1">IFERROR(__xludf.DUMMYFUNCTION("CONCATENATE(B134,(VLOOKUP(C134,CATALOGOS!$F$2:$H$6,3,FALSE)),(VLOOKUP(T134,CATALOGOS!$J$2:$K$18,2,FALSE)),""-"",TO_TEXT(A134))"),"P05RM-0133")</f>
        <v>P05RM-0133</v>
      </c>
      <c r="H134" s="6" t="s">
        <v>1049</v>
      </c>
      <c r="I134" s="6" t="s">
        <v>1050</v>
      </c>
      <c r="J134" s="6" t="s">
        <v>1051</v>
      </c>
      <c r="K134" s="6" t="s">
        <v>1052</v>
      </c>
      <c r="L134" s="17"/>
      <c r="M134" s="17"/>
      <c r="N134" s="17" t="str">
        <f t="shared" si="1"/>
        <v>OK</v>
      </c>
      <c r="O134" s="17" t="s">
        <v>35</v>
      </c>
      <c r="P134" s="6" t="s">
        <v>35</v>
      </c>
      <c r="Q134" s="17" t="s">
        <v>36</v>
      </c>
      <c r="R134" s="17" t="s">
        <v>1053</v>
      </c>
      <c r="S134" s="173" t="s">
        <v>38</v>
      </c>
      <c r="T134" s="11" t="s">
        <v>147</v>
      </c>
      <c r="U134" s="20" t="s">
        <v>848</v>
      </c>
      <c r="V134" s="20" t="s">
        <v>848</v>
      </c>
    </row>
    <row r="135" spans="1:22" ht="57.75">
      <c r="A135" s="10" t="s">
        <v>1054</v>
      </c>
      <c r="B135" s="10" t="s">
        <v>27</v>
      </c>
      <c r="C135" s="11" t="s">
        <v>28</v>
      </c>
      <c r="D135" s="12"/>
      <c r="E135" s="13" t="s">
        <v>501</v>
      </c>
      <c r="F135" s="6" t="s">
        <v>1048</v>
      </c>
      <c r="G135" s="6" t="str">
        <f ca="1">IFERROR(__xludf.DUMMYFUNCTION("CONCATENATE(B135,(VLOOKUP(C135,CATALOGOS!$F$2:$H$6,3,FALSE)),(VLOOKUP(T135,CATALOGOS!$J$2:$K$18,2,FALSE)),""-"",TO_TEXT(A135))"),"P05RM-0134")</f>
        <v>P05RM-0134</v>
      </c>
      <c r="H135" s="6" t="s">
        <v>1055</v>
      </c>
      <c r="I135" s="6" t="s">
        <v>1056</v>
      </c>
      <c r="J135" s="6" t="s">
        <v>1057</v>
      </c>
      <c r="K135" s="6" t="s">
        <v>1058</v>
      </c>
      <c r="L135" s="17"/>
      <c r="M135" s="17"/>
      <c r="N135" s="17" t="str">
        <f t="shared" si="1"/>
        <v>OK</v>
      </c>
      <c r="O135" s="17" t="s">
        <v>35</v>
      </c>
      <c r="P135" s="6" t="s">
        <v>35</v>
      </c>
      <c r="Q135" s="17" t="s">
        <v>36</v>
      </c>
      <c r="R135" s="17" t="s">
        <v>1059</v>
      </c>
      <c r="S135" s="173" t="s">
        <v>38</v>
      </c>
      <c r="T135" s="11" t="s">
        <v>147</v>
      </c>
      <c r="U135" s="20" t="s">
        <v>848</v>
      </c>
      <c r="V135" s="20" t="s">
        <v>848</v>
      </c>
    </row>
    <row r="136" spans="1:22" ht="57.75">
      <c r="A136" s="10" t="s">
        <v>1060</v>
      </c>
      <c r="B136" s="10" t="s">
        <v>27</v>
      </c>
      <c r="C136" s="11" t="s">
        <v>28</v>
      </c>
      <c r="D136" s="12"/>
      <c r="E136" s="13" t="s">
        <v>501</v>
      </c>
      <c r="F136" s="6" t="s">
        <v>1061</v>
      </c>
      <c r="G136" s="6" t="str">
        <f ca="1">IFERROR(__xludf.DUMMYFUNCTION("CONCATENATE(B136,(VLOOKUP(C136,CATALOGOS!$F$2:$H$6,3,FALSE)),(VLOOKUP(T136,CATALOGOS!$J$2:$K$18,2,FALSE)),""-"",TO_TEXT(A136))"),"P05RM-0135")</f>
        <v>P05RM-0135</v>
      </c>
      <c r="H136" s="6" t="s">
        <v>1062</v>
      </c>
      <c r="I136" s="6" t="s">
        <v>1063</v>
      </c>
      <c r="J136" s="6" t="s">
        <v>1064</v>
      </c>
      <c r="K136" s="6" t="s">
        <v>141</v>
      </c>
      <c r="L136" s="17"/>
      <c r="M136" s="17"/>
      <c r="N136" s="17" t="str">
        <f t="shared" si="1"/>
        <v>REPETIDO</v>
      </c>
      <c r="O136" s="17" t="s">
        <v>35</v>
      </c>
      <c r="P136" s="6" t="s">
        <v>35</v>
      </c>
      <c r="Q136" s="17" t="s">
        <v>36</v>
      </c>
      <c r="R136" s="17" t="s">
        <v>1065</v>
      </c>
      <c r="S136" s="173" t="s">
        <v>38</v>
      </c>
      <c r="T136" s="11" t="s">
        <v>147</v>
      </c>
      <c r="U136" s="20" t="s">
        <v>848</v>
      </c>
      <c r="V136" s="20" t="s">
        <v>848</v>
      </c>
    </row>
    <row r="137" spans="1:22" ht="57.75">
      <c r="A137" s="10" t="s">
        <v>1066</v>
      </c>
      <c r="B137" s="10" t="s">
        <v>27</v>
      </c>
      <c r="C137" s="11" t="s">
        <v>28</v>
      </c>
      <c r="D137" s="12"/>
      <c r="E137" s="13" t="s">
        <v>501</v>
      </c>
      <c r="F137" s="6" t="s">
        <v>1048</v>
      </c>
      <c r="G137" s="6" t="str">
        <f ca="1">IFERROR(__xludf.DUMMYFUNCTION("CONCATENATE(B137,(VLOOKUP(C137,CATALOGOS!$F$2:$H$6,3,FALSE)),(VLOOKUP(T137,CATALOGOS!$J$2:$K$18,2,FALSE)),""-"",TO_TEXT(A137))"),"P05RM-0136")</f>
        <v>P05RM-0136</v>
      </c>
      <c r="H137" s="6" t="s">
        <v>1067</v>
      </c>
      <c r="I137" s="6" t="s">
        <v>1068</v>
      </c>
      <c r="J137" s="6" t="s">
        <v>1069</v>
      </c>
      <c r="K137" s="6" t="s">
        <v>1070</v>
      </c>
      <c r="L137" s="17"/>
      <c r="M137" s="17"/>
      <c r="N137" s="17" t="str">
        <f t="shared" si="1"/>
        <v>OK</v>
      </c>
      <c r="O137" s="17" t="s">
        <v>35</v>
      </c>
      <c r="P137" s="6" t="s">
        <v>35</v>
      </c>
      <c r="Q137" s="17" t="s">
        <v>36</v>
      </c>
      <c r="R137" s="17" t="s">
        <v>1071</v>
      </c>
      <c r="S137" s="173" t="s">
        <v>38</v>
      </c>
      <c r="T137" s="11" t="s">
        <v>147</v>
      </c>
      <c r="U137" s="20" t="s">
        <v>848</v>
      </c>
      <c r="V137" s="20" t="s">
        <v>848</v>
      </c>
    </row>
    <row r="138" spans="1:22" ht="57.75">
      <c r="A138" s="10" t="s">
        <v>1072</v>
      </c>
      <c r="B138" s="10" t="s">
        <v>27</v>
      </c>
      <c r="C138" s="11" t="s">
        <v>28</v>
      </c>
      <c r="D138" s="12"/>
      <c r="E138" s="13" t="s">
        <v>501</v>
      </c>
      <c r="F138" s="6" t="s">
        <v>1048</v>
      </c>
      <c r="G138" s="6" t="str">
        <f ca="1">IFERROR(__xludf.DUMMYFUNCTION("CONCATENATE(B138,(VLOOKUP(C138,CATALOGOS!$F$2:$H$6,3,FALSE)),(VLOOKUP(T138,CATALOGOS!$J$2:$K$18,2,FALSE)),""-"",TO_TEXT(A138))"),"P05RM-0137")</f>
        <v>P05RM-0137</v>
      </c>
      <c r="H138" s="6" t="s">
        <v>1073</v>
      </c>
      <c r="I138" s="6" t="s">
        <v>1074</v>
      </c>
      <c r="J138" s="6" t="s">
        <v>1075</v>
      </c>
      <c r="K138" s="6" t="s">
        <v>1076</v>
      </c>
      <c r="L138" s="17"/>
      <c r="M138" s="17"/>
      <c r="N138" s="17" t="str">
        <f t="shared" si="1"/>
        <v>OK</v>
      </c>
      <c r="O138" s="17" t="s">
        <v>35</v>
      </c>
      <c r="P138" s="6" t="s">
        <v>35</v>
      </c>
      <c r="Q138" s="17" t="s">
        <v>36</v>
      </c>
      <c r="R138" s="17" t="s">
        <v>1077</v>
      </c>
      <c r="S138" s="173" t="s">
        <v>38</v>
      </c>
      <c r="T138" s="11" t="s">
        <v>147</v>
      </c>
      <c r="U138" s="20" t="s">
        <v>848</v>
      </c>
      <c r="V138" s="20" t="s">
        <v>848</v>
      </c>
    </row>
    <row r="139" spans="1:22" ht="57.75">
      <c r="A139" s="10" t="s">
        <v>1078</v>
      </c>
      <c r="B139" s="10" t="s">
        <v>27</v>
      </c>
      <c r="C139" s="11" t="s">
        <v>28</v>
      </c>
      <c r="D139" s="12"/>
      <c r="E139" s="13" t="s">
        <v>501</v>
      </c>
      <c r="F139" s="6" t="s">
        <v>1048</v>
      </c>
      <c r="G139" s="6" t="str">
        <f ca="1">IFERROR(__xludf.DUMMYFUNCTION("CONCATENATE(B139,(VLOOKUP(C139,CATALOGOS!$F$2:$H$6,3,FALSE)),(VLOOKUP(T139,CATALOGOS!$J$2:$K$18,2,FALSE)),""-"",TO_TEXT(A139))"),"P05RM-0138")</f>
        <v>P05RM-0138</v>
      </c>
      <c r="H139" s="6" t="s">
        <v>1079</v>
      </c>
      <c r="I139" s="6" t="s">
        <v>1080</v>
      </c>
      <c r="J139" s="6" t="s">
        <v>1081</v>
      </c>
      <c r="K139" s="6" t="s">
        <v>1082</v>
      </c>
      <c r="L139" s="17"/>
      <c r="M139" s="17"/>
      <c r="N139" s="17" t="str">
        <f t="shared" si="1"/>
        <v>OK</v>
      </c>
      <c r="O139" s="17" t="s">
        <v>35</v>
      </c>
      <c r="P139" s="6" t="s">
        <v>35</v>
      </c>
      <c r="Q139" s="17" t="s">
        <v>36</v>
      </c>
      <c r="R139" s="17" t="s">
        <v>1083</v>
      </c>
      <c r="S139" s="173" t="s">
        <v>38</v>
      </c>
      <c r="T139" s="11" t="s">
        <v>147</v>
      </c>
      <c r="U139" s="20" t="s">
        <v>848</v>
      </c>
      <c r="V139" s="20" t="s">
        <v>848</v>
      </c>
    </row>
    <row r="140" spans="1:22" ht="57.75">
      <c r="A140" s="10" t="s">
        <v>1084</v>
      </c>
      <c r="B140" s="10" t="s">
        <v>27</v>
      </c>
      <c r="C140" s="11" t="s">
        <v>28</v>
      </c>
      <c r="D140" s="12"/>
      <c r="E140" s="13" t="s">
        <v>501</v>
      </c>
      <c r="F140" s="6" t="s">
        <v>1048</v>
      </c>
      <c r="G140" s="6" t="str">
        <f ca="1">IFERROR(__xludf.DUMMYFUNCTION("CONCATENATE(B140,(VLOOKUP(C140,CATALOGOS!$F$2:$H$6,3,FALSE)),(VLOOKUP(T140,CATALOGOS!$J$2:$K$18,2,FALSE)),""-"",TO_TEXT(A140))"),"P05RM-0139")</f>
        <v>P05RM-0139</v>
      </c>
      <c r="H140" s="6" t="s">
        <v>1085</v>
      </c>
      <c r="I140" s="6" t="s">
        <v>1086</v>
      </c>
      <c r="J140" s="6" t="s">
        <v>1087</v>
      </c>
      <c r="K140" s="6" t="s">
        <v>1088</v>
      </c>
      <c r="L140" s="17"/>
      <c r="M140" s="17"/>
      <c r="N140" s="17" t="str">
        <f t="shared" si="1"/>
        <v>OK</v>
      </c>
      <c r="O140" s="17" t="s">
        <v>35</v>
      </c>
      <c r="P140" s="6" t="s">
        <v>35</v>
      </c>
      <c r="Q140" s="17" t="s">
        <v>36</v>
      </c>
      <c r="R140" s="17" t="s">
        <v>1089</v>
      </c>
      <c r="S140" s="173" t="s">
        <v>38</v>
      </c>
      <c r="T140" s="11" t="s">
        <v>147</v>
      </c>
      <c r="U140" s="20" t="s">
        <v>848</v>
      </c>
      <c r="V140" s="20" t="s">
        <v>848</v>
      </c>
    </row>
    <row r="141" spans="1:22" ht="57.75">
      <c r="A141" s="10" t="s">
        <v>1090</v>
      </c>
      <c r="B141" s="10" t="s">
        <v>27</v>
      </c>
      <c r="C141" s="11" t="s">
        <v>28</v>
      </c>
      <c r="D141" s="12"/>
      <c r="E141" s="13" t="s">
        <v>501</v>
      </c>
      <c r="F141" s="6" t="s">
        <v>1091</v>
      </c>
      <c r="G141" s="6" t="str">
        <f ca="1">IFERROR(__xludf.DUMMYFUNCTION("CONCATENATE(B141,(VLOOKUP(C141,CATALOGOS!$F$2:$H$6,3,FALSE)),(VLOOKUP(T141,CATALOGOS!$J$2:$K$18,2,FALSE)),""-"",TO_TEXT(A141))"),"P05RM-0140")</f>
        <v>P05RM-0140</v>
      </c>
      <c r="H141" s="6" t="s">
        <v>1092</v>
      </c>
      <c r="I141" s="6" t="s">
        <v>1093</v>
      </c>
      <c r="J141" s="36"/>
      <c r="K141" s="6" t="s">
        <v>141</v>
      </c>
      <c r="L141" s="17"/>
      <c r="M141" s="17"/>
      <c r="N141" s="17" t="str">
        <f t="shared" si="1"/>
        <v>REPETIDO</v>
      </c>
      <c r="O141" s="17" t="s">
        <v>35</v>
      </c>
      <c r="P141" s="6" t="s">
        <v>35</v>
      </c>
      <c r="Q141" s="6" t="s">
        <v>36</v>
      </c>
      <c r="R141" s="10" t="s">
        <v>1094</v>
      </c>
      <c r="S141" s="173" t="s">
        <v>38</v>
      </c>
      <c r="T141" s="11" t="s">
        <v>147</v>
      </c>
      <c r="U141" s="20" t="s">
        <v>848</v>
      </c>
      <c r="V141" s="20" t="s">
        <v>848</v>
      </c>
    </row>
    <row r="142" spans="1:22" ht="57.75">
      <c r="A142" s="10" t="s">
        <v>1095</v>
      </c>
      <c r="B142" s="10" t="s">
        <v>27</v>
      </c>
      <c r="C142" s="11" t="s">
        <v>28</v>
      </c>
      <c r="D142" s="12"/>
      <c r="E142" s="13" t="s">
        <v>501</v>
      </c>
      <c r="F142" s="6" t="s">
        <v>1091</v>
      </c>
      <c r="G142" s="6" t="str">
        <f ca="1">IFERROR(__xludf.DUMMYFUNCTION("CONCATENATE(B142,(VLOOKUP(C142,CATALOGOS!$F$2:$H$6,3,FALSE)),(VLOOKUP(T142,CATALOGOS!$J$2:$K$18,2,FALSE)),""-"",TO_TEXT(A142))"),"P05RM-0141")</f>
        <v>P05RM-0141</v>
      </c>
      <c r="H142" s="6" t="s">
        <v>1096</v>
      </c>
      <c r="I142" s="6" t="s">
        <v>1097</v>
      </c>
      <c r="J142" s="36"/>
      <c r="K142" s="6" t="s">
        <v>141</v>
      </c>
      <c r="L142" s="17"/>
      <c r="M142" s="17"/>
      <c r="N142" s="17" t="str">
        <f t="shared" si="1"/>
        <v>REPETIDO</v>
      </c>
      <c r="O142" s="17" t="s">
        <v>35</v>
      </c>
      <c r="P142" s="6" t="s">
        <v>35</v>
      </c>
      <c r="Q142" s="6" t="s">
        <v>36</v>
      </c>
      <c r="R142" s="10" t="s">
        <v>1098</v>
      </c>
      <c r="S142" s="173" t="s">
        <v>38</v>
      </c>
      <c r="T142" s="11" t="s">
        <v>147</v>
      </c>
      <c r="U142" s="20" t="s">
        <v>848</v>
      </c>
      <c r="V142" s="20" t="s">
        <v>848</v>
      </c>
    </row>
    <row r="143" spans="1:22" ht="57.75">
      <c r="A143" s="10" t="s">
        <v>1099</v>
      </c>
      <c r="B143" s="10" t="s">
        <v>27</v>
      </c>
      <c r="C143" s="11" t="s">
        <v>28</v>
      </c>
      <c r="D143" s="12"/>
      <c r="E143" s="13" t="s">
        <v>501</v>
      </c>
      <c r="F143" s="6" t="s">
        <v>1091</v>
      </c>
      <c r="G143" s="6" t="str">
        <f ca="1">IFERROR(__xludf.DUMMYFUNCTION("CONCATENATE(B143,(VLOOKUP(C143,CATALOGOS!$F$2:$H$6,3,FALSE)),(VLOOKUP(T143,CATALOGOS!$J$2:$K$18,2,FALSE)),""-"",TO_TEXT(A143))"),"P05RM-0142")</f>
        <v>P05RM-0142</v>
      </c>
      <c r="H143" s="6" t="s">
        <v>1100</v>
      </c>
      <c r="I143" s="6" t="s">
        <v>1101</v>
      </c>
      <c r="J143" s="36"/>
      <c r="K143" s="6" t="s">
        <v>141</v>
      </c>
      <c r="L143" s="17"/>
      <c r="M143" s="17"/>
      <c r="N143" s="17" t="str">
        <f t="shared" si="1"/>
        <v>REPETIDO</v>
      </c>
      <c r="O143" s="17" t="s">
        <v>35</v>
      </c>
      <c r="P143" s="6" t="s">
        <v>35</v>
      </c>
      <c r="Q143" s="6" t="s">
        <v>36</v>
      </c>
      <c r="R143" s="6" t="s">
        <v>1102</v>
      </c>
      <c r="S143" s="173" t="s">
        <v>38</v>
      </c>
      <c r="T143" s="11" t="s">
        <v>147</v>
      </c>
      <c r="U143" s="20" t="s">
        <v>848</v>
      </c>
      <c r="V143" s="20" t="s">
        <v>848</v>
      </c>
    </row>
    <row r="144" spans="1:22" ht="57.75">
      <c r="A144" s="10" t="s">
        <v>1103</v>
      </c>
      <c r="B144" s="10" t="s">
        <v>27</v>
      </c>
      <c r="C144" s="11" t="s">
        <v>28</v>
      </c>
      <c r="D144" s="12"/>
      <c r="E144" s="13" t="s">
        <v>501</v>
      </c>
      <c r="F144" s="6" t="s">
        <v>1091</v>
      </c>
      <c r="G144" s="6" t="str">
        <f ca="1">IFERROR(__xludf.DUMMYFUNCTION("CONCATENATE(B144,(VLOOKUP(C144,CATALOGOS!$F$2:$H$6,3,FALSE)),(VLOOKUP(T144,CATALOGOS!$J$2:$K$18,2,FALSE)),""-"",TO_TEXT(A144))"),"P05RM-0143")</f>
        <v>P05RM-0143</v>
      </c>
      <c r="H144" s="6" t="s">
        <v>1104</v>
      </c>
      <c r="I144" s="6" t="s">
        <v>1105</v>
      </c>
      <c r="J144" s="36"/>
      <c r="K144" s="6" t="s">
        <v>141</v>
      </c>
      <c r="L144" s="17"/>
      <c r="M144" s="17"/>
      <c r="N144" s="17" t="str">
        <f t="shared" si="1"/>
        <v>REPETIDO</v>
      </c>
      <c r="O144" s="17" t="s">
        <v>35</v>
      </c>
      <c r="P144" s="6" t="s">
        <v>35</v>
      </c>
      <c r="Q144" s="6" t="s">
        <v>36</v>
      </c>
      <c r="R144" s="6" t="s">
        <v>1106</v>
      </c>
      <c r="S144" s="173" t="s">
        <v>38</v>
      </c>
      <c r="T144" s="11" t="s">
        <v>147</v>
      </c>
      <c r="U144" s="20" t="s">
        <v>848</v>
      </c>
      <c r="V144" s="20" t="s">
        <v>848</v>
      </c>
    </row>
    <row r="145" spans="1:22" ht="57.75">
      <c r="A145" s="10" t="s">
        <v>1107</v>
      </c>
      <c r="B145" s="10" t="s">
        <v>27</v>
      </c>
      <c r="C145" s="11" t="s">
        <v>28</v>
      </c>
      <c r="D145" s="12"/>
      <c r="E145" s="13" t="s">
        <v>501</v>
      </c>
      <c r="F145" s="6" t="s">
        <v>1091</v>
      </c>
      <c r="G145" s="6" t="str">
        <f ca="1">IFERROR(__xludf.DUMMYFUNCTION("CONCATENATE(B145,(VLOOKUP(C145,CATALOGOS!$F$2:$H$6,3,FALSE)),(VLOOKUP(T145,CATALOGOS!$J$2:$K$18,2,FALSE)),""-"",TO_TEXT(A145))"),"P05RM-0144")</f>
        <v>P05RM-0144</v>
      </c>
      <c r="H145" s="6" t="s">
        <v>1108</v>
      </c>
      <c r="I145" s="6" t="s">
        <v>1109</v>
      </c>
      <c r="J145" s="36"/>
      <c r="K145" s="6" t="s">
        <v>141</v>
      </c>
      <c r="L145" s="17"/>
      <c r="M145" s="17"/>
      <c r="N145" s="17" t="str">
        <f t="shared" si="1"/>
        <v>REPETIDO</v>
      </c>
      <c r="O145" s="17" t="s">
        <v>35</v>
      </c>
      <c r="P145" s="6" t="s">
        <v>35</v>
      </c>
      <c r="Q145" s="6" t="s">
        <v>36</v>
      </c>
      <c r="R145" s="6" t="s">
        <v>1110</v>
      </c>
      <c r="S145" s="173" t="s">
        <v>38</v>
      </c>
      <c r="T145" s="11" t="s">
        <v>147</v>
      </c>
      <c r="U145" s="20" t="s">
        <v>848</v>
      </c>
      <c r="V145" s="20" t="s">
        <v>848</v>
      </c>
    </row>
    <row r="146" spans="1:22" ht="57.75">
      <c r="A146" s="10" t="s">
        <v>1111</v>
      </c>
      <c r="B146" s="10" t="s">
        <v>27</v>
      </c>
      <c r="C146" s="11" t="s">
        <v>28</v>
      </c>
      <c r="D146" s="12"/>
      <c r="E146" s="13" t="s">
        <v>501</v>
      </c>
      <c r="F146" s="6" t="s">
        <v>1091</v>
      </c>
      <c r="G146" s="6" t="str">
        <f ca="1">IFERROR(__xludf.DUMMYFUNCTION("CONCATENATE(B146,(VLOOKUP(C146,CATALOGOS!$F$2:$H$6,3,FALSE)),(VLOOKUP(T146,CATALOGOS!$J$2:$K$18,2,FALSE)),""-"",TO_TEXT(A146))"),"P05RM-0145")</f>
        <v>P05RM-0145</v>
      </c>
      <c r="H146" s="6" t="s">
        <v>1112</v>
      </c>
      <c r="I146" s="6" t="s">
        <v>1113</v>
      </c>
      <c r="J146" s="36"/>
      <c r="K146" s="6" t="s">
        <v>141</v>
      </c>
      <c r="L146" s="17"/>
      <c r="M146" s="17"/>
      <c r="N146" s="17" t="str">
        <f t="shared" si="1"/>
        <v>REPETIDO</v>
      </c>
      <c r="O146" s="17" t="s">
        <v>35</v>
      </c>
      <c r="P146" s="6" t="s">
        <v>35</v>
      </c>
      <c r="Q146" s="6" t="s">
        <v>36</v>
      </c>
      <c r="R146" s="6" t="s">
        <v>1114</v>
      </c>
      <c r="S146" s="173" t="s">
        <v>38</v>
      </c>
      <c r="T146" s="11" t="s">
        <v>147</v>
      </c>
      <c r="U146" s="20" t="s">
        <v>848</v>
      </c>
      <c r="V146" s="20" t="s">
        <v>848</v>
      </c>
    </row>
    <row r="147" spans="1:22" ht="57.75">
      <c r="A147" s="10" t="s">
        <v>1115</v>
      </c>
      <c r="B147" s="10" t="s">
        <v>27</v>
      </c>
      <c r="C147" s="11" t="s">
        <v>28</v>
      </c>
      <c r="D147" s="12"/>
      <c r="E147" s="13" t="s">
        <v>501</v>
      </c>
      <c r="F147" s="6" t="s">
        <v>1091</v>
      </c>
      <c r="G147" s="6" t="str">
        <f ca="1">IFERROR(__xludf.DUMMYFUNCTION("CONCATENATE(B147,(VLOOKUP(C147,CATALOGOS!$F$2:$H$6,3,FALSE)),(VLOOKUP(T147,CATALOGOS!$J$2:$K$18,2,FALSE)),""-"",TO_TEXT(A147))"),"P05RM-0146")</f>
        <v>P05RM-0146</v>
      </c>
      <c r="H147" s="6" t="s">
        <v>1116</v>
      </c>
      <c r="I147" s="6" t="s">
        <v>1117</v>
      </c>
      <c r="J147" s="36"/>
      <c r="K147" s="6" t="s">
        <v>141</v>
      </c>
      <c r="L147" s="17"/>
      <c r="M147" s="17"/>
      <c r="N147" s="17" t="str">
        <f t="shared" si="1"/>
        <v>REPETIDO</v>
      </c>
      <c r="O147" s="35" t="s">
        <v>35</v>
      </c>
      <c r="P147" s="6" t="s">
        <v>35</v>
      </c>
      <c r="Q147" s="6" t="s">
        <v>36</v>
      </c>
      <c r="R147" s="6" t="s">
        <v>1118</v>
      </c>
      <c r="S147" s="173" t="s">
        <v>38</v>
      </c>
      <c r="T147" s="11" t="s">
        <v>147</v>
      </c>
      <c r="U147" s="20" t="s">
        <v>848</v>
      </c>
      <c r="V147" s="20" t="s">
        <v>848</v>
      </c>
    </row>
    <row r="148" spans="1:22" ht="57.75">
      <c r="A148" s="10" t="s">
        <v>1119</v>
      </c>
      <c r="B148" s="10" t="s">
        <v>27</v>
      </c>
      <c r="C148" s="11" t="s">
        <v>28</v>
      </c>
      <c r="D148" s="12"/>
      <c r="E148" s="13" t="s">
        <v>501</v>
      </c>
      <c r="F148" s="6" t="s">
        <v>1091</v>
      </c>
      <c r="G148" s="6" t="str">
        <f ca="1">IFERROR(__xludf.DUMMYFUNCTION("CONCATENATE(B148,(VLOOKUP(C148,CATALOGOS!$F$2:$H$6,3,FALSE)),(VLOOKUP(T148,CATALOGOS!$J$2:$K$18,2,FALSE)),""-"",TO_TEXT(A148))"),"P05RM-0147")</f>
        <v>P05RM-0147</v>
      </c>
      <c r="H148" s="6" t="s">
        <v>1120</v>
      </c>
      <c r="I148" s="6" t="s">
        <v>1121</v>
      </c>
      <c r="J148" s="36"/>
      <c r="K148" s="6" t="s">
        <v>141</v>
      </c>
      <c r="L148" s="17"/>
      <c r="M148" s="17"/>
      <c r="N148" s="17" t="str">
        <f t="shared" si="1"/>
        <v>REPETIDO</v>
      </c>
      <c r="O148" s="17" t="s">
        <v>35</v>
      </c>
      <c r="P148" s="6" t="s">
        <v>35</v>
      </c>
      <c r="Q148" s="6" t="s">
        <v>36</v>
      </c>
      <c r="R148" s="6" t="s">
        <v>1122</v>
      </c>
      <c r="S148" s="173" t="s">
        <v>38</v>
      </c>
      <c r="T148" s="11" t="s">
        <v>147</v>
      </c>
      <c r="U148" s="20" t="s">
        <v>848</v>
      </c>
      <c r="V148" s="20" t="s">
        <v>848</v>
      </c>
    </row>
    <row r="149" spans="1:22" ht="57.75">
      <c r="A149" s="10" t="s">
        <v>1123</v>
      </c>
      <c r="B149" s="10" t="s">
        <v>27</v>
      </c>
      <c r="C149" s="11" t="s">
        <v>28</v>
      </c>
      <c r="D149" s="12"/>
      <c r="E149" s="13" t="s">
        <v>501</v>
      </c>
      <c r="F149" s="6" t="s">
        <v>1091</v>
      </c>
      <c r="G149" s="6" t="str">
        <f ca="1">IFERROR(__xludf.DUMMYFUNCTION("CONCATENATE(B149,(VLOOKUP(C149,CATALOGOS!$F$2:$H$6,3,FALSE)),(VLOOKUP(T149,CATALOGOS!$J$2:$K$18,2,FALSE)),""-"",TO_TEXT(A149))"),"P05RM-0148")</f>
        <v>P05RM-0148</v>
      </c>
      <c r="H149" s="6" t="s">
        <v>1124</v>
      </c>
      <c r="I149" s="6" t="s">
        <v>1125</v>
      </c>
      <c r="J149" s="36"/>
      <c r="K149" s="6" t="s">
        <v>141</v>
      </c>
      <c r="L149" s="17"/>
      <c r="M149" s="17"/>
      <c r="N149" s="17" t="str">
        <f t="shared" si="1"/>
        <v>REPETIDO</v>
      </c>
      <c r="O149" s="17" t="s">
        <v>35</v>
      </c>
      <c r="P149" s="6" t="s">
        <v>35</v>
      </c>
      <c r="Q149" s="6" t="s">
        <v>36</v>
      </c>
      <c r="R149" s="6" t="s">
        <v>85</v>
      </c>
      <c r="S149" s="173" t="s">
        <v>38</v>
      </c>
      <c r="T149" s="11" t="s">
        <v>147</v>
      </c>
      <c r="U149" s="20" t="s">
        <v>848</v>
      </c>
      <c r="V149" s="20" t="s">
        <v>848</v>
      </c>
    </row>
    <row r="150" spans="1:22" ht="45">
      <c r="A150" s="10" t="s">
        <v>1126</v>
      </c>
      <c r="B150" s="10" t="s">
        <v>27</v>
      </c>
      <c r="C150" s="11" t="s">
        <v>28</v>
      </c>
      <c r="D150" s="38"/>
      <c r="E150" s="13" t="s">
        <v>151</v>
      </c>
      <c r="F150" s="6" t="s">
        <v>698</v>
      </c>
      <c r="G150" s="6" t="str">
        <f ca="1">IFERROR(__xludf.DUMMYFUNCTION("CONCATENATE(B150,(VLOOKUP(C150,CATALOGOS!$F$2:$H$6,3,FALSE)),(VLOOKUP(T150,CATALOGOS!$J$2:$K$18,2,FALSE)),""-"",TO_TEXT(A150))"),"P05RM-0149")</f>
        <v>P05RM-0149</v>
      </c>
      <c r="H150" s="6" t="s">
        <v>1127</v>
      </c>
      <c r="I150" s="6" t="s">
        <v>1128</v>
      </c>
      <c r="J150" s="6" t="s">
        <v>1129</v>
      </c>
      <c r="K150" s="6" t="s">
        <v>1130</v>
      </c>
      <c r="L150" s="17"/>
      <c r="M150" s="17"/>
      <c r="N150" s="17" t="str">
        <f t="shared" si="1"/>
        <v>OK</v>
      </c>
      <c r="O150" s="17" t="s">
        <v>297</v>
      </c>
      <c r="P150" s="6" t="s">
        <v>1131</v>
      </c>
      <c r="Q150" s="46" t="s">
        <v>1132</v>
      </c>
      <c r="R150" s="35" t="s">
        <v>1133</v>
      </c>
      <c r="S150" s="173" t="s">
        <v>38</v>
      </c>
      <c r="T150" s="11" t="s">
        <v>147</v>
      </c>
      <c r="U150" s="32" t="s">
        <v>484</v>
      </c>
      <c r="V150" s="32" t="s">
        <v>484</v>
      </c>
    </row>
    <row r="151" spans="1:22" ht="45">
      <c r="A151" s="10" t="s">
        <v>1134</v>
      </c>
      <c r="B151" s="10" t="s">
        <v>27</v>
      </c>
      <c r="C151" s="11" t="s">
        <v>28</v>
      </c>
      <c r="D151" s="38"/>
      <c r="E151" s="13" t="s">
        <v>151</v>
      </c>
      <c r="F151" s="6" t="s">
        <v>698</v>
      </c>
      <c r="G151" s="6" t="str">
        <f ca="1">IFERROR(__xludf.DUMMYFUNCTION("CONCATENATE(B151,(VLOOKUP(C151,CATALOGOS!$F$2:$H$6,3,FALSE)),(VLOOKUP(T151,CATALOGOS!$J$2:$K$18,2,FALSE)),""-"",TO_TEXT(A151))"),"P05RM-0150")</f>
        <v>P05RM-0150</v>
      </c>
      <c r="H151" s="6" t="s">
        <v>1135</v>
      </c>
      <c r="I151" s="6" t="s">
        <v>1136</v>
      </c>
      <c r="J151" s="6" t="s">
        <v>1137</v>
      </c>
      <c r="K151" s="6" t="s">
        <v>1138</v>
      </c>
      <c r="L151" s="17"/>
      <c r="M151" s="17"/>
      <c r="N151" s="17" t="str">
        <f t="shared" si="1"/>
        <v>OK</v>
      </c>
      <c r="O151" s="17" t="s">
        <v>297</v>
      </c>
      <c r="P151" s="6" t="s">
        <v>1131</v>
      </c>
      <c r="Q151" s="46" t="s">
        <v>1139</v>
      </c>
      <c r="R151" s="56" t="s">
        <v>1140</v>
      </c>
      <c r="S151" s="173" t="s">
        <v>38</v>
      </c>
      <c r="T151" s="11" t="s">
        <v>147</v>
      </c>
      <c r="U151" s="22" t="s">
        <v>484</v>
      </c>
      <c r="V151" s="22" t="s">
        <v>484</v>
      </c>
    </row>
    <row r="152" spans="1:22" ht="29.25">
      <c r="A152" s="10" t="s">
        <v>1141</v>
      </c>
      <c r="B152" s="10" t="s">
        <v>27</v>
      </c>
      <c r="C152" s="11" t="s">
        <v>28</v>
      </c>
      <c r="D152" s="12"/>
      <c r="E152" s="13" t="s">
        <v>1142</v>
      </c>
      <c r="F152" s="6" t="s">
        <v>1143</v>
      </c>
      <c r="G152" s="6" t="str">
        <f ca="1">IFERROR(__xludf.DUMMYFUNCTION("CONCATENATE(B152,(VLOOKUP(C152,CATALOGOS!$F$2:$H$6,3,FALSE)),(VLOOKUP(T152,CATALOGOS!$J$2:$K$18,2,FALSE)),""-"",TO_TEXT(A152))"),"P05RM-0151")</f>
        <v>P05RM-0151</v>
      </c>
      <c r="H152" s="6" t="s">
        <v>1144</v>
      </c>
      <c r="I152" s="6" t="s">
        <v>1145</v>
      </c>
      <c r="J152" s="6" t="s">
        <v>1146</v>
      </c>
      <c r="K152" s="6" t="s">
        <v>1147</v>
      </c>
      <c r="L152" s="17"/>
      <c r="M152" s="17"/>
      <c r="N152" s="17" t="str">
        <f t="shared" si="1"/>
        <v>OK</v>
      </c>
      <c r="O152" s="17" t="s">
        <v>359</v>
      </c>
      <c r="P152" s="6" t="s">
        <v>1148</v>
      </c>
      <c r="Q152" s="46" t="s">
        <v>36</v>
      </c>
      <c r="R152" s="17" t="s">
        <v>1149</v>
      </c>
      <c r="S152" s="173" t="s">
        <v>38</v>
      </c>
      <c r="T152" s="11" t="s">
        <v>147</v>
      </c>
      <c r="U152" s="22" t="s">
        <v>484</v>
      </c>
      <c r="V152" s="22" t="s">
        <v>484</v>
      </c>
    </row>
    <row r="153" spans="1:22" ht="29.25">
      <c r="A153" s="10" t="s">
        <v>1150</v>
      </c>
      <c r="B153" s="10" t="s">
        <v>27</v>
      </c>
      <c r="C153" s="11" t="s">
        <v>28</v>
      </c>
      <c r="D153" s="12"/>
      <c r="E153" s="13" t="s">
        <v>151</v>
      </c>
      <c r="F153" s="6" t="s">
        <v>963</v>
      </c>
      <c r="G153" s="6" t="str">
        <f ca="1">IFERROR(__xludf.DUMMYFUNCTION("CONCATENATE(B153,(VLOOKUP(C153,CATALOGOS!$F$2:$H$6,3,FALSE)),(VLOOKUP(T153,CATALOGOS!$J$2:$K$18,2,FALSE)),""-"",TO_TEXT(A153))"),"P05RM-0152")</f>
        <v>P05RM-0152</v>
      </c>
      <c r="H153" s="6" t="s">
        <v>1151</v>
      </c>
      <c r="I153" s="6" t="s">
        <v>1034</v>
      </c>
      <c r="J153" s="6" t="s">
        <v>1152</v>
      </c>
      <c r="K153" s="6" t="s">
        <v>1153</v>
      </c>
      <c r="L153" s="17"/>
      <c r="M153" s="17"/>
      <c r="N153" s="17" t="str">
        <f t="shared" si="1"/>
        <v>OK</v>
      </c>
      <c r="O153" s="17" t="s">
        <v>205</v>
      </c>
      <c r="P153" s="6" t="s">
        <v>1154</v>
      </c>
      <c r="Q153" s="17" t="s">
        <v>1038</v>
      </c>
      <c r="R153" s="17" t="s">
        <v>1156</v>
      </c>
      <c r="S153" s="173" t="s">
        <v>38</v>
      </c>
      <c r="T153" s="11" t="s">
        <v>147</v>
      </c>
      <c r="U153" s="22" t="s">
        <v>484</v>
      </c>
      <c r="V153" s="22" t="s">
        <v>484</v>
      </c>
    </row>
    <row r="154" spans="1:22" ht="86.25">
      <c r="A154" s="10" t="s">
        <v>1157</v>
      </c>
      <c r="B154" s="10" t="s">
        <v>27</v>
      </c>
      <c r="C154" s="11" t="s">
        <v>28</v>
      </c>
      <c r="D154" s="38"/>
      <c r="E154" s="13" t="s">
        <v>62</v>
      </c>
      <c r="F154" s="6" t="s">
        <v>1158</v>
      </c>
      <c r="G154" s="6" t="str">
        <f ca="1">IFERROR(__xludf.DUMMYFUNCTION("CONCATENATE(B154,(VLOOKUP(C154,CATALOGOS!$F$2:$H$6,3,FALSE)),(VLOOKUP(T154,CATALOGOS!$J$2:$K$18,2,FALSE)),""-"",TO_TEXT(A154))"),"P05RH-0153")</f>
        <v>P05RH-0153</v>
      </c>
      <c r="H154" s="6" t="s">
        <v>1159</v>
      </c>
      <c r="I154" s="6" t="s">
        <v>1160</v>
      </c>
      <c r="J154" s="6" t="s">
        <v>1161</v>
      </c>
      <c r="K154" s="6" t="s">
        <v>1162</v>
      </c>
      <c r="L154" s="17"/>
      <c r="M154" s="17"/>
      <c r="N154" s="17" t="str">
        <f t="shared" si="1"/>
        <v>OK</v>
      </c>
      <c r="O154" s="17" t="s">
        <v>35</v>
      </c>
      <c r="P154" s="6" t="s">
        <v>35</v>
      </c>
      <c r="Q154" s="17" t="s">
        <v>36</v>
      </c>
      <c r="R154" s="17" t="s">
        <v>1163</v>
      </c>
      <c r="S154" s="173" t="s">
        <v>38</v>
      </c>
      <c r="T154" s="11" t="s">
        <v>723</v>
      </c>
      <c r="U154" s="22" t="s">
        <v>1164</v>
      </c>
      <c r="V154" s="22" t="s">
        <v>1164</v>
      </c>
    </row>
    <row r="155" spans="1:22" ht="43.5">
      <c r="A155" s="10" t="s">
        <v>1165</v>
      </c>
      <c r="B155" s="10" t="s">
        <v>27</v>
      </c>
      <c r="C155" s="11" t="s">
        <v>28</v>
      </c>
      <c r="D155" s="12"/>
      <c r="E155" s="13" t="s">
        <v>29</v>
      </c>
      <c r="F155" s="43" t="s">
        <v>1166</v>
      </c>
      <c r="G155" s="6" t="str">
        <f ca="1">IFERROR(__xludf.DUMMYFUNCTION("CONCATENATE(B155,(VLOOKUP(C155,CATALOGOS!$F$2:$H$6,3,FALSE)),(VLOOKUP(T155,CATALOGOS!$J$2:$K$18,2,FALSE)),""-"",TO_TEXT(A155))"),"P05RH-0154")</f>
        <v>P05RH-0154</v>
      </c>
      <c r="H155" s="6" t="s">
        <v>1167</v>
      </c>
      <c r="I155" s="6" t="s">
        <v>1168</v>
      </c>
      <c r="J155" s="6" t="s">
        <v>1169</v>
      </c>
      <c r="K155" s="43" t="s">
        <v>1170</v>
      </c>
      <c r="L155" s="17"/>
      <c r="M155" s="17"/>
      <c r="N155" s="17" t="str">
        <f t="shared" si="1"/>
        <v>OK</v>
      </c>
      <c r="O155" s="53" t="s">
        <v>35</v>
      </c>
      <c r="P155" s="49" t="s">
        <v>35</v>
      </c>
      <c r="Q155" s="17" t="s">
        <v>36</v>
      </c>
      <c r="R155" s="17" t="s">
        <v>1171</v>
      </c>
      <c r="S155" s="173" t="s">
        <v>38</v>
      </c>
      <c r="T155" s="11" t="s">
        <v>723</v>
      </c>
      <c r="U155" s="22" t="s">
        <v>1164</v>
      </c>
      <c r="V155" s="22" t="s">
        <v>1164</v>
      </c>
    </row>
    <row r="156" spans="1:22" ht="43.5">
      <c r="A156" s="10" t="s">
        <v>1172</v>
      </c>
      <c r="B156" s="10" t="s">
        <v>27</v>
      </c>
      <c r="C156" s="11" t="s">
        <v>28</v>
      </c>
      <c r="D156" s="12"/>
      <c r="E156" s="13" t="s">
        <v>93</v>
      </c>
      <c r="F156" s="6" t="s">
        <v>1173</v>
      </c>
      <c r="G156" s="6" t="str">
        <f ca="1">IFERROR(__xludf.DUMMYFUNCTION("CONCATENATE(B156,(VLOOKUP(C156,CATALOGOS!$F$2:$H$6,3,FALSE)),(VLOOKUP(T156,CATALOGOS!$J$2:$K$18,2,FALSE)),""-"",TO_TEXT(A156))"),"P05RH-0155")</f>
        <v>P05RH-0155</v>
      </c>
      <c r="H156" s="6" t="s">
        <v>1174</v>
      </c>
      <c r="I156" s="54"/>
      <c r="J156" s="6" t="s">
        <v>1175</v>
      </c>
      <c r="K156" s="6" t="s">
        <v>1176</v>
      </c>
      <c r="L156" s="17"/>
      <c r="M156" s="17"/>
      <c r="N156" s="17" t="str">
        <f t="shared" si="1"/>
        <v>OK</v>
      </c>
      <c r="O156" s="53" t="s">
        <v>35</v>
      </c>
      <c r="P156" s="6" t="s">
        <v>35</v>
      </c>
      <c r="Q156" s="17" t="s">
        <v>36</v>
      </c>
      <c r="R156" s="17" t="s">
        <v>1177</v>
      </c>
      <c r="S156" s="173" t="s">
        <v>38</v>
      </c>
      <c r="T156" s="11" t="s">
        <v>723</v>
      </c>
      <c r="U156" s="22" t="s">
        <v>1164</v>
      </c>
      <c r="V156" s="22" t="s">
        <v>1164</v>
      </c>
    </row>
    <row r="157" spans="1:22" ht="86.25">
      <c r="A157" s="10" t="s">
        <v>1178</v>
      </c>
      <c r="B157" s="10" t="s">
        <v>27</v>
      </c>
      <c r="C157" s="11" t="s">
        <v>28</v>
      </c>
      <c r="D157" s="12"/>
      <c r="E157" s="13" t="s">
        <v>116</v>
      </c>
      <c r="F157" s="6" t="s">
        <v>1179</v>
      </c>
      <c r="G157" s="6" t="str">
        <f ca="1">IFERROR(__xludf.DUMMYFUNCTION("CONCATENATE(B157,(VLOOKUP(C157,CATALOGOS!$F$2:$H$6,3,FALSE)),(VLOOKUP(T157,CATALOGOS!$J$2:$K$18,2,FALSE)),""-"",TO_TEXT(A157))"),"P05RH-0156")</f>
        <v>P05RH-0156</v>
      </c>
      <c r="H157" s="6" t="s">
        <v>1180</v>
      </c>
      <c r="I157" s="6" t="s">
        <v>1181</v>
      </c>
      <c r="J157" s="6" t="s">
        <v>1182</v>
      </c>
      <c r="K157" s="6" t="s">
        <v>1183</v>
      </c>
      <c r="L157" s="17"/>
      <c r="M157" s="17"/>
      <c r="N157" s="17" t="str">
        <f t="shared" si="1"/>
        <v>OK</v>
      </c>
      <c r="O157" s="17" t="s">
        <v>35</v>
      </c>
      <c r="P157" s="6" t="s">
        <v>35</v>
      </c>
      <c r="Q157" s="17" t="s">
        <v>36</v>
      </c>
      <c r="R157" s="35" t="s">
        <v>1184</v>
      </c>
      <c r="S157" s="173" t="s">
        <v>38</v>
      </c>
      <c r="T157" s="11" t="s">
        <v>723</v>
      </c>
      <c r="U157" s="22" t="s">
        <v>1164</v>
      </c>
      <c r="V157" s="22" t="s">
        <v>1164</v>
      </c>
    </row>
    <row r="158" spans="1:22" ht="57.75">
      <c r="A158" s="10" t="s">
        <v>1186</v>
      </c>
      <c r="B158" s="10" t="s">
        <v>27</v>
      </c>
      <c r="C158" s="11" t="s">
        <v>28</v>
      </c>
      <c r="D158" s="12"/>
      <c r="E158" s="13" t="s">
        <v>378</v>
      </c>
      <c r="F158" s="6" t="s">
        <v>878</v>
      </c>
      <c r="G158" s="6" t="str">
        <f ca="1">IFERROR(__xludf.DUMMYFUNCTION("CONCATENATE(B158,(VLOOKUP(C158,CATALOGOS!$F$2:$H$6,3,FALSE)),(VLOOKUP(T158,CATALOGOS!$J$2:$K$18,2,FALSE)),""-"",TO_TEXT(A158))"),"P05RH-0157")</f>
        <v>P05RH-0157</v>
      </c>
      <c r="H158" s="6" t="s">
        <v>1187</v>
      </c>
      <c r="I158" s="6" t="s">
        <v>1188</v>
      </c>
      <c r="J158" s="6" t="s">
        <v>1189</v>
      </c>
      <c r="K158" s="6" t="s">
        <v>1190</v>
      </c>
      <c r="L158" s="17"/>
      <c r="M158" s="17"/>
      <c r="N158" s="17" t="str">
        <f t="shared" si="1"/>
        <v>OK</v>
      </c>
      <c r="O158" s="17" t="s">
        <v>35</v>
      </c>
      <c r="P158" s="6" t="s">
        <v>35</v>
      </c>
      <c r="Q158" s="17" t="s">
        <v>36</v>
      </c>
      <c r="R158" s="17" t="s">
        <v>1191</v>
      </c>
      <c r="S158" s="173" t="s">
        <v>38</v>
      </c>
      <c r="T158" s="11" t="s">
        <v>723</v>
      </c>
      <c r="U158" s="22" t="s">
        <v>1164</v>
      </c>
      <c r="V158" s="22" t="s">
        <v>1164</v>
      </c>
    </row>
    <row r="159" spans="1:22" ht="29.25">
      <c r="A159" s="10" t="s">
        <v>1192</v>
      </c>
      <c r="B159" s="10" t="s">
        <v>27</v>
      </c>
      <c r="C159" s="11" t="s">
        <v>28</v>
      </c>
      <c r="D159" s="12"/>
      <c r="E159" s="13" t="s">
        <v>378</v>
      </c>
      <c r="F159" s="55" t="s">
        <v>878</v>
      </c>
      <c r="G159" s="6" t="str">
        <f ca="1">IFERROR(__xludf.DUMMYFUNCTION("CONCATENATE(B159,(VLOOKUP(C159,CATALOGOS!$F$2:$H$6,3,FALSE)),(VLOOKUP(T159,CATALOGOS!$J$2:$K$18,2,FALSE)),""-"",TO_TEXT(A159))"),"P05RH-0158")</f>
        <v>P05RH-0158</v>
      </c>
      <c r="H159" s="6" t="s">
        <v>1193</v>
      </c>
      <c r="I159" s="6" t="s">
        <v>1194</v>
      </c>
      <c r="J159" s="6" t="s">
        <v>1195</v>
      </c>
      <c r="K159" s="6" t="s">
        <v>1196</v>
      </c>
      <c r="L159" s="17"/>
      <c r="M159" s="17"/>
      <c r="N159" s="17" t="str">
        <f t="shared" si="1"/>
        <v>OK</v>
      </c>
      <c r="O159" s="32" t="s">
        <v>35</v>
      </c>
      <c r="P159" s="6" t="s">
        <v>35</v>
      </c>
      <c r="Q159" s="17" t="s">
        <v>36</v>
      </c>
      <c r="R159" s="17" t="s">
        <v>1197</v>
      </c>
      <c r="S159" s="173" t="s">
        <v>38</v>
      </c>
      <c r="T159" s="11" t="s">
        <v>723</v>
      </c>
      <c r="U159" s="22" t="s">
        <v>1164</v>
      </c>
      <c r="V159" s="22" t="s">
        <v>1164</v>
      </c>
    </row>
    <row r="160" spans="1:22" ht="29.25">
      <c r="A160" s="10" t="s">
        <v>1198</v>
      </c>
      <c r="B160" s="10" t="s">
        <v>27</v>
      </c>
      <c r="C160" s="11" t="s">
        <v>28</v>
      </c>
      <c r="D160" s="12"/>
      <c r="E160" s="13" t="s">
        <v>1199</v>
      </c>
      <c r="F160" s="6" t="s">
        <v>1200</v>
      </c>
      <c r="G160" s="6" t="str">
        <f ca="1">IFERROR(__xludf.DUMMYFUNCTION("CONCATENATE(B160,(VLOOKUP(C160,CATALOGOS!$F$2:$H$6,3,FALSE)),(VLOOKUP(T160,CATALOGOS!$J$2:$K$18,2,FALSE)),""-"",TO_TEXT(A160))"),"P05RH-0159")</f>
        <v>P05RH-0159</v>
      </c>
      <c r="H160" s="6" t="s">
        <v>1201</v>
      </c>
      <c r="I160" s="6" t="s">
        <v>1202</v>
      </c>
      <c r="J160" s="6" t="s">
        <v>1203</v>
      </c>
      <c r="K160" s="6" t="s">
        <v>1204</v>
      </c>
      <c r="L160" s="17"/>
      <c r="M160" s="17"/>
      <c r="N160" s="17" t="str">
        <f t="shared" si="1"/>
        <v>OK</v>
      </c>
      <c r="O160" s="17" t="s">
        <v>205</v>
      </c>
      <c r="P160" s="6" t="s">
        <v>1205</v>
      </c>
      <c r="Q160" s="17" t="s">
        <v>1206</v>
      </c>
      <c r="R160" s="17" t="s">
        <v>1207</v>
      </c>
      <c r="S160" s="173" t="s">
        <v>38</v>
      </c>
      <c r="T160" s="11" t="s">
        <v>723</v>
      </c>
      <c r="U160" s="22" t="s">
        <v>1164</v>
      </c>
      <c r="V160" s="22" t="s">
        <v>1164</v>
      </c>
    </row>
    <row r="161" spans="1:22" ht="29.25">
      <c r="A161" s="10" t="s">
        <v>1208</v>
      </c>
      <c r="B161" s="10" t="s">
        <v>27</v>
      </c>
      <c r="C161" s="11" t="s">
        <v>28</v>
      </c>
      <c r="D161" s="12"/>
      <c r="E161" s="13" t="s">
        <v>162</v>
      </c>
      <c r="F161" s="6" t="s">
        <v>285</v>
      </c>
      <c r="G161" s="6" t="str">
        <f ca="1">IFERROR(__xludf.DUMMYFUNCTION("CONCATENATE(B161,(VLOOKUP(C161,CATALOGOS!$F$2:$H$6,3,FALSE)),(VLOOKUP(T161,CATALOGOS!$J$2:$K$18,2,FALSE)),""-"",TO_TEXT(A161))"),"P05RH-0160")</f>
        <v>P05RH-0160</v>
      </c>
      <c r="H161" s="6" t="s">
        <v>1209</v>
      </c>
      <c r="I161" s="6" t="s">
        <v>1210</v>
      </c>
      <c r="J161" s="6" t="s">
        <v>1211</v>
      </c>
      <c r="K161" s="6" t="s">
        <v>1212</v>
      </c>
      <c r="L161" s="17"/>
      <c r="M161" s="17"/>
      <c r="N161" s="17" t="str">
        <f t="shared" si="1"/>
        <v>OK</v>
      </c>
      <c r="O161" s="17" t="s">
        <v>663</v>
      </c>
      <c r="P161" s="6" t="s">
        <v>664</v>
      </c>
      <c r="Q161" s="56" t="s">
        <v>1213</v>
      </c>
      <c r="R161" s="17" t="s">
        <v>1214</v>
      </c>
      <c r="S161" s="173" t="s">
        <v>38</v>
      </c>
      <c r="T161" s="11" t="s">
        <v>723</v>
      </c>
      <c r="U161" s="22" t="s">
        <v>1164</v>
      </c>
      <c r="V161" s="22" t="s">
        <v>1164</v>
      </c>
    </row>
    <row r="162" spans="1:22" ht="29.25">
      <c r="A162" s="10" t="s">
        <v>1215</v>
      </c>
      <c r="B162" s="10" t="s">
        <v>27</v>
      </c>
      <c r="C162" s="11" t="s">
        <v>28</v>
      </c>
      <c r="D162" s="12"/>
      <c r="E162" s="13" t="s">
        <v>151</v>
      </c>
      <c r="F162" s="6" t="s">
        <v>714</v>
      </c>
      <c r="G162" s="6" t="str">
        <f ca="1">IFERROR(__xludf.DUMMYFUNCTION("CONCATENATE(B162,(VLOOKUP(C162,CATALOGOS!$F$2:$H$6,3,FALSE)),(VLOOKUP(T162,CATALOGOS!$J$2:$K$18,2,FALSE)),""-"",TO_TEXT(A162))"),"P05RH-0161")</f>
        <v>P05RH-0161</v>
      </c>
      <c r="H162" s="6" t="s">
        <v>1216</v>
      </c>
      <c r="I162" s="6" t="s">
        <v>1217</v>
      </c>
      <c r="J162" s="6" t="s">
        <v>1218</v>
      </c>
      <c r="K162" s="6" t="s">
        <v>1219</v>
      </c>
      <c r="L162" s="17"/>
      <c r="M162" s="17"/>
      <c r="N162" s="17" t="str">
        <f t="shared" si="1"/>
        <v>OK</v>
      </c>
      <c r="O162" s="17" t="s">
        <v>1220</v>
      </c>
      <c r="P162" s="6" t="s">
        <v>720</v>
      </c>
      <c r="Q162" s="17" t="s">
        <v>1221</v>
      </c>
      <c r="R162" s="32" t="s">
        <v>1222</v>
      </c>
      <c r="S162" s="173" t="s">
        <v>38</v>
      </c>
      <c r="T162" s="11" t="s">
        <v>723</v>
      </c>
      <c r="U162" s="22" t="s">
        <v>1164</v>
      </c>
      <c r="V162" s="22" t="s">
        <v>1164</v>
      </c>
    </row>
    <row r="163" spans="1:22" ht="43.5">
      <c r="A163" s="10" t="s">
        <v>1223</v>
      </c>
      <c r="B163" s="10" t="s">
        <v>27</v>
      </c>
      <c r="C163" s="11" t="s">
        <v>28</v>
      </c>
      <c r="D163" s="12"/>
      <c r="E163" s="13" t="s">
        <v>151</v>
      </c>
      <c r="F163" s="6" t="s">
        <v>293</v>
      </c>
      <c r="G163" s="6" t="str">
        <f ca="1">IFERROR(__xludf.DUMMYFUNCTION("CONCATENATE(B163,(VLOOKUP(C163,CATALOGOS!$F$2:$H$6,3,FALSE)),(VLOOKUP(T163,CATALOGOS!$J$2:$K$18,2,FALSE)),""-"",TO_TEXT(A163))"),"P05RH-0162")</f>
        <v>P05RH-0162</v>
      </c>
      <c r="H163" s="6" t="s">
        <v>1224</v>
      </c>
      <c r="I163" s="6" t="s">
        <v>1225</v>
      </c>
      <c r="J163" s="36"/>
      <c r="K163" s="6" t="s">
        <v>1226</v>
      </c>
      <c r="L163" s="17"/>
      <c r="M163" s="17"/>
      <c r="N163" s="17" t="str">
        <f t="shared" si="1"/>
        <v>OK</v>
      </c>
      <c r="O163" s="17" t="s">
        <v>297</v>
      </c>
      <c r="P163" s="6" t="s">
        <v>298</v>
      </c>
      <c r="Q163" s="6" t="s">
        <v>1227</v>
      </c>
      <c r="R163" s="10" t="s">
        <v>85</v>
      </c>
      <c r="S163" s="173" t="s">
        <v>38</v>
      </c>
      <c r="T163" s="11" t="s">
        <v>723</v>
      </c>
      <c r="U163" s="22" t="s">
        <v>1164</v>
      </c>
      <c r="V163" s="22" t="s">
        <v>1164</v>
      </c>
    </row>
    <row r="164" spans="1:22" ht="29.25">
      <c r="A164" s="10" t="s">
        <v>1228</v>
      </c>
      <c r="B164" s="10" t="s">
        <v>27</v>
      </c>
      <c r="C164" s="11" t="s">
        <v>28</v>
      </c>
      <c r="D164" s="12"/>
      <c r="E164" s="13" t="s">
        <v>248</v>
      </c>
      <c r="F164" s="6" t="s">
        <v>249</v>
      </c>
      <c r="G164" s="6" t="str">
        <f ca="1">IFERROR(__xludf.DUMMYFUNCTION("CONCATENATE(B164,(VLOOKUP(C164,CATALOGOS!$F$2:$H$6,3,FALSE)),(VLOOKUP(T164,CATALOGOS!$J$2:$K$18,2,FALSE)),""-"",TO_TEXT(A164))"),"P05RH-0163")</f>
        <v>P05RH-0163</v>
      </c>
      <c r="H164" s="6" t="s">
        <v>1229</v>
      </c>
      <c r="I164" s="6" t="s">
        <v>1230</v>
      </c>
      <c r="J164" s="6" t="s">
        <v>1231</v>
      </c>
      <c r="K164" s="43" t="s">
        <v>1232</v>
      </c>
      <c r="L164" s="17"/>
      <c r="M164" s="17"/>
      <c r="N164" s="17" t="str">
        <f t="shared" si="1"/>
        <v>OK</v>
      </c>
      <c r="O164" s="17" t="s">
        <v>978</v>
      </c>
      <c r="P164" s="6" t="s">
        <v>979</v>
      </c>
      <c r="Q164" s="17" t="s">
        <v>1233</v>
      </c>
      <c r="R164" s="17" t="s">
        <v>1234</v>
      </c>
      <c r="S164" s="173" t="s">
        <v>38</v>
      </c>
      <c r="T164" s="11" t="s">
        <v>723</v>
      </c>
      <c r="U164" s="22" t="s">
        <v>1164</v>
      </c>
      <c r="V164" s="22" t="s">
        <v>1164</v>
      </c>
    </row>
    <row r="165" spans="1:22" ht="57.75">
      <c r="A165" s="10" t="s">
        <v>1235</v>
      </c>
      <c r="B165" s="10" t="s">
        <v>27</v>
      </c>
      <c r="C165" s="11" t="s">
        <v>28</v>
      </c>
      <c r="D165" s="12"/>
      <c r="E165" s="13" t="s">
        <v>199</v>
      </c>
      <c r="F165" s="6" t="s">
        <v>199</v>
      </c>
      <c r="G165" s="6" t="str">
        <f ca="1">IFERROR(__xludf.DUMMYFUNCTION("CONCATENATE(B165,(VLOOKUP(C165,CATALOGOS!$F$2:$H$6,3,FALSE)),(VLOOKUP(T165,CATALOGOS!$J$2:$K$18,2,FALSE)),""-"",TO_TEXT(A165))"),"P05RH-0164")</f>
        <v>P05RH-0164</v>
      </c>
      <c r="H165" s="6" t="s">
        <v>1236</v>
      </c>
      <c r="I165" s="6" t="s">
        <v>1237</v>
      </c>
      <c r="J165" s="36"/>
      <c r="K165" s="6" t="s">
        <v>1238</v>
      </c>
      <c r="L165" s="17"/>
      <c r="M165" s="17"/>
      <c r="N165" s="17" t="str">
        <f t="shared" si="1"/>
        <v>OK</v>
      </c>
      <c r="O165" s="17" t="s">
        <v>273</v>
      </c>
      <c r="P165" s="6" t="s">
        <v>274</v>
      </c>
      <c r="Q165" s="6">
        <v>11392903014316</v>
      </c>
      <c r="R165" s="10" t="s">
        <v>85</v>
      </c>
      <c r="S165" s="173" t="s">
        <v>38</v>
      </c>
      <c r="T165" s="11" t="s">
        <v>723</v>
      </c>
      <c r="U165" s="22" t="s">
        <v>1164</v>
      </c>
      <c r="V165" s="22" t="s">
        <v>1164</v>
      </c>
    </row>
    <row r="166" spans="1:22" ht="86.25">
      <c r="A166" s="10" t="s">
        <v>1239</v>
      </c>
      <c r="B166" s="10" t="s">
        <v>27</v>
      </c>
      <c r="C166" s="11" t="s">
        <v>28</v>
      </c>
      <c r="D166" s="12"/>
      <c r="E166" s="13" t="s">
        <v>1240</v>
      </c>
      <c r="F166" s="43" t="s">
        <v>278</v>
      </c>
      <c r="G166" s="6" t="str">
        <f ca="1">IFERROR(__xludf.DUMMYFUNCTION("CONCATENATE(B166,(VLOOKUP(C166,CATALOGOS!$F$2:$H$6,3,FALSE)),(VLOOKUP(T166,CATALOGOS!$J$2:$K$18,2,FALSE)),""-"",TO_TEXT(A166))"),"P05RH-0165")</f>
        <v>P05RH-0165</v>
      </c>
      <c r="H166" s="6" t="s">
        <v>1241</v>
      </c>
      <c r="I166" s="6" t="s">
        <v>1242</v>
      </c>
      <c r="J166" s="6" t="s">
        <v>1243</v>
      </c>
      <c r="K166" s="6" t="s">
        <v>1244</v>
      </c>
      <c r="L166" s="17"/>
      <c r="M166" s="17"/>
      <c r="N166" s="17" t="str">
        <f t="shared" si="1"/>
        <v>OK</v>
      </c>
      <c r="O166" s="17" t="s">
        <v>35</v>
      </c>
      <c r="P166" s="6" t="s">
        <v>35</v>
      </c>
      <c r="Q166" s="17" t="s">
        <v>36</v>
      </c>
      <c r="R166" s="17" t="s">
        <v>1245</v>
      </c>
      <c r="S166" s="173" t="s">
        <v>38</v>
      </c>
      <c r="T166" s="11" t="s">
        <v>723</v>
      </c>
      <c r="U166" s="22" t="s">
        <v>1164</v>
      </c>
      <c r="V166" s="22" t="s">
        <v>1164</v>
      </c>
    </row>
    <row r="167" spans="1:22" ht="57.75">
      <c r="A167" s="10" t="s">
        <v>1246</v>
      </c>
      <c r="B167" s="10" t="s">
        <v>27</v>
      </c>
      <c r="C167" s="11" t="s">
        <v>28</v>
      </c>
      <c r="D167" s="12"/>
      <c r="E167" s="13" t="s">
        <v>378</v>
      </c>
      <c r="F167" s="6" t="s">
        <v>379</v>
      </c>
      <c r="G167" s="6" t="str">
        <f ca="1">IFERROR(__xludf.DUMMYFUNCTION("CONCATENATE(B167,(VLOOKUP(C167,CATALOGOS!$F$2:$H$6,3,FALSE)),(VLOOKUP(T167,CATALOGOS!$J$2:$K$18,2,FALSE)),""-"",TO_TEXT(A167))"),"P05RH-0166")</f>
        <v>P05RH-0166</v>
      </c>
      <c r="H167" s="6" t="s">
        <v>1247</v>
      </c>
      <c r="I167" s="6" t="s">
        <v>1248</v>
      </c>
      <c r="J167" s="6" t="s">
        <v>1249</v>
      </c>
      <c r="K167" s="6" t="s">
        <v>1250</v>
      </c>
      <c r="L167" s="17"/>
      <c r="M167" s="17"/>
      <c r="N167" s="17" t="str">
        <f t="shared" si="1"/>
        <v>OK</v>
      </c>
      <c r="O167" s="17" t="s">
        <v>35</v>
      </c>
      <c r="P167" s="6" t="s">
        <v>35</v>
      </c>
      <c r="Q167" s="17" t="s">
        <v>36</v>
      </c>
      <c r="R167" s="17" t="s">
        <v>1251</v>
      </c>
      <c r="S167" s="173" t="s">
        <v>38</v>
      </c>
      <c r="T167" s="11" t="s">
        <v>723</v>
      </c>
      <c r="U167" s="22" t="s">
        <v>1164</v>
      </c>
      <c r="V167" s="22" t="s">
        <v>1164</v>
      </c>
    </row>
    <row r="168" spans="1:22" ht="86.25">
      <c r="A168" s="10" t="s">
        <v>1252</v>
      </c>
      <c r="B168" s="10" t="s">
        <v>27</v>
      </c>
      <c r="C168" s="11" t="s">
        <v>28</v>
      </c>
      <c r="D168" s="12"/>
      <c r="E168" s="13" t="s">
        <v>62</v>
      </c>
      <c r="F168" s="6" t="s">
        <v>1253</v>
      </c>
      <c r="G168" s="6" t="str">
        <f ca="1">IFERROR(__xludf.DUMMYFUNCTION("CONCATENATE(B168,(VLOOKUP(C168,CATALOGOS!$F$2:$H$6,3,FALSE)),(VLOOKUP(T168,CATALOGOS!$J$2:$K$18,2,FALSE)),""-"",TO_TEXT(A168))"),"P05RH-0167")</f>
        <v>P05RH-0167</v>
      </c>
      <c r="H168" s="6" t="s">
        <v>1254</v>
      </c>
      <c r="I168" s="6" t="s">
        <v>1255</v>
      </c>
      <c r="J168" s="6" t="s">
        <v>1256</v>
      </c>
      <c r="K168" s="6" t="s">
        <v>1257</v>
      </c>
      <c r="L168" s="17"/>
      <c r="M168" s="17"/>
      <c r="N168" s="17" t="str">
        <f t="shared" si="1"/>
        <v>OK</v>
      </c>
      <c r="O168" s="17" t="s">
        <v>35</v>
      </c>
      <c r="P168" s="6" t="s">
        <v>35</v>
      </c>
      <c r="Q168" s="17" t="s">
        <v>36</v>
      </c>
      <c r="R168" s="17" t="s">
        <v>1258</v>
      </c>
      <c r="S168" s="173" t="s">
        <v>38</v>
      </c>
      <c r="T168" s="11" t="s">
        <v>723</v>
      </c>
      <c r="U168" s="22" t="s">
        <v>1164</v>
      </c>
      <c r="V168" s="22" t="s">
        <v>1164</v>
      </c>
    </row>
    <row r="169" spans="1:22" ht="86.25">
      <c r="A169" s="10" t="s">
        <v>1259</v>
      </c>
      <c r="B169" s="10" t="s">
        <v>27</v>
      </c>
      <c r="C169" s="11" t="s">
        <v>28</v>
      </c>
      <c r="D169" s="12"/>
      <c r="E169" s="13" t="s">
        <v>62</v>
      </c>
      <c r="F169" s="6" t="s">
        <v>1260</v>
      </c>
      <c r="G169" s="6" t="str">
        <f ca="1">IFERROR(__xludf.DUMMYFUNCTION("CONCATENATE(B169,(VLOOKUP(C169,CATALOGOS!$F$2:$H$6,3,FALSE)),(VLOOKUP(T169,CATALOGOS!$J$2:$K$18,2,FALSE)),""-"",TO_TEXT(A169))"),"P05RH-0168")</f>
        <v>P05RH-0168</v>
      </c>
      <c r="H169" s="6" t="s">
        <v>1261</v>
      </c>
      <c r="I169" s="6" t="s">
        <v>1262</v>
      </c>
      <c r="J169" s="6" t="s">
        <v>1263</v>
      </c>
      <c r="K169" s="6" t="s">
        <v>1264</v>
      </c>
      <c r="L169" s="17"/>
      <c r="M169" s="17"/>
      <c r="N169" s="17" t="str">
        <f t="shared" si="1"/>
        <v>OK</v>
      </c>
      <c r="O169" s="17" t="s">
        <v>35</v>
      </c>
      <c r="P169" s="6" t="s">
        <v>35</v>
      </c>
      <c r="Q169" s="17" t="s">
        <v>36</v>
      </c>
      <c r="R169" s="17" t="s">
        <v>1265</v>
      </c>
      <c r="S169" s="173" t="s">
        <v>38</v>
      </c>
      <c r="T169" s="11" t="s">
        <v>723</v>
      </c>
      <c r="U169" s="22" t="s">
        <v>1164</v>
      </c>
      <c r="V169" s="22" t="s">
        <v>1164</v>
      </c>
    </row>
    <row r="170" spans="1:22" ht="43.5">
      <c r="A170" s="10" t="s">
        <v>1266</v>
      </c>
      <c r="B170" s="10" t="s">
        <v>27</v>
      </c>
      <c r="C170" s="11" t="s">
        <v>28</v>
      </c>
      <c r="D170" s="12"/>
      <c r="E170" s="13" t="s">
        <v>43</v>
      </c>
      <c r="F170" s="6" t="s">
        <v>885</v>
      </c>
      <c r="G170" s="6" t="str">
        <f ca="1">IFERROR(__xludf.DUMMYFUNCTION("CONCATENATE(B170,(VLOOKUP(C170,CATALOGOS!$F$2:$H$6,3,FALSE)),(VLOOKUP(T170,CATALOGOS!$J$2:$K$18,2,FALSE)),""-"",TO_TEXT(A170))"),"P05RH-0169")</f>
        <v>P05RH-0169</v>
      </c>
      <c r="H170" s="6" t="s">
        <v>1267</v>
      </c>
      <c r="I170" s="6" t="s">
        <v>1268</v>
      </c>
      <c r="J170" s="10" t="s">
        <v>1269</v>
      </c>
      <c r="K170" s="43" t="s">
        <v>1270</v>
      </c>
      <c r="L170" s="17"/>
      <c r="M170" s="17"/>
      <c r="N170" s="17" t="str">
        <f t="shared" si="1"/>
        <v>OK</v>
      </c>
      <c r="O170" s="17" t="s">
        <v>406</v>
      </c>
      <c r="P170" s="6" t="s">
        <v>1271</v>
      </c>
      <c r="Q170" s="17" t="s">
        <v>1272</v>
      </c>
      <c r="R170" s="17" t="s">
        <v>1273</v>
      </c>
      <c r="S170" s="173" t="s">
        <v>38</v>
      </c>
      <c r="T170" s="11" t="s">
        <v>723</v>
      </c>
      <c r="U170" s="22" t="s">
        <v>1164</v>
      </c>
      <c r="V170" s="22" t="s">
        <v>1164</v>
      </c>
    </row>
    <row r="171" spans="1:22" ht="57.75">
      <c r="A171" s="10" t="s">
        <v>1274</v>
      </c>
      <c r="B171" s="10" t="s">
        <v>27</v>
      </c>
      <c r="C171" s="11" t="s">
        <v>28</v>
      </c>
      <c r="D171" s="38"/>
      <c r="E171" s="13" t="s">
        <v>1275</v>
      </c>
      <c r="F171" s="6" t="s">
        <v>1276</v>
      </c>
      <c r="G171" s="6" t="str">
        <f ca="1">IFERROR(__xludf.DUMMYFUNCTION("CONCATENATE(B171,(VLOOKUP(C171,CATALOGOS!$F$2:$H$6,3,FALSE)),(VLOOKUP(T171,CATALOGOS!$J$2:$K$18,2,FALSE)),""-"",TO_TEXT(A171))"),"P05RH-0170")</f>
        <v>P05RH-0170</v>
      </c>
      <c r="H171" s="6" t="s">
        <v>1277</v>
      </c>
      <c r="I171" s="6" t="s">
        <v>1278</v>
      </c>
      <c r="J171" s="10" t="s">
        <v>1279</v>
      </c>
      <c r="K171" s="6" t="s">
        <v>1280</v>
      </c>
      <c r="L171" s="17"/>
      <c r="M171" s="17"/>
      <c r="N171" s="17" t="str">
        <f t="shared" si="1"/>
        <v>OK</v>
      </c>
      <c r="O171" s="17" t="s">
        <v>682</v>
      </c>
      <c r="P171" s="6" t="s">
        <v>1281</v>
      </c>
      <c r="Q171" s="46" t="s">
        <v>1282</v>
      </c>
      <c r="R171" s="17" t="s">
        <v>1283</v>
      </c>
      <c r="S171" s="173" t="s">
        <v>38</v>
      </c>
      <c r="T171" s="11" t="s">
        <v>723</v>
      </c>
      <c r="U171" s="22" t="s">
        <v>1164</v>
      </c>
      <c r="V171" s="22" t="s">
        <v>1164</v>
      </c>
    </row>
    <row r="172" spans="1:22" ht="57.75">
      <c r="A172" s="10" t="s">
        <v>1284</v>
      </c>
      <c r="B172" s="10" t="s">
        <v>27</v>
      </c>
      <c r="C172" s="11" t="s">
        <v>28</v>
      </c>
      <c r="D172" s="12"/>
      <c r="E172" s="13" t="s">
        <v>93</v>
      </c>
      <c r="F172" s="6" t="s">
        <v>1285</v>
      </c>
      <c r="G172" s="6" t="str">
        <f ca="1">IFERROR(__xludf.DUMMYFUNCTION("CONCATENATE(B172,(VLOOKUP(C172,CATALOGOS!$F$2:$H$6,3,FALSE)),(VLOOKUP(T172,CATALOGOS!$J$2:$K$18,2,FALSE)),""-"",TO_TEXT(A172))"),"P05RH-0171")</f>
        <v>P05RH-0171</v>
      </c>
      <c r="H172" s="6" t="s">
        <v>1286</v>
      </c>
      <c r="I172" s="6" t="s">
        <v>1287</v>
      </c>
      <c r="J172" s="6" t="s">
        <v>1288</v>
      </c>
      <c r="K172" s="6" t="s">
        <v>1289</v>
      </c>
      <c r="L172" s="17"/>
      <c r="M172" s="17"/>
      <c r="N172" s="17" t="str">
        <f t="shared" si="1"/>
        <v>OK</v>
      </c>
      <c r="O172" s="17" t="s">
        <v>35</v>
      </c>
      <c r="P172" s="6" t="s">
        <v>35</v>
      </c>
      <c r="Q172" s="17" t="s">
        <v>36</v>
      </c>
      <c r="R172" s="17" t="s">
        <v>1290</v>
      </c>
      <c r="S172" s="173" t="s">
        <v>38</v>
      </c>
      <c r="T172" s="11" t="s">
        <v>723</v>
      </c>
      <c r="U172" s="22" t="s">
        <v>724</v>
      </c>
      <c r="V172" s="22" t="s">
        <v>724</v>
      </c>
    </row>
    <row r="173" spans="1:22" ht="43.5">
      <c r="A173" s="10" t="s">
        <v>1291</v>
      </c>
      <c r="B173" s="10" t="s">
        <v>27</v>
      </c>
      <c r="C173" s="11" t="s">
        <v>28</v>
      </c>
      <c r="D173" s="12"/>
      <c r="E173" s="13" t="s">
        <v>378</v>
      </c>
      <c r="F173" s="6" t="s">
        <v>1292</v>
      </c>
      <c r="G173" s="6" t="str">
        <f ca="1">IFERROR(__xludf.DUMMYFUNCTION("CONCATENATE(B173,(VLOOKUP(C173,CATALOGOS!$F$2:$H$6,3,FALSE)),(VLOOKUP(T173,CATALOGOS!$J$2:$K$18,2,FALSE)),""-"",TO_TEXT(A173))"),"P05RH-0172")</f>
        <v>P05RH-0172</v>
      </c>
      <c r="H173" s="6" t="s">
        <v>1293</v>
      </c>
      <c r="I173" s="6" t="s">
        <v>1294</v>
      </c>
      <c r="J173" s="36"/>
      <c r="K173" s="6" t="s">
        <v>1295</v>
      </c>
      <c r="L173" s="17"/>
      <c r="M173" s="17"/>
      <c r="N173" s="17" t="str">
        <f t="shared" si="1"/>
        <v>OK</v>
      </c>
      <c r="O173" s="35" t="s">
        <v>35</v>
      </c>
      <c r="P173" s="6" t="s">
        <v>35</v>
      </c>
      <c r="Q173" s="10" t="s">
        <v>36</v>
      </c>
      <c r="R173" s="10" t="s">
        <v>1296</v>
      </c>
      <c r="S173" s="173" t="s">
        <v>38</v>
      </c>
      <c r="T173" s="11" t="s">
        <v>723</v>
      </c>
      <c r="U173" s="22" t="s">
        <v>724</v>
      </c>
      <c r="V173" s="22" t="s">
        <v>724</v>
      </c>
    </row>
    <row r="174" spans="1:22" ht="29.25">
      <c r="A174" s="10" t="s">
        <v>1297</v>
      </c>
      <c r="B174" s="10" t="s">
        <v>27</v>
      </c>
      <c r="C174" s="11" t="s">
        <v>28</v>
      </c>
      <c r="D174" s="12"/>
      <c r="E174" s="13" t="s">
        <v>151</v>
      </c>
      <c r="F174" s="6" t="s">
        <v>152</v>
      </c>
      <c r="G174" s="6" t="str">
        <f ca="1">IFERROR(__xludf.DUMMYFUNCTION("CONCATENATE(B174,(VLOOKUP(C174,CATALOGOS!$F$2:$H$6,3,FALSE)),(VLOOKUP(T174,CATALOGOS!$J$2:$K$18,2,FALSE)),""-"",TO_TEXT(A174))"),"P05RM-0175")</f>
        <v>P05RM-0175</v>
      </c>
      <c r="H174" s="6" t="s">
        <v>1298</v>
      </c>
      <c r="I174" s="6" t="s">
        <v>1299</v>
      </c>
      <c r="J174" s="6" t="s">
        <v>1300</v>
      </c>
      <c r="K174" s="6" t="s">
        <v>1301</v>
      </c>
      <c r="L174" s="17"/>
      <c r="M174" s="17"/>
      <c r="N174" s="17" t="str">
        <f t="shared" si="1"/>
        <v>OK</v>
      </c>
      <c r="O174" s="17" t="s">
        <v>157</v>
      </c>
      <c r="P174" s="6" t="s">
        <v>1302</v>
      </c>
      <c r="Q174" s="17" t="s">
        <v>36</v>
      </c>
      <c r="R174" s="17" t="s">
        <v>1303</v>
      </c>
      <c r="S174" s="173" t="s">
        <v>1304</v>
      </c>
      <c r="T174" s="180" t="s">
        <v>147</v>
      </c>
      <c r="U174" s="208" t="s">
        <v>484</v>
      </c>
      <c r="V174" s="190" t="s">
        <v>724</v>
      </c>
    </row>
    <row r="175" spans="1:22" ht="43.5">
      <c r="A175" s="55" t="s">
        <v>1305</v>
      </c>
      <c r="B175" s="10" t="s">
        <v>27</v>
      </c>
      <c r="C175" s="11" t="s">
        <v>28</v>
      </c>
      <c r="D175" s="12"/>
      <c r="E175" s="13" t="s">
        <v>378</v>
      </c>
      <c r="F175" s="6" t="s">
        <v>1306</v>
      </c>
      <c r="G175" s="6" t="str">
        <f ca="1">IFERROR(__xludf.DUMMYFUNCTION("CONCATENATE(B175,(VLOOKUP(C175,CATALOGOS!$F$2:$H$6,3,FALSE)),(VLOOKUP(T175,CATALOGOS!$J$2:$K$18,2,FALSE)),""-"",TO_TEXT(A175))"),"P05RH-0173")</f>
        <v>P05RH-0173</v>
      </c>
      <c r="H175" s="6" t="s">
        <v>1307</v>
      </c>
      <c r="I175" s="6" t="s">
        <v>1308</v>
      </c>
      <c r="J175" s="6" t="s">
        <v>1309</v>
      </c>
      <c r="K175" s="43" t="s">
        <v>1310</v>
      </c>
      <c r="L175" s="17"/>
      <c r="M175" s="17"/>
      <c r="N175" s="17" t="str">
        <f t="shared" si="1"/>
        <v>OK</v>
      </c>
      <c r="O175" s="46" t="s">
        <v>35</v>
      </c>
      <c r="P175" s="6" t="s">
        <v>35</v>
      </c>
      <c r="Q175" s="17" t="s">
        <v>36</v>
      </c>
      <c r="R175" s="17" t="s">
        <v>1311</v>
      </c>
      <c r="S175" s="173" t="s">
        <v>38</v>
      </c>
      <c r="T175" s="11" t="s">
        <v>723</v>
      </c>
      <c r="U175" s="22" t="s">
        <v>724</v>
      </c>
      <c r="V175" s="22" t="s">
        <v>724</v>
      </c>
    </row>
    <row r="176" spans="1:22" ht="57.75">
      <c r="A176" s="10" t="s">
        <v>1312</v>
      </c>
      <c r="B176" s="10" t="s">
        <v>27</v>
      </c>
      <c r="C176" s="11" t="s">
        <v>28</v>
      </c>
      <c r="D176" s="12"/>
      <c r="E176" s="13" t="s">
        <v>116</v>
      </c>
      <c r="F176" s="6" t="s">
        <v>364</v>
      </c>
      <c r="G176" s="6" t="str">
        <f ca="1">IFERROR(__xludf.DUMMYFUNCTION("CONCATENATE(B176,(VLOOKUP(C176,CATALOGOS!$F$2:$H$6,3,FALSE)),(VLOOKUP(T176,CATALOGOS!$J$2:$K$18,2,FALSE)),""-"",TO_TEXT(A176))"),"P05RH-0174")</f>
        <v>P05RH-0174</v>
      </c>
      <c r="H176" s="6" t="s">
        <v>1313</v>
      </c>
      <c r="I176" s="6" t="s">
        <v>1314</v>
      </c>
      <c r="J176" s="6" t="s">
        <v>1315</v>
      </c>
      <c r="K176" s="6" t="s">
        <v>1316</v>
      </c>
      <c r="L176" s="17"/>
      <c r="M176" s="17"/>
      <c r="N176" s="17" t="str">
        <f t="shared" si="1"/>
        <v>OK</v>
      </c>
      <c r="O176" s="17" t="s">
        <v>35</v>
      </c>
      <c r="P176" s="49" t="s">
        <v>35</v>
      </c>
      <c r="Q176" s="17" t="s">
        <v>36</v>
      </c>
      <c r="R176" s="17" t="s">
        <v>1317</v>
      </c>
      <c r="S176" s="173" t="s">
        <v>38</v>
      </c>
      <c r="T176" s="11" t="s">
        <v>723</v>
      </c>
      <c r="U176" s="22" t="s">
        <v>724</v>
      </c>
      <c r="V176" s="22" t="s">
        <v>724</v>
      </c>
    </row>
    <row r="177" spans="1:22" ht="57.75">
      <c r="A177" s="10" t="s">
        <v>1318</v>
      </c>
      <c r="B177" s="10" t="s">
        <v>27</v>
      </c>
      <c r="C177" s="11" t="s">
        <v>28</v>
      </c>
      <c r="D177" s="12"/>
      <c r="E177" s="13" t="s">
        <v>199</v>
      </c>
      <c r="F177" s="6" t="s">
        <v>199</v>
      </c>
      <c r="G177" s="6" t="str">
        <f ca="1">IFERROR(__xludf.DUMMYFUNCTION("CONCATENATE(B177,(VLOOKUP(C177,CATALOGOS!$F$2:$H$6,3,FALSE)),(VLOOKUP(T177,CATALOGOS!$J$2:$K$18,2,FALSE)),""-"",TO_TEXT(A177))"),"P05RH-0176")</f>
        <v>P05RH-0176</v>
      </c>
      <c r="H177" s="6" t="s">
        <v>1319</v>
      </c>
      <c r="I177" s="6" t="s">
        <v>1320</v>
      </c>
      <c r="J177" s="6" t="s">
        <v>1321</v>
      </c>
      <c r="K177" s="6" t="s">
        <v>1322</v>
      </c>
      <c r="L177" s="17"/>
      <c r="M177" s="17"/>
      <c r="N177" s="17" t="str">
        <f t="shared" si="1"/>
        <v>OK</v>
      </c>
      <c r="O177" s="17" t="s">
        <v>157</v>
      </c>
      <c r="P177" s="6">
        <v>2378</v>
      </c>
      <c r="Q177" s="17" t="s">
        <v>1323</v>
      </c>
      <c r="R177" s="17" t="s">
        <v>1324</v>
      </c>
      <c r="S177" s="173" t="s">
        <v>38</v>
      </c>
      <c r="T177" s="11" t="s">
        <v>723</v>
      </c>
      <c r="U177" s="22" t="s">
        <v>724</v>
      </c>
      <c r="V177" s="22" t="s">
        <v>724</v>
      </c>
    </row>
    <row r="178" spans="1:22" ht="43.5">
      <c r="A178" s="10" t="s">
        <v>1325</v>
      </c>
      <c r="B178" s="10" t="s">
        <v>27</v>
      </c>
      <c r="C178" s="11" t="s">
        <v>28</v>
      </c>
      <c r="D178" s="12"/>
      <c r="E178" s="13" t="s">
        <v>136</v>
      </c>
      <c r="F178" s="6" t="s">
        <v>689</v>
      </c>
      <c r="G178" s="6" t="str">
        <f ca="1">IFERROR(__xludf.DUMMYFUNCTION("CONCATENATE(B178,(VLOOKUP(C178,CATALOGOS!$F$2:$H$6,3,FALSE)),(VLOOKUP(T178,CATALOGOS!$J$2:$K$18,2,FALSE)),""-"",TO_TEXT(A178))"),"P05RH-0177")</f>
        <v>P05RH-0177</v>
      </c>
      <c r="H178" s="6" t="s">
        <v>1326</v>
      </c>
      <c r="I178" s="6" t="s">
        <v>1327</v>
      </c>
      <c r="J178" s="6" t="s">
        <v>1328</v>
      </c>
      <c r="K178" s="6" t="s">
        <v>1329</v>
      </c>
      <c r="L178" s="17"/>
      <c r="M178" s="17"/>
      <c r="N178" s="17" t="str">
        <f t="shared" si="1"/>
        <v>OK</v>
      </c>
      <c r="O178" s="17" t="s">
        <v>143</v>
      </c>
      <c r="P178" s="6" t="s">
        <v>1330</v>
      </c>
      <c r="Q178" s="32" t="s">
        <v>1331</v>
      </c>
      <c r="R178" s="17" t="s">
        <v>1332</v>
      </c>
      <c r="S178" s="173" t="s">
        <v>38</v>
      </c>
      <c r="T178" s="11" t="s">
        <v>723</v>
      </c>
      <c r="U178" s="22" t="s">
        <v>724</v>
      </c>
      <c r="V178" s="22" t="s">
        <v>724</v>
      </c>
    </row>
    <row r="179" spans="1:22" ht="43.5">
      <c r="A179" s="10" t="s">
        <v>1333</v>
      </c>
      <c r="B179" s="10" t="s">
        <v>27</v>
      </c>
      <c r="C179" s="11" t="s">
        <v>28</v>
      </c>
      <c r="D179" s="12"/>
      <c r="E179" s="13" t="s">
        <v>353</v>
      </c>
      <c r="F179" s="43" t="s">
        <v>638</v>
      </c>
      <c r="G179" s="6" t="str">
        <f ca="1">IFERROR(__xludf.DUMMYFUNCTION("CONCATENATE(B179,(VLOOKUP(C179,CATALOGOS!$F$2:$H$6,3,FALSE)),(VLOOKUP(T179,CATALOGOS!$J$2:$K$18,2,FALSE)),""-"",TO_TEXT(A179))"),"P05RH-0178")</f>
        <v>P05RH-0178</v>
      </c>
      <c r="H179" s="6" t="s">
        <v>1334</v>
      </c>
      <c r="I179" s="6" t="s">
        <v>1335</v>
      </c>
      <c r="J179" s="6" t="s">
        <v>1336</v>
      </c>
      <c r="K179" s="6" t="s">
        <v>1337</v>
      </c>
      <c r="L179" s="17"/>
      <c r="M179" s="17"/>
      <c r="N179" s="17" t="str">
        <f t="shared" si="1"/>
        <v>OK</v>
      </c>
      <c r="O179" s="17" t="s">
        <v>359</v>
      </c>
      <c r="P179" s="6" t="s">
        <v>360</v>
      </c>
      <c r="Q179" s="17" t="s">
        <v>1338</v>
      </c>
      <c r="R179" s="17" t="s">
        <v>1339</v>
      </c>
      <c r="S179" s="173" t="s">
        <v>38</v>
      </c>
      <c r="T179" s="11" t="s">
        <v>723</v>
      </c>
      <c r="U179" s="22" t="s">
        <v>724</v>
      </c>
      <c r="V179" s="22" t="s">
        <v>724</v>
      </c>
    </row>
    <row r="180" spans="1:22" ht="86.25">
      <c r="A180" s="10" t="s">
        <v>1340</v>
      </c>
      <c r="B180" s="10" t="s">
        <v>27</v>
      </c>
      <c r="C180" s="11" t="s">
        <v>28</v>
      </c>
      <c r="D180" s="38"/>
      <c r="E180" s="13" t="s">
        <v>1240</v>
      </c>
      <c r="F180" s="6" t="s">
        <v>278</v>
      </c>
      <c r="G180" s="6" t="str">
        <f ca="1">IFERROR(__xludf.DUMMYFUNCTION("CONCATENATE(B180,(VLOOKUP(C180,CATALOGOS!$F$2:$H$6,3,FALSE)),(VLOOKUP(T180,CATALOGOS!$J$2:$K$18,2,FALSE)),""-"",TO_TEXT(A180))"),"P05RH-0179")</f>
        <v>P05RH-0179</v>
      </c>
      <c r="H180" s="6" t="s">
        <v>1341</v>
      </c>
      <c r="I180" s="6" t="s">
        <v>1342</v>
      </c>
      <c r="J180" s="6" t="s">
        <v>1343</v>
      </c>
      <c r="K180" s="6" t="s">
        <v>1344</v>
      </c>
      <c r="L180" s="17"/>
      <c r="M180" s="17"/>
      <c r="N180" s="17" t="str">
        <f t="shared" si="1"/>
        <v>OK</v>
      </c>
      <c r="O180" s="17" t="s">
        <v>35</v>
      </c>
      <c r="P180" s="6" t="s">
        <v>35</v>
      </c>
      <c r="Q180" s="46" t="s">
        <v>36</v>
      </c>
      <c r="R180" s="17" t="s">
        <v>1345</v>
      </c>
      <c r="S180" s="173" t="s">
        <v>38</v>
      </c>
      <c r="T180" s="11" t="s">
        <v>723</v>
      </c>
      <c r="U180" s="22" t="s">
        <v>724</v>
      </c>
      <c r="V180" s="22" t="s">
        <v>724</v>
      </c>
    </row>
    <row r="181" spans="1:22" ht="29.25">
      <c r="A181" s="10" t="s">
        <v>1346</v>
      </c>
      <c r="B181" s="10" t="s">
        <v>27</v>
      </c>
      <c r="C181" s="11" t="s">
        <v>28</v>
      </c>
      <c r="D181" s="12"/>
      <c r="E181" s="13" t="s">
        <v>116</v>
      </c>
      <c r="F181" s="6" t="s">
        <v>1347</v>
      </c>
      <c r="G181" s="6" t="str">
        <f ca="1">IFERROR(__xludf.DUMMYFUNCTION("CONCATENATE(B181,(VLOOKUP(C181,CATALOGOS!$F$2:$H$6,3,FALSE)),(VLOOKUP(T181,CATALOGOS!$J$2:$K$18,2,FALSE)),""-"",TO_TEXT(A181))"),"P05RH-0180")</f>
        <v>P05RH-0180</v>
      </c>
      <c r="H181" s="6" t="s">
        <v>1348</v>
      </c>
      <c r="I181" s="6" t="s">
        <v>1349</v>
      </c>
      <c r="J181" s="36"/>
      <c r="K181" s="6" t="s">
        <v>141</v>
      </c>
      <c r="L181" s="17"/>
      <c r="M181" s="17"/>
      <c r="N181" s="17" t="str">
        <f t="shared" si="1"/>
        <v>REPETIDO</v>
      </c>
      <c r="O181" s="17" t="s">
        <v>35</v>
      </c>
      <c r="P181" s="6" t="s">
        <v>35</v>
      </c>
      <c r="Q181" s="6" t="s">
        <v>36</v>
      </c>
      <c r="R181" s="10" t="s">
        <v>85</v>
      </c>
      <c r="S181" s="173" t="s">
        <v>38</v>
      </c>
      <c r="T181" s="11" t="s">
        <v>723</v>
      </c>
      <c r="U181" s="20" t="s">
        <v>1350</v>
      </c>
      <c r="V181" s="22" t="s">
        <v>1350</v>
      </c>
    </row>
    <row r="182" spans="1:22" ht="43.5">
      <c r="A182" s="10" t="s">
        <v>1351</v>
      </c>
      <c r="B182" s="10" t="s">
        <v>27</v>
      </c>
      <c r="C182" s="11" t="s">
        <v>28</v>
      </c>
      <c r="D182" s="12"/>
      <c r="E182" s="13" t="s">
        <v>151</v>
      </c>
      <c r="F182" s="6" t="s">
        <v>293</v>
      </c>
      <c r="G182" s="6" t="str">
        <f ca="1">IFERROR(__xludf.DUMMYFUNCTION("CONCATENATE(B182,(VLOOKUP(C182,CATALOGOS!$F$2:$H$6,3,FALSE)),(VLOOKUP(T182,CATALOGOS!$J$2:$K$18,2,FALSE)),""-"",TO_TEXT(A182))"),"P05RH-0181")</f>
        <v>P05RH-0181</v>
      </c>
      <c r="H182" s="6" t="s">
        <v>1352</v>
      </c>
      <c r="I182" s="6" t="s">
        <v>1353</v>
      </c>
      <c r="J182" s="36"/>
      <c r="K182" s="6" t="s">
        <v>1354</v>
      </c>
      <c r="L182" s="17"/>
      <c r="M182" s="17"/>
      <c r="N182" s="17" t="str">
        <f t="shared" si="1"/>
        <v>OK</v>
      </c>
      <c r="O182" s="17" t="s">
        <v>297</v>
      </c>
      <c r="P182" s="6" t="s">
        <v>298</v>
      </c>
      <c r="Q182" s="6" t="s">
        <v>1355</v>
      </c>
      <c r="R182" s="10" t="s">
        <v>85</v>
      </c>
      <c r="S182" s="173" t="s">
        <v>38</v>
      </c>
      <c r="T182" s="11" t="s">
        <v>723</v>
      </c>
      <c r="U182" s="22" t="s">
        <v>1350</v>
      </c>
      <c r="V182" s="22" t="s">
        <v>1350</v>
      </c>
    </row>
    <row r="183" spans="1:22" ht="57.75">
      <c r="A183" s="10" t="s">
        <v>1356</v>
      </c>
      <c r="B183" s="10" t="s">
        <v>27</v>
      </c>
      <c r="C183" s="11" t="s">
        <v>28</v>
      </c>
      <c r="D183" s="12"/>
      <c r="E183" s="13" t="s">
        <v>199</v>
      </c>
      <c r="F183" s="6" t="s">
        <v>199</v>
      </c>
      <c r="G183" s="6" t="str">
        <f ca="1">IFERROR(__xludf.DUMMYFUNCTION("CONCATENATE(B183,(VLOOKUP(C183,CATALOGOS!$F$2:$H$6,3,FALSE)),(VLOOKUP(T183,CATALOGOS!$J$2:$K$18,2,FALSE)),""-"",TO_TEXT(A183))"),"P05RH-0182")</f>
        <v>P05RH-0182</v>
      </c>
      <c r="H183" s="6" t="s">
        <v>1357</v>
      </c>
      <c r="I183" s="6" t="s">
        <v>1358</v>
      </c>
      <c r="J183" s="36"/>
      <c r="K183" s="6" t="s">
        <v>1359</v>
      </c>
      <c r="L183" s="17"/>
      <c r="M183" s="17"/>
      <c r="N183" s="17" t="str">
        <f t="shared" si="1"/>
        <v>OK</v>
      </c>
      <c r="O183" s="17" t="s">
        <v>273</v>
      </c>
      <c r="P183" s="6" t="s">
        <v>274</v>
      </c>
      <c r="Q183" s="6">
        <v>11392903015062</v>
      </c>
      <c r="R183" s="10" t="s">
        <v>85</v>
      </c>
      <c r="S183" s="173" t="s">
        <v>38</v>
      </c>
      <c r="T183" s="11" t="s">
        <v>723</v>
      </c>
      <c r="U183" s="22" t="s">
        <v>1350</v>
      </c>
      <c r="V183" s="22" t="s">
        <v>1350</v>
      </c>
    </row>
    <row r="184" spans="1:22" ht="57.75">
      <c r="A184" s="10" t="s">
        <v>1360</v>
      </c>
      <c r="B184" s="10" t="s">
        <v>27</v>
      </c>
      <c r="C184" s="11" t="s">
        <v>28</v>
      </c>
      <c r="D184" s="12"/>
      <c r="E184" s="13" t="s">
        <v>378</v>
      </c>
      <c r="F184" s="6" t="s">
        <v>379</v>
      </c>
      <c r="G184" s="6" t="str">
        <f ca="1">IFERROR(__xludf.DUMMYFUNCTION("CONCATENATE(B184,(VLOOKUP(C184,CATALOGOS!$F$2:$H$6,3,FALSE)),(VLOOKUP(T184,CATALOGOS!$J$2:$K$18,2,FALSE)),""-"",TO_TEXT(A184))"),"P05RH-0183")</f>
        <v>P05RH-0183</v>
      </c>
      <c r="H184" s="6" t="s">
        <v>1361</v>
      </c>
      <c r="I184" s="6" t="s">
        <v>1362</v>
      </c>
      <c r="J184" s="6" t="s">
        <v>1363</v>
      </c>
      <c r="K184" s="6" t="s">
        <v>1364</v>
      </c>
      <c r="L184" s="17"/>
      <c r="M184" s="17"/>
      <c r="N184" s="17" t="str">
        <f t="shared" si="1"/>
        <v>OK</v>
      </c>
      <c r="O184" s="17" t="s">
        <v>35</v>
      </c>
      <c r="P184" s="6" t="s">
        <v>35</v>
      </c>
      <c r="Q184" s="17" t="s">
        <v>36</v>
      </c>
      <c r="R184" s="17" t="s">
        <v>1365</v>
      </c>
      <c r="S184" s="173" t="s">
        <v>38</v>
      </c>
      <c r="T184" s="11" t="s">
        <v>723</v>
      </c>
      <c r="U184" s="22" t="s">
        <v>1350</v>
      </c>
      <c r="V184" s="22" t="s">
        <v>1350</v>
      </c>
    </row>
    <row r="185" spans="1:22" ht="43.5">
      <c r="A185" s="10" t="s">
        <v>1366</v>
      </c>
      <c r="B185" s="10" t="s">
        <v>27</v>
      </c>
      <c r="C185" s="11" t="s">
        <v>28</v>
      </c>
      <c r="D185" s="38"/>
      <c r="E185" s="13" t="s">
        <v>353</v>
      </c>
      <c r="F185" s="6" t="s">
        <v>354</v>
      </c>
      <c r="G185" s="6" t="str">
        <f ca="1">IFERROR(__xludf.DUMMYFUNCTION("CONCATENATE(B185,(VLOOKUP(C185,CATALOGOS!$F$2:$H$6,3,FALSE)),(VLOOKUP(T185,CATALOGOS!$J$2:$K$18,2,FALSE)),""-"",TO_TEXT(A185))"),"P05RH-0184")</f>
        <v>P05RH-0184</v>
      </c>
      <c r="H185" s="6" t="s">
        <v>1367</v>
      </c>
      <c r="I185" s="6" t="s">
        <v>1368</v>
      </c>
      <c r="J185" s="36"/>
      <c r="K185" s="6" t="s">
        <v>1369</v>
      </c>
      <c r="L185" s="17"/>
      <c r="M185" s="17"/>
      <c r="N185" s="17" t="str">
        <f t="shared" si="1"/>
        <v>OK</v>
      </c>
      <c r="O185" s="17" t="s">
        <v>1370</v>
      </c>
      <c r="P185" s="6" t="s">
        <v>304</v>
      </c>
      <c r="Q185" s="6" t="s">
        <v>1371</v>
      </c>
      <c r="R185" s="32" t="s">
        <v>1372</v>
      </c>
      <c r="S185" s="173" t="s">
        <v>38</v>
      </c>
      <c r="T185" s="11" t="s">
        <v>723</v>
      </c>
      <c r="U185" s="22" t="s">
        <v>1350</v>
      </c>
      <c r="V185" s="22" t="s">
        <v>1350</v>
      </c>
    </row>
    <row r="186" spans="1:22" ht="86.25">
      <c r="A186" s="10" t="s">
        <v>1373</v>
      </c>
      <c r="B186" s="10" t="s">
        <v>27</v>
      </c>
      <c r="C186" s="11" t="s">
        <v>28</v>
      </c>
      <c r="D186" s="12"/>
      <c r="E186" s="13" t="s">
        <v>1240</v>
      </c>
      <c r="F186" s="43" t="s">
        <v>278</v>
      </c>
      <c r="G186" s="6" t="str">
        <f ca="1">IFERROR(__xludf.DUMMYFUNCTION("CONCATENATE(B186,(VLOOKUP(C186,CATALOGOS!$F$2:$H$6,3,FALSE)),(VLOOKUP(T186,CATALOGOS!$J$2:$K$18,2,FALSE)),""-"",TO_TEXT(A186))"),"P05RH-0185")</f>
        <v>P05RH-0185</v>
      </c>
      <c r="H186" s="6" t="s">
        <v>1374</v>
      </c>
      <c r="I186" s="6" t="s">
        <v>1375</v>
      </c>
      <c r="J186" s="6" t="s">
        <v>1376</v>
      </c>
      <c r="K186" s="6" t="s">
        <v>1377</v>
      </c>
      <c r="L186" s="17"/>
      <c r="M186" s="17"/>
      <c r="N186" s="17" t="str">
        <f t="shared" si="1"/>
        <v>OK</v>
      </c>
      <c r="O186" s="17" t="s">
        <v>35</v>
      </c>
      <c r="P186" s="6" t="s">
        <v>35</v>
      </c>
      <c r="Q186" s="17" t="s">
        <v>36</v>
      </c>
      <c r="R186" s="17" t="s">
        <v>1378</v>
      </c>
      <c r="S186" s="173" t="s">
        <v>38</v>
      </c>
      <c r="T186" s="11" t="s">
        <v>723</v>
      </c>
      <c r="U186" s="20" t="s">
        <v>1350</v>
      </c>
      <c r="V186" s="20" t="s">
        <v>1350</v>
      </c>
    </row>
    <row r="187" spans="1:22" ht="72">
      <c r="A187" s="10" t="s">
        <v>1379</v>
      </c>
      <c r="B187" s="10" t="s">
        <v>27</v>
      </c>
      <c r="C187" s="11" t="s">
        <v>28</v>
      </c>
      <c r="D187" s="12"/>
      <c r="E187" s="13" t="s">
        <v>93</v>
      </c>
      <c r="F187" s="6" t="s">
        <v>1380</v>
      </c>
      <c r="G187" s="6" t="str">
        <f ca="1">IFERROR(__xludf.DUMMYFUNCTION("CONCATENATE(B187,(VLOOKUP(C187,CATALOGOS!$F$2:$H$6,3,FALSE)),(VLOOKUP(T187,CATALOGOS!$J$2:$K$18,2,FALSE)),""-"",TO_TEXT(A187))"),"P05RH-0186")</f>
        <v>P05RH-0186</v>
      </c>
      <c r="H187" s="6" t="s">
        <v>1381</v>
      </c>
      <c r="I187" s="6" t="s">
        <v>1382</v>
      </c>
      <c r="J187" s="6" t="s">
        <v>1383</v>
      </c>
      <c r="K187" s="6" t="s">
        <v>1384</v>
      </c>
      <c r="L187" s="17"/>
      <c r="M187" s="17"/>
      <c r="N187" s="17" t="str">
        <f t="shared" si="1"/>
        <v>OK</v>
      </c>
      <c r="O187" s="17" t="s">
        <v>35</v>
      </c>
      <c r="P187" s="6" t="s">
        <v>35</v>
      </c>
      <c r="Q187" s="17" t="s">
        <v>36</v>
      </c>
      <c r="R187" s="17" t="s">
        <v>1385</v>
      </c>
      <c r="S187" s="173" t="s">
        <v>38</v>
      </c>
      <c r="T187" s="11" t="s">
        <v>723</v>
      </c>
      <c r="U187" s="22" t="s">
        <v>1386</v>
      </c>
      <c r="V187" s="22" t="s">
        <v>1386</v>
      </c>
    </row>
    <row r="188" spans="1:22" ht="57.75">
      <c r="A188" s="10" t="s">
        <v>1387</v>
      </c>
      <c r="B188" s="10" t="s">
        <v>27</v>
      </c>
      <c r="C188" s="11" t="s">
        <v>28</v>
      </c>
      <c r="D188" s="12"/>
      <c r="E188" s="13" t="s">
        <v>116</v>
      </c>
      <c r="F188" s="6" t="s">
        <v>364</v>
      </c>
      <c r="G188" s="217" t="str">
        <f ca="1">IFERROR(__xludf.DUMMYFUNCTION("CONCATENATE(B188,(VLOOKUP(C188,CATALOGOS!$F$2:$H$6,3,FALSE)),(VLOOKUP(T188,CATALOGOS!$J$2:$K$18,2,FALSE)),""-"",TO_TEXT(A188))"),"P05RH-0187")</f>
        <v>P05RH-0187</v>
      </c>
      <c r="H188" s="6" t="s">
        <v>1388</v>
      </c>
      <c r="I188" s="6" t="s">
        <v>1389</v>
      </c>
      <c r="J188" s="6" t="s">
        <v>1390</v>
      </c>
      <c r="K188" s="6" t="s">
        <v>1391</v>
      </c>
      <c r="L188" s="17"/>
      <c r="M188" s="17"/>
      <c r="N188" s="17" t="str">
        <f t="shared" si="1"/>
        <v>OK</v>
      </c>
      <c r="O188" s="17" t="s">
        <v>35</v>
      </c>
      <c r="P188" s="6" t="s">
        <v>35</v>
      </c>
      <c r="Q188" s="17" t="s">
        <v>36</v>
      </c>
      <c r="R188" s="17" t="s">
        <v>1392</v>
      </c>
      <c r="S188" s="173" t="s">
        <v>38</v>
      </c>
      <c r="T188" s="11" t="s">
        <v>723</v>
      </c>
      <c r="U188" s="22" t="s">
        <v>1386</v>
      </c>
      <c r="V188" s="22" t="s">
        <v>1386</v>
      </c>
    </row>
    <row r="189" spans="1:22" ht="57.75">
      <c r="A189" s="10" t="s">
        <v>1393</v>
      </c>
      <c r="B189" s="10" t="s">
        <v>27</v>
      </c>
      <c r="C189" s="11" t="s">
        <v>28</v>
      </c>
      <c r="D189" s="12"/>
      <c r="E189" s="13" t="s">
        <v>199</v>
      </c>
      <c r="F189" s="43" t="s">
        <v>1394</v>
      </c>
      <c r="G189" s="6" t="str">
        <f ca="1">IFERROR(__xludf.DUMMYFUNCTION("CONCATENATE(B189,(VLOOKUP(C189,CATALOGOS!$F$2:$H$6,3,FALSE)),(VLOOKUP(T189,CATALOGOS!$J$2:$K$18,2,FALSE)),""-"",TO_TEXT(A189))"),"P05RH-0188")</f>
        <v>P05RH-0188</v>
      </c>
      <c r="H189" s="6" t="s">
        <v>1395</v>
      </c>
      <c r="I189" s="6" t="s">
        <v>1396</v>
      </c>
      <c r="J189" s="6" t="s">
        <v>1397</v>
      </c>
      <c r="K189" s="43" t="s">
        <v>1398</v>
      </c>
      <c r="L189" s="17"/>
      <c r="M189" s="17"/>
      <c r="N189" s="17" t="str">
        <f t="shared" si="1"/>
        <v>OK</v>
      </c>
      <c r="O189" s="17" t="s">
        <v>297</v>
      </c>
      <c r="P189" s="6" t="s">
        <v>1399</v>
      </c>
      <c r="Q189" s="17" t="s">
        <v>1400</v>
      </c>
      <c r="R189" s="17" t="s">
        <v>1401</v>
      </c>
      <c r="S189" s="173" t="s">
        <v>517</v>
      </c>
      <c r="T189" s="11" t="s">
        <v>723</v>
      </c>
      <c r="U189" s="22" t="s">
        <v>1386</v>
      </c>
      <c r="V189" s="22" t="s">
        <v>1386</v>
      </c>
    </row>
    <row r="190" spans="1:22" ht="29.25">
      <c r="A190" s="10" t="s">
        <v>1402</v>
      </c>
      <c r="B190" s="10" t="s">
        <v>27</v>
      </c>
      <c r="C190" s="11" t="s">
        <v>28</v>
      </c>
      <c r="D190" s="12"/>
      <c r="E190" s="13" t="s">
        <v>151</v>
      </c>
      <c r="F190" s="6" t="s">
        <v>963</v>
      </c>
      <c r="G190" s="6" t="str">
        <f ca="1">IFERROR(__xludf.DUMMYFUNCTION("CONCATENATE(B190,(VLOOKUP(C190,CATALOGOS!$F$2:$H$6,3,FALSE)),(VLOOKUP(T190,CATALOGOS!$J$2:$K$18,2,FALSE)),""-"",TO_TEXT(A190))"),"P05RH-0189")</f>
        <v>P05RH-0189</v>
      </c>
      <c r="H190" s="6" t="s">
        <v>1403</v>
      </c>
      <c r="I190" s="6" t="s">
        <v>1404</v>
      </c>
      <c r="J190" s="6" t="s">
        <v>1405</v>
      </c>
      <c r="K190" s="6" t="s">
        <v>1406</v>
      </c>
      <c r="L190" s="17"/>
      <c r="M190" s="17"/>
      <c r="N190" s="17" t="str">
        <f t="shared" si="1"/>
        <v>OK</v>
      </c>
      <c r="O190" s="17" t="s">
        <v>297</v>
      </c>
      <c r="P190" s="6" t="s">
        <v>1407</v>
      </c>
      <c r="Q190" s="17" t="s">
        <v>1408</v>
      </c>
      <c r="R190" s="17" t="s">
        <v>1409</v>
      </c>
      <c r="S190" s="173" t="s">
        <v>517</v>
      </c>
      <c r="T190" s="11" t="s">
        <v>723</v>
      </c>
      <c r="U190" s="22" t="s">
        <v>1386</v>
      </c>
      <c r="V190" s="22" t="s">
        <v>1386</v>
      </c>
    </row>
    <row r="191" spans="1:22" ht="43.5">
      <c r="A191" s="10" t="s">
        <v>1410</v>
      </c>
      <c r="B191" s="10" t="s">
        <v>27</v>
      </c>
      <c r="C191" s="11" t="s">
        <v>28</v>
      </c>
      <c r="D191" s="12"/>
      <c r="E191" s="13" t="s">
        <v>353</v>
      </c>
      <c r="F191" s="6" t="s">
        <v>638</v>
      </c>
      <c r="G191" s="6" t="str">
        <f ca="1">IFERROR(__xludf.DUMMYFUNCTION("CONCATENATE(B191,(VLOOKUP(C191,CATALOGOS!$F$2:$H$6,3,FALSE)),(VLOOKUP(T191,CATALOGOS!$J$2:$K$18,2,FALSE)),""-"",TO_TEXT(A191))"),"P05RH-0190")</f>
        <v>P05RH-0190</v>
      </c>
      <c r="H191" s="6" t="s">
        <v>1411</v>
      </c>
      <c r="I191" s="6" t="s">
        <v>1412</v>
      </c>
      <c r="J191" s="36"/>
      <c r="K191" s="6" t="s">
        <v>1413</v>
      </c>
      <c r="L191" s="17"/>
      <c r="M191" s="17"/>
      <c r="N191" s="17" t="str">
        <f t="shared" si="1"/>
        <v>OK</v>
      </c>
      <c r="O191" s="17" t="s">
        <v>359</v>
      </c>
      <c r="P191" s="6" t="s">
        <v>1414</v>
      </c>
      <c r="Q191" s="6">
        <v>161139013</v>
      </c>
      <c r="R191" s="10" t="s">
        <v>1415</v>
      </c>
      <c r="S191" s="173" t="s">
        <v>38</v>
      </c>
      <c r="T191" s="11" t="s">
        <v>723</v>
      </c>
      <c r="U191" s="22" t="s">
        <v>1386</v>
      </c>
      <c r="V191" s="22" t="s">
        <v>1386</v>
      </c>
    </row>
    <row r="192" spans="1:22" ht="43.5">
      <c r="A192" s="10" t="s">
        <v>1416</v>
      </c>
      <c r="B192" s="10" t="s">
        <v>27</v>
      </c>
      <c r="C192" s="11" t="s">
        <v>28</v>
      </c>
      <c r="D192" s="38"/>
      <c r="E192" s="13" t="s">
        <v>378</v>
      </c>
      <c r="F192" s="6" t="s">
        <v>1006</v>
      </c>
      <c r="G192" s="6" t="str">
        <f ca="1">IFERROR(__xludf.DUMMYFUNCTION("CONCATENATE(B192,(VLOOKUP(C192,CATALOGOS!$F$2:$H$6,3,FALSE)),(VLOOKUP(T192,CATALOGOS!$J$2:$K$18,2,FALSE)),""-"",TO_TEXT(A192))"),"P05RH-0191")</f>
        <v>P05RH-0191</v>
      </c>
      <c r="H192" s="6" t="s">
        <v>1417</v>
      </c>
      <c r="I192" s="6" t="s">
        <v>1418</v>
      </c>
      <c r="J192" s="6" t="s">
        <v>1419</v>
      </c>
      <c r="K192" s="43" t="s">
        <v>1420</v>
      </c>
      <c r="L192" s="17"/>
      <c r="M192" s="17"/>
      <c r="N192" s="17" t="str">
        <f t="shared" si="1"/>
        <v>OK</v>
      </c>
      <c r="O192" s="17" t="s">
        <v>35</v>
      </c>
      <c r="P192" s="6" t="s">
        <v>35</v>
      </c>
      <c r="Q192" s="46" t="s">
        <v>36</v>
      </c>
      <c r="R192" s="17" t="s">
        <v>1421</v>
      </c>
      <c r="S192" s="179" t="s">
        <v>517</v>
      </c>
      <c r="T192" s="11" t="s">
        <v>723</v>
      </c>
      <c r="U192" s="22" t="s">
        <v>1386</v>
      </c>
      <c r="V192" s="22" t="s">
        <v>1386</v>
      </c>
    </row>
    <row r="193" spans="1:22" ht="57.75">
      <c r="A193" s="10" t="s">
        <v>1422</v>
      </c>
      <c r="B193" s="10" t="s">
        <v>27</v>
      </c>
      <c r="C193" s="11" t="s">
        <v>28</v>
      </c>
      <c r="D193" s="12"/>
      <c r="E193" s="13" t="s">
        <v>116</v>
      </c>
      <c r="F193" s="6" t="s">
        <v>364</v>
      </c>
      <c r="G193" s="6" t="str">
        <f ca="1">IFERROR(__xludf.DUMMYFUNCTION("CONCATENATE(B193,(VLOOKUP(C193,CATALOGOS!$F$2:$H$6,3,FALSE)),(VLOOKUP(T193,CATALOGOS!$J$2:$K$18,2,FALSE)),""-"",TO_TEXT(A193))"),"P05RH-0192")</f>
        <v>P05RH-0192</v>
      </c>
      <c r="H193" s="6" t="s">
        <v>1423</v>
      </c>
      <c r="I193" s="6" t="s">
        <v>1424</v>
      </c>
      <c r="J193" s="6" t="s">
        <v>1425</v>
      </c>
      <c r="K193" s="6" t="s">
        <v>141</v>
      </c>
      <c r="L193" s="17"/>
      <c r="M193" s="17"/>
      <c r="N193" s="17" t="str">
        <f t="shared" si="1"/>
        <v>REPETIDO</v>
      </c>
      <c r="O193" s="17" t="s">
        <v>35</v>
      </c>
      <c r="P193" s="6" t="s">
        <v>35</v>
      </c>
      <c r="Q193" s="17" t="s">
        <v>36</v>
      </c>
      <c r="R193" s="17" t="s">
        <v>1426</v>
      </c>
      <c r="S193" s="173" t="s">
        <v>38</v>
      </c>
      <c r="T193" s="11" t="s">
        <v>723</v>
      </c>
      <c r="U193" s="20" t="s">
        <v>1427</v>
      </c>
      <c r="V193" s="20" t="s">
        <v>1427</v>
      </c>
    </row>
    <row r="194" spans="1:22" ht="72">
      <c r="A194" s="10" t="s">
        <v>1428</v>
      </c>
      <c r="B194" s="10" t="s">
        <v>27</v>
      </c>
      <c r="C194" s="11" t="s">
        <v>28</v>
      </c>
      <c r="D194" s="12"/>
      <c r="E194" s="13" t="s">
        <v>199</v>
      </c>
      <c r="F194" s="6" t="s">
        <v>677</v>
      </c>
      <c r="G194" s="6" t="str">
        <f ca="1">IFERROR(__xludf.DUMMYFUNCTION("CONCATENATE(B194,(VLOOKUP(C194,CATALOGOS!$F$2:$H$6,3,FALSE)),(VLOOKUP(T194,CATALOGOS!$J$2:$K$18,2,FALSE)),""-"",TO_TEXT(A194))"),"P05RH-0193")</f>
        <v>P05RH-0193</v>
      </c>
      <c r="H194" s="6" t="s">
        <v>1429</v>
      </c>
      <c r="I194" s="6" t="s">
        <v>1430</v>
      </c>
      <c r="J194" s="6" t="s">
        <v>1431</v>
      </c>
      <c r="K194" s="6" t="s">
        <v>141</v>
      </c>
      <c r="L194" s="17"/>
      <c r="M194" s="17"/>
      <c r="N194" s="17" t="str">
        <f t="shared" si="1"/>
        <v>REPETIDO</v>
      </c>
      <c r="O194" s="17" t="s">
        <v>682</v>
      </c>
      <c r="P194" s="6" t="s">
        <v>1432</v>
      </c>
      <c r="Q194" s="17" t="s">
        <v>1433</v>
      </c>
      <c r="R194" s="10" t="s">
        <v>1434</v>
      </c>
      <c r="S194" s="173" t="s">
        <v>38</v>
      </c>
      <c r="T194" s="11" t="s">
        <v>723</v>
      </c>
      <c r="U194" s="186" t="s">
        <v>9268</v>
      </c>
      <c r="V194" s="20" t="s">
        <v>1185</v>
      </c>
    </row>
    <row r="195" spans="1:22" ht="29.25">
      <c r="A195" s="10" t="s">
        <v>1435</v>
      </c>
      <c r="B195" s="10" t="s">
        <v>27</v>
      </c>
      <c r="C195" s="11" t="s">
        <v>28</v>
      </c>
      <c r="D195" s="12"/>
      <c r="E195" s="13" t="s">
        <v>248</v>
      </c>
      <c r="F195" s="6" t="s">
        <v>248</v>
      </c>
      <c r="G195" s="6" t="str">
        <f ca="1">IFERROR(__xludf.DUMMYFUNCTION("CONCATENATE(B195,(VLOOKUP(C195,CATALOGOS!$F$2:$H$6,3,FALSE)),(VLOOKUP(T195,CATALOGOS!$J$2:$K$18,2,FALSE)),""-"",TO_TEXT(A195))"),"P05RH-0194")</f>
        <v>P05RH-0194</v>
      </c>
      <c r="H195" s="6" t="s">
        <v>1436</v>
      </c>
      <c r="I195" s="6" t="s">
        <v>1437</v>
      </c>
      <c r="J195" s="6" t="s">
        <v>1438</v>
      </c>
      <c r="K195" s="6" t="s">
        <v>1439</v>
      </c>
      <c r="L195" s="17"/>
      <c r="M195" s="17"/>
      <c r="N195" s="17" t="str">
        <f t="shared" si="1"/>
        <v>OK</v>
      </c>
      <c r="O195" s="17" t="s">
        <v>303</v>
      </c>
      <c r="P195" s="6" t="s">
        <v>304</v>
      </c>
      <c r="Q195" s="17" t="s">
        <v>1440</v>
      </c>
      <c r="R195" s="10" t="s">
        <v>1441</v>
      </c>
      <c r="S195" s="173" t="s">
        <v>38</v>
      </c>
      <c r="T195" s="11" t="s">
        <v>723</v>
      </c>
      <c r="U195" s="20" t="s">
        <v>1185</v>
      </c>
      <c r="V195" s="20" t="s">
        <v>1185</v>
      </c>
    </row>
    <row r="196" spans="1:22" ht="72">
      <c r="A196" s="10" t="s">
        <v>1442</v>
      </c>
      <c r="B196" s="10" t="s">
        <v>27</v>
      </c>
      <c r="C196" s="11" t="s">
        <v>28</v>
      </c>
      <c r="D196" s="12"/>
      <c r="E196" s="13" t="s">
        <v>116</v>
      </c>
      <c r="F196" s="6" t="s">
        <v>1443</v>
      </c>
      <c r="G196" s="6" t="str">
        <f ca="1">IFERROR(__xludf.DUMMYFUNCTION("CONCATENATE(B196,(VLOOKUP(C196,CATALOGOS!$F$2:$H$6,3,FALSE)),(VLOOKUP(T196,CATALOGOS!$J$2:$K$18,2,FALSE)),""-"",TO_TEXT(A196))"),"P05RH-0195")</f>
        <v>P05RH-0195</v>
      </c>
      <c r="H196" s="6" t="s">
        <v>1444</v>
      </c>
      <c r="I196" s="6" t="s">
        <v>1445</v>
      </c>
      <c r="J196" s="6" t="s">
        <v>1446</v>
      </c>
      <c r="K196" s="6" t="s">
        <v>1447</v>
      </c>
      <c r="L196" s="17"/>
      <c r="M196" s="17"/>
      <c r="N196" s="17" t="str">
        <f t="shared" si="1"/>
        <v>OK</v>
      </c>
      <c r="O196" s="17" t="s">
        <v>35</v>
      </c>
      <c r="P196" s="6" t="s">
        <v>35</v>
      </c>
      <c r="Q196" s="17" t="s">
        <v>36</v>
      </c>
      <c r="R196" s="17" t="s">
        <v>1448</v>
      </c>
      <c r="S196" s="173" t="s">
        <v>38</v>
      </c>
      <c r="T196" s="11" t="s">
        <v>723</v>
      </c>
      <c r="U196" s="20" t="s">
        <v>1185</v>
      </c>
      <c r="V196" s="20" t="s">
        <v>1185</v>
      </c>
    </row>
    <row r="197" spans="1:22" ht="57.75">
      <c r="A197" s="10" t="s">
        <v>1449</v>
      </c>
      <c r="B197" s="10" t="s">
        <v>27</v>
      </c>
      <c r="C197" s="11" t="s">
        <v>28</v>
      </c>
      <c r="D197" s="12"/>
      <c r="E197" s="13" t="s">
        <v>378</v>
      </c>
      <c r="F197" s="6" t="s">
        <v>1450</v>
      </c>
      <c r="G197" s="6" t="str">
        <f ca="1">IFERROR(__xludf.DUMMYFUNCTION("CONCATENATE(B197,(VLOOKUP(C197,CATALOGOS!$F$2:$H$6,3,FALSE)),(VLOOKUP(T197,CATALOGOS!$J$2:$K$18,2,FALSE)),""-"",TO_TEXT(A197))"),"P05RH-0196")</f>
        <v>P05RH-0196</v>
      </c>
      <c r="H197" s="6" t="s">
        <v>1451</v>
      </c>
      <c r="I197" s="6" t="s">
        <v>1452</v>
      </c>
      <c r="J197" s="6" t="s">
        <v>1453</v>
      </c>
      <c r="K197" s="6" t="s">
        <v>1454</v>
      </c>
      <c r="L197" s="17"/>
      <c r="M197" s="17"/>
      <c r="N197" s="17" t="str">
        <f t="shared" si="1"/>
        <v>OK</v>
      </c>
      <c r="O197" s="17" t="s">
        <v>35</v>
      </c>
      <c r="P197" s="6" t="s">
        <v>35</v>
      </c>
      <c r="Q197" s="17" t="s">
        <v>36</v>
      </c>
      <c r="R197" s="17" t="s">
        <v>1455</v>
      </c>
      <c r="S197" s="173" t="s">
        <v>38</v>
      </c>
      <c r="T197" s="11" t="s">
        <v>723</v>
      </c>
      <c r="U197" s="20" t="s">
        <v>1185</v>
      </c>
      <c r="V197" s="20" t="s">
        <v>1185</v>
      </c>
    </row>
    <row r="198" spans="1:22" ht="43.5">
      <c r="A198" s="10" t="s">
        <v>1456</v>
      </c>
      <c r="B198" s="10" t="s">
        <v>27</v>
      </c>
      <c r="C198" s="11" t="s">
        <v>28</v>
      </c>
      <c r="D198" s="12"/>
      <c r="E198" s="13" t="s">
        <v>378</v>
      </c>
      <c r="F198" s="6" t="s">
        <v>1306</v>
      </c>
      <c r="G198" s="6" t="str">
        <f ca="1">IFERROR(__xludf.DUMMYFUNCTION("CONCATENATE(B198,(VLOOKUP(C198,CATALOGOS!$F$2:$H$6,3,FALSE)),(VLOOKUP(T198,CATALOGOS!$J$2:$K$18,2,FALSE)),""-"",TO_TEXT(A198))"),"P05RH-0197")</f>
        <v>P05RH-0197</v>
      </c>
      <c r="H198" s="6" t="s">
        <v>1457</v>
      </c>
      <c r="I198" s="6" t="s">
        <v>1458</v>
      </c>
      <c r="J198" s="6" t="s">
        <v>1459</v>
      </c>
      <c r="K198" s="6" t="s">
        <v>1460</v>
      </c>
      <c r="L198" s="17"/>
      <c r="M198" s="17"/>
      <c r="N198" s="17" t="str">
        <f t="shared" si="1"/>
        <v>OK</v>
      </c>
      <c r="O198" s="17" t="s">
        <v>35</v>
      </c>
      <c r="P198" s="6" t="s">
        <v>35</v>
      </c>
      <c r="Q198" s="17" t="s">
        <v>36</v>
      </c>
      <c r="R198" s="17" t="s">
        <v>1461</v>
      </c>
      <c r="S198" s="173" t="s">
        <v>38</v>
      </c>
      <c r="T198" s="11" t="s">
        <v>723</v>
      </c>
      <c r="U198" s="22" t="s">
        <v>1462</v>
      </c>
      <c r="V198" s="22" t="s">
        <v>1462</v>
      </c>
    </row>
    <row r="199" spans="1:22" ht="72">
      <c r="A199" s="10" t="s">
        <v>1463</v>
      </c>
      <c r="B199" s="10" t="s">
        <v>27</v>
      </c>
      <c r="C199" s="11" t="s">
        <v>28</v>
      </c>
      <c r="D199" s="38"/>
      <c r="E199" s="13" t="s">
        <v>378</v>
      </c>
      <c r="F199" s="6" t="s">
        <v>1464</v>
      </c>
      <c r="G199" s="6" t="str">
        <f ca="1">IFERROR(__xludf.DUMMYFUNCTION("CONCATENATE(B199,(VLOOKUP(C199,CATALOGOS!$F$2:$H$6,3,FALSE)),(VLOOKUP(T199,CATALOGOS!$J$2:$K$18,2,FALSE)),""-"",TO_TEXT(A199))"),"P05RM-0198")</f>
        <v>P05RM-0198</v>
      </c>
      <c r="H199" s="6" t="s">
        <v>1465</v>
      </c>
      <c r="I199" s="6" t="s">
        <v>1466</v>
      </c>
      <c r="J199" s="36"/>
      <c r="K199" s="6" t="s">
        <v>141</v>
      </c>
      <c r="L199" s="17"/>
      <c r="M199" s="17"/>
      <c r="N199" s="17" t="str">
        <f t="shared" si="1"/>
        <v>REPETIDO</v>
      </c>
      <c r="O199" s="17" t="s">
        <v>35</v>
      </c>
      <c r="P199" s="6" t="s">
        <v>35</v>
      </c>
      <c r="Q199" s="6" t="s">
        <v>36</v>
      </c>
      <c r="R199" s="32" t="s">
        <v>1467</v>
      </c>
      <c r="S199" s="173" t="s">
        <v>38</v>
      </c>
      <c r="T199" s="11" t="s">
        <v>147</v>
      </c>
      <c r="U199" s="20" t="s">
        <v>848</v>
      </c>
      <c r="V199" s="20" t="s">
        <v>848</v>
      </c>
    </row>
    <row r="200" spans="1:22" ht="57.75">
      <c r="A200" s="10" t="s">
        <v>1468</v>
      </c>
      <c r="B200" s="10" t="s">
        <v>1469</v>
      </c>
      <c r="C200" s="60" t="s">
        <v>1470</v>
      </c>
      <c r="D200" s="38"/>
      <c r="E200" s="13" t="s">
        <v>29</v>
      </c>
      <c r="F200" s="6" t="s">
        <v>1471</v>
      </c>
      <c r="G200" s="6" t="str">
        <f ca="1">IFERROR(__xludf.DUMMYFUNCTION("CONCATENATE(B200,(VLOOKUP(C200,CATALOGOS!$F$2:$H$6,3,FALSE)),(VLOOKUP(T200,CATALOGOS!$J$2:$K$18,2,FALSE)),""-"",TO_TEXT(A200))"),"P12ST-0199")</f>
        <v>P12ST-0199</v>
      </c>
      <c r="H200" s="6" t="s">
        <v>1472</v>
      </c>
      <c r="I200" s="6" t="s">
        <v>1473</v>
      </c>
      <c r="J200" s="6" t="s">
        <v>1474</v>
      </c>
      <c r="K200" s="6" t="s">
        <v>1475</v>
      </c>
      <c r="L200" s="17"/>
      <c r="M200" s="17"/>
      <c r="N200" s="17" t="str">
        <f t="shared" si="1"/>
        <v>OK</v>
      </c>
      <c r="O200" s="17" t="s">
        <v>35</v>
      </c>
      <c r="P200" s="49" t="s">
        <v>35</v>
      </c>
      <c r="Q200" s="46" t="s">
        <v>36</v>
      </c>
      <c r="R200" s="17" t="s">
        <v>1476</v>
      </c>
      <c r="S200" s="173" t="s">
        <v>38</v>
      </c>
      <c r="T200" s="11" t="s">
        <v>1470</v>
      </c>
      <c r="U200" s="20" t="s">
        <v>1477</v>
      </c>
      <c r="V200" s="20" t="s">
        <v>1477</v>
      </c>
    </row>
    <row r="201" spans="1:22" ht="57.75">
      <c r="A201" s="10" t="s">
        <v>1478</v>
      </c>
      <c r="B201" s="10" t="s">
        <v>1469</v>
      </c>
      <c r="C201" s="60" t="s">
        <v>1470</v>
      </c>
      <c r="D201" s="12"/>
      <c r="E201" s="13" t="s">
        <v>378</v>
      </c>
      <c r="F201" s="6" t="s">
        <v>878</v>
      </c>
      <c r="G201" s="6" t="str">
        <f ca="1">IFERROR(__xludf.DUMMYFUNCTION("CONCATENATE(B201,(VLOOKUP(C201,CATALOGOS!$F$2:$H$6,3,FALSE)),(VLOOKUP(T201,CATALOGOS!$J$2:$K$18,2,FALSE)),""-"",TO_TEXT(A201))"),"P12SI-0200")</f>
        <v>P12SI-0200</v>
      </c>
      <c r="H201" s="6" t="s">
        <v>1479</v>
      </c>
      <c r="I201" s="6" t="s">
        <v>1480</v>
      </c>
      <c r="J201" s="6" t="s">
        <v>1481</v>
      </c>
      <c r="K201" s="6" t="s">
        <v>1482</v>
      </c>
      <c r="L201" s="17"/>
      <c r="M201" s="17"/>
      <c r="N201" s="17" t="str">
        <f t="shared" si="1"/>
        <v>OK</v>
      </c>
      <c r="O201" s="17" t="s">
        <v>35</v>
      </c>
      <c r="P201" s="6" t="s">
        <v>35</v>
      </c>
      <c r="Q201" s="17" t="s">
        <v>36</v>
      </c>
      <c r="R201" s="17" t="s">
        <v>85</v>
      </c>
      <c r="S201" s="173" t="s">
        <v>38</v>
      </c>
      <c r="T201" s="181" t="s">
        <v>1483</v>
      </c>
      <c r="U201" s="20" t="s">
        <v>1484</v>
      </c>
      <c r="V201" s="20" t="s">
        <v>1484</v>
      </c>
    </row>
    <row r="202" spans="1:22" ht="57.75">
      <c r="A202" s="10" t="s">
        <v>1485</v>
      </c>
      <c r="B202" s="10" t="s">
        <v>1469</v>
      </c>
      <c r="C202" s="60" t="s">
        <v>1470</v>
      </c>
      <c r="D202" s="12"/>
      <c r="E202" s="13" t="s">
        <v>53</v>
      </c>
      <c r="F202" s="6" t="s">
        <v>1486</v>
      </c>
      <c r="G202" s="6" t="str">
        <f ca="1">IFERROR(__xludf.DUMMYFUNCTION("CONCATENATE(B202,(VLOOKUP(C202,CATALOGOS!$F$2:$H$6,3,FALSE)),(VLOOKUP(T202,CATALOGOS!$J$2:$K$18,2,FALSE)),""-"",TO_TEXT(A202))"),"P12ST-0201")</f>
        <v>P12ST-0201</v>
      </c>
      <c r="H202" s="6" t="s">
        <v>1487</v>
      </c>
      <c r="I202" s="6" t="s">
        <v>1488</v>
      </c>
      <c r="J202" s="6" t="s">
        <v>1489</v>
      </c>
      <c r="K202" s="6" t="s">
        <v>1490</v>
      </c>
      <c r="L202" s="17"/>
      <c r="M202" s="17"/>
      <c r="N202" s="17" t="str">
        <f t="shared" si="1"/>
        <v>OK</v>
      </c>
      <c r="O202" s="17" t="s">
        <v>35</v>
      </c>
      <c r="P202" s="6" t="s">
        <v>35</v>
      </c>
      <c r="Q202" s="17" t="s">
        <v>36</v>
      </c>
      <c r="R202" s="17" t="s">
        <v>85</v>
      </c>
      <c r="S202" s="173" t="s">
        <v>38</v>
      </c>
      <c r="T202" s="11" t="s">
        <v>1470</v>
      </c>
      <c r="U202" s="20" t="s">
        <v>1477</v>
      </c>
      <c r="V202" s="20" t="s">
        <v>1477</v>
      </c>
    </row>
    <row r="203" spans="1:22" ht="43.5">
      <c r="A203" s="10" t="s">
        <v>1491</v>
      </c>
      <c r="B203" s="10" t="s">
        <v>1469</v>
      </c>
      <c r="C203" s="60" t="s">
        <v>1470</v>
      </c>
      <c r="D203" s="12"/>
      <c r="E203" s="13" t="s">
        <v>43</v>
      </c>
      <c r="F203" s="6" t="s">
        <v>1492</v>
      </c>
      <c r="G203" s="6" t="str">
        <f ca="1">IFERROR(__xludf.DUMMYFUNCTION("CONCATENATE(B203,(VLOOKUP(C203,CATALOGOS!$F$2:$H$6,3,FALSE)),(VLOOKUP(T203,CATALOGOS!$J$2:$K$18,2,FALSE)),""-"",TO_TEXT(A203))"),"P12ST-0202")</f>
        <v>P12ST-0202</v>
      </c>
      <c r="H203" s="6" t="s">
        <v>1493</v>
      </c>
      <c r="I203" s="6" t="s">
        <v>1494</v>
      </c>
      <c r="J203" s="6" t="s">
        <v>1495</v>
      </c>
      <c r="K203" s="6" t="s">
        <v>1496</v>
      </c>
      <c r="L203" s="17"/>
      <c r="M203" s="17"/>
      <c r="N203" s="17" t="str">
        <f t="shared" si="1"/>
        <v>OK</v>
      </c>
      <c r="O203" s="17" t="s">
        <v>406</v>
      </c>
      <c r="P203" s="6" t="s">
        <v>407</v>
      </c>
      <c r="Q203" s="17" t="s">
        <v>36</v>
      </c>
      <c r="R203" s="17" t="s">
        <v>1497</v>
      </c>
      <c r="S203" s="173" t="s">
        <v>38</v>
      </c>
      <c r="T203" s="11" t="s">
        <v>1470</v>
      </c>
      <c r="U203" s="20" t="s">
        <v>1477</v>
      </c>
      <c r="V203" s="20" t="s">
        <v>1477</v>
      </c>
    </row>
    <row r="204" spans="1:22" ht="72">
      <c r="A204" s="10" t="s">
        <v>1498</v>
      </c>
      <c r="B204" s="10" t="s">
        <v>1469</v>
      </c>
      <c r="C204" s="60" t="s">
        <v>1470</v>
      </c>
      <c r="D204" s="12"/>
      <c r="E204" s="13" t="s">
        <v>116</v>
      </c>
      <c r="F204" s="6" t="s">
        <v>129</v>
      </c>
      <c r="G204" s="6" t="str">
        <f ca="1">IFERROR(__xludf.DUMMYFUNCTION("CONCATENATE(B204,(VLOOKUP(C204,CATALOGOS!$F$2:$H$6,3,FALSE)),(VLOOKUP(T204,CATALOGOS!$J$2:$K$18,2,FALSE)),""-"",TO_TEXT(A204))"),"P12ST-0203")</f>
        <v>P12ST-0203</v>
      </c>
      <c r="H204" s="6" t="s">
        <v>1499</v>
      </c>
      <c r="I204" s="6" t="s">
        <v>1500</v>
      </c>
      <c r="J204" s="6" t="s">
        <v>1501</v>
      </c>
      <c r="K204" s="6" t="s">
        <v>1502</v>
      </c>
      <c r="L204" s="17"/>
      <c r="M204" s="17"/>
      <c r="N204" s="17" t="str">
        <f t="shared" si="1"/>
        <v>OK</v>
      </c>
      <c r="O204" s="17" t="s">
        <v>35</v>
      </c>
      <c r="P204" s="6" t="s">
        <v>35</v>
      </c>
      <c r="Q204" s="17" t="s">
        <v>36</v>
      </c>
      <c r="R204" s="17" t="s">
        <v>1503</v>
      </c>
      <c r="S204" s="173" t="s">
        <v>38</v>
      </c>
      <c r="T204" s="11" t="s">
        <v>1470</v>
      </c>
      <c r="U204" s="20" t="s">
        <v>1477</v>
      </c>
      <c r="V204" s="20" t="s">
        <v>1477</v>
      </c>
    </row>
    <row r="205" spans="1:22" ht="43.5">
      <c r="A205" s="10" t="s">
        <v>1504</v>
      </c>
      <c r="B205" s="10" t="s">
        <v>1469</v>
      </c>
      <c r="C205" s="60" t="s">
        <v>1470</v>
      </c>
      <c r="D205" s="12"/>
      <c r="E205" s="13" t="s">
        <v>71</v>
      </c>
      <c r="F205" s="6" t="s">
        <v>72</v>
      </c>
      <c r="G205" s="6" t="str">
        <f ca="1">IFERROR(__xludf.DUMMYFUNCTION("CONCATENATE(B205,(VLOOKUP(C205,CATALOGOS!$F$2:$H$6,3,FALSE)),(VLOOKUP(T205,CATALOGOS!$J$2:$K$18,2,FALSE)),""-"",TO_TEXT(A205))"),"P12ST-0204")</f>
        <v>P12ST-0204</v>
      </c>
      <c r="H205" s="6" t="s">
        <v>1505</v>
      </c>
      <c r="I205" s="62"/>
      <c r="J205" s="6" t="s">
        <v>1506</v>
      </c>
      <c r="K205" s="6" t="s">
        <v>1507</v>
      </c>
      <c r="L205" s="17"/>
      <c r="M205" s="17"/>
      <c r="N205" s="17" t="str">
        <f t="shared" si="1"/>
        <v>OK</v>
      </c>
      <c r="O205" s="17" t="s">
        <v>35</v>
      </c>
      <c r="P205" s="6" t="s">
        <v>35</v>
      </c>
      <c r="Q205" s="17" t="s">
        <v>36</v>
      </c>
      <c r="R205" s="17" t="s">
        <v>1508</v>
      </c>
      <c r="S205" s="173" t="s">
        <v>38</v>
      </c>
      <c r="T205" s="11" t="s">
        <v>1470</v>
      </c>
      <c r="U205" s="20" t="s">
        <v>1477</v>
      </c>
      <c r="V205" s="20" t="s">
        <v>1477</v>
      </c>
    </row>
    <row r="206" spans="1:22" ht="43.5">
      <c r="A206" s="10" t="s">
        <v>1509</v>
      </c>
      <c r="B206" s="10" t="s">
        <v>1469</v>
      </c>
      <c r="C206" s="60" t="s">
        <v>1470</v>
      </c>
      <c r="D206" s="12"/>
      <c r="E206" s="13" t="s">
        <v>116</v>
      </c>
      <c r="F206" s="6" t="s">
        <v>1510</v>
      </c>
      <c r="G206" s="6" t="str">
        <f ca="1">IFERROR(__xludf.DUMMYFUNCTION("CONCATENATE(B206,(VLOOKUP(C206,CATALOGOS!$F$2:$H$6,3,FALSE)),(VLOOKUP(T206,CATALOGOS!$J$2:$K$18,2,FALSE)),""-"",TO_TEXT(A206))"),"P12ST-0205")</f>
        <v>P12ST-0205</v>
      </c>
      <c r="H206" s="6" t="s">
        <v>1511</v>
      </c>
      <c r="I206" s="62"/>
      <c r="J206" s="6" t="s">
        <v>1512</v>
      </c>
      <c r="K206" s="6" t="s">
        <v>1513</v>
      </c>
      <c r="L206" s="17"/>
      <c r="M206" s="17"/>
      <c r="N206" s="17" t="str">
        <f t="shared" si="1"/>
        <v>OK</v>
      </c>
      <c r="O206" s="17" t="s">
        <v>35</v>
      </c>
      <c r="P206" s="6" t="s">
        <v>35</v>
      </c>
      <c r="Q206" s="17" t="s">
        <v>36</v>
      </c>
      <c r="R206" s="17" t="s">
        <v>1514</v>
      </c>
      <c r="S206" s="173" t="s">
        <v>38</v>
      </c>
      <c r="T206" s="11" t="s">
        <v>1470</v>
      </c>
      <c r="U206" s="20" t="s">
        <v>1477</v>
      </c>
      <c r="V206" s="20" t="s">
        <v>1477</v>
      </c>
    </row>
    <row r="207" spans="1:22" ht="43.5">
      <c r="A207" s="10" t="s">
        <v>1515</v>
      </c>
      <c r="B207" s="10" t="s">
        <v>1469</v>
      </c>
      <c r="C207" s="60" t="s">
        <v>1470</v>
      </c>
      <c r="D207" s="12"/>
      <c r="E207" s="13" t="s">
        <v>116</v>
      </c>
      <c r="F207" s="6" t="s">
        <v>117</v>
      </c>
      <c r="G207" s="6" t="str">
        <f ca="1">IFERROR(__xludf.DUMMYFUNCTION("CONCATENATE(B207,(VLOOKUP(C207,CATALOGOS!$F$2:$H$6,3,FALSE)),(VLOOKUP(T207,CATALOGOS!$J$2:$K$18,2,FALSE)),""-"",TO_TEXT(A207))"),"P12ST-0206")</f>
        <v>P12ST-0206</v>
      </c>
      <c r="H207" s="6" t="s">
        <v>1516</v>
      </c>
      <c r="I207" s="62"/>
      <c r="J207" s="6" t="s">
        <v>1517</v>
      </c>
      <c r="K207" s="6" t="s">
        <v>1518</v>
      </c>
      <c r="L207" s="17"/>
      <c r="M207" s="17"/>
      <c r="N207" s="17" t="str">
        <f t="shared" si="1"/>
        <v>OK</v>
      </c>
      <c r="O207" s="17" t="s">
        <v>35</v>
      </c>
      <c r="P207" s="6" t="s">
        <v>35</v>
      </c>
      <c r="Q207" s="17" t="s">
        <v>36</v>
      </c>
      <c r="R207" s="17" t="s">
        <v>1519</v>
      </c>
      <c r="S207" s="173" t="s">
        <v>38</v>
      </c>
      <c r="T207" s="11" t="s">
        <v>1470</v>
      </c>
      <c r="U207" s="20" t="s">
        <v>1477</v>
      </c>
      <c r="V207" s="20" t="s">
        <v>1477</v>
      </c>
    </row>
    <row r="208" spans="1:22" ht="72">
      <c r="A208" s="10" t="s">
        <v>1520</v>
      </c>
      <c r="B208" s="10" t="s">
        <v>1469</v>
      </c>
      <c r="C208" s="60" t="s">
        <v>1470</v>
      </c>
      <c r="D208" s="12"/>
      <c r="E208" s="13" t="s">
        <v>184</v>
      </c>
      <c r="F208" s="43" t="s">
        <v>1521</v>
      </c>
      <c r="G208" s="6" t="str">
        <f ca="1">IFERROR(__xludf.DUMMYFUNCTION("CONCATENATE(B208,(VLOOKUP(C208,CATALOGOS!$F$2:$H$6,3,FALSE)),(VLOOKUP(T208,CATALOGOS!$J$2:$K$18,2,FALSE)),""-"",TO_TEXT(A208))"),"P12ST-0207")</f>
        <v>P12ST-0207</v>
      </c>
      <c r="H208" s="6" t="s">
        <v>1522</v>
      </c>
      <c r="I208" s="6" t="s">
        <v>1523</v>
      </c>
      <c r="J208" s="6" t="s">
        <v>1524</v>
      </c>
      <c r="K208" s="6" t="s">
        <v>1525</v>
      </c>
      <c r="L208" s="17"/>
      <c r="M208" s="17"/>
      <c r="N208" s="17" t="str">
        <f t="shared" si="1"/>
        <v>OK</v>
      </c>
      <c r="O208" s="17" t="s">
        <v>35</v>
      </c>
      <c r="P208" s="6" t="s">
        <v>35</v>
      </c>
      <c r="Q208" s="17" t="s">
        <v>36</v>
      </c>
      <c r="R208" s="17" t="s">
        <v>1526</v>
      </c>
      <c r="S208" s="173" t="s">
        <v>38</v>
      </c>
      <c r="T208" s="11" t="s">
        <v>1470</v>
      </c>
      <c r="U208" s="20" t="s">
        <v>1477</v>
      </c>
      <c r="V208" s="20" t="s">
        <v>1477</v>
      </c>
    </row>
    <row r="209" spans="1:22" ht="57.75">
      <c r="A209" s="10" t="s">
        <v>1527</v>
      </c>
      <c r="B209" s="10" t="s">
        <v>1469</v>
      </c>
      <c r="C209" s="60" t="s">
        <v>1470</v>
      </c>
      <c r="D209" s="12"/>
      <c r="E209" s="13" t="s">
        <v>199</v>
      </c>
      <c r="F209" s="6" t="s">
        <v>199</v>
      </c>
      <c r="G209" s="6" t="str">
        <f ca="1">IFERROR(__xludf.DUMMYFUNCTION("CONCATENATE(B209,(VLOOKUP(C209,CATALOGOS!$F$2:$H$6,3,FALSE)),(VLOOKUP(T209,CATALOGOS!$J$2:$K$18,2,FALSE)),""-"",TO_TEXT(A209))"),"P12ST-0208")</f>
        <v>P12ST-0208</v>
      </c>
      <c r="H209" s="6" t="s">
        <v>1528</v>
      </c>
      <c r="I209" s="6" t="s">
        <v>1529</v>
      </c>
      <c r="J209" s="6" t="s">
        <v>1530</v>
      </c>
      <c r="K209" s="6" t="s">
        <v>1531</v>
      </c>
      <c r="L209" s="17"/>
      <c r="M209" s="17"/>
      <c r="N209" s="17" t="str">
        <f t="shared" si="1"/>
        <v>OK</v>
      </c>
      <c r="O209" s="17" t="s">
        <v>205</v>
      </c>
      <c r="P209" s="6" t="s">
        <v>1532</v>
      </c>
      <c r="Q209" s="17" t="s">
        <v>1533</v>
      </c>
      <c r="R209" s="17" t="s">
        <v>1534</v>
      </c>
      <c r="S209" s="173" t="s">
        <v>38</v>
      </c>
      <c r="T209" s="11" t="s">
        <v>1470</v>
      </c>
      <c r="U209" s="20" t="s">
        <v>1477</v>
      </c>
      <c r="V209" s="20" t="s">
        <v>1477</v>
      </c>
    </row>
    <row r="210" spans="1:22" ht="29.25">
      <c r="A210" s="10" t="s">
        <v>1535</v>
      </c>
      <c r="B210" s="10" t="s">
        <v>1469</v>
      </c>
      <c r="C210" s="60" t="s">
        <v>1470</v>
      </c>
      <c r="D210" s="12"/>
      <c r="E210" s="13" t="s">
        <v>151</v>
      </c>
      <c r="F210" s="6" t="s">
        <v>714</v>
      </c>
      <c r="G210" s="6" t="str">
        <f ca="1">IFERROR(__xludf.DUMMYFUNCTION("CONCATENATE(B210,(VLOOKUP(C210,CATALOGOS!$F$2:$H$6,3,FALSE)),(VLOOKUP(T210,CATALOGOS!$J$2:$K$18,2,FALSE)),""-"",TO_TEXT(A210))"),"P12ST-0209")</f>
        <v>P12ST-0209</v>
      </c>
      <c r="H210" s="6" t="s">
        <v>1536</v>
      </c>
      <c r="I210" s="6" t="s">
        <v>1537</v>
      </c>
      <c r="J210" s="6" t="s">
        <v>1538</v>
      </c>
      <c r="K210" s="6" t="s">
        <v>1539</v>
      </c>
      <c r="L210" s="17"/>
      <c r="M210" s="17"/>
      <c r="N210" s="17" t="str">
        <f t="shared" si="1"/>
        <v>OK</v>
      </c>
      <c r="O210" s="17" t="s">
        <v>719</v>
      </c>
      <c r="P210" s="6" t="s">
        <v>720</v>
      </c>
      <c r="Q210" s="17" t="s">
        <v>1540</v>
      </c>
      <c r="R210" s="17" t="s">
        <v>1541</v>
      </c>
      <c r="S210" s="173" t="s">
        <v>38</v>
      </c>
      <c r="T210" s="11" t="s">
        <v>1470</v>
      </c>
      <c r="U210" s="20" t="s">
        <v>1477</v>
      </c>
      <c r="V210" s="20" t="s">
        <v>1477</v>
      </c>
    </row>
    <row r="211" spans="1:22" ht="29.25">
      <c r="A211" s="10" t="s">
        <v>1542</v>
      </c>
      <c r="B211" s="10" t="s">
        <v>1469</v>
      </c>
      <c r="C211" s="60" t="s">
        <v>1470</v>
      </c>
      <c r="D211" s="12"/>
      <c r="E211" s="13" t="s">
        <v>162</v>
      </c>
      <c r="F211" s="6" t="s">
        <v>285</v>
      </c>
      <c r="G211" s="6" t="str">
        <f ca="1">IFERROR(__xludf.DUMMYFUNCTION("CONCATENATE(B211,(VLOOKUP(C211,CATALOGOS!$F$2:$H$6,3,FALSE)),(VLOOKUP(T211,CATALOGOS!$J$2:$K$18,2,FALSE)),""-"",TO_TEXT(A211))"),"P12PP-0210")</f>
        <v>P12PP-0210</v>
      </c>
      <c r="H211" s="6" t="s">
        <v>1543</v>
      </c>
      <c r="I211" s="6" t="s">
        <v>1544</v>
      </c>
      <c r="J211" s="6" t="s">
        <v>1545</v>
      </c>
      <c r="K211" s="6" t="s">
        <v>141</v>
      </c>
      <c r="L211" s="17"/>
      <c r="M211" s="17"/>
      <c r="N211" s="17" t="str">
        <f t="shared" si="1"/>
        <v>REPETIDO</v>
      </c>
      <c r="O211" s="17" t="s">
        <v>663</v>
      </c>
      <c r="P211" s="6" t="s">
        <v>664</v>
      </c>
      <c r="Q211" s="17" t="s">
        <v>1546</v>
      </c>
      <c r="R211" s="17" t="s">
        <v>1547</v>
      </c>
      <c r="S211" s="173" t="s">
        <v>38</v>
      </c>
      <c r="T211" s="11" t="s">
        <v>1548</v>
      </c>
      <c r="U211" s="20" t="s">
        <v>1550</v>
      </c>
      <c r="V211" s="20" t="s">
        <v>1550</v>
      </c>
    </row>
    <row r="212" spans="1:22" ht="57.75">
      <c r="A212" s="10" t="s">
        <v>1551</v>
      </c>
      <c r="B212" s="10" t="s">
        <v>1469</v>
      </c>
      <c r="C212" s="60" t="s">
        <v>1470</v>
      </c>
      <c r="D212" s="12"/>
      <c r="E212" s="13" t="s">
        <v>1275</v>
      </c>
      <c r="F212" s="43" t="s">
        <v>1552</v>
      </c>
      <c r="G212" s="6" t="str">
        <f ca="1">IFERROR(__xludf.DUMMYFUNCTION("CONCATENATE(B212,(VLOOKUP(C212,CATALOGOS!$F$2:$H$6,3,FALSE)),(VLOOKUP(T212,CATALOGOS!$J$2:$K$18,2,FALSE)),""-"",TO_TEXT(A212))"),"P12SI-0211")</f>
        <v>P12SI-0211</v>
      </c>
      <c r="H212" s="6" t="s">
        <v>1553</v>
      </c>
      <c r="I212" s="6" t="s">
        <v>1554</v>
      </c>
      <c r="J212" s="6" t="s">
        <v>1555</v>
      </c>
      <c r="K212" s="6" t="s">
        <v>1556</v>
      </c>
      <c r="L212" s="17"/>
      <c r="M212" s="17"/>
      <c r="N212" s="17" t="str">
        <f t="shared" si="1"/>
        <v>OK</v>
      </c>
      <c r="O212" s="17" t="s">
        <v>205</v>
      </c>
      <c r="P212" s="6" t="s">
        <v>1557</v>
      </c>
      <c r="Q212" s="17" t="s">
        <v>1558</v>
      </c>
      <c r="R212" s="17" t="s">
        <v>1559</v>
      </c>
      <c r="S212" s="173" t="s">
        <v>38</v>
      </c>
      <c r="T212" s="181" t="s">
        <v>1483</v>
      </c>
      <c r="U212" s="20" t="s">
        <v>1484</v>
      </c>
      <c r="V212" s="20" t="s">
        <v>1484</v>
      </c>
    </row>
    <row r="213" spans="1:22" ht="43.5">
      <c r="A213" s="10" t="s">
        <v>1560</v>
      </c>
      <c r="B213" s="10" t="s">
        <v>1469</v>
      </c>
      <c r="C213" s="60" t="s">
        <v>1470</v>
      </c>
      <c r="D213" s="12"/>
      <c r="E213" s="13" t="s">
        <v>184</v>
      </c>
      <c r="F213" s="43" t="s">
        <v>1561</v>
      </c>
      <c r="G213" s="217" t="str">
        <f ca="1">IFERROR(__xludf.DUMMYFUNCTION("CONCATENATE(B213,(VLOOKUP(C213,CATALOGOS!$F$2:$H$6,3,FALSE)),(VLOOKUP(T213,CATALOGOS!$J$2:$K$18,2,FALSE)),""-"",TO_TEXT(A213))"),"P12ST-0212")</f>
        <v>P12ST-0212</v>
      </c>
      <c r="H213" s="6" t="s">
        <v>1562</v>
      </c>
      <c r="I213" s="6" t="s">
        <v>1563</v>
      </c>
      <c r="J213" s="6" t="s">
        <v>1564</v>
      </c>
      <c r="K213" s="6" t="s">
        <v>1565</v>
      </c>
      <c r="L213" s="17"/>
      <c r="M213" s="17"/>
      <c r="N213" s="17" t="str">
        <f t="shared" si="1"/>
        <v>OK</v>
      </c>
      <c r="O213" s="17" t="s">
        <v>35</v>
      </c>
      <c r="P213" s="6" t="s">
        <v>35</v>
      </c>
      <c r="Q213" s="17" t="s">
        <v>1558</v>
      </c>
      <c r="R213" s="17" t="s">
        <v>1566</v>
      </c>
      <c r="S213" s="173" t="s">
        <v>38</v>
      </c>
      <c r="T213" s="11" t="s">
        <v>1470</v>
      </c>
      <c r="U213" s="20" t="s">
        <v>1477</v>
      </c>
      <c r="V213" s="20" t="s">
        <v>1477</v>
      </c>
    </row>
    <row r="214" spans="1:22" ht="43.5">
      <c r="A214" s="10" t="s">
        <v>1567</v>
      </c>
      <c r="B214" s="10" t="s">
        <v>1469</v>
      </c>
      <c r="C214" s="60" t="s">
        <v>1470</v>
      </c>
      <c r="D214" s="12"/>
      <c r="E214" s="13" t="s">
        <v>184</v>
      </c>
      <c r="F214" s="43" t="s">
        <v>1561</v>
      </c>
      <c r="G214" s="6" t="str">
        <f ca="1">IFERROR(__xludf.DUMMYFUNCTION("CONCATENATE(B214,(VLOOKUP(C214,CATALOGOS!$F$2:$H$6,3,FALSE)),(VLOOKUP(T214,CATALOGOS!$J$2:$K$18,2,FALSE)),""-"",TO_TEXT(A214))"),"P12ST-0213")</f>
        <v>P12ST-0213</v>
      </c>
      <c r="H214" s="6" t="s">
        <v>1568</v>
      </c>
      <c r="I214" s="6" t="s">
        <v>1569</v>
      </c>
      <c r="J214" s="6" t="s">
        <v>1570</v>
      </c>
      <c r="K214" s="6" t="s">
        <v>1571</v>
      </c>
      <c r="L214" s="17"/>
      <c r="M214" s="17"/>
      <c r="N214" s="17" t="str">
        <f t="shared" si="1"/>
        <v>OK</v>
      </c>
      <c r="O214" s="17" t="s">
        <v>35</v>
      </c>
      <c r="P214" s="6" t="s">
        <v>35</v>
      </c>
      <c r="Q214" s="17" t="s">
        <v>1558</v>
      </c>
      <c r="R214" s="17" t="s">
        <v>1572</v>
      </c>
      <c r="S214" s="173" t="s">
        <v>38</v>
      </c>
      <c r="T214" s="11" t="s">
        <v>1470</v>
      </c>
      <c r="U214" s="20" t="s">
        <v>1477</v>
      </c>
      <c r="V214" s="20" t="s">
        <v>1477</v>
      </c>
    </row>
    <row r="215" spans="1:22" ht="29.25">
      <c r="A215" s="10" t="s">
        <v>1573</v>
      </c>
      <c r="B215" s="10" t="s">
        <v>1469</v>
      </c>
      <c r="C215" s="60" t="s">
        <v>1470</v>
      </c>
      <c r="D215" s="12"/>
      <c r="E215" s="13" t="s">
        <v>387</v>
      </c>
      <c r="F215" s="6" t="s">
        <v>387</v>
      </c>
      <c r="G215" s="6" t="str">
        <f ca="1">IFERROR(__xludf.DUMMYFUNCTION("CONCATENATE(B215,(VLOOKUP(C215,CATALOGOS!$F$2:$H$6,3,FALSE)),(VLOOKUP(T215,CATALOGOS!$J$2:$K$18,2,FALSE)),""-"",TO_TEXT(A215))"),"P12ST-0214")</f>
        <v>P12ST-0214</v>
      </c>
      <c r="H215" s="6" t="s">
        <v>1574</v>
      </c>
      <c r="I215" s="6" t="s">
        <v>1575</v>
      </c>
      <c r="J215" s="6" t="s">
        <v>1576</v>
      </c>
      <c r="K215" s="6" t="s">
        <v>141</v>
      </c>
      <c r="L215" s="17"/>
      <c r="M215" s="17"/>
      <c r="N215" s="17" t="str">
        <f t="shared" si="1"/>
        <v>REPETIDO</v>
      </c>
      <c r="O215" s="17" t="s">
        <v>390</v>
      </c>
      <c r="P215" s="6">
        <v>40514</v>
      </c>
      <c r="Q215" s="6" t="s">
        <v>1577</v>
      </c>
      <c r="R215" s="10" t="s">
        <v>85</v>
      </c>
      <c r="S215" s="173" t="s">
        <v>38</v>
      </c>
      <c r="T215" s="11" t="s">
        <v>1470</v>
      </c>
      <c r="U215" s="20" t="s">
        <v>1477</v>
      </c>
      <c r="V215" s="20" t="s">
        <v>1477</v>
      </c>
    </row>
    <row r="216" spans="1:22" ht="57.75">
      <c r="A216" s="10" t="s">
        <v>1578</v>
      </c>
      <c r="B216" s="10" t="s">
        <v>1469</v>
      </c>
      <c r="C216" s="60" t="s">
        <v>1470</v>
      </c>
      <c r="D216" s="12"/>
      <c r="E216" s="13" t="s">
        <v>93</v>
      </c>
      <c r="F216" s="6" t="s">
        <v>1579</v>
      </c>
      <c r="G216" s="6" t="str">
        <f ca="1">IFERROR(__xludf.DUMMYFUNCTION("CONCATENATE(B216,(VLOOKUP(C216,CATALOGOS!$F$2:$H$6,3,FALSE)),(VLOOKUP(T216,CATALOGOS!$J$2:$K$18,2,FALSE)),""-"",TO_TEXT(A216))"),"P12ST-0215")</f>
        <v>P12ST-0215</v>
      </c>
      <c r="H216" s="6" t="s">
        <v>1580</v>
      </c>
      <c r="I216" s="6" t="s">
        <v>1581</v>
      </c>
      <c r="J216" s="6" t="s">
        <v>1582</v>
      </c>
      <c r="K216" s="6" t="s">
        <v>1583</v>
      </c>
      <c r="L216" s="17"/>
      <c r="M216" s="17"/>
      <c r="N216" s="17" t="str">
        <f t="shared" si="1"/>
        <v>OK</v>
      </c>
      <c r="O216" s="17" t="s">
        <v>35</v>
      </c>
      <c r="P216" s="6" t="s">
        <v>35</v>
      </c>
      <c r="Q216" s="17" t="s">
        <v>36</v>
      </c>
      <c r="R216" s="17" t="s">
        <v>85</v>
      </c>
      <c r="S216" s="173" t="s">
        <v>38</v>
      </c>
      <c r="T216" s="11" t="s">
        <v>1470</v>
      </c>
      <c r="U216" s="20" t="s">
        <v>1477</v>
      </c>
      <c r="V216" s="20" t="s">
        <v>1477</v>
      </c>
    </row>
    <row r="217" spans="1:22" ht="43.5">
      <c r="A217" s="10" t="s">
        <v>1584</v>
      </c>
      <c r="B217" s="10" t="s">
        <v>1469</v>
      </c>
      <c r="C217" s="60" t="s">
        <v>1470</v>
      </c>
      <c r="D217" s="12"/>
      <c r="E217" s="20" t="s">
        <v>43</v>
      </c>
      <c r="F217" s="43" t="s">
        <v>1492</v>
      </c>
      <c r="G217" s="6" t="str">
        <f ca="1">IFERROR(__xludf.DUMMYFUNCTION("CONCATENATE(B217,(VLOOKUP(C217,CATALOGOS!$F$2:$H$6,3,FALSE)),(VLOOKUP(T217,CATALOGOS!$J$2:$K$18,2,FALSE)),""-"",TO_TEXT(A217))"),"P12ST-0216")</f>
        <v>P12ST-0216</v>
      </c>
      <c r="H217" s="6" t="s">
        <v>1585</v>
      </c>
      <c r="I217" s="6" t="s">
        <v>1586</v>
      </c>
      <c r="J217" s="6" t="s">
        <v>1587</v>
      </c>
      <c r="K217" s="6" t="s">
        <v>1588</v>
      </c>
      <c r="L217" s="17"/>
      <c r="M217" s="17"/>
      <c r="N217" s="17" t="str">
        <f t="shared" si="1"/>
        <v>OK</v>
      </c>
      <c r="O217" s="17" t="s">
        <v>406</v>
      </c>
      <c r="P217" s="6" t="s">
        <v>407</v>
      </c>
      <c r="Q217" s="17" t="s">
        <v>36</v>
      </c>
      <c r="R217" s="35" t="s">
        <v>1589</v>
      </c>
      <c r="S217" s="173" t="s">
        <v>38</v>
      </c>
      <c r="T217" s="11" t="s">
        <v>1470</v>
      </c>
      <c r="U217" s="20" t="s">
        <v>1477</v>
      </c>
      <c r="V217" s="20" t="s">
        <v>1477</v>
      </c>
    </row>
    <row r="218" spans="1:22" ht="86.25">
      <c r="A218" s="10" t="s">
        <v>1590</v>
      </c>
      <c r="B218" s="10" t="s">
        <v>1469</v>
      </c>
      <c r="C218" s="60" t="s">
        <v>1470</v>
      </c>
      <c r="D218" s="38"/>
      <c r="E218" s="13" t="s">
        <v>501</v>
      </c>
      <c r="F218" s="6" t="s">
        <v>1591</v>
      </c>
      <c r="G218" s="6" t="str">
        <f ca="1">IFERROR(__xludf.DUMMYFUNCTION("CONCATENATE(B218,(VLOOKUP(C218,CATALOGOS!$F$2:$H$6,3,FALSE)),(VLOOKUP(T218,CATALOGOS!$J$2:$K$18,2,FALSE)),""-"",TO_TEXT(A218))"),"P12PP-0217")</f>
        <v>P12PP-0217</v>
      </c>
      <c r="H218" s="6" t="s">
        <v>1592</v>
      </c>
      <c r="I218" s="6" t="s">
        <v>1593</v>
      </c>
      <c r="J218" s="6" t="s">
        <v>1594</v>
      </c>
      <c r="K218" s="6" t="s">
        <v>1595</v>
      </c>
      <c r="L218" s="17"/>
      <c r="M218" s="17"/>
      <c r="N218" s="17" t="str">
        <f t="shared" si="1"/>
        <v>OK</v>
      </c>
      <c r="O218" s="17" t="s">
        <v>35</v>
      </c>
      <c r="P218" s="6" t="s">
        <v>35</v>
      </c>
      <c r="Q218" s="46" t="s">
        <v>36</v>
      </c>
      <c r="R218" s="17" t="s">
        <v>1596</v>
      </c>
      <c r="S218" s="173" t="s">
        <v>38</v>
      </c>
      <c r="T218" s="11" t="s">
        <v>1548</v>
      </c>
      <c r="U218" s="20" t="s">
        <v>1597</v>
      </c>
      <c r="V218" s="20" t="s">
        <v>1597</v>
      </c>
    </row>
    <row r="219" spans="1:22" ht="57.75">
      <c r="A219" s="10" t="s">
        <v>1599</v>
      </c>
      <c r="B219" s="10" t="s">
        <v>1469</v>
      </c>
      <c r="C219" s="60" t="s">
        <v>1470</v>
      </c>
      <c r="D219" s="12"/>
      <c r="E219" s="13" t="s">
        <v>136</v>
      </c>
      <c r="F219" s="6" t="s">
        <v>137</v>
      </c>
      <c r="G219" s="6" t="str">
        <f ca="1">IFERROR(__xludf.DUMMYFUNCTION("CONCATENATE(B219,(VLOOKUP(C219,CATALOGOS!$F$2:$H$6,3,FALSE)),(VLOOKUP(T219,CATALOGOS!$J$2:$K$18,2,FALSE)),""-"",TO_TEXT(A219))"),"P12PP-0218")</f>
        <v>P12PP-0218</v>
      </c>
      <c r="H219" s="6" t="s">
        <v>1600</v>
      </c>
      <c r="I219" s="6" t="s">
        <v>1601</v>
      </c>
      <c r="J219" s="6" t="s">
        <v>1602</v>
      </c>
      <c r="K219" s="6" t="s">
        <v>1603</v>
      </c>
      <c r="L219" s="17"/>
      <c r="M219" s="17"/>
      <c r="N219" s="17" t="str">
        <f t="shared" si="1"/>
        <v>OK</v>
      </c>
      <c r="O219" s="17" t="s">
        <v>1604</v>
      </c>
      <c r="P219" s="6" t="s">
        <v>1605</v>
      </c>
      <c r="Q219" s="17" t="s">
        <v>1606</v>
      </c>
      <c r="R219" s="17" t="s">
        <v>1607</v>
      </c>
      <c r="S219" s="173" t="s">
        <v>38</v>
      </c>
      <c r="T219" s="11" t="s">
        <v>1548</v>
      </c>
      <c r="U219" s="20" t="s">
        <v>1597</v>
      </c>
      <c r="V219" s="20" t="s">
        <v>1597</v>
      </c>
    </row>
    <row r="220" spans="1:22" ht="29.25">
      <c r="A220" s="10" t="s">
        <v>1608</v>
      </c>
      <c r="B220" s="10" t="s">
        <v>1469</v>
      </c>
      <c r="C220" s="60" t="s">
        <v>1470</v>
      </c>
      <c r="D220" s="12"/>
      <c r="E220" s="13" t="s">
        <v>162</v>
      </c>
      <c r="F220" s="43" t="s">
        <v>285</v>
      </c>
      <c r="G220" s="6" t="str">
        <f ca="1">IFERROR(__xludf.DUMMYFUNCTION("CONCATENATE(B220,(VLOOKUP(C220,CATALOGOS!$F$2:$H$6,3,FALSE)),(VLOOKUP(T220,CATALOGOS!$J$2:$K$18,2,FALSE)),""-"",TO_TEXT(A220))"),"P12PP-0219")</f>
        <v>P12PP-0219</v>
      </c>
      <c r="H220" s="6" t="s">
        <v>1609</v>
      </c>
      <c r="I220" s="6" t="s">
        <v>1610</v>
      </c>
      <c r="J220" s="6" t="s">
        <v>1611</v>
      </c>
      <c r="K220" s="6" t="s">
        <v>1612</v>
      </c>
      <c r="L220" s="17"/>
      <c r="M220" s="17"/>
      <c r="N220" s="17" t="str">
        <f t="shared" si="1"/>
        <v>OK</v>
      </c>
      <c r="O220" s="17" t="s">
        <v>168</v>
      </c>
      <c r="P220" s="6" t="s">
        <v>169</v>
      </c>
      <c r="Q220" s="17" t="s">
        <v>1613</v>
      </c>
      <c r="R220" s="17" t="s">
        <v>1614</v>
      </c>
      <c r="S220" s="173" t="s">
        <v>38</v>
      </c>
      <c r="T220" s="11" t="s">
        <v>1548</v>
      </c>
      <c r="U220" s="20" t="s">
        <v>1597</v>
      </c>
      <c r="V220" s="20" t="s">
        <v>1597</v>
      </c>
    </row>
    <row r="221" spans="1:22" ht="29.25">
      <c r="A221" s="10" t="s">
        <v>1615</v>
      </c>
      <c r="B221" s="10" t="s">
        <v>1469</v>
      </c>
      <c r="C221" s="60" t="s">
        <v>1470</v>
      </c>
      <c r="D221" s="12"/>
      <c r="E221" s="13" t="s">
        <v>151</v>
      </c>
      <c r="F221" s="6" t="s">
        <v>152</v>
      </c>
      <c r="G221" s="6" t="str">
        <f ca="1">IFERROR(__xludf.DUMMYFUNCTION("CONCATENATE(B221,(VLOOKUP(C221,CATALOGOS!$F$2:$H$6,3,FALSE)),(VLOOKUP(T221,CATALOGOS!$J$2:$K$18,2,FALSE)),""-"",TO_TEXT(A221))"),"P12PP-0220")</f>
        <v>P12PP-0220</v>
      </c>
      <c r="H221" s="6" t="s">
        <v>1616</v>
      </c>
      <c r="I221" s="6" t="s">
        <v>1617</v>
      </c>
      <c r="J221" s="6" t="s">
        <v>1618</v>
      </c>
      <c r="K221" s="6" t="s">
        <v>1619</v>
      </c>
      <c r="L221" s="17"/>
      <c r="M221" s="17"/>
      <c r="N221" s="17" t="str">
        <f t="shared" si="1"/>
        <v>OK</v>
      </c>
      <c r="O221" s="17" t="s">
        <v>297</v>
      </c>
      <c r="P221" s="6" t="s">
        <v>1620</v>
      </c>
      <c r="Q221" s="17" t="s">
        <v>1621</v>
      </c>
      <c r="R221" s="17" t="s">
        <v>1622</v>
      </c>
      <c r="S221" s="173" t="s">
        <v>38</v>
      </c>
      <c r="T221" s="11" t="s">
        <v>1548</v>
      </c>
      <c r="U221" s="20" t="s">
        <v>1597</v>
      </c>
      <c r="V221" s="20" t="s">
        <v>1597</v>
      </c>
    </row>
    <row r="222" spans="1:22" ht="29.25">
      <c r="A222" s="10" t="s">
        <v>1623</v>
      </c>
      <c r="B222" s="10" t="s">
        <v>1469</v>
      </c>
      <c r="C222" s="60" t="s">
        <v>1470</v>
      </c>
      <c r="D222" s="12"/>
      <c r="E222" s="13" t="s">
        <v>151</v>
      </c>
      <c r="F222" s="6" t="s">
        <v>293</v>
      </c>
      <c r="G222" s="6" t="str">
        <f ca="1">IFERROR(__xludf.DUMMYFUNCTION("CONCATENATE(B222,(VLOOKUP(C222,CATALOGOS!$F$2:$H$6,3,FALSE)),(VLOOKUP(T222,CATALOGOS!$J$2:$K$18,2,FALSE)),""-"",TO_TEXT(A222))"),"P12PP-0221")</f>
        <v>P12PP-0221</v>
      </c>
      <c r="H222" s="6" t="s">
        <v>1624</v>
      </c>
      <c r="I222" s="6" t="s">
        <v>1625</v>
      </c>
      <c r="J222" s="6" t="s">
        <v>1626</v>
      </c>
      <c r="K222" s="6" t="s">
        <v>1627</v>
      </c>
      <c r="L222" s="17"/>
      <c r="M222" s="17"/>
      <c r="N222" s="17" t="str">
        <f t="shared" si="1"/>
        <v>OK</v>
      </c>
      <c r="O222" s="17" t="s">
        <v>297</v>
      </c>
      <c r="P222" s="6" t="s">
        <v>298</v>
      </c>
      <c r="Q222" s="17" t="s">
        <v>1628</v>
      </c>
      <c r="R222" s="17" t="s">
        <v>85</v>
      </c>
      <c r="S222" s="173" t="s">
        <v>38</v>
      </c>
      <c r="T222" s="11" t="s">
        <v>1548</v>
      </c>
      <c r="U222" s="20" t="s">
        <v>1597</v>
      </c>
      <c r="V222" s="20" t="s">
        <v>1597</v>
      </c>
    </row>
    <row r="223" spans="1:22" ht="57.75">
      <c r="A223" s="10" t="s">
        <v>1629</v>
      </c>
      <c r="B223" s="10" t="s">
        <v>1469</v>
      </c>
      <c r="C223" s="60" t="s">
        <v>1470</v>
      </c>
      <c r="D223" s="12"/>
      <c r="E223" s="13" t="s">
        <v>199</v>
      </c>
      <c r="F223" s="6" t="s">
        <v>199</v>
      </c>
      <c r="G223" s="6" t="str">
        <f ca="1">IFERROR(__xludf.DUMMYFUNCTION("CONCATENATE(B223,(VLOOKUP(C223,CATALOGOS!$F$2:$H$6,3,FALSE)),(VLOOKUP(T223,CATALOGOS!$J$2:$K$18,2,FALSE)),""-"",TO_TEXT(A223))"),"P12PP-0222")</f>
        <v>P12PP-0222</v>
      </c>
      <c r="H223" s="6" t="s">
        <v>1630</v>
      </c>
      <c r="I223" s="6" t="s">
        <v>1631</v>
      </c>
      <c r="J223" s="6" t="s">
        <v>1632</v>
      </c>
      <c r="K223" s="6" t="s">
        <v>1633</v>
      </c>
      <c r="L223" s="17"/>
      <c r="M223" s="17"/>
      <c r="N223" s="17" t="str">
        <f t="shared" si="1"/>
        <v>OK</v>
      </c>
      <c r="O223" s="17" t="s">
        <v>273</v>
      </c>
      <c r="P223" s="6" t="s">
        <v>274</v>
      </c>
      <c r="Q223" s="17" t="s">
        <v>1634</v>
      </c>
      <c r="R223" s="10" t="s">
        <v>85</v>
      </c>
      <c r="S223" s="173" t="s">
        <v>38</v>
      </c>
      <c r="T223" s="11" t="s">
        <v>1548</v>
      </c>
      <c r="U223" s="20" t="s">
        <v>1597</v>
      </c>
      <c r="V223" s="20" t="s">
        <v>1597</v>
      </c>
    </row>
    <row r="224" spans="1:22" ht="100.5">
      <c r="A224" s="10" t="s">
        <v>1635</v>
      </c>
      <c r="B224" s="10" t="s">
        <v>1469</v>
      </c>
      <c r="C224" s="60" t="s">
        <v>1470</v>
      </c>
      <c r="D224" s="12"/>
      <c r="E224" s="13" t="s">
        <v>1636</v>
      </c>
      <c r="F224" s="43" t="s">
        <v>278</v>
      </c>
      <c r="G224" s="6" t="str">
        <f ca="1">IFERROR(__xludf.DUMMYFUNCTION("CONCATENATE(B224,(VLOOKUP(C224,CATALOGOS!$F$2:$H$6,3,FALSE)),(VLOOKUP(T224,CATALOGOS!$J$2:$K$18,2,FALSE)),""-"",TO_TEXT(A224))"),"P12PP-0223")</f>
        <v>P12PP-0223</v>
      </c>
      <c r="H224" s="6" t="s">
        <v>1637</v>
      </c>
      <c r="I224" s="6" t="s">
        <v>1638</v>
      </c>
      <c r="J224" s="6" t="s">
        <v>1639</v>
      </c>
      <c r="K224" s="6" t="s">
        <v>1640</v>
      </c>
      <c r="L224" s="17"/>
      <c r="M224" s="17"/>
      <c r="N224" s="17" t="str">
        <f t="shared" si="1"/>
        <v>OK</v>
      </c>
      <c r="O224" s="17" t="s">
        <v>35</v>
      </c>
      <c r="P224" s="6" t="s">
        <v>35</v>
      </c>
      <c r="Q224" s="17" t="s">
        <v>36</v>
      </c>
      <c r="R224" s="17" t="s">
        <v>1641</v>
      </c>
      <c r="S224" s="173" t="s">
        <v>38</v>
      </c>
      <c r="T224" s="11" t="s">
        <v>1548</v>
      </c>
      <c r="U224" s="20" t="s">
        <v>1597</v>
      </c>
      <c r="V224" s="20" t="s">
        <v>1597</v>
      </c>
    </row>
    <row r="225" spans="1:22" ht="72">
      <c r="A225" s="10" t="s">
        <v>1642</v>
      </c>
      <c r="B225" s="10" t="s">
        <v>1469</v>
      </c>
      <c r="C225" s="60" t="s">
        <v>1470</v>
      </c>
      <c r="D225" s="12"/>
      <c r="E225" s="13" t="s">
        <v>116</v>
      </c>
      <c r="F225" s="6" t="s">
        <v>129</v>
      </c>
      <c r="G225" s="6" t="str">
        <f ca="1">IFERROR(__xludf.DUMMYFUNCTION("CONCATENATE(B225,(VLOOKUP(C225,CATALOGOS!$F$2:$H$6,3,FALSE)),(VLOOKUP(T225,CATALOGOS!$J$2:$K$18,2,FALSE)),""-"",TO_TEXT(A225))"),"P12PP-0224")</f>
        <v>P12PP-0224</v>
      </c>
      <c r="H225" s="6" t="s">
        <v>1643</v>
      </c>
      <c r="I225" s="6" t="s">
        <v>1644</v>
      </c>
      <c r="J225" s="6" t="s">
        <v>1645</v>
      </c>
      <c r="K225" s="6" t="s">
        <v>1646</v>
      </c>
      <c r="L225" s="17"/>
      <c r="M225" s="17"/>
      <c r="N225" s="17" t="str">
        <f t="shared" si="1"/>
        <v>OK</v>
      </c>
      <c r="O225" s="17" t="s">
        <v>35</v>
      </c>
      <c r="P225" s="6" t="s">
        <v>35</v>
      </c>
      <c r="Q225" s="17" t="s">
        <v>36</v>
      </c>
      <c r="R225" s="17" t="s">
        <v>1647</v>
      </c>
      <c r="S225" s="173" t="s">
        <v>38</v>
      </c>
      <c r="T225" s="11" t="s">
        <v>1548</v>
      </c>
      <c r="U225" s="20" t="s">
        <v>1597</v>
      </c>
      <c r="V225" s="20" t="s">
        <v>1597</v>
      </c>
    </row>
    <row r="226" spans="1:22" ht="43.5">
      <c r="A226" s="10" t="s">
        <v>1648</v>
      </c>
      <c r="B226" s="10" t="s">
        <v>1469</v>
      </c>
      <c r="C226" s="60" t="s">
        <v>1470</v>
      </c>
      <c r="D226" s="12"/>
      <c r="E226" s="13" t="s">
        <v>93</v>
      </c>
      <c r="F226" s="6" t="s">
        <v>1173</v>
      </c>
      <c r="G226" s="6" t="str">
        <f ca="1">IFERROR(__xludf.DUMMYFUNCTION("CONCATENATE(B226,(VLOOKUP(C226,CATALOGOS!$F$2:$H$6,3,FALSE)),(VLOOKUP(T226,CATALOGOS!$J$2:$K$18,2,FALSE)),""-"",TO_TEXT(A226))"),"P12PP-0225")</f>
        <v>P12PP-0225</v>
      </c>
      <c r="H226" s="6" t="s">
        <v>1649</v>
      </c>
      <c r="I226" s="6" t="s">
        <v>1650</v>
      </c>
      <c r="J226" s="36"/>
      <c r="K226" s="6" t="s">
        <v>1651</v>
      </c>
      <c r="L226" s="17"/>
      <c r="M226" s="17"/>
      <c r="N226" s="17" t="str">
        <f t="shared" si="1"/>
        <v>OK</v>
      </c>
      <c r="O226" s="35" t="s">
        <v>35</v>
      </c>
      <c r="P226" s="6" t="s">
        <v>35</v>
      </c>
      <c r="Q226" s="10" t="s">
        <v>36</v>
      </c>
      <c r="R226" s="32" t="s">
        <v>85</v>
      </c>
      <c r="S226" s="173" t="s">
        <v>38</v>
      </c>
      <c r="T226" s="11" t="s">
        <v>1548</v>
      </c>
      <c r="U226" s="20" t="s">
        <v>1597</v>
      </c>
      <c r="V226" s="20" t="s">
        <v>1597</v>
      </c>
    </row>
    <row r="227" spans="1:22" ht="43.5">
      <c r="A227" s="10" t="s">
        <v>1652</v>
      </c>
      <c r="B227" s="10" t="s">
        <v>1469</v>
      </c>
      <c r="C227" s="60" t="s">
        <v>1470</v>
      </c>
      <c r="D227" s="12"/>
      <c r="E227" s="13" t="s">
        <v>29</v>
      </c>
      <c r="F227" s="43" t="s">
        <v>1166</v>
      </c>
      <c r="G227" s="6" t="str">
        <f ca="1">IFERROR(__xludf.DUMMYFUNCTION("CONCATENATE(B227,(VLOOKUP(C227,CATALOGOS!$F$2:$H$6,3,FALSE)),(VLOOKUP(T227,CATALOGOS!$J$2:$K$18,2,FALSE)),""-"",TO_TEXT(A227))"),"P12PP-0226")</f>
        <v>P12PP-0226</v>
      </c>
      <c r="H227" s="6" t="s">
        <v>1653</v>
      </c>
      <c r="I227" s="62"/>
      <c r="J227" s="6" t="s">
        <v>1654</v>
      </c>
      <c r="K227" s="6" t="s">
        <v>1655</v>
      </c>
      <c r="L227" s="17"/>
      <c r="M227" s="17"/>
      <c r="N227" s="17" t="str">
        <f t="shared" si="1"/>
        <v>OK</v>
      </c>
      <c r="O227" s="17" t="s">
        <v>35</v>
      </c>
      <c r="P227" s="6" t="s">
        <v>35</v>
      </c>
      <c r="Q227" s="17" t="s">
        <v>36</v>
      </c>
      <c r="R227" s="17" t="s">
        <v>1656</v>
      </c>
      <c r="S227" s="173" t="s">
        <v>38</v>
      </c>
      <c r="T227" s="11" t="s">
        <v>1548</v>
      </c>
      <c r="U227" s="20" t="s">
        <v>1597</v>
      </c>
      <c r="V227" s="20" t="s">
        <v>1597</v>
      </c>
    </row>
    <row r="228" spans="1:22" ht="43.5">
      <c r="A228" s="10" t="s">
        <v>1657</v>
      </c>
      <c r="B228" s="10" t="s">
        <v>1469</v>
      </c>
      <c r="C228" s="60" t="s">
        <v>1470</v>
      </c>
      <c r="D228" s="12"/>
      <c r="E228" s="13" t="s">
        <v>116</v>
      </c>
      <c r="F228" s="6" t="s">
        <v>117</v>
      </c>
      <c r="G228" s="6" t="str">
        <f ca="1">IFERROR(__xludf.DUMMYFUNCTION("CONCATENATE(B228,(VLOOKUP(C228,CATALOGOS!$F$2:$H$6,3,FALSE)),(VLOOKUP(T228,CATALOGOS!$J$2:$K$18,2,FALSE)),""-"",TO_TEXT(A228))"),"P12PP-0227")</f>
        <v>P12PP-0227</v>
      </c>
      <c r="H228" s="6" t="s">
        <v>1658</v>
      </c>
      <c r="I228" s="62"/>
      <c r="J228" s="36"/>
      <c r="K228" s="6" t="s">
        <v>141</v>
      </c>
      <c r="L228" s="17"/>
      <c r="M228" s="17"/>
      <c r="N228" s="17" t="str">
        <f t="shared" si="1"/>
        <v>REPETIDO</v>
      </c>
      <c r="O228" s="35" t="s">
        <v>35</v>
      </c>
      <c r="P228" s="6" t="s">
        <v>35</v>
      </c>
      <c r="Q228" s="10" t="s">
        <v>36</v>
      </c>
      <c r="R228" s="32" t="s">
        <v>85</v>
      </c>
      <c r="S228" s="173" t="s">
        <v>38</v>
      </c>
      <c r="T228" s="11" t="s">
        <v>1548</v>
      </c>
      <c r="U228" s="20" t="s">
        <v>1597</v>
      </c>
      <c r="V228" s="20" t="s">
        <v>1597</v>
      </c>
    </row>
    <row r="229" spans="1:22" ht="57.75">
      <c r="A229" s="10" t="s">
        <v>1659</v>
      </c>
      <c r="B229" s="10" t="s">
        <v>1469</v>
      </c>
      <c r="C229" s="60" t="s">
        <v>1470</v>
      </c>
      <c r="D229" s="12"/>
      <c r="E229" s="13" t="s">
        <v>184</v>
      </c>
      <c r="F229" s="43" t="s">
        <v>927</v>
      </c>
      <c r="G229" s="6" t="str">
        <f ca="1">IFERROR(__xludf.DUMMYFUNCTION("CONCATENATE(B229,(VLOOKUP(C229,CATALOGOS!$F$2:$H$6,3,FALSE)),(VLOOKUP(T229,CATALOGOS!$J$2:$K$18,2,FALSE)),""-"",TO_TEXT(A229))"),"P12SO-0228")</f>
        <v>P12SO-0228</v>
      </c>
      <c r="H229" s="6" t="s">
        <v>1660</v>
      </c>
      <c r="I229" s="6" t="s">
        <v>1661</v>
      </c>
      <c r="J229" s="6" t="s">
        <v>1662</v>
      </c>
      <c r="K229" s="6" t="s">
        <v>1663</v>
      </c>
      <c r="L229" s="17"/>
      <c r="M229" s="17"/>
      <c r="N229" s="17" t="str">
        <f t="shared" si="1"/>
        <v>OK</v>
      </c>
      <c r="O229" s="17" t="s">
        <v>35</v>
      </c>
      <c r="P229" s="6" t="s">
        <v>35</v>
      </c>
      <c r="Q229" s="17" t="s">
        <v>36</v>
      </c>
      <c r="R229" s="17" t="s">
        <v>1664</v>
      </c>
      <c r="S229" s="173" t="s">
        <v>38</v>
      </c>
      <c r="T229" s="11" t="s">
        <v>868</v>
      </c>
      <c r="U229" s="20" t="s">
        <v>1665</v>
      </c>
      <c r="V229" s="20" t="s">
        <v>1665</v>
      </c>
    </row>
    <row r="230" spans="1:22" ht="43.5">
      <c r="A230" s="10" t="s">
        <v>1666</v>
      </c>
      <c r="B230" s="10" t="s">
        <v>1469</v>
      </c>
      <c r="C230" s="60" t="s">
        <v>1470</v>
      </c>
      <c r="D230" s="12"/>
      <c r="E230" s="13" t="s">
        <v>378</v>
      </c>
      <c r="F230" s="43" t="s">
        <v>831</v>
      </c>
      <c r="G230" s="6" t="str">
        <f ca="1">IFERROR(__xludf.DUMMYFUNCTION("CONCATENATE(B230,(VLOOKUP(C230,CATALOGOS!$F$2:$H$6,3,FALSE)),(VLOOKUP(T230,CATALOGOS!$J$2:$K$18,2,FALSE)),""-"",TO_TEXT(A230))"),"P12PP-0229")</f>
        <v>P12PP-0229</v>
      </c>
      <c r="H230" s="6" t="s">
        <v>1667</v>
      </c>
      <c r="I230" s="6" t="s">
        <v>1668</v>
      </c>
      <c r="J230" s="6" t="s">
        <v>1669</v>
      </c>
      <c r="K230" s="6" t="s">
        <v>1670</v>
      </c>
      <c r="L230" s="17"/>
      <c r="M230" s="17"/>
      <c r="N230" s="17" t="str">
        <f t="shared" si="1"/>
        <v>OK</v>
      </c>
      <c r="O230" s="17" t="s">
        <v>35</v>
      </c>
      <c r="P230" s="6" t="s">
        <v>35</v>
      </c>
      <c r="Q230" s="17" t="s">
        <v>36</v>
      </c>
      <c r="R230" s="17" t="s">
        <v>1671</v>
      </c>
      <c r="S230" s="173" t="s">
        <v>38</v>
      </c>
      <c r="T230" s="11" t="s">
        <v>1548</v>
      </c>
      <c r="U230" s="20" t="s">
        <v>1672</v>
      </c>
      <c r="V230" s="20" t="s">
        <v>1672</v>
      </c>
    </row>
    <row r="231" spans="1:22" ht="57.75">
      <c r="A231" s="10" t="s">
        <v>1673</v>
      </c>
      <c r="B231" s="10" t="s">
        <v>1469</v>
      </c>
      <c r="C231" s="60" t="s">
        <v>1470</v>
      </c>
      <c r="D231" s="12"/>
      <c r="E231" s="13" t="s">
        <v>378</v>
      </c>
      <c r="F231" s="43" t="s">
        <v>1674</v>
      </c>
      <c r="G231" s="6" t="str">
        <f ca="1">IFERROR(__xludf.DUMMYFUNCTION("CONCATENATE(B231,(VLOOKUP(C231,CATALOGOS!$F$2:$H$6,3,FALSE)),(VLOOKUP(T231,CATALOGOS!$J$2:$K$18,2,FALSE)),""-"",TO_TEXT(A231))"),"P12PP-0230")</f>
        <v>P12PP-0230</v>
      </c>
      <c r="H231" s="6" t="s">
        <v>1675</v>
      </c>
      <c r="I231" s="6" t="s">
        <v>1676</v>
      </c>
      <c r="J231" s="6" t="s">
        <v>1677</v>
      </c>
      <c r="K231" s="6" t="s">
        <v>1678</v>
      </c>
      <c r="L231" s="17"/>
      <c r="M231" s="17"/>
      <c r="N231" s="17" t="str">
        <f t="shared" si="1"/>
        <v>OK</v>
      </c>
      <c r="O231" s="17" t="s">
        <v>35</v>
      </c>
      <c r="P231" s="6" t="s">
        <v>35</v>
      </c>
      <c r="Q231" s="17" t="s">
        <v>36</v>
      </c>
      <c r="R231" s="17" t="s">
        <v>1679</v>
      </c>
      <c r="S231" s="173" t="s">
        <v>38</v>
      </c>
      <c r="T231" s="11" t="s">
        <v>1548</v>
      </c>
      <c r="U231" s="20" t="s">
        <v>1597</v>
      </c>
      <c r="V231" s="20" t="s">
        <v>1597</v>
      </c>
    </row>
    <row r="232" spans="1:22" ht="57.75">
      <c r="A232" s="10" t="s">
        <v>1680</v>
      </c>
      <c r="B232" s="10" t="s">
        <v>1469</v>
      </c>
      <c r="C232" s="60" t="s">
        <v>1470</v>
      </c>
      <c r="D232" s="12"/>
      <c r="E232" s="13" t="s">
        <v>53</v>
      </c>
      <c r="F232" s="6" t="s">
        <v>1681</v>
      </c>
      <c r="G232" s="6" t="str">
        <f ca="1">IFERROR(__xludf.DUMMYFUNCTION("CONCATENATE(B232,(VLOOKUP(C232,CATALOGOS!$F$2:$H$6,3,FALSE)),(VLOOKUP(T232,CATALOGOS!$J$2:$K$18,2,FALSE)),""-"",TO_TEXT(A232))"),"P12PP-0231")</f>
        <v>P12PP-0231</v>
      </c>
      <c r="H232" s="6" t="s">
        <v>1682</v>
      </c>
      <c r="I232" s="6" t="s">
        <v>1683</v>
      </c>
      <c r="J232" s="6" t="s">
        <v>1684</v>
      </c>
      <c r="K232" s="6" t="s">
        <v>1685</v>
      </c>
      <c r="L232" s="17"/>
      <c r="M232" s="17"/>
      <c r="N232" s="17" t="str">
        <f t="shared" si="1"/>
        <v>OK</v>
      </c>
      <c r="O232" s="17" t="s">
        <v>35</v>
      </c>
      <c r="P232" s="6" t="s">
        <v>35</v>
      </c>
      <c r="Q232" s="17" t="s">
        <v>36</v>
      </c>
      <c r="R232" s="17" t="s">
        <v>1686</v>
      </c>
      <c r="S232" s="173" t="s">
        <v>38</v>
      </c>
      <c r="T232" s="11" t="s">
        <v>1548</v>
      </c>
      <c r="U232" s="20" t="s">
        <v>1597</v>
      </c>
      <c r="V232" s="20" t="s">
        <v>1597</v>
      </c>
    </row>
    <row r="233" spans="1:22" ht="57.75">
      <c r="A233" s="10" t="s">
        <v>1687</v>
      </c>
      <c r="B233" s="10" t="s">
        <v>1469</v>
      </c>
      <c r="C233" s="60" t="s">
        <v>1470</v>
      </c>
      <c r="D233" s="12"/>
      <c r="E233" s="13" t="s">
        <v>43</v>
      </c>
      <c r="F233" s="43" t="s">
        <v>1688</v>
      </c>
      <c r="G233" s="6" t="str">
        <f ca="1">IFERROR(__xludf.DUMMYFUNCTION("CONCATENATE(B233,(VLOOKUP(C233,CATALOGOS!$F$2:$H$6,3,FALSE)),(VLOOKUP(T233,CATALOGOS!$J$2:$K$18,2,FALSE)),""-"",TO_TEXT(A233))"),"P12PP-0232")</f>
        <v>P12PP-0232</v>
      </c>
      <c r="H233" s="6" t="s">
        <v>1689</v>
      </c>
      <c r="I233" s="6" t="s">
        <v>1690</v>
      </c>
      <c r="J233" s="6" t="s">
        <v>1691</v>
      </c>
      <c r="K233" s="6" t="s">
        <v>1692</v>
      </c>
      <c r="L233" s="17"/>
      <c r="M233" s="17"/>
      <c r="N233" s="17" t="str">
        <f t="shared" si="1"/>
        <v>OK</v>
      </c>
      <c r="O233" s="17" t="s">
        <v>1693</v>
      </c>
      <c r="P233" s="6">
        <v>3141</v>
      </c>
      <c r="Q233" s="17" t="s">
        <v>36</v>
      </c>
      <c r="R233" s="17" t="s">
        <v>1694</v>
      </c>
      <c r="S233" s="173" t="s">
        <v>38</v>
      </c>
      <c r="T233" s="11" t="s">
        <v>1548</v>
      </c>
      <c r="U233" s="20" t="s">
        <v>1597</v>
      </c>
      <c r="V233" s="20" t="s">
        <v>1597</v>
      </c>
    </row>
    <row r="234" spans="1:22" ht="72">
      <c r="A234" s="10" t="s">
        <v>1695</v>
      </c>
      <c r="B234" s="10" t="s">
        <v>1469</v>
      </c>
      <c r="C234" s="60" t="s">
        <v>1470</v>
      </c>
      <c r="D234" s="12"/>
      <c r="E234" s="13" t="s">
        <v>93</v>
      </c>
      <c r="F234" s="43" t="s">
        <v>1696</v>
      </c>
      <c r="G234" s="6" t="str">
        <f ca="1">IFERROR(__xludf.DUMMYFUNCTION("CONCATENATE(B234,(VLOOKUP(C234,CATALOGOS!$F$2:$H$6,3,FALSE)),(VLOOKUP(T234,CATALOGOS!$J$2:$K$18,2,FALSE)),""-"",TO_TEXT(A234))"),"P12PP-0233")</f>
        <v>P12PP-0233</v>
      </c>
      <c r="H234" s="6" t="s">
        <v>1697</v>
      </c>
      <c r="I234" s="6" t="s">
        <v>1698</v>
      </c>
      <c r="J234" s="6" t="s">
        <v>1699</v>
      </c>
      <c r="K234" s="6" t="s">
        <v>1700</v>
      </c>
      <c r="L234" s="17"/>
      <c r="M234" s="17"/>
      <c r="N234" s="17" t="str">
        <f t="shared" si="1"/>
        <v>OK</v>
      </c>
      <c r="O234" s="17" t="s">
        <v>35</v>
      </c>
      <c r="P234" s="6" t="s">
        <v>35</v>
      </c>
      <c r="Q234" s="17" t="s">
        <v>36</v>
      </c>
      <c r="R234" s="17" t="s">
        <v>1701</v>
      </c>
      <c r="S234" s="173" t="s">
        <v>38</v>
      </c>
      <c r="T234" s="11" t="s">
        <v>1548</v>
      </c>
      <c r="U234" s="20" t="s">
        <v>1550</v>
      </c>
      <c r="V234" s="20" t="s">
        <v>1550</v>
      </c>
    </row>
    <row r="235" spans="1:22" ht="29.25">
      <c r="A235" s="10" t="s">
        <v>1702</v>
      </c>
      <c r="B235" s="10" t="s">
        <v>1469</v>
      </c>
      <c r="C235" s="60" t="s">
        <v>1470</v>
      </c>
      <c r="D235" s="12"/>
      <c r="E235" s="13" t="s">
        <v>378</v>
      </c>
      <c r="F235" s="43" t="s">
        <v>1703</v>
      </c>
      <c r="G235" s="6" t="str">
        <f ca="1">IFERROR(__xludf.DUMMYFUNCTION("CONCATENATE(B235,(VLOOKUP(C235,CATALOGOS!$F$2:$H$6,3,FALSE)),(VLOOKUP(T235,CATALOGOS!$J$2:$K$18,2,FALSE)),""-"",TO_TEXT(A235))"),"P12PP-0234")</f>
        <v>P12PP-0234</v>
      </c>
      <c r="H235" s="6" t="s">
        <v>1704</v>
      </c>
      <c r="I235" s="6" t="s">
        <v>1705</v>
      </c>
      <c r="J235" s="6" t="s">
        <v>1706</v>
      </c>
      <c r="K235" s="6" t="s">
        <v>1707</v>
      </c>
      <c r="L235" s="17"/>
      <c r="M235" s="17"/>
      <c r="N235" s="17" t="str">
        <f t="shared" si="1"/>
        <v>OK</v>
      </c>
      <c r="O235" s="17" t="s">
        <v>35</v>
      </c>
      <c r="P235" s="6" t="s">
        <v>35</v>
      </c>
      <c r="Q235" s="17" t="s">
        <v>36</v>
      </c>
      <c r="R235" s="17" t="s">
        <v>1708</v>
      </c>
      <c r="S235" s="173" t="s">
        <v>38</v>
      </c>
      <c r="T235" s="11" t="s">
        <v>1548</v>
      </c>
      <c r="U235" s="20" t="s">
        <v>1597</v>
      </c>
      <c r="V235" s="20" t="s">
        <v>1597</v>
      </c>
    </row>
    <row r="236" spans="1:22" ht="29.25">
      <c r="A236" s="10" t="s">
        <v>1709</v>
      </c>
      <c r="B236" s="10" t="s">
        <v>1469</v>
      </c>
      <c r="C236" s="60" t="s">
        <v>1470</v>
      </c>
      <c r="D236" s="12"/>
      <c r="E236" s="13" t="s">
        <v>378</v>
      </c>
      <c r="F236" s="43" t="s">
        <v>1703</v>
      </c>
      <c r="G236" s="6" t="str">
        <f ca="1">IFERROR(__xludf.DUMMYFUNCTION("CONCATENATE(B236,(VLOOKUP(C236,CATALOGOS!$F$2:$H$6,3,FALSE)),(VLOOKUP(T236,CATALOGOS!$J$2:$K$18,2,FALSE)),""-"",TO_TEXT(A236))"),"P12PP-0235")</f>
        <v>P12PP-0235</v>
      </c>
      <c r="H236" s="6" t="s">
        <v>1710</v>
      </c>
      <c r="I236" s="6" t="s">
        <v>1711</v>
      </c>
      <c r="J236" s="6" t="s">
        <v>1712</v>
      </c>
      <c r="K236" s="6" t="s">
        <v>1713</v>
      </c>
      <c r="L236" s="17"/>
      <c r="M236" s="17"/>
      <c r="N236" s="17" t="str">
        <f t="shared" si="1"/>
        <v>OK</v>
      </c>
      <c r="O236" s="17" t="s">
        <v>35</v>
      </c>
      <c r="P236" s="6" t="s">
        <v>35</v>
      </c>
      <c r="Q236" s="17" t="s">
        <v>36</v>
      </c>
      <c r="R236" s="17" t="s">
        <v>1714</v>
      </c>
      <c r="S236" s="173" t="s">
        <v>38</v>
      </c>
      <c r="T236" s="11" t="s">
        <v>1548</v>
      </c>
      <c r="U236" s="20" t="s">
        <v>1597</v>
      </c>
      <c r="V236" s="20" t="s">
        <v>1597</v>
      </c>
    </row>
    <row r="237" spans="1:22" ht="72">
      <c r="A237" s="10" t="s">
        <v>1715</v>
      </c>
      <c r="B237" s="10" t="s">
        <v>1469</v>
      </c>
      <c r="C237" s="60" t="s">
        <v>1470</v>
      </c>
      <c r="D237" s="12"/>
      <c r="E237" s="13" t="s">
        <v>62</v>
      </c>
      <c r="F237" s="43" t="s">
        <v>1716</v>
      </c>
      <c r="G237" s="6" t="str">
        <f ca="1">IFERROR(__xludf.DUMMYFUNCTION("CONCATENATE(B237,(VLOOKUP(C237,CATALOGOS!$F$2:$H$6,3,FALSE)),(VLOOKUP(T237,CATALOGOS!$J$2:$K$18,2,FALSE)),""-"",TO_TEXT(A237))"),"P12PP-0236")</f>
        <v>P12PP-0236</v>
      </c>
      <c r="H237" s="6" t="s">
        <v>1717</v>
      </c>
      <c r="I237" s="6" t="s">
        <v>1718</v>
      </c>
      <c r="J237" s="6" t="s">
        <v>1719</v>
      </c>
      <c r="K237" s="6" t="s">
        <v>1720</v>
      </c>
      <c r="L237" s="17"/>
      <c r="M237" s="17"/>
      <c r="N237" s="17" t="str">
        <f t="shared" si="1"/>
        <v>OK</v>
      </c>
      <c r="O237" s="17" t="s">
        <v>35</v>
      </c>
      <c r="P237" s="6" t="s">
        <v>35</v>
      </c>
      <c r="Q237" s="17" t="s">
        <v>36</v>
      </c>
      <c r="R237" s="17" t="s">
        <v>85</v>
      </c>
      <c r="S237" s="173" t="s">
        <v>38</v>
      </c>
      <c r="T237" s="11" t="s">
        <v>1548</v>
      </c>
      <c r="U237" s="20" t="s">
        <v>1597</v>
      </c>
      <c r="V237" s="20" t="s">
        <v>1597</v>
      </c>
    </row>
    <row r="238" spans="1:22" ht="30">
      <c r="A238" s="10" t="s">
        <v>1721</v>
      </c>
      <c r="B238" s="10" t="s">
        <v>1469</v>
      </c>
      <c r="C238" s="60" t="s">
        <v>1470</v>
      </c>
      <c r="D238" s="38"/>
      <c r="E238" s="13" t="s">
        <v>248</v>
      </c>
      <c r="F238" s="43" t="s">
        <v>249</v>
      </c>
      <c r="G238" s="6" t="str">
        <f ca="1">IFERROR(__xludf.DUMMYFUNCTION("CONCATENATE(B238,(VLOOKUP(C238,CATALOGOS!$F$2:$H$6,3,FALSE)),(VLOOKUP(T238,CATALOGOS!$J$2:$K$18,2,FALSE)),""-"",TO_TEXT(A238))"),"P12PP-0237")</f>
        <v>P12PP-0237</v>
      </c>
      <c r="H238" s="6" t="s">
        <v>1722</v>
      </c>
      <c r="I238" s="17" t="s">
        <v>1723</v>
      </c>
      <c r="J238" s="17" t="s">
        <v>1724</v>
      </c>
      <c r="K238" s="17" t="s">
        <v>1725</v>
      </c>
      <c r="L238" s="17"/>
      <c r="M238" s="17"/>
      <c r="N238" s="17" t="str">
        <f t="shared" si="1"/>
        <v>OK</v>
      </c>
      <c r="O238" s="17" t="s">
        <v>303</v>
      </c>
      <c r="P238" s="6" t="s">
        <v>1726</v>
      </c>
      <c r="Q238" s="46" t="s">
        <v>1727</v>
      </c>
      <c r="R238" s="17" t="s">
        <v>1728</v>
      </c>
      <c r="S238" s="173" t="s">
        <v>38</v>
      </c>
      <c r="T238" s="11" t="s">
        <v>1548</v>
      </c>
      <c r="U238" s="20" t="s">
        <v>1597</v>
      </c>
      <c r="V238" s="20" t="s">
        <v>1597</v>
      </c>
    </row>
    <row r="239" spans="1:22" ht="57.75">
      <c r="A239" s="10" t="s">
        <v>1729</v>
      </c>
      <c r="B239" s="10" t="s">
        <v>1469</v>
      </c>
      <c r="C239" s="60" t="s">
        <v>1470</v>
      </c>
      <c r="D239" s="12"/>
      <c r="E239" s="13" t="s">
        <v>116</v>
      </c>
      <c r="F239" s="6" t="s">
        <v>1730</v>
      </c>
      <c r="G239" s="6" t="str">
        <f ca="1">IFERROR(__xludf.DUMMYFUNCTION("CONCATENATE(B239,(VLOOKUP(C239,CATALOGOS!$F$2:$H$6,3,FALSE)),(VLOOKUP(T239,CATALOGOS!$J$2:$K$18,2,FALSE)),""-"",TO_TEXT(A239))"),"P12PP-0238")</f>
        <v>P12PP-0238</v>
      </c>
      <c r="H239" s="6" t="s">
        <v>1731</v>
      </c>
      <c r="I239" s="6" t="s">
        <v>1732</v>
      </c>
      <c r="J239" s="6" t="s">
        <v>1733</v>
      </c>
      <c r="K239" s="6" t="s">
        <v>1734</v>
      </c>
      <c r="L239" s="17"/>
      <c r="M239" s="17"/>
      <c r="N239" s="17" t="str">
        <f t="shared" si="1"/>
        <v>OK</v>
      </c>
      <c r="O239" s="17" t="s">
        <v>35</v>
      </c>
      <c r="P239" s="6" t="s">
        <v>35</v>
      </c>
      <c r="Q239" s="17" t="s">
        <v>36</v>
      </c>
      <c r="R239" s="17" t="s">
        <v>1735</v>
      </c>
      <c r="S239" s="173" t="s">
        <v>38</v>
      </c>
      <c r="T239" s="11" t="s">
        <v>1548</v>
      </c>
      <c r="U239" s="20" t="s">
        <v>1737</v>
      </c>
      <c r="V239" s="20" t="s">
        <v>1737</v>
      </c>
    </row>
    <row r="240" spans="1:22" ht="72">
      <c r="A240" s="10" t="s">
        <v>1738</v>
      </c>
      <c r="B240" s="10" t="s">
        <v>1469</v>
      </c>
      <c r="C240" s="60" t="s">
        <v>1470</v>
      </c>
      <c r="D240" s="12"/>
      <c r="E240" s="13" t="s">
        <v>93</v>
      </c>
      <c r="F240" s="6" t="s">
        <v>1739</v>
      </c>
      <c r="G240" s="6" t="str">
        <f ca="1">IFERROR(__xludf.DUMMYFUNCTION("CONCATENATE(B240,(VLOOKUP(C240,CATALOGOS!$F$2:$H$6,3,FALSE)),(VLOOKUP(T240,CATALOGOS!$J$2:$K$18,2,FALSE)),""-"",TO_TEXT(A240))"),"P12PP-0239")</f>
        <v>P12PP-0239</v>
      </c>
      <c r="H240" s="6" t="s">
        <v>1740</v>
      </c>
      <c r="I240" s="6" t="s">
        <v>1741</v>
      </c>
      <c r="J240" s="6" t="s">
        <v>1742</v>
      </c>
      <c r="K240" s="6" t="s">
        <v>1743</v>
      </c>
      <c r="L240" s="17"/>
      <c r="M240" s="17"/>
      <c r="N240" s="17" t="str">
        <f t="shared" si="1"/>
        <v>OK</v>
      </c>
      <c r="O240" s="17" t="s">
        <v>35</v>
      </c>
      <c r="P240" s="6" t="s">
        <v>35</v>
      </c>
      <c r="Q240" s="17" t="s">
        <v>36</v>
      </c>
      <c r="R240" s="17" t="s">
        <v>1744</v>
      </c>
      <c r="S240" s="173" t="s">
        <v>38</v>
      </c>
      <c r="T240" s="11" t="s">
        <v>1548</v>
      </c>
      <c r="U240" s="20" t="s">
        <v>1737</v>
      </c>
      <c r="V240" s="20" t="s">
        <v>1737</v>
      </c>
    </row>
    <row r="241" spans="1:22" ht="72">
      <c r="A241" s="10" t="s">
        <v>1745</v>
      </c>
      <c r="B241" s="10" t="s">
        <v>1469</v>
      </c>
      <c r="C241" s="60" t="s">
        <v>1470</v>
      </c>
      <c r="D241" s="12"/>
      <c r="E241" s="13" t="s">
        <v>199</v>
      </c>
      <c r="F241" s="6" t="s">
        <v>1746</v>
      </c>
      <c r="G241" s="6" t="str">
        <f ca="1">IFERROR(__xludf.DUMMYFUNCTION("CONCATENATE(B241,(VLOOKUP(C241,CATALOGOS!$F$2:$H$6,3,FALSE)),(VLOOKUP(T241,CATALOGOS!$J$2:$K$18,2,FALSE)),""-"",TO_TEXT(A241))"),"P12PP-0240")</f>
        <v>P12PP-0240</v>
      </c>
      <c r="H241" s="6" t="s">
        <v>1747</v>
      </c>
      <c r="I241" s="6" t="s">
        <v>1748</v>
      </c>
      <c r="J241" s="6" t="s">
        <v>1749</v>
      </c>
      <c r="K241" s="6" t="s">
        <v>141</v>
      </c>
      <c r="L241" s="17"/>
      <c r="M241" s="17"/>
      <c r="N241" s="17" t="str">
        <f t="shared" si="1"/>
        <v>REPETIDO</v>
      </c>
      <c r="O241" s="17" t="s">
        <v>682</v>
      </c>
      <c r="P241" s="6" t="s">
        <v>1750</v>
      </c>
      <c r="Q241" s="17" t="s">
        <v>1751</v>
      </c>
      <c r="R241" s="17" t="s">
        <v>1752</v>
      </c>
      <c r="S241" s="173" t="s">
        <v>38</v>
      </c>
      <c r="T241" s="11" t="s">
        <v>1548</v>
      </c>
      <c r="U241" s="20" t="s">
        <v>1737</v>
      </c>
      <c r="V241" s="20" t="s">
        <v>1737</v>
      </c>
    </row>
    <row r="242" spans="1:22" ht="30">
      <c r="A242" s="10" t="s">
        <v>1753</v>
      </c>
      <c r="B242" s="10" t="s">
        <v>1469</v>
      </c>
      <c r="C242" s="60" t="s">
        <v>1470</v>
      </c>
      <c r="D242" s="38"/>
      <c r="E242" s="13" t="s">
        <v>248</v>
      </c>
      <c r="F242" s="6" t="s">
        <v>249</v>
      </c>
      <c r="G242" s="6" t="str">
        <f ca="1">IFERROR(__xludf.DUMMYFUNCTION("CONCATENATE(B242,(VLOOKUP(C242,CATALOGOS!$F$2:$H$6,3,FALSE)),(VLOOKUP(T242,CATALOGOS!$J$2:$K$18,2,FALSE)),""-"",TO_TEXT(A242))"),"P12PP-0241")</f>
        <v>P12PP-0241</v>
      </c>
      <c r="H242" s="6" t="s">
        <v>1754</v>
      </c>
      <c r="I242" s="6" t="s">
        <v>1755</v>
      </c>
      <c r="J242" s="6" t="s">
        <v>1756</v>
      </c>
      <c r="K242" s="6" t="s">
        <v>1757</v>
      </c>
      <c r="L242" s="17"/>
      <c r="M242" s="17"/>
      <c r="N242" s="17" t="str">
        <f t="shared" si="1"/>
        <v>OK</v>
      </c>
      <c r="O242" s="6" t="s">
        <v>303</v>
      </c>
      <c r="P242" s="6" t="s">
        <v>304</v>
      </c>
      <c r="Q242" s="46" t="s">
        <v>1758</v>
      </c>
      <c r="R242" s="17" t="s">
        <v>1759</v>
      </c>
      <c r="S242" s="173" t="s">
        <v>38</v>
      </c>
      <c r="T242" s="11" t="s">
        <v>1548</v>
      </c>
      <c r="U242" s="20" t="s">
        <v>1672</v>
      </c>
      <c r="V242" s="20" t="s">
        <v>1672</v>
      </c>
    </row>
    <row r="243" spans="1:22" ht="57.75">
      <c r="A243" s="10" t="s">
        <v>1760</v>
      </c>
      <c r="B243" s="10" t="s">
        <v>1469</v>
      </c>
      <c r="C243" s="60" t="s">
        <v>1470</v>
      </c>
      <c r="D243" s="12"/>
      <c r="E243" s="13" t="s">
        <v>116</v>
      </c>
      <c r="F243" s="6" t="s">
        <v>1730</v>
      </c>
      <c r="G243" s="6" t="str">
        <f ca="1">IFERROR(__xludf.DUMMYFUNCTION("CONCATENATE(B243,(VLOOKUP(C243,CATALOGOS!$F$2:$H$6,3,FALSE)),(VLOOKUP(T243,CATALOGOS!$J$2:$K$18,2,FALSE)),""-"",TO_TEXT(A243))"),"P12PP-0242")</f>
        <v>P12PP-0242</v>
      </c>
      <c r="H243" s="6" t="s">
        <v>1761</v>
      </c>
      <c r="I243" s="6" t="s">
        <v>1762</v>
      </c>
      <c r="J243" s="6" t="s">
        <v>1763</v>
      </c>
      <c r="K243" s="6" t="s">
        <v>1764</v>
      </c>
      <c r="L243" s="17"/>
      <c r="M243" s="17"/>
      <c r="N243" s="17" t="str">
        <f t="shared" si="1"/>
        <v>OK</v>
      </c>
      <c r="O243" s="17" t="s">
        <v>35</v>
      </c>
      <c r="P243" s="6" t="s">
        <v>35</v>
      </c>
      <c r="Q243" s="17" t="s">
        <v>36</v>
      </c>
      <c r="R243" s="17" t="s">
        <v>1765</v>
      </c>
      <c r="S243" s="173" t="s">
        <v>38</v>
      </c>
      <c r="T243" s="11" t="s">
        <v>1548</v>
      </c>
      <c r="U243" s="22" t="s">
        <v>1672</v>
      </c>
      <c r="V243" s="22" t="s">
        <v>1672</v>
      </c>
    </row>
    <row r="244" spans="1:22" ht="72">
      <c r="A244" s="10" t="s">
        <v>1766</v>
      </c>
      <c r="B244" s="10" t="s">
        <v>1469</v>
      </c>
      <c r="C244" s="60" t="s">
        <v>1470</v>
      </c>
      <c r="D244" s="12"/>
      <c r="E244" s="13" t="s">
        <v>93</v>
      </c>
      <c r="F244" s="6" t="s">
        <v>1739</v>
      </c>
      <c r="G244" s="6" t="str">
        <f ca="1">IFERROR(__xludf.DUMMYFUNCTION("CONCATENATE(B244,(VLOOKUP(C244,CATALOGOS!$F$2:$H$6,3,FALSE)),(VLOOKUP(T244,CATALOGOS!$J$2:$K$18,2,FALSE)),""-"",TO_TEXT(A244))"),"P12PP-0243")</f>
        <v>P12PP-0243</v>
      </c>
      <c r="H244" s="6" t="s">
        <v>1767</v>
      </c>
      <c r="I244" s="6" t="s">
        <v>1768</v>
      </c>
      <c r="J244" s="6" t="s">
        <v>1769</v>
      </c>
      <c r="K244" s="6" t="s">
        <v>1770</v>
      </c>
      <c r="L244" s="17"/>
      <c r="M244" s="17"/>
      <c r="N244" s="17" t="str">
        <f t="shared" si="1"/>
        <v>OK</v>
      </c>
      <c r="O244" s="17" t="s">
        <v>35</v>
      </c>
      <c r="P244" s="6" t="s">
        <v>35</v>
      </c>
      <c r="Q244" s="17" t="s">
        <v>36</v>
      </c>
      <c r="R244" s="17" t="s">
        <v>1771</v>
      </c>
      <c r="S244" s="173" t="s">
        <v>38</v>
      </c>
      <c r="T244" s="11" t="s">
        <v>1548</v>
      </c>
      <c r="U244" s="22" t="s">
        <v>1672</v>
      </c>
      <c r="V244" s="22" t="s">
        <v>1672</v>
      </c>
    </row>
    <row r="245" spans="1:22" ht="86.25">
      <c r="A245" s="10" t="s">
        <v>1772</v>
      </c>
      <c r="B245" s="10" t="s">
        <v>1469</v>
      </c>
      <c r="C245" s="60" t="s">
        <v>1470</v>
      </c>
      <c r="D245" s="12"/>
      <c r="E245" s="13" t="s">
        <v>1240</v>
      </c>
      <c r="F245" s="43" t="s">
        <v>278</v>
      </c>
      <c r="G245" s="6" t="str">
        <f ca="1">IFERROR(__xludf.DUMMYFUNCTION("CONCATENATE(B245,(VLOOKUP(C245,CATALOGOS!$F$2:$H$6,3,FALSE)),(VLOOKUP(T245,CATALOGOS!$J$2:$K$18,2,FALSE)),""-"",TO_TEXT(A245))"),"P12PP-0244")</f>
        <v>P12PP-0244</v>
      </c>
      <c r="H245" s="6" t="s">
        <v>1773</v>
      </c>
      <c r="I245" s="6" t="s">
        <v>1774</v>
      </c>
      <c r="J245" s="6" t="s">
        <v>1775</v>
      </c>
      <c r="K245" s="6" t="s">
        <v>1776</v>
      </c>
      <c r="L245" s="17"/>
      <c r="M245" s="17"/>
      <c r="N245" s="17" t="str">
        <f t="shared" si="1"/>
        <v>OK</v>
      </c>
      <c r="O245" s="17" t="s">
        <v>35</v>
      </c>
      <c r="P245" s="6" t="s">
        <v>35</v>
      </c>
      <c r="Q245" s="17" t="s">
        <v>36</v>
      </c>
      <c r="R245" s="17" t="s">
        <v>1777</v>
      </c>
      <c r="S245" s="173" t="s">
        <v>38</v>
      </c>
      <c r="T245" s="11" t="s">
        <v>1548</v>
      </c>
      <c r="U245" s="22" t="s">
        <v>1672</v>
      </c>
      <c r="V245" s="22" t="s">
        <v>1672</v>
      </c>
    </row>
    <row r="246" spans="1:22" ht="57.75">
      <c r="A246" s="10" t="s">
        <v>1778</v>
      </c>
      <c r="B246" s="10" t="s">
        <v>1469</v>
      </c>
      <c r="C246" s="60" t="s">
        <v>1470</v>
      </c>
      <c r="D246" s="12"/>
      <c r="E246" s="13" t="s">
        <v>199</v>
      </c>
      <c r="F246" s="6" t="s">
        <v>199</v>
      </c>
      <c r="G246" s="6" t="str">
        <f ca="1">IFERROR(__xludf.DUMMYFUNCTION("CONCATENATE(B246,(VLOOKUP(C246,CATALOGOS!$F$2:$H$6,3,FALSE)),(VLOOKUP(T246,CATALOGOS!$J$2:$K$18,2,FALSE)),""-"",TO_TEXT(A246))"),"P12PP-0245")</f>
        <v>P12PP-0245</v>
      </c>
      <c r="H246" s="6" t="s">
        <v>1779</v>
      </c>
      <c r="I246" s="6" t="s">
        <v>1780</v>
      </c>
      <c r="J246" s="6" t="s">
        <v>1781</v>
      </c>
      <c r="K246" s="6" t="s">
        <v>1782</v>
      </c>
      <c r="L246" s="17"/>
      <c r="M246" s="17"/>
      <c r="N246" s="17" t="str">
        <f t="shared" si="1"/>
        <v>OK</v>
      </c>
      <c r="O246" s="17" t="s">
        <v>273</v>
      </c>
      <c r="P246" s="6" t="s">
        <v>274</v>
      </c>
      <c r="Q246" s="17" t="s">
        <v>1783</v>
      </c>
      <c r="R246" s="10" t="s">
        <v>85</v>
      </c>
      <c r="S246" s="173" t="s">
        <v>38</v>
      </c>
      <c r="T246" s="11" t="s">
        <v>1548</v>
      </c>
      <c r="U246" s="22" t="s">
        <v>1672</v>
      </c>
      <c r="V246" s="22" t="s">
        <v>1672</v>
      </c>
    </row>
    <row r="247" spans="1:22" ht="29.25">
      <c r="A247" s="10" t="s">
        <v>1784</v>
      </c>
      <c r="B247" s="10" t="s">
        <v>1469</v>
      </c>
      <c r="C247" s="60" t="s">
        <v>1470</v>
      </c>
      <c r="D247" s="12"/>
      <c r="E247" s="13" t="s">
        <v>151</v>
      </c>
      <c r="F247" s="6" t="s">
        <v>293</v>
      </c>
      <c r="G247" s="6" t="str">
        <f ca="1">IFERROR(__xludf.DUMMYFUNCTION("CONCATENATE(B247,(VLOOKUP(C247,CATALOGOS!$F$2:$H$6,3,FALSE)),(VLOOKUP(T247,CATALOGOS!$J$2:$K$18,2,FALSE)),""-"",TO_TEXT(A247))"),"P12PP-0246")</f>
        <v>P12PP-0246</v>
      </c>
      <c r="H247" s="6" t="s">
        <v>1785</v>
      </c>
      <c r="I247" s="6" t="s">
        <v>1786</v>
      </c>
      <c r="J247" s="6" t="s">
        <v>1787</v>
      </c>
      <c r="K247" s="6" t="s">
        <v>1788</v>
      </c>
      <c r="L247" s="17"/>
      <c r="M247" s="17"/>
      <c r="N247" s="17" t="str">
        <f t="shared" si="1"/>
        <v>OK</v>
      </c>
      <c r="O247" s="17" t="s">
        <v>297</v>
      </c>
      <c r="P247" s="6" t="s">
        <v>298</v>
      </c>
      <c r="Q247" s="17" t="s">
        <v>1789</v>
      </c>
      <c r="R247" s="17" t="s">
        <v>85</v>
      </c>
      <c r="S247" s="173" t="s">
        <v>38</v>
      </c>
      <c r="T247" s="11" t="s">
        <v>1548</v>
      </c>
      <c r="U247" s="22" t="s">
        <v>1672</v>
      </c>
      <c r="V247" s="22" t="s">
        <v>1672</v>
      </c>
    </row>
    <row r="248" spans="1:22" ht="30">
      <c r="A248" s="10" t="s">
        <v>1790</v>
      </c>
      <c r="B248" s="10" t="s">
        <v>1469</v>
      </c>
      <c r="C248" s="60" t="s">
        <v>1470</v>
      </c>
      <c r="D248" s="38"/>
      <c r="E248" s="13" t="s">
        <v>248</v>
      </c>
      <c r="F248" s="43" t="s">
        <v>248</v>
      </c>
      <c r="G248" s="6" t="str">
        <f ca="1">IFERROR(__xludf.DUMMYFUNCTION("CONCATENATE(B248,(VLOOKUP(C248,CATALOGOS!$F$2:$H$6,3,FALSE)),(VLOOKUP(T248,CATALOGOS!$J$2:$K$18,2,FALSE)),""-"",TO_TEXT(A248))"),"P12PP-0247")</f>
        <v>P12PP-0247</v>
      </c>
      <c r="H248" s="6" t="s">
        <v>1791</v>
      </c>
      <c r="I248" s="6" t="s">
        <v>1792</v>
      </c>
      <c r="J248" s="6" t="s">
        <v>1793</v>
      </c>
      <c r="K248" s="6" t="s">
        <v>1794</v>
      </c>
      <c r="L248" s="17"/>
      <c r="M248" s="17"/>
      <c r="N248" s="17" t="str">
        <f t="shared" si="1"/>
        <v>OK</v>
      </c>
      <c r="O248" s="17" t="s">
        <v>978</v>
      </c>
      <c r="P248" s="6" t="s">
        <v>979</v>
      </c>
      <c r="Q248" s="46" t="s">
        <v>1795</v>
      </c>
      <c r="R248" s="17" t="s">
        <v>1796</v>
      </c>
      <c r="S248" s="173" t="s">
        <v>38</v>
      </c>
      <c r="T248" s="11" t="s">
        <v>1548</v>
      </c>
      <c r="U248" s="20" t="s">
        <v>1737</v>
      </c>
      <c r="V248" s="20" t="s">
        <v>1737</v>
      </c>
    </row>
    <row r="249" spans="1:22" ht="57.75">
      <c r="A249" s="10" t="s">
        <v>1797</v>
      </c>
      <c r="B249" s="10" t="s">
        <v>1469</v>
      </c>
      <c r="C249" s="60" t="s">
        <v>1470</v>
      </c>
      <c r="D249" s="12"/>
      <c r="E249" s="13" t="s">
        <v>378</v>
      </c>
      <c r="F249" s="6" t="s">
        <v>1450</v>
      </c>
      <c r="G249" s="6" t="str">
        <f ca="1">IFERROR(__xludf.DUMMYFUNCTION("CONCATENATE(B249,(VLOOKUP(C249,CATALOGOS!$F$2:$H$6,3,FALSE)),(VLOOKUP(T249,CATALOGOS!$J$2:$K$18,2,FALSE)),""-"",TO_TEXT(A249))"),"P12PP-0248")</f>
        <v>P12PP-0248</v>
      </c>
      <c r="H249" s="6" t="s">
        <v>1798</v>
      </c>
      <c r="I249" s="6" t="s">
        <v>1799</v>
      </c>
      <c r="J249" s="36"/>
      <c r="K249" s="6" t="s">
        <v>1800</v>
      </c>
      <c r="L249" s="17"/>
      <c r="M249" s="17"/>
      <c r="N249" s="17" t="str">
        <f t="shared" si="1"/>
        <v>OK</v>
      </c>
      <c r="O249" s="35" t="s">
        <v>35</v>
      </c>
      <c r="P249" s="6" t="s">
        <v>35</v>
      </c>
      <c r="Q249" s="10" t="s">
        <v>36</v>
      </c>
      <c r="R249" s="32" t="s">
        <v>85</v>
      </c>
      <c r="S249" s="173" t="s">
        <v>38</v>
      </c>
      <c r="T249" s="11" t="s">
        <v>1548</v>
      </c>
      <c r="U249" s="20" t="s">
        <v>1597</v>
      </c>
      <c r="V249" s="20" t="s">
        <v>1597</v>
      </c>
    </row>
    <row r="250" spans="1:22" ht="57.75">
      <c r="A250" s="10" t="s">
        <v>1801</v>
      </c>
      <c r="B250" s="10" t="s">
        <v>1469</v>
      </c>
      <c r="C250" s="60" t="s">
        <v>1470</v>
      </c>
      <c r="D250" s="12"/>
      <c r="E250" s="13" t="s">
        <v>378</v>
      </c>
      <c r="F250" s="6" t="s">
        <v>878</v>
      </c>
      <c r="G250" s="6" t="str">
        <f ca="1">IFERROR(__xludf.DUMMYFUNCTION("CONCATENATE(B250,(VLOOKUP(C250,CATALOGOS!$F$2:$H$6,3,FALSE)),(VLOOKUP(T250,CATALOGOS!$J$2:$K$18,2,FALSE)),""-"",TO_TEXT(A250))"),"P12PP-0249")</f>
        <v>P12PP-0249</v>
      </c>
      <c r="H250" s="6" t="s">
        <v>1802</v>
      </c>
      <c r="I250" s="6" t="s">
        <v>1803</v>
      </c>
      <c r="J250" s="6" t="s">
        <v>1804</v>
      </c>
      <c r="K250" s="6" t="s">
        <v>1805</v>
      </c>
      <c r="L250" s="17"/>
      <c r="M250" s="17"/>
      <c r="N250" s="17" t="str">
        <f t="shared" si="1"/>
        <v>OK</v>
      </c>
      <c r="O250" s="17" t="s">
        <v>35</v>
      </c>
      <c r="P250" s="6" t="s">
        <v>35</v>
      </c>
      <c r="Q250" s="17" t="s">
        <v>36</v>
      </c>
      <c r="R250" s="17" t="s">
        <v>1806</v>
      </c>
      <c r="S250" s="173" t="s">
        <v>38</v>
      </c>
      <c r="T250" s="11" t="s">
        <v>1548</v>
      </c>
      <c r="U250" s="20" t="s">
        <v>1737</v>
      </c>
      <c r="V250" s="20" t="s">
        <v>1737</v>
      </c>
    </row>
    <row r="251" spans="1:22" ht="57.75">
      <c r="A251" s="10" t="s">
        <v>1807</v>
      </c>
      <c r="B251" s="10" t="s">
        <v>1469</v>
      </c>
      <c r="C251" s="60" t="s">
        <v>1470</v>
      </c>
      <c r="D251" s="38"/>
      <c r="E251" s="13" t="s">
        <v>378</v>
      </c>
      <c r="F251" s="6" t="s">
        <v>878</v>
      </c>
      <c r="G251" s="6" t="str">
        <f ca="1">IFERROR(__xludf.DUMMYFUNCTION("CONCATENATE(B251,(VLOOKUP(C251,CATALOGOS!$F$2:$H$6,3,FALSE)),(VLOOKUP(T251,CATALOGOS!$J$2:$K$18,2,FALSE)),""-"",TO_TEXT(A251))"),"P12PP-0250")</f>
        <v>P12PP-0250</v>
      </c>
      <c r="H251" s="6" t="s">
        <v>1808</v>
      </c>
      <c r="I251" s="6" t="s">
        <v>1809</v>
      </c>
      <c r="J251" s="6" t="s">
        <v>1810</v>
      </c>
      <c r="K251" s="6" t="s">
        <v>1811</v>
      </c>
      <c r="L251" s="17"/>
      <c r="M251" s="17"/>
      <c r="N251" s="17" t="str">
        <f t="shared" si="1"/>
        <v>OK</v>
      </c>
      <c r="O251" s="17" t="s">
        <v>35</v>
      </c>
      <c r="P251" s="6" t="s">
        <v>35</v>
      </c>
      <c r="Q251" s="46" t="s">
        <v>36</v>
      </c>
      <c r="R251" s="17" t="s">
        <v>1812</v>
      </c>
      <c r="S251" s="173" t="s">
        <v>38</v>
      </c>
      <c r="T251" s="11" t="s">
        <v>1548</v>
      </c>
      <c r="U251" s="32" t="s">
        <v>1672</v>
      </c>
      <c r="V251" s="32" t="s">
        <v>1672</v>
      </c>
    </row>
    <row r="252" spans="1:22" ht="57.75">
      <c r="A252" s="10" t="s">
        <v>1813</v>
      </c>
      <c r="B252" s="10" t="s">
        <v>1469</v>
      </c>
      <c r="C252" s="60" t="s">
        <v>1470</v>
      </c>
      <c r="D252" s="38"/>
      <c r="E252" s="13" t="s">
        <v>378</v>
      </c>
      <c r="F252" s="6" t="s">
        <v>878</v>
      </c>
      <c r="G252" s="6" t="str">
        <f ca="1">IFERROR(__xludf.DUMMYFUNCTION("CONCATENATE(B252,(VLOOKUP(C252,CATALOGOS!$F$2:$H$6,3,FALSE)),(VLOOKUP(T252,CATALOGOS!$J$2:$K$18,2,FALSE)),""-"",TO_TEXT(A252))"),"P12PP-0251")</f>
        <v>P12PP-0251</v>
      </c>
      <c r="H252" s="6" t="s">
        <v>1814</v>
      </c>
      <c r="I252" s="6" t="s">
        <v>1815</v>
      </c>
      <c r="J252" s="6" t="s">
        <v>1816</v>
      </c>
      <c r="K252" s="6" t="s">
        <v>1817</v>
      </c>
      <c r="L252" s="17"/>
      <c r="M252" s="17"/>
      <c r="N252" s="17" t="str">
        <f t="shared" si="1"/>
        <v>OK</v>
      </c>
      <c r="O252" s="17" t="s">
        <v>35</v>
      </c>
      <c r="P252" s="6" t="s">
        <v>35</v>
      </c>
      <c r="Q252" s="46" t="s">
        <v>36</v>
      </c>
      <c r="R252" s="17" t="s">
        <v>1818</v>
      </c>
      <c r="S252" s="173" t="s">
        <v>38</v>
      </c>
      <c r="T252" s="11" t="s">
        <v>1548</v>
      </c>
      <c r="U252" s="32" t="s">
        <v>1672</v>
      </c>
      <c r="V252" s="32" t="s">
        <v>1672</v>
      </c>
    </row>
    <row r="253" spans="1:22" ht="57.75">
      <c r="A253" s="10" t="s">
        <v>1819</v>
      </c>
      <c r="B253" s="10" t="s">
        <v>1469</v>
      </c>
      <c r="C253" s="60" t="s">
        <v>1470</v>
      </c>
      <c r="D253" s="12"/>
      <c r="E253" s="13" t="s">
        <v>378</v>
      </c>
      <c r="F253" s="6" t="s">
        <v>878</v>
      </c>
      <c r="G253" s="6" t="str">
        <f ca="1">IFERROR(__xludf.DUMMYFUNCTION("CONCATENATE(B253,(VLOOKUP(C253,CATALOGOS!$F$2:$H$6,3,FALSE)),(VLOOKUP(T253,CATALOGOS!$J$2:$K$18,2,FALSE)),""-"",TO_TEXT(A253))"),"P12PP-0252")</f>
        <v>P12PP-0252</v>
      </c>
      <c r="H253" s="6" t="s">
        <v>1820</v>
      </c>
      <c r="I253" s="6" t="s">
        <v>1821</v>
      </c>
      <c r="J253" s="6" t="s">
        <v>1822</v>
      </c>
      <c r="K253" s="43" t="s">
        <v>1823</v>
      </c>
      <c r="L253" s="17"/>
      <c r="M253" s="17"/>
      <c r="N253" s="17" t="str">
        <f t="shared" si="1"/>
        <v>OK</v>
      </c>
      <c r="O253" s="17" t="s">
        <v>35</v>
      </c>
      <c r="P253" s="6" t="s">
        <v>35</v>
      </c>
      <c r="Q253" s="17" t="s">
        <v>36</v>
      </c>
      <c r="R253" s="17" t="s">
        <v>1824</v>
      </c>
      <c r="S253" s="173" t="s">
        <v>38</v>
      </c>
      <c r="T253" s="11" t="s">
        <v>1548</v>
      </c>
      <c r="U253" s="22" t="s">
        <v>1550</v>
      </c>
      <c r="V253" s="22" t="s">
        <v>1550</v>
      </c>
    </row>
    <row r="254" spans="1:22" ht="57.75">
      <c r="A254" s="10" t="s">
        <v>1825</v>
      </c>
      <c r="B254" s="10" t="s">
        <v>1469</v>
      </c>
      <c r="C254" s="60" t="s">
        <v>1470</v>
      </c>
      <c r="D254" s="12"/>
      <c r="E254" s="13" t="s">
        <v>378</v>
      </c>
      <c r="F254" s="6" t="s">
        <v>878</v>
      </c>
      <c r="G254" s="6" t="str">
        <f ca="1">IFERROR(__xludf.DUMMYFUNCTION("CONCATENATE(B254,(VLOOKUP(C254,CATALOGOS!$F$2:$H$6,3,FALSE)),(VLOOKUP(T254,CATALOGOS!$J$2:$K$18,2,FALSE)),""-"",TO_TEXT(A254))"),"P12PP-0253")</f>
        <v>P12PP-0253</v>
      </c>
      <c r="H254" s="6" t="s">
        <v>1826</v>
      </c>
      <c r="I254" s="6" t="s">
        <v>1827</v>
      </c>
      <c r="J254" s="6" t="s">
        <v>1828</v>
      </c>
      <c r="K254" s="6" t="s">
        <v>1829</v>
      </c>
      <c r="L254" s="17"/>
      <c r="M254" s="17"/>
      <c r="N254" s="17" t="str">
        <f t="shared" si="1"/>
        <v>OK</v>
      </c>
      <c r="O254" s="17" t="s">
        <v>35</v>
      </c>
      <c r="P254" s="6" t="s">
        <v>35</v>
      </c>
      <c r="Q254" s="17" t="s">
        <v>36</v>
      </c>
      <c r="R254" s="17" t="s">
        <v>1830</v>
      </c>
      <c r="S254" s="173" t="s">
        <v>38</v>
      </c>
      <c r="T254" s="11" t="s">
        <v>1548</v>
      </c>
      <c r="U254" s="22" t="s">
        <v>1550</v>
      </c>
      <c r="V254" s="22" t="s">
        <v>1550</v>
      </c>
    </row>
    <row r="255" spans="1:22" ht="72">
      <c r="A255" s="10" t="s">
        <v>1831</v>
      </c>
      <c r="B255" s="10" t="s">
        <v>1469</v>
      </c>
      <c r="C255" s="60" t="s">
        <v>1470</v>
      </c>
      <c r="D255" s="12"/>
      <c r="E255" s="13" t="s">
        <v>93</v>
      </c>
      <c r="F255" s="6" t="s">
        <v>1739</v>
      </c>
      <c r="G255" s="6" t="str">
        <f ca="1">IFERROR(__xludf.DUMMYFUNCTION("CONCATENATE(B255,(VLOOKUP(C255,CATALOGOS!$F$2:$H$6,3,FALSE)),(VLOOKUP(T255,CATALOGOS!$J$2:$K$18,2,FALSE)),""-"",TO_TEXT(A255))"),"P12PP-0254")</f>
        <v>P12PP-0254</v>
      </c>
      <c r="H255" s="6" t="s">
        <v>1832</v>
      </c>
      <c r="I255" s="6" t="s">
        <v>1833</v>
      </c>
      <c r="J255" s="6" t="s">
        <v>1834</v>
      </c>
      <c r="K255" s="6" t="s">
        <v>1835</v>
      </c>
      <c r="L255" s="17"/>
      <c r="M255" s="17"/>
      <c r="N255" s="17" t="str">
        <f t="shared" si="1"/>
        <v>OK</v>
      </c>
      <c r="O255" s="17" t="s">
        <v>35</v>
      </c>
      <c r="P255" s="6" t="s">
        <v>35</v>
      </c>
      <c r="Q255" s="17" t="s">
        <v>36</v>
      </c>
      <c r="R255" s="17" t="s">
        <v>1836</v>
      </c>
      <c r="S255" s="173" t="s">
        <v>38</v>
      </c>
      <c r="T255" s="11" t="s">
        <v>1548</v>
      </c>
      <c r="U255" s="22" t="s">
        <v>1550</v>
      </c>
      <c r="V255" s="22" t="s">
        <v>1550</v>
      </c>
    </row>
    <row r="256" spans="1:22" ht="57.75">
      <c r="A256" s="10" t="s">
        <v>1837</v>
      </c>
      <c r="B256" s="10" t="s">
        <v>1469</v>
      </c>
      <c r="C256" s="60" t="s">
        <v>1470</v>
      </c>
      <c r="D256" s="12"/>
      <c r="E256" s="13" t="s">
        <v>116</v>
      </c>
      <c r="F256" s="6" t="s">
        <v>1730</v>
      </c>
      <c r="G256" s="6" t="str">
        <f ca="1">IFERROR(__xludf.DUMMYFUNCTION("CONCATENATE(B256,(VLOOKUP(C256,CATALOGOS!$F$2:$H$6,3,FALSE)),(VLOOKUP(T256,CATALOGOS!$J$2:$K$18,2,FALSE)),""-"",TO_TEXT(A256))"),"P12PP-0255")</f>
        <v>P12PP-0255</v>
      </c>
      <c r="H256" s="6" t="s">
        <v>1838</v>
      </c>
      <c r="I256" s="6" t="s">
        <v>1839</v>
      </c>
      <c r="J256" s="6" t="s">
        <v>1840</v>
      </c>
      <c r="K256" s="6" t="s">
        <v>1841</v>
      </c>
      <c r="L256" s="17"/>
      <c r="M256" s="17"/>
      <c r="N256" s="17" t="str">
        <f t="shared" si="1"/>
        <v>OK</v>
      </c>
      <c r="O256" s="17" t="s">
        <v>35</v>
      </c>
      <c r="P256" s="6" t="s">
        <v>35</v>
      </c>
      <c r="Q256" s="17" t="s">
        <v>36</v>
      </c>
      <c r="R256" s="17" t="s">
        <v>1842</v>
      </c>
      <c r="S256" s="173" t="s">
        <v>38</v>
      </c>
      <c r="T256" s="11" t="s">
        <v>1548</v>
      </c>
      <c r="U256" s="22" t="s">
        <v>1550</v>
      </c>
      <c r="V256" s="22" t="s">
        <v>1550</v>
      </c>
    </row>
    <row r="257" spans="1:22" ht="57.75">
      <c r="A257" s="10" t="s">
        <v>1843</v>
      </c>
      <c r="B257" s="10" t="s">
        <v>1469</v>
      </c>
      <c r="C257" s="60" t="s">
        <v>1470</v>
      </c>
      <c r="D257" s="12"/>
      <c r="E257" s="13" t="s">
        <v>93</v>
      </c>
      <c r="F257" s="43" t="s">
        <v>528</v>
      </c>
      <c r="G257" s="6" t="str">
        <f ca="1">IFERROR(__xludf.DUMMYFUNCTION("CONCATENATE(B257,(VLOOKUP(C257,CATALOGOS!$F$2:$H$6,3,FALSE)),(VLOOKUP(T257,CATALOGOS!$J$2:$K$18,2,FALSE)),""-"",TO_TEXT(A257))"),"P12PP-0256")</f>
        <v>P12PP-0256</v>
      </c>
      <c r="H257" s="6" t="s">
        <v>1844</v>
      </c>
      <c r="I257" s="6" t="s">
        <v>1845</v>
      </c>
      <c r="J257" s="6" t="s">
        <v>1846</v>
      </c>
      <c r="K257" s="6" t="s">
        <v>1847</v>
      </c>
      <c r="L257" s="17"/>
      <c r="M257" s="17"/>
      <c r="N257" s="17" t="str">
        <f t="shared" si="1"/>
        <v>OK</v>
      </c>
      <c r="O257" s="17" t="s">
        <v>35</v>
      </c>
      <c r="P257" s="6" t="s">
        <v>35</v>
      </c>
      <c r="Q257" s="17" t="s">
        <v>36</v>
      </c>
      <c r="R257" s="17" t="s">
        <v>1848</v>
      </c>
      <c r="S257" s="173" t="s">
        <v>38</v>
      </c>
      <c r="T257" s="11" t="s">
        <v>1548</v>
      </c>
      <c r="U257" s="20" t="s">
        <v>1597</v>
      </c>
      <c r="V257" s="20" t="s">
        <v>1597</v>
      </c>
    </row>
    <row r="258" spans="1:22" ht="43.5">
      <c r="A258" s="10" t="s">
        <v>1849</v>
      </c>
      <c r="B258" s="10" t="s">
        <v>1469</v>
      </c>
      <c r="C258" s="60" t="s">
        <v>1470</v>
      </c>
      <c r="D258" s="12"/>
      <c r="E258" s="13" t="s">
        <v>43</v>
      </c>
      <c r="F258" s="43" t="s">
        <v>1850</v>
      </c>
      <c r="G258" s="6" t="str">
        <f ca="1">IFERROR(__xludf.DUMMYFUNCTION("CONCATENATE(B258,(VLOOKUP(C258,CATALOGOS!$F$2:$H$6,3,FALSE)),(VLOOKUP(T258,CATALOGOS!$J$2:$K$18,2,FALSE)),""-"",TO_TEXT(A258))"),"P12PP-0257")</f>
        <v>P12PP-0257</v>
      </c>
      <c r="H258" s="6" t="s">
        <v>1851</v>
      </c>
      <c r="I258" s="6" t="s">
        <v>1852</v>
      </c>
      <c r="J258" s="6" t="s">
        <v>1853</v>
      </c>
      <c r="K258" s="6" t="s">
        <v>1854</v>
      </c>
      <c r="L258" s="17"/>
      <c r="M258" s="17"/>
      <c r="N258" s="17" t="str">
        <f t="shared" si="1"/>
        <v>OK</v>
      </c>
      <c r="O258" s="17" t="s">
        <v>49</v>
      </c>
      <c r="P258" s="6">
        <v>3352</v>
      </c>
      <c r="Q258" s="17" t="s">
        <v>1855</v>
      </c>
      <c r="R258" s="17" t="s">
        <v>1856</v>
      </c>
      <c r="S258" s="173" t="s">
        <v>38</v>
      </c>
      <c r="T258" s="11" t="s">
        <v>1548</v>
      </c>
      <c r="U258" s="22" t="s">
        <v>1550</v>
      </c>
      <c r="V258" s="22" t="s">
        <v>1550</v>
      </c>
    </row>
    <row r="259" spans="1:22" ht="43.5">
      <c r="A259" s="10" t="s">
        <v>1857</v>
      </c>
      <c r="B259" s="10" t="s">
        <v>1469</v>
      </c>
      <c r="C259" s="60" t="s">
        <v>1470</v>
      </c>
      <c r="D259" s="12"/>
      <c r="E259" s="13" t="s">
        <v>353</v>
      </c>
      <c r="F259" s="43" t="s">
        <v>354</v>
      </c>
      <c r="G259" s="6" t="str">
        <f ca="1">IFERROR(__xludf.DUMMYFUNCTION("CONCATENATE(B259,(VLOOKUP(C259,CATALOGOS!$F$2:$H$6,3,FALSE)),(VLOOKUP(T259,CATALOGOS!$J$2:$K$18,2,FALSE)),""-"",TO_TEXT(A259))"),"P12PP-0258")</f>
        <v>P12PP-0258</v>
      </c>
      <c r="H259" s="6" t="s">
        <v>1858</v>
      </c>
      <c r="I259" s="6" t="s">
        <v>1859</v>
      </c>
      <c r="J259" s="6" t="s">
        <v>1860</v>
      </c>
      <c r="K259" s="6" t="s">
        <v>1861</v>
      </c>
      <c r="L259" s="17"/>
      <c r="M259" s="17"/>
      <c r="N259" s="17" t="str">
        <f t="shared" si="1"/>
        <v>OK</v>
      </c>
      <c r="O259" s="17" t="s">
        <v>359</v>
      </c>
      <c r="P259" s="6" t="s">
        <v>360</v>
      </c>
      <c r="Q259" s="17" t="s">
        <v>36</v>
      </c>
      <c r="R259" s="17" t="s">
        <v>1862</v>
      </c>
      <c r="S259" s="173" t="s">
        <v>38</v>
      </c>
      <c r="T259" s="11" t="s">
        <v>1548</v>
      </c>
      <c r="U259" s="22" t="s">
        <v>1550</v>
      </c>
      <c r="V259" s="22" t="s">
        <v>1550</v>
      </c>
    </row>
    <row r="260" spans="1:22" ht="57.75">
      <c r="A260" s="10" t="s">
        <v>1863</v>
      </c>
      <c r="B260" s="10" t="s">
        <v>1469</v>
      </c>
      <c r="C260" s="60" t="s">
        <v>1470</v>
      </c>
      <c r="D260" s="12"/>
      <c r="E260" s="13" t="s">
        <v>199</v>
      </c>
      <c r="F260" s="6" t="s">
        <v>199</v>
      </c>
      <c r="G260" s="6" t="str">
        <f ca="1">IFERROR(__xludf.DUMMYFUNCTION("CONCATENATE(B260,(VLOOKUP(C260,CATALOGOS!$F$2:$H$6,3,FALSE)),(VLOOKUP(T260,CATALOGOS!$J$2:$K$18,2,FALSE)),""-"",TO_TEXT(A260))"),"P12PP-0259")</f>
        <v>P12PP-0259</v>
      </c>
      <c r="H260" s="6" t="s">
        <v>1864</v>
      </c>
      <c r="I260" s="6" t="s">
        <v>1865</v>
      </c>
      <c r="J260" s="6" t="s">
        <v>1866</v>
      </c>
      <c r="K260" s="6" t="s">
        <v>1867</v>
      </c>
      <c r="L260" s="17"/>
      <c r="M260" s="17"/>
      <c r="N260" s="17" t="str">
        <f t="shared" si="1"/>
        <v>OK</v>
      </c>
      <c r="O260" s="17" t="s">
        <v>157</v>
      </c>
      <c r="P260" s="6">
        <v>2378</v>
      </c>
      <c r="Q260" s="17" t="s">
        <v>1868</v>
      </c>
      <c r="R260" s="17" t="s">
        <v>1869</v>
      </c>
      <c r="S260" s="173" t="s">
        <v>38</v>
      </c>
      <c r="T260" s="11" t="s">
        <v>1548</v>
      </c>
      <c r="U260" s="22" t="s">
        <v>1550</v>
      </c>
      <c r="V260" s="22" t="s">
        <v>1550</v>
      </c>
    </row>
    <row r="261" spans="1:22" ht="29.25">
      <c r="A261" s="10" t="s">
        <v>1870</v>
      </c>
      <c r="B261" s="10" t="s">
        <v>1469</v>
      </c>
      <c r="C261" s="60" t="s">
        <v>1470</v>
      </c>
      <c r="D261" s="12"/>
      <c r="E261" s="13" t="s">
        <v>151</v>
      </c>
      <c r="F261" s="6" t="s">
        <v>152</v>
      </c>
      <c r="G261" s="6" t="str">
        <f ca="1">IFERROR(__xludf.DUMMYFUNCTION("CONCATENATE(B261,(VLOOKUP(C261,CATALOGOS!$F$2:$H$6,3,FALSE)),(VLOOKUP(T261,CATALOGOS!$J$2:$K$18,2,FALSE)),""-"",TO_TEXT(A261))"),"P12PP-0260")</f>
        <v>P12PP-0260</v>
      </c>
      <c r="H261" s="6" t="s">
        <v>1871</v>
      </c>
      <c r="I261" s="6" t="s">
        <v>1872</v>
      </c>
      <c r="J261" s="6" t="s">
        <v>1873</v>
      </c>
      <c r="K261" s="6" t="s">
        <v>1874</v>
      </c>
      <c r="L261" s="17"/>
      <c r="M261" s="17"/>
      <c r="N261" s="17" t="str">
        <f t="shared" si="1"/>
        <v>OK</v>
      </c>
      <c r="O261" s="17" t="s">
        <v>1875</v>
      </c>
      <c r="P261" s="6" t="s">
        <v>1876</v>
      </c>
      <c r="Q261" s="17" t="s">
        <v>1877</v>
      </c>
      <c r="R261" s="17" t="s">
        <v>1878</v>
      </c>
      <c r="S261" s="173" t="s">
        <v>38</v>
      </c>
      <c r="T261" s="11" t="s">
        <v>1548</v>
      </c>
      <c r="U261" s="22" t="s">
        <v>1550</v>
      </c>
      <c r="V261" s="22" t="s">
        <v>1550</v>
      </c>
    </row>
    <row r="262" spans="1:22" ht="57.75">
      <c r="A262" s="10" t="s">
        <v>1879</v>
      </c>
      <c r="B262" s="10" t="s">
        <v>1469</v>
      </c>
      <c r="C262" s="60" t="s">
        <v>1470</v>
      </c>
      <c r="D262" s="38"/>
      <c r="E262" s="13" t="s">
        <v>378</v>
      </c>
      <c r="F262" s="43" t="s">
        <v>379</v>
      </c>
      <c r="G262" s="6" t="str">
        <f ca="1">IFERROR(__xludf.DUMMYFUNCTION("CONCATENATE(B262,(VLOOKUP(C262,CATALOGOS!$F$2:$H$6,3,FALSE)),(VLOOKUP(T262,CATALOGOS!$J$2:$K$18,2,FALSE)),""-"",TO_TEXT(A262))"),"P12PP-0261")</f>
        <v>P12PP-0261</v>
      </c>
      <c r="H262" s="6" t="s">
        <v>1880</v>
      </c>
      <c r="I262" s="6" t="s">
        <v>1881</v>
      </c>
      <c r="J262" s="6" t="s">
        <v>1882</v>
      </c>
      <c r="K262" s="6" t="s">
        <v>1883</v>
      </c>
      <c r="L262" s="17"/>
      <c r="M262" s="17"/>
      <c r="N262" s="17" t="str">
        <f t="shared" si="1"/>
        <v>OK</v>
      </c>
      <c r="O262" s="17" t="s">
        <v>35</v>
      </c>
      <c r="P262" s="6" t="s">
        <v>35</v>
      </c>
      <c r="Q262" s="46" t="s">
        <v>36</v>
      </c>
      <c r="R262" s="17" t="s">
        <v>1884</v>
      </c>
      <c r="S262" s="173" t="s">
        <v>38</v>
      </c>
      <c r="T262" s="11" t="s">
        <v>1548</v>
      </c>
      <c r="U262" s="32" t="s">
        <v>1550</v>
      </c>
      <c r="V262" s="32" t="s">
        <v>1550</v>
      </c>
    </row>
    <row r="263" spans="1:22" ht="57.75">
      <c r="A263" s="10" t="s">
        <v>1885</v>
      </c>
      <c r="B263" s="10" t="s">
        <v>1469</v>
      </c>
      <c r="C263" s="60" t="s">
        <v>1470</v>
      </c>
      <c r="D263" s="12"/>
      <c r="E263" s="13" t="s">
        <v>378</v>
      </c>
      <c r="F263" s="6" t="s">
        <v>878</v>
      </c>
      <c r="G263" s="6" t="str">
        <f ca="1">IFERROR(__xludf.DUMMYFUNCTION("CONCATENATE(B263,(VLOOKUP(C263,CATALOGOS!$F$2:$H$6,3,FALSE)),(VLOOKUP(T263,CATALOGOS!$J$2:$K$18,2,FALSE)),""-"",TO_TEXT(A263))"),"P12PP-0262")</f>
        <v>P12PP-0262</v>
      </c>
      <c r="H263" s="6" t="s">
        <v>1886</v>
      </c>
      <c r="I263" s="6" t="s">
        <v>1887</v>
      </c>
      <c r="J263" s="6" t="s">
        <v>1888</v>
      </c>
      <c r="K263" s="6" t="s">
        <v>1889</v>
      </c>
      <c r="L263" s="17"/>
      <c r="M263" s="17"/>
      <c r="N263" s="17" t="str">
        <f t="shared" si="1"/>
        <v>OK</v>
      </c>
      <c r="O263" s="17" t="s">
        <v>35</v>
      </c>
      <c r="P263" s="6" t="s">
        <v>35</v>
      </c>
      <c r="Q263" s="17" t="s">
        <v>36</v>
      </c>
      <c r="R263" s="17" t="s">
        <v>85</v>
      </c>
      <c r="S263" s="173" t="s">
        <v>38</v>
      </c>
      <c r="T263" s="11" t="s">
        <v>1548</v>
      </c>
      <c r="U263" s="22" t="s">
        <v>1890</v>
      </c>
      <c r="V263" s="22" t="s">
        <v>1890</v>
      </c>
    </row>
    <row r="264" spans="1:22" ht="57.75">
      <c r="A264" s="10" t="s">
        <v>1891</v>
      </c>
      <c r="B264" s="10" t="s">
        <v>1469</v>
      </c>
      <c r="C264" s="60" t="s">
        <v>1470</v>
      </c>
      <c r="D264" s="12"/>
      <c r="E264" s="13" t="s">
        <v>378</v>
      </c>
      <c r="F264" s="6" t="s">
        <v>878</v>
      </c>
      <c r="G264" s="6" t="str">
        <f ca="1">IFERROR(__xludf.DUMMYFUNCTION("CONCATENATE(B264,(VLOOKUP(C264,CATALOGOS!$F$2:$H$6,3,FALSE)),(VLOOKUP(T264,CATALOGOS!$J$2:$K$18,2,FALSE)),""-"",TO_TEXT(A264))"),"P12PP-0263")</f>
        <v>P12PP-0263</v>
      </c>
      <c r="H264" s="6" t="s">
        <v>1892</v>
      </c>
      <c r="I264" s="6" t="s">
        <v>1893</v>
      </c>
      <c r="J264" s="6" t="s">
        <v>1894</v>
      </c>
      <c r="K264" s="6" t="s">
        <v>1895</v>
      </c>
      <c r="L264" s="17"/>
      <c r="M264" s="17"/>
      <c r="N264" s="17" t="str">
        <f t="shared" si="1"/>
        <v>OK</v>
      </c>
      <c r="O264" s="17" t="s">
        <v>35</v>
      </c>
      <c r="P264" s="6" t="s">
        <v>35</v>
      </c>
      <c r="Q264" s="17" t="s">
        <v>36</v>
      </c>
      <c r="R264" s="17" t="s">
        <v>85</v>
      </c>
      <c r="S264" s="173" t="s">
        <v>38</v>
      </c>
      <c r="T264" s="11" t="s">
        <v>1548</v>
      </c>
      <c r="U264" s="22" t="s">
        <v>1890</v>
      </c>
      <c r="V264" s="22" t="s">
        <v>1890</v>
      </c>
    </row>
    <row r="265" spans="1:22" ht="72">
      <c r="A265" s="10" t="s">
        <v>1896</v>
      </c>
      <c r="B265" s="10" t="s">
        <v>1469</v>
      </c>
      <c r="C265" s="60" t="s">
        <v>1470</v>
      </c>
      <c r="D265" s="12"/>
      <c r="E265" s="13" t="s">
        <v>93</v>
      </c>
      <c r="F265" s="6" t="s">
        <v>1739</v>
      </c>
      <c r="G265" s="6" t="str">
        <f ca="1">IFERROR(__xludf.DUMMYFUNCTION("CONCATENATE(B265,(VLOOKUP(C265,CATALOGOS!$F$2:$H$6,3,FALSE)),(VLOOKUP(T265,CATALOGOS!$J$2:$K$18,2,FALSE)),""-"",TO_TEXT(A265))"),"P12PP-0264")</f>
        <v>P12PP-0264</v>
      </c>
      <c r="H265" s="6" t="s">
        <v>1897</v>
      </c>
      <c r="I265" s="6" t="s">
        <v>1898</v>
      </c>
      <c r="J265" s="6" t="s">
        <v>1899</v>
      </c>
      <c r="K265" s="6" t="s">
        <v>1900</v>
      </c>
      <c r="L265" s="17"/>
      <c r="M265" s="17"/>
      <c r="N265" s="17" t="str">
        <f t="shared" si="1"/>
        <v>OK</v>
      </c>
      <c r="O265" s="17" t="s">
        <v>35</v>
      </c>
      <c r="P265" s="6" t="s">
        <v>35</v>
      </c>
      <c r="Q265" s="17" t="s">
        <v>36</v>
      </c>
      <c r="R265" s="17" t="s">
        <v>1901</v>
      </c>
      <c r="S265" s="173" t="s">
        <v>38</v>
      </c>
      <c r="T265" s="11" t="s">
        <v>1548</v>
      </c>
      <c r="U265" s="22" t="s">
        <v>1890</v>
      </c>
      <c r="V265" s="22" t="s">
        <v>1890</v>
      </c>
    </row>
    <row r="266" spans="1:22" ht="57.75">
      <c r="A266" s="10" t="s">
        <v>1902</v>
      </c>
      <c r="B266" s="10" t="s">
        <v>1469</v>
      </c>
      <c r="C266" s="60" t="s">
        <v>1470</v>
      </c>
      <c r="D266" s="12"/>
      <c r="E266" s="13" t="s">
        <v>116</v>
      </c>
      <c r="F266" s="6" t="s">
        <v>1730</v>
      </c>
      <c r="G266" s="6" t="str">
        <f ca="1">IFERROR(__xludf.DUMMYFUNCTION("CONCATENATE(B266,(VLOOKUP(C266,CATALOGOS!$F$2:$H$6,3,FALSE)),(VLOOKUP(T266,CATALOGOS!$J$2:$K$18,2,FALSE)),""-"",TO_TEXT(A266))"),"P12PP-0265")</f>
        <v>P12PP-0265</v>
      </c>
      <c r="H266" s="6" t="s">
        <v>1903</v>
      </c>
      <c r="I266" s="6" t="s">
        <v>1904</v>
      </c>
      <c r="J266" s="6" t="s">
        <v>1905</v>
      </c>
      <c r="K266" s="6" t="s">
        <v>1906</v>
      </c>
      <c r="L266" s="17"/>
      <c r="M266" s="17"/>
      <c r="N266" s="17" t="str">
        <f t="shared" si="1"/>
        <v>OK</v>
      </c>
      <c r="O266" s="17" t="s">
        <v>35</v>
      </c>
      <c r="P266" s="6" t="s">
        <v>35</v>
      </c>
      <c r="Q266" s="17" t="s">
        <v>36</v>
      </c>
      <c r="R266" s="17" t="s">
        <v>1907</v>
      </c>
      <c r="S266" s="173" t="s">
        <v>38</v>
      </c>
      <c r="T266" s="11" t="s">
        <v>1548</v>
      </c>
      <c r="U266" s="22" t="s">
        <v>1890</v>
      </c>
      <c r="V266" s="22" t="s">
        <v>1890</v>
      </c>
    </row>
    <row r="267" spans="1:22" ht="43.5">
      <c r="A267" s="10" t="s">
        <v>1908</v>
      </c>
      <c r="B267" s="10" t="s">
        <v>1469</v>
      </c>
      <c r="C267" s="60" t="s">
        <v>1470</v>
      </c>
      <c r="D267" s="12"/>
      <c r="E267" s="13" t="s">
        <v>43</v>
      </c>
      <c r="F267" s="6" t="s">
        <v>885</v>
      </c>
      <c r="G267" s="6" t="str">
        <f ca="1">IFERROR(__xludf.DUMMYFUNCTION("CONCATENATE(B267,(VLOOKUP(C267,CATALOGOS!$F$2:$H$6,3,FALSE)),(VLOOKUP(T267,CATALOGOS!$J$2:$K$18,2,FALSE)),""-"",TO_TEXT(A267))"),"P12PP-0266")</f>
        <v>P12PP-0266</v>
      </c>
      <c r="H267" s="6" t="s">
        <v>1909</v>
      </c>
      <c r="I267" s="6" t="s">
        <v>1910</v>
      </c>
      <c r="J267" s="6" t="s">
        <v>1911</v>
      </c>
      <c r="K267" s="6" t="s">
        <v>1912</v>
      </c>
      <c r="L267" s="17"/>
      <c r="M267" s="17"/>
      <c r="N267" s="17" t="str">
        <f t="shared" si="1"/>
        <v>OK</v>
      </c>
      <c r="O267" s="17" t="s">
        <v>1913</v>
      </c>
      <c r="P267" s="6" t="s">
        <v>1914</v>
      </c>
      <c r="Q267" s="17" t="s">
        <v>36</v>
      </c>
      <c r="R267" s="17" t="s">
        <v>1915</v>
      </c>
      <c r="S267" s="173" t="s">
        <v>38</v>
      </c>
      <c r="T267" s="11" t="s">
        <v>1548</v>
      </c>
      <c r="U267" s="22" t="s">
        <v>1890</v>
      </c>
      <c r="V267" s="22" t="s">
        <v>1890</v>
      </c>
    </row>
    <row r="268" spans="1:22" ht="29.25">
      <c r="A268" s="10" t="s">
        <v>1916</v>
      </c>
      <c r="B268" s="10" t="s">
        <v>1469</v>
      </c>
      <c r="C268" s="60" t="s">
        <v>1470</v>
      </c>
      <c r="D268" s="12"/>
      <c r="E268" s="13" t="s">
        <v>162</v>
      </c>
      <c r="F268" s="43" t="s">
        <v>285</v>
      </c>
      <c r="G268" s="6" t="str">
        <f ca="1">IFERROR(__xludf.DUMMYFUNCTION("CONCATENATE(B268,(VLOOKUP(C268,CATALOGOS!$F$2:$H$6,3,FALSE)),(VLOOKUP(T268,CATALOGOS!$J$2:$K$18,2,FALSE)),""-"",TO_TEXT(A268))"),"P12PP-0267")</f>
        <v>P12PP-0267</v>
      </c>
      <c r="H268" s="6" t="s">
        <v>1917</v>
      </c>
      <c r="I268" s="6" t="s">
        <v>1918</v>
      </c>
      <c r="J268" s="6" t="s">
        <v>1919</v>
      </c>
      <c r="K268" s="6" t="s">
        <v>1920</v>
      </c>
      <c r="L268" s="17"/>
      <c r="M268" s="17"/>
      <c r="N268" s="17" t="str">
        <f t="shared" si="1"/>
        <v>OK</v>
      </c>
      <c r="O268" s="17" t="s">
        <v>168</v>
      </c>
      <c r="P268" s="6" t="s">
        <v>169</v>
      </c>
      <c r="Q268" s="17" t="s">
        <v>1921</v>
      </c>
      <c r="R268" s="17" t="s">
        <v>1922</v>
      </c>
      <c r="S268" s="173" t="s">
        <v>38</v>
      </c>
      <c r="T268" s="11" t="s">
        <v>1548</v>
      </c>
      <c r="U268" s="22" t="s">
        <v>1890</v>
      </c>
      <c r="V268" s="22" t="s">
        <v>1890</v>
      </c>
    </row>
    <row r="269" spans="1:22" ht="29.25">
      <c r="A269" s="10" t="s">
        <v>1923</v>
      </c>
      <c r="B269" s="10" t="s">
        <v>1469</v>
      </c>
      <c r="C269" s="60" t="s">
        <v>1470</v>
      </c>
      <c r="D269" s="12"/>
      <c r="E269" s="13" t="s">
        <v>151</v>
      </c>
      <c r="F269" s="6" t="s">
        <v>698</v>
      </c>
      <c r="G269" s="6" t="str">
        <f ca="1">IFERROR(__xludf.DUMMYFUNCTION("CONCATENATE(B269,(VLOOKUP(C269,CATALOGOS!$F$2:$H$6,3,FALSE)),(VLOOKUP(T269,CATALOGOS!$J$2:$K$18,2,FALSE)),""-"",TO_TEXT(A269))"),"P12PP-0268")</f>
        <v>P12PP-0268</v>
      </c>
      <c r="H269" s="6" t="s">
        <v>1924</v>
      </c>
      <c r="I269" s="6" t="s">
        <v>1925</v>
      </c>
      <c r="J269" s="6" t="s">
        <v>1926</v>
      </c>
      <c r="K269" s="6" t="s">
        <v>1927</v>
      </c>
      <c r="L269" s="17"/>
      <c r="M269" s="17"/>
      <c r="N269" s="17" t="str">
        <f t="shared" si="1"/>
        <v>OK</v>
      </c>
      <c r="O269" s="17" t="s">
        <v>297</v>
      </c>
      <c r="P269" s="6" t="s">
        <v>1131</v>
      </c>
      <c r="Q269" s="17" t="s">
        <v>1928</v>
      </c>
      <c r="R269" s="17" t="s">
        <v>1929</v>
      </c>
      <c r="S269" s="173" t="s">
        <v>38</v>
      </c>
      <c r="T269" s="11" t="s">
        <v>1548</v>
      </c>
      <c r="U269" s="22" t="s">
        <v>1890</v>
      </c>
      <c r="V269" s="22" t="s">
        <v>1890</v>
      </c>
    </row>
    <row r="270" spans="1:22" ht="29.25">
      <c r="A270" s="10" t="s">
        <v>1930</v>
      </c>
      <c r="B270" s="10" t="s">
        <v>1469</v>
      </c>
      <c r="C270" s="60" t="s">
        <v>1470</v>
      </c>
      <c r="D270" s="12"/>
      <c r="E270" s="13" t="s">
        <v>151</v>
      </c>
      <c r="F270" s="6" t="s">
        <v>152</v>
      </c>
      <c r="G270" s="6" t="str">
        <f ca="1">IFERROR(__xludf.DUMMYFUNCTION("CONCATENATE(B270,(VLOOKUP(C270,CATALOGOS!$F$2:$H$6,3,FALSE)),(VLOOKUP(T270,CATALOGOS!$J$2:$K$18,2,FALSE)),""-"",TO_TEXT(A270))"),"P12PP-0269")</f>
        <v>P12PP-0269</v>
      </c>
      <c r="H270" s="6" t="s">
        <v>1931</v>
      </c>
      <c r="I270" s="6" t="s">
        <v>1932</v>
      </c>
      <c r="J270" s="6" t="s">
        <v>1933</v>
      </c>
      <c r="K270" s="6" t="s">
        <v>141</v>
      </c>
      <c r="L270" s="17"/>
      <c r="M270" s="17"/>
      <c r="N270" s="17" t="str">
        <f t="shared" si="1"/>
        <v>REPETIDO</v>
      </c>
      <c r="O270" s="17" t="s">
        <v>1220</v>
      </c>
      <c r="P270" s="6" t="s">
        <v>720</v>
      </c>
      <c r="Q270" s="17" t="s">
        <v>1934</v>
      </c>
      <c r="R270" s="17" t="s">
        <v>1935</v>
      </c>
      <c r="S270" s="173" t="s">
        <v>38</v>
      </c>
      <c r="T270" s="11" t="s">
        <v>1548</v>
      </c>
      <c r="U270" s="22" t="s">
        <v>1890</v>
      </c>
      <c r="V270" s="22" t="s">
        <v>1890</v>
      </c>
    </row>
    <row r="271" spans="1:22" ht="57.75">
      <c r="A271" s="10" t="s">
        <v>1936</v>
      </c>
      <c r="B271" s="10" t="s">
        <v>1469</v>
      </c>
      <c r="C271" s="60" t="s">
        <v>1470</v>
      </c>
      <c r="D271" s="12"/>
      <c r="E271" s="13" t="s">
        <v>199</v>
      </c>
      <c r="F271" s="6" t="s">
        <v>199</v>
      </c>
      <c r="G271" s="6" t="str">
        <f ca="1">IFERROR(__xludf.DUMMYFUNCTION("CONCATENATE(B271,(VLOOKUP(C271,CATALOGOS!$F$2:$H$6,3,FALSE)),(VLOOKUP(T271,CATALOGOS!$J$2:$K$18,2,FALSE)),""-"",TO_TEXT(A271))"),"P12PP-0270")</f>
        <v>P12PP-0270</v>
      </c>
      <c r="H271" s="6" t="s">
        <v>1937</v>
      </c>
      <c r="I271" s="6" t="s">
        <v>1938</v>
      </c>
      <c r="J271" s="6" t="s">
        <v>1939</v>
      </c>
      <c r="K271" s="6" t="s">
        <v>1940</v>
      </c>
      <c r="L271" s="17"/>
      <c r="M271" s="17"/>
      <c r="N271" s="17" t="str">
        <f t="shared" si="1"/>
        <v>OK</v>
      </c>
      <c r="O271" s="17" t="s">
        <v>205</v>
      </c>
      <c r="P271" s="6" t="s">
        <v>993</v>
      </c>
      <c r="Q271" s="17" t="s">
        <v>1941</v>
      </c>
      <c r="R271" s="17" t="s">
        <v>1942</v>
      </c>
      <c r="S271" s="173" t="s">
        <v>38</v>
      </c>
      <c r="T271" s="11" t="s">
        <v>1548</v>
      </c>
      <c r="U271" s="22" t="s">
        <v>1890</v>
      </c>
      <c r="V271" s="22" t="s">
        <v>1890</v>
      </c>
    </row>
    <row r="272" spans="1:22" ht="86.25">
      <c r="A272" s="10" t="s">
        <v>1943</v>
      </c>
      <c r="B272" s="10" t="s">
        <v>1469</v>
      </c>
      <c r="C272" s="60" t="s">
        <v>1470</v>
      </c>
      <c r="D272" s="12"/>
      <c r="E272" s="13" t="s">
        <v>1240</v>
      </c>
      <c r="F272" s="43" t="s">
        <v>278</v>
      </c>
      <c r="G272" s="6" t="str">
        <f ca="1">IFERROR(__xludf.DUMMYFUNCTION("CONCATENATE(B272,(VLOOKUP(C272,CATALOGOS!$F$2:$H$6,3,FALSE)),(VLOOKUP(T272,CATALOGOS!$J$2:$K$18,2,FALSE)),""-"",TO_TEXT(A272))"),"P12PP-0271")</f>
        <v>P12PP-0271</v>
      </c>
      <c r="H272" s="6" t="s">
        <v>1944</v>
      </c>
      <c r="I272" s="6" t="s">
        <v>1945</v>
      </c>
      <c r="J272" s="6" t="s">
        <v>1946</v>
      </c>
      <c r="K272" s="6" t="s">
        <v>1947</v>
      </c>
      <c r="L272" s="17"/>
      <c r="M272" s="17"/>
      <c r="N272" s="17" t="str">
        <f t="shared" si="1"/>
        <v>OK</v>
      </c>
      <c r="O272" s="17" t="s">
        <v>35</v>
      </c>
      <c r="P272" s="6" t="s">
        <v>35</v>
      </c>
      <c r="Q272" s="17" t="s">
        <v>36</v>
      </c>
      <c r="R272" s="17" t="s">
        <v>1948</v>
      </c>
      <c r="S272" s="173" t="s">
        <v>38</v>
      </c>
      <c r="T272" s="11" t="s">
        <v>1548</v>
      </c>
      <c r="U272" s="22" t="s">
        <v>1890</v>
      </c>
      <c r="V272" s="22" t="s">
        <v>1890</v>
      </c>
    </row>
    <row r="273" spans="1:22" ht="29.25">
      <c r="A273" s="10" t="s">
        <v>1949</v>
      </c>
      <c r="B273" s="10" t="s">
        <v>1469</v>
      </c>
      <c r="C273" s="60" t="s">
        <v>1470</v>
      </c>
      <c r="D273" s="12"/>
      <c r="E273" s="13" t="s">
        <v>248</v>
      </c>
      <c r="F273" s="43" t="s">
        <v>249</v>
      </c>
      <c r="G273" s="6" t="str">
        <f ca="1">IFERROR(__xludf.DUMMYFUNCTION("CONCATENATE(B273,(VLOOKUP(C273,CATALOGOS!$F$2:$H$6,3,FALSE)),(VLOOKUP(T273,CATALOGOS!$J$2:$K$18,2,FALSE)),""-"",TO_TEXT(A273))"),"P12PP-0272")</f>
        <v>P12PP-0272</v>
      </c>
      <c r="H273" s="6" t="s">
        <v>1950</v>
      </c>
      <c r="I273" s="6" t="s">
        <v>1951</v>
      </c>
      <c r="J273" s="6" t="s">
        <v>1952</v>
      </c>
      <c r="K273" s="6" t="s">
        <v>1953</v>
      </c>
      <c r="L273" s="17"/>
      <c r="M273" s="17"/>
      <c r="N273" s="17" t="str">
        <f t="shared" si="1"/>
        <v>OK</v>
      </c>
      <c r="O273" s="17" t="s">
        <v>250</v>
      </c>
      <c r="P273" s="6" t="s">
        <v>1954</v>
      </c>
      <c r="Q273" s="17" t="s">
        <v>1955</v>
      </c>
      <c r="R273" s="17" t="s">
        <v>1956</v>
      </c>
      <c r="S273" s="173" t="s">
        <v>38</v>
      </c>
      <c r="T273" s="11" t="s">
        <v>1548</v>
      </c>
      <c r="U273" s="22" t="s">
        <v>1890</v>
      </c>
      <c r="V273" s="22" t="s">
        <v>1890</v>
      </c>
    </row>
    <row r="274" spans="1:22" ht="57.75">
      <c r="A274" s="10" t="s">
        <v>1957</v>
      </c>
      <c r="B274" s="10" t="s">
        <v>1469</v>
      </c>
      <c r="C274" s="60" t="s">
        <v>1470</v>
      </c>
      <c r="D274" s="12"/>
      <c r="E274" s="13" t="s">
        <v>378</v>
      </c>
      <c r="F274" s="43" t="s">
        <v>1958</v>
      </c>
      <c r="G274" s="6" t="str">
        <f ca="1">IFERROR(__xludf.DUMMYFUNCTION("CONCATENATE(B274,(VLOOKUP(C274,CATALOGOS!$F$2:$H$6,3,FALSE)),(VLOOKUP(T274,CATALOGOS!$J$2:$K$18,2,FALSE)),""-"",TO_TEXT(A274))"),"P12CT-0273")</f>
        <v>P12CT-0273</v>
      </c>
      <c r="H274" s="6" t="s">
        <v>1959</v>
      </c>
      <c r="I274" s="6" t="s">
        <v>1960</v>
      </c>
      <c r="J274" s="6" t="s">
        <v>1961</v>
      </c>
      <c r="K274" s="6" t="s">
        <v>1962</v>
      </c>
      <c r="L274" s="17"/>
      <c r="M274" s="17"/>
      <c r="N274" s="17" t="str">
        <f t="shared" si="1"/>
        <v>OK</v>
      </c>
      <c r="O274" s="17" t="s">
        <v>35</v>
      </c>
      <c r="P274" s="6" t="s">
        <v>35</v>
      </c>
      <c r="Q274" s="17" t="s">
        <v>36</v>
      </c>
      <c r="R274" s="17" t="s">
        <v>1963</v>
      </c>
      <c r="S274" s="173" t="s">
        <v>38</v>
      </c>
      <c r="T274" s="11" t="s">
        <v>2884</v>
      </c>
      <c r="U274" s="20" t="s">
        <v>385</v>
      </c>
      <c r="V274" s="20" t="s">
        <v>385</v>
      </c>
    </row>
    <row r="275" spans="1:22" ht="57.75">
      <c r="A275" s="10" t="s">
        <v>1964</v>
      </c>
      <c r="B275" s="10" t="s">
        <v>1469</v>
      </c>
      <c r="C275" s="60" t="s">
        <v>1470</v>
      </c>
      <c r="D275" s="38"/>
      <c r="E275" s="13" t="s">
        <v>184</v>
      </c>
      <c r="F275" s="43" t="s">
        <v>927</v>
      </c>
      <c r="G275" s="6" t="str">
        <f ca="1">IFERROR(__xludf.DUMMYFUNCTION("CONCATENATE(B275,(VLOOKUP(C275,CATALOGOS!$F$2:$H$6,3,FALSE)),(VLOOKUP(T275,CATALOGOS!$J$2:$K$18,2,FALSE)),""-"",TO_TEXT(A275))"),"P12PP-0274")</f>
        <v>P12PP-0274</v>
      </c>
      <c r="H275" s="6" t="s">
        <v>1965</v>
      </c>
      <c r="I275" s="6" t="s">
        <v>1966</v>
      </c>
      <c r="J275" s="6" t="s">
        <v>1967</v>
      </c>
      <c r="K275" s="43" t="s">
        <v>1968</v>
      </c>
      <c r="L275" s="17"/>
      <c r="M275" s="17"/>
      <c r="N275" s="17" t="str">
        <f t="shared" si="1"/>
        <v>OK</v>
      </c>
      <c r="O275" s="43" t="s">
        <v>35</v>
      </c>
      <c r="P275" s="6" t="s">
        <v>35</v>
      </c>
      <c r="Q275" s="46" t="s">
        <v>36</v>
      </c>
      <c r="R275" s="17" t="s">
        <v>1969</v>
      </c>
      <c r="S275" s="173" t="s">
        <v>38</v>
      </c>
      <c r="T275" s="11" t="s">
        <v>1548</v>
      </c>
      <c r="U275" s="32" t="s">
        <v>1672</v>
      </c>
      <c r="V275" s="32" t="s">
        <v>1672</v>
      </c>
    </row>
    <row r="276" spans="1:22" ht="29.25">
      <c r="A276" s="10" t="s">
        <v>1970</v>
      </c>
      <c r="B276" s="10" t="s">
        <v>1469</v>
      </c>
      <c r="C276" s="60" t="s">
        <v>1470</v>
      </c>
      <c r="D276" s="12"/>
      <c r="E276" s="13" t="s">
        <v>210</v>
      </c>
      <c r="F276" s="6" t="s">
        <v>210</v>
      </c>
      <c r="G276" s="6" t="str">
        <f ca="1">IFERROR(__xludf.DUMMYFUNCTION("CONCATENATE(B276,(VLOOKUP(C276,CATALOGOS!$F$2:$H$6,3,FALSE)),(VLOOKUP(T276,CATALOGOS!$J$2:$K$18,2,FALSE)),""-"",TO_TEXT(A276))"),"P12PP-0275")</f>
        <v>P12PP-0275</v>
      </c>
      <c r="H276" s="6" t="s">
        <v>1971</v>
      </c>
      <c r="I276" s="6" t="s">
        <v>1972</v>
      </c>
      <c r="J276" s="36"/>
      <c r="K276" s="6" t="s">
        <v>1973</v>
      </c>
      <c r="L276" s="17"/>
      <c r="M276" s="17"/>
      <c r="N276" s="17" t="str">
        <f t="shared" si="1"/>
        <v>OK</v>
      </c>
      <c r="O276" s="17" t="s">
        <v>216</v>
      </c>
      <c r="P276" s="6" t="s">
        <v>1974</v>
      </c>
      <c r="Q276" s="6" t="s">
        <v>36</v>
      </c>
      <c r="R276" s="10" t="s">
        <v>1975</v>
      </c>
      <c r="S276" s="173" t="s">
        <v>38</v>
      </c>
      <c r="T276" s="11" t="s">
        <v>1548</v>
      </c>
      <c r="U276" s="20" t="s">
        <v>1597</v>
      </c>
      <c r="V276" s="20" t="s">
        <v>1597</v>
      </c>
    </row>
    <row r="277" spans="1:22" ht="72">
      <c r="A277" s="10" t="s">
        <v>1976</v>
      </c>
      <c r="B277" s="10" t="s">
        <v>27</v>
      </c>
      <c r="C277" s="60" t="s">
        <v>1470</v>
      </c>
      <c r="D277" s="12"/>
      <c r="E277" s="13" t="s">
        <v>501</v>
      </c>
      <c r="F277" s="6" t="s">
        <v>1977</v>
      </c>
      <c r="G277" s="6" t="str">
        <f ca="1">IFERROR(__xludf.DUMMYFUNCTION("CONCATENATE(B277,(VLOOKUP(C277,CATALOGOS!$F$2:$H$6,3,FALSE)),(VLOOKUP(T277,CATALOGOS!$J$2:$K$18,2,FALSE)),""-"",TO_TEXT(A277))"),"P02PP-0276")</f>
        <v>P02PP-0276</v>
      </c>
      <c r="H277" s="6" t="s">
        <v>1978</v>
      </c>
      <c r="I277" s="6" t="s">
        <v>1979</v>
      </c>
      <c r="J277" s="6" t="s">
        <v>1980</v>
      </c>
      <c r="K277" s="6" t="s">
        <v>1981</v>
      </c>
      <c r="L277" s="17"/>
      <c r="M277" s="17"/>
      <c r="N277" s="17" t="str">
        <f t="shared" si="1"/>
        <v>OK</v>
      </c>
      <c r="O277" s="17" t="s">
        <v>35</v>
      </c>
      <c r="P277" s="6" t="s">
        <v>35</v>
      </c>
      <c r="Q277" s="17" t="s">
        <v>36</v>
      </c>
      <c r="R277" s="182" t="s">
        <v>1982</v>
      </c>
      <c r="S277" s="173" t="s">
        <v>38</v>
      </c>
      <c r="T277" s="11" t="s">
        <v>1548</v>
      </c>
      <c r="U277" s="22" t="s">
        <v>1983</v>
      </c>
      <c r="V277" s="22" t="s">
        <v>1983</v>
      </c>
    </row>
    <row r="278" spans="1:22" ht="57.75">
      <c r="A278" s="10" t="s">
        <v>1984</v>
      </c>
      <c r="B278" s="10" t="s">
        <v>27</v>
      </c>
      <c r="C278" s="60" t="s">
        <v>1470</v>
      </c>
      <c r="D278" s="12"/>
      <c r="E278" s="13" t="s">
        <v>43</v>
      </c>
      <c r="F278" s="6" t="s">
        <v>1688</v>
      </c>
      <c r="G278" s="6" t="str">
        <f ca="1">IFERROR(__xludf.DUMMYFUNCTION("CONCATENATE(B278,(VLOOKUP(C278,CATALOGOS!$F$2:$H$6,3,FALSE)),(VLOOKUP(T278,CATALOGOS!$J$2:$K$18,2,FALSE)),""-"",TO_TEXT(A278))"),"P02PP-0277")</f>
        <v>P02PP-0277</v>
      </c>
      <c r="H278" s="6" t="s">
        <v>1985</v>
      </c>
      <c r="I278" s="6" t="s">
        <v>1986</v>
      </c>
      <c r="J278" s="6" t="s">
        <v>1987</v>
      </c>
      <c r="K278" s="6" t="s">
        <v>1988</v>
      </c>
      <c r="L278" s="17"/>
      <c r="M278" s="17"/>
      <c r="N278" s="17" t="str">
        <f t="shared" si="1"/>
        <v>OK</v>
      </c>
      <c r="O278" s="17" t="s">
        <v>49</v>
      </c>
      <c r="P278" s="6" t="s">
        <v>1989</v>
      </c>
      <c r="Q278" s="17" t="s">
        <v>36</v>
      </c>
      <c r="R278" s="138" t="s">
        <v>1990</v>
      </c>
      <c r="S278" s="179" t="s">
        <v>100</v>
      </c>
      <c r="T278" s="11" t="s">
        <v>1548</v>
      </c>
      <c r="U278" s="22" t="s">
        <v>1983</v>
      </c>
      <c r="V278" s="22" t="s">
        <v>1983</v>
      </c>
    </row>
    <row r="279" spans="1:22" ht="57.75">
      <c r="A279" s="10" t="s">
        <v>1991</v>
      </c>
      <c r="B279" s="10" t="s">
        <v>27</v>
      </c>
      <c r="C279" s="60" t="s">
        <v>1470</v>
      </c>
      <c r="D279" s="12"/>
      <c r="E279" s="13" t="s">
        <v>184</v>
      </c>
      <c r="F279" s="6" t="s">
        <v>1992</v>
      </c>
      <c r="G279" s="6" t="str">
        <f ca="1">IFERROR(__xludf.DUMMYFUNCTION("CONCATENATE(B279,(VLOOKUP(C279,CATALOGOS!$F$2:$H$6,3,FALSE)),(VLOOKUP(T279,CATALOGOS!$J$2:$K$18,2,FALSE)),""-"",TO_TEXT(A279))"),"P02PP-0278")</f>
        <v>P02PP-0278</v>
      </c>
      <c r="H279" s="6" t="s">
        <v>1993</v>
      </c>
      <c r="I279" s="6" t="s">
        <v>1994</v>
      </c>
      <c r="J279" s="6" t="s">
        <v>1995</v>
      </c>
      <c r="K279" s="43" t="s">
        <v>1996</v>
      </c>
      <c r="L279" s="17"/>
      <c r="M279" s="17"/>
      <c r="N279" s="17" t="str">
        <f t="shared" si="1"/>
        <v>OK</v>
      </c>
      <c r="O279" s="17" t="s">
        <v>35</v>
      </c>
      <c r="P279" s="6" t="s">
        <v>35</v>
      </c>
      <c r="Q279" s="17" t="s">
        <v>36</v>
      </c>
      <c r="R279" s="182" t="s">
        <v>1997</v>
      </c>
      <c r="S279" s="173" t="s">
        <v>38</v>
      </c>
      <c r="T279" s="11" t="s">
        <v>1548</v>
      </c>
      <c r="U279" s="22" t="s">
        <v>1983</v>
      </c>
      <c r="V279" s="22" t="s">
        <v>1983</v>
      </c>
    </row>
    <row r="280" spans="1:22" ht="86.25">
      <c r="A280" s="10" t="s">
        <v>1998</v>
      </c>
      <c r="B280" s="10" t="s">
        <v>27</v>
      </c>
      <c r="C280" s="60" t="s">
        <v>1470</v>
      </c>
      <c r="D280" s="12"/>
      <c r="E280" s="13" t="s">
        <v>116</v>
      </c>
      <c r="F280" s="6" t="s">
        <v>599</v>
      </c>
      <c r="G280" s="6" t="str">
        <f ca="1">IFERROR(__xludf.DUMMYFUNCTION("CONCATENATE(B280,(VLOOKUP(C280,CATALOGOS!$F$2:$H$6,3,FALSE)),(VLOOKUP(T280,CATALOGOS!$J$2:$K$18,2,FALSE)),""-"",TO_TEXT(A280))"),"P02PP-0279")</f>
        <v>P02PP-0279</v>
      </c>
      <c r="H280" s="6" t="s">
        <v>1999</v>
      </c>
      <c r="I280" s="6" t="s">
        <v>2000</v>
      </c>
      <c r="J280" s="6" t="s">
        <v>2001</v>
      </c>
      <c r="K280" s="6" t="s">
        <v>2002</v>
      </c>
      <c r="L280" s="17"/>
      <c r="M280" s="17"/>
      <c r="N280" s="17" t="str">
        <f t="shared" si="1"/>
        <v>OK</v>
      </c>
      <c r="O280" s="17" t="s">
        <v>35</v>
      </c>
      <c r="P280" s="6" t="s">
        <v>35</v>
      </c>
      <c r="Q280" s="17" t="s">
        <v>36</v>
      </c>
      <c r="R280" s="182" t="s">
        <v>2003</v>
      </c>
      <c r="S280" s="173" t="s">
        <v>38</v>
      </c>
      <c r="T280" s="11" t="s">
        <v>1548</v>
      </c>
      <c r="U280" s="22" t="s">
        <v>1983</v>
      </c>
      <c r="V280" s="22" t="s">
        <v>1983</v>
      </c>
    </row>
    <row r="281" spans="1:22" ht="57.75">
      <c r="A281" s="10" t="s">
        <v>2004</v>
      </c>
      <c r="B281" s="10" t="s">
        <v>27</v>
      </c>
      <c r="C281" s="60" t="s">
        <v>1470</v>
      </c>
      <c r="D281" s="12"/>
      <c r="E281" s="13" t="s">
        <v>199</v>
      </c>
      <c r="F281" s="6" t="s">
        <v>199</v>
      </c>
      <c r="G281" s="6" t="str">
        <f ca="1">IFERROR(__xludf.DUMMYFUNCTION("CONCATENATE(B281,(VLOOKUP(C281,CATALOGOS!$F$2:$H$6,3,FALSE)),(VLOOKUP(T281,CATALOGOS!$J$2:$K$18,2,FALSE)),""-"",TO_TEXT(A281))"),"P02PP-0280")</f>
        <v>P02PP-0280</v>
      </c>
      <c r="H281" s="6" t="s">
        <v>2005</v>
      </c>
      <c r="I281" s="6" t="s">
        <v>2006</v>
      </c>
      <c r="J281" s="6" t="s">
        <v>2007</v>
      </c>
      <c r="K281" s="6" t="s">
        <v>2008</v>
      </c>
      <c r="L281" s="17"/>
      <c r="M281" s="17"/>
      <c r="N281" s="17" t="str">
        <f t="shared" si="1"/>
        <v>OK</v>
      </c>
      <c r="O281" s="17" t="s">
        <v>297</v>
      </c>
      <c r="P281" s="6" t="s">
        <v>2009</v>
      </c>
      <c r="Q281" s="17" t="s">
        <v>2010</v>
      </c>
      <c r="R281" s="182" t="s">
        <v>2011</v>
      </c>
      <c r="S281" s="179" t="s">
        <v>517</v>
      </c>
      <c r="T281" s="11" t="s">
        <v>1548</v>
      </c>
      <c r="U281" s="22" t="s">
        <v>1983</v>
      </c>
      <c r="V281" s="22" t="s">
        <v>1983</v>
      </c>
    </row>
    <row r="282" spans="1:22" ht="29.25">
      <c r="A282" s="10" t="s">
        <v>2012</v>
      </c>
      <c r="B282" s="10" t="s">
        <v>27</v>
      </c>
      <c r="C282" s="60" t="s">
        <v>1470</v>
      </c>
      <c r="D282" s="12"/>
      <c r="E282" s="13" t="s">
        <v>151</v>
      </c>
      <c r="F282" s="6" t="s">
        <v>152</v>
      </c>
      <c r="G282" s="6" t="str">
        <f ca="1">IFERROR(__xludf.DUMMYFUNCTION("CONCATENATE(B282,(VLOOKUP(C282,CATALOGOS!$F$2:$H$6,3,FALSE)),(VLOOKUP(T282,CATALOGOS!$J$2:$K$18,2,FALSE)),""-"",TO_TEXT(A282))"),"P02PP-0281")</f>
        <v>P02PP-0281</v>
      </c>
      <c r="H282" s="6" t="s">
        <v>2013</v>
      </c>
      <c r="I282" s="6" t="s">
        <v>2014</v>
      </c>
      <c r="J282" s="6" t="s">
        <v>2015</v>
      </c>
      <c r="K282" s="6" t="s">
        <v>2016</v>
      </c>
      <c r="L282" s="17"/>
      <c r="M282" s="17"/>
      <c r="N282" s="17" t="str">
        <f t="shared" si="1"/>
        <v>OK</v>
      </c>
      <c r="O282" s="17" t="s">
        <v>1220</v>
      </c>
      <c r="P282" s="6" t="s">
        <v>720</v>
      </c>
      <c r="Q282" s="17" t="s">
        <v>2017</v>
      </c>
      <c r="R282" s="182" t="s">
        <v>2018</v>
      </c>
      <c r="S282" s="173" t="s">
        <v>38</v>
      </c>
      <c r="T282" s="11" t="s">
        <v>1548</v>
      </c>
      <c r="U282" s="22" t="s">
        <v>1983</v>
      </c>
      <c r="V282" s="22" t="s">
        <v>1983</v>
      </c>
    </row>
    <row r="283" spans="1:22" ht="29.25">
      <c r="A283" s="10" t="s">
        <v>2019</v>
      </c>
      <c r="B283" s="10" t="s">
        <v>27</v>
      </c>
      <c r="C283" s="60" t="s">
        <v>1470</v>
      </c>
      <c r="D283" s="12"/>
      <c r="E283" s="13" t="s">
        <v>248</v>
      </c>
      <c r="F283" s="6" t="s">
        <v>248</v>
      </c>
      <c r="G283" s="6" t="str">
        <f ca="1">IFERROR(__xludf.DUMMYFUNCTION("CONCATENATE(B283,(VLOOKUP(C283,CATALOGOS!$F$2:$H$6,3,FALSE)),(VLOOKUP(T283,CATALOGOS!$J$2:$K$18,2,FALSE)),""-"",TO_TEXT(A283))"),"P02PP-0282")</f>
        <v>P02PP-0282</v>
      </c>
      <c r="H283" s="6" t="s">
        <v>2020</v>
      </c>
      <c r="I283" s="6" t="s">
        <v>2021</v>
      </c>
      <c r="J283" s="36"/>
      <c r="K283" s="6" t="s">
        <v>141</v>
      </c>
      <c r="L283" s="17"/>
      <c r="M283" s="17"/>
      <c r="N283" s="17" t="str">
        <f t="shared" si="1"/>
        <v>REPETIDO</v>
      </c>
      <c r="O283" s="17" t="s">
        <v>2022</v>
      </c>
      <c r="P283" s="6" t="s">
        <v>35</v>
      </c>
      <c r="Q283" s="6" t="s">
        <v>2023</v>
      </c>
      <c r="R283" s="32" t="s">
        <v>2024</v>
      </c>
      <c r="S283" s="179" t="s">
        <v>100</v>
      </c>
      <c r="T283" s="11" t="s">
        <v>1548</v>
      </c>
      <c r="U283" s="22" t="s">
        <v>1983</v>
      </c>
      <c r="V283" s="22" t="s">
        <v>1983</v>
      </c>
    </row>
    <row r="284" spans="1:22" ht="43.5">
      <c r="A284" s="10" t="s">
        <v>2025</v>
      </c>
      <c r="B284" s="10" t="s">
        <v>27</v>
      </c>
      <c r="C284" s="60" t="s">
        <v>1470</v>
      </c>
      <c r="D284" s="12"/>
      <c r="E284" s="13" t="s">
        <v>53</v>
      </c>
      <c r="F284" s="6" t="s">
        <v>2026</v>
      </c>
      <c r="G284" s="6" t="str">
        <f ca="1">IFERROR(__xludf.DUMMYFUNCTION("CONCATENATE(B284,(VLOOKUP(C284,CATALOGOS!$F$2:$H$6,3,FALSE)),(VLOOKUP(T284,CATALOGOS!$J$2:$K$18,2,FALSE)),""-"",TO_TEXT(A284))"),"P02PP-0283")</f>
        <v>P02PP-0283</v>
      </c>
      <c r="H284" s="6" t="s">
        <v>2027</v>
      </c>
      <c r="I284" s="6" t="s">
        <v>2028</v>
      </c>
      <c r="J284" s="36"/>
      <c r="K284" s="6" t="s">
        <v>141</v>
      </c>
      <c r="L284" s="17"/>
      <c r="M284" s="17"/>
      <c r="N284" s="17" t="str">
        <f t="shared" si="1"/>
        <v>REPETIDO</v>
      </c>
      <c r="O284" s="17" t="s">
        <v>35</v>
      </c>
      <c r="P284" s="6" t="s">
        <v>35</v>
      </c>
      <c r="Q284" s="6" t="s">
        <v>36</v>
      </c>
      <c r="R284" s="10" t="s">
        <v>85</v>
      </c>
      <c r="S284" s="173" t="s">
        <v>38</v>
      </c>
      <c r="T284" s="11" t="s">
        <v>1548</v>
      </c>
      <c r="U284" s="22" t="s">
        <v>1983</v>
      </c>
      <c r="V284" s="22" t="s">
        <v>1983</v>
      </c>
    </row>
    <row r="285" spans="1:22" ht="29.25">
      <c r="A285" s="10" t="s">
        <v>2029</v>
      </c>
      <c r="B285" s="10" t="s">
        <v>27</v>
      </c>
      <c r="C285" s="60" t="s">
        <v>1470</v>
      </c>
      <c r="D285" s="12"/>
      <c r="E285" s="13" t="s">
        <v>2030</v>
      </c>
      <c r="F285" s="6" t="s">
        <v>2030</v>
      </c>
      <c r="G285" s="6" t="str">
        <f ca="1">IFERROR(__xludf.DUMMYFUNCTION("CONCATENATE(B285,(VLOOKUP(C285,CATALOGOS!$F$2:$H$6,3,FALSE)),(VLOOKUP(T285,CATALOGOS!$J$2:$K$18,2,FALSE)),""-"",TO_TEXT(A285))"),"P02PP-0284")</f>
        <v>P02PP-0284</v>
      </c>
      <c r="H285" s="6" t="s">
        <v>2031</v>
      </c>
      <c r="I285" s="6" t="s">
        <v>2032</v>
      </c>
      <c r="J285" s="36"/>
      <c r="K285" s="6" t="s">
        <v>141</v>
      </c>
      <c r="L285" s="17"/>
      <c r="M285" s="17"/>
      <c r="N285" s="17" t="str">
        <f t="shared" si="1"/>
        <v>REPETIDO</v>
      </c>
      <c r="O285" s="17" t="s">
        <v>2033</v>
      </c>
      <c r="P285" s="6" t="s">
        <v>2034</v>
      </c>
      <c r="Q285" s="6" t="s">
        <v>36</v>
      </c>
      <c r="R285" s="10" t="s">
        <v>85</v>
      </c>
      <c r="S285" s="173" t="s">
        <v>38</v>
      </c>
      <c r="T285" s="11" t="s">
        <v>1548</v>
      </c>
      <c r="U285" s="22" t="s">
        <v>1983</v>
      </c>
      <c r="V285" s="22" t="s">
        <v>1983</v>
      </c>
    </row>
    <row r="286" spans="1:22" ht="43.5">
      <c r="A286" s="10" t="s">
        <v>2035</v>
      </c>
      <c r="B286" s="10" t="s">
        <v>27</v>
      </c>
      <c r="C286" s="60" t="s">
        <v>1470</v>
      </c>
      <c r="D286" s="38"/>
      <c r="E286" s="13" t="s">
        <v>321</v>
      </c>
      <c r="F286" s="6" t="s">
        <v>322</v>
      </c>
      <c r="G286" s="6" t="str">
        <f ca="1">IFERROR(__xludf.DUMMYFUNCTION("CONCATENATE(B286,(VLOOKUP(C286,CATALOGOS!$F$2:$H$6,3,FALSE)),(VLOOKUP(T286,CATALOGOS!$J$2:$K$18,2,FALSE)),""-"",TO_TEXT(A286))"),"P02PP-0285")</f>
        <v>P02PP-0285</v>
      </c>
      <c r="H286" s="6" t="s">
        <v>2036</v>
      </c>
      <c r="I286" s="6" t="s">
        <v>2037</v>
      </c>
      <c r="J286" s="36"/>
      <c r="K286" s="6" t="s">
        <v>141</v>
      </c>
      <c r="L286" s="17"/>
      <c r="M286" s="17"/>
      <c r="N286" s="17" t="str">
        <f t="shared" si="1"/>
        <v>REPETIDO</v>
      </c>
      <c r="O286" s="35" t="s">
        <v>2038</v>
      </c>
      <c r="P286" s="6">
        <v>29965</v>
      </c>
      <c r="Q286" s="6" t="s">
        <v>36</v>
      </c>
      <c r="R286" s="32" t="s">
        <v>85</v>
      </c>
      <c r="S286" s="173" t="s">
        <v>38</v>
      </c>
      <c r="T286" s="11" t="s">
        <v>1548</v>
      </c>
      <c r="U286" s="32" t="s">
        <v>1983</v>
      </c>
      <c r="V286" s="32" t="s">
        <v>1983</v>
      </c>
    </row>
    <row r="287" spans="1:22" ht="43.5">
      <c r="A287" s="10" t="s">
        <v>2039</v>
      </c>
      <c r="B287" s="10" t="s">
        <v>27</v>
      </c>
      <c r="C287" s="60" t="s">
        <v>1470</v>
      </c>
      <c r="D287" s="38"/>
      <c r="E287" s="13" t="s">
        <v>378</v>
      </c>
      <c r="F287" s="43" t="s">
        <v>2040</v>
      </c>
      <c r="G287" s="6" t="str">
        <f ca="1">IFERROR(__xludf.DUMMYFUNCTION("CONCATENATE(B287,(VLOOKUP(C287,CATALOGOS!$F$2:$H$6,3,FALSE)),(VLOOKUP(T287,CATALOGOS!$J$2:$K$18,2,FALSE)),""-"",TO_TEXT(A287))"),"P02PP-0286")</f>
        <v>P02PP-0286</v>
      </c>
      <c r="H287" s="6" t="s">
        <v>2041</v>
      </c>
      <c r="I287" s="6" t="s">
        <v>2042</v>
      </c>
      <c r="J287" s="6" t="s">
        <v>2043</v>
      </c>
      <c r="K287" s="6" t="s">
        <v>2044</v>
      </c>
      <c r="L287" s="17"/>
      <c r="M287" s="17"/>
      <c r="N287" s="17" t="str">
        <f t="shared" si="1"/>
        <v>OK</v>
      </c>
      <c r="O287" s="17" t="s">
        <v>35</v>
      </c>
      <c r="P287" s="6" t="s">
        <v>35</v>
      </c>
      <c r="Q287" s="46" t="s">
        <v>36</v>
      </c>
      <c r="R287" s="17" t="s">
        <v>85</v>
      </c>
      <c r="S287" s="173" t="s">
        <v>38</v>
      </c>
      <c r="T287" s="11" t="s">
        <v>1548</v>
      </c>
      <c r="U287" s="32" t="s">
        <v>1983</v>
      </c>
      <c r="V287" s="32" t="s">
        <v>1983</v>
      </c>
    </row>
    <row r="288" spans="1:22" ht="57.75">
      <c r="A288" s="10" t="s">
        <v>2045</v>
      </c>
      <c r="B288" s="10" t="s">
        <v>27</v>
      </c>
      <c r="C288" s="60" t="s">
        <v>1470</v>
      </c>
      <c r="D288" s="12"/>
      <c r="E288" s="13" t="s">
        <v>501</v>
      </c>
      <c r="F288" s="6" t="s">
        <v>2046</v>
      </c>
      <c r="G288" s="6" t="str">
        <f ca="1">IFERROR(__xludf.DUMMYFUNCTION("CONCATENATE(B288,(VLOOKUP(C288,CATALOGOS!$F$2:$H$6,3,FALSE)),(VLOOKUP(T288,CATALOGOS!$J$2:$K$18,2,FALSE)),""-"",TO_TEXT(A288))"),"P02PP-0287")</f>
        <v>P02PP-0287</v>
      </c>
      <c r="H288" s="6" t="s">
        <v>2047</v>
      </c>
      <c r="I288" s="6" t="s">
        <v>2048</v>
      </c>
      <c r="J288" s="6" t="s">
        <v>2049</v>
      </c>
      <c r="K288" s="43" t="s">
        <v>2050</v>
      </c>
      <c r="L288" s="17"/>
      <c r="M288" s="17"/>
      <c r="N288" s="17" t="str">
        <f t="shared" si="1"/>
        <v>OK</v>
      </c>
      <c r="O288" s="17" t="s">
        <v>35</v>
      </c>
      <c r="P288" s="6" t="s">
        <v>35</v>
      </c>
      <c r="Q288" s="17" t="s">
        <v>36</v>
      </c>
      <c r="R288" s="17" t="s">
        <v>2051</v>
      </c>
      <c r="S288" s="173" t="s">
        <v>38</v>
      </c>
      <c r="T288" s="11" t="s">
        <v>1548</v>
      </c>
      <c r="U288" s="20" t="s">
        <v>2052</v>
      </c>
      <c r="V288" s="20" t="s">
        <v>2052</v>
      </c>
    </row>
    <row r="289" spans="1:22" ht="57.75">
      <c r="A289" s="10" t="s">
        <v>2053</v>
      </c>
      <c r="B289" s="10" t="s">
        <v>27</v>
      </c>
      <c r="C289" s="60" t="s">
        <v>1470</v>
      </c>
      <c r="D289" s="12"/>
      <c r="E289" s="13" t="s">
        <v>501</v>
      </c>
      <c r="F289" s="6" t="s">
        <v>2046</v>
      </c>
      <c r="G289" s="6" t="str">
        <f ca="1">IFERROR(__xludf.DUMMYFUNCTION("CONCATENATE(B289,(VLOOKUP(C289,CATALOGOS!$F$2:$H$6,3,FALSE)),(VLOOKUP(T289,CATALOGOS!$J$2:$K$18,2,FALSE)),""-"",TO_TEXT(A289))"),"P02PP-0288")</f>
        <v>P02PP-0288</v>
      </c>
      <c r="H289" s="6" t="s">
        <v>2054</v>
      </c>
      <c r="I289" s="6" t="s">
        <v>2055</v>
      </c>
      <c r="J289" s="6" t="s">
        <v>2056</v>
      </c>
      <c r="K289" s="43" t="s">
        <v>2057</v>
      </c>
      <c r="L289" s="17"/>
      <c r="M289" s="17"/>
      <c r="N289" s="17" t="str">
        <f t="shared" si="1"/>
        <v>OK</v>
      </c>
      <c r="O289" s="17" t="s">
        <v>35</v>
      </c>
      <c r="P289" s="6" t="s">
        <v>35</v>
      </c>
      <c r="Q289" s="17" t="s">
        <v>36</v>
      </c>
      <c r="R289" s="17" t="s">
        <v>2058</v>
      </c>
      <c r="S289" s="173" t="s">
        <v>38</v>
      </c>
      <c r="T289" s="11" t="s">
        <v>1548</v>
      </c>
      <c r="U289" s="20" t="s">
        <v>2052</v>
      </c>
      <c r="V289" s="20" t="s">
        <v>2052</v>
      </c>
    </row>
    <row r="290" spans="1:22" ht="72">
      <c r="A290" s="10" t="s">
        <v>2059</v>
      </c>
      <c r="B290" s="10" t="s">
        <v>27</v>
      </c>
      <c r="C290" s="60" t="s">
        <v>1470</v>
      </c>
      <c r="D290" s="12"/>
      <c r="E290" s="13" t="s">
        <v>2060</v>
      </c>
      <c r="F290" s="6" t="s">
        <v>2061</v>
      </c>
      <c r="G290" s="6" t="str">
        <f ca="1">IFERROR(__xludf.DUMMYFUNCTION("CONCATENATE(B290,(VLOOKUP(C290,CATALOGOS!$F$2:$H$6,3,FALSE)),(VLOOKUP(T290,CATALOGOS!$J$2:$K$18,2,FALSE)),""-"",TO_TEXT(A290))"),"P02PP-0289")</f>
        <v>P02PP-0289</v>
      </c>
      <c r="H290" s="6" t="s">
        <v>2062</v>
      </c>
      <c r="I290" s="6" t="s">
        <v>2063</v>
      </c>
      <c r="J290" s="6" t="s">
        <v>2064</v>
      </c>
      <c r="K290" s="43" t="s">
        <v>2065</v>
      </c>
      <c r="L290" s="17"/>
      <c r="M290" s="17"/>
      <c r="N290" s="17" t="str">
        <f t="shared" si="1"/>
        <v>OK</v>
      </c>
      <c r="O290" s="17" t="s">
        <v>35</v>
      </c>
      <c r="P290" s="6" t="s">
        <v>35</v>
      </c>
      <c r="Q290" s="17" t="s">
        <v>36</v>
      </c>
      <c r="R290" s="17" t="s">
        <v>2066</v>
      </c>
      <c r="S290" s="173" t="s">
        <v>38</v>
      </c>
      <c r="T290" s="11" t="s">
        <v>1548</v>
      </c>
      <c r="U290" s="20" t="s">
        <v>2052</v>
      </c>
      <c r="V290" s="20" t="s">
        <v>2052</v>
      </c>
    </row>
    <row r="291" spans="1:22" ht="72">
      <c r="A291" s="10" t="s">
        <v>2067</v>
      </c>
      <c r="B291" s="10" t="s">
        <v>27</v>
      </c>
      <c r="C291" s="60" t="s">
        <v>1470</v>
      </c>
      <c r="D291" s="12"/>
      <c r="E291" s="13" t="s">
        <v>2060</v>
      </c>
      <c r="F291" s="6" t="s">
        <v>2061</v>
      </c>
      <c r="G291" s="6" t="str">
        <f ca="1">IFERROR(__xludf.DUMMYFUNCTION("CONCATENATE(B291,(VLOOKUP(C291,CATALOGOS!$F$2:$H$6,3,FALSE)),(VLOOKUP(T291,CATALOGOS!$J$2:$K$18,2,FALSE)),""-"",TO_TEXT(A291))"),"P02PP-0290")</f>
        <v>P02PP-0290</v>
      </c>
      <c r="H291" s="6" t="s">
        <v>2068</v>
      </c>
      <c r="I291" s="6" t="s">
        <v>2069</v>
      </c>
      <c r="J291" s="6" t="s">
        <v>2070</v>
      </c>
      <c r="K291" s="43" t="s">
        <v>2071</v>
      </c>
      <c r="L291" s="17"/>
      <c r="M291" s="17"/>
      <c r="N291" s="17" t="str">
        <f t="shared" si="1"/>
        <v>OK</v>
      </c>
      <c r="O291" s="17" t="s">
        <v>35</v>
      </c>
      <c r="P291" s="6" t="s">
        <v>35</v>
      </c>
      <c r="Q291" s="17" t="s">
        <v>36</v>
      </c>
      <c r="R291" s="17" t="s">
        <v>2072</v>
      </c>
      <c r="S291" s="173" t="s">
        <v>38</v>
      </c>
      <c r="T291" s="11" t="s">
        <v>1548</v>
      </c>
      <c r="U291" s="20" t="s">
        <v>2052</v>
      </c>
      <c r="V291" s="20" t="s">
        <v>2052</v>
      </c>
    </row>
    <row r="292" spans="1:22" ht="57.75">
      <c r="A292" s="10" t="s">
        <v>2073</v>
      </c>
      <c r="B292" s="10" t="s">
        <v>27</v>
      </c>
      <c r="C292" s="60" t="s">
        <v>1470</v>
      </c>
      <c r="D292" s="12"/>
      <c r="E292" s="13" t="s">
        <v>501</v>
      </c>
      <c r="F292" s="6" t="s">
        <v>2046</v>
      </c>
      <c r="G292" s="6" t="str">
        <f ca="1">IFERROR(__xludf.DUMMYFUNCTION("CONCATENATE(B292,(VLOOKUP(C292,CATALOGOS!$F$2:$H$6,3,FALSE)),(VLOOKUP(T292,CATALOGOS!$J$2:$K$18,2,FALSE)),""-"",TO_TEXT(A292))"),"P02PP-0291")</f>
        <v>P02PP-0291</v>
      </c>
      <c r="H292" s="6" t="s">
        <v>2074</v>
      </c>
      <c r="I292" s="6" t="s">
        <v>2075</v>
      </c>
      <c r="J292" s="6" t="s">
        <v>2076</v>
      </c>
      <c r="K292" s="43" t="s">
        <v>2077</v>
      </c>
      <c r="L292" s="17"/>
      <c r="M292" s="17"/>
      <c r="N292" s="17" t="str">
        <f t="shared" si="1"/>
        <v>OK</v>
      </c>
      <c r="O292" s="17" t="s">
        <v>35</v>
      </c>
      <c r="P292" s="6" t="s">
        <v>35</v>
      </c>
      <c r="Q292" s="17" t="s">
        <v>36</v>
      </c>
      <c r="R292" s="17" t="s">
        <v>2078</v>
      </c>
      <c r="S292" s="173" t="s">
        <v>38</v>
      </c>
      <c r="T292" s="11" t="s">
        <v>1548</v>
      </c>
      <c r="U292" s="20" t="s">
        <v>2052</v>
      </c>
      <c r="V292" s="20" t="s">
        <v>2052</v>
      </c>
    </row>
    <row r="293" spans="1:22" ht="72">
      <c r="A293" s="10" t="s">
        <v>2079</v>
      </c>
      <c r="B293" s="10" t="s">
        <v>27</v>
      </c>
      <c r="C293" s="60" t="s">
        <v>1470</v>
      </c>
      <c r="D293" s="12"/>
      <c r="E293" s="13" t="s">
        <v>2060</v>
      </c>
      <c r="F293" s="6" t="s">
        <v>2061</v>
      </c>
      <c r="G293" s="6" t="str">
        <f ca="1">IFERROR(__xludf.DUMMYFUNCTION("CONCATENATE(B293,(VLOOKUP(C293,CATALOGOS!$F$2:$H$6,3,FALSE)),(VLOOKUP(T293,CATALOGOS!$J$2:$K$18,2,FALSE)),""-"",TO_TEXT(A293))"),"P02PP-0292")</f>
        <v>P02PP-0292</v>
      </c>
      <c r="H293" s="6" t="s">
        <v>2080</v>
      </c>
      <c r="I293" s="6" t="s">
        <v>2081</v>
      </c>
      <c r="J293" s="6" t="s">
        <v>2082</v>
      </c>
      <c r="K293" s="6" t="s">
        <v>2083</v>
      </c>
      <c r="L293" s="17"/>
      <c r="M293" s="17"/>
      <c r="N293" s="17" t="str">
        <f t="shared" si="1"/>
        <v>OK</v>
      </c>
      <c r="O293" s="17" t="s">
        <v>35</v>
      </c>
      <c r="P293" s="6" t="s">
        <v>35</v>
      </c>
      <c r="Q293" s="17" t="s">
        <v>36</v>
      </c>
      <c r="R293" s="17" t="s">
        <v>2084</v>
      </c>
      <c r="S293" s="173" t="s">
        <v>38</v>
      </c>
      <c r="T293" s="11" t="s">
        <v>1548</v>
      </c>
      <c r="U293" s="20" t="s">
        <v>2052</v>
      </c>
      <c r="V293" s="20" t="s">
        <v>2052</v>
      </c>
    </row>
    <row r="294" spans="1:22" ht="72">
      <c r="A294" s="10" t="s">
        <v>2085</v>
      </c>
      <c r="B294" s="10" t="s">
        <v>27</v>
      </c>
      <c r="C294" s="60" t="s">
        <v>1470</v>
      </c>
      <c r="D294" s="12"/>
      <c r="E294" s="13" t="s">
        <v>2060</v>
      </c>
      <c r="F294" s="6" t="s">
        <v>2061</v>
      </c>
      <c r="G294" s="6" t="str">
        <f ca="1">IFERROR(__xludf.DUMMYFUNCTION("CONCATENATE(B294,(VLOOKUP(C294,CATALOGOS!$F$2:$H$6,3,FALSE)),(VLOOKUP(T294,CATALOGOS!$J$2:$K$18,2,FALSE)),""-"",TO_TEXT(A294))"),"P02PP-0293")</f>
        <v>P02PP-0293</v>
      </c>
      <c r="H294" s="6" t="s">
        <v>2086</v>
      </c>
      <c r="I294" s="6" t="s">
        <v>2087</v>
      </c>
      <c r="J294" s="6" t="s">
        <v>2088</v>
      </c>
      <c r="K294" s="6" t="s">
        <v>2089</v>
      </c>
      <c r="L294" s="17"/>
      <c r="M294" s="17"/>
      <c r="N294" s="17" t="str">
        <f t="shared" si="1"/>
        <v>OK</v>
      </c>
      <c r="O294" s="17" t="s">
        <v>35</v>
      </c>
      <c r="P294" s="6" t="s">
        <v>35</v>
      </c>
      <c r="Q294" s="17" t="s">
        <v>36</v>
      </c>
      <c r="R294" s="17" t="s">
        <v>2090</v>
      </c>
      <c r="S294" s="173" t="s">
        <v>38</v>
      </c>
      <c r="T294" s="11" t="s">
        <v>1548</v>
      </c>
      <c r="U294" s="20" t="s">
        <v>2052</v>
      </c>
      <c r="V294" s="20" t="s">
        <v>2052</v>
      </c>
    </row>
    <row r="295" spans="1:22" ht="57.75">
      <c r="A295" s="10" t="s">
        <v>2091</v>
      </c>
      <c r="B295" s="10" t="s">
        <v>27</v>
      </c>
      <c r="C295" s="60" t="s">
        <v>1470</v>
      </c>
      <c r="D295" s="12"/>
      <c r="E295" s="13" t="s">
        <v>501</v>
      </c>
      <c r="F295" s="6" t="s">
        <v>2092</v>
      </c>
      <c r="G295" s="6" t="str">
        <f ca="1">IFERROR(__xludf.DUMMYFUNCTION("CONCATENATE(B295,(VLOOKUP(C295,CATALOGOS!$F$2:$H$6,3,FALSE)),(VLOOKUP(T295,CATALOGOS!$J$2:$K$18,2,FALSE)),""-"",TO_TEXT(A295))"),"P02PP-0294")</f>
        <v>P02PP-0294</v>
      </c>
      <c r="H295" s="6" t="s">
        <v>2093</v>
      </c>
      <c r="I295" s="6" t="s">
        <v>2094</v>
      </c>
      <c r="J295" s="6" t="s">
        <v>2095</v>
      </c>
      <c r="K295" s="6" t="s">
        <v>2096</v>
      </c>
      <c r="L295" s="17"/>
      <c r="M295" s="17"/>
      <c r="N295" s="17" t="str">
        <f t="shared" si="1"/>
        <v>OK</v>
      </c>
      <c r="O295" s="17" t="s">
        <v>35</v>
      </c>
      <c r="P295" s="6" t="s">
        <v>35</v>
      </c>
      <c r="Q295" s="17" t="s">
        <v>36</v>
      </c>
      <c r="R295" s="17" t="s">
        <v>2097</v>
      </c>
      <c r="S295" s="173" t="s">
        <v>38</v>
      </c>
      <c r="T295" s="11" t="s">
        <v>1548</v>
      </c>
      <c r="U295" s="20" t="s">
        <v>2052</v>
      </c>
      <c r="V295" s="20" t="s">
        <v>2052</v>
      </c>
    </row>
    <row r="296" spans="1:22" ht="57.75">
      <c r="A296" s="10" t="s">
        <v>2098</v>
      </c>
      <c r="B296" s="10" t="s">
        <v>27</v>
      </c>
      <c r="C296" s="60" t="s">
        <v>1470</v>
      </c>
      <c r="D296" s="12"/>
      <c r="E296" s="13" t="s">
        <v>501</v>
      </c>
      <c r="F296" s="6" t="s">
        <v>2046</v>
      </c>
      <c r="G296" s="6" t="str">
        <f ca="1">IFERROR(__xludf.DUMMYFUNCTION("CONCATENATE(B296,(VLOOKUP(C296,CATALOGOS!$F$2:$H$6,3,FALSE)),(VLOOKUP(T296,CATALOGOS!$J$2:$K$18,2,FALSE)),""-"",TO_TEXT(A296))"),"P02PP-0295")</f>
        <v>P02PP-0295</v>
      </c>
      <c r="H296" s="6" t="s">
        <v>2099</v>
      </c>
      <c r="I296" s="6" t="s">
        <v>2100</v>
      </c>
      <c r="J296" s="6" t="s">
        <v>2101</v>
      </c>
      <c r="K296" s="6" t="s">
        <v>2102</v>
      </c>
      <c r="L296" s="17"/>
      <c r="M296" s="17"/>
      <c r="N296" s="17" t="str">
        <f t="shared" si="1"/>
        <v>OK</v>
      </c>
      <c r="O296" s="17" t="s">
        <v>35</v>
      </c>
      <c r="P296" s="6" t="s">
        <v>35</v>
      </c>
      <c r="Q296" s="17" t="s">
        <v>36</v>
      </c>
      <c r="R296" s="17" t="s">
        <v>2103</v>
      </c>
      <c r="S296" s="173" t="s">
        <v>38</v>
      </c>
      <c r="T296" s="174" t="s">
        <v>1548</v>
      </c>
      <c r="U296" s="20" t="s">
        <v>2052</v>
      </c>
      <c r="V296" s="20" t="s">
        <v>2052</v>
      </c>
    </row>
    <row r="297" spans="1:22" ht="72">
      <c r="A297" s="10" t="s">
        <v>2104</v>
      </c>
      <c r="B297" s="10" t="s">
        <v>27</v>
      </c>
      <c r="C297" s="60" t="s">
        <v>1470</v>
      </c>
      <c r="D297" s="12"/>
      <c r="E297" s="13" t="s">
        <v>2060</v>
      </c>
      <c r="F297" s="6" t="s">
        <v>2061</v>
      </c>
      <c r="G297" s="6" t="str">
        <f ca="1">IFERROR(__xludf.DUMMYFUNCTION("CONCATENATE(B297,(VLOOKUP(C297,CATALOGOS!$F$2:$H$6,3,FALSE)),(VLOOKUP(T297,CATALOGOS!$J$2:$K$18,2,FALSE)),""-"",TO_TEXT(A297))"),"P02PP-0296")</f>
        <v>P02PP-0296</v>
      </c>
      <c r="H297" s="6" t="s">
        <v>2105</v>
      </c>
      <c r="I297" s="6" t="s">
        <v>2106</v>
      </c>
      <c r="J297" s="6" t="s">
        <v>2107</v>
      </c>
      <c r="K297" s="6" t="s">
        <v>2108</v>
      </c>
      <c r="L297" s="17"/>
      <c r="M297" s="17"/>
      <c r="N297" s="17" t="str">
        <f t="shared" si="1"/>
        <v>OK</v>
      </c>
      <c r="O297" s="17" t="s">
        <v>35</v>
      </c>
      <c r="P297" s="6" t="s">
        <v>35</v>
      </c>
      <c r="Q297" s="17" t="s">
        <v>36</v>
      </c>
      <c r="R297" s="17" t="s">
        <v>2109</v>
      </c>
      <c r="S297" s="173" t="s">
        <v>38</v>
      </c>
      <c r="T297" s="11" t="s">
        <v>1548</v>
      </c>
      <c r="U297" s="20" t="s">
        <v>2052</v>
      </c>
      <c r="V297" s="20" t="s">
        <v>2052</v>
      </c>
    </row>
    <row r="298" spans="1:22" ht="72">
      <c r="A298" s="10" t="s">
        <v>2110</v>
      </c>
      <c r="B298" s="10" t="s">
        <v>27</v>
      </c>
      <c r="C298" s="60" t="s">
        <v>1470</v>
      </c>
      <c r="D298" s="12"/>
      <c r="E298" s="13" t="s">
        <v>2060</v>
      </c>
      <c r="F298" s="6" t="s">
        <v>2061</v>
      </c>
      <c r="G298" s="6" t="str">
        <f ca="1">IFERROR(__xludf.DUMMYFUNCTION("CONCATENATE(B298,(VLOOKUP(C298,CATALOGOS!$F$2:$H$6,3,FALSE)),(VLOOKUP(T298,CATALOGOS!$J$2:$K$18,2,FALSE)),""-"",TO_TEXT(A298))"),"P02PP-0297")</f>
        <v>P02PP-0297</v>
      </c>
      <c r="H298" s="6" t="s">
        <v>2111</v>
      </c>
      <c r="I298" s="6" t="s">
        <v>2112</v>
      </c>
      <c r="J298" s="6" t="s">
        <v>2113</v>
      </c>
      <c r="K298" s="43" t="s">
        <v>2114</v>
      </c>
      <c r="L298" s="17"/>
      <c r="M298" s="17"/>
      <c r="N298" s="17" t="str">
        <f t="shared" si="1"/>
        <v>OK</v>
      </c>
      <c r="O298" s="17" t="s">
        <v>35</v>
      </c>
      <c r="P298" s="6" t="s">
        <v>35</v>
      </c>
      <c r="Q298" s="17" t="s">
        <v>36</v>
      </c>
      <c r="R298" s="17" t="s">
        <v>2115</v>
      </c>
      <c r="S298" s="173" t="s">
        <v>38</v>
      </c>
      <c r="T298" s="11" t="s">
        <v>1548</v>
      </c>
      <c r="U298" s="20" t="s">
        <v>2052</v>
      </c>
      <c r="V298" s="20" t="s">
        <v>2052</v>
      </c>
    </row>
    <row r="299" spans="1:22" ht="57.75">
      <c r="A299" s="10" t="s">
        <v>2116</v>
      </c>
      <c r="B299" s="10" t="s">
        <v>27</v>
      </c>
      <c r="C299" s="60" t="s">
        <v>1470</v>
      </c>
      <c r="D299" s="12"/>
      <c r="E299" s="13" t="s">
        <v>501</v>
      </c>
      <c r="F299" s="6" t="s">
        <v>2092</v>
      </c>
      <c r="G299" s="6" t="str">
        <f ca="1">IFERROR(__xludf.DUMMYFUNCTION("CONCATENATE(B299,(VLOOKUP(C299,CATALOGOS!$F$2:$H$6,3,FALSE)),(VLOOKUP(T299,CATALOGOS!$J$2:$K$18,2,FALSE)),""-"",TO_TEXT(A299))"),"P02PP-0298")</f>
        <v>P02PP-0298</v>
      </c>
      <c r="H299" s="6" t="s">
        <v>2117</v>
      </c>
      <c r="I299" s="6" t="s">
        <v>2118</v>
      </c>
      <c r="J299" s="6" t="s">
        <v>2119</v>
      </c>
      <c r="K299" s="6" t="s">
        <v>2120</v>
      </c>
      <c r="L299" s="17"/>
      <c r="M299" s="17"/>
      <c r="N299" s="17" t="str">
        <f t="shared" si="1"/>
        <v>OK</v>
      </c>
      <c r="O299" s="17" t="s">
        <v>35</v>
      </c>
      <c r="P299" s="6" t="s">
        <v>35</v>
      </c>
      <c r="Q299" s="17" t="s">
        <v>36</v>
      </c>
      <c r="R299" s="17" t="s">
        <v>2121</v>
      </c>
      <c r="S299" s="173" t="s">
        <v>38</v>
      </c>
      <c r="T299" s="11" t="s">
        <v>1548</v>
      </c>
      <c r="U299" s="20" t="s">
        <v>2052</v>
      </c>
      <c r="V299" s="20" t="s">
        <v>2052</v>
      </c>
    </row>
    <row r="300" spans="1:22" ht="72">
      <c r="A300" s="10" t="s">
        <v>2122</v>
      </c>
      <c r="B300" s="10" t="s">
        <v>27</v>
      </c>
      <c r="C300" s="60" t="s">
        <v>1470</v>
      </c>
      <c r="D300" s="12"/>
      <c r="E300" s="13" t="s">
        <v>2060</v>
      </c>
      <c r="F300" s="6" t="s">
        <v>2061</v>
      </c>
      <c r="G300" s="6" t="str">
        <f ca="1">IFERROR(__xludf.DUMMYFUNCTION("CONCATENATE(B300,(VLOOKUP(C300,CATALOGOS!$F$2:$H$6,3,FALSE)),(VLOOKUP(T300,CATALOGOS!$J$2:$K$18,2,FALSE)),""-"",TO_TEXT(A300))"),"P02PP-0299")</f>
        <v>P02PP-0299</v>
      </c>
      <c r="H300" s="6" t="s">
        <v>2123</v>
      </c>
      <c r="I300" s="6" t="s">
        <v>2124</v>
      </c>
      <c r="J300" s="6" t="s">
        <v>2125</v>
      </c>
      <c r="K300" s="6" t="s">
        <v>2126</v>
      </c>
      <c r="L300" s="17"/>
      <c r="M300" s="17"/>
      <c r="N300" s="17" t="str">
        <f t="shared" si="1"/>
        <v>OK</v>
      </c>
      <c r="O300" s="17" t="s">
        <v>35</v>
      </c>
      <c r="P300" s="6" t="s">
        <v>35</v>
      </c>
      <c r="Q300" s="17" t="s">
        <v>36</v>
      </c>
      <c r="R300" s="17" t="s">
        <v>2127</v>
      </c>
      <c r="S300" s="173" t="s">
        <v>38</v>
      </c>
      <c r="T300" s="11" t="s">
        <v>1548</v>
      </c>
      <c r="U300" s="20" t="s">
        <v>2052</v>
      </c>
      <c r="V300" s="20" t="s">
        <v>2052</v>
      </c>
    </row>
    <row r="301" spans="1:22" ht="57.75">
      <c r="A301" s="10" t="s">
        <v>2128</v>
      </c>
      <c r="B301" s="10" t="s">
        <v>27</v>
      </c>
      <c r="C301" s="60" t="s">
        <v>1470</v>
      </c>
      <c r="D301" s="12"/>
      <c r="E301" s="13" t="s">
        <v>501</v>
      </c>
      <c r="F301" s="6" t="s">
        <v>2046</v>
      </c>
      <c r="G301" s="6" t="str">
        <f ca="1">IFERROR(__xludf.DUMMYFUNCTION("CONCATENATE(B301,(VLOOKUP(C301,CATALOGOS!$F$2:$H$6,3,FALSE)),(VLOOKUP(T301,CATALOGOS!$J$2:$K$18,2,FALSE)),""-"",TO_TEXT(A301))"),"P02PP-0300")</f>
        <v>P02PP-0300</v>
      </c>
      <c r="H301" s="6" t="s">
        <v>2129</v>
      </c>
      <c r="I301" s="6" t="s">
        <v>2130</v>
      </c>
      <c r="J301" s="6" t="s">
        <v>2131</v>
      </c>
      <c r="K301" s="6" t="s">
        <v>2132</v>
      </c>
      <c r="L301" s="17"/>
      <c r="M301" s="17"/>
      <c r="N301" s="17" t="str">
        <f t="shared" si="1"/>
        <v>OK</v>
      </c>
      <c r="O301" s="17" t="s">
        <v>35</v>
      </c>
      <c r="P301" s="6" t="s">
        <v>35</v>
      </c>
      <c r="Q301" s="17" t="s">
        <v>36</v>
      </c>
      <c r="R301" s="17" t="s">
        <v>2133</v>
      </c>
      <c r="S301" s="173" t="s">
        <v>38</v>
      </c>
      <c r="T301" s="11" t="s">
        <v>1548</v>
      </c>
      <c r="U301" s="20" t="s">
        <v>2052</v>
      </c>
      <c r="V301" s="20" t="s">
        <v>2052</v>
      </c>
    </row>
    <row r="302" spans="1:22" ht="57.75">
      <c r="A302" s="10" t="s">
        <v>2134</v>
      </c>
      <c r="B302" s="10" t="s">
        <v>27</v>
      </c>
      <c r="C302" s="60" t="s">
        <v>1470</v>
      </c>
      <c r="D302" s="12"/>
      <c r="E302" s="13" t="s">
        <v>501</v>
      </c>
      <c r="F302" s="6" t="s">
        <v>2046</v>
      </c>
      <c r="G302" s="6" t="str">
        <f ca="1">IFERROR(__xludf.DUMMYFUNCTION("CONCATENATE(B302,(VLOOKUP(C302,CATALOGOS!$F$2:$H$6,3,FALSE)),(VLOOKUP(T302,CATALOGOS!$J$2:$K$18,2,FALSE)),""-"",TO_TEXT(A302))"),"P02PP-0301")</f>
        <v>P02PP-0301</v>
      </c>
      <c r="H302" s="6" t="s">
        <v>2135</v>
      </c>
      <c r="I302" s="6" t="s">
        <v>2136</v>
      </c>
      <c r="J302" s="6" t="s">
        <v>2137</v>
      </c>
      <c r="K302" s="6" t="s">
        <v>2138</v>
      </c>
      <c r="L302" s="17"/>
      <c r="M302" s="17"/>
      <c r="N302" s="17" t="str">
        <f t="shared" si="1"/>
        <v>OK</v>
      </c>
      <c r="O302" s="17" t="s">
        <v>35</v>
      </c>
      <c r="P302" s="6" t="s">
        <v>35</v>
      </c>
      <c r="Q302" s="17" t="s">
        <v>36</v>
      </c>
      <c r="R302" s="17" t="s">
        <v>2139</v>
      </c>
      <c r="S302" s="173" t="s">
        <v>38</v>
      </c>
      <c r="T302" s="11" t="s">
        <v>1548</v>
      </c>
      <c r="U302" s="20" t="s">
        <v>2052</v>
      </c>
      <c r="V302" s="20" t="s">
        <v>2052</v>
      </c>
    </row>
    <row r="303" spans="1:22" ht="72">
      <c r="A303" s="10" t="s">
        <v>2140</v>
      </c>
      <c r="B303" s="10" t="s">
        <v>27</v>
      </c>
      <c r="C303" s="60" t="s">
        <v>1470</v>
      </c>
      <c r="D303" s="12"/>
      <c r="E303" s="13" t="s">
        <v>2060</v>
      </c>
      <c r="F303" s="6" t="s">
        <v>2061</v>
      </c>
      <c r="G303" s="6" t="str">
        <f ca="1">IFERROR(__xludf.DUMMYFUNCTION("CONCATENATE(B303,(VLOOKUP(C303,CATALOGOS!$F$2:$H$6,3,FALSE)),(VLOOKUP(T303,CATALOGOS!$J$2:$K$18,2,FALSE)),""-"",TO_TEXT(A303))"),"P02PP-0302")</f>
        <v>P02PP-0302</v>
      </c>
      <c r="H303" s="6" t="s">
        <v>2141</v>
      </c>
      <c r="I303" s="6" t="s">
        <v>2142</v>
      </c>
      <c r="J303" s="6" t="s">
        <v>2143</v>
      </c>
      <c r="K303" s="6" t="s">
        <v>2144</v>
      </c>
      <c r="L303" s="17"/>
      <c r="M303" s="17"/>
      <c r="N303" s="17" t="str">
        <f t="shared" si="1"/>
        <v>OK</v>
      </c>
      <c r="O303" s="17" t="s">
        <v>35</v>
      </c>
      <c r="P303" s="6" t="s">
        <v>35</v>
      </c>
      <c r="Q303" s="17" t="s">
        <v>36</v>
      </c>
      <c r="R303" s="17" t="s">
        <v>2145</v>
      </c>
      <c r="S303" s="173" t="s">
        <v>38</v>
      </c>
      <c r="T303" s="11" t="s">
        <v>1548</v>
      </c>
      <c r="U303" s="20" t="s">
        <v>2052</v>
      </c>
      <c r="V303" s="20" t="s">
        <v>2052</v>
      </c>
    </row>
    <row r="304" spans="1:22" ht="72">
      <c r="A304" s="10" t="s">
        <v>2146</v>
      </c>
      <c r="B304" s="10" t="s">
        <v>27</v>
      </c>
      <c r="C304" s="60" t="s">
        <v>1470</v>
      </c>
      <c r="D304" s="12"/>
      <c r="E304" s="13" t="s">
        <v>2060</v>
      </c>
      <c r="F304" s="6" t="s">
        <v>2061</v>
      </c>
      <c r="G304" s="6" t="str">
        <f ca="1">IFERROR(__xludf.DUMMYFUNCTION("CONCATENATE(B304,(VLOOKUP(C304,CATALOGOS!$F$2:$H$6,3,FALSE)),(VLOOKUP(T304,CATALOGOS!$J$2:$K$18,2,FALSE)),""-"",TO_TEXT(A304))"),"P02PP-0303")</f>
        <v>P02PP-0303</v>
      </c>
      <c r="H304" s="6" t="s">
        <v>2147</v>
      </c>
      <c r="I304" s="6" t="s">
        <v>2148</v>
      </c>
      <c r="J304" s="6" t="s">
        <v>2149</v>
      </c>
      <c r="K304" s="6" t="s">
        <v>2150</v>
      </c>
      <c r="L304" s="17"/>
      <c r="M304" s="17"/>
      <c r="N304" s="17" t="str">
        <f t="shared" si="1"/>
        <v>OK</v>
      </c>
      <c r="O304" s="17" t="s">
        <v>35</v>
      </c>
      <c r="P304" s="6" t="s">
        <v>35</v>
      </c>
      <c r="Q304" s="17" t="s">
        <v>36</v>
      </c>
      <c r="R304" s="17" t="s">
        <v>2151</v>
      </c>
      <c r="S304" s="173" t="s">
        <v>38</v>
      </c>
      <c r="T304" s="11" t="s">
        <v>1548</v>
      </c>
      <c r="U304" s="20" t="s">
        <v>2052</v>
      </c>
      <c r="V304" s="20" t="s">
        <v>2052</v>
      </c>
    </row>
    <row r="305" spans="1:22" ht="57.75">
      <c r="A305" s="10" t="s">
        <v>2152</v>
      </c>
      <c r="B305" s="10" t="s">
        <v>27</v>
      </c>
      <c r="C305" s="60" t="s">
        <v>1470</v>
      </c>
      <c r="D305" s="12"/>
      <c r="E305" s="13" t="s">
        <v>501</v>
      </c>
      <c r="F305" s="6" t="s">
        <v>2046</v>
      </c>
      <c r="G305" s="6" t="str">
        <f ca="1">IFERROR(__xludf.DUMMYFUNCTION("CONCATENATE(B305,(VLOOKUP(C305,CATALOGOS!$F$2:$H$6,3,FALSE)),(VLOOKUP(T305,CATALOGOS!$J$2:$K$18,2,FALSE)),""-"",TO_TEXT(A305))"),"P02PP-0304")</f>
        <v>P02PP-0304</v>
      </c>
      <c r="H305" s="6" t="s">
        <v>2153</v>
      </c>
      <c r="I305" s="6" t="s">
        <v>2154</v>
      </c>
      <c r="J305" s="6" t="s">
        <v>2155</v>
      </c>
      <c r="K305" s="6" t="s">
        <v>2156</v>
      </c>
      <c r="L305" s="17"/>
      <c r="M305" s="17"/>
      <c r="N305" s="17" t="str">
        <f t="shared" si="1"/>
        <v>OK</v>
      </c>
      <c r="O305" s="17" t="s">
        <v>35</v>
      </c>
      <c r="P305" s="6" t="s">
        <v>35</v>
      </c>
      <c r="Q305" s="17" t="s">
        <v>36</v>
      </c>
      <c r="R305" s="17" t="s">
        <v>2157</v>
      </c>
      <c r="S305" s="173" t="s">
        <v>38</v>
      </c>
      <c r="T305" s="11" t="s">
        <v>1548</v>
      </c>
      <c r="U305" s="20" t="s">
        <v>2052</v>
      </c>
      <c r="V305" s="20" t="s">
        <v>2052</v>
      </c>
    </row>
    <row r="306" spans="1:22" ht="72">
      <c r="A306" s="10" t="s">
        <v>2158</v>
      </c>
      <c r="B306" s="10" t="s">
        <v>27</v>
      </c>
      <c r="C306" s="60" t="s">
        <v>1470</v>
      </c>
      <c r="D306" s="12"/>
      <c r="E306" s="13" t="s">
        <v>2060</v>
      </c>
      <c r="F306" s="6" t="s">
        <v>2061</v>
      </c>
      <c r="G306" s="6" t="str">
        <f ca="1">IFERROR(__xludf.DUMMYFUNCTION("CONCATENATE(B306,(VLOOKUP(C306,CATALOGOS!$F$2:$H$6,3,FALSE)),(VLOOKUP(T306,CATALOGOS!$J$2:$K$18,2,FALSE)),""-"",TO_TEXT(A306))"),"P02PP-0305")</f>
        <v>P02PP-0305</v>
      </c>
      <c r="H306" s="6" t="s">
        <v>2159</v>
      </c>
      <c r="I306" s="6" t="s">
        <v>2160</v>
      </c>
      <c r="J306" s="6" t="s">
        <v>2161</v>
      </c>
      <c r="K306" s="6" t="s">
        <v>2162</v>
      </c>
      <c r="L306" s="17"/>
      <c r="M306" s="17"/>
      <c r="N306" s="17" t="str">
        <f t="shared" si="1"/>
        <v>OK</v>
      </c>
      <c r="O306" s="17" t="s">
        <v>35</v>
      </c>
      <c r="P306" s="6" t="s">
        <v>35</v>
      </c>
      <c r="Q306" s="17" t="s">
        <v>36</v>
      </c>
      <c r="R306" s="17" t="s">
        <v>2163</v>
      </c>
      <c r="S306" s="173" t="s">
        <v>38</v>
      </c>
      <c r="T306" s="11" t="s">
        <v>1548</v>
      </c>
      <c r="U306" s="20" t="s">
        <v>2052</v>
      </c>
      <c r="V306" s="20" t="s">
        <v>2052</v>
      </c>
    </row>
    <row r="307" spans="1:22" ht="72">
      <c r="A307" s="10" t="s">
        <v>2164</v>
      </c>
      <c r="B307" s="10" t="s">
        <v>27</v>
      </c>
      <c r="C307" s="60" t="s">
        <v>1470</v>
      </c>
      <c r="D307" s="12"/>
      <c r="E307" s="13" t="s">
        <v>2060</v>
      </c>
      <c r="F307" s="6" t="s">
        <v>2061</v>
      </c>
      <c r="G307" s="6" t="str">
        <f ca="1">IFERROR(__xludf.DUMMYFUNCTION("CONCATENATE(B307,(VLOOKUP(C307,CATALOGOS!$F$2:$H$6,3,FALSE)),(VLOOKUP(T307,CATALOGOS!$J$2:$K$18,2,FALSE)),""-"",TO_TEXT(A307))"),"P02PP-0306")</f>
        <v>P02PP-0306</v>
      </c>
      <c r="H307" s="6" t="s">
        <v>2165</v>
      </c>
      <c r="I307" s="6" t="s">
        <v>2166</v>
      </c>
      <c r="J307" s="6" t="s">
        <v>2167</v>
      </c>
      <c r="K307" s="6" t="s">
        <v>2168</v>
      </c>
      <c r="L307" s="17"/>
      <c r="M307" s="17"/>
      <c r="N307" s="17" t="str">
        <f t="shared" si="1"/>
        <v>OK</v>
      </c>
      <c r="O307" s="17" t="s">
        <v>35</v>
      </c>
      <c r="P307" s="6" t="s">
        <v>35</v>
      </c>
      <c r="Q307" s="17" t="s">
        <v>36</v>
      </c>
      <c r="R307" s="17" t="s">
        <v>2169</v>
      </c>
      <c r="S307" s="173" t="s">
        <v>38</v>
      </c>
      <c r="T307" s="11" t="s">
        <v>1548</v>
      </c>
      <c r="U307" s="20" t="s">
        <v>2052</v>
      </c>
      <c r="V307" s="20" t="s">
        <v>2052</v>
      </c>
    </row>
    <row r="308" spans="1:22" ht="57.75">
      <c r="A308" s="10" t="s">
        <v>2170</v>
      </c>
      <c r="B308" s="10" t="s">
        <v>27</v>
      </c>
      <c r="C308" s="60" t="s">
        <v>1470</v>
      </c>
      <c r="D308" s="12"/>
      <c r="E308" s="13" t="s">
        <v>501</v>
      </c>
      <c r="F308" s="6" t="s">
        <v>2046</v>
      </c>
      <c r="G308" s="6" t="str">
        <f ca="1">IFERROR(__xludf.DUMMYFUNCTION("CONCATENATE(B308,(VLOOKUP(C308,CATALOGOS!$F$2:$H$6,3,FALSE)),(VLOOKUP(T308,CATALOGOS!$J$2:$K$18,2,FALSE)),""-"",TO_TEXT(A308))"),"P02PP-0307")</f>
        <v>P02PP-0307</v>
      </c>
      <c r="H308" s="6" t="s">
        <v>2171</v>
      </c>
      <c r="I308" s="6" t="s">
        <v>2172</v>
      </c>
      <c r="J308" s="6" t="s">
        <v>2173</v>
      </c>
      <c r="K308" s="6" t="s">
        <v>2174</v>
      </c>
      <c r="L308" s="17"/>
      <c r="M308" s="17"/>
      <c r="N308" s="17" t="str">
        <f t="shared" si="1"/>
        <v>OK</v>
      </c>
      <c r="O308" s="17" t="s">
        <v>35</v>
      </c>
      <c r="P308" s="6" t="s">
        <v>35</v>
      </c>
      <c r="Q308" s="17" t="s">
        <v>36</v>
      </c>
      <c r="R308" s="17" t="s">
        <v>2175</v>
      </c>
      <c r="S308" s="173" t="s">
        <v>38</v>
      </c>
      <c r="T308" s="11" t="s">
        <v>1548</v>
      </c>
      <c r="U308" s="20" t="s">
        <v>2052</v>
      </c>
      <c r="V308" s="20" t="s">
        <v>2052</v>
      </c>
    </row>
    <row r="309" spans="1:22" ht="72">
      <c r="A309" s="10" t="s">
        <v>2176</v>
      </c>
      <c r="B309" s="10" t="s">
        <v>27</v>
      </c>
      <c r="C309" s="60" t="s">
        <v>1470</v>
      </c>
      <c r="D309" s="12"/>
      <c r="E309" s="13" t="s">
        <v>2060</v>
      </c>
      <c r="F309" s="6" t="s">
        <v>2061</v>
      </c>
      <c r="G309" s="6" t="str">
        <f ca="1">IFERROR(__xludf.DUMMYFUNCTION("CONCATENATE(B309,(VLOOKUP(C309,CATALOGOS!$F$2:$H$6,3,FALSE)),(VLOOKUP(T309,CATALOGOS!$J$2:$K$18,2,FALSE)),""-"",TO_TEXT(A309))"),"P02PP-0308")</f>
        <v>P02PP-0308</v>
      </c>
      <c r="H309" s="6" t="s">
        <v>2177</v>
      </c>
      <c r="I309" s="6" t="s">
        <v>2178</v>
      </c>
      <c r="J309" s="6" t="s">
        <v>2179</v>
      </c>
      <c r="K309" s="6" t="s">
        <v>2180</v>
      </c>
      <c r="L309" s="17"/>
      <c r="M309" s="17"/>
      <c r="N309" s="17" t="str">
        <f t="shared" si="1"/>
        <v>OK</v>
      </c>
      <c r="O309" s="17" t="s">
        <v>35</v>
      </c>
      <c r="P309" s="6" t="s">
        <v>35</v>
      </c>
      <c r="Q309" s="17" t="s">
        <v>36</v>
      </c>
      <c r="R309" s="17" t="s">
        <v>2181</v>
      </c>
      <c r="S309" s="173" t="s">
        <v>38</v>
      </c>
      <c r="T309" s="11" t="s">
        <v>1548</v>
      </c>
      <c r="U309" s="20" t="s">
        <v>2052</v>
      </c>
      <c r="V309" s="20" t="s">
        <v>2052</v>
      </c>
    </row>
    <row r="310" spans="1:22" ht="72">
      <c r="A310" s="10" t="s">
        <v>2182</v>
      </c>
      <c r="B310" s="10" t="s">
        <v>27</v>
      </c>
      <c r="C310" s="60" t="s">
        <v>1470</v>
      </c>
      <c r="D310" s="12"/>
      <c r="E310" s="13" t="s">
        <v>2060</v>
      </c>
      <c r="F310" s="6" t="s">
        <v>2061</v>
      </c>
      <c r="G310" s="6" t="str">
        <f ca="1">IFERROR(__xludf.DUMMYFUNCTION("CONCATENATE(B310,(VLOOKUP(C310,CATALOGOS!$F$2:$H$6,3,FALSE)),(VLOOKUP(T310,CATALOGOS!$J$2:$K$18,2,FALSE)),""-"",TO_TEXT(A310))"),"P02PP-0309")</f>
        <v>P02PP-0309</v>
      </c>
      <c r="H310" s="6" t="s">
        <v>2183</v>
      </c>
      <c r="I310" s="6" t="s">
        <v>2184</v>
      </c>
      <c r="J310" s="6" t="s">
        <v>2185</v>
      </c>
      <c r="K310" s="6" t="s">
        <v>2186</v>
      </c>
      <c r="L310" s="17"/>
      <c r="M310" s="17"/>
      <c r="N310" s="17" t="str">
        <f t="shared" si="1"/>
        <v>OK</v>
      </c>
      <c r="O310" s="17" t="s">
        <v>35</v>
      </c>
      <c r="P310" s="6" t="s">
        <v>35</v>
      </c>
      <c r="Q310" s="17" t="s">
        <v>36</v>
      </c>
      <c r="R310" s="17" t="s">
        <v>2187</v>
      </c>
      <c r="S310" s="173" t="s">
        <v>38</v>
      </c>
      <c r="T310" s="11" t="s">
        <v>1548</v>
      </c>
      <c r="U310" s="20" t="s">
        <v>2052</v>
      </c>
      <c r="V310" s="20" t="s">
        <v>2052</v>
      </c>
    </row>
    <row r="311" spans="1:22" ht="57.75">
      <c r="A311" s="10" t="s">
        <v>2188</v>
      </c>
      <c r="B311" s="10" t="s">
        <v>27</v>
      </c>
      <c r="C311" s="60" t="s">
        <v>1470</v>
      </c>
      <c r="D311" s="12"/>
      <c r="E311" s="13" t="s">
        <v>501</v>
      </c>
      <c r="F311" s="6" t="s">
        <v>2046</v>
      </c>
      <c r="G311" s="6" t="str">
        <f ca="1">IFERROR(__xludf.DUMMYFUNCTION("CONCATENATE(B311,(VLOOKUP(C311,CATALOGOS!$F$2:$H$6,3,FALSE)),(VLOOKUP(T311,CATALOGOS!$J$2:$K$18,2,FALSE)),""-"",TO_TEXT(A311))"),"P02PP-0310")</f>
        <v>P02PP-0310</v>
      </c>
      <c r="H311" s="6" t="s">
        <v>2189</v>
      </c>
      <c r="I311" s="6" t="s">
        <v>2190</v>
      </c>
      <c r="J311" s="6" t="s">
        <v>2191</v>
      </c>
      <c r="K311" s="6" t="s">
        <v>2192</v>
      </c>
      <c r="L311" s="17"/>
      <c r="M311" s="17"/>
      <c r="N311" s="17" t="str">
        <f t="shared" si="1"/>
        <v>OK</v>
      </c>
      <c r="O311" s="17" t="s">
        <v>35</v>
      </c>
      <c r="P311" s="6" t="s">
        <v>35</v>
      </c>
      <c r="Q311" s="17" t="s">
        <v>36</v>
      </c>
      <c r="R311" s="17" t="s">
        <v>2193</v>
      </c>
      <c r="S311" s="173" t="s">
        <v>38</v>
      </c>
      <c r="T311" s="11" t="s">
        <v>1548</v>
      </c>
      <c r="U311" s="20" t="s">
        <v>2052</v>
      </c>
      <c r="V311" s="20" t="s">
        <v>2052</v>
      </c>
    </row>
    <row r="312" spans="1:22" ht="72">
      <c r="A312" s="10" t="s">
        <v>2194</v>
      </c>
      <c r="B312" s="10" t="s">
        <v>27</v>
      </c>
      <c r="C312" s="60" t="s">
        <v>1470</v>
      </c>
      <c r="D312" s="12"/>
      <c r="E312" s="13" t="s">
        <v>2060</v>
      </c>
      <c r="F312" s="6" t="s">
        <v>2061</v>
      </c>
      <c r="G312" s="6" t="str">
        <f ca="1">IFERROR(__xludf.DUMMYFUNCTION("CONCATENATE(B312,(VLOOKUP(C312,CATALOGOS!$F$2:$H$6,3,FALSE)),(VLOOKUP(T312,CATALOGOS!$J$2:$K$18,2,FALSE)),""-"",TO_TEXT(A312))"),"P02PP-0311")</f>
        <v>P02PP-0311</v>
      </c>
      <c r="H312" s="6" t="s">
        <v>2195</v>
      </c>
      <c r="I312" s="6" t="s">
        <v>2196</v>
      </c>
      <c r="J312" s="6" t="s">
        <v>2197</v>
      </c>
      <c r="K312" s="6" t="s">
        <v>2198</v>
      </c>
      <c r="L312" s="17"/>
      <c r="M312" s="17"/>
      <c r="N312" s="17" t="str">
        <f t="shared" si="1"/>
        <v>OK</v>
      </c>
      <c r="O312" s="17" t="s">
        <v>35</v>
      </c>
      <c r="P312" s="6" t="s">
        <v>35</v>
      </c>
      <c r="Q312" s="17" t="s">
        <v>36</v>
      </c>
      <c r="R312" s="17" t="s">
        <v>2199</v>
      </c>
      <c r="S312" s="173" t="s">
        <v>38</v>
      </c>
      <c r="T312" s="11" t="s">
        <v>1548</v>
      </c>
      <c r="U312" s="20" t="s">
        <v>2052</v>
      </c>
      <c r="V312" s="20" t="s">
        <v>2052</v>
      </c>
    </row>
    <row r="313" spans="1:22" ht="43.5">
      <c r="A313" s="10" t="s">
        <v>2200</v>
      </c>
      <c r="B313" s="10" t="s">
        <v>27</v>
      </c>
      <c r="C313" s="60" t="s">
        <v>1470</v>
      </c>
      <c r="D313" s="12"/>
      <c r="E313" s="13" t="s">
        <v>378</v>
      </c>
      <c r="F313" s="6" t="s">
        <v>2201</v>
      </c>
      <c r="G313" s="6" t="str">
        <f ca="1">IFERROR(__xludf.DUMMYFUNCTION("CONCATENATE(B313,(VLOOKUP(C313,CATALOGOS!$F$2:$H$6,3,FALSE)),(VLOOKUP(T313,CATALOGOS!$J$2:$K$18,2,FALSE)),""-"",TO_TEXT(A313))"),"P02PP-0312")</f>
        <v>P02PP-0312</v>
      </c>
      <c r="H313" s="6" t="s">
        <v>2202</v>
      </c>
      <c r="I313" s="6" t="s">
        <v>2203</v>
      </c>
      <c r="J313" s="6" t="s">
        <v>2204</v>
      </c>
      <c r="K313" s="6" t="s">
        <v>2205</v>
      </c>
      <c r="L313" s="17"/>
      <c r="M313" s="17"/>
      <c r="N313" s="17" t="str">
        <f t="shared" si="1"/>
        <v>OK</v>
      </c>
      <c r="O313" s="17" t="s">
        <v>35</v>
      </c>
      <c r="P313" s="6" t="s">
        <v>35</v>
      </c>
      <c r="Q313" s="17" t="s">
        <v>36</v>
      </c>
      <c r="R313" s="17" t="s">
        <v>2206</v>
      </c>
      <c r="S313" s="173" t="s">
        <v>38</v>
      </c>
      <c r="T313" s="11" t="s">
        <v>1548</v>
      </c>
      <c r="U313" s="20" t="s">
        <v>2052</v>
      </c>
      <c r="V313" s="20" t="s">
        <v>2052</v>
      </c>
    </row>
    <row r="314" spans="1:22" ht="72">
      <c r="A314" s="10" t="s">
        <v>2207</v>
      </c>
      <c r="B314" s="10" t="s">
        <v>27</v>
      </c>
      <c r="C314" s="60" t="s">
        <v>1470</v>
      </c>
      <c r="D314" s="12"/>
      <c r="E314" s="13" t="s">
        <v>62</v>
      </c>
      <c r="F314" s="6" t="s">
        <v>2208</v>
      </c>
      <c r="G314" s="6" t="str">
        <f ca="1">IFERROR(__xludf.DUMMYFUNCTION("CONCATENATE(B314,(VLOOKUP(C314,CATALOGOS!$F$2:$H$6,3,FALSE)),(VLOOKUP(T314,CATALOGOS!$J$2:$K$18,2,FALSE)),""-"",TO_TEXT(A314))"),"P02PP-0313")</f>
        <v>P02PP-0313</v>
      </c>
      <c r="H314" s="6" t="s">
        <v>2209</v>
      </c>
      <c r="I314" s="6" t="s">
        <v>2210</v>
      </c>
      <c r="J314" s="6" t="s">
        <v>2211</v>
      </c>
      <c r="K314" s="6" t="s">
        <v>2212</v>
      </c>
      <c r="L314" s="17"/>
      <c r="M314" s="17"/>
      <c r="N314" s="17" t="str">
        <f t="shared" si="1"/>
        <v>OK</v>
      </c>
      <c r="O314" s="17" t="s">
        <v>35</v>
      </c>
      <c r="P314" s="6" t="s">
        <v>35</v>
      </c>
      <c r="Q314" s="17" t="s">
        <v>36</v>
      </c>
      <c r="R314" s="17" t="s">
        <v>2213</v>
      </c>
      <c r="S314" s="173" t="s">
        <v>38</v>
      </c>
      <c r="T314" s="11" t="s">
        <v>1548</v>
      </c>
      <c r="U314" s="20" t="s">
        <v>2052</v>
      </c>
      <c r="V314" s="20" t="s">
        <v>2052</v>
      </c>
    </row>
    <row r="315" spans="1:22" ht="72">
      <c r="A315" s="10" t="s">
        <v>2214</v>
      </c>
      <c r="B315" s="10" t="s">
        <v>27</v>
      </c>
      <c r="C315" s="60" t="s">
        <v>1470</v>
      </c>
      <c r="D315" s="12"/>
      <c r="E315" s="13" t="s">
        <v>93</v>
      </c>
      <c r="F315" s="6" t="s">
        <v>2215</v>
      </c>
      <c r="G315" s="6" t="str">
        <f ca="1">IFERROR(__xludf.DUMMYFUNCTION("CONCATENATE(B315,(VLOOKUP(C315,CATALOGOS!$F$2:$H$6,3,FALSE)),(VLOOKUP(T315,CATALOGOS!$J$2:$K$18,2,FALSE)),""-"",TO_TEXT(A315))"),"P02PP-0314")</f>
        <v>P02PP-0314</v>
      </c>
      <c r="H315" s="6" t="s">
        <v>2216</v>
      </c>
      <c r="I315" s="6" t="s">
        <v>2217</v>
      </c>
      <c r="J315" s="6" t="s">
        <v>2218</v>
      </c>
      <c r="K315" s="6" t="s">
        <v>2219</v>
      </c>
      <c r="L315" s="17"/>
      <c r="M315" s="17"/>
      <c r="N315" s="17" t="str">
        <f t="shared" si="1"/>
        <v>OK</v>
      </c>
      <c r="O315" s="17" t="s">
        <v>35</v>
      </c>
      <c r="P315" s="6" t="s">
        <v>35</v>
      </c>
      <c r="Q315" s="17" t="s">
        <v>36</v>
      </c>
      <c r="R315" s="17" t="s">
        <v>2220</v>
      </c>
      <c r="S315" s="173" t="s">
        <v>38</v>
      </c>
      <c r="T315" s="11" t="s">
        <v>1548</v>
      </c>
      <c r="U315" s="20" t="s">
        <v>2052</v>
      </c>
      <c r="V315" s="20" t="s">
        <v>2052</v>
      </c>
    </row>
    <row r="316" spans="1:22" ht="72">
      <c r="A316" s="10" t="s">
        <v>2221</v>
      </c>
      <c r="B316" s="10" t="s">
        <v>27</v>
      </c>
      <c r="C316" s="60" t="s">
        <v>1470</v>
      </c>
      <c r="D316" s="12"/>
      <c r="E316" s="13" t="s">
        <v>93</v>
      </c>
      <c r="F316" s="6" t="s">
        <v>2222</v>
      </c>
      <c r="G316" s="6" t="str">
        <f ca="1">IFERROR(__xludf.DUMMYFUNCTION("CONCATENATE(B316,(VLOOKUP(C316,CATALOGOS!$F$2:$H$6,3,FALSE)),(VLOOKUP(T316,CATALOGOS!$J$2:$K$18,2,FALSE)),""-"",TO_TEXT(A316))"),"P02PP-0315")</f>
        <v>P02PP-0315</v>
      </c>
      <c r="H316" s="6" t="s">
        <v>2223</v>
      </c>
      <c r="I316" s="6" t="s">
        <v>2224</v>
      </c>
      <c r="J316" s="6" t="s">
        <v>2225</v>
      </c>
      <c r="K316" s="6" t="s">
        <v>2226</v>
      </c>
      <c r="L316" s="17"/>
      <c r="M316" s="17"/>
      <c r="N316" s="17" t="str">
        <f t="shared" si="1"/>
        <v>OK</v>
      </c>
      <c r="O316" s="17" t="s">
        <v>35</v>
      </c>
      <c r="P316" s="6" t="s">
        <v>35</v>
      </c>
      <c r="Q316" s="17" t="s">
        <v>36</v>
      </c>
      <c r="R316" s="17" t="s">
        <v>2227</v>
      </c>
      <c r="S316" s="173" t="s">
        <v>38</v>
      </c>
      <c r="T316" s="11" t="s">
        <v>1548</v>
      </c>
      <c r="U316" s="20" t="s">
        <v>2052</v>
      </c>
      <c r="V316" s="20" t="s">
        <v>2052</v>
      </c>
    </row>
    <row r="317" spans="1:22" ht="72">
      <c r="A317" s="10" t="s">
        <v>2228</v>
      </c>
      <c r="B317" s="10" t="s">
        <v>27</v>
      </c>
      <c r="C317" s="60" t="s">
        <v>1470</v>
      </c>
      <c r="D317" s="12"/>
      <c r="E317" s="13" t="s">
        <v>184</v>
      </c>
      <c r="F317" s="6" t="s">
        <v>2229</v>
      </c>
      <c r="G317" s="6" t="str">
        <f ca="1">IFERROR(__xludf.DUMMYFUNCTION("CONCATENATE(B317,(VLOOKUP(C317,CATALOGOS!$F$2:$H$6,3,FALSE)),(VLOOKUP(T317,CATALOGOS!$J$2:$K$18,2,FALSE)),""-"",TO_TEXT(A317))"),"P02PP-0316")</f>
        <v>P02PP-0316</v>
      </c>
      <c r="H317" s="6" t="s">
        <v>2230</v>
      </c>
      <c r="I317" s="6" t="s">
        <v>2231</v>
      </c>
      <c r="J317" s="6" t="s">
        <v>2232</v>
      </c>
      <c r="K317" s="6" t="s">
        <v>2233</v>
      </c>
      <c r="L317" s="17"/>
      <c r="M317" s="17"/>
      <c r="N317" s="17" t="str">
        <f t="shared" si="1"/>
        <v>OK</v>
      </c>
      <c r="O317" s="17" t="s">
        <v>35</v>
      </c>
      <c r="P317" s="6" t="s">
        <v>35</v>
      </c>
      <c r="Q317" s="17" t="s">
        <v>36</v>
      </c>
      <c r="R317" s="17" t="s">
        <v>2234</v>
      </c>
      <c r="S317" s="173" t="s">
        <v>38</v>
      </c>
      <c r="T317" s="11" t="s">
        <v>1548</v>
      </c>
      <c r="U317" s="20" t="s">
        <v>2052</v>
      </c>
      <c r="V317" s="20" t="s">
        <v>2052</v>
      </c>
    </row>
    <row r="318" spans="1:22" ht="29.25">
      <c r="A318" s="10" t="s">
        <v>2235</v>
      </c>
      <c r="B318" s="10" t="s">
        <v>27</v>
      </c>
      <c r="C318" s="60" t="s">
        <v>1470</v>
      </c>
      <c r="D318" s="12"/>
      <c r="E318" s="13" t="s">
        <v>151</v>
      </c>
      <c r="F318" s="6" t="s">
        <v>2236</v>
      </c>
      <c r="G318" s="6" t="str">
        <f ca="1">IFERROR(__xludf.DUMMYFUNCTION("CONCATENATE(B318,(VLOOKUP(C318,CATALOGOS!$F$2:$H$6,3,FALSE)),(VLOOKUP(T318,CATALOGOS!$J$2:$K$18,2,FALSE)),""-"",TO_TEXT(A318))"),"P02PP-0317")</f>
        <v>P02PP-0317</v>
      </c>
      <c r="H318" s="6" t="s">
        <v>2237</v>
      </c>
      <c r="I318" s="6" t="s">
        <v>2238</v>
      </c>
      <c r="J318" s="6" t="s">
        <v>2239</v>
      </c>
      <c r="K318" s="6" t="s">
        <v>2240</v>
      </c>
      <c r="L318" s="17"/>
      <c r="M318" s="17"/>
      <c r="N318" s="17" t="str">
        <f t="shared" si="1"/>
        <v>OK</v>
      </c>
      <c r="O318" s="17" t="s">
        <v>703</v>
      </c>
      <c r="P318" s="6" t="s">
        <v>2241</v>
      </c>
      <c r="Q318" s="17" t="s">
        <v>2242</v>
      </c>
      <c r="R318" s="10" t="s">
        <v>2243</v>
      </c>
      <c r="S318" s="18" t="s">
        <v>38</v>
      </c>
      <c r="T318" s="11" t="s">
        <v>1548</v>
      </c>
      <c r="U318" s="20" t="s">
        <v>2052</v>
      </c>
      <c r="V318" s="20" t="s">
        <v>2052</v>
      </c>
    </row>
    <row r="319" spans="1:22" ht="57.75">
      <c r="A319" s="10" t="s">
        <v>2244</v>
      </c>
      <c r="B319" s="10" t="s">
        <v>27</v>
      </c>
      <c r="C319" s="60" t="s">
        <v>1470</v>
      </c>
      <c r="D319" s="12"/>
      <c r="E319" s="13" t="s">
        <v>199</v>
      </c>
      <c r="F319" s="6" t="s">
        <v>199</v>
      </c>
      <c r="G319" s="6" t="str">
        <f ca="1">IFERROR(__xludf.DUMMYFUNCTION("CONCATENATE(B319,(VLOOKUP(C319,CATALOGOS!$F$2:$H$6,3,FALSE)),(VLOOKUP(T319,CATALOGOS!$J$2:$K$18,2,FALSE)),""-"",TO_TEXT(A319))"),"P02PP-0318")</f>
        <v>P02PP-0318</v>
      </c>
      <c r="H319" s="6" t="s">
        <v>2245</v>
      </c>
      <c r="I319" s="6" t="s">
        <v>2246</v>
      </c>
      <c r="J319" s="6" t="s">
        <v>2247</v>
      </c>
      <c r="K319" s="6" t="s">
        <v>2248</v>
      </c>
      <c r="L319" s="17"/>
      <c r="M319" s="17"/>
      <c r="N319" s="17" t="str">
        <f t="shared" si="1"/>
        <v>OK</v>
      </c>
      <c r="O319" s="17" t="s">
        <v>205</v>
      </c>
      <c r="P319" s="6" t="s">
        <v>794</v>
      </c>
      <c r="Q319" s="17" t="s">
        <v>2249</v>
      </c>
      <c r="R319" s="17" t="s">
        <v>2250</v>
      </c>
      <c r="S319" s="179" t="s">
        <v>517</v>
      </c>
      <c r="T319" s="11" t="s">
        <v>1548</v>
      </c>
      <c r="U319" s="20" t="s">
        <v>2052</v>
      </c>
      <c r="V319" s="20" t="s">
        <v>2052</v>
      </c>
    </row>
    <row r="320" spans="1:22" ht="57.75">
      <c r="A320" s="10" t="s">
        <v>2251</v>
      </c>
      <c r="B320" s="10" t="s">
        <v>27</v>
      </c>
      <c r="C320" s="60" t="s">
        <v>1470</v>
      </c>
      <c r="D320" s="12"/>
      <c r="E320" s="13" t="s">
        <v>43</v>
      </c>
      <c r="F320" s="6" t="s">
        <v>1688</v>
      </c>
      <c r="G320" s="6" t="str">
        <f ca="1">IFERROR(__xludf.DUMMYFUNCTION("CONCATENATE(B320,(VLOOKUP(C320,CATALOGOS!$F$2:$H$6,3,FALSE)),(VLOOKUP(T320,CATALOGOS!$J$2:$K$18,2,FALSE)),""-"",TO_TEXT(A320))"),"P02PP-0319")</f>
        <v>P02PP-0319</v>
      </c>
      <c r="H320" s="6" t="s">
        <v>2252</v>
      </c>
      <c r="I320" s="6" t="s">
        <v>2253</v>
      </c>
      <c r="J320" s="6" t="s">
        <v>2254</v>
      </c>
      <c r="K320" s="6" t="s">
        <v>2255</v>
      </c>
      <c r="L320" s="17"/>
      <c r="M320" s="17"/>
      <c r="N320" s="17" t="str">
        <f t="shared" si="1"/>
        <v>OK</v>
      </c>
      <c r="O320" s="17" t="s">
        <v>49</v>
      </c>
      <c r="P320" s="6" t="s">
        <v>1989</v>
      </c>
      <c r="Q320" s="17" t="s">
        <v>36</v>
      </c>
      <c r="R320" s="10" t="s">
        <v>2256</v>
      </c>
      <c r="S320" s="179" t="s">
        <v>517</v>
      </c>
      <c r="T320" s="11" t="s">
        <v>1548</v>
      </c>
      <c r="U320" s="20" t="s">
        <v>2052</v>
      </c>
      <c r="V320" s="20" t="s">
        <v>2052</v>
      </c>
    </row>
    <row r="321" spans="1:22" ht="72">
      <c r="A321" s="10" t="s">
        <v>2257</v>
      </c>
      <c r="B321" s="10" t="s">
        <v>27</v>
      </c>
      <c r="C321" s="60" t="s">
        <v>1470</v>
      </c>
      <c r="D321" s="12"/>
      <c r="E321" s="13" t="s">
        <v>378</v>
      </c>
      <c r="F321" s="6" t="s">
        <v>2258</v>
      </c>
      <c r="G321" s="6" t="str">
        <f ca="1">IFERROR(__xludf.DUMMYFUNCTION("CONCATENATE(B321,(VLOOKUP(C321,CATALOGOS!$F$2:$H$6,3,FALSE)),(VLOOKUP(T321,CATALOGOS!$J$2:$K$18,2,FALSE)),""-"",TO_TEXT(A321))"),"P02PP-0320")</f>
        <v>P02PP-0320</v>
      </c>
      <c r="H321" s="6" t="s">
        <v>2259</v>
      </c>
      <c r="I321" s="6" t="s">
        <v>2260</v>
      </c>
      <c r="J321" s="36"/>
      <c r="K321" s="6" t="s">
        <v>141</v>
      </c>
      <c r="L321" s="17"/>
      <c r="M321" s="17"/>
      <c r="N321" s="17" t="str">
        <f t="shared" si="1"/>
        <v>REPETIDO</v>
      </c>
      <c r="O321" s="17" t="s">
        <v>35</v>
      </c>
      <c r="P321" s="6" t="s">
        <v>35</v>
      </c>
      <c r="Q321" s="6" t="s">
        <v>36</v>
      </c>
      <c r="R321" s="10" t="s">
        <v>85</v>
      </c>
      <c r="S321" s="173" t="s">
        <v>38</v>
      </c>
      <c r="T321" s="11" t="s">
        <v>1548</v>
      </c>
      <c r="U321" s="20" t="s">
        <v>2052</v>
      </c>
      <c r="V321" s="20" t="s">
        <v>2052</v>
      </c>
    </row>
    <row r="322" spans="1:22" ht="57.75">
      <c r="A322" s="10" t="s">
        <v>2261</v>
      </c>
      <c r="B322" s="10" t="s">
        <v>27</v>
      </c>
      <c r="C322" s="60" t="s">
        <v>1470</v>
      </c>
      <c r="D322" s="12"/>
      <c r="E322" s="13" t="s">
        <v>378</v>
      </c>
      <c r="F322" s="6" t="s">
        <v>2262</v>
      </c>
      <c r="G322" s="6" t="str">
        <f ca="1">IFERROR(__xludf.DUMMYFUNCTION("CONCATENATE(B322,(VLOOKUP(C322,CATALOGOS!$F$2:$H$6,3,FALSE)),(VLOOKUP(T322,CATALOGOS!$J$2:$K$18,2,FALSE)),""-"",TO_TEXT(A322))"),"P02PP-0321")</f>
        <v>P02PP-0321</v>
      </c>
      <c r="H322" s="6" t="s">
        <v>2263</v>
      </c>
      <c r="I322" s="6" t="s">
        <v>2264</v>
      </c>
      <c r="J322" s="36"/>
      <c r="K322" s="6" t="s">
        <v>141</v>
      </c>
      <c r="L322" s="17"/>
      <c r="M322" s="17"/>
      <c r="N322" s="17" t="str">
        <f t="shared" si="1"/>
        <v>REPETIDO</v>
      </c>
      <c r="O322" s="17" t="s">
        <v>35</v>
      </c>
      <c r="P322" s="6" t="s">
        <v>35</v>
      </c>
      <c r="Q322" s="6" t="s">
        <v>36</v>
      </c>
      <c r="R322" s="10" t="s">
        <v>85</v>
      </c>
      <c r="S322" s="173" t="s">
        <v>38</v>
      </c>
      <c r="T322" s="11" t="s">
        <v>1548</v>
      </c>
      <c r="U322" s="20" t="s">
        <v>2052</v>
      </c>
      <c r="V322" s="20" t="s">
        <v>2052</v>
      </c>
    </row>
    <row r="323" spans="1:22" ht="43.5">
      <c r="A323" s="10" t="s">
        <v>2265</v>
      </c>
      <c r="B323" s="10" t="s">
        <v>27</v>
      </c>
      <c r="C323" s="60" t="s">
        <v>1470</v>
      </c>
      <c r="D323" s="38"/>
      <c r="E323" s="13" t="s">
        <v>353</v>
      </c>
      <c r="F323" s="6" t="s">
        <v>638</v>
      </c>
      <c r="G323" s="6" t="str">
        <f ca="1">IFERROR(__xludf.DUMMYFUNCTION("CONCATENATE(B323,(VLOOKUP(C323,CATALOGOS!$F$2:$H$6,3,FALSE)),(VLOOKUP(T323,CATALOGOS!$J$2:$K$18,2,FALSE)),""-"",TO_TEXT(A323))"),"P02PP-0322")</f>
        <v>P02PP-0322</v>
      </c>
      <c r="H323" s="6" t="s">
        <v>2266</v>
      </c>
      <c r="I323" s="6" t="s">
        <v>2267</v>
      </c>
      <c r="J323" s="6" t="s">
        <v>2268</v>
      </c>
      <c r="K323" s="6" t="s">
        <v>2269</v>
      </c>
      <c r="L323" s="17"/>
      <c r="M323" s="17"/>
      <c r="N323" s="17" t="str">
        <f t="shared" si="1"/>
        <v>OK</v>
      </c>
      <c r="O323" s="17" t="s">
        <v>359</v>
      </c>
      <c r="P323" s="6" t="s">
        <v>938</v>
      </c>
      <c r="Q323" s="46" t="s">
        <v>2270</v>
      </c>
      <c r="R323" s="32" t="s">
        <v>2271</v>
      </c>
      <c r="S323" s="173" t="s">
        <v>38</v>
      </c>
      <c r="T323" s="11" t="s">
        <v>1548</v>
      </c>
      <c r="U323" s="20" t="s">
        <v>2052</v>
      </c>
      <c r="V323" s="20" t="s">
        <v>2052</v>
      </c>
    </row>
    <row r="324" spans="1:22" ht="86.25">
      <c r="A324" s="10" t="s">
        <v>2272</v>
      </c>
      <c r="B324" s="10" t="s">
        <v>27</v>
      </c>
      <c r="C324" s="60" t="s">
        <v>1470</v>
      </c>
      <c r="D324" s="12"/>
      <c r="E324" s="13" t="s">
        <v>501</v>
      </c>
      <c r="F324" s="6" t="s">
        <v>2273</v>
      </c>
      <c r="G324" s="6" t="str">
        <f ca="1">IFERROR(__xludf.DUMMYFUNCTION("CONCATENATE(B324,(VLOOKUP(C324,CATALOGOS!$F$2:$H$6,3,FALSE)),(VLOOKUP(T324,CATALOGOS!$J$2:$K$18,2,FALSE)),""-"",TO_TEXT(A324))"),"P02PP-0323")</f>
        <v>P02PP-0323</v>
      </c>
      <c r="H324" s="6" t="s">
        <v>2274</v>
      </c>
      <c r="I324" s="6" t="s">
        <v>2275</v>
      </c>
      <c r="J324" s="36"/>
      <c r="K324" s="6" t="s">
        <v>141</v>
      </c>
      <c r="L324" s="17"/>
      <c r="M324" s="17"/>
      <c r="N324" s="17" t="str">
        <f t="shared" si="1"/>
        <v>REPETIDO</v>
      </c>
      <c r="O324" s="17" t="s">
        <v>35</v>
      </c>
      <c r="P324" s="6" t="s">
        <v>35</v>
      </c>
      <c r="Q324" s="6" t="s">
        <v>36</v>
      </c>
      <c r="R324" s="10" t="s">
        <v>85</v>
      </c>
      <c r="S324" s="173" t="s">
        <v>38</v>
      </c>
      <c r="T324" s="11" t="s">
        <v>1548</v>
      </c>
      <c r="U324" s="22" t="s">
        <v>1983</v>
      </c>
      <c r="V324" s="22" t="s">
        <v>1983</v>
      </c>
    </row>
    <row r="325" spans="1:22" ht="72">
      <c r="A325" s="10" t="s">
        <v>2276</v>
      </c>
      <c r="B325" s="10" t="s">
        <v>27</v>
      </c>
      <c r="C325" s="60" t="s">
        <v>1470</v>
      </c>
      <c r="D325" s="12"/>
      <c r="E325" s="13" t="s">
        <v>501</v>
      </c>
      <c r="F325" s="6" t="s">
        <v>2277</v>
      </c>
      <c r="G325" s="6" t="str">
        <f ca="1">IFERROR(__xludf.DUMMYFUNCTION("CONCATENATE(B325,(VLOOKUP(C325,CATALOGOS!$F$2:$H$6,3,FALSE)),(VLOOKUP(T325,CATALOGOS!$J$2:$K$18,2,FALSE)),""-"",TO_TEXT(A325))"),"P02PP-0324")</f>
        <v>P02PP-0324</v>
      </c>
      <c r="H325" s="6" t="s">
        <v>2278</v>
      </c>
      <c r="I325" s="6" t="s">
        <v>2279</v>
      </c>
      <c r="J325" s="36"/>
      <c r="K325" s="6" t="s">
        <v>141</v>
      </c>
      <c r="L325" s="17"/>
      <c r="M325" s="17"/>
      <c r="N325" s="17" t="str">
        <f t="shared" si="1"/>
        <v>REPETIDO</v>
      </c>
      <c r="O325" s="17" t="s">
        <v>35</v>
      </c>
      <c r="P325" s="6" t="s">
        <v>35</v>
      </c>
      <c r="Q325" s="6" t="s">
        <v>36</v>
      </c>
      <c r="R325" s="10" t="s">
        <v>85</v>
      </c>
      <c r="S325" s="173" t="s">
        <v>38</v>
      </c>
      <c r="T325" s="11" t="s">
        <v>1548</v>
      </c>
      <c r="U325" s="22" t="s">
        <v>1983</v>
      </c>
      <c r="V325" s="22" t="s">
        <v>1983</v>
      </c>
    </row>
    <row r="326" spans="1:22" ht="72">
      <c r="A326" s="10" t="s">
        <v>2280</v>
      </c>
      <c r="B326" s="10" t="s">
        <v>27</v>
      </c>
      <c r="C326" s="60" t="s">
        <v>1470</v>
      </c>
      <c r="D326" s="38"/>
      <c r="E326" s="13" t="s">
        <v>501</v>
      </c>
      <c r="F326" s="6" t="s">
        <v>2281</v>
      </c>
      <c r="G326" s="6" t="str">
        <f ca="1">IFERROR(__xludf.DUMMYFUNCTION("CONCATENATE(B326,(VLOOKUP(C326,CATALOGOS!$F$2:$H$6,3,FALSE)),(VLOOKUP(T326,CATALOGOS!$J$2:$K$18,2,FALSE)),""-"",TO_TEXT(A326))"),"P02PP-0325")</f>
        <v>P02PP-0325</v>
      </c>
      <c r="H326" s="6" t="s">
        <v>2282</v>
      </c>
      <c r="I326" s="6" t="s">
        <v>2283</v>
      </c>
      <c r="J326" s="36"/>
      <c r="K326" s="6" t="s">
        <v>141</v>
      </c>
      <c r="L326" s="17"/>
      <c r="M326" s="17"/>
      <c r="N326" s="17" t="str">
        <f t="shared" si="1"/>
        <v>REPETIDO</v>
      </c>
      <c r="O326" s="17" t="s">
        <v>35</v>
      </c>
      <c r="P326" s="6" t="s">
        <v>35</v>
      </c>
      <c r="Q326" s="6" t="s">
        <v>36</v>
      </c>
      <c r="R326" s="32" t="s">
        <v>85</v>
      </c>
      <c r="S326" s="173" t="s">
        <v>38</v>
      </c>
      <c r="T326" s="11" t="s">
        <v>1548</v>
      </c>
      <c r="U326" s="20" t="s">
        <v>2052</v>
      </c>
      <c r="V326" s="20" t="s">
        <v>2052</v>
      </c>
    </row>
    <row r="327" spans="1:22" ht="86.25">
      <c r="A327" s="10" t="s">
        <v>2284</v>
      </c>
      <c r="B327" s="10" t="s">
        <v>1469</v>
      </c>
      <c r="C327" s="60" t="s">
        <v>1470</v>
      </c>
      <c r="D327" s="12"/>
      <c r="E327" s="13" t="s">
        <v>501</v>
      </c>
      <c r="F327" s="6" t="s">
        <v>2285</v>
      </c>
      <c r="G327" s="6" t="str">
        <f ca="1">IFERROR(__xludf.DUMMYFUNCTION("CONCATENATE(B327,(VLOOKUP(C327,CATALOGOS!$F$2:$H$6,3,FALSE)),(VLOOKUP(T327,CATALOGOS!$J$2:$K$18,2,FALSE)),""-"",TO_TEXT(A327))"),"P12SI-0326")</f>
        <v>P12SI-0326</v>
      </c>
      <c r="H327" s="6" t="s">
        <v>2286</v>
      </c>
      <c r="I327" s="6" t="s">
        <v>2287</v>
      </c>
      <c r="J327" s="6" t="s">
        <v>2288</v>
      </c>
      <c r="K327" s="6" t="s">
        <v>2289</v>
      </c>
      <c r="L327" s="17"/>
      <c r="M327" s="17"/>
      <c r="N327" s="17" t="str">
        <f t="shared" si="1"/>
        <v>OK</v>
      </c>
      <c r="O327" s="17" t="s">
        <v>35</v>
      </c>
      <c r="P327" s="6" t="s">
        <v>35</v>
      </c>
      <c r="Q327" s="17" t="s">
        <v>36</v>
      </c>
      <c r="R327" s="17" t="s">
        <v>2290</v>
      </c>
      <c r="S327" s="173" t="s">
        <v>38</v>
      </c>
      <c r="T327" s="181" t="s">
        <v>1483</v>
      </c>
      <c r="U327" s="20" t="s">
        <v>1484</v>
      </c>
      <c r="V327" s="20" t="s">
        <v>1484</v>
      </c>
    </row>
    <row r="328" spans="1:22" ht="43.5">
      <c r="A328" s="10" t="s">
        <v>2291</v>
      </c>
      <c r="B328" s="10" t="s">
        <v>1469</v>
      </c>
      <c r="C328" s="60" t="s">
        <v>1470</v>
      </c>
      <c r="D328" s="12"/>
      <c r="E328" s="13" t="s">
        <v>116</v>
      </c>
      <c r="F328" s="43" t="s">
        <v>2292</v>
      </c>
      <c r="G328" s="6" t="str">
        <f ca="1">IFERROR(__xludf.DUMMYFUNCTION("CONCATENATE(B328,(VLOOKUP(C328,CATALOGOS!$F$2:$H$6,3,FALSE)),(VLOOKUP(T328,CATALOGOS!$J$2:$K$18,2,FALSE)),""-"",TO_TEXT(A328))"),"P12SI-0327")</f>
        <v>P12SI-0327</v>
      </c>
      <c r="H328" s="6" t="s">
        <v>2293</v>
      </c>
      <c r="I328" s="6" t="s">
        <v>2294</v>
      </c>
      <c r="J328" s="6" t="s">
        <v>2295</v>
      </c>
      <c r="K328" s="6" t="s">
        <v>2296</v>
      </c>
      <c r="L328" s="17"/>
      <c r="M328" s="17"/>
      <c r="N328" s="17" t="str">
        <f t="shared" si="1"/>
        <v>OK</v>
      </c>
      <c r="O328" s="17" t="s">
        <v>35</v>
      </c>
      <c r="P328" s="6" t="s">
        <v>35</v>
      </c>
      <c r="Q328" s="17" t="s">
        <v>36</v>
      </c>
      <c r="R328" s="17" t="s">
        <v>2297</v>
      </c>
      <c r="S328" s="173" t="s">
        <v>38</v>
      </c>
      <c r="T328" s="181" t="s">
        <v>1483</v>
      </c>
      <c r="U328" s="20" t="s">
        <v>1484</v>
      </c>
      <c r="V328" s="20" t="s">
        <v>1484</v>
      </c>
    </row>
    <row r="329" spans="1:22" ht="43.5">
      <c r="A329" s="10" t="s">
        <v>2298</v>
      </c>
      <c r="B329" s="10" t="s">
        <v>1469</v>
      </c>
      <c r="C329" s="60" t="s">
        <v>1470</v>
      </c>
      <c r="D329" s="12"/>
      <c r="E329" s="13" t="s">
        <v>2299</v>
      </c>
      <c r="F329" s="43" t="s">
        <v>2300</v>
      </c>
      <c r="G329" s="6" t="str">
        <f ca="1">IFERROR(__xludf.DUMMYFUNCTION("CONCATENATE(B329,(VLOOKUP(C329,CATALOGOS!$F$2:$H$6,3,FALSE)),(VLOOKUP(T329,CATALOGOS!$J$2:$K$18,2,FALSE)),""-"",TO_TEXT(A329))"),"P12SI-0328")</f>
        <v>P12SI-0328</v>
      </c>
      <c r="H329" s="6" t="s">
        <v>2301</v>
      </c>
      <c r="I329" s="6" t="s">
        <v>2302</v>
      </c>
      <c r="J329" s="6" t="s">
        <v>2303</v>
      </c>
      <c r="K329" s="6" t="s">
        <v>2304</v>
      </c>
      <c r="L329" s="17"/>
      <c r="M329" s="17"/>
      <c r="N329" s="17" t="str">
        <f t="shared" si="1"/>
        <v>OK</v>
      </c>
      <c r="O329" s="17" t="s">
        <v>2305</v>
      </c>
      <c r="P329" s="6" t="s">
        <v>2306</v>
      </c>
      <c r="Q329" s="17" t="s">
        <v>2307</v>
      </c>
      <c r="R329" s="17" t="s">
        <v>2308</v>
      </c>
      <c r="S329" s="173" t="s">
        <v>38</v>
      </c>
      <c r="T329" s="181" t="s">
        <v>1483</v>
      </c>
      <c r="U329" s="20" t="s">
        <v>1484</v>
      </c>
      <c r="V329" s="20" t="s">
        <v>1484</v>
      </c>
    </row>
    <row r="330" spans="1:22" ht="57.75">
      <c r="A330" s="10" t="s">
        <v>2310</v>
      </c>
      <c r="B330" s="10" t="s">
        <v>1469</v>
      </c>
      <c r="C330" s="60" t="s">
        <v>1470</v>
      </c>
      <c r="D330" s="12"/>
      <c r="E330" s="13" t="s">
        <v>2311</v>
      </c>
      <c r="F330" s="43" t="s">
        <v>2312</v>
      </c>
      <c r="G330" s="6" t="str">
        <f ca="1">IFERROR(__xludf.DUMMYFUNCTION("CONCATENATE(B330,(VLOOKUP(C330,CATALOGOS!$F$2:$H$6,3,FALSE)),(VLOOKUP(T330,CATALOGOS!$J$2:$K$18,2,FALSE)),""-"",TO_TEXT(A330))"),"P12SI-0329")</f>
        <v>P12SI-0329</v>
      </c>
      <c r="H330" s="6" t="s">
        <v>2313</v>
      </c>
      <c r="I330" s="6" t="s">
        <v>2314</v>
      </c>
      <c r="J330" s="6" t="s">
        <v>2315</v>
      </c>
      <c r="K330" s="6" t="s">
        <v>2316</v>
      </c>
      <c r="L330" s="17"/>
      <c r="M330" s="17"/>
      <c r="N330" s="17" t="str">
        <f t="shared" si="1"/>
        <v>OK</v>
      </c>
      <c r="O330" s="17" t="s">
        <v>2317</v>
      </c>
      <c r="P330" s="6" t="s">
        <v>2318</v>
      </c>
      <c r="Q330" s="17" t="s">
        <v>2319</v>
      </c>
      <c r="R330" s="17" t="s">
        <v>2320</v>
      </c>
      <c r="S330" s="173" t="s">
        <v>38</v>
      </c>
      <c r="T330" s="181" t="s">
        <v>1483</v>
      </c>
      <c r="U330" s="20" t="s">
        <v>1484</v>
      </c>
      <c r="V330" s="20" t="s">
        <v>1484</v>
      </c>
    </row>
    <row r="331" spans="1:22" ht="86.25">
      <c r="A331" s="10" t="s">
        <v>2321</v>
      </c>
      <c r="B331" s="10" t="s">
        <v>1469</v>
      </c>
      <c r="C331" s="60" t="s">
        <v>1470</v>
      </c>
      <c r="D331" s="12"/>
      <c r="E331" s="13" t="s">
        <v>93</v>
      </c>
      <c r="F331" s="6" t="s">
        <v>2322</v>
      </c>
      <c r="G331" s="6" t="str">
        <f ca="1">IFERROR(__xludf.DUMMYFUNCTION("CONCATENATE(B331,(VLOOKUP(C331,CATALOGOS!$F$2:$H$6,3,FALSE)),(VLOOKUP(T331,CATALOGOS!$J$2:$K$18,2,FALSE)),""-"",TO_TEXT(A331))"),"P12SI-0330")</f>
        <v>P12SI-0330</v>
      </c>
      <c r="H331" s="6" t="s">
        <v>2323</v>
      </c>
      <c r="I331" s="6" t="s">
        <v>2324</v>
      </c>
      <c r="J331" s="6" t="s">
        <v>2325</v>
      </c>
      <c r="K331" s="6" t="s">
        <v>2326</v>
      </c>
      <c r="L331" s="17"/>
      <c r="M331" s="17"/>
      <c r="N331" s="17" t="str">
        <f t="shared" si="1"/>
        <v>OK</v>
      </c>
      <c r="O331" s="17" t="s">
        <v>35</v>
      </c>
      <c r="P331" s="6" t="s">
        <v>35</v>
      </c>
      <c r="Q331" s="17" t="s">
        <v>36</v>
      </c>
      <c r="R331" s="17" t="s">
        <v>2327</v>
      </c>
      <c r="S331" s="173" t="s">
        <v>38</v>
      </c>
      <c r="T331" s="181" t="s">
        <v>1483</v>
      </c>
      <c r="U331" s="20" t="s">
        <v>1484</v>
      </c>
      <c r="V331" s="20" t="s">
        <v>1484</v>
      </c>
    </row>
    <row r="332" spans="1:22" ht="86.25">
      <c r="A332" s="10" t="s">
        <v>2330</v>
      </c>
      <c r="B332" s="10" t="s">
        <v>1469</v>
      </c>
      <c r="C332" s="60" t="s">
        <v>1470</v>
      </c>
      <c r="D332" s="12"/>
      <c r="E332" s="13" t="s">
        <v>93</v>
      </c>
      <c r="F332" s="6" t="s">
        <v>2331</v>
      </c>
      <c r="G332" s="6" t="str">
        <f ca="1">IFERROR(__xludf.DUMMYFUNCTION("CONCATENATE(B332,(VLOOKUP(C332,CATALOGOS!$F$2:$H$6,3,FALSE)),(VLOOKUP(T332,CATALOGOS!$J$2:$K$18,2,FALSE)),""-"",TO_TEXT(A332))"),"P12SI-0331")</f>
        <v>P12SI-0331</v>
      </c>
      <c r="H332" s="6" t="s">
        <v>2332</v>
      </c>
      <c r="I332" s="6" t="s">
        <v>2333</v>
      </c>
      <c r="J332" s="6" t="s">
        <v>2334</v>
      </c>
      <c r="K332" s="6" t="s">
        <v>2335</v>
      </c>
      <c r="L332" s="17"/>
      <c r="M332" s="17"/>
      <c r="N332" s="17" t="str">
        <f t="shared" si="1"/>
        <v>OK</v>
      </c>
      <c r="O332" s="17" t="s">
        <v>35</v>
      </c>
      <c r="P332" s="6" t="s">
        <v>35</v>
      </c>
      <c r="Q332" s="17" t="s">
        <v>36</v>
      </c>
      <c r="R332" s="17" t="s">
        <v>2336</v>
      </c>
      <c r="S332" s="173" t="s">
        <v>38</v>
      </c>
      <c r="T332" s="181" t="s">
        <v>1483</v>
      </c>
      <c r="U332" s="20" t="s">
        <v>1484</v>
      </c>
      <c r="V332" s="20" t="s">
        <v>1484</v>
      </c>
    </row>
    <row r="333" spans="1:22" ht="29.25">
      <c r="A333" s="10" t="s">
        <v>2338</v>
      </c>
      <c r="B333" s="10" t="s">
        <v>1469</v>
      </c>
      <c r="C333" s="60" t="s">
        <v>1470</v>
      </c>
      <c r="D333" s="12"/>
      <c r="E333" s="13" t="s">
        <v>248</v>
      </c>
      <c r="F333" s="6" t="s">
        <v>249</v>
      </c>
      <c r="G333" s="6" t="str">
        <f ca="1">IFERROR(__xludf.DUMMYFUNCTION("CONCATENATE(B333,(VLOOKUP(C333,CATALOGOS!$F$2:$H$6,3,FALSE)),(VLOOKUP(T333,CATALOGOS!$J$2:$K$18,2,FALSE)),""-"",TO_TEXT(A333))"),"P12SI-0332")</f>
        <v>P12SI-0332</v>
      </c>
      <c r="H333" s="6" t="s">
        <v>2339</v>
      </c>
      <c r="I333" s="6" t="s">
        <v>2340</v>
      </c>
      <c r="J333" s="36"/>
      <c r="K333" s="6" t="s">
        <v>141</v>
      </c>
      <c r="L333" s="17"/>
      <c r="M333" s="17"/>
      <c r="N333" s="17" t="str">
        <f t="shared" si="1"/>
        <v>REPETIDO</v>
      </c>
      <c r="O333" s="17" t="s">
        <v>827</v>
      </c>
      <c r="P333" s="6" t="s">
        <v>828</v>
      </c>
      <c r="Q333" s="6" t="s">
        <v>2341</v>
      </c>
      <c r="R333" s="10" t="s">
        <v>85</v>
      </c>
      <c r="S333" s="173" t="s">
        <v>38</v>
      </c>
      <c r="T333" s="181" t="s">
        <v>1483</v>
      </c>
      <c r="U333" s="20" t="s">
        <v>1484</v>
      </c>
      <c r="V333" s="20" t="s">
        <v>1484</v>
      </c>
    </row>
    <row r="334" spans="1:22" ht="29.25">
      <c r="A334" s="10" t="s">
        <v>2342</v>
      </c>
      <c r="B334" s="10" t="s">
        <v>1469</v>
      </c>
      <c r="C334" s="60" t="s">
        <v>1470</v>
      </c>
      <c r="D334" s="12"/>
      <c r="E334" s="13" t="s">
        <v>248</v>
      </c>
      <c r="F334" s="43" t="s">
        <v>248</v>
      </c>
      <c r="G334" s="6" t="str">
        <f ca="1">IFERROR(__xludf.DUMMYFUNCTION("CONCATENATE(B334,(VLOOKUP(C334,CATALOGOS!$F$2:$H$6,3,FALSE)),(VLOOKUP(T334,CATALOGOS!$J$2:$K$18,2,FALSE)),""-"",TO_TEXT(A334))"),"P12SI-0333")</f>
        <v>P12SI-0333</v>
      </c>
      <c r="H334" s="6" t="s">
        <v>2343</v>
      </c>
      <c r="I334" s="6" t="s">
        <v>2344</v>
      </c>
      <c r="J334" s="6" t="s">
        <v>2345</v>
      </c>
      <c r="K334" s="6" t="s">
        <v>2346</v>
      </c>
      <c r="L334" s="17"/>
      <c r="M334" s="17"/>
      <c r="N334" s="17" t="str">
        <f t="shared" si="1"/>
        <v>OK</v>
      </c>
      <c r="O334" s="17" t="s">
        <v>250</v>
      </c>
      <c r="P334" s="6" t="s">
        <v>2347</v>
      </c>
      <c r="Q334" s="17" t="s">
        <v>2348</v>
      </c>
      <c r="R334" s="17" t="s">
        <v>2349</v>
      </c>
      <c r="S334" s="173" t="s">
        <v>38</v>
      </c>
      <c r="T334" s="181" t="s">
        <v>1483</v>
      </c>
      <c r="U334" s="20" t="s">
        <v>1484</v>
      </c>
      <c r="V334" s="20" t="s">
        <v>1484</v>
      </c>
    </row>
    <row r="335" spans="1:22" ht="57.75">
      <c r="A335" s="10" t="s">
        <v>2350</v>
      </c>
      <c r="B335" s="10" t="s">
        <v>1469</v>
      </c>
      <c r="C335" s="60" t="s">
        <v>1470</v>
      </c>
      <c r="D335" s="12"/>
      <c r="E335" s="13" t="s">
        <v>2351</v>
      </c>
      <c r="F335" s="43" t="s">
        <v>2352</v>
      </c>
      <c r="G335" s="6" t="str">
        <f ca="1">IFERROR(__xludf.DUMMYFUNCTION("CONCATENATE(B335,(VLOOKUP(C335,CATALOGOS!$F$2:$H$6,3,FALSE)),(VLOOKUP(T335,CATALOGOS!$J$2:$K$18,2,FALSE)),""-"",TO_TEXT(A335))"),"P12SI-0334")</f>
        <v>P12SI-0334</v>
      </c>
      <c r="H335" s="6" t="s">
        <v>2353</v>
      </c>
      <c r="I335" s="6" t="s">
        <v>2354</v>
      </c>
      <c r="J335" s="6" t="s">
        <v>8435</v>
      </c>
      <c r="K335" s="6" t="s">
        <v>2356</v>
      </c>
      <c r="L335" s="17"/>
      <c r="M335" s="17"/>
      <c r="N335" s="17" t="str">
        <f t="shared" si="1"/>
        <v>OK</v>
      </c>
      <c r="O335" s="17" t="s">
        <v>2357</v>
      </c>
      <c r="P335" s="6" t="s">
        <v>2358</v>
      </c>
      <c r="Q335" s="17" t="s">
        <v>2359</v>
      </c>
      <c r="R335" s="17" t="s">
        <v>2360</v>
      </c>
      <c r="S335" s="173" t="s">
        <v>38</v>
      </c>
      <c r="T335" s="181" t="s">
        <v>1483</v>
      </c>
      <c r="U335" s="20" t="s">
        <v>1484</v>
      </c>
      <c r="V335" s="20" t="s">
        <v>1484</v>
      </c>
    </row>
    <row r="336" spans="1:22" ht="43.5">
      <c r="A336" s="10" t="s">
        <v>2361</v>
      </c>
      <c r="B336" s="10" t="s">
        <v>1469</v>
      </c>
      <c r="C336" s="60" t="s">
        <v>1470</v>
      </c>
      <c r="D336" s="12"/>
      <c r="E336" s="13" t="s">
        <v>53</v>
      </c>
      <c r="F336" s="6" t="s">
        <v>2362</v>
      </c>
      <c r="G336" s="6" t="str">
        <f ca="1">IFERROR(__xludf.DUMMYFUNCTION("CONCATENATE(B336,(VLOOKUP(C336,CATALOGOS!$F$2:$H$6,3,FALSE)),(VLOOKUP(T336,CATALOGOS!$J$2:$K$18,2,FALSE)),""-"",TO_TEXT(A336))"),"P12SI-0335")</f>
        <v>P12SI-0335</v>
      </c>
      <c r="H336" s="6" t="s">
        <v>2363</v>
      </c>
      <c r="I336" s="6" t="s">
        <v>2364</v>
      </c>
      <c r="J336" s="6" t="s">
        <v>2365</v>
      </c>
      <c r="K336" s="6" t="s">
        <v>2366</v>
      </c>
      <c r="L336" s="17"/>
      <c r="M336" s="17"/>
      <c r="N336" s="17" t="str">
        <f t="shared" si="1"/>
        <v>OK</v>
      </c>
      <c r="O336" s="17" t="s">
        <v>35</v>
      </c>
      <c r="P336" s="6" t="s">
        <v>35</v>
      </c>
      <c r="Q336" s="17" t="s">
        <v>36</v>
      </c>
      <c r="R336" s="17" t="s">
        <v>2367</v>
      </c>
      <c r="S336" s="173" t="s">
        <v>38</v>
      </c>
      <c r="T336" s="181" t="s">
        <v>1483</v>
      </c>
      <c r="U336" s="20" t="s">
        <v>1484</v>
      </c>
      <c r="V336" s="20" t="s">
        <v>1484</v>
      </c>
    </row>
    <row r="337" spans="1:22" ht="57.75">
      <c r="A337" s="10" t="s">
        <v>2368</v>
      </c>
      <c r="B337" s="10" t="s">
        <v>1469</v>
      </c>
      <c r="C337" s="60" t="s">
        <v>1470</v>
      </c>
      <c r="D337" s="12"/>
      <c r="E337" s="13" t="s">
        <v>199</v>
      </c>
      <c r="F337" s="6" t="s">
        <v>199</v>
      </c>
      <c r="G337" s="6" t="str">
        <f ca="1">IFERROR(__xludf.DUMMYFUNCTION("CONCATENATE(B337,(VLOOKUP(C337,CATALOGOS!$F$2:$H$6,3,FALSE)),(VLOOKUP(T337,CATALOGOS!$J$2:$K$18,2,FALSE)),""-"",TO_TEXT(A337))"),"P12SI-0336")</f>
        <v>P12SI-0336</v>
      </c>
      <c r="H337" s="6" t="s">
        <v>2369</v>
      </c>
      <c r="I337" s="6" t="s">
        <v>2370</v>
      </c>
      <c r="J337" s="6" t="s">
        <v>2371</v>
      </c>
      <c r="K337" s="43" t="s">
        <v>141</v>
      </c>
      <c r="L337" s="17"/>
      <c r="M337" s="17"/>
      <c r="N337" s="17" t="str">
        <f t="shared" si="1"/>
        <v>REPETIDO</v>
      </c>
      <c r="O337" s="17" t="s">
        <v>205</v>
      </c>
      <c r="P337" s="32" t="s">
        <v>993</v>
      </c>
      <c r="Q337" s="17" t="s">
        <v>2372</v>
      </c>
      <c r="R337" s="17" t="s">
        <v>2373</v>
      </c>
      <c r="S337" s="173" t="s">
        <v>38</v>
      </c>
      <c r="T337" s="181" t="s">
        <v>1483</v>
      </c>
      <c r="U337" s="20" t="s">
        <v>1484</v>
      </c>
      <c r="V337" s="20" t="s">
        <v>1484</v>
      </c>
    </row>
    <row r="338" spans="1:22" ht="29.25">
      <c r="A338" s="10" t="s">
        <v>2374</v>
      </c>
      <c r="B338" s="10" t="s">
        <v>1469</v>
      </c>
      <c r="C338" s="60" t="s">
        <v>1470</v>
      </c>
      <c r="D338" s="12"/>
      <c r="E338" s="13" t="s">
        <v>151</v>
      </c>
      <c r="F338" s="6" t="s">
        <v>963</v>
      </c>
      <c r="G338" s="6" t="str">
        <f ca="1">IFERROR(__xludf.DUMMYFUNCTION("CONCATENATE(B338,(VLOOKUP(C338,CATALOGOS!$F$2:$H$6,3,FALSE)),(VLOOKUP(T338,CATALOGOS!$J$2:$K$18,2,FALSE)),""-"",TO_TEXT(A338))"),"P12SI-0337")</f>
        <v>P12SI-0337</v>
      </c>
      <c r="H338" s="6" t="s">
        <v>2375</v>
      </c>
      <c r="I338" s="6" t="s">
        <v>2376</v>
      </c>
      <c r="J338" s="6" t="s">
        <v>2377</v>
      </c>
      <c r="K338" s="6" t="s">
        <v>2378</v>
      </c>
      <c r="L338" s="17"/>
      <c r="M338" s="17"/>
      <c r="N338" s="17" t="str">
        <f t="shared" si="1"/>
        <v>OK</v>
      </c>
      <c r="O338" s="17" t="s">
        <v>297</v>
      </c>
      <c r="P338" s="6" t="s">
        <v>1037</v>
      </c>
      <c r="Q338" s="17" t="s">
        <v>2379</v>
      </c>
      <c r="R338" s="17" t="s">
        <v>2380</v>
      </c>
      <c r="S338" s="173" t="s">
        <v>38</v>
      </c>
      <c r="T338" s="181" t="s">
        <v>1483</v>
      </c>
      <c r="U338" s="20" t="s">
        <v>1484</v>
      </c>
      <c r="V338" s="20" t="s">
        <v>1484</v>
      </c>
    </row>
    <row r="339" spans="1:22" ht="72">
      <c r="A339" s="10" t="s">
        <v>2382</v>
      </c>
      <c r="B339" s="10" t="s">
        <v>1469</v>
      </c>
      <c r="C339" s="60" t="s">
        <v>1470</v>
      </c>
      <c r="D339" s="12"/>
      <c r="E339" s="13" t="s">
        <v>93</v>
      </c>
      <c r="F339" s="6" t="s">
        <v>2383</v>
      </c>
      <c r="G339" s="6" t="str">
        <f ca="1">IFERROR(__xludf.DUMMYFUNCTION("CONCATENATE(B339,(VLOOKUP(C339,CATALOGOS!$F$2:$H$6,3,FALSE)),(VLOOKUP(T339,CATALOGOS!$J$2:$K$18,2,FALSE)),""-"",TO_TEXT(A339))"),"P12SI-0338")</f>
        <v>P12SI-0338</v>
      </c>
      <c r="H339" s="6" t="s">
        <v>2384</v>
      </c>
      <c r="I339" s="6" t="s">
        <v>2385</v>
      </c>
      <c r="J339" s="6" t="s">
        <v>2386</v>
      </c>
      <c r="K339" s="43" t="s">
        <v>2387</v>
      </c>
      <c r="L339" s="17"/>
      <c r="M339" s="17"/>
      <c r="N339" s="17" t="str">
        <f t="shared" si="1"/>
        <v>OK</v>
      </c>
      <c r="O339" s="17" t="s">
        <v>35</v>
      </c>
      <c r="P339" s="6" t="s">
        <v>35</v>
      </c>
      <c r="Q339" s="17" t="s">
        <v>36</v>
      </c>
      <c r="R339" s="17" t="s">
        <v>2388</v>
      </c>
      <c r="S339" s="173" t="s">
        <v>38</v>
      </c>
      <c r="T339" s="181" t="s">
        <v>1483</v>
      </c>
      <c r="U339" s="20" t="s">
        <v>1484</v>
      </c>
      <c r="V339" s="20" t="s">
        <v>1484</v>
      </c>
    </row>
    <row r="340" spans="1:22" ht="29.25">
      <c r="A340" s="10" t="s">
        <v>2389</v>
      </c>
      <c r="B340" s="10" t="s">
        <v>1469</v>
      </c>
      <c r="C340" s="60" t="s">
        <v>1470</v>
      </c>
      <c r="D340" s="12"/>
      <c r="E340" s="13" t="s">
        <v>151</v>
      </c>
      <c r="F340" s="6" t="s">
        <v>698</v>
      </c>
      <c r="G340" s="6" t="str">
        <f ca="1">IFERROR(__xludf.DUMMYFUNCTION("CONCATENATE(B340,(VLOOKUP(C340,CATALOGOS!$F$2:$H$6,3,FALSE)),(VLOOKUP(T340,CATALOGOS!$J$2:$K$18,2,FALSE)),""-"",TO_TEXT(A340))"),"P12SI-0339")</f>
        <v>P12SI-0339</v>
      </c>
      <c r="H340" s="6" t="s">
        <v>2390</v>
      </c>
      <c r="I340" s="6" t="s">
        <v>2391</v>
      </c>
      <c r="J340" s="6" t="s">
        <v>2392</v>
      </c>
      <c r="K340" s="6" t="s">
        <v>2393</v>
      </c>
      <c r="L340" s="17"/>
      <c r="M340" s="17"/>
      <c r="N340" s="17" t="str">
        <f t="shared" si="1"/>
        <v>OK</v>
      </c>
      <c r="O340" s="17" t="s">
        <v>297</v>
      </c>
      <c r="P340" s="6" t="s">
        <v>1131</v>
      </c>
      <c r="Q340" s="17" t="s">
        <v>2394</v>
      </c>
      <c r="R340" s="17" t="s">
        <v>2395</v>
      </c>
      <c r="S340" s="173" t="s">
        <v>38</v>
      </c>
      <c r="T340" s="181" t="s">
        <v>1483</v>
      </c>
      <c r="U340" s="20" t="s">
        <v>1484</v>
      </c>
      <c r="V340" s="20" t="s">
        <v>1484</v>
      </c>
    </row>
    <row r="341" spans="1:22" ht="43.5">
      <c r="A341" s="10" t="s">
        <v>2396</v>
      </c>
      <c r="B341" s="10" t="s">
        <v>1469</v>
      </c>
      <c r="C341" s="60" t="s">
        <v>1470</v>
      </c>
      <c r="D341" s="12"/>
      <c r="E341" s="13" t="s">
        <v>2397</v>
      </c>
      <c r="F341" s="6" t="s">
        <v>2398</v>
      </c>
      <c r="G341" s="6" t="str">
        <f ca="1">IFERROR(__xludf.DUMMYFUNCTION("CONCATENATE(B341,(VLOOKUP(C341,CATALOGOS!$F$2:$H$6,3,FALSE)),(VLOOKUP(T341,CATALOGOS!$J$2:$K$18,2,FALSE)),""-"",TO_TEXT(A341))"),"P12SI-0340")</f>
        <v>P12SI-0340</v>
      </c>
      <c r="H341" s="6" t="s">
        <v>2399</v>
      </c>
      <c r="I341" s="6" t="s">
        <v>2400</v>
      </c>
      <c r="J341" s="6" t="s">
        <v>2401</v>
      </c>
      <c r="K341" s="6" t="s">
        <v>2402</v>
      </c>
      <c r="L341" s="17"/>
      <c r="M341" s="17"/>
      <c r="N341" s="17" t="str">
        <f t="shared" si="1"/>
        <v>OK</v>
      </c>
      <c r="O341" s="17" t="s">
        <v>2403</v>
      </c>
      <c r="P341" s="6" t="s">
        <v>2404</v>
      </c>
      <c r="Q341" s="17" t="s">
        <v>2405</v>
      </c>
      <c r="R341" s="17" t="s">
        <v>2406</v>
      </c>
      <c r="S341" s="173" t="s">
        <v>38</v>
      </c>
      <c r="T341" s="181" t="s">
        <v>1483</v>
      </c>
      <c r="U341" s="20" t="s">
        <v>1484</v>
      </c>
      <c r="V341" s="20" t="s">
        <v>1484</v>
      </c>
    </row>
    <row r="342" spans="1:22" ht="29.25">
      <c r="A342" s="10" t="s">
        <v>2407</v>
      </c>
      <c r="B342" s="10" t="s">
        <v>1469</v>
      </c>
      <c r="C342" s="60" t="s">
        <v>1470</v>
      </c>
      <c r="D342" s="12"/>
      <c r="E342" s="13" t="s">
        <v>248</v>
      </c>
      <c r="F342" s="43" t="s">
        <v>248</v>
      </c>
      <c r="G342" s="6" t="str">
        <f ca="1">IFERROR(__xludf.DUMMYFUNCTION("CONCATENATE(B342,(VLOOKUP(C342,CATALOGOS!$F$2:$H$6,3,FALSE)),(VLOOKUP(T342,CATALOGOS!$J$2:$K$18,2,FALSE)),""-"",TO_TEXT(A342))"),"P12SI-0341")</f>
        <v>P12SI-0341</v>
      </c>
      <c r="H342" s="6" t="s">
        <v>2408</v>
      </c>
      <c r="I342" s="6" t="s">
        <v>2409</v>
      </c>
      <c r="J342" s="6" t="s">
        <v>2410</v>
      </c>
      <c r="K342" s="6" t="s">
        <v>2411</v>
      </c>
      <c r="L342" s="17"/>
      <c r="M342" s="17"/>
      <c r="N342" s="17" t="str">
        <f t="shared" si="1"/>
        <v>OK</v>
      </c>
      <c r="O342" s="17" t="s">
        <v>303</v>
      </c>
      <c r="P342" s="6" t="s">
        <v>1726</v>
      </c>
      <c r="Q342" s="17" t="s">
        <v>2412</v>
      </c>
      <c r="R342" s="17" t="s">
        <v>2413</v>
      </c>
      <c r="S342" s="173" t="s">
        <v>38</v>
      </c>
      <c r="T342" s="181" t="s">
        <v>1483</v>
      </c>
      <c r="U342" s="20" t="s">
        <v>1484</v>
      </c>
      <c r="V342" s="20" t="s">
        <v>1484</v>
      </c>
    </row>
    <row r="343" spans="1:22" ht="57.75">
      <c r="A343" s="10" t="s">
        <v>2414</v>
      </c>
      <c r="B343" s="10" t="s">
        <v>1469</v>
      </c>
      <c r="C343" s="60" t="s">
        <v>1470</v>
      </c>
      <c r="D343" s="12"/>
      <c r="E343" s="13" t="s">
        <v>199</v>
      </c>
      <c r="F343" s="6" t="s">
        <v>199</v>
      </c>
      <c r="G343" s="6" t="str">
        <f ca="1">IFERROR(__xludf.DUMMYFUNCTION("CONCATENATE(B343,(VLOOKUP(C343,CATALOGOS!$F$2:$H$6,3,FALSE)),(VLOOKUP(T343,CATALOGOS!$J$2:$K$18,2,FALSE)),""-"",TO_TEXT(A343))"),"P12SI-0342")</f>
        <v>P12SI-0342</v>
      </c>
      <c r="H343" s="6" t="s">
        <v>2415</v>
      </c>
      <c r="I343" s="6" t="s">
        <v>2416</v>
      </c>
      <c r="J343" s="6" t="s">
        <v>2417</v>
      </c>
      <c r="K343" s="6" t="s">
        <v>2418</v>
      </c>
      <c r="L343" s="17"/>
      <c r="M343" s="17"/>
      <c r="N343" s="17" t="str">
        <f t="shared" si="1"/>
        <v>OK</v>
      </c>
      <c r="O343" s="17" t="s">
        <v>2419</v>
      </c>
      <c r="P343" s="6" t="s">
        <v>2420</v>
      </c>
      <c r="Q343" s="17" t="s">
        <v>2421</v>
      </c>
      <c r="R343" s="17" t="s">
        <v>2422</v>
      </c>
      <c r="S343" s="173" t="s">
        <v>38</v>
      </c>
      <c r="T343" s="181" t="s">
        <v>1483</v>
      </c>
      <c r="U343" s="20" t="s">
        <v>1484</v>
      </c>
      <c r="V343" s="20" t="s">
        <v>1484</v>
      </c>
    </row>
    <row r="344" spans="1:22" ht="29.25">
      <c r="A344" s="10" t="s">
        <v>2423</v>
      </c>
      <c r="B344" s="10" t="s">
        <v>1469</v>
      </c>
      <c r="C344" s="60" t="s">
        <v>1470</v>
      </c>
      <c r="D344" s="12"/>
      <c r="E344" s="13" t="s">
        <v>162</v>
      </c>
      <c r="F344" s="43" t="s">
        <v>285</v>
      </c>
      <c r="G344" s="6" t="str">
        <f ca="1">IFERROR(__xludf.DUMMYFUNCTION("CONCATENATE(B344,(VLOOKUP(C344,CATALOGOS!$F$2:$H$6,3,FALSE)),(VLOOKUP(T344,CATALOGOS!$J$2:$K$18,2,FALSE)),""-"",TO_TEXT(A344))"),"P12SI-0343")</f>
        <v>P12SI-0343</v>
      </c>
      <c r="H344" s="6" t="s">
        <v>2424</v>
      </c>
      <c r="I344" s="6" t="s">
        <v>2425</v>
      </c>
      <c r="J344" s="6" t="s">
        <v>2426</v>
      </c>
      <c r="K344" s="6" t="s">
        <v>141</v>
      </c>
      <c r="L344" s="17"/>
      <c r="M344" s="17"/>
      <c r="N344" s="17" t="str">
        <f t="shared" si="1"/>
        <v>REPETIDO</v>
      </c>
      <c r="O344" s="17" t="s">
        <v>663</v>
      </c>
      <c r="P344" s="32" t="s">
        <v>664</v>
      </c>
      <c r="Q344" s="17" t="s">
        <v>2427</v>
      </c>
      <c r="R344" s="17" t="s">
        <v>2428</v>
      </c>
      <c r="S344" s="173" t="s">
        <v>38</v>
      </c>
      <c r="T344" s="181" t="s">
        <v>1483</v>
      </c>
      <c r="U344" s="20" t="s">
        <v>1484</v>
      </c>
      <c r="V344" s="20" t="s">
        <v>1484</v>
      </c>
    </row>
    <row r="345" spans="1:22" ht="72">
      <c r="A345" s="10" t="s">
        <v>2429</v>
      </c>
      <c r="B345" s="10" t="s">
        <v>1469</v>
      </c>
      <c r="C345" s="60" t="s">
        <v>1470</v>
      </c>
      <c r="D345" s="12"/>
      <c r="E345" s="13" t="s">
        <v>2311</v>
      </c>
      <c r="F345" s="6" t="s">
        <v>2430</v>
      </c>
      <c r="G345" s="6" t="str">
        <f ca="1">IFERROR(__xludf.DUMMYFUNCTION("CONCATENATE(B345,(VLOOKUP(C345,CATALOGOS!$F$2:$H$6,3,FALSE)),(VLOOKUP(T345,CATALOGOS!$J$2:$K$18,2,FALSE)),""-"",TO_TEXT(A345))"),"P12SI-0344")</f>
        <v>P12SI-0344</v>
      </c>
      <c r="H345" s="6" t="s">
        <v>2431</v>
      </c>
      <c r="I345" s="6" t="s">
        <v>2432</v>
      </c>
      <c r="J345" s="6" t="s">
        <v>2433</v>
      </c>
      <c r="K345" s="6" t="s">
        <v>2434</v>
      </c>
      <c r="L345" s="17"/>
      <c r="M345" s="17"/>
      <c r="N345" s="17" t="str">
        <f t="shared" si="1"/>
        <v>OK</v>
      </c>
      <c r="O345" s="17" t="s">
        <v>2317</v>
      </c>
      <c r="P345" s="6" t="s">
        <v>2435</v>
      </c>
      <c r="Q345" s="17" t="s">
        <v>2436</v>
      </c>
      <c r="R345" s="17" t="s">
        <v>2437</v>
      </c>
      <c r="S345" s="173" t="s">
        <v>38</v>
      </c>
      <c r="T345" s="181" t="s">
        <v>1483</v>
      </c>
      <c r="U345" s="20" t="s">
        <v>1484</v>
      </c>
      <c r="V345" s="20" t="s">
        <v>1484</v>
      </c>
    </row>
    <row r="346" spans="1:22" ht="29.25">
      <c r="A346" s="10" t="s">
        <v>2438</v>
      </c>
      <c r="B346" s="10" t="s">
        <v>1469</v>
      </c>
      <c r="C346" s="60" t="s">
        <v>1470</v>
      </c>
      <c r="D346" s="12"/>
      <c r="E346" s="13" t="s">
        <v>151</v>
      </c>
      <c r="F346" s="6" t="s">
        <v>2439</v>
      </c>
      <c r="G346" s="6" t="str">
        <f ca="1">IFERROR(__xludf.DUMMYFUNCTION("CONCATENATE(B346,(VLOOKUP(C346,CATALOGOS!$F$2:$H$6,3,FALSE)),(VLOOKUP(T346,CATALOGOS!$J$2:$K$18,2,FALSE)),""-"",TO_TEXT(A346))"),"P12SI-0345")</f>
        <v>P12SI-0345</v>
      </c>
      <c r="H346" s="6" t="s">
        <v>2440</v>
      </c>
      <c r="I346" s="6" t="s">
        <v>2441</v>
      </c>
      <c r="J346" s="6" t="s">
        <v>2442</v>
      </c>
      <c r="K346" s="6" t="s">
        <v>2443</v>
      </c>
      <c r="L346" s="17"/>
      <c r="M346" s="17"/>
      <c r="N346" s="17" t="str">
        <f t="shared" si="1"/>
        <v>OK</v>
      </c>
      <c r="O346" s="17" t="s">
        <v>703</v>
      </c>
      <c r="P346" s="6" t="s">
        <v>2444</v>
      </c>
      <c r="Q346" s="17" t="s">
        <v>8436</v>
      </c>
      <c r="R346" s="17" t="s">
        <v>2446</v>
      </c>
      <c r="S346" s="173" t="s">
        <v>38</v>
      </c>
      <c r="T346" s="181" t="s">
        <v>1483</v>
      </c>
      <c r="U346" s="20" t="s">
        <v>1484</v>
      </c>
      <c r="V346" s="20" t="s">
        <v>1484</v>
      </c>
    </row>
    <row r="347" spans="1:22" ht="72">
      <c r="A347" s="10" t="s">
        <v>2447</v>
      </c>
      <c r="B347" s="10" t="s">
        <v>1469</v>
      </c>
      <c r="C347" s="60" t="s">
        <v>1470</v>
      </c>
      <c r="D347" s="12"/>
      <c r="E347" s="13" t="s">
        <v>93</v>
      </c>
      <c r="F347" s="6" t="s">
        <v>1380</v>
      </c>
      <c r="G347" s="6" t="str">
        <f ca="1">IFERROR(__xludf.DUMMYFUNCTION("CONCATENATE(B347,(VLOOKUP(C347,CATALOGOS!$F$2:$H$6,3,FALSE)),(VLOOKUP(T347,CATALOGOS!$J$2:$K$18,2,FALSE)),""-"",TO_TEXT(A347))"),"P12SI-0346")</f>
        <v>P12SI-0346</v>
      </c>
      <c r="H347" s="6" t="s">
        <v>2448</v>
      </c>
      <c r="I347" s="62"/>
      <c r="J347" s="6" t="s">
        <v>2449</v>
      </c>
      <c r="K347" s="6" t="s">
        <v>2450</v>
      </c>
      <c r="L347" s="17"/>
      <c r="M347" s="17"/>
      <c r="N347" s="17" t="str">
        <f t="shared" si="1"/>
        <v>OK</v>
      </c>
      <c r="O347" s="17" t="s">
        <v>35</v>
      </c>
      <c r="P347" s="49" t="s">
        <v>35</v>
      </c>
      <c r="Q347" s="17" t="s">
        <v>36</v>
      </c>
      <c r="R347" s="17" t="s">
        <v>2451</v>
      </c>
      <c r="S347" s="173" t="s">
        <v>38</v>
      </c>
      <c r="T347" s="181" t="s">
        <v>1483</v>
      </c>
      <c r="U347" s="20" t="s">
        <v>1484</v>
      </c>
      <c r="V347" s="20" t="s">
        <v>1484</v>
      </c>
    </row>
    <row r="348" spans="1:22" ht="43.5">
      <c r="A348" s="10" t="s">
        <v>2452</v>
      </c>
      <c r="B348" s="10" t="s">
        <v>1469</v>
      </c>
      <c r="C348" s="60" t="s">
        <v>1470</v>
      </c>
      <c r="D348" s="12"/>
      <c r="E348" s="13" t="s">
        <v>116</v>
      </c>
      <c r="F348" s="43" t="s">
        <v>8437</v>
      </c>
      <c r="G348" s="6" t="str">
        <f ca="1">IFERROR(__xludf.DUMMYFUNCTION("CONCATENATE(B348,(VLOOKUP(C348,CATALOGOS!$F$2:$H$6,3,FALSE)),(VLOOKUP(T348,CATALOGOS!$J$2:$K$18,2,FALSE)),""-"",TO_TEXT(A348))"),"P12SI-0347")</f>
        <v>P12SI-0347</v>
      </c>
      <c r="H348" s="6" t="s">
        <v>2454</v>
      </c>
      <c r="I348" s="6" t="s">
        <v>2455</v>
      </c>
      <c r="J348" s="6" t="s">
        <v>2456</v>
      </c>
      <c r="K348" s="6" t="s">
        <v>2457</v>
      </c>
      <c r="L348" s="17"/>
      <c r="M348" s="17"/>
      <c r="N348" s="17" t="str">
        <f t="shared" si="1"/>
        <v>OK</v>
      </c>
      <c r="O348" s="17" t="s">
        <v>35</v>
      </c>
      <c r="P348" s="49" t="s">
        <v>35</v>
      </c>
      <c r="Q348" s="17" t="s">
        <v>36</v>
      </c>
      <c r="R348" s="17" t="s">
        <v>2458</v>
      </c>
      <c r="S348" s="173" t="s">
        <v>38</v>
      </c>
      <c r="T348" s="181" t="s">
        <v>1483</v>
      </c>
      <c r="U348" s="20" t="s">
        <v>1484</v>
      </c>
      <c r="V348" s="20" t="s">
        <v>1484</v>
      </c>
    </row>
    <row r="349" spans="1:22" ht="57.75">
      <c r="A349" s="10" t="s">
        <v>2459</v>
      </c>
      <c r="B349" s="10" t="s">
        <v>1469</v>
      </c>
      <c r="C349" s="60" t="s">
        <v>1470</v>
      </c>
      <c r="D349" s="12"/>
      <c r="E349" s="13" t="s">
        <v>93</v>
      </c>
      <c r="F349" s="6" t="s">
        <v>2460</v>
      </c>
      <c r="G349" s="6" t="str">
        <f ca="1">IFERROR(__xludf.DUMMYFUNCTION("CONCATENATE(B349,(VLOOKUP(C349,CATALOGOS!$F$2:$H$6,3,FALSE)),(VLOOKUP(T349,CATALOGOS!$J$2:$K$18,2,FALSE)),""-"",TO_TEXT(A349))"),"P12SI-0348")</f>
        <v>P12SI-0348</v>
      </c>
      <c r="H349" s="6" t="s">
        <v>2461</v>
      </c>
      <c r="I349" s="6" t="s">
        <v>2462</v>
      </c>
      <c r="J349" s="6" t="s">
        <v>2463</v>
      </c>
      <c r="K349" s="6" t="s">
        <v>2464</v>
      </c>
      <c r="L349" s="17"/>
      <c r="M349" s="17"/>
      <c r="N349" s="17" t="str">
        <f t="shared" si="1"/>
        <v>OK</v>
      </c>
      <c r="O349" s="17" t="s">
        <v>35</v>
      </c>
      <c r="P349" s="6" t="s">
        <v>35</v>
      </c>
      <c r="Q349" s="17" t="s">
        <v>36</v>
      </c>
      <c r="R349" s="17" t="s">
        <v>2465</v>
      </c>
      <c r="S349" s="173" t="s">
        <v>38</v>
      </c>
      <c r="T349" s="181" t="s">
        <v>1483</v>
      </c>
      <c r="U349" s="20" t="s">
        <v>1484</v>
      </c>
      <c r="V349" s="20" t="s">
        <v>1484</v>
      </c>
    </row>
    <row r="350" spans="1:22" ht="57.75">
      <c r="A350" s="10" t="s">
        <v>2467</v>
      </c>
      <c r="B350" s="10" t="s">
        <v>1469</v>
      </c>
      <c r="C350" s="60" t="s">
        <v>1470</v>
      </c>
      <c r="D350" s="12"/>
      <c r="E350" s="13" t="s">
        <v>378</v>
      </c>
      <c r="F350" s="6" t="s">
        <v>878</v>
      </c>
      <c r="G350" s="6" t="str">
        <f ca="1">IFERROR(__xludf.DUMMYFUNCTION("CONCATENATE(B350,(VLOOKUP(C350,CATALOGOS!$F$2:$H$6,3,FALSE)),(VLOOKUP(T350,CATALOGOS!$J$2:$K$18,2,FALSE)),""-"",TO_TEXT(A350))"),"P12SI-0349")</f>
        <v>P12SI-0349</v>
      </c>
      <c r="H350" s="6" t="s">
        <v>2468</v>
      </c>
      <c r="I350" s="6" t="s">
        <v>2469</v>
      </c>
      <c r="J350" s="6" t="s">
        <v>2470</v>
      </c>
      <c r="K350" s="6" t="s">
        <v>2471</v>
      </c>
      <c r="L350" s="17"/>
      <c r="M350" s="17"/>
      <c r="N350" s="17" t="str">
        <f t="shared" si="1"/>
        <v>OK</v>
      </c>
      <c r="O350" s="17" t="s">
        <v>35</v>
      </c>
      <c r="P350" s="6" t="s">
        <v>35</v>
      </c>
      <c r="Q350" s="17" t="s">
        <v>36</v>
      </c>
      <c r="R350" s="17" t="s">
        <v>2472</v>
      </c>
      <c r="S350" s="173" t="s">
        <v>38</v>
      </c>
      <c r="T350" s="181" t="s">
        <v>1483</v>
      </c>
      <c r="U350" s="20" t="s">
        <v>1484</v>
      </c>
      <c r="V350" s="20" t="s">
        <v>1484</v>
      </c>
    </row>
    <row r="351" spans="1:22" ht="57.75">
      <c r="A351" s="10" t="s">
        <v>2473</v>
      </c>
      <c r="B351" s="10" t="s">
        <v>1469</v>
      </c>
      <c r="C351" s="60" t="s">
        <v>1470</v>
      </c>
      <c r="D351" s="12"/>
      <c r="E351" s="13" t="s">
        <v>378</v>
      </c>
      <c r="F351" s="6" t="s">
        <v>878</v>
      </c>
      <c r="G351" s="6" t="str">
        <f ca="1">IFERROR(__xludf.DUMMYFUNCTION("CONCATENATE(B351,(VLOOKUP(C351,CATALOGOS!$F$2:$H$6,3,FALSE)),(VLOOKUP(T351,CATALOGOS!$J$2:$K$18,2,FALSE)),""-"",TO_TEXT(A351))"),"P12SI-0350")</f>
        <v>P12SI-0350</v>
      </c>
      <c r="H351" s="6" t="s">
        <v>2474</v>
      </c>
      <c r="I351" s="6" t="s">
        <v>2475</v>
      </c>
      <c r="J351" s="6" t="s">
        <v>2476</v>
      </c>
      <c r="K351" s="6" t="s">
        <v>2477</v>
      </c>
      <c r="L351" s="17"/>
      <c r="M351" s="17"/>
      <c r="N351" s="17" t="str">
        <f t="shared" si="1"/>
        <v>OK</v>
      </c>
      <c r="O351" s="17" t="s">
        <v>35</v>
      </c>
      <c r="P351" s="6" t="s">
        <v>35</v>
      </c>
      <c r="Q351" s="17" t="s">
        <v>36</v>
      </c>
      <c r="R351" s="17" t="s">
        <v>2478</v>
      </c>
      <c r="S351" s="173" t="s">
        <v>38</v>
      </c>
      <c r="T351" s="181" t="s">
        <v>1483</v>
      </c>
      <c r="U351" s="20" t="s">
        <v>1484</v>
      </c>
      <c r="V351" s="20" t="s">
        <v>1484</v>
      </c>
    </row>
    <row r="352" spans="1:22" ht="43.5">
      <c r="A352" s="10" t="s">
        <v>2479</v>
      </c>
      <c r="B352" s="10" t="s">
        <v>1469</v>
      </c>
      <c r="C352" s="60" t="s">
        <v>1470</v>
      </c>
      <c r="D352" s="12"/>
      <c r="E352" s="13" t="s">
        <v>378</v>
      </c>
      <c r="F352" s="43" t="s">
        <v>2480</v>
      </c>
      <c r="G352" s="6" t="str">
        <f ca="1">IFERROR(__xludf.DUMMYFUNCTION("CONCATENATE(B352,(VLOOKUP(C352,CATALOGOS!$F$2:$H$6,3,FALSE)),(VLOOKUP(T352,CATALOGOS!$J$2:$K$18,2,FALSE)),""-"",TO_TEXT(A352))"),"P12SI-0351")</f>
        <v>P12SI-0351</v>
      </c>
      <c r="H352" s="6" t="s">
        <v>2481</v>
      </c>
      <c r="I352" s="6" t="s">
        <v>2482</v>
      </c>
      <c r="J352" s="6" t="s">
        <v>2483</v>
      </c>
      <c r="K352" s="6" t="s">
        <v>2484</v>
      </c>
      <c r="L352" s="17"/>
      <c r="M352" s="17"/>
      <c r="N352" s="17" t="str">
        <f t="shared" si="1"/>
        <v>OK</v>
      </c>
      <c r="O352" s="17" t="s">
        <v>35</v>
      </c>
      <c r="P352" s="6" t="s">
        <v>35</v>
      </c>
      <c r="Q352" s="17" t="s">
        <v>36</v>
      </c>
      <c r="R352" s="17" t="s">
        <v>2485</v>
      </c>
      <c r="S352" s="173" t="s">
        <v>38</v>
      </c>
      <c r="T352" s="181" t="s">
        <v>1483</v>
      </c>
      <c r="U352" s="20" t="s">
        <v>1484</v>
      </c>
      <c r="V352" s="20" t="s">
        <v>1484</v>
      </c>
    </row>
    <row r="353" spans="1:22" ht="57.75">
      <c r="A353" s="10" t="s">
        <v>2486</v>
      </c>
      <c r="B353" s="10" t="s">
        <v>1469</v>
      </c>
      <c r="C353" s="60" t="s">
        <v>1470</v>
      </c>
      <c r="D353" s="12"/>
      <c r="E353" s="13" t="s">
        <v>184</v>
      </c>
      <c r="F353" s="43" t="s">
        <v>2487</v>
      </c>
      <c r="G353" s="6" t="str">
        <f ca="1">IFERROR(__xludf.DUMMYFUNCTION("CONCATENATE(B353,(VLOOKUP(C353,CATALOGOS!$F$2:$H$6,3,FALSE)),(VLOOKUP(T353,CATALOGOS!$J$2:$K$18,2,FALSE)),""-"",TO_TEXT(A353))"),"P12SI-0352")</f>
        <v>P12SI-0352</v>
      </c>
      <c r="H353" s="6" t="s">
        <v>2488</v>
      </c>
      <c r="I353" s="6" t="s">
        <v>2489</v>
      </c>
      <c r="J353" s="6" t="s">
        <v>2490</v>
      </c>
      <c r="K353" s="6" t="s">
        <v>2491</v>
      </c>
      <c r="L353" s="17"/>
      <c r="M353" s="17"/>
      <c r="N353" s="17" t="str">
        <f t="shared" si="1"/>
        <v>OK</v>
      </c>
      <c r="O353" s="17" t="s">
        <v>35</v>
      </c>
      <c r="P353" s="6" t="s">
        <v>35</v>
      </c>
      <c r="Q353" s="17" t="s">
        <v>36</v>
      </c>
      <c r="R353" s="17" t="s">
        <v>2492</v>
      </c>
      <c r="S353" s="173" t="s">
        <v>549</v>
      </c>
      <c r="T353" s="181" t="s">
        <v>1483</v>
      </c>
      <c r="U353" s="20" t="s">
        <v>1484</v>
      </c>
      <c r="V353" s="20" t="s">
        <v>1484</v>
      </c>
    </row>
    <row r="354" spans="1:22" ht="72">
      <c r="A354" s="10" t="s">
        <v>2493</v>
      </c>
      <c r="B354" s="10" t="s">
        <v>1469</v>
      </c>
      <c r="C354" s="60" t="s">
        <v>1470</v>
      </c>
      <c r="D354" s="12"/>
      <c r="E354" s="13" t="s">
        <v>199</v>
      </c>
      <c r="F354" s="6" t="s">
        <v>677</v>
      </c>
      <c r="G354" s="6" t="str">
        <f ca="1">IFERROR(__xludf.DUMMYFUNCTION("CONCATENATE(B354,(VLOOKUP(C354,CATALOGOS!$F$2:$H$6,3,FALSE)),(VLOOKUP(T354,CATALOGOS!$J$2:$K$18,2,FALSE)),""-"",TO_TEXT(A354))"),"P12SI-0353")</f>
        <v>P12SI-0353</v>
      </c>
      <c r="H354" s="6" t="s">
        <v>2494</v>
      </c>
      <c r="I354" s="6" t="s">
        <v>2495</v>
      </c>
      <c r="J354" s="6" t="s">
        <v>2496</v>
      </c>
      <c r="K354" s="6" t="s">
        <v>141</v>
      </c>
      <c r="L354" s="17"/>
      <c r="M354" s="17"/>
      <c r="N354" s="17" t="str">
        <f t="shared" si="1"/>
        <v>REPETIDO</v>
      </c>
      <c r="O354" s="17" t="s">
        <v>682</v>
      </c>
      <c r="P354" s="32" t="s">
        <v>2497</v>
      </c>
      <c r="Q354" s="17" t="s">
        <v>2498</v>
      </c>
      <c r="R354" s="17" t="s">
        <v>2499</v>
      </c>
      <c r="S354" s="173" t="s">
        <v>38</v>
      </c>
      <c r="T354" s="181" t="s">
        <v>1483</v>
      </c>
      <c r="U354" s="20" t="s">
        <v>1484</v>
      </c>
      <c r="V354" s="20" t="s">
        <v>1484</v>
      </c>
    </row>
    <row r="355" spans="1:22" ht="29.25">
      <c r="A355" s="10" t="s">
        <v>2501</v>
      </c>
      <c r="B355" s="10" t="s">
        <v>1469</v>
      </c>
      <c r="C355" s="60" t="s">
        <v>1470</v>
      </c>
      <c r="D355" s="12"/>
      <c r="E355" s="13" t="s">
        <v>2502</v>
      </c>
      <c r="F355" s="43" t="s">
        <v>2503</v>
      </c>
      <c r="G355" s="6" t="str">
        <f ca="1">IFERROR(__xludf.DUMMYFUNCTION("CONCATENATE(B355,(VLOOKUP(C355,CATALOGOS!$F$2:$H$6,3,FALSE)),(VLOOKUP(T355,CATALOGOS!$J$2:$K$18,2,FALSE)),""-"",TO_TEXT(A355))"),"P12SI-0354")</f>
        <v>P12SI-0354</v>
      </c>
      <c r="H355" s="6" t="s">
        <v>2504</v>
      </c>
      <c r="I355" s="6" t="s">
        <v>2505</v>
      </c>
      <c r="J355" s="6" t="s">
        <v>2506</v>
      </c>
      <c r="K355" s="6" t="s">
        <v>2507</v>
      </c>
      <c r="L355" s="17"/>
      <c r="M355" s="17"/>
      <c r="N355" s="17" t="str">
        <f t="shared" si="1"/>
        <v>OK</v>
      </c>
      <c r="O355" s="17" t="s">
        <v>2508</v>
      </c>
      <c r="P355" s="6" t="s">
        <v>2509</v>
      </c>
      <c r="Q355" s="17" t="s">
        <v>2510</v>
      </c>
      <c r="R355" s="17" t="s">
        <v>85</v>
      </c>
      <c r="S355" s="178" t="s">
        <v>2511</v>
      </c>
      <c r="T355" s="181" t="s">
        <v>1483</v>
      </c>
      <c r="U355" s="20" t="s">
        <v>1484</v>
      </c>
      <c r="V355" s="20" t="s">
        <v>1484</v>
      </c>
    </row>
    <row r="356" spans="1:22" ht="29.25">
      <c r="A356" s="10" t="s">
        <v>2512</v>
      </c>
      <c r="B356" s="10" t="s">
        <v>1469</v>
      </c>
      <c r="C356" s="60" t="s">
        <v>1470</v>
      </c>
      <c r="D356" s="12"/>
      <c r="E356" s="13" t="s">
        <v>151</v>
      </c>
      <c r="F356" s="6" t="s">
        <v>152</v>
      </c>
      <c r="G356" s="6" t="str">
        <f ca="1">IFERROR(__xludf.DUMMYFUNCTION("CONCATENATE(B356,(VLOOKUP(C356,CATALOGOS!$F$2:$H$6,3,FALSE)),(VLOOKUP(T356,CATALOGOS!$J$2:$K$18,2,FALSE)),""-"",TO_TEXT(A356))"),"P12SI-0355")</f>
        <v>P12SI-0355</v>
      </c>
      <c r="H356" s="6" t="s">
        <v>2513</v>
      </c>
      <c r="I356" s="6" t="s">
        <v>2514</v>
      </c>
      <c r="J356" s="6" t="s">
        <v>2515</v>
      </c>
      <c r="K356" s="6" t="s">
        <v>2516</v>
      </c>
      <c r="L356" s="17"/>
      <c r="M356" s="17"/>
      <c r="N356" s="17" t="str">
        <f t="shared" si="1"/>
        <v>OK</v>
      </c>
      <c r="O356" s="17" t="s">
        <v>297</v>
      </c>
      <c r="P356" s="6" t="s">
        <v>1620</v>
      </c>
      <c r="Q356" s="17" t="s">
        <v>2517</v>
      </c>
      <c r="R356" s="17" t="s">
        <v>85</v>
      </c>
      <c r="S356" s="173" t="s">
        <v>38</v>
      </c>
      <c r="T356" s="181" t="s">
        <v>1483</v>
      </c>
      <c r="U356" s="20" t="s">
        <v>1484</v>
      </c>
      <c r="V356" s="20" t="s">
        <v>1484</v>
      </c>
    </row>
    <row r="357" spans="1:22" ht="29.25">
      <c r="A357" s="10" t="s">
        <v>2519</v>
      </c>
      <c r="B357" s="10" t="s">
        <v>1469</v>
      </c>
      <c r="C357" s="60" t="s">
        <v>1470</v>
      </c>
      <c r="D357" s="12"/>
      <c r="E357" s="13" t="s">
        <v>162</v>
      </c>
      <c r="F357" s="43" t="s">
        <v>285</v>
      </c>
      <c r="G357" s="6" t="str">
        <f ca="1">IFERROR(__xludf.DUMMYFUNCTION("CONCATENATE(B357,(VLOOKUP(C357,CATALOGOS!$F$2:$H$6,3,FALSE)),(VLOOKUP(T357,CATALOGOS!$J$2:$K$18,2,FALSE)),""-"",TO_TEXT(A357))"),"P12SI-0356")</f>
        <v>P12SI-0356</v>
      </c>
      <c r="H357" s="6" t="s">
        <v>2520</v>
      </c>
      <c r="I357" s="6" t="s">
        <v>2521</v>
      </c>
      <c r="J357" s="6" t="s">
        <v>2522</v>
      </c>
      <c r="K357" s="6" t="s">
        <v>2523</v>
      </c>
      <c r="L357" s="17"/>
      <c r="M357" s="17"/>
      <c r="N357" s="17" t="str">
        <f t="shared" si="1"/>
        <v>OK</v>
      </c>
      <c r="O357" s="17" t="s">
        <v>168</v>
      </c>
      <c r="P357" s="6" t="s">
        <v>169</v>
      </c>
      <c r="Q357" s="17" t="s">
        <v>2524</v>
      </c>
      <c r="R357" s="17" t="s">
        <v>2525</v>
      </c>
      <c r="S357" s="173" t="s">
        <v>38</v>
      </c>
      <c r="T357" s="181" t="s">
        <v>1483</v>
      </c>
      <c r="U357" s="20" t="s">
        <v>1484</v>
      </c>
      <c r="V357" s="20" t="s">
        <v>1484</v>
      </c>
    </row>
    <row r="358" spans="1:22" ht="72">
      <c r="A358" s="10" t="s">
        <v>2526</v>
      </c>
      <c r="B358" s="10" t="s">
        <v>1469</v>
      </c>
      <c r="C358" s="60" t="s">
        <v>1470</v>
      </c>
      <c r="D358" s="12"/>
      <c r="E358" s="13" t="s">
        <v>93</v>
      </c>
      <c r="F358" s="6" t="s">
        <v>2527</v>
      </c>
      <c r="G358" s="6" t="str">
        <f ca="1">IFERROR(__xludf.DUMMYFUNCTION("CONCATENATE(B358,(VLOOKUP(C358,CATALOGOS!$F$2:$H$6,3,FALSE)),(VLOOKUP(T358,CATALOGOS!$J$2:$K$18,2,FALSE)),""-"",TO_TEXT(A358))"),"P12SI-0357")</f>
        <v>P12SI-0357</v>
      </c>
      <c r="H358" s="6" t="s">
        <v>2528</v>
      </c>
      <c r="I358" s="6" t="s">
        <v>2529</v>
      </c>
      <c r="J358" s="6" t="s">
        <v>2530</v>
      </c>
      <c r="K358" s="6" t="s">
        <v>2531</v>
      </c>
      <c r="L358" s="17"/>
      <c r="M358" s="17"/>
      <c r="N358" s="17" t="str">
        <f t="shared" si="1"/>
        <v>OK</v>
      </c>
      <c r="O358" s="17" t="s">
        <v>35</v>
      </c>
      <c r="P358" s="6" t="s">
        <v>35</v>
      </c>
      <c r="Q358" s="17" t="s">
        <v>36</v>
      </c>
      <c r="R358" s="17" t="s">
        <v>2532</v>
      </c>
      <c r="S358" s="173" t="s">
        <v>38</v>
      </c>
      <c r="T358" s="181" t="s">
        <v>1483</v>
      </c>
      <c r="U358" s="20" t="s">
        <v>2533</v>
      </c>
      <c r="V358" s="20" t="s">
        <v>2533</v>
      </c>
    </row>
    <row r="359" spans="1:22" ht="30">
      <c r="A359" s="10" t="s">
        <v>2534</v>
      </c>
      <c r="B359" s="10" t="s">
        <v>1469</v>
      </c>
      <c r="C359" s="60" t="s">
        <v>1470</v>
      </c>
      <c r="D359" s="38"/>
      <c r="E359" s="13" t="s">
        <v>248</v>
      </c>
      <c r="F359" s="6" t="s">
        <v>2535</v>
      </c>
      <c r="G359" s="6" t="str">
        <f ca="1">IFERROR(__xludf.DUMMYFUNCTION("CONCATENATE(B359,(VLOOKUP(C359,CATALOGOS!$F$2:$H$6,3,FALSE)),(VLOOKUP(T359,CATALOGOS!$J$2:$K$18,2,FALSE)),""-"",TO_TEXT(A359))"),"P12SI-0358")</f>
        <v>P12SI-0358</v>
      </c>
      <c r="H359" s="6" t="s">
        <v>2536</v>
      </c>
      <c r="I359" s="6" t="s">
        <v>2537</v>
      </c>
      <c r="J359" s="6" t="s">
        <v>2538</v>
      </c>
      <c r="K359" s="6" t="s">
        <v>2539</v>
      </c>
      <c r="L359" s="17"/>
      <c r="M359" s="17"/>
      <c r="N359" s="17" t="str">
        <f t="shared" si="1"/>
        <v>OK</v>
      </c>
      <c r="O359" s="17" t="s">
        <v>2540</v>
      </c>
      <c r="P359" s="6" t="s">
        <v>2541</v>
      </c>
      <c r="Q359" s="46" t="s">
        <v>2542</v>
      </c>
      <c r="R359" s="17" t="s">
        <v>2543</v>
      </c>
      <c r="S359" s="173" t="s">
        <v>38</v>
      </c>
      <c r="T359" s="181" t="s">
        <v>1483</v>
      </c>
      <c r="U359" s="10" t="s">
        <v>2533</v>
      </c>
      <c r="V359" s="10" t="s">
        <v>2533</v>
      </c>
    </row>
    <row r="360" spans="1:22" ht="100.5">
      <c r="A360" s="10" t="s">
        <v>2545</v>
      </c>
      <c r="B360" s="10" t="s">
        <v>1469</v>
      </c>
      <c r="C360" s="60" t="s">
        <v>1470</v>
      </c>
      <c r="D360" s="12"/>
      <c r="E360" s="13" t="s">
        <v>116</v>
      </c>
      <c r="F360" s="43" t="s">
        <v>2546</v>
      </c>
      <c r="G360" s="6" t="str">
        <f ca="1">IFERROR(__xludf.DUMMYFUNCTION("CONCATENATE(B360,(VLOOKUP(C360,CATALOGOS!$F$2:$H$6,3,FALSE)),(VLOOKUP(T360,CATALOGOS!$J$2:$K$18,2,FALSE)),""-"",TO_TEXT(A360))"),"P12SI-0359")</f>
        <v>P12SI-0359</v>
      </c>
      <c r="H360" s="6" t="s">
        <v>2547</v>
      </c>
      <c r="I360" s="6" t="s">
        <v>2548</v>
      </c>
      <c r="J360" s="6" t="s">
        <v>2549</v>
      </c>
      <c r="K360" s="6" t="s">
        <v>2550</v>
      </c>
      <c r="L360" s="17"/>
      <c r="M360" s="17"/>
      <c r="N360" s="17" t="str">
        <f t="shared" si="1"/>
        <v>OK</v>
      </c>
      <c r="O360" s="17" t="s">
        <v>35</v>
      </c>
      <c r="P360" s="49" t="s">
        <v>35</v>
      </c>
      <c r="Q360" s="17" t="s">
        <v>36</v>
      </c>
      <c r="R360" s="17" t="s">
        <v>2551</v>
      </c>
      <c r="S360" s="173" t="s">
        <v>38</v>
      </c>
      <c r="T360" s="181" t="s">
        <v>1483</v>
      </c>
      <c r="U360" s="22" t="s">
        <v>2552</v>
      </c>
      <c r="V360" s="22" t="s">
        <v>2552</v>
      </c>
    </row>
    <row r="361" spans="1:22" ht="29.25">
      <c r="A361" s="10" t="s">
        <v>2553</v>
      </c>
      <c r="B361" s="10" t="s">
        <v>1469</v>
      </c>
      <c r="C361" s="60" t="s">
        <v>1470</v>
      </c>
      <c r="D361" s="12"/>
      <c r="E361" s="13" t="s">
        <v>151</v>
      </c>
      <c r="F361" s="6" t="s">
        <v>152</v>
      </c>
      <c r="G361" s="6" t="str">
        <f ca="1">IFERROR(__xludf.DUMMYFUNCTION("CONCATENATE(B361,(VLOOKUP(C361,CATALOGOS!$F$2:$H$6,3,FALSE)),(VLOOKUP(T361,CATALOGOS!$J$2:$K$18,2,FALSE)),""-"",TO_TEXT(A361))"),"P12SI-0360")</f>
        <v>P12SI-0360</v>
      </c>
      <c r="H361" s="6" t="s">
        <v>2554</v>
      </c>
      <c r="I361" s="6" t="s">
        <v>2555</v>
      </c>
      <c r="J361" s="6" t="s">
        <v>2556</v>
      </c>
      <c r="K361" s="6" t="s">
        <v>2557</v>
      </c>
      <c r="L361" s="17"/>
      <c r="M361" s="17"/>
      <c r="N361" s="17" t="str">
        <f t="shared" si="1"/>
        <v>OK</v>
      </c>
      <c r="O361" s="17" t="s">
        <v>205</v>
      </c>
      <c r="P361" s="6" t="s">
        <v>916</v>
      </c>
      <c r="Q361" s="17" t="s">
        <v>2558</v>
      </c>
      <c r="R361" s="17" t="s">
        <v>2559</v>
      </c>
      <c r="S361" s="173" t="s">
        <v>38</v>
      </c>
      <c r="T361" s="181" t="s">
        <v>1483</v>
      </c>
      <c r="U361" s="22" t="s">
        <v>2552</v>
      </c>
      <c r="V361" s="22" t="s">
        <v>2552</v>
      </c>
    </row>
    <row r="362" spans="1:22" ht="86.25">
      <c r="A362" s="10" t="s">
        <v>2560</v>
      </c>
      <c r="B362" s="10" t="s">
        <v>1469</v>
      </c>
      <c r="C362" s="60" t="s">
        <v>1470</v>
      </c>
      <c r="D362" s="12"/>
      <c r="E362" s="13" t="s">
        <v>1240</v>
      </c>
      <c r="F362" s="43" t="s">
        <v>278</v>
      </c>
      <c r="G362" s="6" t="str">
        <f ca="1">IFERROR(__xludf.DUMMYFUNCTION("CONCATENATE(B362,(VLOOKUP(C362,CATALOGOS!$F$2:$H$6,3,FALSE)),(VLOOKUP(T362,CATALOGOS!$J$2:$K$18,2,FALSE)),""-"",TO_TEXT(A362))"),"P12SI-0361")</f>
        <v>P12SI-0361</v>
      </c>
      <c r="H362" s="6" t="s">
        <v>2561</v>
      </c>
      <c r="I362" s="6" t="s">
        <v>2562</v>
      </c>
      <c r="J362" s="6" t="s">
        <v>2563</v>
      </c>
      <c r="K362" s="6" t="s">
        <v>2564</v>
      </c>
      <c r="L362" s="17"/>
      <c r="M362" s="17"/>
      <c r="N362" s="17" t="str">
        <f t="shared" si="1"/>
        <v>OK</v>
      </c>
      <c r="O362" s="17" t="s">
        <v>35</v>
      </c>
      <c r="P362" s="6" t="s">
        <v>35</v>
      </c>
      <c r="Q362" s="17" t="s">
        <v>36</v>
      </c>
      <c r="R362" s="17" t="s">
        <v>2565</v>
      </c>
      <c r="S362" s="173" t="s">
        <v>38</v>
      </c>
      <c r="T362" s="181" t="s">
        <v>1483</v>
      </c>
      <c r="U362" s="22" t="s">
        <v>2552</v>
      </c>
      <c r="V362" s="22" t="s">
        <v>2552</v>
      </c>
    </row>
    <row r="363" spans="1:22" ht="29.25">
      <c r="A363" s="10" t="s">
        <v>2566</v>
      </c>
      <c r="B363" s="10" t="s">
        <v>1469</v>
      </c>
      <c r="C363" s="60" t="s">
        <v>1470</v>
      </c>
      <c r="D363" s="12"/>
      <c r="E363" s="13" t="s">
        <v>248</v>
      </c>
      <c r="F363" s="43" t="s">
        <v>248</v>
      </c>
      <c r="G363" s="6" t="str">
        <f ca="1">IFERROR(__xludf.DUMMYFUNCTION("CONCATENATE(B363,(VLOOKUP(C363,CATALOGOS!$F$2:$H$6,3,FALSE)),(VLOOKUP(T363,CATALOGOS!$J$2:$K$18,2,FALSE)),""-"",TO_TEXT(A363))"),"P12SI-0362")</f>
        <v>P12SI-0362</v>
      </c>
      <c r="H363" s="6" t="s">
        <v>2567</v>
      </c>
      <c r="I363" s="6" t="s">
        <v>2568</v>
      </c>
      <c r="J363" s="6" t="s">
        <v>2569</v>
      </c>
      <c r="K363" s="6" t="s">
        <v>2570</v>
      </c>
      <c r="L363" s="17"/>
      <c r="M363" s="17"/>
      <c r="N363" s="17" t="str">
        <f t="shared" si="1"/>
        <v>OK</v>
      </c>
      <c r="O363" s="17" t="s">
        <v>250</v>
      </c>
      <c r="P363" s="6" t="s">
        <v>35</v>
      </c>
      <c r="Q363" s="17" t="s">
        <v>2571</v>
      </c>
      <c r="R363" s="17" t="s">
        <v>2572</v>
      </c>
      <c r="S363" s="173" t="s">
        <v>38</v>
      </c>
      <c r="T363" s="181" t="s">
        <v>1483</v>
      </c>
      <c r="U363" s="22" t="s">
        <v>2552</v>
      </c>
      <c r="V363" s="22" t="s">
        <v>2552</v>
      </c>
    </row>
    <row r="364" spans="1:22" ht="57.75">
      <c r="A364" s="10" t="s">
        <v>2573</v>
      </c>
      <c r="B364" s="10" t="s">
        <v>1469</v>
      </c>
      <c r="C364" s="60" t="s">
        <v>1470</v>
      </c>
      <c r="D364" s="12"/>
      <c r="E364" s="13" t="s">
        <v>199</v>
      </c>
      <c r="F364" s="43" t="s">
        <v>1394</v>
      </c>
      <c r="G364" s="6" t="str">
        <f ca="1">IFERROR(__xludf.DUMMYFUNCTION("CONCATENATE(B364,(VLOOKUP(C364,CATALOGOS!$F$2:$H$6,3,FALSE)),(VLOOKUP(T364,CATALOGOS!$J$2:$K$18,2,FALSE)),""-"",TO_TEXT(A364))"),"P12SI-0363")</f>
        <v>P12SI-0363</v>
      </c>
      <c r="H364" s="6" t="s">
        <v>2574</v>
      </c>
      <c r="I364" s="6" t="s">
        <v>2575</v>
      </c>
      <c r="J364" s="6" t="s">
        <v>2576</v>
      </c>
      <c r="K364" s="6" t="s">
        <v>2577</v>
      </c>
      <c r="L364" s="17"/>
      <c r="M364" s="17"/>
      <c r="N364" s="17" t="str">
        <f t="shared" si="1"/>
        <v>OK</v>
      </c>
      <c r="O364" s="17" t="s">
        <v>297</v>
      </c>
      <c r="P364" s="6" t="s">
        <v>2009</v>
      </c>
      <c r="Q364" s="17" t="s">
        <v>2578</v>
      </c>
      <c r="R364" s="17" t="s">
        <v>2579</v>
      </c>
      <c r="S364" s="173" t="s">
        <v>38</v>
      </c>
      <c r="T364" s="181" t="s">
        <v>1483</v>
      </c>
      <c r="U364" s="22" t="s">
        <v>2552</v>
      </c>
      <c r="V364" s="22" t="s">
        <v>2552</v>
      </c>
    </row>
    <row r="365" spans="1:22" ht="29.25">
      <c r="A365" s="10" t="s">
        <v>2580</v>
      </c>
      <c r="B365" s="10" t="s">
        <v>1469</v>
      </c>
      <c r="C365" s="60" t="s">
        <v>1470</v>
      </c>
      <c r="D365" s="12"/>
      <c r="E365" s="13" t="s">
        <v>43</v>
      </c>
      <c r="F365" s="6" t="s">
        <v>2581</v>
      </c>
      <c r="G365" s="6" t="str">
        <f ca="1">IFERROR(__xludf.DUMMYFUNCTION("CONCATENATE(B365,(VLOOKUP(C365,CATALOGOS!$F$2:$H$6,3,FALSE)),(VLOOKUP(T365,CATALOGOS!$J$2:$K$18,2,FALSE)),""-"",TO_TEXT(A365))"),"P12SI-0364")</f>
        <v>P12SI-0364</v>
      </c>
      <c r="H365" s="6" t="s">
        <v>2582</v>
      </c>
      <c r="I365" s="6" t="s">
        <v>2583</v>
      </c>
      <c r="J365" s="6" t="s">
        <v>2584</v>
      </c>
      <c r="K365" s="6" t="s">
        <v>2585</v>
      </c>
      <c r="L365" s="17"/>
      <c r="M365" s="17"/>
      <c r="N365" s="17" t="str">
        <f t="shared" si="1"/>
        <v>OK</v>
      </c>
      <c r="O365" s="17" t="s">
        <v>2586</v>
      </c>
      <c r="P365" s="6" t="s">
        <v>2587</v>
      </c>
      <c r="Q365" s="17" t="s">
        <v>36</v>
      </c>
      <c r="R365" s="10" t="s">
        <v>2588</v>
      </c>
      <c r="S365" s="173" t="s">
        <v>100</v>
      </c>
      <c r="T365" s="181" t="s">
        <v>1483</v>
      </c>
      <c r="U365" s="22" t="s">
        <v>2552</v>
      </c>
      <c r="V365" s="22" t="s">
        <v>2552</v>
      </c>
    </row>
    <row r="366" spans="1:22" ht="57.75">
      <c r="A366" s="10" t="s">
        <v>2589</v>
      </c>
      <c r="B366" s="10" t="s">
        <v>1469</v>
      </c>
      <c r="C366" s="60" t="s">
        <v>1470</v>
      </c>
      <c r="D366" s="12"/>
      <c r="E366" s="13" t="s">
        <v>184</v>
      </c>
      <c r="F366" s="6" t="s">
        <v>927</v>
      </c>
      <c r="G366" s="6" t="str">
        <f ca="1">IFERROR(__xludf.DUMMYFUNCTION("CONCATENATE(B366,(VLOOKUP(C366,CATALOGOS!$F$2:$H$6,3,FALSE)),(VLOOKUP(T366,CATALOGOS!$J$2:$K$18,2,FALSE)),""-"",TO_TEXT(A366))"),"P12SI-0365")</f>
        <v>P12SI-0365</v>
      </c>
      <c r="H366" s="6" t="s">
        <v>2590</v>
      </c>
      <c r="I366" s="6" t="s">
        <v>2591</v>
      </c>
      <c r="J366" s="6" t="s">
        <v>2592</v>
      </c>
      <c r="K366" s="6" t="s">
        <v>2593</v>
      </c>
      <c r="L366" s="17"/>
      <c r="M366" s="17"/>
      <c r="N366" s="17" t="str">
        <f t="shared" si="1"/>
        <v>OK</v>
      </c>
      <c r="O366" s="17" t="s">
        <v>35</v>
      </c>
      <c r="P366" s="6" t="s">
        <v>35</v>
      </c>
      <c r="Q366" s="17" t="s">
        <v>36</v>
      </c>
      <c r="R366" s="17" t="s">
        <v>2594</v>
      </c>
      <c r="S366" s="173" t="s">
        <v>38</v>
      </c>
      <c r="T366" s="181" t="s">
        <v>1483</v>
      </c>
      <c r="U366" s="22" t="s">
        <v>2552</v>
      </c>
      <c r="V366" s="22" t="s">
        <v>2552</v>
      </c>
    </row>
    <row r="367" spans="1:22" ht="29.25">
      <c r="A367" s="10" t="s">
        <v>2595</v>
      </c>
      <c r="B367" s="10" t="s">
        <v>1469</v>
      </c>
      <c r="C367" s="60" t="s">
        <v>1470</v>
      </c>
      <c r="D367" s="38"/>
      <c r="E367" s="13" t="s">
        <v>2311</v>
      </c>
      <c r="F367" s="6" t="s">
        <v>2596</v>
      </c>
      <c r="G367" s="6" t="str">
        <f ca="1">IFERROR(__xludf.DUMMYFUNCTION("CONCATENATE(B367,(VLOOKUP(C367,CATALOGOS!$F$2:$H$6,3,FALSE)),(VLOOKUP(T367,CATALOGOS!$J$2:$K$18,2,FALSE)),""-"",TO_TEXT(A367))"),"P12SI-0366")</f>
        <v>P12SI-0366</v>
      </c>
      <c r="H367" s="6" t="s">
        <v>2597</v>
      </c>
      <c r="I367" s="6" t="s">
        <v>2598</v>
      </c>
      <c r="J367" s="36"/>
      <c r="K367" s="6" t="s">
        <v>141</v>
      </c>
      <c r="L367" s="17"/>
      <c r="M367" s="17"/>
      <c r="N367" s="17" t="str">
        <f t="shared" si="1"/>
        <v>REPETIDO</v>
      </c>
      <c r="O367" s="17" t="s">
        <v>2599</v>
      </c>
      <c r="P367" s="6" t="s">
        <v>2600</v>
      </c>
      <c r="Q367" s="6" t="s">
        <v>2601</v>
      </c>
      <c r="R367" s="32" t="s">
        <v>85</v>
      </c>
      <c r="S367" s="173" t="s">
        <v>38</v>
      </c>
      <c r="T367" s="181" t="s">
        <v>1483</v>
      </c>
      <c r="U367" s="32" t="s">
        <v>2552</v>
      </c>
      <c r="V367" s="32" t="s">
        <v>2552</v>
      </c>
    </row>
    <row r="368" spans="1:22" ht="29.25">
      <c r="A368" s="10" t="s">
        <v>2602</v>
      </c>
      <c r="B368" s="10" t="s">
        <v>1469</v>
      </c>
      <c r="C368" s="60" t="s">
        <v>1470</v>
      </c>
      <c r="D368" s="12"/>
      <c r="E368" s="13" t="s">
        <v>151</v>
      </c>
      <c r="F368" s="6" t="s">
        <v>151</v>
      </c>
      <c r="G368" s="6" t="str">
        <f ca="1">IFERROR(__xludf.DUMMYFUNCTION("CONCATENATE(B368,(VLOOKUP(C368,CATALOGOS!$F$2:$H$6,3,FALSE)),(VLOOKUP(T368,CATALOGOS!$J$2:$K$18,2,FALSE)),""-"",TO_TEXT(A368))"),"P12SI-0367")</f>
        <v>P12SI-0367</v>
      </c>
      <c r="H368" s="6" t="s">
        <v>2603</v>
      </c>
      <c r="I368" s="6" t="s">
        <v>2604</v>
      </c>
      <c r="J368" s="6" t="s">
        <v>2605</v>
      </c>
      <c r="K368" s="6" t="s">
        <v>2606</v>
      </c>
      <c r="L368" s="17"/>
      <c r="M368" s="17"/>
      <c r="N368" s="17" t="str">
        <f t="shared" si="1"/>
        <v>OK</v>
      </c>
      <c r="O368" s="17" t="s">
        <v>297</v>
      </c>
      <c r="P368" s="6" t="s">
        <v>1407</v>
      </c>
      <c r="Q368" s="17" t="s">
        <v>2607</v>
      </c>
      <c r="R368" s="10" t="s">
        <v>2608</v>
      </c>
      <c r="S368" s="173" t="s">
        <v>38</v>
      </c>
      <c r="T368" s="181" t="s">
        <v>1483</v>
      </c>
      <c r="U368" s="22" t="s">
        <v>2500</v>
      </c>
      <c r="V368" s="22" t="s">
        <v>2500</v>
      </c>
    </row>
    <row r="369" spans="1:22" ht="29.25">
      <c r="A369" s="10" t="s">
        <v>2609</v>
      </c>
      <c r="B369" s="10" t="s">
        <v>1469</v>
      </c>
      <c r="C369" s="60" t="s">
        <v>1470</v>
      </c>
      <c r="D369" s="12"/>
      <c r="E369" s="13" t="s">
        <v>151</v>
      </c>
      <c r="F369" s="6" t="s">
        <v>151</v>
      </c>
      <c r="G369" s="6" t="str">
        <f ca="1">IFERROR(__xludf.DUMMYFUNCTION("CONCATENATE(B369,(VLOOKUP(C369,CATALOGOS!$F$2:$H$6,3,FALSE)),(VLOOKUP(T369,CATALOGOS!$J$2:$K$18,2,FALSE)),""-"",TO_TEXT(A369))"),"P12SI-0368")</f>
        <v>P12SI-0368</v>
      </c>
      <c r="H369" s="6" t="s">
        <v>2610</v>
      </c>
      <c r="I369" s="6" t="s">
        <v>2611</v>
      </c>
      <c r="J369" s="6" t="s">
        <v>2612</v>
      </c>
      <c r="K369" s="6" t="s">
        <v>2613</v>
      </c>
      <c r="L369" s="17"/>
      <c r="M369" s="17"/>
      <c r="N369" s="17" t="str">
        <f t="shared" si="1"/>
        <v>OK</v>
      </c>
      <c r="O369" s="17" t="s">
        <v>297</v>
      </c>
      <c r="P369" s="6" t="s">
        <v>1407</v>
      </c>
      <c r="Q369" s="17" t="s">
        <v>2614</v>
      </c>
      <c r="R369" s="10" t="s">
        <v>2615</v>
      </c>
      <c r="S369" s="173" t="s">
        <v>38</v>
      </c>
      <c r="T369" s="181" t="s">
        <v>1483</v>
      </c>
      <c r="U369" s="22" t="s">
        <v>2500</v>
      </c>
      <c r="V369" s="22" t="s">
        <v>2500</v>
      </c>
    </row>
    <row r="370" spans="1:22" ht="57.75">
      <c r="A370" s="10" t="s">
        <v>2616</v>
      </c>
      <c r="B370" s="10" t="s">
        <v>1469</v>
      </c>
      <c r="C370" s="60" t="s">
        <v>1470</v>
      </c>
      <c r="D370" s="12"/>
      <c r="E370" s="13" t="s">
        <v>199</v>
      </c>
      <c r="F370" s="43" t="s">
        <v>1394</v>
      </c>
      <c r="G370" s="6" t="str">
        <f ca="1">IFERROR(__xludf.DUMMYFUNCTION("CONCATENATE(B370,(VLOOKUP(C370,CATALOGOS!$F$2:$H$6,3,FALSE)),(VLOOKUP(T370,CATALOGOS!$J$2:$K$18,2,FALSE)),""-"",TO_TEXT(A370))"),"P12SI-0369")</f>
        <v>P12SI-0369</v>
      </c>
      <c r="H370" s="6" t="s">
        <v>2617</v>
      </c>
      <c r="I370" s="6" t="s">
        <v>2618</v>
      </c>
      <c r="J370" s="6" t="s">
        <v>2619</v>
      </c>
      <c r="K370" s="6" t="s">
        <v>141</v>
      </c>
      <c r="L370" s="17"/>
      <c r="M370" s="17"/>
      <c r="N370" s="17" t="str">
        <f t="shared" si="1"/>
        <v>REPETIDO</v>
      </c>
      <c r="O370" s="17" t="s">
        <v>297</v>
      </c>
      <c r="P370" s="32" t="s">
        <v>2620</v>
      </c>
      <c r="Q370" s="17" t="s">
        <v>2621</v>
      </c>
      <c r="R370" s="17" t="s">
        <v>2622</v>
      </c>
      <c r="S370" s="173" t="s">
        <v>38</v>
      </c>
      <c r="T370" s="181" t="s">
        <v>1483</v>
      </c>
      <c r="U370" s="22" t="s">
        <v>2500</v>
      </c>
      <c r="V370" s="22" t="s">
        <v>2500</v>
      </c>
    </row>
    <row r="371" spans="1:22" ht="72">
      <c r="A371" s="10" t="s">
        <v>2623</v>
      </c>
      <c r="B371" s="10" t="s">
        <v>1469</v>
      </c>
      <c r="C371" s="60" t="s">
        <v>1470</v>
      </c>
      <c r="D371" s="12"/>
      <c r="E371" s="13" t="s">
        <v>2311</v>
      </c>
      <c r="F371" s="6" t="s">
        <v>2624</v>
      </c>
      <c r="G371" s="6" t="str">
        <f ca="1">IFERROR(__xludf.DUMMYFUNCTION("CONCATENATE(B371,(VLOOKUP(C371,CATALOGOS!$F$2:$H$6,3,FALSE)),(VLOOKUP(T371,CATALOGOS!$J$2:$K$18,2,FALSE)),""-"",TO_TEXT(A371))"),"P12SI-0370")</f>
        <v>P12SI-0370</v>
      </c>
      <c r="H371" s="6" t="s">
        <v>2625</v>
      </c>
      <c r="I371" s="6" t="s">
        <v>2626</v>
      </c>
      <c r="J371" s="6" t="s">
        <v>2627</v>
      </c>
      <c r="K371" s="6" t="s">
        <v>2628</v>
      </c>
      <c r="L371" s="17"/>
      <c r="M371" s="17"/>
      <c r="N371" s="17" t="str">
        <f t="shared" si="1"/>
        <v>OK</v>
      </c>
      <c r="O371" s="17" t="s">
        <v>2629</v>
      </c>
      <c r="P371" s="6" t="s">
        <v>2630</v>
      </c>
      <c r="Q371" s="17" t="s">
        <v>2631</v>
      </c>
      <c r="R371" s="10" t="s">
        <v>2632</v>
      </c>
      <c r="S371" s="173" t="s">
        <v>38</v>
      </c>
      <c r="T371" s="181" t="s">
        <v>1483</v>
      </c>
      <c r="U371" s="22" t="s">
        <v>2500</v>
      </c>
      <c r="V371" s="22" t="s">
        <v>2500</v>
      </c>
    </row>
    <row r="372" spans="1:22" ht="29.25">
      <c r="A372" s="10" t="s">
        <v>2633</v>
      </c>
      <c r="B372" s="10" t="s">
        <v>1469</v>
      </c>
      <c r="C372" s="60" t="s">
        <v>1470</v>
      </c>
      <c r="D372" s="12"/>
      <c r="E372" s="13" t="s">
        <v>136</v>
      </c>
      <c r="F372" s="43" t="s">
        <v>136</v>
      </c>
      <c r="G372" s="6" t="str">
        <f ca="1">IFERROR(__xludf.DUMMYFUNCTION("CONCATENATE(B372,(VLOOKUP(C372,CATALOGOS!$F$2:$H$6,3,FALSE)),(VLOOKUP(T372,CATALOGOS!$J$2:$K$18,2,FALSE)),""-"",TO_TEXT(A372))"),"P12SI-0371")</f>
        <v>P12SI-0371</v>
      </c>
      <c r="H372" s="6" t="s">
        <v>2634</v>
      </c>
      <c r="I372" s="6" t="s">
        <v>2635</v>
      </c>
      <c r="J372" s="6" t="s">
        <v>2636</v>
      </c>
      <c r="K372" s="6" t="s">
        <v>2637</v>
      </c>
      <c r="L372" s="17"/>
      <c r="M372" s="17"/>
      <c r="N372" s="17" t="str">
        <f t="shared" si="1"/>
        <v>OK</v>
      </c>
      <c r="O372" s="17" t="s">
        <v>143</v>
      </c>
      <c r="P372" s="6" t="s">
        <v>1330</v>
      </c>
      <c r="Q372" s="17" t="s">
        <v>2638</v>
      </c>
      <c r="R372" s="10" t="s">
        <v>2639</v>
      </c>
      <c r="S372" s="178" t="s">
        <v>142</v>
      </c>
      <c r="T372" s="181" t="s">
        <v>1483</v>
      </c>
      <c r="U372" s="22" t="s">
        <v>2500</v>
      </c>
      <c r="V372" s="22" t="s">
        <v>2500</v>
      </c>
    </row>
    <row r="373" spans="1:22" ht="43.5">
      <c r="A373" s="10" t="s">
        <v>2640</v>
      </c>
      <c r="B373" s="10" t="s">
        <v>1469</v>
      </c>
      <c r="C373" s="60" t="s">
        <v>1470</v>
      </c>
      <c r="D373" s="12"/>
      <c r="E373" s="13" t="s">
        <v>43</v>
      </c>
      <c r="F373" s="6" t="s">
        <v>2641</v>
      </c>
      <c r="G373" s="6" t="str">
        <f ca="1">IFERROR(__xludf.DUMMYFUNCTION("CONCATENATE(B373,(VLOOKUP(C373,CATALOGOS!$F$2:$H$6,3,FALSE)),(VLOOKUP(T373,CATALOGOS!$J$2:$K$18,2,FALSE)),""-"",TO_TEXT(A373))"),"P12SI-0372")</f>
        <v>P12SI-0372</v>
      </c>
      <c r="H373" s="6" t="s">
        <v>2642</v>
      </c>
      <c r="I373" s="6" t="s">
        <v>2643</v>
      </c>
      <c r="J373" s="6" t="s">
        <v>2644</v>
      </c>
      <c r="K373" s="6" t="s">
        <v>2645</v>
      </c>
      <c r="L373" s="17"/>
      <c r="M373" s="17"/>
      <c r="N373" s="17" t="str">
        <f t="shared" si="1"/>
        <v>OK</v>
      </c>
      <c r="O373" s="17" t="s">
        <v>406</v>
      </c>
      <c r="P373" s="6" t="s">
        <v>1271</v>
      </c>
      <c r="Q373" s="17" t="s">
        <v>2646</v>
      </c>
      <c r="R373" s="17" t="s">
        <v>2647</v>
      </c>
      <c r="S373" s="173" t="s">
        <v>38</v>
      </c>
      <c r="T373" s="181" t="s">
        <v>1483</v>
      </c>
      <c r="U373" s="22" t="s">
        <v>2500</v>
      </c>
      <c r="V373" s="22" t="s">
        <v>2500</v>
      </c>
    </row>
    <row r="374" spans="1:22" ht="29.25">
      <c r="A374" s="10" t="s">
        <v>2648</v>
      </c>
      <c r="B374" s="10" t="s">
        <v>1469</v>
      </c>
      <c r="C374" s="60" t="s">
        <v>1470</v>
      </c>
      <c r="D374" s="12"/>
      <c r="E374" s="13" t="s">
        <v>248</v>
      </c>
      <c r="F374" s="6" t="s">
        <v>248</v>
      </c>
      <c r="G374" s="6" t="str">
        <f ca="1">IFERROR(__xludf.DUMMYFUNCTION("CONCATENATE(B374,(VLOOKUP(C374,CATALOGOS!$F$2:$H$6,3,FALSE)),(VLOOKUP(T374,CATALOGOS!$J$2:$K$18,2,FALSE)),""-"",TO_TEXT(A374))"),"P12SI-0373")</f>
        <v>P12SI-0373</v>
      </c>
      <c r="H374" s="6" t="s">
        <v>2649</v>
      </c>
      <c r="I374" s="6" t="s">
        <v>2650</v>
      </c>
      <c r="J374" s="6" t="s">
        <v>2651</v>
      </c>
      <c r="K374" s="6" t="s">
        <v>2652</v>
      </c>
      <c r="L374" s="17"/>
      <c r="M374" s="17"/>
      <c r="N374" s="17" t="str">
        <f t="shared" si="1"/>
        <v>OK</v>
      </c>
      <c r="O374" s="17" t="s">
        <v>303</v>
      </c>
      <c r="P374" s="6" t="s">
        <v>304</v>
      </c>
      <c r="Q374" s="17" t="s">
        <v>2653</v>
      </c>
      <c r="R374" s="10" t="s">
        <v>2654</v>
      </c>
      <c r="S374" s="173" t="s">
        <v>38</v>
      </c>
      <c r="T374" s="181" t="s">
        <v>1483</v>
      </c>
      <c r="U374" s="22" t="s">
        <v>2500</v>
      </c>
      <c r="V374" s="22" t="s">
        <v>2500</v>
      </c>
    </row>
    <row r="375" spans="1:22" ht="57.75">
      <c r="A375" s="10" t="s">
        <v>2655</v>
      </c>
      <c r="B375" s="10" t="s">
        <v>1469</v>
      </c>
      <c r="C375" s="60" t="s">
        <v>1470</v>
      </c>
      <c r="D375" s="12"/>
      <c r="E375" s="13" t="s">
        <v>184</v>
      </c>
      <c r="F375" s="6" t="s">
        <v>927</v>
      </c>
      <c r="G375" s="6" t="str">
        <f ca="1">IFERROR(__xludf.DUMMYFUNCTION("CONCATENATE(B375,(VLOOKUP(C375,CATALOGOS!$F$2:$H$6,3,FALSE)),(VLOOKUP(T375,CATALOGOS!$J$2:$K$18,2,FALSE)),""-"",TO_TEXT(A375))"),"P12SI-0374")</f>
        <v>P12SI-0374</v>
      </c>
      <c r="H375" s="6" t="s">
        <v>2656</v>
      </c>
      <c r="I375" s="6" t="s">
        <v>2657</v>
      </c>
      <c r="J375" s="6" t="s">
        <v>2658</v>
      </c>
      <c r="K375" s="6" t="s">
        <v>2659</v>
      </c>
      <c r="L375" s="17"/>
      <c r="M375" s="17"/>
      <c r="N375" s="17" t="str">
        <f t="shared" si="1"/>
        <v>OK</v>
      </c>
      <c r="O375" s="17" t="s">
        <v>35</v>
      </c>
      <c r="P375" s="6" t="s">
        <v>35</v>
      </c>
      <c r="Q375" s="17" t="s">
        <v>36</v>
      </c>
      <c r="R375" s="17" t="s">
        <v>2660</v>
      </c>
      <c r="S375" s="173" t="s">
        <v>38</v>
      </c>
      <c r="T375" s="181" t="s">
        <v>1483</v>
      </c>
      <c r="U375" s="22" t="s">
        <v>2500</v>
      </c>
      <c r="V375" s="22" t="s">
        <v>2500</v>
      </c>
    </row>
    <row r="376" spans="1:22" ht="57.75">
      <c r="A376" s="10" t="s">
        <v>2661</v>
      </c>
      <c r="B376" s="10" t="s">
        <v>1469</v>
      </c>
      <c r="C376" s="60" t="s">
        <v>1470</v>
      </c>
      <c r="D376" s="38"/>
      <c r="E376" s="13" t="s">
        <v>116</v>
      </c>
      <c r="F376" s="6" t="s">
        <v>2662</v>
      </c>
      <c r="G376" s="6" t="str">
        <f ca="1">IFERROR(__xludf.DUMMYFUNCTION("CONCATENATE(B376,(VLOOKUP(C376,CATALOGOS!$F$2:$H$6,3,FALSE)),(VLOOKUP(T376,CATALOGOS!$J$2:$K$18,2,FALSE)),""-"",TO_TEXT(A376))"),"P12SI-0375")</f>
        <v>P12SI-0375</v>
      </c>
      <c r="H376" s="6" t="s">
        <v>2663</v>
      </c>
      <c r="I376" s="6" t="s">
        <v>2664</v>
      </c>
      <c r="J376" s="6" t="s">
        <v>2665</v>
      </c>
      <c r="K376" s="6" t="s">
        <v>2666</v>
      </c>
      <c r="L376" s="17"/>
      <c r="M376" s="17"/>
      <c r="N376" s="17" t="str">
        <f t="shared" si="1"/>
        <v>OK</v>
      </c>
      <c r="O376" s="17" t="s">
        <v>35</v>
      </c>
      <c r="P376" s="6" t="s">
        <v>35</v>
      </c>
      <c r="Q376" s="46" t="s">
        <v>36</v>
      </c>
      <c r="R376" s="17" t="s">
        <v>2667</v>
      </c>
      <c r="S376" s="173" t="s">
        <v>38</v>
      </c>
      <c r="T376" s="181" t="s">
        <v>1483</v>
      </c>
      <c r="U376" s="32" t="s">
        <v>2500</v>
      </c>
      <c r="V376" s="32" t="s">
        <v>2500</v>
      </c>
    </row>
    <row r="377" spans="1:22" ht="43.5">
      <c r="A377" s="10" t="s">
        <v>2668</v>
      </c>
      <c r="B377" s="10" t="s">
        <v>1469</v>
      </c>
      <c r="C377" s="60" t="s">
        <v>1470</v>
      </c>
      <c r="D377" s="12"/>
      <c r="E377" s="13" t="s">
        <v>43</v>
      </c>
      <c r="F377" s="43" t="s">
        <v>2669</v>
      </c>
      <c r="G377" s="6" t="str">
        <f ca="1">IFERROR(__xludf.DUMMYFUNCTION("CONCATENATE(B377,(VLOOKUP(C377,CATALOGOS!$F$2:$H$6,3,FALSE)),(VLOOKUP(T377,CATALOGOS!$J$2:$K$18,2,FALSE)),""-"",TO_TEXT(A377))"),"P12SI-0376")</f>
        <v>P12SI-0376</v>
      </c>
      <c r="H377" s="6" t="s">
        <v>2670</v>
      </c>
      <c r="I377" s="6" t="s">
        <v>2671</v>
      </c>
      <c r="J377" s="6" t="s">
        <v>2672</v>
      </c>
      <c r="K377" s="6" t="s">
        <v>2673</v>
      </c>
      <c r="L377" s="17"/>
      <c r="M377" s="17"/>
      <c r="N377" s="17" t="str">
        <f t="shared" si="1"/>
        <v>OK</v>
      </c>
      <c r="O377" s="17" t="s">
        <v>406</v>
      </c>
      <c r="P377" s="6" t="s">
        <v>2674</v>
      </c>
      <c r="Q377" s="17" t="s">
        <v>36</v>
      </c>
      <c r="R377" s="17" t="s">
        <v>2675</v>
      </c>
      <c r="S377" s="173" t="s">
        <v>38</v>
      </c>
      <c r="T377" s="181" t="s">
        <v>1483</v>
      </c>
      <c r="U377" s="20" t="s">
        <v>1484</v>
      </c>
      <c r="V377" s="20" t="s">
        <v>1484</v>
      </c>
    </row>
    <row r="378" spans="1:22" ht="57.75">
      <c r="A378" s="10" t="s">
        <v>2676</v>
      </c>
      <c r="B378" s="10" t="s">
        <v>1469</v>
      </c>
      <c r="C378" s="60" t="s">
        <v>1470</v>
      </c>
      <c r="D378" s="12"/>
      <c r="E378" s="13" t="s">
        <v>184</v>
      </c>
      <c r="F378" s="43" t="s">
        <v>2677</v>
      </c>
      <c r="G378" s="6" t="str">
        <f ca="1">IFERROR(__xludf.DUMMYFUNCTION("CONCATENATE(B378,(VLOOKUP(C378,CATALOGOS!$F$2:$H$6,3,FALSE)),(VLOOKUP(T378,CATALOGOS!$J$2:$K$18,2,FALSE)),""-"",TO_TEXT(A378))"),"P12SI-0377")</f>
        <v>P12SI-0377</v>
      </c>
      <c r="H378" s="6" t="s">
        <v>2678</v>
      </c>
      <c r="I378" s="6" t="s">
        <v>2679</v>
      </c>
      <c r="J378" s="51" t="s">
        <v>2680</v>
      </c>
      <c r="K378" s="6" t="s">
        <v>2681</v>
      </c>
      <c r="L378" s="17"/>
      <c r="M378" s="17"/>
      <c r="N378" s="17" t="str">
        <f t="shared" si="1"/>
        <v>OK</v>
      </c>
      <c r="O378" s="17" t="s">
        <v>35</v>
      </c>
      <c r="P378" s="6" t="s">
        <v>35</v>
      </c>
      <c r="Q378" s="17" t="s">
        <v>36</v>
      </c>
      <c r="R378" s="17" t="s">
        <v>2682</v>
      </c>
      <c r="S378" s="173" t="s">
        <v>549</v>
      </c>
      <c r="T378" s="181" t="s">
        <v>1483</v>
      </c>
      <c r="U378" s="20" t="s">
        <v>1484</v>
      </c>
      <c r="V378" s="20" t="s">
        <v>1484</v>
      </c>
    </row>
    <row r="379" spans="1:22" ht="15">
      <c r="A379" s="10" t="s">
        <v>2683</v>
      </c>
      <c r="B379" s="10" t="s">
        <v>1469</v>
      </c>
      <c r="C379" s="60" t="s">
        <v>1470</v>
      </c>
      <c r="D379" s="12"/>
      <c r="E379" s="13" t="s">
        <v>2300</v>
      </c>
      <c r="F379" s="6" t="s">
        <v>2300</v>
      </c>
      <c r="G379" s="6" t="str">
        <f ca="1">IFERROR(__xludf.DUMMYFUNCTION("CONCATENATE(B379,(VLOOKUP(C379,CATALOGOS!$F$2:$H$6,3,FALSE)),(VLOOKUP(T379,CATALOGOS!$J$2:$K$18,2,FALSE)),""-"",TO_TEXT(A379))"),"P12SI-0378")</f>
        <v>P12SI-0378</v>
      </c>
      <c r="H379" s="6" t="s">
        <v>2684</v>
      </c>
      <c r="I379" s="6" t="s">
        <v>2685</v>
      </c>
      <c r="J379" s="36"/>
      <c r="K379" s="6" t="s">
        <v>141</v>
      </c>
      <c r="L379" s="17"/>
      <c r="M379" s="17"/>
      <c r="N379" s="17" t="str">
        <f t="shared" si="1"/>
        <v>REPETIDO</v>
      </c>
      <c r="O379" s="17" t="s">
        <v>2599</v>
      </c>
      <c r="P379" s="6" t="s">
        <v>2686</v>
      </c>
      <c r="Q379" s="6">
        <v>2159987001653</v>
      </c>
      <c r="R379" s="10" t="s">
        <v>85</v>
      </c>
      <c r="S379" s="173" t="s">
        <v>38</v>
      </c>
      <c r="T379" s="181" t="s">
        <v>1483</v>
      </c>
      <c r="U379" s="20" t="s">
        <v>1484</v>
      </c>
      <c r="V379" s="20" t="s">
        <v>1484</v>
      </c>
    </row>
    <row r="380" spans="1:22" ht="57.75">
      <c r="A380" s="10" t="s">
        <v>2687</v>
      </c>
      <c r="B380" s="10" t="s">
        <v>1469</v>
      </c>
      <c r="C380" s="60" t="s">
        <v>1470</v>
      </c>
      <c r="D380" s="12"/>
      <c r="E380" s="13" t="s">
        <v>2351</v>
      </c>
      <c r="F380" s="43" t="s">
        <v>2688</v>
      </c>
      <c r="G380" s="6" t="str">
        <f ca="1">IFERROR(__xludf.DUMMYFUNCTION("CONCATENATE(B380,(VLOOKUP(C380,CATALOGOS!$F$2:$H$6,3,FALSE)),(VLOOKUP(T380,CATALOGOS!$J$2:$K$18,2,FALSE)),""-"",TO_TEXT(A380))"),"P12SI-0379")</f>
        <v>P12SI-0379</v>
      </c>
      <c r="H380" s="6" t="s">
        <v>2689</v>
      </c>
      <c r="I380" s="6" t="s">
        <v>2690</v>
      </c>
      <c r="J380" s="6" t="s">
        <v>2691</v>
      </c>
      <c r="K380" s="6" t="s">
        <v>2692</v>
      </c>
      <c r="L380" s="17"/>
      <c r="M380" s="17"/>
      <c r="N380" s="17" t="str">
        <f t="shared" si="1"/>
        <v>OK</v>
      </c>
      <c r="O380" s="17" t="s">
        <v>2357</v>
      </c>
      <c r="P380" s="6" t="s">
        <v>2693</v>
      </c>
      <c r="Q380" s="17" t="s">
        <v>2694</v>
      </c>
      <c r="R380" s="10" t="s">
        <v>2695</v>
      </c>
      <c r="S380" s="173" t="s">
        <v>38</v>
      </c>
      <c r="T380" s="183" t="s">
        <v>1483</v>
      </c>
      <c r="U380" s="20" t="s">
        <v>1484</v>
      </c>
      <c r="V380" s="20" t="s">
        <v>1484</v>
      </c>
    </row>
    <row r="381" spans="1:22" ht="72">
      <c r="A381" s="10" t="s">
        <v>2696</v>
      </c>
      <c r="B381" s="10" t="s">
        <v>1469</v>
      </c>
      <c r="C381" s="60" t="s">
        <v>1470</v>
      </c>
      <c r="D381" s="12"/>
      <c r="E381" s="13" t="s">
        <v>2311</v>
      </c>
      <c r="F381" s="6" t="s">
        <v>2697</v>
      </c>
      <c r="G381" s="6" t="str">
        <f ca="1">IFERROR(__xludf.DUMMYFUNCTION("CONCATENATE(B381,(VLOOKUP(C381,CATALOGOS!$F$2:$H$6,3,FALSE)),(VLOOKUP(T381,CATALOGOS!$J$2:$K$18,2,FALSE)),""-"",TO_TEXT(A381))"),"P12SI-0380")</f>
        <v>P12SI-0380</v>
      </c>
      <c r="H381" s="6" t="s">
        <v>2698</v>
      </c>
      <c r="I381" s="6" t="s">
        <v>2699</v>
      </c>
      <c r="J381" s="36"/>
      <c r="K381" s="6" t="s">
        <v>2700</v>
      </c>
      <c r="L381" s="17"/>
      <c r="M381" s="17"/>
      <c r="N381" s="17" t="str">
        <f t="shared" si="1"/>
        <v>OK</v>
      </c>
      <c r="O381" s="17" t="s">
        <v>2701</v>
      </c>
      <c r="P381" s="6" t="s">
        <v>2702</v>
      </c>
      <c r="Q381" s="6">
        <v>60344924301373</v>
      </c>
      <c r="R381" s="10" t="s">
        <v>2703</v>
      </c>
      <c r="S381" s="173" t="s">
        <v>38</v>
      </c>
      <c r="T381" s="181" t="s">
        <v>1483</v>
      </c>
      <c r="U381" s="20" t="s">
        <v>1484</v>
      </c>
      <c r="V381" s="20" t="s">
        <v>1484</v>
      </c>
    </row>
    <row r="382" spans="1:22" ht="57.75">
      <c r="A382" s="10" t="s">
        <v>2704</v>
      </c>
      <c r="B382" s="10" t="s">
        <v>1469</v>
      </c>
      <c r="C382" s="60" t="s">
        <v>1470</v>
      </c>
      <c r="D382" s="38"/>
      <c r="E382" s="13" t="s">
        <v>2311</v>
      </c>
      <c r="F382" s="6" t="s">
        <v>2705</v>
      </c>
      <c r="G382" s="6" t="str">
        <f ca="1">IFERROR(__xludf.DUMMYFUNCTION("CONCATENATE(B382,(VLOOKUP(C382,CATALOGOS!$F$2:$H$6,3,FALSE)),(VLOOKUP(T382,CATALOGOS!$J$2:$K$18,2,FALSE)),""-"",TO_TEXT(A382))"),"P12SI-0381")</f>
        <v>P12SI-0381</v>
      </c>
      <c r="H382" s="6" t="s">
        <v>2706</v>
      </c>
      <c r="I382" s="6" t="s">
        <v>2707</v>
      </c>
      <c r="J382" s="36"/>
      <c r="K382" s="6" t="s">
        <v>2708</v>
      </c>
      <c r="L382" s="17"/>
      <c r="M382" s="17"/>
      <c r="N382" s="17" t="str">
        <f t="shared" si="1"/>
        <v>OK</v>
      </c>
      <c r="O382" s="17" t="s">
        <v>827</v>
      </c>
      <c r="P382" s="6" t="s">
        <v>2709</v>
      </c>
      <c r="Q382" s="6">
        <v>43201404</v>
      </c>
      <c r="R382" s="32" t="s">
        <v>2710</v>
      </c>
      <c r="S382" s="173" t="s">
        <v>38</v>
      </c>
      <c r="T382" s="181" t="s">
        <v>1483</v>
      </c>
      <c r="U382" s="10" t="s">
        <v>1484</v>
      </c>
      <c r="V382" s="10" t="s">
        <v>1484</v>
      </c>
    </row>
    <row r="383" spans="1:22" ht="57.75">
      <c r="A383" s="10" t="s">
        <v>2711</v>
      </c>
      <c r="B383" s="10" t="s">
        <v>1469</v>
      </c>
      <c r="C383" s="60" t="s">
        <v>1470</v>
      </c>
      <c r="D383" s="12"/>
      <c r="E383" s="13" t="s">
        <v>1275</v>
      </c>
      <c r="F383" s="6" t="s">
        <v>2712</v>
      </c>
      <c r="G383" s="6" t="str">
        <f ca="1">IFERROR(__xludf.DUMMYFUNCTION("CONCATENATE(B383,(VLOOKUP(C383,CATALOGOS!$F$2:$H$6,3,FALSE)),(VLOOKUP(T383,CATALOGOS!$J$2:$K$18,2,FALSE)),""-"",TO_TEXT(A383))"),"P12SI-0382")</f>
        <v>P12SI-0382</v>
      </c>
      <c r="H383" s="6" t="s">
        <v>2713</v>
      </c>
      <c r="I383" s="6" t="s">
        <v>2714</v>
      </c>
      <c r="J383" s="36"/>
      <c r="K383" s="6" t="s">
        <v>2715</v>
      </c>
      <c r="L383" s="17"/>
      <c r="M383" s="17"/>
      <c r="N383" s="17" t="str">
        <f t="shared" si="1"/>
        <v>OK</v>
      </c>
      <c r="O383" s="17" t="s">
        <v>297</v>
      </c>
      <c r="P383" s="6" t="s">
        <v>2716</v>
      </c>
      <c r="Q383" s="6" t="s">
        <v>2717</v>
      </c>
      <c r="R383" s="10" t="s">
        <v>2718</v>
      </c>
      <c r="S383" s="173" t="s">
        <v>38</v>
      </c>
      <c r="T383" s="181" t="s">
        <v>1483</v>
      </c>
      <c r="U383" s="20" t="s">
        <v>2533</v>
      </c>
      <c r="V383" s="20" t="s">
        <v>2533</v>
      </c>
    </row>
    <row r="384" spans="1:22" ht="72">
      <c r="A384" s="10" t="s">
        <v>2719</v>
      </c>
      <c r="B384" s="10" t="s">
        <v>1469</v>
      </c>
      <c r="C384" s="60" t="s">
        <v>1470</v>
      </c>
      <c r="D384" s="12"/>
      <c r="E384" s="13" t="s">
        <v>210</v>
      </c>
      <c r="F384" s="6" t="s">
        <v>2720</v>
      </c>
      <c r="G384" s="6" t="str">
        <f ca="1">IFERROR(__xludf.DUMMYFUNCTION("CONCATENATE(B384,(VLOOKUP(C384,CATALOGOS!$F$2:$H$6,3,FALSE)),(VLOOKUP(T384,CATALOGOS!$J$2:$K$18,2,FALSE)),""-"",TO_TEXT(A384))"),"P12SI-0383")</f>
        <v>P12SI-0383</v>
      </c>
      <c r="H384" s="6" t="s">
        <v>2721</v>
      </c>
      <c r="I384" s="6" t="s">
        <v>2722</v>
      </c>
      <c r="J384" s="36"/>
      <c r="K384" s="6" t="s">
        <v>2723</v>
      </c>
      <c r="L384" s="17"/>
      <c r="M384" s="17"/>
      <c r="N384" s="17" t="str">
        <f t="shared" si="1"/>
        <v>OK</v>
      </c>
      <c r="O384" s="17" t="s">
        <v>216</v>
      </c>
      <c r="P384" s="6" t="s">
        <v>2724</v>
      </c>
      <c r="Q384" s="6" t="s">
        <v>2725</v>
      </c>
      <c r="R384" s="10" t="s">
        <v>2726</v>
      </c>
      <c r="S384" s="173" t="s">
        <v>38</v>
      </c>
      <c r="T384" s="181" t="s">
        <v>1483</v>
      </c>
      <c r="U384" s="20" t="s">
        <v>1484</v>
      </c>
      <c r="V384" s="20" t="s">
        <v>1484</v>
      </c>
    </row>
    <row r="385" spans="1:22" ht="72">
      <c r="A385" s="10" t="s">
        <v>2727</v>
      </c>
      <c r="B385" s="10" t="s">
        <v>1469</v>
      </c>
      <c r="C385" s="60" t="s">
        <v>1470</v>
      </c>
      <c r="D385" s="12"/>
      <c r="E385" s="13" t="s">
        <v>210</v>
      </c>
      <c r="F385" s="6" t="s">
        <v>2720</v>
      </c>
      <c r="G385" s="6" t="str">
        <f ca="1">IFERROR(__xludf.DUMMYFUNCTION("CONCATENATE(B385,(VLOOKUP(C385,CATALOGOS!$F$2:$H$6,3,FALSE)),(VLOOKUP(T385,CATALOGOS!$J$2:$K$18,2,FALSE)),""-"",TO_TEXT(A385))"),"P12SI-0384")</f>
        <v>P12SI-0384</v>
      </c>
      <c r="H385" s="6" t="s">
        <v>2728</v>
      </c>
      <c r="I385" s="6" t="s">
        <v>2729</v>
      </c>
      <c r="J385" s="36"/>
      <c r="K385" s="6" t="s">
        <v>2730</v>
      </c>
      <c r="L385" s="17"/>
      <c r="M385" s="17"/>
      <c r="N385" s="17" t="str">
        <f t="shared" si="1"/>
        <v>OK</v>
      </c>
      <c r="O385" s="17" t="s">
        <v>216</v>
      </c>
      <c r="P385" s="6" t="s">
        <v>2724</v>
      </c>
      <c r="Q385" s="6" t="s">
        <v>2731</v>
      </c>
      <c r="R385" s="10" t="s">
        <v>2732</v>
      </c>
      <c r="S385" s="173" t="s">
        <v>38</v>
      </c>
      <c r="T385" s="181" t="s">
        <v>1483</v>
      </c>
      <c r="U385" s="20" t="s">
        <v>1484</v>
      </c>
      <c r="V385" s="20" t="s">
        <v>1484</v>
      </c>
    </row>
    <row r="386" spans="1:22" ht="29.25">
      <c r="A386" s="10" t="s">
        <v>2733</v>
      </c>
      <c r="B386" s="10" t="s">
        <v>1469</v>
      </c>
      <c r="C386" s="60" t="s">
        <v>1470</v>
      </c>
      <c r="D386" s="12"/>
      <c r="E386" s="13" t="s">
        <v>2734</v>
      </c>
      <c r="F386" s="6" t="s">
        <v>2734</v>
      </c>
      <c r="G386" s="6" t="str">
        <f ca="1">IFERROR(__xludf.DUMMYFUNCTION("CONCATENATE(B386,(VLOOKUP(C386,CATALOGOS!$F$2:$H$6,3,FALSE)),(VLOOKUP(T386,CATALOGOS!$J$2:$K$18,2,FALSE)),""-"",TO_TEXT(A386))"),"P12SI-0385")</f>
        <v>P12SI-0385</v>
      </c>
      <c r="H386" s="6" t="s">
        <v>2735</v>
      </c>
      <c r="I386" s="6" t="s">
        <v>2736</v>
      </c>
      <c r="J386" s="6" t="s">
        <v>2737</v>
      </c>
      <c r="K386" s="6" t="s">
        <v>2738</v>
      </c>
      <c r="L386" s="17"/>
      <c r="M386" s="17"/>
      <c r="N386" s="17" t="str">
        <f t="shared" si="1"/>
        <v>OK</v>
      </c>
      <c r="O386" s="17" t="s">
        <v>205</v>
      </c>
      <c r="P386" s="6" t="s">
        <v>2739</v>
      </c>
      <c r="Q386" s="17" t="s">
        <v>2740</v>
      </c>
      <c r="R386" s="17" t="s">
        <v>2741</v>
      </c>
      <c r="S386" s="173" t="s">
        <v>38</v>
      </c>
      <c r="T386" s="181" t="s">
        <v>1483</v>
      </c>
      <c r="U386" s="20" t="s">
        <v>1484</v>
      </c>
      <c r="V386" s="20" t="s">
        <v>1484</v>
      </c>
    </row>
    <row r="387" spans="1:22" ht="29.25">
      <c r="A387" s="10" t="s">
        <v>2742</v>
      </c>
      <c r="B387" s="10" t="s">
        <v>1469</v>
      </c>
      <c r="C387" s="60" t="s">
        <v>1470</v>
      </c>
      <c r="D387" s="12"/>
      <c r="E387" s="13" t="s">
        <v>2743</v>
      </c>
      <c r="F387" s="43" t="s">
        <v>2743</v>
      </c>
      <c r="G387" s="6" t="str">
        <f ca="1">IFERROR(__xludf.DUMMYFUNCTION("CONCATENATE(B387,(VLOOKUP(C387,CATALOGOS!$F$2:$H$6,3,FALSE)),(VLOOKUP(T387,CATALOGOS!$J$2:$K$18,2,FALSE)),""-"",TO_TEXT(A387))"),"P12SI-0386")</f>
        <v>P12SI-0386</v>
      </c>
      <c r="H387" s="6" t="s">
        <v>2744</v>
      </c>
      <c r="I387" s="6" t="s">
        <v>2745</v>
      </c>
      <c r="J387" s="6" t="s">
        <v>2746</v>
      </c>
      <c r="K387" s="6" t="s">
        <v>2747</v>
      </c>
      <c r="L387" s="17"/>
      <c r="M387" s="17"/>
      <c r="N387" s="17" t="str">
        <f t="shared" si="1"/>
        <v>OK</v>
      </c>
      <c r="O387" s="17" t="s">
        <v>2748</v>
      </c>
      <c r="P387" s="6" t="s">
        <v>2749</v>
      </c>
      <c r="Q387" s="17" t="s">
        <v>2750</v>
      </c>
      <c r="R387" s="17" t="s">
        <v>2751</v>
      </c>
      <c r="S387" s="173" t="s">
        <v>38</v>
      </c>
      <c r="T387" s="181" t="s">
        <v>1483</v>
      </c>
      <c r="U387" s="20" t="s">
        <v>1484</v>
      </c>
      <c r="V387" s="20" t="s">
        <v>1484</v>
      </c>
    </row>
    <row r="388" spans="1:22" ht="29.25">
      <c r="A388" s="10" t="s">
        <v>2752</v>
      </c>
      <c r="B388" s="10" t="s">
        <v>1469</v>
      </c>
      <c r="C388" s="60" t="s">
        <v>1470</v>
      </c>
      <c r="D388" s="12"/>
      <c r="E388" s="13" t="s">
        <v>2743</v>
      </c>
      <c r="F388" s="43" t="s">
        <v>2743</v>
      </c>
      <c r="G388" s="6" t="str">
        <f ca="1">IFERROR(__xludf.DUMMYFUNCTION("CONCATENATE(B388,(VLOOKUP(C388,CATALOGOS!$F$2:$H$6,3,FALSE)),(VLOOKUP(T388,CATALOGOS!$J$2:$K$18,2,FALSE)),""-"",TO_TEXT(A388))"),"P12SI-0387")</f>
        <v>P12SI-0387</v>
      </c>
      <c r="H388" s="6" t="s">
        <v>2753</v>
      </c>
      <c r="I388" s="6" t="s">
        <v>2754</v>
      </c>
      <c r="J388" s="6" t="s">
        <v>2755</v>
      </c>
      <c r="K388" s="6" t="s">
        <v>2756</v>
      </c>
      <c r="L388" s="17"/>
      <c r="M388" s="17"/>
      <c r="N388" s="17" t="str">
        <f t="shared" si="1"/>
        <v>OK</v>
      </c>
      <c r="O388" s="17" t="s">
        <v>205</v>
      </c>
      <c r="P388" s="6" t="s">
        <v>2757</v>
      </c>
      <c r="Q388" s="17" t="s">
        <v>2758</v>
      </c>
      <c r="R388" s="17" t="s">
        <v>2759</v>
      </c>
      <c r="S388" s="173" t="s">
        <v>38</v>
      </c>
      <c r="T388" s="181" t="s">
        <v>1483</v>
      </c>
      <c r="U388" s="20" t="s">
        <v>1484</v>
      </c>
      <c r="V388" s="20" t="s">
        <v>1484</v>
      </c>
    </row>
    <row r="389" spans="1:22" ht="29.25">
      <c r="A389" s="10" t="s">
        <v>2760</v>
      </c>
      <c r="B389" s="10" t="s">
        <v>1469</v>
      </c>
      <c r="C389" s="60" t="s">
        <v>1470</v>
      </c>
      <c r="D389" s="12"/>
      <c r="E389" s="13" t="s">
        <v>151</v>
      </c>
      <c r="F389" s="6" t="s">
        <v>698</v>
      </c>
      <c r="G389" s="6" t="str">
        <f ca="1">IFERROR(__xludf.DUMMYFUNCTION("CONCATENATE(B389,(VLOOKUP(C389,CATALOGOS!$F$2:$H$6,3,FALSE)),(VLOOKUP(T389,CATALOGOS!$J$2:$K$18,2,FALSE)),""-"",TO_TEXT(A389))"),"P12SI-0388")</f>
        <v>P12SI-0388</v>
      </c>
      <c r="H389" s="6" t="s">
        <v>2761</v>
      </c>
      <c r="I389" s="6" t="s">
        <v>2762</v>
      </c>
      <c r="J389" s="6" t="s">
        <v>2763</v>
      </c>
      <c r="K389" s="6" t="s">
        <v>2764</v>
      </c>
      <c r="L389" s="17"/>
      <c r="M389" s="17"/>
      <c r="N389" s="17" t="str">
        <f t="shared" si="1"/>
        <v>OK</v>
      </c>
      <c r="O389" s="17" t="s">
        <v>157</v>
      </c>
      <c r="P389" s="6" t="s">
        <v>2765</v>
      </c>
      <c r="Q389" s="17" t="s">
        <v>2766</v>
      </c>
      <c r="R389" s="10" t="s">
        <v>2767</v>
      </c>
      <c r="S389" s="173" t="s">
        <v>38</v>
      </c>
      <c r="T389" s="181" t="s">
        <v>1483</v>
      </c>
      <c r="U389" s="20" t="s">
        <v>1484</v>
      </c>
      <c r="V389" s="20" t="s">
        <v>1484</v>
      </c>
    </row>
    <row r="390" spans="1:22" ht="57.75">
      <c r="A390" s="10" t="s">
        <v>2768</v>
      </c>
      <c r="B390" s="10" t="s">
        <v>1469</v>
      </c>
      <c r="C390" s="60" t="s">
        <v>1470</v>
      </c>
      <c r="D390" s="12"/>
      <c r="E390" s="13" t="s">
        <v>199</v>
      </c>
      <c r="F390" s="6" t="s">
        <v>199</v>
      </c>
      <c r="G390" s="6" t="str">
        <f ca="1">IFERROR(__xludf.DUMMYFUNCTION("CONCATENATE(B390,(VLOOKUP(C390,CATALOGOS!$F$2:$H$6,3,FALSE)),(VLOOKUP(T390,CATALOGOS!$J$2:$K$18,2,FALSE)),""-"",TO_TEXT(A390))"),"P12SI-0389")</f>
        <v>P12SI-0389</v>
      </c>
      <c r="H390" s="6" t="s">
        <v>2769</v>
      </c>
      <c r="I390" s="6" t="s">
        <v>2770</v>
      </c>
      <c r="J390" s="6" t="s">
        <v>2771</v>
      </c>
      <c r="K390" s="6" t="s">
        <v>141</v>
      </c>
      <c r="L390" s="17"/>
      <c r="M390" s="17"/>
      <c r="N390" s="17" t="str">
        <f t="shared" si="1"/>
        <v>REPETIDO</v>
      </c>
      <c r="O390" s="17" t="s">
        <v>297</v>
      </c>
      <c r="P390" s="32" t="s">
        <v>2772</v>
      </c>
      <c r="Q390" s="17" t="s">
        <v>2773</v>
      </c>
      <c r="R390" s="10" t="s">
        <v>2774</v>
      </c>
      <c r="S390" s="173" t="s">
        <v>38</v>
      </c>
      <c r="T390" s="181" t="s">
        <v>1483</v>
      </c>
      <c r="U390" s="20" t="s">
        <v>1484</v>
      </c>
      <c r="V390" s="20" t="s">
        <v>1484</v>
      </c>
    </row>
    <row r="391" spans="1:22" ht="29.25">
      <c r="A391" s="10" t="s">
        <v>2775</v>
      </c>
      <c r="B391" s="10" t="s">
        <v>1469</v>
      </c>
      <c r="C391" s="60" t="s">
        <v>1470</v>
      </c>
      <c r="D391" s="12"/>
      <c r="E391" s="13" t="s">
        <v>2743</v>
      </c>
      <c r="F391" s="43" t="s">
        <v>2776</v>
      </c>
      <c r="G391" s="6" t="str">
        <f ca="1">IFERROR(__xludf.DUMMYFUNCTION("CONCATENATE(B391,(VLOOKUP(C391,CATALOGOS!$F$2:$H$6,3,FALSE)),(VLOOKUP(T391,CATALOGOS!$J$2:$K$18,2,FALSE)),""-"",TO_TEXT(A391))"),"P12SI-0390")</f>
        <v>P12SI-0390</v>
      </c>
      <c r="H391" s="6" t="s">
        <v>2777</v>
      </c>
      <c r="I391" s="6" t="s">
        <v>2778</v>
      </c>
      <c r="J391" s="6" t="s">
        <v>2779</v>
      </c>
      <c r="K391" s="43" t="s">
        <v>2780</v>
      </c>
      <c r="L391" s="17"/>
      <c r="M391" s="17"/>
      <c r="N391" s="17" t="str">
        <f t="shared" si="1"/>
        <v>OK</v>
      </c>
      <c r="O391" s="17" t="s">
        <v>2781</v>
      </c>
      <c r="P391" s="6" t="s">
        <v>2782</v>
      </c>
      <c r="Q391" s="17" t="s">
        <v>2783</v>
      </c>
      <c r="R391" s="10" t="s">
        <v>2784</v>
      </c>
      <c r="S391" s="173" t="s">
        <v>38</v>
      </c>
      <c r="T391" s="181" t="s">
        <v>1483</v>
      </c>
      <c r="U391" s="20" t="s">
        <v>1484</v>
      </c>
      <c r="V391" s="20" t="s">
        <v>1484</v>
      </c>
    </row>
    <row r="392" spans="1:22" ht="29.25">
      <c r="A392" s="10" t="s">
        <v>2785</v>
      </c>
      <c r="B392" s="10" t="s">
        <v>1469</v>
      </c>
      <c r="C392" s="60" t="s">
        <v>1470</v>
      </c>
      <c r="D392" s="12"/>
      <c r="E392" s="13" t="s">
        <v>2743</v>
      </c>
      <c r="F392" s="43" t="s">
        <v>2776</v>
      </c>
      <c r="G392" s="6" t="str">
        <f ca="1">IFERROR(__xludf.DUMMYFUNCTION("CONCATENATE(B392,(VLOOKUP(C392,CATALOGOS!$F$2:$H$6,3,FALSE)),(VLOOKUP(T392,CATALOGOS!$J$2:$K$18,2,FALSE)),""-"",TO_TEXT(A392))"),"P12SI-0391")</f>
        <v>P12SI-0391</v>
      </c>
      <c r="H392" s="6" t="s">
        <v>2786</v>
      </c>
      <c r="I392" s="6" t="s">
        <v>2787</v>
      </c>
      <c r="J392" s="6" t="s">
        <v>2788</v>
      </c>
      <c r="K392" s="43" t="s">
        <v>2789</v>
      </c>
      <c r="L392" s="17"/>
      <c r="M392" s="17"/>
      <c r="N392" s="17" t="str">
        <f t="shared" si="1"/>
        <v>OK</v>
      </c>
      <c r="O392" s="17" t="s">
        <v>2781</v>
      </c>
      <c r="P392" s="6" t="s">
        <v>2782</v>
      </c>
      <c r="Q392" s="17" t="s">
        <v>2790</v>
      </c>
      <c r="R392" s="10" t="s">
        <v>2791</v>
      </c>
      <c r="S392" s="173" t="s">
        <v>38</v>
      </c>
      <c r="T392" s="181" t="s">
        <v>1483</v>
      </c>
      <c r="U392" s="20" t="s">
        <v>1484</v>
      </c>
      <c r="V392" s="20" t="s">
        <v>1484</v>
      </c>
    </row>
    <row r="393" spans="1:22" ht="29.25">
      <c r="A393" s="10" t="s">
        <v>2792</v>
      </c>
      <c r="B393" s="10" t="s">
        <v>1469</v>
      </c>
      <c r="C393" s="60" t="s">
        <v>1470</v>
      </c>
      <c r="D393" s="12"/>
      <c r="E393" s="13" t="s">
        <v>248</v>
      </c>
      <c r="F393" s="43" t="s">
        <v>248</v>
      </c>
      <c r="G393" s="6" t="str">
        <f ca="1">IFERROR(__xludf.DUMMYFUNCTION("CONCATENATE(B393,(VLOOKUP(C393,CATALOGOS!$F$2:$H$6,3,FALSE)),(VLOOKUP(T393,CATALOGOS!$J$2:$K$18,2,FALSE)),""-"",TO_TEXT(A393))"),"P12SI-0392")</f>
        <v>P12SI-0392</v>
      </c>
      <c r="H393" s="6" t="s">
        <v>2793</v>
      </c>
      <c r="I393" s="6" t="s">
        <v>2794</v>
      </c>
      <c r="J393" s="6" t="s">
        <v>2795</v>
      </c>
      <c r="K393" s="43" t="s">
        <v>2796</v>
      </c>
      <c r="L393" s="17"/>
      <c r="M393" s="17"/>
      <c r="N393" s="17" t="str">
        <f t="shared" si="1"/>
        <v>OK</v>
      </c>
      <c r="O393" s="17" t="s">
        <v>205</v>
      </c>
      <c r="P393" s="6" t="s">
        <v>2797</v>
      </c>
      <c r="Q393" s="17" t="s">
        <v>2798</v>
      </c>
      <c r="R393" s="17" t="s">
        <v>2799</v>
      </c>
      <c r="S393" s="173" t="s">
        <v>38</v>
      </c>
      <c r="T393" s="181" t="s">
        <v>1483</v>
      </c>
      <c r="U393" s="20" t="s">
        <v>1484</v>
      </c>
      <c r="V393" s="20" t="s">
        <v>1484</v>
      </c>
    </row>
    <row r="394" spans="1:22" ht="43.5">
      <c r="A394" s="10" t="s">
        <v>2800</v>
      </c>
      <c r="B394" s="10" t="s">
        <v>1469</v>
      </c>
      <c r="C394" s="60" t="s">
        <v>1470</v>
      </c>
      <c r="D394" s="12"/>
      <c r="E394" s="13" t="s">
        <v>2734</v>
      </c>
      <c r="F394" s="6" t="s">
        <v>2801</v>
      </c>
      <c r="G394" s="6" t="str">
        <f ca="1">IFERROR(__xludf.DUMMYFUNCTION("CONCATENATE(B394,(VLOOKUP(C394,CATALOGOS!$F$2:$H$6,3,FALSE)),(VLOOKUP(T394,CATALOGOS!$J$2:$K$18,2,FALSE)),""-"",TO_TEXT(A394))"),"P12SI-0393")</f>
        <v>P12SI-0393</v>
      </c>
      <c r="H394" s="6" t="s">
        <v>2802</v>
      </c>
      <c r="I394" s="6" t="s">
        <v>2803</v>
      </c>
      <c r="J394" s="6" t="s">
        <v>2804</v>
      </c>
      <c r="K394" s="6" t="s">
        <v>2805</v>
      </c>
      <c r="L394" s="17"/>
      <c r="M394" s="17"/>
      <c r="N394" s="17" t="str">
        <f t="shared" si="1"/>
        <v>OK</v>
      </c>
      <c r="O394" s="17" t="s">
        <v>35</v>
      </c>
      <c r="P394" s="6" t="s">
        <v>35</v>
      </c>
      <c r="Q394" s="17" t="s">
        <v>2806</v>
      </c>
      <c r="R394" s="17" t="s">
        <v>2807</v>
      </c>
      <c r="S394" s="173" t="s">
        <v>38</v>
      </c>
      <c r="T394" s="181" t="s">
        <v>1483</v>
      </c>
      <c r="U394" s="20" t="s">
        <v>1484</v>
      </c>
      <c r="V394" s="20" t="s">
        <v>1484</v>
      </c>
    </row>
    <row r="395" spans="1:22" ht="57.75">
      <c r="A395" s="10" t="s">
        <v>2808</v>
      </c>
      <c r="B395" s="10" t="s">
        <v>1469</v>
      </c>
      <c r="C395" s="60" t="s">
        <v>1470</v>
      </c>
      <c r="D395" s="12"/>
      <c r="E395" s="13" t="s">
        <v>2351</v>
      </c>
      <c r="F395" s="43" t="s">
        <v>2352</v>
      </c>
      <c r="G395" s="6" t="str">
        <f ca="1">IFERROR(__xludf.DUMMYFUNCTION("CONCATENATE(B395,(VLOOKUP(C395,CATALOGOS!$F$2:$H$6,3,FALSE)),(VLOOKUP(T395,CATALOGOS!$J$2:$K$18,2,FALSE)),""-"",TO_TEXT(A395))"),"P12SI-0394")</f>
        <v>P12SI-0394</v>
      </c>
      <c r="H395" s="6" t="s">
        <v>2809</v>
      </c>
      <c r="I395" s="6" t="s">
        <v>2810</v>
      </c>
      <c r="J395" s="6" t="s">
        <v>2811</v>
      </c>
      <c r="K395" s="6" t="s">
        <v>2812</v>
      </c>
      <c r="L395" s="17"/>
      <c r="M395" s="17"/>
      <c r="N395" s="17" t="str">
        <f t="shared" si="1"/>
        <v>OK</v>
      </c>
      <c r="O395" s="17" t="s">
        <v>663</v>
      </c>
      <c r="P395" s="6" t="s">
        <v>2813</v>
      </c>
      <c r="Q395" s="17" t="s">
        <v>2814</v>
      </c>
      <c r="R395" s="17" t="s">
        <v>2815</v>
      </c>
      <c r="S395" s="173" t="s">
        <v>38</v>
      </c>
      <c r="T395" s="181" t="s">
        <v>1483</v>
      </c>
      <c r="U395" s="20" t="s">
        <v>1484</v>
      </c>
      <c r="V395" s="20" t="s">
        <v>1484</v>
      </c>
    </row>
    <row r="396" spans="1:22" ht="29.25">
      <c r="A396" s="10" t="s">
        <v>2816</v>
      </c>
      <c r="B396" s="10" t="s">
        <v>1469</v>
      </c>
      <c r="C396" s="60" t="s">
        <v>1470</v>
      </c>
      <c r="D396" s="12"/>
      <c r="E396" s="13" t="s">
        <v>2817</v>
      </c>
      <c r="F396" s="43" t="s">
        <v>2817</v>
      </c>
      <c r="G396" s="6" t="str">
        <f ca="1">IFERROR(__xludf.DUMMYFUNCTION("CONCATENATE(B396,(VLOOKUP(C396,CATALOGOS!$F$2:$H$6,3,FALSE)),(VLOOKUP(T396,CATALOGOS!$J$2:$K$18,2,FALSE)),""-"",TO_TEXT(A396))"),"P12SI-0395")</f>
        <v>P12SI-0395</v>
      </c>
      <c r="H396" s="6" t="s">
        <v>2818</v>
      </c>
      <c r="I396" s="6" t="s">
        <v>2819</v>
      </c>
      <c r="J396" s="6" t="s">
        <v>2820</v>
      </c>
      <c r="K396" s="6" t="s">
        <v>2821</v>
      </c>
      <c r="L396" s="17"/>
      <c r="M396" s="17"/>
      <c r="N396" s="17" t="str">
        <f t="shared" si="1"/>
        <v>OK</v>
      </c>
      <c r="O396" s="17" t="s">
        <v>2822</v>
      </c>
      <c r="P396" s="6" t="s">
        <v>35</v>
      </c>
      <c r="Q396" s="17" t="s">
        <v>36</v>
      </c>
      <c r="R396" s="17" t="s">
        <v>2823</v>
      </c>
      <c r="S396" s="173" t="s">
        <v>38</v>
      </c>
      <c r="T396" s="181" t="s">
        <v>1483</v>
      </c>
      <c r="U396" s="20" t="s">
        <v>1484</v>
      </c>
      <c r="V396" s="20" t="s">
        <v>1484</v>
      </c>
    </row>
    <row r="397" spans="1:22" ht="29.25">
      <c r="A397" s="10" t="s">
        <v>2824</v>
      </c>
      <c r="B397" s="10" t="s">
        <v>1469</v>
      </c>
      <c r="C397" s="60" t="s">
        <v>1470</v>
      </c>
      <c r="D397" s="12"/>
      <c r="E397" s="13" t="s">
        <v>2817</v>
      </c>
      <c r="F397" s="43" t="s">
        <v>2817</v>
      </c>
      <c r="G397" s="6" t="str">
        <f ca="1">IFERROR(__xludf.DUMMYFUNCTION("CONCATENATE(B397,(VLOOKUP(C397,CATALOGOS!$F$2:$H$6,3,FALSE)),(VLOOKUP(T397,CATALOGOS!$J$2:$K$18,2,FALSE)),""-"",TO_TEXT(A397))"),"P12SI-0396")</f>
        <v>P12SI-0396</v>
      </c>
      <c r="H397" s="6" t="s">
        <v>2825</v>
      </c>
      <c r="I397" s="6" t="s">
        <v>2826</v>
      </c>
      <c r="J397" s="6" t="s">
        <v>2827</v>
      </c>
      <c r="K397" s="6" t="s">
        <v>2828</v>
      </c>
      <c r="L397" s="17"/>
      <c r="M397" s="17"/>
      <c r="N397" s="17" t="str">
        <f t="shared" si="1"/>
        <v>OK</v>
      </c>
      <c r="O397" s="17" t="s">
        <v>2822</v>
      </c>
      <c r="P397" s="6" t="s">
        <v>35</v>
      </c>
      <c r="Q397" s="17" t="s">
        <v>36</v>
      </c>
      <c r="R397" s="17" t="s">
        <v>85</v>
      </c>
      <c r="S397" s="173" t="s">
        <v>38</v>
      </c>
      <c r="T397" s="181" t="s">
        <v>1483</v>
      </c>
      <c r="U397" s="20" t="s">
        <v>1484</v>
      </c>
      <c r="V397" s="20" t="s">
        <v>1484</v>
      </c>
    </row>
    <row r="398" spans="1:22" ht="57.75">
      <c r="A398" s="10" t="s">
        <v>2829</v>
      </c>
      <c r="B398" s="10" t="s">
        <v>1469</v>
      </c>
      <c r="C398" s="60" t="s">
        <v>1470</v>
      </c>
      <c r="D398" s="12"/>
      <c r="E398" s="13" t="s">
        <v>2351</v>
      </c>
      <c r="F398" s="43" t="s">
        <v>2688</v>
      </c>
      <c r="G398" s="6" t="str">
        <f ca="1">IFERROR(__xludf.DUMMYFUNCTION("CONCATENATE(B398,(VLOOKUP(C398,CATALOGOS!$F$2:$H$6,3,FALSE)),(VLOOKUP(T398,CATALOGOS!$J$2:$K$18,2,FALSE)),""-"",TO_TEXT(A398))"),"P12SI-0397")</f>
        <v>P12SI-0397</v>
      </c>
      <c r="H398" s="6" t="s">
        <v>2830</v>
      </c>
      <c r="I398" s="6" t="s">
        <v>2831</v>
      </c>
      <c r="J398" s="6" t="s">
        <v>2832</v>
      </c>
      <c r="K398" s="6" t="s">
        <v>2833</v>
      </c>
      <c r="L398" s="17"/>
      <c r="M398" s="17"/>
      <c r="N398" s="17" t="str">
        <f t="shared" si="1"/>
        <v>OK</v>
      </c>
      <c r="O398" s="17" t="s">
        <v>2357</v>
      </c>
      <c r="P398" s="6" t="s">
        <v>2693</v>
      </c>
      <c r="Q398" s="17" t="s">
        <v>2834</v>
      </c>
      <c r="R398" s="17" t="s">
        <v>2835</v>
      </c>
      <c r="S398" s="173" t="s">
        <v>38</v>
      </c>
      <c r="T398" s="181" t="s">
        <v>1483</v>
      </c>
      <c r="U398" s="20" t="s">
        <v>1484</v>
      </c>
      <c r="V398" s="20" t="s">
        <v>1484</v>
      </c>
    </row>
    <row r="399" spans="1:22" ht="29.25">
      <c r="A399" s="10" t="s">
        <v>2836</v>
      </c>
      <c r="B399" s="10" t="s">
        <v>1469</v>
      </c>
      <c r="C399" s="60" t="s">
        <v>1470</v>
      </c>
      <c r="D399" s="12"/>
      <c r="E399" s="13" t="s">
        <v>2743</v>
      </c>
      <c r="F399" s="43" t="s">
        <v>2743</v>
      </c>
      <c r="G399" s="6" t="str">
        <f ca="1">IFERROR(__xludf.DUMMYFUNCTION("CONCATENATE(B399,(VLOOKUP(C399,CATALOGOS!$F$2:$H$6,3,FALSE)),(VLOOKUP(T399,CATALOGOS!$J$2:$K$18,2,FALSE)),""-"",TO_TEXT(A399))"),"P12SI-0398")</f>
        <v>P12SI-0398</v>
      </c>
      <c r="H399" s="6" t="s">
        <v>2837</v>
      </c>
      <c r="I399" s="6" t="s">
        <v>2838</v>
      </c>
      <c r="J399" s="6" t="s">
        <v>2839</v>
      </c>
      <c r="K399" s="43" t="s">
        <v>2840</v>
      </c>
      <c r="L399" s="17"/>
      <c r="M399" s="17"/>
      <c r="N399" s="17" t="str">
        <f t="shared" si="1"/>
        <v>OK</v>
      </c>
      <c r="O399" s="17" t="s">
        <v>273</v>
      </c>
      <c r="P399" s="6" t="s">
        <v>2841</v>
      </c>
      <c r="Q399" s="17" t="s">
        <v>2842</v>
      </c>
      <c r="R399" s="17" t="s">
        <v>2843</v>
      </c>
      <c r="S399" s="173" t="s">
        <v>38</v>
      </c>
      <c r="T399" s="181" t="s">
        <v>1483</v>
      </c>
      <c r="U399" s="20" t="s">
        <v>1484</v>
      </c>
      <c r="V399" s="20" t="s">
        <v>1484</v>
      </c>
    </row>
    <row r="400" spans="1:22" ht="29.25">
      <c r="A400" s="10" t="s">
        <v>2844</v>
      </c>
      <c r="B400" s="10" t="s">
        <v>1469</v>
      </c>
      <c r="C400" s="60" t="s">
        <v>1470</v>
      </c>
      <c r="D400" s="12"/>
      <c r="E400" s="13" t="s">
        <v>248</v>
      </c>
      <c r="F400" s="6" t="s">
        <v>249</v>
      </c>
      <c r="G400" s="6" t="str">
        <f ca="1">IFERROR(__xludf.DUMMYFUNCTION("CONCATENATE(B400,(VLOOKUP(C400,CATALOGOS!$F$2:$H$6,3,FALSE)),(VLOOKUP(T400,CATALOGOS!$J$2:$K$18,2,FALSE)),""-"",TO_TEXT(A400))"),"P12SI-0399")</f>
        <v>P12SI-0399</v>
      </c>
      <c r="H400" s="6" t="s">
        <v>2845</v>
      </c>
      <c r="I400" s="6" t="s">
        <v>2846</v>
      </c>
      <c r="J400" s="6" t="s">
        <v>2847</v>
      </c>
      <c r="K400" s="43" t="s">
        <v>2848</v>
      </c>
      <c r="L400" s="17"/>
      <c r="M400" s="17"/>
      <c r="N400" s="17" t="str">
        <f t="shared" si="1"/>
        <v>OK</v>
      </c>
      <c r="O400" s="17" t="s">
        <v>827</v>
      </c>
      <c r="P400" s="6" t="s">
        <v>2849</v>
      </c>
      <c r="Q400" s="17" t="s">
        <v>2850</v>
      </c>
      <c r="R400" s="10" t="s">
        <v>2851</v>
      </c>
      <c r="S400" s="173" t="s">
        <v>38</v>
      </c>
      <c r="T400" s="181" t="s">
        <v>1483</v>
      </c>
      <c r="U400" s="20" t="s">
        <v>1484</v>
      </c>
      <c r="V400" s="20" t="s">
        <v>1484</v>
      </c>
    </row>
    <row r="401" spans="1:22" ht="29.25">
      <c r="A401" s="10" t="s">
        <v>2852</v>
      </c>
      <c r="B401" s="10" t="s">
        <v>1469</v>
      </c>
      <c r="C401" s="60" t="s">
        <v>1470</v>
      </c>
      <c r="D401" s="12"/>
      <c r="E401" s="13" t="s">
        <v>248</v>
      </c>
      <c r="F401" s="43" t="s">
        <v>2535</v>
      </c>
      <c r="G401" s="6" t="str">
        <f ca="1">IFERROR(__xludf.DUMMYFUNCTION("CONCATENATE(B401,(VLOOKUP(C401,CATALOGOS!$F$2:$H$6,3,FALSE)),(VLOOKUP(T401,CATALOGOS!$J$2:$K$18,2,FALSE)),""-"",TO_TEXT(A401))"),"P12SI-0400")</f>
        <v>P12SI-0400</v>
      </c>
      <c r="H401" s="6" t="s">
        <v>2853</v>
      </c>
      <c r="I401" s="6" t="s">
        <v>2854</v>
      </c>
      <c r="J401" s="6" t="s">
        <v>2855</v>
      </c>
      <c r="K401" s="6" t="s">
        <v>141</v>
      </c>
      <c r="L401" s="17"/>
      <c r="M401" s="17"/>
      <c r="N401" s="17" t="str">
        <f t="shared" si="1"/>
        <v>REPETIDO</v>
      </c>
      <c r="O401" s="17" t="s">
        <v>303</v>
      </c>
      <c r="P401" s="6" t="s">
        <v>2856</v>
      </c>
      <c r="Q401" s="17" t="s">
        <v>2857</v>
      </c>
      <c r="R401" s="10" t="s">
        <v>2858</v>
      </c>
      <c r="S401" s="173" t="s">
        <v>38</v>
      </c>
      <c r="T401" s="181" t="s">
        <v>1483</v>
      </c>
      <c r="U401" s="20" t="s">
        <v>1484</v>
      </c>
      <c r="V401" s="20" t="s">
        <v>1484</v>
      </c>
    </row>
    <row r="402" spans="1:22" ht="57.75">
      <c r="A402" s="10" t="s">
        <v>2859</v>
      </c>
      <c r="B402" s="10" t="s">
        <v>1469</v>
      </c>
      <c r="C402" s="60" t="s">
        <v>1470</v>
      </c>
      <c r="D402" s="12"/>
      <c r="E402" s="13" t="s">
        <v>2860</v>
      </c>
      <c r="F402" s="43" t="s">
        <v>2861</v>
      </c>
      <c r="G402" s="6" t="str">
        <f ca="1">IFERROR(__xludf.DUMMYFUNCTION("CONCATENATE(B402,(VLOOKUP(C402,CATALOGOS!$F$2:$H$6,3,FALSE)),(VLOOKUP(T402,CATALOGOS!$J$2:$K$18,2,FALSE)),""-"",TO_TEXT(A402))"),"P12SI-0401")</f>
        <v>P12SI-0401</v>
      </c>
      <c r="H402" s="6" t="s">
        <v>2862</v>
      </c>
      <c r="I402" s="6" t="s">
        <v>2863</v>
      </c>
      <c r="J402" s="6" t="s">
        <v>2864</v>
      </c>
      <c r="K402" s="6" t="s">
        <v>2865</v>
      </c>
      <c r="L402" s="17"/>
      <c r="M402" s="17"/>
      <c r="N402" s="17" t="str">
        <f t="shared" si="1"/>
        <v>OK</v>
      </c>
      <c r="O402" s="17" t="s">
        <v>2866</v>
      </c>
      <c r="P402" s="6" t="s">
        <v>2867</v>
      </c>
      <c r="Q402" s="17" t="s">
        <v>2868</v>
      </c>
      <c r="R402" s="17" t="s">
        <v>85</v>
      </c>
      <c r="S402" s="173" t="s">
        <v>38</v>
      </c>
      <c r="T402" s="181" t="s">
        <v>1483</v>
      </c>
      <c r="U402" s="20" t="s">
        <v>1484</v>
      </c>
      <c r="V402" s="20" t="s">
        <v>1484</v>
      </c>
    </row>
    <row r="403" spans="1:22" ht="29.25">
      <c r="A403" s="10" t="s">
        <v>2869</v>
      </c>
      <c r="B403" s="10" t="s">
        <v>1469</v>
      </c>
      <c r="C403" s="60" t="s">
        <v>1470</v>
      </c>
      <c r="D403" s="12"/>
      <c r="E403" s="13" t="s">
        <v>151</v>
      </c>
      <c r="F403" s="6" t="s">
        <v>698</v>
      </c>
      <c r="G403" s="6" t="str">
        <f ca="1">IFERROR(__xludf.DUMMYFUNCTION("CONCATENATE(B403,(VLOOKUP(C403,CATALOGOS!$F$2:$H$6,3,FALSE)),(VLOOKUP(T403,CATALOGOS!$J$2:$K$18,2,FALSE)),""-"",TO_TEXT(A403))"),"P12SI-0402")</f>
        <v>P12SI-0402</v>
      </c>
      <c r="H403" s="6" t="s">
        <v>2870</v>
      </c>
      <c r="I403" s="6" t="s">
        <v>2871</v>
      </c>
      <c r="J403" s="6" t="s">
        <v>2872</v>
      </c>
      <c r="K403" s="6" t="s">
        <v>2873</v>
      </c>
      <c r="L403" s="17"/>
      <c r="M403" s="17"/>
      <c r="N403" s="17" t="str">
        <f t="shared" si="1"/>
        <v>OK</v>
      </c>
      <c r="O403" s="17" t="s">
        <v>703</v>
      </c>
      <c r="P403" s="6" t="s">
        <v>2874</v>
      </c>
      <c r="Q403" s="17" t="s">
        <v>2875</v>
      </c>
      <c r="R403" s="17" t="s">
        <v>2876</v>
      </c>
      <c r="S403" s="173" t="s">
        <v>38</v>
      </c>
      <c r="T403" s="181" t="s">
        <v>1483</v>
      </c>
      <c r="U403" s="20" t="s">
        <v>1484</v>
      </c>
      <c r="V403" s="20" t="s">
        <v>1484</v>
      </c>
    </row>
    <row r="404" spans="1:22" ht="72">
      <c r="A404" s="10" t="s">
        <v>2877</v>
      </c>
      <c r="B404" s="10" t="s">
        <v>1469</v>
      </c>
      <c r="C404" s="60" t="s">
        <v>1470</v>
      </c>
      <c r="D404" s="12"/>
      <c r="E404" s="13" t="s">
        <v>199</v>
      </c>
      <c r="F404" s="6" t="s">
        <v>677</v>
      </c>
      <c r="G404" s="6" t="str">
        <f ca="1">IFERROR(__xludf.DUMMYFUNCTION("CONCATENATE(B404,(VLOOKUP(C404,CATALOGOS!$F$2:$H$6,3,FALSE)),(VLOOKUP(T404,CATALOGOS!$J$2:$K$18,2,FALSE)),""-"",TO_TEXT(A404))"),"P12CT-0403")</f>
        <v>P12CT-0403</v>
      </c>
      <c r="H404" s="6" t="s">
        <v>2878</v>
      </c>
      <c r="I404" s="6" t="s">
        <v>2879</v>
      </c>
      <c r="J404" s="6" t="s">
        <v>2880</v>
      </c>
      <c r="K404" s="6" t="s">
        <v>141</v>
      </c>
      <c r="L404" s="17"/>
      <c r="M404" s="17"/>
      <c r="N404" s="17" t="str">
        <f t="shared" si="1"/>
        <v>REPETIDO</v>
      </c>
      <c r="O404" s="17" t="s">
        <v>682</v>
      </c>
      <c r="P404" s="32" t="s">
        <v>2881</v>
      </c>
      <c r="Q404" s="17" t="s">
        <v>2882</v>
      </c>
      <c r="R404" s="17" t="s">
        <v>2883</v>
      </c>
      <c r="S404" s="173" t="s">
        <v>38</v>
      </c>
      <c r="T404" s="11" t="s">
        <v>2884</v>
      </c>
      <c r="U404" s="20" t="s">
        <v>385</v>
      </c>
      <c r="V404" s="20" t="s">
        <v>385</v>
      </c>
    </row>
    <row r="405" spans="1:22" ht="72">
      <c r="A405" s="10" t="s">
        <v>2886</v>
      </c>
      <c r="B405" s="10" t="s">
        <v>1469</v>
      </c>
      <c r="C405" s="60" t="s">
        <v>1470</v>
      </c>
      <c r="D405" s="12"/>
      <c r="E405" s="13" t="s">
        <v>199</v>
      </c>
      <c r="F405" s="6" t="s">
        <v>677</v>
      </c>
      <c r="G405" s="6" t="str">
        <f ca="1">IFERROR(__xludf.DUMMYFUNCTION("CONCATENATE(B405,(VLOOKUP(C405,CATALOGOS!$F$2:$H$6,3,FALSE)),(VLOOKUP(T405,CATALOGOS!$J$2:$K$18,2,FALSE)),""-"",TO_TEXT(A405))"),"P12RH-0404")</f>
        <v>P12RH-0404</v>
      </c>
      <c r="H405" s="6" t="s">
        <v>2887</v>
      </c>
      <c r="I405" s="6" t="s">
        <v>2888</v>
      </c>
      <c r="J405" s="6" t="s">
        <v>2889</v>
      </c>
      <c r="K405" s="6" t="s">
        <v>141</v>
      </c>
      <c r="L405" s="17"/>
      <c r="M405" s="17"/>
      <c r="N405" s="17" t="str">
        <f t="shared" si="1"/>
        <v>REPETIDO</v>
      </c>
      <c r="O405" s="17" t="s">
        <v>205</v>
      </c>
      <c r="P405" s="32" t="s">
        <v>2890</v>
      </c>
      <c r="Q405" s="17" t="s">
        <v>2891</v>
      </c>
      <c r="R405" s="17" t="s">
        <v>2892</v>
      </c>
      <c r="S405" s="173" t="s">
        <v>38</v>
      </c>
      <c r="T405" s="11" t="s">
        <v>723</v>
      </c>
      <c r="U405" s="20" t="s">
        <v>1185</v>
      </c>
      <c r="V405" s="20" t="s">
        <v>1185</v>
      </c>
    </row>
    <row r="406" spans="1:22" ht="72">
      <c r="A406" s="10" t="s">
        <v>2893</v>
      </c>
      <c r="B406" s="10" t="s">
        <v>1469</v>
      </c>
      <c r="C406" s="60" t="s">
        <v>1470</v>
      </c>
      <c r="D406" s="12"/>
      <c r="E406" s="13" t="s">
        <v>199</v>
      </c>
      <c r="F406" s="6" t="s">
        <v>677</v>
      </c>
      <c r="G406" s="6" t="str">
        <f ca="1">IFERROR(__xludf.DUMMYFUNCTION("CONCATENATE(B406,(VLOOKUP(C406,CATALOGOS!$F$2:$H$6,3,FALSE)),(VLOOKUP(T406,CATALOGOS!$J$2:$K$18,2,FALSE)),""-"",TO_TEXT(A406))"),"P12SI-0405")</f>
        <v>P12SI-0405</v>
      </c>
      <c r="H406" s="6" t="s">
        <v>2894</v>
      </c>
      <c r="I406" s="6" t="s">
        <v>2895</v>
      </c>
      <c r="J406" s="6" t="s">
        <v>2896</v>
      </c>
      <c r="K406" s="6" t="s">
        <v>141</v>
      </c>
      <c r="L406" s="17"/>
      <c r="M406" s="17"/>
      <c r="N406" s="17" t="str">
        <f t="shared" si="1"/>
        <v>REPETIDO</v>
      </c>
      <c r="O406" s="17" t="s">
        <v>682</v>
      </c>
      <c r="P406" s="32" t="s">
        <v>2897</v>
      </c>
      <c r="Q406" s="17" t="s">
        <v>2898</v>
      </c>
      <c r="R406" s="17" t="s">
        <v>2899</v>
      </c>
      <c r="S406" s="173" t="s">
        <v>38</v>
      </c>
      <c r="T406" s="181" t="s">
        <v>1483</v>
      </c>
      <c r="U406" s="20" t="s">
        <v>1484</v>
      </c>
      <c r="V406" s="20" t="s">
        <v>1484</v>
      </c>
    </row>
    <row r="407" spans="1:22" ht="29.25">
      <c r="A407" s="10" t="s">
        <v>2900</v>
      </c>
      <c r="B407" s="10" t="s">
        <v>1469</v>
      </c>
      <c r="C407" s="60" t="s">
        <v>1470</v>
      </c>
      <c r="D407" s="12"/>
      <c r="E407" s="13" t="s">
        <v>1142</v>
      </c>
      <c r="F407" s="43" t="s">
        <v>2901</v>
      </c>
      <c r="G407" s="6" t="str">
        <f ca="1">IFERROR(__xludf.DUMMYFUNCTION("CONCATENATE(B407,(VLOOKUP(C407,CATALOGOS!$F$2:$H$6,3,FALSE)),(VLOOKUP(T407,CATALOGOS!$J$2:$K$18,2,FALSE)),""-"",TO_TEXT(A407))"),"P12SI-0406")</f>
        <v>P12SI-0406</v>
      </c>
      <c r="H407" s="6" t="s">
        <v>2902</v>
      </c>
      <c r="I407" s="6" t="s">
        <v>2903</v>
      </c>
      <c r="J407" s="6" t="s">
        <v>2904</v>
      </c>
      <c r="K407" s="6" t="s">
        <v>2905</v>
      </c>
      <c r="L407" s="17"/>
      <c r="M407" s="17"/>
      <c r="N407" s="17" t="str">
        <f t="shared" si="1"/>
        <v>OK</v>
      </c>
      <c r="O407" s="17" t="s">
        <v>359</v>
      </c>
      <c r="P407" s="6" t="s">
        <v>2906</v>
      </c>
      <c r="Q407" s="17" t="s">
        <v>2907</v>
      </c>
      <c r="R407" s="10" t="s">
        <v>85</v>
      </c>
      <c r="S407" s="173" t="s">
        <v>38</v>
      </c>
      <c r="T407" s="181" t="s">
        <v>1483</v>
      </c>
      <c r="U407" s="20" t="s">
        <v>1484</v>
      </c>
      <c r="V407" s="20" t="s">
        <v>1484</v>
      </c>
    </row>
    <row r="408" spans="1:22" ht="29.25">
      <c r="A408" s="10" t="s">
        <v>2908</v>
      </c>
      <c r="B408" s="10" t="s">
        <v>1469</v>
      </c>
      <c r="C408" s="60" t="s">
        <v>1470</v>
      </c>
      <c r="D408" s="12"/>
      <c r="E408" s="13" t="s">
        <v>151</v>
      </c>
      <c r="F408" s="6" t="s">
        <v>152</v>
      </c>
      <c r="G408" s="6" t="str">
        <f ca="1">IFERROR(__xludf.DUMMYFUNCTION("CONCATENATE(B408,(VLOOKUP(C408,CATALOGOS!$F$2:$H$6,3,FALSE)),(VLOOKUP(T408,CATALOGOS!$J$2:$K$18,2,FALSE)),""-"",TO_TEXT(A408))"),"P12SI-0407")</f>
        <v>P12SI-0407</v>
      </c>
      <c r="H408" s="6" t="s">
        <v>2909</v>
      </c>
      <c r="I408" s="6" t="s">
        <v>2910</v>
      </c>
      <c r="J408" s="6" t="s">
        <v>2911</v>
      </c>
      <c r="K408" s="6" t="s">
        <v>2912</v>
      </c>
      <c r="L408" s="17"/>
      <c r="M408" s="17"/>
      <c r="N408" s="17" t="str">
        <f t="shared" si="1"/>
        <v>OK</v>
      </c>
      <c r="O408" s="17" t="s">
        <v>1220</v>
      </c>
      <c r="P408" s="6" t="s">
        <v>720</v>
      </c>
      <c r="Q408" s="17" t="s">
        <v>2913</v>
      </c>
      <c r="R408" s="17" t="s">
        <v>2914</v>
      </c>
      <c r="S408" s="173" t="s">
        <v>2915</v>
      </c>
      <c r="T408" s="181" t="s">
        <v>1483</v>
      </c>
      <c r="U408" s="20" t="s">
        <v>1484</v>
      </c>
      <c r="V408" s="20" t="s">
        <v>1484</v>
      </c>
    </row>
    <row r="409" spans="1:22" ht="43.5">
      <c r="A409" s="10" t="s">
        <v>2916</v>
      </c>
      <c r="B409" s="10" t="s">
        <v>1469</v>
      </c>
      <c r="C409" s="60" t="s">
        <v>1470</v>
      </c>
      <c r="D409" s="12"/>
      <c r="E409" s="13" t="s">
        <v>353</v>
      </c>
      <c r="F409" s="43" t="s">
        <v>638</v>
      </c>
      <c r="G409" s="6" t="str">
        <f ca="1">IFERROR(__xludf.DUMMYFUNCTION("CONCATENATE(B409,(VLOOKUP(C409,CATALOGOS!$F$2:$H$6,3,FALSE)),(VLOOKUP(T409,CATALOGOS!$J$2:$K$18,2,FALSE)),""-"",TO_TEXT(A409))"),"P12SI-0408")</f>
        <v>P12SI-0408</v>
      </c>
      <c r="H409" s="6" t="s">
        <v>2917</v>
      </c>
      <c r="I409" s="6" t="s">
        <v>2918</v>
      </c>
      <c r="J409" s="6" t="s">
        <v>2919</v>
      </c>
      <c r="K409" s="43" t="s">
        <v>2920</v>
      </c>
      <c r="L409" s="17"/>
      <c r="M409" s="17"/>
      <c r="N409" s="17" t="str">
        <f t="shared" si="1"/>
        <v>OK</v>
      </c>
      <c r="O409" s="66" t="s">
        <v>359</v>
      </c>
      <c r="P409" s="6">
        <v>1500</v>
      </c>
      <c r="Q409" s="17" t="s">
        <v>2921</v>
      </c>
      <c r="R409" s="10" t="s">
        <v>2922</v>
      </c>
      <c r="S409" s="173" t="s">
        <v>38</v>
      </c>
      <c r="T409" s="181" t="s">
        <v>1483</v>
      </c>
      <c r="U409" s="20" t="s">
        <v>1484</v>
      </c>
      <c r="V409" s="20" t="s">
        <v>1484</v>
      </c>
    </row>
    <row r="410" spans="1:22" ht="29.25">
      <c r="A410" s="10" t="s">
        <v>2923</v>
      </c>
      <c r="B410" s="10" t="s">
        <v>1469</v>
      </c>
      <c r="C410" s="60" t="s">
        <v>1470</v>
      </c>
      <c r="D410" s="12"/>
      <c r="E410" s="13" t="s">
        <v>151</v>
      </c>
      <c r="F410" s="6" t="s">
        <v>698</v>
      </c>
      <c r="G410" s="6" t="str">
        <f ca="1">IFERROR(__xludf.DUMMYFUNCTION("CONCATENATE(B410,(VLOOKUP(C410,CATALOGOS!$F$2:$H$6,3,FALSE)),(VLOOKUP(T410,CATALOGOS!$J$2:$K$18,2,FALSE)),""-"",TO_TEXT(A410))"),"P12SI-0409")</f>
        <v>P12SI-0409</v>
      </c>
      <c r="H410" s="6" t="s">
        <v>2924</v>
      </c>
      <c r="I410" s="6" t="s">
        <v>2925</v>
      </c>
      <c r="J410" s="6" t="s">
        <v>2926</v>
      </c>
      <c r="K410" s="6" t="s">
        <v>2927</v>
      </c>
      <c r="L410" s="17"/>
      <c r="M410" s="17"/>
      <c r="N410" s="17" t="str">
        <f t="shared" si="1"/>
        <v>OK</v>
      </c>
      <c r="O410" s="17" t="s">
        <v>703</v>
      </c>
      <c r="P410" s="6" t="s">
        <v>2874</v>
      </c>
      <c r="Q410" s="17" t="s">
        <v>2928</v>
      </c>
      <c r="R410" s="10" t="s">
        <v>2929</v>
      </c>
      <c r="S410" s="173" t="s">
        <v>38</v>
      </c>
      <c r="T410" s="181" t="s">
        <v>1483</v>
      </c>
      <c r="U410" s="20" t="s">
        <v>1484</v>
      </c>
      <c r="V410" s="20" t="s">
        <v>1484</v>
      </c>
    </row>
    <row r="411" spans="1:22" ht="29.25">
      <c r="A411" s="10" t="s">
        <v>2930</v>
      </c>
      <c r="B411" s="10" t="s">
        <v>1469</v>
      </c>
      <c r="C411" s="60" t="s">
        <v>1470</v>
      </c>
      <c r="D411" s="12"/>
      <c r="E411" s="13" t="s">
        <v>2734</v>
      </c>
      <c r="F411" s="43" t="s">
        <v>2734</v>
      </c>
      <c r="G411" s="6" t="str">
        <f ca="1">IFERROR(__xludf.DUMMYFUNCTION("CONCATENATE(B411,(VLOOKUP(C411,CATALOGOS!$F$2:$H$6,3,FALSE)),(VLOOKUP(T411,CATALOGOS!$J$2:$K$18,2,FALSE)),""-"",TO_TEXT(A411))"),"P12SI-0410")</f>
        <v>P12SI-0410</v>
      </c>
      <c r="H411" s="6" t="s">
        <v>2932</v>
      </c>
      <c r="I411" s="6" t="s">
        <v>2933</v>
      </c>
      <c r="J411" s="6" t="s">
        <v>2934</v>
      </c>
      <c r="K411" s="6" t="s">
        <v>2935</v>
      </c>
      <c r="L411" s="17"/>
      <c r="M411" s="17"/>
      <c r="N411" s="17" t="str">
        <f t="shared" si="1"/>
        <v>OK</v>
      </c>
      <c r="O411" s="17" t="s">
        <v>35</v>
      </c>
      <c r="P411" s="6" t="s">
        <v>35</v>
      </c>
      <c r="Q411" s="17" t="s">
        <v>36</v>
      </c>
      <c r="R411" s="17" t="s">
        <v>2936</v>
      </c>
      <c r="S411" s="173" t="s">
        <v>38</v>
      </c>
      <c r="T411" s="181" t="s">
        <v>1483</v>
      </c>
      <c r="U411" s="20" t="s">
        <v>2937</v>
      </c>
      <c r="V411" s="20" t="s">
        <v>2937</v>
      </c>
    </row>
    <row r="412" spans="1:22" ht="29.25">
      <c r="A412" s="10" t="s">
        <v>2938</v>
      </c>
      <c r="B412" s="10" t="s">
        <v>1469</v>
      </c>
      <c r="C412" s="60" t="s">
        <v>1470</v>
      </c>
      <c r="D412" s="12"/>
      <c r="E412" s="13" t="s">
        <v>2817</v>
      </c>
      <c r="F412" s="43" t="s">
        <v>2817</v>
      </c>
      <c r="G412" s="6" t="str">
        <f ca="1">IFERROR(__xludf.DUMMYFUNCTION("CONCATENATE(B412,(VLOOKUP(C412,CATALOGOS!$F$2:$H$6,3,FALSE)),(VLOOKUP(T412,CATALOGOS!$J$2:$K$18,2,FALSE)),""-"",TO_TEXT(A412))"),"P12SI-0411")</f>
        <v>P12SI-0411</v>
      </c>
      <c r="H412" s="6" t="s">
        <v>2939</v>
      </c>
      <c r="I412" s="6" t="s">
        <v>2940</v>
      </c>
      <c r="J412" s="6" t="s">
        <v>2941</v>
      </c>
      <c r="K412" s="6" t="s">
        <v>2942</v>
      </c>
      <c r="L412" s="17"/>
      <c r="M412" s="17"/>
      <c r="N412" s="17" t="str">
        <f t="shared" si="1"/>
        <v>OK</v>
      </c>
      <c r="O412" s="17" t="s">
        <v>2943</v>
      </c>
      <c r="P412" s="6" t="s">
        <v>35</v>
      </c>
      <c r="Q412" s="17" t="s">
        <v>36</v>
      </c>
      <c r="R412" s="17" t="s">
        <v>2944</v>
      </c>
      <c r="S412" s="173" t="s">
        <v>38</v>
      </c>
      <c r="T412" s="181" t="s">
        <v>1483</v>
      </c>
      <c r="U412" s="68" t="s">
        <v>2937</v>
      </c>
      <c r="V412" s="68" t="s">
        <v>2937</v>
      </c>
    </row>
    <row r="413" spans="1:22" ht="57.75">
      <c r="A413" s="10" t="s">
        <v>2945</v>
      </c>
      <c r="B413" s="10" t="s">
        <v>1469</v>
      </c>
      <c r="C413" s="60" t="s">
        <v>1470</v>
      </c>
      <c r="D413" s="12"/>
      <c r="E413" s="13" t="s">
        <v>2351</v>
      </c>
      <c r="F413" s="43" t="s">
        <v>2352</v>
      </c>
      <c r="G413" s="6" t="str">
        <f ca="1">IFERROR(__xludf.DUMMYFUNCTION("CONCATENATE(B413,(VLOOKUP(C413,CATALOGOS!$F$2:$H$6,3,FALSE)),(VLOOKUP(T413,CATALOGOS!$J$2:$K$18,2,FALSE)),""-"",TO_TEXT(A413))"),"P12SI-0412")</f>
        <v>P12SI-0412</v>
      </c>
      <c r="H413" s="6" t="s">
        <v>2946</v>
      </c>
      <c r="I413" s="6" t="s">
        <v>2947</v>
      </c>
      <c r="J413" s="6" t="s">
        <v>2948</v>
      </c>
      <c r="K413" s="6" t="s">
        <v>2949</v>
      </c>
      <c r="L413" s="17"/>
      <c r="M413" s="17"/>
      <c r="N413" s="17" t="str">
        <f t="shared" si="1"/>
        <v>OK</v>
      </c>
      <c r="O413" s="17" t="s">
        <v>2357</v>
      </c>
      <c r="P413" s="6" t="s">
        <v>35</v>
      </c>
      <c r="Q413" s="17" t="s">
        <v>2928</v>
      </c>
      <c r="R413" s="17" t="s">
        <v>2950</v>
      </c>
      <c r="S413" s="173" t="s">
        <v>38</v>
      </c>
      <c r="T413" s="181" t="s">
        <v>1483</v>
      </c>
      <c r="U413" s="20" t="s">
        <v>2937</v>
      </c>
      <c r="V413" s="20" t="s">
        <v>2937</v>
      </c>
    </row>
    <row r="414" spans="1:22" ht="72">
      <c r="A414" s="10" t="s">
        <v>2951</v>
      </c>
      <c r="B414" s="10" t="s">
        <v>1469</v>
      </c>
      <c r="C414" s="60" t="s">
        <v>1470</v>
      </c>
      <c r="D414" s="12"/>
      <c r="E414" s="13" t="s">
        <v>501</v>
      </c>
      <c r="F414" s="6" t="s">
        <v>2952</v>
      </c>
      <c r="G414" s="6" t="str">
        <f ca="1">IFERROR(__xludf.DUMMYFUNCTION("CONCATENATE(B414,(VLOOKUP(C414,CATALOGOS!$F$2:$H$6,3,FALSE)),(VLOOKUP(T414,CATALOGOS!$J$2:$K$18,2,FALSE)),""-"",TO_TEXT(A414))"),"P12SI-0413")</f>
        <v>P12SI-0413</v>
      </c>
      <c r="H414" s="6" t="s">
        <v>2953</v>
      </c>
      <c r="I414" s="6" t="s">
        <v>2954</v>
      </c>
      <c r="J414" s="6" t="s">
        <v>2955</v>
      </c>
      <c r="K414" s="43" t="s">
        <v>2956</v>
      </c>
      <c r="L414" s="17"/>
      <c r="M414" s="17"/>
      <c r="N414" s="17" t="str">
        <f t="shared" si="1"/>
        <v>OK</v>
      </c>
      <c r="O414" s="17" t="s">
        <v>35</v>
      </c>
      <c r="P414" s="6" t="s">
        <v>35</v>
      </c>
      <c r="Q414" s="17" t="s">
        <v>36</v>
      </c>
      <c r="R414" s="10" t="s">
        <v>2957</v>
      </c>
      <c r="S414" s="173" t="s">
        <v>38</v>
      </c>
      <c r="T414" s="181" t="s">
        <v>1483</v>
      </c>
      <c r="U414" s="20" t="s">
        <v>1484</v>
      </c>
      <c r="V414" s="20" t="s">
        <v>1484</v>
      </c>
    </row>
    <row r="415" spans="1:22" ht="29.25">
      <c r="A415" s="10" t="s">
        <v>2958</v>
      </c>
      <c r="B415" s="10" t="s">
        <v>1469</v>
      </c>
      <c r="C415" s="60" t="s">
        <v>1470</v>
      </c>
      <c r="D415" s="12"/>
      <c r="E415" s="13" t="s">
        <v>2734</v>
      </c>
      <c r="F415" s="43" t="s">
        <v>2734</v>
      </c>
      <c r="G415" s="6" t="str">
        <f ca="1">IFERROR(__xludf.DUMMYFUNCTION("CONCATENATE(B415,(VLOOKUP(C415,CATALOGOS!$F$2:$H$6,3,FALSE)),(VLOOKUP(T415,CATALOGOS!$J$2:$K$18,2,FALSE)),""-"",TO_TEXT(A415))"),"P12SI-0414")</f>
        <v>P12SI-0414</v>
      </c>
      <c r="H415" s="6" t="s">
        <v>2959</v>
      </c>
      <c r="I415" s="6" t="s">
        <v>2960</v>
      </c>
      <c r="J415" s="49" t="s">
        <v>2961</v>
      </c>
      <c r="K415" s="6" t="s">
        <v>2962</v>
      </c>
      <c r="L415" s="17"/>
      <c r="M415" s="17"/>
      <c r="N415" s="17" t="str">
        <f t="shared" si="1"/>
        <v>OK</v>
      </c>
      <c r="O415" s="17" t="s">
        <v>35</v>
      </c>
      <c r="P415" s="6" t="s">
        <v>35</v>
      </c>
      <c r="Q415" s="17" t="s">
        <v>36</v>
      </c>
      <c r="R415" s="17" t="s">
        <v>2963</v>
      </c>
      <c r="S415" s="173" t="s">
        <v>38</v>
      </c>
      <c r="T415" s="181" t="s">
        <v>1483</v>
      </c>
      <c r="U415" s="20" t="s">
        <v>2964</v>
      </c>
      <c r="V415" s="20" t="s">
        <v>2964</v>
      </c>
    </row>
    <row r="416" spans="1:22" ht="29.25">
      <c r="A416" s="10" t="s">
        <v>2965</v>
      </c>
      <c r="B416" s="10" t="s">
        <v>1469</v>
      </c>
      <c r="C416" s="60" t="s">
        <v>1470</v>
      </c>
      <c r="D416" s="12"/>
      <c r="E416" s="13" t="s">
        <v>2817</v>
      </c>
      <c r="F416" s="43" t="s">
        <v>2817</v>
      </c>
      <c r="G416" s="6" t="str">
        <f ca="1">IFERROR(__xludf.DUMMYFUNCTION("CONCATENATE(B416,(VLOOKUP(C416,CATALOGOS!$F$2:$H$6,3,FALSE)),(VLOOKUP(T416,CATALOGOS!$J$2:$K$18,2,FALSE)),""-"",TO_TEXT(A416))"),"P12SI-0415")</f>
        <v>P12SI-0415</v>
      </c>
      <c r="H416" s="6" t="s">
        <v>2966</v>
      </c>
      <c r="I416" s="6" t="s">
        <v>2967</v>
      </c>
      <c r="J416" s="6" t="s">
        <v>2968</v>
      </c>
      <c r="K416" s="6" t="s">
        <v>2969</v>
      </c>
      <c r="L416" s="17"/>
      <c r="M416" s="17"/>
      <c r="N416" s="17" t="str">
        <f t="shared" si="1"/>
        <v>OK</v>
      </c>
      <c r="O416" s="17" t="s">
        <v>2822</v>
      </c>
      <c r="P416" s="6" t="s">
        <v>35</v>
      </c>
      <c r="Q416" s="6" t="s">
        <v>36</v>
      </c>
      <c r="R416" s="17" t="s">
        <v>2970</v>
      </c>
      <c r="S416" s="173" t="s">
        <v>38</v>
      </c>
      <c r="T416" s="181" t="s">
        <v>1483</v>
      </c>
      <c r="U416" s="20" t="s">
        <v>2964</v>
      </c>
      <c r="V416" s="20" t="s">
        <v>2964</v>
      </c>
    </row>
    <row r="417" spans="1:22" ht="57.75">
      <c r="A417" s="10" t="s">
        <v>2971</v>
      </c>
      <c r="B417" s="10" t="s">
        <v>1469</v>
      </c>
      <c r="C417" s="60" t="s">
        <v>1470</v>
      </c>
      <c r="D417" s="12"/>
      <c r="E417" s="13" t="s">
        <v>2351</v>
      </c>
      <c r="F417" s="43" t="s">
        <v>2352</v>
      </c>
      <c r="G417" s="6" t="str">
        <f ca="1">IFERROR(__xludf.DUMMYFUNCTION("CONCATENATE(B417,(VLOOKUP(C417,CATALOGOS!$F$2:$H$6,3,FALSE)),(VLOOKUP(T417,CATALOGOS!$J$2:$K$18,2,FALSE)),""-"",TO_TEXT(A417))"),"P12SI-0416")</f>
        <v>P12SI-0416</v>
      </c>
      <c r="H417" s="6" t="s">
        <v>2972</v>
      </c>
      <c r="I417" s="6" t="s">
        <v>2973</v>
      </c>
      <c r="J417" s="6" t="s">
        <v>2974</v>
      </c>
      <c r="K417" s="6" t="s">
        <v>2975</v>
      </c>
      <c r="L417" s="17"/>
      <c r="M417" s="17"/>
      <c r="N417" s="17" t="str">
        <f t="shared" si="1"/>
        <v>OK</v>
      </c>
      <c r="O417" s="17" t="s">
        <v>2976</v>
      </c>
      <c r="P417" s="6" t="s">
        <v>2977</v>
      </c>
      <c r="Q417" s="6" t="s">
        <v>2978</v>
      </c>
      <c r="R417" s="10" t="s">
        <v>2979</v>
      </c>
      <c r="S417" s="173" t="s">
        <v>38</v>
      </c>
      <c r="T417" s="181" t="s">
        <v>1483</v>
      </c>
      <c r="U417" s="20" t="s">
        <v>2964</v>
      </c>
      <c r="V417" s="20" t="s">
        <v>2964</v>
      </c>
    </row>
    <row r="418" spans="1:22" ht="43.5">
      <c r="A418" s="10" t="s">
        <v>2980</v>
      </c>
      <c r="B418" s="10" t="s">
        <v>1469</v>
      </c>
      <c r="C418" s="60" t="s">
        <v>1470</v>
      </c>
      <c r="D418" s="12"/>
      <c r="E418" s="13" t="s">
        <v>93</v>
      </c>
      <c r="F418" s="6" t="s">
        <v>2981</v>
      </c>
      <c r="G418" s="6" t="str">
        <f ca="1">IFERROR(__xludf.DUMMYFUNCTION("CONCATENATE(B418,(VLOOKUP(C418,CATALOGOS!$F$2:$H$6,3,FALSE)),(VLOOKUP(T418,CATALOGOS!$J$2:$K$18,2,FALSE)),""-"",TO_TEXT(A418))"),"P12SI-0417")</f>
        <v>P12SI-0417</v>
      </c>
      <c r="H418" s="6" t="s">
        <v>2982</v>
      </c>
      <c r="I418" s="6" t="s">
        <v>2983</v>
      </c>
      <c r="J418" s="6" t="s">
        <v>2984</v>
      </c>
      <c r="K418" s="6" t="s">
        <v>2985</v>
      </c>
      <c r="L418" s="17"/>
      <c r="M418" s="17"/>
      <c r="N418" s="17" t="str">
        <f t="shared" si="1"/>
        <v>OK</v>
      </c>
      <c r="O418" s="17" t="s">
        <v>35</v>
      </c>
      <c r="P418" s="6" t="s">
        <v>35</v>
      </c>
      <c r="Q418" s="17" t="s">
        <v>36</v>
      </c>
      <c r="R418" s="17" t="s">
        <v>2986</v>
      </c>
      <c r="S418" s="173" t="s">
        <v>38</v>
      </c>
      <c r="T418" s="181" t="s">
        <v>1483</v>
      </c>
      <c r="U418" s="20" t="s">
        <v>1484</v>
      </c>
      <c r="V418" s="20" t="s">
        <v>1484</v>
      </c>
    </row>
    <row r="419" spans="1:22" ht="43.5">
      <c r="A419" s="10" t="s">
        <v>2987</v>
      </c>
      <c r="B419" s="10" t="s">
        <v>1469</v>
      </c>
      <c r="C419" s="60" t="s">
        <v>1470</v>
      </c>
      <c r="D419" s="12"/>
      <c r="E419" s="13" t="s">
        <v>2988</v>
      </c>
      <c r="F419" s="6" t="s">
        <v>2988</v>
      </c>
      <c r="G419" s="6" t="str">
        <f ca="1">IFERROR(__xludf.DUMMYFUNCTION("CONCATENATE(B419,(VLOOKUP(C419,CATALOGOS!$F$2:$H$6,3,FALSE)),(VLOOKUP(T419,CATALOGOS!$J$2:$K$18,2,FALSE)),""-"",TO_TEXT(A419))"),"P12SI-0418")</f>
        <v>P12SI-0418</v>
      </c>
      <c r="H419" s="6" t="s">
        <v>2989</v>
      </c>
      <c r="I419" s="6" t="s">
        <v>2990</v>
      </c>
      <c r="J419" s="6" t="s">
        <v>2991</v>
      </c>
      <c r="K419" s="6" t="s">
        <v>2992</v>
      </c>
      <c r="L419" s="17"/>
      <c r="M419" s="17"/>
      <c r="N419" s="17" t="str">
        <f t="shared" si="1"/>
        <v>OK</v>
      </c>
      <c r="O419" s="17" t="s">
        <v>2993</v>
      </c>
      <c r="P419" s="6" t="s">
        <v>2994</v>
      </c>
      <c r="Q419" s="17" t="s">
        <v>2995</v>
      </c>
      <c r="R419" s="17" t="s">
        <v>2996</v>
      </c>
      <c r="S419" s="173" t="s">
        <v>38</v>
      </c>
      <c r="T419" s="181" t="s">
        <v>1483</v>
      </c>
      <c r="U419" s="20" t="s">
        <v>1484</v>
      </c>
      <c r="V419" s="20" t="s">
        <v>1484</v>
      </c>
    </row>
    <row r="420" spans="1:22" ht="43.5">
      <c r="A420" s="10" t="s">
        <v>2998</v>
      </c>
      <c r="B420" s="10" t="s">
        <v>1469</v>
      </c>
      <c r="C420" s="60" t="s">
        <v>1470</v>
      </c>
      <c r="D420" s="12"/>
      <c r="E420" s="13" t="s">
        <v>2988</v>
      </c>
      <c r="F420" s="6" t="s">
        <v>2988</v>
      </c>
      <c r="G420" s="6" t="str">
        <f ca="1">IFERROR(__xludf.DUMMYFUNCTION("CONCATENATE(B420,(VLOOKUP(C420,CATALOGOS!$F$2:$H$6,3,FALSE)),(VLOOKUP(T420,CATALOGOS!$J$2:$K$18,2,FALSE)),""-"",TO_TEXT(A420))"),"P12SI-0419")</f>
        <v>P12SI-0419</v>
      </c>
      <c r="H420" s="6" t="s">
        <v>2999</v>
      </c>
      <c r="I420" s="6" t="s">
        <v>3000</v>
      </c>
      <c r="J420" s="6" t="s">
        <v>3001</v>
      </c>
      <c r="K420" s="6" t="s">
        <v>3002</v>
      </c>
      <c r="L420" s="17"/>
      <c r="M420" s="17"/>
      <c r="N420" s="17" t="str">
        <f t="shared" si="1"/>
        <v>OK</v>
      </c>
      <c r="O420" s="17" t="s">
        <v>2993</v>
      </c>
      <c r="P420" s="6" t="s">
        <v>3003</v>
      </c>
      <c r="Q420" s="17" t="s">
        <v>3004</v>
      </c>
      <c r="R420" s="17" t="s">
        <v>3005</v>
      </c>
      <c r="S420" s="173" t="s">
        <v>38</v>
      </c>
      <c r="T420" s="181" t="s">
        <v>1483</v>
      </c>
      <c r="U420" s="20" t="s">
        <v>1484</v>
      </c>
      <c r="V420" s="20" t="s">
        <v>1484</v>
      </c>
    </row>
    <row r="421" spans="1:22" ht="43.5">
      <c r="A421" s="10" t="s">
        <v>3007</v>
      </c>
      <c r="B421" s="10" t="s">
        <v>1469</v>
      </c>
      <c r="C421" s="60" t="s">
        <v>1470</v>
      </c>
      <c r="D421" s="12"/>
      <c r="E421" s="13" t="s">
        <v>2988</v>
      </c>
      <c r="F421" s="6" t="s">
        <v>2988</v>
      </c>
      <c r="G421" s="6" t="str">
        <f ca="1">IFERROR(__xludf.DUMMYFUNCTION("CONCATENATE(B421,(VLOOKUP(C421,CATALOGOS!$F$2:$H$6,3,FALSE)),(VLOOKUP(T421,CATALOGOS!$J$2:$K$18,2,FALSE)),""-"",TO_TEXT(A421))"),"P12SI-0420")</f>
        <v>P12SI-0420</v>
      </c>
      <c r="H421" s="6" t="s">
        <v>3008</v>
      </c>
      <c r="I421" s="6" t="s">
        <v>3009</v>
      </c>
      <c r="J421" s="6" t="s">
        <v>3010</v>
      </c>
      <c r="K421" s="6" t="s">
        <v>3011</v>
      </c>
      <c r="L421" s="17"/>
      <c r="M421" s="17"/>
      <c r="N421" s="17" t="str">
        <f t="shared" si="1"/>
        <v>OK</v>
      </c>
      <c r="O421" s="17" t="s">
        <v>2993</v>
      </c>
      <c r="P421" s="6" t="s">
        <v>3003</v>
      </c>
      <c r="Q421" s="17" t="s">
        <v>3013</v>
      </c>
      <c r="R421" s="17" t="s">
        <v>3014</v>
      </c>
      <c r="S421" s="173" t="s">
        <v>38</v>
      </c>
      <c r="T421" s="181" t="s">
        <v>1483</v>
      </c>
      <c r="U421" s="20" t="s">
        <v>1484</v>
      </c>
      <c r="V421" s="20" t="s">
        <v>1484</v>
      </c>
    </row>
    <row r="422" spans="1:22" ht="43.5">
      <c r="A422" s="10" t="s">
        <v>3016</v>
      </c>
      <c r="B422" s="10" t="s">
        <v>1469</v>
      </c>
      <c r="C422" s="60" t="s">
        <v>1470</v>
      </c>
      <c r="D422" s="12"/>
      <c r="E422" s="13" t="s">
        <v>2988</v>
      </c>
      <c r="F422" s="6" t="s">
        <v>2988</v>
      </c>
      <c r="G422" s="6" t="str">
        <f ca="1">IFERROR(__xludf.DUMMYFUNCTION("CONCATENATE(B422,(VLOOKUP(C422,CATALOGOS!$F$2:$H$6,3,FALSE)),(VLOOKUP(T422,CATALOGOS!$J$2:$K$18,2,FALSE)),""-"",TO_TEXT(A422))"),"P12SI-0421")</f>
        <v>P12SI-0421</v>
      </c>
      <c r="H422" s="6" t="s">
        <v>3017</v>
      </c>
      <c r="I422" s="6" t="s">
        <v>3018</v>
      </c>
      <c r="J422" s="6" t="s">
        <v>3019</v>
      </c>
      <c r="K422" s="6" t="s">
        <v>3020</v>
      </c>
      <c r="L422" s="17"/>
      <c r="M422" s="17"/>
      <c r="N422" s="17" t="str">
        <f t="shared" si="1"/>
        <v>OK</v>
      </c>
      <c r="O422" s="17" t="s">
        <v>2993</v>
      </c>
      <c r="P422" s="6" t="s">
        <v>3003</v>
      </c>
      <c r="Q422" s="17" t="s">
        <v>3021</v>
      </c>
      <c r="R422" s="17" t="s">
        <v>3022</v>
      </c>
      <c r="S422" s="173" t="s">
        <v>38</v>
      </c>
      <c r="T422" s="181" t="s">
        <v>1483</v>
      </c>
      <c r="U422" s="20" t="s">
        <v>1484</v>
      </c>
      <c r="V422" s="20" t="s">
        <v>1484</v>
      </c>
    </row>
    <row r="423" spans="1:22" ht="43.5">
      <c r="A423" s="10" t="s">
        <v>3024</v>
      </c>
      <c r="B423" s="10" t="s">
        <v>1469</v>
      </c>
      <c r="C423" s="60" t="s">
        <v>1470</v>
      </c>
      <c r="D423" s="12"/>
      <c r="E423" s="13" t="s">
        <v>2988</v>
      </c>
      <c r="F423" s="6" t="s">
        <v>2988</v>
      </c>
      <c r="G423" s="6" t="str">
        <f ca="1">IFERROR(__xludf.DUMMYFUNCTION("CONCATENATE(B423,(VLOOKUP(C423,CATALOGOS!$F$2:$H$6,3,FALSE)),(VLOOKUP(T423,CATALOGOS!$J$2:$K$18,2,FALSE)),""-"",TO_TEXT(A423))"),"P12SI-0422")</f>
        <v>P12SI-0422</v>
      </c>
      <c r="H423" s="6" t="s">
        <v>3025</v>
      </c>
      <c r="I423" s="6" t="s">
        <v>3026</v>
      </c>
      <c r="J423" s="6" t="s">
        <v>3027</v>
      </c>
      <c r="K423" s="6" t="s">
        <v>3028</v>
      </c>
      <c r="L423" s="17"/>
      <c r="M423" s="17"/>
      <c r="N423" s="17" t="str">
        <f t="shared" si="1"/>
        <v>OK</v>
      </c>
      <c r="O423" s="17" t="s">
        <v>2993</v>
      </c>
      <c r="P423" s="6" t="s">
        <v>3003</v>
      </c>
      <c r="Q423" s="17" t="s">
        <v>3029</v>
      </c>
      <c r="R423" s="17" t="s">
        <v>3030</v>
      </c>
      <c r="S423" s="173" t="s">
        <v>38</v>
      </c>
      <c r="T423" s="181" t="s">
        <v>1483</v>
      </c>
      <c r="U423" s="20" t="s">
        <v>1484</v>
      </c>
      <c r="V423" s="20" t="s">
        <v>1484</v>
      </c>
    </row>
    <row r="424" spans="1:22" ht="43.5">
      <c r="A424" s="10" t="s">
        <v>3032</v>
      </c>
      <c r="B424" s="10" t="s">
        <v>1469</v>
      </c>
      <c r="C424" s="60" t="s">
        <v>1470</v>
      </c>
      <c r="D424" s="12"/>
      <c r="E424" s="13" t="s">
        <v>2988</v>
      </c>
      <c r="F424" s="6" t="s">
        <v>2988</v>
      </c>
      <c r="G424" s="6" t="str">
        <f ca="1">IFERROR(__xludf.DUMMYFUNCTION("CONCATENATE(B424,(VLOOKUP(C424,CATALOGOS!$F$2:$H$6,3,FALSE)),(VLOOKUP(T424,CATALOGOS!$J$2:$K$18,2,FALSE)),""-"",TO_TEXT(A424))"),"P12SI-0423")</f>
        <v>P12SI-0423</v>
      </c>
      <c r="H424" s="6" t="s">
        <v>3033</v>
      </c>
      <c r="I424" s="6" t="s">
        <v>3034</v>
      </c>
      <c r="J424" s="6" t="s">
        <v>3035</v>
      </c>
      <c r="K424" s="6" t="s">
        <v>3036</v>
      </c>
      <c r="L424" s="17"/>
      <c r="M424" s="17"/>
      <c r="N424" s="17" t="str">
        <f t="shared" si="1"/>
        <v>OK</v>
      </c>
      <c r="O424" s="17" t="s">
        <v>2993</v>
      </c>
      <c r="P424" s="6" t="s">
        <v>3037</v>
      </c>
      <c r="Q424" s="17" t="s">
        <v>3038</v>
      </c>
      <c r="R424" s="17" t="s">
        <v>3039</v>
      </c>
      <c r="S424" s="173" t="s">
        <v>38</v>
      </c>
      <c r="T424" s="181" t="s">
        <v>1483</v>
      </c>
      <c r="U424" s="20" t="s">
        <v>1484</v>
      </c>
      <c r="V424" s="20" t="s">
        <v>1484</v>
      </c>
    </row>
    <row r="425" spans="1:22" ht="43.5">
      <c r="A425" s="10" t="s">
        <v>3041</v>
      </c>
      <c r="B425" s="10" t="s">
        <v>1469</v>
      </c>
      <c r="C425" s="60" t="s">
        <v>1470</v>
      </c>
      <c r="D425" s="12"/>
      <c r="E425" s="13" t="s">
        <v>2988</v>
      </c>
      <c r="F425" s="6" t="s">
        <v>2988</v>
      </c>
      <c r="G425" s="6" t="str">
        <f ca="1">IFERROR(__xludf.DUMMYFUNCTION("CONCATENATE(B425,(VLOOKUP(C425,CATALOGOS!$F$2:$H$6,3,FALSE)),(VLOOKUP(T425,CATALOGOS!$J$2:$K$18,2,FALSE)),""-"",TO_TEXT(A425))"),"P12SI-0424")</f>
        <v>P12SI-0424</v>
      </c>
      <c r="H425" s="6" t="s">
        <v>3042</v>
      </c>
      <c r="I425" s="6" t="s">
        <v>3043</v>
      </c>
      <c r="J425" s="6" t="s">
        <v>3044</v>
      </c>
      <c r="K425" s="6" t="s">
        <v>3045</v>
      </c>
      <c r="L425" s="17"/>
      <c r="M425" s="17"/>
      <c r="N425" s="17" t="str">
        <f t="shared" si="1"/>
        <v>OK</v>
      </c>
      <c r="O425" s="17" t="s">
        <v>2993</v>
      </c>
      <c r="P425" s="6" t="s">
        <v>3046</v>
      </c>
      <c r="Q425" s="17" t="s">
        <v>3047</v>
      </c>
      <c r="R425" s="17" t="s">
        <v>3048</v>
      </c>
      <c r="S425" s="173" t="s">
        <v>38</v>
      </c>
      <c r="T425" s="181" t="s">
        <v>1483</v>
      </c>
      <c r="U425" s="20" t="s">
        <v>1484</v>
      </c>
      <c r="V425" s="20" t="s">
        <v>1484</v>
      </c>
    </row>
    <row r="426" spans="1:22" ht="43.5">
      <c r="A426" s="10" t="s">
        <v>3050</v>
      </c>
      <c r="B426" s="10" t="s">
        <v>1469</v>
      </c>
      <c r="C426" s="60" t="s">
        <v>1470</v>
      </c>
      <c r="D426" s="12"/>
      <c r="E426" s="13" t="s">
        <v>2988</v>
      </c>
      <c r="F426" s="6" t="s">
        <v>2988</v>
      </c>
      <c r="G426" s="6" t="str">
        <f ca="1">IFERROR(__xludf.DUMMYFUNCTION("CONCATENATE(B426,(VLOOKUP(C426,CATALOGOS!$F$2:$H$6,3,FALSE)),(VLOOKUP(T426,CATALOGOS!$J$2:$K$18,2,FALSE)),""-"",TO_TEXT(A426))"),"P12SI-0425")</f>
        <v>P12SI-0425</v>
      </c>
      <c r="H426" s="6" t="s">
        <v>3051</v>
      </c>
      <c r="I426" s="6" t="s">
        <v>3052</v>
      </c>
      <c r="J426" s="6" t="s">
        <v>3053</v>
      </c>
      <c r="K426" s="6" t="s">
        <v>3054</v>
      </c>
      <c r="L426" s="17"/>
      <c r="M426" s="17"/>
      <c r="N426" s="17" t="str">
        <f t="shared" si="1"/>
        <v>OK</v>
      </c>
      <c r="O426" s="17" t="s">
        <v>2993</v>
      </c>
      <c r="P426" s="6" t="s">
        <v>3037</v>
      </c>
      <c r="Q426" s="17" t="s">
        <v>36</v>
      </c>
      <c r="R426" s="17" t="s">
        <v>3058</v>
      </c>
      <c r="S426" s="173" t="s">
        <v>38</v>
      </c>
      <c r="T426" s="181" t="s">
        <v>1483</v>
      </c>
      <c r="U426" s="20" t="s">
        <v>1484</v>
      </c>
      <c r="V426" s="20" t="s">
        <v>1484</v>
      </c>
    </row>
    <row r="427" spans="1:22" ht="29.25">
      <c r="A427" s="10" t="s">
        <v>3060</v>
      </c>
      <c r="B427" s="10" t="s">
        <v>1469</v>
      </c>
      <c r="C427" s="60" t="s">
        <v>1470</v>
      </c>
      <c r="D427" s="12"/>
      <c r="E427" s="13" t="s">
        <v>2300</v>
      </c>
      <c r="F427" s="6" t="s">
        <v>2596</v>
      </c>
      <c r="G427" s="6" t="str">
        <f ca="1">IFERROR(__xludf.DUMMYFUNCTION("CONCATENATE(B427,(VLOOKUP(C427,CATALOGOS!$F$2:$H$6,3,FALSE)),(VLOOKUP(T427,CATALOGOS!$J$2:$K$18,2,FALSE)),""-"",TO_TEXT(A427))"),"P12SI-0426")</f>
        <v>P12SI-0426</v>
      </c>
      <c r="H427" s="6" t="s">
        <v>3061</v>
      </c>
      <c r="I427" s="6" t="s">
        <v>3062</v>
      </c>
      <c r="J427" s="36"/>
      <c r="K427" s="6" t="s">
        <v>141</v>
      </c>
      <c r="L427" s="17"/>
      <c r="M427" s="17"/>
      <c r="N427" s="17" t="str">
        <f t="shared" si="1"/>
        <v>REPETIDO</v>
      </c>
      <c r="O427" s="17" t="s">
        <v>3063</v>
      </c>
      <c r="P427" s="6" t="s">
        <v>3064</v>
      </c>
      <c r="Q427" s="6" t="s">
        <v>3065</v>
      </c>
      <c r="R427" s="10" t="s">
        <v>85</v>
      </c>
      <c r="S427" s="173" t="s">
        <v>38</v>
      </c>
      <c r="T427" s="181" t="s">
        <v>1483</v>
      </c>
      <c r="U427" s="20" t="s">
        <v>1484</v>
      </c>
      <c r="V427" s="20" t="s">
        <v>1484</v>
      </c>
    </row>
    <row r="428" spans="1:22" ht="29.25">
      <c r="A428" s="10" t="s">
        <v>3066</v>
      </c>
      <c r="B428" s="10" t="s">
        <v>1469</v>
      </c>
      <c r="C428" s="60" t="s">
        <v>1470</v>
      </c>
      <c r="D428" s="12"/>
      <c r="E428" s="13" t="s">
        <v>2300</v>
      </c>
      <c r="F428" s="6" t="s">
        <v>2596</v>
      </c>
      <c r="G428" s="6" t="str">
        <f ca="1">IFERROR(__xludf.DUMMYFUNCTION("CONCATENATE(B428,(VLOOKUP(C428,CATALOGOS!$F$2:$H$6,3,FALSE)),(VLOOKUP(T428,CATALOGOS!$J$2:$K$18,2,FALSE)),""-"",TO_TEXT(A428))"),"P12SI-0427")</f>
        <v>P12SI-0427</v>
      </c>
      <c r="H428" s="6" t="s">
        <v>3067</v>
      </c>
      <c r="I428" s="6" t="s">
        <v>3068</v>
      </c>
      <c r="J428" s="36"/>
      <c r="K428" s="6" t="s">
        <v>141</v>
      </c>
      <c r="L428" s="17"/>
      <c r="M428" s="17"/>
      <c r="N428" s="17" t="str">
        <f t="shared" si="1"/>
        <v>REPETIDO</v>
      </c>
      <c r="O428" s="17" t="s">
        <v>3069</v>
      </c>
      <c r="P428" s="6" t="s">
        <v>35</v>
      </c>
      <c r="Q428" s="6" t="s">
        <v>36</v>
      </c>
      <c r="R428" s="10" t="s">
        <v>85</v>
      </c>
      <c r="S428" s="173" t="s">
        <v>38</v>
      </c>
      <c r="T428" s="181" t="s">
        <v>1483</v>
      </c>
      <c r="U428" s="20" t="s">
        <v>1484</v>
      </c>
      <c r="V428" s="20" t="s">
        <v>1484</v>
      </c>
    </row>
    <row r="429" spans="1:22" ht="29.25">
      <c r="A429" s="10" t="s">
        <v>3072</v>
      </c>
      <c r="B429" s="10" t="s">
        <v>1469</v>
      </c>
      <c r="C429" s="60" t="s">
        <v>1470</v>
      </c>
      <c r="D429" s="12"/>
      <c r="E429" s="13" t="s">
        <v>2300</v>
      </c>
      <c r="F429" s="6" t="s">
        <v>2596</v>
      </c>
      <c r="G429" s="6" t="str">
        <f ca="1">IFERROR(__xludf.DUMMYFUNCTION("CONCATENATE(B429,(VLOOKUP(C429,CATALOGOS!$F$2:$H$6,3,FALSE)),(VLOOKUP(T429,CATALOGOS!$J$2:$K$18,2,FALSE)),""-"",TO_TEXT(A429))"),"P12SI-0428")</f>
        <v>P12SI-0428</v>
      </c>
      <c r="H429" s="6" t="s">
        <v>3073</v>
      </c>
      <c r="I429" s="6" t="s">
        <v>3074</v>
      </c>
      <c r="J429" s="36"/>
      <c r="K429" s="6" t="s">
        <v>141</v>
      </c>
      <c r="L429" s="17"/>
      <c r="M429" s="17"/>
      <c r="N429" s="17" t="str">
        <f t="shared" si="1"/>
        <v>REPETIDO</v>
      </c>
      <c r="O429" s="17" t="s">
        <v>3063</v>
      </c>
      <c r="P429" s="6" t="s">
        <v>3064</v>
      </c>
      <c r="Q429" s="6" t="s">
        <v>3075</v>
      </c>
      <c r="R429" s="10" t="s">
        <v>85</v>
      </c>
      <c r="S429" s="173" t="s">
        <v>38</v>
      </c>
      <c r="T429" s="181" t="s">
        <v>1483</v>
      </c>
      <c r="U429" s="20" t="s">
        <v>1484</v>
      </c>
      <c r="V429" s="20" t="s">
        <v>1484</v>
      </c>
    </row>
    <row r="430" spans="1:22" ht="43.5">
      <c r="A430" s="10" t="s">
        <v>3076</v>
      </c>
      <c r="B430" s="10" t="s">
        <v>1469</v>
      </c>
      <c r="C430" s="60" t="s">
        <v>1470</v>
      </c>
      <c r="D430" s="38"/>
      <c r="E430" s="13" t="s">
        <v>2988</v>
      </c>
      <c r="F430" s="6" t="s">
        <v>2988</v>
      </c>
      <c r="G430" s="6" t="str">
        <f ca="1">IFERROR(__xludf.DUMMYFUNCTION("CONCATENATE(B430,(VLOOKUP(C430,CATALOGOS!$F$2:$H$6,3,FALSE)),(VLOOKUP(T430,CATALOGOS!$J$2:$K$18,2,FALSE)),""-"",TO_TEXT(A430))"),"P12SI-0429")</f>
        <v>P12SI-0429</v>
      </c>
      <c r="H430" s="6" t="s">
        <v>3077</v>
      </c>
      <c r="I430" s="6" t="s">
        <v>3078</v>
      </c>
      <c r="J430" s="36"/>
      <c r="K430" s="6" t="s">
        <v>141</v>
      </c>
      <c r="L430" s="17"/>
      <c r="M430" s="17"/>
      <c r="N430" s="17" t="str">
        <f t="shared" si="1"/>
        <v>REPETIDO</v>
      </c>
      <c r="O430" s="17" t="s">
        <v>3079</v>
      </c>
      <c r="P430" s="6" t="s">
        <v>3080</v>
      </c>
      <c r="Q430" s="6">
        <v>358720</v>
      </c>
      <c r="R430" s="10" t="s">
        <v>85</v>
      </c>
      <c r="S430" s="173" t="s">
        <v>38</v>
      </c>
      <c r="T430" s="181" t="s">
        <v>1483</v>
      </c>
      <c r="U430" s="20" t="s">
        <v>1484</v>
      </c>
      <c r="V430" s="20" t="s">
        <v>1484</v>
      </c>
    </row>
    <row r="431" spans="1:22" ht="29.25">
      <c r="A431" s="10" t="s">
        <v>3081</v>
      </c>
      <c r="B431" s="10" t="s">
        <v>1469</v>
      </c>
      <c r="C431" s="60" t="s">
        <v>1470</v>
      </c>
      <c r="D431" s="38"/>
      <c r="E431" s="13" t="s">
        <v>2300</v>
      </c>
      <c r="F431" s="6" t="s">
        <v>2300</v>
      </c>
      <c r="G431" s="6" t="str">
        <f ca="1">IFERROR(__xludf.DUMMYFUNCTION("CONCATENATE(B431,(VLOOKUP(C431,CATALOGOS!$F$2:$H$6,3,FALSE)),(VLOOKUP(T431,CATALOGOS!$J$2:$K$18,2,FALSE)),""-"",TO_TEXT(A431))"),"P12SI-0430")</f>
        <v>P12SI-0430</v>
      </c>
      <c r="H431" s="6"/>
      <c r="I431" s="6"/>
      <c r="J431" s="36"/>
      <c r="K431" s="6" t="s">
        <v>141</v>
      </c>
      <c r="L431" s="17"/>
      <c r="M431" s="17"/>
      <c r="N431" s="17"/>
      <c r="O431" s="35" t="s">
        <v>3082</v>
      </c>
      <c r="P431" s="6" t="s">
        <v>3083</v>
      </c>
      <c r="Q431" s="6">
        <v>104001694168</v>
      </c>
      <c r="R431" s="10" t="s">
        <v>3084</v>
      </c>
      <c r="S431" s="173" t="s">
        <v>38</v>
      </c>
      <c r="T431" s="181" t="s">
        <v>1483</v>
      </c>
      <c r="U431" s="10" t="s">
        <v>1484</v>
      </c>
      <c r="V431" s="10" t="s">
        <v>1484</v>
      </c>
    </row>
    <row r="432" spans="1:22" ht="29.25">
      <c r="A432" s="10" t="s">
        <v>3085</v>
      </c>
      <c r="B432" s="10" t="s">
        <v>1469</v>
      </c>
      <c r="C432" s="60" t="s">
        <v>1470</v>
      </c>
      <c r="D432" s="12"/>
      <c r="E432" s="13" t="s">
        <v>162</v>
      </c>
      <c r="F432" s="6" t="s">
        <v>285</v>
      </c>
      <c r="G432" s="6" t="str">
        <f ca="1">IFERROR(__xludf.DUMMYFUNCTION("CONCATENATE(B432,(VLOOKUP(C432,CATALOGOS!$F$2:$H$6,3,FALSE)),(VLOOKUP(T432,CATALOGOS!$J$2:$K$18,2,FALSE)),""-"",TO_TEXT(A432))"),"P12PL-0431")</f>
        <v>P12PL-0431</v>
      </c>
      <c r="H432" s="6" t="s">
        <v>3086</v>
      </c>
      <c r="I432" s="6" t="s">
        <v>3087</v>
      </c>
      <c r="J432" s="6" t="s">
        <v>3088</v>
      </c>
      <c r="K432" s="6" t="s">
        <v>141</v>
      </c>
      <c r="L432" s="17"/>
      <c r="M432" s="17"/>
      <c r="N432" s="17" t="str">
        <f t="shared" ref="N432:N997" si="2">IF(COUNTIF($K$2:$K$997,K432)&gt;1,"REPETIDO","OK")</f>
        <v>REPETIDO</v>
      </c>
      <c r="O432" s="17" t="s">
        <v>663</v>
      </c>
      <c r="P432" s="32" t="s">
        <v>664</v>
      </c>
      <c r="Q432" s="17" t="s">
        <v>3089</v>
      </c>
      <c r="R432" s="17" t="s">
        <v>3090</v>
      </c>
      <c r="S432" s="173" t="s">
        <v>38</v>
      </c>
      <c r="T432" s="11" t="s">
        <v>3091</v>
      </c>
      <c r="U432" s="20" t="s">
        <v>3092</v>
      </c>
      <c r="V432" s="20" t="s">
        <v>3092</v>
      </c>
    </row>
    <row r="433" spans="1:22" ht="43.5">
      <c r="A433" s="10" t="s">
        <v>3093</v>
      </c>
      <c r="B433" s="10" t="s">
        <v>1469</v>
      </c>
      <c r="C433" s="60" t="s">
        <v>1470</v>
      </c>
      <c r="D433" s="12"/>
      <c r="E433" s="13" t="s">
        <v>353</v>
      </c>
      <c r="F433" s="43" t="s">
        <v>638</v>
      </c>
      <c r="G433" s="6" t="str">
        <f ca="1">IFERROR(__xludf.DUMMYFUNCTION("CONCATENATE(B433,(VLOOKUP(C433,CATALOGOS!$F$2:$H$6,3,FALSE)),(VLOOKUP(T433,CATALOGOS!$J$2:$K$18,2,FALSE)),""-"",TO_TEXT(A433))"),"P12PL-0432")</f>
        <v>P12PL-0432</v>
      </c>
      <c r="H433" s="6" t="s">
        <v>3094</v>
      </c>
      <c r="I433" s="6" t="s">
        <v>3095</v>
      </c>
      <c r="J433" s="6" t="s">
        <v>3096</v>
      </c>
      <c r="K433" s="6" t="s">
        <v>3097</v>
      </c>
      <c r="L433" s="17"/>
      <c r="M433" s="17"/>
      <c r="N433" s="17" t="str">
        <f t="shared" si="2"/>
        <v>OK</v>
      </c>
      <c r="O433" s="17" t="s">
        <v>359</v>
      </c>
      <c r="P433" s="6" t="s">
        <v>360</v>
      </c>
      <c r="Q433" s="17" t="s">
        <v>3098</v>
      </c>
      <c r="R433" s="17" t="s">
        <v>3099</v>
      </c>
      <c r="S433" s="173" t="s">
        <v>38</v>
      </c>
      <c r="T433" s="11" t="s">
        <v>3091</v>
      </c>
      <c r="U433" s="20" t="s">
        <v>3092</v>
      </c>
      <c r="V433" s="20" t="s">
        <v>3092</v>
      </c>
    </row>
    <row r="434" spans="1:22" ht="86.25">
      <c r="A434" s="10" t="s">
        <v>3100</v>
      </c>
      <c r="B434" s="10" t="s">
        <v>1469</v>
      </c>
      <c r="C434" s="60" t="s">
        <v>1470</v>
      </c>
      <c r="D434" s="12"/>
      <c r="E434" s="13" t="s">
        <v>116</v>
      </c>
      <c r="F434" s="6" t="s">
        <v>3101</v>
      </c>
      <c r="G434" s="6" t="str">
        <f ca="1">IFERROR(__xludf.DUMMYFUNCTION("CONCATENATE(B434,(VLOOKUP(C434,CATALOGOS!$F$2:$H$6,3,FALSE)),(VLOOKUP(T434,CATALOGOS!$J$2:$K$18,2,FALSE)),""-"",TO_TEXT(A434))"),"P12PL-0433")</f>
        <v>P12PL-0433</v>
      </c>
      <c r="H434" s="6" t="s">
        <v>3102</v>
      </c>
      <c r="I434" s="6" t="s">
        <v>3103</v>
      </c>
      <c r="J434" s="6" t="s">
        <v>3104</v>
      </c>
      <c r="K434" s="6" t="s">
        <v>3105</v>
      </c>
      <c r="L434" s="17"/>
      <c r="M434" s="17"/>
      <c r="N434" s="17" t="str">
        <f t="shared" si="2"/>
        <v>OK</v>
      </c>
      <c r="O434" s="17" t="s">
        <v>35</v>
      </c>
      <c r="P434" s="6" t="s">
        <v>35</v>
      </c>
      <c r="Q434" s="17" t="s">
        <v>36</v>
      </c>
      <c r="R434" s="17" t="s">
        <v>3106</v>
      </c>
      <c r="S434" s="173" t="s">
        <v>38</v>
      </c>
      <c r="T434" s="11" t="s">
        <v>3091</v>
      </c>
      <c r="U434" s="20" t="s">
        <v>3092</v>
      </c>
      <c r="V434" s="20" t="s">
        <v>3092</v>
      </c>
    </row>
    <row r="435" spans="1:22" ht="57.75">
      <c r="A435" s="10" t="s">
        <v>3107</v>
      </c>
      <c r="B435" s="10" t="s">
        <v>1469</v>
      </c>
      <c r="C435" s="60" t="s">
        <v>1470</v>
      </c>
      <c r="D435" s="12"/>
      <c r="E435" s="13" t="s">
        <v>184</v>
      </c>
      <c r="F435" s="6" t="s">
        <v>927</v>
      </c>
      <c r="G435" s="6" t="str">
        <f ca="1">IFERROR(__xludf.DUMMYFUNCTION("CONCATENATE(B435,(VLOOKUP(C435,CATALOGOS!$F$2:$H$6,3,FALSE)),(VLOOKUP(T435,CATALOGOS!$J$2:$K$18,2,FALSE)),""-"",TO_TEXT(A435))"),"P12PL-0434")</f>
        <v>P12PL-0434</v>
      </c>
      <c r="H435" s="6" t="s">
        <v>3108</v>
      </c>
      <c r="I435" s="6" t="s">
        <v>3109</v>
      </c>
      <c r="J435" s="6" t="s">
        <v>3110</v>
      </c>
      <c r="K435" s="6" t="s">
        <v>3111</v>
      </c>
      <c r="L435" s="17"/>
      <c r="M435" s="17"/>
      <c r="N435" s="17" t="str">
        <f t="shared" si="2"/>
        <v>OK</v>
      </c>
      <c r="O435" s="17" t="s">
        <v>35</v>
      </c>
      <c r="P435" s="6" t="s">
        <v>35</v>
      </c>
      <c r="Q435" s="17" t="s">
        <v>36</v>
      </c>
      <c r="R435" s="17" t="s">
        <v>3112</v>
      </c>
      <c r="S435" s="173" t="s">
        <v>38</v>
      </c>
      <c r="T435" s="11" t="s">
        <v>3091</v>
      </c>
      <c r="U435" s="20" t="s">
        <v>3092</v>
      </c>
      <c r="V435" s="20" t="s">
        <v>3092</v>
      </c>
    </row>
    <row r="436" spans="1:22" ht="43.5">
      <c r="A436" s="10" t="s">
        <v>3113</v>
      </c>
      <c r="B436" s="10" t="s">
        <v>1469</v>
      </c>
      <c r="C436" s="60" t="s">
        <v>1470</v>
      </c>
      <c r="D436" s="12"/>
      <c r="E436" s="13" t="s">
        <v>378</v>
      </c>
      <c r="F436" s="6" t="s">
        <v>1306</v>
      </c>
      <c r="G436" s="6" t="str">
        <f ca="1">IFERROR(__xludf.DUMMYFUNCTION("CONCATENATE(B436,(VLOOKUP(C436,CATALOGOS!$F$2:$H$6,3,FALSE)),(VLOOKUP(T436,CATALOGOS!$J$2:$K$18,2,FALSE)),""-"",TO_TEXT(A436))"),"P12PL-0435")</f>
        <v>P12PL-0435</v>
      </c>
      <c r="H436" s="6" t="s">
        <v>3114</v>
      </c>
      <c r="I436" s="6" t="s">
        <v>3115</v>
      </c>
      <c r="J436" s="36"/>
      <c r="K436" s="6" t="s">
        <v>3116</v>
      </c>
      <c r="L436" s="17"/>
      <c r="M436" s="17"/>
      <c r="N436" s="17" t="str">
        <f t="shared" si="2"/>
        <v>OK</v>
      </c>
      <c r="O436" s="35" t="s">
        <v>35</v>
      </c>
      <c r="P436" s="6" t="s">
        <v>35</v>
      </c>
      <c r="Q436" s="10" t="s">
        <v>36</v>
      </c>
      <c r="R436" s="32" t="s">
        <v>3117</v>
      </c>
      <c r="S436" s="173" t="s">
        <v>38</v>
      </c>
      <c r="T436" s="19" t="s">
        <v>3091</v>
      </c>
      <c r="U436" s="20" t="s">
        <v>3092</v>
      </c>
      <c r="V436" s="20" t="s">
        <v>3092</v>
      </c>
    </row>
    <row r="437" spans="1:22" ht="43.5">
      <c r="A437" s="10" t="s">
        <v>3118</v>
      </c>
      <c r="B437" s="10" t="s">
        <v>1469</v>
      </c>
      <c r="C437" s="60" t="s">
        <v>1470</v>
      </c>
      <c r="D437" s="12"/>
      <c r="E437" s="13" t="s">
        <v>378</v>
      </c>
      <c r="F437" s="6" t="s">
        <v>1306</v>
      </c>
      <c r="G437" s="6" t="str">
        <f ca="1">IFERROR(__xludf.DUMMYFUNCTION("CONCATENATE(B437,(VLOOKUP(C437,CATALOGOS!$F$2:$H$6,3,FALSE)),(VLOOKUP(T437,CATALOGOS!$J$2:$K$18,2,FALSE)),""-"",TO_TEXT(A437))"),"P12PL-0436")</f>
        <v>P12PL-0436</v>
      </c>
      <c r="H437" s="6" t="s">
        <v>3119</v>
      </c>
      <c r="I437" s="6" t="s">
        <v>3120</v>
      </c>
      <c r="J437" s="6" t="s">
        <v>3121</v>
      </c>
      <c r="K437" s="6" t="s">
        <v>3122</v>
      </c>
      <c r="L437" s="17"/>
      <c r="M437" s="17"/>
      <c r="N437" s="17" t="str">
        <f t="shared" si="2"/>
        <v>OK</v>
      </c>
      <c r="O437" s="17" t="s">
        <v>35</v>
      </c>
      <c r="P437" s="6" t="s">
        <v>35</v>
      </c>
      <c r="Q437" s="17" t="s">
        <v>36</v>
      </c>
      <c r="R437" s="17" t="s">
        <v>3123</v>
      </c>
      <c r="S437" s="173" t="s">
        <v>38</v>
      </c>
      <c r="T437" s="11" t="s">
        <v>3091</v>
      </c>
      <c r="U437" s="20" t="s">
        <v>3092</v>
      </c>
      <c r="V437" s="20" t="s">
        <v>3092</v>
      </c>
    </row>
    <row r="438" spans="1:22" ht="114.75">
      <c r="A438" s="10" t="s">
        <v>3124</v>
      </c>
      <c r="B438" s="10" t="s">
        <v>1469</v>
      </c>
      <c r="C438" s="60" t="s">
        <v>1470</v>
      </c>
      <c r="D438" s="12"/>
      <c r="E438" s="13" t="s">
        <v>501</v>
      </c>
      <c r="F438" s="6" t="s">
        <v>3125</v>
      </c>
      <c r="G438" s="6" t="str">
        <f ca="1">IFERROR(__xludf.DUMMYFUNCTION("CONCATENATE(B438,(VLOOKUP(C438,CATALOGOS!$F$2:$H$6,3,FALSE)),(VLOOKUP(T438,CATALOGOS!$J$2:$K$18,2,FALSE)),""-"",TO_TEXT(A438))"),"P12PL-0437")</f>
        <v>P12PL-0437</v>
      </c>
      <c r="H438" s="6" t="s">
        <v>3126</v>
      </c>
      <c r="I438" s="6" t="s">
        <v>3127</v>
      </c>
      <c r="J438" s="6" t="s">
        <v>3128</v>
      </c>
      <c r="K438" s="6" t="s">
        <v>3129</v>
      </c>
      <c r="L438" s="17"/>
      <c r="M438" s="17"/>
      <c r="N438" s="17" t="str">
        <f t="shared" si="2"/>
        <v>OK</v>
      </c>
      <c r="O438" s="17" t="s">
        <v>35</v>
      </c>
      <c r="P438" s="6" t="s">
        <v>35</v>
      </c>
      <c r="Q438" s="17" t="s">
        <v>36</v>
      </c>
      <c r="R438" s="17" t="s">
        <v>3130</v>
      </c>
      <c r="S438" s="173" t="s">
        <v>38</v>
      </c>
      <c r="T438" s="11" t="s">
        <v>3091</v>
      </c>
      <c r="U438" s="20" t="s">
        <v>3092</v>
      </c>
      <c r="V438" s="20" t="s">
        <v>3092</v>
      </c>
    </row>
    <row r="439" spans="1:22" ht="86.25">
      <c r="A439" s="10" t="s">
        <v>3131</v>
      </c>
      <c r="B439" s="10" t="s">
        <v>1469</v>
      </c>
      <c r="C439" s="60" t="s">
        <v>1470</v>
      </c>
      <c r="D439" s="12"/>
      <c r="E439" s="13" t="s">
        <v>62</v>
      </c>
      <c r="F439" s="6" t="s">
        <v>3132</v>
      </c>
      <c r="G439" s="6" t="str">
        <f ca="1">IFERROR(__xludf.DUMMYFUNCTION("CONCATENATE(B439,(VLOOKUP(C439,CATALOGOS!$F$2:$H$6,3,FALSE)),(VLOOKUP(T439,CATALOGOS!$J$2:$K$18,2,FALSE)),""-"",TO_TEXT(A439))"),"P12PL-0438")</f>
        <v>P12PL-0438</v>
      </c>
      <c r="H439" s="6" t="s">
        <v>3133</v>
      </c>
      <c r="I439" s="6" t="s">
        <v>3134</v>
      </c>
      <c r="J439" s="6" t="s">
        <v>3135</v>
      </c>
      <c r="K439" s="43" t="s">
        <v>3136</v>
      </c>
      <c r="L439" s="17"/>
      <c r="M439" s="17"/>
      <c r="N439" s="17" t="str">
        <f t="shared" si="2"/>
        <v>OK</v>
      </c>
      <c r="O439" s="17" t="s">
        <v>35</v>
      </c>
      <c r="P439" s="6" t="s">
        <v>35</v>
      </c>
      <c r="Q439" s="17" t="s">
        <v>36</v>
      </c>
      <c r="R439" s="17" t="s">
        <v>3137</v>
      </c>
      <c r="S439" s="173" t="s">
        <v>38</v>
      </c>
      <c r="T439" s="11" t="s">
        <v>3091</v>
      </c>
      <c r="U439" s="20" t="s">
        <v>3092</v>
      </c>
      <c r="V439" s="20" t="s">
        <v>3092</v>
      </c>
    </row>
    <row r="440" spans="1:22" ht="29.25">
      <c r="A440" s="10" t="s">
        <v>3138</v>
      </c>
      <c r="B440" s="10" t="s">
        <v>1469</v>
      </c>
      <c r="C440" s="60" t="s">
        <v>1470</v>
      </c>
      <c r="D440" s="12"/>
      <c r="E440" s="13" t="s">
        <v>43</v>
      </c>
      <c r="F440" s="6" t="s">
        <v>457</v>
      </c>
      <c r="G440" s="6" t="str">
        <f ca="1">IFERROR(__xludf.DUMMYFUNCTION("CONCATENATE(B440,(VLOOKUP(C440,CATALOGOS!$F$2:$H$6,3,FALSE)),(VLOOKUP(T440,CATALOGOS!$J$2:$K$18,2,FALSE)),""-"",TO_TEXT(A440))"),"P12PL-0439")</f>
        <v>P12PL-0439</v>
      </c>
      <c r="H440" s="6" t="s">
        <v>3139</v>
      </c>
      <c r="I440" s="6" t="s">
        <v>3140</v>
      </c>
      <c r="J440" s="6" t="s">
        <v>3141</v>
      </c>
      <c r="K440" s="6" t="s">
        <v>3142</v>
      </c>
      <c r="L440" s="17"/>
      <c r="M440" s="17"/>
      <c r="N440" s="17" t="str">
        <f t="shared" si="2"/>
        <v>OK</v>
      </c>
      <c r="O440" s="17" t="s">
        <v>406</v>
      </c>
      <c r="P440" s="6" t="s">
        <v>407</v>
      </c>
      <c r="Q440" s="17" t="s">
        <v>36</v>
      </c>
      <c r="R440" s="17" t="s">
        <v>7314</v>
      </c>
      <c r="S440" s="173" t="s">
        <v>2544</v>
      </c>
      <c r="T440" s="19" t="s">
        <v>3091</v>
      </c>
      <c r="U440" s="20" t="s">
        <v>3092</v>
      </c>
      <c r="V440" s="20" t="s">
        <v>3092</v>
      </c>
    </row>
    <row r="441" spans="1:22" ht="72">
      <c r="A441" s="10" t="s">
        <v>3144</v>
      </c>
      <c r="B441" s="10" t="s">
        <v>1469</v>
      </c>
      <c r="C441" s="60" t="s">
        <v>1470</v>
      </c>
      <c r="D441" s="12"/>
      <c r="E441" s="13" t="s">
        <v>378</v>
      </c>
      <c r="F441" s="6" t="s">
        <v>3145</v>
      </c>
      <c r="G441" s="6" t="str">
        <f ca="1">IFERROR(__xludf.DUMMYFUNCTION("CONCATENATE(B441,(VLOOKUP(C441,CATALOGOS!$F$2:$H$6,3,FALSE)),(VLOOKUP(T441,CATALOGOS!$J$2:$K$18,2,FALSE)),""-"",TO_TEXT(A441))"),"P12PL-0440")</f>
        <v>P12PL-0440</v>
      </c>
      <c r="H441" s="6" t="s">
        <v>3146</v>
      </c>
      <c r="I441" s="6" t="s">
        <v>3147</v>
      </c>
      <c r="J441" s="6" t="s">
        <v>3148</v>
      </c>
      <c r="K441" s="43" t="s">
        <v>3149</v>
      </c>
      <c r="L441" s="17"/>
      <c r="M441" s="17"/>
      <c r="N441" s="17" t="str">
        <f t="shared" si="2"/>
        <v>OK</v>
      </c>
      <c r="O441" s="17" t="s">
        <v>35</v>
      </c>
      <c r="P441" s="6" t="s">
        <v>35</v>
      </c>
      <c r="Q441" s="17" t="s">
        <v>36</v>
      </c>
      <c r="R441" s="17" t="s">
        <v>3150</v>
      </c>
      <c r="S441" s="173" t="s">
        <v>38</v>
      </c>
      <c r="T441" s="11" t="s">
        <v>3091</v>
      </c>
      <c r="U441" s="20" t="s">
        <v>3092</v>
      </c>
      <c r="V441" s="20" t="s">
        <v>3092</v>
      </c>
    </row>
    <row r="442" spans="1:22" ht="57.75">
      <c r="A442" s="10" t="s">
        <v>3152</v>
      </c>
      <c r="B442" s="10" t="s">
        <v>1469</v>
      </c>
      <c r="C442" s="60" t="s">
        <v>1470</v>
      </c>
      <c r="D442" s="12"/>
      <c r="E442" s="13" t="s">
        <v>199</v>
      </c>
      <c r="F442" s="6" t="s">
        <v>199</v>
      </c>
      <c r="G442" s="6" t="str">
        <f ca="1">IFERROR(__xludf.DUMMYFUNCTION("CONCATENATE(B442,(VLOOKUP(C442,CATALOGOS!$F$2:$H$6,3,FALSE)),(VLOOKUP(T442,CATALOGOS!$J$2:$K$18,2,FALSE)),""-"",TO_TEXT(A442))"),"P12PL-0441")</f>
        <v>P12PL-0441</v>
      </c>
      <c r="H442" s="6" t="s">
        <v>3153</v>
      </c>
      <c r="I442" s="6" t="s">
        <v>3154</v>
      </c>
      <c r="J442" s="6" t="s">
        <v>3155</v>
      </c>
      <c r="K442" s="6" t="s">
        <v>3156</v>
      </c>
      <c r="L442" s="17"/>
      <c r="M442" s="17"/>
      <c r="N442" s="17" t="str">
        <f t="shared" si="2"/>
        <v>OK</v>
      </c>
      <c r="O442" s="17" t="s">
        <v>157</v>
      </c>
      <c r="P442" s="6">
        <v>2378</v>
      </c>
      <c r="Q442" s="17" t="s">
        <v>3157</v>
      </c>
      <c r="R442" s="10" t="s">
        <v>3158</v>
      </c>
      <c r="S442" s="173" t="s">
        <v>38</v>
      </c>
      <c r="T442" s="11" t="s">
        <v>3091</v>
      </c>
      <c r="U442" s="20" t="s">
        <v>3092</v>
      </c>
      <c r="V442" s="20" t="s">
        <v>3092</v>
      </c>
    </row>
    <row r="443" spans="1:22" ht="29.25">
      <c r="A443" s="10" t="s">
        <v>3159</v>
      </c>
      <c r="B443" s="10" t="s">
        <v>1469</v>
      </c>
      <c r="C443" s="60" t="s">
        <v>1470</v>
      </c>
      <c r="D443" s="12"/>
      <c r="E443" s="13" t="s">
        <v>151</v>
      </c>
      <c r="F443" s="6" t="s">
        <v>714</v>
      </c>
      <c r="G443" s="6" t="str">
        <f ca="1">IFERROR(__xludf.DUMMYFUNCTION("CONCATENATE(B443,(VLOOKUP(C443,CATALOGOS!$F$2:$H$6,3,FALSE)),(VLOOKUP(T443,CATALOGOS!$J$2:$K$18,2,FALSE)),""-"",TO_TEXT(A443))"),"P12PL-0442")</f>
        <v>P12PL-0442</v>
      </c>
      <c r="H443" s="6" t="s">
        <v>3160</v>
      </c>
      <c r="I443" s="6" t="s">
        <v>3161</v>
      </c>
      <c r="J443" s="6" t="s">
        <v>3162</v>
      </c>
      <c r="K443" s="6" t="s">
        <v>3163</v>
      </c>
      <c r="L443" s="17"/>
      <c r="M443" s="17"/>
      <c r="N443" s="17" t="str">
        <f t="shared" si="2"/>
        <v>OK</v>
      </c>
      <c r="O443" s="17" t="s">
        <v>157</v>
      </c>
      <c r="P443" s="6" t="s">
        <v>158</v>
      </c>
      <c r="Q443" s="17" t="s">
        <v>3164</v>
      </c>
      <c r="R443" s="10" t="s">
        <v>3165</v>
      </c>
      <c r="S443" s="173" t="s">
        <v>38</v>
      </c>
      <c r="T443" s="174" t="s">
        <v>3091</v>
      </c>
      <c r="U443" s="20" t="s">
        <v>3092</v>
      </c>
      <c r="V443" s="20" t="s">
        <v>3092</v>
      </c>
    </row>
    <row r="444" spans="1:22" ht="114.75">
      <c r="A444" s="10" t="s">
        <v>3166</v>
      </c>
      <c r="B444" s="10" t="s">
        <v>1469</v>
      </c>
      <c r="C444" s="60" t="s">
        <v>1470</v>
      </c>
      <c r="D444" s="12"/>
      <c r="E444" s="13" t="s">
        <v>116</v>
      </c>
      <c r="F444" s="6" t="s">
        <v>3167</v>
      </c>
      <c r="G444" s="6" t="str">
        <f ca="1">IFERROR(__xludf.DUMMYFUNCTION("CONCATENATE(B444,(VLOOKUP(C444,CATALOGOS!$F$2:$H$6,3,FALSE)),(VLOOKUP(T444,CATALOGOS!$J$2:$K$18,2,FALSE)),""-"",TO_TEXT(A444))"),"P12SI-0443")</f>
        <v>P12SI-0443</v>
      </c>
      <c r="H444" s="6" t="s">
        <v>3168</v>
      </c>
      <c r="I444" s="6" t="s">
        <v>3169</v>
      </c>
      <c r="J444" s="6" t="s">
        <v>3170</v>
      </c>
      <c r="K444" s="6" t="s">
        <v>3171</v>
      </c>
      <c r="L444" s="17"/>
      <c r="M444" s="17"/>
      <c r="N444" s="17" t="str">
        <f t="shared" si="2"/>
        <v>OK</v>
      </c>
      <c r="O444" s="17" t="s">
        <v>35</v>
      </c>
      <c r="P444" s="6" t="s">
        <v>35</v>
      </c>
      <c r="Q444" s="17" t="s">
        <v>36</v>
      </c>
      <c r="R444" s="17" t="s">
        <v>3172</v>
      </c>
      <c r="S444" s="173" t="s">
        <v>38</v>
      </c>
      <c r="T444" s="181" t="s">
        <v>1483</v>
      </c>
      <c r="U444" s="20" t="s">
        <v>3173</v>
      </c>
      <c r="V444" s="20" t="s">
        <v>3173</v>
      </c>
    </row>
    <row r="445" spans="1:22" ht="86.25">
      <c r="A445" s="10" t="s">
        <v>3174</v>
      </c>
      <c r="B445" s="10" t="s">
        <v>1469</v>
      </c>
      <c r="C445" s="60" t="s">
        <v>1470</v>
      </c>
      <c r="D445" s="12"/>
      <c r="E445" s="13" t="s">
        <v>378</v>
      </c>
      <c r="F445" s="6" t="s">
        <v>3175</v>
      </c>
      <c r="G445" s="6" t="str">
        <f ca="1">IFERROR(__xludf.DUMMYFUNCTION("CONCATENATE(B445,(VLOOKUP(C445,CATALOGOS!$F$2:$H$6,3,FALSE)),(VLOOKUP(T445,CATALOGOS!$J$2:$K$18,2,FALSE)),""-"",TO_TEXT(A445))"),"P12PL-0444")</f>
        <v>P12PL-0444</v>
      </c>
      <c r="H445" s="6" t="s">
        <v>3176</v>
      </c>
      <c r="I445" s="6" t="s">
        <v>3177</v>
      </c>
      <c r="J445" s="36"/>
      <c r="K445" s="6" t="s">
        <v>141</v>
      </c>
      <c r="L445" s="17"/>
      <c r="M445" s="17"/>
      <c r="N445" s="17" t="str">
        <f t="shared" si="2"/>
        <v>REPETIDO</v>
      </c>
      <c r="O445" s="35" t="s">
        <v>35</v>
      </c>
      <c r="P445" s="6" t="s">
        <v>35</v>
      </c>
      <c r="Q445" s="10" t="s">
        <v>36</v>
      </c>
      <c r="R445" s="32" t="s">
        <v>85</v>
      </c>
      <c r="S445" s="173" t="s">
        <v>38</v>
      </c>
      <c r="T445" s="11" t="s">
        <v>3091</v>
      </c>
      <c r="U445" s="20" t="s">
        <v>3092</v>
      </c>
      <c r="V445" s="20" t="s">
        <v>3092</v>
      </c>
    </row>
    <row r="446" spans="1:22" ht="43.5">
      <c r="A446" s="10" t="s">
        <v>3178</v>
      </c>
      <c r="B446" s="10" t="s">
        <v>1469</v>
      </c>
      <c r="C446" s="60" t="s">
        <v>1470</v>
      </c>
      <c r="D446" s="38"/>
      <c r="E446" s="13" t="s">
        <v>353</v>
      </c>
      <c r="F446" s="6" t="s">
        <v>638</v>
      </c>
      <c r="G446" s="6" t="str">
        <f ca="1">IFERROR(__xludf.DUMMYFUNCTION("CONCATENATE(B446,(VLOOKUP(C446,CATALOGOS!$F$2:$H$6,3,FALSE)),(VLOOKUP(T446,CATALOGOS!$J$2:$K$18,2,FALSE)),""-"",TO_TEXT(A446))"),"P12PL-0445")</f>
        <v>P12PL-0445</v>
      </c>
      <c r="H446" s="6" t="s">
        <v>3179</v>
      </c>
      <c r="I446" s="6" t="s">
        <v>3180</v>
      </c>
      <c r="J446" s="6" t="s">
        <v>3181</v>
      </c>
      <c r="K446" s="6" t="s">
        <v>3182</v>
      </c>
      <c r="L446" s="17"/>
      <c r="M446" s="17"/>
      <c r="N446" s="17" t="str">
        <f t="shared" si="2"/>
        <v>OK</v>
      </c>
      <c r="O446" s="17" t="s">
        <v>359</v>
      </c>
      <c r="P446" s="6" t="s">
        <v>360</v>
      </c>
      <c r="Q446" s="6">
        <v>161039232</v>
      </c>
      <c r="R446" s="32" t="s">
        <v>3183</v>
      </c>
      <c r="S446" s="184" t="s">
        <v>971</v>
      </c>
      <c r="T446" s="11" t="s">
        <v>3091</v>
      </c>
      <c r="U446" s="20" t="s">
        <v>3092</v>
      </c>
      <c r="V446" s="20" t="s">
        <v>3092</v>
      </c>
    </row>
    <row r="447" spans="1:22" ht="72">
      <c r="A447" s="10" t="s">
        <v>3184</v>
      </c>
      <c r="B447" s="10" t="s">
        <v>1469</v>
      </c>
      <c r="C447" s="60" t="s">
        <v>1470</v>
      </c>
      <c r="D447" s="12"/>
      <c r="E447" s="13" t="s">
        <v>93</v>
      </c>
      <c r="F447" s="6" t="s">
        <v>1739</v>
      </c>
      <c r="G447" s="6" t="str">
        <f ca="1">IFERROR(__xludf.DUMMYFUNCTION("CONCATENATE(B447,(VLOOKUP(C447,CATALOGOS!$F$2:$H$6,3,FALSE)),(VLOOKUP(T447,CATALOGOS!$J$2:$K$18,2,FALSE)),""-"",TO_TEXT(A447))"),"P12PL-0446")</f>
        <v>P12PL-0446</v>
      </c>
      <c r="H447" s="6" t="s">
        <v>3185</v>
      </c>
      <c r="I447" s="6" t="s">
        <v>3186</v>
      </c>
      <c r="J447" s="6" t="s">
        <v>3187</v>
      </c>
      <c r="K447" s="6" t="s">
        <v>3188</v>
      </c>
      <c r="L447" s="17"/>
      <c r="M447" s="17"/>
      <c r="N447" s="17" t="str">
        <f t="shared" si="2"/>
        <v>OK</v>
      </c>
      <c r="O447" s="17" t="s">
        <v>35</v>
      </c>
      <c r="P447" s="6" t="s">
        <v>35</v>
      </c>
      <c r="Q447" s="17" t="s">
        <v>36</v>
      </c>
      <c r="R447" s="17" t="s">
        <v>3189</v>
      </c>
      <c r="S447" s="173" t="s">
        <v>38</v>
      </c>
      <c r="T447" s="11" t="s">
        <v>3091</v>
      </c>
      <c r="U447" s="22" t="s">
        <v>3151</v>
      </c>
      <c r="V447" s="22" t="s">
        <v>3151</v>
      </c>
    </row>
    <row r="448" spans="1:22" ht="43.5">
      <c r="A448" s="10" t="s">
        <v>3190</v>
      </c>
      <c r="B448" s="10" t="s">
        <v>1469</v>
      </c>
      <c r="C448" s="60" t="s">
        <v>1470</v>
      </c>
      <c r="D448" s="12"/>
      <c r="E448" s="13" t="s">
        <v>116</v>
      </c>
      <c r="F448" s="43" t="s">
        <v>117</v>
      </c>
      <c r="G448" s="6" t="str">
        <f ca="1">IFERROR(__xludf.DUMMYFUNCTION("CONCATENATE(B448,(VLOOKUP(C448,CATALOGOS!$F$2:$H$6,3,FALSE)),(VLOOKUP(T448,CATALOGOS!$J$2:$K$18,2,FALSE)),""-"",TO_TEXT(A448))"),"P12PL-0447")</f>
        <v>P12PL-0447</v>
      </c>
      <c r="H448" s="6" t="s">
        <v>3191</v>
      </c>
      <c r="I448" s="6" t="s">
        <v>3192</v>
      </c>
      <c r="J448" s="6" t="s">
        <v>3193</v>
      </c>
      <c r="K448" s="6" t="s">
        <v>3194</v>
      </c>
      <c r="L448" s="17"/>
      <c r="M448" s="17"/>
      <c r="N448" s="17" t="str">
        <f t="shared" si="2"/>
        <v>OK</v>
      </c>
      <c r="O448" s="17" t="s">
        <v>35</v>
      </c>
      <c r="P448" s="6" t="s">
        <v>35</v>
      </c>
      <c r="Q448" s="17" t="s">
        <v>36</v>
      </c>
      <c r="R448" s="17" t="s">
        <v>3195</v>
      </c>
      <c r="S448" s="173" t="s">
        <v>38</v>
      </c>
      <c r="T448" s="11" t="s">
        <v>3091</v>
      </c>
      <c r="U448" s="22" t="s">
        <v>3151</v>
      </c>
      <c r="V448" s="22" t="s">
        <v>3151</v>
      </c>
    </row>
    <row r="449" spans="1:22" ht="57.75">
      <c r="A449" s="10" t="s">
        <v>3196</v>
      </c>
      <c r="B449" s="10" t="s">
        <v>1469</v>
      </c>
      <c r="C449" s="60" t="s">
        <v>1470</v>
      </c>
      <c r="D449" s="12"/>
      <c r="E449" s="13" t="s">
        <v>199</v>
      </c>
      <c r="F449" s="6" t="s">
        <v>199</v>
      </c>
      <c r="G449" s="6" t="str">
        <f ca="1">IFERROR(__xludf.DUMMYFUNCTION("CONCATENATE(B449,(VLOOKUP(C449,CATALOGOS!$F$2:$H$6,3,FALSE)),(VLOOKUP(T449,CATALOGOS!$J$2:$K$18,2,FALSE)),""-"",TO_TEXT(A449))"),"P12PL-0448")</f>
        <v>P12PL-0448</v>
      </c>
      <c r="H449" s="6" t="s">
        <v>3197</v>
      </c>
      <c r="I449" s="6" t="s">
        <v>3198</v>
      </c>
      <c r="J449" s="6" t="s">
        <v>3199</v>
      </c>
      <c r="K449" s="6" t="s">
        <v>3200</v>
      </c>
      <c r="L449" s="17"/>
      <c r="M449" s="17"/>
      <c r="N449" s="17" t="str">
        <f t="shared" si="2"/>
        <v>OK</v>
      </c>
      <c r="O449" s="17" t="s">
        <v>205</v>
      </c>
      <c r="P449" s="6" t="s">
        <v>794</v>
      </c>
      <c r="Q449" s="17" t="s">
        <v>3201</v>
      </c>
      <c r="R449" s="17" t="s">
        <v>3202</v>
      </c>
      <c r="S449" s="173" t="s">
        <v>38</v>
      </c>
      <c r="T449" s="11" t="s">
        <v>3091</v>
      </c>
      <c r="U449" s="22" t="s">
        <v>3151</v>
      </c>
      <c r="V449" s="22" t="s">
        <v>3151</v>
      </c>
    </row>
    <row r="450" spans="1:22" ht="29.25">
      <c r="A450" s="10" t="s">
        <v>3203</v>
      </c>
      <c r="B450" s="10" t="s">
        <v>1469</v>
      </c>
      <c r="C450" s="60" t="s">
        <v>1470</v>
      </c>
      <c r="D450" s="12"/>
      <c r="E450" s="13" t="s">
        <v>248</v>
      </c>
      <c r="F450" s="43" t="s">
        <v>248</v>
      </c>
      <c r="G450" s="6" t="str">
        <f ca="1">IFERROR(__xludf.DUMMYFUNCTION("CONCATENATE(B450,(VLOOKUP(C450,CATALOGOS!$F$2:$H$6,3,FALSE)),(VLOOKUP(T450,CATALOGOS!$J$2:$K$18,2,FALSE)),""-"",TO_TEXT(A450))"),"P12PL-0449")</f>
        <v>P12PL-0449</v>
      </c>
      <c r="H450" s="6" t="s">
        <v>3204</v>
      </c>
      <c r="I450" s="6" t="s">
        <v>3205</v>
      </c>
      <c r="J450" s="6" t="s">
        <v>3206</v>
      </c>
      <c r="K450" s="6" t="s">
        <v>3207</v>
      </c>
      <c r="L450" s="17"/>
      <c r="M450" s="17"/>
      <c r="N450" s="17" t="str">
        <f t="shared" si="2"/>
        <v>OK</v>
      </c>
      <c r="O450" s="17" t="s">
        <v>978</v>
      </c>
      <c r="P450" s="6" t="s">
        <v>979</v>
      </c>
      <c r="Q450" s="17" t="s">
        <v>36</v>
      </c>
      <c r="R450" s="17" t="s">
        <v>3208</v>
      </c>
      <c r="S450" s="173" t="s">
        <v>38</v>
      </c>
      <c r="T450" s="11" t="s">
        <v>3091</v>
      </c>
      <c r="U450" s="22" t="s">
        <v>3151</v>
      </c>
      <c r="V450" s="22" t="s">
        <v>3151</v>
      </c>
    </row>
    <row r="451" spans="1:22" ht="86.25">
      <c r="A451" s="10" t="s">
        <v>3209</v>
      </c>
      <c r="B451" s="10" t="s">
        <v>1469</v>
      </c>
      <c r="C451" s="60" t="s">
        <v>1470</v>
      </c>
      <c r="D451" s="12"/>
      <c r="E451" s="13" t="s">
        <v>1240</v>
      </c>
      <c r="F451" s="43" t="s">
        <v>278</v>
      </c>
      <c r="G451" s="6" t="str">
        <f ca="1">IFERROR(__xludf.DUMMYFUNCTION("CONCATENATE(B451,(VLOOKUP(C451,CATALOGOS!$F$2:$H$6,3,FALSE)),(VLOOKUP(T451,CATALOGOS!$J$2:$K$18,2,FALSE)),""-"",TO_TEXT(A451))"),"P12PL-0450")</f>
        <v>P12PL-0450</v>
      </c>
      <c r="H451" s="6" t="s">
        <v>3210</v>
      </c>
      <c r="I451" s="6" t="s">
        <v>3211</v>
      </c>
      <c r="J451" s="6" t="s">
        <v>3212</v>
      </c>
      <c r="K451" s="6" t="s">
        <v>3213</v>
      </c>
      <c r="L451" s="17"/>
      <c r="M451" s="17"/>
      <c r="N451" s="17" t="str">
        <f t="shared" si="2"/>
        <v>OK</v>
      </c>
      <c r="O451" s="17" t="s">
        <v>35</v>
      </c>
      <c r="P451" s="6" t="s">
        <v>35</v>
      </c>
      <c r="Q451" s="17" t="s">
        <v>36</v>
      </c>
      <c r="R451" s="17" t="s">
        <v>3214</v>
      </c>
      <c r="S451" s="173" t="s">
        <v>38</v>
      </c>
      <c r="T451" s="11" t="s">
        <v>3091</v>
      </c>
      <c r="U451" s="22" t="s">
        <v>3151</v>
      </c>
      <c r="V451" s="22" t="s">
        <v>3151</v>
      </c>
    </row>
    <row r="452" spans="1:22" ht="29.25">
      <c r="A452" s="10" t="s">
        <v>3215</v>
      </c>
      <c r="B452" s="10" t="s">
        <v>1469</v>
      </c>
      <c r="C452" s="60" t="s">
        <v>1470</v>
      </c>
      <c r="D452" s="38"/>
      <c r="E452" s="13" t="s">
        <v>151</v>
      </c>
      <c r="F452" s="6" t="s">
        <v>152</v>
      </c>
      <c r="G452" s="6" t="str">
        <f ca="1">IFERROR(__xludf.DUMMYFUNCTION("CONCATENATE(B452,(VLOOKUP(C452,CATALOGOS!$F$2:$H$6,3,FALSE)),(VLOOKUP(T452,CATALOGOS!$J$2:$K$18,2,FALSE)),""-"",TO_TEXT(A452))"),"P12PL-0451")</f>
        <v>P12PL-0451</v>
      </c>
      <c r="H452" s="6" t="s">
        <v>3216</v>
      </c>
      <c r="I452" s="6" t="s">
        <v>3217</v>
      </c>
      <c r="J452" s="6" t="s">
        <v>3218</v>
      </c>
      <c r="K452" s="6" t="s">
        <v>3219</v>
      </c>
      <c r="L452" s="17"/>
      <c r="M452" s="17"/>
      <c r="N452" s="17" t="str">
        <f t="shared" si="2"/>
        <v>OK</v>
      </c>
      <c r="O452" s="17" t="s">
        <v>1220</v>
      </c>
      <c r="P452" s="6" t="s">
        <v>720</v>
      </c>
      <c r="Q452" s="46" t="s">
        <v>3220</v>
      </c>
      <c r="R452" s="17" t="s">
        <v>3221</v>
      </c>
      <c r="S452" s="173" t="s">
        <v>38</v>
      </c>
      <c r="T452" s="11" t="s">
        <v>3091</v>
      </c>
      <c r="U452" s="32" t="s">
        <v>3151</v>
      </c>
      <c r="V452" s="32" t="s">
        <v>3151</v>
      </c>
    </row>
    <row r="453" spans="1:22" ht="57.75">
      <c r="A453" s="10" t="s">
        <v>3222</v>
      </c>
      <c r="B453" s="10" t="s">
        <v>1469</v>
      </c>
      <c r="C453" s="60" t="s">
        <v>1470</v>
      </c>
      <c r="D453" s="38"/>
      <c r="E453" s="13" t="s">
        <v>378</v>
      </c>
      <c r="F453" s="6" t="s">
        <v>379</v>
      </c>
      <c r="G453" s="6" t="str">
        <f ca="1">IFERROR(__xludf.DUMMYFUNCTION("CONCATENATE(B453,(VLOOKUP(C453,CATALOGOS!$F$2:$H$6,3,FALSE)),(VLOOKUP(T453,CATALOGOS!$J$2:$K$18,2,FALSE)),""-"",TO_TEXT(A453))"),"P12CV-0452")</f>
        <v>P12CV-0452</v>
      </c>
      <c r="H453" s="6" t="s">
        <v>3223</v>
      </c>
      <c r="I453" s="6" t="s">
        <v>3224</v>
      </c>
      <c r="J453" s="6" t="s">
        <v>3225</v>
      </c>
      <c r="K453" s="6" t="s">
        <v>3226</v>
      </c>
      <c r="L453" s="17"/>
      <c r="M453" s="17"/>
      <c r="N453" s="17" t="str">
        <f t="shared" si="2"/>
        <v>OK</v>
      </c>
      <c r="O453" s="17" t="s">
        <v>35</v>
      </c>
      <c r="P453" s="6" t="s">
        <v>35</v>
      </c>
      <c r="Q453" s="46" t="s">
        <v>36</v>
      </c>
      <c r="R453" s="17" t="s">
        <v>3227</v>
      </c>
      <c r="S453" s="173" t="s">
        <v>38</v>
      </c>
      <c r="T453" s="11" t="s">
        <v>875</v>
      </c>
      <c r="U453" s="10" t="s">
        <v>876</v>
      </c>
      <c r="V453" s="10" t="s">
        <v>876</v>
      </c>
    </row>
    <row r="454" spans="1:22" ht="57.75">
      <c r="A454" s="10" t="s">
        <v>3228</v>
      </c>
      <c r="B454" s="10" t="s">
        <v>1469</v>
      </c>
      <c r="C454" s="60" t="s">
        <v>1470</v>
      </c>
      <c r="D454" s="38"/>
      <c r="E454" s="13" t="s">
        <v>184</v>
      </c>
      <c r="F454" s="6" t="s">
        <v>3229</v>
      </c>
      <c r="G454" s="6" t="str">
        <f ca="1">IFERROR(__xludf.DUMMYFUNCTION("CONCATENATE(B454,(VLOOKUP(C454,CATALOGOS!$F$2:$H$6,3,FALSE)),(VLOOKUP(T454,CATALOGOS!$J$2:$K$18,2,FALSE)),""-"",TO_TEXT(A454))"),"P12PL-0453")</f>
        <v>P12PL-0453</v>
      </c>
      <c r="H454" s="6" t="s">
        <v>3230</v>
      </c>
      <c r="I454" s="6" t="s">
        <v>3231</v>
      </c>
      <c r="J454" s="6" t="s">
        <v>3232</v>
      </c>
      <c r="K454" s="6" t="s">
        <v>3233</v>
      </c>
      <c r="L454" s="17"/>
      <c r="M454" s="17"/>
      <c r="N454" s="17" t="str">
        <f t="shared" si="2"/>
        <v>OK</v>
      </c>
      <c r="O454" s="17" t="s">
        <v>35</v>
      </c>
      <c r="P454" s="6" t="s">
        <v>35</v>
      </c>
      <c r="Q454" s="46" t="s">
        <v>36</v>
      </c>
      <c r="R454" s="17" t="s">
        <v>3234</v>
      </c>
      <c r="S454" s="173" t="s">
        <v>38</v>
      </c>
      <c r="T454" s="11" t="s">
        <v>3091</v>
      </c>
      <c r="U454" s="22" t="s">
        <v>3151</v>
      </c>
      <c r="V454" s="22" t="s">
        <v>3151</v>
      </c>
    </row>
    <row r="455" spans="1:22" ht="29.25">
      <c r="A455" s="10" t="s">
        <v>3235</v>
      </c>
      <c r="B455" s="10" t="s">
        <v>1469</v>
      </c>
      <c r="C455" s="60" t="s">
        <v>1470</v>
      </c>
      <c r="D455" s="12"/>
      <c r="E455" s="13" t="s">
        <v>210</v>
      </c>
      <c r="F455" s="6" t="s">
        <v>210</v>
      </c>
      <c r="G455" s="6" t="str">
        <f ca="1">IFERROR(__xludf.DUMMYFUNCTION("CONCATENATE(B455,(VLOOKUP(C455,CATALOGOS!$F$2:$H$6,3,FALSE)),(VLOOKUP(T455,CATALOGOS!$J$2:$K$18,2,FALSE)),""-"",TO_TEXT(A455))"),"P12PL-0454")</f>
        <v>P12PL-0454</v>
      </c>
      <c r="H455" s="6" t="s">
        <v>3236</v>
      </c>
      <c r="I455" s="6" t="s">
        <v>3237</v>
      </c>
      <c r="J455" s="36"/>
      <c r="K455" s="6" t="s">
        <v>3238</v>
      </c>
      <c r="L455" s="17"/>
      <c r="M455" s="17"/>
      <c r="N455" s="17" t="str">
        <f t="shared" si="2"/>
        <v>OK</v>
      </c>
      <c r="O455" s="17" t="s">
        <v>216</v>
      </c>
      <c r="P455" s="6" t="s">
        <v>3239</v>
      </c>
      <c r="Q455" s="6" t="s">
        <v>3240</v>
      </c>
      <c r="R455" s="10" t="s">
        <v>85</v>
      </c>
      <c r="S455" s="173" t="s">
        <v>38</v>
      </c>
      <c r="T455" s="11" t="s">
        <v>3091</v>
      </c>
      <c r="U455" s="20" t="s">
        <v>3092</v>
      </c>
      <c r="V455" s="20" t="s">
        <v>3092</v>
      </c>
    </row>
    <row r="456" spans="1:22" ht="86.25">
      <c r="A456" s="10" t="s">
        <v>3241</v>
      </c>
      <c r="B456" s="10" t="s">
        <v>1469</v>
      </c>
      <c r="C456" s="60" t="s">
        <v>1470</v>
      </c>
      <c r="D456" s="12"/>
      <c r="E456" s="13" t="s">
        <v>501</v>
      </c>
      <c r="F456" s="6" t="s">
        <v>2285</v>
      </c>
      <c r="G456" s="6" t="str">
        <f ca="1">IFERROR(__xludf.DUMMYFUNCTION("CONCATENATE(B456,(VLOOKUP(C456,CATALOGOS!$F$2:$H$6,3,FALSE)),(VLOOKUP(T456,CATALOGOS!$J$2:$K$18,2,FALSE)),""-"",TO_TEXT(A456))"),"P12CT-0455")</f>
        <v>P12CT-0455</v>
      </c>
      <c r="H456" s="6" t="s">
        <v>3242</v>
      </c>
      <c r="I456" s="6" t="s">
        <v>3243</v>
      </c>
      <c r="J456" s="6" t="s">
        <v>3244</v>
      </c>
      <c r="K456" s="6" t="s">
        <v>3245</v>
      </c>
      <c r="L456" s="17"/>
      <c r="M456" s="17"/>
      <c r="N456" s="17" t="str">
        <f t="shared" si="2"/>
        <v>OK</v>
      </c>
      <c r="O456" s="17" t="s">
        <v>35</v>
      </c>
      <c r="P456" s="6" t="s">
        <v>35</v>
      </c>
      <c r="Q456" s="17" t="s">
        <v>36</v>
      </c>
      <c r="R456" s="17" t="s">
        <v>3246</v>
      </c>
      <c r="S456" s="173" t="s">
        <v>38</v>
      </c>
      <c r="T456" s="19" t="s">
        <v>2884</v>
      </c>
      <c r="U456" s="22" t="s">
        <v>3247</v>
      </c>
      <c r="V456" s="22" t="s">
        <v>3247</v>
      </c>
    </row>
    <row r="457" spans="1:22" ht="43.5">
      <c r="A457" s="10" t="s">
        <v>3248</v>
      </c>
      <c r="B457" s="10" t="s">
        <v>1469</v>
      </c>
      <c r="C457" s="60" t="s">
        <v>1470</v>
      </c>
      <c r="D457" s="12"/>
      <c r="E457" s="13" t="s">
        <v>43</v>
      </c>
      <c r="F457" s="43" t="s">
        <v>885</v>
      </c>
      <c r="G457" s="6" t="str">
        <f ca="1">IFERROR(__xludf.DUMMYFUNCTION("CONCATENATE(B457,(VLOOKUP(C457,CATALOGOS!$F$2:$H$6,3,FALSE)),(VLOOKUP(T457,CATALOGOS!$J$2:$K$18,2,FALSE)),""-"",TO_TEXT(A457))"),"P12CT-0456")</f>
        <v>P12CT-0456</v>
      </c>
      <c r="H457" s="6" t="s">
        <v>3249</v>
      </c>
      <c r="I457" s="6" t="s">
        <v>3250</v>
      </c>
      <c r="J457" s="6" t="s">
        <v>3251</v>
      </c>
      <c r="K457" s="6" t="s">
        <v>3252</v>
      </c>
      <c r="L457" s="17"/>
      <c r="M457" s="17"/>
      <c r="N457" s="17" t="str">
        <f t="shared" si="2"/>
        <v>OK</v>
      </c>
      <c r="O457" s="17" t="s">
        <v>3253</v>
      </c>
      <c r="P457" s="6" t="s">
        <v>35</v>
      </c>
      <c r="Q457" s="17" t="s">
        <v>36</v>
      </c>
      <c r="R457" s="17" t="s">
        <v>3254</v>
      </c>
      <c r="S457" s="173" t="s">
        <v>38</v>
      </c>
      <c r="T457" s="19" t="s">
        <v>2884</v>
      </c>
      <c r="U457" s="22" t="s">
        <v>3247</v>
      </c>
      <c r="V457" s="22" t="s">
        <v>3247</v>
      </c>
    </row>
    <row r="458" spans="1:22" ht="72">
      <c r="A458" s="10" t="s">
        <v>3255</v>
      </c>
      <c r="B458" s="10" t="s">
        <v>1469</v>
      </c>
      <c r="C458" s="60" t="s">
        <v>1470</v>
      </c>
      <c r="D458" s="12"/>
      <c r="E458" s="13" t="s">
        <v>93</v>
      </c>
      <c r="F458" s="6" t="s">
        <v>2383</v>
      </c>
      <c r="G458" s="6" t="str">
        <f ca="1">IFERROR(__xludf.DUMMYFUNCTION("CONCATENATE(B458,(VLOOKUP(C458,CATALOGOS!$F$2:$H$6,3,FALSE)),(VLOOKUP(T458,CATALOGOS!$J$2:$K$18,2,FALSE)),""-"",TO_TEXT(A458))"),"P12CT-0457")</f>
        <v>P12CT-0457</v>
      </c>
      <c r="H458" s="6" t="s">
        <v>3256</v>
      </c>
      <c r="I458" s="6" t="s">
        <v>3257</v>
      </c>
      <c r="J458" s="6" t="s">
        <v>3258</v>
      </c>
      <c r="K458" s="6" t="s">
        <v>3259</v>
      </c>
      <c r="L458" s="17"/>
      <c r="M458" s="17"/>
      <c r="N458" s="17" t="str">
        <f t="shared" si="2"/>
        <v>OK</v>
      </c>
      <c r="O458" s="17" t="s">
        <v>35</v>
      </c>
      <c r="P458" s="6" t="s">
        <v>35</v>
      </c>
      <c r="Q458" s="17" t="s">
        <v>36</v>
      </c>
      <c r="R458" s="17" t="s">
        <v>3260</v>
      </c>
      <c r="S458" s="173" t="s">
        <v>38</v>
      </c>
      <c r="T458" s="19" t="s">
        <v>2884</v>
      </c>
      <c r="U458" s="22" t="s">
        <v>3247</v>
      </c>
      <c r="V458" s="22" t="s">
        <v>3247</v>
      </c>
    </row>
    <row r="459" spans="1:22" ht="57.75">
      <c r="A459" s="10" t="s">
        <v>3261</v>
      </c>
      <c r="B459" s="10" t="s">
        <v>1469</v>
      </c>
      <c r="C459" s="60" t="s">
        <v>1470</v>
      </c>
      <c r="D459" s="12"/>
      <c r="E459" s="13" t="s">
        <v>62</v>
      </c>
      <c r="F459" s="43" t="s">
        <v>3262</v>
      </c>
      <c r="G459" s="6" t="str">
        <f ca="1">IFERROR(__xludf.DUMMYFUNCTION("CONCATENATE(B459,(VLOOKUP(C459,CATALOGOS!$F$2:$H$6,3,FALSE)),(VLOOKUP(T459,CATALOGOS!$J$2:$K$18,2,FALSE)),""-"",TO_TEXT(A459))"),"P12CT-0458")</f>
        <v>P12CT-0458</v>
      </c>
      <c r="H459" s="6" t="s">
        <v>3263</v>
      </c>
      <c r="I459" s="6" t="s">
        <v>3264</v>
      </c>
      <c r="J459" s="6" t="s">
        <v>3265</v>
      </c>
      <c r="K459" s="6" t="s">
        <v>3266</v>
      </c>
      <c r="L459" s="17"/>
      <c r="M459" s="17"/>
      <c r="N459" s="17" t="str">
        <f t="shared" si="2"/>
        <v>OK</v>
      </c>
      <c r="O459" s="17" t="s">
        <v>35</v>
      </c>
      <c r="P459" s="6" t="s">
        <v>35</v>
      </c>
      <c r="Q459" s="17" t="s">
        <v>36</v>
      </c>
      <c r="R459" s="17" t="s">
        <v>3267</v>
      </c>
      <c r="S459" s="173" t="s">
        <v>38</v>
      </c>
      <c r="T459" s="19" t="s">
        <v>2884</v>
      </c>
      <c r="U459" s="22" t="s">
        <v>3247</v>
      </c>
      <c r="V459" s="22" t="s">
        <v>3247</v>
      </c>
    </row>
    <row r="460" spans="1:22" ht="72">
      <c r="A460" s="10" t="s">
        <v>3268</v>
      </c>
      <c r="B460" s="10" t="s">
        <v>1469</v>
      </c>
      <c r="C460" s="60" t="s">
        <v>1470</v>
      </c>
      <c r="D460" s="12"/>
      <c r="E460" s="13" t="s">
        <v>501</v>
      </c>
      <c r="F460" s="43" t="s">
        <v>3269</v>
      </c>
      <c r="G460" s="6" t="str">
        <f ca="1">IFERROR(__xludf.DUMMYFUNCTION("CONCATENATE(B460,(VLOOKUP(C460,CATALOGOS!$F$2:$H$6,3,FALSE)),(VLOOKUP(T460,CATALOGOS!$J$2:$K$18,2,FALSE)),""-"",TO_TEXT(A460))"),"P12CT-0459")</f>
        <v>P12CT-0459</v>
      </c>
      <c r="H460" s="6" t="s">
        <v>3270</v>
      </c>
      <c r="I460" s="6" t="s">
        <v>3271</v>
      </c>
      <c r="J460" s="6" t="s">
        <v>3272</v>
      </c>
      <c r="K460" s="6" t="s">
        <v>3273</v>
      </c>
      <c r="L460" s="17"/>
      <c r="M460" s="17"/>
      <c r="N460" s="17" t="str">
        <f t="shared" si="2"/>
        <v>OK</v>
      </c>
      <c r="O460" s="17" t="s">
        <v>35</v>
      </c>
      <c r="P460" s="6" t="s">
        <v>35</v>
      </c>
      <c r="Q460" s="17" t="s">
        <v>36</v>
      </c>
      <c r="R460" s="17" t="s">
        <v>3274</v>
      </c>
      <c r="S460" s="173" t="s">
        <v>38</v>
      </c>
      <c r="T460" s="19" t="s">
        <v>2884</v>
      </c>
      <c r="U460" s="22" t="s">
        <v>3247</v>
      </c>
      <c r="V460" s="22" t="s">
        <v>3247</v>
      </c>
    </row>
    <row r="461" spans="1:22" ht="72">
      <c r="A461" s="10" t="s">
        <v>3275</v>
      </c>
      <c r="B461" s="10" t="s">
        <v>4410</v>
      </c>
      <c r="C461" s="63" t="s">
        <v>6054</v>
      </c>
      <c r="D461" s="12"/>
      <c r="E461" s="13" t="s">
        <v>199</v>
      </c>
      <c r="F461" s="6" t="s">
        <v>677</v>
      </c>
      <c r="G461" s="6" t="str">
        <f ca="1">IFERROR(__xludf.DUMMYFUNCTION("CONCATENATE(B461,(VLOOKUP(C461,CATALOGOS!$F$2:$H$6,3,FALSE)),(VLOOKUP(T461,CATALOGOS!$J$2:$K$18,2,FALSE)),""-"",TO_TEXT(A461))"),"P21DG-0460")</f>
        <v>P21DG-0460</v>
      </c>
      <c r="H461" s="6" t="s">
        <v>3276</v>
      </c>
      <c r="I461" s="6" t="s">
        <v>3277</v>
      </c>
      <c r="J461" s="6" t="s">
        <v>3278</v>
      </c>
      <c r="K461" s="6" t="s">
        <v>3279</v>
      </c>
      <c r="L461" s="17"/>
      <c r="M461" s="17"/>
      <c r="N461" s="17" t="str">
        <f t="shared" si="2"/>
        <v>OK</v>
      </c>
      <c r="O461" s="17" t="s">
        <v>205</v>
      </c>
      <c r="P461" s="6" t="s">
        <v>2890</v>
      </c>
      <c r="Q461" s="17" t="s">
        <v>3280</v>
      </c>
      <c r="R461" s="17" t="s">
        <v>3281</v>
      </c>
      <c r="S461" s="173" t="s">
        <v>38</v>
      </c>
      <c r="T461" s="19" t="s">
        <v>6054</v>
      </c>
      <c r="U461" s="22" t="s">
        <v>3283</v>
      </c>
      <c r="V461" s="22" t="s">
        <v>3283</v>
      </c>
    </row>
    <row r="462" spans="1:22" ht="72">
      <c r="A462" s="10" t="s">
        <v>3284</v>
      </c>
      <c r="B462" s="10" t="s">
        <v>1469</v>
      </c>
      <c r="C462" s="60" t="s">
        <v>1470</v>
      </c>
      <c r="D462" s="12"/>
      <c r="E462" s="13" t="s">
        <v>501</v>
      </c>
      <c r="F462" s="6" t="s">
        <v>3269</v>
      </c>
      <c r="G462" s="6" t="str">
        <f ca="1">IFERROR(__xludf.DUMMYFUNCTION("CONCATENATE(B462,(VLOOKUP(C462,CATALOGOS!$F$2:$H$6,3,FALSE)),(VLOOKUP(T462,CATALOGOS!$J$2:$K$18,2,FALSE)),""-"",TO_TEXT(A462))"),"P12CT-0461")</f>
        <v>P12CT-0461</v>
      </c>
      <c r="H462" s="6" t="s">
        <v>3286</v>
      </c>
      <c r="I462" s="6" t="s">
        <v>3287</v>
      </c>
      <c r="J462" s="6" t="s">
        <v>3288</v>
      </c>
      <c r="K462" s="6" t="s">
        <v>3289</v>
      </c>
      <c r="L462" s="17"/>
      <c r="M462" s="17"/>
      <c r="N462" s="17" t="str">
        <f t="shared" si="2"/>
        <v>OK</v>
      </c>
      <c r="O462" s="17" t="s">
        <v>35</v>
      </c>
      <c r="P462" s="6" t="s">
        <v>35</v>
      </c>
      <c r="Q462" s="17" t="s">
        <v>36</v>
      </c>
      <c r="R462" s="17" t="s">
        <v>3290</v>
      </c>
      <c r="S462" s="173" t="s">
        <v>38</v>
      </c>
      <c r="T462" s="19" t="s">
        <v>2884</v>
      </c>
      <c r="U462" s="22" t="s">
        <v>3247</v>
      </c>
      <c r="V462" s="22" t="s">
        <v>3247</v>
      </c>
    </row>
    <row r="463" spans="1:22" ht="43.5">
      <c r="A463" s="10" t="s">
        <v>3291</v>
      </c>
      <c r="B463" s="10" t="s">
        <v>1469</v>
      </c>
      <c r="C463" s="60" t="s">
        <v>1470</v>
      </c>
      <c r="D463" s="12"/>
      <c r="E463" s="13" t="s">
        <v>378</v>
      </c>
      <c r="F463" s="6" t="s">
        <v>2040</v>
      </c>
      <c r="G463" s="6" t="str">
        <f ca="1">IFERROR(__xludf.DUMMYFUNCTION("CONCATENATE(B463,(VLOOKUP(C463,CATALOGOS!$F$2:$H$6,3,FALSE)),(VLOOKUP(T463,CATALOGOS!$J$2:$K$18,2,FALSE)),""-"",TO_TEXT(A463))"),"P12CT-0462")</f>
        <v>P12CT-0462</v>
      </c>
      <c r="H463" s="6" t="s">
        <v>3292</v>
      </c>
      <c r="I463" s="6" t="s">
        <v>3293</v>
      </c>
      <c r="J463" s="66" t="s">
        <v>3294</v>
      </c>
      <c r="K463" s="6" t="s">
        <v>3295</v>
      </c>
      <c r="L463" s="17"/>
      <c r="M463" s="17"/>
      <c r="N463" s="17" t="str">
        <f t="shared" si="2"/>
        <v>OK</v>
      </c>
      <c r="O463" s="17" t="s">
        <v>35</v>
      </c>
      <c r="P463" s="6" t="s">
        <v>35</v>
      </c>
      <c r="Q463" s="17" t="s">
        <v>36</v>
      </c>
      <c r="R463" s="17" t="s">
        <v>3296</v>
      </c>
      <c r="S463" s="173" t="s">
        <v>38</v>
      </c>
      <c r="T463" s="19" t="s">
        <v>2884</v>
      </c>
      <c r="U463" s="22" t="s">
        <v>3247</v>
      </c>
      <c r="V463" s="22" t="s">
        <v>3247</v>
      </c>
    </row>
    <row r="464" spans="1:22" ht="72">
      <c r="A464" s="10" t="s">
        <v>3297</v>
      </c>
      <c r="B464" s="10" t="s">
        <v>1469</v>
      </c>
      <c r="C464" s="60" t="s">
        <v>1470</v>
      </c>
      <c r="D464" s="12"/>
      <c r="E464" s="13" t="s">
        <v>93</v>
      </c>
      <c r="F464" s="6" t="s">
        <v>2383</v>
      </c>
      <c r="G464" s="6" t="str">
        <f ca="1">IFERROR(__xludf.DUMMYFUNCTION("CONCATENATE(B464,(VLOOKUP(C464,CATALOGOS!$F$2:$H$6,3,FALSE)),(VLOOKUP(T464,CATALOGOS!$J$2:$K$18,2,FALSE)),""-"",TO_TEXT(A464))"),"P12CT-0463")</f>
        <v>P12CT-0463</v>
      </c>
      <c r="H464" s="6" t="s">
        <v>3298</v>
      </c>
      <c r="I464" s="6" t="s">
        <v>3299</v>
      </c>
      <c r="J464" s="6" t="s">
        <v>3300</v>
      </c>
      <c r="K464" s="6" t="s">
        <v>3301</v>
      </c>
      <c r="L464" s="17"/>
      <c r="M464" s="17"/>
      <c r="N464" s="17" t="str">
        <f t="shared" si="2"/>
        <v>OK</v>
      </c>
      <c r="O464" s="17" t="s">
        <v>35</v>
      </c>
      <c r="P464" s="6" t="s">
        <v>35</v>
      </c>
      <c r="Q464" s="17" t="s">
        <v>36</v>
      </c>
      <c r="R464" s="17" t="s">
        <v>3302</v>
      </c>
      <c r="S464" s="173" t="s">
        <v>38</v>
      </c>
      <c r="T464" s="19" t="s">
        <v>2884</v>
      </c>
      <c r="U464" s="22" t="s">
        <v>3247</v>
      </c>
      <c r="V464" s="22" t="s">
        <v>3247</v>
      </c>
    </row>
    <row r="465" spans="1:22" ht="72">
      <c r="A465" s="10" t="s">
        <v>3303</v>
      </c>
      <c r="B465" s="10" t="s">
        <v>1469</v>
      </c>
      <c r="C465" s="60" t="s">
        <v>1470</v>
      </c>
      <c r="D465" s="12"/>
      <c r="E465" s="13" t="s">
        <v>93</v>
      </c>
      <c r="F465" s="6" t="s">
        <v>3304</v>
      </c>
      <c r="G465" s="6" t="str">
        <f ca="1">IFERROR(__xludf.DUMMYFUNCTION("CONCATENATE(B465,(VLOOKUP(C465,CATALOGOS!$F$2:$H$6,3,FALSE)),(VLOOKUP(T465,CATALOGOS!$J$2:$K$18,2,FALSE)),""-"",TO_TEXT(A465))"),"P12CT-0464")</f>
        <v>P12CT-0464</v>
      </c>
      <c r="H465" s="6" t="s">
        <v>3305</v>
      </c>
      <c r="I465" s="6" t="s">
        <v>3306</v>
      </c>
      <c r="J465" s="6" t="s">
        <v>3307</v>
      </c>
      <c r="K465" s="6" t="s">
        <v>3308</v>
      </c>
      <c r="L465" s="17"/>
      <c r="M465" s="17"/>
      <c r="N465" s="17" t="str">
        <f t="shared" si="2"/>
        <v>OK</v>
      </c>
      <c r="O465" s="17" t="s">
        <v>35</v>
      </c>
      <c r="P465" s="6" t="s">
        <v>35</v>
      </c>
      <c r="Q465" s="17" t="s">
        <v>36</v>
      </c>
      <c r="R465" s="17" t="s">
        <v>3309</v>
      </c>
      <c r="S465" s="173" t="s">
        <v>38</v>
      </c>
      <c r="T465" s="19" t="s">
        <v>2884</v>
      </c>
      <c r="U465" s="22" t="s">
        <v>3247</v>
      </c>
      <c r="V465" s="22" t="s">
        <v>3247</v>
      </c>
    </row>
    <row r="466" spans="1:22" ht="43.5">
      <c r="A466" s="10" t="s">
        <v>3310</v>
      </c>
      <c r="B466" s="10" t="s">
        <v>1469</v>
      </c>
      <c r="C466" s="60" t="s">
        <v>1470</v>
      </c>
      <c r="D466" s="12"/>
      <c r="E466" s="13" t="s">
        <v>184</v>
      </c>
      <c r="F466" s="6" t="s">
        <v>3311</v>
      </c>
      <c r="G466" s="6" t="str">
        <f ca="1">IFERROR(__xludf.DUMMYFUNCTION("CONCATENATE(B466,(VLOOKUP(C466,CATALOGOS!$F$2:$H$6,3,FALSE)),(VLOOKUP(T466,CATALOGOS!$J$2:$K$18,2,FALSE)),""-"",TO_TEXT(A466))"),"P12CT-0465")</f>
        <v>P12CT-0465</v>
      </c>
      <c r="H466" s="6" t="s">
        <v>3312</v>
      </c>
      <c r="I466" s="6" t="s">
        <v>3313</v>
      </c>
      <c r="J466" s="6" t="s">
        <v>3314</v>
      </c>
      <c r="K466" s="6" t="s">
        <v>3315</v>
      </c>
      <c r="L466" s="17"/>
      <c r="M466" s="17"/>
      <c r="N466" s="17" t="str">
        <f t="shared" si="2"/>
        <v>OK</v>
      </c>
      <c r="O466" s="17" t="s">
        <v>35</v>
      </c>
      <c r="P466" s="6" t="s">
        <v>35</v>
      </c>
      <c r="Q466" s="17" t="s">
        <v>36</v>
      </c>
      <c r="R466" s="17" t="s">
        <v>3316</v>
      </c>
      <c r="S466" s="173" t="s">
        <v>38</v>
      </c>
      <c r="T466" s="19" t="s">
        <v>2884</v>
      </c>
      <c r="U466" s="22" t="s">
        <v>3247</v>
      </c>
      <c r="V466" s="22" t="s">
        <v>3247</v>
      </c>
    </row>
    <row r="467" spans="1:22" ht="43.5">
      <c r="A467" s="10" t="s">
        <v>3317</v>
      </c>
      <c r="B467" s="10" t="s">
        <v>1469</v>
      </c>
      <c r="C467" s="60" t="s">
        <v>1470</v>
      </c>
      <c r="D467" s="12"/>
      <c r="E467" s="13" t="s">
        <v>184</v>
      </c>
      <c r="F467" s="6" t="s">
        <v>3311</v>
      </c>
      <c r="G467" s="6" t="str">
        <f ca="1">IFERROR(__xludf.DUMMYFUNCTION("CONCATENATE(B467,(VLOOKUP(C467,CATALOGOS!$F$2:$H$6,3,FALSE)),(VLOOKUP(T467,CATALOGOS!$J$2:$K$18,2,FALSE)),""-"",TO_TEXT(A467))"),"P12CT-0466")</f>
        <v>P12CT-0466</v>
      </c>
      <c r="H467" s="6" t="s">
        <v>3318</v>
      </c>
      <c r="I467" s="6" t="s">
        <v>3319</v>
      </c>
      <c r="J467" s="6" t="s">
        <v>3320</v>
      </c>
      <c r="K467" s="6" t="s">
        <v>3321</v>
      </c>
      <c r="L467" s="17"/>
      <c r="M467" s="17"/>
      <c r="N467" s="17" t="str">
        <f t="shared" si="2"/>
        <v>OK</v>
      </c>
      <c r="O467" s="17" t="s">
        <v>35</v>
      </c>
      <c r="P467" s="6" t="s">
        <v>35</v>
      </c>
      <c r="Q467" s="17" t="s">
        <v>36</v>
      </c>
      <c r="R467" s="17" t="s">
        <v>3322</v>
      </c>
      <c r="S467" s="173" t="s">
        <v>38</v>
      </c>
      <c r="T467" s="19" t="s">
        <v>2884</v>
      </c>
      <c r="U467" s="22" t="s">
        <v>3247</v>
      </c>
      <c r="V467" s="22" t="s">
        <v>3247</v>
      </c>
    </row>
    <row r="468" spans="1:22" ht="57.75">
      <c r="A468" s="10" t="s">
        <v>3323</v>
      </c>
      <c r="B468" s="10" t="s">
        <v>1469</v>
      </c>
      <c r="C468" s="60" t="s">
        <v>1470</v>
      </c>
      <c r="D468" s="12"/>
      <c r="E468" s="13" t="s">
        <v>234</v>
      </c>
      <c r="F468" s="6" t="s">
        <v>3324</v>
      </c>
      <c r="G468" s="6" t="str">
        <f ca="1">IFERROR(__xludf.DUMMYFUNCTION("CONCATENATE(B468,(VLOOKUP(C468,CATALOGOS!$F$2:$H$6,3,FALSE)),(VLOOKUP(T468,CATALOGOS!$J$2:$K$18,2,FALSE)),""-"",TO_TEXT(A468))"),"P12CT-0467")</f>
        <v>P12CT-0467</v>
      </c>
      <c r="H468" s="6" t="s">
        <v>3325</v>
      </c>
      <c r="I468" s="6" t="s">
        <v>3326</v>
      </c>
      <c r="J468" s="6" t="s">
        <v>3327</v>
      </c>
      <c r="K468" s="6" t="s">
        <v>3328</v>
      </c>
      <c r="L468" s="17"/>
      <c r="M468" s="17"/>
      <c r="N468" s="17" t="str">
        <f t="shared" si="2"/>
        <v>OK</v>
      </c>
      <c r="O468" s="17" t="s">
        <v>35</v>
      </c>
      <c r="P468" s="6" t="s">
        <v>35</v>
      </c>
      <c r="Q468" s="17" t="s">
        <v>36</v>
      </c>
      <c r="R468" s="17" t="s">
        <v>3329</v>
      </c>
      <c r="S468" s="173" t="s">
        <v>38</v>
      </c>
      <c r="T468" s="19" t="s">
        <v>2884</v>
      </c>
      <c r="U468" s="22" t="s">
        <v>3247</v>
      </c>
      <c r="V468" s="22" t="s">
        <v>3247</v>
      </c>
    </row>
    <row r="469" spans="1:22" ht="86.25">
      <c r="A469" s="10" t="s">
        <v>3330</v>
      </c>
      <c r="B469" s="10" t="s">
        <v>1469</v>
      </c>
      <c r="C469" s="60" t="s">
        <v>1470</v>
      </c>
      <c r="D469" s="12"/>
      <c r="E469" s="13" t="s">
        <v>501</v>
      </c>
      <c r="F469" s="6" t="s">
        <v>3331</v>
      </c>
      <c r="G469" s="6" t="str">
        <f ca="1">IFERROR(__xludf.DUMMYFUNCTION("CONCATENATE(B469,(VLOOKUP(C469,CATALOGOS!$F$2:$H$6,3,FALSE)),(VLOOKUP(T469,CATALOGOS!$J$2:$K$18,2,FALSE)),""-"",TO_TEXT(A469))"),"P12CT-0468")</f>
        <v>P12CT-0468</v>
      </c>
      <c r="H469" s="6" t="s">
        <v>3332</v>
      </c>
      <c r="I469" s="6" t="s">
        <v>3333</v>
      </c>
      <c r="J469" s="6" t="s">
        <v>3334</v>
      </c>
      <c r="K469" s="6" t="s">
        <v>3335</v>
      </c>
      <c r="L469" s="17"/>
      <c r="M469" s="17"/>
      <c r="N469" s="17" t="str">
        <f t="shared" si="2"/>
        <v>OK</v>
      </c>
      <c r="O469" s="17" t="s">
        <v>35</v>
      </c>
      <c r="P469" s="6" t="s">
        <v>35</v>
      </c>
      <c r="Q469" s="17" t="s">
        <v>36</v>
      </c>
      <c r="R469" s="17" t="s">
        <v>3336</v>
      </c>
      <c r="S469" s="173" t="s">
        <v>38</v>
      </c>
      <c r="T469" s="19" t="s">
        <v>2884</v>
      </c>
      <c r="U469" s="22" t="s">
        <v>3247</v>
      </c>
      <c r="V469" s="22" t="s">
        <v>3247</v>
      </c>
    </row>
    <row r="470" spans="1:22" ht="57.75">
      <c r="A470" s="10" t="s">
        <v>3337</v>
      </c>
      <c r="B470" s="10" t="s">
        <v>1469</v>
      </c>
      <c r="C470" s="60" t="s">
        <v>1470</v>
      </c>
      <c r="D470" s="12"/>
      <c r="E470" s="13" t="s">
        <v>93</v>
      </c>
      <c r="F470" s="43" t="s">
        <v>3338</v>
      </c>
      <c r="G470" s="6" t="str">
        <f ca="1">IFERROR(__xludf.DUMMYFUNCTION("CONCATENATE(B470,(VLOOKUP(C470,CATALOGOS!$F$2:$H$6,3,FALSE)),(VLOOKUP(T470,CATALOGOS!$J$2:$K$18,2,FALSE)),""-"",TO_TEXT(A470))"),"P12CT-0469")</f>
        <v>P12CT-0469</v>
      </c>
      <c r="H470" s="6" t="s">
        <v>3339</v>
      </c>
      <c r="I470" s="54"/>
      <c r="J470" s="6" t="s">
        <v>3340</v>
      </c>
      <c r="K470" s="6" t="s">
        <v>3341</v>
      </c>
      <c r="L470" s="17"/>
      <c r="M470" s="17"/>
      <c r="N470" s="17" t="str">
        <f t="shared" si="2"/>
        <v>OK</v>
      </c>
      <c r="O470" s="17" t="s">
        <v>35</v>
      </c>
      <c r="P470" s="6" t="s">
        <v>35</v>
      </c>
      <c r="Q470" s="17" t="s">
        <v>36</v>
      </c>
      <c r="R470" s="17" t="s">
        <v>3342</v>
      </c>
      <c r="S470" s="173" t="s">
        <v>38</v>
      </c>
      <c r="T470" s="19" t="s">
        <v>2884</v>
      </c>
      <c r="U470" s="22" t="s">
        <v>3247</v>
      </c>
      <c r="V470" s="22" t="s">
        <v>3247</v>
      </c>
    </row>
    <row r="471" spans="1:22" ht="72">
      <c r="A471" s="10" t="s">
        <v>3343</v>
      </c>
      <c r="B471" s="10" t="s">
        <v>1469</v>
      </c>
      <c r="C471" s="60" t="s">
        <v>1470</v>
      </c>
      <c r="D471" s="12"/>
      <c r="E471" s="13" t="s">
        <v>116</v>
      </c>
      <c r="F471" s="6" t="s">
        <v>3344</v>
      </c>
      <c r="G471" s="6" t="str">
        <f ca="1">IFERROR(__xludf.DUMMYFUNCTION("CONCATENATE(B471,(VLOOKUP(C471,CATALOGOS!$F$2:$H$6,3,FALSE)),(VLOOKUP(T471,CATALOGOS!$J$2:$K$18,2,FALSE)),""-"",TO_TEXT(A471))"),"P12CT-0470")</f>
        <v>P12CT-0470</v>
      </c>
      <c r="H471" s="6" t="s">
        <v>3345</v>
      </c>
      <c r="I471" s="6" t="s">
        <v>3346</v>
      </c>
      <c r="J471" s="6" t="s">
        <v>3347</v>
      </c>
      <c r="K471" s="6" t="s">
        <v>3348</v>
      </c>
      <c r="L471" s="17"/>
      <c r="M471" s="17"/>
      <c r="N471" s="17" t="str">
        <f t="shared" si="2"/>
        <v>OK</v>
      </c>
      <c r="O471" s="17" t="s">
        <v>35</v>
      </c>
      <c r="P471" s="6" t="s">
        <v>35</v>
      </c>
      <c r="Q471" s="17" t="s">
        <v>36</v>
      </c>
      <c r="R471" s="17" t="s">
        <v>3349</v>
      </c>
      <c r="S471" s="173" t="s">
        <v>38</v>
      </c>
      <c r="T471" s="19" t="s">
        <v>2884</v>
      </c>
      <c r="U471" s="22" t="s">
        <v>3247</v>
      </c>
      <c r="V471" s="22" t="s">
        <v>3247</v>
      </c>
    </row>
    <row r="472" spans="1:22" ht="29.25">
      <c r="A472" s="10" t="s">
        <v>3350</v>
      </c>
      <c r="B472" s="10" t="s">
        <v>1469</v>
      </c>
      <c r="C472" s="60" t="s">
        <v>1470</v>
      </c>
      <c r="D472" s="12"/>
      <c r="E472" s="13" t="s">
        <v>151</v>
      </c>
      <c r="F472" s="6" t="s">
        <v>963</v>
      </c>
      <c r="G472" s="6" t="str">
        <f ca="1">IFERROR(__xludf.DUMMYFUNCTION("CONCATENATE(B472,(VLOOKUP(C472,CATALOGOS!$F$2:$H$6,3,FALSE)),(VLOOKUP(T472,CATALOGOS!$J$2:$K$18,2,FALSE)),""-"",TO_TEXT(A472))"),"P12CT-0471")</f>
        <v>P12CT-0471</v>
      </c>
      <c r="H472" s="6" t="s">
        <v>3351</v>
      </c>
      <c r="I472" s="6" t="s">
        <v>3352</v>
      </c>
      <c r="J472" s="6" t="s">
        <v>3353</v>
      </c>
      <c r="K472" s="6" t="s">
        <v>3354</v>
      </c>
      <c r="L472" s="17"/>
      <c r="M472" s="17"/>
      <c r="N472" s="17" t="str">
        <f t="shared" si="2"/>
        <v>OK</v>
      </c>
      <c r="O472" s="17" t="s">
        <v>297</v>
      </c>
      <c r="P472" s="6" t="s">
        <v>1407</v>
      </c>
      <c r="Q472" s="17" t="s">
        <v>3355</v>
      </c>
      <c r="R472" s="17" t="s">
        <v>3356</v>
      </c>
      <c r="S472" s="173" t="s">
        <v>38</v>
      </c>
      <c r="T472" s="19" t="s">
        <v>2884</v>
      </c>
      <c r="U472" s="22" t="s">
        <v>3247</v>
      </c>
      <c r="V472" s="22" t="s">
        <v>3247</v>
      </c>
    </row>
    <row r="473" spans="1:22" ht="29.25">
      <c r="A473" s="10" t="s">
        <v>3357</v>
      </c>
      <c r="B473" s="10" t="s">
        <v>1469</v>
      </c>
      <c r="C473" s="60" t="s">
        <v>1470</v>
      </c>
      <c r="D473" s="12"/>
      <c r="E473" s="13" t="s">
        <v>151</v>
      </c>
      <c r="F473" s="6" t="s">
        <v>714</v>
      </c>
      <c r="G473" s="6" t="str">
        <f ca="1">IFERROR(__xludf.DUMMYFUNCTION("CONCATENATE(B473,(VLOOKUP(C473,CATALOGOS!$F$2:$H$6,3,FALSE)),(VLOOKUP(T473,CATALOGOS!$J$2:$K$18,2,FALSE)),""-"",TO_TEXT(A473))"),"P12CT-0472")</f>
        <v>P12CT-0472</v>
      </c>
      <c r="H473" s="6" t="s">
        <v>3358</v>
      </c>
      <c r="I473" s="6" t="s">
        <v>3359</v>
      </c>
      <c r="J473" s="6" t="s">
        <v>3360</v>
      </c>
      <c r="K473" s="6" t="s">
        <v>3361</v>
      </c>
      <c r="L473" s="17"/>
      <c r="M473" s="17"/>
      <c r="N473" s="17" t="str">
        <f t="shared" si="2"/>
        <v>OK</v>
      </c>
      <c r="O473" s="17" t="s">
        <v>157</v>
      </c>
      <c r="P473" s="6" t="s">
        <v>158</v>
      </c>
      <c r="Q473" s="17" t="s">
        <v>3362</v>
      </c>
      <c r="R473" s="10" t="s">
        <v>3363</v>
      </c>
      <c r="S473" s="173" t="s">
        <v>38</v>
      </c>
      <c r="T473" s="19" t="s">
        <v>2884</v>
      </c>
      <c r="U473" s="22" t="s">
        <v>3247</v>
      </c>
      <c r="V473" s="22" t="s">
        <v>3247</v>
      </c>
    </row>
    <row r="474" spans="1:22" ht="29.25">
      <c r="A474" s="10" t="s">
        <v>3364</v>
      </c>
      <c r="B474" s="10" t="s">
        <v>1469</v>
      </c>
      <c r="C474" s="60" t="s">
        <v>1470</v>
      </c>
      <c r="D474" s="12"/>
      <c r="E474" s="13" t="s">
        <v>162</v>
      </c>
      <c r="F474" s="6" t="s">
        <v>285</v>
      </c>
      <c r="G474" s="6" t="str">
        <f ca="1">IFERROR(__xludf.DUMMYFUNCTION("CONCATENATE(B474,(VLOOKUP(C474,CATALOGOS!$F$2:$H$6,3,FALSE)),(VLOOKUP(T474,CATALOGOS!$J$2:$K$18,2,FALSE)),""-"",TO_TEXT(A474))"),"P12CT-0473")</f>
        <v>P12CT-0473</v>
      </c>
      <c r="H474" s="6" t="s">
        <v>3365</v>
      </c>
      <c r="I474" s="6" t="s">
        <v>3366</v>
      </c>
      <c r="J474" s="6" t="s">
        <v>3367</v>
      </c>
      <c r="K474" s="6" t="s">
        <v>3368</v>
      </c>
      <c r="L474" s="17"/>
      <c r="M474" s="17"/>
      <c r="N474" s="17" t="str">
        <f t="shared" si="2"/>
        <v>OK</v>
      </c>
      <c r="O474" s="17" t="s">
        <v>168</v>
      </c>
      <c r="P474" s="6" t="s">
        <v>169</v>
      </c>
      <c r="Q474" s="17" t="s">
        <v>3369</v>
      </c>
      <c r="R474" s="17" t="s">
        <v>3370</v>
      </c>
      <c r="S474" s="173" t="s">
        <v>38</v>
      </c>
      <c r="T474" s="19" t="s">
        <v>2884</v>
      </c>
      <c r="U474" s="22" t="s">
        <v>3247</v>
      </c>
      <c r="V474" s="22" t="s">
        <v>3247</v>
      </c>
    </row>
    <row r="475" spans="1:22" ht="57.75">
      <c r="A475" s="10" t="s">
        <v>3371</v>
      </c>
      <c r="B475" s="10" t="s">
        <v>1469</v>
      </c>
      <c r="C475" s="60" t="s">
        <v>1470</v>
      </c>
      <c r="D475" s="12"/>
      <c r="E475" s="13" t="s">
        <v>199</v>
      </c>
      <c r="F475" s="6" t="s">
        <v>199</v>
      </c>
      <c r="G475" s="6" t="str">
        <f ca="1">IFERROR(__xludf.DUMMYFUNCTION("CONCATENATE(B475,(VLOOKUP(C475,CATALOGOS!$F$2:$H$6,3,FALSE)),(VLOOKUP(T475,CATALOGOS!$J$2:$K$18,2,FALSE)),""-"",TO_TEXT(A475))"),"P12CT-0474")</f>
        <v>P12CT-0474</v>
      </c>
      <c r="H475" s="6" t="s">
        <v>3372</v>
      </c>
      <c r="I475" s="6" t="s">
        <v>3373</v>
      </c>
      <c r="J475" s="6" t="s">
        <v>3374</v>
      </c>
      <c r="K475" s="6" t="s">
        <v>3375</v>
      </c>
      <c r="L475" s="17"/>
      <c r="M475" s="17"/>
      <c r="N475" s="17" t="str">
        <f t="shared" si="2"/>
        <v>OK</v>
      </c>
      <c r="O475" s="17" t="s">
        <v>157</v>
      </c>
      <c r="P475" s="6">
        <v>2378</v>
      </c>
      <c r="Q475" s="17" t="s">
        <v>3376</v>
      </c>
      <c r="R475" s="10" t="s">
        <v>3377</v>
      </c>
      <c r="S475" s="173" t="s">
        <v>38</v>
      </c>
      <c r="T475" s="19" t="s">
        <v>2884</v>
      </c>
      <c r="U475" s="22" t="s">
        <v>3247</v>
      </c>
      <c r="V475" s="22" t="s">
        <v>3247</v>
      </c>
    </row>
    <row r="476" spans="1:22" ht="43.5">
      <c r="A476" s="10" t="s">
        <v>3378</v>
      </c>
      <c r="B476" s="10" t="s">
        <v>1469</v>
      </c>
      <c r="C476" s="60" t="s">
        <v>1470</v>
      </c>
      <c r="D476" s="12"/>
      <c r="E476" s="13" t="s">
        <v>353</v>
      </c>
      <c r="F476" s="43" t="s">
        <v>638</v>
      </c>
      <c r="G476" s="6" t="str">
        <f ca="1">IFERROR(__xludf.DUMMYFUNCTION("CONCATENATE(B476,(VLOOKUP(C476,CATALOGOS!$F$2:$H$6,3,FALSE)),(VLOOKUP(T476,CATALOGOS!$J$2:$K$18,2,FALSE)),""-"",TO_TEXT(A476))"),"P12CT-0475")</f>
        <v>P12CT-0475</v>
      </c>
      <c r="H476" s="6" t="s">
        <v>3379</v>
      </c>
      <c r="I476" s="6" t="s">
        <v>3380</v>
      </c>
      <c r="J476" s="6" t="s">
        <v>3381</v>
      </c>
      <c r="K476" s="6" t="s">
        <v>3382</v>
      </c>
      <c r="L476" s="17"/>
      <c r="M476" s="17"/>
      <c r="N476" s="17" t="str">
        <f t="shared" si="2"/>
        <v>OK</v>
      </c>
      <c r="O476" s="17" t="s">
        <v>359</v>
      </c>
      <c r="P476" s="6" t="s">
        <v>360</v>
      </c>
      <c r="Q476" s="17" t="s">
        <v>36</v>
      </c>
      <c r="R476" s="17" t="s">
        <v>3383</v>
      </c>
      <c r="S476" s="173" t="s">
        <v>38</v>
      </c>
      <c r="T476" s="19" t="s">
        <v>2884</v>
      </c>
      <c r="U476" s="22" t="s">
        <v>3247</v>
      </c>
      <c r="V476" s="22" t="s">
        <v>3247</v>
      </c>
    </row>
    <row r="477" spans="1:22" ht="29.25">
      <c r="A477" s="10" t="s">
        <v>3384</v>
      </c>
      <c r="B477" s="10" t="s">
        <v>1469</v>
      </c>
      <c r="C477" s="60" t="s">
        <v>1470</v>
      </c>
      <c r="D477" s="12"/>
      <c r="E477" s="13" t="s">
        <v>248</v>
      </c>
      <c r="F477" s="43" t="s">
        <v>248</v>
      </c>
      <c r="G477" s="6" t="str">
        <f ca="1">IFERROR(__xludf.DUMMYFUNCTION("CONCATENATE(B477,(VLOOKUP(C477,CATALOGOS!$F$2:$H$6,3,FALSE)),(VLOOKUP(T477,CATALOGOS!$J$2:$K$18,2,FALSE)),""-"",TO_TEXT(A477))"),"P12CT-0476")</f>
        <v>P12CT-0476</v>
      </c>
      <c r="H477" s="6" t="s">
        <v>3385</v>
      </c>
      <c r="I477" s="6" t="s">
        <v>3386</v>
      </c>
      <c r="J477" s="6" t="s">
        <v>3387</v>
      </c>
      <c r="K477" s="6" t="s">
        <v>3388</v>
      </c>
      <c r="L477" s="17"/>
      <c r="M477" s="17"/>
      <c r="N477" s="17" t="str">
        <f t="shared" si="2"/>
        <v>OK</v>
      </c>
      <c r="O477" s="17" t="s">
        <v>978</v>
      </c>
      <c r="P477" s="6" t="s">
        <v>979</v>
      </c>
      <c r="Q477" s="17" t="s">
        <v>3389</v>
      </c>
      <c r="R477" s="17" t="s">
        <v>3390</v>
      </c>
      <c r="S477" s="173" t="s">
        <v>38</v>
      </c>
      <c r="T477" s="19" t="s">
        <v>2884</v>
      </c>
      <c r="U477" s="22" t="s">
        <v>3247</v>
      </c>
      <c r="V477" s="22" t="s">
        <v>3247</v>
      </c>
    </row>
    <row r="478" spans="1:22" ht="86.25">
      <c r="A478" s="10" t="s">
        <v>3391</v>
      </c>
      <c r="B478" s="10" t="s">
        <v>1469</v>
      </c>
      <c r="C478" s="60" t="s">
        <v>1470</v>
      </c>
      <c r="D478" s="12"/>
      <c r="E478" s="13" t="s">
        <v>1240</v>
      </c>
      <c r="F478" s="6" t="s">
        <v>1240</v>
      </c>
      <c r="G478" s="6" t="str">
        <f ca="1">IFERROR(__xludf.DUMMYFUNCTION("CONCATENATE(B478,(VLOOKUP(C478,CATALOGOS!$F$2:$H$6,3,FALSE)),(VLOOKUP(T478,CATALOGOS!$J$2:$K$18,2,FALSE)),""-"",TO_TEXT(A478))"),"P12CT-0477")</f>
        <v>P12CT-0477</v>
      </c>
      <c r="H478" s="6" t="s">
        <v>3392</v>
      </c>
      <c r="I478" s="6" t="s">
        <v>3393</v>
      </c>
      <c r="J478" s="6" t="s">
        <v>3394</v>
      </c>
      <c r="K478" s="6" t="s">
        <v>3395</v>
      </c>
      <c r="L478" s="17"/>
      <c r="M478" s="17"/>
      <c r="N478" s="17" t="str">
        <f t="shared" si="2"/>
        <v>OK</v>
      </c>
      <c r="O478" s="17" t="s">
        <v>35</v>
      </c>
      <c r="P478" s="6" t="s">
        <v>35</v>
      </c>
      <c r="Q478" s="17" t="s">
        <v>36</v>
      </c>
      <c r="R478" s="17" t="s">
        <v>3396</v>
      </c>
      <c r="S478" s="173" t="s">
        <v>38</v>
      </c>
      <c r="T478" s="19" t="s">
        <v>2884</v>
      </c>
      <c r="U478" s="20" t="s">
        <v>3247</v>
      </c>
      <c r="V478" s="20" t="s">
        <v>3247</v>
      </c>
    </row>
    <row r="479" spans="1:22" ht="29.25">
      <c r="A479" s="10" t="s">
        <v>3397</v>
      </c>
      <c r="B479" s="10" t="s">
        <v>1469</v>
      </c>
      <c r="C479" s="60" t="s">
        <v>1470</v>
      </c>
      <c r="D479" s="12"/>
      <c r="E479" s="13" t="s">
        <v>248</v>
      </c>
      <c r="F479" s="43" t="s">
        <v>248</v>
      </c>
      <c r="G479" s="6" t="str">
        <f ca="1">IFERROR(__xludf.DUMMYFUNCTION("CONCATENATE(B479,(VLOOKUP(C479,CATALOGOS!$F$2:$H$6,3,FALSE)),(VLOOKUP(T479,CATALOGOS!$J$2:$K$18,2,FALSE)),""-"",TO_TEXT(A479))"),"P12CT-0478")</f>
        <v>P12CT-0478</v>
      </c>
      <c r="H479" s="6" t="s">
        <v>3398</v>
      </c>
      <c r="I479" s="6" t="s">
        <v>3399</v>
      </c>
      <c r="J479" s="6" t="s">
        <v>3400</v>
      </c>
      <c r="K479" s="6" t="s">
        <v>3401</v>
      </c>
      <c r="L479" s="17"/>
      <c r="M479" s="17"/>
      <c r="N479" s="17" t="str">
        <f t="shared" si="2"/>
        <v>OK</v>
      </c>
      <c r="O479" s="17" t="s">
        <v>827</v>
      </c>
      <c r="P479" s="6" t="s">
        <v>828</v>
      </c>
      <c r="Q479" s="17" t="s">
        <v>3402</v>
      </c>
      <c r="R479" s="10" t="s">
        <v>3403</v>
      </c>
      <c r="S479" s="173" t="s">
        <v>38</v>
      </c>
      <c r="T479" s="19" t="s">
        <v>2884</v>
      </c>
      <c r="U479" s="22" t="s">
        <v>3247</v>
      </c>
      <c r="V479" s="22" t="s">
        <v>3247</v>
      </c>
    </row>
    <row r="480" spans="1:22" ht="43.5">
      <c r="A480" s="10" t="s">
        <v>3404</v>
      </c>
      <c r="B480" s="10" t="s">
        <v>1469</v>
      </c>
      <c r="C480" s="60" t="s">
        <v>1470</v>
      </c>
      <c r="D480" s="12"/>
      <c r="E480" s="13" t="s">
        <v>43</v>
      </c>
      <c r="F480" s="43" t="s">
        <v>3405</v>
      </c>
      <c r="G480" s="6" t="str">
        <f ca="1">IFERROR(__xludf.DUMMYFUNCTION("CONCATENATE(B480,(VLOOKUP(C480,CATALOGOS!$F$2:$H$6,3,FALSE)),(VLOOKUP(T480,CATALOGOS!$J$2:$K$18,2,FALSE)),""-"",TO_TEXT(A480))"),"P12CT-0479")</f>
        <v>P12CT-0479</v>
      </c>
      <c r="H480" s="6" t="s">
        <v>3406</v>
      </c>
      <c r="I480" s="6" t="s">
        <v>3407</v>
      </c>
      <c r="J480" s="6" t="s">
        <v>3408</v>
      </c>
      <c r="K480" s="6" t="s">
        <v>3409</v>
      </c>
      <c r="L480" s="17"/>
      <c r="M480" s="17"/>
      <c r="N480" s="17" t="str">
        <f t="shared" si="2"/>
        <v>OK</v>
      </c>
      <c r="O480" s="17" t="s">
        <v>49</v>
      </c>
      <c r="P480" s="6">
        <v>3352</v>
      </c>
      <c r="Q480" s="17" t="s">
        <v>36</v>
      </c>
      <c r="R480" s="10" t="s">
        <v>3410</v>
      </c>
      <c r="S480" s="173" t="s">
        <v>38</v>
      </c>
      <c r="T480" s="19" t="s">
        <v>2884</v>
      </c>
      <c r="U480" s="20" t="s">
        <v>385</v>
      </c>
      <c r="V480" s="20" t="s">
        <v>385</v>
      </c>
    </row>
    <row r="481" spans="1:22" ht="29.25">
      <c r="A481" s="10" t="s">
        <v>3411</v>
      </c>
      <c r="B481" s="10" t="s">
        <v>1469</v>
      </c>
      <c r="C481" s="60" t="s">
        <v>1470</v>
      </c>
      <c r="D481" s="12"/>
      <c r="E481" s="13" t="s">
        <v>248</v>
      </c>
      <c r="F481" s="6" t="s">
        <v>248</v>
      </c>
      <c r="G481" s="6" t="str">
        <f ca="1">IFERROR(__xludf.DUMMYFUNCTION("CONCATENATE(B481,(VLOOKUP(C481,CATALOGOS!$F$2:$H$6,3,FALSE)),(VLOOKUP(T481,CATALOGOS!$J$2:$K$18,2,FALSE)),""-"",TO_TEXT(A481))"),"P12CT-0480")</f>
        <v>P12CT-0480</v>
      </c>
      <c r="H481" s="6" t="s">
        <v>3412</v>
      </c>
      <c r="I481" s="6" t="s">
        <v>3413</v>
      </c>
      <c r="J481" s="6" t="s">
        <v>3414</v>
      </c>
      <c r="K481" s="6" t="s">
        <v>3415</v>
      </c>
      <c r="L481" s="17"/>
      <c r="M481" s="17"/>
      <c r="N481" s="17" t="str">
        <f t="shared" si="2"/>
        <v>OK</v>
      </c>
      <c r="O481" s="17" t="s">
        <v>250</v>
      </c>
      <c r="P481" s="6" t="s">
        <v>3416</v>
      </c>
      <c r="Q481" s="17" t="s">
        <v>3417</v>
      </c>
      <c r="R481" s="10" t="s">
        <v>3418</v>
      </c>
      <c r="S481" s="173" t="s">
        <v>38</v>
      </c>
      <c r="T481" s="19" t="s">
        <v>2884</v>
      </c>
      <c r="U481" s="20" t="s">
        <v>385</v>
      </c>
      <c r="V481" s="20" t="s">
        <v>385</v>
      </c>
    </row>
    <row r="482" spans="1:22" ht="86.25">
      <c r="A482" s="10" t="s">
        <v>3419</v>
      </c>
      <c r="B482" s="10" t="s">
        <v>1469</v>
      </c>
      <c r="C482" s="60" t="s">
        <v>1470</v>
      </c>
      <c r="D482" s="12"/>
      <c r="E482" s="13" t="s">
        <v>1240</v>
      </c>
      <c r="F482" s="6" t="s">
        <v>1240</v>
      </c>
      <c r="G482" s="6" t="str">
        <f ca="1">IFERROR(__xludf.DUMMYFUNCTION("CONCATENATE(B482,(VLOOKUP(C482,CATALOGOS!$F$2:$H$6,3,FALSE)),(VLOOKUP(T482,CATALOGOS!$J$2:$K$18,2,FALSE)),""-"",TO_TEXT(A482))"),"P12CT-0481")</f>
        <v>P12CT-0481</v>
      </c>
      <c r="H482" s="6" t="s">
        <v>3420</v>
      </c>
      <c r="I482" s="6" t="s">
        <v>3421</v>
      </c>
      <c r="J482" s="6" t="s">
        <v>3422</v>
      </c>
      <c r="K482" s="6" t="s">
        <v>3423</v>
      </c>
      <c r="L482" s="17"/>
      <c r="M482" s="17"/>
      <c r="N482" s="17" t="str">
        <f t="shared" si="2"/>
        <v>OK</v>
      </c>
      <c r="O482" s="17" t="s">
        <v>35</v>
      </c>
      <c r="P482" s="6" t="s">
        <v>35</v>
      </c>
      <c r="Q482" s="17" t="s">
        <v>36</v>
      </c>
      <c r="R482" s="17" t="s">
        <v>3424</v>
      </c>
      <c r="S482" s="173" t="s">
        <v>38</v>
      </c>
      <c r="T482" s="19" t="s">
        <v>2884</v>
      </c>
      <c r="U482" s="20" t="s">
        <v>385</v>
      </c>
      <c r="V482" s="20" t="s">
        <v>385</v>
      </c>
    </row>
    <row r="483" spans="1:22" ht="43.5">
      <c r="A483" s="10" t="s">
        <v>3425</v>
      </c>
      <c r="B483" s="10" t="s">
        <v>1469</v>
      </c>
      <c r="C483" s="60" t="s">
        <v>1470</v>
      </c>
      <c r="D483" s="12"/>
      <c r="E483" s="13" t="s">
        <v>116</v>
      </c>
      <c r="F483" s="6" t="s">
        <v>117</v>
      </c>
      <c r="G483" s="6" t="str">
        <f ca="1">IFERROR(__xludf.DUMMYFUNCTION("CONCATENATE(B483,(VLOOKUP(C483,CATALOGOS!$F$2:$H$6,3,FALSE)),(VLOOKUP(T483,CATALOGOS!$J$2:$K$18,2,FALSE)),""-"",TO_TEXT(A483))"),"P12CT-0482")</f>
        <v>P12CT-0482</v>
      </c>
      <c r="H483" s="6" t="s">
        <v>3426</v>
      </c>
      <c r="I483" s="6" t="s">
        <v>3427</v>
      </c>
      <c r="J483" s="6" t="s">
        <v>3428</v>
      </c>
      <c r="K483" s="6" t="s">
        <v>3429</v>
      </c>
      <c r="L483" s="17"/>
      <c r="M483" s="17"/>
      <c r="N483" s="17" t="str">
        <f t="shared" si="2"/>
        <v>OK</v>
      </c>
      <c r="O483" s="17" t="s">
        <v>35</v>
      </c>
      <c r="P483" s="49" t="s">
        <v>35</v>
      </c>
      <c r="Q483" s="17" t="s">
        <v>36</v>
      </c>
      <c r="R483" s="17" t="s">
        <v>3430</v>
      </c>
      <c r="S483" s="173" t="s">
        <v>38</v>
      </c>
      <c r="T483" s="19" t="s">
        <v>2884</v>
      </c>
      <c r="U483" s="20" t="s">
        <v>385</v>
      </c>
      <c r="V483" s="20" t="s">
        <v>385</v>
      </c>
    </row>
    <row r="484" spans="1:22" ht="129">
      <c r="A484" s="10" t="s">
        <v>3431</v>
      </c>
      <c r="B484" s="10" t="s">
        <v>1469</v>
      </c>
      <c r="C484" s="60" t="s">
        <v>1470</v>
      </c>
      <c r="D484" s="12"/>
      <c r="E484" s="13" t="s">
        <v>93</v>
      </c>
      <c r="F484" s="6" t="s">
        <v>3432</v>
      </c>
      <c r="G484" s="6" t="str">
        <f ca="1">IFERROR(__xludf.DUMMYFUNCTION("CONCATENATE(B484,(VLOOKUP(C484,CATALOGOS!$F$2:$H$6,3,FALSE)),(VLOOKUP(T484,CATALOGOS!$J$2:$K$18,2,FALSE)),""-"",TO_TEXT(A484))"),"P12PP-0483")</f>
        <v>P12PP-0483</v>
      </c>
      <c r="H484" s="6" t="s">
        <v>3433</v>
      </c>
      <c r="I484" s="6" t="s">
        <v>3434</v>
      </c>
      <c r="J484" s="6" t="s">
        <v>3435</v>
      </c>
      <c r="K484" s="6" t="s">
        <v>141</v>
      </c>
      <c r="L484" s="17"/>
      <c r="M484" s="17"/>
      <c r="N484" s="17" t="str">
        <f t="shared" si="2"/>
        <v>REPETIDO</v>
      </c>
      <c r="O484" s="17" t="s">
        <v>35</v>
      </c>
      <c r="P484" s="32" t="s">
        <v>35</v>
      </c>
      <c r="Q484" s="17" t="s">
        <v>36</v>
      </c>
      <c r="R484" s="17" t="s">
        <v>3436</v>
      </c>
      <c r="S484" s="173" t="s">
        <v>38</v>
      </c>
      <c r="T484" s="11" t="s">
        <v>1548</v>
      </c>
      <c r="U484" s="20" t="s">
        <v>1597</v>
      </c>
      <c r="V484" s="20" t="s">
        <v>1597</v>
      </c>
    </row>
    <row r="485" spans="1:22" ht="57.75">
      <c r="A485" s="10" t="s">
        <v>3437</v>
      </c>
      <c r="B485" s="10" t="s">
        <v>1469</v>
      </c>
      <c r="C485" s="60" t="s">
        <v>1470</v>
      </c>
      <c r="D485" s="38"/>
      <c r="E485" s="13" t="s">
        <v>184</v>
      </c>
      <c r="F485" s="6" t="s">
        <v>2677</v>
      </c>
      <c r="G485" s="6" t="str">
        <f ca="1">IFERROR(__xludf.DUMMYFUNCTION("CONCATENATE(B485,(VLOOKUP(C485,CATALOGOS!$F$2:$H$6,3,FALSE)),(VLOOKUP(T485,CATALOGOS!$J$2:$K$18,2,FALSE)),""-"",TO_TEXT(A485))"),"P12CT-0484")</f>
        <v>P12CT-0484</v>
      </c>
      <c r="H485" s="6" t="s">
        <v>3438</v>
      </c>
      <c r="I485" s="6" t="s">
        <v>3439</v>
      </c>
      <c r="J485" s="6" t="s">
        <v>3440</v>
      </c>
      <c r="K485" s="6" t="s">
        <v>3441</v>
      </c>
      <c r="L485" s="17"/>
      <c r="M485" s="17"/>
      <c r="N485" s="17" t="str">
        <f t="shared" si="2"/>
        <v>OK</v>
      </c>
      <c r="O485" s="17" t="s">
        <v>35</v>
      </c>
      <c r="P485" s="6" t="s">
        <v>35</v>
      </c>
      <c r="Q485" s="46" t="s">
        <v>36</v>
      </c>
      <c r="R485" s="17" t="s">
        <v>3442</v>
      </c>
      <c r="S485" s="173" t="s">
        <v>38</v>
      </c>
      <c r="T485" s="11" t="s">
        <v>2884</v>
      </c>
      <c r="U485" s="32" t="s">
        <v>3247</v>
      </c>
      <c r="V485" s="32" t="s">
        <v>3247</v>
      </c>
    </row>
    <row r="486" spans="1:22" ht="86.25">
      <c r="A486" s="10" t="s">
        <v>3443</v>
      </c>
      <c r="B486" s="10" t="s">
        <v>1469</v>
      </c>
      <c r="C486" s="52" t="s">
        <v>868</v>
      </c>
      <c r="D486" s="12"/>
      <c r="E486" s="13" t="s">
        <v>501</v>
      </c>
      <c r="F486" s="6" t="s">
        <v>3444</v>
      </c>
      <c r="G486" s="6" t="str">
        <f ca="1">IFERROR(__xludf.DUMMYFUNCTION("CONCATENATE(B486,(VLOOKUP(C486,CATALOGOS!$F$2:$H$6,3,FALSE)),(VLOOKUP(T486,CATALOGOS!$J$2:$K$18,2,FALSE)),""-"",TO_TEXT(A486))"),"P13SO-0485")</f>
        <v>P13SO-0485</v>
      </c>
      <c r="H486" s="6" t="s">
        <v>3445</v>
      </c>
      <c r="I486" s="6" t="s">
        <v>3446</v>
      </c>
      <c r="J486" s="6" t="s">
        <v>3447</v>
      </c>
      <c r="K486" s="6" t="s">
        <v>3448</v>
      </c>
      <c r="L486" s="17"/>
      <c r="M486" s="17"/>
      <c r="N486" s="17" t="str">
        <f t="shared" si="2"/>
        <v>OK</v>
      </c>
      <c r="O486" s="17" t="s">
        <v>35</v>
      </c>
      <c r="P486" s="6" t="s">
        <v>35</v>
      </c>
      <c r="Q486" s="17" t="s">
        <v>36</v>
      </c>
      <c r="R486" s="17" t="s">
        <v>3449</v>
      </c>
      <c r="S486" s="173" t="s">
        <v>38</v>
      </c>
      <c r="T486" s="11" t="s">
        <v>868</v>
      </c>
      <c r="U486" s="22" t="s">
        <v>3451</v>
      </c>
      <c r="V486" s="22" t="s">
        <v>3451</v>
      </c>
    </row>
    <row r="487" spans="1:22" ht="29.25">
      <c r="A487" s="10" t="s">
        <v>3452</v>
      </c>
      <c r="B487" s="10" t="s">
        <v>1469</v>
      </c>
      <c r="C487" s="52" t="s">
        <v>868</v>
      </c>
      <c r="D487" s="12"/>
      <c r="E487" s="13" t="s">
        <v>248</v>
      </c>
      <c r="F487" s="6" t="s">
        <v>249</v>
      </c>
      <c r="G487" s="6" t="str">
        <f ca="1">IFERROR(__xludf.DUMMYFUNCTION("CONCATENATE(B487,(VLOOKUP(C487,CATALOGOS!$F$2:$H$6,3,FALSE)),(VLOOKUP(T487,CATALOGOS!$J$2:$K$18,2,FALSE)),""-"",TO_TEXT(A487))"),"P13SO-0486")</f>
        <v>P13SO-0486</v>
      </c>
      <c r="H487" s="6" t="s">
        <v>3453</v>
      </c>
      <c r="I487" s="6" t="s">
        <v>3454</v>
      </c>
      <c r="J487" s="6" t="s">
        <v>3455</v>
      </c>
      <c r="K487" s="6" t="s">
        <v>3456</v>
      </c>
      <c r="L487" s="17"/>
      <c r="M487" s="17"/>
      <c r="N487" s="17" t="str">
        <f t="shared" si="2"/>
        <v>OK</v>
      </c>
      <c r="O487" s="17" t="s">
        <v>303</v>
      </c>
      <c r="P487" s="6" t="s">
        <v>304</v>
      </c>
      <c r="Q487" s="17" t="s">
        <v>3457</v>
      </c>
      <c r="R487" s="10" t="s">
        <v>3458</v>
      </c>
      <c r="S487" s="173" t="s">
        <v>38</v>
      </c>
      <c r="T487" s="11" t="s">
        <v>868</v>
      </c>
      <c r="U487" s="22" t="s">
        <v>3451</v>
      </c>
      <c r="V487" s="22" t="s">
        <v>3451</v>
      </c>
    </row>
    <row r="488" spans="1:22" ht="43.5">
      <c r="A488" s="10" t="s">
        <v>3459</v>
      </c>
      <c r="B488" s="10" t="s">
        <v>1469</v>
      </c>
      <c r="C488" s="52" t="s">
        <v>868</v>
      </c>
      <c r="D488" s="12"/>
      <c r="E488" s="13" t="s">
        <v>43</v>
      </c>
      <c r="F488" s="6" t="s">
        <v>1492</v>
      </c>
      <c r="G488" s="6" t="str">
        <f ca="1">IFERROR(__xludf.DUMMYFUNCTION("CONCATENATE(B488,(VLOOKUP(C488,CATALOGOS!$F$2:$H$6,3,FALSE)),(VLOOKUP(T488,CATALOGOS!$J$2:$K$18,2,FALSE)),""-"",TO_TEXT(A488))"),"P13SO-0487")</f>
        <v>P13SO-0487</v>
      </c>
      <c r="H488" s="6" t="s">
        <v>3460</v>
      </c>
      <c r="I488" s="6" t="s">
        <v>3461</v>
      </c>
      <c r="J488" s="6" t="s">
        <v>3462</v>
      </c>
      <c r="K488" s="6" t="s">
        <v>3463</v>
      </c>
      <c r="L488" s="17"/>
      <c r="M488" s="17"/>
      <c r="N488" s="17" t="str">
        <f t="shared" si="2"/>
        <v>OK</v>
      </c>
      <c r="O488" s="17" t="s">
        <v>406</v>
      </c>
      <c r="P488" s="6" t="s">
        <v>407</v>
      </c>
      <c r="Q488" s="17" t="s">
        <v>36</v>
      </c>
      <c r="R488" s="17" t="s">
        <v>3464</v>
      </c>
      <c r="S488" s="173" t="s">
        <v>38</v>
      </c>
      <c r="T488" s="11" t="s">
        <v>868</v>
      </c>
      <c r="U488" s="22" t="s">
        <v>3451</v>
      </c>
      <c r="V488" s="22" t="s">
        <v>3451</v>
      </c>
    </row>
    <row r="489" spans="1:22" ht="57.75">
      <c r="A489" s="10" t="s">
        <v>3465</v>
      </c>
      <c r="B489" s="10" t="s">
        <v>1469</v>
      </c>
      <c r="C489" s="52" t="s">
        <v>868</v>
      </c>
      <c r="D489" s="12"/>
      <c r="E489" s="13" t="s">
        <v>93</v>
      </c>
      <c r="F489" s="6" t="s">
        <v>3466</v>
      </c>
      <c r="G489" s="6" t="str">
        <f ca="1">IFERROR(__xludf.DUMMYFUNCTION("CONCATENATE(B489,(VLOOKUP(C489,CATALOGOS!$F$2:$H$6,3,FALSE)),(VLOOKUP(T489,CATALOGOS!$J$2:$K$18,2,FALSE)),""-"",TO_TEXT(A489))"),"P13SO-0488")</f>
        <v>P13SO-0488</v>
      </c>
      <c r="H489" s="6" t="s">
        <v>3467</v>
      </c>
      <c r="I489" s="6" t="s">
        <v>3468</v>
      </c>
      <c r="J489" s="6" t="s">
        <v>3469</v>
      </c>
      <c r="K489" s="6" t="s">
        <v>3470</v>
      </c>
      <c r="L489" s="17"/>
      <c r="M489" s="17"/>
      <c r="N489" s="17" t="str">
        <f t="shared" si="2"/>
        <v>OK</v>
      </c>
      <c r="O489" s="17" t="s">
        <v>35</v>
      </c>
      <c r="P489" s="6" t="s">
        <v>35</v>
      </c>
      <c r="Q489" s="17" t="s">
        <v>36</v>
      </c>
      <c r="R489" s="17" t="s">
        <v>3471</v>
      </c>
      <c r="S489" s="173" t="s">
        <v>38</v>
      </c>
      <c r="T489" s="11" t="s">
        <v>868</v>
      </c>
      <c r="U489" s="22" t="s">
        <v>3451</v>
      </c>
      <c r="V489" s="22" t="s">
        <v>3451</v>
      </c>
    </row>
    <row r="490" spans="1:22" ht="57.75">
      <c r="A490" s="10" t="s">
        <v>3472</v>
      </c>
      <c r="B490" s="10" t="s">
        <v>1469</v>
      </c>
      <c r="C490" s="52" t="s">
        <v>868</v>
      </c>
      <c r="D490" s="12"/>
      <c r="E490" s="13" t="s">
        <v>184</v>
      </c>
      <c r="F490" s="6" t="s">
        <v>3473</v>
      </c>
      <c r="G490" s="6" t="str">
        <f ca="1">IFERROR(__xludf.DUMMYFUNCTION("CONCATENATE(B490,(VLOOKUP(C490,CATALOGOS!$F$2:$H$6,3,FALSE)),(VLOOKUP(T490,CATALOGOS!$J$2:$K$18,2,FALSE)),""-"",TO_TEXT(A490))"),"P13SO-0489")</f>
        <v>P13SO-0489</v>
      </c>
      <c r="H490" s="6" t="s">
        <v>3474</v>
      </c>
      <c r="I490" s="6" t="s">
        <v>3475</v>
      </c>
      <c r="J490" s="6" t="s">
        <v>3476</v>
      </c>
      <c r="K490" s="6" t="s">
        <v>3477</v>
      </c>
      <c r="L490" s="17"/>
      <c r="M490" s="17"/>
      <c r="N490" s="17" t="str">
        <f t="shared" si="2"/>
        <v>OK</v>
      </c>
      <c r="O490" s="17" t="s">
        <v>35</v>
      </c>
      <c r="P490" s="6" t="s">
        <v>35</v>
      </c>
      <c r="Q490" s="17" t="s">
        <v>36</v>
      </c>
      <c r="R490" s="17" t="s">
        <v>3478</v>
      </c>
      <c r="S490" s="173" t="s">
        <v>38</v>
      </c>
      <c r="T490" s="11" t="s">
        <v>868</v>
      </c>
      <c r="U490" s="22" t="s">
        <v>3451</v>
      </c>
      <c r="V490" s="22" t="s">
        <v>3451</v>
      </c>
    </row>
    <row r="491" spans="1:22" ht="43.5">
      <c r="A491" s="10" t="s">
        <v>8438</v>
      </c>
      <c r="B491" s="10" t="s">
        <v>1469</v>
      </c>
      <c r="C491" s="52" t="s">
        <v>868</v>
      </c>
      <c r="D491" s="12"/>
      <c r="E491" s="13" t="s">
        <v>378</v>
      </c>
      <c r="F491" s="6" t="s">
        <v>3480</v>
      </c>
      <c r="G491" s="6" t="str">
        <f ca="1">IFERROR(__xludf.DUMMYFUNCTION("CONCATENATE(B491,(VLOOKUP(C491,CATALOGOS!$F$2:$H$6,3,FALSE)),(VLOOKUP(T491,CATALOGOS!$J$2:$K$18,2,FALSE)),""-"",TO_TEXT(A491))"),"P13SO-0490")</f>
        <v>P13SO-0490</v>
      </c>
      <c r="H491" s="6" t="s">
        <v>3481</v>
      </c>
      <c r="I491" s="6" t="s">
        <v>3482</v>
      </c>
      <c r="J491" s="6" t="s">
        <v>3483</v>
      </c>
      <c r="K491" s="6" t="s">
        <v>3484</v>
      </c>
      <c r="L491" s="17"/>
      <c r="M491" s="17"/>
      <c r="N491" s="17" t="str">
        <f t="shared" si="2"/>
        <v>OK</v>
      </c>
      <c r="O491" s="17" t="s">
        <v>35</v>
      </c>
      <c r="P491" s="6" t="s">
        <v>35</v>
      </c>
      <c r="Q491" s="17" t="s">
        <v>36</v>
      </c>
      <c r="R491" s="17" t="s">
        <v>3485</v>
      </c>
      <c r="S491" s="173" t="s">
        <v>38</v>
      </c>
      <c r="T491" s="11" t="s">
        <v>868</v>
      </c>
      <c r="U491" s="22" t="s">
        <v>3451</v>
      </c>
      <c r="V491" s="22" t="s">
        <v>3451</v>
      </c>
    </row>
    <row r="492" spans="1:22" ht="29.25">
      <c r="A492" s="10" t="s">
        <v>3486</v>
      </c>
      <c r="B492" s="10" t="s">
        <v>1469</v>
      </c>
      <c r="C492" s="52" t="s">
        <v>868</v>
      </c>
      <c r="D492" s="12"/>
      <c r="E492" s="13" t="s">
        <v>378</v>
      </c>
      <c r="F492" s="55" t="s">
        <v>3480</v>
      </c>
      <c r="G492" s="6" t="str">
        <f ca="1">IFERROR(__xludf.DUMMYFUNCTION("CONCATENATE(B492,(VLOOKUP(C492,CATALOGOS!$F$2:$H$6,3,FALSE)),(VLOOKUP(T492,CATALOGOS!$J$2:$K$18,2,FALSE)),""-"",TO_TEXT(A492))"),"P13SO-0491")</f>
        <v>P13SO-0491</v>
      </c>
      <c r="H492" s="6" t="s">
        <v>3487</v>
      </c>
      <c r="I492" s="6" t="s">
        <v>3488</v>
      </c>
      <c r="J492" s="6" t="s">
        <v>3489</v>
      </c>
      <c r="K492" s="6" t="s">
        <v>3490</v>
      </c>
      <c r="L492" s="17"/>
      <c r="M492" s="17"/>
      <c r="N492" s="17" t="str">
        <f t="shared" si="2"/>
        <v>OK</v>
      </c>
      <c r="O492" s="17" t="s">
        <v>35</v>
      </c>
      <c r="P492" s="6" t="s">
        <v>35</v>
      </c>
      <c r="Q492" s="17" t="s">
        <v>36</v>
      </c>
      <c r="R492" s="17" t="s">
        <v>3491</v>
      </c>
      <c r="S492" s="173" t="s">
        <v>38</v>
      </c>
      <c r="T492" s="11" t="s">
        <v>868</v>
      </c>
      <c r="U492" s="22" t="s">
        <v>3451</v>
      </c>
      <c r="V492" s="22" t="s">
        <v>3451</v>
      </c>
    </row>
    <row r="493" spans="1:22" ht="29.25">
      <c r="A493" s="10" t="s">
        <v>3479</v>
      </c>
      <c r="B493" s="10" t="s">
        <v>1469</v>
      </c>
      <c r="C493" s="52" t="s">
        <v>868</v>
      </c>
      <c r="D493" s="12"/>
      <c r="E493" s="13" t="s">
        <v>378</v>
      </c>
      <c r="F493" s="55" t="s">
        <v>3480</v>
      </c>
      <c r="G493" s="6" t="str">
        <f ca="1">IFERROR(__xludf.DUMMYFUNCTION("CONCATENATE(B493,(VLOOKUP(C493,CATALOGOS!$F$2:$H$6,3,FALSE)),(VLOOKUP(T493,CATALOGOS!$J$2:$K$18,2,FALSE)),""-"",TO_TEXT(A493))"),"P13SO-0492")</f>
        <v>P13SO-0492</v>
      </c>
      <c r="H493" s="6" t="s">
        <v>3492</v>
      </c>
      <c r="I493" s="6" t="s">
        <v>3493</v>
      </c>
      <c r="J493" s="6" t="s">
        <v>3494</v>
      </c>
      <c r="K493" s="6" t="s">
        <v>3495</v>
      </c>
      <c r="L493" s="17"/>
      <c r="M493" s="17"/>
      <c r="N493" s="17" t="str">
        <f t="shared" si="2"/>
        <v>OK</v>
      </c>
      <c r="O493" s="17" t="s">
        <v>35</v>
      </c>
      <c r="P493" s="6" t="s">
        <v>35</v>
      </c>
      <c r="Q493" s="17" t="s">
        <v>36</v>
      </c>
      <c r="R493" s="17" t="s">
        <v>3496</v>
      </c>
      <c r="S493" s="173" t="s">
        <v>38</v>
      </c>
      <c r="T493" s="11" t="s">
        <v>868</v>
      </c>
      <c r="U493" s="22" t="s">
        <v>3451</v>
      </c>
      <c r="V493" s="22" t="s">
        <v>3451</v>
      </c>
    </row>
    <row r="494" spans="1:22" ht="29.25">
      <c r="A494" s="10" t="s">
        <v>3497</v>
      </c>
      <c r="B494" s="10" t="s">
        <v>1469</v>
      </c>
      <c r="C494" s="52" t="s">
        <v>868</v>
      </c>
      <c r="D494" s="12"/>
      <c r="E494" s="13" t="s">
        <v>378</v>
      </c>
      <c r="F494" s="55" t="s">
        <v>3480</v>
      </c>
      <c r="G494" s="6" t="str">
        <f ca="1">IFERROR(__xludf.DUMMYFUNCTION("CONCATENATE(B494,(VLOOKUP(C494,CATALOGOS!$F$2:$H$6,3,FALSE)),(VLOOKUP(T494,CATALOGOS!$J$2:$K$18,2,FALSE)),""-"",TO_TEXT(A494))"),"P13SO-0493")</f>
        <v>P13SO-0493</v>
      </c>
      <c r="H494" s="6" t="s">
        <v>3498</v>
      </c>
      <c r="I494" s="6" t="s">
        <v>3499</v>
      </c>
      <c r="J494" s="6" t="s">
        <v>3500</v>
      </c>
      <c r="K494" s="6" t="s">
        <v>3501</v>
      </c>
      <c r="L494" s="17"/>
      <c r="M494" s="17"/>
      <c r="N494" s="17" t="str">
        <f t="shared" si="2"/>
        <v>OK</v>
      </c>
      <c r="O494" s="17" t="s">
        <v>35</v>
      </c>
      <c r="P494" s="6" t="s">
        <v>35</v>
      </c>
      <c r="Q494" s="17" t="s">
        <v>36</v>
      </c>
      <c r="R494" s="17" t="s">
        <v>3502</v>
      </c>
      <c r="S494" s="173" t="s">
        <v>38</v>
      </c>
      <c r="T494" s="11" t="s">
        <v>868</v>
      </c>
      <c r="U494" s="22" t="s">
        <v>3451</v>
      </c>
      <c r="V494" s="22" t="s">
        <v>3451</v>
      </c>
    </row>
    <row r="495" spans="1:22" ht="29.25">
      <c r="A495" s="10" t="s">
        <v>3503</v>
      </c>
      <c r="B495" s="10" t="s">
        <v>1469</v>
      </c>
      <c r="C495" s="52" t="s">
        <v>868</v>
      </c>
      <c r="D495" s="12"/>
      <c r="E495" s="13" t="s">
        <v>378</v>
      </c>
      <c r="F495" s="55" t="s">
        <v>3480</v>
      </c>
      <c r="G495" s="6" t="str">
        <f ca="1">IFERROR(__xludf.DUMMYFUNCTION("CONCATENATE(B495,(VLOOKUP(C495,CATALOGOS!$F$2:$H$6,3,FALSE)),(VLOOKUP(T495,CATALOGOS!$J$2:$K$18,2,FALSE)),""-"",TO_TEXT(A495))"),"P13SO-0494")</f>
        <v>P13SO-0494</v>
      </c>
      <c r="H495" s="6" t="s">
        <v>3504</v>
      </c>
      <c r="I495" s="6" t="s">
        <v>3505</v>
      </c>
      <c r="J495" s="6" t="s">
        <v>3506</v>
      </c>
      <c r="K495" s="6" t="s">
        <v>3507</v>
      </c>
      <c r="L495" s="17"/>
      <c r="M495" s="17"/>
      <c r="N495" s="17" t="str">
        <f t="shared" si="2"/>
        <v>OK</v>
      </c>
      <c r="O495" s="17" t="s">
        <v>35</v>
      </c>
      <c r="P495" s="6" t="s">
        <v>35</v>
      </c>
      <c r="Q495" s="17" t="s">
        <v>36</v>
      </c>
      <c r="R495" s="17" t="s">
        <v>3508</v>
      </c>
      <c r="S495" s="173" t="s">
        <v>3509</v>
      </c>
      <c r="T495" s="11" t="s">
        <v>868</v>
      </c>
      <c r="U495" s="22" t="s">
        <v>3451</v>
      </c>
      <c r="V495" s="22" t="s">
        <v>3451</v>
      </c>
    </row>
    <row r="496" spans="1:22" ht="43.5">
      <c r="A496" s="10" t="s">
        <v>3510</v>
      </c>
      <c r="B496" s="10" t="s">
        <v>1469</v>
      </c>
      <c r="C496" s="52" t="s">
        <v>868</v>
      </c>
      <c r="D496" s="12"/>
      <c r="E496" s="13" t="s">
        <v>93</v>
      </c>
      <c r="F496" s="6" t="s">
        <v>1173</v>
      </c>
      <c r="G496" s="6" t="str">
        <f ca="1">IFERROR(__xludf.DUMMYFUNCTION("CONCATENATE(B496,(VLOOKUP(C496,CATALOGOS!$F$2:$H$6,3,FALSE)),(VLOOKUP(T496,CATALOGOS!$J$2:$K$18,2,FALSE)),""-"",TO_TEXT(A496))"),"P13SO-0495")</f>
        <v>P13SO-0495</v>
      </c>
      <c r="H496" s="6" t="s">
        <v>3511</v>
      </c>
      <c r="I496" s="54"/>
      <c r="J496" s="6" t="s">
        <v>3512</v>
      </c>
      <c r="K496" s="6" t="s">
        <v>3513</v>
      </c>
      <c r="L496" s="17"/>
      <c r="M496" s="17"/>
      <c r="N496" s="17" t="str">
        <f t="shared" si="2"/>
        <v>OK</v>
      </c>
      <c r="O496" s="17" t="s">
        <v>35</v>
      </c>
      <c r="P496" s="6" t="s">
        <v>35</v>
      </c>
      <c r="Q496" s="17" t="s">
        <v>36</v>
      </c>
      <c r="R496" s="17" t="s">
        <v>3514</v>
      </c>
      <c r="S496" s="173" t="s">
        <v>38</v>
      </c>
      <c r="T496" s="11" t="s">
        <v>868</v>
      </c>
      <c r="U496" s="22" t="s">
        <v>3451</v>
      </c>
      <c r="V496" s="22" t="s">
        <v>3451</v>
      </c>
    </row>
    <row r="497" spans="1:22" ht="43.5">
      <c r="A497" s="10" t="s">
        <v>3515</v>
      </c>
      <c r="B497" s="10" t="s">
        <v>1469</v>
      </c>
      <c r="C497" s="52" t="s">
        <v>868</v>
      </c>
      <c r="D497" s="12"/>
      <c r="E497" s="13" t="s">
        <v>29</v>
      </c>
      <c r="F497" s="6" t="s">
        <v>1166</v>
      </c>
      <c r="G497" s="6" t="str">
        <f ca="1">IFERROR(__xludf.DUMMYFUNCTION("CONCATENATE(B497,(VLOOKUP(C497,CATALOGOS!$F$2:$H$6,3,FALSE)),(VLOOKUP(T497,CATALOGOS!$J$2:$K$18,2,FALSE)),""-"",TO_TEXT(A497))"),"P13SO-0496")</f>
        <v>P13SO-0496</v>
      </c>
      <c r="H497" s="6" t="s">
        <v>3516</v>
      </c>
      <c r="I497" s="54"/>
      <c r="J497" s="6" t="s">
        <v>3517</v>
      </c>
      <c r="K497" s="6" t="s">
        <v>3518</v>
      </c>
      <c r="L497" s="17"/>
      <c r="M497" s="17"/>
      <c r="N497" s="17" t="str">
        <f t="shared" si="2"/>
        <v>OK</v>
      </c>
      <c r="O497" s="17" t="s">
        <v>35</v>
      </c>
      <c r="P497" s="6" t="s">
        <v>35</v>
      </c>
      <c r="Q497" s="17" t="s">
        <v>36</v>
      </c>
      <c r="R497" s="17" t="s">
        <v>3519</v>
      </c>
      <c r="S497" s="173" t="s">
        <v>38</v>
      </c>
      <c r="T497" s="11" t="s">
        <v>868</v>
      </c>
      <c r="U497" s="22" t="s">
        <v>3451</v>
      </c>
      <c r="V497" s="22" t="s">
        <v>3451</v>
      </c>
    </row>
    <row r="498" spans="1:22" ht="57.75">
      <c r="A498" s="10" t="s">
        <v>3520</v>
      </c>
      <c r="B498" s="10" t="s">
        <v>1469</v>
      </c>
      <c r="C498" s="52" t="s">
        <v>868</v>
      </c>
      <c r="D498" s="12"/>
      <c r="E498" s="13" t="s">
        <v>3521</v>
      </c>
      <c r="F498" s="43" t="s">
        <v>3522</v>
      </c>
      <c r="G498" s="6" t="str">
        <f ca="1">IFERROR(__xludf.DUMMYFUNCTION("CONCATENATE(B498,(VLOOKUP(C498,CATALOGOS!$F$2:$H$6,3,FALSE)),(VLOOKUP(T498,CATALOGOS!$J$2:$K$18,2,FALSE)),""-"",TO_TEXT(A498))"),"P13SO-0497")</f>
        <v>P13SO-0497</v>
      </c>
      <c r="H498" s="6" t="s">
        <v>3523</v>
      </c>
      <c r="I498" s="54"/>
      <c r="J498" s="6" t="s">
        <v>3524</v>
      </c>
      <c r="K498" s="43" t="s">
        <v>3525</v>
      </c>
      <c r="L498" s="17"/>
      <c r="M498" s="17"/>
      <c r="N498" s="17" t="str">
        <f t="shared" si="2"/>
        <v>OK</v>
      </c>
      <c r="O498" s="17" t="s">
        <v>35</v>
      </c>
      <c r="P498" s="49" t="s">
        <v>35</v>
      </c>
      <c r="Q498" s="17" t="s">
        <v>36</v>
      </c>
      <c r="R498" s="17" t="s">
        <v>3526</v>
      </c>
      <c r="S498" s="173" t="s">
        <v>38</v>
      </c>
      <c r="T498" s="11" t="s">
        <v>868</v>
      </c>
      <c r="U498" s="22" t="s">
        <v>3451</v>
      </c>
      <c r="V498" s="22" t="s">
        <v>3451</v>
      </c>
    </row>
    <row r="499" spans="1:22" ht="72">
      <c r="A499" s="10" t="s">
        <v>3527</v>
      </c>
      <c r="B499" s="10" t="s">
        <v>1469</v>
      </c>
      <c r="C499" s="52" t="s">
        <v>868</v>
      </c>
      <c r="D499" s="12"/>
      <c r="E499" s="13" t="s">
        <v>116</v>
      </c>
      <c r="F499" s="6" t="s">
        <v>3528</v>
      </c>
      <c r="G499" s="6" t="str">
        <f ca="1">IFERROR(__xludf.DUMMYFUNCTION("CONCATENATE(B499,(VLOOKUP(C499,CATALOGOS!$F$2:$H$6,3,FALSE)),(VLOOKUP(T499,CATALOGOS!$J$2:$K$18,2,FALSE)),""-"",TO_TEXT(A499))"),"P13SO-0498")</f>
        <v>P13SO-0498</v>
      </c>
      <c r="H499" s="6" t="s">
        <v>3529</v>
      </c>
      <c r="I499" s="6" t="s">
        <v>3530</v>
      </c>
      <c r="J499" s="6" t="s">
        <v>3531</v>
      </c>
      <c r="K499" s="6" t="s">
        <v>3532</v>
      </c>
      <c r="L499" s="17"/>
      <c r="M499" s="17"/>
      <c r="N499" s="17" t="str">
        <f t="shared" si="2"/>
        <v>OK</v>
      </c>
      <c r="O499" s="17" t="s">
        <v>35</v>
      </c>
      <c r="P499" s="6" t="s">
        <v>35</v>
      </c>
      <c r="Q499" s="17" t="s">
        <v>36</v>
      </c>
      <c r="R499" s="17" t="s">
        <v>3533</v>
      </c>
      <c r="S499" s="173" t="s">
        <v>38</v>
      </c>
      <c r="T499" s="11" t="s">
        <v>868</v>
      </c>
      <c r="U499" s="22" t="s">
        <v>3451</v>
      </c>
      <c r="V499" s="22" t="s">
        <v>3451</v>
      </c>
    </row>
    <row r="500" spans="1:22" ht="86.25">
      <c r="A500" s="10" t="s">
        <v>3534</v>
      </c>
      <c r="B500" s="10" t="s">
        <v>1469</v>
      </c>
      <c r="C500" s="52" t="s">
        <v>868</v>
      </c>
      <c r="D500" s="12"/>
      <c r="E500" s="13" t="s">
        <v>184</v>
      </c>
      <c r="F500" s="6" t="s">
        <v>3535</v>
      </c>
      <c r="G500" s="6" t="str">
        <f ca="1">IFERROR(__xludf.DUMMYFUNCTION("CONCATENATE(B500,(VLOOKUP(C500,CATALOGOS!$F$2:$H$6,3,FALSE)),(VLOOKUP(T500,CATALOGOS!$J$2:$K$18,2,FALSE)),""-"",TO_TEXT(A500))"),"P13SO-0499")</f>
        <v>P13SO-0499</v>
      </c>
      <c r="H500" s="6" t="s">
        <v>3536</v>
      </c>
      <c r="I500" s="6" t="s">
        <v>3537</v>
      </c>
      <c r="J500" s="6" t="s">
        <v>3538</v>
      </c>
      <c r="K500" s="6" t="s">
        <v>3539</v>
      </c>
      <c r="L500" s="17"/>
      <c r="M500" s="17"/>
      <c r="N500" s="17" t="str">
        <f t="shared" si="2"/>
        <v>OK</v>
      </c>
      <c r="O500" s="17" t="s">
        <v>35</v>
      </c>
      <c r="P500" s="6" t="s">
        <v>35</v>
      </c>
      <c r="Q500" s="17" t="s">
        <v>36</v>
      </c>
      <c r="R500" s="17" t="s">
        <v>3540</v>
      </c>
      <c r="S500" s="173" t="s">
        <v>38</v>
      </c>
      <c r="T500" s="11" t="s">
        <v>868</v>
      </c>
      <c r="U500" s="22" t="s">
        <v>3451</v>
      </c>
      <c r="V500" s="22" t="s">
        <v>3451</v>
      </c>
    </row>
    <row r="501" spans="1:22" ht="86.25">
      <c r="A501" s="10" t="s">
        <v>3541</v>
      </c>
      <c r="B501" s="10" t="s">
        <v>1469</v>
      </c>
      <c r="C501" s="52" t="s">
        <v>868</v>
      </c>
      <c r="D501" s="12"/>
      <c r="E501" s="13" t="s">
        <v>1240</v>
      </c>
      <c r="F501" s="43" t="s">
        <v>278</v>
      </c>
      <c r="G501" s="6" t="str">
        <f ca="1">IFERROR(__xludf.DUMMYFUNCTION("CONCATENATE(B501,(VLOOKUP(C501,CATALOGOS!$F$2:$H$6,3,FALSE)),(VLOOKUP(T501,CATALOGOS!$J$2:$K$18,2,FALSE)),""-"",TO_TEXT(A501))"),"P13SO-0500")</f>
        <v>P13SO-0500</v>
      </c>
      <c r="H501" s="6" t="s">
        <v>3542</v>
      </c>
      <c r="I501" s="6" t="s">
        <v>3543</v>
      </c>
      <c r="J501" s="6" t="s">
        <v>3544</v>
      </c>
      <c r="K501" s="6" t="s">
        <v>3545</v>
      </c>
      <c r="L501" s="17"/>
      <c r="M501" s="17"/>
      <c r="N501" s="17" t="str">
        <f t="shared" si="2"/>
        <v>OK</v>
      </c>
      <c r="O501" s="17" t="s">
        <v>35</v>
      </c>
      <c r="P501" s="49" t="s">
        <v>35</v>
      </c>
      <c r="Q501" s="17" t="s">
        <v>36</v>
      </c>
      <c r="R501" s="17" t="s">
        <v>3546</v>
      </c>
      <c r="S501" s="173" t="s">
        <v>38</v>
      </c>
      <c r="T501" s="11" t="s">
        <v>868</v>
      </c>
      <c r="U501" s="22" t="s">
        <v>3451</v>
      </c>
      <c r="V501" s="22" t="s">
        <v>3451</v>
      </c>
    </row>
    <row r="502" spans="1:22" ht="29.25">
      <c r="A502" s="10" t="s">
        <v>3547</v>
      </c>
      <c r="B502" s="10" t="s">
        <v>1469</v>
      </c>
      <c r="C502" s="52" t="s">
        <v>868</v>
      </c>
      <c r="D502" s="12"/>
      <c r="E502" s="13" t="s">
        <v>248</v>
      </c>
      <c r="F502" s="43" t="s">
        <v>248</v>
      </c>
      <c r="G502" s="6" t="str">
        <f ca="1">IFERROR(__xludf.DUMMYFUNCTION("CONCATENATE(B502,(VLOOKUP(C502,CATALOGOS!$F$2:$H$6,3,FALSE)),(VLOOKUP(T502,CATALOGOS!$J$2:$K$18,2,FALSE)),""-"",TO_TEXT(A502))"),"P13SO-0501")</f>
        <v>P13SO-0501</v>
      </c>
      <c r="H502" s="6" t="s">
        <v>3549</v>
      </c>
      <c r="I502" s="6" t="s">
        <v>3550</v>
      </c>
      <c r="J502" s="6" t="s">
        <v>3551</v>
      </c>
      <c r="K502" s="6" t="s">
        <v>3552</v>
      </c>
      <c r="L502" s="17"/>
      <c r="M502" s="17"/>
      <c r="N502" s="17" t="str">
        <f t="shared" si="2"/>
        <v>OK</v>
      </c>
      <c r="O502" s="17" t="s">
        <v>978</v>
      </c>
      <c r="P502" s="6" t="s">
        <v>979</v>
      </c>
      <c r="Q502" s="17" t="s">
        <v>3553</v>
      </c>
      <c r="R502" s="10" t="s">
        <v>3554</v>
      </c>
      <c r="S502" s="173" t="s">
        <v>38</v>
      </c>
      <c r="T502" s="11" t="s">
        <v>868</v>
      </c>
      <c r="U502" s="22" t="s">
        <v>3451</v>
      </c>
      <c r="V502" s="22" t="s">
        <v>3451</v>
      </c>
    </row>
    <row r="503" spans="1:22" ht="29.25">
      <c r="A503" s="10" t="s">
        <v>3555</v>
      </c>
      <c r="B503" s="10" t="s">
        <v>1469</v>
      </c>
      <c r="C503" s="52" t="s">
        <v>868</v>
      </c>
      <c r="D503" s="12"/>
      <c r="E503" s="13" t="s">
        <v>162</v>
      </c>
      <c r="F503" s="6" t="s">
        <v>285</v>
      </c>
      <c r="G503" s="6" t="str">
        <f ca="1">IFERROR(__xludf.DUMMYFUNCTION("CONCATENATE(B503,(VLOOKUP(C503,CATALOGOS!$F$2:$H$6,3,FALSE)),(VLOOKUP(T503,CATALOGOS!$J$2:$K$18,2,FALSE)),""-"",TO_TEXT(A503))"),"P13SO-0502")</f>
        <v>P13SO-0502</v>
      </c>
      <c r="H503" s="6" t="s">
        <v>3556</v>
      </c>
      <c r="I503" s="6" t="s">
        <v>3557</v>
      </c>
      <c r="J503" s="6" t="s">
        <v>3558</v>
      </c>
      <c r="K503" s="6" t="s">
        <v>3559</v>
      </c>
      <c r="L503" s="17"/>
      <c r="M503" s="17"/>
      <c r="N503" s="17" t="str">
        <f t="shared" si="2"/>
        <v>OK</v>
      </c>
      <c r="O503" s="17" t="s">
        <v>663</v>
      </c>
      <c r="P503" s="6" t="s">
        <v>664</v>
      </c>
      <c r="Q503" s="17" t="s">
        <v>3560</v>
      </c>
      <c r="R503" s="17" t="s">
        <v>3561</v>
      </c>
      <c r="S503" s="173" t="s">
        <v>38</v>
      </c>
      <c r="T503" s="11" t="s">
        <v>868</v>
      </c>
      <c r="U503" s="22" t="s">
        <v>3451</v>
      </c>
      <c r="V503" s="22" t="s">
        <v>3451</v>
      </c>
    </row>
    <row r="504" spans="1:22" ht="57.75">
      <c r="A504" s="10" t="s">
        <v>3562</v>
      </c>
      <c r="B504" s="10" t="s">
        <v>1469</v>
      </c>
      <c r="C504" s="52" t="s">
        <v>868</v>
      </c>
      <c r="D504" s="12"/>
      <c r="E504" s="13" t="s">
        <v>1199</v>
      </c>
      <c r="F504" s="6" t="s">
        <v>6239</v>
      </c>
      <c r="G504" s="6" t="str">
        <f ca="1">IFERROR(__xludf.DUMMYFUNCTION("CONCATENATE(B504,(VLOOKUP(C504,CATALOGOS!$F$2:$H$6,3,FALSE)),(VLOOKUP(T504,CATALOGOS!$J$2:$K$18,2,FALSE)),""-"",TO_TEXT(A504))"),"P13SO-0503")</f>
        <v>P13SO-0503</v>
      </c>
      <c r="H504" s="6" t="s">
        <v>3564</v>
      </c>
      <c r="I504" s="6" t="s">
        <v>3565</v>
      </c>
      <c r="J504" s="6" t="s">
        <v>3566</v>
      </c>
      <c r="K504" s="6" t="s">
        <v>3567</v>
      </c>
      <c r="L504" s="17"/>
      <c r="M504" s="17"/>
      <c r="N504" s="17" t="str">
        <f t="shared" si="2"/>
        <v>OK</v>
      </c>
      <c r="O504" s="17" t="s">
        <v>205</v>
      </c>
      <c r="P504" s="6" t="s">
        <v>3568</v>
      </c>
      <c r="Q504" s="17" t="s">
        <v>36</v>
      </c>
      <c r="R504" s="17" t="s">
        <v>3570</v>
      </c>
      <c r="S504" s="173" t="s">
        <v>38</v>
      </c>
      <c r="T504" s="11" t="s">
        <v>868</v>
      </c>
      <c r="U504" s="22" t="s">
        <v>3451</v>
      </c>
      <c r="V504" s="22" t="s">
        <v>3451</v>
      </c>
    </row>
    <row r="505" spans="1:22" ht="86.25">
      <c r="A505" s="10" t="s">
        <v>3571</v>
      </c>
      <c r="B505" s="10" t="s">
        <v>1469</v>
      </c>
      <c r="C505" s="52" t="s">
        <v>868</v>
      </c>
      <c r="D505" s="12"/>
      <c r="E505" s="13" t="s">
        <v>1240</v>
      </c>
      <c r="F505" s="43" t="s">
        <v>278</v>
      </c>
      <c r="G505" s="6" t="str">
        <f ca="1">IFERROR(__xludf.DUMMYFUNCTION("CONCATENATE(B505,(VLOOKUP(C505,CATALOGOS!$F$2:$H$6,3,FALSE)),(VLOOKUP(T505,CATALOGOS!$J$2:$K$18,2,FALSE)),""-"",TO_TEXT(A505))"),"P13SO-0504")</f>
        <v>P13SO-0504</v>
      </c>
      <c r="H505" s="6" t="s">
        <v>3572</v>
      </c>
      <c r="I505" s="6" t="s">
        <v>3573</v>
      </c>
      <c r="J505" s="6" t="s">
        <v>3574</v>
      </c>
      <c r="K505" s="6" t="s">
        <v>3575</v>
      </c>
      <c r="L505" s="17"/>
      <c r="M505" s="17"/>
      <c r="N505" s="17" t="str">
        <f t="shared" si="2"/>
        <v>OK</v>
      </c>
      <c r="O505" s="17" t="s">
        <v>35</v>
      </c>
      <c r="P505" s="6" t="s">
        <v>35</v>
      </c>
      <c r="Q505" s="17" t="s">
        <v>36</v>
      </c>
      <c r="R505" s="17" t="s">
        <v>3576</v>
      </c>
      <c r="S505" s="173" t="s">
        <v>38</v>
      </c>
      <c r="T505" s="11" t="s">
        <v>868</v>
      </c>
      <c r="U505" s="22" t="s">
        <v>3451</v>
      </c>
      <c r="V505" s="22" t="s">
        <v>3451</v>
      </c>
    </row>
    <row r="506" spans="1:22" ht="57.75">
      <c r="A506" s="10" t="s">
        <v>3577</v>
      </c>
      <c r="B506" s="10" t="s">
        <v>1469</v>
      </c>
      <c r="C506" s="52" t="s">
        <v>868</v>
      </c>
      <c r="D506" s="12"/>
      <c r="E506" s="13" t="s">
        <v>199</v>
      </c>
      <c r="F506" s="6" t="s">
        <v>199</v>
      </c>
      <c r="G506" s="6" t="str">
        <f ca="1">IFERROR(__xludf.DUMMYFUNCTION("CONCATENATE(B506,(VLOOKUP(C506,CATALOGOS!$F$2:$H$6,3,FALSE)),(VLOOKUP(T506,CATALOGOS!$J$2:$K$18,2,FALSE)),""-"",TO_TEXT(A506))"),"P13SO-0505")</f>
        <v>P13SO-0505</v>
      </c>
      <c r="H506" s="6" t="s">
        <v>3579</v>
      </c>
      <c r="I506" s="6" t="s">
        <v>3580</v>
      </c>
      <c r="J506" s="36"/>
      <c r="K506" s="6" t="s">
        <v>3581</v>
      </c>
      <c r="L506" s="17"/>
      <c r="M506" s="17"/>
      <c r="N506" s="17" t="str">
        <f t="shared" si="2"/>
        <v>OK</v>
      </c>
      <c r="O506" s="17" t="s">
        <v>273</v>
      </c>
      <c r="P506" s="6" t="s">
        <v>274</v>
      </c>
      <c r="Q506" s="6">
        <v>11392903012354</v>
      </c>
      <c r="R506" s="10" t="s">
        <v>85</v>
      </c>
      <c r="S506" s="173" t="s">
        <v>38</v>
      </c>
      <c r="T506" s="11" t="s">
        <v>868</v>
      </c>
      <c r="U506" s="22" t="s">
        <v>3451</v>
      </c>
      <c r="V506" s="22" t="s">
        <v>3451</v>
      </c>
    </row>
    <row r="507" spans="1:22" ht="43.5">
      <c r="A507" s="10" t="s">
        <v>3582</v>
      </c>
      <c r="B507" s="10" t="s">
        <v>1469</v>
      </c>
      <c r="C507" s="52" t="s">
        <v>868</v>
      </c>
      <c r="D507" s="12"/>
      <c r="E507" s="13" t="s">
        <v>151</v>
      </c>
      <c r="F507" s="6" t="s">
        <v>4113</v>
      </c>
      <c r="G507" s="6" t="str">
        <f ca="1">IFERROR(__xludf.DUMMYFUNCTION("CONCATENATE(B507,(VLOOKUP(C507,CATALOGOS!$F$2:$H$6,3,FALSE)),(VLOOKUP(T507,CATALOGOS!$J$2:$K$18,2,FALSE)),""-"",TO_TEXT(A507))"),"P13SO-0506")</f>
        <v>P13SO-0506</v>
      </c>
      <c r="H507" s="6" t="s">
        <v>3584</v>
      </c>
      <c r="I507" s="6" t="s">
        <v>3585</v>
      </c>
      <c r="J507" s="37"/>
      <c r="K507" s="6" t="s">
        <v>3586</v>
      </c>
      <c r="L507" s="17"/>
      <c r="M507" s="17"/>
      <c r="N507" s="17" t="str">
        <f t="shared" si="2"/>
        <v>OK</v>
      </c>
      <c r="O507" s="17" t="s">
        <v>297</v>
      </c>
      <c r="P507" s="6" t="s">
        <v>298</v>
      </c>
      <c r="Q507" s="6" t="s">
        <v>3587</v>
      </c>
      <c r="R507" s="10" t="s">
        <v>85</v>
      </c>
      <c r="S507" s="173" t="s">
        <v>38</v>
      </c>
      <c r="T507" s="11" t="s">
        <v>868</v>
      </c>
      <c r="U507" s="22" t="s">
        <v>3451</v>
      </c>
      <c r="V507" s="22" t="s">
        <v>3451</v>
      </c>
    </row>
    <row r="508" spans="1:22" ht="43.5">
      <c r="A508" s="10" t="s">
        <v>3588</v>
      </c>
      <c r="B508" s="10" t="s">
        <v>1469</v>
      </c>
      <c r="C508" s="52" t="s">
        <v>868</v>
      </c>
      <c r="D508" s="12"/>
      <c r="E508" s="13" t="s">
        <v>53</v>
      </c>
      <c r="F508" s="6" t="s">
        <v>3589</v>
      </c>
      <c r="G508" s="6" t="str">
        <f ca="1">IFERROR(__xludf.DUMMYFUNCTION("CONCATENATE(B508,(VLOOKUP(C508,CATALOGOS!$F$2:$H$6,3,FALSE)),(VLOOKUP(T508,CATALOGOS!$J$2:$K$18,2,FALSE)),""-"",TO_TEXT(A508))"),"P13SO-0507")</f>
        <v>P13SO-0507</v>
      </c>
      <c r="H508" s="6" t="s">
        <v>3590</v>
      </c>
      <c r="I508" s="6" t="s">
        <v>3591</v>
      </c>
      <c r="J508" s="6" t="s">
        <v>3592</v>
      </c>
      <c r="K508" s="6" t="s">
        <v>3593</v>
      </c>
      <c r="L508" s="17"/>
      <c r="M508" s="17"/>
      <c r="N508" s="17" t="str">
        <f t="shared" si="2"/>
        <v>OK</v>
      </c>
      <c r="O508" s="17" t="s">
        <v>35</v>
      </c>
      <c r="P508" s="6" t="s">
        <v>35</v>
      </c>
      <c r="Q508" s="17" t="s">
        <v>36</v>
      </c>
      <c r="R508" s="17" t="s">
        <v>3594</v>
      </c>
      <c r="S508" s="173" t="s">
        <v>38</v>
      </c>
      <c r="T508" s="11" t="s">
        <v>868</v>
      </c>
      <c r="U508" s="22" t="s">
        <v>3451</v>
      </c>
      <c r="V508" s="22" t="s">
        <v>3451</v>
      </c>
    </row>
    <row r="509" spans="1:22" ht="72">
      <c r="A509" s="10" t="s">
        <v>3595</v>
      </c>
      <c r="B509" s="10" t="s">
        <v>1469</v>
      </c>
      <c r="C509" s="52" t="s">
        <v>868</v>
      </c>
      <c r="D509" s="12"/>
      <c r="E509" s="13" t="s">
        <v>93</v>
      </c>
      <c r="F509" s="6" t="s">
        <v>3596</v>
      </c>
      <c r="G509" s="6" t="str">
        <f ca="1">IFERROR(__xludf.DUMMYFUNCTION("CONCATENATE(B509,(VLOOKUP(C509,CATALOGOS!$F$2:$H$6,3,FALSE)),(VLOOKUP(T509,CATALOGOS!$J$2:$K$18,2,FALSE)),""-"",TO_TEXT(A509))"),"P13SO-0508")</f>
        <v>P13SO-0508</v>
      </c>
      <c r="H509" s="6" t="s">
        <v>3597</v>
      </c>
      <c r="I509" s="6" t="s">
        <v>3598</v>
      </c>
      <c r="J509" s="6" t="s">
        <v>3599</v>
      </c>
      <c r="K509" s="6" t="s">
        <v>3600</v>
      </c>
      <c r="L509" s="17"/>
      <c r="M509" s="17"/>
      <c r="N509" s="17" t="str">
        <f t="shared" si="2"/>
        <v>OK</v>
      </c>
      <c r="O509" s="17" t="s">
        <v>35</v>
      </c>
      <c r="P509" s="6" t="s">
        <v>35</v>
      </c>
      <c r="Q509" s="17" t="s">
        <v>36</v>
      </c>
      <c r="R509" s="17" t="s">
        <v>3601</v>
      </c>
      <c r="S509" s="173" t="s">
        <v>38</v>
      </c>
      <c r="T509" s="11" t="s">
        <v>868</v>
      </c>
      <c r="U509" s="22" t="s">
        <v>3451</v>
      </c>
      <c r="V509" s="22" t="s">
        <v>3451</v>
      </c>
    </row>
    <row r="510" spans="1:22" ht="57.75">
      <c r="A510" s="10" t="s">
        <v>3602</v>
      </c>
      <c r="B510" s="10" t="s">
        <v>1469</v>
      </c>
      <c r="C510" s="52" t="s">
        <v>868</v>
      </c>
      <c r="D510" s="12"/>
      <c r="E510" s="13" t="s">
        <v>29</v>
      </c>
      <c r="F510" s="6" t="s">
        <v>3603</v>
      </c>
      <c r="G510" s="6" t="str">
        <f ca="1">IFERROR(__xludf.DUMMYFUNCTION("CONCATENATE(B510,(VLOOKUP(C510,CATALOGOS!$F$2:$H$6,3,FALSE)),(VLOOKUP(T510,CATALOGOS!$J$2:$K$18,2,FALSE)),""-"",TO_TEXT(A510))"),"P13SO-0509")</f>
        <v>P13SO-0509</v>
      </c>
      <c r="H510" s="6" t="s">
        <v>3604</v>
      </c>
      <c r="I510" s="6" t="s">
        <v>3605</v>
      </c>
      <c r="J510" s="6" t="s">
        <v>3606</v>
      </c>
      <c r="K510" s="6" t="s">
        <v>3607</v>
      </c>
      <c r="L510" s="17"/>
      <c r="M510" s="17"/>
      <c r="N510" s="17" t="str">
        <f t="shared" si="2"/>
        <v>OK</v>
      </c>
      <c r="O510" s="17" t="s">
        <v>35</v>
      </c>
      <c r="P510" s="6" t="s">
        <v>35</v>
      </c>
      <c r="Q510" s="17" t="s">
        <v>36</v>
      </c>
      <c r="R510" s="17" t="s">
        <v>3608</v>
      </c>
      <c r="S510" s="173" t="s">
        <v>38</v>
      </c>
      <c r="T510" s="11" t="s">
        <v>868</v>
      </c>
      <c r="U510" s="22" t="s">
        <v>3451</v>
      </c>
      <c r="V510" s="22" t="s">
        <v>3451</v>
      </c>
    </row>
    <row r="511" spans="1:22" ht="29.25">
      <c r="A511" s="10" t="s">
        <v>3609</v>
      </c>
      <c r="B511" s="10" t="s">
        <v>1469</v>
      </c>
      <c r="C511" s="52" t="s">
        <v>868</v>
      </c>
      <c r="D511" s="12"/>
      <c r="E511" s="13" t="s">
        <v>378</v>
      </c>
      <c r="F511" s="6" t="s">
        <v>3610</v>
      </c>
      <c r="G511" s="6" t="str">
        <f ca="1">IFERROR(__xludf.DUMMYFUNCTION("CONCATENATE(B511,(VLOOKUP(C511,CATALOGOS!$F$2:$H$6,3,FALSE)),(VLOOKUP(T511,CATALOGOS!$J$2:$K$18,2,FALSE)),""-"",TO_TEXT(A511))"),"P13SO-0510")</f>
        <v>P13SO-0510</v>
      </c>
      <c r="H511" s="6" t="s">
        <v>3611</v>
      </c>
      <c r="I511" s="6" t="s">
        <v>3612</v>
      </c>
      <c r="J511" s="6" t="s">
        <v>3613</v>
      </c>
      <c r="K511" s="6" t="s">
        <v>3614</v>
      </c>
      <c r="L511" s="17"/>
      <c r="M511" s="17"/>
      <c r="N511" s="17" t="str">
        <f t="shared" si="2"/>
        <v>OK</v>
      </c>
      <c r="O511" s="17" t="s">
        <v>35</v>
      </c>
      <c r="P511" s="6" t="s">
        <v>35</v>
      </c>
      <c r="Q511" s="17" t="s">
        <v>36</v>
      </c>
      <c r="R511" s="17" t="s">
        <v>3615</v>
      </c>
      <c r="S511" s="173" t="s">
        <v>38</v>
      </c>
      <c r="T511" s="11" t="s">
        <v>868</v>
      </c>
      <c r="U511" s="22" t="s">
        <v>3451</v>
      </c>
      <c r="V511" s="22" t="s">
        <v>3451</v>
      </c>
    </row>
    <row r="512" spans="1:22" ht="86.25">
      <c r="A512" s="10" t="s">
        <v>3616</v>
      </c>
      <c r="B512" s="10" t="s">
        <v>1469</v>
      </c>
      <c r="C512" s="52" t="s">
        <v>868</v>
      </c>
      <c r="D512" s="38"/>
      <c r="E512" s="13" t="s">
        <v>501</v>
      </c>
      <c r="F512" s="6" t="s">
        <v>3617</v>
      </c>
      <c r="G512" s="6" t="str">
        <f ca="1">IFERROR(__xludf.DUMMYFUNCTION("CONCATENATE(B512,(VLOOKUP(C512,CATALOGOS!$F$2:$H$6,3,FALSE)),(VLOOKUP(T512,CATALOGOS!$J$2:$K$18,2,FALSE)),""-"",TO_TEXT(A512))"),"P13SO-0511")</f>
        <v>P13SO-0511</v>
      </c>
      <c r="H512" s="6" t="s">
        <v>3618</v>
      </c>
      <c r="I512" s="6" t="s">
        <v>3619</v>
      </c>
      <c r="J512" s="6" t="s">
        <v>3620</v>
      </c>
      <c r="K512" s="6" t="s">
        <v>3621</v>
      </c>
      <c r="L512" s="17"/>
      <c r="M512" s="17"/>
      <c r="N512" s="17" t="str">
        <f t="shared" si="2"/>
        <v>OK</v>
      </c>
      <c r="O512" s="17" t="s">
        <v>35</v>
      </c>
      <c r="P512" s="6" t="s">
        <v>35</v>
      </c>
      <c r="Q512" s="46" t="s">
        <v>36</v>
      </c>
      <c r="R512" s="17" t="s">
        <v>3622</v>
      </c>
      <c r="S512" s="173" t="s">
        <v>38</v>
      </c>
      <c r="T512" s="11" t="s">
        <v>868</v>
      </c>
      <c r="U512" s="32" t="s">
        <v>3451</v>
      </c>
      <c r="V512" s="32" t="s">
        <v>3451</v>
      </c>
    </row>
    <row r="513" spans="1:22" ht="86.25">
      <c r="A513" s="10" t="s">
        <v>3623</v>
      </c>
      <c r="B513" s="10" t="s">
        <v>1469</v>
      </c>
      <c r="C513" s="52" t="s">
        <v>868</v>
      </c>
      <c r="D513" s="12"/>
      <c r="E513" s="13" t="s">
        <v>501</v>
      </c>
      <c r="F513" s="6" t="s">
        <v>3624</v>
      </c>
      <c r="G513" s="6" t="str">
        <f ca="1">IFERROR(__xludf.DUMMYFUNCTION("CONCATENATE(B513,(VLOOKUP(C513,CATALOGOS!$F$2:$H$6,3,FALSE)),(VLOOKUP(T513,CATALOGOS!$J$2:$K$18,2,FALSE)),""-"",TO_TEXT(A513))"),"P13SO-0512")</f>
        <v>P13SO-0512</v>
      </c>
      <c r="H513" s="6" t="s">
        <v>3625</v>
      </c>
      <c r="I513" s="6" t="s">
        <v>3626</v>
      </c>
      <c r="J513" s="6" t="s">
        <v>3627</v>
      </c>
      <c r="K513" s="6" t="s">
        <v>3628</v>
      </c>
      <c r="L513" s="17"/>
      <c r="M513" s="17"/>
      <c r="N513" s="17" t="str">
        <f t="shared" si="2"/>
        <v>OK</v>
      </c>
      <c r="O513" s="17" t="s">
        <v>35</v>
      </c>
      <c r="P513" s="6" t="s">
        <v>35</v>
      </c>
      <c r="Q513" s="17" t="s">
        <v>36</v>
      </c>
      <c r="R513" s="17" t="s">
        <v>3629</v>
      </c>
      <c r="S513" s="173" t="s">
        <v>38</v>
      </c>
      <c r="T513" s="11" t="s">
        <v>868</v>
      </c>
      <c r="U513" s="22" t="s">
        <v>3451</v>
      </c>
      <c r="V513" s="22" t="s">
        <v>3451</v>
      </c>
    </row>
    <row r="514" spans="1:22" ht="57.75">
      <c r="A514" s="10" t="s">
        <v>3630</v>
      </c>
      <c r="B514" s="10" t="s">
        <v>1469</v>
      </c>
      <c r="C514" s="52" t="s">
        <v>868</v>
      </c>
      <c r="D514" s="12"/>
      <c r="E514" s="13" t="s">
        <v>2060</v>
      </c>
      <c r="F514" s="6" t="s">
        <v>3631</v>
      </c>
      <c r="G514" s="6" t="str">
        <f ca="1">IFERROR(__xludf.DUMMYFUNCTION("CONCATENATE(B514,(VLOOKUP(C514,CATALOGOS!$F$2:$H$6,3,FALSE)),(VLOOKUP(T514,CATALOGOS!$J$2:$K$18,2,FALSE)),""-"",TO_TEXT(A514))"),"P13SO-0513")</f>
        <v>P13SO-0513</v>
      </c>
      <c r="H514" s="6" t="s">
        <v>3632</v>
      </c>
      <c r="I514" s="6" t="s">
        <v>3633</v>
      </c>
      <c r="J514" s="6" t="s">
        <v>3634</v>
      </c>
      <c r="K514" s="43" t="s">
        <v>3635</v>
      </c>
      <c r="L514" s="17"/>
      <c r="M514" s="17"/>
      <c r="N514" s="17" t="str">
        <f t="shared" si="2"/>
        <v>OK</v>
      </c>
      <c r="O514" s="17" t="s">
        <v>35</v>
      </c>
      <c r="P514" s="6" t="s">
        <v>35</v>
      </c>
      <c r="Q514" s="17" t="s">
        <v>36</v>
      </c>
      <c r="R514" s="17" t="s">
        <v>3636</v>
      </c>
      <c r="S514" s="173" t="s">
        <v>38</v>
      </c>
      <c r="T514" s="11" t="s">
        <v>868</v>
      </c>
      <c r="U514" s="22" t="s">
        <v>3451</v>
      </c>
      <c r="V514" s="22" t="s">
        <v>3451</v>
      </c>
    </row>
    <row r="515" spans="1:22" ht="72">
      <c r="A515" s="10" t="s">
        <v>3637</v>
      </c>
      <c r="B515" s="10" t="s">
        <v>1469</v>
      </c>
      <c r="C515" s="52" t="s">
        <v>868</v>
      </c>
      <c r="D515" s="12"/>
      <c r="E515" s="13" t="s">
        <v>501</v>
      </c>
      <c r="F515" s="43" t="s">
        <v>3269</v>
      </c>
      <c r="G515" s="6" t="str">
        <f ca="1">IFERROR(__xludf.DUMMYFUNCTION("CONCATENATE(B515,(VLOOKUP(C515,CATALOGOS!$F$2:$H$6,3,FALSE)),(VLOOKUP(T515,CATALOGOS!$J$2:$K$18,2,FALSE)),""-"",TO_TEXT(A515))"),"P13SO-0514")</f>
        <v>P13SO-0514</v>
      </c>
      <c r="H515" s="6" t="s">
        <v>3638</v>
      </c>
      <c r="I515" s="6" t="s">
        <v>3639</v>
      </c>
      <c r="J515" s="6" t="s">
        <v>3640</v>
      </c>
      <c r="K515" s="6" t="s">
        <v>3641</v>
      </c>
      <c r="L515" s="17"/>
      <c r="M515" s="17"/>
      <c r="N515" s="17" t="str">
        <f t="shared" si="2"/>
        <v>OK</v>
      </c>
      <c r="O515" s="17" t="s">
        <v>35</v>
      </c>
      <c r="P515" s="6" t="s">
        <v>35</v>
      </c>
      <c r="Q515" s="17" t="s">
        <v>36</v>
      </c>
      <c r="R515" s="17" t="s">
        <v>3642</v>
      </c>
      <c r="S515" s="173" t="s">
        <v>38</v>
      </c>
      <c r="T515" s="11" t="s">
        <v>868</v>
      </c>
      <c r="U515" s="22" t="s">
        <v>3451</v>
      </c>
      <c r="V515" s="22" t="s">
        <v>3451</v>
      </c>
    </row>
    <row r="516" spans="1:22" ht="57.75">
      <c r="A516" s="10" t="s">
        <v>3643</v>
      </c>
      <c r="B516" s="10" t="s">
        <v>1469</v>
      </c>
      <c r="C516" s="52" t="s">
        <v>868</v>
      </c>
      <c r="D516" s="12"/>
      <c r="E516" s="13" t="s">
        <v>2060</v>
      </c>
      <c r="F516" s="6" t="s">
        <v>3631</v>
      </c>
      <c r="G516" s="6" t="str">
        <f ca="1">IFERROR(__xludf.DUMMYFUNCTION("CONCATENATE(B516,(VLOOKUP(C516,CATALOGOS!$F$2:$H$6,3,FALSE)),(VLOOKUP(T516,CATALOGOS!$J$2:$K$18,2,FALSE)),""-"",TO_TEXT(A516))"),"P13SO-0515")</f>
        <v>P13SO-0515</v>
      </c>
      <c r="H516" s="6" t="s">
        <v>3644</v>
      </c>
      <c r="I516" s="6" t="s">
        <v>3645</v>
      </c>
      <c r="J516" s="6" t="s">
        <v>3646</v>
      </c>
      <c r="K516" s="6" t="s">
        <v>3647</v>
      </c>
      <c r="L516" s="17"/>
      <c r="M516" s="17"/>
      <c r="N516" s="17" t="str">
        <f t="shared" si="2"/>
        <v>OK</v>
      </c>
      <c r="O516" s="17" t="s">
        <v>35</v>
      </c>
      <c r="P516" s="6" t="s">
        <v>35</v>
      </c>
      <c r="Q516" s="17" t="s">
        <v>36</v>
      </c>
      <c r="R516" s="17" t="s">
        <v>3648</v>
      </c>
      <c r="S516" s="173" t="s">
        <v>38</v>
      </c>
      <c r="T516" s="11" t="s">
        <v>868</v>
      </c>
      <c r="U516" s="22" t="s">
        <v>3451</v>
      </c>
      <c r="V516" s="22" t="s">
        <v>3451</v>
      </c>
    </row>
    <row r="517" spans="1:22" ht="72">
      <c r="A517" s="10" t="s">
        <v>3649</v>
      </c>
      <c r="B517" s="10" t="s">
        <v>1469</v>
      </c>
      <c r="C517" s="52" t="s">
        <v>868</v>
      </c>
      <c r="D517" s="12"/>
      <c r="E517" s="13" t="s">
        <v>501</v>
      </c>
      <c r="F517" s="43" t="s">
        <v>3269</v>
      </c>
      <c r="G517" s="6" t="str">
        <f ca="1">IFERROR(__xludf.DUMMYFUNCTION("CONCATENATE(B517,(VLOOKUP(C517,CATALOGOS!$F$2:$H$6,3,FALSE)),(VLOOKUP(T517,CATALOGOS!$J$2:$K$18,2,FALSE)),""-"",TO_TEXT(A517))"),"P13SO-0516")</f>
        <v>P13SO-0516</v>
      </c>
      <c r="H517" s="6" t="s">
        <v>3650</v>
      </c>
      <c r="I517" s="6" t="s">
        <v>3651</v>
      </c>
      <c r="J517" s="6" t="s">
        <v>3652</v>
      </c>
      <c r="K517" s="6" t="s">
        <v>3653</v>
      </c>
      <c r="L517" s="17"/>
      <c r="M517" s="17"/>
      <c r="N517" s="17" t="str">
        <f t="shared" si="2"/>
        <v>OK</v>
      </c>
      <c r="O517" s="17" t="s">
        <v>35</v>
      </c>
      <c r="P517" s="6" t="s">
        <v>35</v>
      </c>
      <c r="Q517" s="17" t="s">
        <v>36</v>
      </c>
      <c r="R517" s="17" t="s">
        <v>3654</v>
      </c>
      <c r="S517" s="173" t="s">
        <v>38</v>
      </c>
      <c r="T517" s="11" t="s">
        <v>868</v>
      </c>
      <c r="U517" s="22" t="s">
        <v>3451</v>
      </c>
      <c r="V517" s="22" t="s">
        <v>3451</v>
      </c>
    </row>
    <row r="518" spans="1:22" ht="57.75">
      <c r="A518" s="10" t="s">
        <v>3655</v>
      </c>
      <c r="B518" s="10" t="s">
        <v>1469</v>
      </c>
      <c r="C518" s="52" t="s">
        <v>868</v>
      </c>
      <c r="D518" s="12"/>
      <c r="E518" s="13" t="s">
        <v>2060</v>
      </c>
      <c r="F518" s="6" t="s">
        <v>3631</v>
      </c>
      <c r="G518" s="6" t="str">
        <f ca="1">IFERROR(__xludf.DUMMYFUNCTION("CONCATENATE(B518,(VLOOKUP(C518,CATALOGOS!$F$2:$H$6,3,FALSE)),(VLOOKUP(T518,CATALOGOS!$J$2:$K$18,2,FALSE)),""-"",TO_TEXT(A518))"),"P13SO-0517")</f>
        <v>P13SO-0517</v>
      </c>
      <c r="H518" s="6" t="s">
        <v>3656</v>
      </c>
      <c r="I518" s="6" t="s">
        <v>3657</v>
      </c>
      <c r="J518" s="6" t="s">
        <v>3658</v>
      </c>
      <c r="K518" s="6" t="s">
        <v>3659</v>
      </c>
      <c r="L518" s="17"/>
      <c r="M518" s="17"/>
      <c r="N518" s="17" t="str">
        <f t="shared" si="2"/>
        <v>OK</v>
      </c>
      <c r="O518" s="17" t="s">
        <v>35</v>
      </c>
      <c r="P518" s="6" t="s">
        <v>35</v>
      </c>
      <c r="Q518" s="6" t="s">
        <v>36</v>
      </c>
      <c r="R518" s="10" t="s">
        <v>3660</v>
      </c>
      <c r="S518" s="173" t="s">
        <v>38</v>
      </c>
      <c r="T518" s="11" t="s">
        <v>868</v>
      </c>
      <c r="U518" s="22" t="s">
        <v>3451</v>
      </c>
      <c r="V518" s="22" t="s">
        <v>3451</v>
      </c>
    </row>
    <row r="519" spans="1:22" ht="72">
      <c r="A519" s="10" t="s">
        <v>3661</v>
      </c>
      <c r="B519" s="10" t="s">
        <v>1469</v>
      </c>
      <c r="C519" s="52" t="s">
        <v>868</v>
      </c>
      <c r="D519" s="12"/>
      <c r="E519" s="13" t="s">
        <v>501</v>
      </c>
      <c r="F519" s="43" t="s">
        <v>3285</v>
      </c>
      <c r="G519" s="6" t="str">
        <f ca="1">IFERROR(__xludf.DUMMYFUNCTION("CONCATENATE(B519,(VLOOKUP(C519,CATALOGOS!$F$2:$H$6,3,FALSE)),(VLOOKUP(T519,CATALOGOS!$J$2:$K$18,2,FALSE)),""-"",TO_TEXT(A519))"),"P13DG-0518")</f>
        <v>P13DG-0518</v>
      </c>
      <c r="H519" s="6" t="s">
        <v>3662</v>
      </c>
      <c r="I519" s="6" t="s">
        <v>3663</v>
      </c>
      <c r="J519" s="6" t="s">
        <v>3664</v>
      </c>
      <c r="K519" s="6" t="s">
        <v>3665</v>
      </c>
      <c r="L519" s="17"/>
      <c r="M519" s="17"/>
      <c r="N519" s="17" t="str">
        <f t="shared" si="2"/>
        <v>OK</v>
      </c>
      <c r="O519" s="17" t="s">
        <v>35</v>
      </c>
      <c r="P519" s="6" t="s">
        <v>35</v>
      </c>
      <c r="Q519" s="17" t="s">
        <v>36</v>
      </c>
      <c r="R519" s="17" t="s">
        <v>3666</v>
      </c>
      <c r="S519" s="173" t="s">
        <v>38</v>
      </c>
      <c r="T519" s="11" t="s">
        <v>6054</v>
      </c>
      <c r="U519" s="22" t="s">
        <v>3451</v>
      </c>
      <c r="V519" s="22" t="s">
        <v>3451</v>
      </c>
    </row>
    <row r="520" spans="1:22" ht="72">
      <c r="A520" s="10" t="s">
        <v>3667</v>
      </c>
      <c r="B520" s="10" t="s">
        <v>1469</v>
      </c>
      <c r="C520" s="52" t="s">
        <v>868</v>
      </c>
      <c r="D520" s="12"/>
      <c r="E520" s="13" t="s">
        <v>501</v>
      </c>
      <c r="F520" s="43" t="s">
        <v>3269</v>
      </c>
      <c r="G520" s="6" t="str">
        <f ca="1">IFERROR(__xludf.DUMMYFUNCTION("CONCATENATE(B520,(VLOOKUP(C520,CATALOGOS!$F$2:$H$6,3,FALSE)),(VLOOKUP(T520,CATALOGOS!$J$2:$K$18,2,FALSE)),""-"",TO_TEXT(A520))"),"P13SO-0519")</f>
        <v>P13SO-0519</v>
      </c>
      <c r="H520" s="6" t="s">
        <v>3668</v>
      </c>
      <c r="I520" s="6" t="s">
        <v>3669</v>
      </c>
      <c r="J520" s="6" t="s">
        <v>3670</v>
      </c>
      <c r="K520" s="6" t="s">
        <v>3671</v>
      </c>
      <c r="L520" s="17"/>
      <c r="M520" s="17"/>
      <c r="N520" s="17" t="str">
        <f t="shared" si="2"/>
        <v>OK</v>
      </c>
      <c r="O520" s="17" t="s">
        <v>35</v>
      </c>
      <c r="P520" s="6" t="s">
        <v>35</v>
      </c>
      <c r="Q520" s="17" t="s">
        <v>36</v>
      </c>
      <c r="R520" s="17" t="s">
        <v>3672</v>
      </c>
      <c r="S520" s="173" t="s">
        <v>38</v>
      </c>
      <c r="T520" s="11" t="s">
        <v>868</v>
      </c>
      <c r="U520" s="22" t="s">
        <v>3451</v>
      </c>
      <c r="V520" s="22" t="s">
        <v>3451</v>
      </c>
    </row>
    <row r="521" spans="1:22" ht="57.75">
      <c r="A521" s="10" t="s">
        <v>3673</v>
      </c>
      <c r="B521" s="10" t="s">
        <v>1469</v>
      </c>
      <c r="C521" s="52" t="s">
        <v>868</v>
      </c>
      <c r="D521" s="12"/>
      <c r="E521" s="13" t="s">
        <v>2060</v>
      </c>
      <c r="F521" s="6" t="s">
        <v>3631</v>
      </c>
      <c r="G521" s="6" t="str">
        <f ca="1">IFERROR(__xludf.DUMMYFUNCTION("CONCATENATE(B521,(VLOOKUP(C521,CATALOGOS!$F$2:$H$6,3,FALSE)),(VLOOKUP(T521,CATALOGOS!$J$2:$K$18,2,FALSE)),""-"",TO_TEXT(A521))"),"P13SO-0520")</f>
        <v>P13SO-0520</v>
      </c>
      <c r="H521" s="6" t="s">
        <v>3674</v>
      </c>
      <c r="I521" s="6" t="s">
        <v>3675</v>
      </c>
      <c r="J521" s="37"/>
      <c r="K521" s="6" t="s">
        <v>141</v>
      </c>
      <c r="L521" s="17"/>
      <c r="M521" s="17"/>
      <c r="N521" s="17" t="str">
        <f t="shared" si="2"/>
        <v>REPETIDO</v>
      </c>
      <c r="O521" s="17" t="s">
        <v>35</v>
      </c>
      <c r="P521" s="6" t="s">
        <v>35</v>
      </c>
      <c r="Q521" s="6" t="s">
        <v>36</v>
      </c>
      <c r="R521" s="10" t="s">
        <v>85</v>
      </c>
      <c r="S521" s="173" t="s">
        <v>38</v>
      </c>
      <c r="T521" s="11" t="s">
        <v>868</v>
      </c>
      <c r="U521" s="22" t="s">
        <v>3451</v>
      </c>
      <c r="V521" s="22" t="s">
        <v>3451</v>
      </c>
    </row>
    <row r="522" spans="1:22" ht="72">
      <c r="A522" s="10" t="s">
        <v>3676</v>
      </c>
      <c r="B522" s="10" t="s">
        <v>1469</v>
      </c>
      <c r="C522" s="52" t="s">
        <v>868</v>
      </c>
      <c r="D522" s="12"/>
      <c r="E522" s="13" t="s">
        <v>501</v>
      </c>
      <c r="F522" s="43" t="s">
        <v>3269</v>
      </c>
      <c r="G522" s="6" t="str">
        <f ca="1">IFERROR(__xludf.DUMMYFUNCTION("CONCATENATE(B522,(VLOOKUP(C522,CATALOGOS!$F$2:$H$6,3,FALSE)),(VLOOKUP(T522,CATALOGOS!$J$2:$K$18,2,FALSE)),""-"",TO_TEXT(A522))"),"P13SO-0521")</f>
        <v>P13SO-0521</v>
      </c>
      <c r="H522" s="6" t="s">
        <v>3677</v>
      </c>
      <c r="I522" s="6" t="s">
        <v>3678</v>
      </c>
      <c r="J522" s="6" t="s">
        <v>3679</v>
      </c>
      <c r="K522" s="6" t="s">
        <v>3680</v>
      </c>
      <c r="L522" s="17"/>
      <c r="M522" s="17"/>
      <c r="N522" s="17" t="str">
        <f t="shared" si="2"/>
        <v>OK</v>
      </c>
      <c r="O522" s="17" t="s">
        <v>35</v>
      </c>
      <c r="P522" s="6" t="s">
        <v>35</v>
      </c>
      <c r="Q522" s="17" t="s">
        <v>36</v>
      </c>
      <c r="R522" s="17" t="s">
        <v>3681</v>
      </c>
      <c r="S522" s="173" t="s">
        <v>38</v>
      </c>
      <c r="T522" s="11" t="s">
        <v>868</v>
      </c>
      <c r="U522" s="22" t="s">
        <v>3451</v>
      </c>
      <c r="V522" s="22" t="s">
        <v>3451</v>
      </c>
    </row>
    <row r="523" spans="1:22" ht="57.75">
      <c r="A523" s="10" t="s">
        <v>3682</v>
      </c>
      <c r="B523" s="10" t="s">
        <v>1469</v>
      </c>
      <c r="C523" s="52" t="s">
        <v>868</v>
      </c>
      <c r="D523" s="12"/>
      <c r="E523" s="13" t="s">
        <v>2060</v>
      </c>
      <c r="F523" s="6" t="s">
        <v>3631</v>
      </c>
      <c r="G523" s="6" t="str">
        <f ca="1">IFERROR(__xludf.DUMMYFUNCTION("CONCATENATE(B523,(VLOOKUP(C523,CATALOGOS!$F$2:$H$6,3,FALSE)),(VLOOKUP(T523,CATALOGOS!$J$2:$K$18,2,FALSE)),""-"",TO_TEXT(A523))"),"P13SO-0522")</f>
        <v>P13SO-0522</v>
      </c>
      <c r="H523" s="6" t="s">
        <v>3683</v>
      </c>
      <c r="I523" s="6" t="s">
        <v>3684</v>
      </c>
      <c r="J523" s="37"/>
      <c r="K523" s="6" t="s">
        <v>141</v>
      </c>
      <c r="L523" s="17"/>
      <c r="M523" s="17"/>
      <c r="N523" s="17" t="str">
        <f t="shared" si="2"/>
        <v>REPETIDO</v>
      </c>
      <c r="O523" s="17" t="s">
        <v>35</v>
      </c>
      <c r="P523" s="6" t="s">
        <v>35</v>
      </c>
      <c r="Q523" s="6" t="s">
        <v>36</v>
      </c>
      <c r="R523" s="10" t="s">
        <v>85</v>
      </c>
      <c r="S523" s="173" t="s">
        <v>38</v>
      </c>
      <c r="T523" s="11" t="s">
        <v>868</v>
      </c>
      <c r="U523" s="22" t="s">
        <v>3451</v>
      </c>
      <c r="V523" s="22" t="s">
        <v>3451</v>
      </c>
    </row>
    <row r="524" spans="1:22" ht="72">
      <c r="A524" s="10" t="s">
        <v>3685</v>
      </c>
      <c r="B524" s="10" t="s">
        <v>1469</v>
      </c>
      <c r="C524" s="52" t="s">
        <v>868</v>
      </c>
      <c r="D524" s="12"/>
      <c r="E524" s="13" t="s">
        <v>501</v>
      </c>
      <c r="F524" s="6" t="s">
        <v>3285</v>
      </c>
      <c r="G524" s="6" t="str">
        <f ca="1">IFERROR(__xludf.DUMMYFUNCTION("CONCATENATE(B524,(VLOOKUP(C524,CATALOGOS!$F$2:$H$6,3,FALSE)),(VLOOKUP(T524,CATALOGOS!$J$2:$K$18,2,FALSE)),""-"",TO_TEXT(A524))"),"P13SO-0523")</f>
        <v>P13SO-0523</v>
      </c>
      <c r="H524" s="6" t="s">
        <v>3686</v>
      </c>
      <c r="I524" s="6" t="s">
        <v>3687</v>
      </c>
      <c r="J524" s="6" t="s">
        <v>3688</v>
      </c>
      <c r="K524" s="6" t="s">
        <v>3689</v>
      </c>
      <c r="L524" s="17"/>
      <c r="M524" s="17"/>
      <c r="N524" s="17" t="str">
        <f t="shared" si="2"/>
        <v>OK</v>
      </c>
      <c r="O524" s="17" t="s">
        <v>35</v>
      </c>
      <c r="P524" s="6" t="s">
        <v>35</v>
      </c>
      <c r="Q524" s="17" t="s">
        <v>36</v>
      </c>
      <c r="R524" s="17" t="s">
        <v>3690</v>
      </c>
      <c r="S524" s="173" t="s">
        <v>38</v>
      </c>
      <c r="T524" s="11" t="s">
        <v>868</v>
      </c>
      <c r="U524" s="22" t="s">
        <v>3451</v>
      </c>
      <c r="V524" s="22" t="s">
        <v>3451</v>
      </c>
    </row>
    <row r="525" spans="1:22" ht="57.75">
      <c r="A525" s="10" t="s">
        <v>3691</v>
      </c>
      <c r="B525" s="10" t="s">
        <v>1469</v>
      </c>
      <c r="C525" s="52" t="s">
        <v>868</v>
      </c>
      <c r="D525" s="12"/>
      <c r="E525" s="13" t="s">
        <v>501</v>
      </c>
      <c r="F525" s="6" t="s">
        <v>2046</v>
      </c>
      <c r="G525" s="6" t="str">
        <f ca="1">IFERROR(__xludf.DUMMYFUNCTION("CONCATENATE(B525,(VLOOKUP(C525,CATALOGOS!$F$2:$H$6,3,FALSE)),(VLOOKUP(T525,CATALOGOS!$J$2:$K$18,2,FALSE)),""-"",TO_TEXT(A525))"),"P13SO-0524")</f>
        <v>P13SO-0524</v>
      </c>
      <c r="H525" s="6" t="s">
        <v>3692</v>
      </c>
      <c r="I525" s="6" t="s">
        <v>3693</v>
      </c>
      <c r="J525" s="6" t="s">
        <v>3694</v>
      </c>
      <c r="K525" s="6" t="s">
        <v>3695</v>
      </c>
      <c r="L525" s="17"/>
      <c r="M525" s="17"/>
      <c r="N525" s="17" t="str">
        <f t="shared" si="2"/>
        <v>OK</v>
      </c>
      <c r="O525" s="17" t="s">
        <v>35</v>
      </c>
      <c r="P525" s="6" t="s">
        <v>35</v>
      </c>
      <c r="Q525" s="6" t="s">
        <v>36</v>
      </c>
      <c r="R525" s="10" t="s">
        <v>3696</v>
      </c>
      <c r="S525" s="173" t="s">
        <v>38</v>
      </c>
      <c r="T525" s="11" t="s">
        <v>868</v>
      </c>
      <c r="U525" s="22" t="s">
        <v>3451</v>
      </c>
      <c r="V525" s="22" t="s">
        <v>3451</v>
      </c>
    </row>
    <row r="526" spans="1:22" ht="72">
      <c r="A526" s="10" t="s">
        <v>3697</v>
      </c>
      <c r="B526" s="10" t="s">
        <v>1469</v>
      </c>
      <c r="C526" s="52" t="s">
        <v>868</v>
      </c>
      <c r="D526" s="12"/>
      <c r="E526" s="13" t="s">
        <v>501</v>
      </c>
      <c r="F526" s="43" t="s">
        <v>3269</v>
      </c>
      <c r="G526" s="6" t="str">
        <f ca="1">IFERROR(__xludf.DUMMYFUNCTION("CONCATENATE(B526,(VLOOKUP(C526,CATALOGOS!$F$2:$H$6,3,FALSE)),(VLOOKUP(T526,CATALOGOS!$J$2:$K$18,2,FALSE)),""-"",TO_TEXT(A526))"),"P13SO-0525")</f>
        <v>P13SO-0525</v>
      </c>
      <c r="H526" s="6" t="s">
        <v>3698</v>
      </c>
      <c r="I526" s="6" t="s">
        <v>3699</v>
      </c>
      <c r="J526" s="6" t="s">
        <v>3700</v>
      </c>
      <c r="K526" s="6" t="s">
        <v>3701</v>
      </c>
      <c r="L526" s="17"/>
      <c r="M526" s="17"/>
      <c r="N526" s="17" t="str">
        <f t="shared" si="2"/>
        <v>OK</v>
      </c>
      <c r="O526" s="17" t="s">
        <v>35</v>
      </c>
      <c r="P526" s="6" t="s">
        <v>35</v>
      </c>
      <c r="Q526" s="17" t="s">
        <v>36</v>
      </c>
      <c r="R526" s="17" t="s">
        <v>3702</v>
      </c>
      <c r="S526" s="173" t="s">
        <v>38</v>
      </c>
      <c r="T526" s="11" t="s">
        <v>868</v>
      </c>
      <c r="U526" s="22" t="s">
        <v>3451</v>
      </c>
      <c r="V526" s="22" t="s">
        <v>3451</v>
      </c>
    </row>
    <row r="527" spans="1:22" ht="57.75">
      <c r="A527" s="10" t="s">
        <v>3703</v>
      </c>
      <c r="B527" s="10" t="s">
        <v>1469</v>
      </c>
      <c r="C527" s="52" t="s">
        <v>868</v>
      </c>
      <c r="D527" s="12"/>
      <c r="E527" s="13" t="s">
        <v>62</v>
      </c>
      <c r="F527" s="6" t="s">
        <v>3262</v>
      </c>
      <c r="G527" s="6" t="str">
        <f ca="1">IFERROR(__xludf.DUMMYFUNCTION("CONCATENATE(B527,(VLOOKUP(C527,CATALOGOS!$F$2:$H$6,3,FALSE)),(VLOOKUP(T527,CATALOGOS!$J$2:$K$18,2,FALSE)),""-"",TO_TEXT(A527))"),"P13SO-0526")</f>
        <v>P13SO-0526</v>
      </c>
      <c r="H527" s="6" t="s">
        <v>3704</v>
      </c>
      <c r="I527" s="6" t="s">
        <v>3705</v>
      </c>
      <c r="J527" s="6" t="s">
        <v>3706</v>
      </c>
      <c r="K527" s="6" t="s">
        <v>3707</v>
      </c>
      <c r="L527" s="17"/>
      <c r="M527" s="17"/>
      <c r="N527" s="17" t="str">
        <f t="shared" si="2"/>
        <v>OK</v>
      </c>
      <c r="O527" s="17" t="s">
        <v>35</v>
      </c>
      <c r="P527" s="6" t="s">
        <v>35</v>
      </c>
      <c r="Q527" s="17" t="s">
        <v>36</v>
      </c>
      <c r="R527" s="17" t="s">
        <v>3708</v>
      </c>
      <c r="S527" s="173" t="s">
        <v>38</v>
      </c>
      <c r="T527" s="11" t="s">
        <v>868</v>
      </c>
      <c r="U527" s="22" t="s">
        <v>3451</v>
      </c>
      <c r="V527" s="22" t="s">
        <v>3451</v>
      </c>
    </row>
    <row r="528" spans="1:22" ht="72">
      <c r="A528" s="10" t="s">
        <v>3709</v>
      </c>
      <c r="B528" s="10" t="s">
        <v>1469</v>
      </c>
      <c r="C528" s="52" t="s">
        <v>868</v>
      </c>
      <c r="D528" s="38"/>
      <c r="E528" s="13" t="s">
        <v>93</v>
      </c>
      <c r="F528" s="6" t="s">
        <v>3710</v>
      </c>
      <c r="G528" s="6" t="str">
        <f ca="1">IFERROR(__xludf.DUMMYFUNCTION("CONCATENATE(B528,(VLOOKUP(C528,CATALOGOS!$F$2:$H$6,3,FALSE)),(VLOOKUP(T528,CATALOGOS!$J$2:$K$18,2,FALSE)),""-"",TO_TEXT(A528))"),"P13SO-0527")</f>
        <v>P13SO-0527</v>
      </c>
      <c r="H528" s="6" t="s">
        <v>3711</v>
      </c>
      <c r="I528" s="6" t="s">
        <v>3712</v>
      </c>
      <c r="J528" s="6" t="s">
        <v>3713</v>
      </c>
      <c r="K528" s="6" t="s">
        <v>3714</v>
      </c>
      <c r="L528" s="17"/>
      <c r="M528" s="17"/>
      <c r="N528" s="17" t="str">
        <f t="shared" si="2"/>
        <v>OK</v>
      </c>
      <c r="O528" s="17" t="s">
        <v>35</v>
      </c>
      <c r="P528" s="6" t="s">
        <v>35</v>
      </c>
      <c r="Q528" s="46" t="s">
        <v>36</v>
      </c>
      <c r="R528" s="17" t="s">
        <v>3715</v>
      </c>
      <c r="S528" s="173" t="s">
        <v>38</v>
      </c>
      <c r="T528" s="11" t="s">
        <v>868</v>
      </c>
      <c r="U528" s="32" t="s">
        <v>3451</v>
      </c>
      <c r="V528" s="32" t="s">
        <v>3451</v>
      </c>
    </row>
    <row r="529" spans="1:22" ht="43.5">
      <c r="A529" s="10" t="s">
        <v>3717</v>
      </c>
      <c r="B529" s="10" t="s">
        <v>1469</v>
      </c>
      <c r="C529" s="52" t="s">
        <v>868</v>
      </c>
      <c r="D529" s="12"/>
      <c r="E529" s="13" t="s">
        <v>242</v>
      </c>
      <c r="F529" s="6" t="s">
        <v>3718</v>
      </c>
      <c r="G529" s="6" t="str">
        <f ca="1">IFERROR(__xludf.DUMMYFUNCTION("CONCATENATE(B529,(VLOOKUP(C529,CATALOGOS!$F$2:$H$6,3,FALSE)),(VLOOKUP(T529,CATALOGOS!$J$2:$K$18,2,FALSE)),""-"",TO_TEXT(A529))"),"P13SO-0528")</f>
        <v>P13SO-0528</v>
      </c>
      <c r="H529" s="6" t="s">
        <v>3719</v>
      </c>
      <c r="I529" s="6" t="s">
        <v>3720</v>
      </c>
      <c r="J529" s="37"/>
      <c r="K529" s="6" t="s">
        <v>141</v>
      </c>
      <c r="L529" s="17"/>
      <c r="M529" s="17"/>
      <c r="N529" s="17" t="str">
        <f t="shared" si="2"/>
        <v>REPETIDO</v>
      </c>
      <c r="O529" s="17" t="s">
        <v>856</v>
      </c>
      <c r="P529" s="6" t="s">
        <v>3721</v>
      </c>
      <c r="Q529" s="6" t="s">
        <v>36</v>
      </c>
      <c r="R529" s="185" t="s">
        <v>85</v>
      </c>
      <c r="S529" s="173" t="s">
        <v>38</v>
      </c>
      <c r="T529" s="11" t="s">
        <v>868</v>
      </c>
      <c r="U529" s="22" t="s">
        <v>1665</v>
      </c>
      <c r="V529" s="22" t="s">
        <v>1665</v>
      </c>
    </row>
    <row r="530" spans="1:22" ht="57.75">
      <c r="A530" s="10" t="s">
        <v>3722</v>
      </c>
      <c r="B530" s="10" t="s">
        <v>1469</v>
      </c>
      <c r="C530" s="52" t="s">
        <v>868</v>
      </c>
      <c r="D530" s="12"/>
      <c r="E530" s="13" t="s">
        <v>116</v>
      </c>
      <c r="F530" s="6" t="s">
        <v>3723</v>
      </c>
      <c r="G530" s="6" t="str">
        <f ca="1">IFERROR(__xludf.DUMMYFUNCTION("CONCATENATE(B530,(VLOOKUP(C530,CATALOGOS!$F$2:$H$6,3,FALSE)),(VLOOKUP(T530,CATALOGOS!$J$2:$K$18,2,FALSE)),""-"",TO_TEXT(A530))"),"P13SO-0529")</f>
        <v>P13SO-0529</v>
      </c>
      <c r="H530" s="6" t="s">
        <v>3724</v>
      </c>
      <c r="I530" s="6" t="s">
        <v>3725</v>
      </c>
      <c r="J530" s="6" t="s">
        <v>3726</v>
      </c>
      <c r="K530" s="6" t="s">
        <v>3727</v>
      </c>
      <c r="L530" s="17"/>
      <c r="M530" s="17"/>
      <c r="N530" s="17" t="str">
        <f t="shared" si="2"/>
        <v>OK</v>
      </c>
      <c r="O530" s="17" t="s">
        <v>35</v>
      </c>
      <c r="P530" s="6" t="s">
        <v>35</v>
      </c>
      <c r="Q530" s="17" t="s">
        <v>36</v>
      </c>
      <c r="R530" s="17" t="s">
        <v>3728</v>
      </c>
      <c r="S530" s="173" t="s">
        <v>38</v>
      </c>
      <c r="T530" s="11" t="s">
        <v>868</v>
      </c>
      <c r="U530" s="22" t="s">
        <v>1665</v>
      </c>
      <c r="V530" s="22" t="s">
        <v>1665</v>
      </c>
    </row>
    <row r="531" spans="1:22" ht="86.25">
      <c r="A531" s="10" t="s">
        <v>3729</v>
      </c>
      <c r="B531" s="10" t="s">
        <v>1469</v>
      </c>
      <c r="C531" s="52" t="s">
        <v>868</v>
      </c>
      <c r="D531" s="12"/>
      <c r="E531" s="13" t="s">
        <v>62</v>
      </c>
      <c r="F531" s="6" t="s">
        <v>3730</v>
      </c>
      <c r="G531" s="6" t="str">
        <f ca="1">IFERROR(__xludf.DUMMYFUNCTION("CONCATENATE(B531,(VLOOKUP(C531,CATALOGOS!$F$2:$H$6,3,FALSE)),(VLOOKUP(T531,CATALOGOS!$J$2:$K$18,2,FALSE)),""-"",TO_TEXT(A531))"),"P13SO-0530")</f>
        <v>P13SO-0530</v>
      </c>
      <c r="H531" s="6" t="s">
        <v>3731</v>
      </c>
      <c r="I531" s="6" t="s">
        <v>3732</v>
      </c>
      <c r="J531" s="6" t="s">
        <v>3733</v>
      </c>
      <c r="K531" s="6" t="s">
        <v>3734</v>
      </c>
      <c r="L531" s="17"/>
      <c r="M531" s="17"/>
      <c r="N531" s="17" t="str">
        <f t="shared" si="2"/>
        <v>OK</v>
      </c>
      <c r="O531" s="17" t="s">
        <v>35</v>
      </c>
      <c r="P531" s="6" t="s">
        <v>35</v>
      </c>
      <c r="Q531" s="17" t="s">
        <v>36</v>
      </c>
      <c r="R531" s="17" t="s">
        <v>3735</v>
      </c>
      <c r="S531" s="173" t="s">
        <v>38</v>
      </c>
      <c r="T531" s="11" t="s">
        <v>868</v>
      </c>
      <c r="U531" s="22" t="s">
        <v>1665</v>
      </c>
      <c r="V531" s="22" t="s">
        <v>1665</v>
      </c>
    </row>
    <row r="532" spans="1:22" ht="114.75">
      <c r="A532" s="10" t="s">
        <v>3736</v>
      </c>
      <c r="B532" s="10" t="s">
        <v>1469</v>
      </c>
      <c r="C532" s="52" t="s">
        <v>868</v>
      </c>
      <c r="D532" s="12"/>
      <c r="E532" s="13" t="s">
        <v>62</v>
      </c>
      <c r="F532" s="6" t="s">
        <v>3737</v>
      </c>
      <c r="G532" s="6" t="str">
        <f ca="1">IFERROR(__xludf.DUMMYFUNCTION("CONCATENATE(B532,(VLOOKUP(C532,CATALOGOS!$F$2:$H$6,3,FALSE)),(VLOOKUP(T532,CATALOGOS!$J$2:$K$18,2,FALSE)),""-"",TO_TEXT(A532))"),"P13SO-0531")</f>
        <v>P13SO-0531</v>
      </c>
      <c r="H532" s="6" t="s">
        <v>3738</v>
      </c>
      <c r="I532" s="6" t="s">
        <v>3739</v>
      </c>
      <c r="J532" s="6" t="s">
        <v>3740</v>
      </c>
      <c r="K532" s="6" t="s">
        <v>3741</v>
      </c>
      <c r="L532" s="17"/>
      <c r="M532" s="17"/>
      <c r="N532" s="17" t="str">
        <f t="shared" si="2"/>
        <v>OK</v>
      </c>
      <c r="O532" s="17" t="s">
        <v>35</v>
      </c>
      <c r="P532" s="6" t="s">
        <v>35</v>
      </c>
      <c r="Q532" s="17" t="s">
        <v>36</v>
      </c>
      <c r="R532" s="17" t="s">
        <v>3742</v>
      </c>
      <c r="S532" s="173" t="s">
        <v>38</v>
      </c>
      <c r="T532" s="11" t="s">
        <v>868</v>
      </c>
      <c r="U532" s="22" t="s">
        <v>1665</v>
      </c>
      <c r="V532" s="22" t="s">
        <v>1665</v>
      </c>
    </row>
    <row r="533" spans="1:22" ht="57.75">
      <c r="A533" s="10" t="s">
        <v>3743</v>
      </c>
      <c r="B533" s="10" t="s">
        <v>1469</v>
      </c>
      <c r="C533" s="52" t="s">
        <v>868</v>
      </c>
      <c r="D533" s="12"/>
      <c r="E533" s="13" t="s">
        <v>3521</v>
      </c>
      <c r="F533" s="6" t="s">
        <v>3744</v>
      </c>
      <c r="G533" s="6" t="str">
        <f ca="1">IFERROR(__xludf.DUMMYFUNCTION("CONCATENATE(B533,(VLOOKUP(C533,CATALOGOS!$F$2:$H$6,3,FALSE)),(VLOOKUP(T533,CATALOGOS!$J$2:$K$18,2,FALSE)),""-"",TO_TEXT(A533))"),"P13SO-0532")</f>
        <v>P13SO-0532</v>
      </c>
      <c r="H533" s="6" t="s">
        <v>3745</v>
      </c>
      <c r="I533" s="6" t="s">
        <v>3746</v>
      </c>
      <c r="J533" s="6" t="s">
        <v>3747</v>
      </c>
      <c r="K533" s="6" t="s">
        <v>3748</v>
      </c>
      <c r="L533" s="17"/>
      <c r="M533" s="17"/>
      <c r="N533" s="17" t="str">
        <f t="shared" si="2"/>
        <v>OK</v>
      </c>
      <c r="O533" s="17" t="s">
        <v>35</v>
      </c>
      <c r="P533" s="6" t="s">
        <v>35</v>
      </c>
      <c r="Q533" s="17" t="s">
        <v>36</v>
      </c>
      <c r="R533" s="17" t="s">
        <v>3749</v>
      </c>
      <c r="S533" s="173" t="s">
        <v>38</v>
      </c>
      <c r="T533" s="11" t="s">
        <v>868</v>
      </c>
      <c r="U533" s="22" t="s">
        <v>1665</v>
      </c>
      <c r="V533" s="22" t="s">
        <v>1665</v>
      </c>
    </row>
    <row r="534" spans="1:22" ht="57.75">
      <c r="A534" s="10" t="s">
        <v>3750</v>
      </c>
      <c r="B534" s="10" t="s">
        <v>1469</v>
      </c>
      <c r="C534" s="52" t="s">
        <v>868</v>
      </c>
      <c r="D534" s="12"/>
      <c r="E534" s="13" t="s">
        <v>43</v>
      </c>
      <c r="F534" s="43" t="s">
        <v>3751</v>
      </c>
      <c r="G534" s="6" t="str">
        <f ca="1">IFERROR(__xludf.DUMMYFUNCTION("CONCATENATE(B534,(VLOOKUP(C534,CATALOGOS!$F$2:$H$6,3,FALSE)),(VLOOKUP(T534,CATALOGOS!$J$2:$K$18,2,FALSE)),""-"",TO_TEXT(A534))"),"P13SO-0533")</f>
        <v>P13SO-0533</v>
      </c>
      <c r="H534" s="6" t="s">
        <v>3752</v>
      </c>
      <c r="I534" s="6" t="s">
        <v>3753</v>
      </c>
      <c r="J534" s="6" t="s">
        <v>3754</v>
      </c>
      <c r="K534" s="6" t="s">
        <v>3755</v>
      </c>
      <c r="L534" s="17"/>
      <c r="M534" s="17"/>
      <c r="N534" s="17" t="str">
        <f t="shared" si="2"/>
        <v>OK</v>
      </c>
      <c r="O534" s="17" t="s">
        <v>406</v>
      </c>
      <c r="P534" s="6" t="s">
        <v>3756</v>
      </c>
      <c r="Q534" s="17" t="s">
        <v>3757</v>
      </c>
      <c r="R534" s="17" t="s">
        <v>3758</v>
      </c>
      <c r="S534" s="173" t="s">
        <v>38</v>
      </c>
      <c r="T534" s="11" t="s">
        <v>868</v>
      </c>
      <c r="U534" s="22" t="s">
        <v>1665</v>
      </c>
      <c r="V534" s="22" t="s">
        <v>1665</v>
      </c>
    </row>
    <row r="535" spans="1:22" ht="72">
      <c r="A535" s="10" t="s">
        <v>3759</v>
      </c>
      <c r="B535" s="10" t="s">
        <v>1469</v>
      </c>
      <c r="C535" s="52" t="s">
        <v>868</v>
      </c>
      <c r="D535" s="12"/>
      <c r="E535" s="13" t="s">
        <v>116</v>
      </c>
      <c r="F535" s="6" t="s">
        <v>3760</v>
      </c>
      <c r="G535" s="6" t="str">
        <f ca="1">IFERROR(__xludf.DUMMYFUNCTION("CONCATENATE(B535,(VLOOKUP(C535,CATALOGOS!$F$2:$H$6,3,FALSE)),(VLOOKUP(T535,CATALOGOS!$J$2:$K$18,2,FALSE)),""-"",TO_TEXT(A535))"),"P13SO-0534")</f>
        <v>P13SO-0534</v>
      </c>
      <c r="H535" s="6" t="s">
        <v>3761</v>
      </c>
      <c r="I535" s="6" t="s">
        <v>3762</v>
      </c>
      <c r="J535" s="6" t="s">
        <v>3763</v>
      </c>
      <c r="K535" s="6" t="s">
        <v>3764</v>
      </c>
      <c r="L535" s="17"/>
      <c r="M535" s="17"/>
      <c r="N535" s="17" t="str">
        <f t="shared" si="2"/>
        <v>OK</v>
      </c>
      <c r="O535" s="17" t="s">
        <v>35</v>
      </c>
      <c r="P535" s="49" t="s">
        <v>35</v>
      </c>
      <c r="Q535" s="17" t="s">
        <v>36</v>
      </c>
      <c r="R535" s="17" t="s">
        <v>3765</v>
      </c>
      <c r="S535" s="173" t="s">
        <v>38</v>
      </c>
      <c r="T535" s="11" t="s">
        <v>868</v>
      </c>
      <c r="U535" s="22" t="s">
        <v>1665</v>
      </c>
      <c r="V535" s="22" t="s">
        <v>1665</v>
      </c>
    </row>
    <row r="536" spans="1:22" ht="86.25">
      <c r="A536" s="10" t="s">
        <v>3766</v>
      </c>
      <c r="B536" s="10" t="s">
        <v>1469</v>
      </c>
      <c r="C536" s="52" t="s">
        <v>868</v>
      </c>
      <c r="D536" s="12"/>
      <c r="E536" s="13" t="s">
        <v>1240</v>
      </c>
      <c r="F536" s="43" t="s">
        <v>278</v>
      </c>
      <c r="G536" s="6" t="str">
        <f ca="1">IFERROR(__xludf.DUMMYFUNCTION("CONCATENATE(B536,(VLOOKUP(C536,CATALOGOS!$F$2:$H$6,3,FALSE)),(VLOOKUP(T536,CATALOGOS!$J$2:$K$18,2,FALSE)),""-"",TO_TEXT(A536))"),"P13SO-0535")</f>
        <v>P13SO-0535</v>
      </c>
      <c r="H536" s="6" t="s">
        <v>3767</v>
      </c>
      <c r="I536" s="6" t="s">
        <v>3768</v>
      </c>
      <c r="J536" s="6" t="s">
        <v>3769</v>
      </c>
      <c r="K536" s="6" t="s">
        <v>3770</v>
      </c>
      <c r="L536" s="17"/>
      <c r="M536" s="17"/>
      <c r="N536" s="17" t="str">
        <f t="shared" si="2"/>
        <v>OK</v>
      </c>
      <c r="O536" s="17" t="s">
        <v>35</v>
      </c>
      <c r="P536" s="6" t="s">
        <v>35</v>
      </c>
      <c r="Q536" s="17" t="s">
        <v>36</v>
      </c>
      <c r="R536" s="17" t="s">
        <v>3771</v>
      </c>
      <c r="S536" s="173" t="s">
        <v>38</v>
      </c>
      <c r="T536" s="11" t="s">
        <v>868</v>
      </c>
      <c r="U536" s="22" t="s">
        <v>1665</v>
      </c>
      <c r="V536" s="22" t="s">
        <v>1665</v>
      </c>
    </row>
    <row r="537" spans="1:22" ht="29.25">
      <c r="A537" s="10" t="s">
        <v>3772</v>
      </c>
      <c r="B537" s="10" t="s">
        <v>1469</v>
      </c>
      <c r="C537" s="52" t="s">
        <v>868</v>
      </c>
      <c r="D537" s="12"/>
      <c r="E537" s="13" t="s">
        <v>248</v>
      </c>
      <c r="F537" s="43" t="s">
        <v>248</v>
      </c>
      <c r="G537" s="6" t="str">
        <f ca="1">IFERROR(__xludf.DUMMYFUNCTION("CONCATENATE(B537,(VLOOKUP(C537,CATALOGOS!$F$2:$H$6,3,FALSE)),(VLOOKUP(T537,CATALOGOS!$J$2:$K$18,2,FALSE)),""-"",TO_TEXT(A537))"),"P13SO-0536")</f>
        <v>P13SO-0536</v>
      </c>
      <c r="H537" s="6" t="s">
        <v>3773</v>
      </c>
      <c r="I537" s="6" t="s">
        <v>3774</v>
      </c>
      <c r="J537" s="6" t="s">
        <v>3775</v>
      </c>
      <c r="K537" s="6" t="s">
        <v>3776</v>
      </c>
      <c r="L537" s="17"/>
      <c r="M537" s="17"/>
      <c r="N537" s="17" t="str">
        <f t="shared" si="2"/>
        <v>OK</v>
      </c>
      <c r="O537" s="17" t="s">
        <v>978</v>
      </c>
      <c r="P537" s="6" t="s">
        <v>3777</v>
      </c>
      <c r="Q537" s="17" t="s">
        <v>3778</v>
      </c>
      <c r="R537" s="17" t="s">
        <v>3779</v>
      </c>
      <c r="S537" s="173" t="s">
        <v>38</v>
      </c>
      <c r="T537" s="11" t="s">
        <v>868</v>
      </c>
      <c r="U537" s="22" t="s">
        <v>1665</v>
      </c>
      <c r="V537" s="22" t="s">
        <v>1665</v>
      </c>
    </row>
    <row r="538" spans="1:22" ht="57.75">
      <c r="A538" s="10" t="s">
        <v>3780</v>
      </c>
      <c r="B538" s="10" t="s">
        <v>1469</v>
      </c>
      <c r="C538" s="52" t="s">
        <v>868</v>
      </c>
      <c r="D538" s="12"/>
      <c r="E538" s="13" t="s">
        <v>378</v>
      </c>
      <c r="F538" s="6" t="s">
        <v>878</v>
      </c>
      <c r="G538" s="6" t="str">
        <f ca="1">IFERROR(__xludf.DUMMYFUNCTION("CONCATENATE(B538,(VLOOKUP(C538,CATALOGOS!$F$2:$H$6,3,FALSE)),(VLOOKUP(T538,CATALOGOS!$J$2:$K$18,2,FALSE)),""-"",TO_TEXT(A538))"),"P13SO-0537")</f>
        <v>P13SO-0537</v>
      </c>
      <c r="H538" s="6" t="s">
        <v>3781</v>
      </c>
      <c r="I538" s="6" t="s">
        <v>3782</v>
      </c>
      <c r="J538" s="6" t="s">
        <v>3783</v>
      </c>
      <c r="K538" s="6" t="s">
        <v>3784</v>
      </c>
      <c r="L538" s="17"/>
      <c r="M538" s="17"/>
      <c r="N538" s="17" t="str">
        <f t="shared" si="2"/>
        <v>OK</v>
      </c>
      <c r="O538" s="17" t="s">
        <v>35</v>
      </c>
      <c r="P538" s="6" t="s">
        <v>35</v>
      </c>
      <c r="Q538" s="17" t="s">
        <v>36</v>
      </c>
      <c r="R538" s="17" t="s">
        <v>3785</v>
      </c>
      <c r="S538" s="173" t="s">
        <v>38</v>
      </c>
      <c r="T538" s="11" t="s">
        <v>868</v>
      </c>
      <c r="U538" s="22" t="s">
        <v>1665</v>
      </c>
      <c r="V538" s="22" t="s">
        <v>1665</v>
      </c>
    </row>
    <row r="539" spans="1:22" ht="57.75">
      <c r="A539" s="10" t="s">
        <v>3786</v>
      </c>
      <c r="B539" s="10" t="s">
        <v>1469</v>
      </c>
      <c r="C539" s="52" t="s">
        <v>868</v>
      </c>
      <c r="D539" s="12"/>
      <c r="E539" s="13" t="s">
        <v>378</v>
      </c>
      <c r="F539" s="6" t="s">
        <v>878</v>
      </c>
      <c r="G539" s="6" t="str">
        <f ca="1">IFERROR(__xludf.DUMMYFUNCTION("CONCATENATE(B539,(VLOOKUP(C539,CATALOGOS!$F$2:$H$6,3,FALSE)),(VLOOKUP(T539,CATALOGOS!$J$2:$K$18,2,FALSE)),""-"",TO_TEXT(A539))"),"P13SO-0538")</f>
        <v>P13SO-0538</v>
      </c>
      <c r="H539" s="6" t="s">
        <v>3787</v>
      </c>
      <c r="I539" s="6" t="s">
        <v>3788</v>
      </c>
      <c r="J539" s="6" t="s">
        <v>3789</v>
      </c>
      <c r="K539" s="6" t="s">
        <v>3790</v>
      </c>
      <c r="L539" s="17"/>
      <c r="M539" s="17"/>
      <c r="N539" s="17" t="str">
        <f t="shared" si="2"/>
        <v>OK</v>
      </c>
      <c r="O539" s="17" t="s">
        <v>35</v>
      </c>
      <c r="P539" s="6" t="s">
        <v>35</v>
      </c>
      <c r="Q539" s="17" t="s">
        <v>36</v>
      </c>
      <c r="R539" s="17" t="s">
        <v>3791</v>
      </c>
      <c r="S539" s="173" t="s">
        <v>38</v>
      </c>
      <c r="T539" s="11" t="s">
        <v>868</v>
      </c>
      <c r="U539" s="22" t="s">
        <v>1665</v>
      </c>
      <c r="V539" s="22" t="s">
        <v>1665</v>
      </c>
    </row>
    <row r="540" spans="1:22" ht="57.75">
      <c r="A540" s="10" t="s">
        <v>3792</v>
      </c>
      <c r="B540" s="10" t="s">
        <v>1469</v>
      </c>
      <c r="C540" s="52" t="s">
        <v>868</v>
      </c>
      <c r="D540" s="12"/>
      <c r="E540" s="13" t="s">
        <v>199</v>
      </c>
      <c r="F540" s="6" t="s">
        <v>199</v>
      </c>
      <c r="G540" s="6" t="str">
        <f ca="1">IFERROR(__xludf.DUMMYFUNCTION("CONCATENATE(B540,(VLOOKUP(C540,CATALOGOS!$F$2:$H$6,3,FALSE)),(VLOOKUP(T540,CATALOGOS!$J$2:$K$18,2,FALSE)),""-"",TO_TEXT(A540))"),"P13SO-0539")</f>
        <v>P13SO-0539</v>
      </c>
      <c r="H540" s="6" t="s">
        <v>3793</v>
      </c>
      <c r="I540" s="6" t="s">
        <v>3794</v>
      </c>
      <c r="J540" s="6" t="s">
        <v>3795</v>
      </c>
      <c r="K540" s="6" t="s">
        <v>3796</v>
      </c>
      <c r="L540" s="17"/>
      <c r="M540" s="17"/>
      <c r="N540" s="17" t="str">
        <f t="shared" si="2"/>
        <v>OK</v>
      </c>
      <c r="O540" s="17" t="s">
        <v>205</v>
      </c>
      <c r="P540" s="6" t="s">
        <v>3797</v>
      </c>
      <c r="Q540" s="17" t="s">
        <v>3798</v>
      </c>
      <c r="R540" s="17" t="s">
        <v>3799</v>
      </c>
      <c r="S540" s="179" t="s">
        <v>517</v>
      </c>
      <c r="T540" s="11" t="s">
        <v>868</v>
      </c>
      <c r="U540" s="22" t="s">
        <v>1665</v>
      </c>
      <c r="V540" s="22" t="s">
        <v>1665</v>
      </c>
    </row>
    <row r="541" spans="1:22" ht="29.25">
      <c r="A541" s="10" t="s">
        <v>3800</v>
      </c>
      <c r="B541" s="10" t="s">
        <v>1469</v>
      </c>
      <c r="C541" s="52" t="s">
        <v>868</v>
      </c>
      <c r="D541" s="12"/>
      <c r="E541" s="13" t="s">
        <v>151</v>
      </c>
      <c r="F541" s="6" t="s">
        <v>152</v>
      </c>
      <c r="G541" s="6" t="str">
        <f ca="1">IFERROR(__xludf.DUMMYFUNCTION("CONCATENATE(B541,(VLOOKUP(C541,CATALOGOS!$F$2:$H$6,3,FALSE)),(VLOOKUP(T541,CATALOGOS!$J$2:$K$18,2,FALSE)),""-"",TO_TEXT(A541))"),"P13SO-0540")</f>
        <v>P13SO-0540</v>
      </c>
      <c r="H541" s="6" t="s">
        <v>3801</v>
      </c>
      <c r="I541" s="6" t="s">
        <v>3802</v>
      </c>
      <c r="J541" s="6" t="s">
        <v>3803</v>
      </c>
      <c r="K541" s="6" t="s">
        <v>3804</v>
      </c>
      <c r="L541" s="17"/>
      <c r="M541" s="17"/>
      <c r="N541" s="17" t="str">
        <f t="shared" si="2"/>
        <v>OK</v>
      </c>
      <c r="O541" s="17" t="s">
        <v>1220</v>
      </c>
      <c r="P541" s="6" t="s">
        <v>720</v>
      </c>
      <c r="Q541" s="17" t="s">
        <v>3805</v>
      </c>
      <c r="R541" s="10" t="s">
        <v>3806</v>
      </c>
      <c r="S541" s="173" t="s">
        <v>38</v>
      </c>
      <c r="T541" s="11" t="s">
        <v>868</v>
      </c>
      <c r="U541" s="22" t="s">
        <v>1665</v>
      </c>
      <c r="V541" s="22" t="s">
        <v>1665</v>
      </c>
    </row>
    <row r="542" spans="1:22" ht="30">
      <c r="A542" s="10" t="s">
        <v>3807</v>
      </c>
      <c r="B542" s="10" t="s">
        <v>1469</v>
      </c>
      <c r="C542" s="52" t="s">
        <v>868</v>
      </c>
      <c r="D542" s="38"/>
      <c r="E542" s="13" t="s">
        <v>162</v>
      </c>
      <c r="F542" s="43" t="s">
        <v>285</v>
      </c>
      <c r="G542" s="6" t="str">
        <f ca="1">IFERROR(__xludf.DUMMYFUNCTION("CONCATENATE(B542,(VLOOKUP(C542,CATALOGOS!$F$2:$H$6,3,FALSE)),(VLOOKUP(T542,CATALOGOS!$J$2:$K$18,2,FALSE)),""-"",TO_TEXT(A542))"),"P13SO-0541")</f>
        <v>P13SO-0541</v>
      </c>
      <c r="H542" s="6" t="s">
        <v>3808</v>
      </c>
      <c r="I542" s="6" t="s">
        <v>3809</v>
      </c>
      <c r="J542" s="6" t="s">
        <v>3810</v>
      </c>
      <c r="K542" s="6" t="s">
        <v>3811</v>
      </c>
      <c r="L542" s="17"/>
      <c r="M542" s="17"/>
      <c r="N542" s="17" t="str">
        <f t="shared" si="2"/>
        <v>OK</v>
      </c>
      <c r="O542" s="17" t="s">
        <v>168</v>
      </c>
      <c r="P542" s="6" t="s">
        <v>169</v>
      </c>
      <c r="Q542" s="46" t="s">
        <v>3812</v>
      </c>
      <c r="R542" s="17" t="s">
        <v>3813</v>
      </c>
      <c r="S542" s="178" t="s">
        <v>8439</v>
      </c>
      <c r="T542" s="11" t="s">
        <v>868</v>
      </c>
      <c r="U542" s="32" t="s">
        <v>1665</v>
      </c>
      <c r="V542" s="32" t="s">
        <v>1665</v>
      </c>
    </row>
    <row r="543" spans="1:22" ht="43.5">
      <c r="A543" s="10" t="s">
        <v>3814</v>
      </c>
      <c r="B543" s="10" t="s">
        <v>1469</v>
      </c>
      <c r="C543" s="52" t="s">
        <v>868</v>
      </c>
      <c r="D543" s="12"/>
      <c r="E543" s="13" t="s">
        <v>43</v>
      </c>
      <c r="F543" s="6" t="s">
        <v>1492</v>
      </c>
      <c r="G543" s="6" t="str">
        <f ca="1">IFERROR(__xludf.DUMMYFUNCTION("CONCATENATE(B543,(VLOOKUP(C543,CATALOGOS!$F$2:$H$6,3,FALSE)),(VLOOKUP(T543,CATALOGOS!$J$2:$K$18,2,FALSE)),""-"",TO_TEXT(A543))"),"P13SO-0542")</f>
        <v>P13SO-0542</v>
      </c>
      <c r="H543" s="6" t="s">
        <v>3815</v>
      </c>
      <c r="I543" s="6" t="s">
        <v>3816</v>
      </c>
      <c r="J543" s="6" t="s">
        <v>3817</v>
      </c>
      <c r="K543" s="6" t="s">
        <v>3818</v>
      </c>
      <c r="L543" s="17"/>
      <c r="M543" s="17"/>
      <c r="N543" s="17" t="str">
        <f t="shared" si="2"/>
        <v>OK</v>
      </c>
      <c r="O543" s="17" t="s">
        <v>406</v>
      </c>
      <c r="P543" s="6" t="s">
        <v>407</v>
      </c>
      <c r="Q543" s="17" t="s">
        <v>36</v>
      </c>
      <c r="R543" s="17" t="s">
        <v>3819</v>
      </c>
      <c r="S543" s="173" t="s">
        <v>38</v>
      </c>
      <c r="T543" s="11" t="s">
        <v>868</v>
      </c>
      <c r="U543" s="22" t="s">
        <v>3451</v>
      </c>
      <c r="V543" s="22" t="s">
        <v>3451</v>
      </c>
    </row>
    <row r="544" spans="1:22" ht="43.5">
      <c r="A544" s="10" t="s">
        <v>3820</v>
      </c>
      <c r="B544" s="10" t="s">
        <v>1469</v>
      </c>
      <c r="C544" s="52" t="s">
        <v>868</v>
      </c>
      <c r="D544" s="12"/>
      <c r="E544" s="13" t="s">
        <v>43</v>
      </c>
      <c r="F544" s="6" t="s">
        <v>1492</v>
      </c>
      <c r="G544" s="6" t="str">
        <f ca="1">IFERROR(__xludf.DUMMYFUNCTION("CONCATENATE(B544,(VLOOKUP(C544,CATALOGOS!$F$2:$H$6,3,FALSE)),(VLOOKUP(T544,CATALOGOS!$J$2:$K$18,2,FALSE)),""-"",TO_TEXT(A544))"),"P13SO-0543")</f>
        <v>P13SO-0543</v>
      </c>
      <c r="H544" s="6" t="s">
        <v>3821</v>
      </c>
      <c r="I544" s="6" t="s">
        <v>3822</v>
      </c>
      <c r="J544" s="6" t="s">
        <v>3823</v>
      </c>
      <c r="K544" s="6" t="s">
        <v>3824</v>
      </c>
      <c r="L544" s="17"/>
      <c r="M544" s="17"/>
      <c r="N544" s="17" t="str">
        <f t="shared" si="2"/>
        <v>OK</v>
      </c>
      <c r="O544" s="17" t="s">
        <v>406</v>
      </c>
      <c r="P544" s="6" t="s">
        <v>407</v>
      </c>
      <c r="Q544" s="17" t="s">
        <v>36</v>
      </c>
      <c r="R544" s="17" t="s">
        <v>3825</v>
      </c>
      <c r="S544" s="173" t="s">
        <v>38</v>
      </c>
      <c r="T544" s="11" t="s">
        <v>868</v>
      </c>
      <c r="U544" s="22" t="s">
        <v>3451</v>
      </c>
      <c r="V544" s="22" t="s">
        <v>3451</v>
      </c>
    </row>
    <row r="545" spans="1:22" ht="72">
      <c r="A545" s="10" t="s">
        <v>3826</v>
      </c>
      <c r="B545" s="10" t="s">
        <v>1469</v>
      </c>
      <c r="C545" s="52" t="s">
        <v>868</v>
      </c>
      <c r="D545" s="12"/>
      <c r="E545" s="13" t="s">
        <v>93</v>
      </c>
      <c r="F545" s="6" t="s">
        <v>3827</v>
      </c>
      <c r="G545" s="6" t="str">
        <f ca="1">IFERROR(__xludf.DUMMYFUNCTION("CONCATENATE(B545,(VLOOKUP(C545,CATALOGOS!$F$2:$H$6,3,FALSE)),(VLOOKUP(T545,CATALOGOS!$J$2:$K$18,2,FALSE)),""-"",TO_TEXT(A545))"),"P13SO-0544")</f>
        <v>P13SO-0544</v>
      </c>
      <c r="H545" s="6" t="s">
        <v>3828</v>
      </c>
      <c r="I545" s="6" t="s">
        <v>3829</v>
      </c>
      <c r="J545" s="6" t="s">
        <v>3830</v>
      </c>
      <c r="K545" s="6" t="s">
        <v>3831</v>
      </c>
      <c r="L545" s="17"/>
      <c r="M545" s="17"/>
      <c r="N545" s="17" t="str">
        <f t="shared" si="2"/>
        <v>OK</v>
      </c>
      <c r="O545" s="17" t="s">
        <v>35</v>
      </c>
      <c r="P545" s="6" t="s">
        <v>35</v>
      </c>
      <c r="Q545" s="17" t="s">
        <v>36</v>
      </c>
      <c r="R545" s="17" t="s">
        <v>3832</v>
      </c>
      <c r="S545" s="173" t="s">
        <v>38</v>
      </c>
      <c r="T545" s="11" t="s">
        <v>868</v>
      </c>
      <c r="U545" s="22" t="s">
        <v>3451</v>
      </c>
      <c r="V545" s="22" t="s">
        <v>3451</v>
      </c>
    </row>
    <row r="546" spans="1:22" ht="86.25">
      <c r="A546" s="10" t="s">
        <v>3833</v>
      </c>
      <c r="B546" s="10" t="s">
        <v>1469</v>
      </c>
      <c r="C546" s="52" t="s">
        <v>868</v>
      </c>
      <c r="D546" s="38"/>
      <c r="E546" s="13" t="s">
        <v>93</v>
      </c>
      <c r="F546" s="6" t="s">
        <v>3834</v>
      </c>
      <c r="G546" s="6" t="str">
        <f ca="1">IFERROR(__xludf.DUMMYFUNCTION("CONCATENATE(B546,(VLOOKUP(C546,CATALOGOS!$F$2:$H$6,3,FALSE)),(VLOOKUP(T546,CATALOGOS!$J$2:$K$18,2,FALSE)),""-"",TO_TEXT(A546))"),"P13SO-0545")</f>
        <v>P13SO-0545</v>
      </c>
      <c r="H546" s="6" t="s">
        <v>3835</v>
      </c>
      <c r="I546" s="6" t="s">
        <v>3836</v>
      </c>
      <c r="J546" s="6" t="s">
        <v>3837</v>
      </c>
      <c r="K546" s="6" t="s">
        <v>3838</v>
      </c>
      <c r="L546" s="17"/>
      <c r="M546" s="17"/>
      <c r="N546" s="17" t="str">
        <f t="shared" si="2"/>
        <v>OK</v>
      </c>
      <c r="O546" s="17" t="s">
        <v>35</v>
      </c>
      <c r="P546" s="6" t="s">
        <v>35</v>
      </c>
      <c r="Q546" s="46" t="s">
        <v>36</v>
      </c>
      <c r="R546" s="17" t="s">
        <v>3839</v>
      </c>
      <c r="S546" s="173" t="s">
        <v>38</v>
      </c>
      <c r="T546" s="11" t="s">
        <v>868</v>
      </c>
      <c r="U546" s="32" t="s">
        <v>3451</v>
      </c>
      <c r="V546" s="32" t="s">
        <v>3451</v>
      </c>
    </row>
    <row r="547" spans="1:22" ht="43.5">
      <c r="A547" s="10" t="s">
        <v>3841</v>
      </c>
      <c r="B547" s="10" t="s">
        <v>1469</v>
      </c>
      <c r="C547" s="52" t="s">
        <v>868</v>
      </c>
      <c r="D547" s="38"/>
      <c r="E547" s="13" t="s">
        <v>184</v>
      </c>
      <c r="F547" s="6" t="s">
        <v>3842</v>
      </c>
      <c r="G547" s="6" t="str">
        <f ca="1">IFERROR(__xludf.DUMMYFUNCTION("CONCATENATE(B547,(VLOOKUP(C547,CATALOGOS!$F$2:$H$6,3,FALSE)),(VLOOKUP(T547,CATALOGOS!$J$2:$K$18,2,FALSE)),""-"",TO_TEXT(A547))"),"P13IR-0546")</f>
        <v>P13IR-0546</v>
      </c>
      <c r="H547" s="6" t="s">
        <v>3843</v>
      </c>
      <c r="I547" s="6" t="s">
        <v>3844</v>
      </c>
      <c r="J547" s="6" t="s">
        <v>3845</v>
      </c>
      <c r="K547" s="6" t="s">
        <v>3846</v>
      </c>
      <c r="L547" s="17"/>
      <c r="M547" s="17"/>
      <c r="N547" s="17" t="str">
        <f t="shared" si="2"/>
        <v>OK</v>
      </c>
      <c r="O547" s="17" t="s">
        <v>35</v>
      </c>
      <c r="P547" s="6" t="s">
        <v>35</v>
      </c>
      <c r="Q547" s="46" t="s">
        <v>36</v>
      </c>
      <c r="R547" s="17" t="s">
        <v>3847</v>
      </c>
      <c r="S547" s="173" t="s">
        <v>38</v>
      </c>
      <c r="T547" s="11" t="s">
        <v>2381</v>
      </c>
      <c r="U547" s="10" t="s">
        <v>3848</v>
      </c>
      <c r="V547" s="10" t="s">
        <v>3848</v>
      </c>
    </row>
    <row r="548" spans="1:22" ht="29.25">
      <c r="A548" s="10" t="s">
        <v>3849</v>
      </c>
      <c r="B548" s="10" t="s">
        <v>1469</v>
      </c>
      <c r="C548" s="52" t="s">
        <v>868</v>
      </c>
      <c r="D548" s="12"/>
      <c r="E548" s="13" t="s">
        <v>210</v>
      </c>
      <c r="F548" s="6" t="s">
        <v>210</v>
      </c>
      <c r="G548" s="6" t="str">
        <f ca="1">IFERROR(__xludf.DUMMYFUNCTION("CONCATENATE(B548,(VLOOKUP(C548,CATALOGOS!$F$2:$H$6,3,FALSE)),(VLOOKUP(T548,CATALOGOS!$J$2:$K$18,2,FALSE)),""-"",TO_TEXT(A548))"),"P13SO-0547")</f>
        <v>P13SO-0547</v>
      </c>
      <c r="H548" s="6" t="s">
        <v>3850</v>
      </c>
      <c r="I548" s="6" t="s">
        <v>3851</v>
      </c>
      <c r="J548" s="36"/>
      <c r="K548" s="6" t="s">
        <v>3852</v>
      </c>
      <c r="L548" s="17"/>
      <c r="M548" s="17"/>
      <c r="N548" s="17" t="str">
        <f t="shared" si="2"/>
        <v>OK</v>
      </c>
      <c r="O548" s="17" t="s">
        <v>216</v>
      </c>
      <c r="P548" s="6" t="s">
        <v>217</v>
      </c>
      <c r="Q548" s="6" t="s">
        <v>36</v>
      </c>
      <c r="R548" s="10" t="s">
        <v>3853</v>
      </c>
      <c r="S548" s="173" t="s">
        <v>38</v>
      </c>
      <c r="T548" s="11" t="s">
        <v>868</v>
      </c>
      <c r="U548" s="22" t="s">
        <v>3451</v>
      </c>
      <c r="V548" s="22" t="s">
        <v>3451</v>
      </c>
    </row>
    <row r="549" spans="1:22" ht="72">
      <c r="A549" s="10" t="s">
        <v>3854</v>
      </c>
      <c r="B549" s="10" t="s">
        <v>1469</v>
      </c>
      <c r="C549" s="52" t="s">
        <v>868</v>
      </c>
      <c r="D549" s="12"/>
      <c r="E549" s="13" t="s">
        <v>93</v>
      </c>
      <c r="F549" s="6" t="s">
        <v>3855</v>
      </c>
      <c r="G549" s="6" t="str">
        <f ca="1">IFERROR(__xludf.DUMMYFUNCTION("CONCATENATE(B549,(VLOOKUP(C549,CATALOGOS!$F$2:$H$6,3,FALSE)),(VLOOKUP(T549,CATALOGOS!$J$2:$K$18,2,FALSE)),""-"",TO_TEXT(A549))"),"P13LP-0548")</f>
        <v>P13LP-0548</v>
      </c>
      <c r="H549" s="6" t="s">
        <v>3856</v>
      </c>
      <c r="I549" s="6" t="s">
        <v>3857</v>
      </c>
      <c r="J549" s="6" t="s">
        <v>3858</v>
      </c>
      <c r="K549" s="6" t="s">
        <v>3859</v>
      </c>
      <c r="L549" s="17"/>
      <c r="M549" s="17"/>
      <c r="N549" s="17" t="str">
        <f t="shared" si="2"/>
        <v>OK</v>
      </c>
      <c r="O549" s="17" t="s">
        <v>35</v>
      </c>
      <c r="P549" s="6" t="s">
        <v>35</v>
      </c>
      <c r="Q549" s="17" t="s">
        <v>36</v>
      </c>
      <c r="R549" s="17" t="s">
        <v>3860</v>
      </c>
      <c r="S549" s="173" t="s">
        <v>38</v>
      </c>
      <c r="T549" s="11" t="s">
        <v>2328</v>
      </c>
      <c r="U549" s="22" t="s">
        <v>3450</v>
      </c>
      <c r="V549" s="22" t="s">
        <v>3450</v>
      </c>
    </row>
    <row r="550" spans="1:22" ht="72">
      <c r="A550" s="10" t="s">
        <v>3861</v>
      </c>
      <c r="B550" s="10" t="s">
        <v>1469</v>
      </c>
      <c r="C550" s="52" t="s">
        <v>868</v>
      </c>
      <c r="D550" s="12"/>
      <c r="E550" s="13" t="s">
        <v>378</v>
      </c>
      <c r="F550" s="6" t="s">
        <v>3862</v>
      </c>
      <c r="G550" s="6" t="str">
        <f ca="1">IFERROR(__xludf.DUMMYFUNCTION("CONCATENATE(B550,(VLOOKUP(C550,CATALOGOS!$F$2:$H$6,3,FALSE)),(VLOOKUP(T550,CATALOGOS!$J$2:$K$18,2,FALSE)),""-"",TO_TEXT(A550))"),"P13LP-0549")</f>
        <v>P13LP-0549</v>
      </c>
      <c r="H550" s="6" t="s">
        <v>3863</v>
      </c>
      <c r="I550" s="6" t="s">
        <v>3864</v>
      </c>
      <c r="J550" s="36"/>
      <c r="K550" s="6" t="s">
        <v>141</v>
      </c>
      <c r="L550" s="17"/>
      <c r="M550" s="17"/>
      <c r="N550" s="17" t="str">
        <f t="shared" si="2"/>
        <v>REPETIDO</v>
      </c>
      <c r="O550" s="17" t="s">
        <v>35</v>
      </c>
      <c r="P550" s="6" t="s">
        <v>35</v>
      </c>
      <c r="Q550" s="6" t="s">
        <v>36</v>
      </c>
      <c r="R550" s="10" t="s">
        <v>3865</v>
      </c>
      <c r="S550" s="173" t="s">
        <v>38</v>
      </c>
      <c r="T550" s="11" t="s">
        <v>2328</v>
      </c>
      <c r="U550" s="22" t="s">
        <v>3450</v>
      </c>
      <c r="V550" s="22" t="s">
        <v>3450</v>
      </c>
    </row>
    <row r="551" spans="1:22" ht="57.75">
      <c r="A551" s="10" t="s">
        <v>3866</v>
      </c>
      <c r="B551" s="10" t="s">
        <v>1469</v>
      </c>
      <c r="C551" s="52" t="s">
        <v>868</v>
      </c>
      <c r="D551" s="12"/>
      <c r="E551" s="13" t="s">
        <v>378</v>
      </c>
      <c r="F551" s="6" t="s">
        <v>3867</v>
      </c>
      <c r="G551" s="6" t="str">
        <f ca="1">IFERROR(__xludf.DUMMYFUNCTION("CONCATENATE(B551,(VLOOKUP(C551,CATALOGOS!$F$2:$H$6,3,FALSE)),(VLOOKUP(T551,CATALOGOS!$J$2:$K$18,2,FALSE)),""-"",TO_TEXT(A551))"),"P13LP-0550")</f>
        <v>P13LP-0550</v>
      </c>
      <c r="H551" s="6" t="s">
        <v>3868</v>
      </c>
      <c r="I551" s="6" t="s">
        <v>3869</v>
      </c>
      <c r="J551" s="6" t="s">
        <v>3870</v>
      </c>
      <c r="K551" s="6" t="s">
        <v>141</v>
      </c>
      <c r="L551" s="17"/>
      <c r="M551" s="17"/>
      <c r="N551" s="17" t="str">
        <f t="shared" si="2"/>
        <v>REPETIDO</v>
      </c>
      <c r="O551" s="17" t="s">
        <v>35</v>
      </c>
      <c r="P551" s="6" t="s">
        <v>35</v>
      </c>
      <c r="Q551" s="17" t="s">
        <v>36</v>
      </c>
      <c r="R551" s="17" t="s">
        <v>3871</v>
      </c>
      <c r="S551" s="173" t="s">
        <v>38</v>
      </c>
      <c r="T551" s="11" t="s">
        <v>2328</v>
      </c>
      <c r="U551" s="22" t="s">
        <v>3450</v>
      </c>
      <c r="V551" s="22" t="s">
        <v>3450</v>
      </c>
    </row>
    <row r="552" spans="1:22" ht="57.75">
      <c r="A552" s="10" t="s">
        <v>3872</v>
      </c>
      <c r="B552" s="10" t="s">
        <v>1469</v>
      </c>
      <c r="C552" s="52" t="s">
        <v>868</v>
      </c>
      <c r="D552" s="12"/>
      <c r="E552" s="13" t="s">
        <v>378</v>
      </c>
      <c r="F552" s="6" t="s">
        <v>3867</v>
      </c>
      <c r="G552" s="6" t="str">
        <f ca="1">IFERROR(__xludf.DUMMYFUNCTION("CONCATENATE(B552,(VLOOKUP(C552,CATALOGOS!$F$2:$H$6,3,FALSE)),(VLOOKUP(T552,CATALOGOS!$J$2:$K$18,2,FALSE)),""-"",TO_TEXT(A552))"),"P13LP-0551")</f>
        <v>P13LP-0551</v>
      </c>
      <c r="H552" s="6" t="s">
        <v>3873</v>
      </c>
      <c r="I552" s="6" t="s">
        <v>3874</v>
      </c>
      <c r="J552" s="6" t="s">
        <v>3875</v>
      </c>
      <c r="K552" s="43" t="s">
        <v>3876</v>
      </c>
      <c r="L552" s="17"/>
      <c r="M552" s="17"/>
      <c r="N552" s="17" t="str">
        <f t="shared" si="2"/>
        <v>OK</v>
      </c>
      <c r="O552" s="17" t="s">
        <v>35</v>
      </c>
      <c r="P552" s="6" t="s">
        <v>35</v>
      </c>
      <c r="Q552" s="17" t="s">
        <v>36</v>
      </c>
      <c r="R552" s="17" t="s">
        <v>3877</v>
      </c>
      <c r="S552" s="173" t="s">
        <v>38</v>
      </c>
      <c r="T552" s="11" t="s">
        <v>2328</v>
      </c>
      <c r="U552" s="22" t="s">
        <v>3450</v>
      </c>
      <c r="V552" s="22" t="s">
        <v>3450</v>
      </c>
    </row>
    <row r="553" spans="1:22" ht="72">
      <c r="A553" s="10" t="s">
        <v>3878</v>
      </c>
      <c r="B553" s="10" t="s">
        <v>1469</v>
      </c>
      <c r="C553" s="52" t="s">
        <v>868</v>
      </c>
      <c r="D553" s="12"/>
      <c r="E553" s="13" t="s">
        <v>184</v>
      </c>
      <c r="F553" s="6" t="s">
        <v>3879</v>
      </c>
      <c r="G553" s="6" t="str">
        <f ca="1">IFERROR(__xludf.DUMMYFUNCTION("CONCATENATE(B553,(VLOOKUP(C553,CATALOGOS!$F$2:$H$6,3,FALSE)),(VLOOKUP(T553,CATALOGOS!$J$2:$K$18,2,FALSE)),""-"",TO_TEXT(A553))"),"P13LP-0552")</f>
        <v>P13LP-0552</v>
      </c>
      <c r="H553" s="6" t="s">
        <v>3880</v>
      </c>
      <c r="I553" s="6" t="s">
        <v>3881</v>
      </c>
      <c r="J553" s="6" t="s">
        <v>3882</v>
      </c>
      <c r="K553" s="6" t="s">
        <v>3883</v>
      </c>
      <c r="L553" s="17"/>
      <c r="M553" s="17"/>
      <c r="N553" s="17" t="str">
        <f t="shared" si="2"/>
        <v>OK</v>
      </c>
      <c r="O553" s="17" t="s">
        <v>35</v>
      </c>
      <c r="P553" s="6" t="s">
        <v>35</v>
      </c>
      <c r="Q553" s="17" t="s">
        <v>36</v>
      </c>
      <c r="R553" s="17" t="s">
        <v>3884</v>
      </c>
      <c r="S553" s="173" t="s">
        <v>38</v>
      </c>
      <c r="T553" s="11" t="s">
        <v>2328</v>
      </c>
      <c r="U553" s="22" t="s">
        <v>3450</v>
      </c>
      <c r="V553" s="22" t="s">
        <v>3450</v>
      </c>
    </row>
    <row r="554" spans="1:22" ht="72">
      <c r="A554" s="10" t="s">
        <v>3885</v>
      </c>
      <c r="B554" s="10" t="s">
        <v>1469</v>
      </c>
      <c r="C554" s="52" t="s">
        <v>868</v>
      </c>
      <c r="D554" s="12"/>
      <c r="E554" s="13" t="s">
        <v>93</v>
      </c>
      <c r="F554" s="6" t="s">
        <v>3886</v>
      </c>
      <c r="G554" s="6" t="str">
        <f ca="1">IFERROR(__xludf.DUMMYFUNCTION("CONCATENATE(B554,(VLOOKUP(C554,CATALOGOS!$F$2:$H$6,3,FALSE)),(VLOOKUP(T554,CATALOGOS!$J$2:$K$18,2,FALSE)),""-"",TO_TEXT(A554))"),"P13LP-0553")</f>
        <v>P13LP-0553</v>
      </c>
      <c r="H554" s="6" t="s">
        <v>3887</v>
      </c>
      <c r="I554" s="6" t="s">
        <v>3888</v>
      </c>
      <c r="J554" s="6" t="s">
        <v>3889</v>
      </c>
      <c r="K554" s="6" t="s">
        <v>3890</v>
      </c>
      <c r="L554" s="17"/>
      <c r="M554" s="17"/>
      <c r="N554" s="17" t="str">
        <f t="shared" si="2"/>
        <v>OK</v>
      </c>
      <c r="O554" s="17" t="s">
        <v>35</v>
      </c>
      <c r="P554" s="6" t="s">
        <v>35</v>
      </c>
      <c r="Q554" s="17" t="s">
        <v>36</v>
      </c>
      <c r="R554" s="17" t="s">
        <v>3891</v>
      </c>
      <c r="S554" s="173" t="s">
        <v>38</v>
      </c>
      <c r="T554" s="11" t="s">
        <v>2328</v>
      </c>
      <c r="U554" s="22" t="s">
        <v>3450</v>
      </c>
      <c r="V554" s="22" t="s">
        <v>3450</v>
      </c>
    </row>
    <row r="555" spans="1:22" ht="72">
      <c r="A555" s="10" t="s">
        <v>3892</v>
      </c>
      <c r="B555" s="10" t="s">
        <v>1469</v>
      </c>
      <c r="C555" s="52" t="s">
        <v>868</v>
      </c>
      <c r="D555" s="12"/>
      <c r="E555" s="13" t="s">
        <v>93</v>
      </c>
      <c r="F555" s="6" t="s">
        <v>3893</v>
      </c>
      <c r="G555" s="6" t="str">
        <f ca="1">IFERROR(__xludf.DUMMYFUNCTION("CONCATENATE(B555,(VLOOKUP(C555,CATALOGOS!$F$2:$H$6,3,FALSE)),(VLOOKUP(T555,CATALOGOS!$J$2:$K$18,2,FALSE)),""-"",TO_TEXT(A555))"),"P13LP-0554")</f>
        <v>P13LP-0554</v>
      </c>
      <c r="H555" s="6" t="s">
        <v>3894</v>
      </c>
      <c r="I555" s="6" t="s">
        <v>3895</v>
      </c>
      <c r="J555" s="6" t="s">
        <v>3896</v>
      </c>
      <c r="K555" s="6" t="s">
        <v>3897</v>
      </c>
      <c r="L555" s="17"/>
      <c r="M555" s="17"/>
      <c r="N555" s="17" t="str">
        <f t="shared" si="2"/>
        <v>OK</v>
      </c>
      <c r="O555" s="17" t="s">
        <v>35</v>
      </c>
      <c r="P555" s="6" t="s">
        <v>35</v>
      </c>
      <c r="Q555" s="17" t="s">
        <v>36</v>
      </c>
      <c r="R555" s="17" t="s">
        <v>3898</v>
      </c>
      <c r="S555" s="173" t="s">
        <v>38</v>
      </c>
      <c r="T555" s="11" t="s">
        <v>2328</v>
      </c>
      <c r="U555" s="22" t="s">
        <v>3450</v>
      </c>
      <c r="V555" s="22" t="s">
        <v>3450</v>
      </c>
    </row>
    <row r="556" spans="1:22" ht="43.5">
      <c r="A556" s="10" t="s">
        <v>3899</v>
      </c>
      <c r="B556" s="10" t="s">
        <v>1469</v>
      </c>
      <c r="C556" s="52" t="s">
        <v>868</v>
      </c>
      <c r="D556" s="12"/>
      <c r="E556" s="13" t="s">
        <v>43</v>
      </c>
      <c r="F556" s="6" t="s">
        <v>1850</v>
      </c>
      <c r="G556" s="6" t="str">
        <f ca="1">IFERROR(__xludf.DUMMYFUNCTION("CONCATENATE(B556,(VLOOKUP(C556,CATALOGOS!$F$2:$H$6,3,FALSE)),(VLOOKUP(T556,CATALOGOS!$J$2:$K$18,2,FALSE)),""-"",TO_TEXT(A556))"),"P13LP-0555")</f>
        <v>P13LP-0555</v>
      </c>
      <c r="H556" s="6" t="s">
        <v>3900</v>
      </c>
      <c r="I556" s="6" t="s">
        <v>3901</v>
      </c>
      <c r="J556" s="6" t="s">
        <v>3902</v>
      </c>
      <c r="K556" s="6" t="s">
        <v>3903</v>
      </c>
      <c r="L556" s="17"/>
      <c r="M556" s="17"/>
      <c r="N556" s="17" t="str">
        <f t="shared" si="2"/>
        <v>OK</v>
      </c>
      <c r="O556" s="17" t="s">
        <v>49</v>
      </c>
      <c r="P556" s="6">
        <v>3358</v>
      </c>
      <c r="Q556" s="17" t="s">
        <v>36</v>
      </c>
      <c r="R556" s="10" t="s">
        <v>3904</v>
      </c>
      <c r="S556" s="173" t="s">
        <v>38</v>
      </c>
      <c r="T556" s="11" t="s">
        <v>2328</v>
      </c>
      <c r="U556" s="22" t="s">
        <v>3450</v>
      </c>
      <c r="V556" s="22" t="s">
        <v>3450</v>
      </c>
    </row>
    <row r="557" spans="1:22" ht="57.75">
      <c r="A557" s="10" t="s">
        <v>3905</v>
      </c>
      <c r="B557" s="10" t="s">
        <v>1469</v>
      </c>
      <c r="C557" s="52" t="s">
        <v>868</v>
      </c>
      <c r="D557" s="12"/>
      <c r="E557" s="13" t="s">
        <v>62</v>
      </c>
      <c r="F557" s="6" t="s">
        <v>3906</v>
      </c>
      <c r="G557" s="6" t="str">
        <f ca="1">IFERROR(__xludf.DUMMYFUNCTION("CONCATENATE(B557,(VLOOKUP(C557,CATALOGOS!$F$2:$H$6,3,FALSE)),(VLOOKUP(T557,CATALOGOS!$J$2:$K$18,2,FALSE)),""-"",TO_TEXT(A557))"),"P13LP-0556")</f>
        <v>P13LP-0556</v>
      </c>
      <c r="H557" s="6" t="s">
        <v>3907</v>
      </c>
      <c r="I557" s="6" t="s">
        <v>3908</v>
      </c>
      <c r="J557" s="6" t="s">
        <v>3909</v>
      </c>
      <c r="K557" s="6" t="s">
        <v>3910</v>
      </c>
      <c r="L557" s="17"/>
      <c r="M557" s="17"/>
      <c r="N557" s="17" t="str">
        <f t="shared" si="2"/>
        <v>OK</v>
      </c>
      <c r="O557" s="17" t="s">
        <v>35</v>
      </c>
      <c r="P557" s="6" t="s">
        <v>35</v>
      </c>
      <c r="Q557" s="17" t="s">
        <v>36</v>
      </c>
      <c r="R557" s="17" t="s">
        <v>3911</v>
      </c>
      <c r="S557" s="173" t="s">
        <v>38</v>
      </c>
      <c r="T557" s="11" t="s">
        <v>2328</v>
      </c>
      <c r="U557" s="22" t="s">
        <v>3450</v>
      </c>
      <c r="V557" s="22" t="s">
        <v>3450</v>
      </c>
    </row>
    <row r="558" spans="1:22" ht="29.25">
      <c r="A558" s="10" t="s">
        <v>3912</v>
      </c>
      <c r="B558" s="10" t="s">
        <v>1469</v>
      </c>
      <c r="C558" s="52" t="s">
        <v>868</v>
      </c>
      <c r="D558" s="12"/>
      <c r="E558" s="13" t="s">
        <v>29</v>
      </c>
      <c r="F558" s="6" t="s">
        <v>29</v>
      </c>
      <c r="G558" s="6" t="str">
        <f ca="1">IFERROR(__xludf.DUMMYFUNCTION("CONCATENATE(B558,(VLOOKUP(C558,CATALOGOS!$F$2:$H$6,3,FALSE)),(VLOOKUP(T558,CATALOGOS!$J$2:$K$18,2,FALSE)),""-"",TO_TEXT(A558))"),"P13LP-0557")</f>
        <v>P13LP-0557</v>
      </c>
      <c r="H558" s="6" t="s">
        <v>3913</v>
      </c>
      <c r="I558" s="54"/>
      <c r="J558" s="6" t="s">
        <v>3914</v>
      </c>
      <c r="K558" s="6" t="s">
        <v>3915</v>
      </c>
      <c r="L558" s="17"/>
      <c r="M558" s="17"/>
      <c r="N558" s="17" t="str">
        <f t="shared" si="2"/>
        <v>OK</v>
      </c>
      <c r="O558" s="17" t="s">
        <v>35</v>
      </c>
      <c r="P558" s="6" t="s">
        <v>35</v>
      </c>
      <c r="Q558" s="17" t="s">
        <v>36</v>
      </c>
      <c r="R558" s="17" t="s">
        <v>3916</v>
      </c>
      <c r="S558" s="173" t="s">
        <v>38</v>
      </c>
      <c r="T558" s="11" t="s">
        <v>2328</v>
      </c>
      <c r="U558" s="22" t="s">
        <v>3450</v>
      </c>
      <c r="V558" s="22" t="s">
        <v>3450</v>
      </c>
    </row>
    <row r="559" spans="1:22" ht="43.5">
      <c r="A559" s="10" t="s">
        <v>3917</v>
      </c>
      <c r="B559" s="10" t="s">
        <v>1469</v>
      </c>
      <c r="C559" s="52" t="s">
        <v>868</v>
      </c>
      <c r="D559" s="12"/>
      <c r="E559" s="13" t="s">
        <v>3521</v>
      </c>
      <c r="F559" s="6" t="s">
        <v>1510</v>
      </c>
      <c r="G559" s="6" t="str">
        <f ca="1">IFERROR(__xludf.DUMMYFUNCTION("CONCATENATE(B559,(VLOOKUP(C559,CATALOGOS!$F$2:$H$6,3,FALSE)),(VLOOKUP(T559,CATALOGOS!$J$2:$K$18,2,FALSE)),""-"",TO_TEXT(A559))"),"P13LP-0558")</f>
        <v>P13LP-0558</v>
      </c>
      <c r="H559" s="6" t="s">
        <v>3918</v>
      </c>
      <c r="I559" s="54"/>
      <c r="J559" s="6" t="s">
        <v>3919</v>
      </c>
      <c r="K559" s="6" t="s">
        <v>3920</v>
      </c>
      <c r="L559" s="17"/>
      <c r="M559" s="17"/>
      <c r="N559" s="17" t="str">
        <f t="shared" si="2"/>
        <v>OK</v>
      </c>
      <c r="O559" s="17" t="s">
        <v>35</v>
      </c>
      <c r="P559" s="6" t="s">
        <v>35</v>
      </c>
      <c r="Q559" s="17" t="s">
        <v>36</v>
      </c>
      <c r="R559" s="17" t="s">
        <v>3921</v>
      </c>
      <c r="S559" s="173" t="s">
        <v>38</v>
      </c>
      <c r="T559" s="11" t="s">
        <v>2328</v>
      </c>
      <c r="U559" s="22" t="s">
        <v>3450</v>
      </c>
      <c r="V559" s="22" t="s">
        <v>3450</v>
      </c>
    </row>
    <row r="560" spans="1:22" ht="72">
      <c r="A560" s="10" t="s">
        <v>3922</v>
      </c>
      <c r="B560" s="10" t="s">
        <v>1469</v>
      </c>
      <c r="C560" s="52" t="s">
        <v>868</v>
      </c>
      <c r="D560" s="12"/>
      <c r="E560" s="13" t="s">
        <v>116</v>
      </c>
      <c r="F560" s="6" t="s">
        <v>8440</v>
      </c>
      <c r="G560" s="6" t="str">
        <f ca="1">IFERROR(__xludf.DUMMYFUNCTION("CONCATENATE(B560,(VLOOKUP(C560,CATALOGOS!$F$2:$H$6,3,FALSE)),(VLOOKUP(T560,CATALOGOS!$J$2:$K$18,2,FALSE)),""-"",TO_TEXT(A560))"),"P13LP-0559")</f>
        <v>P13LP-0559</v>
      </c>
      <c r="H560" s="6" t="s">
        <v>3924</v>
      </c>
      <c r="I560" s="6" t="s">
        <v>3925</v>
      </c>
      <c r="J560" s="6" t="s">
        <v>3926</v>
      </c>
      <c r="K560" s="6" t="s">
        <v>3927</v>
      </c>
      <c r="L560" s="17"/>
      <c r="M560" s="17"/>
      <c r="N560" s="17" t="str">
        <f t="shared" si="2"/>
        <v>OK</v>
      </c>
      <c r="O560" s="17" t="s">
        <v>35</v>
      </c>
      <c r="P560" s="6" t="s">
        <v>35</v>
      </c>
      <c r="Q560" s="17" t="s">
        <v>36</v>
      </c>
      <c r="R560" s="17" t="s">
        <v>3928</v>
      </c>
      <c r="S560" s="173" t="s">
        <v>38</v>
      </c>
      <c r="T560" s="11" t="s">
        <v>2328</v>
      </c>
      <c r="U560" s="22" t="s">
        <v>3450</v>
      </c>
      <c r="V560" s="22" t="s">
        <v>3450</v>
      </c>
    </row>
    <row r="561" spans="1:22" ht="86.25">
      <c r="A561" s="10" t="s">
        <v>3929</v>
      </c>
      <c r="B561" s="10" t="s">
        <v>1469</v>
      </c>
      <c r="C561" s="52" t="s">
        <v>868</v>
      </c>
      <c r="D561" s="12"/>
      <c r="E561" s="13" t="s">
        <v>1240</v>
      </c>
      <c r="F561" s="43" t="s">
        <v>278</v>
      </c>
      <c r="G561" s="6" t="str">
        <f ca="1">IFERROR(__xludf.DUMMYFUNCTION("CONCATENATE(B561,(VLOOKUP(C561,CATALOGOS!$F$2:$H$6,3,FALSE)),(VLOOKUP(T561,CATALOGOS!$J$2:$K$18,2,FALSE)),""-"",TO_TEXT(A561))"),"P13LP-0560")</f>
        <v>P13LP-0560</v>
      </c>
      <c r="H561" s="6" t="s">
        <v>3931</v>
      </c>
      <c r="I561" s="6" t="s">
        <v>3932</v>
      </c>
      <c r="J561" s="6" t="s">
        <v>3933</v>
      </c>
      <c r="K561" s="6" t="s">
        <v>3934</v>
      </c>
      <c r="L561" s="17"/>
      <c r="M561" s="17"/>
      <c r="N561" s="17" t="str">
        <f t="shared" si="2"/>
        <v>OK</v>
      </c>
      <c r="O561" s="35" t="s">
        <v>35</v>
      </c>
      <c r="P561" s="6" t="s">
        <v>35</v>
      </c>
      <c r="Q561" s="17" t="s">
        <v>36</v>
      </c>
      <c r="R561" s="17" t="s">
        <v>3935</v>
      </c>
      <c r="S561" s="173" t="s">
        <v>38</v>
      </c>
      <c r="T561" s="11" t="s">
        <v>2328</v>
      </c>
      <c r="U561" s="22" t="s">
        <v>3450</v>
      </c>
      <c r="V561" s="22" t="s">
        <v>3450</v>
      </c>
    </row>
    <row r="562" spans="1:22" ht="86.25">
      <c r="A562" s="10" t="s">
        <v>3936</v>
      </c>
      <c r="B562" s="10" t="s">
        <v>1469</v>
      </c>
      <c r="C562" s="52" t="s">
        <v>868</v>
      </c>
      <c r="D562" s="12"/>
      <c r="E562" s="13" t="s">
        <v>1240</v>
      </c>
      <c r="F562" s="43" t="s">
        <v>278</v>
      </c>
      <c r="G562" s="6" t="str">
        <f ca="1">IFERROR(__xludf.DUMMYFUNCTION("CONCATENATE(B562,(VLOOKUP(C562,CATALOGOS!$F$2:$H$6,3,FALSE)),(VLOOKUP(T562,CATALOGOS!$J$2:$K$18,2,FALSE)),""-"",TO_TEXT(A562))"),"P13LP-0561")</f>
        <v>P13LP-0561</v>
      </c>
      <c r="H562" s="6" t="s">
        <v>3937</v>
      </c>
      <c r="I562" s="6" t="s">
        <v>3938</v>
      </c>
      <c r="J562" s="6" t="s">
        <v>3939</v>
      </c>
      <c r="K562" s="6" t="s">
        <v>3940</v>
      </c>
      <c r="L562" s="17"/>
      <c r="M562" s="17"/>
      <c r="N562" s="17" t="str">
        <f t="shared" si="2"/>
        <v>OK</v>
      </c>
      <c r="O562" s="17" t="s">
        <v>35</v>
      </c>
      <c r="P562" s="6" t="s">
        <v>35</v>
      </c>
      <c r="Q562" s="17" t="s">
        <v>36</v>
      </c>
      <c r="R562" s="17" t="s">
        <v>3941</v>
      </c>
      <c r="S562" s="173" t="s">
        <v>38</v>
      </c>
      <c r="T562" s="11" t="s">
        <v>2328</v>
      </c>
      <c r="U562" s="22" t="s">
        <v>3450</v>
      </c>
      <c r="V562" s="22" t="s">
        <v>3450</v>
      </c>
    </row>
    <row r="563" spans="1:22" ht="57.75">
      <c r="A563" s="10" t="s">
        <v>3942</v>
      </c>
      <c r="B563" s="10" t="s">
        <v>1469</v>
      </c>
      <c r="C563" s="52" t="s">
        <v>868</v>
      </c>
      <c r="D563" s="12"/>
      <c r="E563" s="13" t="s">
        <v>184</v>
      </c>
      <c r="F563" s="6" t="s">
        <v>2677</v>
      </c>
      <c r="G563" s="6" t="str">
        <f ca="1">IFERROR(__xludf.DUMMYFUNCTION("CONCATENATE(B563,(VLOOKUP(C563,CATALOGOS!$F$2:$H$6,3,FALSE)),(VLOOKUP(T563,CATALOGOS!$J$2:$K$18,2,FALSE)),""-"",TO_TEXT(A563))"),"P13LP-0562")</f>
        <v>P13LP-0562</v>
      </c>
      <c r="H563" s="6" t="s">
        <v>3943</v>
      </c>
      <c r="I563" s="6" t="s">
        <v>3944</v>
      </c>
      <c r="J563" s="6" t="s">
        <v>3945</v>
      </c>
      <c r="K563" s="6" t="s">
        <v>3946</v>
      </c>
      <c r="L563" s="17"/>
      <c r="M563" s="17"/>
      <c r="N563" s="17" t="str">
        <f t="shared" si="2"/>
        <v>OK</v>
      </c>
      <c r="O563" s="17" t="s">
        <v>35</v>
      </c>
      <c r="P563" s="6" t="s">
        <v>35</v>
      </c>
      <c r="Q563" s="17" t="s">
        <v>36</v>
      </c>
      <c r="R563" s="17" t="s">
        <v>3947</v>
      </c>
      <c r="S563" s="173" t="s">
        <v>38</v>
      </c>
      <c r="T563" s="11" t="s">
        <v>2328</v>
      </c>
      <c r="U563" s="22" t="s">
        <v>3450</v>
      </c>
      <c r="V563" s="22" t="s">
        <v>3450</v>
      </c>
    </row>
    <row r="564" spans="1:22" ht="29.25">
      <c r="A564" s="10" t="s">
        <v>3948</v>
      </c>
      <c r="B564" s="10" t="s">
        <v>1469</v>
      </c>
      <c r="C564" s="52" t="s">
        <v>868</v>
      </c>
      <c r="D564" s="12"/>
      <c r="E564" s="13" t="s">
        <v>248</v>
      </c>
      <c r="F564" s="6" t="s">
        <v>249</v>
      </c>
      <c r="G564" s="6" t="str">
        <f ca="1">IFERROR(__xludf.DUMMYFUNCTION("CONCATENATE(B564,(VLOOKUP(C564,CATALOGOS!$F$2:$H$6,3,FALSE)),(VLOOKUP(T564,CATALOGOS!$J$2:$K$18,2,FALSE)),""-"",TO_TEXT(A564))"),"P13LP-0563")</f>
        <v>P13LP-0563</v>
      </c>
      <c r="H564" s="6" t="s">
        <v>3949</v>
      </c>
      <c r="I564" s="6" t="s">
        <v>3950</v>
      </c>
      <c r="J564" s="6" t="s">
        <v>3951</v>
      </c>
      <c r="K564" s="6" t="s">
        <v>141</v>
      </c>
      <c r="L564" s="17"/>
      <c r="M564" s="17"/>
      <c r="N564" s="17" t="str">
        <f t="shared" si="2"/>
        <v>REPETIDO</v>
      </c>
      <c r="O564" s="17" t="s">
        <v>303</v>
      </c>
      <c r="P564" s="32" t="s">
        <v>304</v>
      </c>
      <c r="Q564" s="17" t="s">
        <v>3952</v>
      </c>
      <c r="R564" s="10" t="s">
        <v>3953</v>
      </c>
      <c r="S564" s="173" t="s">
        <v>38</v>
      </c>
      <c r="T564" s="11" t="s">
        <v>2328</v>
      </c>
      <c r="U564" s="22" t="s">
        <v>3450</v>
      </c>
      <c r="V564" s="22" t="s">
        <v>3450</v>
      </c>
    </row>
    <row r="565" spans="1:22" ht="57.75">
      <c r="A565" s="10" t="s">
        <v>3954</v>
      </c>
      <c r="B565" s="10" t="s">
        <v>1469</v>
      </c>
      <c r="C565" s="52" t="s">
        <v>868</v>
      </c>
      <c r="D565" s="12"/>
      <c r="E565" s="13" t="s">
        <v>199</v>
      </c>
      <c r="F565" s="6" t="s">
        <v>199</v>
      </c>
      <c r="G565" s="6" t="str">
        <f ca="1">IFERROR(__xludf.DUMMYFUNCTION("CONCATENATE(B565,(VLOOKUP(C565,CATALOGOS!$F$2:$H$6,3,FALSE)),(VLOOKUP(T565,CATALOGOS!$J$2:$K$18,2,FALSE)),""-"",TO_TEXT(A565))"),"P13LP-0564")</f>
        <v>P13LP-0564</v>
      </c>
      <c r="H565" s="6" t="s">
        <v>3955</v>
      </c>
      <c r="I565" s="6" t="s">
        <v>3956</v>
      </c>
      <c r="J565" s="6" t="s">
        <v>3957</v>
      </c>
      <c r="K565" s="6" t="s">
        <v>3958</v>
      </c>
      <c r="L565" s="17"/>
      <c r="M565" s="17"/>
      <c r="N565" s="17" t="str">
        <f t="shared" si="2"/>
        <v>OK</v>
      </c>
      <c r="O565" s="17" t="s">
        <v>205</v>
      </c>
      <c r="P565" s="6" t="s">
        <v>3959</v>
      </c>
      <c r="Q565" s="17" t="s">
        <v>3960</v>
      </c>
      <c r="R565" s="17" t="s">
        <v>3961</v>
      </c>
      <c r="S565" s="173" t="s">
        <v>38</v>
      </c>
      <c r="T565" s="11" t="s">
        <v>2328</v>
      </c>
      <c r="U565" s="22" t="s">
        <v>3450</v>
      </c>
      <c r="V565" s="22" t="s">
        <v>3450</v>
      </c>
    </row>
    <row r="566" spans="1:22" ht="29.25">
      <c r="A566" s="10" t="s">
        <v>3962</v>
      </c>
      <c r="B566" s="10" t="s">
        <v>1469</v>
      </c>
      <c r="C566" s="52" t="s">
        <v>868</v>
      </c>
      <c r="D566" s="12"/>
      <c r="E566" s="13" t="s">
        <v>151</v>
      </c>
      <c r="F566" s="6" t="s">
        <v>963</v>
      </c>
      <c r="G566" s="6" t="str">
        <f ca="1">IFERROR(__xludf.DUMMYFUNCTION("CONCATENATE(B566,(VLOOKUP(C566,CATALOGOS!$F$2:$H$6,3,FALSE)),(VLOOKUP(T566,CATALOGOS!$J$2:$K$18,2,FALSE)),""-"",TO_TEXT(A566))"),"P13LP-0565")</f>
        <v>P13LP-0565</v>
      </c>
      <c r="H566" s="6" t="s">
        <v>3963</v>
      </c>
      <c r="I566" s="6" t="s">
        <v>3964</v>
      </c>
      <c r="J566" s="6" t="s">
        <v>3965</v>
      </c>
      <c r="K566" s="6" t="s">
        <v>3966</v>
      </c>
      <c r="L566" s="17"/>
      <c r="M566" s="17"/>
      <c r="N566" s="17" t="str">
        <f t="shared" si="2"/>
        <v>OK</v>
      </c>
      <c r="O566" s="17" t="s">
        <v>205</v>
      </c>
      <c r="P566" s="6" t="s">
        <v>3967</v>
      </c>
      <c r="Q566" s="17" t="s">
        <v>3968</v>
      </c>
      <c r="R566" s="17" t="s">
        <v>3969</v>
      </c>
      <c r="S566" s="173" t="s">
        <v>38</v>
      </c>
      <c r="T566" s="11" t="s">
        <v>2328</v>
      </c>
      <c r="U566" s="22" t="s">
        <v>3450</v>
      </c>
      <c r="V566" s="22" t="s">
        <v>3450</v>
      </c>
    </row>
    <row r="567" spans="1:22" ht="30">
      <c r="A567" s="10" t="s">
        <v>3970</v>
      </c>
      <c r="B567" s="10" t="s">
        <v>1469</v>
      </c>
      <c r="C567" s="52" t="s">
        <v>868</v>
      </c>
      <c r="D567" s="38"/>
      <c r="E567" s="13" t="s">
        <v>162</v>
      </c>
      <c r="F567" s="6" t="s">
        <v>285</v>
      </c>
      <c r="G567" s="6" t="str">
        <f ca="1">IFERROR(__xludf.DUMMYFUNCTION("CONCATENATE(B567,(VLOOKUP(C567,CATALOGOS!$F$2:$H$6,3,FALSE)),(VLOOKUP(T567,CATALOGOS!$J$2:$K$18,2,FALSE)),""-"",TO_TEXT(A567))"),"P13LP-0566")</f>
        <v>P13LP-0566</v>
      </c>
      <c r="H567" s="6" t="s">
        <v>3971</v>
      </c>
      <c r="I567" s="6" t="s">
        <v>3972</v>
      </c>
      <c r="J567" s="6" t="s">
        <v>3973</v>
      </c>
      <c r="K567" s="6" t="s">
        <v>3974</v>
      </c>
      <c r="L567" s="17"/>
      <c r="M567" s="17"/>
      <c r="N567" s="17" t="str">
        <f t="shared" si="2"/>
        <v>OK</v>
      </c>
      <c r="O567" s="17" t="s">
        <v>168</v>
      </c>
      <c r="P567" s="6" t="s">
        <v>169</v>
      </c>
      <c r="Q567" s="46" t="s">
        <v>3975</v>
      </c>
      <c r="R567" s="17" t="s">
        <v>3976</v>
      </c>
      <c r="S567" s="173" t="s">
        <v>38</v>
      </c>
      <c r="T567" s="11" t="s">
        <v>2328</v>
      </c>
      <c r="U567" s="32" t="s">
        <v>3450</v>
      </c>
      <c r="V567" s="32" t="s">
        <v>3450</v>
      </c>
    </row>
    <row r="568" spans="1:22" ht="43.5">
      <c r="A568" s="10" t="s">
        <v>3977</v>
      </c>
      <c r="B568" s="10" t="s">
        <v>1469</v>
      </c>
      <c r="C568" s="52" t="s">
        <v>868</v>
      </c>
      <c r="D568" s="12"/>
      <c r="E568" s="13" t="s">
        <v>93</v>
      </c>
      <c r="F568" s="6" t="s">
        <v>3978</v>
      </c>
      <c r="G568" s="6" t="str">
        <f ca="1">IFERROR(__xludf.DUMMYFUNCTION("CONCATENATE(B568,(VLOOKUP(C568,CATALOGOS!$F$2:$H$6,3,FALSE)),(VLOOKUP(T568,CATALOGOS!$J$2:$K$18,2,FALSE)),""-"",TO_TEXT(A568))"),"P13LP-0567")</f>
        <v>P13LP-0567</v>
      </c>
      <c r="H568" s="6" t="s">
        <v>3979</v>
      </c>
      <c r="I568" s="6" t="s">
        <v>3980</v>
      </c>
      <c r="J568" s="6" t="s">
        <v>3981</v>
      </c>
      <c r="K568" s="6" t="s">
        <v>3982</v>
      </c>
      <c r="L568" s="17"/>
      <c r="M568" s="17"/>
      <c r="N568" s="17" t="str">
        <f t="shared" si="2"/>
        <v>OK</v>
      </c>
      <c r="O568" s="17" t="s">
        <v>35</v>
      </c>
      <c r="P568" s="6" t="s">
        <v>35</v>
      </c>
      <c r="Q568" s="17" t="s">
        <v>36</v>
      </c>
      <c r="R568" s="17" t="s">
        <v>3983</v>
      </c>
      <c r="S568" s="173" t="s">
        <v>38</v>
      </c>
      <c r="T568" s="11" t="s">
        <v>2328</v>
      </c>
      <c r="U568" s="22" t="s">
        <v>3984</v>
      </c>
      <c r="V568" s="22" t="s">
        <v>3984</v>
      </c>
    </row>
    <row r="569" spans="1:22" ht="43.5">
      <c r="A569" s="10" t="s">
        <v>3985</v>
      </c>
      <c r="B569" s="10" t="s">
        <v>1469</v>
      </c>
      <c r="C569" s="52" t="s">
        <v>868</v>
      </c>
      <c r="D569" s="12"/>
      <c r="E569" s="13" t="s">
        <v>116</v>
      </c>
      <c r="F569" s="6" t="s">
        <v>117</v>
      </c>
      <c r="G569" s="6" t="str">
        <f ca="1">IFERROR(__xludf.DUMMYFUNCTION("CONCATENATE(B569,(VLOOKUP(C569,CATALOGOS!$F$2:$H$6,3,FALSE)),(VLOOKUP(T569,CATALOGOS!$J$2:$K$18,2,FALSE)),""-"",TO_TEXT(A569))"),"P13LP-0568")</f>
        <v>P13LP-0568</v>
      </c>
      <c r="H569" s="6" t="s">
        <v>3986</v>
      </c>
      <c r="I569" s="6" t="s">
        <v>3987</v>
      </c>
      <c r="J569" s="6" t="s">
        <v>3988</v>
      </c>
      <c r="K569" s="6" t="s">
        <v>3989</v>
      </c>
      <c r="L569" s="17"/>
      <c r="M569" s="17"/>
      <c r="N569" s="17" t="str">
        <f t="shared" si="2"/>
        <v>OK</v>
      </c>
      <c r="O569" s="17" t="s">
        <v>35</v>
      </c>
      <c r="P569" s="6" t="s">
        <v>35</v>
      </c>
      <c r="Q569" s="17" t="s">
        <v>36</v>
      </c>
      <c r="R569" s="17" t="s">
        <v>3990</v>
      </c>
      <c r="S569" s="173" t="s">
        <v>38</v>
      </c>
      <c r="T569" s="11" t="s">
        <v>2328</v>
      </c>
      <c r="U569" s="22" t="s">
        <v>3984</v>
      </c>
      <c r="V569" s="22" t="s">
        <v>3984</v>
      </c>
    </row>
    <row r="570" spans="1:22" ht="57.75">
      <c r="A570" s="10" t="s">
        <v>3991</v>
      </c>
      <c r="B570" s="10" t="s">
        <v>1469</v>
      </c>
      <c r="C570" s="52" t="s">
        <v>868</v>
      </c>
      <c r="D570" s="12"/>
      <c r="E570" s="13" t="s">
        <v>93</v>
      </c>
      <c r="F570" s="6" t="s">
        <v>3992</v>
      </c>
      <c r="G570" s="6" t="str">
        <f ca="1">IFERROR(__xludf.DUMMYFUNCTION("CONCATENATE(B570,(VLOOKUP(C570,CATALOGOS!$F$2:$H$6,3,FALSE)),(VLOOKUP(T570,CATALOGOS!$J$2:$K$18,2,FALSE)),""-"",TO_TEXT(A570))"),"P13LP-0569")</f>
        <v>P13LP-0569</v>
      </c>
      <c r="H570" s="6" t="s">
        <v>3993</v>
      </c>
      <c r="I570" s="6" t="s">
        <v>3994</v>
      </c>
      <c r="J570" s="6" t="s">
        <v>3995</v>
      </c>
      <c r="K570" s="6" t="s">
        <v>3996</v>
      </c>
      <c r="L570" s="17"/>
      <c r="M570" s="17"/>
      <c r="N570" s="17" t="str">
        <f t="shared" si="2"/>
        <v>OK</v>
      </c>
      <c r="O570" s="17" t="s">
        <v>35</v>
      </c>
      <c r="P570" s="6" t="s">
        <v>35</v>
      </c>
      <c r="Q570" s="17" t="s">
        <v>36</v>
      </c>
      <c r="R570" s="17" t="s">
        <v>3997</v>
      </c>
      <c r="S570" s="173" t="s">
        <v>38</v>
      </c>
      <c r="T570" s="11" t="s">
        <v>2328</v>
      </c>
      <c r="U570" s="22" t="s">
        <v>3984</v>
      </c>
      <c r="V570" s="22" t="s">
        <v>3984</v>
      </c>
    </row>
    <row r="571" spans="1:22" ht="57.75">
      <c r="A571" s="10" t="s">
        <v>3998</v>
      </c>
      <c r="B571" s="10" t="s">
        <v>1469</v>
      </c>
      <c r="C571" s="52" t="s">
        <v>868</v>
      </c>
      <c r="D571" s="12"/>
      <c r="E571" s="13" t="s">
        <v>71</v>
      </c>
      <c r="F571" s="6" t="s">
        <v>3999</v>
      </c>
      <c r="G571" s="6" t="str">
        <f ca="1">IFERROR(__xludf.DUMMYFUNCTION("CONCATENATE(B571,(VLOOKUP(C571,CATALOGOS!$F$2:$H$6,3,FALSE)),(VLOOKUP(T571,CATALOGOS!$J$2:$K$18,2,FALSE)),""-"",TO_TEXT(A571))"),"P13LP-0570")</f>
        <v>P13LP-0570</v>
      </c>
      <c r="H571" s="6" t="s">
        <v>4000</v>
      </c>
      <c r="I571" s="6" t="s">
        <v>4001</v>
      </c>
      <c r="J571" s="6" t="s">
        <v>4002</v>
      </c>
      <c r="K571" s="6" t="s">
        <v>4003</v>
      </c>
      <c r="L571" s="17"/>
      <c r="M571" s="17"/>
      <c r="N571" s="17" t="str">
        <f t="shared" si="2"/>
        <v>OK</v>
      </c>
      <c r="O571" s="17" t="s">
        <v>35</v>
      </c>
      <c r="P571" s="6" t="s">
        <v>35</v>
      </c>
      <c r="Q571" s="17" t="s">
        <v>36</v>
      </c>
      <c r="R571" s="17" t="s">
        <v>4004</v>
      </c>
      <c r="S571" s="173" t="s">
        <v>38</v>
      </c>
      <c r="T571" s="11" t="s">
        <v>2328</v>
      </c>
      <c r="U571" s="22" t="s">
        <v>3984</v>
      </c>
      <c r="V571" s="22" t="s">
        <v>3984</v>
      </c>
    </row>
    <row r="572" spans="1:22" ht="43.5">
      <c r="A572" s="10" t="s">
        <v>4005</v>
      </c>
      <c r="B572" s="10" t="s">
        <v>1469</v>
      </c>
      <c r="C572" s="52" t="s">
        <v>868</v>
      </c>
      <c r="D572" s="12"/>
      <c r="E572" s="13" t="s">
        <v>43</v>
      </c>
      <c r="F572" s="6" t="s">
        <v>1850</v>
      </c>
      <c r="G572" s="6" t="str">
        <f ca="1">IFERROR(__xludf.DUMMYFUNCTION("CONCATENATE(B572,(VLOOKUP(C572,CATALOGOS!$F$2:$H$6,3,FALSE)),(VLOOKUP(T572,CATALOGOS!$J$2:$K$18,2,FALSE)),""-"",TO_TEXT(A572))"),"P13LP-0571")</f>
        <v>P13LP-0571</v>
      </c>
      <c r="H572" s="6" t="s">
        <v>4006</v>
      </c>
      <c r="I572" s="6" t="s">
        <v>4007</v>
      </c>
      <c r="J572" s="6" t="s">
        <v>4008</v>
      </c>
      <c r="K572" s="6" t="s">
        <v>4009</v>
      </c>
      <c r="L572" s="17"/>
      <c r="M572" s="17"/>
      <c r="N572" s="17" t="str">
        <f t="shared" si="2"/>
        <v>OK</v>
      </c>
      <c r="O572" s="17" t="s">
        <v>1913</v>
      </c>
      <c r="P572" s="6" t="s">
        <v>1914</v>
      </c>
      <c r="Q572" s="17" t="s">
        <v>36</v>
      </c>
      <c r="R572" s="10" t="s">
        <v>4010</v>
      </c>
      <c r="S572" s="173" t="s">
        <v>38</v>
      </c>
      <c r="T572" s="11" t="s">
        <v>2328</v>
      </c>
      <c r="U572" s="22" t="s">
        <v>3984</v>
      </c>
      <c r="V572" s="22" t="s">
        <v>3984</v>
      </c>
    </row>
    <row r="573" spans="1:22" ht="29.25">
      <c r="A573" s="10" t="s">
        <v>4011</v>
      </c>
      <c r="B573" s="10" t="s">
        <v>1469</v>
      </c>
      <c r="C573" s="52" t="s">
        <v>868</v>
      </c>
      <c r="D573" s="12"/>
      <c r="E573" s="13" t="s">
        <v>162</v>
      </c>
      <c r="F573" s="6" t="s">
        <v>285</v>
      </c>
      <c r="G573" s="6" t="str">
        <f ca="1">IFERROR(__xludf.DUMMYFUNCTION("CONCATENATE(B573,(VLOOKUP(C573,CATALOGOS!$F$2:$H$6,3,FALSE)),(VLOOKUP(T573,CATALOGOS!$J$2:$K$18,2,FALSE)),""-"",TO_TEXT(A573))"),"P13SO-0572")</f>
        <v>P13SO-0572</v>
      </c>
      <c r="H573" s="6" t="s">
        <v>4012</v>
      </c>
      <c r="I573" s="6" t="s">
        <v>4013</v>
      </c>
      <c r="J573" s="6" t="s">
        <v>4014</v>
      </c>
      <c r="K573" s="6" t="s">
        <v>4015</v>
      </c>
      <c r="L573" s="17"/>
      <c r="M573" s="17"/>
      <c r="N573" s="17" t="str">
        <f t="shared" si="2"/>
        <v>OK</v>
      </c>
      <c r="O573" s="17" t="s">
        <v>168</v>
      </c>
      <c r="P573" s="6" t="s">
        <v>169</v>
      </c>
      <c r="Q573" s="17" t="s">
        <v>4016</v>
      </c>
      <c r="R573" s="17" t="s">
        <v>4017</v>
      </c>
      <c r="S573" s="173" t="s">
        <v>38</v>
      </c>
      <c r="T573" s="11" t="s">
        <v>868</v>
      </c>
      <c r="U573" s="186" t="s">
        <v>1665</v>
      </c>
      <c r="V573" s="22" t="s">
        <v>3984</v>
      </c>
    </row>
    <row r="574" spans="1:22" ht="29.25">
      <c r="A574" s="10" t="s">
        <v>4018</v>
      </c>
      <c r="B574" s="10" t="s">
        <v>1469</v>
      </c>
      <c r="C574" s="52" t="s">
        <v>868</v>
      </c>
      <c r="D574" s="12"/>
      <c r="E574" s="13" t="s">
        <v>248</v>
      </c>
      <c r="F574" s="6" t="s">
        <v>249</v>
      </c>
      <c r="G574" s="6" t="str">
        <f ca="1">IFERROR(__xludf.DUMMYFUNCTION("CONCATENATE(B574,(VLOOKUP(C574,CATALOGOS!$F$2:$H$6,3,FALSE)),(VLOOKUP(T574,CATALOGOS!$J$2:$K$18,2,FALSE)),""-"",TO_TEXT(A574))"),"P13LP-0573")</f>
        <v>P13LP-0573</v>
      </c>
      <c r="H574" s="6" t="s">
        <v>4019</v>
      </c>
      <c r="I574" s="6" t="s">
        <v>4020</v>
      </c>
      <c r="J574" s="6" t="s">
        <v>4021</v>
      </c>
      <c r="K574" s="6" t="s">
        <v>4022</v>
      </c>
      <c r="L574" s="17"/>
      <c r="M574" s="17"/>
      <c r="N574" s="17" t="str">
        <f t="shared" si="2"/>
        <v>OK</v>
      </c>
      <c r="O574" s="17" t="s">
        <v>978</v>
      </c>
      <c r="P574" s="6" t="s">
        <v>979</v>
      </c>
      <c r="Q574" s="17" t="s">
        <v>4023</v>
      </c>
      <c r="R574" s="17" t="s">
        <v>4024</v>
      </c>
      <c r="S574" s="173" t="s">
        <v>38</v>
      </c>
      <c r="T574" s="11" t="s">
        <v>2328</v>
      </c>
      <c r="U574" s="22" t="s">
        <v>3984</v>
      </c>
      <c r="V574" s="22" t="s">
        <v>3984</v>
      </c>
    </row>
    <row r="575" spans="1:22" ht="86.25">
      <c r="A575" s="10" t="s">
        <v>4025</v>
      </c>
      <c r="B575" s="10" t="s">
        <v>1469</v>
      </c>
      <c r="C575" s="52" t="s">
        <v>868</v>
      </c>
      <c r="D575" s="12"/>
      <c r="E575" s="13" t="s">
        <v>1240</v>
      </c>
      <c r="F575" s="43" t="s">
        <v>278</v>
      </c>
      <c r="G575" s="6" t="str">
        <f ca="1">IFERROR(__xludf.DUMMYFUNCTION("CONCATENATE(B575,(VLOOKUP(C575,CATALOGOS!$F$2:$H$6,3,FALSE)),(VLOOKUP(T575,CATALOGOS!$J$2:$K$18,2,FALSE)),""-"",TO_TEXT(A575))"),"P13LP-0574")</f>
        <v>P13LP-0574</v>
      </c>
      <c r="H575" s="6" t="s">
        <v>4026</v>
      </c>
      <c r="I575" s="6" t="s">
        <v>4027</v>
      </c>
      <c r="J575" s="6" t="s">
        <v>4028</v>
      </c>
      <c r="K575" s="6" t="s">
        <v>4029</v>
      </c>
      <c r="L575" s="17"/>
      <c r="M575" s="17"/>
      <c r="N575" s="17" t="str">
        <f t="shared" si="2"/>
        <v>OK</v>
      </c>
      <c r="O575" s="17" t="s">
        <v>35</v>
      </c>
      <c r="P575" s="6" t="s">
        <v>35</v>
      </c>
      <c r="Q575" s="17" t="s">
        <v>36</v>
      </c>
      <c r="R575" s="17" t="s">
        <v>4030</v>
      </c>
      <c r="S575" s="173" t="s">
        <v>38</v>
      </c>
      <c r="T575" s="11" t="s">
        <v>2328</v>
      </c>
      <c r="U575" s="22" t="s">
        <v>3984</v>
      </c>
      <c r="V575" s="22" t="s">
        <v>3984</v>
      </c>
    </row>
    <row r="576" spans="1:22" ht="15">
      <c r="A576" s="10" t="s">
        <v>4031</v>
      </c>
      <c r="B576" s="10" t="s">
        <v>1469</v>
      </c>
      <c r="C576" s="52" t="s">
        <v>868</v>
      </c>
      <c r="D576" s="12"/>
      <c r="E576" s="13" t="s">
        <v>321</v>
      </c>
      <c r="F576" s="6" t="s">
        <v>321</v>
      </c>
      <c r="G576" s="6" t="str">
        <f ca="1">IFERROR(__xludf.DUMMYFUNCTION("CONCATENATE(B576,(VLOOKUP(C576,CATALOGOS!$F$2:$H$6,3,FALSE)),(VLOOKUP(T576,CATALOGOS!$J$2:$K$18,2,FALSE)),""-"",TO_TEXT(A576))"),"P13LP-0575")</f>
        <v>P13LP-0575</v>
      </c>
      <c r="H576" s="6" t="s">
        <v>4032</v>
      </c>
      <c r="I576" s="6" t="s">
        <v>4033</v>
      </c>
      <c r="J576" s="6" t="s">
        <v>4034</v>
      </c>
      <c r="K576" s="6" t="s">
        <v>141</v>
      </c>
      <c r="L576" s="17"/>
      <c r="M576" s="17"/>
      <c r="N576" s="17" t="str">
        <f t="shared" si="2"/>
        <v>REPETIDO</v>
      </c>
      <c r="O576" s="17" t="s">
        <v>4035</v>
      </c>
      <c r="P576" s="6" t="s">
        <v>4036</v>
      </c>
      <c r="Q576" s="6" t="s">
        <v>36</v>
      </c>
      <c r="R576" s="10" t="s">
        <v>4037</v>
      </c>
      <c r="S576" s="179" t="s">
        <v>517</v>
      </c>
      <c r="T576" s="11" t="s">
        <v>2328</v>
      </c>
      <c r="U576" s="22" t="s">
        <v>3984</v>
      </c>
      <c r="V576" s="22" t="s">
        <v>3984</v>
      </c>
    </row>
    <row r="577" spans="1:22" ht="57.75">
      <c r="A577" s="10" t="s">
        <v>4038</v>
      </c>
      <c r="B577" s="10" t="s">
        <v>1469</v>
      </c>
      <c r="C577" s="52" t="s">
        <v>868</v>
      </c>
      <c r="D577" s="12"/>
      <c r="E577" s="13" t="s">
        <v>378</v>
      </c>
      <c r="F577" s="43" t="s">
        <v>379</v>
      </c>
      <c r="G577" s="6" t="str">
        <f ca="1">IFERROR(__xludf.DUMMYFUNCTION("CONCATENATE(B577,(VLOOKUP(C577,CATALOGOS!$F$2:$H$6,3,FALSE)),(VLOOKUP(T577,CATALOGOS!$J$2:$K$18,2,FALSE)),""-"",TO_TEXT(A577))"),"P13LP-0576")</f>
        <v>P13LP-0576</v>
      </c>
      <c r="H577" s="6" t="s">
        <v>4039</v>
      </c>
      <c r="I577" s="6" t="s">
        <v>4040</v>
      </c>
      <c r="J577" s="6" t="s">
        <v>4041</v>
      </c>
      <c r="K577" s="6" t="s">
        <v>4042</v>
      </c>
      <c r="L577" s="17"/>
      <c r="M577" s="17"/>
      <c r="N577" s="17" t="str">
        <f t="shared" si="2"/>
        <v>OK</v>
      </c>
      <c r="O577" s="17" t="s">
        <v>35</v>
      </c>
      <c r="P577" s="6" t="s">
        <v>35</v>
      </c>
      <c r="Q577" s="17" t="s">
        <v>36</v>
      </c>
      <c r="R577" s="17" t="s">
        <v>4043</v>
      </c>
      <c r="S577" s="173" t="s">
        <v>38</v>
      </c>
      <c r="T577" s="11" t="s">
        <v>2328</v>
      </c>
      <c r="U577" s="22" t="s">
        <v>3984</v>
      </c>
      <c r="V577" s="22" t="s">
        <v>3984</v>
      </c>
    </row>
    <row r="578" spans="1:22" ht="72">
      <c r="A578" s="10" t="s">
        <v>4044</v>
      </c>
      <c r="B578" s="10" t="s">
        <v>1469</v>
      </c>
      <c r="C578" s="52" t="s">
        <v>868</v>
      </c>
      <c r="D578" s="38"/>
      <c r="E578" s="13" t="s">
        <v>199</v>
      </c>
      <c r="F578" s="6" t="s">
        <v>677</v>
      </c>
      <c r="G578" s="6" t="str">
        <f ca="1">IFERROR(__xludf.DUMMYFUNCTION("CONCATENATE(B578,(VLOOKUP(C578,CATALOGOS!$F$2:$H$6,3,FALSE)),(VLOOKUP(T578,CATALOGOS!$J$2:$K$18,2,FALSE)),""-"",TO_TEXT(A578))"),"P13LP-0577")</f>
        <v>P13LP-0577</v>
      </c>
      <c r="H578" s="6" t="s">
        <v>4045</v>
      </c>
      <c r="I578" s="6" t="s">
        <v>4046</v>
      </c>
      <c r="J578" s="6" t="s">
        <v>4047</v>
      </c>
      <c r="K578" s="43" t="s">
        <v>4048</v>
      </c>
      <c r="L578" s="17"/>
      <c r="M578" s="17"/>
      <c r="N578" s="17" t="str">
        <f t="shared" si="2"/>
        <v>OK</v>
      </c>
      <c r="O578" s="17" t="s">
        <v>682</v>
      </c>
      <c r="P578" s="6" t="s">
        <v>2497</v>
      </c>
      <c r="Q578" s="46" t="s">
        <v>4049</v>
      </c>
      <c r="R578" s="17" t="s">
        <v>4050</v>
      </c>
      <c r="S578" s="173" t="s">
        <v>38</v>
      </c>
      <c r="T578" s="11" t="s">
        <v>2328</v>
      </c>
      <c r="U578" s="32" t="s">
        <v>3984</v>
      </c>
      <c r="V578" s="32" t="s">
        <v>3984</v>
      </c>
    </row>
    <row r="579" spans="1:22" ht="72">
      <c r="A579" s="10" t="s">
        <v>4051</v>
      </c>
      <c r="B579" s="10" t="s">
        <v>1469</v>
      </c>
      <c r="C579" s="52" t="s">
        <v>868</v>
      </c>
      <c r="D579" s="12"/>
      <c r="E579" s="13" t="s">
        <v>71</v>
      </c>
      <c r="F579" s="6" t="s">
        <v>4052</v>
      </c>
      <c r="G579" s="6" t="str">
        <f ca="1">IFERROR(__xludf.DUMMYFUNCTION("CONCATENATE(B579,(VLOOKUP(C579,CATALOGOS!$F$2:$H$6,3,FALSE)),(VLOOKUP(T579,CATALOGOS!$J$2:$K$18,2,FALSE)),""-"",TO_TEXT(A579))"),"P13LP-0578")</f>
        <v>P13LP-0578</v>
      </c>
      <c r="H579" s="6" t="s">
        <v>4053</v>
      </c>
      <c r="I579" s="54"/>
      <c r="J579" s="6" t="s">
        <v>4054</v>
      </c>
      <c r="K579" s="6" t="s">
        <v>4055</v>
      </c>
      <c r="L579" s="17"/>
      <c r="M579" s="17"/>
      <c r="N579" s="17" t="str">
        <f t="shared" si="2"/>
        <v>OK</v>
      </c>
      <c r="O579" s="17" t="s">
        <v>35</v>
      </c>
      <c r="P579" s="6" t="s">
        <v>35</v>
      </c>
      <c r="Q579" s="17" t="s">
        <v>36</v>
      </c>
      <c r="R579" s="17" t="s">
        <v>4056</v>
      </c>
      <c r="S579" s="173" t="s">
        <v>38</v>
      </c>
      <c r="T579" s="11" t="s">
        <v>2328</v>
      </c>
      <c r="U579" s="22" t="s">
        <v>4057</v>
      </c>
      <c r="V579" s="22" t="s">
        <v>4057</v>
      </c>
    </row>
    <row r="580" spans="1:22" ht="43.5">
      <c r="A580" s="10" t="s">
        <v>4058</v>
      </c>
      <c r="B580" s="10" t="s">
        <v>1469</v>
      </c>
      <c r="C580" s="52" t="s">
        <v>868</v>
      </c>
      <c r="D580" s="12"/>
      <c r="E580" s="13" t="s">
        <v>116</v>
      </c>
      <c r="F580" s="6" t="s">
        <v>117</v>
      </c>
      <c r="G580" s="6" t="str">
        <f ca="1">IFERROR(__xludf.DUMMYFUNCTION("CONCATENATE(B580,(VLOOKUP(C580,CATALOGOS!$F$2:$H$6,3,FALSE)),(VLOOKUP(T580,CATALOGOS!$J$2:$K$18,2,FALSE)),""-"",TO_TEXT(A580))"),"P13LP-0579")</f>
        <v>P13LP-0579</v>
      </c>
      <c r="H580" s="6" t="s">
        <v>4059</v>
      </c>
      <c r="I580" s="6" t="s">
        <v>4060</v>
      </c>
      <c r="J580" s="6" t="s">
        <v>4061</v>
      </c>
      <c r="K580" s="6" t="s">
        <v>4062</v>
      </c>
      <c r="L580" s="17"/>
      <c r="M580" s="17"/>
      <c r="N580" s="17" t="str">
        <f t="shared" si="2"/>
        <v>OK</v>
      </c>
      <c r="O580" s="17" t="s">
        <v>35</v>
      </c>
      <c r="P580" s="6" t="s">
        <v>35</v>
      </c>
      <c r="Q580" s="17" t="s">
        <v>36</v>
      </c>
      <c r="R580" s="17" t="s">
        <v>4063</v>
      </c>
      <c r="S580" s="173" t="s">
        <v>38</v>
      </c>
      <c r="T580" s="11" t="s">
        <v>2328</v>
      </c>
      <c r="U580" s="22" t="s">
        <v>4057</v>
      </c>
      <c r="V580" s="22" t="s">
        <v>4057</v>
      </c>
    </row>
    <row r="581" spans="1:22" ht="86.25">
      <c r="A581" s="10" t="s">
        <v>4064</v>
      </c>
      <c r="B581" s="10" t="s">
        <v>1469</v>
      </c>
      <c r="C581" s="52" t="s">
        <v>868</v>
      </c>
      <c r="D581" s="12"/>
      <c r="E581" s="13" t="s">
        <v>93</v>
      </c>
      <c r="F581" s="43" t="s">
        <v>4065</v>
      </c>
      <c r="G581" s="6" t="str">
        <f ca="1">IFERROR(__xludf.DUMMYFUNCTION("CONCATENATE(B581,(VLOOKUP(C581,CATALOGOS!$F$2:$H$6,3,FALSE)),(VLOOKUP(T581,CATALOGOS!$J$2:$K$18,2,FALSE)),""-"",TO_TEXT(A581))"),"P13LP-0580")</f>
        <v>P13LP-0580</v>
      </c>
      <c r="H581" s="6" t="s">
        <v>4066</v>
      </c>
      <c r="I581" s="6" t="s">
        <v>4067</v>
      </c>
      <c r="J581" s="6" t="s">
        <v>4068</v>
      </c>
      <c r="K581" s="6" t="s">
        <v>4069</v>
      </c>
      <c r="L581" s="17"/>
      <c r="M581" s="17"/>
      <c r="N581" s="17" t="str">
        <f t="shared" si="2"/>
        <v>OK</v>
      </c>
      <c r="O581" s="17" t="s">
        <v>35</v>
      </c>
      <c r="P581" s="6" t="s">
        <v>35</v>
      </c>
      <c r="Q581" s="17" t="s">
        <v>36</v>
      </c>
      <c r="R581" s="17" t="s">
        <v>4070</v>
      </c>
      <c r="S581" s="173" t="s">
        <v>38</v>
      </c>
      <c r="T581" s="11" t="s">
        <v>2328</v>
      </c>
      <c r="U581" s="22" t="s">
        <v>4057</v>
      </c>
      <c r="V581" s="22" t="s">
        <v>4057</v>
      </c>
    </row>
    <row r="582" spans="1:22" ht="57.75">
      <c r="A582" s="10" t="s">
        <v>4071</v>
      </c>
      <c r="B582" s="10" t="s">
        <v>1469</v>
      </c>
      <c r="C582" s="52" t="s">
        <v>868</v>
      </c>
      <c r="D582" s="12"/>
      <c r="E582" s="13" t="s">
        <v>378</v>
      </c>
      <c r="F582" s="43" t="s">
        <v>878</v>
      </c>
      <c r="G582" s="217" t="str">
        <f ca="1">IFERROR(__xludf.DUMMYFUNCTION("CONCATENATE(B582,(VLOOKUP(C582,CATALOGOS!$F$2:$H$6,3,FALSE)),(VLOOKUP(T582,CATALOGOS!$J$2:$K$18,2,FALSE)),""-"",TO_TEXT(A582))"),"P13LP-0581")</f>
        <v>P13LP-0581</v>
      </c>
      <c r="H582" s="6" t="s">
        <v>4072</v>
      </c>
      <c r="I582" s="6" t="s">
        <v>4073</v>
      </c>
      <c r="J582" s="6" t="s">
        <v>4074</v>
      </c>
      <c r="K582" s="43" t="s">
        <v>4075</v>
      </c>
      <c r="L582" s="17"/>
      <c r="M582" s="17"/>
      <c r="N582" s="17" t="str">
        <f t="shared" si="2"/>
        <v>OK</v>
      </c>
      <c r="O582" s="17" t="s">
        <v>35</v>
      </c>
      <c r="P582" s="6" t="s">
        <v>35</v>
      </c>
      <c r="Q582" s="17" t="s">
        <v>36</v>
      </c>
      <c r="R582" s="17" t="s">
        <v>4076</v>
      </c>
      <c r="S582" s="173" t="s">
        <v>38</v>
      </c>
      <c r="T582" s="11" t="s">
        <v>2328</v>
      </c>
      <c r="U582" s="22" t="s">
        <v>4057</v>
      </c>
      <c r="V582" s="22" t="s">
        <v>4057</v>
      </c>
    </row>
    <row r="583" spans="1:22" ht="72">
      <c r="A583" s="10" t="s">
        <v>4077</v>
      </c>
      <c r="B583" s="10" t="s">
        <v>1469</v>
      </c>
      <c r="C583" s="52" t="s">
        <v>868</v>
      </c>
      <c r="D583" s="12"/>
      <c r="E583" s="13" t="s">
        <v>93</v>
      </c>
      <c r="F583" s="6" t="s">
        <v>869</v>
      </c>
      <c r="G583" s="6" t="str">
        <f ca="1">IFERROR(__xludf.DUMMYFUNCTION("CONCATENATE(B583,(VLOOKUP(C583,CATALOGOS!$F$2:$H$6,3,FALSE)),(VLOOKUP(T583,CATALOGOS!$J$2:$K$18,2,FALSE)),""-"",TO_TEXT(A583))"),"P13LP-0582")</f>
        <v>P13LP-0582</v>
      </c>
      <c r="H583" s="6" t="s">
        <v>4078</v>
      </c>
      <c r="I583" s="6" t="s">
        <v>4079</v>
      </c>
      <c r="J583" s="6" t="s">
        <v>4080</v>
      </c>
      <c r="K583" s="6" t="s">
        <v>4081</v>
      </c>
      <c r="L583" s="17"/>
      <c r="M583" s="17"/>
      <c r="N583" s="17" t="str">
        <f t="shared" si="2"/>
        <v>OK</v>
      </c>
      <c r="O583" s="17" t="s">
        <v>35</v>
      </c>
      <c r="P583" s="6" t="s">
        <v>35</v>
      </c>
      <c r="Q583" s="17" t="s">
        <v>36</v>
      </c>
      <c r="R583" s="17" t="s">
        <v>4082</v>
      </c>
      <c r="S583" s="173" t="s">
        <v>38</v>
      </c>
      <c r="T583" s="11" t="s">
        <v>2328</v>
      </c>
      <c r="U583" s="22" t="s">
        <v>4057</v>
      </c>
      <c r="V583" s="22" t="s">
        <v>4057</v>
      </c>
    </row>
    <row r="584" spans="1:22" ht="57.75">
      <c r="A584" s="10" t="s">
        <v>4083</v>
      </c>
      <c r="B584" s="10" t="s">
        <v>1469</v>
      </c>
      <c r="C584" s="52" t="s">
        <v>868</v>
      </c>
      <c r="D584" s="12"/>
      <c r="E584" s="13" t="s">
        <v>378</v>
      </c>
      <c r="F584" s="6" t="s">
        <v>379</v>
      </c>
      <c r="G584" s="6" t="str">
        <f ca="1">IFERROR(__xludf.DUMMYFUNCTION("CONCATENATE(B584,(VLOOKUP(C584,CATALOGOS!$F$2:$H$6,3,FALSE)),(VLOOKUP(T584,CATALOGOS!$J$2:$K$18,2,FALSE)),""-"",TO_TEXT(A584))"),"P13LP-0583")</f>
        <v>P13LP-0583</v>
      </c>
      <c r="H584" s="6" t="s">
        <v>4084</v>
      </c>
      <c r="I584" s="6" t="s">
        <v>4085</v>
      </c>
      <c r="J584" s="6" t="s">
        <v>4086</v>
      </c>
      <c r="K584" s="43" t="s">
        <v>4087</v>
      </c>
      <c r="L584" s="17"/>
      <c r="M584" s="17"/>
      <c r="N584" s="17" t="str">
        <f t="shared" si="2"/>
        <v>OK</v>
      </c>
      <c r="O584" s="17" t="s">
        <v>35</v>
      </c>
      <c r="P584" s="6" t="s">
        <v>35</v>
      </c>
      <c r="Q584" s="17" t="s">
        <v>36</v>
      </c>
      <c r="R584" s="17" t="s">
        <v>4088</v>
      </c>
      <c r="S584" s="173" t="s">
        <v>38</v>
      </c>
      <c r="T584" s="11" t="s">
        <v>2328</v>
      </c>
      <c r="U584" s="22" t="s">
        <v>4057</v>
      </c>
      <c r="V584" s="22" t="s">
        <v>4057</v>
      </c>
    </row>
    <row r="585" spans="1:22" ht="29.25">
      <c r="A585" s="10" t="s">
        <v>4089</v>
      </c>
      <c r="B585" s="10" t="s">
        <v>1469</v>
      </c>
      <c r="C585" s="52" t="s">
        <v>868</v>
      </c>
      <c r="D585" s="12"/>
      <c r="E585" s="13" t="s">
        <v>151</v>
      </c>
      <c r="F585" s="6" t="s">
        <v>152</v>
      </c>
      <c r="G585" s="6" t="str">
        <f ca="1">IFERROR(__xludf.DUMMYFUNCTION("CONCATENATE(B585,(VLOOKUP(C585,CATALOGOS!$F$2:$H$6,3,FALSE)),(VLOOKUP(T585,CATALOGOS!$J$2:$K$18,2,FALSE)),""-"",TO_TEXT(A585))"),"P13LP-0584")</f>
        <v>P13LP-0584</v>
      </c>
      <c r="H585" s="6" t="s">
        <v>4090</v>
      </c>
      <c r="I585" s="6" t="s">
        <v>4091</v>
      </c>
      <c r="J585" s="6" t="s">
        <v>4092</v>
      </c>
      <c r="K585" s="6" t="s">
        <v>4093</v>
      </c>
      <c r="L585" s="17"/>
      <c r="M585" s="17"/>
      <c r="N585" s="17" t="str">
        <f t="shared" si="2"/>
        <v>OK</v>
      </c>
      <c r="O585" s="17" t="s">
        <v>1220</v>
      </c>
      <c r="P585" s="6" t="s">
        <v>720</v>
      </c>
      <c r="Q585" s="17" t="s">
        <v>36</v>
      </c>
      <c r="R585" s="17" t="s">
        <v>4094</v>
      </c>
      <c r="S585" s="173" t="s">
        <v>1304</v>
      </c>
      <c r="T585" s="11" t="s">
        <v>2328</v>
      </c>
      <c r="U585" s="22" t="s">
        <v>4057</v>
      </c>
      <c r="V585" s="22" t="s">
        <v>4057</v>
      </c>
    </row>
    <row r="586" spans="1:22" ht="29.25">
      <c r="A586" s="10" t="s">
        <v>4095</v>
      </c>
      <c r="B586" s="10" t="s">
        <v>1469</v>
      </c>
      <c r="C586" s="52" t="s">
        <v>868</v>
      </c>
      <c r="D586" s="12"/>
      <c r="E586" s="13" t="s">
        <v>248</v>
      </c>
      <c r="F586" s="43" t="s">
        <v>248</v>
      </c>
      <c r="G586" s="6" t="str">
        <f ca="1">IFERROR(__xludf.DUMMYFUNCTION("CONCATENATE(B586,(VLOOKUP(C586,CATALOGOS!$F$2:$H$6,3,FALSE)),(VLOOKUP(T586,CATALOGOS!$J$2:$K$18,2,FALSE)),""-"",TO_TEXT(A586))"),"P13LP-0585")</f>
        <v>P13LP-0585</v>
      </c>
      <c r="H586" s="6" t="s">
        <v>4096</v>
      </c>
      <c r="I586" s="6" t="s">
        <v>4097</v>
      </c>
      <c r="J586" s="6" t="s">
        <v>4098</v>
      </c>
      <c r="K586" s="6" t="s">
        <v>4099</v>
      </c>
      <c r="L586" s="17"/>
      <c r="M586" s="17"/>
      <c r="N586" s="17" t="str">
        <f t="shared" si="2"/>
        <v>OK</v>
      </c>
      <c r="O586" s="17" t="s">
        <v>978</v>
      </c>
      <c r="P586" s="6" t="s">
        <v>979</v>
      </c>
      <c r="Q586" s="17" t="s">
        <v>4100</v>
      </c>
      <c r="R586" s="17" t="s">
        <v>4101</v>
      </c>
      <c r="S586" s="173" t="s">
        <v>38</v>
      </c>
      <c r="T586" s="11" t="s">
        <v>2328</v>
      </c>
      <c r="U586" s="22" t="s">
        <v>4057</v>
      </c>
      <c r="V586" s="22" t="s">
        <v>4057</v>
      </c>
    </row>
    <row r="587" spans="1:22" ht="57.75">
      <c r="A587" s="10" t="s">
        <v>4102</v>
      </c>
      <c r="B587" s="10" t="s">
        <v>1469</v>
      </c>
      <c r="C587" s="52" t="s">
        <v>868</v>
      </c>
      <c r="D587" s="12"/>
      <c r="E587" s="13" t="s">
        <v>199</v>
      </c>
      <c r="F587" s="6" t="s">
        <v>199</v>
      </c>
      <c r="G587" s="6" t="str">
        <f ca="1">IFERROR(__xludf.DUMMYFUNCTION("CONCATENATE(B587,(VLOOKUP(C587,CATALOGOS!$F$2:$H$6,3,FALSE)),(VLOOKUP(T587,CATALOGOS!$J$2:$K$18,2,FALSE)),""-"",TO_TEXT(A587))"),"P13LP-0586")</f>
        <v>P13LP-0586</v>
      </c>
      <c r="H587" s="6" t="s">
        <v>4103</v>
      </c>
      <c r="I587" s="6" t="s">
        <v>4104</v>
      </c>
      <c r="J587" s="36"/>
      <c r="K587" s="6" t="s">
        <v>4105</v>
      </c>
      <c r="L587" s="17"/>
      <c r="M587" s="17"/>
      <c r="N587" s="17" t="str">
        <f t="shared" si="2"/>
        <v>OK</v>
      </c>
      <c r="O587" s="17" t="s">
        <v>273</v>
      </c>
      <c r="P587" s="6" t="s">
        <v>274</v>
      </c>
      <c r="Q587" s="6">
        <v>11392903012347</v>
      </c>
      <c r="R587" s="10" t="s">
        <v>85</v>
      </c>
      <c r="S587" s="173" t="s">
        <v>38</v>
      </c>
      <c r="T587" s="11" t="s">
        <v>2328</v>
      </c>
      <c r="U587" s="22" t="s">
        <v>4057</v>
      </c>
      <c r="V587" s="22" t="s">
        <v>4057</v>
      </c>
    </row>
    <row r="588" spans="1:22" ht="86.25">
      <c r="A588" s="10" t="s">
        <v>4106</v>
      </c>
      <c r="B588" s="10" t="s">
        <v>1469</v>
      </c>
      <c r="C588" s="52" t="s">
        <v>868</v>
      </c>
      <c r="D588" s="12"/>
      <c r="E588" s="13" t="s">
        <v>1240</v>
      </c>
      <c r="F588" s="43" t="s">
        <v>278</v>
      </c>
      <c r="G588" s="6" t="str">
        <f ca="1">IFERROR(__xludf.DUMMYFUNCTION("CONCATENATE(B588,(VLOOKUP(C588,CATALOGOS!$F$2:$H$6,3,FALSE)),(VLOOKUP(T588,CATALOGOS!$J$2:$K$18,2,FALSE)),""-"",TO_TEXT(A588))"),"P13LP-0587")</f>
        <v>P13LP-0587</v>
      </c>
      <c r="H588" s="6" t="s">
        <v>4107</v>
      </c>
      <c r="I588" s="6" t="s">
        <v>4108</v>
      </c>
      <c r="J588" s="6" t="s">
        <v>4109</v>
      </c>
      <c r="K588" s="6" t="s">
        <v>4110</v>
      </c>
      <c r="L588" s="17"/>
      <c r="M588" s="17"/>
      <c r="N588" s="17" t="str">
        <f t="shared" si="2"/>
        <v>OK</v>
      </c>
      <c r="O588" s="17" t="s">
        <v>35</v>
      </c>
      <c r="P588" s="6" t="s">
        <v>35</v>
      </c>
      <c r="Q588" s="17" t="s">
        <v>36</v>
      </c>
      <c r="R588" s="17" t="s">
        <v>4111</v>
      </c>
      <c r="S588" s="173" t="s">
        <v>38</v>
      </c>
      <c r="T588" s="11" t="s">
        <v>2328</v>
      </c>
      <c r="U588" s="22" t="s">
        <v>4057</v>
      </c>
      <c r="V588" s="22" t="s">
        <v>4057</v>
      </c>
    </row>
    <row r="589" spans="1:22" ht="43.5">
      <c r="A589" s="10" t="s">
        <v>4112</v>
      </c>
      <c r="B589" s="10" t="s">
        <v>1469</v>
      </c>
      <c r="C589" s="52" t="s">
        <v>868</v>
      </c>
      <c r="D589" s="38"/>
      <c r="E589" s="13" t="s">
        <v>151</v>
      </c>
      <c r="F589" s="6" t="s">
        <v>4113</v>
      </c>
      <c r="G589" s="6" t="str">
        <f ca="1">IFERROR(__xludf.DUMMYFUNCTION("CONCATENATE(B589,(VLOOKUP(C589,CATALOGOS!$F$2:$H$6,3,FALSE)),(VLOOKUP(T589,CATALOGOS!$J$2:$K$18,2,FALSE)),""-"",TO_TEXT(A589))"),"P13LP-0588")</f>
        <v>P13LP-0588</v>
      </c>
      <c r="H589" s="6" t="s">
        <v>4114</v>
      </c>
      <c r="I589" s="6" t="s">
        <v>4115</v>
      </c>
      <c r="J589" s="72"/>
      <c r="K589" s="6" t="s">
        <v>4116</v>
      </c>
      <c r="L589" s="17"/>
      <c r="M589" s="17"/>
      <c r="N589" s="17" t="str">
        <f t="shared" si="2"/>
        <v>OK</v>
      </c>
      <c r="O589" s="17" t="s">
        <v>297</v>
      </c>
      <c r="P589" s="6" t="s">
        <v>298</v>
      </c>
      <c r="Q589" s="6" t="s">
        <v>4117</v>
      </c>
      <c r="R589" s="32" t="s">
        <v>85</v>
      </c>
      <c r="S589" s="173" t="s">
        <v>38</v>
      </c>
      <c r="T589" s="11" t="s">
        <v>2328</v>
      </c>
      <c r="U589" s="32" t="s">
        <v>4057</v>
      </c>
      <c r="V589" s="32" t="s">
        <v>4057</v>
      </c>
    </row>
    <row r="590" spans="1:22" ht="43.5">
      <c r="A590" s="10" t="s">
        <v>4118</v>
      </c>
      <c r="B590" s="10" t="s">
        <v>1469</v>
      </c>
      <c r="C590" s="52" t="s">
        <v>868</v>
      </c>
      <c r="D590" s="12"/>
      <c r="E590" s="13" t="s">
        <v>93</v>
      </c>
      <c r="F590" s="6" t="s">
        <v>4119</v>
      </c>
      <c r="G590" s="6" t="str">
        <f ca="1">IFERROR(__xludf.DUMMYFUNCTION("CONCATENATE(B590,(VLOOKUP(C590,CATALOGOS!$F$2:$H$6,3,FALSE)),(VLOOKUP(T590,CATALOGOS!$J$2:$K$18,2,FALSE)),""-"",TO_TEXT(A590))"),"P13LP-0589")</f>
        <v>P13LP-0589</v>
      </c>
      <c r="H590" s="6" t="s">
        <v>4120</v>
      </c>
      <c r="I590" s="6" t="s">
        <v>4121</v>
      </c>
      <c r="J590" s="6" t="s">
        <v>4122</v>
      </c>
      <c r="K590" s="6" t="s">
        <v>4123</v>
      </c>
      <c r="L590" s="17"/>
      <c r="M590" s="17"/>
      <c r="N590" s="17" t="str">
        <f t="shared" si="2"/>
        <v>OK</v>
      </c>
      <c r="O590" s="17" t="s">
        <v>35</v>
      </c>
      <c r="P590" s="6" t="s">
        <v>35</v>
      </c>
      <c r="Q590" s="17" t="s">
        <v>36</v>
      </c>
      <c r="R590" s="17" t="s">
        <v>4124</v>
      </c>
      <c r="S590" s="173" t="s">
        <v>38</v>
      </c>
      <c r="T590" s="11" t="s">
        <v>2328</v>
      </c>
      <c r="U590" s="20" t="s">
        <v>4125</v>
      </c>
      <c r="V590" s="20" t="s">
        <v>4125</v>
      </c>
    </row>
    <row r="591" spans="1:22" ht="43.5">
      <c r="A591" s="10" t="s">
        <v>4126</v>
      </c>
      <c r="B591" s="10" t="s">
        <v>1469</v>
      </c>
      <c r="C591" s="52" t="s">
        <v>868</v>
      </c>
      <c r="D591" s="12"/>
      <c r="E591" s="13" t="s">
        <v>29</v>
      </c>
      <c r="F591" s="6" t="s">
        <v>1166</v>
      </c>
      <c r="G591" s="6" t="str">
        <f ca="1">IFERROR(__xludf.DUMMYFUNCTION("CONCATENATE(B591,(VLOOKUP(C591,CATALOGOS!$F$2:$H$6,3,FALSE)),(VLOOKUP(T591,CATALOGOS!$J$2:$K$18,2,FALSE)),""-"",TO_TEXT(A591))"),"P13LP-0590")</f>
        <v>P13LP-0590</v>
      </c>
      <c r="H591" s="6" t="s">
        <v>4127</v>
      </c>
      <c r="I591" s="6" t="s">
        <v>4128</v>
      </c>
      <c r="J591" s="6" t="s">
        <v>4129</v>
      </c>
      <c r="K591" s="6" t="s">
        <v>4130</v>
      </c>
      <c r="L591" s="17"/>
      <c r="M591" s="17"/>
      <c r="N591" s="17" t="str">
        <f t="shared" si="2"/>
        <v>OK</v>
      </c>
      <c r="O591" s="17" t="s">
        <v>35</v>
      </c>
      <c r="P591" s="6" t="s">
        <v>35</v>
      </c>
      <c r="Q591" s="17" t="s">
        <v>36</v>
      </c>
      <c r="R591" s="17" t="s">
        <v>4131</v>
      </c>
      <c r="S591" s="173" t="s">
        <v>38</v>
      </c>
      <c r="T591" s="11" t="s">
        <v>2328</v>
      </c>
      <c r="U591" s="20" t="s">
        <v>4125</v>
      </c>
      <c r="V591" s="20" t="s">
        <v>4125</v>
      </c>
    </row>
    <row r="592" spans="1:22" ht="43.5">
      <c r="A592" s="10" t="s">
        <v>4132</v>
      </c>
      <c r="B592" s="10" t="s">
        <v>1469</v>
      </c>
      <c r="C592" s="52" t="s">
        <v>868</v>
      </c>
      <c r="D592" s="12"/>
      <c r="E592" s="13" t="s">
        <v>93</v>
      </c>
      <c r="F592" s="6" t="s">
        <v>4133</v>
      </c>
      <c r="G592" s="6" t="str">
        <f ca="1">IFERROR(__xludf.DUMMYFUNCTION("CONCATENATE(B592,(VLOOKUP(C592,CATALOGOS!$F$2:$H$6,3,FALSE)),(VLOOKUP(T592,CATALOGOS!$J$2:$K$18,2,FALSE)),""-"",TO_TEXT(A592))"),"P13LP-0591")</f>
        <v>P13LP-0591</v>
      </c>
      <c r="H592" s="6" t="s">
        <v>4134</v>
      </c>
      <c r="I592" s="6" t="s">
        <v>4135</v>
      </c>
      <c r="J592" s="6" t="s">
        <v>4136</v>
      </c>
      <c r="K592" s="6" t="s">
        <v>4137</v>
      </c>
      <c r="L592" s="17"/>
      <c r="M592" s="17"/>
      <c r="N592" s="17" t="str">
        <f t="shared" si="2"/>
        <v>OK</v>
      </c>
      <c r="O592" s="17" t="s">
        <v>35</v>
      </c>
      <c r="P592" s="6" t="s">
        <v>35</v>
      </c>
      <c r="Q592" s="17" t="s">
        <v>36</v>
      </c>
      <c r="R592" s="17" t="s">
        <v>4138</v>
      </c>
      <c r="S592" s="173" t="s">
        <v>38</v>
      </c>
      <c r="T592" s="11" t="s">
        <v>2328</v>
      </c>
      <c r="U592" s="20" t="s">
        <v>4125</v>
      </c>
      <c r="V592" s="20" t="s">
        <v>4125</v>
      </c>
    </row>
    <row r="593" spans="1:22" ht="57.75">
      <c r="A593" s="10" t="s">
        <v>4139</v>
      </c>
      <c r="B593" s="10" t="s">
        <v>1469</v>
      </c>
      <c r="C593" s="52" t="s">
        <v>868</v>
      </c>
      <c r="D593" s="12"/>
      <c r="E593" s="13" t="s">
        <v>378</v>
      </c>
      <c r="F593" s="6" t="s">
        <v>379</v>
      </c>
      <c r="G593" s="6" t="str">
        <f ca="1">IFERROR(__xludf.DUMMYFUNCTION("CONCATENATE(B593,(VLOOKUP(C593,CATALOGOS!$F$2:$H$6,3,FALSE)),(VLOOKUP(T593,CATALOGOS!$J$2:$K$18,2,FALSE)),""-"",TO_TEXT(A593))"),"P13LP-0592")</f>
        <v>P13LP-0592</v>
      </c>
      <c r="H593" s="6" t="s">
        <v>4140</v>
      </c>
      <c r="I593" s="6" t="s">
        <v>4141</v>
      </c>
      <c r="J593" s="6" t="s">
        <v>4142</v>
      </c>
      <c r="K593" s="6" t="s">
        <v>4143</v>
      </c>
      <c r="L593" s="17"/>
      <c r="M593" s="17"/>
      <c r="N593" s="17" t="str">
        <f t="shared" si="2"/>
        <v>OK</v>
      </c>
      <c r="O593" s="17" t="s">
        <v>35</v>
      </c>
      <c r="P593" s="6" t="s">
        <v>35</v>
      </c>
      <c r="Q593" s="17" t="s">
        <v>36</v>
      </c>
      <c r="R593" s="17" t="s">
        <v>4144</v>
      </c>
      <c r="S593" s="173" t="s">
        <v>38</v>
      </c>
      <c r="T593" s="11" t="s">
        <v>2328</v>
      </c>
      <c r="U593" s="20" t="s">
        <v>4125</v>
      </c>
      <c r="V593" s="20" t="s">
        <v>4125</v>
      </c>
    </row>
    <row r="594" spans="1:22" ht="29.25">
      <c r="A594" s="10" t="s">
        <v>4145</v>
      </c>
      <c r="B594" s="10" t="s">
        <v>1469</v>
      </c>
      <c r="C594" s="52" t="s">
        <v>868</v>
      </c>
      <c r="D594" s="12"/>
      <c r="E594" s="13" t="s">
        <v>248</v>
      </c>
      <c r="F594" s="43" t="s">
        <v>248</v>
      </c>
      <c r="G594" s="6" t="str">
        <f ca="1">IFERROR(__xludf.DUMMYFUNCTION("CONCATENATE(B594,(VLOOKUP(C594,CATALOGOS!$F$2:$H$6,3,FALSE)),(VLOOKUP(T594,CATALOGOS!$J$2:$K$18,2,FALSE)),""-"",TO_TEXT(A594))"),"P13LP-0593")</f>
        <v>P13LP-0593</v>
      </c>
      <c r="H594" s="6" t="s">
        <v>4146</v>
      </c>
      <c r="I594" s="6" t="s">
        <v>4147</v>
      </c>
      <c r="J594" s="6" t="s">
        <v>4148</v>
      </c>
      <c r="K594" s="6" t="s">
        <v>4149</v>
      </c>
      <c r="L594" s="17"/>
      <c r="M594" s="17"/>
      <c r="N594" s="17" t="str">
        <f t="shared" si="2"/>
        <v>OK</v>
      </c>
      <c r="O594" s="17" t="s">
        <v>978</v>
      </c>
      <c r="P594" s="6" t="s">
        <v>979</v>
      </c>
      <c r="Q594" s="17" t="s">
        <v>4150</v>
      </c>
      <c r="R594" s="17" t="s">
        <v>4151</v>
      </c>
      <c r="S594" s="173" t="s">
        <v>38</v>
      </c>
      <c r="T594" s="11" t="s">
        <v>2328</v>
      </c>
      <c r="U594" s="20" t="s">
        <v>4125</v>
      </c>
      <c r="V594" s="20" t="s">
        <v>4125</v>
      </c>
    </row>
    <row r="595" spans="1:22" ht="72">
      <c r="A595" s="10" t="s">
        <v>4152</v>
      </c>
      <c r="B595" s="10" t="s">
        <v>1469</v>
      </c>
      <c r="C595" s="52" t="s">
        <v>868</v>
      </c>
      <c r="D595" s="12"/>
      <c r="E595" s="13" t="s">
        <v>116</v>
      </c>
      <c r="F595" s="6" t="s">
        <v>4153</v>
      </c>
      <c r="G595" s="6" t="str">
        <f ca="1">IFERROR(__xludf.DUMMYFUNCTION("CONCATENATE(B595,(VLOOKUP(C595,CATALOGOS!$F$2:$H$6,3,FALSE)),(VLOOKUP(T595,CATALOGOS!$J$2:$K$18,2,FALSE)),""-"",TO_TEXT(A595))"),"P13LP-0594")</f>
        <v>P13LP-0594</v>
      </c>
      <c r="H595" s="6" t="s">
        <v>4154</v>
      </c>
      <c r="I595" s="6" t="s">
        <v>4155</v>
      </c>
      <c r="J595" s="6" t="s">
        <v>4156</v>
      </c>
      <c r="K595" s="6" t="s">
        <v>4157</v>
      </c>
      <c r="L595" s="17"/>
      <c r="M595" s="17"/>
      <c r="N595" s="17" t="str">
        <f t="shared" si="2"/>
        <v>OK</v>
      </c>
      <c r="O595" s="17" t="s">
        <v>35</v>
      </c>
      <c r="P595" s="6" t="s">
        <v>35</v>
      </c>
      <c r="Q595" s="17" t="s">
        <v>36</v>
      </c>
      <c r="R595" s="17" t="s">
        <v>4158</v>
      </c>
      <c r="S595" s="173" t="s">
        <v>38</v>
      </c>
      <c r="T595" s="11" t="s">
        <v>2328</v>
      </c>
      <c r="U595" s="20" t="s">
        <v>4125</v>
      </c>
      <c r="V595" s="20" t="s">
        <v>4125</v>
      </c>
    </row>
    <row r="596" spans="1:22" ht="57.75">
      <c r="A596" s="10" t="s">
        <v>4159</v>
      </c>
      <c r="B596" s="10" t="s">
        <v>1469</v>
      </c>
      <c r="C596" s="52" t="s">
        <v>868</v>
      </c>
      <c r="D596" s="12"/>
      <c r="E596" s="13" t="s">
        <v>199</v>
      </c>
      <c r="F596" s="6" t="s">
        <v>199</v>
      </c>
      <c r="G596" s="6" t="str">
        <f ca="1">IFERROR(__xludf.DUMMYFUNCTION("CONCATENATE(B596,(VLOOKUP(C596,CATALOGOS!$F$2:$H$6,3,FALSE)),(VLOOKUP(T596,CATALOGOS!$J$2:$K$18,2,FALSE)),""-"",TO_TEXT(A596))"),"P13LP-0595")</f>
        <v>P13LP-0595</v>
      </c>
      <c r="H596" s="6" t="s">
        <v>4160</v>
      </c>
      <c r="I596" s="6" t="s">
        <v>4161</v>
      </c>
      <c r="J596" s="37"/>
      <c r="K596" s="6" t="s">
        <v>4162</v>
      </c>
      <c r="L596" s="17"/>
      <c r="M596" s="17"/>
      <c r="N596" s="17" t="str">
        <f t="shared" si="2"/>
        <v>OK</v>
      </c>
      <c r="O596" s="17" t="s">
        <v>273</v>
      </c>
      <c r="P596" s="6" t="s">
        <v>274</v>
      </c>
      <c r="Q596" s="6">
        <v>11392903015788</v>
      </c>
      <c r="R596" s="10" t="s">
        <v>85</v>
      </c>
      <c r="S596" s="173" t="s">
        <v>38</v>
      </c>
      <c r="T596" s="11" t="s">
        <v>2328</v>
      </c>
      <c r="U596" s="20" t="s">
        <v>4125</v>
      </c>
      <c r="V596" s="20" t="s">
        <v>4125</v>
      </c>
    </row>
    <row r="597" spans="1:22" ht="43.5">
      <c r="A597" s="10" t="s">
        <v>4163</v>
      </c>
      <c r="B597" s="10" t="s">
        <v>1469</v>
      </c>
      <c r="C597" s="52" t="s">
        <v>868</v>
      </c>
      <c r="D597" s="12"/>
      <c r="E597" s="13" t="s">
        <v>151</v>
      </c>
      <c r="F597" s="6" t="s">
        <v>4113</v>
      </c>
      <c r="G597" s="6" t="str">
        <f ca="1">IFERROR(__xludf.DUMMYFUNCTION("CONCATENATE(B597,(VLOOKUP(C597,CATALOGOS!$F$2:$H$6,3,FALSE)),(VLOOKUP(T597,CATALOGOS!$J$2:$K$18,2,FALSE)),""-"",TO_TEXT(A597))"),"P13LP-0596")</f>
        <v>P13LP-0596</v>
      </c>
      <c r="H597" s="6" t="s">
        <v>4164</v>
      </c>
      <c r="I597" s="6" t="s">
        <v>4165</v>
      </c>
      <c r="J597" s="37"/>
      <c r="K597" s="6" t="s">
        <v>4166</v>
      </c>
      <c r="L597" s="17"/>
      <c r="M597" s="17"/>
      <c r="N597" s="17" t="str">
        <f t="shared" si="2"/>
        <v>OK</v>
      </c>
      <c r="O597" s="17" t="s">
        <v>297</v>
      </c>
      <c r="P597" s="6" t="s">
        <v>298</v>
      </c>
      <c r="Q597" s="6" t="s">
        <v>4167</v>
      </c>
      <c r="R597" s="10" t="s">
        <v>85</v>
      </c>
      <c r="S597" s="173" t="s">
        <v>38</v>
      </c>
      <c r="T597" s="11" t="s">
        <v>2328</v>
      </c>
      <c r="U597" s="20" t="s">
        <v>4125</v>
      </c>
      <c r="V597" s="20" t="s">
        <v>4125</v>
      </c>
    </row>
    <row r="598" spans="1:22" ht="86.25">
      <c r="A598" s="10" t="s">
        <v>4168</v>
      </c>
      <c r="B598" s="10" t="s">
        <v>1469</v>
      </c>
      <c r="C598" s="52" t="s">
        <v>868</v>
      </c>
      <c r="D598" s="38"/>
      <c r="E598" s="13" t="s">
        <v>1240</v>
      </c>
      <c r="F598" s="43" t="s">
        <v>278</v>
      </c>
      <c r="G598" s="6" t="str">
        <f ca="1">IFERROR(__xludf.DUMMYFUNCTION("CONCATENATE(B598,(VLOOKUP(C598,CATALOGOS!$F$2:$H$6,3,FALSE)),(VLOOKUP(T598,CATALOGOS!$J$2:$K$18,2,FALSE)),""-"",TO_TEXT(A598))"),"P13LP-0597")</f>
        <v>P13LP-0597</v>
      </c>
      <c r="H598" s="6" t="s">
        <v>4169</v>
      </c>
      <c r="I598" s="6" t="s">
        <v>4170</v>
      </c>
      <c r="J598" s="6" t="s">
        <v>4171</v>
      </c>
      <c r="K598" s="6" t="s">
        <v>4172</v>
      </c>
      <c r="L598" s="17"/>
      <c r="M598" s="17"/>
      <c r="N598" s="17" t="str">
        <f t="shared" si="2"/>
        <v>OK</v>
      </c>
      <c r="O598" s="17" t="s">
        <v>35</v>
      </c>
      <c r="P598" s="6" t="s">
        <v>35</v>
      </c>
      <c r="Q598" s="46" t="s">
        <v>36</v>
      </c>
      <c r="R598" s="17" t="s">
        <v>4173</v>
      </c>
      <c r="S598" s="173" t="s">
        <v>38</v>
      </c>
      <c r="T598" s="11" t="s">
        <v>2328</v>
      </c>
      <c r="U598" s="20" t="s">
        <v>4125</v>
      </c>
      <c r="V598" s="20" t="s">
        <v>4125</v>
      </c>
    </row>
    <row r="599" spans="1:22" ht="43.5">
      <c r="A599" s="10" t="s">
        <v>4174</v>
      </c>
      <c r="B599" s="10" t="s">
        <v>1469</v>
      </c>
      <c r="C599" s="52" t="s">
        <v>868</v>
      </c>
      <c r="D599" s="12"/>
      <c r="E599" s="13" t="s">
        <v>378</v>
      </c>
      <c r="F599" s="43" t="s">
        <v>4175</v>
      </c>
      <c r="G599" s="6" t="str">
        <f ca="1">IFERROR(__xludf.DUMMYFUNCTION("CONCATENATE(B599,(VLOOKUP(C599,CATALOGOS!$F$2:$H$6,3,FALSE)),(VLOOKUP(T599,CATALOGOS!$J$2:$K$18,2,FALSE)),""-"",TO_TEXT(A599))"),"P13IR-0598")</f>
        <v>P13IR-0598</v>
      </c>
      <c r="H599" s="6" t="s">
        <v>4176</v>
      </c>
      <c r="I599" s="6" t="s">
        <v>4177</v>
      </c>
      <c r="J599" s="6" t="s">
        <v>4178</v>
      </c>
      <c r="K599" s="6" t="s">
        <v>4179</v>
      </c>
      <c r="L599" s="17"/>
      <c r="M599" s="17"/>
      <c r="N599" s="17" t="str">
        <f t="shared" si="2"/>
        <v>OK</v>
      </c>
      <c r="O599" s="17" t="s">
        <v>35</v>
      </c>
      <c r="P599" s="6" t="s">
        <v>35</v>
      </c>
      <c r="Q599" s="17" t="s">
        <v>36</v>
      </c>
      <c r="R599" s="17" t="s">
        <v>4180</v>
      </c>
      <c r="S599" s="173" t="s">
        <v>38</v>
      </c>
      <c r="T599" s="11" t="s">
        <v>2381</v>
      </c>
      <c r="U599" s="20" t="s">
        <v>4181</v>
      </c>
      <c r="V599" s="20" t="s">
        <v>4181</v>
      </c>
    </row>
    <row r="600" spans="1:22" ht="43.5">
      <c r="A600" s="10" t="s">
        <v>4182</v>
      </c>
      <c r="B600" s="10" t="s">
        <v>1469</v>
      </c>
      <c r="C600" s="52" t="s">
        <v>868</v>
      </c>
      <c r="D600" s="12"/>
      <c r="E600" s="13" t="s">
        <v>378</v>
      </c>
      <c r="F600" s="6" t="s">
        <v>4183</v>
      </c>
      <c r="G600" s="6" t="str">
        <f ca="1">IFERROR(__xludf.DUMMYFUNCTION("CONCATENATE(B600,(VLOOKUP(C600,CATALOGOS!$F$2:$H$6,3,FALSE)),(VLOOKUP(T600,CATALOGOS!$J$2:$K$18,2,FALSE)),""-"",TO_TEXT(A600))"),"P13SO-0599")</f>
        <v>P13SO-0599</v>
      </c>
      <c r="H600" s="6" t="s">
        <v>4184</v>
      </c>
      <c r="I600" s="6" t="s">
        <v>4185</v>
      </c>
      <c r="J600" s="6" t="s">
        <v>4186</v>
      </c>
      <c r="K600" s="6" t="s">
        <v>4187</v>
      </c>
      <c r="L600" s="17"/>
      <c r="M600" s="17"/>
      <c r="N600" s="17" t="str">
        <f t="shared" si="2"/>
        <v>OK</v>
      </c>
      <c r="O600" s="17" t="s">
        <v>35</v>
      </c>
      <c r="P600" s="6" t="s">
        <v>35</v>
      </c>
      <c r="Q600" s="17" t="s">
        <v>36</v>
      </c>
      <c r="R600" s="17" t="s">
        <v>4188</v>
      </c>
      <c r="S600" s="173" t="s">
        <v>38</v>
      </c>
      <c r="T600" s="11" t="s">
        <v>868</v>
      </c>
      <c r="U600" s="20" t="s">
        <v>3451</v>
      </c>
      <c r="V600" s="20" t="s">
        <v>3451</v>
      </c>
    </row>
    <row r="601" spans="1:22" ht="86.25">
      <c r="A601" s="10" t="s">
        <v>4189</v>
      </c>
      <c r="B601" s="10" t="s">
        <v>1469</v>
      </c>
      <c r="C601" s="52" t="s">
        <v>868</v>
      </c>
      <c r="D601" s="12"/>
      <c r="E601" s="13" t="s">
        <v>93</v>
      </c>
      <c r="F601" s="6" t="s">
        <v>4190</v>
      </c>
      <c r="G601" s="6" t="str">
        <f ca="1">IFERROR(__xludf.DUMMYFUNCTION("CONCATENATE(B601,(VLOOKUP(C601,CATALOGOS!$F$2:$H$6,3,FALSE)),(VLOOKUP(T601,CATALOGOS!$J$2:$K$18,2,FALSE)),""-"",TO_TEXT(A601))"),"P13IR-0600")</f>
        <v>P13IR-0600</v>
      </c>
      <c r="H601" s="6" t="s">
        <v>4191</v>
      </c>
      <c r="I601" s="6" t="s">
        <v>4192</v>
      </c>
      <c r="J601" s="6" t="s">
        <v>4193</v>
      </c>
      <c r="K601" s="6" t="s">
        <v>4194</v>
      </c>
      <c r="L601" s="17"/>
      <c r="M601" s="17"/>
      <c r="N601" s="17" t="str">
        <f t="shared" si="2"/>
        <v>OK</v>
      </c>
      <c r="O601" s="17" t="s">
        <v>35</v>
      </c>
      <c r="P601" s="6" t="s">
        <v>35</v>
      </c>
      <c r="Q601" s="17" t="s">
        <v>36</v>
      </c>
      <c r="R601" s="17" t="s">
        <v>4195</v>
      </c>
      <c r="S601" s="173" t="s">
        <v>38</v>
      </c>
      <c r="T601" s="11" t="s">
        <v>2381</v>
      </c>
      <c r="U601" s="20" t="s">
        <v>4181</v>
      </c>
      <c r="V601" s="20" t="s">
        <v>4181</v>
      </c>
    </row>
    <row r="602" spans="1:22" ht="72">
      <c r="A602" s="10" t="s">
        <v>4196</v>
      </c>
      <c r="B602" s="10" t="s">
        <v>1469</v>
      </c>
      <c r="C602" s="52" t="s">
        <v>868</v>
      </c>
      <c r="D602" s="12"/>
      <c r="E602" s="13" t="s">
        <v>93</v>
      </c>
      <c r="F602" s="6" t="s">
        <v>869</v>
      </c>
      <c r="G602" s="6" t="str">
        <f ca="1">IFERROR(__xludf.DUMMYFUNCTION("CONCATENATE(B602,(VLOOKUP(C602,CATALOGOS!$F$2:$H$6,3,FALSE)),(VLOOKUP(T602,CATALOGOS!$J$2:$K$18,2,FALSE)),""-"",TO_TEXT(A602))"),"P13SO-0601")</f>
        <v>P13SO-0601</v>
      </c>
      <c r="H602" s="6" t="s">
        <v>4197</v>
      </c>
      <c r="I602" s="6" t="s">
        <v>4198</v>
      </c>
      <c r="J602" s="6" t="s">
        <v>4199</v>
      </c>
      <c r="K602" s="6" t="s">
        <v>4200</v>
      </c>
      <c r="L602" s="17"/>
      <c r="M602" s="17"/>
      <c r="N602" s="17" t="str">
        <f t="shared" si="2"/>
        <v>OK</v>
      </c>
      <c r="O602" s="17" t="s">
        <v>35</v>
      </c>
      <c r="P602" s="6" t="s">
        <v>35</v>
      </c>
      <c r="Q602" s="17" t="s">
        <v>36</v>
      </c>
      <c r="R602" s="17" t="s">
        <v>4201</v>
      </c>
      <c r="S602" s="173" t="s">
        <v>38</v>
      </c>
      <c r="T602" s="11" t="s">
        <v>868</v>
      </c>
      <c r="U602" s="6" t="s">
        <v>3450</v>
      </c>
      <c r="V602" s="6" t="s">
        <v>4202</v>
      </c>
    </row>
    <row r="603" spans="1:22" ht="57.75">
      <c r="A603" s="10" t="s">
        <v>4204</v>
      </c>
      <c r="B603" s="10" t="s">
        <v>1469</v>
      </c>
      <c r="C603" s="52" t="s">
        <v>868</v>
      </c>
      <c r="D603" s="12"/>
      <c r="E603" s="13" t="s">
        <v>199</v>
      </c>
      <c r="F603" s="6" t="s">
        <v>199</v>
      </c>
      <c r="G603" s="6" t="str">
        <f ca="1">IFERROR(__xludf.DUMMYFUNCTION("CONCATENATE(B603,(VLOOKUP(C603,CATALOGOS!$F$2:$H$6,3,FALSE)),(VLOOKUP(T603,CATALOGOS!$J$2:$K$18,2,FALSE)),""-"",TO_TEXT(A603))"),"P13IR-0602")</f>
        <v>P13IR-0602</v>
      </c>
      <c r="H603" s="6" t="s">
        <v>4205</v>
      </c>
      <c r="I603" s="6" t="s">
        <v>4206</v>
      </c>
      <c r="J603" s="6" t="s">
        <v>4207</v>
      </c>
      <c r="K603" s="6" t="s">
        <v>141</v>
      </c>
      <c r="L603" s="17"/>
      <c r="M603" s="17"/>
      <c r="N603" s="17" t="str">
        <f t="shared" si="2"/>
        <v>REPETIDO</v>
      </c>
      <c r="O603" s="17" t="s">
        <v>157</v>
      </c>
      <c r="P603" s="32">
        <v>1592</v>
      </c>
      <c r="Q603" s="17" t="s">
        <v>4208</v>
      </c>
      <c r="R603" s="17" t="s">
        <v>4209</v>
      </c>
      <c r="S603" s="179" t="s">
        <v>517</v>
      </c>
      <c r="T603" s="11" t="s">
        <v>2381</v>
      </c>
      <c r="U603" s="20" t="s">
        <v>4181</v>
      </c>
      <c r="V603" s="20" t="s">
        <v>4181</v>
      </c>
    </row>
    <row r="604" spans="1:22" ht="57.75">
      <c r="A604" s="10" t="s">
        <v>4210</v>
      </c>
      <c r="B604" s="10" t="s">
        <v>1469</v>
      </c>
      <c r="C604" s="52" t="s">
        <v>868</v>
      </c>
      <c r="D604" s="12"/>
      <c r="E604" s="13" t="s">
        <v>353</v>
      </c>
      <c r="F604" s="43" t="s">
        <v>354</v>
      </c>
      <c r="G604" s="6" t="str">
        <f ca="1">IFERROR(__xludf.DUMMYFUNCTION("CONCATENATE(B604,(VLOOKUP(C604,CATALOGOS!$F$2:$H$6,3,FALSE)),(VLOOKUP(T604,CATALOGOS!$J$2:$K$18,2,FALSE)),""-"",TO_TEXT(A604))"),"P13LP-0603")</f>
        <v>P13LP-0603</v>
      </c>
      <c r="H604" s="6" t="s">
        <v>4211</v>
      </c>
      <c r="I604" s="6" t="s">
        <v>4212</v>
      </c>
      <c r="J604" s="6" t="s">
        <v>4213</v>
      </c>
      <c r="K604" s="6" t="s">
        <v>4214</v>
      </c>
      <c r="L604" s="17"/>
      <c r="M604" s="17"/>
      <c r="N604" s="17" t="str">
        <f t="shared" si="2"/>
        <v>OK</v>
      </c>
      <c r="O604" s="17" t="s">
        <v>359</v>
      </c>
      <c r="P604" s="6" t="s">
        <v>360</v>
      </c>
      <c r="Q604" s="17" t="s">
        <v>36</v>
      </c>
      <c r="R604" s="17" t="s">
        <v>4215</v>
      </c>
      <c r="S604" s="173" t="s">
        <v>38</v>
      </c>
      <c r="T604" s="11" t="s">
        <v>2328</v>
      </c>
      <c r="U604" s="6" t="s">
        <v>4202</v>
      </c>
      <c r="V604" s="6" t="s">
        <v>4202</v>
      </c>
    </row>
    <row r="605" spans="1:22" ht="57.75">
      <c r="A605" s="10" t="s">
        <v>4216</v>
      </c>
      <c r="B605" s="10" t="s">
        <v>1469</v>
      </c>
      <c r="C605" s="52" t="s">
        <v>868</v>
      </c>
      <c r="D605" s="38"/>
      <c r="E605" s="13" t="s">
        <v>151</v>
      </c>
      <c r="F605" s="6" t="s">
        <v>152</v>
      </c>
      <c r="G605" s="6" t="str">
        <f ca="1">IFERROR(__xludf.DUMMYFUNCTION("CONCATENATE(B605,(VLOOKUP(C605,CATALOGOS!$F$2:$H$6,3,FALSE)),(VLOOKUP(T605,CATALOGOS!$J$2:$K$18,2,FALSE)),""-"",TO_TEXT(A605))"),"P13LP-0604")</f>
        <v>P13LP-0604</v>
      </c>
      <c r="H605" s="6" t="s">
        <v>4217</v>
      </c>
      <c r="I605" s="6" t="s">
        <v>4218</v>
      </c>
      <c r="J605" s="6" t="s">
        <v>4219</v>
      </c>
      <c r="K605" s="6" t="s">
        <v>4220</v>
      </c>
      <c r="L605" s="17"/>
      <c r="M605" s="17"/>
      <c r="N605" s="17" t="str">
        <f t="shared" si="2"/>
        <v>OK</v>
      </c>
      <c r="O605" s="17" t="s">
        <v>1220</v>
      </c>
      <c r="P605" s="6" t="s">
        <v>720</v>
      </c>
      <c r="Q605" s="46" t="s">
        <v>4221</v>
      </c>
      <c r="R605" s="17" t="s">
        <v>4222</v>
      </c>
      <c r="S605" s="173" t="s">
        <v>749</v>
      </c>
      <c r="T605" s="11" t="s">
        <v>2328</v>
      </c>
      <c r="U605" s="6" t="s">
        <v>4202</v>
      </c>
      <c r="V605" s="6" t="s">
        <v>4202</v>
      </c>
    </row>
    <row r="606" spans="1:22" ht="43.5">
      <c r="A606" s="10" t="s">
        <v>4223</v>
      </c>
      <c r="B606" s="10" t="s">
        <v>1469</v>
      </c>
      <c r="C606" s="52" t="s">
        <v>868</v>
      </c>
      <c r="D606" s="12"/>
      <c r="E606" s="13" t="s">
        <v>53</v>
      </c>
      <c r="F606" s="6" t="s">
        <v>2362</v>
      </c>
      <c r="G606" s="6" t="str">
        <f ca="1">IFERROR(__xludf.DUMMYFUNCTION("CONCATENATE(B606,(VLOOKUP(C606,CATALOGOS!$F$2:$H$6,3,FALSE)),(VLOOKUP(T606,CATALOGOS!$J$2:$K$18,2,FALSE)),""-"",TO_TEXT(A606))"),"P13IR-0605")</f>
        <v>P13IR-0605</v>
      </c>
      <c r="H606" s="6" t="s">
        <v>4224</v>
      </c>
      <c r="I606" s="6" t="s">
        <v>4225</v>
      </c>
      <c r="J606" s="6" t="s">
        <v>4226</v>
      </c>
      <c r="K606" s="6" t="s">
        <v>4227</v>
      </c>
      <c r="L606" s="17"/>
      <c r="M606" s="17"/>
      <c r="N606" s="17" t="str">
        <f t="shared" si="2"/>
        <v>OK</v>
      </c>
      <c r="O606" s="17" t="s">
        <v>35</v>
      </c>
      <c r="P606" s="6" t="s">
        <v>35</v>
      </c>
      <c r="Q606" s="17" t="s">
        <v>36</v>
      </c>
      <c r="R606" s="17" t="s">
        <v>4228</v>
      </c>
      <c r="S606" s="173" t="s">
        <v>38</v>
      </c>
      <c r="T606" s="11" t="s">
        <v>2381</v>
      </c>
      <c r="U606" s="20" t="s">
        <v>3848</v>
      </c>
      <c r="V606" s="20" t="s">
        <v>3848</v>
      </c>
    </row>
    <row r="607" spans="1:22" ht="86.25">
      <c r="A607" s="10" t="s">
        <v>4229</v>
      </c>
      <c r="B607" s="10" t="s">
        <v>1469</v>
      </c>
      <c r="C607" s="52" t="s">
        <v>868</v>
      </c>
      <c r="D607" s="12"/>
      <c r="E607" s="13" t="s">
        <v>93</v>
      </c>
      <c r="F607" s="6" t="s">
        <v>4230</v>
      </c>
      <c r="G607" s="6" t="str">
        <f ca="1">IFERROR(__xludf.DUMMYFUNCTION("CONCATENATE(B607,(VLOOKUP(C607,CATALOGOS!$F$2:$H$6,3,FALSE)),(VLOOKUP(T607,CATALOGOS!$J$2:$K$18,2,FALSE)),""-"",TO_TEXT(A607))"),"P13IR-0606")</f>
        <v>P13IR-0606</v>
      </c>
      <c r="H607" s="6" t="s">
        <v>4231</v>
      </c>
      <c r="I607" s="6" t="s">
        <v>4232</v>
      </c>
      <c r="J607" s="6" t="s">
        <v>4233</v>
      </c>
      <c r="K607" s="6" t="s">
        <v>4234</v>
      </c>
      <c r="L607" s="17"/>
      <c r="M607" s="17"/>
      <c r="N607" s="17" t="str">
        <f t="shared" si="2"/>
        <v>OK</v>
      </c>
      <c r="O607" s="17" t="s">
        <v>35</v>
      </c>
      <c r="P607" s="6" t="s">
        <v>35</v>
      </c>
      <c r="Q607" s="17" t="s">
        <v>36</v>
      </c>
      <c r="R607" s="17" t="s">
        <v>4235</v>
      </c>
      <c r="S607" s="173" t="s">
        <v>38</v>
      </c>
      <c r="T607" s="11" t="s">
        <v>2381</v>
      </c>
      <c r="U607" s="20" t="s">
        <v>3848</v>
      </c>
      <c r="V607" s="20" t="s">
        <v>3848</v>
      </c>
    </row>
    <row r="608" spans="1:22" ht="43.5">
      <c r="A608" s="10" t="s">
        <v>4236</v>
      </c>
      <c r="B608" s="10" t="s">
        <v>1469</v>
      </c>
      <c r="C608" s="52" t="s">
        <v>868</v>
      </c>
      <c r="D608" s="12"/>
      <c r="E608" s="13" t="s">
        <v>378</v>
      </c>
      <c r="F608" s="6" t="s">
        <v>1306</v>
      </c>
      <c r="G608" s="6" t="str">
        <f ca="1">IFERROR(__xludf.DUMMYFUNCTION("CONCATENATE(B608,(VLOOKUP(C608,CATALOGOS!$F$2:$H$6,3,FALSE)),(VLOOKUP(T608,CATALOGOS!$J$2:$K$18,2,FALSE)),""-"",TO_TEXT(A608))"),"P13IR-0607")</f>
        <v>P13IR-0607</v>
      </c>
      <c r="H608" s="6" t="s">
        <v>4237</v>
      </c>
      <c r="I608" s="6" t="s">
        <v>4238</v>
      </c>
      <c r="J608" s="6" t="s">
        <v>4239</v>
      </c>
      <c r="K608" s="6" t="s">
        <v>4240</v>
      </c>
      <c r="L608" s="17"/>
      <c r="M608" s="17"/>
      <c r="N608" s="17" t="str">
        <f t="shared" si="2"/>
        <v>OK</v>
      </c>
      <c r="O608" s="17" t="s">
        <v>35</v>
      </c>
      <c r="P608" s="6" t="s">
        <v>35</v>
      </c>
      <c r="Q608" s="17" t="s">
        <v>36</v>
      </c>
      <c r="R608" s="17" t="s">
        <v>4241</v>
      </c>
      <c r="S608" s="173" t="s">
        <v>38</v>
      </c>
      <c r="T608" s="11" t="s">
        <v>2381</v>
      </c>
      <c r="U608" s="20" t="s">
        <v>3848</v>
      </c>
      <c r="V608" s="20" t="s">
        <v>3848</v>
      </c>
    </row>
    <row r="609" spans="1:22" ht="57.75">
      <c r="A609" s="10" t="s">
        <v>4242</v>
      </c>
      <c r="B609" s="10" t="s">
        <v>1469</v>
      </c>
      <c r="C609" s="52" t="s">
        <v>868</v>
      </c>
      <c r="D609" s="12"/>
      <c r="E609" s="13" t="s">
        <v>29</v>
      </c>
      <c r="F609" s="6" t="s">
        <v>4243</v>
      </c>
      <c r="G609" s="6" t="str">
        <f ca="1">IFERROR(__xludf.DUMMYFUNCTION("CONCATENATE(B609,(VLOOKUP(C609,CATALOGOS!$F$2:$H$6,3,FALSE)),(VLOOKUP(T609,CATALOGOS!$J$2:$K$18,2,FALSE)),""-"",TO_TEXT(A609))"),"P13IR-0608")</f>
        <v>P13IR-0608</v>
      </c>
      <c r="H609" s="6" t="s">
        <v>4244</v>
      </c>
      <c r="I609" s="6" t="s">
        <v>4245</v>
      </c>
      <c r="J609" s="6" t="s">
        <v>4246</v>
      </c>
      <c r="K609" s="6" t="s">
        <v>4247</v>
      </c>
      <c r="L609" s="17"/>
      <c r="M609" s="17"/>
      <c r="N609" s="17" t="str">
        <f t="shared" si="2"/>
        <v>OK</v>
      </c>
      <c r="O609" s="17" t="s">
        <v>35</v>
      </c>
      <c r="P609" s="6" t="s">
        <v>35</v>
      </c>
      <c r="Q609" s="17" t="s">
        <v>36</v>
      </c>
      <c r="R609" s="17" t="s">
        <v>4248</v>
      </c>
      <c r="S609" s="173" t="s">
        <v>38</v>
      </c>
      <c r="T609" s="11" t="s">
        <v>2381</v>
      </c>
      <c r="U609" s="20" t="s">
        <v>3848</v>
      </c>
      <c r="V609" s="20" t="s">
        <v>3848</v>
      </c>
    </row>
    <row r="610" spans="1:22" ht="100.5">
      <c r="A610" s="10" t="s">
        <v>4249</v>
      </c>
      <c r="B610" s="10" t="s">
        <v>1469</v>
      </c>
      <c r="C610" s="52" t="s">
        <v>868</v>
      </c>
      <c r="D610" s="12"/>
      <c r="E610" s="13" t="s">
        <v>62</v>
      </c>
      <c r="F610" s="6" t="s">
        <v>4250</v>
      </c>
      <c r="G610" s="6" t="str">
        <f ca="1">IFERROR(__xludf.DUMMYFUNCTION("CONCATENATE(B610,(VLOOKUP(C610,CATALOGOS!$F$2:$H$6,3,FALSE)),(VLOOKUP(T610,CATALOGOS!$J$2:$K$18,2,FALSE)),""-"",TO_TEXT(A610))"),"P13IR-0609")</f>
        <v>P13IR-0609</v>
      </c>
      <c r="H610" s="6" t="s">
        <v>4251</v>
      </c>
      <c r="I610" s="6" t="s">
        <v>4252</v>
      </c>
      <c r="J610" s="6" t="s">
        <v>4253</v>
      </c>
      <c r="K610" s="6" t="s">
        <v>4254</v>
      </c>
      <c r="L610" s="17"/>
      <c r="M610" s="17"/>
      <c r="N610" s="17" t="str">
        <f t="shared" si="2"/>
        <v>OK</v>
      </c>
      <c r="O610" s="17" t="s">
        <v>35</v>
      </c>
      <c r="P610" s="6" t="s">
        <v>35</v>
      </c>
      <c r="Q610" s="17" t="s">
        <v>36</v>
      </c>
      <c r="R610" s="17" t="s">
        <v>4255</v>
      </c>
      <c r="S610" s="173" t="s">
        <v>38</v>
      </c>
      <c r="T610" s="11" t="s">
        <v>2381</v>
      </c>
      <c r="U610" s="20" t="s">
        <v>3848</v>
      </c>
      <c r="V610" s="20" t="s">
        <v>3848</v>
      </c>
    </row>
    <row r="611" spans="1:22" ht="57.75">
      <c r="A611" s="10" t="s">
        <v>4256</v>
      </c>
      <c r="B611" s="10" t="s">
        <v>1469</v>
      </c>
      <c r="C611" s="52" t="s">
        <v>868</v>
      </c>
      <c r="D611" s="12"/>
      <c r="E611" s="13" t="s">
        <v>71</v>
      </c>
      <c r="F611" s="6" t="s">
        <v>4257</v>
      </c>
      <c r="G611" s="6" t="str">
        <f ca="1">IFERROR(__xludf.DUMMYFUNCTION("CONCATENATE(B611,(VLOOKUP(C611,CATALOGOS!$F$2:$H$6,3,FALSE)),(VLOOKUP(T611,CATALOGOS!$J$2:$K$18,2,FALSE)),""-"",TO_TEXT(A611))"),"P13IR-0610")</f>
        <v>P13IR-0610</v>
      </c>
      <c r="H611" s="6" t="s">
        <v>4258</v>
      </c>
      <c r="I611" s="6" t="s">
        <v>4259</v>
      </c>
      <c r="J611" s="6" t="s">
        <v>4260</v>
      </c>
      <c r="K611" s="6" t="s">
        <v>4261</v>
      </c>
      <c r="L611" s="17"/>
      <c r="M611" s="17"/>
      <c r="N611" s="17" t="str">
        <f t="shared" si="2"/>
        <v>OK</v>
      </c>
      <c r="O611" s="17" t="s">
        <v>35</v>
      </c>
      <c r="P611" s="6" t="s">
        <v>35</v>
      </c>
      <c r="Q611" s="17" t="s">
        <v>36</v>
      </c>
      <c r="R611" s="17" t="s">
        <v>4262</v>
      </c>
      <c r="S611" s="173" t="s">
        <v>38</v>
      </c>
      <c r="T611" s="11" t="s">
        <v>2381</v>
      </c>
      <c r="U611" s="20" t="s">
        <v>3848</v>
      </c>
      <c r="V611" s="20" t="s">
        <v>3848</v>
      </c>
    </row>
    <row r="612" spans="1:22" ht="57.75">
      <c r="A612" s="10" t="s">
        <v>4263</v>
      </c>
      <c r="B612" s="10" t="s">
        <v>1469</v>
      </c>
      <c r="C612" s="52" t="s">
        <v>868</v>
      </c>
      <c r="D612" s="12"/>
      <c r="E612" s="13" t="s">
        <v>116</v>
      </c>
      <c r="F612" s="6" t="s">
        <v>4264</v>
      </c>
      <c r="G612" s="6" t="str">
        <f ca="1">IFERROR(__xludf.DUMMYFUNCTION("CONCATENATE(B612,(VLOOKUP(C612,CATALOGOS!$F$2:$H$6,3,FALSE)),(VLOOKUP(T612,CATALOGOS!$J$2:$K$18,2,FALSE)),""-"",TO_TEXT(A612))"),"P13IR-0611")</f>
        <v>P13IR-0611</v>
      </c>
      <c r="H612" s="6" t="s">
        <v>4265</v>
      </c>
      <c r="I612" s="6" t="s">
        <v>4266</v>
      </c>
      <c r="J612" s="6" t="s">
        <v>4267</v>
      </c>
      <c r="K612" s="6" t="s">
        <v>4268</v>
      </c>
      <c r="L612" s="17"/>
      <c r="M612" s="17"/>
      <c r="N612" s="17" t="str">
        <f t="shared" si="2"/>
        <v>OK</v>
      </c>
      <c r="O612" s="17" t="s">
        <v>35</v>
      </c>
      <c r="P612" s="6" t="s">
        <v>35</v>
      </c>
      <c r="Q612" s="17" t="s">
        <v>36</v>
      </c>
      <c r="R612" s="17" t="s">
        <v>4269</v>
      </c>
      <c r="S612" s="173" t="s">
        <v>38</v>
      </c>
      <c r="T612" s="11" t="s">
        <v>2381</v>
      </c>
      <c r="U612" s="20" t="s">
        <v>3848</v>
      </c>
      <c r="V612" s="20" t="s">
        <v>3848</v>
      </c>
    </row>
    <row r="613" spans="1:22" ht="29.25">
      <c r="A613" s="10" t="s">
        <v>4270</v>
      </c>
      <c r="B613" s="10" t="s">
        <v>1469</v>
      </c>
      <c r="C613" s="52" t="s">
        <v>868</v>
      </c>
      <c r="D613" s="12"/>
      <c r="E613" s="13" t="s">
        <v>136</v>
      </c>
      <c r="F613" s="43" t="s">
        <v>136</v>
      </c>
      <c r="G613" s="6" t="str">
        <f ca="1">IFERROR(__xludf.DUMMYFUNCTION("CONCATENATE(B613,(VLOOKUP(C613,CATALOGOS!$F$2:$H$6,3,FALSE)),(VLOOKUP(T613,CATALOGOS!$J$2:$K$18,2,FALSE)),""-"",TO_TEXT(A613))"),"P13IR-0612")</f>
        <v>P13IR-0612</v>
      </c>
      <c r="H613" s="6" t="s">
        <v>4271</v>
      </c>
      <c r="I613" s="6" t="s">
        <v>4272</v>
      </c>
      <c r="J613" s="6" t="s">
        <v>4273</v>
      </c>
      <c r="K613" s="6" t="s">
        <v>4274</v>
      </c>
      <c r="L613" s="17"/>
      <c r="M613" s="17"/>
      <c r="N613" s="17" t="str">
        <f t="shared" si="2"/>
        <v>OK</v>
      </c>
      <c r="O613" s="17" t="s">
        <v>703</v>
      </c>
      <c r="P613" s="6" t="s">
        <v>4275</v>
      </c>
      <c r="Q613" s="17" t="s">
        <v>4276</v>
      </c>
      <c r="R613" s="10" t="s">
        <v>4277</v>
      </c>
      <c r="S613" s="173" t="s">
        <v>38</v>
      </c>
      <c r="T613" s="11" t="s">
        <v>2381</v>
      </c>
      <c r="U613" s="20" t="s">
        <v>3848</v>
      </c>
      <c r="V613" s="20" t="s">
        <v>3848</v>
      </c>
    </row>
    <row r="614" spans="1:22" ht="29.25">
      <c r="A614" s="10" t="s">
        <v>4278</v>
      </c>
      <c r="B614" s="10" t="s">
        <v>1469</v>
      </c>
      <c r="C614" s="52" t="s">
        <v>868</v>
      </c>
      <c r="D614" s="12"/>
      <c r="E614" s="13" t="s">
        <v>151</v>
      </c>
      <c r="F614" s="6" t="s">
        <v>152</v>
      </c>
      <c r="G614" s="6" t="str">
        <f ca="1">IFERROR(__xludf.DUMMYFUNCTION("CONCATENATE(B614,(VLOOKUP(C614,CATALOGOS!$F$2:$H$6,3,FALSE)),(VLOOKUP(T614,CATALOGOS!$J$2:$K$18,2,FALSE)),""-"",TO_TEXT(A614))"),"P13IR-0613")</f>
        <v>P13IR-0613</v>
      </c>
      <c r="H614" s="6" t="s">
        <v>4279</v>
      </c>
      <c r="I614" s="6" t="s">
        <v>4280</v>
      </c>
      <c r="J614" s="6" t="s">
        <v>4281</v>
      </c>
      <c r="K614" s="6" t="s">
        <v>4282</v>
      </c>
      <c r="L614" s="17"/>
      <c r="M614" s="17"/>
      <c r="N614" s="17" t="str">
        <f t="shared" si="2"/>
        <v>OK</v>
      </c>
      <c r="O614" s="17" t="s">
        <v>1220</v>
      </c>
      <c r="P614" s="6" t="s">
        <v>720</v>
      </c>
      <c r="Q614" s="17" t="s">
        <v>4283</v>
      </c>
      <c r="R614" s="17" t="s">
        <v>4284</v>
      </c>
      <c r="S614" s="173" t="s">
        <v>38</v>
      </c>
      <c r="T614" s="11" t="s">
        <v>2381</v>
      </c>
      <c r="U614" s="20" t="s">
        <v>3848</v>
      </c>
      <c r="V614" s="20" t="s">
        <v>3848</v>
      </c>
    </row>
    <row r="615" spans="1:22" ht="57.75">
      <c r="A615" s="10" t="s">
        <v>4285</v>
      </c>
      <c r="B615" s="10" t="s">
        <v>1469</v>
      </c>
      <c r="C615" s="52" t="s">
        <v>868</v>
      </c>
      <c r="D615" s="12"/>
      <c r="E615" s="13" t="s">
        <v>199</v>
      </c>
      <c r="F615" s="43" t="s">
        <v>1394</v>
      </c>
      <c r="G615" s="6" t="str">
        <f ca="1">IFERROR(__xludf.DUMMYFUNCTION("CONCATENATE(B615,(VLOOKUP(C615,CATALOGOS!$F$2:$H$6,3,FALSE)),(VLOOKUP(T615,CATALOGOS!$J$2:$K$18,2,FALSE)),""-"",TO_TEXT(A615))"),"P13IR-0614")</f>
        <v>P13IR-0614</v>
      </c>
      <c r="H615" s="6" t="s">
        <v>4286</v>
      </c>
      <c r="I615" s="6" t="s">
        <v>4287</v>
      </c>
      <c r="J615" s="6" t="s">
        <v>4288</v>
      </c>
      <c r="K615" s="6" t="s">
        <v>4289</v>
      </c>
      <c r="L615" s="17"/>
      <c r="M615" s="17"/>
      <c r="N615" s="17" t="str">
        <f t="shared" si="2"/>
        <v>OK</v>
      </c>
      <c r="O615" s="17" t="s">
        <v>157</v>
      </c>
      <c r="P615" s="6">
        <v>2378</v>
      </c>
      <c r="Q615" s="17" t="s">
        <v>4290</v>
      </c>
      <c r="R615" s="10" t="s">
        <v>4291</v>
      </c>
      <c r="S615" s="173" t="s">
        <v>38</v>
      </c>
      <c r="T615" s="11" t="s">
        <v>2381</v>
      </c>
      <c r="U615" s="20" t="s">
        <v>3848</v>
      </c>
      <c r="V615" s="20" t="s">
        <v>3848</v>
      </c>
    </row>
    <row r="616" spans="1:22" ht="29.25">
      <c r="A616" s="10" t="s">
        <v>4292</v>
      </c>
      <c r="B616" s="10" t="s">
        <v>1469</v>
      </c>
      <c r="C616" s="52" t="s">
        <v>868</v>
      </c>
      <c r="D616" s="12"/>
      <c r="E616" s="13" t="s">
        <v>43</v>
      </c>
      <c r="F616" s="43" t="s">
        <v>43</v>
      </c>
      <c r="G616" s="6" t="str">
        <f ca="1">IFERROR(__xludf.DUMMYFUNCTION("CONCATENATE(B616,(VLOOKUP(C616,CATALOGOS!$F$2:$H$6,3,FALSE)),(VLOOKUP(T616,CATALOGOS!$J$2:$K$18,2,FALSE)),""-"",TO_TEXT(A616))"),"P13IR-0615")</f>
        <v>P13IR-0615</v>
      </c>
      <c r="H616" s="6" t="s">
        <v>4293</v>
      </c>
      <c r="I616" s="6" t="s">
        <v>4294</v>
      </c>
      <c r="J616" s="6" t="s">
        <v>4295</v>
      </c>
      <c r="K616" s="6" t="s">
        <v>4296</v>
      </c>
      <c r="L616" s="17"/>
      <c r="M616" s="17"/>
      <c r="N616" s="17" t="str">
        <f t="shared" si="2"/>
        <v>OK</v>
      </c>
      <c r="O616" s="17" t="s">
        <v>49</v>
      </c>
      <c r="P616" s="6" t="s">
        <v>4297</v>
      </c>
      <c r="Q616" s="17" t="s">
        <v>36</v>
      </c>
      <c r="R616" s="17" t="s">
        <v>4298</v>
      </c>
      <c r="S616" s="173" t="s">
        <v>38</v>
      </c>
      <c r="T616" s="11" t="s">
        <v>2381</v>
      </c>
      <c r="U616" s="20" t="s">
        <v>3848</v>
      </c>
      <c r="V616" s="20" t="s">
        <v>3848</v>
      </c>
    </row>
    <row r="617" spans="1:22" ht="43.5">
      <c r="A617" s="10" t="s">
        <v>4299</v>
      </c>
      <c r="B617" s="10" t="s">
        <v>1469</v>
      </c>
      <c r="C617" s="52" t="s">
        <v>868</v>
      </c>
      <c r="D617" s="12"/>
      <c r="E617" s="13" t="s">
        <v>353</v>
      </c>
      <c r="F617" s="43" t="s">
        <v>638</v>
      </c>
      <c r="G617" s="6" t="str">
        <f ca="1">IFERROR(__xludf.DUMMYFUNCTION("CONCATENATE(B617,(VLOOKUP(C617,CATALOGOS!$F$2:$H$6,3,FALSE)),(VLOOKUP(T617,CATALOGOS!$J$2:$K$18,2,FALSE)),""-"",TO_TEXT(A617))"),"P13IR-0616")</f>
        <v>P13IR-0616</v>
      </c>
      <c r="H617" s="6" t="s">
        <v>4300</v>
      </c>
      <c r="I617" s="6" t="s">
        <v>4301</v>
      </c>
      <c r="J617" s="6" t="s">
        <v>4302</v>
      </c>
      <c r="K617" s="6" t="s">
        <v>4303</v>
      </c>
      <c r="L617" s="17"/>
      <c r="M617" s="17"/>
      <c r="N617" s="17" t="str">
        <f t="shared" si="2"/>
        <v>OK</v>
      </c>
      <c r="O617" s="17" t="s">
        <v>359</v>
      </c>
      <c r="P617" s="6">
        <v>1200</v>
      </c>
      <c r="Q617" s="17" t="s">
        <v>4304</v>
      </c>
      <c r="R617" s="17" t="s">
        <v>4305</v>
      </c>
      <c r="S617" s="173" t="s">
        <v>38</v>
      </c>
      <c r="T617" s="11" t="s">
        <v>2381</v>
      </c>
      <c r="U617" s="20" t="s">
        <v>3848</v>
      </c>
      <c r="V617" s="20" t="s">
        <v>3848</v>
      </c>
    </row>
    <row r="618" spans="1:22" ht="57.75">
      <c r="A618" s="10" t="s">
        <v>4306</v>
      </c>
      <c r="B618" s="10" t="s">
        <v>1469</v>
      </c>
      <c r="C618" s="52" t="s">
        <v>868</v>
      </c>
      <c r="D618" s="12"/>
      <c r="E618" s="13" t="s">
        <v>378</v>
      </c>
      <c r="F618" s="43" t="s">
        <v>379</v>
      </c>
      <c r="G618" s="6" t="str">
        <f ca="1">IFERROR(__xludf.DUMMYFUNCTION("CONCATENATE(B618,(VLOOKUP(C618,CATALOGOS!$F$2:$H$6,3,FALSE)),(VLOOKUP(T618,CATALOGOS!$J$2:$K$18,2,FALSE)),""-"",TO_TEXT(A618))"),"P13LP-0617")</f>
        <v>P13LP-0617</v>
      </c>
      <c r="H618" s="6" t="s">
        <v>4307</v>
      </c>
      <c r="I618" s="6" t="s">
        <v>4308</v>
      </c>
      <c r="J618" s="6" t="s">
        <v>4309</v>
      </c>
      <c r="K618" s="6" t="s">
        <v>4310</v>
      </c>
      <c r="L618" s="17"/>
      <c r="M618" s="17"/>
      <c r="N618" s="17" t="str">
        <f t="shared" si="2"/>
        <v>OK</v>
      </c>
      <c r="O618" s="17" t="s">
        <v>35</v>
      </c>
      <c r="P618" s="6" t="s">
        <v>35</v>
      </c>
      <c r="Q618" s="17" t="s">
        <v>36</v>
      </c>
      <c r="R618" s="17" t="s">
        <v>4311</v>
      </c>
      <c r="S618" s="173" t="s">
        <v>38</v>
      </c>
      <c r="T618" s="11" t="s">
        <v>2328</v>
      </c>
      <c r="U618" s="20" t="s">
        <v>4313</v>
      </c>
      <c r="V618" s="20" t="s">
        <v>4313</v>
      </c>
    </row>
    <row r="619" spans="1:22" ht="86.25">
      <c r="A619" s="10" t="s">
        <v>4314</v>
      </c>
      <c r="B619" s="10" t="s">
        <v>1469</v>
      </c>
      <c r="C619" s="52" t="s">
        <v>868</v>
      </c>
      <c r="D619" s="12"/>
      <c r="E619" s="13" t="s">
        <v>1240</v>
      </c>
      <c r="F619" s="43" t="s">
        <v>278</v>
      </c>
      <c r="G619" s="6" t="str">
        <f ca="1">IFERROR(__xludf.DUMMYFUNCTION("CONCATENATE(B619,(VLOOKUP(C619,CATALOGOS!$F$2:$H$6,3,FALSE)),(VLOOKUP(T619,CATALOGOS!$J$2:$K$18,2,FALSE)),""-"",TO_TEXT(A619))"),"P13IR-0618")</f>
        <v>P13IR-0618</v>
      </c>
      <c r="H619" s="6" t="s">
        <v>4315</v>
      </c>
      <c r="I619" s="6" t="s">
        <v>4316</v>
      </c>
      <c r="J619" s="6" t="s">
        <v>4317</v>
      </c>
      <c r="K619" s="6" t="s">
        <v>4318</v>
      </c>
      <c r="L619" s="17"/>
      <c r="M619" s="17"/>
      <c r="N619" s="17" t="str">
        <f t="shared" si="2"/>
        <v>OK</v>
      </c>
      <c r="O619" s="17" t="s">
        <v>35</v>
      </c>
      <c r="P619" s="6" t="s">
        <v>35</v>
      </c>
      <c r="Q619" s="17" t="s">
        <v>36</v>
      </c>
      <c r="R619" s="17" t="s">
        <v>4319</v>
      </c>
      <c r="S619" s="173" t="s">
        <v>38</v>
      </c>
      <c r="T619" s="11" t="s">
        <v>2381</v>
      </c>
      <c r="U619" s="20" t="s">
        <v>3848</v>
      </c>
      <c r="V619" s="20" t="s">
        <v>3848</v>
      </c>
    </row>
    <row r="620" spans="1:22" ht="43.5">
      <c r="A620" s="10" t="s">
        <v>4320</v>
      </c>
      <c r="B620" s="10" t="s">
        <v>1469</v>
      </c>
      <c r="C620" s="52" t="s">
        <v>868</v>
      </c>
      <c r="D620" s="38"/>
      <c r="E620" s="13" t="s">
        <v>29</v>
      </c>
      <c r="F620" s="43" t="s">
        <v>1166</v>
      </c>
      <c r="G620" s="6" t="str">
        <f ca="1">IFERROR(__xludf.DUMMYFUNCTION("CONCATENATE(B620,(VLOOKUP(C620,CATALOGOS!$F$2:$H$6,3,FALSE)),(VLOOKUP(T620,CATALOGOS!$J$2:$K$18,2,FALSE)),""-"",TO_TEXT(A620))"),"P13IR-0619")</f>
        <v>P13IR-0619</v>
      </c>
      <c r="H620" s="6" t="s">
        <v>4321</v>
      </c>
      <c r="I620" s="54"/>
      <c r="J620" s="6" t="s">
        <v>4322</v>
      </c>
      <c r="K620" s="6" t="s">
        <v>4323</v>
      </c>
      <c r="L620" s="17"/>
      <c r="M620" s="17"/>
      <c r="N620" s="17" t="str">
        <f t="shared" si="2"/>
        <v>OK</v>
      </c>
      <c r="O620" s="17" t="s">
        <v>35</v>
      </c>
      <c r="P620" s="6" t="s">
        <v>35</v>
      </c>
      <c r="Q620" s="46" t="s">
        <v>36</v>
      </c>
      <c r="R620" s="17" t="s">
        <v>85</v>
      </c>
      <c r="S620" s="173" t="s">
        <v>38</v>
      </c>
      <c r="T620" s="11" t="s">
        <v>2381</v>
      </c>
      <c r="U620" s="32" t="s">
        <v>3840</v>
      </c>
      <c r="V620" s="32" t="s">
        <v>3840</v>
      </c>
    </row>
    <row r="621" spans="1:22" ht="43.5">
      <c r="A621" s="10" t="s">
        <v>4324</v>
      </c>
      <c r="B621" s="10" t="s">
        <v>1469</v>
      </c>
      <c r="C621" s="52" t="s">
        <v>868</v>
      </c>
      <c r="D621" s="12"/>
      <c r="E621" s="13" t="s">
        <v>116</v>
      </c>
      <c r="F621" s="6" t="s">
        <v>117</v>
      </c>
      <c r="G621" s="6" t="str">
        <f ca="1">IFERROR(__xludf.DUMMYFUNCTION("CONCATENATE(B621,(VLOOKUP(C621,CATALOGOS!$F$2:$H$6,3,FALSE)),(VLOOKUP(T621,CATALOGOS!$J$2:$K$18,2,FALSE)),""-"",TO_TEXT(A621))"),"P13IR-0620")</f>
        <v>P13IR-0620</v>
      </c>
      <c r="H621" s="6" t="s">
        <v>4325</v>
      </c>
      <c r="I621" s="6" t="s">
        <v>4326</v>
      </c>
      <c r="J621" s="6" t="s">
        <v>4327</v>
      </c>
      <c r="K621" s="6" t="s">
        <v>4328</v>
      </c>
      <c r="L621" s="17"/>
      <c r="M621" s="17"/>
      <c r="N621" s="17" t="str">
        <f t="shared" si="2"/>
        <v>OK</v>
      </c>
      <c r="O621" s="17" t="s">
        <v>35</v>
      </c>
      <c r="P621" s="49" t="s">
        <v>35</v>
      </c>
      <c r="Q621" s="17" t="s">
        <v>36</v>
      </c>
      <c r="R621" s="17" t="s">
        <v>4329</v>
      </c>
      <c r="S621" s="173" t="s">
        <v>38</v>
      </c>
      <c r="T621" s="11" t="s">
        <v>2381</v>
      </c>
      <c r="U621" s="22" t="s">
        <v>3840</v>
      </c>
      <c r="V621" s="22" t="s">
        <v>3840</v>
      </c>
    </row>
    <row r="622" spans="1:22" ht="72">
      <c r="A622" s="10" t="s">
        <v>4330</v>
      </c>
      <c r="B622" s="10" t="s">
        <v>1469</v>
      </c>
      <c r="C622" s="52" t="s">
        <v>868</v>
      </c>
      <c r="D622" s="12"/>
      <c r="E622" s="13" t="s">
        <v>116</v>
      </c>
      <c r="F622" s="6" t="s">
        <v>4153</v>
      </c>
      <c r="G622" s="6" t="str">
        <f ca="1">IFERROR(__xludf.DUMMYFUNCTION("CONCATENATE(B622,(VLOOKUP(C622,CATALOGOS!$F$2:$H$6,3,FALSE)),(VLOOKUP(T622,CATALOGOS!$J$2:$K$18,2,FALSE)),""-"",TO_TEXT(A622))"),"P13IR-0621")</f>
        <v>P13IR-0621</v>
      </c>
      <c r="H622" s="6" t="s">
        <v>4331</v>
      </c>
      <c r="I622" s="6" t="s">
        <v>4332</v>
      </c>
      <c r="J622" s="6" t="s">
        <v>4333</v>
      </c>
      <c r="K622" s="6" t="s">
        <v>4334</v>
      </c>
      <c r="L622" s="17"/>
      <c r="M622" s="17"/>
      <c r="N622" s="17" t="str">
        <f t="shared" si="2"/>
        <v>OK</v>
      </c>
      <c r="O622" s="17" t="s">
        <v>35</v>
      </c>
      <c r="P622" s="6" t="s">
        <v>35</v>
      </c>
      <c r="Q622" s="17" t="s">
        <v>36</v>
      </c>
      <c r="R622" s="17" t="s">
        <v>4335</v>
      </c>
      <c r="S622" s="173" t="s">
        <v>38</v>
      </c>
      <c r="T622" s="11" t="s">
        <v>2381</v>
      </c>
      <c r="U622" s="22" t="s">
        <v>3840</v>
      </c>
      <c r="V622" s="22" t="s">
        <v>3840</v>
      </c>
    </row>
    <row r="623" spans="1:22" ht="86.25">
      <c r="A623" s="10" t="s">
        <v>4336</v>
      </c>
      <c r="B623" s="10" t="s">
        <v>1469</v>
      </c>
      <c r="C623" s="52" t="s">
        <v>868</v>
      </c>
      <c r="D623" s="12"/>
      <c r="E623" s="13" t="s">
        <v>1240</v>
      </c>
      <c r="F623" s="43" t="s">
        <v>278</v>
      </c>
      <c r="G623" s="6" t="str">
        <f ca="1">IFERROR(__xludf.DUMMYFUNCTION("CONCATENATE(B623,(VLOOKUP(C623,CATALOGOS!$F$2:$H$6,3,FALSE)),(VLOOKUP(T623,CATALOGOS!$J$2:$K$18,2,FALSE)),""-"",TO_TEXT(A623))"),"P13IR-0622")</f>
        <v>P13IR-0622</v>
      </c>
      <c r="H623" s="6" t="s">
        <v>4337</v>
      </c>
      <c r="I623" s="6" t="s">
        <v>4338</v>
      </c>
      <c r="J623" s="6" t="s">
        <v>4339</v>
      </c>
      <c r="K623" s="6" t="s">
        <v>4340</v>
      </c>
      <c r="L623" s="17"/>
      <c r="M623" s="17"/>
      <c r="N623" s="17" t="str">
        <f t="shared" si="2"/>
        <v>OK</v>
      </c>
      <c r="O623" s="17" t="s">
        <v>35</v>
      </c>
      <c r="P623" s="49" t="s">
        <v>35</v>
      </c>
      <c r="Q623" s="17" t="s">
        <v>36</v>
      </c>
      <c r="R623" s="17" t="s">
        <v>4341</v>
      </c>
      <c r="S623" s="173" t="s">
        <v>38</v>
      </c>
      <c r="T623" s="11" t="s">
        <v>2381</v>
      </c>
      <c r="U623" s="22" t="s">
        <v>3840</v>
      </c>
      <c r="V623" s="22" t="s">
        <v>3840</v>
      </c>
    </row>
    <row r="624" spans="1:22" ht="29.25">
      <c r="A624" s="10" t="s">
        <v>4342</v>
      </c>
      <c r="B624" s="10" t="s">
        <v>1469</v>
      </c>
      <c r="C624" s="52" t="s">
        <v>868</v>
      </c>
      <c r="D624" s="12"/>
      <c r="E624" s="13" t="s">
        <v>248</v>
      </c>
      <c r="F624" s="43" t="s">
        <v>249</v>
      </c>
      <c r="G624" s="6" t="str">
        <f ca="1">IFERROR(__xludf.DUMMYFUNCTION("CONCATENATE(B624,(VLOOKUP(C624,CATALOGOS!$F$2:$H$6,3,FALSE)),(VLOOKUP(T624,CATALOGOS!$J$2:$K$18,2,FALSE)),""-"",TO_TEXT(A624))"),"P13IR-0623")</f>
        <v>P13IR-0623</v>
      </c>
      <c r="H624" s="6" t="s">
        <v>4343</v>
      </c>
      <c r="I624" s="6" t="s">
        <v>4344</v>
      </c>
      <c r="J624" s="6" t="s">
        <v>4345</v>
      </c>
      <c r="K624" s="6" t="s">
        <v>4346</v>
      </c>
      <c r="L624" s="17"/>
      <c r="M624" s="17"/>
      <c r="N624" s="17" t="str">
        <f t="shared" si="2"/>
        <v>OK</v>
      </c>
      <c r="O624" s="17" t="s">
        <v>978</v>
      </c>
      <c r="P624" s="6" t="s">
        <v>979</v>
      </c>
      <c r="Q624" s="17" t="s">
        <v>4347</v>
      </c>
      <c r="R624" s="17" t="s">
        <v>4348</v>
      </c>
      <c r="S624" s="173" t="s">
        <v>38</v>
      </c>
      <c r="T624" s="11" t="s">
        <v>2381</v>
      </c>
      <c r="U624" s="22" t="s">
        <v>3840</v>
      </c>
      <c r="V624" s="22" t="s">
        <v>3840</v>
      </c>
    </row>
    <row r="625" spans="1:22" ht="57.75">
      <c r="A625" s="10" t="s">
        <v>4349</v>
      </c>
      <c r="B625" s="10" t="s">
        <v>1469</v>
      </c>
      <c r="C625" s="52" t="s">
        <v>868</v>
      </c>
      <c r="D625" s="12"/>
      <c r="E625" s="13" t="s">
        <v>199</v>
      </c>
      <c r="F625" s="6" t="s">
        <v>199</v>
      </c>
      <c r="G625" s="6" t="str">
        <f ca="1">IFERROR(__xludf.DUMMYFUNCTION("CONCATENATE(B625,(VLOOKUP(C625,CATALOGOS!$F$2:$H$6,3,FALSE)),(VLOOKUP(T625,CATALOGOS!$J$2:$K$18,2,FALSE)),""-"",TO_TEXT(A625))"),"P13IR-0624")</f>
        <v>P13IR-0624</v>
      </c>
      <c r="H625" s="6" t="s">
        <v>4350</v>
      </c>
      <c r="I625" s="6" t="s">
        <v>4351</v>
      </c>
      <c r="J625" s="37"/>
      <c r="K625" s="6" t="s">
        <v>4352</v>
      </c>
      <c r="L625" s="17"/>
      <c r="M625" s="17"/>
      <c r="N625" s="17" t="str">
        <f t="shared" si="2"/>
        <v>OK</v>
      </c>
      <c r="O625" s="17" t="s">
        <v>273</v>
      </c>
      <c r="P625" s="6" t="s">
        <v>274</v>
      </c>
      <c r="Q625" s="6">
        <v>11392903012343</v>
      </c>
      <c r="R625" s="10" t="s">
        <v>85</v>
      </c>
      <c r="S625" s="173" t="s">
        <v>38</v>
      </c>
      <c r="T625" s="11" t="s">
        <v>2381</v>
      </c>
      <c r="U625" s="22" t="s">
        <v>3840</v>
      </c>
      <c r="V625" s="22" t="s">
        <v>3840</v>
      </c>
    </row>
    <row r="626" spans="1:22" ht="43.5">
      <c r="A626" s="10" t="s">
        <v>4353</v>
      </c>
      <c r="B626" s="10" t="s">
        <v>1469</v>
      </c>
      <c r="C626" s="52" t="s">
        <v>868</v>
      </c>
      <c r="D626" s="12"/>
      <c r="E626" s="13" t="s">
        <v>151</v>
      </c>
      <c r="F626" s="6" t="s">
        <v>4113</v>
      </c>
      <c r="G626" s="6" t="str">
        <f ca="1">IFERROR(__xludf.DUMMYFUNCTION("CONCATENATE(B626,(VLOOKUP(C626,CATALOGOS!$F$2:$H$6,3,FALSE)),(VLOOKUP(T626,CATALOGOS!$J$2:$K$18,2,FALSE)),""-"",TO_TEXT(A626))"),"P13IR-0625")</f>
        <v>P13IR-0625</v>
      </c>
      <c r="H626" s="6" t="s">
        <v>4354</v>
      </c>
      <c r="I626" s="6" t="s">
        <v>4355</v>
      </c>
      <c r="J626" s="37"/>
      <c r="K626" s="6" t="s">
        <v>4356</v>
      </c>
      <c r="L626" s="17"/>
      <c r="M626" s="17"/>
      <c r="N626" s="17" t="str">
        <f t="shared" si="2"/>
        <v>OK</v>
      </c>
      <c r="O626" s="17" t="s">
        <v>297</v>
      </c>
      <c r="P626" s="6" t="s">
        <v>298</v>
      </c>
      <c r="Q626" s="6" t="s">
        <v>4357</v>
      </c>
      <c r="R626" s="10" t="s">
        <v>85</v>
      </c>
      <c r="S626" s="178" t="s">
        <v>971</v>
      </c>
      <c r="T626" s="11" t="s">
        <v>2381</v>
      </c>
      <c r="U626" s="22" t="s">
        <v>3840</v>
      </c>
      <c r="V626" s="22" t="s">
        <v>3840</v>
      </c>
    </row>
    <row r="627" spans="1:22" ht="72">
      <c r="A627" s="10" t="s">
        <v>4358</v>
      </c>
      <c r="B627" s="10" t="s">
        <v>1469</v>
      </c>
      <c r="C627" s="52" t="s">
        <v>868</v>
      </c>
      <c r="D627" s="38"/>
      <c r="E627" s="13" t="s">
        <v>93</v>
      </c>
      <c r="F627" s="6" t="s">
        <v>1380</v>
      </c>
      <c r="G627" s="6" t="str">
        <f ca="1">IFERROR(__xludf.DUMMYFUNCTION("CONCATENATE(B627,(VLOOKUP(C627,CATALOGOS!$F$2:$H$6,3,FALSE)),(VLOOKUP(T627,CATALOGOS!$J$2:$K$18,2,FALSE)),""-"",TO_TEXT(A627))"),"P13LP-0626")</f>
        <v>P13LP-0626</v>
      </c>
      <c r="H627" s="6" t="s">
        <v>4359</v>
      </c>
      <c r="I627" s="6" t="s">
        <v>4360</v>
      </c>
      <c r="J627" s="6" t="s">
        <v>4361</v>
      </c>
      <c r="K627" s="6" t="s">
        <v>4362</v>
      </c>
      <c r="L627" s="17"/>
      <c r="M627" s="17"/>
      <c r="N627" s="17" t="str">
        <f t="shared" si="2"/>
        <v>OK</v>
      </c>
      <c r="O627" s="17" t="s">
        <v>35</v>
      </c>
      <c r="P627" s="6" t="s">
        <v>35</v>
      </c>
      <c r="Q627" s="46" t="s">
        <v>36</v>
      </c>
      <c r="R627" s="17" t="s">
        <v>4363</v>
      </c>
      <c r="S627" s="173" t="s">
        <v>38</v>
      </c>
      <c r="T627" s="11" t="s">
        <v>2328</v>
      </c>
      <c r="U627" s="10" t="s">
        <v>4313</v>
      </c>
      <c r="V627" s="10" t="s">
        <v>4313</v>
      </c>
    </row>
    <row r="628" spans="1:22" ht="72">
      <c r="A628" s="10" t="s">
        <v>4364</v>
      </c>
      <c r="B628" s="10" t="s">
        <v>1469</v>
      </c>
      <c r="C628" s="52" t="s">
        <v>868</v>
      </c>
      <c r="D628" s="12"/>
      <c r="E628" s="13" t="s">
        <v>93</v>
      </c>
      <c r="F628" s="6" t="s">
        <v>3893</v>
      </c>
      <c r="G628" s="6" t="str">
        <f ca="1">IFERROR(__xludf.DUMMYFUNCTION("CONCATENATE(B628,(VLOOKUP(C628,CATALOGOS!$F$2:$H$6,3,FALSE)),(VLOOKUP(T628,CATALOGOS!$J$2:$K$18,2,FALSE)),""-"",TO_TEXT(A628))"),"P13LP-0627")</f>
        <v>P13LP-0627</v>
      </c>
      <c r="H628" s="6" t="s">
        <v>4365</v>
      </c>
      <c r="I628" s="6" t="s">
        <v>4366</v>
      </c>
      <c r="J628" s="36"/>
      <c r="K628" s="6" t="s">
        <v>141</v>
      </c>
      <c r="L628" s="17"/>
      <c r="M628" s="17"/>
      <c r="N628" s="17" t="str">
        <f t="shared" si="2"/>
        <v>REPETIDO</v>
      </c>
      <c r="O628" s="35" t="s">
        <v>35</v>
      </c>
      <c r="P628" s="6" t="s">
        <v>35</v>
      </c>
      <c r="Q628" s="10" t="s">
        <v>36</v>
      </c>
      <c r="R628" s="32" t="s">
        <v>85</v>
      </c>
      <c r="S628" s="173" t="s">
        <v>38</v>
      </c>
      <c r="T628" s="11" t="s">
        <v>2328</v>
      </c>
      <c r="U628" s="20" t="s">
        <v>4313</v>
      </c>
      <c r="V628" s="20" t="s">
        <v>4313</v>
      </c>
    </row>
    <row r="629" spans="1:22" ht="72">
      <c r="A629" s="10" t="s">
        <v>4367</v>
      </c>
      <c r="B629" s="10" t="s">
        <v>1469</v>
      </c>
      <c r="C629" s="52" t="s">
        <v>868</v>
      </c>
      <c r="D629" s="12"/>
      <c r="E629" s="13" t="s">
        <v>93</v>
      </c>
      <c r="F629" s="6" t="s">
        <v>4368</v>
      </c>
      <c r="G629" s="6" t="str">
        <f ca="1">IFERROR(__xludf.DUMMYFUNCTION("CONCATENATE(B629,(VLOOKUP(C629,CATALOGOS!$F$2:$H$6,3,FALSE)),(VLOOKUP(T629,CATALOGOS!$J$2:$K$18,2,FALSE)),""-"",TO_TEXT(A629))"),"P13IR-0628")</f>
        <v>P13IR-0628</v>
      </c>
      <c r="H629" s="6" t="s">
        <v>4369</v>
      </c>
      <c r="I629" s="6" t="s">
        <v>4370</v>
      </c>
      <c r="J629" s="6" t="s">
        <v>4371</v>
      </c>
      <c r="K629" s="6" t="s">
        <v>4372</v>
      </c>
      <c r="L629" s="17"/>
      <c r="M629" s="17"/>
      <c r="N629" s="17" t="str">
        <f t="shared" si="2"/>
        <v>OK</v>
      </c>
      <c r="O629" s="17" t="s">
        <v>35</v>
      </c>
      <c r="P629" s="6" t="s">
        <v>35</v>
      </c>
      <c r="Q629" s="17" t="s">
        <v>36</v>
      </c>
      <c r="R629" s="17" t="s">
        <v>4373</v>
      </c>
      <c r="S629" s="173" t="s">
        <v>38</v>
      </c>
      <c r="T629" s="11" t="s">
        <v>2381</v>
      </c>
      <c r="U629" s="20" t="s">
        <v>3840</v>
      </c>
      <c r="V629" s="20" t="s">
        <v>3840</v>
      </c>
    </row>
    <row r="630" spans="1:22" ht="72">
      <c r="A630" s="10" t="s">
        <v>4374</v>
      </c>
      <c r="B630" s="10" t="s">
        <v>1469</v>
      </c>
      <c r="C630" s="52" t="s">
        <v>868</v>
      </c>
      <c r="D630" s="12"/>
      <c r="E630" s="13" t="s">
        <v>116</v>
      </c>
      <c r="F630" s="6" t="s">
        <v>4375</v>
      </c>
      <c r="G630" s="6" t="str">
        <f ca="1">IFERROR(__xludf.DUMMYFUNCTION("CONCATENATE(B630,(VLOOKUP(C630,CATALOGOS!$F$2:$H$6,3,FALSE)),(VLOOKUP(T630,CATALOGOS!$J$2:$K$18,2,FALSE)),""-"",TO_TEXT(A630))"),"P13LP-0629")</f>
        <v>P13LP-0629</v>
      </c>
      <c r="H630" s="6" t="s">
        <v>4376</v>
      </c>
      <c r="I630" s="6" t="s">
        <v>4377</v>
      </c>
      <c r="J630" s="6" t="s">
        <v>4378</v>
      </c>
      <c r="K630" s="6" t="s">
        <v>4379</v>
      </c>
      <c r="L630" s="17"/>
      <c r="M630" s="17"/>
      <c r="N630" s="17" t="str">
        <f t="shared" si="2"/>
        <v>OK</v>
      </c>
      <c r="O630" s="17" t="s">
        <v>35</v>
      </c>
      <c r="P630" s="49" t="s">
        <v>35</v>
      </c>
      <c r="Q630" s="17" t="s">
        <v>36</v>
      </c>
      <c r="R630" s="17" t="s">
        <v>4380</v>
      </c>
      <c r="S630" s="173" t="s">
        <v>38</v>
      </c>
      <c r="T630" s="11" t="s">
        <v>2328</v>
      </c>
      <c r="U630" s="20" t="s">
        <v>4313</v>
      </c>
      <c r="V630" s="20" t="s">
        <v>4313</v>
      </c>
    </row>
    <row r="631" spans="1:22" ht="86.25">
      <c r="A631" s="10" t="s">
        <v>4381</v>
      </c>
      <c r="B631" s="10" t="s">
        <v>1469</v>
      </c>
      <c r="C631" s="52" t="s">
        <v>868</v>
      </c>
      <c r="D631" s="12"/>
      <c r="E631" s="13" t="s">
        <v>1240</v>
      </c>
      <c r="F631" s="43" t="s">
        <v>278</v>
      </c>
      <c r="G631" s="6" t="str">
        <f ca="1">IFERROR(__xludf.DUMMYFUNCTION("CONCATENATE(B631,(VLOOKUP(C631,CATALOGOS!$F$2:$H$6,3,FALSE)),(VLOOKUP(T631,CATALOGOS!$J$2:$K$18,2,FALSE)),""-"",TO_TEXT(A631))"),"P13LP-0630")</f>
        <v>P13LP-0630</v>
      </c>
      <c r="H631" s="6" t="s">
        <v>4382</v>
      </c>
      <c r="I631" s="6" t="s">
        <v>4383</v>
      </c>
      <c r="J631" s="6" t="s">
        <v>4384</v>
      </c>
      <c r="K631" s="6" t="s">
        <v>4385</v>
      </c>
      <c r="L631" s="17"/>
      <c r="M631" s="17"/>
      <c r="N631" s="17" t="str">
        <f t="shared" si="2"/>
        <v>OK</v>
      </c>
      <c r="O631" s="17" t="s">
        <v>35</v>
      </c>
      <c r="P631" s="6" t="s">
        <v>35</v>
      </c>
      <c r="Q631" s="17" t="s">
        <v>36</v>
      </c>
      <c r="R631" s="17" t="s">
        <v>4386</v>
      </c>
      <c r="S631" s="173" t="s">
        <v>38</v>
      </c>
      <c r="T631" s="11" t="s">
        <v>2328</v>
      </c>
      <c r="U631" s="20" t="s">
        <v>4313</v>
      </c>
      <c r="V631" s="20" t="s">
        <v>4313</v>
      </c>
    </row>
    <row r="632" spans="1:22" ht="57.75">
      <c r="A632" s="10" t="s">
        <v>4387</v>
      </c>
      <c r="B632" s="10" t="s">
        <v>1469</v>
      </c>
      <c r="C632" s="52" t="s">
        <v>868</v>
      </c>
      <c r="D632" s="12"/>
      <c r="E632" s="13" t="s">
        <v>378</v>
      </c>
      <c r="F632" s="43" t="s">
        <v>379</v>
      </c>
      <c r="G632" s="6" t="str">
        <f ca="1">IFERROR(__xludf.DUMMYFUNCTION("CONCATENATE(B632,(VLOOKUP(C632,CATALOGOS!$F$2:$H$6,3,FALSE)),(VLOOKUP(T632,CATALOGOS!$J$2:$K$18,2,FALSE)),""-"",TO_TEXT(A632))"),"P13IR-0631")</f>
        <v>P13IR-0631</v>
      </c>
      <c r="H632" s="6" t="s">
        <v>4388</v>
      </c>
      <c r="I632" s="6" t="s">
        <v>4389</v>
      </c>
      <c r="J632" s="6" t="s">
        <v>4390</v>
      </c>
      <c r="K632" s="6" t="s">
        <v>4391</v>
      </c>
      <c r="L632" s="17"/>
      <c r="M632" s="17"/>
      <c r="N632" s="17" t="str">
        <f t="shared" si="2"/>
        <v>OK</v>
      </c>
      <c r="O632" s="17" t="s">
        <v>35</v>
      </c>
      <c r="P632" s="6" t="s">
        <v>35</v>
      </c>
      <c r="Q632" s="17" t="s">
        <v>36</v>
      </c>
      <c r="R632" s="17" t="s">
        <v>4392</v>
      </c>
      <c r="S632" s="179" t="s">
        <v>517</v>
      </c>
      <c r="T632" s="11" t="s">
        <v>2381</v>
      </c>
      <c r="U632" s="20" t="s">
        <v>4181</v>
      </c>
      <c r="V632" s="20" t="s">
        <v>4181</v>
      </c>
    </row>
    <row r="633" spans="1:22" ht="29.25">
      <c r="A633" s="10" t="s">
        <v>4393</v>
      </c>
      <c r="B633" s="10" t="s">
        <v>1469</v>
      </c>
      <c r="C633" s="52" t="s">
        <v>868</v>
      </c>
      <c r="D633" s="12"/>
      <c r="E633" s="13" t="s">
        <v>248</v>
      </c>
      <c r="F633" s="43" t="s">
        <v>249</v>
      </c>
      <c r="G633" s="6" t="str">
        <f ca="1">IFERROR(__xludf.DUMMYFUNCTION("CONCATENATE(B633,(VLOOKUP(C633,CATALOGOS!$F$2:$H$6,3,FALSE)),(VLOOKUP(T633,CATALOGOS!$J$2:$K$18,2,FALSE)),""-"",TO_TEXT(A633))"),"P13LP-0632")</f>
        <v>P13LP-0632</v>
      </c>
      <c r="H633" s="6" t="s">
        <v>4394</v>
      </c>
      <c r="I633" s="6" t="s">
        <v>4395</v>
      </c>
      <c r="J633" s="6" t="s">
        <v>4396</v>
      </c>
      <c r="K633" s="6" t="s">
        <v>4397</v>
      </c>
      <c r="L633" s="17"/>
      <c r="M633" s="17"/>
      <c r="N633" s="17" t="str">
        <f t="shared" si="2"/>
        <v>OK</v>
      </c>
      <c r="O633" s="17" t="s">
        <v>978</v>
      </c>
      <c r="P633" s="6" t="s">
        <v>979</v>
      </c>
      <c r="Q633" s="17" t="s">
        <v>4398</v>
      </c>
      <c r="R633" s="17" t="s">
        <v>4399</v>
      </c>
      <c r="S633" s="173" t="s">
        <v>38</v>
      </c>
      <c r="T633" s="11" t="s">
        <v>2328</v>
      </c>
      <c r="U633" s="20" t="s">
        <v>4313</v>
      </c>
      <c r="V633" s="20" t="s">
        <v>4313</v>
      </c>
    </row>
    <row r="634" spans="1:22" ht="57.75">
      <c r="A634" s="10" t="s">
        <v>4400</v>
      </c>
      <c r="B634" s="10" t="s">
        <v>1469</v>
      </c>
      <c r="C634" s="52" t="s">
        <v>868</v>
      </c>
      <c r="D634" s="12"/>
      <c r="E634" s="13" t="s">
        <v>199</v>
      </c>
      <c r="F634" s="6" t="s">
        <v>199</v>
      </c>
      <c r="G634" s="6" t="str">
        <f ca="1">IFERROR(__xludf.DUMMYFUNCTION("CONCATENATE(B634,(VLOOKUP(C634,CATALOGOS!$F$2:$H$6,3,FALSE)),(VLOOKUP(T634,CATALOGOS!$J$2:$K$18,2,FALSE)),""-"",TO_TEXT(A634))"),"P13LP-0633")</f>
        <v>P13LP-0633</v>
      </c>
      <c r="H634" s="6" t="s">
        <v>4401</v>
      </c>
      <c r="I634" s="6" t="s">
        <v>4402</v>
      </c>
      <c r="J634" s="37"/>
      <c r="K634" s="6" t="s">
        <v>4403</v>
      </c>
      <c r="L634" s="17"/>
      <c r="M634" s="17"/>
      <c r="N634" s="17" t="str">
        <f t="shared" si="2"/>
        <v>OK</v>
      </c>
      <c r="O634" s="17" t="s">
        <v>273</v>
      </c>
      <c r="P634" s="6" t="s">
        <v>274</v>
      </c>
      <c r="Q634" s="6">
        <v>11392903014920</v>
      </c>
      <c r="R634" s="10" t="s">
        <v>85</v>
      </c>
      <c r="S634" s="173" t="s">
        <v>38</v>
      </c>
      <c r="T634" s="11" t="s">
        <v>2328</v>
      </c>
      <c r="U634" s="20" t="s">
        <v>4313</v>
      </c>
      <c r="V634" s="20" t="s">
        <v>4313</v>
      </c>
    </row>
    <row r="635" spans="1:22" ht="43.5">
      <c r="A635" s="10" t="s">
        <v>4404</v>
      </c>
      <c r="B635" s="10" t="s">
        <v>1469</v>
      </c>
      <c r="C635" s="52" t="s">
        <v>868</v>
      </c>
      <c r="D635" s="12"/>
      <c r="E635" s="13" t="s">
        <v>151</v>
      </c>
      <c r="F635" s="6" t="s">
        <v>4113</v>
      </c>
      <c r="G635" s="6" t="str">
        <f ca="1">IFERROR(__xludf.DUMMYFUNCTION("CONCATENATE(B635,(VLOOKUP(C635,CATALOGOS!$F$2:$H$6,3,FALSE)),(VLOOKUP(T635,CATALOGOS!$J$2:$K$18,2,FALSE)),""-"",TO_TEXT(A635))"),"P13LP-0634")</f>
        <v>P13LP-0634</v>
      </c>
      <c r="H635" s="6" t="s">
        <v>4405</v>
      </c>
      <c r="I635" s="6" t="s">
        <v>4406</v>
      </c>
      <c r="J635" s="37"/>
      <c r="K635" s="6" t="s">
        <v>4407</v>
      </c>
      <c r="L635" s="17"/>
      <c r="M635" s="17"/>
      <c r="N635" s="17" t="str">
        <f t="shared" si="2"/>
        <v>OK</v>
      </c>
      <c r="O635" s="17" t="s">
        <v>297</v>
      </c>
      <c r="P635" s="6" t="s">
        <v>298</v>
      </c>
      <c r="Q635" s="6" t="s">
        <v>4408</v>
      </c>
      <c r="R635" s="10" t="s">
        <v>85</v>
      </c>
      <c r="S635" s="173" t="s">
        <v>38</v>
      </c>
      <c r="T635" s="11" t="s">
        <v>2328</v>
      </c>
      <c r="U635" s="20" t="s">
        <v>4313</v>
      </c>
      <c r="V635" s="20" t="s">
        <v>4313</v>
      </c>
    </row>
    <row r="636" spans="1:22" ht="57.75">
      <c r="A636" s="10" t="s">
        <v>4409</v>
      </c>
      <c r="B636" s="10" t="s">
        <v>1469</v>
      </c>
      <c r="C636" s="61" t="s">
        <v>4411</v>
      </c>
      <c r="D636" s="38"/>
      <c r="E636" s="13" t="s">
        <v>116</v>
      </c>
      <c r="F636" s="6" t="s">
        <v>3992</v>
      </c>
      <c r="G636" s="6" t="str">
        <f ca="1">IFERROR(__xludf.DUMMYFUNCTION("CONCATENATE(B636,(VLOOKUP(C636,CATALOGOS!$F$2:$H$6,3,FALSE)),(VLOOKUP(T636,CATALOGOS!$J$2:$K$18,2,FALSE)),""-"",TO_TEXT(A636))"),"P14SJ-0635")</f>
        <v>P14SJ-0635</v>
      </c>
      <c r="H636" s="6" t="s">
        <v>4412</v>
      </c>
      <c r="I636" s="6"/>
      <c r="J636" s="6" t="s">
        <v>4413</v>
      </c>
      <c r="K636" s="6" t="s">
        <v>4414</v>
      </c>
      <c r="L636" s="17"/>
      <c r="M636" s="17"/>
      <c r="N636" s="17" t="str">
        <f t="shared" si="2"/>
        <v>OK</v>
      </c>
      <c r="O636" s="17" t="s">
        <v>35</v>
      </c>
      <c r="P636" s="6" t="s">
        <v>35</v>
      </c>
      <c r="Q636" s="46" t="s">
        <v>36</v>
      </c>
      <c r="R636" s="187" t="s">
        <v>4415</v>
      </c>
      <c r="S636" s="173" t="s">
        <v>38</v>
      </c>
      <c r="T636" s="11" t="s">
        <v>4411</v>
      </c>
      <c r="U636" s="6" t="s">
        <v>4417</v>
      </c>
      <c r="V636" s="6" t="s">
        <v>4417</v>
      </c>
    </row>
    <row r="637" spans="1:22" ht="57.75">
      <c r="A637" s="10" t="s">
        <v>4418</v>
      </c>
      <c r="B637" s="10" t="s">
        <v>1469</v>
      </c>
      <c r="C637" s="52" t="s">
        <v>868</v>
      </c>
      <c r="D637" s="12"/>
      <c r="E637" s="13" t="s">
        <v>248</v>
      </c>
      <c r="F637" s="43" t="s">
        <v>248</v>
      </c>
      <c r="G637" s="6" t="str">
        <f ca="1">IFERROR(__xludf.DUMMYFUNCTION("CONCATENATE(B637,(VLOOKUP(C637,CATALOGOS!$F$2:$H$6,3,FALSE)),(VLOOKUP(T637,CATALOGOS!$J$2:$K$18,2,FALSE)),""-"",TO_TEXT(A637))"),"P13LP-0636")</f>
        <v>P13LP-0636</v>
      </c>
      <c r="H637" s="6" t="s">
        <v>4419</v>
      </c>
      <c r="I637" s="6" t="s">
        <v>4420</v>
      </c>
      <c r="J637" s="6" t="s">
        <v>4421</v>
      </c>
      <c r="K637" s="6" t="s">
        <v>4422</v>
      </c>
      <c r="L637" s="17"/>
      <c r="M637" s="17"/>
      <c r="N637" s="17" t="str">
        <f t="shared" si="2"/>
        <v>OK</v>
      </c>
      <c r="O637" s="17" t="s">
        <v>303</v>
      </c>
      <c r="P637" s="6" t="s">
        <v>304</v>
      </c>
      <c r="Q637" s="17" t="s">
        <v>4423</v>
      </c>
      <c r="R637" s="10" t="s">
        <v>7310</v>
      </c>
      <c r="S637" s="173" t="s">
        <v>38</v>
      </c>
      <c r="T637" s="11" t="s">
        <v>2328</v>
      </c>
      <c r="U637" s="6" t="s">
        <v>4202</v>
      </c>
      <c r="V637" s="6" t="s">
        <v>4202</v>
      </c>
    </row>
    <row r="638" spans="1:22" ht="57.75">
      <c r="A638" s="10" t="s">
        <v>4425</v>
      </c>
      <c r="B638" s="10" t="s">
        <v>1469</v>
      </c>
      <c r="C638" s="52" t="s">
        <v>868</v>
      </c>
      <c r="D638" s="12"/>
      <c r="E638" s="13" t="s">
        <v>199</v>
      </c>
      <c r="F638" s="43" t="s">
        <v>4426</v>
      </c>
      <c r="G638" s="6" t="str">
        <f ca="1">IFERROR(__xludf.DUMMYFUNCTION("CONCATENATE(B638,(VLOOKUP(C638,CATALOGOS!$F$2:$H$6,3,FALSE)),(VLOOKUP(T638,CATALOGOS!$J$2:$K$18,2,FALSE)),""-"",TO_TEXT(A638))"),"P13LP-0637")</f>
        <v>P13LP-0637</v>
      </c>
      <c r="H638" s="6" t="s">
        <v>4427</v>
      </c>
      <c r="I638" s="6" t="s">
        <v>4428</v>
      </c>
      <c r="J638" s="6" t="s">
        <v>4429</v>
      </c>
      <c r="K638" s="6" t="s">
        <v>4430</v>
      </c>
      <c r="L638" s="17"/>
      <c r="M638" s="17"/>
      <c r="N638" s="17" t="str">
        <f t="shared" si="2"/>
        <v>OK</v>
      </c>
      <c r="O638" s="17" t="s">
        <v>205</v>
      </c>
      <c r="P638" s="6" t="s">
        <v>794</v>
      </c>
      <c r="Q638" s="17" t="s">
        <v>4431</v>
      </c>
      <c r="R638" s="10" t="s">
        <v>4432</v>
      </c>
      <c r="S638" s="173" t="s">
        <v>38</v>
      </c>
      <c r="T638" s="11" t="s">
        <v>2328</v>
      </c>
      <c r="U638" s="6" t="s">
        <v>4202</v>
      </c>
      <c r="V638" s="6" t="s">
        <v>4202</v>
      </c>
    </row>
    <row r="639" spans="1:22" ht="57.75">
      <c r="A639" s="10" t="s">
        <v>4433</v>
      </c>
      <c r="B639" s="10" t="s">
        <v>1469</v>
      </c>
      <c r="C639" s="52" t="s">
        <v>868</v>
      </c>
      <c r="D639" s="38"/>
      <c r="E639" s="13" t="s">
        <v>151</v>
      </c>
      <c r="F639" s="6" t="s">
        <v>714</v>
      </c>
      <c r="G639" s="6" t="str">
        <f ca="1">IFERROR(__xludf.DUMMYFUNCTION("CONCATENATE(B639,(VLOOKUP(C639,CATALOGOS!$F$2:$H$6,3,FALSE)),(VLOOKUP(T639,CATALOGOS!$J$2:$K$18,2,FALSE)),""-"",TO_TEXT(A639))"),"P13LP-0638")</f>
        <v>P13LP-0638</v>
      </c>
      <c r="H639" s="6" t="s">
        <v>4434</v>
      </c>
      <c r="I639" s="6" t="s">
        <v>4435</v>
      </c>
      <c r="J639" s="6" t="s">
        <v>4436</v>
      </c>
      <c r="K639" s="6" t="s">
        <v>4437</v>
      </c>
      <c r="L639" s="17"/>
      <c r="M639" s="17"/>
      <c r="N639" s="17" t="str">
        <f t="shared" si="2"/>
        <v>OK</v>
      </c>
      <c r="O639" s="17" t="s">
        <v>1220</v>
      </c>
      <c r="P639" s="6" t="s">
        <v>720</v>
      </c>
      <c r="Q639" s="46" t="s">
        <v>4438</v>
      </c>
      <c r="R639" s="17" t="s">
        <v>4439</v>
      </c>
      <c r="S639" s="173" t="s">
        <v>38</v>
      </c>
      <c r="T639" s="11" t="s">
        <v>2328</v>
      </c>
      <c r="U639" s="6" t="s">
        <v>4202</v>
      </c>
      <c r="V639" s="6" t="s">
        <v>4202</v>
      </c>
    </row>
    <row r="640" spans="1:22" ht="72">
      <c r="A640" s="10" t="s">
        <v>4440</v>
      </c>
      <c r="B640" s="10" t="s">
        <v>1469</v>
      </c>
      <c r="C640" s="52" t="s">
        <v>868</v>
      </c>
      <c r="D640" s="12"/>
      <c r="E640" s="13" t="s">
        <v>93</v>
      </c>
      <c r="F640" s="6" t="s">
        <v>869</v>
      </c>
      <c r="G640" s="6" t="str">
        <f ca="1">IFERROR(__xludf.DUMMYFUNCTION("CONCATENATE(B640,(VLOOKUP(C640,CATALOGOS!$F$2:$H$6,3,FALSE)),(VLOOKUP(T640,CATALOGOS!$J$2:$K$18,2,FALSE)),""-"",TO_TEXT(A640))"),"P13IR-0639")</f>
        <v>P13IR-0639</v>
      </c>
      <c r="H640" s="6" t="s">
        <v>4441</v>
      </c>
      <c r="I640" s="6" t="s">
        <v>4442</v>
      </c>
      <c r="J640" s="6" t="s">
        <v>4443</v>
      </c>
      <c r="K640" s="6" t="s">
        <v>4444</v>
      </c>
      <c r="L640" s="17"/>
      <c r="M640" s="17"/>
      <c r="N640" s="17" t="str">
        <f t="shared" si="2"/>
        <v>OK</v>
      </c>
      <c r="O640" s="35" t="s">
        <v>35</v>
      </c>
      <c r="P640" s="6" t="s">
        <v>35</v>
      </c>
      <c r="Q640" s="17" t="s">
        <v>36</v>
      </c>
      <c r="R640" s="17" t="s">
        <v>4445</v>
      </c>
      <c r="S640" s="173" t="s">
        <v>38</v>
      </c>
      <c r="T640" s="11" t="s">
        <v>2381</v>
      </c>
      <c r="U640" s="22" t="s">
        <v>4181</v>
      </c>
      <c r="V640" s="22" t="s">
        <v>4181</v>
      </c>
    </row>
    <row r="641" spans="1:22" ht="86.25">
      <c r="A641" s="10" t="s">
        <v>4446</v>
      </c>
      <c r="B641" s="10" t="s">
        <v>1469</v>
      </c>
      <c r="C641" s="52" t="s">
        <v>868</v>
      </c>
      <c r="D641" s="12"/>
      <c r="E641" s="13" t="s">
        <v>116</v>
      </c>
      <c r="F641" s="6" t="s">
        <v>4447</v>
      </c>
      <c r="G641" s="6" t="str">
        <f ca="1">IFERROR(__xludf.DUMMYFUNCTION("CONCATENATE(B641,(VLOOKUP(C641,CATALOGOS!$F$2:$H$6,3,FALSE)),(VLOOKUP(T641,CATALOGOS!$J$2:$K$18,2,FALSE)),""-"",TO_TEXT(A641))"),"P13IR-0640")</f>
        <v>P13IR-0640</v>
      </c>
      <c r="H641" s="6" t="s">
        <v>4448</v>
      </c>
      <c r="I641" s="6" t="s">
        <v>4449</v>
      </c>
      <c r="J641" s="6" t="s">
        <v>4450</v>
      </c>
      <c r="K641" s="6" t="s">
        <v>4451</v>
      </c>
      <c r="L641" s="17"/>
      <c r="M641" s="17"/>
      <c r="N641" s="17" t="str">
        <f t="shared" si="2"/>
        <v>OK</v>
      </c>
      <c r="O641" s="17" t="s">
        <v>35</v>
      </c>
      <c r="P641" s="6" t="s">
        <v>35</v>
      </c>
      <c r="Q641" s="17" t="s">
        <v>36</v>
      </c>
      <c r="R641" s="17" t="s">
        <v>4452</v>
      </c>
      <c r="S641" s="173" t="s">
        <v>38</v>
      </c>
      <c r="T641" s="11" t="s">
        <v>2381</v>
      </c>
      <c r="U641" s="22" t="s">
        <v>4181</v>
      </c>
      <c r="V641" s="22" t="s">
        <v>4181</v>
      </c>
    </row>
    <row r="642" spans="1:22" ht="43.5">
      <c r="A642" s="10" t="s">
        <v>4453</v>
      </c>
      <c r="B642" s="10" t="s">
        <v>1469</v>
      </c>
      <c r="C642" s="52" t="s">
        <v>868</v>
      </c>
      <c r="D642" s="12"/>
      <c r="E642" s="13" t="s">
        <v>29</v>
      </c>
      <c r="F642" s="6" t="s">
        <v>1166</v>
      </c>
      <c r="G642" s="6" t="str">
        <f ca="1">IFERROR(__xludf.DUMMYFUNCTION("CONCATENATE(B642,(VLOOKUP(C642,CATALOGOS!$F$2:$H$6,3,FALSE)),(VLOOKUP(T642,CATALOGOS!$J$2:$K$18,2,FALSE)),""-"",TO_TEXT(A642))"),"P13IR-0641")</f>
        <v>P13IR-0641</v>
      </c>
      <c r="H642" s="6" t="s">
        <v>4454</v>
      </c>
      <c r="I642" s="6" t="s">
        <v>4455</v>
      </c>
      <c r="J642" s="6" t="s">
        <v>4456</v>
      </c>
      <c r="K642" s="6" t="s">
        <v>4457</v>
      </c>
      <c r="L642" s="17"/>
      <c r="M642" s="17"/>
      <c r="N642" s="17" t="str">
        <f t="shared" si="2"/>
        <v>OK</v>
      </c>
      <c r="O642" s="17" t="s">
        <v>35</v>
      </c>
      <c r="P642" s="6" t="s">
        <v>35</v>
      </c>
      <c r="Q642" s="17" t="s">
        <v>36</v>
      </c>
      <c r="R642" s="17" t="s">
        <v>4458</v>
      </c>
      <c r="S642" s="173" t="s">
        <v>38</v>
      </c>
      <c r="T642" s="11" t="s">
        <v>2381</v>
      </c>
      <c r="U642" s="22" t="s">
        <v>4181</v>
      </c>
      <c r="V642" s="22" t="s">
        <v>4181</v>
      </c>
    </row>
    <row r="643" spans="1:22" ht="43.5">
      <c r="A643" s="10" t="s">
        <v>4459</v>
      </c>
      <c r="B643" s="10" t="s">
        <v>1469</v>
      </c>
      <c r="C643" s="52" t="s">
        <v>868</v>
      </c>
      <c r="D643" s="12"/>
      <c r="E643" s="13" t="s">
        <v>378</v>
      </c>
      <c r="F643" s="6" t="s">
        <v>1306</v>
      </c>
      <c r="G643" s="6" t="str">
        <f ca="1">IFERROR(__xludf.DUMMYFUNCTION("CONCATENATE(B643,(VLOOKUP(C643,CATALOGOS!$F$2:$H$6,3,FALSE)),(VLOOKUP(T643,CATALOGOS!$J$2:$K$18,2,FALSE)),""-"",TO_TEXT(A643))"),"P13IR-0642")</f>
        <v>P13IR-0642</v>
      </c>
      <c r="H643" s="6" t="s">
        <v>4460</v>
      </c>
      <c r="I643" s="6" t="s">
        <v>4461</v>
      </c>
      <c r="J643" s="6" t="s">
        <v>4462</v>
      </c>
      <c r="K643" s="6" t="s">
        <v>4463</v>
      </c>
      <c r="L643" s="17"/>
      <c r="M643" s="17"/>
      <c r="N643" s="17" t="str">
        <f t="shared" si="2"/>
        <v>OK</v>
      </c>
      <c r="O643" s="17" t="s">
        <v>35</v>
      </c>
      <c r="P643" s="6" t="s">
        <v>35</v>
      </c>
      <c r="Q643" s="17" t="s">
        <v>36</v>
      </c>
      <c r="R643" s="17" t="s">
        <v>4464</v>
      </c>
      <c r="S643" s="173" t="s">
        <v>38</v>
      </c>
      <c r="T643" s="11" t="s">
        <v>2381</v>
      </c>
      <c r="U643" s="22" t="s">
        <v>4181</v>
      </c>
      <c r="V643" s="22" t="s">
        <v>4181</v>
      </c>
    </row>
    <row r="644" spans="1:22" ht="29.25">
      <c r="A644" s="10" t="s">
        <v>4465</v>
      </c>
      <c r="B644" s="10" t="s">
        <v>1469</v>
      </c>
      <c r="C644" s="52" t="s">
        <v>868</v>
      </c>
      <c r="D644" s="12"/>
      <c r="E644" s="13" t="s">
        <v>248</v>
      </c>
      <c r="F644" s="6" t="s">
        <v>248</v>
      </c>
      <c r="G644" s="6" t="str">
        <f ca="1">IFERROR(__xludf.DUMMYFUNCTION("CONCATENATE(B644,(VLOOKUP(C644,CATALOGOS!$F$2:$H$6,3,FALSE)),(VLOOKUP(T644,CATALOGOS!$J$2:$K$18,2,FALSE)),""-"",TO_TEXT(A644))"),"P13IR-0643")</f>
        <v>P13IR-0643</v>
      </c>
      <c r="H644" s="6"/>
      <c r="I644" s="6" t="s">
        <v>4466</v>
      </c>
      <c r="J644" s="6" t="s">
        <v>4467</v>
      </c>
      <c r="K644" s="43" t="s">
        <v>4468</v>
      </c>
      <c r="L644" s="17"/>
      <c r="M644" s="17"/>
      <c r="N644" s="17" t="str">
        <f t="shared" si="2"/>
        <v>OK</v>
      </c>
      <c r="O644" s="17" t="s">
        <v>359</v>
      </c>
      <c r="P644" s="6">
        <v>550</v>
      </c>
      <c r="Q644" s="17" t="s">
        <v>36</v>
      </c>
      <c r="R644" s="17" t="s">
        <v>4469</v>
      </c>
      <c r="S644" s="173" t="s">
        <v>38</v>
      </c>
      <c r="T644" s="11" t="s">
        <v>2381</v>
      </c>
      <c r="U644" s="22" t="s">
        <v>4181</v>
      </c>
      <c r="V644" s="22" t="s">
        <v>4181</v>
      </c>
    </row>
    <row r="645" spans="1:22" ht="57.75">
      <c r="A645" s="10" t="s">
        <v>4470</v>
      </c>
      <c r="B645" s="10" t="s">
        <v>1469</v>
      </c>
      <c r="C645" s="52" t="s">
        <v>868</v>
      </c>
      <c r="D645" s="12"/>
      <c r="E645" s="13" t="s">
        <v>184</v>
      </c>
      <c r="F645" s="6" t="s">
        <v>927</v>
      </c>
      <c r="G645" s="6" t="str">
        <f ca="1">IFERROR(__xludf.DUMMYFUNCTION("CONCATENATE(B645,(VLOOKUP(C645,CATALOGOS!$F$2:$H$6,3,FALSE)),(VLOOKUP(T645,CATALOGOS!$J$2:$K$18,2,FALSE)),""-"",TO_TEXT(A645))"),"P13RH-0644")</f>
        <v>P13RH-0644</v>
      </c>
      <c r="H645" s="6" t="s">
        <v>4471</v>
      </c>
      <c r="I645" s="6" t="s">
        <v>4472</v>
      </c>
      <c r="J645" s="6" t="s">
        <v>4473</v>
      </c>
      <c r="K645" s="6" t="s">
        <v>4474</v>
      </c>
      <c r="L645" s="17"/>
      <c r="M645" s="17"/>
      <c r="N645" s="17" t="str">
        <f t="shared" si="2"/>
        <v>OK</v>
      </c>
      <c r="O645" s="17" t="s">
        <v>35</v>
      </c>
      <c r="P645" s="6" t="s">
        <v>35</v>
      </c>
      <c r="Q645" s="17" t="s">
        <v>36</v>
      </c>
      <c r="R645" s="17" t="s">
        <v>4475</v>
      </c>
      <c r="S645" s="173" t="s">
        <v>38</v>
      </c>
      <c r="T645" s="11" t="s">
        <v>723</v>
      </c>
      <c r="U645" s="20" t="s">
        <v>1427</v>
      </c>
      <c r="V645" s="20" t="s">
        <v>1427</v>
      </c>
    </row>
    <row r="646" spans="1:22" ht="57.75">
      <c r="A646" s="10" t="s">
        <v>4476</v>
      </c>
      <c r="B646" s="10" t="s">
        <v>1469</v>
      </c>
      <c r="C646" s="52" t="s">
        <v>868</v>
      </c>
      <c r="D646" s="12"/>
      <c r="E646" s="13" t="s">
        <v>199</v>
      </c>
      <c r="F646" s="6" t="s">
        <v>199</v>
      </c>
      <c r="G646" s="6" t="str">
        <f ca="1">IFERROR(__xludf.DUMMYFUNCTION("CONCATENATE(B646,(VLOOKUP(C646,CATALOGOS!$F$2:$H$6,3,FALSE)),(VLOOKUP(T646,CATALOGOS!$J$2:$K$18,2,FALSE)),""-"",TO_TEXT(A646))"),"P13IR-0645")</f>
        <v>P13IR-0645</v>
      </c>
      <c r="H646" s="6" t="s">
        <v>4477</v>
      </c>
      <c r="I646" s="6" t="s">
        <v>4478</v>
      </c>
      <c r="J646" s="37"/>
      <c r="K646" s="6" t="s">
        <v>4479</v>
      </c>
      <c r="L646" s="17"/>
      <c r="M646" s="17"/>
      <c r="N646" s="17" t="str">
        <f t="shared" si="2"/>
        <v>OK</v>
      </c>
      <c r="O646" s="17" t="s">
        <v>273</v>
      </c>
      <c r="P646" s="6" t="s">
        <v>274</v>
      </c>
      <c r="Q646" s="6">
        <v>11392903015273</v>
      </c>
      <c r="R646" s="10" t="s">
        <v>85</v>
      </c>
      <c r="S646" s="173" t="s">
        <v>38</v>
      </c>
      <c r="T646" s="11" t="s">
        <v>2381</v>
      </c>
      <c r="U646" s="22" t="s">
        <v>4181</v>
      </c>
      <c r="V646" s="22" t="s">
        <v>4181</v>
      </c>
    </row>
    <row r="647" spans="1:22" ht="43.5">
      <c r="A647" s="10" t="s">
        <v>4480</v>
      </c>
      <c r="B647" s="10" t="s">
        <v>1469</v>
      </c>
      <c r="C647" s="52" t="s">
        <v>868</v>
      </c>
      <c r="D647" s="38"/>
      <c r="E647" s="13" t="s">
        <v>151</v>
      </c>
      <c r="F647" s="6" t="s">
        <v>4113</v>
      </c>
      <c r="G647" s="6" t="str">
        <f ca="1">IFERROR(__xludf.DUMMYFUNCTION("CONCATENATE(B647,(VLOOKUP(C647,CATALOGOS!$F$2:$H$6,3,FALSE)),(VLOOKUP(T647,CATALOGOS!$J$2:$K$18,2,FALSE)),""-"",TO_TEXT(A647))"),"P13IR-0646")</f>
        <v>P13IR-0646</v>
      </c>
      <c r="H647" s="6" t="s">
        <v>4481</v>
      </c>
      <c r="I647" s="6" t="s">
        <v>4482</v>
      </c>
      <c r="J647" s="72"/>
      <c r="K647" s="6" t="s">
        <v>4483</v>
      </c>
      <c r="L647" s="17"/>
      <c r="M647" s="17"/>
      <c r="N647" s="17" t="str">
        <f t="shared" si="2"/>
        <v>OK</v>
      </c>
      <c r="O647" s="17" t="s">
        <v>297</v>
      </c>
      <c r="P647" s="6" t="s">
        <v>298</v>
      </c>
      <c r="Q647" s="6" t="s">
        <v>4484</v>
      </c>
      <c r="R647" s="32" t="s">
        <v>85</v>
      </c>
      <c r="S647" s="173" t="s">
        <v>38</v>
      </c>
      <c r="T647" s="11" t="s">
        <v>2381</v>
      </c>
      <c r="U647" s="32" t="s">
        <v>4181</v>
      </c>
      <c r="V647" s="32" t="s">
        <v>4181</v>
      </c>
    </row>
    <row r="648" spans="1:22" ht="43.5">
      <c r="A648" s="10" t="s">
        <v>4485</v>
      </c>
      <c r="B648" s="10" t="s">
        <v>1469</v>
      </c>
      <c r="C648" s="52" t="s">
        <v>868</v>
      </c>
      <c r="D648" s="12"/>
      <c r="E648" s="13" t="s">
        <v>93</v>
      </c>
      <c r="F648" s="6" t="s">
        <v>4486</v>
      </c>
      <c r="G648" s="6" t="str">
        <f ca="1">IFERROR(__xludf.DUMMYFUNCTION("CONCATENATE(B648,(VLOOKUP(C648,CATALOGOS!$F$2:$H$6,3,FALSE)),(VLOOKUP(T648,CATALOGOS!$J$2:$K$18,2,FALSE)),""-"",TO_TEXT(A648))"),"P13IR-0647")</f>
        <v>P13IR-0647</v>
      </c>
      <c r="H648" s="6" t="s">
        <v>4487</v>
      </c>
      <c r="I648" s="6" t="s">
        <v>4488</v>
      </c>
      <c r="J648" s="6" t="s">
        <v>4489</v>
      </c>
      <c r="K648" s="6" t="s">
        <v>4490</v>
      </c>
      <c r="L648" s="17"/>
      <c r="M648" s="17"/>
      <c r="N648" s="17" t="str">
        <f t="shared" si="2"/>
        <v>OK</v>
      </c>
      <c r="O648" s="17" t="s">
        <v>35</v>
      </c>
      <c r="P648" s="6" t="s">
        <v>35</v>
      </c>
      <c r="Q648" s="17" t="s">
        <v>36</v>
      </c>
      <c r="R648" s="17" t="s">
        <v>4491</v>
      </c>
      <c r="S648" s="173" t="s">
        <v>38</v>
      </c>
      <c r="T648" s="11" t="s">
        <v>2381</v>
      </c>
      <c r="U648" s="22" t="s">
        <v>4492</v>
      </c>
      <c r="V648" s="22" t="s">
        <v>4492</v>
      </c>
    </row>
    <row r="649" spans="1:22" ht="57.75">
      <c r="A649" s="10" t="s">
        <v>4493</v>
      </c>
      <c r="B649" s="10" t="s">
        <v>1469</v>
      </c>
      <c r="C649" s="52" t="s">
        <v>868</v>
      </c>
      <c r="D649" s="12"/>
      <c r="E649" s="13" t="s">
        <v>93</v>
      </c>
      <c r="F649" s="6" t="s">
        <v>4494</v>
      </c>
      <c r="G649" s="6" t="str">
        <f ca="1">IFERROR(__xludf.DUMMYFUNCTION("CONCATENATE(B649,(VLOOKUP(C649,CATALOGOS!$F$2:$H$6,3,FALSE)),(VLOOKUP(T649,CATALOGOS!$J$2:$K$18,2,FALSE)),""-"",TO_TEXT(A649))"),"P13IR-0648")</f>
        <v>P13IR-0648</v>
      </c>
      <c r="H649" s="6" t="s">
        <v>4495</v>
      </c>
      <c r="I649" s="6" t="s">
        <v>4496</v>
      </c>
      <c r="J649" s="6" t="s">
        <v>4497</v>
      </c>
      <c r="K649" s="6" t="s">
        <v>4498</v>
      </c>
      <c r="L649" s="17"/>
      <c r="M649" s="17"/>
      <c r="N649" s="17" t="str">
        <f t="shared" si="2"/>
        <v>OK</v>
      </c>
      <c r="O649" s="17" t="s">
        <v>35</v>
      </c>
      <c r="P649" s="6" t="s">
        <v>35</v>
      </c>
      <c r="Q649" s="17" t="s">
        <v>36</v>
      </c>
      <c r="R649" s="17" t="s">
        <v>4499</v>
      </c>
      <c r="S649" s="173" t="s">
        <v>38</v>
      </c>
      <c r="T649" s="11" t="s">
        <v>2381</v>
      </c>
      <c r="U649" s="22" t="s">
        <v>4492</v>
      </c>
      <c r="V649" s="22" t="s">
        <v>4492</v>
      </c>
    </row>
    <row r="650" spans="1:22" ht="43.5">
      <c r="A650" s="10" t="s">
        <v>4500</v>
      </c>
      <c r="B650" s="10" t="s">
        <v>1469</v>
      </c>
      <c r="C650" s="52" t="s">
        <v>868</v>
      </c>
      <c r="D650" s="12"/>
      <c r="E650" s="13" t="s">
        <v>29</v>
      </c>
      <c r="F650" s="6" t="s">
        <v>1166</v>
      </c>
      <c r="G650" s="6" t="str">
        <f ca="1">IFERROR(__xludf.DUMMYFUNCTION("CONCATENATE(B650,(VLOOKUP(C650,CATALOGOS!$F$2:$H$6,3,FALSE)),(VLOOKUP(T650,CATALOGOS!$J$2:$K$18,2,FALSE)),""-"",TO_TEXT(A650))"),"P13IR-0649")</f>
        <v>P13IR-0649</v>
      </c>
      <c r="H650" s="6" t="s">
        <v>4501</v>
      </c>
      <c r="I650" s="54"/>
      <c r="J650" s="6" t="s">
        <v>4502</v>
      </c>
      <c r="K650" s="6" t="s">
        <v>4503</v>
      </c>
      <c r="L650" s="17"/>
      <c r="M650" s="17"/>
      <c r="N650" s="17" t="str">
        <f t="shared" si="2"/>
        <v>OK</v>
      </c>
      <c r="O650" s="17" t="s">
        <v>35</v>
      </c>
      <c r="P650" s="6" t="s">
        <v>35</v>
      </c>
      <c r="Q650" s="17" t="s">
        <v>36</v>
      </c>
      <c r="R650" s="17" t="s">
        <v>4504</v>
      </c>
      <c r="S650" s="173" t="s">
        <v>38</v>
      </c>
      <c r="T650" s="11" t="s">
        <v>2381</v>
      </c>
      <c r="U650" s="22" t="s">
        <v>4492</v>
      </c>
      <c r="V650" s="22" t="s">
        <v>4492</v>
      </c>
    </row>
    <row r="651" spans="1:22" ht="57.75">
      <c r="A651" s="10" t="s">
        <v>4505</v>
      </c>
      <c r="B651" s="10" t="s">
        <v>1469</v>
      </c>
      <c r="C651" s="52" t="s">
        <v>868</v>
      </c>
      <c r="D651" s="12"/>
      <c r="E651" s="13" t="s">
        <v>116</v>
      </c>
      <c r="F651" s="6" t="s">
        <v>4506</v>
      </c>
      <c r="G651" s="6" t="str">
        <f ca="1">IFERROR(__xludf.DUMMYFUNCTION("CONCATENATE(B651,(VLOOKUP(C651,CATALOGOS!$F$2:$H$6,3,FALSE)),(VLOOKUP(T651,CATALOGOS!$J$2:$K$18,2,FALSE)),""-"",TO_TEXT(A651))"),"P13IR-0650")</f>
        <v>P13IR-0650</v>
      </c>
      <c r="H651" s="6" t="s">
        <v>4507</v>
      </c>
      <c r="I651" s="6" t="s">
        <v>4508</v>
      </c>
      <c r="J651" s="6" t="s">
        <v>4509</v>
      </c>
      <c r="K651" s="6" t="s">
        <v>4510</v>
      </c>
      <c r="L651" s="17"/>
      <c r="M651" s="17"/>
      <c r="N651" s="17" t="str">
        <f t="shared" si="2"/>
        <v>OK</v>
      </c>
      <c r="O651" s="17" t="s">
        <v>35</v>
      </c>
      <c r="P651" s="49" t="s">
        <v>35</v>
      </c>
      <c r="Q651" s="17" t="s">
        <v>36</v>
      </c>
      <c r="R651" s="17" t="s">
        <v>4511</v>
      </c>
      <c r="S651" s="173" t="s">
        <v>38</v>
      </c>
      <c r="T651" s="11" t="s">
        <v>2381</v>
      </c>
      <c r="U651" s="22" t="s">
        <v>4492</v>
      </c>
      <c r="V651" s="22" t="s">
        <v>4492</v>
      </c>
    </row>
    <row r="652" spans="1:22" ht="43.5">
      <c r="A652" s="10" t="s">
        <v>4512</v>
      </c>
      <c r="B652" s="10" t="s">
        <v>1469</v>
      </c>
      <c r="C652" s="52" t="s">
        <v>868</v>
      </c>
      <c r="D652" s="12"/>
      <c r="E652" s="13" t="s">
        <v>378</v>
      </c>
      <c r="F652" s="6" t="s">
        <v>2040</v>
      </c>
      <c r="G652" s="6" t="str">
        <f ca="1">IFERROR(__xludf.DUMMYFUNCTION("CONCATENATE(B652,(VLOOKUP(C652,CATALOGOS!$F$2:$H$6,3,FALSE)),(VLOOKUP(T652,CATALOGOS!$J$2:$K$18,2,FALSE)),""-"",TO_TEXT(A652))"),"P13IR-0651")</f>
        <v>P13IR-0651</v>
      </c>
      <c r="H652" s="6" t="s">
        <v>4513</v>
      </c>
      <c r="I652" s="6" t="s">
        <v>4514</v>
      </c>
      <c r="J652" s="6" t="s">
        <v>4515</v>
      </c>
      <c r="K652" s="6" t="s">
        <v>4516</v>
      </c>
      <c r="L652" s="17"/>
      <c r="M652" s="17"/>
      <c r="N652" s="17" t="str">
        <f t="shared" si="2"/>
        <v>OK</v>
      </c>
      <c r="O652" s="17" t="s">
        <v>35</v>
      </c>
      <c r="P652" s="6" t="s">
        <v>35</v>
      </c>
      <c r="Q652" s="17" t="s">
        <v>36</v>
      </c>
      <c r="R652" s="17" t="s">
        <v>4517</v>
      </c>
      <c r="S652" s="173" t="s">
        <v>38</v>
      </c>
      <c r="T652" s="11" t="s">
        <v>2381</v>
      </c>
      <c r="U652" s="22" t="s">
        <v>4492</v>
      </c>
      <c r="V652" s="22" t="s">
        <v>4492</v>
      </c>
    </row>
    <row r="653" spans="1:22" ht="86.25">
      <c r="A653" s="10" t="s">
        <v>4518</v>
      </c>
      <c r="B653" s="10" t="s">
        <v>1469</v>
      </c>
      <c r="C653" s="52" t="s">
        <v>868</v>
      </c>
      <c r="D653" s="12"/>
      <c r="E653" s="13" t="s">
        <v>1240</v>
      </c>
      <c r="F653" s="43" t="s">
        <v>278</v>
      </c>
      <c r="G653" s="6" t="str">
        <f ca="1">IFERROR(__xludf.DUMMYFUNCTION("CONCATENATE(B653,(VLOOKUP(C653,CATALOGOS!$F$2:$H$6,3,FALSE)),(VLOOKUP(T653,CATALOGOS!$J$2:$K$18,2,FALSE)),""-"",TO_TEXT(A653))"),"P13IR-0652")</f>
        <v>P13IR-0652</v>
      </c>
      <c r="H653" s="6" t="s">
        <v>4519</v>
      </c>
      <c r="I653" s="6" t="s">
        <v>4520</v>
      </c>
      <c r="J653" s="6" t="s">
        <v>4521</v>
      </c>
      <c r="K653" s="6" t="s">
        <v>4522</v>
      </c>
      <c r="L653" s="17"/>
      <c r="M653" s="17"/>
      <c r="N653" s="17" t="str">
        <f t="shared" si="2"/>
        <v>OK</v>
      </c>
      <c r="O653" s="17" t="s">
        <v>35</v>
      </c>
      <c r="P653" s="6" t="s">
        <v>35</v>
      </c>
      <c r="Q653" s="17" t="s">
        <v>36</v>
      </c>
      <c r="R653" s="17" t="s">
        <v>4523</v>
      </c>
      <c r="S653" s="173" t="s">
        <v>38</v>
      </c>
      <c r="T653" s="11" t="s">
        <v>2381</v>
      </c>
      <c r="U653" s="22" t="s">
        <v>4492</v>
      </c>
      <c r="V653" s="22" t="s">
        <v>4492</v>
      </c>
    </row>
    <row r="654" spans="1:22" ht="29.25">
      <c r="A654" s="10" t="s">
        <v>4524</v>
      </c>
      <c r="B654" s="10" t="s">
        <v>1469</v>
      </c>
      <c r="C654" s="52" t="s">
        <v>868</v>
      </c>
      <c r="D654" s="12"/>
      <c r="E654" s="13" t="s">
        <v>248</v>
      </c>
      <c r="F654" s="43" t="s">
        <v>248</v>
      </c>
      <c r="G654" s="6" t="str">
        <f ca="1">IFERROR(__xludf.DUMMYFUNCTION("CONCATENATE(B654,(VLOOKUP(C654,CATALOGOS!$F$2:$H$6,3,FALSE)),(VLOOKUP(T654,CATALOGOS!$J$2:$K$18,2,FALSE)),""-"",TO_TEXT(A654))"),"P13IR-0653")</f>
        <v>P13IR-0653</v>
      </c>
      <c r="H654" s="6" t="s">
        <v>4525</v>
      </c>
      <c r="I654" s="6" t="s">
        <v>4526</v>
      </c>
      <c r="J654" s="6" t="s">
        <v>4527</v>
      </c>
      <c r="K654" s="6" t="s">
        <v>4528</v>
      </c>
      <c r="L654" s="17"/>
      <c r="M654" s="17"/>
      <c r="N654" s="17" t="str">
        <f t="shared" si="2"/>
        <v>OK</v>
      </c>
      <c r="O654" s="17" t="s">
        <v>978</v>
      </c>
      <c r="P654" s="6" t="s">
        <v>979</v>
      </c>
      <c r="Q654" s="17" t="s">
        <v>4529</v>
      </c>
      <c r="R654" s="17" t="s">
        <v>4530</v>
      </c>
      <c r="S654" s="173" t="s">
        <v>38</v>
      </c>
      <c r="T654" s="11" t="s">
        <v>2381</v>
      </c>
      <c r="U654" s="22" t="s">
        <v>4492</v>
      </c>
      <c r="V654" s="22" t="s">
        <v>4492</v>
      </c>
    </row>
    <row r="655" spans="1:22" ht="57.75">
      <c r="A655" s="10" t="s">
        <v>4531</v>
      </c>
      <c r="B655" s="10" t="s">
        <v>1469</v>
      </c>
      <c r="C655" s="52" t="s">
        <v>868</v>
      </c>
      <c r="D655" s="12"/>
      <c r="E655" s="13" t="s">
        <v>199</v>
      </c>
      <c r="F655" s="6" t="s">
        <v>199</v>
      </c>
      <c r="G655" s="6" t="str">
        <f ca="1">IFERROR(__xludf.DUMMYFUNCTION("CONCATENATE(B655,(VLOOKUP(C655,CATALOGOS!$F$2:$H$6,3,FALSE)),(VLOOKUP(T655,CATALOGOS!$J$2:$K$18,2,FALSE)),""-"",TO_TEXT(A655))"),"P13IR-0654")</f>
        <v>P13IR-0654</v>
      </c>
      <c r="H655" s="6" t="s">
        <v>4532</v>
      </c>
      <c r="I655" s="6" t="s">
        <v>4533</v>
      </c>
      <c r="J655" s="37"/>
      <c r="K655" s="6" t="s">
        <v>4534</v>
      </c>
      <c r="L655" s="17"/>
      <c r="M655" s="17"/>
      <c r="N655" s="17" t="str">
        <f t="shared" si="2"/>
        <v>OK</v>
      </c>
      <c r="O655" s="17" t="s">
        <v>273</v>
      </c>
      <c r="P655" s="6" t="s">
        <v>274</v>
      </c>
      <c r="Q655" s="6">
        <v>11392903012339</v>
      </c>
      <c r="R655" s="10" t="s">
        <v>85</v>
      </c>
      <c r="S655" s="173" t="s">
        <v>38</v>
      </c>
      <c r="T655" s="11" t="s">
        <v>2381</v>
      </c>
      <c r="U655" s="22" t="s">
        <v>4492</v>
      </c>
      <c r="V655" s="22" t="s">
        <v>4492</v>
      </c>
    </row>
    <row r="656" spans="1:22" ht="43.5">
      <c r="A656" s="10" t="s">
        <v>4535</v>
      </c>
      <c r="B656" s="10" t="s">
        <v>1469</v>
      </c>
      <c r="C656" s="52" t="s">
        <v>868</v>
      </c>
      <c r="D656" s="12"/>
      <c r="E656" s="13" t="s">
        <v>151</v>
      </c>
      <c r="F656" s="6" t="s">
        <v>4113</v>
      </c>
      <c r="G656" s="6" t="str">
        <f ca="1">IFERROR(__xludf.DUMMYFUNCTION("CONCATENATE(B656,(VLOOKUP(C656,CATALOGOS!$F$2:$H$6,3,FALSE)),(VLOOKUP(T656,CATALOGOS!$J$2:$K$18,2,FALSE)),""-"",TO_TEXT(A656))"),"P13IR-0655")</f>
        <v>P13IR-0655</v>
      </c>
      <c r="H656" s="6" t="s">
        <v>4536</v>
      </c>
      <c r="I656" s="6" t="s">
        <v>4537</v>
      </c>
      <c r="J656" s="37"/>
      <c r="K656" s="6" t="s">
        <v>4538</v>
      </c>
      <c r="L656" s="17"/>
      <c r="M656" s="17"/>
      <c r="N656" s="17" t="str">
        <f t="shared" si="2"/>
        <v>OK</v>
      </c>
      <c r="O656" s="17" t="s">
        <v>297</v>
      </c>
      <c r="P656" s="6" t="s">
        <v>298</v>
      </c>
      <c r="Q656" s="6" t="s">
        <v>4539</v>
      </c>
      <c r="R656" s="10" t="s">
        <v>85</v>
      </c>
      <c r="S656" s="173" t="s">
        <v>38</v>
      </c>
      <c r="T656" s="11" t="s">
        <v>2381</v>
      </c>
      <c r="U656" s="22" t="s">
        <v>4492</v>
      </c>
      <c r="V656" s="22" t="s">
        <v>4492</v>
      </c>
    </row>
    <row r="657" spans="1:22" ht="29.25">
      <c r="A657" s="10" t="s">
        <v>4540</v>
      </c>
      <c r="B657" s="10" t="s">
        <v>1469</v>
      </c>
      <c r="C657" s="52" t="s">
        <v>868</v>
      </c>
      <c r="D657" s="38"/>
      <c r="E657" s="13" t="s">
        <v>151</v>
      </c>
      <c r="F657" s="6" t="s">
        <v>714</v>
      </c>
      <c r="G657" s="6" t="str">
        <f ca="1">IFERROR(__xludf.DUMMYFUNCTION("CONCATENATE(B657,(VLOOKUP(C657,CATALOGOS!$F$2:$H$6,3,FALSE)),(VLOOKUP(T657,CATALOGOS!$J$2:$K$18,2,FALSE)),""-"",TO_TEXT(A657))"),"P13IR-0656")</f>
        <v>P13IR-0656</v>
      </c>
      <c r="H657" s="6" t="s">
        <v>4541</v>
      </c>
      <c r="I657" s="6" t="s">
        <v>4542</v>
      </c>
      <c r="J657" s="6" t="s">
        <v>4543</v>
      </c>
      <c r="K657" s="6" t="s">
        <v>4544</v>
      </c>
      <c r="L657" s="17"/>
      <c r="M657" s="17"/>
      <c r="N657" s="17" t="str">
        <f t="shared" si="2"/>
        <v>OK</v>
      </c>
      <c r="O657" s="17" t="s">
        <v>1220</v>
      </c>
      <c r="P657" s="6" t="s">
        <v>720</v>
      </c>
      <c r="Q657" s="46" t="s">
        <v>36</v>
      </c>
      <c r="R657" s="17" t="s">
        <v>4545</v>
      </c>
      <c r="S657" s="173" t="s">
        <v>38</v>
      </c>
      <c r="T657" s="11" t="s">
        <v>2381</v>
      </c>
      <c r="U657" s="32" t="s">
        <v>3840</v>
      </c>
      <c r="V657" s="32" t="s">
        <v>3840</v>
      </c>
    </row>
    <row r="658" spans="1:22" ht="57.75">
      <c r="A658" s="10" t="s">
        <v>4546</v>
      </c>
      <c r="B658" s="10" t="s">
        <v>1469</v>
      </c>
      <c r="C658" s="52" t="s">
        <v>868</v>
      </c>
      <c r="D658" s="38"/>
      <c r="E658" s="13" t="s">
        <v>378</v>
      </c>
      <c r="F658" s="6" t="s">
        <v>379</v>
      </c>
      <c r="G658" s="6" t="str">
        <f ca="1">IFERROR(__xludf.DUMMYFUNCTION("CONCATENATE(B658,(VLOOKUP(C658,CATALOGOS!$F$2:$H$6,3,FALSE)),(VLOOKUP(T658,CATALOGOS!$J$2:$K$18,2,FALSE)),""-"",TO_TEXT(A658))"),"P13IR-0657")</f>
        <v>P13IR-0657</v>
      </c>
      <c r="H658" s="6" t="s">
        <v>4547</v>
      </c>
      <c r="I658" s="6" t="s">
        <v>4548</v>
      </c>
      <c r="J658" s="6" t="s">
        <v>4549</v>
      </c>
      <c r="K658" s="43" t="s">
        <v>4550</v>
      </c>
      <c r="L658" s="17"/>
      <c r="M658" s="17"/>
      <c r="N658" s="17" t="str">
        <f t="shared" si="2"/>
        <v>OK</v>
      </c>
      <c r="O658" s="17" t="s">
        <v>35</v>
      </c>
      <c r="P658" s="6" t="s">
        <v>35</v>
      </c>
      <c r="Q658" s="46" t="s">
        <v>36</v>
      </c>
      <c r="R658" s="17" t="s">
        <v>4551</v>
      </c>
      <c r="S658" s="173" t="s">
        <v>38</v>
      </c>
      <c r="T658" s="11" t="s">
        <v>2381</v>
      </c>
      <c r="U658" s="32" t="s">
        <v>3840</v>
      </c>
      <c r="V658" s="32" t="s">
        <v>3840</v>
      </c>
    </row>
    <row r="659" spans="1:22" ht="57.75">
      <c r="A659" s="10" t="s">
        <v>4552</v>
      </c>
      <c r="B659" s="10" t="s">
        <v>1469</v>
      </c>
      <c r="C659" s="52" t="s">
        <v>868</v>
      </c>
      <c r="D659" s="38"/>
      <c r="E659" s="13" t="s">
        <v>378</v>
      </c>
      <c r="F659" s="6" t="s">
        <v>4553</v>
      </c>
      <c r="G659" s="6" t="str">
        <f ca="1">IFERROR(__xludf.DUMMYFUNCTION("CONCATENATE(B659,(VLOOKUP(C659,CATALOGOS!$F$2:$H$6,3,FALSE)),(VLOOKUP(T659,CATALOGOS!$J$2:$K$18,2,FALSE)),""-"",TO_TEXT(A659))"),"P13IR-0658")</f>
        <v>P13IR-0658</v>
      </c>
      <c r="H659" s="6" t="s">
        <v>4554</v>
      </c>
      <c r="I659" s="6" t="s">
        <v>4555</v>
      </c>
      <c r="J659" s="6" t="s">
        <v>4556</v>
      </c>
      <c r="K659" s="43" t="s">
        <v>4557</v>
      </c>
      <c r="L659" s="17"/>
      <c r="M659" s="17"/>
      <c r="N659" s="17" t="str">
        <f t="shared" si="2"/>
        <v>OK</v>
      </c>
      <c r="O659" s="35" t="s">
        <v>35</v>
      </c>
      <c r="P659" s="6" t="s">
        <v>35</v>
      </c>
      <c r="Q659" s="46" t="s">
        <v>36</v>
      </c>
      <c r="R659" s="17" t="s">
        <v>4558</v>
      </c>
      <c r="S659" s="173" t="s">
        <v>38</v>
      </c>
      <c r="T659" s="11" t="s">
        <v>2381</v>
      </c>
      <c r="U659" s="32" t="s">
        <v>4492</v>
      </c>
      <c r="V659" s="32" t="s">
        <v>4492</v>
      </c>
    </row>
    <row r="660" spans="1:22" ht="57.75">
      <c r="A660" s="10" t="s">
        <v>4559</v>
      </c>
      <c r="B660" s="10" t="s">
        <v>1469</v>
      </c>
      <c r="C660" s="52" t="s">
        <v>868</v>
      </c>
      <c r="D660" s="38"/>
      <c r="E660" s="13" t="s">
        <v>184</v>
      </c>
      <c r="F660" s="6" t="s">
        <v>4560</v>
      </c>
      <c r="G660" s="6" t="str">
        <f ca="1">IFERROR(__xludf.DUMMYFUNCTION("CONCATENATE(B660,(VLOOKUP(C660,CATALOGOS!$F$2:$H$6,3,FALSE)),(VLOOKUP(T660,CATALOGOS!$J$2:$K$18,2,FALSE)),""-"",TO_TEXT(A660))"),"P13LP-0659")</f>
        <v>P13LP-0659</v>
      </c>
      <c r="H660" s="6" t="s">
        <v>4561</v>
      </c>
      <c r="I660" s="6" t="s">
        <v>4562</v>
      </c>
      <c r="J660" s="6" t="s">
        <v>4563</v>
      </c>
      <c r="K660" s="6" t="s">
        <v>4564</v>
      </c>
      <c r="L660" s="17"/>
      <c r="M660" s="17"/>
      <c r="N660" s="17" t="str">
        <f t="shared" si="2"/>
        <v>OK</v>
      </c>
      <c r="O660" s="35" t="s">
        <v>35</v>
      </c>
      <c r="P660" s="6" t="s">
        <v>35</v>
      </c>
      <c r="Q660" s="46" t="s">
        <v>36</v>
      </c>
      <c r="R660" s="17" t="s">
        <v>4565</v>
      </c>
      <c r="S660" s="173" t="s">
        <v>38</v>
      </c>
      <c r="T660" s="11" t="s">
        <v>2328</v>
      </c>
      <c r="U660" s="6" t="s">
        <v>4202</v>
      </c>
      <c r="V660" s="6" t="s">
        <v>4202</v>
      </c>
    </row>
    <row r="661" spans="1:22" ht="72">
      <c r="A661" s="10" t="s">
        <v>4566</v>
      </c>
      <c r="B661" s="10" t="s">
        <v>27</v>
      </c>
      <c r="C661" s="52" t="s">
        <v>868</v>
      </c>
      <c r="D661" s="12"/>
      <c r="E661" s="13" t="s">
        <v>62</v>
      </c>
      <c r="F661" s="6" t="s">
        <v>4567</v>
      </c>
      <c r="G661" s="6" t="str">
        <f ca="1">IFERROR(__xludf.DUMMYFUNCTION("CONCATENATE(B661,(VLOOKUP(C661,CATALOGOS!$F$2:$H$6,3,FALSE)),(VLOOKUP(T661,CATALOGOS!$J$2:$K$18,2,FALSE)),""-"",TO_TEXT(A661))"),"P03CV-0660")</f>
        <v>P03CV-0660</v>
      </c>
      <c r="H661" s="6" t="s">
        <v>4568</v>
      </c>
      <c r="I661" s="6" t="s">
        <v>4569</v>
      </c>
      <c r="J661" s="6" t="s">
        <v>4570</v>
      </c>
      <c r="K661" s="6" t="s">
        <v>4571</v>
      </c>
      <c r="L661" s="17"/>
      <c r="M661" s="17"/>
      <c r="N661" s="17" t="str">
        <f t="shared" si="2"/>
        <v>OK</v>
      </c>
      <c r="O661" s="17" t="s">
        <v>35</v>
      </c>
      <c r="P661" s="6" t="s">
        <v>35</v>
      </c>
      <c r="Q661" s="17" t="s">
        <v>36</v>
      </c>
      <c r="R661" s="17" t="s">
        <v>7831</v>
      </c>
      <c r="S661" s="173" t="s">
        <v>38</v>
      </c>
      <c r="T661" s="11" t="s">
        <v>875</v>
      </c>
      <c r="U661" s="186" t="s">
        <v>4573</v>
      </c>
      <c r="V661" s="20" t="s">
        <v>4574</v>
      </c>
    </row>
    <row r="662" spans="1:22" ht="72">
      <c r="A662" s="10" t="s">
        <v>4575</v>
      </c>
      <c r="B662" s="10" t="s">
        <v>27</v>
      </c>
      <c r="C662" s="52" t="s">
        <v>868</v>
      </c>
      <c r="D662" s="12"/>
      <c r="E662" s="13" t="s">
        <v>62</v>
      </c>
      <c r="F662" s="6" t="s">
        <v>4576</v>
      </c>
      <c r="G662" s="6" t="str">
        <f ca="1">IFERROR(__xludf.DUMMYFUNCTION("CONCATENATE(B662,(VLOOKUP(C662,CATALOGOS!$F$2:$H$6,3,FALSE)),(VLOOKUP(T662,CATALOGOS!$J$2:$K$18,2,FALSE)),""-"",TO_TEXT(A662))"),"P03CV-0661")</f>
        <v>P03CV-0661</v>
      </c>
      <c r="H662" s="6" t="s">
        <v>4577</v>
      </c>
      <c r="I662" s="6" t="s">
        <v>4578</v>
      </c>
      <c r="J662" s="6" t="s">
        <v>4579</v>
      </c>
      <c r="K662" s="6" t="s">
        <v>4580</v>
      </c>
      <c r="L662" s="17"/>
      <c r="M662" s="17"/>
      <c r="N662" s="17" t="str">
        <f t="shared" si="2"/>
        <v>OK</v>
      </c>
      <c r="O662" s="17" t="s">
        <v>35</v>
      </c>
      <c r="P662" s="6" t="s">
        <v>35</v>
      </c>
      <c r="Q662" s="17" t="s">
        <v>36</v>
      </c>
      <c r="R662" s="17" t="s">
        <v>8203</v>
      </c>
      <c r="S662" s="179" t="s">
        <v>100</v>
      </c>
      <c r="T662" s="11" t="s">
        <v>875</v>
      </c>
      <c r="U662" s="186" t="s">
        <v>4573</v>
      </c>
      <c r="V662" s="20" t="s">
        <v>4574</v>
      </c>
    </row>
    <row r="663" spans="1:22" ht="72">
      <c r="A663" s="10" t="s">
        <v>4582</v>
      </c>
      <c r="B663" s="10" t="s">
        <v>27</v>
      </c>
      <c r="C663" s="52" t="s">
        <v>868</v>
      </c>
      <c r="D663" s="12"/>
      <c r="E663" s="13" t="s">
        <v>62</v>
      </c>
      <c r="F663" s="6" t="s">
        <v>4583</v>
      </c>
      <c r="G663" s="6" t="str">
        <f ca="1">IFERROR(__xludf.DUMMYFUNCTION("CONCATENATE(B663,(VLOOKUP(C663,CATALOGOS!$F$2:$H$6,3,FALSE)),(VLOOKUP(T663,CATALOGOS!$J$2:$K$18,2,FALSE)),""-"",TO_TEXT(A663))"),"P03CV-0662")</f>
        <v>P03CV-0662</v>
      </c>
      <c r="H663" s="6" t="s">
        <v>4584</v>
      </c>
      <c r="I663" s="6" t="s">
        <v>4585</v>
      </c>
      <c r="J663" s="6" t="s">
        <v>4586</v>
      </c>
      <c r="K663" s="6" t="s">
        <v>4587</v>
      </c>
      <c r="L663" s="17"/>
      <c r="M663" s="17"/>
      <c r="N663" s="17" t="str">
        <f t="shared" si="2"/>
        <v>OK</v>
      </c>
      <c r="O663" s="17" t="s">
        <v>35</v>
      </c>
      <c r="P663" s="6" t="s">
        <v>35</v>
      </c>
      <c r="Q663" s="17" t="s">
        <v>36</v>
      </c>
      <c r="R663" s="17" t="s">
        <v>4588</v>
      </c>
      <c r="S663" s="173" t="s">
        <v>38</v>
      </c>
      <c r="T663" s="11" t="s">
        <v>875</v>
      </c>
      <c r="U663" s="186" t="s">
        <v>4573</v>
      </c>
      <c r="V663" s="20" t="s">
        <v>4574</v>
      </c>
    </row>
    <row r="664" spans="1:22" ht="86.25">
      <c r="A664" s="10" t="s">
        <v>4589</v>
      </c>
      <c r="B664" s="10" t="s">
        <v>27</v>
      </c>
      <c r="C664" s="52" t="s">
        <v>868</v>
      </c>
      <c r="D664" s="12"/>
      <c r="E664" s="13" t="s">
        <v>62</v>
      </c>
      <c r="F664" s="6" t="s">
        <v>4590</v>
      </c>
      <c r="G664" s="6" t="str">
        <f ca="1">IFERROR(__xludf.DUMMYFUNCTION("CONCATENATE(B664,(VLOOKUP(C664,CATALOGOS!$F$2:$H$6,3,FALSE)),(VLOOKUP(T664,CATALOGOS!$J$2:$K$18,2,FALSE)),""-"",TO_TEXT(A664))"),"P03CV-0663")</f>
        <v>P03CV-0663</v>
      </c>
      <c r="H664" s="6" t="s">
        <v>4591</v>
      </c>
      <c r="I664" s="6" t="s">
        <v>4592</v>
      </c>
      <c r="J664" s="6" t="s">
        <v>4593</v>
      </c>
      <c r="K664" s="6" t="s">
        <v>4594</v>
      </c>
      <c r="L664" s="17"/>
      <c r="M664" s="17"/>
      <c r="N664" s="17" t="str">
        <f t="shared" si="2"/>
        <v>OK</v>
      </c>
      <c r="O664" s="17" t="s">
        <v>35</v>
      </c>
      <c r="P664" s="6" t="s">
        <v>35</v>
      </c>
      <c r="Q664" s="17" t="s">
        <v>36</v>
      </c>
      <c r="R664" s="17" t="s">
        <v>4595</v>
      </c>
      <c r="S664" s="173" t="s">
        <v>38</v>
      </c>
      <c r="T664" s="11" t="s">
        <v>875</v>
      </c>
      <c r="U664" s="186" t="s">
        <v>4573</v>
      </c>
      <c r="V664" s="20" t="s">
        <v>4574</v>
      </c>
    </row>
    <row r="665" spans="1:22" ht="43.5">
      <c r="A665" s="10" t="s">
        <v>4596</v>
      </c>
      <c r="B665" s="10" t="s">
        <v>27</v>
      </c>
      <c r="C665" s="52" t="s">
        <v>868</v>
      </c>
      <c r="D665" s="12"/>
      <c r="E665" s="13" t="s">
        <v>43</v>
      </c>
      <c r="F665" s="6" t="s">
        <v>4597</v>
      </c>
      <c r="G665" s="6" t="str">
        <f ca="1">IFERROR(__xludf.DUMMYFUNCTION("CONCATENATE(B665,(VLOOKUP(C665,CATALOGOS!$F$2:$H$6,3,FALSE)),(VLOOKUP(T665,CATALOGOS!$J$2:$K$18,2,FALSE)),""-"",TO_TEXT(A665))"),"P03CV-0664")</f>
        <v>P03CV-0664</v>
      </c>
      <c r="H665" s="6" t="s">
        <v>4598</v>
      </c>
      <c r="I665" s="6" t="s">
        <v>4599</v>
      </c>
      <c r="J665" s="6" t="s">
        <v>4600</v>
      </c>
      <c r="K665" s="6" t="s">
        <v>4601</v>
      </c>
      <c r="L665" s="17"/>
      <c r="M665" s="17"/>
      <c r="N665" s="17" t="str">
        <f t="shared" si="2"/>
        <v>OK</v>
      </c>
      <c r="O665" s="17" t="s">
        <v>4602</v>
      </c>
      <c r="P665" s="6">
        <v>10187</v>
      </c>
      <c r="Q665" s="17" t="s">
        <v>36</v>
      </c>
      <c r="R665" s="10" t="s">
        <v>4603</v>
      </c>
      <c r="S665" s="173" t="s">
        <v>38</v>
      </c>
      <c r="T665" s="11" t="s">
        <v>875</v>
      </c>
      <c r="U665" s="186" t="s">
        <v>4573</v>
      </c>
      <c r="V665" s="20" t="s">
        <v>4574</v>
      </c>
    </row>
    <row r="666" spans="1:22" ht="57.75">
      <c r="A666" s="10" t="s">
        <v>4604</v>
      </c>
      <c r="B666" s="10" t="s">
        <v>27</v>
      </c>
      <c r="C666" s="52" t="s">
        <v>868</v>
      </c>
      <c r="D666" s="12"/>
      <c r="E666" s="13" t="s">
        <v>378</v>
      </c>
      <c r="F666" s="6" t="s">
        <v>4605</v>
      </c>
      <c r="G666" s="6" t="str">
        <f ca="1">IFERROR(__xludf.DUMMYFUNCTION("CONCATENATE(B666,(VLOOKUP(C666,CATALOGOS!$F$2:$H$6,3,FALSE)),(VLOOKUP(T666,CATALOGOS!$J$2:$K$18,2,FALSE)),""-"",TO_TEXT(A666))"),"P03CV-0665")</f>
        <v>P03CV-0665</v>
      </c>
      <c r="H666" s="6" t="s">
        <v>4606</v>
      </c>
      <c r="I666" s="6" t="s">
        <v>4607</v>
      </c>
      <c r="J666" s="6" t="s">
        <v>4608</v>
      </c>
      <c r="K666" s="6" t="s">
        <v>4609</v>
      </c>
      <c r="L666" s="17"/>
      <c r="M666" s="17"/>
      <c r="N666" s="17" t="str">
        <f t="shared" si="2"/>
        <v>OK</v>
      </c>
      <c r="O666" s="17" t="s">
        <v>35</v>
      </c>
      <c r="P666" s="6" t="s">
        <v>35</v>
      </c>
      <c r="Q666" s="17" t="s">
        <v>36</v>
      </c>
      <c r="R666" s="17" t="s">
        <v>4610</v>
      </c>
      <c r="S666" s="173" t="s">
        <v>38</v>
      </c>
      <c r="T666" s="11" t="s">
        <v>875</v>
      </c>
      <c r="U666" s="20" t="s">
        <v>1004</v>
      </c>
      <c r="V666" s="20" t="s">
        <v>1004</v>
      </c>
    </row>
    <row r="667" spans="1:22" ht="57.75">
      <c r="A667" s="10" t="s">
        <v>4611</v>
      </c>
      <c r="B667" s="10" t="s">
        <v>27</v>
      </c>
      <c r="C667" s="52" t="s">
        <v>868</v>
      </c>
      <c r="D667" s="12"/>
      <c r="E667" s="13" t="s">
        <v>378</v>
      </c>
      <c r="F667" s="6" t="s">
        <v>878</v>
      </c>
      <c r="G667" s="6" t="str">
        <f ca="1">IFERROR(__xludf.DUMMYFUNCTION("CONCATENATE(B667,(VLOOKUP(C667,CATALOGOS!$F$2:$H$6,3,FALSE)),(VLOOKUP(T667,CATALOGOS!$J$2:$K$18,2,FALSE)),""-"",TO_TEXT(A667))"),"P03CV-0666")</f>
        <v>P03CV-0666</v>
      </c>
      <c r="H667" s="6" t="s">
        <v>4612</v>
      </c>
      <c r="I667" s="6" t="s">
        <v>4613</v>
      </c>
      <c r="J667" s="6" t="s">
        <v>4614</v>
      </c>
      <c r="K667" s="6" t="s">
        <v>4615</v>
      </c>
      <c r="L667" s="17"/>
      <c r="M667" s="17"/>
      <c r="N667" s="17" t="str">
        <f t="shared" si="2"/>
        <v>OK</v>
      </c>
      <c r="O667" s="17" t="s">
        <v>35</v>
      </c>
      <c r="P667" s="6" t="s">
        <v>35</v>
      </c>
      <c r="Q667" s="17" t="s">
        <v>36</v>
      </c>
      <c r="R667" s="17" t="s">
        <v>4616</v>
      </c>
      <c r="S667" s="173" t="s">
        <v>38</v>
      </c>
      <c r="T667" s="11" t="s">
        <v>875</v>
      </c>
      <c r="U667" s="186" t="s">
        <v>4573</v>
      </c>
      <c r="V667" s="20" t="s">
        <v>4574</v>
      </c>
    </row>
    <row r="668" spans="1:22" ht="57.75">
      <c r="A668" s="10" t="s">
        <v>4617</v>
      </c>
      <c r="B668" s="10" t="s">
        <v>27</v>
      </c>
      <c r="C668" s="52" t="s">
        <v>868</v>
      </c>
      <c r="D668" s="12"/>
      <c r="E668" s="13" t="s">
        <v>378</v>
      </c>
      <c r="F668" s="6" t="s">
        <v>878</v>
      </c>
      <c r="G668" s="6" t="str">
        <f ca="1">IFERROR(__xludf.DUMMYFUNCTION("CONCATENATE(B668,(VLOOKUP(C668,CATALOGOS!$F$2:$H$6,3,FALSE)),(VLOOKUP(T668,CATALOGOS!$J$2:$K$18,2,FALSE)),""-"",TO_TEXT(A668))"),"P03CV-0667")</f>
        <v>P03CV-0667</v>
      </c>
      <c r="H668" s="6" t="s">
        <v>4618</v>
      </c>
      <c r="I668" s="6" t="s">
        <v>4619</v>
      </c>
      <c r="J668" s="6" t="s">
        <v>4620</v>
      </c>
      <c r="K668" s="6" t="s">
        <v>4621</v>
      </c>
      <c r="L668" s="17"/>
      <c r="M668" s="17"/>
      <c r="N668" s="17" t="str">
        <f t="shared" si="2"/>
        <v>OK</v>
      </c>
      <c r="O668" s="17" t="s">
        <v>35</v>
      </c>
      <c r="P668" s="6" t="s">
        <v>35</v>
      </c>
      <c r="Q668" s="17" t="s">
        <v>36</v>
      </c>
      <c r="R668" s="17" t="s">
        <v>7607</v>
      </c>
      <c r="S668" s="173" t="s">
        <v>38</v>
      </c>
      <c r="T668" s="11" t="s">
        <v>875</v>
      </c>
      <c r="U668" s="186" t="s">
        <v>4573</v>
      </c>
      <c r="V668" s="20" t="s">
        <v>4574</v>
      </c>
    </row>
    <row r="669" spans="1:22" ht="57.75">
      <c r="A669" s="10" t="s">
        <v>4623</v>
      </c>
      <c r="B669" s="10" t="s">
        <v>27</v>
      </c>
      <c r="C669" s="52" t="s">
        <v>868</v>
      </c>
      <c r="D669" s="12"/>
      <c r="E669" s="13" t="s">
        <v>378</v>
      </c>
      <c r="F669" s="6" t="s">
        <v>878</v>
      </c>
      <c r="G669" s="6" t="str">
        <f ca="1">IFERROR(__xludf.DUMMYFUNCTION("CONCATENATE(B669,(VLOOKUP(C669,CATALOGOS!$F$2:$H$6,3,FALSE)),(VLOOKUP(T669,CATALOGOS!$J$2:$K$18,2,FALSE)),""-"",TO_TEXT(A669))"),"P03CV-0668")</f>
        <v>P03CV-0668</v>
      </c>
      <c r="H669" s="6" t="s">
        <v>4624</v>
      </c>
      <c r="I669" s="6" t="s">
        <v>4625</v>
      </c>
      <c r="J669" s="6" t="s">
        <v>4626</v>
      </c>
      <c r="K669" s="6" t="s">
        <v>4627</v>
      </c>
      <c r="L669" s="17"/>
      <c r="M669" s="17"/>
      <c r="N669" s="17" t="str">
        <f t="shared" si="2"/>
        <v>OK</v>
      </c>
      <c r="O669" s="17" t="s">
        <v>35</v>
      </c>
      <c r="P669" s="6" t="s">
        <v>35</v>
      </c>
      <c r="Q669" s="17" t="s">
        <v>36</v>
      </c>
      <c r="R669" s="17" t="s">
        <v>7609</v>
      </c>
      <c r="S669" s="173" t="s">
        <v>38</v>
      </c>
      <c r="T669" s="11" t="s">
        <v>875</v>
      </c>
      <c r="U669" s="22" t="s">
        <v>4629</v>
      </c>
      <c r="V669" s="22" t="s">
        <v>4629</v>
      </c>
    </row>
    <row r="670" spans="1:22" ht="86.25">
      <c r="A670" s="10" t="s">
        <v>4630</v>
      </c>
      <c r="B670" s="10" t="s">
        <v>27</v>
      </c>
      <c r="C670" s="52" t="s">
        <v>868</v>
      </c>
      <c r="D670" s="12"/>
      <c r="E670" s="13" t="s">
        <v>62</v>
      </c>
      <c r="F670" s="6" t="s">
        <v>4631</v>
      </c>
      <c r="G670" s="6" t="str">
        <f ca="1">IFERROR(__xludf.DUMMYFUNCTION("CONCATENATE(B670,(VLOOKUP(C670,CATALOGOS!$F$2:$H$6,3,FALSE)),(VLOOKUP(T670,CATALOGOS!$J$2:$K$18,2,FALSE)),""-"",TO_TEXT(A670))"),"P03CV-0669")</f>
        <v>P03CV-0669</v>
      </c>
      <c r="H670" s="6" t="s">
        <v>4632</v>
      </c>
      <c r="I670" s="6" t="s">
        <v>4633</v>
      </c>
      <c r="J670" s="6" t="s">
        <v>4634</v>
      </c>
      <c r="K670" s="6" t="s">
        <v>4635</v>
      </c>
      <c r="L670" s="17"/>
      <c r="M670" s="17"/>
      <c r="N670" s="17" t="str">
        <f t="shared" si="2"/>
        <v>OK</v>
      </c>
      <c r="O670" s="17" t="s">
        <v>35</v>
      </c>
      <c r="P670" s="6" t="s">
        <v>35</v>
      </c>
      <c r="Q670" s="17" t="s">
        <v>36</v>
      </c>
      <c r="R670" s="17" t="s">
        <v>8166</v>
      </c>
      <c r="S670" s="173" t="s">
        <v>38</v>
      </c>
      <c r="T670" s="11" t="s">
        <v>875</v>
      </c>
      <c r="U670" s="186" t="s">
        <v>4573</v>
      </c>
      <c r="V670" s="20" t="s">
        <v>4574</v>
      </c>
    </row>
    <row r="671" spans="1:22" ht="86.25">
      <c r="A671" s="10" t="s">
        <v>4637</v>
      </c>
      <c r="B671" s="10" t="s">
        <v>27</v>
      </c>
      <c r="C671" s="52" t="s">
        <v>868</v>
      </c>
      <c r="D671" s="12"/>
      <c r="E671" s="13" t="s">
        <v>116</v>
      </c>
      <c r="F671" s="6" t="s">
        <v>4638</v>
      </c>
      <c r="G671" s="6" t="str">
        <f ca="1">IFERROR(__xludf.DUMMYFUNCTION("CONCATENATE(B671,(VLOOKUP(C671,CATALOGOS!$F$2:$H$6,3,FALSE)),(VLOOKUP(T671,CATALOGOS!$J$2:$K$18,2,FALSE)),""-"",TO_TEXT(A671))"),"P03CV-0670")</f>
        <v>P03CV-0670</v>
      </c>
      <c r="H671" s="6" t="s">
        <v>4639</v>
      </c>
      <c r="I671" s="6" t="s">
        <v>4640</v>
      </c>
      <c r="J671" s="6" t="s">
        <v>4641</v>
      </c>
      <c r="K671" s="6" t="s">
        <v>4642</v>
      </c>
      <c r="L671" s="17"/>
      <c r="M671" s="17"/>
      <c r="N671" s="17" t="str">
        <f t="shared" si="2"/>
        <v>OK</v>
      </c>
      <c r="O671" s="17" t="s">
        <v>35</v>
      </c>
      <c r="P671" s="6" t="s">
        <v>35</v>
      </c>
      <c r="Q671" s="17" t="s">
        <v>36</v>
      </c>
      <c r="R671" s="17" t="s">
        <v>8144</v>
      </c>
      <c r="S671" s="173" t="s">
        <v>38</v>
      </c>
      <c r="T671" s="11" t="s">
        <v>875</v>
      </c>
      <c r="U671" s="186" t="s">
        <v>4573</v>
      </c>
      <c r="V671" s="20" t="s">
        <v>4574</v>
      </c>
    </row>
    <row r="672" spans="1:22" ht="72">
      <c r="A672" s="10" t="s">
        <v>4644</v>
      </c>
      <c r="B672" s="10" t="s">
        <v>27</v>
      </c>
      <c r="C672" s="52" t="s">
        <v>868</v>
      </c>
      <c r="D672" s="12"/>
      <c r="E672" s="13" t="s">
        <v>93</v>
      </c>
      <c r="F672" s="6" t="s">
        <v>4645</v>
      </c>
      <c r="G672" s="6" t="str">
        <f ca="1">IFERROR(__xludf.DUMMYFUNCTION("CONCATENATE(B672,(VLOOKUP(C672,CATALOGOS!$F$2:$H$6,3,FALSE)),(VLOOKUP(T672,CATALOGOS!$J$2:$K$18,2,FALSE)),""-"",TO_TEXT(A672))"),"P03CV-0671")</f>
        <v>P03CV-0671</v>
      </c>
      <c r="H672" s="6" t="s">
        <v>4646</v>
      </c>
      <c r="I672" s="6" t="s">
        <v>4647</v>
      </c>
      <c r="J672" s="6" t="s">
        <v>4648</v>
      </c>
      <c r="K672" s="6" t="s">
        <v>4649</v>
      </c>
      <c r="L672" s="17"/>
      <c r="M672" s="17"/>
      <c r="N672" s="17" t="str">
        <f t="shared" si="2"/>
        <v>OK</v>
      </c>
      <c r="O672" s="17" t="s">
        <v>35</v>
      </c>
      <c r="P672" s="6" t="s">
        <v>35</v>
      </c>
      <c r="Q672" s="17" t="s">
        <v>36</v>
      </c>
      <c r="R672" s="17" t="s">
        <v>4650</v>
      </c>
      <c r="S672" s="173" t="s">
        <v>38</v>
      </c>
      <c r="T672" s="11" t="s">
        <v>875</v>
      </c>
      <c r="U672" s="186" t="s">
        <v>4573</v>
      </c>
      <c r="V672" s="20" t="s">
        <v>4574</v>
      </c>
    </row>
    <row r="673" spans="1:22" ht="29.25">
      <c r="A673" s="10" t="s">
        <v>4651</v>
      </c>
      <c r="B673" s="10" t="s">
        <v>27</v>
      </c>
      <c r="C673" s="52" t="s">
        <v>868</v>
      </c>
      <c r="D673" s="12"/>
      <c r="E673" s="13" t="s">
        <v>151</v>
      </c>
      <c r="F673" s="6" t="s">
        <v>714</v>
      </c>
      <c r="G673" s="6" t="str">
        <f ca="1">IFERROR(__xludf.DUMMYFUNCTION("CONCATENATE(B673,(VLOOKUP(C673,CATALOGOS!$F$2:$H$6,3,FALSE)),(VLOOKUP(T673,CATALOGOS!$J$2:$K$18,2,FALSE)),""-"",TO_TEXT(A673))"),"P03CV-0672")</f>
        <v>P03CV-0672</v>
      </c>
      <c r="H673" s="6" t="s">
        <v>4652</v>
      </c>
      <c r="I673" s="6" t="s">
        <v>4653</v>
      </c>
      <c r="J673" s="6" t="s">
        <v>4654</v>
      </c>
      <c r="K673" s="6" t="s">
        <v>4655</v>
      </c>
      <c r="L673" s="17"/>
      <c r="M673" s="17"/>
      <c r="N673" s="17" t="str">
        <f t="shared" si="2"/>
        <v>OK</v>
      </c>
      <c r="O673" s="17" t="s">
        <v>157</v>
      </c>
      <c r="P673" s="6" t="s">
        <v>158</v>
      </c>
      <c r="Q673" s="17" t="s">
        <v>4656</v>
      </c>
      <c r="R673" s="10" t="s">
        <v>4657</v>
      </c>
      <c r="S673" s="173" t="s">
        <v>38</v>
      </c>
      <c r="T673" s="11" t="s">
        <v>875</v>
      </c>
      <c r="U673" s="186" t="s">
        <v>4573</v>
      </c>
      <c r="V673" s="20" t="s">
        <v>4574</v>
      </c>
    </row>
    <row r="674" spans="1:22" ht="57.75">
      <c r="A674" s="10" t="s">
        <v>4658</v>
      </c>
      <c r="B674" s="10" t="s">
        <v>27</v>
      </c>
      <c r="C674" s="52" t="s">
        <v>868</v>
      </c>
      <c r="D674" s="12"/>
      <c r="E674" s="13" t="s">
        <v>199</v>
      </c>
      <c r="F674" s="6" t="s">
        <v>199</v>
      </c>
      <c r="G674" s="6" t="str">
        <f ca="1">IFERROR(__xludf.DUMMYFUNCTION("CONCATENATE(B674,(VLOOKUP(C674,CATALOGOS!$F$2:$H$6,3,FALSE)),(VLOOKUP(T674,CATALOGOS!$J$2:$K$18,2,FALSE)),""-"",TO_TEXT(A674))"),"P03CV-0673")</f>
        <v>P03CV-0673</v>
      </c>
      <c r="H674" s="6" t="s">
        <v>4659</v>
      </c>
      <c r="I674" s="6" t="s">
        <v>4660</v>
      </c>
      <c r="J674" s="6" t="s">
        <v>4661</v>
      </c>
      <c r="K674" s="6" t="s">
        <v>4662</v>
      </c>
      <c r="L674" s="17"/>
      <c r="M674" s="17"/>
      <c r="N674" s="17" t="str">
        <f t="shared" si="2"/>
        <v>OK</v>
      </c>
      <c r="O674" s="17" t="s">
        <v>157</v>
      </c>
      <c r="P674" s="6">
        <v>2378</v>
      </c>
      <c r="Q674" s="17" t="s">
        <v>4663</v>
      </c>
      <c r="R674" s="10" t="s">
        <v>4664</v>
      </c>
      <c r="S674" s="173" t="s">
        <v>38</v>
      </c>
      <c r="T674" s="11" t="s">
        <v>875</v>
      </c>
      <c r="U674" s="186" t="s">
        <v>4573</v>
      </c>
      <c r="V674" s="20" t="s">
        <v>4574</v>
      </c>
    </row>
    <row r="675" spans="1:22" ht="29.25">
      <c r="A675" s="10" t="s">
        <v>4665</v>
      </c>
      <c r="B675" s="10" t="s">
        <v>27</v>
      </c>
      <c r="C675" s="52" t="s">
        <v>868</v>
      </c>
      <c r="D675" s="12"/>
      <c r="E675" s="13" t="s">
        <v>248</v>
      </c>
      <c r="F675" s="6" t="s">
        <v>248</v>
      </c>
      <c r="G675" s="6" t="str">
        <f ca="1">IFERROR(__xludf.DUMMYFUNCTION("CONCATENATE(B675,(VLOOKUP(C675,CATALOGOS!$F$2:$H$6,3,FALSE)),(VLOOKUP(T675,CATALOGOS!$J$2:$K$18,2,FALSE)),""-"",TO_TEXT(A675))"),"P03CV-0674")</f>
        <v>P03CV-0674</v>
      </c>
      <c r="H675" s="6" t="s">
        <v>4666</v>
      </c>
      <c r="I675" s="6" t="s">
        <v>4667</v>
      </c>
      <c r="J675" s="37"/>
      <c r="K675" s="6" t="s">
        <v>141</v>
      </c>
      <c r="L675" s="17"/>
      <c r="M675" s="17"/>
      <c r="N675" s="17" t="str">
        <f t="shared" si="2"/>
        <v>REPETIDO</v>
      </c>
      <c r="O675" s="17" t="s">
        <v>303</v>
      </c>
      <c r="P675" s="6" t="s">
        <v>304</v>
      </c>
      <c r="Q675" s="6" t="s">
        <v>4668</v>
      </c>
      <c r="R675" s="10" t="s">
        <v>4669</v>
      </c>
      <c r="S675" s="173" t="s">
        <v>38</v>
      </c>
      <c r="T675" s="11" t="s">
        <v>875</v>
      </c>
      <c r="U675" s="186" t="s">
        <v>4573</v>
      </c>
      <c r="V675" s="20" t="s">
        <v>4574</v>
      </c>
    </row>
    <row r="676" spans="1:22" ht="29.25">
      <c r="A676" s="10" t="s">
        <v>4670</v>
      </c>
      <c r="B676" s="10" t="s">
        <v>27</v>
      </c>
      <c r="C676" s="52" t="s">
        <v>868</v>
      </c>
      <c r="D676" s="12"/>
      <c r="E676" s="13" t="s">
        <v>151</v>
      </c>
      <c r="F676" s="6" t="s">
        <v>714</v>
      </c>
      <c r="G676" s="6" t="str">
        <f ca="1">IFERROR(__xludf.DUMMYFUNCTION("CONCATENATE(B676,(VLOOKUP(C676,CATALOGOS!$F$2:$H$6,3,FALSE)),(VLOOKUP(T676,CATALOGOS!$J$2:$K$18,2,FALSE)),""-"",TO_TEXT(A676))"),"P03CV-0675")</f>
        <v>P03CV-0675</v>
      </c>
      <c r="H676" s="6" t="s">
        <v>4671</v>
      </c>
      <c r="I676" s="6" t="s">
        <v>4672</v>
      </c>
      <c r="J676" s="6" t="s">
        <v>4673</v>
      </c>
      <c r="K676" s="6" t="s">
        <v>4674</v>
      </c>
      <c r="L676" s="17"/>
      <c r="M676" s="17"/>
      <c r="N676" s="17" t="str">
        <f t="shared" si="2"/>
        <v>OK</v>
      </c>
      <c r="O676" s="17" t="s">
        <v>719</v>
      </c>
      <c r="P676" s="6" t="s">
        <v>720</v>
      </c>
      <c r="Q676" s="17" t="s">
        <v>4675</v>
      </c>
      <c r="R676" s="17" t="s">
        <v>4676</v>
      </c>
      <c r="S676" s="173" t="s">
        <v>4677</v>
      </c>
      <c r="T676" s="11" t="s">
        <v>875</v>
      </c>
      <c r="U676" s="186" t="s">
        <v>4573</v>
      </c>
      <c r="V676" s="20" t="s">
        <v>4574</v>
      </c>
    </row>
    <row r="677" spans="1:22" ht="72">
      <c r="A677" s="10" t="s">
        <v>4678</v>
      </c>
      <c r="B677" s="10" t="s">
        <v>27</v>
      </c>
      <c r="C677" s="52" t="s">
        <v>868</v>
      </c>
      <c r="D677" s="12"/>
      <c r="E677" s="13" t="s">
        <v>184</v>
      </c>
      <c r="F677" s="6" t="s">
        <v>4679</v>
      </c>
      <c r="G677" s="6" t="str">
        <f ca="1">IFERROR(__xludf.DUMMYFUNCTION("CONCATENATE(B677,(VLOOKUP(C677,CATALOGOS!$F$2:$H$6,3,FALSE)),(VLOOKUP(T677,CATALOGOS!$J$2:$K$18,2,FALSE)),""-"",TO_TEXT(A677))"),"P03CV-0676")</f>
        <v>P03CV-0676</v>
      </c>
      <c r="H677" s="6" t="s">
        <v>4680</v>
      </c>
      <c r="I677" s="6" t="s">
        <v>4681</v>
      </c>
      <c r="J677" s="6" t="s">
        <v>4682</v>
      </c>
      <c r="K677" s="6" t="s">
        <v>4683</v>
      </c>
      <c r="L677" s="17"/>
      <c r="M677" s="17"/>
      <c r="N677" s="17" t="str">
        <f t="shared" si="2"/>
        <v>OK</v>
      </c>
      <c r="O677" s="17" t="s">
        <v>35</v>
      </c>
      <c r="P677" s="6" t="s">
        <v>35</v>
      </c>
      <c r="Q677" s="17" t="s">
        <v>36</v>
      </c>
      <c r="R677" s="17" t="s">
        <v>7442</v>
      </c>
      <c r="S677" s="179" t="s">
        <v>517</v>
      </c>
      <c r="T677" s="11" t="s">
        <v>875</v>
      </c>
      <c r="U677" s="186" t="s">
        <v>4573</v>
      </c>
      <c r="V677" s="20" t="s">
        <v>4574</v>
      </c>
    </row>
    <row r="678" spans="1:22" ht="29.25">
      <c r="A678" s="10" t="s">
        <v>4686</v>
      </c>
      <c r="B678" s="10" t="s">
        <v>27</v>
      </c>
      <c r="C678" s="52" t="s">
        <v>868</v>
      </c>
      <c r="D678" s="12"/>
      <c r="E678" s="13" t="s">
        <v>162</v>
      </c>
      <c r="F678" s="6" t="s">
        <v>285</v>
      </c>
      <c r="G678" s="6" t="str">
        <f ca="1">IFERROR(__xludf.DUMMYFUNCTION("CONCATENATE(B678,(VLOOKUP(C678,CATALOGOS!$F$2:$H$6,3,FALSE)),(VLOOKUP(T678,CATALOGOS!$J$2:$K$18,2,FALSE)),""-"",TO_TEXT(A678))"),"P03CV-0677")</f>
        <v>P03CV-0677</v>
      </c>
      <c r="H678" s="6" t="s">
        <v>4687</v>
      </c>
      <c r="I678" s="6" t="s">
        <v>4688</v>
      </c>
      <c r="J678" s="6" t="s">
        <v>4689</v>
      </c>
      <c r="K678" s="6" t="s">
        <v>4690</v>
      </c>
      <c r="L678" s="17"/>
      <c r="M678" s="17"/>
      <c r="N678" s="17" t="str">
        <f t="shared" si="2"/>
        <v>OK</v>
      </c>
      <c r="O678" s="17" t="s">
        <v>168</v>
      </c>
      <c r="P678" s="6" t="s">
        <v>169</v>
      </c>
      <c r="Q678" s="17" t="s">
        <v>4691</v>
      </c>
      <c r="R678" s="17" t="s">
        <v>7674</v>
      </c>
      <c r="S678" s="173" t="s">
        <v>38</v>
      </c>
      <c r="T678" s="11" t="s">
        <v>875</v>
      </c>
      <c r="U678" s="186" t="s">
        <v>4573</v>
      </c>
      <c r="V678" s="20" t="s">
        <v>4574</v>
      </c>
    </row>
    <row r="679" spans="1:22" ht="43.5">
      <c r="A679" s="10" t="s">
        <v>4693</v>
      </c>
      <c r="B679" s="10" t="s">
        <v>27</v>
      </c>
      <c r="C679" s="52" t="s">
        <v>868</v>
      </c>
      <c r="D679" s="12"/>
      <c r="E679" s="13" t="s">
        <v>151</v>
      </c>
      <c r="F679" s="6" t="s">
        <v>4113</v>
      </c>
      <c r="G679" s="6" t="str">
        <f ca="1">IFERROR(__xludf.DUMMYFUNCTION("CONCATENATE(B679,(VLOOKUP(C679,CATALOGOS!$F$2:$H$6,3,FALSE)),(VLOOKUP(T679,CATALOGOS!$J$2:$K$18,2,FALSE)),""-"",TO_TEXT(A679))"),"P03CV-0678")</f>
        <v>P03CV-0678</v>
      </c>
      <c r="H679" s="6" t="s">
        <v>4694</v>
      </c>
      <c r="I679" s="6" t="s">
        <v>4695</v>
      </c>
      <c r="J679" s="36"/>
      <c r="K679" s="6" t="s">
        <v>4696</v>
      </c>
      <c r="L679" s="17"/>
      <c r="M679" s="17"/>
      <c r="N679" s="17" t="str">
        <f t="shared" si="2"/>
        <v>OK</v>
      </c>
      <c r="O679" s="17" t="s">
        <v>297</v>
      </c>
      <c r="P679" s="6" t="s">
        <v>298</v>
      </c>
      <c r="Q679" s="6" t="s">
        <v>4697</v>
      </c>
      <c r="R679" s="10" t="s">
        <v>85</v>
      </c>
      <c r="S679" s="173" t="s">
        <v>38</v>
      </c>
      <c r="T679" s="11" t="s">
        <v>875</v>
      </c>
      <c r="U679" s="22" t="s">
        <v>4629</v>
      </c>
      <c r="V679" s="22" t="s">
        <v>4629</v>
      </c>
    </row>
    <row r="680" spans="1:22" ht="57.75">
      <c r="A680" s="10" t="s">
        <v>4698</v>
      </c>
      <c r="B680" s="10" t="s">
        <v>27</v>
      </c>
      <c r="C680" s="52" t="s">
        <v>868</v>
      </c>
      <c r="D680" s="12"/>
      <c r="E680" s="13" t="s">
        <v>199</v>
      </c>
      <c r="F680" s="6" t="s">
        <v>199</v>
      </c>
      <c r="G680" s="6" t="str">
        <f ca="1">IFERROR(__xludf.DUMMYFUNCTION("CONCATENATE(B680,(VLOOKUP(C680,CATALOGOS!$F$2:$H$6,3,FALSE)),(VLOOKUP(T680,CATALOGOS!$J$2:$K$18,2,FALSE)),""-"",TO_TEXT(A680))"),"P03CV-0679")</f>
        <v>P03CV-0679</v>
      </c>
      <c r="H680" s="6" t="s">
        <v>4699</v>
      </c>
      <c r="I680" s="6" t="s">
        <v>4700</v>
      </c>
      <c r="J680" s="37"/>
      <c r="K680" s="6" t="s">
        <v>4701</v>
      </c>
      <c r="L680" s="17"/>
      <c r="M680" s="17"/>
      <c r="N680" s="17" t="str">
        <f t="shared" si="2"/>
        <v>OK</v>
      </c>
      <c r="O680" s="17" t="s">
        <v>273</v>
      </c>
      <c r="P680" s="6" t="s">
        <v>274</v>
      </c>
      <c r="Q680" s="6">
        <v>11392903014603</v>
      </c>
      <c r="R680" s="10" t="s">
        <v>85</v>
      </c>
      <c r="S680" s="173" t="s">
        <v>38</v>
      </c>
      <c r="T680" s="11" t="s">
        <v>875</v>
      </c>
      <c r="U680" s="22" t="s">
        <v>4629</v>
      </c>
      <c r="V680" s="22" t="s">
        <v>4629</v>
      </c>
    </row>
    <row r="681" spans="1:22" ht="43.5">
      <c r="A681" s="10" t="s">
        <v>4702</v>
      </c>
      <c r="B681" s="10" t="s">
        <v>27</v>
      </c>
      <c r="C681" s="52" t="s">
        <v>868</v>
      </c>
      <c r="D681" s="12"/>
      <c r="E681" s="13" t="s">
        <v>353</v>
      </c>
      <c r="F681" s="6" t="s">
        <v>354</v>
      </c>
      <c r="G681" s="6" t="str">
        <f ca="1">IFERROR(__xludf.DUMMYFUNCTION("CONCATENATE(B681,(VLOOKUP(C681,CATALOGOS!$F$2:$H$6,3,FALSE)),(VLOOKUP(T681,CATALOGOS!$J$2:$K$18,2,FALSE)),""-"",TO_TEXT(A681))"),"P03CV-0680")</f>
        <v>P03CV-0680</v>
      </c>
      <c r="H681" s="6" t="s">
        <v>4703</v>
      </c>
      <c r="I681" s="6" t="s">
        <v>4704</v>
      </c>
      <c r="J681" s="6" t="s">
        <v>4705</v>
      </c>
      <c r="K681" s="6" t="s">
        <v>4706</v>
      </c>
      <c r="L681" s="17"/>
      <c r="M681" s="17"/>
      <c r="N681" s="17" t="str">
        <f t="shared" si="2"/>
        <v>OK</v>
      </c>
      <c r="O681" s="17" t="s">
        <v>359</v>
      </c>
      <c r="P681" s="6" t="s">
        <v>360</v>
      </c>
      <c r="Q681" s="6" t="s">
        <v>4707</v>
      </c>
      <c r="R681" s="10" t="s">
        <v>4708</v>
      </c>
      <c r="S681" s="173" t="s">
        <v>38</v>
      </c>
      <c r="T681" s="11" t="s">
        <v>875</v>
      </c>
      <c r="U681" s="22" t="s">
        <v>4629</v>
      </c>
      <c r="V681" s="22" t="s">
        <v>4629</v>
      </c>
    </row>
    <row r="682" spans="1:22" ht="72">
      <c r="A682" s="10" t="s">
        <v>4709</v>
      </c>
      <c r="B682" s="10" t="s">
        <v>27</v>
      </c>
      <c r="C682" s="52" t="s">
        <v>868</v>
      </c>
      <c r="D682" s="12"/>
      <c r="E682" s="13" t="s">
        <v>62</v>
      </c>
      <c r="F682" s="6" t="s">
        <v>4710</v>
      </c>
      <c r="G682" s="6" t="str">
        <f ca="1">IFERROR(__xludf.DUMMYFUNCTION("CONCATENATE(B682,(VLOOKUP(C682,CATALOGOS!$F$2:$H$6,3,FALSE)),(VLOOKUP(T682,CATALOGOS!$J$2:$K$18,2,FALSE)),""-"",TO_TEXT(A682))"),"P03CV-0681")</f>
        <v>P03CV-0681</v>
      </c>
      <c r="H682" s="6" t="s">
        <v>4711</v>
      </c>
      <c r="I682" s="6" t="s">
        <v>4712</v>
      </c>
      <c r="J682" s="6" t="s">
        <v>4713</v>
      </c>
      <c r="K682" s="6" t="s">
        <v>4714</v>
      </c>
      <c r="L682" s="17"/>
      <c r="M682" s="17"/>
      <c r="N682" s="17" t="str">
        <f t="shared" si="2"/>
        <v>OK</v>
      </c>
      <c r="O682" s="17" t="s">
        <v>35</v>
      </c>
      <c r="P682" s="6" t="s">
        <v>35</v>
      </c>
      <c r="Q682" s="17" t="s">
        <v>36</v>
      </c>
      <c r="R682" s="17" t="s">
        <v>4715</v>
      </c>
      <c r="S682" s="179" t="s">
        <v>100</v>
      </c>
      <c r="T682" s="11" t="s">
        <v>875</v>
      </c>
      <c r="U682" s="20" t="s">
        <v>4573</v>
      </c>
      <c r="V682" s="20" t="s">
        <v>4574</v>
      </c>
    </row>
    <row r="683" spans="1:22" ht="72">
      <c r="A683" s="10" t="s">
        <v>4716</v>
      </c>
      <c r="B683" s="10" t="s">
        <v>27</v>
      </c>
      <c r="C683" s="52" t="s">
        <v>868</v>
      </c>
      <c r="D683" s="12"/>
      <c r="E683" s="13" t="s">
        <v>62</v>
      </c>
      <c r="F683" s="6" t="s">
        <v>4717</v>
      </c>
      <c r="G683" s="6" t="str">
        <f ca="1">IFERROR(__xludf.DUMMYFUNCTION("CONCATENATE(B683,(VLOOKUP(C683,CATALOGOS!$F$2:$H$6,3,FALSE)),(VLOOKUP(T683,CATALOGOS!$J$2:$K$18,2,FALSE)),""-"",TO_TEXT(A683))"),"P03CV-0682")</f>
        <v>P03CV-0682</v>
      </c>
      <c r="H683" s="6" t="s">
        <v>4718</v>
      </c>
      <c r="I683" s="6" t="s">
        <v>4719</v>
      </c>
      <c r="J683" s="6" t="s">
        <v>4720</v>
      </c>
      <c r="K683" s="6" t="s">
        <v>4721</v>
      </c>
      <c r="L683" s="17"/>
      <c r="M683" s="17"/>
      <c r="N683" s="17" t="str">
        <f t="shared" si="2"/>
        <v>OK</v>
      </c>
      <c r="O683" s="17" t="s">
        <v>35</v>
      </c>
      <c r="P683" s="6" t="s">
        <v>35</v>
      </c>
      <c r="Q683" s="17" t="s">
        <v>36</v>
      </c>
      <c r="R683" s="17" t="s">
        <v>8107</v>
      </c>
      <c r="S683" s="179" t="s">
        <v>517</v>
      </c>
      <c r="T683" s="11" t="s">
        <v>875</v>
      </c>
      <c r="U683" s="20" t="s">
        <v>4573</v>
      </c>
      <c r="V683" s="20" t="s">
        <v>4574</v>
      </c>
    </row>
    <row r="684" spans="1:22" ht="72">
      <c r="A684" s="10" t="s">
        <v>4723</v>
      </c>
      <c r="B684" s="10" t="s">
        <v>27</v>
      </c>
      <c r="C684" s="52" t="s">
        <v>868</v>
      </c>
      <c r="D684" s="12"/>
      <c r="E684" s="13" t="s">
        <v>62</v>
      </c>
      <c r="F684" s="6" t="s">
        <v>4724</v>
      </c>
      <c r="G684" s="6" t="str">
        <f ca="1">IFERROR(__xludf.DUMMYFUNCTION("CONCATENATE(B684,(VLOOKUP(C684,CATALOGOS!$F$2:$H$6,3,FALSE)),(VLOOKUP(T684,CATALOGOS!$J$2:$K$18,2,FALSE)),""-"",TO_TEXT(A684))"),"P03CV-0683")</f>
        <v>P03CV-0683</v>
      </c>
      <c r="H684" s="6" t="s">
        <v>4725</v>
      </c>
      <c r="I684" s="6" t="s">
        <v>4726</v>
      </c>
      <c r="J684" s="6" t="s">
        <v>4727</v>
      </c>
      <c r="K684" s="6" t="s">
        <v>4728</v>
      </c>
      <c r="L684" s="17"/>
      <c r="M684" s="17"/>
      <c r="N684" s="17" t="str">
        <f t="shared" si="2"/>
        <v>OK</v>
      </c>
      <c r="O684" s="17" t="s">
        <v>35</v>
      </c>
      <c r="P684" s="6" t="s">
        <v>35</v>
      </c>
      <c r="Q684" s="17" t="s">
        <v>36</v>
      </c>
      <c r="R684" s="17" t="s">
        <v>4729</v>
      </c>
      <c r="S684" s="173" t="s">
        <v>38</v>
      </c>
      <c r="T684" s="11" t="s">
        <v>875</v>
      </c>
      <c r="U684" s="20" t="s">
        <v>4573</v>
      </c>
      <c r="V684" s="20" t="s">
        <v>4574</v>
      </c>
    </row>
    <row r="685" spans="1:22" ht="72">
      <c r="A685" s="10" t="s">
        <v>4730</v>
      </c>
      <c r="B685" s="10" t="s">
        <v>27</v>
      </c>
      <c r="C685" s="52" t="s">
        <v>868</v>
      </c>
      <c r="D685" s="12"/>
      <c r="E685" s="13" t="s">
        <v>62</v>
      </c>
      <c r="F685" s="6" t="s">
        <v>4731</v>
      </c>
      <c r="G685" s="6" t="str">
        <f ca="1">IFERROR(__xludf.DUMMYFUNCTION("CONCATENATE(B685,(VLOOKUP(C685,CATALOGOS!$F$2:$H$6,3,FALSE)),(VLOOKUP(T685,CATALOGOS!$J$2:$K$18,2,FALSE)),""-"",TO_TEXT(A685))"),"P03CV-0684")</f>
        <v>P03CV-0684</v>
      </c>
      <c r="H685" s="6" t="s">
        <v>4732</v>
      </c>
      <c r="I685" s="6" t="s">
        <v>4733</v>
      </c>
      <c r="J685" s="6" t="s">
        <v>4734</v>
      </c>
      <c r="K685" s="6" t="s">
        <v>4735</v>
      </c>
      <c r="L685" s="17"/>
      <c r="M685" s="17"/>
      <c r="N685" s="17" t="str">
        <f t="shared" si="2"/>
        <v>OK</v>
      </c>
      <c r="O685" s="17" t="s">
        <v>35</v>
      </c>
      <c r="P685" s="6" t="s">
        <v>35</v>
      </c>
      <c r="Q685" s="17" t="s">
        <v>36</v>
      </c>
      <c r="R685" s="17" t="s">
        <v>4736</v>
      </c>
      <c r="S685" s="173" t="s">
        <v>38</v>
      </c>
      <c r="T685" s="11" t="s">
        <v>875</v>
      </c>
      <c r="U685" s="20" t="s">
        <v>4737</v>
      </c>
      <c r="V685" s="20" t="s">
        <v>4737</v>
      </c>
    </row>
    <row r="686" spans="1:22" ht="72">
      <c r="A686" s="10" t="s">
        <v>4738</v>
      </c>
      <c r="B686" s="10" t="s">
        <v>27</v>
      </c>
      <c r="C686" s="52" t="s">
        <v>868</v>
      </c>
      <c r="D686" s="38"/>
      <c r="E686" s="13" t="s">
        <v>62</v>
      </c>
      <c r="F686" s="6" t="s">
        <v>4739</v>
      </c>
      <c r="G686" s="6" t="str">
        <f ca="1">IFERROR(__xludf.DUMMYFUNCTION("CONCATENATE(B686,(VLOOKUP(C686,CATALOGOS!$F$2:$H$6,3,FALSE)),(VLOOKUP(T686,CATALOGOS!$J$2:$K$18,2,FALSE)),""-"",TO_TEXT(A686))"),"P03CV-0685")</f>
        <v>P03CV-0685</v>
      </c>
      <c r="H686" s="6" t="s">
        <v>4740</v>
      </c>
      <c r="I686" s="6" t="s">
        <v>4741</v>
      </c>
      <c r="J686" s="6" t="s">
        <v>4742</v>
      </c>
      <c r="K686" s="6" t="s">
        <v>4743</v>
      </c>
      <c r="L686" s="17"/>
      <c r="M686" s="17"/>
      <c r="N686" s="17" t="str">
        <f t="shared" si="2"/>
        <v>OK</v>
      </c>
      <c r="O686" s="17" t="s">
        <v>35</v>
      </c>
      <c r="P686" s="6" t="s">
        <v>35</v>
      </c>
      <c r="Q686" s="46" t="s">
        <v>36</v>
      </c>
      <c r="R686" s="17" t="s">
        <v>4744</v>
      </c>
      <c r="S686" s="173" t="s">
        <v>38</v>
      </c>
      <c r="T686" s="11" t="s">
        <v>875</v>
      </c>
      <c r="U686" s="20" t="s">
        <v>4573</v>
      </c>
      <c r="V686" s="20" t="s">
        <v>4574</v>
      </c>
    </row>
    <row r="687" spans="1:22" ht="57.75">
      <c r="A687" s="10" t="s">
        <v>4745</v>
      </c>
      <c r="B687" s="10" t="s">
        <v>27</v>
      </c>
      <c r="C687" s="61" t="s">
        <v>28</v>
      </c>
      <c r="D687" s="12"/>
      <c r="E687" s="13" t="s">
        <v>378</v>
      </c>
      <c r="F687" s="6" t="s">
        <v>878</v>
      </c>
      <c r="G687" s="6" t="str">
        <f ca="1">IFERROR(__xludf.DUMMYFUNCTION("CONCATENATE(B687,(VLOOKUP(C687,CATALOGOS!$F$2:$H$6,3,FALSE)),(VLOOKUP(T687,CATALOGOS!$J$2:$K$18,2,FALSE)),""-"",TO_TEXT(A687))"),"P05DA-0686")</f>
        <v>P05DA-0686</v>
      </c>
      <c r="H687" s="6" t="s">
        <v>4746</v>
      </c>
      <c r="I687" s="6" t="s">
        <v>4747</v>
      </c>
      <c r="J687" s="6" t="s">
        <v>4748</v>
      </c>
      <c r="K687" s="6" t="s">
        <v>4749</v>
      </c>
      <c r="L687" s="17"/>
      <c r="M687" s="17"/>
      <c r="N687" s="17" t="str">
        <f t="shared" si="2"/>
        <v>OK</v>
      </c>
      <c r="O687" s="17" t="s">
        <v>35</v>
      </c>
      <c r="P687" s="6" t="s">
        <v>35</v>
      </c>
      <c r="Q687" s="17" t="s">
        <v>36</v>
      </c>
      <c r="R687" s="17" t="s">
        <v>4750</v>
      </c>
      <c r="S687" s="173" t="s">
        <v>38</v>
      </c>
      <c r="T687" s="11" t="s">
        <v>28</v>
      </c>
      <c r="U687" s="20" t="s">
        <v>39</v>
      </c>
      <c r="V687" s="20" t="s">
        <v>39</v>
      </c>
    </row>
    <row r="688" spans="1:22" ht="72">
      <c r="A688" s="10" t="s">
        <v>4751</v>
      </c>
      <c r="B688" s="10" t="s">
        <v>27</v>
      </c>
      <c r="C688" s="52" t="s">
        <v>868</v>
      </c>
      <c r="D688" s="12"/>
      <c r="E688" s="13" t="s">
        <v>62</v>
      </c>
      <c r="F688" s="6" t="s">
        <v>4752</v>
      </c>
      <c r="G688" s="6" t="str">
        <f ca="1">IFERROR(__xludf.DUMMYFUNCTION("CONCATENATE(B688,(VLOOKUP(C688,CATALOGOS!$F$2:$H$6,3,FALSE)),(VLOOKUP(T688,CATALOGOS!$J$2:$K$18,2,FALSE)),""-"",TO_TEXT(A688))"),"P03CV-0687")</f>
        <v>P03CV-0687</v>
      </c>
      <c r="H688" s="6" t="s">
        <v>4753</v>
      </c>
      <c r="I688" s="6" t="s">
        <v>4754</v>
      </c>
      <c r="J688" s="6" t="s">
        <v>4755</v>
      </c>
      <c r="K688" s="6" t="s">
        <v>4756</v>
      </c>
      <c r="L688" s="17"/>
      <c r="M688" s="17"/>
      <c r="N688" s="17" t="str">
        <f t="shared" si="2"/>
        <v>OK</v>
      </c>
      <c r="O688" s="17" t="s">
        <v>35</v>
      </c>
      <c r="P688" s="6" t="s">
        <v>35</v>
      </c>
      <c r="Q688" s="17" t="s">
        <v>36</v>
      </c>
      <c r="R688" s="17" t="s">
        <v>4757</v>
      </c>
      <c r="S688" s="173" t="s">
        <v>38</v>
      </c>
      <c r="T688" s="11" t="s">
        <v>875</v>
      </c>
      <c r="U688" s="22" t="s">
        <v>1004</v>
      </c>
      <c r="V688" s="22" t="s">
        <v>1004</v>
      </c>
    </row>
    <row r="689" spans="1:22" ht="86.25">
      <c r="A689" s="10" t="s">
        <v>4758</v>
      </c>
      <c r="B689" s="10" t="s">
        <v>27</v>
      </c>
      <c r="C689" s="52" t="s">
        <v>868</v>
      </c>
      <c r="D689" s="12"/>
      <c r="E689" s="13" t="s">
        <v>93</v>
      </c>
      <c r="F689" s="6" t="s">
        <v>4759</v>
      </c>
      <c r="G689" s="6" t="str">
        <f ca="1">IFERROR(__xludf.DUMMYFUNCTION("CONCATENATE(B689,(VLOOKUP(C689,CATALOGOS!$F$2:$H$6,3,FALSE)),(VLOOKUP(T689,CATALOGOS!$J$2:$K$18,2,FALSE)),""-"",TO_TEXT(A689))"),"P03CV-0688")</f>
        <v>P03CV-0688</v>
      </c>
      <c r="H689" s="6" t="s">
        <v>4760</v>
      </c>
      <c r="I689" s="6" t="s">
        <v>4761</v>
      </c>
      <c r="J689" s="6" t="s">
        <v>4762</v>
      </c>
      <c r="K689" s="6" t="s">
        <v>4763</v>
      </c>
      <c r="L689" s="17"/>
      <c r="M689" s="17"/>
      <c r="N689" s="17" t="str">
        <f t="shared" si="2"/>
        <v>OK</v>
      </c>
      <c r="O689" s="17" t="s">
        <v>35</v>
      </c>
      <c r="P689" s="6" t="s">
        <v>35</v>
      </c>
      <c r="Q689" s="17" t="s">
        <v>36</v>
      </c>
      <c r="R689" s="17" t="s">
        <v>8004</v>
      </c>
      <c r="S689" s="173" t="s">
        <v>38</v>
      </c>
      <c r="T689" s="11" t="s">
        <v>875</v>
      </c>
      <c r="U689" s="22" t="s">
        <v>1004</v>
      </c>
      <c r="V689" s="22" t="s">
        <v>1004</v>
      </c>
    </row>
    <row r="690" spans="1:22" ht="57.75">
      <c r="A690" s="10" t="s">
        <v>4765</v>
      </c>
      <c r="B690" s="10" t="s">
        <v>27</v>
      </c>
      <c r="C690" s="52" t="s">
        <v>868</v>
      </c>
      <c r="D690" s="12"/>
      <c r="E690" s="13" t="s">
        <v>43</v>
      </c>
      <c r="F690" s="6" t="s">
        <v>4766</v>
      </c>
      <c r="G690" s="6" t="str">
        <f ca="1">IFERROR(__xludf.DUMMYFUNCTION("CONCATENATE(B690,(VLOOKUP(C690,CATALOGOS!$F$2:$H$6,3,FALSE)),(VLOOKUP(T690,CATALOGOS!$J$2:$K$18,2,FALSE)),""-"",TO_TEXT(A690))"),"P03CV-0689")</f>
        <v>P03CV-0689</v>
      </c>
      <c r="H690" s="6" t="s">
        <v>4767</v>
      </c>
      <c r="I690" s="6" t="s">
        <v>4768</v>
      </c>
      <c r="J690" s="6" t="s">
        <v>4769</v>
      </c>
      <c r="K690" s="6" t="s">
        <v>4770</v>
      </c>
      <c r="L690" s="17"/>
      <c r="M690" s="17"/>
      <c r="N690" s="17" t="str">
        <f t="shared" si="2"/>
        <v>OK</v>
      </c>
      <c r="O690" s="17" t="s">
        <v>4602</v>
      </c>
      <c r="P690" s="6">
        <v>10186</v>
      </c>
      <c r="Q690" s="6" t="s">
        <v>36</v>
      </c>
      <c r="R690" s="10" t="s">
        <v>4771</v>
      </c>
      <c r="S690" s="173" t="s">
        <v>38</v>
      </c>
      <c r="T690" s="11" t="s">
        <v>875</v>
      </c>
      <c r="U690" s="22" t="s">
        <v>1004</v>
      </c>
      <c r="V690" s="22" t="s">
        <v>1004</v>
      </c>
    </row>
    <row r="691" spans="1:22" ht="72">
      <c r="A691" s="10" t="s">
        <v>4772</v>
      </c>
      <c r="B691" s="10" t="s">
        <v>27</v>
      </c>
      <c r="C691" s="52" t="s">
        <v>868</v>
      </c>
      <c r="D691" s="12"/>
      <c r="E691" s="13" t="s">
        <v>116</v>
      </c>
      <c r="F691" s="6" t="s">
        <v>4773</v>
      </c>
      <c r="G691" s="6" t="str">
        <f ca="1">IFERROR(__xludf.DUMMYFUNCTION("CONCATENATE(B691,(VLOOKUP(C691,CATALOGOS!$F$2:$H$6,3,FALSE)),(VLOOKUP(T691,CATALOGOS!$J$2:$K$18,2,FALSE)),""-"",TO_TEXT(A691))"),"P03CV-0690")</f>
        <v>P03CV-0690</v>
      </c>
      <c r="H691" s="6" t="s">
        <v>4774</v>
      </c>
      <c r="I691" s="6" t="s">
        <v>4775</v>
      </c>
      <c r="J691" s="6" t="s">
        <v>4776</v>
      </c>
      <c r="K691" s="6" t="s">
        <v>4777</v>
      </c>
      <c r="L691" s="17"/>
      <c r="M691" s="17"/>
      <c r="N691" s="17" t="str">
        <f t="shared" si="2"/>
        <v>OK</v>
      </c>
      <c r="O691" s="17" t="s">
        <v>35</v>
      </c>
      <c r="P691" s="6" t="s">
        <v>35</v>
      </c>
      <c r="Q691" s="17" t="s">
        <v>36</v>
      </c>
      <c r="R691" s="17" t="s">
        <v>4778</v>
      </c>
      <c r="S691" s="173" t="s">
        <v>38</v>
      </c>
      <c r="T691" s="11" t="s">
        <v>875</v>
      </c>
      <c r="U691" s="22" t="s">
        <v>1004</v>
      </c>
      <c r="V691" s="22" t="s">
        <v>1004</v>
      </c>
    </row>
    <row r="692" spans="1:22" ht="72">
      <c r="A692" s="10" t="s">
        <v>4779</v>
      </c>
      <c r="B692" s="10" t="s">
        <v>27</v>
      </c>
      <c r="C692" s="52" t="s">
        <v>868</v>
      </c>
      <c r="D692" s="12"/>
      <c r="E692" s="13" t="s">
        <v>93</v>
      </c>
      <c r="F692" s="6" t="s">
        <v>1739</v>
      </c>
      <c r="G692" s="6" t="str">
        <f ca="1">IFERROR(__xludf.DUMMYFUNCTION("CONCATENATE(B692,(VLOOKUP(C692,CATALOGOS!$F$2:$H$6,3,FALSE)),(VLOOKUP(T692,CATALOGOS!$J$2:$K$18,2,FALSE)),""-"",TO_TEXT(A692))"),"P03CV-0691")</f>
        <v>P03CV-0691</v>
      </c>
      <c r="H692" s="6" t="s">
        <v>4780</v>
      </c>
      <c r="I692" s="6" t="s">
        <v>4781</v>
      </c>
      <c r="J692" s="6" t="s">
        <v>4782</v>
      </c>
      <c r="K692" s="6" t="s">
        <v>4783</v>
      </c>
      <c r="L692" s="17"/>
      <c r="M692" s="17"/>
      <c r="N692" s="17" t="str">
        <f t="shared" si="2"/>
        <v>OK</v>
      </c>
      <c r="O692" s="17" t="s">
        <v>35</v>
      </c>
      <c r="P692" s="6" t="s">
        <v>35</v>
      </c>
      <c r="Q692" s="17" t="s">
        <v>36</v>
      </c>
      <c r="R692" s="17" t="s">
        <v>4784</v>
      </c>
      <c r="S692" s="173" t="s">
        <v>38</v>
      </c>
      <c r="T692" s="11" t="s">
        <v>875</v>
      </c>
      <c r="U692" s="22" t="s">
        <v>1004</v>
      </c>
      <c r="V692" s="22" t="s">
        <v>1004</v>
      </c>
    </row>
    <row r="693" spans="1:22" ht="29.25">
      <c r="A693" s="10" t="s">
        <v>4785</v>
      </c>
      <c r="B693" s="10" t="s">
        <v>27</v>
      </c>
      <c r="C693" s="52" t="s">
        <v>868</v>
      </c>
      <c r="D693" s="12"/>
      <c r="E693" s="13" t="s">
        <v>151</v>
      </c>
      <c r="F693" s="6" t="s">
        <v>714</v>
      </c>
      <c r="G693" s="6" t="str">
        <f ca="1">IFERROR(__xludf.DUMMYFUNCTION("CONCATENATE(B693,(VLOOKUP(C693,CATALOGOS!$F$2:$H$6,3,FALSE)),(VLOOKUP(T693,CATALOGOS!$J$2:$K$18,2,FALSE)),""-"",TO_TEXT(A693))"),"P03CV-0692")</f>
        <v>P03CV-0692</v>
      </c>
      <c r="H693" s="6" t="s">
        <v>4786</v>
      </c>
      <c r="I693" s="6" t="s">
        <v>4787</v>
      </c>
      <c r="J693" s="6" t="s">
        <v>4788</v>
      </c>
      <c r="K693" s="6" t="s">
        <v>4789</v>
      </c>
      <c r="L693" s="17"/>
      <c r="M693" s="17"/>
      <c r="N693" s="17" t="str">
        <f t="shared" si="2"/>
        <v>OK</v>
      </c>
      <c r="O693" s="17" t="s">
        <v>719</v>
      </c>
      <c r="P693" s="6" t="s">
        <v>720</v>
      </c>
      <c r="Q693" s="6" t="s">
        <v>4790</v>
      </c>
      <c r="R693" s="17" t="s">
        <v>4791</v>
      </c>
      <c r="S693" s="173" t="s">
        <v>38</v>
      </c>
      <c r="T693" s="11" t="s">
        <v>875</v>
      </c>
      <c r="U693" s="20" t="s">
        <v>4574</v>
      </c>
      <c r="V693" s="20" t="s">
        <v>4574</v>
      </c>
    </row>
    <row r="694" spans="1:22" ht="57.75">
      <c r="A694" s="10" t="s">
        <v>4792</v>
      </c>
      <c r="B694" s="10" t="s">
        <v>27</v>
      </c>
      <c r="C694" s="52" t="s">
        <v>868</v>
      </c>
      <c r="D694" s="12"/>
      <c r="E694" s="13" t="s">
        <v>199</v>
      </c>
      <c r="F694" s="6" t="s">
        <v>199</v>
      </c>
      <c r="G694" s="6" t="str">
        <f ca="1">IFERROR(__xludf.DUMMYFUNCTION("CONCATENATE(B694,(VLOOKUP(C694,CATALOGOS!$F$2:$H$6,3,FALSE)),(VLOOKUP(T694,CATALOGOS!$J$2:$K$18,2,FALSE)),""-"",TO_TEXT(A694))"),"P03CV-0693")</f>
        <v>P03CV-0693</v>
      </c>
      <c r="H694" s="6" t="s">
        <v>4793</v>
      </c>
      <c r="I694" s="6" t="s">
        <v>4794</v>
      </c>
      <c r="J694" s="6" t="s">
        <v>4795</v>
      </c>
      <c r="K694" s="6" t="s">
        <v>4796</v>
      </c>
      <c r="L694" s="17"/>
      <c r="M694" s="17"/>
      <c r="N694" s="17" t="str">
        <f t="shared" si="2"/>
        <v>OK</v>
      </c>
      <c r="O694" s="17" t="s">
        <v>205</v>
      </c>
      <c r="P694" s="6" t="s">
        <v>794</v>
      </c>
      <c r="Q694" s="17" t="s">
        <v>4797</v>
      </c>
      <c r="R694" s="17" t="s">
        <v>4798</v>
      </c>
      <c r="S694" s="179" t="s">
        <v>100</v>
      </c>
      <c r="T694" s="11" t="s">
        <v>875</v>
      </c>
      <c r="U694" s="22" t="s">
        <v>1004</v>
      </c>
      <c r="V694" s="22" t="s">
        <v>1004</v>
      </c>
    </row>
    <row r="695" spans="1:22" ht="86.25">
      <c r="A695" s="10" t="s">
        <v>4799</v>
      </c>
      <c r="B695" s="10" t="s">
        <v>27</v>
      </c>
      <c r="C695" s="52" t="s">
        <v>868</v>
      </c>
      <c r="D695" s="12"/>
      <c r="E695" s="13" t="s">
        <v>1240</v>
      </c>
      <c r="F695" s="6" t="s">
        <v>278</v>
      </c>
      <c r="G695" s="6" t="str">
        <f ca="1">IFERROR(__xludf.DUMMYFUNCTION("CONCATENATE(B695,(VLOOKUP(C695,CATALOGOS!$F$2:$H$6,3,FALSE)),(VLOOKUP(T695,CATALOGOS!$J$2:$K$18,2,FALSE)),""-"",TO_TEXT(A695))"),"P03CV-0694")</f>
        <v>P03CV-0694</v>
      </c>
      <c r="H695" s="6" t="s">
        <v>4800</v>
      </c>
      <c r="I695" s="6" t="s">
        <v>4801</v>
      </c>
      <c r="J695" s="6" t="s">
        <v>4802</v>
      </c>
      <c r="K695" s="6" t="s">
        <v>4803</v>
      </c>
      <c r="L695" s="17"/>
      <c r="M695" s="17"/>
      <c r="N695" s="17" t="str">
        <f t="shared" si="2"/>
        <v>OK</v>
      </c>
      <c r="O695" s="17" t="s">
        <v>35</v>
      </c>
      <c r="P695" s="6" t="s">
        <v>35</v>
      </c>
      <c r="Q695" s="17" t="s">
        <v>36</v>
      </c>
      <c r="R695" s="17" t="s">
        <v>4804</v>
      </c>
      <c r="S695" s="173" t="s">
        <v>38</v>
      </c>
      <c r="T695" s="11" t="s">
        <v>875</v>
      </c>
      <c r="U695" s="22" t="s">
        <v>1004</v>
      </c>
      <c r="V695" s="22" t="s">
        <v>1004</v>
      </c>
    </row>
    <row r="696" spans="1:22" ht="29.25">
      <c r="A696" s="10" t="s">
        <v>4805</v>
      </c>
      <c r="B696" s="10" t="s">
        <v>27</v>
      </c>
      <c r="C696" s="52" t="s">
        <v>868</v>
      </c>
      <c r="D696" s="12"/>
      <c r="E696" s="13" t="s">
        <v>248</v>
      </c>
      <c r="F696" s="6" t="s">
        <v>249</v>
      </c>
      <c r="G696" s="6" t="str">
        <f ca="1">IFERROR(__xludf.DUMMYFUNCTION("CONCATENATE(B696,(VLOOKUP(C696,CATALOGOS!$F$2:$H$6,3,FALSE)),(VLOOKUP(T696,CATALOGOS!$J$2:$K$18,2,FALSE)),""-"",TO_TEXT(A696))"),"P03CV-0695")</f>
        <v>P03CV-0695</v>
      </c>
      <c r="H696" s="6" t="s">
        <v>4806</v>
      </c>
      <c r="I696" s="6" t="s">
        <v>4807</v>
      </c>
      <c r="J696" s="6" t="s">
        <v>4808</v>
      </c>
      <c r="K696" s="6" t="s">
        <v>4809</v>
      </c>
      <c r="L696" s="17"/>
      <c r="M696" s="17"/>
      <c r="N696" s="17" t="str">
        <f t="shared" si="2"/>
        <v>OK</v>
      </c>
      <c r="O696" s="17" t="s">
        <v>4810</v>
      </c>
      <c r="P696" s="6" t="s">
        <v>4811</v>
      </c>
      <c r="Q696" s="17" t="s">
        <v>4812</v>
      </c>
      <c r="R696" s="10" t="s">
        <v>4813</v>
      </c>
      <c r="S696" s="173" t="s">
        <v>38</v>
      </c>
      <c r="T696" s="11" t="s">
        <v>875</v>
      </c>
      <c r="U696" s="22" t="s">
        <v>1004</v>
      </c>
      <c r="V696" s="22" t="s">
        <v>1004</v>
      </c>
    </row>
    <row r="697" spans="1:22" ht="57.75">
      <c r="A697" s="10" t="s">
        <v>4814</v>
      </c>
      <c r="B697" s="10" t="s">
        <v>27</v>
      </c>
      <c r="C697" s="52" t="s">
        <v>868</v>
      </c>
      <c r="D697" s="38"/>
      <c r="E697" s="13" t="s">
        <v>184</v>
      </c>
      <c r="F697" s="6" t="s">
        <v>4815</v>
      </c>
      <c r="G697" s="6" t="str">
        <f ca="1">IFERROR(__xludf.DUMMYFUNCTION("CONCATENATE(B697,(VLOOKUP(C697,CATALOGOS!$F$2:$H$6,3,FALSE)),(VLOOKUP(T697,CATALOGOS!$J$2:$K$18,2,FALSE)),""-"",TO_TEXT(A697))"),"P03CV-0696")</f>
        <v>P03CV-0696</v>
      </c>
      <c r="H697" s="6" t="s">
        <v>4816</v>
      </c>
      <c r="I697" s="6" t="s">
        <v>4817</v>
      </c>
      <c r="J697" s="6" t="s">
        <v>4818</v>
      </c>
      <c r="K697" s="43" t="s">
        <v>4819</v>
      </c>
      <c r="L697" s="17"/>
      <c r="M697" s="17"/>
      <c r="N697" s="17" t="str">
        <f t="shared" si="2"/>
        <v>OK</v>
      </c>
      <c r="O697" s="17" t="s">
        <v>35</v>
      </c>
      <c r="P697" s="6" t="s">
        <v>35</v>
      </c>
      <c r="Q697" s="46" t="s">
        <v>36</v>
      </c>
      <c r="R697" s="17" t="s">
        <v>4820</v>
      </c>
      <c r="S697" s="173" t="s">
        <v>517</v>
      </c>
      <c r="T697" s="11" t="s">
        <v>875</v>
      </c>
      <c r="U697" s="22" t="s">
        <v>1004</v>
      </c>
      <c r="V697" s="22" t="s">
        <v>1004</v>
      </c>
    </row>
    <row r="698" spans="1:22" ht="57.75">
      <c r="A698" s="10" t="s">
        <v>4821</v>
      </c>
      <c r="B698" s="10" t="s">
        <v>27</v>
      </c>
      <c r="C698" s="52" t="s">
        <v>868</v>
      </c>
      <c r="D698" s="12"/>
      <c r="E698" s="13" t="s">
        <v>62</v>
      </c>
      <c r="F698" s="6" t="s">
        <v>4822</v>
      </c>
      <c r="G698" s="6" t="str">
        <f ca="1">IFERROR(__xludf.DUMMYFUNCTION("CONCATENATE(B698,(VLOOKUP(C698,CATALOGOS!$F$2:$H$6,3,FALSE)),(VLOOKUP(T698,CATALOGOS!$J$2:$K$18,2,FALSE)),""-"",TO_TEXT(A698))"),"P03CV-0697")</f>
        <v>P03CV-0697</v>
      </c>
      <c r="H698" s="6" t="s">
        <v>4823</v>
      </c>
      <c r="I698" s="6" t="s">
        <v>4824</v>
      </c>
      <c r="J698" s="6" t="s">
        <v>4825</v>
      </c>
      <c r="K698" s="6" t="s">
        <v>4826</v>
      </c>
      <c r="L698" s="17"/>
      <c r="M698" s="17"/>
      <c r="N698" s="17" t="str">
        <f t="shared" si="2"/>
        <v>OK</v>
      </c>
      <c r="O698" s="17" t="s">
        <v>35</v>
      </c>
      <c r="P698" s="6" t="s">
        <v>35</v>
      </c>
      <c r="Q698" s="17" t="s">
        <v>36</v>
      </c>
      <c r="R698" s="17" t="s">
        <v>4827</v>
      </c>
      <c r="S698" s="173" t="s">
        <v>38</v>
      </c>
      <c r="T698" s="11" t="s">
        <v>875</v>
      </c>
      <c r="U698" s="20" t="s">
        <v>4629</v>
      </c>
      <c r="V698" s="20" t="s">
        <v>4629</v>
      </c>
    </row>
    <row r="699" spans="1:22" ht="57.75">
      <c r="A699" s="10" t="s">
        <v>4828</v>
      </c>
      <c r="B699" s="10" t="s">
        <v>27</v>
      </c>
      <c r="C699" s="52" t="s">
        <v>868</v>
      </c>
      <c r="D699" s="12"/>
      <c r="E699" s="13" t="s">
        <v>116</v>
      </c>
      <c r="F699" s="6" t="s">
        <v>364</v>
      </c>
      <c r="G699" s="6" t="str">
        <f ca="1">IFERROR(__xludf.DUMMYFUNCTION("CONCATENATE(B699,(VLOOKUP(C699,CATALOGOS!$F$2:$H$6,3,FALSE)),(VLOOKUP(T699,CATALOGOS!$J$2:$K$18,2,FALSE)),""-"",TO_TEXT(A699))"),"P03CV-0698")</f>
        <v>P03CV-0698</v>
      </c>
      <c r="H699" s="6" t="s">
        <v>4829</v>
      </c>
      <c r="I699" s="6" t="s">
        <v>4830</v>
      </c>
      <c r="J699" s="6" t="s">
        <v>4831</v>
      </c>
      <c r="K699" s="6" t="s">
        <v>4832</v>
      </c>
      <c r="L699" s="17"/>
      <c r="M699" s="17"/>
      <c r="N699" s="17" t="str">
        <f t="shared" si="2"/>
        <v>OK</v>
      </c>
      <c r="O699" s="17" t="s">
        <v>35</v>
      </c>
      <c r="P699" s="6" t="s">
        <v>35</v>
      </c>
      <c r="Q699" s="17" t="s">
        <v>36</v>
      </c>
      <c r="R699" s="17" t="s">
        <v>4833</v>
      </c>
      <c r="S699" s="173" t="s">
        <v>38</v>
      </c>
      <c r="T699" s="11" t="s">
        <v>875</v>
      </c>
      <c r="U699" s="20" t="s">
        <v>4629</v>
      </c>
      <c r="V699" s="20" t="s">
        <v>4629</v>
      </c>
    </row>
    <row r="700" spans="1:22" ht="72">
      <c r="A700" s="10" t="s">
        <v>4834</v>
      </c>
      <c r="B700" s="10" t="s">
        <v>27</v>
      </c>
      <c r="C700" s="52" t="s">
        <v>868</v>
      </c>
      <c r="D700" s="12"/>
      <c r="E700" s="13" t="s">
        <v>93</v>
      </c>
      <c r="F700" s="6" t="s">
        <v>1739</v>
      </c>
      <c r="G700" s="6" t="str">
        <f ca="1">IFERROR(__xludf.DUMMYFUNCTION("CONCATENATE(B700,(VLOOKUP(C700,CATALOGOS!$F$2:$H$6,3,FALSE)),(VLOOKUP(T700,CATALOGOS!$J$2:$K$18,2,FALSE)),""-"",TO_TEXT(A700))"),"P03CV-0699")</f>
        <v>P03CV-0699</v>
      </c>
      <c r="H700" s="6" t="s">
        <v>4835</v>
      </c>
      <c r="I700" s="6" t="s">
        <v>4836</v>
      </c>
      <c r="J700" s="6" t="s">
        <v>4837</v>
      </c>
      <c r="K700" s="6" t="s">
        <v>4838</v>
      </c>
      <c r="L700" s="17"/>
      <c r="M700" s="17"/>
      <c r="N700" s="17" t="str">
        <f t="shared" si="2"/>
        <v>OK</v>
      </c>
      <c r="O700" s="17" t="s">
        <v>35</v>
      </c>
      <c r="P700" s="6" t="s">
        <v>35</v>
      </c>
      <c r="Q700" s="17" t="s">
        <v>36</v>
      </c>
      <c r="R700" s="17" t="s">
        <v>4839</v>
      </c>
      <c r="S700" s="173" t="s">
        <v>38</v>
      </c>
      <c r="T700" s="11" t="s">
        <v>875</v>
      </c>
      <c r="U700" s="20" t="s">
        <v>4629</v>
      </c>
      <c r="V700" s="20" t="s">
        <v>4629</v>
      </c>
    </row>
    <row r="701" spans="1:22" ht="29.25">
      <c r="A701" s="10" t="s">
        <v>4840</v>
      </c>
      <c r="B701" s="10" t="s">
        <v>27</v>
      </c>
      <c r="C701" s="52" t="s">
        <v>868</v>
      </c>
      <c r="D701" s="12"/>
      <c r="E701" s="13" t="s">
        <v>248</v>
      </c>
      <c r="F701" s="6" t="s">
        <v>249</v>
      </c>
      <c r="G701" s="6" t="str">
        <f ca="1">IFERROR(__xludf.DUMMYFUNCTION("CONCATENATE(B701,(VLOOKUP(C701,CATALOGOS!$F$2:$H$6,3,FALSE)),(VLOOKUP(T701,CATALOGOS!$J$2:$K$18,2,FALSE)),""-"",TO_TEXT(A701))"),"P03CV-0700")</f>
        <v>P03CV-0700</v>
      </c>
      <c r="H701" s="6" t="s">
        <v>4841</v>
      </c>
      <c r="I701" s="6" t="s">
        <v>4842</v>
      </c>
      <c r="J701" s="6" t="s">
        <v>4843</v>
      </c>
      <c r="K701" s="43" t="s">
        <v>4844</v>
      </c>
      <c r="L701" s="17"/>
      <c r="M701" s="17"/>
      <c r="N701" s="17" t="str">
        <f t="shared" si="2"/>
        <v>OK</v>
      </c>
      <c r="O701" s="17" t="s">
        <v>978</v>
      </c>
      <c r="P701" s="6" t="s">
        <v>979</v>
      </c>
      <c r="Q701" s="17" t="s">
        <v>4845</v>
      </c>
      <c r="R701" s="17" t="s">
        <v>4846</v>
      </c>
      <c r="S701" s="173" t="s">
        <v>38</v>
      </c>
      <c r="T701" s="11" t="s">
        <v>875</v>
      </c>
      <c r="U701" s="20" t="s">
        <v>4629</v>
      </c>
      <c r="V701" s="20" t="s">
        <v>4629</v>
      </c>
    </row>
    <row r="702" spans="1:22" ht="30">
      <c r="A702" s="10" t="s">
        <v>4847</v>
      </c>
      <c r="B702" s="10" t="s">
        <v>27</v>
      </c>
      <c r="C702" s="52" t="s">
        <v>868</v>
      </c>
      <c r="D702" s="38"/>
      <c r="E702" s="13" t="s">
        <v>162</v>
      </c>
      <c r="F702" s="6" t="s">
        <v>285</v>
      </c>
      <c r="G702" s="6" t="str">
        <f ca="1">IFERROR(__xludf.DUMMYFUNCTION("CONCATENATE(B702,(VLOOKUP(C702,CATALOGOS!$F$2:$H$6,3,FALSE)),(VLOOKUP(T702,CATALOGOS!$J$2:$K$18,2,FALSE)),""-"",TO_TEXT(A702))"),"P03CV-0701")</f>
        <v>P03CV-0701</v>
      </c>
      <c r="H702" s="6" t="s">
        <v>4848</v>
      </c>
      <c r="I702" s="6" t="s">
        <v>4849</v>
      </c>
      <c r="J702" s="6" t="s">
        <v>4850</v>
      </c>
      <c r="K702" s="6" t="s">
        <v>4851</v>
      </c>
      <c r="L702" s="17"/>
      <c r="M702" s="17"/>
      <c r="N702" s="17" t="str">
        <f t="shared" si="2"/>
        <v>OK</v>
      </c>
      <c r="O702" s="17" t="s">
        <v>168</v>
      </c>
      <c r="P702" s="6" t="s">
        <v>169</v>
      </c>
      <c r="Q702" s="46" t="s">
        <v>4852</v>
      </c>
      <c r="R702" s="17" t="s">
        <v>4853</v>
      </c>
      <c r="S702" s="173" t="s">
        <v>549</v>
      </c>
      <c r="T702" s="11" t="s">
        <v>875</v>
      </c>
      <c r="U702" s="20" t="s">
        <v>4574</v>
      </c>
      <c r="V702" s="20" t="s">
        <v>4574</v>
      </c>
    </row>
    <row r="703" spans="1:22" ht="72">
      <c r="A703" s="10" t="s">
        <v>4854</v>
      </c>
      <c r="B703" s="10" t="s">
        <v>27</v>
      </c>
      <c r="C703" s="52" t="s">
        <v>868</v>
      </c>
      <c r="D703" s="12"/>
      <c r="E703" s="13" t="s">
        <v>93</v>
      </c>
      <c r="F703" s="6" t="s">
        <v>4855</v>
      </c>
      <c r="G703" s="6" t="str">
        <f ca="1">IFERROR(__xludf.DUMMYFUNCTION("CONCATENATE(B703,(VLOOKUP(C703,CATALOGOS!$F$2:$H$6,3,FALSE)),(VLOOKUP(T703,CATALOGOS!$J$2:$K$18,2,FALSE)),""-"",TO_TEXT(A703))"),"P03CV-0702")</f>
        <v>P03CV-0702</v>
      </c>
      <c r="H703" s="6" t="s">
        <v>4856</v>
      </c>
      <c r="I703" s="6" t="s">
        <v>4857</v>
      </c>
      <c r="J703" s="6" t="s">
        <v>4858</v>
      </c>
      <c r="K703" s="6" t="s">
        <v>4859</v>
      </c>
      <c r="L703" s="17"/>
      <c r="M703" s="17"/>
      <c r="N703" s="17" t="str">
        <f t="shared" si="2"/>
        <v>OK</v>
      </c>
      <c r="O703" s="17" t="s">
        <v>35</v>
      </c>
      <c r="P703" s="6" t="s">
        <v>35</v>
      </c>
      <c r="Q703" s="17" t="s">
        <v>36</v>
      </c>
      <c r="R703" s="17" t="s">
        <v>4860</v>
      </c>
      <c r="S703" s="173" t="s">
        <v>38</v>
      </c>
      <c r="T703" s="11" t="s">
        <v>875</v>
      </c>
      <c r="U703" s="22" t="s">
        <v>4737</v>
      </c>
      <c r="V703" s="22" t="s">
        <v>4737</v>
      </c>
    </row>
    <row r="704" spans="1:22" ht="72">
      <c r="A704" s="10" t="s">
        <v>4861</v>
      </c>
      <c r="B704" s="10" t="s">
        <v>27</v>
      </c>
      <c r="C704" s="52" t="s">
        <v>868</v>
      </c>
      <c r="D704" s="12"/>
      <c r="E704" s="13" t="s">
        <v>116</v>
      </c>
      <c r="F704" s="6" t="s">
        <v>1443</v>
      </c>
      <c r="G704" s="6" t="str">
        <f ca="1">IFERROR(__xludf.DUMMYFUNCTION("CONCATENATE(B704,(VLOOKUP(C704,CATALOGOS!$F$2:$H$6,3,FALSE)),(VLOOKUP(T704,CATALOGOS!$J$2:$K$18,2,FALSE)),""-"",TO_TEXT(A704))"),"P03CV-0703")</f>
        <v>P03CV-0703</v>
      </c>
      <c r="H704" s="6" t="s">
        <v>4862</v>
      </c>
      <c r="I704" s="6" t="s">
        <v>4863</v>
      </c>
      <c r="J704" s="6" t="s">
        <v>4864</v>
      </c>
      <c r="K704" s="6" t="s">
        <v>4865</v>
      </c>
      <c r="L704" s="17"/>
      <c r="M704" s="17"/>
      <c r="N704" s="17" t="str">
        <f t="shared" si="2"/>
        <v>OK</v>
      </c>
      <c r="O704" s="17" t="s">
        <v>35</v>
      </c>
      <c r="P704" s="6" t="s">
        <v>35</v>
      </c>
      <c r="Q704" s="17" t="s">
        <v>36</v>
      </c>
      <c r="R704" s="17" t="s">
        <v>4866</v>
      </c>
      <c r="S704" s="173" t="s">
        <v>38</v>
      </c>
      <c r="T704" s="11" t="s">
        <v>875</v>
      </c>
      <c r="U704" s="22" t="s">
        <v>4737</v>
      </c>
      <c r="V704" s="22" t="s">
        <v>4737</v>
      </c>
    </row>
    <row r="705" spans="1:22" ht="29.25">
      <c r="A705" s="10" t="s">
        <v>4867</v>
      </c>
      <c r="B705" s="10" t="s">
        <v>27</v>
      </c>
      <c r="C705" s="52" t="s">
        <v>868</v>
      </c>
      <c r="D705" s="12"/>
      <c r="E705" s="13" t="s">
        <v>151</v>
      </c>
      <c r="F705" s="6" t="s">
        <v>714</v>
      </c>
      <c r="G705" s="6" t="str">
        <f ca="1">IFERROR(__xludf.DUMMYFUNCTION("CONCATENATE(B705,(VLOOKUP(C705,CATALOGOS!$F$2:$H$6,3,FALSE)),(VLOOKUP(T705,CATALOGOS!$J$2:$K$18,2,FALSE)),""-"",TO_TEXT(A705))"),"P03CV-0704")</f>
        <v>P03CV-0704</v>
      </c>
      <c r="H705" s="6" t="s">
        <v>4868</v>
      </c>
      <c r="I705" s="6" t="s">
        <v>4869</v>
      </c>
      <c r="J705" s="6" t="s">
        <v>4870</v>
      </c>
      <c r="K705" s="6" t="s">
        <v>4871</v>
      </c>
      <c r="L705" s="17"/>
      <c r="M705" s="17"/>
      <c r="N705" s="17" t="str">
        <f t="shared" si="2"/>
        <v>OK</v>
      </c>
      <c r="O705" s="17" t="s">
        <v>1220</v>
      </c>
      <c r="P705" s="6" t="s">
        <v>720</v>
      </c>
      <c r="Q705" s="17" t="s">
        <v>4872</v>
      </c>
      <c r="R705" s="17" t="s">
        <v>4873</v>
      </c>
      <c r="S705" s="173" t="s">
        <v>38</v>
      </c>
      <c r="T705" s="11" t="s">
        <v>875</v>
      </c>
      <c r="U705" s="22" t="s">
        <v>4737</v>
      </c>
      <c r="V705" s="22" t="s">
        <v>4737</v>
      </c>
    </row>
    <row r="706" spans="1:22" ht="57.75">
      <c r="A706" s="10" t="s">
        <v>4874</v>
      </c>
      <c r="B706" s="10" t="s">
        <v>27</v>
      </c>
      <c r="C706" s="52" t="s">
        <v>868</v>
      </c>
      <c r="D706" s="12"/>
      <c r="E706" s="13" t="s">
        <v>199</v>
      </c>
      <c r="F706" s="6" t="s">
        <v>199</v>
      </c>
      <c r="G706" s="6" t="str">
        <f ca="1">IFERROR(__xludf.DUMMYFUNCTION("CONCATENATE(B706,(VLOOKUP(C706,CATALOGOS!$F$2:$H$6,3,FALSE)),(VLOOKUP(T706,CATALOGOS!$J$2:$K$18,2,FALSE)),""-"",TO_TEXT(A706))"),"P03CV-0705")</f>
        <v>P03CV-0705</v>
      </c>
      <c r="H706" s="6" t="s">
        <v>4875</v>
      </c>
      <c r="I706" s="6" t="s">
        <v>4876</v>
      </c>
      <c r="J706" s="6" t="s">
        <v>4877</v>
      </c>
      <c r="K706" s="6" t="s">
        <v>4878</v>
      </c>
      <c r="L706" s="17"/>
      <c r="M706" s="17"/>
      <c r="N706" s="17" t="str">
        <f t="shared" si="2"/>
        <v>OK</v>
      </c>
      <c r="O706" s="17" t="s">
        <v>297</v>
      </c>
      <c r="P706" s="6" t="s">
        <v>1399</v>
      </c>
      <c r="Q706" s="17" t="s">
        <v>4879</v>
      </c>
      <c r="R706" s="17" t="s">
        <v>4880</v>
      </c>
      <c r="S706" s="173" t="s">
        <v>38</v>
      </c>
      <c r="T706" s="11" t="s">
        <v>875</v>
      </c>
      <c r="U706" s="22" t="s">
        <v>4737</v>
      </c>
      <c r="V706" s="22" t="s">
        <v>4737</v>
      </c>
    </row>
    <row r="707" spans="1:22" ht="29.25">
      <c r="A707" s="10" t="s">
        <v>4881</v>
      </c>
      <c r="B707" s="10" t="s">
        <v>27</v>
      </c>
      <c r="C707" s="52" t="s">
        <v>868</v>
      </c>
      <c r="D707" s="12"/>
      <c r="E707" s="13" t="s">
        <v>162</v>
      </c>
      <c r="F707" s="43" t="s">
        <v>285</v>
      </c>
      <c r="G707" s="6" t="str">
        <f ca="1">IFERROR(__xludf.DUMMYFUNCTION("CONCATENATE(B707,(VLOOKUP(C707,CATALOGOS!$F$2:$H$6,3,FALSE)),(VLOOKUP(T707,CATALOGOS!$J$2:$K$18,2,FALSE)),""-"",TO_TEXT(A707))"),"P03CV-0706")</f>
        <v>P03CV-0706</v>
      </c>
      <c r="H707" s="6" t="s">
        <v>4882</v>
      </c>
      <c r="I707" s="6" t="s">
        <v>4883</v>
      </c>
      <c r="J707" s="6" t="s">
        <v>4884</v>
      </c>
      <c r="K707" s="6" t="s">
        <v>4885</v>
      </c>
      <c r="L707" s="17"/>
      <c r="M707" s="17"/>
      <c r="N707" s="17" t="str">
        <f t="shared" si="2"/>
        <v>OK</v>
      </c>
      <c r="O707" s="17" t="s">
        <v>663</v>
      </c>
      <c r="P707" s="6" t="s">
        <v>664</v>
      </c>
      <c r="Q707" s="17" t="s">
        <v>4886</v>
      </c>
      <c r="R707" s="10" t="s">
        <v>4887</v>
      </c>
      <c r="S707" s="173" t="s">
        <v>38</v>
      </c>
      <c r="T707" s="11" t="s">
        <v>875</v>
      </c>
      <c r="U707" s="22" t="s">
        <v>4737</v>
      </c>
      <c r="V707" s="22" t="s">
        <v>4737</v>
      </c>
    </row>
    <row r="708" spans="1:22" ht="29.25">
      <c r="A708" s="10" t="s">
        <v>4888</v>
      </c>
      <c r="B708" s="10" t="s">
        <v>27</v>
      </c>
      <c r="C708" s="52" t="s">
        <v>868</v>
      </c>
      <c r="D708" s="12"/>
      <c r="E708" s="13" t="s">
        <v>248</v>
      </c>
      <c r="F708" s="6" t="s">
        <v>249</v>
      </c>
      <c r="G708" s="6" t="str">
        <f ca="1">IFERROR(__xludf.DUMMYFUNCTION("CONCATENATE(B708,(VLOOKUP(C708,CATALOGOS!$F$2:$H$6,3,FALSE)),(VLOOKUP(T708,CATALOGOS!$J$2:$K$18,2,FALSE)),""-"",TO_TEXT(A708))"),"P03CV-0707")</f>
        <v>P03CV-0707</v>
      </c>
      <c r="H708" s="6" t="s">
        <v>4889</v>
      </c>
      <c r="I708" s="6" t="s">
        <v>4890</v>
      </c>
      <c r="J708" s="6" t="s">
        <v>4891</v>
      </c>
      <c r="K708" s="6" t="s">
        <v>4892</v>
      </c>
      <c r="L708" s="17"/>
      <c r="M708" s="17"/>
      <c r="N708" s="17" t="str">
        <f t="shared" si="2"/>
        <v>OK</v>
      </c>
      <c r="O708" s="17" t="s">
        <v>978</v>
      </c>
      <c r="P708" s="6" t="s">
        <v>979</v>
      </c>
      <c r="Q708" s="17" t="s">
        <v>4893</v>
      </c>
      <c r="R708" s="17" t="s">
        <v>4894</v>
      </c>
      <c r="S708" s="173" t="s">
        <v>38</v>
      </c>
      <c r="T708" s="11" t="s">
        <v>875</v>
      </c>
      <c r="U708" s="22" t="s">
        <v>4737</v>
      </c>
      <c r="V708" s="22" t="s">
        <v>4737</v>
      </c>
    </row>
    <row r="709" spans="1:22" ht="57.75">
      <c r="A709" s="10" t="s">
        <v>4895</v>
      </c>
      <c r="B709" s="10" t="s">
        <v>27</v>
      </c>
      <c r="C709" s="52" t="s">
        <v>868</v>
      </c>
      <c r="D709" s="12"/>
      <c r="E709" s="13" t="s">
        <v>378</v>
      </c>
      <c r="F709" s="6" t="s">
        <v>379</v>
      </c>
      <c r="G709" s="6" t="str">
        <f ca="1">IFERROR(__xludf.DUMMYFUNCTION("CONCATENATE(B709,(VLOOKUP(C709,CATALOGOS!$F$2:$H$6,3,FALSE)),(VLOOKUP(T709,CATALOGOS!$J$2:$K$18,2,FALSE)),""-"",TO_TEXT(A709))"),"P03CV-0708")</f>
        <v>P03CV-0708</v>
      </c>
      <c r="H709" s="6" t="s">
        <v>4896</v>
      </c>
      <c r="I709" s="6" t="s">
        <v>4897</v>
      </c>
      <c r="J709" s="6" t="s">
        <v>4898</v>
      </c>
      <c r="K709" s="6" t="s">
        <v>4899</v>
      </c>
      <c r="L709" s="17"/>
      <c r="M709" s="17"/>
      <c r="N709" s="17" t="str">
        <f t="shared" si="2"/>
        <v>OK</v>
      </c>
      <c r="O709" s="17" t="s">
        <v>35</v>
      </c>
      <c r="P709" s="6" t="s">
        <v>35</v>
      </c>
      <c r="Q709" s="17" t="s">
        <v>36</v>
      </c>
      <c r="R709" s="17" t="s">
        <v>4900</v>
      </c>
      <c r="S709" s="173" t="s">
        <v>38</v>
      </c>
      <c r="T709" s="11" t="s">
        <v>875</v>
      </c>
      <c r="U709" s="22" t="s">
        <v>4737</v>
      </c>
      <c r="V709" s="22" t="s">
        <v>4737</v>
      </c>
    </row>
    <row r="710" spans="1:22" ht="43.5">
      <c r="A710" s="10" t="s">
        <v>4901</v>
      </c>
      <c r="B710" s="10" t="s">
        <v>27</v>
      </c>
      <c r="C710" s="52" t="s">
        <v>868</v>
      </c>
      <c r="D710" s="12"/>
      <c r="E710" s="13" t="s">
        <v>378</v>
      </c>
      <c r="F710" s="6" t="s">
        <v>4902</v>
      </c>
      <c r="G710" s="6" t="str">
        <f ca="1">IFERROR(__xludf.DUMMYFUNCTION("CONCATENATE(B710,(VLOOKUP(C710,CATALOGOS!$F$2:$H$6,3,FALSE)),(VLOOKUP(T710,CATALOGOS!$J$2:$K$18,2,FALSE)),""-"",TO_TEXT(A710))"),"P03CV-0709")</f>
        <v>P03CV-0709</v>
      </c>
      <c r="H710" s="6" t="s">
        <v>4903</v>
      </c>
      <c r="I710" s="6" t="s">
        <v>4904</v>
      </c>
      <c r="J710" s="36"/>
      <c r="K710" s="6" t="s">
        <v>141</v>
      </c>
      <c r="L710" s="17"/>
      <c r="M710" s="17"/>
      <c r="N710" s="17" t="str">
        <f t="shared" si="2"/>
        <v>REPETIDO</v>
      </c>
      <c r="O710" s="17" t="s">
        <v>35</v>
      </c>
      <c r="P710" s="6" t="s">
        <v>35</v>
      </c>
      <c r="Q710" s="6" t="s">
        <v>36</v>
      </c>
      <c r="R710" s="10" t="s">
        <v>4905</v>
      </c>
      <c r="S710" s="173" t="s">
        <v>38</v>
      </c>
      <c r="T710" s="11" t="s">
        <v>875</v>
      </c>
      <c r="U710" s="22" t="s">
        <v>4737</v>
      </c>
      <c r="V710" s="22" t="s">
        <v>4737</v>
      </c>
    </row>
    <row r="711" spans="1:22" ht="57.75">
      <c r="A711" s="10" t="s">
        <v>4906</v>
      </c>
      <c r="B711" s="10" t="s">
        <v>27</v>
      </c>
      <c r="C711" s="52" t="s">
        <v>868</v>
      </c>
      <c r="D711" s="38"/>
      <c r="E711" s="13" t="s">
        <v>184</v>
      </c>
      <c r="F711" s="6" t="s">
        <v>4815</v>
      </c>
      <c r="G711" s="6" t="str">
        <f ca="1">IFERROR(__xludf.DUMMYFUNCTION("CONCATENATE(B711,(VLOOKUP(C711,CATALOGOS!$F$2:$H$6,3,FALSE)),(VLOOKUP(T711,CATALOGOS!$J$2:$K$18,2,FALSE)),""-"",TO_TEXT(A711))"),"P03CV-0710")</f>
        <v>P03CV-0710</v>
      </c>
      <c r="H711" s="6" t="s">
        <v>4907</v>
      </c>
      <c r="I711" s="6" t="s">
        <v>4908</v>
      </c>
      <c r="J711" s="6" t="s">
        <v>4909</v>
      </c>
      <c r="K711" s="43" t="s">
        <v>4910</v>
      </c>
      <c r="L711" s="17"/>
      <c r="M711" s="17"/>
      <c r="N711" s="17" t="str">
        <f t="shared" si="2"/>
        <v>OK</v>
      </c>
      <c r="O711" s="43" t="s">
        <v>35</v>
      </c>
      <c r="P711" s="6" t="s">
        <v>35</v>
      </c>
      <c r="Q711" s="46" t="s">
        <v>36</v>
      </c>
      <c r="R711" s="17" t="s">
        <v>4911</v>
      </c>
      <c r="S711" s="173" t="s">
        <v>38</v>
      </c>
      <c r="T711" s="11" t="s">
        <v>875</v>
      </c>
      <c r="U711" s="32" t="s">
        <v>4629</v>
      </c>
      <c r="V711" s="32" t="s">
        <v>4629</v>
      </c>
    </row>
    <row r="712" spans="1:22" ht="29.25">
      <c r="A712" s="10" t="s">
        <v>4912</v>
      </c>
      <c r="B712" s="10" t="s">
        <v>27</v>
      </c>
      <c r="C712" s="52" t="s">
        <v>868</v>
      </c>
      <c r="D712" s="12"/>
      <c r="E712" s="13" t="s">
        <v>151</v>
      </c>
      <c r="F712" s="6" t="s">
        <v>714</v>
      </c>
      <c r="G712" s="6" t="str">
        <f ca="1">IFERROR(__xludf.DUMMYFUNCTION("CONCATENATE(B712,(VLOOKUP(C712,CATALOGOS!$F$2:$H$6,3,FALSE)),(VLOOKUP(T712,CATALOGOS!$J$2:$K$18,2,FALSE)),""-"",TO_TEXT(A712))"),"P03CV-0711")</f>
        <v>P03CV-0711</v>
      </c>
      <c r="H712" s="6" t="s">
        <v>4913</v>
      </c>
      <c r="I712" s="6" t="s">
        <v>4914</v>
      </c>
      <c r="J712" s="6" t="s">
        <v>4915</v>
      </c>
      <c r="K712" s="6" t="s">
        <v>4916</v>
      </c>
      <c r="L712" s="17"/>
      <c r="M712" s="17"/>
      <c r="N712" s="17" t="str">
        <f t="shared" si="2"/>
        <v>OK</v>
      </c>
      <c r="O712" s="17" t="s">
        <v>1220</v>
      </c>
      <c r="P712" s="6" t="s">
        <v>720</v>
      </c>
      <c r="Q712" s="17" t="s">
        <v>4917</v>
      </c>
      <c r="R712" s="17" t="s">
        <v>4918</v>
      </c>
      <c r="S712" s="173" t="s">
        <v>38</v>
      </c>
      <c r="T712" s="174" t="s">
        <v>875</v>
      </c>
      <c r="U712" s="22" t="s">
        <v>876</v>
      </c>
      <c r="V712" s="22" t="s">
        <v>876</v>
      </c>
    </row>
    <row r="713" spans="1:22" ht="57.75">
      <c r="A713" s="10" t="s">
        <v>4919</v>
      </c>
      <c r="B713" s="10" t="s">
        <v>27</v>
      </c>
      <c r="C713" s="52" t="s">
        <v>868</v>
      </c>
      <c r="D713" s="38"/>
      <c r="E713" s="13" t="s">
        <v>199</v>
      </c>
      <c r="F713" s="6" t="s">
        <v>199</v>
      </c>
      <c r="G713" s="6" t="str">
        <f ca="1">IFERROR(__xludf.DUMMYFUNCTION("CONCATENATE(B713,(VLOOKUP(C713,CATALOGOS!$F$2:$H$6,3,FALSE)),(VLOOKUP(T713,CATALOGOS!$J$2:$K$18,2,FALSE)),""-"",TO_TEXT(A713))"),"P03CV-0712")</f>
        <v>P03CV-0712</v>
      </c>
      <c r="H713" s="6" t="s">
        <v>4920</v>
      </c>
      <c r="I713" s="6" t="s">
        <v>4921</v>
      </c>
      <c r="J713" s="6" t="s">
        <v>4922</v>
      </c>
      <c r="K713" s="6" t="s">
        <v>4923</v>
      </c>
      <c r="L713" s="17"/>
      <c r="M713" s="17"/>
      <c r="N713" s="17" t="str">
        <f t="shared" si="2"/>
        <v>OK</v>
      </c>
      <c r="O713" s="17" t="s">
        <v>205</v>
      </c>
      <c r="P713" s="6" t="s">
        <v>4924</v>
      </c>
      <c r="Q713" s="46" t="s">
        <v>4925</v>
      </c>
      <c r="R713" s="32" t="s">
        <v>4926</v>
      </c>
      <c r="S713" s="173" t="s">
        <v>38</v>
      </c>
      <c r="T713" s="11" t="s">
        <v>875</v>
      </c>
      <c r="U713" s="22" t="s">
        <v>876</v>
      </c>
      <c r="V713" s="22" t="s">
        <v>876</v>
      </c>
    </row>
    <row r="714" spans="1:22" ht="57.75">
      <c r="A714" s="10" t="s">
        <v>4928</v>
      </c>
      <c r="B714" s="10" t="s">
        <v>474</v>
      </c>
      <c r="C714" s="19" t="s">
        <v>4411</v>
      </c>
      <c r="D714" s="12"/>
      <c r="E714" s="13" t="s">
        <v>43</v>
      </c>
      <c r="F714" s="43" t="s">
        <v>4929</v>
      </c>
      <c r="G714" s="6" t="str">
        <f ca="1">IFERROR(__xludf.DUMMYFUNCTION("CONCATENATE(B714,(VLOOKUP(C714,CATALOGOS!$F$2:$H$6,3,FALSE)),(VLOOKUP(T714,CATALOGOS!$J$2:$K$18,2,FALSE)),""-"",TO_TEXT(A714))"),"P34RM-0713")</f>
        <v>P34RM-0713</v>
      </c>
      <c r="H714" s="6" t="s">
        <v>4930</v>
      </c>
      <c r="I714" s="6" t="s">
        <v>4931</v>
      </c>
      <c r="J714" s="6" t="s">
        <v>4932</v>
      </c>
      <c r="K714" s="6" t="s">
        <v>4933</v>
      </c>
      <c r="L714" s="17"/>
      <c r="M714" s="17"/>
      <c r="N714" s="17" t="str">
        <f t="shared" si="2"/>
        <v>OK</v>
      </c>
      <c r="O714" s="17" t="s">
        <v>406</v>
      </c>
      <c r="P714" s="6" t="s">
        <v>407</v>
      </c>
      <c r="Q714" s="17" t="s">
        <v>36</v>
      </c>
      <c r="R714" s="17" t="s">
        <v>4934</v>
      </c>
      <c r="S714" s="173" t="s">
        <v>100</v>
      </c>
      <c r="T714" s="19" t="s">
        <v>147</v>
      </c>
      <c r="U714" s="22" t="s">
        <v>4935</v>
      </c>
      <c r="V714" s="22" t="s">
        <v>4935</v>
      </c>
    </row>
    <row r="715" spans="1:22" ht="72">
      <c r="A715" s="10" t="s">
        <v>4936</v>
      </c>
      <c r="B715" s="10" t="s">
        <v>4410</v>
      </c>
      <c r="C715" s="19" t="s">
        <v>4411</v>
      </c>
      <c r="D715" s="12"/>
      <c r="E715" s="13" t="s">
        <v>71</v>
      </c>
      <c r="F715" s="6" t="s">
        <v>4937</v>
      </c>
      <c r="G715" s="6" t="str">
        <f ca="1">IFERROR(__xludf.DUMMYFUNCTION("CONCATENATE(B715,(VLOOKUP(C715,CATALOGOS!$F$2:$H$6,3,FALSE)),(VLOOKUP(T715,CATALOGOS!$J$2:$K$18,2,FALSE)),""-"",TO_TEXT(A715))"),"P24SJ-0714")</f>
        <v>P24SJ-0714</v>
      </c>
      <c r="H715" s="6" t="s">
        <v>4938</v>
      </c>
      <c r="I715" s="6" t="s">
        <v>4939</v>
      </c>
      <c r="J715" s="6" t="s">
        <v>4940</v>
      </c>
      <c r="K715" s="6" t="s">
        <v>4941</v>
      </c>
      <c r="L715" s="17"/>
      <c r="M715" s="17"/>
      <c r="N715" s="17" t="str">
        <f t="shared" si="2"/>
        <v>OK</v>
      </c>
      <c r="O715" s="17" t="s">
        <v>35</v>
      </c>
      <c r="P715" s="6" t="s">
        <v>35</v>
      </c>
      <c r="Q715" s="17" t="s">
        <v>36</v>
      </c>
      <c r="R715" s="17" t="s">
        <v>4942</v>
      </c>
      <c r="S715" s="173" t="s">
        <v>38</v>
      </c>
      <c r="T715" s="11" t="s">
        <v>4411</v>
      </c>
      <c r="U715" s="22" t="s">
        <v>4935</v>
      </c>
      <c r="V715" s="22" t="s">
        <v>4935</v>
      </c>
    </row>
    <row r="716" spans="1:22" ht="72">
      <c r="A716" s="10" t="s">
        <v>4943</v>
      </c>
      <c r="B716" s="10" t="s">
        <v>4410</v>
      </c>
      <c r="C716" s="19" t="s">
        <v>4411</v>
      </c>
      <c r="D716" s="12"/>
      <c r="E716" s="13" t="s">
        <v>71</v>
      </c>
      <c r="F716" s="6" t="s">
        <v>4937</v>
      </c>
      <c r="G716" s="6" t="str">
        <f ca="1">IFERROR(__xludf.DUMMYFUNCTION("CONCATENATE(B716,(VLOOKUP(C716,CATALOGOS!$F$2:$H$6,3,FALSE)),(VLOOKUP(T716,CATALOGOS!$J$2:$K$18,2,FALSE)),""-"",TO_TEXT(A716))"),"P24SJ-0715")</f>
        <v>P24SJ-0715</v>
      </c>
      <c r="H716" s="6" t="s">
        <v>4944</v>
      </c>
      <c r="I716" s="6" t="s">
        <v>4945</v>
      </c>
      <c r="J716" s="6" t="s">
        <v>4946</v>
      </c>
      <c r="K716" s="43" t="s">
        <v>4947</v>
      </c>
      <c r="L716" s="17"/>
      <c r="M716" s="17"/>
      <c r="N716" s="17" t="str">
        <f t="shared" si="2"/>
        <v>OK</v>
      </c>
      <c r="O716" s="17" t="s">
        <v>35</v>
      </c>
      <c r="P716" s="6" t="s">
        <v>35</v>
      </c>
      <c r="Q716" s="17" t="s">
        <v>36</v>
      </c>
      <c r="R716" s="17" t="s">
        <v>4948</v>
      </c>
      <c r="S716" s="173" t="s">
        <v>38</v>
      </c>
      <c r="T716" s="11" t="s">
        <v>4411</v>
      </c>
      <c r="U716" s="22" t="s">
        <v>4935</v>
      </c>
      <c r="V716" s="22" t="s">
        <v>4935</v>
      </c>
    </row>
    <row r="717" spans="1:22" ht="57.75">
      <c r="A717" s="10" t="s">
        <v>4949</v>
      </c>
      <c r="B717" s="10" t="s">
        <v>27</v>
      </c>
      <c r="C717" s="19" t="s">
        <v>4411</v>
      </c>
      <c r="D717" s="12"/>
      <c r="E717" s="13" t="s">
        <v>43</v>
      </c>
      <c r="F717" s="6" t="s">
        <v>4950</v>
      </c>
      <c r="G717" s="6" t="str">
        <f ca="1">IFERROR(__xludf.DUMMYFUNCTION("CONCATENATE(B717,(VLOOKUP(C717,CATALOGOS!$F$2:$H$6,3,FALSE)),(VLOOKUP(T717,CATALOGOS!$J$2:$K$18,2,FALSE)),""-"",TO_TEXT(A717))"),"P04RM-0716")</f>
        <v>P04RM-0716</v>
      </c>
      <c r="H717" s="6" t="s">
        <v>4951</v>
      </c>
      <c r="I717" s="6" t="s">
        <v>4952</v>
      </c>
      <c r="J717" s="6" t="s">
        <v>4953</v>
      </c>
      <c r="K717" s="6" t="s">
        <v>4954</v>
      </c>
      <c r="L717" s="17"/>
      <c r="M717" s="17"/>
      <c r="N717" s="17" t="str">
        <f t="shared" si="2"/>
        <v>OK</v>
      </c>
      <c r="O717" s="17" t="s">
        <v>2586</v>
      </c>
      <c r="P717" s="6">
        <v>37268</v>
      </c>
      <c r="Q717" s="17" t="s">
        <v>36</v>
      </c>
      <c r="R717" s="10" t="s">
        <v>4955</v>
      </c>
      <c r="S717" s="173" t="s">
        <v>38</v>
      </c>
      <c r="T717" s="19" t="s">
        <v>147</v>
      </c>
      <c r="U717" s="20" t="s">
        <v>484</v>
      </c>
      <c r="V717" s="20" t="s">
        <v>484</v>
      </c>
    </row>
    <row r="718" spans="1:22" ht="43.5">
      <c r="A718" s="10" t="s">
        <v>4957</v>
      </c>
      <c r="B718" s="10" t="s">
        <v>4410</v>
      </c>
      <c r="C718" s="19" t="s">
        <v>4411</v>
      </c>
      <c r="D718" s="12"/>
      <c r="E718" s="13" t="s">
        <v>136</v>
      </c>
      <c r="F718" s="43" t="s">
        <v>689</v>
      </c>
      <c r="G718" s="6" t="str">
        <f ca="1">IFERROR(__xludf.DUMMYFUNCTION("CONCATENATE(B718,(VLOOKUP(C718,CATALOGOS!$F$2:$H$6,3,FALSE)),(VLOOKUP(T718,CATALOGOS!$J$2:$K$18,2,FALSE)),""-"",TO_TEXT(A718))"),"P24SJ-0717")</f>
        <v>P24SJ-0717</v>
      </c>
      <c r="H718" s="6" t="s">
        <v>4958</v>
      </c>
      <c r="I718" s="6" t="s">
        <v>4959</v>
      </c>
      <c r="J718" s="6" t="s">
        <v>4960</v>
      </c>
      <c r="K718" s="6" t="s">
        <v>4961</v>
      </c>
      <c r="L718" s="17"/>
      <c r="M718" s="17"/>
      <c r="N718" s="17" t="str">
        <f t="shared" si="2"/>
        <v>OK</v>
      </c>
      <c r="O718" s="17" t="s">
        <v>205</v>
      </c>
      <c r="P718" s="6" t="s">
        <v>4962</v>
      </c>
      <c r="Q718" s="17" t="s">
        <v>8441</v>
      </c>
      <c r="R718" s="10" t="s">
        <v>4964</v>
      </c>
      <c r="S718" s="173" t="s">
        <v>38</v>
      </c>
      <c r="T718" s="11" t="s">
        <v>4411</v>
      </c>
      <c r="U718" s="22" t="s">
        <v>4935</v>
      </c>
      <c r="V718" s="22" t="s">
        <v>4935</v>
      </c>
    </row>
    <row r="719" spans="1:22" ht="72">
      <c r="A719" s="10" t="s">
        <v>4965</v>
      </c>
      <c r="B719" s="10" t="s">
        <v>4410</v>
      </c>
      <c r="C719" s="19" t="s">
        <v>4411</v>
      </c>
      <c r="D719" s="12"/>
      <c r="E719" s="13" t="s">
        <v>93</v>
      </c>
      <c r="F719" s="6" t="s">
        <v>4966</v>
      </c>
      <c r="G719" s="6" t="str">
        <f ca="1">IFERROR(__xludf.DUMMYFUNCTION("CONCATENATE(B719,(VLOOKUP(C719,CATALOGOS!$F$2:$H$6,3,FALSE)),(VLOOKUP(T719,CATALOGOS!$J$2:$K$18,2,FALSE)),""-"",TO_TEXT(A719))"),"P24SJ-0718")</f>
        <v>P24SJ-0718</v>
      </c>
      <c r="H719" s="6" t="s">
        <v>4967</v>
      </c>
      <c r="I719" s="6" t="s">
        <v>4968</v>
      </c>
      <c r="J719" s="6" t="s">
        <v>4969</v>
      </c>
      <c r="K719" s="43" t="s">
        <v>4970</v>
      </c>
      <c r="L719" s="17"/>
      <c r="M719" s="17"/>
      <c r="N719" s="17" t="str">
        <f t="shared" si="2"/>
        <v>OK</v>
      </c>
      <c r="O719" s="17" t="s">
        <v>35</v>
      </c>
      <c r="P719" s="6" t="s">
        <v>35</v>
      </c>
      <c r="Q719" s="17" t="s">
        <v>36</v>
      </c>
      <c r="R719" s="17" t="s">
        <v>4971</v>
      </c>
      <c r="S719" s="173" t="s">
        <v>38</v>
      </c>
      <c r="T719" s="11" t="s">
        <v>4411</v>
      </c>
      <c r="U719" s="22" t="s">
        <v>4935</v>
      </c>
      <c r="V719" s="22" t="s">
        <v>4935</v>
      </c>
    </row>
    <row r="720" spans="1:22" ht="57.75">
      <c r="A720" s="10" t="s">
        <v>4972</v>
      </c>
      <c r="B720" s="10" t="s">
        <v>4410</v>
      </c>
      <c r="C720" s="19" t="s">
        <v>4411</v>
      </c>
      <c r="D720" s="12"/>
      <c r="E720" s="13" t="s">
        <v>378</v>
      </c>
      <c r="F720" s="6" t="s">
        <v>4973</v>
      </c>
      <c r="G720" s="6" t="str">
        <f ca="1">IFERROR(__xludf.DUMMYFUNCTION("CONCATENATE(B720,(VLOOKUP(C720,CATALOGOS!$F$2:$H$6,3,FALSE)),(VLOOKUP(T720,CATALOGOS!$J$2:$K$18,2,FALSE)),""-"",TO_TEXT(A720))"),"P24CS-0719")</f>
        <v>P24CS-0719</v>
      </c>
      <c r="H720" s="6" t="s">
        <v>4974</v>
      </c>
      <c r="I720" s="6" t="s">
        <v>4975</v>
      </c>
      <c r="J720" s="6" t="s">
        <v>4976</v>
      </c>
      <c r="K720" s="6" t="s">
        <v>4977</v>
      </c>
      <c r="L720" s="17"/>
      <c r="M720" s="17"/>
      <c r="N720" s="17" t="str">
        <f t="shared" si="2"/>
        <v>OK</v>
      </c>
      <c r="O720" s="17" t="s">
        <v>35</v>
      </c>
      <c r="P720" s="6" t="s">
        <v>35</v>
      </c>
      <c r="Q720" s="17" t="s">
        <v>36</v>
      </c>
      <c r="R720" s="17" t="s">
        <v>4978</v>
      </c>
      <c r="S720" s="173" t="s">
        <v>38</v>
      </c>
      <c r="T720" s="11" t="s">
        <v>4979</v>
      </c>
      <c r="U720" s="68" t="s">
        <v>4980</v>
      </c>
      <c r="V720" s="68" t="s">
        <v>4980</v>
      </c>
    </row>
    <row r="721" spans="1:22" ht="86.25">
      <c r="A721" s="10" t="s">
        <v>4981</v>
      </c>
      <c r="B721" s="10" t="s">
        <v>4410</v>
      </c>
      <c r="C721" s="19" t="s">
        <v>4411</v>
      </c>
      <c r="D721" s="12"/>
      <c r="E721" s="13" t="s">
        <v>62</v>
      </c>
      <c r="F721" s="6" t="s">
        <v>4982</v>
      </c>
      <c r="G721" s="6" t="str">
        <f ca="1">IFERROR(__xludf.DUMMYFUNCTION("CONCATENATE(B721,(VLOOKUP(C721,CATALOGOS!$F$2:$H$6,3,FALSE)),(VLOOKUP(T721,CATALOGOS!$J$2:$K$18,2,FALSE)),""-"",TO_TEXT(A721))"),"P24SJ-0720")</f>
        <v>P24SJ-0720</v>
      </c>
      <c r="H721" s="6" t="s">
        <v>4983</v>
      </c>
      <c r="I721" s="6" t="s">
        <v>4984</v>
      </c>
      <c r="J721" s="6" t="s">
        <v>4985</v>
      </c>
      <c r="K721" s="6" t="s">
        <v>4986</v>
      </c>
      <c r="L721" s="17"/>
      <c r="M721" s="17"/>
      <c r="N721" s="17" t="str">
        <f t="shared" si="2"/>
        <v>OK</v>
      </c>
      <c r="O721" s="17" t="s">
        <v>35</v>
      </c>
      <c r="P721" s="6" t="s">
        <v>35</v>
      </c>
      <c r="Q721" s="17" t="s">
        <v>36</v>
      </c>
      <c r="R721" s="17" t="s">
        <v>4987</v>
      </c>
      <c r="S721" s="173" t="s">
        <v>38</v>
      </c>
      <c r="T721" s="11" t="s">
        <v>4411</v>
      </c>
      <c r="U721" s="22" t="s">
        <v>4935</v>
      </c>
      <c r="V721" s="22" t="s">
        <v>4935</v>
      </c>
    </row>
    <row r="722" spans="1:22" ht="86.25">
      <c r="A722" s="10" t="s">
        <v>4988</v>
      </c>
      <c r="B722" s="10" t="s">
        <v>4410</v>
      </c>
      <c r="C722" s="19" t="s">
        <v>28</v>
      </c>
      <c r="D722" s="12"/>
      <c r="E722" s="13" t="s">
        <v>184</v>
      </c>
      <c r="F722" s="6" t="s">
        <v>4989</v>
      </c>
      <c r="G722" s="6" t="str">
        <f ca="1">IFERROR(__xludf.DUMMYFUNCTION("CONCATENATE(B722,(VLOOKUP(C722,CATALOGOS!$F$2:$H$6,3,FALSE)),(VLOOKUP(T722,CATALOGOS!$J$2:$K$18,2,FALSE)),""-"",TO_TEXT(A722))"),"P25RM-0721")</f>
        <v>P25RM-0721</v>
      </c>
      <c r="H722" s="6" t="s">
        <v>4990</v>
      </c>
      <c r="I722" s="6" t="s">
        <v>4991</v>
      </c>
      <c r="J722" s="6" t="s">
        <v>4992</v>
      </c>
      <c r="K722" s="43" t="s">
        <v>4993</v>
      </c>
      <c r="L722" s="17"/>
      <c r="M722" s="17"/>
      <c r="N722" s="17" t="str">
        <f t="shared" si="2"/>
        <v>OK</v>
      </c>
      <c r="O722" s="17" t="s">
        <v>35</v>
      </c>
      <c r="P722" s="6" t="s">
        <v>35</v>
      </c>
      <c r="Q722" s="17" t="s">
        <v>36</v>
      </c>
      <c r="R722" s="17" t="s">
        <v>4994</v>
      </c>
      <c r="S722" s="173" t="s">
        <v>38</v>
      </c>
      <c r="T722" s="11" t="s">
        <v>147</v>
      </c>
      <c r="U722" s="20" t="s">
        <v>484</v>
      </c>
      <c r="V722" s="20" t="s">
        <v>484</v>
      </c>
    </row>
    <row r="723" spans="1:22" ht="86.25">
      <c r="A723" s="10" t="s">
        <v>4995</v>
      </c>
      <c r="B723" s="10" t="s">
        <v>4410</v>
      </c>
      <c r="C723" s="19" t="s">
        <v>28</v>
      </c>
      <c r="D723" s="12"/>
      <c r="E723" s="13" t="s">
        <v>184</v>
      </c>
      <c r="F723" s="6" t="s">
        <v>4989</v>
      </c>
      <c r="G723" s="6" t="str">
        <f ca="1">IFERROR(__xludf.DUMMYFUNCTION("CONCATENATE(B723,(VLOOKUP(C723,CATALOGOS!$F$2:$H$6,3,FALSE)),(VLOOKUP(T723,CATALOGOS!$J$2:$K$18,2,FALSE)),""-"",TO_TEXT(A723))"),"P25RM-0722")</f>
        <v>P25RM-0722</v>
      </c>
      <c r="H723" s="6" t="s">
        <v>4996</v>
      </c>
      <c r="I723" s="6" t="s">
        <v>4997</v>
      </c>
      <c r="J723" s="6" t="s">
        <v>4998</v>
      </c>
      <c r="K723" s="43" t="s">
        <v>4999</v>
      </c>
      <c r="L723" s="17"/>
      <c r="M723" s="17"/>
      <c r="N723" s="17" t="str">
        <f t="shared" si="2"/>
        <v>OK</v>
      </c>
      <c r="O723" s="17" t="s">
        <v>35</v>
      </c>
      <c r="P723" s="6" t="s">
        <v>35</v>
      </c>
      <c r="Q723" s="17" t="s">
        <v>36</v>
      </c>
      <c r="R723" s="17" t="s">
        <v>5000</v>
      </c>
      <c r="S723" s="173" t="s">
        <v>38</v>
      </c>
      <c r="T723" s="11" t="s">
        <v>147</v>
      </c>
      <c r="U723" s="20" t="s">
        <v>484</v>
      </c>
      <c r="V723" s="20" t="s">
        <v>484</v>
      </c>
    </row>
    <row r="724" spans="1:22" ht="72">
      <c r="A724" s="10" t="s">
        <v>5001</v>
      </c>
      <c r="B724" s="10" t="s">
        <v>4410</v>
      </c>
      <c r="C724" s="19" t="s">
        <v>4411</v>
      </c>
      <c r="D724" s="12"/>
      <c r="E724" s="13" t="s">
        <v>93</v>
      </c>
      <c r="F724" s="6" t="s">
        <v>1380</v>
      </c>
      <c r="G724" s="6" t="str">
        <f ca="1">IFERROR(__xludf.DUMMYFUNCTION("CONCATENATE(B724,(VLOOKUP(C724,CATALOGOS!$F$2:$H$6,3,FALSE)),(VLOOKUP(T724,CATALOGOS!$J$2:$K$18,2,FALSE)),""-"",TO_TEXT(A724))"),"P24SJ-0723")</f>
        <v>P24SJ-0723</v>
      </c>
      <c r="H724" s="6" t="s">
        <v>5002</v>
      </c>
      <c r="I724" s="54"/>
      <c r="J724" s="6" t="s">
        <v>5003</v>
      </c>
      <c r="K724" s="6" t="s">
        <v>5004</v>
      </c>
      <c r="L724" s="17"/>
      <c r="M724" s="17"/>
      <c r="N724" s="17" t="str">
        <f t="shared" si="2"/>
        <v>OK</v>
      </c>
      <c r="O724" s="17" t="s">
        <v>35</v>
      </c>
      <c r="P724" s="6" t="s">
        <v>35</v>
      </c>
      <c r="Q724" s="17" t="s">
        <v>36</v>
      </c>
      <c r="R724" s="17" t="s">
        <v>5005</v>
      </c>
      <c r="S724" s="173" t="s">
        <v>38</v>
      </c>
      <c r="T724" s="11" t="s">
        <v>4411</v>
      </c>
      <c r="U724" s="22" t="s">
        <v>4935</v>
      </c>
      <c r="V724" s="22" t="s">
        <v>4935</v>
      </c>
    </row>
    <row r="725" spans="1:22" ht="29.25">
      <c r="A725" s="10" t="s">
        <v>5006</v>
      </c>
      <c r="B725" s="10" t="s">
        <v>4410</v>
      </c>
      <c r="C725" s="19" t="s">
        <v>4411</v>
      </c>
      <c r="D725" s="12"/>
      <c r="E725" s="13" t="s">
        <v>29</v>
      </c>
      <c r="F725" s="43" t="s">
        <v>29</v>
      </c>
      <c r="G725" s="6" t="str">
        <f ca="1">IFERROR(__xludf.DUMMYFUNCTION("CONCATENATE(B725,(VLOOKUP(C725,CATALOGOS!$F$2:$H$6,3,FALSE)),(VLOOKUP(T725,CATALOGOS!$J$2:$K$18,2,FALSE)),""-"",TO_TEXT(A725))"),"P24SJ-0724")</f>
        <v>P24SJ-0724</v>
      </c>
      <c r="H725" s="6" t="s">
        <v>5007</v>
      </c>
      <c r="I725" s="54"/>
      <c r="J725" s="6" t="s">
        <v>5008</v>
      </c>
      <c r="K725" s="6" t="s">
        <v>5009</v>
      </c>
      <c r="L725" s="17"/>
      <c r="M725" s="17"/>
      <c r="N725" s="17" t="str">
        <f t="shared" si="2"/>
        <v>OK</v>
      </c>
      <c r="O725" s="17" t="s">
        <v>35</v>
      </c>
      <c r="P725" s="6" t="s">
        <v>35</v>
      </c>
      <c r="Q725" s="17" t="s">
        <v>36</v>
      </c>
      <c r="R725" s="17" t="s">
        <v>85</v>
      </c>
      <c r="S725" s="173" t="s">
        <v>38</v>
      </c>
      <c r="T725" s="11" t="s">
        <v>4411</v>
      </c>
      <c r="U725" s="22" t="s">
        <v>4935</v>
      </c>
      <c r="V725" s="22" t="s">
        <v>4935</v>
      </c>
    </row>
    <row r="726" spans="1:22" ht="86.25">
      <c r="A726" s="10" t="s">
        <v>5010</v>
      </c>
      <c r="B726" s="10" t="s">
        <v>4410</v>
      </c>
      <c r="C726" s="19" t="s">
        <v>4411</v>
      </c>
      <c r="D726" s="12"/>
      <c r="E726" s="13" t="s">
        <v>116</v>
      </c>
      <c r="F726" s="6" t="s">
        <v>5011</v>
      </c>
      <c r="G726" s="6" t="str">
        <f ca="1">IFERROR(__xludf.DUMMYFUNCTION("CONCATENATE(B726,(VLOOKUP(C726,CATALOGOS!$F$2:$H$6,3,FALSE)),(VLOOKUP(T726,CATALOGOS!$J$2:$K$18,2,FALSE)),""-"",TO_TEXT(A726))"),"P24SJ-0725")</f>
        <v>P24SJ-0725</v>
      </c>
      <c r="H726" s="6" t="s">
        <v>5012</v>
      </c>
      <c r="I726" s="6" t="s">
        <v>5013</v>
      </c>
      <c r="J726" s="6" t="s">
        <v>5014</v>
      </c>
      <c r="K726" s="6" t="s">
        <v>5015</v>
      </c>
      <c r="L726" s="17"/>
      <c r="M726" s="17"/>
      <c r="N726" s="17" t="str">
        <f t="shared" si="2"/>
        <v>OK</v>
      </c>
      <c r="O726" s="17" t="s">
        <v>35</v>
      </c>
      <c r="P726" s="6" t="s">
        <v>35</v>
      </c>
      <c r="Q726" s="17" t="s">
        <v>36</v>
      </c>
      <c r="R726" s="17" t="s">
        <v>5016</v>
      </c>
      <c r="S726" s="173" t="s">
        <v>38</v>
      </c>
      <c r="T726" s="11" t="s">
        <v>4411</v>
      </c>
      <c r="U726" s="22" t="s">
        <v>4935</v>
      </c>
      <c r="V726" s="22" t="s">
        <v>4935</v>
      </c>
    </row>
    <row r="727" spans="1:22" ht="72">
      <c r="A727" s="10" t="s">
        <v>5017</v>
      </c>
      <c r="B727" s="10" t="s">
        <v>4410</v>
      </c>
      <c r="C727" s="19" t="s">
        <v>4411</v>
      </c>
      <c r="D727" s="12"/>
      <c r="E727" s="13" t="s">
        <v>116</v>
      </c>
      <c r="F727" s="6" t="s">
        <v>4153</v>
      </c>
      <c r="G727" s="6" t="str">
        <f ca="1">IFERROR(__xludf.DUMMYFUNCTION("CONCATENATE(B727,(VLOOKUP(C727,CATALOGOS!$F$2:$H$6,3,FALSE)),(VLOOKUP(T727,CATALOGOS!$J$2:$K$18,2,FALSE)),""-"",TO_TEXT(A727))"),"P24SJ-0726")</f>
        <v>P24SJ-0726</v>
      </c>
      <c r="H727" s="6" t="s">
        <v>5018</v>
      </c>
      <c r="I727" s="6" t="s">
        <v>5019</v>
      </c>
      <c r="J727" s="6" t="s">
        <v>5020</v>
      </c>
      <c r="K727" s="6" t="s">
        <v>5021</v>
      </c>
      <c r="L727" s="17"/>
      <c r="M727" s="17"/>
      <c r="N727" s="17" t="str">
        <f t="shared" si="2"/>
        <v>OK</v>
      </c>
      <c r="O727" s="17" t="s">
        <v>35</v>
      </c>
      <c r="P727" s="6" t="s">
        <v>35</v>
      </c>
      <c r="Q727" s="17" t="s">
        <v>36</v>
      </c>
      <c r="R727" s="17" t="s">
        <v>5022</v>
      </c>
      <c r="S727" s="173" t="s">
        <v>38</v>
      </c>
      <c r="T727" s="11" t="s">
        <v>4411</v>
      </c>
      <c r="U727" s="22" t="s">
        <v>4935</v>
      </c>
      <c r="V727" s="22" t="s">
        <v>4935</v>
      </c>
    </row>
    <row r="728" spans="1:22" ht="29.25">
      <c r="A728" s="10" t="s">
        <v>5023</v>
      </c>
      <c r="B728" s="10" t="s">
        <v>4410</v>
      </c>
      <c r="C728" s="19" t="s">
        <v>4411</v>
      </c>
      <c r="D728" s="12"/>
      <c r="E728" s="13" t="s">
        <v>162</v>
      </c>
      <c r="F728" s="43" t="s">
        <v>285</v>
      </c>
      <c r="G728" s="6" t="str">
        <f ca="1">IFERROR(__xludf.DUMMYFUNCTION("CONCATENATE(B728,(VLOOKUP(C728,CATALOGOS!$F$2:$H$6,3,FALSE)),(VLOOKUP(T728,CATALOGOS!$J$2:$K$18,2,FALSE)),""-"",TO_TEXT(A728))"),"P24SJ-0727")</f>
        <v>P24SJ-0727</v>
      </c>
      <c r="H728" s="6" t="s">
        <v>5024</v>
      </c>
      <c r="I728" s="6" t="s">
        <v>5025</v>
      </c>
      <c r="J728" s="6" t="s">
        <v>5026</v>
      </c>
      <c r="K728" s="6" t="s">
        <v>5027</v>
      </c>
      <c r="L728" s="17"/>
      <c r="M728" s="17"/>
      <c r="N728" s="17" t="str">
        <f t="shared" si="2"/>
        <v>OK</v>
      </c>
      <c r="O728" s="17" t="s">
        <v>663</v>
      </c>
      <c r="P728" s="6" t="s">
        <v>664</v>
      </c>
      <c r="Q728" s="17" t="s">
        <v>5028</v>
      </c>
      <c r="R728" s="17" t="s">
        <v>5029</v>
      </c>
      <c r="S728" s="173" t="s">
        <v>38</v>
      </c>
      <c r="T728" s="11" t="s">
        <v>4411</v>
      </c>
      <c r="U728" s="22" t="s">
        <v>4935</v>
      </c>
      <c r="V728" s="22" t="s">
        <v>4935</v>
      </c>
    </row>
    <row r="729" spans="1:22" ht="43.5">
      <c r="A729" s="10" t="s">
        <v>5030</v>
      </c>
      <c r="B729" s="10" t="s">
        <v>4410</v>
      </c>
      <c r="C729" s="19" t="s">
        <v>4411</v>
      </c>
      <c r="D729" s="12"/>
      <c r="E729" s="13" t="s">
        <v>151</v>
      </c>
      <c r="F729" s="6" t="s">
        <v>5031</v>
      </c>
      <c r="G729" s="6" t="str">
        <f ca="1">IFERROR(__xludf.DUMMYFUNCTION("CONCATENATE(B729,(VLOOKUP(C729,CATALOGOS!$F$2:$H$6,3,FALSE)),(VLOOKUP(T729,CATALOGOS!$J$2:$K$18,2,FALSE)),""-"",TO_TEXT(A729))"),"P24SJ-0728")</f>
        <v>P24SJ-0728</v>
      </c>
      <c r="H729" s="6" t="s">
        <v>5032</v>
      </c>
      <c r="I729" s="6" t="s">
        <v>5033</v>
      </c>
      <c r="J729" s="6" t="s">
        <v>5034</v>
      </c>
      <c r="K729" s="6" t="s">
        <v>5035</v>
      </c>
      <c r="L729" s="17"/>
      <c r="M729" s="17"/>
      <c r="N729" s="17" t="str">
        <f t="shared" si="2"/>
        <v>OK</v>
      </c>
      <c r="O729" s="17" t="s">
        <v>5036</v>
      </c>
      <c r="P729" s="6" t="s">
        <v>5037</v>
      </c>
      <c r="Q729" s="17" t="s">
        <v>5038</v>
      </c>
      <c r="R729" s="10" t="s">
        <v>5039</v>
      </c>
      <c r="S729" s="173" t="s">
        <v>38</v>
      </c>
      <c r="T729" s="11" t="s">
        <v>4411</v>
      </c>
      <c r="U729" s="22" t="s">
        <v>4935</v>
      </c>
      <c r="V729" s="22" t="s">
        <v>4935</v>
      </c>
    </row>
    <row r="730" spans="1:22" ht="57.75">
      <c r="A730" s="10" t="s">
        <v>5042</v>
      </c>
      <c r="B730" s="10" t="s">
        <v>4410</v>
      </c>
      <c r="C730" s="19" t="s">
        <v>4411</v>
      </c>
      <c r="D730" s="12"/>
      <c r="E730" s="13" t="s">
        <v>199</v>
      </c>
      <c r="F730" s="6" t="s">
        <v>199</v>
      </c>
      <c r="G730" s="6" t="str">
        <f ca="1">IFERROR(__xludf.DUMMYFUNCTION("CONCATENATE(B730,(VLOOKUP(C730,CATALOGOS!$F$2:$H$6,3,FALSE)),(VLOOKUP(T730,CATALOGOS!$J$2:$K$18,2,FALSE)),""-"",TO_TEXT(A730))"),"P24SJ-0729")</f>
        <v>P24SJ-0729</v>
      </c>
      <c r="H730" s="6" t="s">
        <v>5043</v>
      </c>
      <c r="I730" s="6" t="s">
        <v>5044</v>
      </c>
      <c r="J730" s="6" t="s">
        <v>5045</v>
      </c>
      <c r="K730" s="6" t="s">
        <v>5046</v>
      </c>
      <c r="L730" s="17"/>
      <c r="M730" s="17"/>
      <c r="N730" s="17" t="str">
        <f t="shared" si="2"/>
        <v>OK</v>
      </c>
      <c r="O730" s="17" t="s">
        <v>205</v>
      </c>
      <c r="P730" s="6" t="s">
        <v>5047</v>
      </c>
      <c r="Q730" s="17" t="s">
        <v>5048</v>
      </c>
      <c r="R730" s="17" t="s">
        <v>5049</v>
      </c>
      <c r="S730" s="173" t="s">
        <v>38</v>
      </c>
      <c r="T730" s="11" t="s">
        <v>4411</v>
      </c>
      <c r="U730" s="22" t="s">
        <v>4935</v>
      </c>
      <c r="V730" s="22" t="s">
        <v>4935</v>
      </c>
    </row>
    <row r="731" spans="1:22" ht="43.5">
      <c r="A731" s="10" t="s">
        <v>5050</v>
      </c>
      <c r="B731" s="10" t="s">
        <v>4410</v>
      </c>
      <c r="C731" s="19" t="s">
        <v>4411</v>
      </c>
      <c r="D731" s="12"/>
      <c r="E731" s="13" t="s">
        <v>210</v>
      </c>
      <c r="F731" s="43" t="s">
        <v>5051</v>
      </c>
      <c r="G731" s="6" t="str">
        <f ca="1">IFERROR(__xludf.DUMMYFUNCTION("CONCATENATE(B731,(VLOOKUP(C731,CATALOGOS!$F$2:$H$6,3,FALSE)),(VLOOKUP(T731,CATALOGOS!$J$2:$K$18,2,FALSE)),""-"",TO_TEXT(A731))"),"P24SJ-0730")</f>
        <v>P24SJ-0730</v>
      </c>
      <c r="H731" s="6" t="s">
        <v>5052</v>
      </c>
      <c r="I731" s="6" t="s">
        <v>5053</v>
      </c>
      <c r="J731" s="6" t="s">
        <v>5054</v>
      </c>
      <c r="K731" s="6" t="s">
        <v>5055</v>
      </c>
      <c r="L731" s="17"/>
      <c r="M731" s="17"/>
      <c r="N731" s="17" t="str">
        <f t="shared" si="2"/>
        <v>OK</v>
      </c>
      <c r="O731" s="17" t="s">
        <v>216</v>
      </c>
      <c r="P731" s="6" t="s">
        <v>5056</v>
      </c>
      <c r="Q731" s="17" t="s">
        <v>5057</v>
      </c>
      <c r="R731" s="10" t="s">
        <v>5058</v>
      </c>
      <c r="S731" s="173" t="s">
        <v>38</v>
      </c>
      <c r="T731" s="11" t="s">
        <v>4411</v>
      </c>
      <c r="U731" s="22" t="s">
        <v>4935</v>
      </c>
      <c r="V731" s="22" t="s">
        <v>4935</v>
      </c>
    </row>
    <row r="732" spans="1:22" ht="29.25">
      <c r="A732" s="10" t="s">
        <v>5059</v>
      </c>
      <c r="B732" s="10" t="s">
        <v>4410</v>
      </c>
      <c r="C732" s="19" t="s">
        <v>4411</v>
      </c>
      <c r="D732" s="12"/>
      <c r="E732" s="13" t="s">
        <v>248</v>
      </c>
      <c r="F732" s="43" t="s">
        <v>248</v>
      </c>
      <c r="G732" s="6" t="str">
        <f ca="1">IFERROR(__xludf.DUMMYFUNCTION("CONCATENATE(B732,(VLOOKUP(C732,CATALOGOS!$F$2:$H$6,3,FALSE)),(VLOOKUP(T732,CATALOGOS!$J$2:$K$18,2,FALSE)),""-"",TO_TEXT(A732))"),"P24SJ-0731")</f>
        <v>P24SJ-0731</v>
      </c>
      <c r="H732" s="6" t="s">
        <v>5060</v>
      </c>
      <c r="I732" s="6" t="s">
        <v>5061</v>
      </c>
      <c r="J732" s="6" t="s">
        <v>5062</v>
      </c>
      <c r="K732" s="6" t="s">
        <v>5063</v>
      </c>
      <c r="L732" s="17"/>
      <c r="M732" s="17"/>
      <c r="N732" s="17" t="str">
        <f t="shared" si="2"/>
        <v>OK</v>
      </c>
      <c r="O732" s="17" t="s">
        <v>978</v>
      </c>
      <c r="P732" s="6" t="s">
        <v>979</v>
      </c>
      <c r="Q732" s="17" t="s">
        <v>5064</v>
      </c>
      <c r="R732" s="17" t="s">
        <v>5065</v>
      </c>
      <c r="S732" s="173" t="s">
        <v>38</v>
      </c>
      <c r="T732" s="11" t="s">
        <v>4411</v>
      </c>
      <c r="U732" s="22" t="s">
        <v>4935</v>
      </c>
      <c r="V732" s="22" t="s">
        <v>4935</v>
      </c>
    </row>
    <row r="733" spans="1:22" ht="57.75">
      <c r="A733" s="10" t="s">
        <v>5066</v>
      </c>
      <c r="B733" s="10" t="s">
        <v>4410</v>
      </c>
      <c r="C733" s="19" t="s">
        <v>4411</v>
      </c>
      <c r="D733" s="38"/>
      <c r="E733" s="13" t="s">
        <v>184</v>
      </c>
      <c r="F733" s="43" t="s">
        <v>927</v>
      </c>
      <c r="G733" s="6" t="str">
        <f ca="1">IFERROR(__xludf.DUMMYFUNCTION("CONCATENATE(B733,(VLOOKUP(C733,CATALOGOS!$F$2:$H$6,3,FALSE)),(VLOOKUP(T733,CATALOGOS!$J$2:$K$18,2,FALSE)),""-"",TO_TEXT(A733))"),"P24SJ-0732")</f>
        <v>P24SJ-0732</v>
      </c>
      <c r="H733" s="6" t="s">
        <v>5067</v>
      </c>
      <c r="I733" s="6" t="s">
        <v>5068</v>
      </c>
      <c r="J733" s="6" t="s">
        <v>5069</v>
      </c>
      <c r="K733" s="43" t="s">
        <v>5070</v>
      </c>
      <c r="L733" s="17"/>
      <c r="M733" s="17"/>
      <c r="N733" s="17" t="str">
        <f t="shared" si="2"/>
        <v>OK</v>
      </c>
      <c r="O733" s="17" t="s">
        <v>35</v>
      </c>
      <c r="P733" s="6" t="s">
        <v>35</v>
      </c>
      <c r="Q733" s="46" t="s">
        <v>36</v>
      </c>
      <c r="R733" s="17" t="s">
        <v>5071</v>
      </c>
      <c r="S733" s="173" t="s">
        <v>549</v>
      </c>
      <c r="T733" s="11" t="s">
        <v>4411</v>
      </c>
      <c r="U733" s="22" t="s">
        <v>4935</v>
      </c>
      <c r="V733" s="22" t="s">
        <v>4935</v>
      </c>
    </row>
    <row r="734" spans="1:22" ht="72">
      <c r="A734" s="10" t="s">
        <v>5073</v>
      </c>
      <c r="B734" s="10" t="s">
        <v>4410</v>
      </c>
      <c r="C734" s="19" t="s">
        <v>4411</v>
      </c>
      <c r="D734" s="12"/>
      <c r="E734" s="13" t="s">
        <v>93</v>
      </c>
      <c r="F734" s="6" t="s">
        <v>3710</v>
      </c>
      <c r="G734" s="6" t="str">
        <f ca="1">IFERROR(__xludf.DUMMYFUNCTION("CONCATENATE(B734,(VLOOKUP(C734,CATALOGOS!$F$2:$H$6,3,FALSE)),(VLOOKUP(T734,CATALOGOS!$J$2:$K$18,2,FALSE)),""-"",TO_TEXT(A734))"),"P24SJ-0733")</f>
        <v>P24SJ-0733</v>
      </c>
      <c r="H734" s="6" t="s">
        <v>5074</v>
      </c>
      <c r="I734" s="6" t="s">
        <v>5075</v>
      </c>
      <c r="J734" s="6" t="s">
        <v>5076</v>
      </c>
      <c r="K734" s="6" t="s">
        <v>5077</v>
      </c>
      <c r="L734" s="17"/>
      <c r="M734" s="17"/>
      <c r="N734" s="17" t="str">
        <f t="shared" si="2"/>
        <v>OK</v>
      </c>
      <c r="O734" s="17" t="s">
        <v>35</v>
      </c>
      <c r="P734" s="6" t="s">
        <v>35</v>
      </c>
      <c r="Q734" s="17" t="s">
        <v>36</v>
      </c>
      <c r="R734" s="17" t="s">
        <v>5078</v>
      </c>
      <c r="S734" s="173" t="s">
        <v>38</v>
      </c>
      <c r="T734" s="11" t="s">
        <v>4411</v>
      </c>
      <c r="U734" s="22" t="s">
        <v>5079</v>
      </c>
      <c r="V734" s="22" t="s">
        <v>5079</v>
      </c>
    </row>
    <row r="735" spans="1:22" ht="86.25">
      <c r="A735" s="10" t="s">
        <v>5081</v>
      </c>
      <c r="B735" s="10" t="s">
        <v>4410</v>
      </c>
      <c r="C735" s="19" t="s">
        <v>4411</v>
      </c>
      <c r="D735" s="12"/>
      <c r="E735" s="13" t="s">
        <v>466</v>
      </c>
      <c r="F735" s="6" t="s">
        <v>5082</v>
      </c>
      <c r="G735" s="6" t="str">
        <f ca="1">IFERROR(__xludf.DUMMYFUNCTION("CONCATENATE(B735,(VLOOKUP(C735,CATALOGOS!$F$2:$H$6,3,FALSE)),(VLOOKUP(T735,CATALOGOS!$J$2:$K$18,2,FALSE)),""-"",TO_TEXT(A735))"),"P24SJ-0734")</f>
        <v>P24SJ-0734</v>
      </c>
      <c r="H735" s="6" t="s">
        <v>5083</v>
      </c>
      <c r="I735" s="6" t="s">
        <v>5084</v>
      </c>
      <c r="J735" s="6" t="s">
        <v>5085</v>
      </c>
      <c r="K735" s="6" t="s">
        <v>5086</v>
      </c>
      <c r="L735" s="17"/>
      <c r="M735" s="17"/>
      <c r="N735" s="17" t="str">
        <f t="shared" si="2"/>
        <v>OK</v>
      </c>
      <c r="O735" s="17" t="s">
        <v>35</v>
      </c>
      <c r="P735" s="6" t="s">
        <v>35</v>
      </c>
      <c r="Q735" s="17" t="s">
        <v>36</v>
      </c>
      <c r="R735" s="17" t="s">
        <v>5087</v>
      </c>
      <c r="S735" s="173" t="s">
        <v>38</v>
      </c>
      <c r="T735" s="11" t="s">
        <v>4411</v>
      </c>
      <c r="U735" s="22" t="s">
        <v>5079</v>
      </c>
      <c r="V735" s="22" t="s">
        <v>5079</v>
      </c>
    </row>
    <row r="736" spans="1:22" ht="86.25">
      <c r="A736" s="10" t="s">
        <v>5088</v>
      </c>
      <c r="B736" s="10" t="s">
        <v>4410</v>
      </c>
      <c r="C736" s="19" t="s">
        <v>4411</v>
      </c>
      <c r="D736" s="12"/>
      <c r="E736" s="13" t="s">
        <v>466</v>
      </c>
      <c r="F736" s="6" t="s">
        <v>5082</v>
      </c>
      <c r="G736" s="6" t="str">
        <f ca="1">IFERROR(__xludf.DUMMYFUNCTION("CONCATENATE(B736,(VLOOKUP(C736,CATALOGOS!$F$2:$H$6,3,FALSE)),(VLOOKUP(T736,CATALOGOS!$J$2:$K$18,2,FALSE)),""-"",TO_TEXT(A736))"),"P24SJ-0735")</f>
        <v>P24SJ-0735</v>
      </c>
      <c r="H736" s="6" t="s">
        <v>5089</v>
      </c>
      <c r="I736" s="6" t="s">
        <v>5090</v>
      </c>
      <c r="J736" s="6" t="s">
        <v>5091</v>
      </c>
      <c r="K736" s="6" t="s">
        <v>5092</v>
      </c>
      <c r="L736" s="17"/>
      <c r="M736" s="17"/>
      <c r="N736" s="17" t="str">
        <f t="shared" si="2"/>
        <v>OK</v>
      </c>
      <c r="O736" s="17" t="s">
        <v>35</v>
      </c>
      <c r="P736" s="6" t="s">
        <v>35</v>
      </c>
      <c r="Q736" s="17" t="s">
        <v>36</v>
      </c>
      <c r="R736" s="17" t="s">
        <v>5093</v>
      </c>
      <c r="S736" s="173" t="s">
        <v>38</v>
      </c>
      <c r="T736" s="11" t="s">
        <v>4411</v>
      </c>
      <c r="U736" s="22" t="s">
        <v>5079</v>
      </c>
      <c r="V736" s="22" t="s">
        <v>5079</v>
      </c>
    </row>
    <row r="737" spans="1:22" ht="86.25">
      <c r="A737" s="10" t="s">
        <v>5094</v>
      </c>
      <c r="B737" s="10" t="s">
        <v>4410</v>
      </c>
      <c r="C737" s="19" t="s">
        <v>4411</v>
      </c>
      <c r="D737" s="12"/>
      <c r="E737" s="13" t="s">
        <v>184</v>
      </c>
      <c r="F737" s="6" t="s">
        <v>4989</v>
      </c>
      <c r="G737" s="6" t="str">
        <f ca="1">IFERROR(__xludf.DUMMYFUNCTION("CONCATENATE(B737,(VLOOKUP(C737,CATALOGOS!$F$2:$H$6,3,FALSE)),(VLOOKUP(T737,CATALOGOS!$J$2:$K$18,2,FALSE)),""-"",TO_TEXT(A737))"),"P24SJ-0736")</f>
        <v>P24SJ-0736</v>
      </c>
      <c r="H737" s="6" t="s">
        <v>5095</v>
      </c>
      <c r="I737" s="6" t="s">
        <v>5096</v>
      </c>
      <c r="J737" s="6" t="s">
        <v>5097</v>
      </c>
      <c r="K737" s="43" t="s">
        <v>5098</v>
      </c>
      <c r="L737" s="17"/>
      <c r="M737" s="17"/>
      <c r="N737" s="17" t="str">
        <f t="shared" si="2"/>
        <v>OK</v>
      </c>
      <c r="O737" s="17" t="s">
        <v>35</v>
      </c>
      <c r="P737" s="6" t="s">
        <v>35</v>
      </c>
      <c r="Q737" s="17" t="s">
        <v>36</v>
      </c>
      <c r="R737" s="17" t="s">
        <v>5099</v>
      </c>
      <c r="S737" s="173" t="s">
        <v>38</v>
      </c>
      <c r="T737" s="11" t="s">
        <v>4411</v>
      </c>
      <c r="U737" s="22" t="s">
        <v>5079</v>
      </c>
      <c r="V737" s="22" t="s">
        <v>5079</v>
      </c>
    </row>
    <row r="738" spans="1:22" ht="86.25">
      <c r="A738" s="10" t="s">
        <v>5100</v>
      </c>
      <c r="B738" s="10" t="s">
        <v>4410</v>
      </c>
      <c r="C738" s="19" t="s">
        <v>4411</v>
      </c>
      <c r="D738" s="12"/>
      <c r="E738" s="13" t="s">
        <v>184</v>
      </c>
      <c r="F738" s="6" t="s">
        <v>4989</v>
      </c>
      <c r="G738" s="6" t="str">
        <f ca="1">IFERROR(__xludf.DUMMYFUNCTION("CONCATENATE(B738,(VLOOKUP(C738,CATALOGOS!$F$2:$H$6,3,FALSE)),(VLOOKUP(T738,CATALOGOS!$J$2:$K$18,2,FALSE)),""-"",TO_TEXT(A738))"),"P24SJ-0737")</f>
        <v>P24SJ-0737</v>
      </c>
      <c r="H738" s="6" t="s">
        <v>5101</v>
      </c>
      <c r="I738" s="6" t="s">
        <v>5102</v>
      </c>
      <c r="J738" s="6" t="s">
        <v>5103</v>
      </c>
      <c r="K738" s="6" t="s">
        <v>5104</v>
      </c>
      <c r="L738" s="17"/>
      <c r="M738" s="17"/>
      <c r="N738" s="17" t="str">
        <f t="shared" si="2"/>
        <v>OK</v>
      </c>
      <c r="O738" s="17" t="s">
        <v>35</v>
      </c>
      <c r="P738" s="6" t="s">
        <v>35</v>
      </c>
      <c r="Q738" s="17" t="s">
        <v>36</v>
      </c>
      <c r="R738" s="17" t="s">
        <v>5105</v>
      </c>
      <c r="S738" s="173" t="s">
        <v>38</v>
      </c>
      <c r="T738" s="11" t="s">
        <v>4411</v>
      </c>
      <c r="U738" s="22" t="s">
        <v>5079</v>
      </c>
      <c r="V738" s="22" t="s">
        <v>5079</v>
      </c>
    </row>
    <row r="739" spans="1:22" ht="86.25">
      <c r="A739" s="10" t="s">
        <v>5106</v>
      </c>
      <c r="B739" s="10" t="s">
        <v>4410</v>
      </c>
      <c r="C739" s="19" t="s">
        <v>4411</v>
      </c>
      <c r="D739" s="12"/>
      <c r="E739" s="13" t="s">
        <v>466</v>
      </c>
      <c r="F739" s="6" t="s">
        <v>5082</v>
      </c>
      <c r="G739" s="6" t="str">
        <f ca="1">IFERROR(__xludf.DUMMYFUNCTION("CONCATENATE(B739,(VLOOKUP(C739,CATALOGOS!$F$2:$H$6,3,FALSE)),(VLOOKUP(T739,CATALOGOS!$J$2:$K$18,2,FALSE)),""-"",TO_TEXT(A739))"),"P24SJ-0738")</f>
        <v>P24SJ-0738</v>
      </c>
      <c r="H739" s="6" t="s">
        <v>5107</v>
      </c>
      <c r="I739" s="6" t="s">
        <v>5108</v>
      </c>
      <c r="J739" s="6" t="s">
        <v>5109</v>
      </c>
      <c r="K739" s="6" t="s">
        <v>5110</v>
      </c>
      <c r="L739" s="17"/>
      <c r="M739" s="17"/>
      <c r="N739" s="17" t="str">
        <f t="shared" si="2"/>
        <v>OK</v>
      </c>
      <c r="O739" s="17" t="s">
        <v>35</v>
      </c>
      <c r="P739" s="6" t="s">
        <v>35</v>
      </c>
      <c r="Q739" s="17" t="s">
        <v>36</v>
      </c>
      <c r="R739" s="17" t="s">
        <v>5111</v>
      </c>
      <c r="S739" s="173" t="s">
        <v>38</v>
      </c>
      <c r="T739" s="11" t="s">
        <v>4411</v>
      </c>
      <c r="U739" s="22" t="s">
        <v>5079</v>
      </c>
      <c r="V739" s="22" t="s">
        <v>5079</v>
      </c>
    </row>
    <row r="740" spans="1:22" ht="43.5">
      <c r="A740" s="10" t="s">
        <v>5112</v>
      </c>
      <c r="B740" s="10" t="s">
        <v>4410</v>
      </c>
      <c r="C740" s="19" t="s">
        <v>4411</v>
      </c>
      <c r="D740" s="12"/>
      <c r="E740" s="13" t="s">
        <v>43</v>
      </c>
      <c r="F740" s="6" t="s">
        <v>1492</v>
      </c>
      <c r="G740" s="6" t="str">
        <f ca="1">IFERROR(__xludf.DUMMYFUNCTION("CONCATENATE(B740,(VLOOKUP(C740,CATALOGOS!$F$2:$H$6,3,FALSE)),(VLOOKUP(T740,CATALOGOS!$J$2:$K$18,2,FALSE)),""-"",TO_TEXT(A740))"),"P24SJ-0739")</f>
        <v>P24SJ-0739</v>
      </c>
      <c r="H740" s="6" t="s">
        <v>5113</v>
      </c>
      <c r="I740" s="6" t="s">
        <v>5114</v>
      </c>
      <c r="J740" s="6" t="s">
        <v>5115</v>
      </c>
      <c r="K740" s="6" t="s">
        <v>5116</v>
      </c>
      <c r="L740" s="17"/>
      <c r="M740" s="17"/>
      <c r="N740" s="17" t="str">
        <f t="shared" si="2"/>
        <v>OK</v>
      </c>
      <c r="O740" s="17" t="s">
        <v>406</v>
      </c>
      <c r="P740" s="6" t="s">
        <v>407</v>
      </c>
      <c r="Q740" s="17" t="s">
        <v>36</v>
      </c>
      <c r="R740" s="17" t="s">
        <v>5117</v>
      </c>
      <c r="S740" s="173" t="s">
        <v>38</v>
      </c>
      <c r="T740" s="19" t="s">
        <v>4411</v>
      </c>
      <c r="U740" s="22" t="s">
        <v>5079</v>
      </c>
      <c r="V740" s="22" t="s">
        <v>5079</v>
      </c>
    </row>
    <row r="741" spans="1:22" ht="86.25">
      <c r="A741" s="10" t="s">
        <v>5118</v>
      </c>
      <c r="B741" s="10" t="s">
        <v>4410</v>
      </c>
      <c r="C741" s="19" t="s">
        <v>4411</v>
      </c>
      <c r="D741" s="12"/>
      <c r="E741" s="13" t="s">
        <v>93</v>
      </c>
      <c r="F741" s="6" t="s">
        <v>5119</v>
      </c>
      <c r="G741" s="6" t="str">
        <f ca="1">IFERROR(__xludf.DUMMYFUNCTION("CONCATENATE(B741,(VLOOKUP(C741,CATALOGOS!$F$2:$H$6,3,FALSE)),(VLOOKUP(T741,CATALOGOS!$J$2:$K$18,2,FALSE)),""-"",TO_TEXT(A741))"),"P24SJ-0740")</f>
        <v>P24SJ-0740</v>
      </c>
      <c r="H741" s="6" t="s">
        <v>5120</v>
      </c>
      <c r="I741" s="6" t="s">
        <v>5121</v>
      </c>
      <c r="J741" s="6" t="s">
        <v>5122</v>
      </c>
      <c r="K741" s="6" t="s">
        <v>5123</v>
      </c>
      <c r="L741" s="17"/>
      <c r="M741" s="17"/>
      <c r="N741" s="17" t="str">
        <f t="shared" si="2"/>
        <v>OK</v>
      </c>
      <c r="O741" s="17" t="s">
        <v>35</v>
      </c>
      <c r="P741" s="6" t="s">
        <v>35</v>
      </c>
      <c r="Q741" s="17" t="s">
        <v>36</v>
      </c>
      <c r="R741" s="17" t="s">
        <v>5124</v>
      </c>
      <c r="S741" s="173" t="s">
        <v>38</v>
      </c>
      <c r="T741" s="11" t="s">
        <v>4411</v>
      </c>
      <c r="U741" s="22" t="s">
        <v>5079</v>
      </c>
      <c r="V741" s="22" t="s">
        <v>5079</v>
      </c>
    </row>
    <row r="742" spans="1:22" ht="86.25">
      <c r="A742" s="10" t="s">
        <v>5125</v>
      </c>
      <c r="B742" s="10" t="s">
        <v>4410</v>
      </c>
      <c r="C742" s="19" t="s">
        <v>4411</v>
      </c>
      <c r="D742" s="38"/>
      <c r="E742" s="13" t="s">
        <v>62</v>
      </c>
      <c r="F742" s="6" t="s">
        <v>5126</v>
      </c>
      <c r="G742" s="6" t="str">
        <f ca="1">IFERROR(__xludf.DUMMYFUNCTION("CONCATENATE(B742,(VLOOKUP(C742,CATALOGOS!$F$2:$H$6,3,FALSE)),(VLOOKUP(T742,CATALOGOS!$J$2:$K$18,2,FALSE)),""-"",TO_TEXT(A742))"),"P24SJ-0741")</f>
        <v>P24SJ-0741</v>
      </c>
      <c r="H742" s="6" t="s">
        <v>5127</v>
      </c>
      <c r="I742" s="6" t="s">
        <v>5128</v>
      </c>
      <c r="J742" s="6" t="s">
        <v>5129</v>
      </c>
      <c r="K742" s="6" t="s">
        <v>5130</v>
      </c>
      <c r="L742" s="17"/>
      <c r="M742" s="17"/>
      <c r="N742" s="17" t="str">
        <f t="shared" si="2"/>
        <v>OK</v>
      </c>
      <c r="O742" s="17" t="s">
        <v>35</v>
      </c>
      <c r="P742" s="6" t="s">
        <v>35</v>
      </c>
      <c r="Q742" s="46" t="s">
        <v>36</v>
      </c>
      <c r="R742" s="17" t="s">
        <v>5131</v>
      </c>
      <c r="S742" s="173" t="s">
        <v>38</v>
      </c>
      <c r="T742" s="11" t="s">
        <v>4411</v>
      </c>
      <c r="U742" s="22" t="s">
        <v>5079</v>
      </c>
      <c r="V742" s="22" t="s">
        <v>5079</v>
      </c>
    </row>
    <row r="743" spans="1:22" ht="72">
      <c r="A743" s="10" t="s">
        <v>5133</v>
      </c>
      <c r="B743" s="10" t="s">
        <v>4410</v>
      </c>
      <c r="C743" s="19" t="s">
        <v>4411</v>
      </c>
      <c r="D743" s="12"/>
      <c r="E743" s="13" t="s">
        <v>93</v>
      </c>
      <c r="F743" s="6" t="s">
        <v>1380</v>
      </c>
      <c r="G743" s="6" t="str">
        <f ca="1">IFERROR(__xludf.DUMMYFUNCTION("CONCATENATE(B743,(VLOOKUP(C743,CATALOGOS!$F$2:$H$6,3,FALSE)),(VLOOKUP(T743,CATALOGOS!$J$2:$K$18,2,FALSE)),""-"",TO_TEXT(A743))"),"P24SJ-0742")</f>
        <v>P24SJ-0742</v>
      </c>
      <c r="H743" s="6" t="s">
        <v>5134</v>
      </c>
      <c r="I743" s="6" t="s">
        <v>5135</v>
      </c>
      <c r="J743" s="6" t="s">
        <v>5136</v>
      </c>
      <c r="K743" s="6" t="s">
        <v>5137</v>
      </c>
      <c r="L743" s="17"/>
      <c r="M743" s="17"/>
      <c r="N743" s="17" t="str">
        <f t="shared" si="2"/>
        <v>OK</v>
      </c>
      <c r="O743" s="17" t="s">
        <v>35</v>
      </c>
      <c r="P743" s="6" t="s">
        <v>35</v>
      </c>
      <c r="Q743" s="17" t="s">
        <v>36</v>
      </c>
      <c r="R743" s="17" t="s">
        <v>85</v>
      </c>
      <c r="S743" s="173" t="s">
        <v>38</v>
      </c>
      <c r="T743" s="11" t="s">
        <v>4411</v>
      </c>
      <c r="U743" s="20" t="s">
        <v>5138</v>
      </c>
      <c r="V743" s="20" t="s">
        <v>5138</v>
      </c>
    </row>
    <row r="744" spans="1:22" ht="72">
      <c r="A744" s="10" t="s">
        <v>5139</v>
      </c>
      <c r="B744" s="10" t="s">
        <v>4410</v>
      </c>
      <c r="C744" s="19" t="s">
        <v>4411</v>
      </c>
      <c r="D744" s="12"/>
      <c r="E744" s="13" t="s">
        <v>199</v>
      </c>
      <c r="F744" s="6" t="s">
        <v>677</v>
      </c>
      <c r="G744" s="6" t="str">
        <f ca="1">IFERROR(__xludf.DUMMYFUNCTION("CONCATENATE(B744,(VLOOKUP(C744,CATALOGOS!$F$2:$H$6,3,FALSE)),(VLOOKUP(T744,CATALOGOS!$J$2:$K$18,2,FALSE)),""-"",TO_TEXT(A744))"),"P24SJ-0743")</f>
        <v>P24SJ-0743</v>
      </c>
      <c r="H744" s="6" t="s">
        <v>5140</v>
      </c>
      <c r="I744" s="6" t="s">
        <v>5141</v>
      </c>
      <c r="J744" s="6" t="s">
        <v>5142</v>
      </c>
      <c r="K744" s="6" t="s">
        <v>5143</v>
      </c>
      <c r="L744" s="17"/>
      <c r="M744" s="17"/>
      <c r="N744" s="17" t="str">
        <f t="shared" si="2"/>
        <v>OK</v>
      </c>
      <c r="O744" s="17" t="s">
        <v>682</v>
      </c>
      <c r="P744" s="6" t="s">
        <v>5144</v>
      </c>
      <c r="Q744" s="17" t="s">
        <v>5145</v>
      </c>
      <c r="R744" s="17" t="s">
        <v>85</v>
      </c>
      <c r="S744" s="173" t="s">
        <v>38</v>
      </c>
      <c r="T744" s="11" t="s">
        <v>4411</v>
      </c>
      <c r="U744" s="22" t="s">
        <v>5146</v>
      </c>
      <c r="V744" s="22" t="s">
        <v>5146</v>
      </c>
    </row>
    <row r="745" spans="1:22" ht="57.75">
      <c r="A745" s="10" t="s">
        <v>5147</v>
      </c>
      <c r="B745" s="10" t="s">
        <v>4410</v>
      </c>
      <c r="C745" s="19" t="s">
        <v>4411</v>
      </c>
      <c r="D745" s="38"/>
      <c r="E745" s="13" t="s">
        <v>378</v>
      </c>
      <c r="F745" s="43" t="s">
        <v>379</v>
      </c>
      <c r="G745" s="6" t="str">
        <f ca="1">IFERROR(__xludf.DUMMYFUNCTION("CONCATENATE(B745,(VLOOKUP(C745,CATALOGOS!$F$2:$H$6,3,FALSE)),(VLOOKUP(T745,CATALOGOS!$J$2:$K$18,2,FALSE)),""-"",TO_TEXT(A745))"),"P24SJ-0744")</f>
        <v>P24SJ-0744</v>
      </c>
      <c r="H745" s="6" t="s">
        <v>5148</v>
      </c>
      <c r="I745" s="6" t="s">
        <v>5149</v>
      </c>
      <c r="J745" s="6" t="s">
        <v>5150</v>
      </c>
      <c r="K745" s="6" t="s">
        <v>5151</v>
      </c>
      <c r="L745" s="17"/>
      <c r="M745" s="17"/>
      <c r="N745" s="17" t="str">
        <f t="shared" si="2"/>
        <v>OK</v>
      </c>
      <c r="O745" s="17" t="s">
        <v>35</v>
      </c>
      <c r="P745" s="6" t="s">
        <v>35</v>
      </c>
      <c r="Q745" s="46" t="s">
        <v>36</v>
      </c>
      <c r="R745" s="17" t="s">
        <v>5152</v>
      </c>
      <c r="S745" s="173" t="s">
        <v>38</v>
      </c>
      <c r="T745" s="11" t="s">
        <v>4411</v>
      </c>
      <c r="U745" s="22" t="s">
        <v>5146</v>
      </c>
      <c r="V745" s="22" t="s">
        <v>5146</v>
      </c>
    </row>
    <row r="746" spans="1:22" ht="72">
      <c r="A746" s="10" t="s">
        <v>5153</v>
      </c>
      <c r="B746" s="10" t="s">
        <v>4410</v>
      </c>
      <c r="C746" s="19" t="s">
        <v>4411</v>
      </c>
      <c r="D746" s="12"/>
      <c r="E746" s="13" t="s">
        <v>93</v>
      </c>
      <c r="F746" s="6" t="s">
        <v>1380</v>
      </c>
      <c r="G746" s="6" t="str">
        <f ca="1">IFERROR(__xludf.DUMMYFUNCTION("CONCATENATE(B746,(VLOOKUP(C746,CATALOGOS!$F$2:$H$6,3,FALSE)),(VLOOKUP(T746,CATALOGOS!$J$2:$K$18,2,FALSE)),""-"",TO_TEXT(A746))"),"P24SJ-0745")</f>
        <v>P24SJ-0745</v>
      </c>
      <c r="H746" s="6" t="s">
        <v>5154</v>
      </c>
      <c r="I746" s="6" t="s">
        <v>5155</v>
      </c>
      <c r="J746" s="6" t="s">
        <v>5156</v>
      </c>
      <c r="K746" s="6" t="s">
        <v>5157</v>
      </c>
      <c r="L746" s="17"/>
      <c r="M746" s="17"/>
      <c r="N746" s="17" t="str">
        <f t="shared" si="2"/>
        <v>OK</v>
      </c>
      <c r="O746" s="17" t="s">
        <v>35</v>
      </c>
      <c r="P746" s="6" t="s">
        <v>35</v>
      </c>
      <c r="Q746" s="17" t="s">
        <v>36</v>
      </c>
      <c r="R746" s="17" t="s">
        <v>5158</v>
      </c>
      <c r="S746" s="173" t="s">
        <v>38</v>
      </c>
      <c r="T746" s="11" t="s">
        <v>4411</v>
      </c>
      <c r="U746" s="22" t="s">
        <v>5138</v>
      </c>
      <c r="V746" s="22" t="s">
        <v>5138</v>
      </c>
    </row>
    <row r="747" spans="1:22" ht="43.5">
      <c r="A747" s="10" t="s">
        <v>5159</v>
      </c>
      <c r="B747" s="10" t="s">
        <v>4410</v>
      </c>
      <c r="C747" s="19" t="s">
        <v>4411</v>
      </c>
      <c r="D747" s="12"/>
      <c r="E747" s="13" t="s">
        <v>93</v>
      </c>
      <c r="F747" s="43" t="s">
        <v>5160</v>
      </c>
      <c r="G747" s="6" t="str">
        <f ca="1">IFERROR(__xludf.DUMMYFUNCTION("CONCATENATE(B747,(VLOOKUP(C747,CATALOGOS!$F$2:$H$6,3,FALSE)),(VLOOKUP(T747,CATALOGOS!$J$2:$K$18,2,FALSE)),""-"",TO_TEXT(A747))"),"P24SJ-0746")</f>
        <v>P24SJ-0746</v>
      </c>
      <c r="H747" s="6" t="s">
        <v>5161</v>
      </c>
      <c r="I747" s="6" t="s">
        <v>5162</v>
      </c>
      <c r="J747" s="10" t="s">
        <v>5163</v>
      </c>
      <c r="K747" s="6" t="s">
        <v>5164</v>
      </c>
      <c r="L747" s="17"/>
      <c r="M747" s="17"/>
      <c r="N747" s="17" t="str">
        <f t="shared" si="2"/>
        <v>OK</v>
      </c>
      <c r="O747" s="17" t="s">
        <v>35</v>
      </c>
      <c r="P747" s="6" t="s">
        <v>35</v>
      </c>
      <c r="Q747" s="17" t="s">
        <v>36</v>
      </c>
      <c r="R747" s="17" t="s">
        <v>5165</v>
      </c>
      <c r="S747" s="173" t="s">
        <v>38</v>
      </c>
      <c r="T747" s="11" t="s">
        <v>4411</v>
      </c>
      <c r="U747" s="22" t="s">
        <v>5138</v>
      </c>
      <c r="V747" s="22" t="s">
        <v>5138</v>
      </c>
    </row>
    <row r="748" spans="1:22" ht="57.75">
      <c r="A748" s="10" t="s">
        <v>5166</v>
      </c>
      <c r="B748" s="10" t="s">
        <v>4410</v>
      </c>
      <c r="C748" s="19" t="s">
        <v>4411</v>
      </c>
      <c r="D748" s="12"/>
      <c r="E748" s="13" t="s">
        <v>29</v>
      </c>
      <c r="F748" s="6" t="s">
        <v>5167</v>
      </c>
      <c r="G748" s="6" t="str">
        <f ca="1">IFERROR(__xludf.DUMMYFUNCTION("CONCATENATE(B748,(VLOOKUP(C748,CATALOGOS!$F$2:$H$6,3,FALSE)),(VLOOKUP(T748,CATALOGOS!$J$2:$K$18,2,FALSE)),""-"",TO_TEXT(A748))"),"P24SJ-0747")</f>
        <v>P24SJ-0747</v>
      </c>
      <c r="H748" s="6" t="s">
        <v>5168</v>
      </c>
      <c r="I748" s="6" t="s">
        <v>5169</v>
      </c>
      <c r="J748" s="6" t="s">
        <v>5170</v>
      </c>
      <c r="K748" s="6" t="s">
        <v>5171</v>
      </c>
      <c r="L748" s="17"/>
      <c r="M748" s="17"/>
      <c r="N748" s="17" t="str">
        <f t="shared" si="2"/>
        <v>OK</v>
      </c>
      <c r="O748" s="17" t="s">
        <v>35</v>
      </c>
      <c r="P748" s="6" t="s">
        <v>35</v>
      </c>
      <c r="Q748" s="17" t="s">
        <v>36</v>
      </c>
      <c r="R748" s="17" t="s">
        <v>5172</v>
      </c>
      <c r="S748" s="173" t="s">
        <v>38</v>
      </c>
      <c r="T748" s="11" t="s">
        <v>4411</v>
      </c>
      <c r="U748" s="22" t="s">
        <v>5138</v>
      </c>
      <c r="V748" s="22" t="s">
        <v>5138</v>
      </c>
    </row>
    <row r="749" spans="1:22" ht="29.25">
      <c r="A749" s="10" t="s">
        <v>5173</v>
      </c>
      <c r="B749" s="10" t="s">
        <v>4410</v>
      </c>
      <c r="C749" s="19" t="s">
        <v>4411</v>
      </c>
      <c r="D749" s="12"/>
      <c r="E749" s="13" t="s">
        <v>162</v>
      </c>
      <c r="F749" s="43" t="s">
        <v>285</v>
      </c>
      <c r="G749" s="6" t="str">
        <f ca="1">IFERROR(__xludf.DUMMYFUNCTION("CONCATENATE(B749,(VLOOKUP(C749,CATALOGOS!$F$2:$H$6,3,FALSE)),(VLOOKUP(T749,CATALOGOS!$J$2:$K$18,2,FALSE)),""-"",TO_TEXT(A749))"),"P24SJ-0748")</f>
        <v>P24SJ-0748</v>
      </c>
      <c r="H749" s="6" t="s">
        <v>5174</v>
      </c>
      <c r="I749" s="6" t="s">
        <v>5175</v>
      </c>
      <c r="J749" s="6" t="s">
        <v>5176</v>
      </c>
      <c r="K749" s="6" t="s">
        <v>5177</v>
      </c>
      <c r="L749" s="17"/>
      <c r="M749" s="17"/>
      <c r="N749" s="17" t="str">
        <f t="shared" si="2"/>
        <v>OK</v>
      </c>
      <c r="O749" s="17" t="s">
        <v>663</v>
      </c>
      <c r="P749" s="6" t="s">
        <v>664</v>
      </c>
      <c r="Q749" s="17" t="s">
        <v>5178</v>
      </c>
      <c r="R749" s="10" t="s">
        <v>5179</v>
      </c>
      <c r="S749" s="173" t="s">
        <v>38</v>
      </c>
      <c r="T749" s="11" t="s">
        <v>4411</v>
      </c>
      <c r="U749" s="22" t="s">
        <v>5138</v>
      </c>
      <c r="V749" s="22" t="s">
        <v>5138</v>
      </c>
    </row>
    <row r="750" spans="1:22" ht="29.25">
      <c r="A750" s="10" t="s">
        <v>5180</v>
      </c>
      <c r="B750" s="10" t="s">
        <v>4410</v>
      </c>
      <c r="C750" s="19" t="s">
        <v>4411</v>
      </c>
      <c r="D750" s="12"/>
      <c r="E750" s="13" t="s">
        <v>248</v>
      </c>
      <c r="F750" s="43" t="s">
        <v>249</v>
      </c>
      <c r="G750" s="6" t="str">
        <f ca="1">IFERROR(__xludf.DUMMYFUNCTION("CONCATENATE(B750,(VLOOKUP(C750,CATALOGOS!$F$2:$H$6,3,FALSE)),(VLOOKUP(T750,CATALOGOS!$J$2:$K$18,2,FALSE)),""-"",TO_TEXT(A750))"),"P24SJ-0749")</f>
        <v>P24SJ-0749</v>
      </c>
      <c r="H750" s="6" t="s">
        <v>5181</v>
      </c>
      <c r="I750" s="6" t="s">
        <v>5182</v>
      </c>
      <c r="J750" s="6" t="s">
        <v>5183</v>
      </c>
      <c r="K750" s="6" t="s">
        <v>5184</v>
      </c>
      <c r="L750" s="17"/>
      <c r="M750" s="17"/>
      <c r="N750" s="17" t="str">
        <f t="shared" si="2"/>
        <v>OK</v>
      </c>
      <c r="O750" s="17" t="s">
        <v>978</v>
      </c>
      <c r="P750" s="6" t="s">
        <v>979</v>
      </c>
      <c r="Q750" s="17" t="s">
        <v>5185</v>
      </c>
      <c r="R750" s="17" t="s">
        <v>5186</v>
      </c>
      <c r="S750" s="173" t="s">
        <v>38</v>
      </c>
      <c r="T750" s="11" t="s">
        <v>4411</v>
      </c>
      <c r="U750" s="22" t="s">
        <v>5138</v>
      </c>
      <c r="V750" s="22" t="s">
        <v>5138</v>
      </c>
    </row>
    <row r="751" spans="1:22" ht="43.5">
      <c r="A751" s="10" t="s">
        <v>5187</v>
      </c>
      <c r="B751" s="10" t="s">
        <v>4410</v>
      </c>
      <c r="C751" s="19" t="s">
        <v>4411</v>
      </c>
      <c r="D751" s="12"/>
      <c r="E751" s="13" t="s">
        <v>353</v>
      </c>
      <c r="F751" s="43" t="s">
        <v>354</v>
      </c>
      <c r="G751" s="6" t="str">
        <f ca="1">IFERROR(__xludf.DUMMYFUNCTION("CONCATENATE(B751,(VLOOKUP(C751,CATALOGOS!$F$2:$H$6,3,FALSE)),(VLOOKUP(T751,CATALOGOS!$J$2:$K$18,2,FALSE)),""-"",TO_TEXT(A751))"),"P24SJ-0750")</f>
        <v>P24SJ-0750</v>
      </c>
      <c r="H751" s="6" t="s">
        <v>5188</v>
      </c>
      <c r="I751" s="6" t="s">
        <v>5189</v>
      </c>
      <c r="J751" s="6" t="s">
        <v>5190</v>
      </c>
      <c r="K751" s="6" t="s">
        <v>5191</v>
      </c>
      <c r="L751" s="17"/>
      <c r="M751" s="17"/>
      <c r="N751" s="17" t="str">
        <f t="shared" si="2"/>
        <v>OK</v>
      </c>
      <c r="O751" s="17" t="s">
        <v>827</v>
      </c>
      <c r="P751" s="6" t="s">
        <v>828</v>
      </c>
      <c r="Q751" s="17" t="s">
        <v>5192</v>
      </c>
      <c r="R751" s="10" t="s">
        <v>5193</v>
      </c>
      <c r="S751" s="173" t="s">
        <v>38</v>
      </c>
      <c r="T751" s="11" t="s">
        <v>4411</v>
      </c>
      <c r="U751" s="22" t="s">
        <v>5138</v>
      </c>
      <c r="V751" s="22" t="s">
        <v>5138</v>
      </c>
    </row>
    <row r="752" spans="1:22" ht="72">
      <c r="A752" s="10" t="s">
        <v>5195</v>
      </c>
      <c r="B752" s="10" t="s">
        <v>4410</v>
      </c>
      <c r="C752" s="19" t="s">
        <v>4411</v>
      </c>
      <c r="D752" s="12"/>
      <c r="E752" s="13" t="s">
        <v>116</v>
      </c>
      <c r="F752" s="6" t="s">
        <v>5196</v>
      </c>
      <c r="G752" s="6" t="str">
        <f ca="1">IFERROR(__xludf.DUMMYFUNCTION("CONCATENATE(B752,(VLOOKUP(C752,CATALOGOS!$F$2:$H$6,3,FALSE)),(VLOOKUP(T752,CATALOGOS!$J$2:$K$18,2,FALSE)),""-"",TO_TEXT(A752))"),"P24SJ-0751")</f>
        <v>P24SJ-0751</v>
      </c>
      <c r="H752" s="6" t="s">
        <v>5197</v>
      </c>
      <c r="I752" s="6" t="s">
        <v>5198</v>
      </c>
      <c r="J752" s="6" t="s">
        <v>5199</v>
      </c>
      <c r="K752" s="6" t="s">
        <v>5200</v>
      </c>
      <c r="L752" s="17"/>
      <c r="M752" s="17"/>
      <c r="N752" s="17" t="str">
        <f t="shared" si="2"/>
        <v>OK</v>
      </c>
      <c r="O752" s="17" t="s">
        <v>35</v>
      </c>
      <c r="P752" s="6" t="s">
        <v>35</v>
      </c>
      <c r="Q752" s="17" t="s">
        <v>36</v>
      </c>
      <c r="R752" s="17" t="s">
        <v>5201</v>
      </c>
      <c r="S752" s="179" t="s">
        <v>517</v>
      </c>
      <c r="T752" s="11" t="s">
        <v>4411</v>
      </c>
      <c r="U752" s="22" t="s">
        <v>5138</v>
      </c>
      <c r="V752" s="22" t="s">
        <v>5138</v>
      </c>
    </row>
    <row r="753" spans="1:22" ht="57.75">
      <c r="A753" s="10" t="s">
        <v>5202</v>
      </c>
      <c r="B753" s="10" t="s">
        <v>4410</v>
      </c>
      <c r="C753" s="19" t="s">
        <v>4411</v>
      </c>
      <c r="D753" s="12"/>
      <c r="E753" s="13" t="s">
        <v>378</v>
      </c>
      <c r="F753" s="43" t="s">
        <v>5203</v>
      </c>
      <c r="G753" s="6" t="str">
        <f ca="1">IFERROR(__xludf.DUMMYFUNCTION("CONCATENATE(B753,(VLOOKUP(C753,CATALOGOS!$F$2:$H$6,3,FALSE)),(VLOOKUP(T753,CATALOGOS!$J$2:$K$18,2,FALSE)),""-"",TO_TEXT(A753))"),"P24SJ-0752")</f>
        <v>P24SJ-0752</v>
      </c>
      <c r="H753" s="6" t="s">
        <v>5204</v>
      </c>
      <c r="I753" s="6" t="s">
        <v>5205</v>
      </c>
      <c r="J753" s="6" t="s">
        <v>5206</v>
      </c>
      <c r="K753" s="6" t="s">
        <v>5207</v>
      </c>
      <c r="L753" s="17"/>
      <c r="M753" s="17"/>
      <c r="N753" s="17" t="str">
        <f t="shared" si="2"/>
        <v>OK</v>
      </c>
      <c r="O753" s="17" t="s">
        <v>35</v>
      </c>
      <c r="P753" s="6" t="s">
        <v>35</v>
      </c>
      <c r="Q753" s="17" t="s">
        <v>36</v>
      </c>
      <c r="R753" s="17" t="s">
        <v>5208</v>
      </c>
      <c r="S753" s="173" t="s">
        <v>38</v>
      </c>
      <c r="T753" s="11" t="s">
        <v>4411</v>
      </c>
      <c r="U753" s="22" t="s">
        <v>5138</v>
      </c>
      <c r="V753" s="22" t="s">
        <v>5138</v>
      </c>
    </row>
    <row r="754" spans="1:22" ht="72">
      <c r="A754" s="10" t="s">
        <v>5209</v>
      </c>
      <c r="B754" s="10" t="s">
        <v>4410</v>
      </c>
      <c r="C754" s="19" t="s">
        <v>4411</v>
      </c>
      <c r="D754" s="38"/>
      <c r="E754" s="13" t="s">
        <v>199</v>
      </c>
      <c r="F754" s="6" t="s">
        <v>677</v>
      </c>
      <c r="G754" s="6" t="str">
        <f ca="1">IFERROR(__xludf.DUMMYFUNCTION("CONCATENATE(B754,(VLOOKUP(C754,CATALOGOS!$F$2:$H$6,3,FALSE)),(VLOOKUP(T754,CATALOGOS!$J$2:$K$18,2,FALSE)),""-"",TO_TEXT(A754))"),"P24SJ-0753")</f>
        <v>P24SJ-0753</v>
      </c>
      <c r="H754" s="6" t="s">
        <v>5210</v>
      </c>
      <c r="I754" s="6" t="s">
        <v>5211</v>
      </c>
      <c r="J754" s="6" t="s">
        <v>5212</v>
      </c>
      <c r="K754" s="6" t="s">
        <v>5213</v>
      </c>
      <c r="L754" s="17"/>
      <c r="M754" s="17"/>
      <c r="N754" s="17" t="str">
        <f t="shared" si="2"/>
        <v>OK</v>
      </c>
      <c r="O754" s="17" t="s">
        <v>682</v>
      </c>
      <c r="P754" s="6" t="s">
        <v>5214</v>
      </c>
      <c r="Q754" s="46" t="s">
        <v>5215</v>
      </c>
      <c r="R754" s="32" t="s">
        <v>85</v>
      </c>
      <c r="S754" s="179" t="s">
        <v>517</v>
      </c>
      <c r="T754" s="11" t="s">
        <v>4411</v>
      </c>
      <c r="U754" s="22" t="s">
        <v>5138</v>
      </c>
      <c r="V754" s="22" t="s">
        <v>5138</v>
      </c>
    </row>
    <row r="755" spans="1:22" ht="72">
      <c r="A755" s="10" t="s">
        <v>5216</v>
      </c>
      <c r="B755" s="10" t="s">
        <v>4410</v>
      </c>
      <c r="C755" s="19" t="s">
        <v>4411</v>
      </c>
      <c r="D755" s="12"/>
      <c r="E755" s="13" t="s">
        <v>62</v>
      </c>
      <c r="F755" s="43" t="s">
        <v>5217</v>
      </c>
      <c r="G755" s="6" t="str">
        <f ca="1">IFERROR(__xludf.DUMMYFUNCTION("CONCATENATE(B755,(VLOOKUP(C755,CATALOGOS!$F$2:$H$6,3,FALSE)),(VLOOKUP(T755,CATALOGOS!$J$2:$K$18,2,FALSE)),""-"",TO_TEXT(A755))"),"P24SJ-0754")</f>
        <v>P24SJ-0754</v>
      </c>
      <c r="H755" s="6" t="s">
        <v>5218</v>
      </c>
      <c r="I755" s="6" t="s">
        <v>5219</v>
      </c>
      <c r="J755" s="6" t="s">
        <v>5220</v>
      </c>
      <c r="K755" s="6" t="s">
        <v>5221</v>
      </c>
      <c r="L755" s="17"/>
      <c r="M755" s="17"/>
      <c r="N755" s="17" t="str">
        <f t="shared" si="2"/>
        <v>OK</v>
      </c>
      <c r="O755" s="17" t="s">
        <v>35</v>
      </c>
      <c r="P755" s="6" t="s">
        <v>35</v>
      </c>
      <c r="Q755" s="17" t="s">
        <v>36</v>
      </c>
      <c r="R755" s="17" t="s">
        <v>85</v>
      </c>
      <c r="S755" s="173" t="s">
        <v>38</v>
      </c>
      <c r="T755" s="11" t="s">
        <v>4411</v>
      </c>
      <c r="U755" s="22" t="s">
        <v>5223</v>
      </c>
      <c r="V755" s="22" t="s">
        <v>5223</v>
      </c>
    </row>
    <row r="756" spans="1:22" ht="72">
      <c r="A756" s="10" t="s">
        <v>5224</v>
      </c>
      <c r="B756" s="10" t="s">
        <v>4410</v>
      </c>
      <c r="C756" s="19" t="s">
        <v>4411</v>
      </c>
      <c r="D756" s="12"/>
      <c r="E756" s="13" t="s">
        <v>93</v>
      </c>
      <c r="F756" s="6" t="s">
        <v>5225</v>
      </c>
      <c r="G756" s="6" t="str">
        <f ca="1">IFERROR(__xludf.DUMMYFUNCTION("CONCATENATE(B756,(VLOOKUP(C756,CATALOGOS!$F$2:$H$6,3,FALSE)),(VLOOKUP(T756,CATALOGOS!$J$2:$K$18,2,FALSE)),""-"",TO_TEXT(A756))"),"P24SJ-0755")</f>
        <v>P24SJ-0755</v>
      </c>
      <c r="H756" s="6" t="s">
        <v>5226</v>
      </c>
      <c r="I756" s="6" t="s">
        <v>5227</v>
      </c>
      <c r="J756" s="6" t="s">
        <v>5228</v>
      </c>
      <c r="K756" s="6" t="s">
        <v>5229</v>
      </c>
      <c r="L756" s="17"/>
      <c r="M756" s="17"/>
      <c r="N756" s="17" t="str">
        <f t="shared" si="2"/>
        <v>OK</v>
      </c>
      <c r="O756" s="17" t="s">
        <v>35</v>
      </c>
      <c r="P756" s="6" t="s">
        <v>35</v>
      </c>
      <c r="Q756" s="17" t="s">
        <v>36</v>
      </c>
      <c r="R756" s="17" t="s">
        <v>5230</v>
      </c>
      <c r="S756" s="173" t="s">
        <v>38</v>
      </c>
      <c r="T756" s="11" t="s">
        <v>4411</v>
      </c>
      <c r="U756" s="22" t="s">
        <v>5223</v>
      </c>
      <c r="V756" s="22" t="s">
        <v>5223</v>
      </c>
    </row>
    <row r="757" spans="1:22" ht="43.5">
      <c r="A757" s="10" t="s">
        <v>5231</v>
      </c>
      <c r="B757" s="10" t="s">
        <v>4410</v>
      </c>
      <c r="C757" s="19" t="s">
        <v>4411</v>
      </c>
      <c r="D757" s="12"/>
      <c r="E757" s="13" t="s">
        <v>43</v>
      </c>
      <c r="F757" s="6" t="s">
        <v>5232</v>
      </c>
      <c r="G757" s="6" t="str">
        <f ca="1">IFERROR(__xludf.DUMMYFUNCTION("CONCATENATE(B757,(VLOOKUP(C757,CATALOGOS!$F$2:$H$6,3,FALSE)),(VLOOKUP(T757,CATALOGOS!$J$2:$K$18,2,FALSE)),""-"",TO_TEXT(A757))"),"P24SJ-0756")</f>
        <v>P24SJ-0756</v>
      </c>
      <c r="H757" s="6" t="s">
        <v>5233</v>
      </c>
      <c r="I757" s="6" t="s">
        <v>5234</v>
      </c>
      <c r="J757" s="6" t="s">
        <v>5235</v>
      </c>
      <c r="K757" s="43" t="s">
        <v>5236</v>
      </c>
      <c r="L757" s="17"/>
      <c r="M757" s="17"/>
      <c r="N757" s="17" t="str">
        <f t="shared" si="2"/>
        <v>OK</v>
      </c>
      <c r="O757" s="17" t="s">
        <v>5237</v>
      </c>
      <c r="P757" s="6" t="s">
        <v>5238</v>
      </c>
      <c r="Q757" s="17" t="s">
        <v>36</v>
      </c>
      <c r="R757" s="10" t="s">
        <v>5239</v>
      </c>
      <c r="S757" s="173" t="s">
        <v>38</v>
      </c>
      <c r="T757" s="11" t="s">
        <v>4411</v>
      </c>
      <c r="U757" s="22" t="s">
        <v>5223</v>
      </c>
      <c r="V757" s="22" t="s">
        <v>5223</v>
      </c>
    </row>
    <row r="758" spans="1:22" ht="57.75">
      <c r="A758" s="10" t="s">
        <v>5240</v>
      </c>
      <c r="B758" s="10" t="s">
        <v>4410</v>
      </c>
      <c r="C758" s="19" t="s">
        <v>4411</v>
      </c>
      <c r="D758" s="12"/>
      <c r="E758" s="13" t="s">
        <v>184</v>
      </c>
      <c r="F758" s="6" t="s">
        <v>2677</v>
      </c>
      <c r="G758" s="6" t="str">
        <f ca="1">IFERROR(__xludf.DUMMYFUNCTION("CONCATENATE(B758,(VLOOKUP(C758,CATALOGOS!$F$2:$H$6,3,FALSE)),(VLOOKUP(T758,CATALOGOS!$J$2:$K$18,2,FALSE)),""-"",TO_TEXT(A758))"),"P24SJ-0757")</f>
        <v>P24SJ-0757</v>
      </c>
      <c r="H758" s="6" t="s">
        <v>5241</v>
      </c>
      <c r="I758" s="6" t="s">
        <v>5242</v>
      </c>
      <c r="J758" s="6" t="s">
        <v>5243</v>
      </c>
      <c r="K758" s="6" t="s">
        <v>5244</v>
      </c>
      <c r="L758" s="17"/>
      <c r="M758" s="17"/>
      <c r="N758" s="17" t="str">
        <f t="shared" si="2"/>
        <v>OK</v>
      </c>
      <c r="O758" s="17" t="s">
        <v>35</v>
      </c>
      <c r="P758" s="6" t="s">
        <v>35</v>
      </c>
      <c r="Q758" s="17" t="s">
        <v>36</v>
      </c>
      <c r="R758" s="17" t="s">
        <v>5245</v>
      </c>
      <c r="S758" s="173" t="s">
        <v>100</v>
      </c>
      <c r="T758" s="11" t="s">
        <v>4411</v>
      </c>
      <c r="U758" s="22" t="s">
        <v>5223</v>
      </c>
      <c r="V758" s="22" t="s">
        <v>5223</v>
      </c>
    </row>
    <row r="759" spans="1:22" ht="29.25">
      <c r="A759" s="10" t="s">
        <v>5247</v>
      </c>
      <c r="B759" s="10" t="s">
        <v>4410</v>
      </c>
      <c r="C759" s="19" t="s">
        <v>4411</v>
      </c>
      <c r="D759" s="12"/>
      <c r="E759" s="13" t="s">
        <v>378</v>
      </c>
      <c r="F759" s="43" t="s">
        <v>5248</v>
      </c>
      <c r="G759" s="6" t="str">
        <f ca="1">IFERROR(__xludf.DUMMYFUNCTION("CONCATENATE(B759,(VLOOKUP(C759,CATALOGOS!$F$2:$H$6,3,FALSE)),(VLOOKUP(T759,CATALOGOS!$J$2:$K$18,2,FALSE)),""-"",TO_TEXT(A759))"),"P24SJ-0758")</f>
        <v>P24SJ-0758</v>
      </c>
      <c r="H759" s="6" t="s">
        <v>5249</v>
      </c>
      <c r="I759" s="6" t="s">
        <v>5250</v>
      </c>
      <c r="J759" s="6" t="s">
        <v>5251</v>
      </c>
      <c r="K759" s="6" t="s">
        <v>5252</v>
      </c>
      <c r="L759" s="17"/>
      <c r="M759" s="17"/>
      <c r="N759" s="17" t="str">
        <f t="shared" si="2"/>
        <v>OK</v>
      </c>
      <c r="O759" s="17" t="s">
        <v>35</v>
      </c>
      <c r="P759" s="6" t="s">
        <v>35</v>
      </c>
      <c r="Q759" s="17" t="s">
        <v>36</v>
      </c>
      <c r="R759" s="17" t="s">
        <v>5253</v>
      </c>
      <c r="S759" s="173" t="s">
        <v>38</v>
      </c>
      <c r="T759" s="11" t="s">
        <v>4411</v>
      </c>
      <c r="U759" s="22" t="s">
        <v>5223</v>
      </c>
      <c r="V759" s="22" t="s">
        <v>5223</v>
      </c>
    </row>
    <row r="760" spans="1:22" ht="100.5">
      <c r="A760" s="10" t="s">
        <v>5254</v>
      </c>
      <c r="B760" s="10" t="s">
        <v>4410</v>
      </c>
      <c r="C760" s="19" t="s">
        <v>4411</v>
      </c>
      <c r="D760" s="12"/>
      <c r="E760" s="13" t="s">
        <v>93</v>
      </c>
      <c r="F760" s="6" t="s">
        <v>5255</v>
      </c>
      <c r="G760" s="6" t="str">
        <f ca="1">IFERROR(__xludf.DUMMYFUNCTION("CONCATENATE(B760,(VLOOKUP(C760,CATALOGOS!$F$2:$H$6,3,FALSE)),(VLOOKUP(T760,CATALOGOS!$J$2:$K$18,2,FALSE)),""-"",TO_TEXT(A760))"),"P24SJ-0759")</f>
        <v>P24SJ-0759</v>
      </c>
      <c r="H760" s="6" t="s">
        <v>5256</v>
      </c>
      <c r="I760" s="6" t="s">
        <v>5257</v>
      </c>
      <c r="J760" s="6" t="s">
        <v>5258</v>
      </c>
      <c r="K760" s="6" t="s">
        <v>5259</v>
      </c>
      <c r="L760" s="17"/>
      <c r="M760" s="17"/>
      <c r="N760" s="17" t="str">
        <f t="shared" si="2"/>
        <v>OK</v>
      </c>
      <c r="O760" s="17" t="s">
        <v>35</v>
      </c>
      <c r="P760" s="6" t="s">
        <v>35</v>
      </c>
      <c r="Q760" s="17" t="s">
        <v>36</v>
      </c>
      <c r="R760" s="17" t="s">
        <v>5260</v>
      </c>
      <c r="S760" s="173" t="s">
        <v>38</v>
      </c>
      <c r="T760" s="11" t="s">
        <v>4411</v>
      </c>
      <c r="U760" s="22" t="s">
        <v>5223</v>
      </c>
      <c r="V760" s="22" t="s">
        <v>5223</v>
      </c>
    </row>
    <row r="761" spans="1:22" ht="57.75">
      <c r="A761" s="10" t="s">
        <v>5261</v>
      </c>
      <c r="B761" s="10" t="s">
        <v>4410</v>
      </c>
      <c r="C761" s="19" t="s">
        <v>4411</v>
      </c>
      <c r="D761" s="12"/>
      <c r="E761" s="13" t="s">
        <v>116</v>
      </c>
      <c r="F761" s="6" t="s">
        <v>5262</v>
      </c>
      <c r="G761" s="6" t="str">
        <f ca="1">IFERROR(__xludf.DUMMYFUNCTION("CONCATENATE(B761,(VLOOKUP(C761,CATALOGOS!$F$2:$H$6,3,FALSE)),(VLOOKUP(T761,CATALOGOS!$J$2:$K$18,2,FALSE)),""-"",TO_TEXT(A761))"),"P24SJ-0760")</f>
        <v>P24SJ-0760</v>
      </c>
      <c r="H761" s="6" t="s">
        <v>5263</v>
      </c>
      <c r="I761" s="6" t="s">
        <v>5264</v>
      </c>
      <c r="J761" s="6" t="s">
        <v>5265</v>
      </c>
      <c r="K761" s="6" t="s">
        <v>5266</v>
      </c>
      <c r="L761" s="17"/>
      <c r="M761" s="17"/>
      <c r="N761" s="17" t="str">
        <f t="shared" si="2"/>
        <v>OK</v>
      </c>
      <c r="O761" s="17" t="s">
        <v>35</v>
      </c>
      <c r="P761" s="6" t="s">
        <v>35</v>
      </c>
      <c r="Q761" s="17" t="s">
        <v>36</v>
      </c>
      <c r="R761" s="17" t="s">
        <v>5267</v>
      </c>
      <c r="S761" s="173" t="s">
        <v>38</v>
      </c>
      <c r="T761" s="11" t="s">
        <v>4411</v>
      </c>
      <c r="U761" s="22" t="s">
        <v>5223</v>
      </c>
      <c r="V761" s="22" t="s">
        <v>5223</v>
      </c>
    </row>
    <row r="762" spans="1:22" ht="29.25">
      <c r="A762" s="10" t="s">
        <v>5268</v>
      </c>
      <c r="B762" s="10" t="s">
        <v>4410</v>
      </c>
      <c r="C762" s="19" t="s">
        <v>4411</v>
      </c>
      <c r="D762" s="12"/>
      <c r="E762" s="13" t="s">
        <v>248</v>
      </c>
      <c r="F762" s="43" t="s">
        <v>248</v>
      </c>
      <c r="G762" s="6" t="str">
        <f ca="1">IFERROR(__xludf.DUMMYFUNCTION("CONCATENATE(B762,(VLOOKUP(C762,CATALOGOS!$F$2:$H$6,3,FALSE)),(VLOOKUP(T762,CATALOGOS!$J$2:$K$18,2,FALSE)),""-"",TO_TEXT(A762))"),"P24SJ-0761")</f>
        <v>P24SJ-0761</v>
      </c>
      <c r="H762" s="6" t="s">
        <v>5269</v>
      </c>
      <c r="I762" s="6" t="s">
        <v>5270</v>
      </c>
      <c r="J762" s="6" t="s">
        <v>5271</v>
      </c>
      <c r="K762" s="6" t="s">
        <v>5272</v>
      </c>
      <c r="L762" s="17"/>
      <c r="M762" s="17"/>
      <c r="N762" s="17" t="str">
        <f t="shared" si="2"/>
        <v>OK</v>
      </c>
      <c r="O762" s="17" t="s">
        <v>978</v>
      </c>
      <c r="P762" s="6" t="s">
        <v>979</v>
      </c>
      <c r="Q762" s="17" t="s">
        <v>5273</v>
      </c>
      <c r="R762" s="17" t="s">
        <v>5274</v>
      </c>
      <c r="S762" s="173" t="s">
        <v>38</v>
      </c>
      <c r="T762" s="11" t="s">
        <v>4411</v>
      </c>
      <c r="U762" s="22" t="s">
        <v>5223</v>
      </c>
      <c r="V762" s="22" t="s">
        <v>5223</v>
      </c>
    </row>
    <row r="763" spans="1:22" ht="29.25">
      <c r="A763" s="10" t="s">
        <v>5275</v>
      </c>
      <c r="B763" s="10" t="s">
        <v>4410</v>
      </c>
      <c r="C763" s="19" t="s">
        <v>4411</v>
      </c>
      <c r="D763" s="12"/>
      <c r="E763" s="13" t="s">
        <v>151</v>
      </c>
      <c r="F763" s="6" t="s">
        <v>2236</v>
      </c>
      <c r="G763" s="6" t="str">
        <f ca="1">IFERROR(__xludf.DUMMYFUNCTION("CONCATENATE(B763,(VLOOKUP(C763,CATALOGOS!$F$2:$H$6,3,FALSE)),(VLOOKUP(T763,CATALOGOS!$J$2:$K$18,2,FALSE)),""-"",TO_TEXT(A763))"),"P24SJ-0762")</f>
        <v>P24SJ-0762</v>
      </c>
      <c r="H763" s="6" t="s">
        <v>5276</v>
      </c>
      <c r="I763" s="6" t="s">
        <v>5277</v>
      </c>
      <c r="J763" s="6" t="s">
        <v>5278</v>
      </c>
      <c r="K763" s="6" t="s">
        <v>5279</v>
      </c>
      <c r="L763" s="17"/>
      <c r="M763" s="17"/>
      <c r="N763" s="17" t="str">
        <f t="shared" si="2"/>
        <v>OK</v>
      </c>
      <c r="O763" s="17" t="s">
        <v>1220</v>
      </c>
      <c r="P763" s="6" t="s">
        <v>720</v>
      </c>
      <c r="Q763" s="17" t="s">
        <v>5280</v>
      </c>
      <c r="R763" s="17" t="s">
        <v>5281</v>
      </c>
      <c r="S763" s="179" t="s">
        <v>100</v>
      </c>
      <c r="T763" s="11" t="s">
        <v>4411</v>
      </c>
      <c r="U763" s="22" t="s">
        <v>5223</v>
      </c>
      <c r="V763" s="22" t="s">
        <v>5223</v>
      </c>
    </row>
    <row r="764" spans="1:22" ht="57.75">
      <c r="A764" s="10" t="s">
        <v>5282</v>
      </c>
      <c r="B764" s="10" t="s">
        <v>4410</v>
      </c>
      <c r="C764" s="19" t="s">
        <v>4411</v>
      </c>
      <c r="D764" s="38"/>
      <c r="E764" s="13" t="s">
        <v>199</v>
      </c>
      <c r="F764" s="43" t="s">
        <v>5283</v>
      </c>
      <c r="G764" s="6" t="str">
        <f ca="1">IFERROR(__xludf.DUMMYFUNCTION("CONCATENATE(B764,(VLOOKUP(C764,CATALOGOS!$F$2:$H$6,3,FALSE)),(VLOOKUP(T764,CATALOGOS!$J$2:$K$18,2,FALSE)),""-"",TO_TEXT(A764))"),"P24SJ-0763")</f>
        <v>P24SJ-0763</v>
      </c>
      <c r="H764" s="6" t="s">
        <v>5284</v>
      </c>
      <c r="I764" s="6" t="s">
        <v>5285</v>
      </c>
      <c r="J764" s="6" t="s">
        <v>5286</v>
      </c>
      <c r="K764" s="6" t="s">
        <v>5287</v>
      </c>
      <c r="L764" s="17"/>
      <c r="M764" s="17"/>
      <c r="N764" s="17" t="str">
        <f t="shared" si="2"/>
        <v>OK</v>
      </c>
      <c r="O764" s="17" t="s">
        <v>205</v>
      </c>
      <c r="P764" s="6" t="s">
        <v>794</v>
      </c>
      <c r="Q764" s="46" t="s">
        <v>5288</v>
      </c>
      <c r="R764" s="17" t="s">
        <v>5289</v>
      </c>
      <c r="S764" s="179" t="s">
        <v>100</v>
      </c>
      <c r="T764" s="11" t="s">
        <v>4411</v>
      </c>
      <c r="U764" s="22" t="s">
        <v>5223</v>
      </c>
      <c r="V764" s="22" t="s">
        <v>5223</v>
      </c>
    </row>
    <row r="765" spans="1:22" ht="72">
      <c r="A765" s="10" t="s">
        <v>5290</v>
      </c>
      <c r="B765" s="10" t="s">
        <v>4410</v>
      </c>
      <c r="C765" s="19" t="s">
        <v>4411</v>
      </c>
      <c r="D765" s="12"/>
      <c r="E765" s="13" t="s">
        <v>62</v>
      </c>
      <c r="F765" s="6" t="s">
        <v>5291</v>
      </c>
      <c r="G765" s="6" t="str">
        <f ca="1">IFERROR(__xludf.DUMMYFUNCTION("CONCATENATE(B765,(VLOOKUP(C765,CATALOGOS!$F$2:$H$6,3,FALSE)),(VLOOKUP(T765,CATALOGOS!$J$2:$K$18,2,FALSE)),""-"",TO_TEXT(A765))"),"P24CS-0764")</f>
        <v>P24CS-0764</v>
      </c>
      <c r="H765" s="6" t="s">
        <v>5292</v>
      </c>
      <c r="I765" s="6" t="s">
        <v>5293</v>
      </c>
      <c r="J765" s="6" t="s">
        <v>5294</v>
      </c>
      <c r="K765" s="6" t="s">
        <v>5295</v>
      </c>
      <c r="L765" s="17"/>
      <c r="M765" s="17"/>
      <c r="N765" s="17" t="str">
        <f t="shared" si="2"/>
        <v>OK</v>
      </c>
      <c r="O765" s="17" t="s">
        <v>35</v>
      </c>
      <c r="P765" s="6" t="s">
        <v>35</v>
      </c>
      <c r="Q765" s="17" t="s">
        <v>36</v>
      </c>
      <c r="R765" s="17" t="s">
        <v>5296</v>
      </c>
      <c r="S765" s="173" t="s">
        <v>38</v>
      </c>
      <c r="T765" s="11" t="s">
        <v>4979</v>
      </c>
      <c r="U765" s="20" t="s">
        <v>4980</v>
      </c>
      <c r="V765" s="20" t="s">
        <v>4980</v>
      </c>
    </row>
    <row r="766" spans="1:22" ht="43.5">
      <c r="A766" s="10" t="s">
        <v>5297</v>
      </c>
      <c r="B766" s="10" t="s">
        <v>4410</v>
      </c>
      <c r="C766" s="19" t="s">
        <v>4411</v>
      </c>
      <c r="D766" s="12"/>
      <c r="E766" s="13" t="s">
        <v>43</v>
      </c>
      <c r="F766" s="43" t="s">
        <v>5298</v>
      </c>
      <c r="G766" s="6" t="str">
        <f ca="1">IFERROR(__xludf.DUMMYFUNCTION("CONCATENATE(B766,(VLOOKUP(C766,CATALOGOS!$F$2:$H$6,3,FALSE)),(VLOOKUP(T766,CATALOGOS!$J$2:$K$18,2,FALSE)),""-"",TO_TEXT(A766))"),"P24CS-0765")</f>
        <v>P24CS-0765</v>
      </c>
      <c r="H766" s="6" t="s">
        <v>5299</v>
      </c>
      <c r="I766" s="6" t="s">
        <v>5300</v>
      </c>
      <c r="J766" s="6" t="s">
        <v>5301</v>
      </c>
      <c r="K766" s="6" t="s">
        <v>5302</v>
      </c>
      <c r="L766" s="17"/>
      <c r="M766" s="17"/>
      <c r="N766" s="17" t="str">
        <f t="shared" si="2"/>
        <v>OK</v>
      </c>
      <c r="O766" s="17" t="s">
        <v>406</v>
      </c>
      <c r="P766" s="6" t="s">
        <v>2674</v>
      </c>
      <c r="Q766" s="17" t="s">
        <v>36</v>
      </c>
      <c r="R766" s="10" t="s">
        <v>5303</v>
      </c>
      <c r="S766" s="173" t="s">
        <v>38</v>
      </c>
      <c r="T766" s="11" t="s">
        <v>4979</v>
      </c>
      <c r="U766" s="20" t="s">
        <v>4980</v>
      </c>
      <c r="V766" s="20" t="s">
        <v>4980</v>
      </c>
    </row>
    <row r="767" spans="1:22" ht="43.5">
      <c r="A767" s="10" t="s">
        <v>5304</v>
      </c>
      <c r="B767" s="10" t="s">
        <v>4410</v>
      </c>
      <c r="C767" s="19" t="s">
        <v>4411</v>
      </c>
      <c r="D767" s="12"/>
      <c r="E767" s="13" t="s">
        <v>378</v>
      </c>
      <c r="F767" s="6" t="s">
        <v>1306</v>
      </c>
      <c r="G767" s="6" t="str">
        <f ca="1">IFERROR(__xludf.DUMMYFUNCTION("CONCATENATE(B767,(VLOOKUP(C767,CATALOGOS!$F$2:$H$6,3,FALSE)),(VLOOKUP(T767,CATALOGOS!$J$2:$K$18,2,FALSE)),""-"",TO_TEXT(A767))"),"P24CS-0766")</f>
        <v>P24CS-0766</v>
      </c>
      <c r="H767" s="6" t="s">
        <v>5305</v>
      </c>
      <c r="I767" s="6" t="s">
        <v>5306</v>
      </c>
      <c r="J767" s="6" t="s">
        <v>5307</v>
      </c>
      <c r="K767" s="6" t="s">
        <v>5308</v>
      </c>
      <c r="L767" s="17"/>
      <c r="M767" s="17"/>
      <c r="N767" s="17" t="str">
        <f t="shared" si="2"/>
        <v>OK</v>
      </c>
      <c r="O767" s="17" t="s">
        <v>35</v>
      </c>
      <c r="P767" s="6" t="s">
        <v>35</v>
      </c>
      <c r="Q767" s="17" t="s">
        <v>36</v>
      </c>
      <c r="R767" s="17" t="s">
        <v>5309</v>
      </c>
      <c r="S767" s="173" t="s">
        <v>38</v>
      </c>
      <c r="T767" s="11" t="s">
        <v>4979</v>
      </c>
      <c r="U767" s="20" t="s">
        <v>4980</v>
      </c>
      <c r="V767" s="20" t="s">
        <v>4980</v>
      </c>
    </row>
    <row r="768" spans="1:22" ht="43.5">
      <c r="A768" s="10" t="s">
        <v>5311</v>
      </c>
      <c r="B768" s="10" t="s">
        <v>4410</v>
      </c>
      <c r="C768" s="19" t="s">
        <v>4411</v>
      </c>
      <c r="D768" s="12"/>
      <c r="E768" s="13" t="s">
        <v>378</v>
      </c>
      <c r="F768" s="6" t="s">
        <v>1306</v>
      </c>
      <c r="G768" s="6" t="str">
        <f ca="1">IFERROR(__xludf.DUMMYFUNCTION("CONCATENATE(B768,(VLOOKUP(C768,CATALOGOS!$F$2:$H$6,3,FALSE)),(VLOOKUP(T768,CATALOGOS!$J$2:$K$18,2,FALSE)),""-"",TO_TEXT(A768))"),"P24CS-0767")</f>
        <v>P24CS-0767</v>
      </c>
      <c r="H768" s="6" t="s">
        <v>5312</v>
      </c>
      <c r="I768" s="6" t="s">
        <v>5313</v>
      </c>
      <c r="J768" s="6" t="s">
        <v>5314</v>
      </c>
      <c r="K768" s="6" t="s">
        <v>5315</v>
      </c>
      <c r="L768" s="17"/>
      <c r="M768" s="17"/>
      <c r="N768" s="17" t="str">
        <f t="shared" si="2"/>
        <v>OK</v>
      </c>
      <c r="O768" s="17" t="s">
        <v>35</v>
      </c>
      <c r="P768" s="6" t="s">
        <v>35</v>
      </c>
      <c r="Q768" s="17" t="s">
        <v>36</v>
      </c>
      <c r="R768" s="17" t="s">
        <v>5316</v>
      </c>
      <c r="S768" s="173" t="s">
        <v>38</v>
      </c>
      <c r="T768" s="11" t="s">
        <v>4979</v>
      </c>
      <c r="U768" s="20" t="s">
        <v>5310</v>
      </c>
      <c r="V768" s="20" t="s">
        <v>5310</v>
      </c>
    </row>
    <row r="769" spans="1:22" ht="72">
      <c r="A769" s="10" t="s">
        <v>5317</v>
      </c>
      <c r="B769" s="10" t="s">
        <v>1469</v>
      </c>
      <c r="C769" s="60" t="s">
        <v>1470</v>
      </c>
      <c r="D769" s="12"/>
      <c r="E769" s="13" t="s">
        <v>184</v>
      </c>
      <c r="F769" s="43" t="s">
        <v>5318</v>
      </c>
      <c r="G769" s="6" t="str">
        <f ca="1">IFERROR(__xludf.DUMMYFUNCTION("CONCATENATE(B769,(VLOOKUP(C769,CATALOGOS!$F$2:$H$6,3,FALSE)),(VLOOKUP(T769,CATALOGOS!$J$2:$K$18,2,FALSE)),""-"",TO_TEXT(A769))"),"P12CS-0768")</f>
        <v>P12CS-0768</v>
      </c>
      <c r="H769" s="6" t="s">
        <v>5319</v>
      </c>
      <c r="I769" s="6" t="s">
        <v>5320</v>
      </c>
      <c r="J769" s="6" t="s">
        <v>5321</v>
      </c>
      <c r="K769" s="6" t="s">
        <v>5322</v>
      </c>
      <c r="L769" s="17"/>
      <c r="M769" s="17"/>
      <c r="N769" s="17" t="str">
        <f t="shared" si="2"/>
        <v>OK</v>
      </c>
      <c r="O769" s="17" t="s">
        <v>35</v>
      </c>
      <c r="P769" s="6" t="s">
        <v>35</v>
      </c>
      <c r="Q769" s="17" t="s">
        <v>36</v>
      </c>
      <c r="R769" s="17" t="s">
        <v>5323</v>
      </c>
      <c r="S769" s="179" t="s">
        <v>100</v>
      </c>
      <c r="T769" s="11" t="s">
        <v>4979</v>
      </c>
      <c r="U769" s="20" t="s">
        <v>1597</v>
      </c>
      <c r="V769" s="20" t="s">
        <v>1597</v>
      </c>
    </row>
    <row r="770" spans="1:22" ht="29.25">
      <c r="A770" s="10" t="s">
        <v>5324</v>
      </c>
      <c r="B770" s="10" t="s">
        <v>4410</v>
      </c>
      <c r="C770" s="19" t="s">
        <v>4411</v>
      </c>
      <c r="D770" s="12"/>
      <c r="E770" s="13" t="s">
        <v>248</v>
      </c>
      <c r="F770" s="43" t="s">
        <v>249</v>
      </c>
      <c r="G770" s="6" t="str">
        <f ca="1">IFERROR(__xludf.DUMMYFUNCTION("CONCATENATE(B770,(VLOOKUP(C770,CATALOGOS!$F$2:$H$6,3,FALSE)),(VLOOKUP(T770,CATALOGOS!$J$2:$K$18,2,FALSE)),""-"",TO_TEXT(A770))"),"P24CS-0769")</f>
        <v>P24CS-0769</v>
      </c>
      <c r="H770" s="6" t="s">
        <v>5325</v>
      </c>
      <c r="I770" s="6" t="s">
        <v>5326</v>
      </c>
      <c r="J770" s="6" t="s">
        <v>5327</v>
      </c>
      <c r="K770" s="43" t="s">
        <v>5328</v>
      </c>
      <c r="L770" s="17"/>
      <c r="M770" s="17"/>
      <c r="N770" s="17" t="str">
        <f t="shared" si="2"/>
        <v>OK</v>
      </c>
      <c r="O770" s="17" t="s">
        <v>978</v>
      </c>
      <c r="P770" s="6" t="s">
        <v>979</v>
      </c>
      <c r="Q770" s="17" t="s">
        <v>5329</v>
      </c>
      <c r="R770" s="17" t="s">
        <v>5330</v>
      </c>
      <c r="S770" s="173" t="s">
        <v>38</v>
      </c>
      <c r="T770" s="11" t="s">
        <v>4979</v>
      </c>
      <c r="U770" s="20" t="s">
        <v>4980</v>
      </c>
      <c r="V770" s="20" t="s">
        <v>4980</v>
      </c>
    </row>
    <row r="771" spans="1:22" ht="29.25">
      <c r="A771" s="10" t="s">
        <v>5331</v>
      </c>
      <c r="B771" s="10" t="s">
        <v>4410</v>
      </c>
      <c r="C771" s="19" t="s">
        <v>4411</v>
      </c>
      <c r="D771" s="12"/>
      <c r="E771" s="13" t="s">
        <v>93</v>
      </c>
      <c r="F771" s="43" t="s">
        <v>5332</v>
      </c>
      <c r="G771" s="6" t="str">
        <f ca="1">IFERROR(__xludf.DUMMYFUNCTION("CONCATENATE(B771,(VLOOKUP(C771,CATALOGOS!$F$2:$H$6,3,FALSE)),(VLOOKUP(T771,CATALOGOS!$J$2:$K$18,2,FALSE)),""-"",TO_TEXT(A771))"),"P24CS-0770")</f>
        <v>P24CS-0770</v>
      </c>
      <c r="H771" s="6" t="s">
        <v>5333</v>
      </c>
      <c r="I771" s="54"/>
      <c r="J771" s="6" t="s">
        <v>5334</v>
      </c>
      <c r="K771" s="6" t="s">
        <v>141</v>
      </c>
      <c r="L771" s="17"/>
      <c r="M771" s="17"/>
      <c r="N771" s="17" t="str">
        <f t="shared" si="2"/>
        <v>REPETIDO</v>
      </c>
      <c r="O771" s="17" t="s">
        <v>35</v>
      </c>
      <c r="P771" s="32" t="s">
        <v>35</v>
      </c>
      <c r="Q771" s="17" t="s">
        <v>36</v>
      </c>
      <c r="R771" s="17" t="s">
        <v>5335</v>
      </c>
      <c r="S771" s="173" t="s">
        <v>38</v>
      </c>
      <c r="T771" s="11" t="s">
        <v>4979</v>
      </c>
      <c r="U771" s="20" t="s">
        <v>4980</v>
      </c>
      <c r="V771" s="20" t="s">
        <v>4980</v>
      </c>
    </row>
    <row r="772" spans="1:22" ht="72">
      <c r="A772" s="10" t="s">
        <v>5336</v>
      </c>
      <c r="B772" s="10" t="s">
        <v>4410</v>
      </c>
      <c r="C772" s="19" t="s">
        <v>4411</v>
      </c>
      <c r="D772" s="12"/>
      <c r="E772" s="13" t="s">
        <v>29</v>
      </c>
      <c r="F772" s="6" t="s">
        <v>5337</v>
      </c>
      <c r="G772" s="6" t="str">
        <f ca="1">IFERROR(__xludf.DUMMYFUNCTION("CONCATENATE(B772,(VLOOKUP(C772,CATALOGOS!$F$2:$H$6,3,FALSE)),(VLOOKUP(T772,CATALOGOS!$J$2:$K$18,2,FALSE)),""-"",TO_TEXT(A772))"),"P24CS-0771")</f>
        <v>P24CS-0771</v>
      </c>
      <c r="H772" s="6" t="s">
        <v>5338</v>
      </c>
      <c r="I772" s="54"/>
      <c r="J772" s="36"/>
      <c r="K772" s="6" t="s">
        <v>141</v>
      </c>
      <c r="L772" s="17"/>
      <c r="M772" s="17"/>
      <c r="N772" s="17" t="str">
        <f t="shared" si="2"/>
        <v>REPETIDO</v>
      </c>
      <c r="O772" s="35" t="s">
        <v>35</v>
      </c>
      <c r="P772" s="6" t="s">
        <v>35</v>
      </c>
      <c r="Q772" s="10" t="s">
        <v>36</v>
      </c>
      <c r="R772" s="32" t="s">
        <v>85</v>
      </c>
      <c r="S772" s="173" t="s">
        <v>38</v>
      </c>
      <c r="T772" s="11" t="s">
        <v>4979</v>
      </c>
      <c r="U772" s="20" t="s">
        <v>4980</v>
      </c>
      <c r="V772" s="20" t="s">
        <v>4980</v>
      </c>
    </row>
    <row r="773" spans="1:22" ht="72">
      <c r="A773" s="10" t="s">
        <v>5339</v>
      </c>
      <c r="B773" s="10" t="s">
        <v>4410</v>
      </c>
      <c r="C773" s="19" t="s">
        <v>4411</v>
      </c>
      <c r="D773" s="12"/>
      <c r="E773" s="13" t="s">
        <v>3521</v>
      </c>
      <c r="F773" s="43" t="s">
        <v>5340</v>
      </c>
      <c r="G773" s="6" t="str">
        <f ca="1">IFERROR(__xludf.DUMMYFUNCTION("CONCATENATE(B773,(VLOOKUP(C773,CATALOGOS!$F$2:$H$6,3,FALSE)),(VLOOKUP(T773,CATALOGOS!$J$2:$K$18,2,FALSE)),""-"",TO_TEXT(A773))"),"P24CS-0772")</f>
        <v>P24CS-0772</v>
      </c>
      <c r="H773" s="6" t="s">
        <v>5341</v>
      </c>
      <c r="I773" s="10" t="s">
        <v>5342</v>
      </c>
      <c r="J773" s="6" t="s">
        <v>5343</v>
      </c>
      <c r="K773" s="6" t="s">
        <v>5344</v>
      </c>
      <c r="L773" s="17"/>
      <c r="M773" s="17"/>
      <c r="N773" s="17" t="str">
        <f t="shared" si="2"/>
        <v>OK</v>
      </c>
      <c r="O773" s="17" t="s">
        <v>35</v>
      </c>
      <c r="P773" s="6" t="s">
        <v>35</v>
      </c>
      <c r="Q773" s="17" t="s">
        <v>36</v>
      </c>
      <c r="R773" s="17" t="s">
        <v>85</v>
      </c>
      <c r="S773" s="173" t="s">
        <v>38</v>
      </c>
      <c r="T773" s="11" t="s">
        <v>4979</v>
      </c>
      <c r="U773" s="20" t="s">
        <v>4980</v>
      </c>
      <c r="V773" s="20" t="s">
        <v>4980</v>
      </c>
    </row>
    <row r="774" spans="1:22" ht="86.25">
      <c r="A774" s="10" t="s">
        <v>5345</v>
      </c>
      <c r="B774" s="10" t="s">
        <v>4410</v>
      </c>
      <c r="C774" s="19" t="s">
        <v>4411</v>
      </c>
      <c r="D774" s="12"/>
      <c r="E774" s="13" t="s">
        <v>116</v>
      </c>
      <c r="F774" s="6" t="s">
        <v>4638</v>
      </c>
      <c r="G774" s="6" t="str">
        <f ca="1">IFERROR(__xludf.DUMMYFUNCTION("CONCATENATE(B774,(VLOOKUP(C774,CATALOGOS!$F$2:$H$6,3,FALSE)),(VLOOKUP(T774,CATALOGOS!$J$2:$K$18,2,FALSE)),""-"",TO_TEXT(A774))"),"P24CS-0773")</f>
        <v>P24CS-0773</v>
      </c>
      <c r="H774" s="6" t="s">
        <v>5346</v>
      </c>
      <c r="I774" s="6" t="s">
        <v>5347</v>
      </c>
      <c r="J774" s="6" t="s">
        <v>5348</v>
      </c>
      <c r="K774" s="6" t="s">
        <v>5349</v>
      </c>
      <c r="L774" s="17"/>
      <c r="M774" s="17"/>
      <c r="N774" s="17" t="str">
        <f t="shared" si="2"/>
        <v>OK</v>
      </c>
      <c r="O774" s="17" t="s">
        <v>35</v>
      </c>
      <c r="P774" s="6" t="s">
        <v>35</v>
      </c>
      <c r="Q774" s="17" t="s">
        <v>36</v>
      </c>
      <c r="R774" s="17" t="s">
        <v>5350</v>
      </c>
      <c r="S774" s="173" t="s">
        <v>38</v>
      </c>
      <c r="T774" s="11" t="s">
        <v>4979</v>
      </c>
      <c r="U774" s="20" t="s">
        <v>4980</v>
      </c>
      <c r="V774" s="20" t="s">
        <v>4980</v>
      </c>
    </row>
    <row r="775" spans="1:22" ht="29.25">
      <c r="A775" s="10" t="s">
        <v>5351</v>
      </c>
      <c r="B775" s="10" t="s">
        <v>4410</v>
      </c>
      <c r="C775" s="19" t="s">
        <v>4411</v>
      </c>
      <c r="D775" s="12"/>
      <c r="E775" s="13" t="s">
        <v>162</v>
      </c>
      <c r="F775" s="43" t="s">
        <v>285</v>
      </c>
      <c r="G775" s="6" t="str">
        <f ca="1">IFERROR(__xludf.DUMMYFUNCTION("CONCATENATE(B775,(VLOOKUP(C775,CATALOGOS!$F$2:$H$6,3,FALSE)),(VLOOKUP(T775,CATALOGOS!$J$2:$K$18,2,FALSE)),""-"",TO_TEXT(A775))"),"P24CS-0774")</f>
        <v>P24CS-0774</v>
      </c>
      <c r="H775" s="6" t="s">
        <v>5352</v>
      </c>
      <c r="I775" s="6" t="s">
        <v>5353</v>
      </c>
      <c r="J775" s="6" t="s">
        <v>5354</v>
      </c>
      <c r="K775" s="6" t="s">
        <v>5355</v>
      </c>
      <c r="L775" s="17"/>
      <c r="M775" s="17"/>
      <c r="N775" s="17" t="str">
        <f t="shared" si="2"/>
        <v>OK</v>
      </c>
      <c r="O775" s="17" t="s">
        <v>168</v>
      </c>
      <c r="P775" s="6" t="s">
        <v>169</v>
      </c>
      <c r="Q775" s="17" t="s">
        <v>5356</v>
      </c>
      <c r="R775" s="17" t="s">
        <v>5357</v>
      </c>
      <c r="S775" s="173" t="s">
        <v>38</v>
      </c>
      <c r="T775" s="188" t="s">
        <v>4979</v>
      </c>
      <c r="U775" s="20" t="s">
        <v>4980</v>
      </c>
      <c r="V775" s="20" t="s">
        <v>4980</v>
      </c>
    </row>
    <row r="776" spans="1:22" ht="57.75">
      <c r="A776" s="10" t="s">
        <v>5358</v>
      </c>
      <c r="B776" s="10" t="s">
        <v>4410</v>
      </c>
      <c r="C776" s="19" t="s">
        <v>4411</v>
      </c>
      <c r="D776" s="12"/>
      <c r="E776" s="13" t="s">
        <v>199</v>
      </c>
      <c r="F776" s="6" t="s">
        <v>199</v>
      </c>
      <c r="G776" s="6" t="str">
        <f ca="1">IFERROR(__xludf.DUMMYFUNCTION("CONCATENATE(B776,(VLOOKUP(C776,CATALOGOS!$F$2:$H$6,3,FALSE)),(VLOOKUP(T776,CATALOGOS!$J$2:$K$18,2,FALSE)),""-"",TO_TEXT(A776))"),"P24CS-0775")</f>
        <v>P24CS-0775</v>
      </c>
      <c r="H776" s="6" t="s">
        <v>5359</v>
      </c>
      <c r="I776" s="6" t="s">
        <v>5360</v>
      </c>
      <c r="J776" s="36"/>
      <c r="K776" s="6" t="s">
        <v>5361</v>
      </c>
      <c r="L776" s="17"/>
      <c r="M776" s="17"/>
      <c r="N776" s="17" t="str">
        <f t="shared" si="2"/>
        <v>OK</v>
      </c>
      <c r="O776" s="17" t="s">
        <v>273</v>
      </c>
      <c r="P776" s="6" t="s">
        <v>274</v>
      </c>
      <c r="Q776" s="6">
        <v>11392903015655</v>
      </c>
      <c r="R776" s="10" t="s">
        <v>85</v>
      </c>
      <c r="S776" s="173" t="s">
        <v>38</v>
      </c>
      <c r="T776" s="11" t="s">
        <v>4979</v>
      </c>
      <c r="U776" s="20" t="s">
        <v>4980</v>
      </c>
      <c r="V776" s="20" t="s">
        <v>4980</v>
      </c>
    </row>
    <row r="777" spans="1:22" ht="43.5">
      <c r="A777" s="10" t="s">
        <v>5362</v>
      </c>
      <c r="B777" s="10" t="s">
        <v>4410</v>
      </c>
      <c r="C777" s="19" t="s">
        <v>4411</v>
      </c>
      <c r="D777" s="38"/>
      <c r="E777" s="13" t="s">
        <v>151</v>
      </c>
      <c r="F777" s="6" t="s">
        <v>4113</v>
      </c>
      <c r="G777" s="6" t="str">
        <f ca="1">IFERROR(__xludf.DUMMYFUNCTION("CONCATENATE(B777,(VLOOKUP(C777,CATALOGOS!$F$2:$H$6,3,FALSE)),(VLOOKUP(T777,CATALOGOS!$J$2:$K$18,2,FALSE)),""-"",TO_TEXT(A777))"),"P24CS-0776")</f>
        <v>P24CS-0776</v>
      </c>
      <c r="H777" s="6" t="s">
        <v>5363</v>
      </c>
      <c r="I777" s="6" t="s">
        <v>5364</v>
      </c>
      <c r="J777" s="36"/>
      <c r="K777" s="6" t="s">
        <v>5365</v>
      </c>
      <c r="L777" s="17"/>
      <c r="M777" s="17"/>
      <c r="N777" s="17" t="str">
        <f t="shared" si="2"/>
        <v>OK</v>
      </c>
      <c r="O777" s="17" t="s">
        <v>297</v>
      </c>
      <c r="P777" s="6" t="s">
        <v>298</v>
      </c>
      <c r="Q777" s="6" t="s">
        <v>5366</v>
      </c>
      <c r="R777" s="32" t="s">
        <v>85</v>
      </c>
      <c r="S777" s="173" t="s">
        <v>38</v>
      </c>
      <c r="T777" s="11" t="s">
        <v>4979</v>
      </c>
      <c r="U777" s="20" t="s">
        <v>4980</v>
      </c>
      <c r="V777" s="20" t="s">
        <v>4980</v>
      </c>
    </row>
    <row r="778" spans="1:22" ht="72">
      <c r="A778" s="10" t="s">
        <v>5367</v>
      </c>
      <c r="B778" s="10" t="s">
        <v>4410</v>
      </c>
      <c r="C778" s="19" t="s">
        <v>4411</v>
      </c>
      <c r="D778" s="12"/>
      <c r="E778" s="13" t="s">
        <v>62</v>
      </c>
      <c r="F778" s="6" t="s">
        <v>5368</v>
      </c>
      <c r="G778" s="6" t="str">
        <f ca="1">IFERROR(__xludf.DUMMYFUNCTION("CONCATENATE(B778,(VLOOKUP(C778,CATALOGOS!$F$2:$H$6,3,FALSE)),(VLOOKUP(T778,CATALOGOS!$J$2:$K$18,2,FALSE)),""-"",TO_TEXT(A778))"),"P24CS-0777")</f>
        <v>P24CS-0777</v>
      </c>
      <c r="H778" s="6" t="s">
        <v>5369</v>
      </c>
      <c r="I778" s="6" t="s">
        <v>5370</v>
      </c>
      <c r="J778" s="6" t="s">
        <v>5371</v>
      </c>
      <c r="K778" s="6" t="s">
        <v>5372</v>
      </c>
      <c r="L778" s="17"/>
      <c r="M778" s="17"/>
      <c r="N778" s="17" t="str">
        <f t="shared" si="2"/>
        <v>OK</v>
      </c>
      <c r="O778" s="17" t="s">
        <v>35</v>
      </c>
      <c r="P778" s="6" t="s">
        <v>35</v>
      </c>
      <c r="Q778" s="17" t="s">
        <v>36</v>
      </c>
      <c r="R778" s="17" t="s">
        <v>5373</v>
      </c>
      <c r="S778" s="173" t="s">
        <v>38</v>
      </c>
      <c r="T778" s="11" t="s">
        <v>4979</v>
      </c>
      <c r="U778" s="22" t="s">
        <v>5374</v>
      </c>
      <c r="V778" s="22" t="s">
        <v>5374</v>
      </c>
    </row>
    <row r="779" spans="1:22" ht="43.5">
      <c r="A779" s="10" t="s">
        <v>5375</v>
      </c>
      <c r="B779" s="10" t="s">
        <v>4410</v>
      </c>
      <c r="C779" s="19" t="s">
        <v>4411</v>
      </c>
      <c r="D779" s="12"/>
      <c r="E779" s="13" t="s">
        <v>43</v>
      </c>
      <c r="F779" s="43" t="s">
        <v>885</v>
      </c>
      <c r="G779" s="6" t="str">
        <f ca="1">IFERROR(__xludf.DUMMYFUNCTION("CONCATENATE(B779,(VLOOKUP(C779,CATALOGOS!$F$2:$H$6,3,FALSE)),(VLOOKUP(T779,CATALOGOS!$J$2:$K$18,2,FALSE)),""-"",TO_TEXT(A779))"),"P24CS-0778")</f>
        <v>P24CS-0778</v>
      </c>
      <c r="H779" s="6" t="s">
        <v>5376</v>
      </c>
      <c r="I779" s="6" t="s">
        <v>5377</v>
      </c>
      <c r="J779" s="6" t="s">
        <v>5378</v>
      </c>
      <c r="K779" s="43" t="s">
        <v>5379</v>
      </c>
      <c r="L779" s="17"/>
      <c r="M779" s="17"/>
      <c r="N779" s="17" t="str">
        <f t="shared" si="2"/>
        <v>OK</v>
      </c>
      <c r="O779" s="17" t="s">
        <v>2586</v>
      </c>
      <c r="P779" s="6" t="s">
        <v>5380</v>
      </c>
      <c r="Q779" s="17" t="s">
        <v>36</v>
      </c>
      <c r="R779" s="10" t="s">
        <v>5381</v>
      </c>
      <c r="S779" s="173" t="s">
        <v>38</v>
      </c>
      <c r="T779" s="11" t="s">
        <v>4979</v>
      </c>
      <c r="U779" s="22" t="s">
        <v>5374</v>
      </c>
      <c r="V779" s="22" t="s">
        <v>5374</v>
      </c>
    </row>
    <row r="780" spans="1:22" ht="100.5">
      <c r="A780" s="10" t="s">
        <v>5382</v>
      </c>
      <c r="B780" s="10" t="s">
        <v>4410</v>
      </c>
      <c r="C780" s="19" t="s">
        <v>4411</v>
      </c>
      <c r="D780" s="12"/>
      <c r="E780" s="13" t="s">
        <v>93</v>
      </c>
      <c r="F780" s="6" t="s">
        <v>5383</v>
      </c>
      <c r="G780" s="6" t="str">
        <f ca="1">IFERROR(__xludf.DUMMYFUNCTION("CONCATENATE(B780,(VLOOKUP(C780,CATALOGOS!$F$2:$H$6,3,FALSE)),(VLOOKUP(T780,CATALOGOS!$J$2:$K$18,2,FALSE)),""-"",TO_TEXT(A780))"),"P24CS-0779")</f>
        <v>P24CS-0779</v>
      </c>
      <c r="H780" s="6" t="s">
        <v>5384</v>
      </c>
      <c r="I780" s="6" t="s">
        <v>5385</v>
      </c>
      <c r="J780" s="6" t="s">
        <v>5386</v>
      </c>
      <c r="K780" s="6" t="s">
        <v>5387</v>
      </c>
      <c r="L780" s="17"/>
      <c r="M780" s="17"/>
      <c r="N780" s="17" t="str">
        <f t="shared" si="2"/>
        <v>OK</v>
      </c>
      <c r="O780" s="17" t="s">
        <v>35</v>
      </c>
      <c r="P780" s="6" t="s">
        <v>35</v>
      </c>
      <c r="Q780" s="17" t="s">
        <v>36</v>
      </c>
      <c r="R780" s="17" t="s">
        <v>5388</v>
      </c>
      <c r="S780" s="173" t="s">
        <v>38</v>
      </c>
      <c r="T780" s="11" t="s">
        <v>4979</v>
      </c>
      <c r="U780" s="22" t="s">
        <v>5374</v>
      </c>
      <c r="V780" s="22" t="s">
        <v>5374</v>
      </c>
    </row>
    <row r="781" spans="1:22" ht="72">
      <c r="A781" s="10" t="s">
        <v>5389</v>
      </c>
      <c r="B781" s="10" t="s">
        <v>4410</v>
      </c>
      <c r="C781" s="19" t="s">
        <v>4411</v>
      </c>
      <c r="D781" s="12"/>
      <c r="E781" s="13" t="s">
        <v>62</v>
      </c>
      <c r="F781" s="6" t="s">
        <v>5368</v>
      </c>
      <c r="G781" s="6" t="str">
        <f ca="1">IFERROR(__xludf.DUMMYFUNCTION("CONCATENATE(B781,(VLOOKUP(C781,CATALOGOS!$F$2:$H$6,3,FALSE)),(VLOOKUP(T781,CATALOGOS!$J$2:$K$18,2,FALSE)),""-"",TO_TEXT(A781))"),"P24CS-0780")</f>
        <v>P24CS-0780</v>
      </c>
      <c r="H781" s="6" t="s">
        <v>5390</v>
      </c>
      <c r="I781" s="6" t="s">
        <v>5391</v>
      </c>
      <c r="J781" s="6" t="s">
        <v>5392</v>
      </c>
      <c r="K781" s="6" t="s">
        <v>5393</v>
      </c>
      <c r="L781" s="17"/>
      <c r="M781" s="17"/>
      <c r="N781" s="17" t="str">
        <f t="shared" si="2"/>
        <v>OK</v>
      </c>
      <c r="O781" s="17" t="s">
        <v>35</v>
      </c>
      <c r="P781" s="6" t="s">
        <v>35</v>
      </c>
      <c r="Q781" s="17" t="s">
        <v>36</v>
      </c>
      <c r="R781" s="17" t="s">
        <v>5394</v>
      </c>
      <c r="S781" s="173" t="s">
        <v>38</v>
      </c>
      <c r="T781" s="11" t="s">
        <v>4979</v>
      </c>
      <c r="U781" s="22" t="s">
        <v>5374</v>
      </c>
      <c r="V781" s="22" t="s">
        <v>5374</v>
      </c>
    </row>
    <row r="782" spans="1:22" ht="57.75">
      <c r="A782" s="10" t="s">
        <v>5395</v>
      </c>
      <c r="B782" s="10" t="s">
        <v>4410</v>
      </c>
      <c r="C782" s="19" t="s">
        <v>4411</v>
      </c>
      <c r="D782" s="12"/>
      <c r="E782" s="13" t="s">
        <v>116</v>
      </c>
      <c r="F782" s="43" t="s">
        <v>5396</v>
      </c>
      <c r="G782" s="6" t="str">
        <f ca="1">IFERROR(__xludf.DUMMYFUNCTION("CONCATENATE(B782,(VLOOKUP(C782,CATALOGOS!$F$2:$H$6,3,FALSE)),(VLOOKUP(T782,CATALOGOS!$J$2:$K$18,2,FALSE)),""-"",TO_TEXT(A782))"),"P24CS-0781")</f>
        <v>P24CS-0781</v>
      </c>
      <c r="H782" s="6" t="s">
        <v>5397</v>
      </c>
      <c r="I782" s="6" t="s">
        <v>5398</v>
      </c>
      <c r="J782" s="6" t="s">
        <v>5399</v>
      </c>
      <c r="K782" s="6" t="s">
        <v>5400</v>
      </c>
      <c r="L782" s="17"/>
      <c r="M782" s="17"/>
      <c r="N782" s="17" t="str">
        <f t="shared" si="2"/>
        <v>OK</v>
      </c>
      <c r="O782" s="17" t="s">
        <v>35</v>
      </c>
      <c r="P782" s="6" t="s">
        <v>35</v>
      </c>
      <c r="Q782" s="17" t="s">
        <v>36</v>
      </c>
      <c r="R782" s="17" t="s">
        <v>5401</v>
      </c>
      <c r="S782" s="173" t="s">
        <v>38</v>
      </c>
      <c r="T782" s="11" t="s">
        <v>4979</v>
      </c>
      <c r="U782" s="22" t="s">
        <v>5374</v>
      </c>
      <c r="V782" s="22" t="s">
        <v>5374</v>
      </c>
    </row>
    <row r="783" spans="1:22" ht="86.25">
      <c r="A783" s="10" t="s">
        <v>5402</v>
      </c>
      <c r="B783" s="10" t="s">
        <v>4410</v>
      </c>
      <c r="C783" s="19" t="s">
        <v>4411</v>
      </c>
      <c r="D783" s="12"/>
      <c r="E783" s="13" t="s">
        <v>1240</v>
      </c>
      <c r="F783" s="43" t="s">
        <v>278</v>
      </c>
      <c r="G783" s="6" t="str">
        <f ca="1">IFERROR(__xludf.DUMMYFUNCTION("CONCATENATE(B783,(VLOOKUP(C783,CATALOGOS!$F$2:$H$6,3,FALSE)),(VLOOKUP(T783,CATALOGOS!$J$2:$K$18,2,FALSE)),""-"",TO_TEXT(A783))"),"P24CS-0782")</f>
        <v>P24CS-0782</v>
      </c>
      <c r="H783" s="6" t="s">
        <v>5403</v>
      </c>
      <c r="I783" s="6" t="s">
        <v>5404</v>
      </c>
      <c r="J783" s="6" t="s">
        <v>5405</v>
      </c>
      <c r="K783" s="6" t="s">
        <v>5406</v>
      </c>
      <c r="L783" s="17"/>
      <c r="M783" s="17"/>
      <c r="N783" s="17" t="str">
        <f t="shared" si="2"/>
        <v>OK</v>
      </c>
      <c r="O783" s="17" t="s">
        <v>35</v>
      </c>
      <c r="P783" s="6" t="s">
        <v>35</v>
      </c>
      <c r="Q783" s="17" t="s">
        <v>36</v>
      </c>
      <c r="R783" s="17" t="s">
        <v>5407</v>
      </c>
      <c r="S783" s="173" t="s">
        <v>38</v>
      </c>
      <c r="T783" s="11" t="s">
        <v>4979</v>
      </c>
      <c r="U783" s="22" t="s">
        <v>5374</v>
      </c>
      <c r="V783" s="22" t="s">
        <v>5374</v>
      </c>
    </row>
    <row r="784" spans="1:22" ht="57.75">
      <c r="A784" s="10" t="s">
        <v>5408</v>
      </c>
      <c r="B784" s="10" t="s">
        <v>4410</v>
      </c>
      <c r="C784" s="19" t="s">
        <v>4411</v>
      </c>
      <c r="D784" s="12"/>
      <c r="E784" s="13" t="s">
        <v>199</v>
      </c>
      <c r="F784" s="6" t="s">
        <v>199</v>
      </c>
      <c r="G784" s="6" t="str">
        <f ca="1">IFERROR(__xludf.DUMMYFUNCTION("CONCATENATE(B784,(VLOOKUP(C784,CATALOGOS!$F$2:$H$6,3,FALSE)),(VLOOKUP(T784,CATALOGOS!$J$2:$K$18,2,FALSE)),""-"",TO_TEXT(A784))"),"P24CS-0783")</f>
        <v>P24CS-0783</v>
      </c>
      <c r="H784" s="6" t="s">
        <v>5409</v>
      </c>
      <c r="I784" s="6" t="s">
        <v>5410</v>
      </c>
      <c r="J784" s="6" t="s">
        <v>5411</v>
      </c>
      <c r="K784" s="43" t="s">
        <v>5412</v>
      </c>
      <c r="L784" s="17"/>
      <c r="M784" s="17"/>
      <c r="N784" s="17" t="str">
        <f t="shared" si="2"/>
        <v>OK</v>
      </c>
      <c r="O784" s="17" t="s">
        <v>297</v>
      </c>
      <c r="P784" s="6" t="s">
        <v>5413</v>
      </c>
      <c r="Q784" s="35" t="s">
        <v>5414</v>
      </c>
      <c r="R784" s="10" t="s">
        <v>5415</v>
      </c>
      <c r="S784" s="178" t="s">
        <v>38</v>
      </c>
      <c r="T784" s="11" t="s">
        <v>4979</v>
      </c>
      <c r="U784" s="22" t="s">
        <v>5374</v>
      </c>
      <c r="V784" s="22" t="s">
        <v>5374</v>
      </c>
    </row>
    <row r="785" spans="1:22" ht="29.25">
      <c r="A785" s="10" t="s">
        <v>5416</v>
      </c>
      <c r="B785" s="10" t="s">
        <v>4410</v>
      </c>
      <c r="C785" s="19" t="s">
        <v>4411</v>
      </c>
      <c r="D785" s="12"/>
      <c r="E785" s="13" t="s">
        <v>248</v>
      </c>
      <c r="F785" s="43" t="s">
        <v>249</v>
      </c>
      <c r="G785" s="6" t="str">
        <f ca="1">IFERROR(__xludf.DUMMYFUNCTION("CONCATENATE(B785,(VLOOKUP(C785,CATALOGOS!$F$2:$H$6,3,FALSE)),(VLOOKUP(T785,CATALOGOS!$J$2:$K$18,2,FALSE)),""-"",TO_TEXT(A785))"),"P24CS-0784")</f>
        <v>P24CS-0784</v>
      </c>
      <c r="H785" s="6" t="s">
        <v>5417</v>
      </c>
      <c r="I785" s="6" t="s">
        <v>5418</v>
      </c>
      <c r="J785" s="6" t="s">
        <v>5419</v>
      </c>
      <c r="K785" s="6" t="s">
        <v>5420</v>
      </c>
      <c r="L785" s="17"/>
      <c r="M785" s="17"/>
      <c r="N785" s="17" t="str">
        <f t="shared" si="2"/>
        <v>OK</v>
      </c>
      <c r="O785" s="17" t="s">
        <v>978</v>
      </c>
      <c r="P785" s="6" t="s">
        <v>979</v>
      </c>
      <c r="Q785" s="35" t="s">
        <v>5421</v>
      </c>
      <c r="R785" s="17" t="s">
        <v>5422</v>
      </c>
      <c r="S785" s="173" t="s">
        <v>38</v>
      </c>
      <c r="T785" s="11" t="s">
        <v>4979</v>
      </c>
      <c r="U785" s="22" t="s">
        <v>5374</v>
      </c>
      <c r="V785" s="22" t="s">
        <v>5374</v>
      </c>
    </row>
    <row r="786" spans="1:22" ht="29.25">
      <c r="A786" s="10" t="s">
        <v>5423</v>
      </c>
      <c r="B786" s="10" t="s">
        <v>4410</v>
      </c>
      <c r="C786" s="19" t="s">
        <v>4411</v>
      </c>
      <c r="D786" s="12"/>
      <c r="E786" s="13" t="s">
        <v>151</v>
      </c>
      <c r="F786" s="6" t="s">
        <v>963</v>
      </c>
      <c r="G786" s="6" t="str">
        <f ca="1">IFERROR(__xludf.DUMMYFUNCTION("CONCATENATE(B786,(VLOOKUP(C786,CATALOGOS!$F$2:$H$6,3,FALSE)),(VLOOKUP(T786,CATALOGOS!$J$2:$K$18,2,FALSE)),""-"",TO_TEXT(A786))"),"P24CS-0785")</f>
        <v>P24CS-0785</v>
      </c>
      <c r="H786" s="6" t="s">
        <v>5424</v>
      </c>
      <c r="I786" s="6" t="s">
        <v>5425</v>
      </c>
      <c r="J786" s="6" t="s">
        <v>5426</v>
      </c>
      <c r="K786" s="6" t="s">
        <v>5427</v>
      </c>
      <c r="L786" s="17"/>
      <c r="M786" s="17"/>
      <c r="N786" s="17" t="str">
        <f t="shared" si="2"/>
        <v>OK</v>
      </c>
      <c r="O786" s="17" t="s">
        <v>297</v>
      </c>
      <c r="P786" s="6" t="s">
        <v>1037</v>
      </c>
      <c r="Q786" s="17" t="s">
        <v>5428</v>
      </c>
      <c r="R786" s="17" t="s">
        <v>5429</v>
      </c>
      <c r="S786" s="173" t="s">
        <v>38</v>
      </c>
      <c r="T786" s="11" t="s">
        <v>4979</v>
      </c>
      <c r="U786" s="22" t="s">
        <v>5374</v>
      </c>
      <c r="V786" s="22" t="s">
        <v>5374</v>
      </c>
    </row>
    <row r="787" spans="1:22" ht="57.75">
      <c r="A787" s="10" t="s">
        <v>5430</v>
      </c>
      <c r="B787" s="10" t="s">
        <v>4410</v>
      </c>
      <c r="C787" s="19" t="s">
        <v>4411</v>
      </c>
      <c r="D787" s="12"/>
      <c r="E787" s="13" t="s">
        <v>378</v>
      </c>
      <c r="F787" s="6" t="s">
        <v>878</v>
      </c>
      <c r="G787" s="6" t="str">
        <f ca="1">IFERROR(__xludf.DUMMYFUNCTION("CONCATENATE(B787,(VLOOKUP(C787,CATALOGOS!$F$2:$H$6,3,FALSE)),(VLOOKUP(T787,CATALOGOS!$J$2:$K$18,2,FALSE)),""-"",TO_TEXT(A787))"),"P24CS-0786")</f>
        <v>P24CS-0786</v>
      </c>
      <c r="H787" s="6" t="s">
        <v>5431</v>
      </c>
      <c r="I787" s="6" t="s">
        <v>5432</v>
      </c>
      <c r="J787" s="36"/>
      <c r="K787" s="6" t="s">
        <v>141</v>
      </c>
      <c r="L787" s="17"/>
      <c r="M787" s="17"/>
      <c r="N787" s="17" t="str">
        <f t="shared" si="2"/>
        <v>REPETIDO</v>
      </c>
      <c r="O787" s="17" t="s">
        <v>35</v>
      </c>
      <c r="P787" s="6" t="s">
        <v>35</v>
      </c>
      <c r="Q787" s="6" t="s">
        <v>36</v>
      </c>
      <c r="R787" s="10" t="s">
        <v>5433</v>
      </c>
      <c r="S787" s="173" t="s">
        <v>38</v>
      </c>
      <c r="T787" s="11" t="s">
        <v>4979</v>
      </c>
      <c r="U787" s="22" t="s">
        <v>5374</v>
      </c>
      <c r="V787" s="22" t="s">
        <v>5374</v>
      </c>
    </row>
    <row r="788" spans="1:22" ht="57.75">
      <c r="A788" s="10" t="s">
        <v>5434</v>
      </c>
      <c r="B788" s="10" t="s">
        <v>4410</v>
      </c>
      <c r="C788" s="19" t="s">
        <v>4411</v>
      </c>
      <c r="D788" s="38"/>
      <c r="E788" s="13" t="s">
        <v>378</v>
      </c>
      <c r="F788" s="43" t="s">
        <v>379</v>
      </c>
      <c r="G788" s="6" t="str">
        <f ca="1">IFERROR(__xludf.DUMMYFUNCTION("CONCATENATE(B788,(VLOOKUP(C788,CATALOGOS!$F$2:$H$6,3,FALSE)),(VLOOKUP(T788,CATALOGOS!$J$2:$K$18,2,FALSE)),""-"",TO_TEXT(A788))"),"P24CS-0787")</f>
        <v>P24CS-0787</v>
      </c>
      <c r="H788" s="6" t="s">
        <v>5435</v>
      </c>
      <c r="I788" s="6" t="s">
        <v>5436</v>
      </c>
      <c r="J788" s="6" t="s">
        <v>5437</v>
      </c>
      <c r="K788" s="6" t="s">
        <v>5438</v>
      </c>
      <c r="L788" s="17"/>
      <c r="M788" s="17"/>
      <c r="N788" s="17" t="str">
        <f t="shared" si="2"/>
        <v>OK</v>
      </c>
      <c r="O788" s="17" t="s">
        <v>35</v>
      </c>
      <c r="P788" s="6" t="s">
        <v>35</v>
      </c>
      <c r="Q788" s="46" t="s">
        <v>36</v>
      </c>
      <c r="R788" s="17" t="s">
        <v>5439</v>
      </c>
      <c r="S788" s="173" t="s">
        <v>38</v>
      </c>
      <c r="T788" s="11" t="s">
        <v>4979</v>
      </c>
      <c r="U788" s="22" t="s">
        <v>5374</v>
      </c>
      <c r="V788" s="22" t="s">
        <v>5374</v>
      </c>
    </row>
    <row r="789" spans="1:22" ht="57.75">
      <c r="A789" s="10" t="s">
        <v>5440</v>
      </c>
      <c r="B789" s="10" t="s">
        <v>4410</v>
      </c>
      <c r="C789" s="19" t="s">
        <v>4411</v>
      </c>
      <c r="D789" s="12"/>
      <c r="E789" s="13" t="s">
        <v>53</v>
      </c>
      <c r="F789" s="6" t="s">
        <v>192</v>
      </c>
      <c r="G789" s="6" t="str">
        <f ca="1">IFERROR(__xludf.DUMMYFUNCTION("CONCATENATE(B789,(VLOOKUP(C789,CATALOGOS!$F$2:$H$6,3,FALSE)),(VLOOKUP(T789,CATALOGOS!$J$2:$K$18,2,FALSE)),""-"",TO_TEXT(A789))"),"P24CA-0788")</f>
        <v>P24CA-0788</v>
      </c>
      <c r="H789" s="6" t="s">
        <v>5441</v>
      </c>
      <c r="I789" s="6" t="s">
        <v>5442</v>
      </c>
      <c r="J789" s="6" t="s">
        <v>5443</v>
      </c>
      <c r="K789" s="6" t="s">
        <v>5444</v>
      </c>
      <c r="L789" s="17"/>
      <c r="M789" s="17"/>
      <c r="N789" s="17" t="str">
        <f t="shared" si="2"/>
        <v>OK</v>
      </c>
      <c r="O789" s="17" t="s">
        <v>35</v>
      </c>
      <c r="P789" s="6" t="s">
        <v>35</v>
      </c>
      <c r="Q789" s="17" t="s">
        <v>36</v>
      </c>
      <c r="R789" s="17" t="s">
        <v>5445</v>
      </c>
      <c r="S789" s="173" t="s">
        <v>38</v>
      </c>
      <c r="T789" s="11" t="s">
        <v>4416</v>
      </c>
      <c r="U789" s="22" t="s">
        <v>5310</v>
      </c>
      <c r="V789" s="22" t="s">
        <v>5310</v>
      </c>
    </row>
    <row r="790" spans="1:22" ht="86.25">
      <c r="A790" s="10" t="s">
        <v>5446</v>
      </c>
      <c r="B790" s="10" t="s">
        <v>4410</v>
      </c>
      <c r="C790" s="19" t="s">
        <v>4411</v>
      </c>
      <c r="D790" s="12"/>
      <c r="E790" s="13" t="s">
        <v>62</v>
      </c>
      <c r="F790" s="6" t="s">
        <v>5447</v>
      </c>
      <c r="G790" s="6" t="str">
        <f ca="1">IFERROR(__xludf.DUMMYFUNCTION("CONCATENATE(B790,(VLOOKUP(C790,CATALOGOS!$F$2:$H$6,3,FALSE)),(VLOOKUP(T790,CATALOGOS!$J$2:$K$18,2,FALSE)),""-"",TO_TEXT(A790))"),"P24CA-0789")</f>
        <v>P24CA-0789</v>
      </c>
      <c r="H790" s="6" t="s">
        <v>5448</v>
      </c>
      <c r="I790" s="6" t="s">
        <v>5449</v>
      </c>
      <c r="J790" s="6" t="s">
        <v>5450</v>
      </c>
      <c r="K790" s="6" t="s">
        <v>5451</v>
      </c>
      <c r="L790" s="17"/>
      <c r="M790" s="17"/>
      <c r="N790" s="17" t="str">
        <f t="shared" si="2"/>
        <v>OK</v>
      </c>
      <c r="O790" s="17" t="s">
        <v>35</v>
      </c>
      <c r="P790" s="6" t="s">
        <v>35</v>
      </c>
      <c r="Q790" s="17" t="s">
        <v>36</v>
      </c>
      <c r="R790" s="17" t="s">
        <v>5452</v>
      </c>
      <c r="S790" s="173" t="s">
        <v>38</v>
      </c>
      <c r="T790" s="11" t="s">
        <v>4416</v>
      </c>
      <c r="U790" s="22" t="s">
        <v>5310</v>
      </c>
      <c r="V790" s="22" t="s">
        <v>5310</v>
      </c>
    </row>
    <row r="791" spans="1:22" ht="72">
      <c r="A791" s="10" t="s">
        <v>5453</v>
      </c>
      <c r="B791" s="10" t="s">
        <v>4410</v>
      </c>
      <c r="C791" s="19" t="s">
        <v>4411</v>
      </c>
      <c r="D791" s="12"/>
      <c r="E791" s="13" t="s">
        <v>71</v>
      </c>
      <c r="F791" s="6" t="s">
        <v>4937</v>
      </c>
      <c r="G791" s="6" t="str">
        <f ca="1">IFERROR(__xludf.DUMMYFUNCTION("CONCATENATE(B791,(VLOOKUP(C791,CATALOGOS!$F$2:$H$6,3,FALSE)),(VLOOKUP(T791,CATALOGOS!$J$2:$K$18,2,FALSE)),""-"",TO_TEXT(A791))"),"P24CA-0790")</f>
        <v>P24CA-0790</v>
      </c>
      <c r="H791" s="6" t="s">
        <v>5454</v>
      </c>
      <c r="I791" s="6" t="s">
        <v>5455</v>
      </c>
      <c r="J791" s="6" t="s">
        <v>5456</v>
      </c>
      <c r="K791" s="6" t="s">
        <v>5457</v>
      </c>
      <c r="L791" s="17"/>
      <c r="M791" s="17"/>
      <c r="N791" s="17" t="str">
        <f t="shared" si="2"/>
        <v>OK</v>
      </c>
      <c r="O791" s="17" t="s">
        <v>35</v>
      </c>
      <c r="P791" s="6" t="s">
        <v>35</v>
      </c>
      <c r="Q791" s="17" t="s">
        <v>36</v>
      </c>
      <c r="R791" s="17" t="s">
        <v>8359</v>
      </c>
      <c r="S791" s="173" t="s">
        <v>38</v>
      </c>
      <c r="T791" s="11" t="s">
        <v>4416</v>
      </c>
      <c r="U791" s="22" t="s">
        <v>5310</v>
      </c>
      <c r="V791" s="22" t="s">
        <v>5310</v>
      </c>
    </row>
    <row r="792" spans="1:22" ht="72">
      <c r="A792" s="10" t="s">
        <v>5459</v>
      </c>
      <c r="B792" s="10" t="s">
        <v>4410</v>
      </c>
      <c r="C792" s="19" t="s">
        <v>4411</v>
      </c>
      <c r="D792" s="12"/>
      <c r="E792" s="13" t="s">
        <v>93</v>
      </c>
      <c r="F792" s="6" t="s">
        <v>5460</v>
      </c>
      <c r="G792" s="6" t="str">
        <f ca="1">IFERROR(__xludf.DUMMYFUNCTION("CONCATENATE(B792,(VLOOKUP(C792,CATALOGOS!$F$2:$H$6,3,FALSE)),(VLOOKUP(T792,CATALOGOS!$J$2:$K$18,2,FALSE)),""-"",TO_TEXT(A792))"),"P24CA-0791")</f>
        <v>P24CA-0791</v>
      </c>
      <c r="H792" s="6" t="s">
        <v>5461</v>
      </c>
      <c r="I792" s="6" t="s">
        <v>5462</v>
      </c>
      <c r="J792" s="6" t="s">
        <v>5463</v>
      </c>
      <c r="K792" s="6" t="s">
        <v>5464</v>
      </c>
      <c r="L792" s="17"/>
      <c r="M792" s="17"/>
      <c r="N792" s="17" t="str">
        <f t="shared" si="2"/>
        <v>OK</v>
      </c>
      <c r="O792" s="17" t="s">
        <v>35</v>
      </c>
      <c r="P792" s="6" t="s">
        <v>35</v>
      </c>
      <c r="Q792" s="17" t="s">
        <v>36</v>
      </c>
      <c r="R792" s="17" t="s">
        <v>5465</v>
      </c>
      <c r="S792" s="173" t="s">
        <v>38</v>
      </c>
      <c r="T792" s="11" t="s">
        <v>4416</v>
      </c>
      <c r="U792" s="22" t="s">
        <v>5310</v>
      </c>
      <c r="V792" s="22" t="s">
        <v>5310</v>
      </c>
    </row>
    <row r="793" spans="1:22" ht="72">
      <c r="A793" s="10" t="s">
        <v>5466</v>
      </c>
      <c r="B793" s="10" t="s">
        <v>4410</v>
      </c>
      <c r="C793" s="19" t="s">
        <v>4411</v>
      </c>
      <c r="D793" s="12"/>
      <c r="E793" s="13" t="s">
        <v>93</v>
      </c>
      <c r="F793" s="6" t="s">
        <v>5460</v>
      </c>
      <c r="G793" s="6" t="str">
        <f ca="1">IFERROR(__xludf.DUMMYFUNCTION("CONCATENATE(B793,(VLOOKUP(C793,CATALOGOS!$F$2:$H$6,3,FALSE)),(VLOOKUP(T793,CATALOGOS!$J$2:$K$18,2,FALSE)),""-"",TO_TEXT(A793))"),"P24CA-0792")</f>
        <v>P24CA-0792</v>
      </c>
      <c r="H793" s="6" t="s">
        <v>5467</v>
      </c>
      <c r="I793" s="6" t="s">
        <v>5468</v>
      </c>
      <c r="J793" s="6" t="s">
        <v>5469</v>
      </c>
      <c r="K793" s="6" t="s">
        <v>5470</v>
      </c>
      <c r="L793" s="17"/>
      <c r="M793" s="17"/>
      <c r="N793" s="17" t="str">
        <f t="shared" si="2"/>
        <v>OK</v>
      </c>
      <c r="O793" s="17" t="s">
        <v>35</v>
      </c>
      <c r="P793" s="6" t="s">
        <v>35</v>
      </c>
      <c r="Q793" s="17" t="s">
        <v>36</v>
      </c>
      <c r="R793" s="17" t="s">
        <v>5471</v>
      </c>
      <c r="S793" s="173" t="s">
        <v>38</v>
      </c>
      <c r="T793" s="11" t="s">
        <v>4416</v>
      </c>
      <c r="U793" s="22" t="s">
        <v>5310</v>
      </c>
      <c r="V793" s="22" t="s">
        <v>5310</v>
      </c>
    </row>
    <row r="794" spans="1:22" ht="57.75">
      <c r="A794" s="10" t="s">
        <v>5472</v>
      </c>
      <c r="B794" s="10" t="s">
        <v>4410</v>
      </c>
      <c r="C794" s="19" t="s">
        <v>4411</v>
      </c>
      <c r="D794" s="12"/>
      <c r="E794" s="13" t="s">
        <v>43</v>
      </c>
      <c r="F794" s="6" t="s">
        <v>5473</v>
      </c>
      <c r="G794" s="6" t="str">
        <f ca="1">IFERROR(__xludf.DUMMYFUNCTION("CONCATENATE(B794,(VLOOKUP(C794,CATALOGOS!$F$2:$H$6,3,FALSE)),(VLOOKUP(T794,CATALOGOS!$J$2:$K$18,2,FALSE)),""-"",TO_TEXT(A794))"),"P24CA-0793")</f>
        <v>P24CA-0793</v>
      </c>
      <c r="H794" s="6" t="s">
        <v>5474</v>
      </c>
      <c r="I794" s="6" t="s">
        <v>5475</v>
      </c>
      <c r="J794" s="36"/>
      <c r="K794" s="6" t="s">
        <v>141</v>
      </c>
      <c r="L794" s="17"/>
      <c r="M794" s="17"/>
      <c r="N794" s="17" t="str">
        <f t="shared" si="2"/>
        <v>REPETIDO</v>
      </c>
      <c r="O794" s="17" t="s">
        <v>49</v>
      </c>
      <c r="P794" s="6">
        <v>3196</v>
      </c>
      <c r="Q794" s="6" t="s">
        <v>36</v>
      </c>
      <c r="R794" s="10" t="s">
        <v>85</v>
      </c>
      <c r="S794" s="173" t="s">
        <v>38</v>
      </c>
      <c r="T794" s="19" t="s">
        <v>4416</v>
      </c>
      <c r="U794" s="22" t="s">
        <v>5310</v>
      </c>
      <c r="V794" s="22" t="s">
        <v>5310</v>
      </c>
    </row>
    <row r="795" spans="1:22" ht="57.75">
      <c r="A795" s="10" t="s">
        <v>5479</v>
      </c>
      <c r="B795" s="10" t="s">
        <v>4410</v>
      </c>
      <c r="C795" s="19" t="s">
        <v>4411</v>
      </c>
      <c r="D795" s="12"/>
      <c r="E795" s="13" t="s">
        <v>501</v>
      </c>
      <c r="F795" s="43" t="s">
        <v>5480</v>
      </c>
      <c r="G795" s="6" t="str">
        <f ca="1">IFERROR(__xludf.DUMMYFUNCTION("CONCATENATE(B795,(VLOOKUP(C795,CATALOGOS!$F$2:$H$6,3,FALSE)),(VLOOKUP(T795,CATALOGOS!$J$2:$K$18,2,FALSE)),""-"",TO_TEXT(A795))"),"P24CA-0794")</f>
        <v>P24CA-0794</v>
      </c>
      <c r="H795" s="6" t="s">
        <v>5481</v>
      </c>
      <c r="I795" s="6" t="s">
        <v>5482</v>
      </c>
      <c r="J795" s="6" t="s">
        <v>5483</v>
      </c>
      <c r="K795" s="6" t="s">
        <v>5484</v>
      </c>
      <c r="L795" s="17"/>
      <c r="M795" s="17"/>
      <c r="N795" s="17" t="str">
        <f t="shared" si="2"/>
        <v>OK</v>
      </c>
      <c r="O795" s="17" t="s">
        <v>35</v>
      </c>
      <c r="P795" s="6" t="s">
        <v>35</v>
      </c>
      <c r="Q795" s="17" t="s">
        <v>36</v>
      </c>
      <c r="R795" s="17" t="s">
        <v>5485</v>
      </c>
      <c r="S795" s="173" t="s">
        <v>38</v>
      </c>
      <c r="T795" s="11" t="s">
        <v>4416</v>
      </c>
      <c r="U795" s="22" t="s">
        <v>5310</v>
      </c>
      <c r="V795" s="22" t="s">
        <v>5310</v>
      </c>
    </row>
    <row r="796" spans="1:22" ht="43.5">
      <c r="A796" s="10" t="s">
        <v>5486</v>
      </c>
      <c r="B796" s="10" t="s">
        <v>4410</v>
      </c>
      <c r="C796" s="19" t="s">
        <v>4411</v>
      </c>
      <c r="D796" s="12"/>
      <c r="E796" s="13" t="s">
        <v>378</v>
      </c>
      <c r="F796" s="6" t="s">
        <v>1306</v>
      </c>
      <c r="G796" s="6" t="str">
        <f ca="1">IFERROR(__xludf.DUMMYFUNCTION("CONCATENATE(B796,(VLOOKUP(C796,CATALOGOS!$F$2:$H$6,3,FALSE)),(VLOOKUP(T796,CATALOGOS!$J$2:$K$18,2,FALSE)),""-"",TO_TEXT(A796))"),"P24CA-0795")</f>
        <v>P24CA-0795</v>
      </c>
      <c r="H796" s="6" t="s">
        <v>5487</v>
      </c>
      <c r="I796" s="6" t="s">
        <v>5488</v>
      </c>
      <c r="J796" s="6" t="s">
        <v>5489</v>
      </c>
      <c r="K796" s="6" t="s">
        <v>5490</v>
      </c>
      <c r="L796" s="17"/>
      <c r="M796" s="17"/>
      <c r="N796" s="17" t="str">
        <f t="shared" si="2"/>
        <v>OK</v>
      </c>
      <c r="O796" s="17" t="s">
        <v>35</v>
      </c>
      <c r="P796" s="6" t="s">
        <v>35</v>
      </c>
      <c r="Q796" s="17" t="s">
        <v>36</v>
      </c>
      <c r="R796" s="17" t="s">
        <v>5491</v>
      </c>
      <c r="S796" s="173" t="s">
        <v>38</v>
      </c>
      <c r="T796" s="11" t="s">
        <v>4416</v>
      </c>
      <c r="U796" s="22" t="s">
        <v>5310</v>
      </c>
      <c r="V796" s="22" t="s">
        <v>5310</v>
      </c>
    </row>
    <row r="797" spans="1:22" ht="43.5">
      <c r="A797" s="10" t="s">
        <v>5492</v>
      </c>
      <c r="B797" s="10" t="s">
        <v>4410</v>
      </c>
      <c r="C797" s="19" t="s">
        <v>4411</v>
      </c>
      <c r="D797" s="12"/>
      <c r="E797" s="13" t="s">
        <v>378</v>
      </c>
      <c r="F797" s="6" t="s">
        <v>1306</v>
      </c>
      <c r="G797" s="6" t="str">
        <f ca="1">IFERROR(__xludf.DUMMYFUNCTION("CONCATENATE(B797,(VLOOKUP(C797,CATALOGOS!$F$2:$H$6,3,FALSE)),(VLOOKUP(T797,CATALOGOS!$J$2:$K$18,2,FALSE)),""-"",TO_TEXT(A797))"),"P24CA-0796")</f>
        <v>P24CA-0796</v>
      </c>
      <c r="H797" s="6" t="s">
        <v>5493</v>
      </c>
      <c r="I797" s="6" t="s">
        <v>5494</v>
      </c>
      <c r="J797" s="6" t="s">
        <v>5495</v>
      </c>
      <c r="K797" s="6" t="s">
        <v>5496</v>
      </c>
      <c r="L797" s="17"/>
      <c r="M797" s="17"/>
      <c r="N797" s="17" t="str">
        <f t="shared" si="2"/>
        <v>OK</v>
      </c>
      <c r="O797" s="17" t="s">
        <v>35</v>
      </c>
      <c r="P797" s="6" t="s">
        <v>35</v>
      </c>
      <c r="Q797" s="17" t="s">
        <v>36</v>
      </c>
      <c r="R797" s="17" t="s">
        <v>5497</v>
      </c>
      <c r="S797" s="173" t="s">
        <v>38</v>
      </c>
      <c r="T797" s="11" t="s">
        <v>4416</v>
      </c>
      <c r="U797" s="22" t="s">
        <v>5310</v>
      </c>
      <c r="V797" s="22" t="s">
        <v>5310</v>
      </c>
    </row>
    <row r="798" spans="1:22" ht="43.5">
      <c r="A798" s="10" t="s">
        <v>5498</v>
      </c>
      <c r="B798" s="10" t="s">
        <v>4410</v>
      </c>
      <c r="C798" s="19" t="s">
        <v>4411</v>
      </c>
      <c r="D798" s="12"/>
      <c r="E798" s="13" t="s">
        <v>378</v>
      </c>
      <c r="F798" s="6" t="s">
        <v>5499</v>
      </c>
      <c r="G798" s="6" t="str">
        <f ca="1">IFERROR(__xludf.DUMMYFUNCTION("CONCATENATE(B798,(VLOOKUP(C798,CATALOGOS!$F$2:$H$6,3,FALSE)),(VLOOKUP(T798,CATALOGOS!$J$2:$K$18,2,FALSE)),""-"",TO_TEXT(A798))"),"P24CA-0797")</f>
        <v>P24CA-0797</v>
      </c>
      <c r="H798" s="6" t="s">
        <v>5500</v>
      </c>
      <c r="I798" s="6" t="s">
        <v>5501</v>
      </c>
      <c r="J798" s="6" t="s">
        <v>5502</v>
      </c>
      <c r="K798" s="6" t="s">
        <v>5503</v>
      </c>
      <c r="L798" s="17"/>
      <c r="M798" s="17"/>
      <c r="N798" s="17" t="str">
        <f t="shared" si="2"/>
        <v>OK</v>
      </c>
      <c r="O798" s="17" t="s">
        <v>35</v>
      </c>
      <c r="P798" s="6" t="s">
        <v>35</v>
      </c>
      <c r="Q798" s="17" t="s">
        <v>36</v>
      </c>
      <c r="R798" s="17" t="s">
        <v>5504</v>
      </c>
      <c r="S798" s="173" t="s">
        <v>38</v>
      </c>
      <c r="T798" s="11" t="s">
        <v>4416</v>
      </c>
      <c r="U798" s="22" t="s">
        <v>5310</v>
      </c>
      <c r="V798" s="22" t="s">
        <v>5310</v>
      </c>
    </row>
    <row r="799" spans="1:22" ht="43.5">
      <c r="A799" s="10" t="s">
        <v>5505</v>
      </c>
      <c r="B799" s="10" t="s">
        <v>4410</v>
      </c>
      <c r="C799" s="19" t="s">
        <v>4411</v>
      </c>
      <c r="D799" s="12"/>
      <c r="E799" s="13" t="s">
        <v>116</v>
      </c>
      <c r="F799" s="43" t="s">
        <v>5506</v>
      </c>
      <c r="G799" s="6" t="str">
        <f ca="1">IFERROR(__xludf.DUMMYFUNCTION("CONCATENATE(B799,(VLOOKUP(C799,CATALOGOS!$F$2:$H$6,3,FALSE)),(VLOOKUP(T799,CATALOGOS!$J$2:$K$18,2,FALSE)),""-"",TO_TEXT(A799))"),"P24CA-0798")</f>
        <v>P24CA-0798</v>
      </c>
      <c r="H799" s="6" t="s">
        <v>5507</v>
      </c>
      <c r="I799" s="6" t="s">
        <v>5508</v>
      </c>
      <c r="J799" s="6" t="s">
        <v>5509</v>
      </c>
      <c r="K799" s="6" t="s">
        <v>5510</v>
      </c>
      <c r="L799" s="17"/>
      <c r="M799" s="17"/>
      <c r="N799" s="17" t="str">
        <f t="shared" si="2"/>
        <v>OK</v>
      </c>
      <c r="O799" s="17" t="s">
        <v>35</v>
      </c>
      <c r="P799" s="6" t="s">
        <v>35</v>
      </c>
      <c r="Q799" s="17" t="s">
        <v>36</v>
      </c>
      <c r="R799" s="17" t="s">
        <v>5511</v>
      </c>
      <c r="S799" s="173" t="s">
        <v>38</v>
      </c>
      <c r="T799" s="11" t="s">
        <v>4416</v>
      </c>
      <c r="U799" s="22" t="s">
        <v>5310</v>
      </c>
      <c r="V799" s="22" t="s">
        <v>5310</v>
      </c>
    </row>
    <row r="800" spans="1:22" ht="29.25">
      <c r="A800" s="10" t="s">
        <v>5512</v>
      </c>
      <c r="B800" s="10" t="s">
        <v>4410</v>
      </c>
      <c r="C800" s="19" t="s">
        <v>4411</v>
      </c>
      <c r="D800" s="12"/>
      <c r="E800" s="13" t="s">
        <v>29</v>
      </c>
      <c r="F800" s="43" t="s">
        <v>29</v>
      </c>
      <c r="G800" s="6" t="str">
        <f ca="1">IFERROR(__xludf.DUMMYFUNCTION("CONCATENATE(B800,(VLOOKUP(C800,CATALOGOS!$F$2:$H$6,3,FALSE)),(VLOOKUP(T800,CATALOGOS!$J$2:$K$18,2,FALSE)),""-"",TO_TEXT(A800))"),"P24CA-0799")</f>
        <v>P24CA-0799</v>
      </c>
      <c r="H800" s="6" t="s">
        <v>5513</v>
      </c>
      <c r="I800" s="6" t="s">
        <v>5514</v>
      </c>
      <c r="J800" s="6" t="s">
        <v>5515</v>
      </c>
      <c r="K800" s="6" t="s">
        <v>5516</v>
      </c>
      <c r="L800" s="17"/>
      <c r="M800" s="17"/>
      <c r="N800" s="17" t="str">
        <f t="shared" si="2"/>
        <v>OK</v>
      </c>
      <c r="O800" s="17" t="s">
        <v>35</v>
      </c>
      <c r="P800" s="6" t="s">
        <v>35</v>
      </c>
      <c r="Q800" s="17" t="s">
        <v>5517</v>
      </c>
      <c r="R800" s="17" t="s">
        <v>5518</v>
      </c>
      <c r="S800" s="173" t="s">
        <v>38</v>
      </c>
      <c r="T800" s="11" t="s">
        <v>4416</v>
      </c>
      <c r="U800" s="22" t="s">
        <v>5310</v>
      </c>
      <c r="V800" s="22" t="s">
        <v>5310</v>
      </c>
    </row>
    <row r="801" spans="1:22" ht="57.75">
      <c r="A801" s="10" t="s">
        <v>5519</v>
      </c>
      <c r="B801" s="10" t="s">
        <v>4410</v>
      </c>
      <c r="C801" s="19" t="s">
        <v>4411</v>
      </c>
      <c r="D801" s="12"/>
      <c r="E801" s="13" t="s">
        <v>3521</v>
      </c>
      <c r="F801" s="43" t="s">
        <v>5520</v>
      </c>
      <c r="G801" s="6" t="str">
        <f ca="1">IFERROR(__xludf.DUMMYFUNCTION("CONCATENATE(B801,(VLOOKUP(C801,CATALOGOS!$F$2:$H$6,3,FALSE)),(VLOOKUP(T801,CATALOGOS!$J$2:$K$18,2,FALSE)),""-"",TO_TEXT(A801))"),"P24CA-0800")</f>
        <v>P24CA-0800</v>
      </c>
      <c r="H801" s="6" t="s">
        <v>5521</v>
      </c>
      <c r="I801" s="6" t="s">
        <v>5522</v>
      </c>
      <c r="J801" s="6" t="s">
        <v>5523</v>
      </c>
      <c r="K801" s="6" t="s">
        <v>5524</v>
      </c>
      <c r="L801" s="17"/>
      <c r="M801" s="17"/>
      <c r="N801" s="17" t="str">
        <f t="shared" si="2"/>
        <v>OK</v>
      </c>
      <c r="O801" s="17" t="s">
        <v>35</v>
      </c>
      <c r="P801" s="6" t="s">
        <v>35</v>
      </c>
      <c r="Q801" s="17" t="s">
        <v>36</v>
      </c>
      <c r="R801" s="17" t="s">
        <v>5525</v>
      </c>
      <c r="S801" s="173" t="s">
        <v>38</v>
      </c>
      <c r="T801" s="11" t="s">
        <v>4416</v>
      </c>
      <c r="U801" s="22" t="s">
        <v>5310</v>
      </c>
      <c r="V801" s="22" t="s">
        <v>5310</v>
      </c>
    </row>
    <row r="802" spans="1:22" ht="72">
      <c r="A802" s="10" t="s">
        <v>5526</v>
      </c>
      <c r="B802" s="10" t="s">
        <v>4410</v>
      </c>
      <c r="C802" s="19" t="s">
        <v>4411</v>
      </c>
      <c r="D802" s="12"/>
      <c r="E802" s="13" t="s">
        <v>116</v>
      </c>
      <c r="F802" s="43" t="s">
        <v>5527</v>
      </c>
      <c r="G802" s="6" t="str">
        <f ca="1">IFERROR(__xludf.DUMMYFUNCTION("CONCATENATE(B802,(VLOOKUP(C802,CATALOGOS!$F$2:$H$6,3,FALSE)),(VLOOKUP(T802,CATALOGOS!$J$2:$K$18,2,FALSE)),""-"",TO_TEXT(A802))"),"P24CA-0801")</f>
        <v>P24CA-0801</v>
      </c>
      <c r="H802" s="6" t="s">
        <v>5528</v>
      </c>
      <c r="I802" s="6" t="s">
        <v>5529</v>
      </c>
      <c r="J802" s="6" t="s">
        <v>5530</v>
      </c>
      <c r="K802" s="6" t="s">
        <v>5531</v>
      </c>
      <c r="L802" s="17"/>
      <c r="M802" s="17"/>
      <c r="N802" s="17" t="str">
        <f t="shared" si="2"/>
        <v>OK</v>
      </c>
      <c r="O802" s="17" t="s">
        <v>35</v>
      </c>
      <c r="P802" s="6" t="s">
        <v>35</v>
      </c>
      <c r="Q802" s="17" t="s">
        <v>36</v>
      </c>
      <c r="R802" s="17" t="s">
        <v>5532</v>
      </c>
      <c r="S802" s="173" t="s">
        <v>38</v>
      </c>
      <c r="T802" s="11" t="s">
        <v>4416</v>
      </c>
      <c r="U802" s="22" t="s">
        <v>5310</v>
      </c>
      <c r="V802" s="22" t="s">
        <v>5310</v>
      </c>
    </row>
    <row r="803" spans="1:22" ht="43.5">
      <c r="A803" s="10" t="s">
        <v>5533</v>
      </c>
      <c r="B803" s="10" t="s">
        <v>4410</v>
      </c>
      <c r="C803" s="19" t="s">
        <v>4411</v>
      </c>
      <c r="D803" s="12"/>
      <c r="E803" s="13" t="s">
        <v>43</v>
      </c>
      <c r="F803" s="43" t="s">
        <v>5232</v>
      </c>
      <c r="G803" s="6" t="str">
        <f ca="1">IFERROR(__xludf.DUMMYFUNCTION("CONCATENATE(B803,(VLOOKUP(C803,CATALOGOS!$F$2:$H$6,3,FALSE)),(VLOOKUP(T803,CATALOGOS!$J$2:$K$18,2,FALSE)),""-"",TO_TEXT(A803))"),"P24CA-0802")</f>
        <v>P24CA-0802</v>
      </c>
      <c r="H803" s="6" t="s">
        <v>5534</v>
      </c>
      <c r="I803" s="6" t="s">
        <v>5535</v>
      </c>
      <c r="J803" s="6" t="s">
        <v>5536</v>
      </c>
      <c r="K803" s="43" t="s">
        <v>5537</v>
      </c>
      <c r="L803" s="17"/>
      <c r="M803" s="17"/>
      <c r="N803" s="17" t="str">
        <f t="shared" si="2"/>
        <v>OK</v>
      </c>
      <c r="O803" s="17" t="s">
        <v>5538</v>
      </c>
      <c r="P803" s="6" t="s">
        <v>5539</v>
      </c>
      <c r="Q803" s="6" t="s">
        <v>36</v>
      </c>
      <c r="R803" s="10" t="s">
        <v>5540</v>
      </c>
      <c r="S803" s="173" t="s">
        <v>38</v>
      </c>
      <c r="T803" s="11" t="s">
        <v>4416</v>
      </c>
      <c r="U803" s="22" t="s">
        <v>5310</v>
      </c>
      <c r="V803" s="22" t="s">
        <v>5310</v>
      </c>
    </row>
    <row r="804" spans="1:22" ht="29.25">
      <c r="A804" s="10" t="s">
        <v>5541</v>
      </c>
      <c r="B804" s="10" t="s">
        <v>4410</v>
      </c>
      <c r="C804" s="19" t="s">
        <v>4411</v>
      </c>
      <c r="D804" s="12"/>
      <c r="E804" s="13" t="s">
        <v>162</v>
      </c>
      <c r="F804" s="43" t="s">
        <v>285</v>
      </c>
      <c r="G804" s="6" t="str">
        <f ca="1">IFERROR(__xludf.DUMMYFUNCTION("CONCATENATE(B804,(VLOOKUP(C804,CATALOGOS!$F$2:$H$6,3,FALSE)),(VLOOKUP(T804,CATALOGOS!$J$2:$K$18,2,FALSE)),""-"",TO_TEXT(A804))"),"P24CA-0803")</f>
        <v>P24CA-0803</v>
      </c>
      <c r="H804" s="6" t="s">
        <v>5542</v>
      </c>
      <c r="I804" s="6" t="s">
        <v>5543</v>
      </c>
      <c r="J804" s="6" t="s">
        <v>5544</v>
      </c>
      <c r="K804" s="6" t="s">
        <v>5545</v>
      </c>
      <c r="L804" s="17"/>
      <c r="M804" s="17"/>
      <c r="N804" s="17" t="str">
        <f t="shared" si="2"/>
        <v>OK</v>
      </c>
      <c r="O804" s="17" t="s">
        <v>168</v>
      </c>
      <c r="P804" s="6" t="s">
        <v>169</v>
      </c>
      <c r="Q804" s="17" t="s">
        <v>5546</v>
      </c>
      <c r="R804" s="17" t="s">
        <v>5547</v>
      </c>
      <c r="S804" s="173" t="s">
        <v>38</v>
      </c>
      <c r="T804" s="11" t="s">
        <v>4416</v>
      </c>
      <c r="U804" s="22" t="s">
        <v>5310</v>
      </c>
      <c r="V804" s="22" t="s">
        <v>5310</v>
      </c>
    </row>
    <row r="805" spans="1:22" ht="29.25">
      <c r="A805" s="10" t="s">
        <v>5548</v>
      </c>
      <c r="B805" s="10" t="s">
        <v>4410</v>
      </c>
      <c r="C805" s="19" t="s">
        <v>4411</v>
      </c>
      <c r="D805" s="12"/>
      <c r="E805" s="13" t="s">
        <v>248</v>
      </c>
      <c r="F805" s="43" t="s">
        <v>249</v>
      </c>
      <c r="G805" s="6" t="str">
        <f ca="1">IFERROR(__xludf.DUMMYFUNCTION("CONCATENATE(B805,(VLOOKUP(C805,CATALOGOS!$F$2:$H$6,3,FALSE)),(VLOOKUP(T805,CATALOGOS!$J$2:$K$18,2,FALSE)),""-"",TO_TEXT(A805))"),"P24CA-0804")</f>
        <v>P24CA-0804</v>
      </c>
      <c r="H805" s="6" t="s">
        <v>5549</v>
      </c>
      <c r="I805" s="6" t="s">
        <v>5550</v>
      </c>
      <c r="J805" s="6" t="s">
        <v>5551</v>
      </c>
      <c r="K805" s="6" t="s">
        <v>5552</v>
      </c>
      <c r="L805" s="17"/>
      <c r="M805" s="17"/>
      <c r="N805" s="17" t="str">
        <f t="shared" si="2"/>
        <v>OK</v>
      </c>
      <c r="O805" s="17" t="s">
        <v>978</v>
      </c>
      <c r="P805" s="6" t="s">
        <v>979</v>
      </c>
      <c r="Q805" s="17" t="s">
        <v>5553</v>
      </c>
      <c r="R805" s="17" t="s">
        <v>5554</v>
      </c>
      <c r="S805" s="173" t="s">
        <v>38</v>
      </c>
      <c r="T805" s="11" t="s">
        <v>4416</v>
      </c>
      <c r="U805" s="22" t="s">
        <v>5310</v>
      </c>
      <c r="V805" s="22" t="s">
        <v>5310</v>
      </c>
    </row>
    <row r="806" spans="1:22" ht="57.75">
      <c r="A806" s="10" t="s">
        <v>5555</v>
      </c>
      <c r="B806" s="10" t="s">
        <v>4410</v>
      </c>
      <c r="C806" s="19" t="s">
        <v>4411</v>
      </c>
      <c r="D806" s="12"/>
      <c r="E806" s="13" t="s">
        <v>199</v>
      </c>
      <c r="F806" s="6" t="s">
        <v>199</v>
      </c>
      <c r="G806" s="6" t="str">
        <f ca="1">IFERROR(__xludf.DUMMYFUNCTION("CONCATENATE(B806,(VLOOKUP(C806,CATALOGOS!$F$2:$H$6,3,FALSE)),(VLOOKUP(T806,CATALOGOS!$J$2:$K$18,2,FALSE)),""-"",TO_TEXT(A806))"),"P24CA-0805")</f>
        <v>P24CA-0805</v>
      </c>
      <c r="H806" s="6" t="s">
        <v>5556</v>
      </c>
      <c r="I806" s="6" t="s">
        <v>5557</v>
      </c>
      <c r="J806" s="36"/>
      <c r="K806" s="6" t="s">
        <v>5558</v>
      </c>
      <c r="L806" s="17"/>
      <c r="M806" s="17"/>
      <c r="N806" s="17" t="str">
        <f t="shared" si="2"/>
        <v>OK</v>
      </c>
      <c r="O806" s="17" t="s">
        <v>273</v>
      </c>
      <c r="P806" s="6" t="s">
        <v>274</v>
      </c>
      <c r="Q806" s="6">
        <v>11392903014323</v>
      </c>
      <c r="R806" s="10" t="s">
        <v>85</v>
      </c>
      <c r="S806" s="173" t="s">
        <v>38</v>
      </c>
      <c r="T806" s="11" t="s">
        <v>4416</v>
      </c>
      <c r="U806" s="22" t="s">
        <v>5310</v>
      </c>
      <c r="V806" s="22" t="s">
        <v>5310</v>
      </c>
    </row>
    <row r="807" spans="1:22" ht="43.5">
      <c r="A807" s="10" t="s">
        <v>5560</v>
      </c>
      <c r="B807" s="10" t="s">
        <v>4410</v>
      </c>
      <c r="C807" s="19" t="s">
        <v>4411</v>
      </c>
      <c r="D807" s="12"/>
      <c r="E807" s="13" t="s">
        <v>151</v>
      </c>
      <c r="F807" s="6" t="s">
        <v>4113</v>
      </c>
      <c r="G807" s="6" t="str">
        <f ca="1">IFERROR(__xludf.DUMMYFUNCTION("CONCATENATE(B807,(VLOOKUP(C807,CATALOGOS!$F$2:$H$6,3,FALSE)),(VLOOKUP(T807,CATALOGOS!$J$2:$K$18,2,FALSE)),""-"",TO_TEXT(A807))"),"P24CA-0806")</f>
        <v>P24CA-0806</v>
      </c>
      <c r="H807" s="6" t="s">
        <v>5561</v>
      </c>
      <c r="I807" s="6" t="s">
        <v>5562</v>
      </c>
      <c r="J807" s="36"/>
      <c r="K807" s="6" t="s">
        <v>5563</v>
      </c>
      <c r="L807" s="17"/>
      <c r="M807" s="17"/>
      <c r="N807" s="17" t="str">
        <f t="shared" si="2"/>
        <v>OK</v>
      </c>
      <c r="O807" s="17" t="s">
        <v>297</v>
      </c>
      <c r="P807" s="6" t="s">
        <v>298</v>
      </c>
      <c r="Q807" s="6" t="s">
        <v>5564</v>
      </c>
      <c r="R807" s="10" t="s">
        <v>85</v>
      </c>
      <c r="S807" s="173" t="s">
        <v>38</v>
      </c>
      <c r="T807" s="11" t="s">
        <v>4416</v>
      </c>
      <c r="U807" s="22" t="s">
        <v>5310</v>
      </c>
      <c r="V807" s="22" t="s">
        <v>5310</v>
      </c>
    </row>
    <row r="808" spans="1:22" ht="72">
      <c r="A808" s="10" t="s">
        <v>5566</v>
      </c>
      <c r="B808" s="10" t="s">
        <v>4410</v>
      </c>
      <c r="C808" s="19" t="s">
        <v>4411</v>
      </c>
      <c r="D808" s="12"/>
      <c r="E808" s="13" t="s">
        <v>184</v>
      </c>
      <c r="F808" s="43" t="s">
        <v>5318</v>
      </c>
      <c r="G808" s="6" t="str">
        <f ca="1">IFERROR(__xludf.DUMMYFUNCTION("CONCATENATE(B808,(VLOOKUP(C808,CATALOGOS!$F$2:$H$6,3,FALSE)),(VLOOKUP(T808,CATALOGOS!$J$2:$K$18,2,FALSE)),""-"",TO_TEXT(A808))"),"P24CA-0807")</f>
        <v>P24CA-0807</v>
      </c>
      <c r="H808" s="6" t="s">
        <v>5567</v>
      </c>
      <c r="I808" s="6" t="s">
        <v>5568</v>
      </c>
      <c r="J808" s="6" t="s">
        <v>5569</v>
      </c>
      <c r="K808" s="6" t="s">
        <v>5570</v>
      </c>
      <c r="L808" s="17"/>
      <c r="M808" s="17"/>
      <c r="N808" s="17" t="str">
        <f t="shared" si="2"/>
        <v>OK</v>
      </c>
      <c r="O808" s="17" t="s">
        <v>35</v>
      </c>
      <c r="P808" s="6" t="s">
        <v>35</v>
      </c>
      <c r="Q808" s="17" t="s">
        <v>36</v>
      </c>
      <c r="R808" s="17" t="s">
        <v>5565</v>
      </c>
      <c r="S808" s="173" t="s">
        <v>38</v>
      </c>
      <c r="T808" s="11" t="s">
        <v>4416</v>
      </c>
      <c r="U808" s="22" t="s">
        <v>5310</v>
      </c>
      <c r="V808" s="22" t="s">
        <v>5310</v>
      </c>
    </row>
    <row r="809" spans="1:22" ht="43.5">
      <c r="A809" s="10" t="s">
        <v>5571</v>
      </c>
      <c r="B809" s="10" t="s">
        <v>4410</v>
      </c>
      <c r="C809" s="19" t="s">
        <v>4411</v>
      </c>
      <c r="D809" s="38"/>
      <c r="E809" s="13" t="s">
        <v>1275</v>
      </c>
      <c r="F809" s="43" t="s">
        <v>1275</v>
      </c>
      <c r="G809" s="6" t="str">
        <f ca="1">IFERROR(__xludf.DUMMYFUNCTION("CONCATENATE(B809,(VLOOKUP(C809,CATALOGOS!$F$2:$H$6,3,FALSE)),(VLOOKUP(T809,CATALOGOS!$J$2:$K$18,2,FALSE)),""-"",TO_TEXT(A809))"),"P24CA-0808")</f>
        <v>P24CA-0808</v>
      </c>
      <c r="H809" s="6" t="s">
        <v>5572</v>
      </c>
      <c r="I809" s="6" t="s">
        <v>5573</v>
      </c>
      <c r="J809" s="6" t="s">
        <v>5574</v>
      </c>
      <c r="K809" s="43" t="s">
        <v>141</v>
      </c>
      <c r="L809" s="17"/>
      <c r="M809" s="17"/>
      <c r="N809" s="17" t="str">
        <f t="shared" si="2"/>
        <v>REPETIDO</v>
      </c>
      <c r="O809" s="17" t="s">
        <v>205</v>
      </c>
      <c r="P809" s="49" t="s">
        <v>5575</v>
      </c>
      <c r="Q809" s="46" t="s">
        <v>5576</v>
      </c>
      <c r="R809" s="32" t="s">
        <v>5577</v>
      </c>
      <c r="S809" s="173" t="s">
        <v>38</v>
      </c>
      <c r="T809" s="188" t="s">
        <v>4416</v>
      </c>
      <c r="U809" s="22" t="s">
        <v>5310</v>
      </c>
      <c r="V809" s="22" t="s">
        <v>5310</v>
      </c>
    </row>
    <row r="810" spans="1:22" ht="86.25">
      <c r="A810" s="10" t="s">
        <v>5578</v>
      </c>
      <c r="B810" s="10" t="s">
        <v>4410</v>
      </c>
      <c r="C810" s="19" t="s">
        <v>4411</v>
      </c>
      <c r="D810" s="12"/>
      <c r="E810" s="13" t="s">
        <v>62</v>
      </c>
      <c r="F810" s="6" t="s">
        <v>4982</v>
      </c>
      <c r="G810" s="6" t="str">
        <f ca="1">IFERROR(__xludf.DUMMYFUNCTION("CONCATENATE(B810,(VLOOKUP(C810,CATALOGOS!$F$2:$H$6,3,FALSE)),(VLOOKUP(T810,CATALOGOS!$J$2:$K$18,2,FALSE)),""-"",TO_TEXT(A810))"),"P24CA-0809")</f>
        <v>P24CA-0809</v>
      </c>
      <c r="H810" s="6" t="s">
        <v>5579</v>
      </c>
      <c r="I810" s="6" t="s">
        <v>5580</v>
      </c>
      <c r="J810" s="6" t="s">
        <v>5581</v>
      </c>
      <c r="K810" s="6" t="s">
        <v>5582</v>
      </c>
      <c r="L810" s="17"/>
      <c r="M810" s="17"/>
      <c r="N810" s="17" t="str">
        <f t="shared" si="2"/>
        <v>OK</v>
      </c>
      <c r="O810" s="17" t="s">
        <v>35</v>
      </c>
      <c r="P810" s="6" t="s">
        <v>35</v>
      </c>
      <c r="Q810" s="17" t="s">
        <v>36</v>
      </c>
      <c r="R810" s="17" t="s">
        <v>5583</v>
      </c>
      <c r="S810" s="173" t="s">
        <v>38</v>
      </c>
      <c r="T810" s="11" t="s">
        <v>4416</v>
      </c>
      <c r="U810" s="22" t="s">
        <v>5584</v>
      </c>
      <c r="V810" s="22" t="s">
        <v>5584</v>
      </c>
    </row>
    <row r="811" spans="1:22" ht="86.25">
      <c r="A811" s="10" t="s">
        <v>5585</v>
      </c>
      <c r="B811" s="10" t="s">
        <v>4410</v>
      </c>
      <c r="C811" s="19" t="s">
        <v>4411</v>
      </c>
      <c r="D811" s="12"/>
      <c r="E811" s="13" t="s">
        <v>29</v>
      </c>
      <c r="F811" s="6" t="s">
        <v>5586</v>
      </c>
      <c r="G811" s="6" t="str">
        <f ca="1">IFERROR(__xludf.DUMMYFUNCTION("CONCATENATE(B811,(VLOOKUP(C811,CATALOGOS!$F$2:$H$6,3,FALSE)),(VLOOKUP(T811,CATALOGOS!$J$2:$K$18,2,FALSE)),""-"",TO_TEXT(A811))"),"P24CA-0810")</f>
        <v>P24CA-0810</v>
      </c>
      <c r="H811" s="6" t="s">
        <v>5587</v>
      </c>
      <c r="I811" s="6" t="s">
        <v>5588</v>
      </c>
      <c r="J811" s="6" t="s">
        <v>5589</v>
      </c>
      <c r="K811" s="6" t="s">
        <v>5590</v>
      </c>
      <c r="L811" s="17"/>
      <c r="M811" s="17"/>
      <c r="N811" s="17" t="str">
        <f t="shared" si="2"/>
        <v>OK</v>
      </c>
      <c r="O811" s="17" t="s">
        <v>35</v>
      </c>
      <c r="P811" s="6" t="s">
        <v>35</v>
      </c>
      <c r="Q811" s="17" t="s">
        <v>36</v>
      </c>
      <c r="R811" s="17" t="s">
        <v>5591</v>
      </c>
      <c r="S811" s="179" t="s">
        <v>517</v>
      </c>
      <c r="T811" s="11" t="s">
        <v>4416</v>
      </c>
      <c r="U811" s="22" t="s">
        <v>5584</v>
      </c>
      <c r="V811" s="22" t="s">
        <v>5584</v>
      </c>
    </row>
    <row r="812" spans="1:22" ht="29.25">
      <c r="A812" s="10" t="s">
        <v>5592</v>
      </c>
      <c r="B812" s="10" t="s">
        <v>4410</v>
      </c>
      <c r="C812" s="19" t="s">
        <v>4411</v>
      </c>
      <c r="D812" s="12"/>
      <c r="E812" s="13" t="s">
        <v>387</v>
      </c>
      <c r="F812" s="43" t="s">
        <v>387</v>
      </c>
      <c r="G812" s="6" t="str">
        <f ca="1">IFERROR(__xludf.DUMMYFUNCTION("CONCATENATE(B812,(VLOOKUP(C812,CATALOGOS!$F$2:$H$6,3,FALSE)),(VLOOKUP(T812,CATALOGOS!$J$2:$K$18,2,FALSE)),""-"",TO_TEXT(A812))"),"P24CA-0811")</f>
        <v>P24CA-0811</v>
      </c>
      <c r="H812" s="6" t="s">
        <v>5593</v>
      </c>
      <c r="I812" s="6" t="s">
        <v>5594</v>
      </c>
      <c r="J812" s="6" t="s">
        <v>5595</v>
      </c>
      <c r="K812" s="43" t="s">
        <v>5596</v>
      </c>
      <c r="L812" s="17"/>
      <c r="M812" s="17"/>
      <c r="N812" s="17" t="str">
        <f t="shared" si="2"/>
        <v>OK</v>
      </c>
      <c r="O812" s="17" t="s">
        <v>5597</v>
      </c>
      <c r="P812" s="6" t="s">
        <v>5598</v>
      </c>
      <c r="Q812" s="17" t="s">
        <v>36</v>
      </c>
      <c r="R812" s="17" t="s">
        <v>5599</v>
      </c>
      <c r="S812" s="173" t="s">
        <v>38</v>
      </c>
      <c r="T812" s="11" t="s">
        <v>4416</v>
      </c>
      <c r="U812" s="22" t="s">
        <v>5584</v>
      </c>
      <c r="V812" s="22" t="s">
        <v>5584</v>
      </c>
    </row>
    <row r="813" spans="1:22" ht="57.75">
      <c r="A813" s="10" t="s">
        <v>5600</v>
      </c>
      <c r="B813" s="10" t="s">
        <v>4410</v>
      </c>
      <c r="C813" s="19" t="s">
        <v>4411</v>
      </c>
      <c r="D813" s="12"/>
      <c r="E813" s="13" t="s">
        <v>850</v>
      </c>
      <c r="F813" s="43" t="s">
        <v>851</v>
      </c>
      <c r="G813" s="6" t="str">
        <f ca="1">IFERROR(__xludf.DUMMYFUNCTION("CONCATENATE(B813,(VLOOKUP(C813,CATALOGOS!$F$2:$H$6,3,FALSE)),(VLOOKUP(T813,CATALOGOS!$J$2:$K$18,2,FALSE)),""-"",TO_TEXT(A813))"),"P24CA-0812")</f>
        <v>P24CA-0812</v>
      </c>
      <c r="H813" s="6" t="s">
        <v>5601</v>
      </c>
      <c r="I813" s="6" t="s">
        <v>5602</v>
      </c>
      <c r="J813" s="6" t="s">
        <v>5603</v>
      </c>
      <c r="K813" s="6" t="s">
        <v>5604</v>
      </c>
      <c r="L813" s="17"/>
      <c r="M813" s="17"/>
      <c r="N813" s="17" t="str">
        <f t="shared" si="2"/>
        <v>OK</v>
      </c>
      <c r="O813" s="17" t="s">
        <v>856</v>
      </c>
      <c r="P813" s="6" t="s">
        <v>5605</v>
      </c>
      <c r="Q813" s="6" t="s">
        <v>36</v>
      </c>
      <c r="R813" s="10" t="s">
        <v>5606</v>
      </c>
      <c r="S813" s="173" t="s">
        <v>38</v>
      </c>
      <c r="T813" s="11" t="s">
        <v>4416</v>
      </c>
      <c r="U813" s="22" t="s">
        <v>5584</v>
      </c>
      <c r="V813" s="22" t="s">
        <v>5584</v>
      </c>
    </row>
    <row r="814" spans="1:22" ht="86.25">
      <c r="A814" s="10" t="s">
        <v>5607</v>
      </c>
      <c r="B814" s="10" t="s">
        <v>4410</v>
      </c>
      <c r="C814" s="19" t="s">
        <v>4411</v>
      </c>
      <c r="D814" s="12"/>
      <c r="E814" s="13" t="s">
        <v>3521</v>
      </c>
      <c r="F814" s="6" t="s">
        <v>5608</v>
      </c>
      <c r="G814" s="6" t="str">
        <f ca="1">IFERROR(__xludf.DUMMYFUNCTION("CONCATENATE(B814,(VLOOKUP(C814,CATALOGOS!$F$2:$H$6,3,FALSE)),(VLOOKUP(T814,CATALOGOS!$J$2:$K$18,2,FALSE)),""-"",TO_TEXT(A814))"),"P24CA-0813")</f>
        <v>P24CA-0813</v>
      </c>
      <c r="H814" s="6" t="s">
        <v>5609</v>
      </c>
      <c r="I814" s="6" t="s">
        <v>5610</v>
      </c>
      <c r="J814" s="6" t="s">
        <v>5611</v>
      </c>
      <c r="K814" s="6" t="s">
        <v>5612</v>
      </c>
      <c r="L814" s="17"/>
      <c r="M814" s="17"/>
      <c r="N814" s="17" t="str">
        <f t="shared" si="2"/>
        <v>OK</v>
      </c>
      <c r="O814" s="17" t="s">
        <v>35</v>
      </c>
      <c r="P814" s="6" t="s">
        <v>35</v>
      </c>
      <c r="Q814" s="17" t="s">
        <v>36</v>
      </c>
      <c r="R814" s="17" t="s">
        <v>5613</v>
      </c>
      <c r="S814" s="173" t="s">
        <v>38</v>
      </c>
      <c r="T814" s="11" t="s">
        <v>4416</v>
      </c>
      <c r="U814" s="22" t="s">
        <v>5584</v>
      </c>
      <c r="V814" s="22" t="s">
        <v>5584</v>
      </c>
    </row>
    <row r="815" spans="1:22" ht="72">
      <c r="A815" s="10" t="s">
        <v>5614</v>
      </c>
      <c r="B815" s="10" t="s">
        <v>4410</v>
      </c>
      <c r="C815" s="19" t="s">
        <v>4411</v>
      </c>
      <c r="D815" s="12"/>
      <c r="E815" s="13" t="s">
        <v>116</v>
      </c>
      <c r="F815" s="6" t="s">
        <v>5615</v>
      </c>
      <c r="G815" s="6" t="str">
        <f ca="1">IFERROR(__xludf.DUMMYFUNCTION("CONCATENATE(B815,(VLOOKUP(C815,CATALOGOS!$F$2:$H$6,3,FALSE)),(VLOOKUP(T815,CATALOGOS!$J$2:$K$18,2,FALSE)),""-"",TO_TEXT(A815))"),"P24CA-0814")</f>
        <v>P24CA-0814</v>
      </c>
      <c r="H815" s="6" t="s">
        <v>5616</v>
      </c>
      <c r="I815" s="6" t="s">
        <v>5617</v>
      </c>
      <c r="J815" s="6" t="s">
        <v>5618</v>
      </c>
      <c r="K815" s="6" t="s">
        <v>5619</v>
      </c>
      <c r="L815" s="17"/>
      <c r="M815" s="17"/>
      <c r="N815" s="17" t="str">
        <f t="shared" si="2"/>
        <v>OK</v>
      </c>
      <c r="O815" s="17" t="s">
        <v>35</v>
      </c>
      <c r="P815" s="6" t="s">
        <v>35</v>
      </c>
      <c r="Q815" s="17" t="s">
        <v>36</v>
      </c>
      <c r="R815" s="17" t="s">
        <v>5620</v>
      </c>
      <c r="S815" s="179" t="s">
        <v>100</v>
      </c>
      <c r="T815" s="11" t="s">
        <v>4416</v>
      </c>
      <c r="U815" s="22" t="s">
        <v>5584</v>
      </c>
      <c r="V815" s="22" t="s">
        <v>5584</v>
      </c>
    </row>
    <row r="816" spans="1:22" ht="43.5">
      <c r="A816" s="10" t="s">
        <v>5621</v>
      </c>
      <c r="B816" s="10" t="s">
        <v>4410</v>
      </c>
      <c r="C816" s="19" t="s">
        <v>4411</v>
      </c>
      <c r="D816" s="12"/>
      <c r="E816" s="13" t="s">
        <v>378</v>
      </c>
      <c r="F816" s="6" t="s">
        <v>1306</v>
      </c>
      <c r="G816" s="6" t="str">
        <f ca="1">IFERROR(__xludf.DUMMYFUNCTION("CONCATENATE(B816,(VLOOKUP(C816,CATALOGOS!$F$2:$H$6,3,FALSE)),(VLOOKUP(T816,CATALOGOS!$J$2:$K$18,2,FALSE)),""-"",TO_TEXT(A816))"),"P24CA-0815")</f>
        <v>P24CA-0815</v>
      </c>
      <c r="H816" s="6" t="s">
        <v>5622</v>
      </c>
      <c r="I816" s="6" t="s">
        <v>5623</v>
      </c>
      <c r="J816" s="6" t="s">
        <v>5624</v>
      </c>
      <c r="K816" s="6" t="s">
        <v>5625</v>
      </c>
      <c r="L816" s="17"/>
      <c r="M816" s="17"/>
      <c r="N816" s="17" t="str">
        <f t="shared" si="2"/>
        <v>OK</v>
      </c>
      <c r="O816" s="17" t="s">
        <v>35</v>
      </c>
      <c r="P816" s="6" t="s">
        <v>35</v>
      </c>
      <c r="Q816" s="17" t="s">
        <v>36</v>
      </c>
      <c r="R816" s="17" t="s">
        <v>5626</v>
      </c>
      <c r="S816" s="173" t="s">
        <v>38</v>
      </c>
      <c r="T816" s="11" t="s">
        <v>4416</v>
      </c>
      <c r="U816" s="22" t="s">
        <v>5584</v>
      </c>
      <c r="V816" s="22" t="s">
        <v>5584</v>
      </c>
    </row>
    <row r="817" spans="1:22" ht="43.5">
      <c r="A817" s="10" t="s">
        <v>5627</v>
      </c>
      <c r="B817" s="10" t="s">
        <v>4410</v>
      </c>
      <c r="C817" s="19" t="s">
        <v>4411</v>
      </c>
      <c r="D817" s="12"/>
      <c r="E817" s="13" t="s">
        <v>378</v>
      </c>
      <c r="F817" s="6" t="s">
        <v>1306</v>
      </c>
      <c r="G817" s="6" t="str">
        <f ca="1">IFERROR(__xludf.DUMMYFUNCTION("CONCATENATE(B817,(VLOOKUP(C817,CATALOGOS!$F$2:$H$6,3,FALSE)),(VLOOKUP(T817,CATALOGOS!$J$2:$K$18,2,FALSE)),""-"",TO_TEXT(A817))"),"P24CA-0816")</f>
        <v>P24CA-0816</v>
      </c>
      <c r="H817" s="6" t="s">
        <v>5628</v>
      </c>
      <c r="I817" s="6" t="s">
        <v>5629</v>
      </c>
      <c r="J817" s="6" t="s">
        <v>5630</v>
      </c>
      <c r="K817" s="6" t="s">
        <v>5631</v>
      </c>
      <c r="L817" s="17"/>
      <c r="M817" s="17"/>
      <c r="N817" s="17" t="str">
        <f t="shared" si="2"/>
        <v>OK</v>
      </c>
      <c r="O817" s="17" t="s">
        <v>35</v>
      </c>
      <c r="P817" s="6" t="s">
        <v>35</v>
      </c>
      <c r="Q817" s="17" t="s">
        <v>36</v>
      </c>
      <c r="R817" s="17" t="s">
        <v>5632</v>
      </c>
      <c r="S817" s="173" t="s">
        <v>38</v>
      </c>
      <c r="T817" s="11" t="s">
        <v>4416</v>
      </c>
      <c r="U817" s="22" t="s">
        <v>5584</v>
      </c>
      <c r="V817" s="22" t="s">
        <v>5584</v>
      </c>
    </row>
    <row r="818" spans="1:22" ht="43.5">
      <c r="A818" s="10" t="s">
        <v>5633</v>
      </c>
      <c r="B818" s="10" t="s">
        <v>4410</v>
      </c>
      <c r="C818" s="19" t="s">
        <v>4411</v>
      </c>
      <c r="D818" s="12"/>
      <c r="E818" s="13" t="s">
        <v>378</v>
      </c>
      <c r="F818" s="6" t="s">
        <v>1306</v>
      </c>
      <c r="G818" s="6" t="str">
        <f ca="1">IFERROR(__xludf.DUMMYFUNCTION("CONCATENATE(B818,(VLOOKUP(C818,CATALOGOS!$F$2:$H$6,3,FALSE)),(VLOOKUP(T818,CATALOGOS!$J$2:$K$18,2,FALSE)),""-"",TO_TEXT(A818))"),"P24CA-0817")</f>
        <v>P24CA-0817</v>
      </c>
      <c r="H818" s="6" t="s">
        <v>5634</v>
      </c>
      <c r="I818" s="6" t="s">
        <v>5635</v>
      </c>
      <c r="J818" s="6" t="s">
        <v>5636</v>
      </c>
      <c r="K818" s="43" t="s">
        <v>5637</v>
      </c>
      <c r="L818" s="17"/>
      <c r="M818" s="17"/>
      <c r="N818" s="17" t="str">
        <f t="shared" si="2"/>
        <v>OK</v>
      </c>
      <c r="O818" s="17" t="s">
        <v>35</v>
      </c>
      <c r="P818" s="6" t="s">
        <v>35</v>
      </c>
      <c r="Q818" s="17" t="s">
        <v>36</v>
      </c>
      <c r="R818" s="17" t="s">
        <v>5638</v>
      </c>
      <c r="S818" s="173" t="s">
        <v>38</v>
      </c>
      <c r="T818" s="11" t="s">
        <v>4416</v>
      </c>
      <c r="U818" s="22" t="s">
        <v>5584</v>
      </c>
      <c r="V818" s="22" t="s">
        <v>5584</v>
      </c>
    </row>
    <row r="819" spans="1:22" ht="57.75">
      <c r="A819" s="10" t="s">
        <v>5639</v>
      </c>
      <c r="B819" s="10" t="s">
        <v>4410</v>
      </c>
      <c r="C819" s="19" t="s">
        <v>4411</v>
      </c>
      <c r="D819" s="12"/>
      <c r="E819" s="13" t="s">
        <v>184</v>
      </c>
      <c r="F819" s="6" t="s">
        <v>2677</v>
      </c>
      <c r="G819" s="6" t="str">
        <f ca="1">IFERROR(__xludf.DUMMYFUNCTION("CONCATENATE(B819,(VLOOKUP(C819,CATALOGOS!$F$2:$H$6,3,FALSE)),(VLOOKUP(T819,CATALOGOS!$J$2:$K$18,2,FALSE)),""-"",TO_TEXT(A819))"),"P24CA-0818")</f>
        <v>P24CA-0818</v>
      </c>
      <c r="H819" s="6" t="s">
        <v>5640</v>
      </c>
      <c r="I819" s="6" t="s">
        <v>5641</v>
      </c>
      <c r="J819" s="6" t="s">
        <v>5642</v>
      </c>
      <c r="K819" s="6" t="s">
        <v>5643</v>
      </c>
      <c r="L819" s="17"/>
      <c r="M819" s="17"/>
      <c r="N819" s="17" t="str">
        <f t="shared" si="2"/>
        <v>OK</v>
      </c>
      <c r="O819" s="17" t="s">
        <v>35</v>
      </c>
      <c r="P819" s="6" t="s">
        <v>35</v>
      </c>
      <c r="Q819" s="17" t="s">
        <v>36</v>
      </c>
      <c r="R819" s="17" t="s">
        <v>5644</v>
      </c>
      <c r="S819" s="179" t="s">
        <v>100</v>
      </c>
      <c r="T819" s="11" t="s">
        <v>4416</v>
      </c>
      <c r="U819" s="22" t="s">
        <v>5584</v>
      </c>
      <c r="V819" s="22" t="s">
        <v>5584</v>
      </c>
    </row>
    <row r="820" spans="1:22" ht="43.5">
      <c r="A820" s="10" t="s">
        <v>5645</v>
      </c>
      <c r="B820" s="10" t="s">
        <v>4410</v>
      </c>
      <c r="C820" s="19" t="s">
        <v>4411</v>
      </c>
      <c r="D820" s="12"/>
      <c r="E820" s="13" t="s">
        <v>43</v>
      </c>
      <c r="F820" s="6" t="s">
        <v>5232</v>
      </c>
      <c r="G820" s="6" t="str">
        <f ca="1">IFERROR(__xludf.DUMMYFUNCTION("CONCATENATE(B820,(VLOOKUP(C820,CATALOGOS!$F$2:$H$6,3,FALSE)),(VLOOKUP(T820,CATALOGOS!$J$2:$K$18,2,FALSE)),""-"",TO_TEXT(A820))"),"P24CA-0819")</f>
        <v>P24CA-0819</v>
      </c>
      <c r="H820" s="6" t="s">
        <v>5646</v>
      </c>
      <c r="I820" s="6" t="s">
        <v>5647</v>
      </c>
      <c r="J820" s="6" t="s">
        <v>5648</v>
      </c>
      <c r="K820" s="6" t="s">
        <v>5649</v>
      </c>
      <c r="L820" s="17"/>
      <c r="M820" s="17"/>
      <c r="N820" s="17" t="str">
        <f t="shared" si="2"/>
        <v>OK</v>
      </c>
      <c r="O820" s="17" t="s">
        <v>5538</v>
      </c>
      <c r="P820" s="6" t="s">
        <v>5539</v>
      </c>
      <c r="Q820" s="6" t="s">
        <v>36</v>
      </c>
      <c r="R820" s="10" t="s">
        <v>5650</v>
      </c>
      <c r="S820" s="179" t="s">
        <v>517</v>
      </c>
      <c r="T820" s="11" t="s">
        <v>4416</v>
      </c>
      <c r="U820" s="22" t="s">
        <v>5584</v>
      </c>
      <c r="V820" s="22" t="s">
        <v>5584</v>
      </c>
    </row>
    <row r="821" spans="1:22" ht="43.5">
      <c r="A821" s="10" t="s">
        <v>5651</v>
      </c>
      <c r="B821" s="10" t="s">
        <v>4410</v>
      </c>
      <c r="C821" s="19" t="s">
        <v>4411</v>
      </c>
      <c r="D821" s="12"/>
      <c r="E821" s="13" t="s">
        <v>93</v>
      </c>
      <c r="F821" s="6" t="s">
        <v>5652</v>
      </c>
      <c r="G821" s="6" t="str">
        <f ca="1">IFERROR(__xludf.DUMMYFUNCTION("CONCATENATE(B821,(VLOOKUP(C821,CATALOGOS!$F$2:$H$6,3,FALSE)),(VLOOKUP(T821,CATALOGOS!$J$2:$K$18,2,FALSE)),""-"",TO_TEXT(A821))"),"P24CA-0820")</f>
        <v>P24CA-0820</v>
      </c>
      <c r="H821" s="6" t="s">
        <v>5653</v>
      </c>
      <c r="I821" s="6" t="s">
        <v>5654</v>
      </c>
      <c r="J821" s="6" t="s">
        <v>5655</v>
      </c>
      <c r="K821" s="6" t="s">
        <v>5656</v>
      </c>
      <c r="L821" s="17"/>
      <c r="M821" s="17"/>
      <c r="N821" s="17" t="str">
        <f t="shared" si="2"/>
        <v>OK</v>
      </c>
      <c r="O821" s="17" t="s">
        <v>35</v>
      </c>
      <c r="P821" s="6" t="s">
        <v>35</v>
      </c>
      <c r="Q821" s="17" t="s">
        <v>36</v>
      </c>
      <c r="R821" s="17" t="s">
        <v>5657</v>
      </c>
      <c r="S821" s="173" t="s">
        <v>38</v>
      </c>
      <c r="T821" s="11" t="s">
        <v>4416</v>
      </c>
      <c r="U821" s="22" t="s">
        <v>5584</v>
      </c>
      <c r="V821" s="22" t="s">
        <v>5584</v>
      </c>
    </row>
    <row r="822" spans="1:22" ht="29.25">
      <c r="A822" s="10" t="s">
        <v>5658</v>
      </c>
      <c r="B822" s="10" t="s">
        <v>4410</v>
      </c>
      <c r="C822" s="19" t="s">
        <v>4411</v>
      </c>
      <c r="D822" s="12"/>
      <c r="E822" s="13" t="s">
        <v>162</v>
      </c>
      <c r="F822" s="43" t="s">
        <v>285</v>
      </c>
      <c r="G822" s="6" t="str">
        <f ca="1">IFERROR(__xludf.DUMMYFUNCTION("CONCATENATE(B822,(VLOOKUP(C822,CATALOGOS!$F$2:$H$6,3,FALSE)),(VLOOKUP(T822,CATALOGOS!$J$2:$K$18,2,FALSE)),""-"",TO_TEXT(A822))"),"P24CA-0821")</f>
        <v>P24CA-0821</v>
      </c>
      <c r="H822" s="6" t="s">
        <v>5659</v>
      </c>
      <c r="I822" s="6" t="s">
        <v>5660</v>
      </c>
      <c r="J822" s="6" t="s">
        <v>5661</v>
      </c>
      <c r="K822" s="6" t="s">
        <v>5662</v>
      </c>
      <c r="L822" s="17"/>
      <c r="M822" s="17"/>
      <c r="N822" s="17" t="str">
        <f t="shared" si="2"/>
        <v>OK</v>
      </c>
      <c r="O822" s="17" t="s">
        <v>168</v>
      </c>
      <c r="P822" s="6" t="s">
        <v>169</v>
      </c>
      <c r="Q822" s="17" t="s">
        <v>5663</v>
      </c>
      <c r="R822" s="17" t="s">
        <v>5664</v>
      </c>
      <c r="S822" s="179" t="s">
        <v>100</v>
      </c>
      <c r="T822" s="11" t="s">
        <v>4416</v>
      </c>
      <c r="U822" s="22" t="s">
        <v>5584</v>
      </c>
      <c r="V822" s="22" t="s">
        <v>5584</v>
      </c>
    </row>
    <row r="823" spans="1:22" ht="29.25">
      <c r="A823" s="10" t="s">
        <v>5665</v>
      </c>
      <c r="B823" s="10" t="s">
        <v>4410</v>
      </c>
      <c r="C823" s="19" t="s">
        <v>4411</v>
      </c>
      <c r="D823" s="12"/>
      <c r="E823" s="13" t="s">
        <v>248</v>
      </c>
      <c r="F823" s="43" t="s">
        <v>248</v>
      </c>
      <c r="G823" s="6" t="str">
        <f ca="1">IFERROR(__xludf.DUMMYFUNCTION("CONCATENATE(B823,(VLOOKUP(C823,CATALOGOS!$F$2:$H$6,3,FALSE)),(VLOOKUP(T823,CATALOGOS!$J$2:$K$18,2,FALSE)),""-"",TO_TEXT(A823))"),"P24CA-0822")</f>
        <v>P24CA-0822</v>
      </c>
      <c r="H823" s="6" t="s">
        <v>5666</v>
      </c>
      <c r="I823" s="6" t="s">
        <v>5667</v>
      </c>
      <c r="J823" s="6" t="s">
        <v>5668</v>
      </c>
      <c r="K823" s="6" t="s">
        <v>5669</v>
      </c>
      <c r="L823" s="17"/>
      <c r="M823" s="17"/>
      <c r="N823" s="17" t="str">
        <f t="shared" si="2"/>
        <v>OK</v>
      </c>
      <c r="O823" s="17" t="s">
        <v>978</v>
      </c>
      <c r="P823" s="6" t="s">
        <v>979</v>
      </c>
      <c r="Q823" s="17" t="s">
        <v>5670</v>
      </c>
      <c r="R823" s="17" t="s">
        <v>5671</v>
      </c>
      <c r="S823" s="173" t="s">
        <v>38</v>
      </c>
      <c r="T823" s="11" t="s">
        <v>4416</v>
      </c>
      <c r="U823" s="22" t="s">
        <v>5584</v>
      </c>
      <c r="V823" s="22" t="s">
        <v>5584</v>
      </c>
    </row>
    <row r="824" spans="1:22" ht="57.75">
      <c r="A824" s="10" t="s">
        <v>5672</v>
      </c>
      <c r="B824" s="10" t="s">
        <v>4410</v>
      </c>
      <c r="C824" s="19" t="s">
        <v>4411</v>
      </c>
      <c r="D824" s="12"/>
      <c r="E824" s="13" t="s">
        <v>199</v>
      </c>
      <c r="F824" s="6" t="s">
        <v>199</v>
      </c>
      <c r="G824" s="6" t="str">
        <f ca="1">IFERROR(__xludf.DUMMYFUNCTION("CONCATENATE(B824,(VLOOKUP(C824,CATALOGOS!$F$2:$H$6,3,FALSE)),(VLOOKUP(T824,CATALOGOS!$J$2:$K$18,2,FALSE)),""-"",TO_TEXT(A824))"),"P24CA-0823")</f>
        <v>P24CA-0823</v>
      </c>
      <c r="H824" s="6" t="s">
        <v>5673</v>
      </c>
      <c r="I824" s="6" t="s">
        <v>5674</v>
      </c>
      <c r="J824" s="36"/>
      <c r="K824" s="6" t="s">
        <v>5675</v>
      </c>
      <c r="L824" s="17"/>
      <c r="M824" s="17"/>
      <c r="N824" s="17" t="str">
        <f t="shared" si="2"/>
        <v>OK</v>
      </c>
      <c r="O824" s="17" t="s">
        <v>273</v>
      </c>
      <c r="P824" s="6" t="s">
        <v>274</v>
      </c>
      <c r="Q824" s="6">
        <v>11392903012333</v>
      </c>
      <c r="R824" s="10" t="s">
        <v>85</v>
      </c>
      <c r="S824" s="173" t="s">
        <v>38</v>
      </c>
      <c r="T824" s="11" t="s">
        <v>4416</v>
      </c>
      <c r="U824" s="22" t="s">
        <v>5584</v>
      </c>
      <c r="V824" s="22" t="s">
        <v>5584</v>
      </c>
    </row>
    <row r="825" spans="1:22" ht="29.25">
      <c r="A825" s="10" t="s">
        <v>5676</v>
      </c>
      <c r="B825" s="10" t="s">
        <v>4410</v>
      </c>
      <c r="C825" s="19" t="s">
        <v>4411</v>
      </c>
      <c r="D825" s="12"/>
      <c r="E825" s="13" t="s">
        <v>151</v>
      </c>
      <c r="F825" s="6" t="s">
        <v>2236</v>
      </c>
      <c r="G825" s="6" t="str">
        <f ca="1">IFERROR(__xludf.DUMMYFUNCTION("CONCATENATE(B825,(VLOOKUP(C825,CATALOGOS!$F$2:$H$6,3,FALSE)),(VLOOKUP(T825,CATALOGOS!$J$2:$K$18,2,FALSE)),""-"",TO_TEXT(A825))"),"P24CA-0824")</f>
        <v>P24CA-0824</v>
      </c>
      <c r="H825" s="6" t="s">
        <v>5677</v>
      </c>
      <c r="I825" s="6" t="s">
        <v>5678</v>
      </c>
      <c r="J825" s="6" t="s">
        <v>5679</v>
      </c>
      <c r="K825" s="6" t="s">
        <v>5680</v>
      </c>
      <c r="L825" s="17"/>
      <c r="M825" s="17"/>
      <c r="N825" s="17" t="str">
        <f t="shared" si="2"/>
        <v>OK</v>
      </c>
      <c r="O825" s="17" t="s">
        <v>1220</v>
      </c>
      <c r="P825" s="6" t="s">
        <v>720</v>
      </c>
      <c r="Q825" s="17" t="s">
        <v>5681</v>
      </c>
      <c r="R825" s="17" t="s">
        <v>5682</v>
      </c>
      <c r="S825" s="173" t="s">
        <v>38</v>
      </c>
      <c r="T825" s="11" t="s">
        <v>4416</v>
      </c>
      <c r="U825" s="22" t="s">
        <v>5584</v>
      </c>
      <c r="V825" s="22" t="s">
        <v>5584</v>
      </c>
    </row>
    <row r="826" spans="1:22" ht="43.5">
      <c r="A826" s="10" t="s">
        <v>5683</v>
      </c>
      <c r="B826" s="10" t="s">
        <v>4410</v>
      </c>
      <c r="C826" s="19" t="s">
        <v>4411</v>
      </c>
      <c r="D826" s="38"/>
      <c r="E826" s="13" t="s">
        <v>151</v>
      </c>
      <c r="F826" s="6" t="s">
        <v>4113</v>
      </c>
      <c r="G826" s="6" t="str">
        <f ca="1">IFERROR(__xludf.DUMMYFUNCTION("CONCATENATE(B826,(VLOOKUP(C826,CATALOGOS!$F$2:$H$6,3,FALSE)),(VLOOKUP(T826,CATALOGOS!$J$2:$K$18,2,FALSE)),""-"",TO_TEXT(A826))"),"P24CA-0825")</f>
        <v>P24CA-0825</v>
      </c>
      <c r="H826" s="6" t="s">
        <v>5684</v>
      </c>
      <c r="I826" s="6" t="s">
        <v>5685</v>
      </c>
      <c r="J826" s="36"/>
      <c r="K826" s="6" t="s">
        <v>5686</v>
      </c>
      <c r="L826" s="17"/>
      <c r="M826" s="17"/>
      <c r="N826" s="17" t="str">
        <f t="shared" si="2"/>
        <v>OK</v>
      </c>
      <c r="O826" s="17" t="s">
        <v>297</v>
      </c>
      <c r="P826" s="6" t="s">
        <v>298</v>
      </c>
      <c r="Q826" s="6" t="s">
        <v>5687</v>
      </c>
      <c r="R826" s="32" t="s">
        <v>85</v>
      </c>
      <c r="S826" s="173" t="s">
        <v>38</v>
      </c>
      <c r="T826" s="11" t="s">
        <v>4416</v>
      </c>
      <c r="U826" s="22" t="s">
        <v>5584</v>
      </c>
      <c r="V826" s="22" t="s">
        <v>5584</v>
      </c>
    </row>
    <row r="827" spans="1:22" ht="100.5">
      <c r="A827" s="10" t="s">
        <v>5688</v>
      </c>
      <c r="B827" s="10" t="s">
        <v>4410</v>
      </c>
      <c r="C827" s="19" t="s">
        <v>4411</v>
      </c>
      <c r="D827" s="12"/>
      <c r="E827" s="13" t="s">
        <v>501</v>
      </c>
      <c r="F827" s="6" t="s">
        <v>5689</v>
      </c>
      <c r="G827" s="6" t="str">
        <f ca="1">IFERROR(__xludf.DUMMYFUNCTION("CONCATENATE(B827,(VLOOKUP(C827,CATALOGOS!$F$2:$H$6,3,FALSE)),(VLOOKUP(T827,CATALOGOS!$J$2:$K$18,2,FALSE)),""-"",TO_TEXT(A827))"),"P24NV-0826")</f>
        <v>P24NV-0826</v>
      </c>
      <c r="H827" s="6" t="s">
        <v>5690</v>
      </c>
      <c r="I827" s="6" t="s">
        <v>5691</v>
      </c>
      <c r="J827" s="6" t="s">
        <v>5692</v>
      </c>
      <c r="K827" s="80" t="s">
        <v>5693</v>
      </c>
      <c r="L827" s="17"/>
      <c r="M827" s="17"/>
      <c r="N827" s="17" t="str">
        <f t="shared" si="2"/>
        <v>OK</v>
      </c>
      <c r="O827" s="17" t="s">
        <v>35</v>
      </c>
      <c r="P827" s="6" t="s">
        <v>35</v>
      </c>
      <c r="Q827" s="17" t="s">
        <v>36</v>
      </c>
      <c r="R827" s="17" t="s">
        <v>5694</v>
      </c>
      <c r="S827" s="173" t="s">
        <v>38</v>
      </c>
      <c r="T827" s="181" t="s">
        <v>5695</v>
      </c>
      <c r="U827" s="22" t="s">
        <v>5696</v>
      </c>
      <c r="V827" s="22" t="s">
        <v>5696</v>
      </c>
    </row>
    <row r="828" spans="1:22" ht="57.75">
      <c r="A828" s="10" t="s">
        <v>5697</v>
      </c>
      <c r="B828" s="10" t="s">
        <v>4410</v>
      </c>
      <c r="C828" s="19" t="s">
        <v>4411</v>
      </c>
      <c r="D828" s="12"/>
      <c r="E828" s="13" t="s">
        <v>378</v>
      </c>
      <c r="F828" s="43" t="s">
        <v>1450</v>
      </c>
      <c r="G828" s="6" t="str">
        <f ca="1">IFERROR(__xludf.DUMMYFUNCTION("CONCATENATE(B828,(VLOOKUP(C828,CATALOGOS!$F$2:$H$6,3,FALSE)),(VLOOKUP(T828,CATALOGOS!$J$2:$K$18,2,FALSE)),""-"",TO_TEXT(A828))"),"P24NV-0827")</f>
        <v>P24NV-0827</v>
      </c>
      <c r="H828" s="6" t="s">
        <v>5698</v>
      </c>
      <c r="I828" s="6" t="s">
        <v>5699</v>
      </c>
      <c r="J828" s="6" t="s">
        <v>5700</v>
      </c>
      <c r="K828" s="6" t="s">
        <v>5701</v>
      </c>
      <c r="L828" s="17"/>
      <c r="M828" s="17"/>
      <c r="N828" s="17" t="str">
        <f t="shared" si="2"/>
        <v>OK</v>
      </c>
      <c r="O828" s="17" t="s">
        <v>35</v>
      </c>
      <c r="P828" s="6" t="s">
        <v>35</v>
      </c>
      <c r="Q828" s="17" t="s">
        <v>36</v>
      </c>
      <c r="R828" s="17" t="s">
        <v>5702</v>
      </c>
      <c r="S828" s="173" t="s">
        <v>38</v>
      </c>
      <c r="T828" s="181" t="s">
        <v>5695</v>
      </c>
      <c r="U828" s="22" t="s">
        <v>5696</v>
      </c>
      <c r="V828" s="22" t="s">
        <v>5696</v>
      </c>
    </row>
    <row r="829" spans="1:22" ht="57.75">
      <c r="A829" s="10" t="s">
        <v>5703</v>
      </c>
      <c r="B829" s="10" t="s">
        <v>4410</v>
      </c>
      <c r="C829" s="19" t="s">
        <v>4411</v>
      </c>
      <c r="D829" s="12"/>
      <c r="E829" s="13" t="s">
        <v>116</v>
      </c>
      <c r="F829" s="6" t="s">
        <v>364</v>
      </c>
      <c r="G829" s="6" t="str">
        <f ca="1">IFERROR(__xludf.DUMMYFUNCTION("CONCATENATE(B829,(VLOOKUP(C829,CATALOGOS!$F$2:$H$6,3,FALSE)),(VLOOKUP(T829,CATALOGOS!$J$2:$K$18,2,FALSE)),""-"",TO_TEXT(A829))"),"P24NV-0828")</f>
        <v>P24NV-0828</v>
      </c>
      <c r="H829" s="6" t="s">
        <v>5704</v>
      </c>
      <c r="I829" s="6" t="s">
        <v>5705</v>
      </c>
      <c r="J829" s="6" t="s">
        <v>5706</v>
      </c>
      <c r="K829" s="6" t="s">
        <v>5707</v>
      </c>
      <c r="L829" s="17"/>
      <c r="M829" s="17"/>
      <c r="N829" s="17" t="str">
        <f t="shared" si="2"/>
        <v>OK</v>
      </c>
      <c r="O829" s="17" t="s">
        <v>35</v>
      </c>
      <c r="P829" s="6" t="s">
        <v>35</v>
      </c>
      <c r="Q829" s="17" t="s">
        <v>36</v>
      </c>
      <c r="R829" s="17" t="s">
        <v>5708</v>
      </c>
      <c r="S829" s="173" t="s">
        <v>38</v>
      </c>
      <c r="T829" s="181" t="s">
        <v>5695</v>
      </c>
      <c r="U829" s="22" t="s">
        <v>5696</v>
      </c>
      <c r="V829" s="22" t="s">
        <v>5696</v>
      </c>
    </row>
    <row r="830" spans="1:22" ht="29.25">
      <c r="A830" s="10" t="s">
        <v>5709</v>
      </c>
      <c r="B830" s="10" t="s">
        <v>4410</v>
      </c>
      <c r="C830" s="19" t="s">
        <v>4411</v>
      </c>
      <c r="D830" s="12"/>
      <c r="E830" s="13" t="s">
        <v>248</v>
      </c>
      <c r="F830" s="43" t="s">
        <v>248</v>
      </c>
      <c r="G830" s="6" t="str">
        <f ca="1">IFERROR(__xludf.DUMMYFUNCTION("CONCATENATE(B830,(VLOOKUP(C830,CATALOGOS!$F$2:$H$6,3,FALSE)),(VLOOKUP(T830,CATALOGOS!$J$2:$K$18,2,FALSE)),""-"",TO_TEXT(A830))"),"P24NV-0829")</f>
        <v>P24NV-0829</v>
      </c>
      <c r="H830" s="6" t="s">
        <v>5710</v>
      </c>
      <c r="I830" s="6" t="s">
        <v>5711</v>
      </c>
      <c r="J830" s="6" t="s">
        <v>5712</v>
      </c>
      <c r="K830" s="6" t="s">
        <v>5713</v>
      </c>
      <c r="L830" s="17"/>
      <c r="M830" s="17"/>
      <c r="N830" s="17" t="str">
        <f t="shared" si="2"/>
        <v>OK</v>
      </c>
      <c r="O830" s="17" t="s">
        <v>978</v>
      </c>
      <c r="P830" s="6" t="s">
        <v>979</v>
      </c>
      <c r="Q830" s="17" t="s">
        <v>5714</v>
      </c>
      <c r="R830" s="17" t="s">
        <v>5715</v>
      </c>
      <c r="S830" s="173" t="s">
        <v>38</v>
      </c>
      <c r="T830" s="181" t="s">
        <v>5695</v>
      </c>
      <c r="U830" s="22" t="s">
        <v>5696</v>
      </c>
      <c r="V830" s="22" t="s">
        <v>5696</v>
      </c>
    </row>
    <row r="831" spans="1:22" ht="57.75">
      <c r="A831" s="10" t="s">
        <v>5716</v>
      </c>
      <c r="B831" s="10" t="s">
        <v>4410</v>
      </c>
      <c r="C831" s="19" t="s">
        <v>4411</v>
      </c>
      <c r="D831" s="12"/>
      <c r="E831" s="13" t="s">
        <v>199</v>
      </c>
      <c r="F831" s="6" t="s">
        <v>199</v>
      </c>
      <c r="G831" s="6" t="str">
        <f ca="1">IFERROR(__xludf.DUMMYFUNCTION("CONCATENATE(B831,(VLOOKUP(C831,CATALOGOS!$F$2:$H$6,3,FALSE)),(VLOOKUP(T831,CATALOGOS!$J$2:$K$18,2,FALSE)),""-"",TO_TEXT(A831))"),"P24NV-0830")</f>
        <v>P24NV-0830</v>
      </c>
      <c r="H831" s="6" t="s">
        <v>5717</v>
      </c>
      <c r="I831" s="6" t="s">
        <v>5718</v>
      </c>
      <c r="J831" s="37"/>
      <c r="K831" s="6" t="s">
        <v>5719</v>
      </c>
      <c r="L831" s="17"/>
      <c r="M831" s="17"/>
      <c r="N831" s="17" t="str">
        <f t="shared" si="2"/>
        <v>OK</v>
      </c>
      <c r="O831" s="17" t="s">
        <v>273</v>
      </c>
      <c r="P831" s="6" t="s">
        <v>274</v>
      </c>
      <c r="Q831" s="6">
        <v>11392903012346</v>
      </c>
      <c r="R831" s="10" t="s">
        <v>85</v>
      </c>
      <c r="S831" s="173" t="s">
        <v>38</v>
      </c>
      <c r="T831" s="181" t="s">
        <v>5695</v>
      </c>
      <c r="U831" s="22" t="s">
        <v>5696</v>
      </c>
      <c r="V831" s="22" t="s">
        <v>5696</v>
      </c>
    </row>
    <row r="832" spans="1:22" ht="43.5">
      <c r="A832" s="10" t="s">
        <v>5720</v>
      </c>
      <c r="B832" s="10" t="s">
        <v>4410</v>
      </c>
      <c r="C832" s="19" t="s">
        <v>4411</v>
      </c>
      <c r="D832" s="12"/>
      <c r="E832" s="13" t="s">
        <v>151</v>
      </c>
      <c r="F832" s="6" t="s">
        <v>714</v>
      </c>
      <c r="G832" s="6" t="str">
        <f ca="1">IFERROR(__xludf.DUMMYFUNCTION("CONCATENATE(B832,(VLOOKUP(C832,CATALOGOS!$F$2:$H$6,3,FALSE)),(VLOOKUP(T832,CATALOGOS!$J$2:$K$18,2,FALSE)),""-"",TO_TEXT(A832))"),"P24NV-0831")</f>
        <v>P24NV-0831</v>
      </c>
      <c r="H832" s="6" t="s">
        <v>5721</v>
      </c>
      <c r="I832" s="6" t="s">
        <v>5722</v>
      </c>
      <c r="J832" s="37"/>
      <c r="K832" s="6" t="s">
        <v>5723</v>
      </c>
      <c r="L832" s="17"/>
      <c r="M832" s="17"/>
      <c r="N832" s="17" t="str">
        <f t="shared" si="2"/>
        <v>OK</v>
      </c>
      <c r="O832" s="17" t="s">
        <v>297</v>
      </c>
      <c r="P832" s="6" t="s">
        <v>298</v>
      </c>
      <c r="Q832" s="6" t="s">
        <v>5724</v>
      </c>
      <c r="R832" s="10" t="s">
        <v>85</v>
      </c>
      <c r="S832" s="173" t="s">
        <v>38</v>
      </c>
      <c r="T832" s="181" t="s">
        <v>5695</v>
      </c>
      <c r="U832" s="22" t="s">
        <v>5696</v>
      </c>
      <c r="V832" s="22" t="s">
        <v>5696</v>
      </c>
    </row>
    <row r="833" spans="1:22" ht="43.5">
      <c r="A833" s="10" t="s">
        <v>5725</v>
      </c>
      <c r="B833" s="10" t="s">
        <v>4410</v>
      </c>
      <c r="C833" s="19" t="s">
        <v>4411</v>
      </c>
      <c r="D833" s="38"/>
      <c r="E833" s="13" t="s">
        <v>43</v>
      </c>
      <c r="F833" s="43" t="s">
        <v>315</v>
      </c>
      <c r="G833" s="6" t="str">
        <f ca="1">IFERROR(__xludf.DUMMYFUNCTION("CONCATENATE(B833,(VLOOKUP(C833,CATALOGOS!$F$2:$H$6,3,FALSE)),(VLOOKUP(T833,CATALOGOS!$J$2:$K$18,2,FALSE)),""-"",TO_TEXT(A833))"),"P24NV-0832")</f>
        <v>P24NV-0832</v>
      </c>
      <c r="H833" s="6" t="s">
        <v>5726</v>
      </c>
      <c r="I833" s="6" t="s">
        <v>5727</v>
      </c>
      <c r="J833" s="6" t="s">
        <v>5728</v>
      </c>
      <c r="K833" s="6" t="s">
        <v>5729</v>
      </c>
      <c r="L833" s="17"/>
      <c r="M833" s="17"/>
      <c r="N833" s="17" t="str">
        <f t="shared" si="2"/>
        <v>OK</v>
      </c>
      <c r="O833" s="17" t="s">
        <v>2586</v>
      </c>
      <c r="P833" s="6" t="s">
        <v>5730</v>
      </c>
      <c r="Q833" s="46" t="s">
        <v>36</v>
      </c>
      <c r="R833" s="17" t="s">
        <v>5731</v>
      </c>
      <c r="S833" s="179" t="s">
        <v>100</v>
      </c>
      <c r="T833" s="181" t="s">
        <v>5695</v>
      </c>
      <c r="U833" s="22" t="s">
        <v>5696</v>
      </c>
      <c r="V833" s="22" t="s">
        <v>5696</v>
      </c>
    </row>
    <row r="834" spans="1:22" ht="72">
      <c r="A834" s="10" t="s">
        <v>5732</v>
      </c>
      <c r="B834" s="10" t="s">
        <v>474</v>
      </c>
      <c r="C834" s="11" t="s">
        <v>28</v>
      </c>
      <c r="D834" s="12"/>
      <c r="E834" s="13" t="s">
        <v>93</v>
      </c>
      <c r="F834" s="6" t="s">
        <v>5733</v>
      </c>
      <c r="G834" s="6" t="str">
        <f ca="1">IFERROR(__xludf.DUMMYFUNCTION("CONCATENATE(B834,(VLOOKUP(C834,CATALOGOS!$F$2:$H$6,3,FALSE)),(VLOOKUP(T834,CATALOGOS!$J$2:$K$18,2,FALSE)),""-"",TO_TEXT(A834))"),"P35DA-0833")</f>
        <v>P35DA-0833</v>
      </c>
      <c r="H834" s="6" t="s">
        <v>5734</v>
      </c>
      <c r="I834" s="6" t="s">
        <v>5735</v>
      </c>
      <c r="J834" s="6" t="s">
        <v>5736</v>
      </c>
      <c r="K834" s="6" t="s">
        <v>5737</v>
      </c>
      <c r="L834" s="17"/>
      <c r="M834" s="17"/>
      <c r="N834" s="17" t="str">
        <f t="shared" si="2"/>
        <v>OK</v>
      </c>
      <c r="O834" s="17" t="s">
        <v>35</v>
      </c>
      <c r="P834" s="6" t="s">
        <v>35</v>
      </c>
      <c r="Q834" s="17" t="s">
        <v>36</v>
      </c>
      <c r="R834" s="17" t="s">
        <v>5738</v>
      </c>
      <c r="S834" s="173" t="s">
        <v>38</v>
      </c>
      <c r="T834" s="11" t="s">
        <v>28</v>
      </c>
      <c r="U834" s="22" t="s">
        <v>40</v>
      </c>
      <c r="V834" s="22" t="s">
        <v>40</v>
      </c>
    </row>
    <row r="835" spans="1:22" ht="72">
      <c r="A835" s="10" t="s">
        <v>5739</v>
      </c>
      <c r="B835" s="10" t="s">
        <v>474</v>
      </c>
      <c r="C835" s="11" t="s">
        <v>28</v>
      </c>
      <c r="D835" s="12"/>
      <c r="E835" s="13" t="s">
        <v>93</v>
      </c>
      <c r="F835" s="6" t="s">
        <v>5740</v>
      </c>
      <c r="G835" s="6" t="str">
        <f ca="1">IFERROR(__xludf.DUMMYFUNCTION("CONCATENATE(B835,(VLOOKUP(C835,CATALOGOS!$F$2:$H$6,3,FALSE)),(VLOOKUP(T835,CATALOGOS!$J$2:$K$18,2,FALSE)),""-"",TO_TEXT(A835))"),"P35DA-0834")</f>
        <v>P35DA-0834</v>
      </c>
      <c r="H835" s="6" t="s">
        <v>5741</v>
      </c>
      <c r="I835" s="6" t="s">
        <v>5742</v>
      </c>
      <c r="J835" s="36"/>
      <c r="K835" s="6" t="s">
        <v>141</v>
      </c>
      <c r="L835" s="17"/>
      <c r="M835" s="17"/>
      <c r="N835" s="17" t="str">
        <f t="shared" si="2"/>
        <v>REPETIDO</v>
      </c>
      <c r="O835" s="35" t="s">
        <v>35</v>
      </c>
      <c r="P835" s="6" t="s">
        <v>35</v>
      </c>
      <c r="Q835" s="10" t="s">
        <v>36</v>
      </c>
      <c r="R835" s="32" t="s">
        <v>85</v>
      </c>
      <c r="S835" s="173" t="s">
        <v>38</v>
      </c>
      <c r="T835" s="11" t="s">
        <v>28</v>
      </c>
      <c r="U835" s="22" t="s">
        <v>40</v>
      </c>
      <c r="V835" s="22" t="s">
        <v>40</v>
      </c>
    </row>
    <row r="836" spans="1:22" ht="72">
      <c r="A836" s="10" t="s">
        <v>5743</v>
      </c>
      <c r="B836" s="10" t="s">
        <v>474</v>
      </c>
      <c r="C836" s="11" t="s">
        <v>28</v>
      </c>
      <c r="D836" s="12"/>
      <c r="E836" s="13" t="s">
        <v>93</v>
      </c>
      <c r="F836" s="6" t="s">
        <v>5740</v>
      </c>
      <c r="G836" s="6" t="str">
        <f ca="1">IFERROR(__xludf.DUMMYFUNCTION("CONCATENATE(B836,(VLOOKUP(C836,CATALOGOS!$F$2:$H$6,3,FALSE)),(VLOOKUP(T836,CATALOGOS!$J$2:$K$18,2,FALSE)),""-"",TO_TEXT(A836))"),"P35DA-0835")</f>
        <v>P35DA-0835</v>
      </c>
      <c r="H836" s="6" t="s">
        <v>5744</v>
      </c>
      <c r="I836" s="6" t="s">
        <v>5745</v>
      </c>
      <c r="J836" s="36"/>
      <c r="K836" s="6" t="s">
        <v>141</v>
      </c>
      <c r="L836" s="17"/>
      <c r="M836" s="17"/>
      <c r="N836" s="17" t="str">
        <f t="shared" si="2"/>
        <v>REPETIDO</v>
      </c>
      <c r="O836" s="35" t="s">
        <v>35</v>
      </c>
      <c r="P836" s="6" t="s">
        <v>35</v>
      </c>
      <c r="Q836" s="10" t="s">
        <v>36</v>
      </c>
      <c r="R836" s="32" t="s">
        <v>85</v>
      </c>
      <c r="S836" s="173" t="s">
        <v>38</v>
      </c>
      <c r="T836" s="11" t="s">
        <v>28</v>
      </c>
      <c r="U836" s="22" t="s">
        <v>40</v>
      </c>
      <c r="V836" s="22" t="s">
        <v>40</v>
      </c>
    </row>
    <row r="837" spans="1:22" ht="72">
      <c r="A837" s="10" t="s">
        <v>5746</v>
      </c>
      <c r="B837" s="10" t="s">
        <v>474</v>
      </c>
      <c r="C837" s="11" t="s">
        <v>28</v>
      </c>
      <c r="D837" s="12"/>
      <c r="E837" s="13" t="s">
        <v>93</v>
      </c>
      <c r="F837" s="6" t="s">
        <v>5740</v>
      </c>
      <c r="G837" s="6" t="str">
        <f ca="1">IFERROR(__xludf.DUMMYFUNCTION("CONCATENATE(B837,(VLOOKUP(C837,CATALOGOS!$F$2:$H$6,3,FALSE)),(VLOOKUP(T837,CATALOGOS!$J$2:$K$18,2,FALSE)),""-"",TO_TEXT(A837))"),"P35DA-0836")</f>
        <v>P35DA-0836</v>
      </c>
      <c r="H837" s="6" t="s">
        <v>5747</v>
      </c>
      <c r="I837" s="6" t="s">
        <v>5748</v>
      </c>
      <c r="J837" s="6" t="s">
        <v>5749</v>
      </c>
      <c r="K837" s="6" t="s">
        <v>5750</v>
      </c>
      <c r="L837" s="17"/>
      <c r="M837" s="17"/>
      <c r="N837" s="17" t="str">
        <f t="shared" si="2"/>
        <v>OK</v>
      </c>
      <c r="O837" s="17" t="s">
        <v>35</v>
      </c>
      <c r="P837" s="6" t="s">
        <v>35</v>
      </c>
      <c r="Q837" s="17" t="s">
        <v>36</v>
      </c>
      <c r="R837" s="17" t="s">
        <v>5751</v>
      </c>
      <c r="S837" s="173" t="s">
        <v>38</v>
      </c>
      <c r="T837" s="11" t="s">
        <v>28</v>
      </c>
      <c r="U837" s="22" t="s">
        <v>40</v>
      </c>
      <c r="V837" s="22" t="s">
        <v>40</v>
      </c>
    </row>
    <row r="838" spans="1:22" ht="29.25">
      <c r="A838" s="10" t="s">
        <v>5752</v>
      </c>
      <c r="B838" s="10" t="s">
        <v>474</v>
      </c>
      <c r="C838" s="11" t="s">
        <v>28</v>
      </c>
      <c r="D838" s="12"/>
      <c r="E838" s="13" t="s">
        <v>378</v>
      </c>
      <c r="F838" s="43" t="s">
        <v>511</v>
      </c>
      <c r="G838" s="6" t="str">
        <f ca="1">IFERROR(__xludf.DUMMYFUNCTION("CONCATENATE(B838,(VLOOKUP(C838,CATALOGOS!$F$2:$H$6,3,FALSE)),(VLOOKUP(T838,CATALOGOS!$J$2:$K$18,2,FALSE)),""-"",TO_TEXT(A838))"),"P35DA-0837")</f>
        <v>P35DA-0837</v>
      </c>
      <c r="H838" s="6" t="s">
        <v>5753</v>
      </c>
      <c r="I838" s="6" t="s">
        <v>5754</v>
      </c>
      <c r="J838" s="6" t="s">
        <v>5755</v>
      </c>
      <c r="K838" s="6" t="s">
        <v>5756</v>
      </c>
      <c r="L838" s="17"/>
      <c r="M838" s="17"/>
      <c r="N838" s="17" t="str">
        <f t="shared" si="2"/>
        <v>OK</v>
      </c>
      <c r="O838" s="17" t="s">
        <v>35</v>
      </c>
      <c r="P838" s="6" t="s">
        <v>35</v>
      </c>
      <c r="Q838" s="17" t="s">
        <v>36</v>
      </c>
      <c r="R838" s="17" t="s">
        <v>5757</v>
      </c>
      <c r="S838" s="173" t="s">
        <v>517</v>
      </c>
      <c r="T838" s="11" t="s">
        <v>28</v>
      </c>
      <c r="U838" s="22" t="s">
        <v>40</v>
      </c>
      <c r="V838" s="22" t="s">
        <v>40</v>
      </c>
    </row>
    <row r="839" spans="1:22" ht="29.25">
      <c r="A839" s="10" t="s">
        <v>5758</v>
      </c>
      <c r="B839" s="10" t="s">
        <v>474</v>
      </c>
      <c r="C839" s="11" t="s">
        <v>28</v>
      </c>
      <c r="D839" s="12"/>
      <c r="E839" s="13" t="s">
        <v>378</v>
      </c>
      <c r="F839" s="6" t="s">
        <v>511</v>
      </c>
      <c r="G839" s="6" t="str">
        <f ca="1">IFERROR(__xludf.DUMMYFUNCTION("CONCATENATE(B839,(VLOOKUP(C839,CATALOGOS!$F$2:$H$6,3,FALSE)),(VLOOKUP(T839,CATALOGOS!$J$2:$K$18,2,FALSE)),""-"",TO_TEXT(A839))"),"P35DA-0838")</f>
        <v>P35DA-0838</v>
      </c>
      <c r="H839" s="6" t="s">
        <v>5759</v>
      </c>
      <c r="I839" s="6" t="s">
        <v>5760</v>
      </c>
      <c r="J839" s="6" t="s">
        <v>5761</v>
      </c>
      <c r="K839" s="6" t="s">
        <v>5762</v>
      </c>
      <c r="L839" s="17"/>
      <c r="M839" s="17"/>
      <c r="N839" s="17" t="str">
        <f t="shared" si="2"/>
        <v>OK</v>
      </c>
      <c r="O839" s="17" t="s">
        <v>35</v>
      </c>
      <c r="P839" s="6" t="s">
        <v>35</v>
      </c>
      <c r="Q839" s="17" t="s">
        <v>36</v>
      </c>
      <c r="R839" s="17" t="s">
        <v>5763</v>
      </c>
      <c r="S839" s="173" t="s">
        <v>100</v>
      </c>
      <c r="T839" s="11" t="s">
        <v>28</v>
      </c>
      <c r="U839" s="22" t="s">
        <v>40</v>
      </c>
      <c r="V839" s="22" t="s">
        <v>40</v>
      </c>
    </row>
    <row r="840" spans="1:22" ht="57.75">
      <c r="A840" s="10" t="s">
        <v>5764</v>
      </c>
      <c r="B840" s="10" t="s">
        <v>474</v>
      </c>
      <c r="C840" s="11" t="s">
        <v>28</v>
      </c>
      <c r="D840" s="12"/>
      <c r="E840" s="13" t="s">
        <v>80</v>
      </c>
      <c r="F840" s="6" t="s">
        <v>5765</v>
      </c>
      <c r="G840" s="6" t="str">
        <f ca="1">IFERROR(__xludf.DUMMYFUNCTION("CONCATENATE(B840,(VLOOKUP(C840,CATALOGOS!$F$2:$H$6,3,FALSE)),(VLOOKUP(T840,CATALOGOS!$J$2:$K$18,2,FALSE)),""-"",TO_TEXT(A840))"),"P35DA-0839")</f>
        <v>P35DA-0839</v>
      </c>
      <c r="H840" s="6" t="s">
        <v>5766</v>
      </c>
      <c r="I840" s="6" t="s">
        <v>5767</v>
      </c>
      <c r="J840" s="6" t="s">
        <v>5768</v>
      </c>
      <c r="K840" s="6" t="s">
        <v>5769</v>
      </c>
      <c r="L840" s="17"/>
      <c r="M840" s="17"/>
      <c r="N840" s="17" t="str">
        <f t="shared" si="2"/>
        <v>OK</v>
      </c>
      <c r="O840" s="17" t="s">
        <v>35</v>
      </c>
      <c r="P840" s="6" t="s">
        <v>35</v>
      </c>
      <c r="Q840" s="17" t="s">
        <v>36</v>
      </c>
      <c r="R840" s="17" t="s">
        <v>85</v>
      </c>
      <c r="S840" s="173" t="s">
        <v>38</v>
      </c>
      <c r="T840" s="11" t="s">
        <v>28</v>
      </c>
      <c r="U840" s="22" t="s">
        <v>40</v>
      </c>
      <c r="V840" s="22" t="s">
        <v>40</v>
      </c>
    </row>
    <row r="841" spans="1:22" ht="72">
      <c r="A841" s="10" t="s">
        <v>5770</v>
      </c>
      <c r="B841" s="10" t="s">
        <v>474</v>
      </c>
      <c r="C841" s="11" t="s">
        <v>28</v>
      </c>
      <c r="D841" s="12"/>
      <c r="E841" s="13" t="s">
        <v>93</v>
      </c>
      <c r="F841" s="6" t="s">
        <v>5771</v>
      </c>
      <c r="G841" s="6" t="str">
        <f ca="1">IFERROR(__xludf.DUMMYFUNCTION("CONCATENATE(B841,(VLOOKUP(C841,CATALOGOS!$F$2:$H$6,3,FALSE)),(VLOOKUP(T841,CATALOGOS!$J$2:$K$18,2,FALSE)),""-"",TO_TEXT(A841))"),"P35DA-0840")</f>
        <v>P35DA-0840</v>
      </c>
      <c r="H841" s="6" t="s">
        <v>5772</v>
      </c>
      <c r="I841" s="6" t="s">
        <v>5773</v>
      </c>
      <c r="J841" s="6" t="s">
        <v>5774</v>
      </c>
      <c r="K841" s="6" t="s">
        <v>5775</v>
      </c>
      <c r="L841" s="17"/>
      <c r="M841" s="17"/>
      <c r="N841" s="17" t="str">
        <f t="shared" si="2"/>
        <v>OK</v>
      </c>
      <c r="O841" s="17" t="s">
        <v>35</v>
      </c>
      <c r="P841" s="6" t="s">
        <v>35</v>
      </c>
      <c r="Q841" s="17" t="s">
        <v>36</v>
      </c>
      <c r="R841" s="17" t="s">
        <v>5776</v>
      </c>
      <c r="S841" s="173" t="s">
        <v>38</v>
      </c>
      <c r="T841" s="11" t="s">
        <v>28</v>
      </c>
      <c r="U841" s="22" t="s">
        <v>40</v>
      </c>
      <c r="V841" s="22" t="s">
        <v>40</v>
      </c>
    </row>
    <row r="842" spans="1:22" ht="43.5">
      <c r="A842" s="10" t="s">
        <v>5777</v>
      </c>
      <c r="B842" s="10" t="s">
        <v>474</v>
      </c>
      <c r="C842" s="11" t="s">
        <v>28</v>
      </c>
      <c r="D842" s="12"/>
      <c r="E842" s="13" t="s">
        <v>5778</v>
      </c>
      <c r="F842" s="43" t="s">
        <v>5779</v>
      </c>
      <c r="G842" s="6" t="str">
        <f ca="1">IFERROR(__xludf.DUMMYFUNCTION("CONCATENATE(B842,(VLOOKUP(C842,CATALOGOS!$F$2:$H$6,3,FALSE)),(VLOOKUP(T842,CATALOGOS!$J$2:$K$18,2,FALSE)),""-"",TO_TEXT(A842))"),"P35DA-0841")</f>
        <v>P35DA-0841</v>
      </c>
      <c r="H842" s="6" t="s">
        <v>5780</v>
      </c>
      <c r="I842" s="6" t="s">
        <v>5781</v>
      </c>
      <c r="J842" s="6" t="s">
        <v>5782</v>
      </c>
      <c r="K842" s="6" t="s">
        <v>5783</v>
      </c>
      <c r="L842" s="17"/>
      <c r="M842" s="17"/>
      <c r="N842" s="17" t="str">
        <f t="shared" si="2"/>
        <v>OK</v>
      </c>
      <c r="O842" s="17" t="s">
        <v>5784</v>
      </c>
      <c r="P842" s="6" t="s">
        <v>5785</v>
      </c>
      <c r="Q842" s="6" t="s">
        <v>36</v>
      </c>
      <c r="R842" s="10" t="s">
        <v>85</v>
      </c>
      <c r="S842" s="173" t="s">
        <v>38</v>
      </c>
      <c r="T842" s="11" t="s">
        <v>28</v>
      </c>
      <c r="U842" s="22" t="s">
        <v>40</v>
      </c>
      <c r="V842" s="22" t="s">
        <v>40</v>
      </c>
    </row>
    <row r="843" spans="1:22" ht="29.25">
      <c r="A843" s="10" t="s">
        <v>5786</v>
      </c>
      <c r="B843" s="10" t="s">
        <v>474</v>
      </c>
      <c r="C843" s="11" t="s">
        <v>28</v>
      </c>
      <c r="D843" s="12"/>
      <c r="E843" s="13" t="s">
        <v>378</v>
      </c>
      <c r="F843" s="43" t="s">
        <v>511</v>
      </c>
      <c r="G843" s="6" t="str">
        <f ca="1">IFERROR(__xludf.DUMMYFUNCTION("CONCATENATE(B843,(VLOOKUP(C843,CATALOGOS!$F$2:$H$6,3,FALSE)),(VLOOKUP(T843,CATALOGOS!$J$2:$K$18,2,FALSE)),""-"",TO_TEXT(A843))"),"P35DA-0842")</f>
        <v>P35DA-0842</v>
      </c>
      <c r="H843" s="6" t="s">
        <v>5787</v>
      </c>
      <c r="I843" s="6" t="s">
        <v>5788</v>
      </c>
      <c r="J843" s="6" t="s">
        <v>5789</v>
      </c>
      <c r="K843" s="6" t="s">
        <v>5790</v>
      </c>
      <c r="L843" s="17"/>
      <c r="M843" s="17"/>
      <c r="N843" s="17" t="str">
        <f t="shared" si="2"/>
        <v>OK</v>
      </c>
      <c r="O843" s="17" t="s">
        <v>35</v>
      </c>
      <c r="P843" s="6" t="s">
        <v>35</v>
      </c>
      <c r="Q843" s="17" t="s">
        <v>36</v>
      </c>
      <c r="R843" s="17" t="s">
        <v>5791</v>
      </c>
      <c r="S843" s="173" t="s">
        <v>517</v>
      </c>
      <c r="T843" s="11" t="s">
        <v>28</v>
      </c>
      <c r="U843" s="22" t="s">
        <v>40</v>
      </c>
      <c r="V843" s="22" t="s">
        <v>40</v>
      </c>
    </row>
    <row r="844" spans="1:22" ht="29.25">
      <c r="A844" s="10" t="s">
        <v>5792</v>
      </c>
      <c r="B844" s="10" t="s">
        <v>474</v>
      </c>
      <c r="C844" s="11" t="s">
        <v>28</v>
      </c>
      <c r="D844" s="12"/>
      <c r="E844" s="13" t="s">
        <v>378</v>
      </c>
      <c r="F844" s="43" t="s">
        <v>511</v>
      </c>
      <c r="G844" s="6" t="str">
        <f ca="1">IFERROR(__xludf.DUMMYFUNCTION("CONCATENATE(B844,(VLOOKUP(C844,CATALOGOS!$F$2:$H$6,3,FALSE)),(VLOOKUP(T844,CATALOGOS!$J$2:$K$18,2,FALSE)),""-"",TO_TEXT(A844))"),"P35DA-0843")</f>
        <v>P35DA-0843</v>
      </c>
      <c r="H844" s="6" t="s">
        <v>5794</v>
      </c>
      <c r="I844" s="6" t="s">
        <v>5795</v>
      </c>
      <c r="J844" s="6" t="s">
        <v>5796</v>
      </c>
      <c r="K844" s="6" t="s">
        <v>5797</v>
      </c>
      <c r="L844" s="17"/>
      <c r="M844" s="17"/>
      <c r="N844" s="17" t="str">
        <f t="shared" si="2"/>
        <v>OK</v>
      </c>
      <c r="O844" s="17" t="s">
        <v>35</v>
      </c>
      <c r="P844" s="6" t="s">
        <v>35</v>
      </c>
      <c r="Q844" s="17" t="s">
        <v>36</v>
      </c>
      <c r="R844" s="17" t="s">
        <v>5798</v>
      </c>
      <c r="S844" s="173" t="s">
        <v>100</v>
      </c>
      <c r="T844" s="11" t="s">
        <v>28</v>
      </c>
      <c r="U844" s="22" t="s">
        <v>40</v>
      </c>
      <c r="V844" s="22" t="s">
        <v>40</v>
      </c>
    </row>
    <row r="845" spans="1:22" ht="86.25">
      <c r="A845" s="10" t="s">
        <v>5799</v>
      </c>
      <c r="B845" s="10" t="s">
        <v>474</v>
      </c>
      <c r="C845" s="11" t="s">
        <v>28</v>
      </c>
      <c r="D845" s="12"/>
      <c r="E845" s="13" t="s">
        <v>93</v>
      </c>
      <c r="F845" s="6" t="s">
        <v>5800</v>
      </c>
      <c r="G845" s="6" t="str">
        <f ca="1">IFERROR(__xludf.DUMMYFUNCTION("CONCATENATE(B845,(VLOOKUP(C845,CATALOGOS!$F$2:$H$6,3,FALSE)),(VLOOKUP(T845,CATALOGOS!$J$2:$K$18,2,FALSE)),""-"",TO_TEXT(A845))"),"P35DA-0844")</f>
        <v>P35DA-0844</v>
      </c>
      <c r="H845" s="6" t="s">
        <v>5801</v>
      </c>
      <c r="I845" s="6" t="s">
        <v>5802</v>
      </c>
      <c r="J845" s="6" t="s">
        <v>5803</v>
      </c>
      <c r="K845" s="6" t="s">
        <v>5804</v>
      </c>
      <c r="L845" s="17"/>
      <c r="M845" s="17"/>
      <c r="N845" s="17" t="str">
        <f t="shared" si="2"/>
        <v>OK</v>
      </c>
      <c r="O845" s="17" t="s">
        <v>35</v>
      </c>
      <c r="P845" s="6" t="s">
        <v>35</v>
      </c>
      <c r="Q845" s="17" t="s">
        <v>36</v>
      </c>
      <c r="R845" s="17" t="s">
        <v>5805</v>
      </c>
      <c r="S845" s="173" t="s">
        <v>38</v>
      </c>
      <c r="T845" s="11" t="s">
        <v>28</v>
      </c>
      <c r="U845" s="22" t="s">
        <v>40</v>
      </c>
      <c r="V845" s="22" t="s">
        <v>40</v>
      </c>
    </row>
    <row r="846" spans="1:22" ht="72">
      <c r="A846" s="10" t="s">
        <v>5806</v>
      </c>
      <c r="B846" s="10" t="s">
        <v>474</v>
      </c>
      <c r="C846" s="11" t="s">
        <v>28</v>
      </c>
      <c r="D846" s="12"/>
      <c r="E846" s="13" t="s">
        <v>93</v>
      </c>
      <c r="F846" s="6" t="s">
        <v>772</v>
      </c>
      <c r="G846" s="6" t="str">
        <f ca="1">IFERROR(__xludf.DUMMYFUNCTION("CONCATENATE(B846,(VLOOKUP(C846,CATALOGOS!$F$2:$H$6,3,FALSE)),(VLOOKUP(T846,CATALOGOS!$J$2:$K$18,2,FALSE)),""-"",TO_TEXT(A846))"),"P35DA-0845")</f>
        <v>P35DA-0845</v>
      </c>
      <c r="H846" s="6" t="s">
        <v>5807</v>
      </c>
      <c r="I846" s="6" t="s">
        <v>5808</v>
      </c>
      <c r="J846" s="6" t="s">
        <v>5809</v>
      </c>
      <c r="K846" s="6" t="s">
        <v>5810</v>
      </c>
      <c r="L846" s="17"/>
      <c r="M846" s="17"/>
      <c r="N846" s="17" t="str">
        <f t="shared" si="2"/>
        <v>OK</v>
      </c>
      <c r="O846" s="17" t="s">
        <v>35</v>
      </c>
      <c r="P846" s="6" t="s">
        <v>35</v>
      </c>
      <c r="Q846" s="17" t="s">
        <v>36</v>
      </c>
      <c r="R846" s="17" t="s">
        <v>5811</v>
      </c>
      <c r="S846" s="173" t="s">
        <v>38</v>
      </c>
      <c r="T846" s="11" t="s">
        <v>28</v>
      </c>
      <c r="U846" s="22" t="s">
        <v>40</v>
      </c>
      <c r="V846" s="22" t="s">
        <v>40</v>
      </c>
    </row>
    <row r="847" spans="1:22" ht="57.75">
      <c r="A847" s="10" t="s">
        <v>5812</v>
      </c>
      <c r="B847" s="10" t="s">
        <v>474</v>
      </c>
      <c r="C847" s="11" t="s">
        <v>28</v>
      </c>
      <c r="D847" s="12"/>
      <c r="E847" s="13" t="s">
        <v>93</v>
      </c>
      <c r="F847" s="6" t="s">
        <v>5813</v>
      </c>
      <c r="G847" s="6" t="str">
        <f ca="1">IFERROR(__xludf.DUMMYFUNCTION("CONCATENATE(B847,(VLOOKUP(C847,CATALOGOS!$F$2:$H$6,3,FALSE)),(VLOOKUP(T847,CATALOGOS!$J$2:$K$18,2,FALSE)),""-"",TO_TEXT(A847))"),"P35DA-0846")</f>
        <v>P35DA-0846</v>
      </c>
      <c r="H847" s="6" t="s">
        <v>5814</v>
      </c>
      <c r="I847" s="6" t="s">
        <v>5815</v>
      </c>
      <c r="J847" s="6" t="s">
        <v>5816</v>
      </c>
      <c r="K847" s="6" t="s">
        <v>5817</v>
      </c>
      <c r="L847" s="17"/>
      <c r="M847" s="17"/>
      <c r="N847" s="17" t="str">
        <f t="shared" si="2"/>
        <v>OK</v>
      </c>
      <c r="O847" s="17" t="s">
        <v>35</v>
      </c>
      <c r="P847" s="6" t="s">
        <v>35</v>
      </c>
      <c r="Q847" s="17" t="s">
        <v>36</v>
      </c>
      <c r="R847" s="17" t="s">
        <v>5818</v>
      </c>
      <c r="S847" s="173" t="s">
        <v>38</v>
      </c>
      <c r="T847" s="11" t="s">
        <v>28</v>
      </c>
      <c r="U847" s="22" t="s">
        <v>40</v>
      </c>
      <c r="V847" s="22" t="s">
        <v>40</v>
      </c>
    </row>
    <row r="848" spans="1:22" ht="29.25">
      <c r="A848" s="10" t="s">
        <v>5819</v>
      </c>
      <c r="B848" s="10" t="s">
        <v>474</v>
      </c>
      <c r="C848" s="11" t="s">
        <v>28</v>
      </c>
      <c r="D848" s="12"/>
      <c r="E848" s="13" t="s">
        <v>378</v>
      </c>
      <c r="F848" s="43" t="s">
        <v>511</v>
      </c>
      <c r="G848" s="6" t="str">
        <f ca="1">IFERROR(__xludf.DUMMYFUNCTION("CONCATENATE(B848,(VLOOKUP(C848,CATALOGOS!$F$2:$H$6,3,FALSE)),(VLOOKUP(T848,CATALOGOS!$J$2:$K$18,2,FALSE)),""-"",TO_TEXT(A848))"),"P35DA-0847")</f>
        <v>P35DA-0847</v>
      </c>
      <c r="H848" s="6" t="s">
        <v>5820</v>
      </c>
      <c r="I848" s="6" t="s">
        <v>5821</v>
      </c>
      <c r="J848" s="6" t="s">
        <v>5822</v>
      </c>
      <c r="K848" s="6" t="s">
        <v>5823</v>
      </c>
      <c r="L848" s="17"/>
      <c r="M848" s="17"/>
      <c r="N848" s="17" t="str">
        <f t="shared" si="2"/>
        <v>OK</v>
      </c>
      <c r="O848" s="17" t="s">
        <v>35</v>
      </c>
      <c r="P848" s="6" t="s">
        <v>35</v>
      </c>
      <c r="Q848" s="17" t="s">
        <v>36</v>
      </c>
      <c r="R848" s="17" t="s">
        <v>5824</v>
      </c>
      <c r="S848" s="173" t="s">
        <v>517</v>
      </c>
      <c r="T848" s="11" t="s">
        <v>28</v>
      </c>
      <c r="U848" s="22" t="s">
        <v>40</v>
      </c>
      <c r="V848" s="22" t="s">
        <v>40</v>
      </c>
    </row>
    <row r="849" spans="1:22" ht="29.25">
      <c r="A849" s="10" t="s">
        <v>5825</v>
      </c>
      <c r="B849" s="10" t="s">
        <v>474</v>
      </c>
      <c r="C849" s="11" t="s">
        <v>28</v>
      </c>
      <c r="D849" s="12"/>
      <c r="E849" s="13" t="s">
        <v>378</v>
      </c>
      <c r="F849" s="43" t="s">
        <v>511</v>
      </c>
      <c r="G849" s="6" t="str">
        <f ca="1">IFERROR(__xludf.DUMMYFUNCTION("CONCATENATE(B849,(VLOOKUP(C849,CATALOGOS!$F$2:$H$6,3,FALSE)),(VLOOKUP(T849,CATALOGOS!$J$2:$K$18,2,FALSE)),""-"",TO_TEXT(A849))"),"P35DA-0848")</f>
        <v>P35DA-0848</v>
      </c>
      <c r="H849" s="6" t="s">
        <v>5826</v>
      </c>
      <c r="I849" s="6" t="s">
        <v>5827</v>
      </c>
      <c r="J849" s="6" t="s">
        <v>5828</v>
      </c>
      <c r="K849" s="6" t="s">
        <v>5829</v>
      </c>
      <c r="L849" s="17"/>
      <c r="M849" s="17"/>
      <c r="N849" s="17" t="str">
        <f t="shared" si="2"/>
        <v>OK</v>
      </c>
      <c r="O849" s="17" t="s">
        <v>35</v>
      </c>
      <c r="P849" s="6" t="s">
        <v>35</v>
      </c>
      <c r="Q849" s="17" t="s">
        <v>36</v>
      </c>
      <c r="R849" s="17" t="s">
        <v>5830</v>
      </c>
      <c r="S849" s="173" t="s">
        <v>517</v>
      </c>
      <c r="T849" s="11" t="s">
        <v>28</v>
      </c>
      <c r="U849" s="22" t="s">
        <v>40</v>
      </c>
      <c r="V849" s="22" t="s">
        <v>40</v>
      </c>
    </row>
    <row r="850" spans="1:22" ht="29.25">
      <c r="A850" s="10" t="s">
        <v>5831</v>
      </c>
      <c r="B850" s="10" t="s">
        <v>474</v>
      </c>
      <c r="C850" s="11" t="s">
        <v>28</v>
      </c>
      <c r="D850" s="12"/>
      <c r="E850" s="13" t="s">
        <v>378</v>
      </c>
      <c r="F850" s="43" t="s">
        <v>511</v>
      </c>
      <c r="G850" s="6" t="str">
        <f ca="1">IFERROR(__xludf.DUMMYFUNCTION("CONCATENATE(B850,(VLOOKUP(C850,CATALOGOS!$F$2:$H$6,3,FALSE)),(VLOOKUP(T850,CATALOGOS!$J$2:$K$18,2,FALSE)),""-"",TO_TEXT(A850))"),"P35DA-0849")</f>
        <v>P35DA-0849</v>
      </c>
      <c r="H850" s="6" t="s">
        <v>5832</v>
      </c>
      <c r="I850" s="6" t="s">
        <v>5833</v>
      </c>
      <c r="J850" s="6" t="s">
        <v>5834</v>
      </c>
      <c r="K850" s="6" t="s">
        <v>5835</v>
      </c>
      <c r="L850" s="17"/>
      <c r="M850" s="17"/>
      <c r="N850" s="17" t="str">
        <f t="shared" si="2"/>
        <v>OK</v>
      </c>
      <c r="O850" s="17" t="s">
        <v>35</v>
      </c>
      <c r="P850" s="6" t="s">
        <v>35</v>
      </c>
      <c r="Q850" s="17" t="s">
        <v>36</v>
      </c>
      <c r="R850" s="17" t="s">
        <v>5836</v>
      </c>
      <c r="S850" s="173" t="s">
        <v>517</v>
      </c>
      <c r="T850" s="11" t="s">
        <v>28</v>
      </c>
      <c r="U850" s="22" t="s">
        <v>40</v>
      </c>
      <c r="V850" s="22" t="s">
        <v>40</v>
      </c>
    </row>
    <row r="851" spans="1:22" ht="29.25">
      <c r="A851" s="10" t="s">
        <v>5837</v>
      </c>
      <c r="B851" s="10" t="s">
        <v>474</v>
      </c>
      <c r="C851" s="11" t="s">
        <v>28</v>
      </c>
      <c r="D851" s="12"/>
      <c r="E851" s="13" t="s">
        <v>378</v>
      </c>
      <c r="F851" s="6" t="s">
        <v>535</v>
      </c>
      <c r="G851" s="6" t="str">
        <f ca="1">IFERROR(__xludf.DUMMYFUNCTION("CONCATENATE(B851,(VLOOKUP(C851,CATALOGOS!$F$2:$H$6,3,FALSE)),(VLOOKUP(T851,CATALOGOS!$J$2:$K$18,2,FALSE)),""-"",TO_TEXT(A851))"),"P35DA-0850")</f>
        <v>P35DA-0850</v>
      </c>
      <c r="H851" s="6" t="s">
        <v>5838</v>
      </c>
      <c r="I851" s="6" t="s">
        <v>5839</v>
      </c>
      <c r="J851" s="6" t="s">
        <v>5840</v>
      </c>
      <c r="K851" s="6" t="s">
        <v>5841</v>
      </c>
      <c r="L851" s="17"/>
      <c r="M851" s="17"/>
      <c r="N851" s="17" t="str">
        <f t="shared" si="2"/>
        <v>OK</v>
      </c>
      <c r="O851" s="17" t="s">
        <v>35</v>
      </c>
      <c r="P851" s="6" t="s">
        <v>35</v>
      </c>
      <c r="Q851" s="17" t="s">
        <v>36</v>
      </c>
      <c r="R851" s="17" t="s">
        <v>5842</v>
      </c>
      <c r="S851" s="173" t="s">
        <v>517</v>
      </c>
      <c r="T851" s="11" t="s">
        <v>28</v>
      </c>
      <c r="U851" s="22" t="s">
        <v>40</v>
      </c>
      <c r="V851" s="22" t="s">
        <v>40</v>
      </c>
    </row>
    <row r="852" spans="1:22" ht="29.25">
      <c r="A852" s="10" t="s">
        <v>5843</v>
      </c>
      <c r="B852" s="10" t="s">
        <v>474</v>
      </c>
      <c r="C852" s="11" t="s">
        <v>28</v>
      </c>
      <c r="D852" s="12"/>
      <c r="E852" s="13" t="s">
        <v>378</v>
      </c>
      <c r="F852" s="43" t="s">
        <v>511</v>
      </c>
      <c r="G852" s="6" t="str">
        <f ca="1">IFERROR(__xludf.DUMMYFUNCTION("CONCATENATE(B852,(VLOOKUP(C852,CATALOGOS!$F$2:$H$6,3,FALSE)),(VLOOKUP(T852,CATALOGOS!$J$2:$K$18,2,FALSE)),""-"",TO_TEXT(A852))"),"P35DA-0851")</f>
        <v>P35DA-0851</v>
      </c>
      <c r="H852" s="6" t="s">
        <v>5844</v>
      </c>
      <c r="I852" s="6" t="s">
        <v>5845</v>
      </c>
      <c r="J852" s="6" t="s">
        <v>5846</v>
      </c>
      <c r="K852" s="6" t="s">
        <v>5847</v>
      </c>
      <c r="L852" s="17"/>
      <c r="M852" s="17"/>
      <c r="N852" s="17" t="str">
        <f t="shared" si="2"/>
        <v>OK</v>
      </c>
      <c r="O852" s="17" t="s">
        <v>35</v>
      </c>
      <c r="P852" s="6" t="s">
        <v>35</v>
      </c>
      <c r="Q852" s="17" t="s">
        <v>36</v>
      </c>
      <c r="R852" s="17" t="s">
        <v>5848</v>
      </c>
      <c r="S852" s="173" t="s">
        <v>517</v>
      </c>
      <c r="T852" s="11" t="s">
        <v>28</v>
      </c>
      <c r="U852" s="22" t="s">
        <v>40</v>
      </c>
      <c r="V852" s="22" t="s">
        <v>40</v>
      </c>
    </row>
    <row r="853" spans="1:22" ht="29.25">
      <c r="A853" s="10" t="s">
        <v>5849</v>
      </c>
      <c r="B853" s="10" t="s">
        <v>474</v>
      </c>
      <c r="C853" s="11" t="s">
        <v>28</v>
      </c>
      <c r="D853" s="12"/>
      <c r="E853" s="13" t="s">
        <v>378</v>
      </c>
      <c r="F853" s="6" t="s">
        <v>511</v>
      </c>
      <c r="G853" s="6" t="str">
        <f ca="1">IFERROR(__xludf.DUMMYFUNCTION("CONCATENATE(B853,(VLOOKUP(C853,CATALOGOS!$F$2:$H$6,3,FALSE)),(VLOOKUP(T853,CATALOGOS!$J$2:$K$18,2,FALSE)),""-"",TO_TEXT(A853))"),"P35DA-0852")</f>
        <v>P35DA-0852</v>
      </c>
      <c r="H853" s="6" t="s">
        <v>5851</v>
      </c>
      <c r="I853" s="6" t="s">
        <v>5852</v>
      </c>
      <c r="J853" s="6" t="s">
        <v>5853</v>
      </c>
      <c r="K853" s="6" t="s">
        <v>5854</v>
      </c>
      <c r="L853" s="17"/>
      <c r="M853" s="17"/>
      <c r="N853" s="17" t="str">
        <f t="shared" si="2"/>
        <v>OK</v>
      </c>
      <c r="O853" s="17" t="s">
        <v>35</v>
      </c>
      <c r="P853" s="6" t="s">
        <v>35</v>
      </c>
      <c r="Q853" s="17" t="s">
        <v>36</v>
      </c>
      <c r="R853" s="17" t="s">
        <v>5855</v>
      </c>
      <c r="S853" s="173" t="s">
        <v>517</v>
      </c>
      <c r="T853" s="11" t="s">
        <v>28</v>
      </c>
      <c r="U853" s="22" t="s">
        <v>40</v>
      </c>
      <c r="V853" s="22" t="s">
        <v>40</v>
      </c>
    </row>
    <row r="854" spans="1:22" ht="57.75">
      <c r="A854" s="10" t="s">
        <v>5856</v>
      </c>
      <c r="B854" s="10" t="s">
        <v>474</v>
      </c>
      <c r="C854" s="11" t="s">
        <v>28</v>
      </c>
      <c r="D854" s="12"/>
      <c r="E854" s="13" t="s">
        <v>378</v>
      </c>
      <c r="F854" s="6" t="s">
        <v>5857</v>
      </c>
      <c r="G854" s="6" t="str">
        <f ca="1">IFERROR(__xludf.DUMMYFUNCTION("CONCATENATE(B854,(VLOOKUP(C854,CATALOGOS!$F$2:$H$6,3,FALSE)),(VLOOKUP(T854,CATALOGOS!$J$2:$K$18,2,FALSE)),""-"",TO_TEXT(A854))"),"P35DA-0853")</f>
        <v>P35DA-0853</v>
      </c>
      <c r="H854" s="6" t="s">
        <v>5858</v>
      </c>
      <c r="I854" s="6" t="s">
        <v>5859</v>
      </c>
      <c r="J854" s="6" t="s">
        <v>5860</v>
      </c>
      <c r="K854" s="6" t="s">
        <v>5861</v>
      </c>
      <c r="L854" s="17"/>
      <c r="M854" s="17"/>
      <c r="N854" s="17" t="str">
        <f t="shared" si="2"/>
        <v>OK</v>
      </c>
      <c r="O854" s="17" t="s">
        <v>35</v>
      </c>
      <c r="P854" s="6" t="s">
        <v>35</v>
      </c>
      <c r="Q854" s="17" t="s">
        <v>36</v>
      </c>
      <c r="R854" s="17" t="s">
        <v>5862</v>
      </c>
      <c r="S854" s="173" t="s">
        <v>517</v>
      </c>
      <c r="T854" s="11" t="s">
        <v>28</v>
      </c>
      <c r="U854" s="22" t="s">
        <v>40</v>
      </c>
      <c r="V854" s="22" t="s">
        <v>40</v>
      </c>
    </row>
    <row r="855" spans="1:22" ht="72">
      <c r="A855" s="10" t="s">
        <v>5863</v>
      </c>
      <c r="B855" s="10" t="s">
        <v>474</v>
      </c>
      <c r="C855" s="11" t="s">
        <v>28</v>
      </c>
      <c r="D855" s="12"/>
      <c r="E855" s="13" t="s">
        <v>93</v>
      </c>
      <c r="F855" s="6" t="s">
        <v>5771</v>
      </c>
      <c r="G855" s="6" t="str">
        <f ca="1">IFERROR(__xludf.DUMMYFUNCTION("CONCATENATE(B855,(VLOOKUP(C855,CATALOGOS!$F$2:$H$6,3,FALSE)),(VLOOKUP(T855,CATALOGOS!$J$2:$K$18,2,FALSE)),""-"",TO_TEXT(A855))"),"P35DA-0854")</f>
        <v>P35DA-0854</v>
      </c>
      <c r="H855" s="6" t="s">
        <v>5864</v>
      </c>
      <c r="I855" s="6" t="s">
        <v>5865</v>
      </c>
      <c r="J855" s="6" t="s">
        <v>5866</v>
      </c>
      <c r="K855" s="6" t="s">
        <v>5867</v>
      </c>
      <c r="L855" s="17"/>
      <c r="M855" s="17"/>
      <c r="N855" s="17" t="str">
        <f t="shared" si="2"/>
        <v>OK</v>
      </c>
      <c r="O855" s="17" t="s">
        <v>35</v>
      </c>
      <c r="P855" s="6" t="s">
        <v>35</v>
      </c>
      <c r="Q855" s="17" t="s">
        <v>36</v>
      </c>
      <c r="R855" s="17" t="s">
        <v>5868</v>
      </c>
      <c r="S855" s="173" t="s">
        <v>38</v>
      </c>
      <c r="T855" s="11" t="s">
        <v>28</v>
      </c>
      <c r="U855" s="22" t="s">
        <v>40</v>
      </c>
      <c r="V855" s="22" t="s">
        <v>40</v>
      </c>
    </row>
    <row r="856" spans="1:22" ht="43.5">
      <c r="A856" s="10" t="s">
        <v>5869</v>
      </c>
      <c r="B856" s="10" t="s">
        <v>474</v>
      </c>
      <c r="C856" s="11" t="s">
        <v>28</v>
      </c>
      <c r="D856" s="12"/>
      <c r="E856" s="13" t="s">
        <v>5778</v>
      </c>
      <c r="F856" s="43" t="s">
        <v>5870</v>
      </c>
      <c r="G856" s="6" t="str">
        <f ca="1">IFERROR(__xludf.DUMMYFUNCTION("CONCATENATE(B856,(VLOOKUP(C856,CATALOGOS!$F$2:$H$6,3,FALSE)),(VLOOKUP(T856,CATALOGOS!$J$2:$K$18,2,FALSE)),""-"",TO_TEXT(A856))"),"P35DA-0855")</f>
        <v>P35DA-0855</v>
      </c>
      <c r="H856" s="6" t="s">
        <v>5871</v>
      </c>
      <c r="I856" s="6" t="s">
        <v>5872</v>
      </c>
      <c r="J856" s="6" t="s">
        <v>5873</v>
      </c>
      <c r="K856" s="6" t="s">
        <v>5874</v>
      </c>
      <c r="L856" s="17"/>
      <c r="M856" s="17"/>
      <c r="N856" s="17" t="str">
        <f t="shared" si="2"/>
        <v>OK</v>
      </c>
      <c r="O856" s="17" t="s">
        <v>5875</v>
      </c>
      <c r="P856" s="6" t="s">
        <v>5876</v>
      </c>
      <c r="Q856" s="17" t="s">
        <v>5877</v>
      </c>
      <c r="R856" s="17" t="s">
        <v>5878</v>
      </c>
      <c r="S856" s="173" t="s">
        <v>38</v>
      </c>
      <c r="T856" s="11" t="s">
        <v>28</v>
      </c>
      <c r="U856" s="22" t="s">
        <v>40</v>
      </c>
      <c r="V856" s="22" t="s">
        <v>40</v>
      </c>
    </row>
    <row r="857" spans="1:22" ht="43.5">
      <c r="A857" s="10" t="s">
        <v>5879</v>
      </c>
      <c r="B857" s="10" t="s">
        <v>474</v>
      </c>
      <c r="C857" s="11" t="s">
        <v>28</v>
      </c>
      <c r="D857" s="12"/>
      <c r="E857" s="13" t="s">
        <v>5778</v>
      </c>
      <c r="F857" s="43" t="s">
        <v>5880</v>
      </c>
      <c r="G857" s="6" t="str">
        <f ca="1">IFERROR(__xludf.DUMMYFUNCTION("CONCATENATE(B857,(VLOOKUP(C857,CATALOGOS!$F$2:$H$6,3,FALSE)),(VLOOKUP(T857,CATALOGOS!$J$2:$K$18,2,FALSE)),""-"",TO_TEXT(A857))"),"P35DA-0856")</f>
        <v>P35DA-0856</v>
      </c>
      <c r="H857" s="6" t="s">
        <v>5881</v>
      </c>
      <c r="I857" s="6" t="s">
        <v>5882</v>
      </c>
      <c r="J857" s="6" t="s">
        <v>5883</v>
      </c>
      <c r="K857" s="6" t="s">
        <v>5884</v>
      </c>
      <c r="L857" s="17"/>
      <c r="M857" s="17"/>
      <c r="N857" s="17" t="str">
        <f t="shared" si="2"/>
        <v>OK</v>
      </c>
      <c r="O857" s="17" t="s">
        <v>5597</v>
      </c>
      <c r="P857" s="6" t="s">
        <v>5885</v>
      </c>
      <c r="Q857" s="17" t="s">
        <v>5886</v>
      </c>
      <c r="R857" s="17" t="s">
        <v>5887</v>
      </c>
      <c r="S857" s="173" t="s">
        <v>38</v>
      </c>
      <c r="T857" s="11" t="s">
        <v>28</v>
      </c>
      <c r="U857" s="22" t="s">
        <v>40</v>
      </c>
      <c r="V857" s="22" t="s">
        <v>40</v>
      </c>
    </row>
    <row r="858" spans="1:22" ht="29.25">
      <c r="A858" s="10" t="s">
        <v>5888</v>
      </c>
      <c r="B858" s="10" t="s">
        <v>474</v>
      </c>
      <c r="C858" s="11" t="s">
        <v>28</v>
      </c>
      <c r="D858" s="12"/>
      <c r="E858" s="13" t="s">
        <v>5889</v>
      </c>
      <c r="F858" s="43" t="s">
        <v>5889</v>
      </c>
      <c r="G858" s="6" t="str">
        <f ca="1">IFERROR(__xludf.DUMMYFUNCTION("CONCATENATE(B858,(VLOOKUP(C858,CATALOGOS!$F$2:$H$6,3,FALSE)),(VLOOKUP(T858,CATALOGOS!$J$2:$K$18,2,FALSE)),""-"",TO_TEXT(A858))"),"P35DA-0857")</f>
        <v>P35DA-0857</v>
      </c>
      <c r="H858" s="6" t="s">
        <v>5890</v>
      </c>
      <c r="I858" s="6" t="s">
        <v>5891</v>
      </c>
      <c r="J858" s="6" t="s">
        <v>5892</v>
      </c>
      <c r="K858" s="6" t="s">
        <v>141</v>
      </c>
      <c r="L858" s="17"/>
      <c r="M858" s="17"/>
      <c r="N858" s="17" t="str">
        <f t="shared" si="2"/>
        <v>REPETIDO</v>
      </c>
      <c r="O858" s="17" t="s">
        <v>5893</v>
      </c>
      <c r="P858" s="32" t="s">
        <v>5894</v>
      </c>
      <c r="Q858" s="17" t="s">
        <v>5895</v>
      </c>
      <c r="R858" s="10" t="s">
        <v>85</v>
      </c>
      <c r="S858" s="173" t="s">
        <v>38</v>
      </c>
      <c r="T858" s="11" t="s">
        <v>28</v>
      </c>
      <c r="U858" s="22" t="s">
        <v>40</v>
      </c>
      <c r="V858" s="22" t="s">
        <v>40</v>
      </c>
    </row>
    <row r="859" spans="1:22" ht="29.25">
      <c r="A859" s="10" t="s">
        <v>5896</v>
      </c>
      <c r="B859" s="10" t="s">
        <v>474</v>
      </c>
      <c r="C859" s="11" t="s">
        <v>28</v>
      </c>
      <c r="D859" s="12"/>
      <c r="E859" s="13" t="s">
        <v>5897</v>
      </c>
      <c r="F859" s="43" t="s">
        <v>5897</v>
      </c>
      <c r="G859" s="6" t="str">
        <f ca="1">IFERROR(__xludf.DUMMYFUNCTION("CONCATENATE(B859,(VLOOKUP(C859,CATALOGOS!$F$2:$H$6,3,FALSE)),(VLOOKUP(T859,CATALOGOS!$J$2:$K$18,2,FALSE)),""-"",TO_TEXT(A859))"),"P35DA-0858")</f>
        <v>P35DA-0858</v>
      </c>
      <c r="H859" s="6" t="s">
        <v>5898</v>
      </c>
      <c r="I859" s="6" t="s">
        <v>5899</v>
      </c>
      <c r="J859" s="6" t="s">
        <v>5900</v>
      </c>
      <c r="K859" s="6" t="s">
        <v>141</v>
      </c>
      <c r="L859" s="17"/>
      <c r="M859" s="17"/>
      <c r="N859" s="17" t="str">
        <f t="shared" si="2"/>
        <v>REPETIDO</v>
      </c>
      <c r="O859" s="17" t="s">
        <v>5901</v>
      </c>
      <c r="P859" s="6">
        <v>106782</v>
      </c>
      <c r="Q859" s="6" t="s">
        <v>5902</v>
      </c>
      <c r="R859" s="10" t="s">
        <v>85</v>
      </c>
      <c r="S859" s="173" t="s">
        <v>38</v>
      </c>
      <c r="T859" s="11" t="s">
        <v>28</v>
      </c>
      <c r="U859" s="22" t="s">
        <v>40</v>
      </c>
      <c r="V859" s="22" t="s">
        <v>40</v>
      </c>
    </row>
    <row r="860" spans="1:22" ht="43.5">
      <c r="A860" s="10" t="s">
        <v>5903</v>
      </c>
      <c r="B860" s="10" t="s">
        <v>474</v>
      </c>
      <c r="C860" s="11" t="s">
        <v>28</v>
      </c>
      <c r="D860" s="12"/>
      <c r="E860" s="13" t="s">
        <v>5904</v>
      </c>
      <c r="F860" s="43" t="s">
        <v>5905</v>
      </c>
      <c r="G860" s="6" t="str">
        <f ca="1">IFERROR(__xludf.DUMMYFUNCTION("CONCATENATE(B860,(VLOOKUP(C860,CATALOGOS!$F$2:$H$6,3,FALSE)),(VLOOKUP(T860,CATALOGOS!$J$2:$K$18,2,FALSE)),""-"",TO_TEXT(A860))"),"P35DA-0859")</f>
        <v>P35DA-0859</v>
      </c>
      <c r="H860" s="6" t="s">
        <v>5906</v>
      </c>
      <c r="I860" s="6" t="s">
        <v>5907</v>
      </c>
      <c r="J860" s="6" t="s">
        <v>5908</v>
      </c>
      <c r="K860" s="6" t="s">
        <v>5909</v>
      </c>
      <c r="L860" s="17"/>
      <c r="M860" s="17"/>
      <c r="N860" s="17" t="str">
        <f t="shared" si="2"/>
        <v>OK</v>
      </c>
      <c r="O860" s="17" t="s">
        <v>5910</v>
      </c>
      <c r="P860" s="6" t="s">
        <v>35</v>
      </c>
      <c r="Q860" s="17" t="s">
        <v>36</v>
      </c>
      <c r="R860" s="17" t="s">
        <v>5911</v>
      </c>
      <c r="S860" s="173" t="s">
        <v>38</v>
      </c>
      <c r="T860" s="11" t="s">
        <v>28</v>
      </c>
      <c r="U860" s="22" t="s">
        <v>40</v>
      </c>
      <c r="V860" s="22" t="s">
        <v>40</v>
      </c>
    </row>
    <row r="861" spans="1:22" ht="29.25">
      <c r="A861" s="10" t="s">
        <v>5912</v>
      </c>
      <c r="B861" s="10" t="s">
        <v>474</v>
      </c>
      <c r="C861" s="11" t="s">
        <v>28</v>
      </c>
      <c r="D861" s="12"/>
      <c r="E861" s="13" t="s">
        <v>5913</v>
      </c>
      <c r="F861" s="6" t="s">
        <v>5913</v>
      </c>
      <c r="G861" s="6" t="str">
        <f ca="1">IFERROR(__xludf.DUMMYFUNCTION("CONCATENATE(B861,(VLOOKUP(C861,CATALOGOS!$F$2:$H$6,3,FALSE)),(VLOOKUP(T861,CATALOGOS!$J$2:$K$18,2,FALSE)),""-"",TO_TEXT(A861))"),"P35DA-0860")</f>
        <v>P35DA-0860</v>
      </c>
      <c r="H861" s="6" t="s">
        <v>5914</v>
      </c>
      <c r="I861" s="6" t="s">
        <v>5915</v>
      </c>
      <c r="J861" s="6" t="s">
        <v>5916</v>
      </c>
      <c r="K861" s="6" t="s">
        <v>5917</v>
      </c>
      <c r="L861" s="17"/>
      <c r="M861" s="17"/>
      <c r="N861" s="17" t="str">
        <f t="shared" si="2"/>
        <v>OK</v>
      </c>
      <c r="O861" s="17" t="s">
        <v>5918</v>
      </c>
      <c r="P861" s="6" t="s">
        <v>5919</v>
      </c>
      <c r="Q861" s="17" t="s">
        <v>36</v>
      </c>
      <c r="R861" s="17" t="s">
        <v>5920</v>
      </c>
      <c r="S861" s="173" t="s">
        <v>38</v>
      </c>
      <c r="T861" s="11" t="s">
        <v>28</v>
      </c>
      <c r="U861" s="22" t="s">
        <v>40</v>
      </c>
      <c r="V861" s="22" t="s">
        <v>40</v>
      </c>
    </row>
    <row r="862" spans="1:22" ht="100.5">
      <c r="A862" s="10" t="s">
        <v>5921</v>
      </c>
      <c r="B862" s="10" t="s">
        <v>474</v>
      </c>
      <c r="C862" s="11" t="s">
        <v>28</v>
      </c>
      <c r="D862" s="12"/>
      <c r="E862" s="13" t="s">
        <v>565</v>
      </c>
      <c r="F862" s="43" t="s">
        <v>5922</v>
      </c>
      <c r="G862" s="6" t="str">
        <f ca="1">IFERROR(__xludf.DUMMYFUNCTION("CONCATENATE(B862,(VLOOKUP(C862,CATALOGOS!$F$2:$H$6,3,FALSE)),(VLOOKUP(T862,CATALOGOS!$J$2:$K$18,2,FALSE)),""-"",TO_TEXT(A862))"),"P35DA-0861")</f>
        <v>P35DA-0861</v>
      </c>
      <c r="H862" s="6" t="s">
        <v>5923</v>
      </c>
      <c r="I862" s="6" t="s">
        <v>5924</v>
      </c>
      <c r="J862" s="6" t="s">
        <v>5925</v>
      </c>
      <c r="K862" s="6" t="s">
        <v>5926</v>
      </c>
      <c r="L862" s="17"/>
      <c r="M862" s="17"/>
      <c r="N862" s="17" t="str">
        <f t="shared" si="2"/>
        <v>OK</v>
      </c>
      <c r="O862" s="17" t="s">
        <v>35</v>
      </c>
      <c r="P862" s="6" t="s">
        <v>35</v>
      </c>
      <c r="Q862" s="17" t="s">
        <v>36</v>
      </c>
      <c r="R862" s="17" t="s">
        <v>5927</v>
      </c>
      <c r="S862" s="173" t="s">
        <v>38</v>
      </c>
      <c r="T862" s="11" t="s">
        <v>28</v>
      </c>
      <c r="U862" s="22" t="s">
        <v>40</v>
      </c>
      <c r="V862" s="22" t="s">
        <v>40</v>
      </c>
    </row>
    <row r="863" spans="1:22" ht="29.25">
      <c r="A863" s="10" t="s">
        <v>5928</v>
      </c>
      <c r="B863" s="10" t="s">
        <v>474</v>
      </c>
      <c r="C863" s="11" t="s">
        <v>28</v>
      </c>
      <c r="D863" s="12"/>
      <c r="E863" s="13" t="s">
        <v>5929</v>
      </c>
      <c r="F863" s="43" t="s">
        <v>5930</v>
      </c>
      <c r="G863" s="6" t="str">
        <f ca="1">IFERROR(__xludf.DUMMYFUNCTION("CONCATENATE(B863,(VLOOKUP(C863,CATALOGOS!$F$2:$H$6,3,FALSE)),(VLOOKUP(T863,CATALOGOS!$J$2:$K$18,2,FALSE)),""-"",TO_TEXT(A863))"),"P35DA-0862")</f>
        <v>P35DA-0862</v>
      </c>
      <c r="H863" s="6" t="s">
        <v>5931</v>
      </c>
      <c r="I863" s="6" t="s">
        <v>5932</v>
      </c>
      <c r="J863" s="6" t="s">
        <v>5933</v>
      </c>
      <c r="K863" s="6" t="s">
        <v>5934</v>
      </c>
      <c r="L863" s="17"/>
      <c r="M863" s="17"/>
      <c r="N863" s="17" t="str">
        <f t="shared" si="2"/>
        <v>OK</v>
      </c>
      <c r="O863" s="17" t="s">
        <v>5918</v>
      </c>
      <c r="P863" s="6" t="s">
        <v>35</v>
      </c>
      <c r="Q863" s="17" t="s">
        <v>5935</v>
      </c>
      <c r="R863" s="17" t="s">
        <v>5936</v>
      </c>
      <c r="S863" s="173" t="s">
        <v>38</v>
      </c>
      <c r="T863" s="11" t="s">
        <v>28</v>
      </c>
      <c r="U863" s="22" t="s">
        <v>40</v>
      </c>
      <c r="V863" s="22" t="s">
        <v>40</v>
      </c>
    </row>
    <row r="864" spans="1:22" ht="100.5">
      <c r="A864" s="10" t="s">
        <v>5937</v>
      </c>
      <c r="B864" s="10" t="s">
        <v>474</v>
      </c>
      <c r="C864" s="11" t="s">
        <v>28</v>
      </c>
      <c r="D864" s="12"/>
      <c r="E864" s="13" t="s">
        <v>565</v>
      </c>
      <c r="F864" s="43" t="s">
        <v>5938</v>
      </c>
      <c r="G864" s="6" t="str">
        <f ca="1">IFERROR(__xludf.DUMMYFUNCTION("CONCATENATE(B864,(VLOOKUP(C864,CATALOGOS!$F$2:$H$6,3,FALSE)),(VLOOKUP(T864,CATALOGOS!$J$2:$K$18,2,FALSE)),""-"",TO_TEXT(A864))"),"P35DA-0863")</f>
        <v>P35DA-0863</v>
      </c>
      <c r="H864" s="6" t="s">
        <v>5939</v>
      </c>
      <c r="I864" s="6" t="s">
        <v>5940</v>
      </c>
      <c r="J864" s="6" t="s">
        <v>5941</v>
      </c>
      <c r="K864" s="6" t="s">
        <v>5942</v>
      </c>
      <c r="L864" s="17"/>
      <c r="M864" s="17"/>
      <c r="N864" s="17" t="str">
        <f t="shared" si="2"/>
        <v>OK</v>
      </c>
      <c r="O864" s="17" t="s">
        <v>35</v>
      </c>
      <c r="P864" s="6" t="s">
        <v>35</v>
      </c>
      <c r="Q864" s="17" t="s">
        <v>36</v>
      </c>
      <c r="R864" s="17" t="s">
        <v>5943</v>
      </c>
      <c r="S864" s="173" t="s">
        <v>38</v>
      </c>
      <c r="T864" s="11" t="s">
        <v>28</v>
      </c>
      <c r="U864" s="22" t="s">
        <v>40</v>
      </c>
      <c r="V864" s="22" t="s">
        <v>40</v>
      </c>
    </row>
    <row r="865" spans="1:22" ht="57.75">
      <c r="A865" s="10" t="s">
        <v>5944</v>
      </c>
      <c r="B865" s="10" t="s">
        <v>474</v>
      </c>
      <c r="C865" s="11" t="s">
        <v>28</v>
      </c>
      <c r="D865" s="12"/>
      <c r="E865" s="13" t="s">
        <v>378</v>
      </c>
      <c r="F865" s="6" t="s">
        <v>5945</v>
      </c>
      <c r="G865" s="6" t="str">
        <f ca="1">IFERROR(__xludf.DUMMYFUNCTION("CONCATENATE(B865,(VLOOKUP(C865,CATALOGOS!$F$2:$H$6,3,FALSE)),(VLOOKUP(T865,CATALOGOS!$J$2:$K$18,2,FALSE)),""-"",TO_TEXT(A865))"),"P35DA-0864")</f>
        <v>P35DA-0864</v>
      </c>
      <c r="H865" s="6" t="s">
        <v>5946</v>
      </c>
      <c r="I865" s="6" t="s">
        <v>5947</v>
      </c>
      <c r="J865" s="6" t="s">
        <v>5948</v>
      </c>
      <c r="K865" s="6" t="s">
        <v>5949</v>
      </c>
      <c r="L865" s="17"/>
      <c r="M865" s="17"/>
      <c r="N865" s="17" t="str">
        <f t="shared" si="2"/>
        <v>OK</v>
      </c>
      <c r="O865" s="17" t="s">
        <v>35</v>
      </c>
      <c r="P865" s="6" t="s">
        <v>35</v>
      </c>
      <c r="Q865" s="17" t="s">
        <v>36</v>
      </c>
      <c r="R865" s="17" t="s">
        <v>5950</v>
      </c>
      <c r="S865" s="173" t="s">
        <v>38</v>
      </c>
      <c r="T865" s="11" t="s">
        <v>28</v>
      </c>
      <c r="U865" s="22" t="s">
        <v>40</v>
      </c>
      <c r="V865" s="22" t="s">
        <v>40</v>
      </c>
    </row>
    <row r="866" spans="1:22" ht="57.75">
      <c r="A866" s="10" t="s">
        <v>5951</v>
      </c>
      <c r="B866" s="10" t="s">
        <v>474</v>
      </c>
      <c r="C866" s="11" t="s">
        <v>28</v>
      </c>
      <c r="D866" s="12"/>
      <c r="E866" s="68" t="s">
        <v>378</v>
      </c>
      <c r="F866" s="6" t="s">
        <v>5945</v>
      </c>
      <c r="G866" s="6" t="str">
        <f ca="1">IFERROR(__xludf.DUMMYFUNCTION("CONCATENATE(B866,(VLOOKUP(C866,CATALOGOS!$F$2:$H$6,3,FALSE)),(VLOOKUP(T866,CATALOGOS!$J$2:$K$18,2,FALSE)),""-"",TO_TEXT(A866))"),"P35DA-0865")</f>
        <v>P35DA-0865</v>
      </c>
      <c r="H866" s="6" t="s">
        <v>5952</v>
      </c>
      <c r="I866" s="6" t="s">
        <v>5953</v>
      </c>
      <c r="J866" s="6" t="s">
        <v>5954</v>
      </c>
      <c r="K866" s="6" t="s">
        <v>5955</v>
      </c>
      <c r="L866" s="17"/>
      <c r="M866" s="17"/>
      <c r="N866" s="17" t="str">
        <f t="shared" si="2"/>
        <v>OK</v>
      </c>
      <c r="O866" s="17" t="s">
        <v>35</v>
      </c>
      <c r="P866" s="6" t="s">
        <v>35</v>
      </c>
      <c r="Q866" s="17" t="s">
        <v>36</v>
      </c>
      <c r="R866" s="17" t="s">
        <v>5956</v>
      </c>
      <c r="S866" s="173" t="s">
        <v>38</v>
      </c>
      <c r="T866" s="11" t="s">
        <v>28</v>
      </c>
      <c r="U866" s="22" t="s">
        <v>40</v>
      </c>
      <c r="V866" s="22" t="s">
        <v>40</v>
      </c>
    </row>
    <row r="867" spans="1:22" ht="57.75">
      <c r="A867" s="10" t="s">
        <v>5957</v>
      </c>
      <c r="B867" s="10" t="s">
        <v>474</v>
      </c>
      <c r="C867" s="11" t="s">
        <v>28</v>
      </c>
      <c r="D867" s="12"/>
      <c r="E867" s="68" t="s">
        <v>378</v>
      </c>
      <c r="F867" s="43" t="s">
        <v>5945</v>
      </c>
      <c r="G867" s="6" t="str">
        <f ca="1">IFERROR(__xludf.DUMMYFUNCTION("CONCATENATE(B867,(VLOOKUP(C867,CATALOGOS!$F$2:$H$6,3,FALSE)),(VLOOKUP(T867,CATALOGOS!$J$2:$K$18,2,FALSE)),""-"",TO_TEXT(A867))"),"P35DA-0866")</f>
        <v>P35DA-0866</v>
      </c>
      <c r="H867" s="6" t="s">
        <v>5958</v>
      </c>
      <c r="I867" s="6" t="s">
        <v>5959</v>
      </c>
      <c r="J867" s="6" t="s">
        <v>5960</v>
      </c>
      <c r="K867" s="43" t="s">
        <v>5961</v>
      </c>
      <c r="L867" s="17"/>
      <c r="M867" s="17"/>
      <c r="N867" s="17" t="str">
        <f t="shared" si="2"/>
        <v>OK</v>
      </c>
      <c r="O867" s="17" t="s">
        <v>35</v>
      </c>
      <c r="P867" s="6" t="s">
        <v>35</v>
      </c>
      <c r="Q867" s="17" t="s">
        <v>36</v>
      </c>
      <c r="R867" s="17" t="s">
        <v>5962</v>
      </c>
      <c r="S867" s="173" t="s">
        <v>38</v>
      </c>
      <c r="T867" s="11" t="s">
        <v>28</v>
      </c>
      <c r="U867" s="22" t="s">
        <v>40</v>
      </c>
      <c r="V867" s="22" t="s">
        <v>40</v>
      </c>
    </row>
    <row r="868" spans="1:22" ht="57.75">
      <c r="A868" s="10" t="s">
        <v>5963</v>
      </c>
      <c r="B868" s="10" t="s">
        <v>474</v>
      </c>
      <c r="C868" s="11" t="s">
        <v>28</v>
      </c>
      <c r="D868" s="12"/>
      <c r="E868" s="68" t="s">
        <v>378</v>
      </c>
      <c r="F868" s="43" t="s">
        <v>5945</v>
      </c>
      <c r="G868" s="6" t="str">
        <f ca="1">IFERROR(__xludf.DUMMYFUNCTION("CONCATENATE(B868,(VLOOKUP(C868,CATALOGOS!$F$2:$H$6,3,FALSE)),(VLOOKUP(T868,CATALOGOS!$J$2:$K$18,2,FALSE)),""-"",TO_TEXT(A868))"),"P35DA-0867")</f>
        <v>P35DA-0867</v>
      </c>
      <c r="H868" s="6" t="s">
        <v>5964</v>
      </c>
      <c r="I868" s="6" t="s">
        <v>5965</v>
      </c>
      <c r="J868" s="6" t="s">
        <v>5966</v>
      </c>
      <c r="K868" s="43" t="s">
        <v>5967</v>
      </c>
      <c r="L868" s="17"/>
      <c r="M868" s="17"/>
      <c r="N868" s="17" t="str">
        <f t="shared" si="2"/>
        <v>OK</v>
      </c>
      <c r="O868" s="17" t="s">
        <v>35</v>
      </c>
      <c r="P868" s="6" t="s">
        <v>35</v>
      </c>
      <c r="Q868" s="17" t="s">
        <v>36</v>
      </c>
      <c r="R868" s="17" t="s">
        <v>5968</v>
      </c>
      <c r="S868" s="173" t="s">
        <v>38</v>
      </c>
      <c r="T868" s="11" t="s">
        <v>28</v>
      </c>
      <c r="U868" s="22" t="s">
        <v>40</v>
      </c>
      <c r="V868" s="22" t="s">
        <v>40</v>
      </c>
    </row>
    <row r="869" spans="1:22" ht="57.75">
      <c r="A869" s="10" t="s">
        <v>5969</v>
      </c>
      <c r="B869" s="10" t="s">
        <v>474</v>
      </c>
      <c r="C869" s="11" t="s">
        <v>28</v>
      </c>
      <c r="D869" s="12"/>
      <c r="E869" s="68" t="s">
        <v>378</v>
      </c>
      <c r="F869" s="43" t="s">
        <v>5945</v>
      </c>
      <c r="G869" s="6" t="str">
        <f ca="1">IFERROR(__xludf.DUMMYFUNCTION("CONCATENATE(B869,(VLOOKUP(C869,CATALOGOS!$F$2:$H$6,3,FALSE)),(VLOOKUP(T869,CATALOGOS!$J$2:$K$18,2,FALSE)),""-"",TO_TEXT(A869))"),"P35DA-0868")</f>
        <v>P35DA-0868</v>
      </c>
      <c r="H869" s="6" t="s">
        <v>5970</v>
      </c>
      <c r="I869" s="6" t="s">
        <v>5971</v>
      </c>
      <c r="J869" s="6" t="s">
        <v>5972</v>
      </c>
      <c r="K869" s="43" t="s">
        <v>5973</v>
      </c>
      <c r="L869" s="17"/>
      <c r="M869" s="17"/>
      <c r="N869" s="17" t="str">
        <f t="shared" si="2"/>
        <v>OK</v>
      </c>
      <c r="O869" s="17" t="s">
        <v>35</v>
      </c>
      <c r="P869" s="6" t="s">
        <v>35</v>
      </c>
      <c r="Q869" s="17" t="s">
        <v>36</v>
      </c>
      <c r="R869" s="17" t="s">
        <v>5974</v>
      </c>
      <c r="S869" s="173" t="s">
        <v>38</v>
      </c>
      <c r="T869" s="11" t="s">
        <v>28</v>
      </c>
      <c r="U869" s="22" t="s">
        <v>40</v>
      </c>
      <c r="V869" s="22" t="s">
        <v>40</v>
      </c>
    </row>
    <row r="870" spans="1:22" ht="57.75">
      <c r="A870" s="10" t="s">
        <v>5975</v>
      </c>
      <c r="B870" s="10" t="s">
        <v>474</v>
      </c>
      <c r="C870" s="11" t="s">
        <v>28</v>
      </c>
      <c r="D870" s="12"/>
      <c r="E870" s="68" t="s">
        <v>378</v>
      </c>
      <c r="F870" s="43" t="s">
        <v>5945</v>
      </c>
      <c r="G870" s="6" t="str">
        <f ca="1">IFERROR(__xludf.DUMMYFUNCTION("CONCATENATE(B870,(VLOOKUP(C870,CATALOGOS!$F$2:$H$6,3,FALSE)),(VLOOKUP(T870,CATALOGOS!$J$2:$K$18,2,FALSE)),""-"",TO_TEXT(A870))"),"P35DA-0869")</f>
        <v>P35DA-0869</v>
      </c>
      <c r="H870" s="6" t="s">
        <v>5976</v>
      </c>
      <c r="I870" s="6" t="s">
        <v>5977</v>
      </c>
      <c r="J870" s="6" t="s">
        <v>5978</v>
      </c>
      <c r="K870" s="43" t="s">
        <v>5979</v>
      </c>
      <c r="L870" s="17"/>
      <c r="M870" s="17"/>
      <c r="N870" s="17" t="str">
        <f t="shared" si="2"/>
        <v>OK</v>
      </c>
      <c r="O870" s="17" t="s">
        <v>35</v>
      </c>
      <c r="P870" s="6" t="s">
        <v>35</v>
      </c>
      <c r="Q870" s="17" t="s">
        <v>36</v>
      </c>
      <c r="R870" s="17" t="s">
        <v>5980</v>
      </c>
      <c r="S870" s="173" t="s">
        <v>38</v>
      </c>
      <c r="T870" s="11" t="s">
        <v>28</v>
      </c>
      <c r="U870" s="22" t="s">
        <v>40</v>
      </c>
      <c r="V870" s="22" t="s">
        <v>40</v>
      </c>
    </row>
    <row r="871" spans="1:22" ht="57.75">
      <c r="A871" s="10" t="s">
        <v>5981</v>
      </c>
      <c r="B871" s="10" t="s">
        <v>474</v>
      </c>
      <c r="C871" s="11" t="s">
        <v>28</v>
      </c>
      <c r="D871" s="12"/>
      <c r="E871" s="68" t="s">
        <v>378</v>
      </c>
      <c r="F871" s="43" t="s">
        <v>5945</v>
      </c>
      <c r="G871" s="6" t="str">
        <f ca="1">IFERROR(__xludf.DUMMYFUNCTION("CONCATENATE(B871,(VLOOKUP(C871,CATALOGOS!$F$2:$H$6,3,FALSE)),(VLOOKUP(T871,CATALOGOS!$J$2:$K$18,2,FALSE)),""-"",TO_TEXT(A871))"),"P35DA-0870")</f>
        <v>P35DA-0870</v>
      </c>
      <c r="H871" s="6" t="s">
        <v>5982</v>
      </c>
      <c r="I871" s="6" t="s">
        <v>5983</v>
      </c>
      <c r="J871" s="6" t="s">
        <v>5984</v>
      </c>
      <c r="K871" s="43" t="s">
        <v>5985</v>
      </c>
      <c r="L871" s="17"/>
      <c r="M871" s="17"/>
      <c r="N871" s="17" t="str">
        <f t="shared" si="2"/>
        <v>OK</v>
      </c>
      <c r="O871" s="17" t="s">
        <v>35</v>
      </c>
      <c r="P871" s="6" t="s">
        <v>35</v>
      </c>
      <c r="Q871" s="17" t="s">
        <v>36</v>
      </c>
      <c r="R871" s="17" t="s">
        <v>5986</v>
      </c>
      <c r="S871" s="173" t="s">
        <v>38</v>
      </c>
      <c r="T871" s="11" t="s">
        <v>28</v>
      </c>
      <c r="U871" s="22" t="s">
        <v>40</v>
      </c>
      <c r="V871" s="22" t="s">
        <v>40</v>
      </c>
    </row>
    <row r="872" spans="1:22" ht="57.75">
      <c r="A872" s="10" t="s">
        <v>5987</v>
      </c>
      <c r="B872" s="10" t="s">
        <v>474</v>
      </c>
      <c r="C872" s="11" t="s">
        <v>28</v>
      </c>
      <c r="D872" s="12"/>
      <c r="E872" s="68" t="s">
        <v>378</v>
      </c>
      <c r="F872" s="43" t="s">
        <v>5945</v>
      </c>
      <c r="G872" s="6" t="str">
        <f ca="1">IFERROR(__xludf.DUMMYFUNCTION("CONCATENATE(B872,(VLOOKUP(C872,CATALOGOS!$F$2:$H$6,3,FALSE)),(VLOOKUP(T872,CATALOGOS!$J$2:$K$18,2,FALSE)),""-"",TO_TEXT(A872))"),"P35DA-0871")</f>
        <v>P35DA-0871</v>
      </c>
      <c r="H872" s="6" t="s">
        <v>5988</v>
      </c>
      <c r="I872" s="6" t="s">
        <v>5989</v>
      </c>
      <c r="J872" s="6" t="s">
        <v>5990</v>
      </c>
      <c r="K872" s="43" t="s">
        <v>5991</v>
      </c>
      <c r="L872" s="17"/>
      <c r="M872" s="17"/>
      <c r="N872" s="17" t="str">
        <f t="shared" si="2"/>
        <v>OK</v>
      </c>
      <c r="O872" s="17" t="s">
        <v>35</v>
      </c>
      <c r="P872" s="6" t="s">
        <v>35</v>
      </c>
      <c r="Q872" s="17" t="s">
        <v>36</v>
      </c>
      <c r="R872" s="17" t="s">
        <v>5992</v>
      </c>
      <c r="S872" s="173" t="s">
        <v>38</v>
      </c>
      <c r="T872" s="11" t="s">
        <v>28</v>
      </c>
      <c r="U872" s="22" t="s">
        <v>40</v>
      </c>
      <c r="V872" s="22" t="s">
        <v>40</v>
      </c>
    </row>
    <row r="873" spans="1:22" ht="57.75">
      <c r="A873" s="10" t="s">
        <v>5993</v>
      </c>
      <c r="B873" s="10" t="s">
        <v>474</v>
      </c>
      <c r="C873" s="11" t="s">
        <v>28</v>
      </c>
      <c r="D873" s="12"/>
      <c r="E873" s="68" t="s">
        <v>378</v>
      </c>
      <c r="F873" s="43" t="s">
        <v>5945</v>
      </c>
      <c r="G873" s="6" t="str">
        <f ca="1">IFERROR(__xludf.DUMMYFUNCTION("CONCATENATE(B873,(VLOOKUP(C873,CATALOGOS!$F$2:$H$6,3,FALSE)),(VLOOKUP(T873,CATALOGOS!$J$2:$K$18,2,FALSE)),""-"",TO_TEXT(A873))"),"P35DA-0872")</f>
        <v>P35DA-0872</v>
      </c>
      <c r="H873" s="6" t="s">
        <v>5994</v>
      </c>
      <c r="I873" s="6" t="s">
        <v>5995</v>
      </c>
      <c r="J873" s="6" t="s">
        <v>5996</v>
      </c>
      <c r="K873" s="43" t="s">
        <v>5997</v>
      </c>
      <c r="L873" s="17"/>
      <c r="M873" s="17"/>
      <c r="N873" s="17" t="str">
        <f t="shared" si="2"/>
        <v>OK</v>
      </c>
      <c r="O873" s="17" t="s">
        <v>35</v>
      </c>
      <c r="P873" s="6" t="s">
        <v>35</v>
      </c>
      <c r="Q873" s="17" t="s">
        <v>36</v>
      </c>
      <c r="R873" s="17" t="s">
        <v>5998</v>
      </c>
      <c r="S873" s="173" t="s">
        <v>38</v>
      </c>
      <c r="T873" s="11" t="s">
        <v>28</v>
      </c>
      <c r="U873" s="22" t="s">
        <v>40</v>
      </c>
      <c r="V873" s="22" t="s">
        <v>40</v>
      </c>
    </row>
    <row r="874" spans="1:22" ht="57.75">
      <c r="A874" s="10" t="s">
        <v>5999</v>
      </c>
      <c r="B874" s="10" t="s">
        <v>474</v>
      </c>
      <c r="C874" s="11" t="s">
        <v>28</v>
      </c>
      <c r="D874" s="12"/>
      <c r="E874" s="68" t="s">
        <v>378</v>
      </c>
      <c r="F874" s="43" t="s">
        <v>5945</v>
      </c>
      <c r="G874" s="6" t="str">
        <f ca="1">IFERROR(__xludf.DUMMYFUNCTION("CONCATENATE(B874,(VLOOKUP(C874,CATALOGOS!$F$2:$H$6,3,FALSE)),(VLOOKUP(T874,CATALOGOS!$J$2:$K$18,2,FALSE)),""-"",TO_TEXT(A874))"),"P35DA-0873")</f>
        <v>P35DA-0873</v>
      </c>
      <c r="H874" s="6" t="s">
        <v>6000</v>
      </c>
      <c r="I874" s="6" t="s">
        <v>6001</v>
      </c>
      <c r="J874" s="6" t="s">
        <v>6002</v>
      </c>
      <c r="K874" s="43" t="s">
        <v>6003</v>
      </c>
      <c r="L874" s="17"/>
      <c r="M874" s="17"/>
      <c r="N874" s="17" t="str">
        <f t="shared" si="2"/>
        <v>OK</v>
      </c>
      <c r="O874" s="17" t="s">
        <v>35</v>
      </c>
      <c r="P874" s="6" t="s">
        <v>35</v>
      </c>
      <c r="Q874" s="17" t="s">
        <v>36</v>
      </c>
      <c r="R874" s="17" t="s">
        <v>6004</v>
      </c>
      <c r="S874" s="173" t="s">
        <v>38</v>
      </c>
      <c r="T874" s="11" t="s">
        <v>28</v>
      </c>
      <c r="U874" s="22" t="s">
        <v>40</v>
      </c>
      <c r="V874" s="22" t="s">
        <v>40</v>
      </c>
    </row>
    <row r="875" spans="1:22" ht="57.75">
      <c r="A875" s="10" t="s">
        <v>6005</v>
      </c>
      <c r="B875" s="10" t="s">
        <v>474</v>
      </c>
      <c r="C875" s="11" t="s">
        <v>28</v>
      </c>
      <c r="D875" s="12"/>
      <c r="E875" s="68" t="s">
        <v>378</v>
      </c>
      <c r="F875" s="43" t="s">
        <v>5945</v>
      </c>
      <c r="G875" s="6" t="str">
        <f ca="1">IFERROR(__xludf.DUMMYFUNCTION("CONCATENATE(B875,(VLOOKUP(C875,CATALOGOS!$F$2:$H$6,3,FALSE)),(VLOOKUP(T875,CATALOGOS!$J$2:$K$18,2,FALSE)),""-"",TO_TEXT(A875))"),"P35DA-0874")</f>
        <v>P35DA-0874</v>
      </c>
      <c r="H875" s="6" t="s">
        <v>6006</v>
      </c>
      <c r="I875" s="6" t="s">
        <v>6007</v>
      </c>
      <c r="J875" s="6" t="s">
        <v>6008</v>
      </c>
      <c r="K875" s="43" t="s">
        <v>6009</v>
      </c>
      <c r="L875" s="17"/>
      <c r="M875" s="17"/>
      <c r="N875" s="17" t="str">
        <f t="shared" si="2"/>
        <v>OK</v>
      </c>
      <c r="O875" s="17" t="s">
        <v>35</v>
      </c>
      <c r="P875" s="6" t="s">
        <v>35</v>
      </c>
      <c r="Q875" s="17" t="s">
        <v>36</v>
      </c>
      <c r="R875" s="17" t="s">
        <v>6010</v>
      </c>
      <c r="S875" s="173" t="s">
        <v>38</v>
      </c>
      <c r="T875" s="11" t="s">
        <v>28</v>
      </c>
      <c r="U875" s="22" t="s">
        <v>40</v>
      </c>
      <c r="V875" s="22" t="s">
        <v>40</v>
      </c>
    </row>
    <row r="876" spans="1:22" ht="57.75">
      <c r="A876" s="10" t="s">
        <v>6011</v>
      </c>
      <c r="B876" s="10" t="s">
        <v>474</v>
      </c>
      <c r="C876" s="11" t="s">
        <v>28</v>
      </c>
      <c r="D876" s="12"/>
      <c r="E876" s="68" t="s">
        <v>378</v>
      </c>
      <c r="F876" s="43" t="s">
        <v>5945</v>
      </c>
      <c r="G876" s="6" t="str">
        <f ca="1">IFERROR(__xludf.DUMMYFUNCTION("CONCATENATE(B876,(VLOOKUP(C876,CATALOGOS!$F$2:$H$6,3,FALSE)),(VLOOKUP(T876,CATALOGOS!$J$2:$K$18,2,FALSE)),""-"",TO_TEXT(A876))"),"P35DA-0875")</f>
        <v>P35DA-0875</v>
      </c>
      <c r="H876" s="6" t="s">
        <v>6012</v>
      </c>
      <c r="I876" s="6" t="s">
        <v>6013</v>
      </c>
      <c r="J876" s="6" t="s">
        <v>6014</v>
      </c>
      <c r="K876" s="43" t="s">
        <v>6015</v>
      </c>
      <c r="L876" s="17"/>
      <c r="M876" s="17"/>
      <c r="N876" s="17" t="str">
        <f t="shared" si="2"/>
        <v>OK</v>
      </c>
      <c r="O876" s="17" t="s">
        <v>35</v>
      </c>
      <c r="P876" s="6" t="s">
        <v>35</v>
      </c>
      <c r="Q876" s="17" t="s">
        <v>36</v>
      </c>
      <c r="R876" s="17" t="s">
        <v>6016</v>
      </c>
      <c r="S876" s="173" t="s">
        <v>38</v>
      </c>
      <c r="T876" s="11" t="s">
        <v>28</v>
      </c>
      <c r="U876" s="22" t="s">
        <v>40</v>
      </c>
      <c r="V876" s="22" t="s">
        <v>40</v>
      </c>
    </row>
    <row r="877" spans="1:22" ht="57.75">
      <c r="A877" s="10" t="s">
        <v>6017</v>
      </c>
      <c r="B877" s="10" t="s">
        <v>474</v>
      </c>
      <c r="C877" s="11" t="s">
        <v>28</v>
      </c>
      <c r="D877" s="12"/>
      <c r="E877" s="68" t="s">
        <v>378</v>
      </c>
      <c r="F877" s="43" t="s">
        <v>5945</v>
      </c>
      <c r="G877" s="6" t="str">
        <f ca="1">IFERROR(__xludf.DUMMYFUNCTION("CONCATENATE(B877,(VLOOKUP(C877,CATALOGOS!$F$2:$H$6,3,FALSE)),(VLOOKUP(T877,CATALOGOS!$J$2:$K$18,2,FALSE)),""-"",TO_TEXT(A877))"),"P35DA-0876")</f>
        <v>P35DA-0876</v>
      </c>
      <c r="H877" s="6" t="s">
        <v>6018</v>
      </c>
      <c r="I877" s="6" t="s">
        <v>6019</v>
      </c>
      <c r="J877" s="6" t="s">
        <v>6020</v>
      </c>
      <c r="K877" s="43" t="s">
        <v>6021</v>
      </c>
      <c r="L877" s="17"/>
      <c r="M877" s="17"/>
      <c r="N877" s="17" t="str">
        <f t="shared" si="2"/>
        <v>OK</v>
      </c>
      <c r="O877" s="17" t="s">
        <v>35</v>
      </c>
      <c r="P877" s="6" t="s">
        <v>35</v>
      </c>
      <c r="Q877" s="17" t="s">
        <v>36</v>
      </c>
      <c r="R877" s="17" t="s">
        <v>6022</v>
      </c>
      <c r="S877" s="173" t="s">
        <v>38</v>
      </c>
      <c r="T877" s="11" t="s">
        <v>28</v>
      </c>
      <c r="U877" s="22" t="s">
        <v>40</v>
      </c>
      <c r="V877" s="22" t="s">
        <v>40</v>
      </c>
    </row>
    <row r="878" spans="1:22" ht="57.75">
      <c r="A878" s="10" t="s">
        <v>6023</v>
      </c>
      <c r="B878" s="10" t="s">
        <v>474</v>
      </c>
      <c r="C878" s="11" t="s">
        <v>28</v>
      </c>
      <c r="D878" s="12"/>
      <c r="E878" s="68" t="s">
        <v>378</v>
      </c>
      <c r="F878" s="6" t="s">
        <v>5945</v>
      </c>
      <c r="G878" s="6" t="str">
        <f ca="1">IFERROR(__xludf.DUMMYFUNCTION("CONCATENATE(B878,(VLOOKUP(C878,CATALOGOS!$F$2:$H$6,3,FALSE)),(VLOOKUP(T878,CATALOGOS!$J$2:$K$18,2,FALSE)),""-"",TO_TEXT(A878))"),"P35DA-0877")</f>
        <v>P35DA-0877</v>
      </c>
      <c r="H878" s="6" t="s">
        <v>6024</v>
      </c>
      <c r="I878" s="6" t="s">
        <v>6025</v>
      </c>
      <c r="J878" s="6" t="s">
        <v>6026</v>
      </c>
      <c r="K878" s="6" t="s">
        <v>6027</v>
      </c>
      <c r="L878" s="17"/>
      <c r="M878" s="17"/>
      <c r="N878" s="17" t="str">
        <f t="shared" si="2"/>
        <v>OK</v>
      </c>
      <c r="O878" s="17" t="s">
        <v>35</v>
      </c>
      <c r="P878" s="6" t="s">
        <v>35</v>
      </c>
      <c r="Q878" s="6" t="s">
        <v>36</v>
      </c>
      <c r="R878" s="10" t="s">
        <v>6028</v>
      </c>
      <c r="S878" s="173" t="s">
        <v>38</v>
      </c>
      <c r="T878" s="11" t="s">
        <v>28</v>
      </c>
      <c r="U878" s="22" t="s">
        <v>40</v>
      </c>
      <c r="V878" s="22" t="s">
        <v>40</v>
      </c>
    </row>
    <row r="879" spans="1:22" ht="57.75">
      <c r="A879" s="10" t="s">
        <v>6029</v>
      </c>
      <c r="B879" s="10" t="s">
        <v>474</v>
      </c>
      <c r="C879" s="11" t="s">
        <v>28</v>
      </c>
      <c r="D879" s="12"/>
      <c r="E879" s="68" t="s">
        <v>378</v>
      </c>
      <c r="F879" s="43" t="s">
        <v>5945</v>
      </c>
      <c r="G879" s="6" t="str">
        <f ca="1">IFERROR(__xludf.DUMMYFUNCTION("CONCATENATE(B879,(VLOOKUP(C879,CATALOGOS!$F$2:$H$6,3,FALSE)),(VLOOKUP(T879,CATALOGOS!$J$2:$K$18,2,FALSE)),""-"",TO_TEXT(A879))"),"P35DA-0878")</f>
        <v>P35DA-0878</v>
      </c>
      <c r="H879" s="6" t="s">
        <v>6030</v>
      </c>
      <c r="I879" s="6" t="s">
        <v>6031</v>
      </c>
      <c r="J879" s="6" t="s">
        <v>6032</v>
      </c>
      <c r="K879" s="43" t="s">
        <v>6033</v>
      </c>
      <c r="L879" s="17"/>
      <c r="M879" s="17"/>
      <c r="N879" s="17" t="str">
        <f t="shared" si="2"/>
        <v>OK</v>
      </c>
      <c r="O879" s="17" t="s">
        <v>35</v>
      </c>
      <c r="P879" s="6" t="s">
        <v>35</v>
      </c>
      <c r="Q879" s="17" t="s">
        <v>36</v>
      </c>
      <c r="R879" s="17" t="s">
        <v>6034</v>
      </c>
      <c r="S879" s="173" t="s">
        <v>38</v>
      </c>
      <c r="T879" s="11" t="s">
        <v>28</v>
      </c>
      <c r="U879" s="22" t="s">
        <v>40</v>
      </c>
      <c r="V879" s="22" t="s">
        <v>40</v>
      </c>
    </row>
    <row r="880" spans="1:22" ht="29.25">
      <c r="A880" s="10" t="s">
        <v>6035</v>
      </c>
      <c r="B880" s="10" t="s">
        <v>474</v>
      </c>
      <c r="C880" s="11" t="s">
        <v>28</v>
      </c>
      <c r="D880" s="12"/>
      <c r="E880" s="68" t="s">
        <v>378</v>
      </c>
      <c r="F880" s="43" t="s">
        <v>511</v>
      </c>
      <c r="G880" s="6" t="str">
        <f ca="1">IFERROR(__xludf.DUMMYFUNCTION("CONCATENATE(B880,(VLOOKUP(C880,CATALOGOS!$F$2:$H$6,3,FALSE)),(VLOOKUP(T880,CATALOGOS!$J$2:$K$18,2,FALSE)),""-"",TO_TEXT(A880))"),"P35DA-0879")</f>
        <v>P35DA-0879</v>
      </c>
      <c r="H880" s="6" t="s">
        <v>6036</v>
      </c>
      <c r="I880" s="6" t="s">
        <v>6037</v>
      </c>
      <c r="J880" s="6" t="s">
        <v>6038</v>
      </c>
      <c r="K880" s="43" t="s">
        <v>6039</v>
      </c>
      <c r="L880" s="17"/>
      <c r="M880" s="17"/>
      <c r="N880" s="17" t="str">
        <f t="shared" si="2"/>
        <v>OK</v>
      </c>
      <c r="O880" s="17" t="s">
        <v>35</v>
      </c>
      <c r="P880" s="6" t="s">
        <v>35</v>
      </c>
      <c r="Q880" s="17" t="s">
        <v>36</v>
      </c>
      <c r="R880" s="17" t="s">
        <v>6040</v>
      </c>
      <c r="S880" s="173" t="s">
        <v>38</v>
      </c>
      <c r="T880" s="11" t="s">
        <v>28</v>
      </c>
      <c r="U880" s="22" t="s">
        <v>40</v>
      </c>
      <c r="V880" s="22" t="s">
        <v>40</v>
      </c>
    </row>
    <row r="881" spans="1:22" ht="29.25">
      <c r="A881" s="10" t="s">
        <v>6041</v>
      </c>
      <c r="B881" s="10" t="s">
        <v>474</v>
      </c>
      <c r="C881" s="11" t="s">
        <v>28</v>
      </c>
      <c r="D881" s="12"/>
      <c r="E881" s="68" t="s">
        <v>378</v>
      </c>
      <c r="F881" s="43" t="s">
        <v>511</v>
      </c>
      <c r="G881" s="6" t="str">
        <f ca="1">IFERROR(__xludf.DUMMYFUNCTION("CONCATENATE(B881,(VLOOKUP(C881,CATALOGOS!$F$2:$H$6,3,FALSE)),(VLOOKUP(T881,CATALOGOS!$J$2:$K$18,2,FALSE)),""-"",TO_TEXT(A881))"),"P35DA-0880")</f>
        <v>P35DA-0880</v>
      </c>
      <c r="H881" s="6" t="s">
        <v>6042</v>
      </c>
      <c r="I881" s="6" t="s">
        <v>6043</v>
      </c>
      <c r="J881" s="6" t="s">
        <v>6044</v>
      </c>
      <c r="K881" s="6" t="s">
        <v>6045</v>
      </c>
      <c r="L881" s="17"/>
      <c r="M881" s="17"/>
      <c r="N881" s="17" t="str">
        <f t="shared" si="2"/>
        <v>OK</v>
      </c>
      <c r="O881" s="17" t="s">
        <v>35</v>
      </c>
      <c r="P881" s="6" t="s">
        <v>35</v>
      </c>
      <c r="Q881" s="17" t="s">
        <v>36</v>
      </c>
      <c r="R881" s="17" t="s">
        <v>6046</v>
      </c>
      <c r="S881" s="173" t="s">
        <v>517</v>
      </c>
      <c r="T881" s="11" t="s">
        <v>28</v>
      </c>
      <c r="U881" s="22" t="s">
        <v>40</v>
      </c>
      <c r="V881" s="22" t="s">
        <v>40</v>
      </c>
    </row>
    <row r="882" spans="1:22" ht="114.75">
      <c r="A882" s="10" t="s">
        <v>6047</v>
      </c>
      <c r="B882" s="10" t="s">
        <v>474</v>
      </c>
      <c r="C882" s="11" t="s">
        <v>28</v>
      </c>
      <c r="D882" s="38"/>
      <c r="E882" s="68" t="s">
        <v>565</v>
      </c>
      <c r="F882" s="6" t="s">
        <v>6048</v>
      </c>
      <c r="G882" s="6" t="str">
        <f ca="1">IFERROR(__xludf.DUMMYFUNCTION("CONCATENATE(B882,(VLOOKUP(C882,CATALOGOS!$F$2:$H$6,3,FALSE)),(VLOOKUP(T882,CATALOGOS!$J$2:$K$18,2,FALSE)),""-"",TO_TEXT(A882))"),"P35DA-0881")</f>
        <v>P35DA-0881</v>
      </c>
      <c r="H882" s="6" t="s">
        <v>6049</v>
      </c>
      <c r="I882" s="6" t="s">
        <v>6050</v>
      </c>
      <c r="J882" s="36"/>
      <c r="K882" s="6" t="s">
        <v>6051</v>
      </c>
      <c r="L882" s="17"/>
      <c r="M882" s="17"/>
      <c r="N882" s="17" t="str">
        <f t="shared" si="2"/>
        <v>OK</v>
      </c>
      <c r="O882" s="17" t="s">
        <v>35</v>
      </c>
      <c r="P882" s="6" t="s">
        <v>35</v>
      </c>
      <c r="Q882" s="6" t="s">
        <v>36</v>
      </c>
      <c r="R882" s="32" t="s">
        <v>6052</v>
      </c>
      <c r="S882" s="173" t="s">
        <v>38</v>
      </c>
      <c r="T882" s="11" t="s">
        <v>28</v>
      </c>
      <c r="U882" s="22" t="s">
        <v>40</v>
      </c>
      <c r="V882" s="22" t="s">
        <v>40</v>
      </c>
    </row>
    <row r="883" spans="1:22" ht="72">
      <c r="A883" s="10" t="s">
        <v>6053</v>
      </c>
      <c r="B883" s="10" t="s">
        <v>4410</v>
      </c>
      <c r="C883" s="11" t="s">
        <v>6054</v>
      </c>
      <c r="D883" s="12"/>
      <c r="E883" s="13" t="s">
        <v>6055</v>
      </c>
      <c r="F883" s="6" t="s">
        <v>6056</v>
      </c>
      <c r="G883" s="6" t="str">
        <f ca="1">IFERROR(__xludf.DUMMYFUNCTION("CONCATENATE(B883,(VLOOKUP(C883,CATALOGOS!$F$2:$H$6,3,FALSE)),(VLOOKUP(T883,CATALOGOS!$J$2:$K$18,2,FALSE)),""-"",TO_TEXT(A883))"),"P21DG-0882")</f>
        <v>P21DG-0882</v>
      </c>
      <c r="H883" s="6" t="s">
        <v>6057</v>
      </c>
      <c r="I883" s="6" t="s">
        <v>6058</v>
      </c>
      <c r="J883" s="6" t="s">
        <v>6059</v>
      </c>
      <c r="K883" s="6" t="s">
        <v>6060</v>
      </c>
      <c r="L883" s="17"/>
      <c r="M883" s="17"/>
      <c r="N883" s="17" t="str">
        <f t="shared" si="2"/>
        <v>OK</v>
      </c>
      <c r="O883" s="17" t="s">
        <v>35</v>
      </c>
      <c r="P883" s="6" t="s">
        <v>35</v>
      </c>
      <c r="Q883" s="17" t="s">
        <v>36</v>
      </c>
      <c r="R883" s="17" t="s">
        <v>6061</v>
      </c>
      <c r="S883" s="173" t="s">
        <v>38</v>
      </c>
      <c r="T883" s="11" t="s">
        <v>6054</v>
      </c>
      <c r="U883" s="22" t="s">
        <v>6062</v>
      </c>
      <c r="V883" s="22" t="s">
        <v>6062</v>
      </c>
    </row>
    <row r="884" spans="1:22" ht="43.5">
      <c r="A884" s="10" t="s">
        <v>6063</v>
      </c>
      <c r="B884" s="10" t="s">
        <v>4410</v>
      </c>
      <c r="C884" s="11" t="s">
        <v>6054</v>
      </c>
      <c r="D884" s="12"/>
      <c r="E884" s="13" t="s">
        <v>378</v>
      </c>
      <c r="F884" s="43" t="s">
        <v>6064</v>
      </c>
      <c r="G884" s="6" t="str">
        <f ca="1">IFERROR(__xludf.DUMMYFUNCTION("CONCATENATE(B884,(VLOOKUP(C884,CATALOGOS!$F$2:$H$6,3,FALSE)),(VLOOKUP(T884,CATALOGOS!$J$2:$K$18,2,FALSE)),""-"",TO_TEXT(A884))"),"P21DG-0883")</f>
        <v>P21DG-0883</v>
      </c>
      <c r="H884" s="6" t="s">
        <v>6065</v>
      </c>
      <c r="I884" s="6" t="s">
        <v>6066</v>
      </c>
      <c r="J884" s="6" t="s">
        <v>6067</v>
      </c>
      <c r="K884" s="6" t="s">
        <v>6068</v>
      </c>
      <c r="L884" s="17"/>
      <c r="M884" s="17"/>
      <c r="N884" s="17" t="str">
        <f t="shared" si="2"/>
        <v>OK</v>
      </c>
      <c r="O884" s="17" t="s">
        <v>35</v>
      </c>
      <c r="P884" s="6" t="s">
        <v>35</v>
      </c>
      <c r="Q884" s="17" t="s">
        <v>36</v>
      </c>
      <c r="R884" s="17" t="s">
        <v>6069</v>
      </c>
      <c r="S884" s="173" t="s">
        <v>38</v>
      </c>
      <c r="T884" s="11" t="s">
        <v>6054</v>
      </c>
      <c r="U884" s="22" t="s">
        <v>6062</v>
      </c>
      <c r="V884" s="22" t="s">
        <v>6062</v>
      </c>
    </row>
    <row r="885" spans="1:22" ht="114.75">
      <c r="A885" s="10" t="s">
        <v>6070</v>
      </c>
      <c r="B885" s="10" t="s">
        <v>4410</v>
      </c>
      <c r="C885" s="11" t="s">
        <v>6054</v>
      </c>
      <c r="D885" s="12"/>
      <c r="E885" s="13" t="s">
        <v>116</v>
      </c>
      <c r="F885" s="6" t="s">
        <v>6071</v>
      </c>
      <c r="G885" s="6" t="str">
        <f ca="1">IFERROR(__xludf.DUMMYFUNCTION("CONCATENATE(B885,(VLOOKUP(C885,CATALOGOS!$F$2:$H$6,3,FALSE)),(VLOOKUP(T885,CATALOGOS!$J$2:$K$18,2,FALSE)),""-"",TO_TEXT(A885))"),"P21DG-0884")</f>
        <v>P21DG-0884</v>
      </c>
      <c r="H885" s="6" t="s">
        <v>6072</v>
      </c>
      <c r="I885" s="6" t="s">
        <v>6073</v>
      </c>
      <c r="J885" s="6" t="s">
        <v>6074</v>
      </c>
      <c r="K885" s="6" t="s">
        <v>6075</v>
      </c>
      <c r="L885" s="17"/>
      <c r="M885" s="17"/>
      <c r="N885" s="17" t="str">
        <f t="shared" si="2"/>
        <v>OK</v>
      </c>
      <c r="O885" s="17" t="s">
        <v>35</v>
      </c>
      <c r="P885" s="6" t="s">
        <v>35</v>
      </c>
      <c r="Q885" s="17" t="s">
        <v>36</v>
      </c>
      <c r="R885" s="17" t="s">
        <v>6076</v>
      </c>
      <c r="S885" s="173" t="s">
        <v>38</v>
      </c>
      <c r="T885" s="11" t="s">
        <v>6054</v>
      </c>
      <c r="U885" s="22" t="s">
        <v>6062</v>
      </c>
      <c r="V885" s="22" t="s">
        <v>6062</v>
      </c>
    </row>
    <row r="886" spans="1:22" ht="43.5">
      <c r="A886" s="10" t="s">
        <v>6077</v>
      </c>
      <c r="B886" s="10" t="s">
        <v>4410</v>
      </c>
      <c r="C886" s="11" t="s">
        <v>6054</v>
      </c>
      <c r="D886" s="12"/>
      <c r="E886" s="13" t="s">
        <v>53</v>
      </c>
      <c r="F886" s="6" t="s">
        <v>6078</v>
      </c>
      <c r="G886" s="6" t="str">
        <f ca="1">IFERROR(__xludf.DUMMYFUNCTION("CONCATENATE(B886,(VLOOKUP(C886,CATALOGOS!$F$2:$H$6,3,FALSE)),(VLOOKUP(T886,CATALOGOS!$J$2:$K$18,2,FALSE)),""-"",TO_TEXT(A886))"),"P21DG-0885")</f>
        <v>P21DG-0885</v>
      </c>
      <c r="H886" s="6" t="s">
        <v>6079</v>
      </c>
      <c r="I886" s="6" t="s">
        <v>6080</v>
      </c>
      <c r="J886" s="6" t="s">
        <v>6081</v>
      </c>
      <c r="K886" s="6" t="s">
        <v>6082</v>
      </c>
      <c r="L886" s="17"/>
      <c r="M886" s="17"/>
      <c r="N886" s="17" t="str">
        <f t="shared" si="2"/>
        <v>OK</v>
      </c>
      <c r="O886" s="17" t="s">
        <v>35</v>
      </c>
      <c r="P886" s="6" t="s">
        <v>35</v>
      </c>
      <c r="Q886" s="17" t="s">
        <v>36</v>
      </c>
      <c r="R886" s="17" t="s">
        <v>6083</v>
      </c>
      <c r="S886" s="173" t="s">
        <v>38</v>
      </c>
      <c r="T886" s="11" t="s">
        <v>6054</v>
      </c>
      <c r="U886" s="22" t="s">
        <v>6062</v>
      </c>
      <c r="V886" s="22" t="s">
        <v>6062</v>
      </c>
    </row>
    <row r="887" spans="1:22" ht="57.75">
      <c r="A887" s="10" t="s">
        <v>6084</v>
      </c>
      <c r="B887" s="10" t="s">
        <v>4410</v>
      </c>
      <c r="C887" s="11" t="s">
        <v>6054</v>
      </c>
      <c r="D887" s="12"/>
      <c r="E887" s="13" t="s">
        <v>2860</v>
      </c>
      <c r="F887" s="43" t="s">
        <v>2861</v>
      </c>
      <c r="G887" s="6" t="str">
        <f ca="1">IFERROR(__xludf.DUMMYFUNCTION("CONCATENATE(B887,(VLOOKUP(C887,CATALOGOS!$F$2:$H$6,3,FALSE)),(VLOOKUP(T887,CATALOGOS!$J$2:$K$18,2,FALSE)),""-"",TO_TEXT(A887))"),"P21DG-0886")</f>
        <v>P21DG-0886</v>
      </c>
      <c r="H887" s="6" t="s">
        <v>6085</v>
      </c>
      <c r="I887" s="6" t="s">
        <v>6086</v>
      </c>
      <c r="J887" s="6" t="s">
        <v>6087</v>
      </c>
      <c r="K887" s="6" t="s">
        <v>6088</v>
      </c>
      <c r="L887" s="17"/>
      <c r="M887" s="17"/>
      <c r="N887" s="17" t="str">
        <f t="shared" si="2"/>
        <v>OK</v>
      </c>
      <c r="O887" s="17" t="s">
        <v>6089</v>
      </c>
      <c r="P887" s="6" t="s">
        <v>35</v>
      </c>
      <c r="Q887" s="6" t="s">
        <v>36</v>
      </c>
      <c r="R887" s="17" t="s">
        <v>6090</v>
      </c>
      <c r="S887" s="173" t="s">
        <v>38</v>
      </c>
      <c r="T887" s="11" t="s">
        <v>6054</v>
      </c>
      <c r="U887" s="22" t="s">
        <v>6062</v>
      </c>
      <c r="V887" s="22" t="s">
        <v>6062</v>
      </c>
    </row>
    <row r="888" spans="1:22" ht="72">
      <c r="A888" s="10" t="s">
        <v>6091</v>
      </c>
      <c r="B888" s="10" t="s">
        <v>4410</v>
      </c>
      <c r="C888" s="11" t="s">
        <v>6054</v>
      </c>
      <c r="D888" s="12"/>
      <c r="E888" s="13" t="s">
        <v>6092</v>
      </c>
      <c r="F888" s="43" t="s">
        <v>6093</v>
      </c>
      <c r="G888" s="6" t="str">
        <f ca="1">IFERROR(__xludf.DUMMYFUNCTION("CONCATENATE(B888,(VLOOKUP(C888,CATALOGOS!$F$2:$H$6,3,FALSE)),(VLOOKUP(T888,CATALOGOS!$J$2:$K$18,2,FALSE)),""-"",TO_TEXT(A888))"),"P21DG-0887")</f>
        <v>P21DG-0887</v>
      </c>
      <c r="H888" s="6" t="s">
        <v>6094</v>
      </c>
      <c r="I888" s="6" t="s">
        <v>6095</v>
      </c>
      <c r="J888" s="6" t="s">
        <v>6096</v>
      </c>
      <c r="K888" s="6" t="s">
        <v>6097</v>
      </c>
      <c r="L888" s="17"/>
      <c r="M888" s="17"/>
      <c r="N888" s="17" t="str">
        <f t="shared" si="2"/>
        <v>OK</v>
      </c>
      <c r="O888" s="17" t="s">
        <v>35</v>
      </c>
      <c r="P888" s="49" t="s">
        <v>35</v>
      </c>
      <c r="Q888" s="17" t="s">
        <v>36</v>
      </c>
      <c r="R888" s="17" t="s">
        <v>6098</v>
      </c>
      <c r="S888" s="173" t="s">
        <v>38</v>
      </c>
      <c r="T888" s="11" t="s">
        <v>6054</v>
      </c>
      <c r="U888" s="22" t="s">
        <v>6062</v>
      </c>
      <c r="V888" s="22" t="s">
        <v>6062</v>
      </c>
    </row>
    <row r="889" spans="1:22" ht="86.25">
      <c r="A889" s="10" t="s">
        <v>6099</v>
      </c>
      <c r="B889" s="10" t="s">
        <v>4410</v>
      </c>
      <c r="C889" s="11" t="s">
        <v>6054</v>
      </c>
      <c r="D889" s="12"/>
      <c r="E889" s="13" t="s">
        <v>6100</v>
      </c>
      <c r="F889" s="6" t="s">
        <v>6101</v>
      </c>
      <c r="G889" s="6" t="str">
        <f ca="1">IFERROR(__xludf.DUMMYFUNCTION("CONCATENATE(B889,(VLOOKUP(C889,CATALOGOS!$F$2:$H$6,3,FALSE)),(VLOOKUP(T889,CATALOGOS!$J$2:$K$18,2,FALSE)),""-"",TO_TEXT(A889))"),"P21DG-0888")</f>
        <v>P21DG-0888</v>
      </c>
      <c r="H889" s="6" t="s">
        <v>6102</v>
      </c>
      <c r="I889" s="6" t="s">
        <v>6103</v>
      </c>
      <c r="J889" s="6" t="s">
        <v>6104</v>
      </c>
      <c r="K889" s="43" t="s">
        <v>6105</v>
      </c>
      <c r="L889" s="17"/>
      <c r="M889" s="17"/>
      <c r="N889" s="17" t="str">
        <f t="shared" si="2"/>
        <v>OK</v>
      </c>
      <c r="O889" s="17" t="s">
        <v>35</v>
      </c>
      <c r="P889" s="6" t="s">
        <v>35</v>
      </c>
      <c r="Q889" s="17" t="s">
        <v>36</v>
      </c>
      <c r="R889" s="17" t="s">
        <v>6106</v>
      </c>
      <c r="S889" s="173" t="s">
        <v>38</v>
      </c>
      <c r="T889" s="11" t="s">
        <v>6054</v>
      </c>
      <c r="U889" s="22" t="s">
        <v>6062</v>
      </c>
      <c r="V889" s="22" t="s">
        <v>6062</v>
      </c>
    </row>
    <row r="890" spans="1:22" ht="100.5">
      <c r="A890" s="10" t="s">
        <v>6107</v>
      </c>
      <c r="B890" s="10" t="s">
        <v>4410</v>
      </c>
      <c r="C890" s="11" t="s">
        <v>6054</v>
      </c>
      <c r="D890" s="12"/>
      <c r="E890" s="13" t="s">
        <v>93</v>
      </c>
      <c r="F890" s="6" t="s">
        <v>6108</v>
      </c>
      <c r="G890" s="6" t="str">
        <f ca="1">IFERROR(__xludf.DUMMYFUNCTION("CONCATENATE(B890,(VLOOKUP(C890,CATALOGOS!$F$2:$H$6,3,FALSE)),(VLOOKUP(T890,CATALOGOS!$J$2:$K$18,2,FALSE)),""-"",TO_TEXT(A890))"),"P21DG-0889")</f>
        <v>P21DG-0889</v>
      </c>
      <c r="H890" s="6" t="s">
        <v>6109</v>
      </c>
      <c r="I890" s="6" t="s">
        <v>6110</v>
      </c>
      <c r="J890" s="6" t="s">
        <v>6111</v>
      </c>
      <c r="K890" s="6" t="s">
        <v>6112</v>
      </c>
      <c r="L890" s="17"/>
      <c r="M890" s="17"/>
      <c r="N890" s="17" t="str">
        <f t="shared" si="2"/>
        <v>OK</v>
      </c>
      <c r="O890" s="17" t="s">
        <v>35</v>
      </c>
      <c r="P890" s="6" t="s">
        <v>35</v>
      </c>
      <c r="Q890" s="17" t="s">
        <v>36</v>
      </c>
      <c r="R890" s="17" t="s">
        <v>6113</v>
      </c>
      <c r="S890" s="173" t="s">
        <v>38</v>
      </c>
      <c r="T890" s="11" t="s">
        <v>6054</v>
      </c>
      <c r="U890" s="22" t="s">
        <v>6062</v>
      </c>
      <c r="V890" s="22" t="s">
        <v>6062</v>
      </c>
    </row>
    <row r="891" spans="1:22" ht="86.25">
      <c r="A891" s="10" t="s">
        <v>6114</v>
      </c>
      <c r="B891" s="10" t="s">
        <v>4410</v>
      </c>
      <c r="C891" s="11" t="s">
        <v>6054</v>
      </c>
      <c r="D891" s="12"/>
      <c r="E891" s="13" t="s">
        <v>71</v>
      </c>
      <c r="F891" s="6" t="s">
        <v>6115</v>
      </c>
      <c r="G891" s="6" t="str">
        <f ca="1">IFERROR(__xludf.DUMMYFUNCTION("CONCATENATE(B891,(VLOOKUP(C891,CATALOGOS!$F$2:$H$6,3,FALSE)),(VLOOKUP(T891,CATALOGOS!$J$2:$K$18,2,FALSE)),""-"",TO_TEXT(A891))"),"P21DG-0890")</f>
        <v>P21DG-0890</v>
      </c>
      <c r="H891" s="6" t="s">
        <v>6116</v>
      </c>
      <c r="I891" s="6" t="s">
        <v>6117</v>
      </c>
      <c r="J891" s="6" t="s">
        <v>6118</v>
      </c>
      <c r="K891" s="6" t="s">
        <v>6119</v>
      </c>
      <c r="L891" s="17"/>
      <c r="M891" s="17"/>
      <c r="N891" s="17" t="str">
        <f t="shared" si="2"/>
        <v>OK</v>
      </c>
      <c r="O891" s="17" t="s">
        <v>35</v>
      </c>
      <c r="P891" s="49" t="s">
        <v>35</v>
      </c>
      <c r="Q891" s="17" t="s">
        <v>36</v>
      </c>
      <c r="R891" s="17" t="s">
        <v>6120</v>
      </c>
      <c r="S891" s="173" t="s">
        <v>38</v>
      </c>
      <c r="T891" s="11" t="s">
        <v>6054</v>
      </c>
      <c r="U891" s="22" t="s">
        <v>6062</v>
      </c>
      <c r="V891" s="22" t="s">
        <v>6062</v>
      </c>
    </row>
    <row r="892" spans="1:22" ht="114.75">
      <c r="A892" s="10" t="s">
        <v>6121</v>
      </c>
      <c r="B892" s="10" t="s">
        <v>4410</v>
      </c>
      <c r="C892" s="11" t="s">
        <v>6054</v>
      </c>
      <c r="D892" s="12"/>
      <c r="E892" s="13" t="s">
        <v>93</v>
      </c>
      <c r="F892" s="6" t="s">
        <v>6122</v>
      </c>
      <c r="G892" s="6" t="str">
        <f ca="1">IFERROR(__xludf.DUMMYFUNCTION("CONCATENATE(B892,(VLOOKUP(C892,CATALOGOS!$F$2:$H$6,3,FALSE)),(VLOOKUP(T892,CATALOGOS!$J$2:$K$18,2,FALSE)),""-"",TO_TEXT(A892))"),"P21DG-0891")</f>
        <v>P21DG-0891</v>
      </c>
      <c r="H892" s="6" t="s">
        <v>6123</v>
      </c>
      <c r="I892" s="6" t="s">
        <v>6124</v>
      </c>
      <c r="J892" s="6" t="s">
        <v>6125</v>
      </c>
      <c r="K892" s="6" t="s">
        <v>6126</v>
      </c>
      <c r="L892" s="17"/>
      <c r="M892" s="17"/>
      <c r="N892" s="17" t="str">
        <f t="shared" si="2"/>
        <v>OK</v>
      </c>
      <c r="O892" s="17" t="s">
        <v>35</v>
      </c>
      <c r="P892" s="6" t="s">
        <v>35</v>
      </c>
      <c r="Q892" s="17" t="s">
        <v>36</v>
      </c>
      <c r="R892" s="17" t="s">
        <v>6127</v>
      </c>
      <c r="S892" s="173" t="s">
        <v>38</v>
      </c>
      <c r="T892" s="11" t="s">
        <v>6054</v>
      </c>
      <c r="U892" s="22" t="s">
        <v>6062</v>
      </c>
      <c r="V892" s="22" t="s">
        <v>6062</v>
      </c>
    </row>
    <row r="893" spans="1:22" ht="57.75">
      <c r="A893" s="10" t="s">
        <v>6128</v>
      </c>
      <c r="B893" s="10" t="s">
        <v>4410</v>
      </c>
      <c r="C893" s="11" t="s">
        <v>6054</v>
      </c>
      <c r="D893" s="12"/>
      <c r="E893" s="13" t="s">
        <v>6129</v>
      </c>
      <c r="F893" s="6" t="s">
        <v>6130</v>
      </c>
      <c r="G893" s="6" t="str">
        <f ca="1">IFERROR(__xludf.DUMMYFUNCTION("CONCATENATE(B893,(VLOOKUP(C893,CATALOGOS!$F$2:$H$6,3,FALSE)),(VLOOKUP(T893,CATALOGOS!$J$2:$K$18,2,FALSE)),""-"",TO_TEXT(A893))"),"P21DG-0892")</f>
        <v>P21DG-0892</v>
      </c>
      <c r="H893" s="6" t="s">
        <v>6131</v>
      </c>
      <c r="I893" s="6" t="s">
        <v>6132</v>
      </c>
      <c r="J893" s="6" t="s">
        <v>6133</v>
      </c>
      <c r="K893" s="43" t="s">
        <v>6134</v>
      </c>
      <c r="L893" s="17"/>
      <c r="M893" s="17"/>
      <c r="N893" s="17" t="str">
        <f t="shared" si="2"/>
        <v>OK</v>
      </c>
      <c r="O893" s="17" t="s">
        <v>6135</v>
      </c>
      <c r="P893" s="6" t="s">
        <v>6136</v>
      </c>
      <c r="Q893" s="17" t="s">
        <v>6137</v>
      </c>
      <c r="R893" s="10" t="s">
        <v>6138</v>
      </c>
      <c r="S893" s="173" t="s">
        <v>38</v>
      </c>
      <c r="T893" s="11" t="s">
        <v>6054</v>
      </c>
      <c r="U893" s="22" t="s">
        <v>6062</v>
      </c>
      <c r="V893" s="22" t="s">
        <v>6062</v>
      </c>
    </row>
    <row r="894" spans="1:22" ht="86.25">
      <c r="A894" s="10" t="s">
        <v>6139</v>
      </c>
      <c r="B894" s="10" t="s">
        <v>4410</v>
      </c>
      <c r="C894" s="11" t="s">
        <v>6054</v>
      </c>
      <c r="D894" s="12"/>
      <c r="E894" s="13" t="s">
        <v>71</v>
      </c>
      <c r="F894" s="6" t="s">
        <v>6115</v>
      </c>
      <c r="G894" s="6" t="str">
        <f ca="1">IFERROR(__xludf.DUMMYFUNCTION("CONCATENATE(B894,(VLOOKUP(C894,CATALOGOS!$F$2:$H$6,3,FALSE)),(VLOOKUP(T894,CATALOGOS!$J$2:$K$18,2,FALSE)),""-"",TO_TEXT(A894))"),"P21DG-0893")</f>
        <v>P21DG-0893</v>
      </c>
      <c r="H894" s="6" t="s">
        <v>6140</v>
      </c>
      <c r="I894" s="6" t="s">
        <v>6141</v>
      </c>
      <c r="J894" s="6" t="s">
        <v>6142</v>
      </c>
      <c r="K894" s="6" t="s">
        <v>6143</v>
      </c>
      <c r="L894" s="17"/>
      <c r="M894" s="17"/>
      <c r="N894" s="17" t="str">
        <f t="shared" si="2"/>
        <v>OK</v>
      </c>
      <c r="O894" s="17" t="s">
        <v>35</v>
      </c>
      <c r="P894" s="6" t="s">
        <v>35</v>
      </c>
      <c r="Q894" s="17" t="s">
        <v>36</v>
      </c>
      <c r="R894" s="17" t="s">
        <v>6144</v>
      </c>
      <c r="S894" s="173" t="s">
        <v>38</v>
      </c>
      <c r="T894" s="11" t="s">
        <v>6054</v>
      </c>
      <c r="U894" s="22" t="s">
        <v>6062</v>
      </c>
      <c r="V894" s="22" t="s">
        <v>6062</v>
      </c>
    </row>
    <row r="895" spans="1:22" ht="72">
      <c r="A895" s="10" t="s">
        <v>6145</v>
      </c>
      <c r="B895" s="10" t="s">
        <v>4410</v>
      </c>
      <c r="C895" s="11" t="s">
        <v>6054</v>
      </c>
      <c r="D895" s="12"/>
      <c r="E895" s="13" t="s">
        <v>93</v>
      </c>
      <c r="F895" s="6" t="s">
        <v>6146</v>
      </c>
      <c r="G895" s="6" t="str">
        <f ca="1">IFERROR(__xludf.DUMMYFUNCTION("CONCATENATE(B895,(VLOOKUP(C895,CATALOGOS!$F$2:$H$6,3,FALSE)),(VLOOKUP(T895,CATALOGOS!$J$2:$K$18,2,FALSE)),""-"",TO_TEXT(A895))"),"P21DG-0894")</f>
        <v>P21DG-0894</v>
      </c>
      <c r="H895" s="6" t="s">
        <v>6147</v>
      </c>
      <c r="I895" s="6" t="s">
        <v>6148</v>
      </c>
      <c r="J895" s="6" t="s">
        <v>6149</v>
      </c>
      <c r="K895" s="6" t="s">
        <v>6150</v>
      </c>
      <c r="L895" s="17"/>
      <c r="M895" s="17"/>
      <c r="N895" s="17" t="str">
        <f t="shared" si="2"/>
        <v>OK</v>
      </c>
      <c r="O895" s="17" t="s">
        <v>35</v>
      </c>
      <c r="P895" s="6" t="s">
        <v>35</v>
      </c>
      <c r="Q895" s="17" t="s">
        <v>36</v>
      </c>
      <c r="R895" s="17" t="s">
        <v>6151</v>
      </c>
      <c r="S895" s="173" t="s">
        <v>38</v>
      </c>
      <c r="T895" s="11" t="s">
        <v>6054</v>
      </c>
      <c r="U895" s="22" t="s">
        <v>6062</v>
      </c>
      <c r="V895" s="22" t="s">
        <v>6062</v>
      </c>
    </row>
    <row r="896" spans="1:22" ht="129">
      <c r="A896" s="10" t="s">
        <v>6152</v>
      </c>
      <c r="B896" s="10" t="s">
        <v>4410</v>
      </c>
      <c r="C896" s="11" t="s">
        <v>6054</v>
      </c>
      <c r="D896" s="12"/>
      <c r="E896" s="13" t="s">
        <v>29</v>
      </c>
      <c r="F896" s="6" t="s">
        <v>6153</v>
      </c>
      <c r="G896" s="6" t="str">
        <f ca="1">IFERROR(__xludf.DUMMYFUNCTION("CONCATENATE(B896,(VLOOKUP(C896,CATALOGOS!$F$2:$H$6,3,FALSE)),(VLOOKUP(T896,CATALOGOS!$J$2:$K$18,2,FALSE)),""-"",TO_TEXT(A896))"),"P21DG-0895")</f>
        <v>P21DG-0895</v>
      </c>
      <c r="H896" s="6" t="s">
        <v>6154</v>
      </c>
      <c r="I896" s="6" t="s">
        <v>6155</v>
      </c>
      <c r="J896" s="6" t="s">
        <v>6156</v>
      </c>
      <c r="K896" s="6" t="s">
        <v>6157</v>
      </c>
      <c r="L896" s="17"/>
      <c r="M896" s="17"/>
      <c r="N896" s="17" t="str">
        <f t="shared" si="2"/>
        <v>OK</v>
      </c>
      <c r="O896" s="17" t="s">
        <v>35</v>
      </c>
      <c r="P896" s="6" t="s">
        <v>35</v>
      </c>
      <c r="Q896" s="17" t="s">
        <v>36</v>
      </c>
      <c r="R896" s="17" t="s">
        <v>6158</v>
      </c>
      <c r="S896" s="173" t="s">
        <v>38</v>
      </c>
      <c r="T896" s="11" t="s">
        <v>6054</v>
      </c>
      <c r="U896" s="22" t="s">
        <v>6062</v>
      </c>
      <c r="V896" s="22" t="s">
        <v>6062</v>
      </c>
    </row>
    <row r="897" spans="1:22" ht="43.5">
      <c r="A897" s="10" t="s">
        <v>6159</v>
      </c>
      <c r="B897" s="10" t="s">
        <v>4410</v>
      </c>
      <c r="C897" s="11" t="s">
        <v>6054</v>
      </c>
      <c r="D897" s="12"/>
      <c r="E897" s="13" t="s">
        <v>93</v>
      </c>
      <c r="F897" s="6" t="s">
        <v>6160</v>
      </c>
      <c r="G897" s="6" t="str">
        <f ca="1">IFERROR(__xludf.DUMMYFUNCTION("CONCATENATE(B897,(VLOOKUP(C897,CATALOGOS!$F$2:$H$6,3,FALSE)),(VLOOKUP(T897,CATALOGOS!$J$2:$K$18,2,FALSE)),""-"",TO_TEXT(A897))"),"P21DG-0896")</f>
        <v>P21DG-0896</v>
      </c>
      <c r="H897" s="6" t="s">
        <v>6161</v>
      </c>
      <c r="I897" s="6" t="s">
        <v>6162</v>
      </c>
      <c r="J897" s="6" t="s">
        <v>6163</v>
      </c>
      <c r="K897" s="6" t="s">
        <v>6164</v>
      </c>
      <c r="L897" s="17"/>
      <c r="M897" s="17"/>
      <c r="N897" s="17" t="str">
        <f t="shared" si="2"/>
        <v>OK</v>
      </c>
      <c r="O897" s="17" t="s">
        <v>35</v>
      </c>
      <c r="P897" s="49" t="s">
        <v>35</v>
      </c>
      <c r="Q897" s="17" t="s">
        <v>36</v>
      </c>
      <c r="R897" s="17" t="s">
        <v>6165</v>
      </c>
      <c r="S897" s="173" t="s">
        <v>38</v>
      </c>
      <c r="T897" s="11" t="s">
        <v>6054</v>
      </c>
      <c r="U897" s="22" t="s">
        <v>6062</v>
      </c>
      <c r="V897" s="22" t="s">
        <v>6062</v>
      </c>
    </row>
    <row r="898" spans="1:22" ht="72">
      <c r="A898" s="10" t="s">
        <v>6166</v>
      </c>
      <c r="B898" s="10" t="s">
        <v>4410</v>
      </c>
      <c r="C898" s="11" t="s">
        <v>6054</v>
      </c>
      <c r="D898" s="12"/>
      <c r="E898" s="13" t="s">
        <v>93</v>
      </c>
      <c r="F898" s="6" t="s">
        <v>6146</v>
      </c>
      <c r="G898" s="6" t="str">
        <f ca="1">IFERROR(__xludf.DUMMYFUNCTION("CONCATENATE(B898,(VLOOKUP(C898,CATALOGOS!$F$2:$H$6,3,FALSE)),(VLOOKUP(T898,CATALOGOS!$J$2:$K$18,2,FALSE)),""-"",TO_TEXT(A898))"),"P21DG-0897")</f>
        <v>P21DG-0897</v>
      </c>
      <c r="H898" s="6" t="s">
        <v>6167</v>
      </c>
      <c r="I898" s="6" t="s">
        <v>6168</v>
      </c>
      <c r="J898" s="6" t="s">
        <v>6169</v>
      </c>
      <c r="K898" s="6" t="s">
        <v>6170</v>
      </c>
      <c r="L898" s="17"/>
      <c r="M898" s="17"/>
      <c r="N898" s="17" t="str">
        <f t="shared" si="2"/>
        <v>OK</v>
      </c>
      <c r="O898" s="17" t="s">
        <v>35</v>
      </c>
      <c r="P898" s="6" t="s">
        <v>35</v>
      </c>
      <c r="Q898" s="17" t="s">
        <v>36</v>
      </c>
      <c r="R898" s="17" t="s">
        <v>6171</v>
      </c>
      <c r="S898" s="173" t="s">
        <v>38</v>
      </c>
      <c r="T898" s="11" t="s">
        <v>6054</v>
      </c>
      <c r="U898" s="22" t="s">
        <v>6062</v>
      </c>
      <c r="V898" s="22" t="s">
        <v>6062</v>
      </c>
    </row>
    <row r="899" spans="1:22" ht="72">
      <c r="A899" s="10" t="s">
        <v>6172</v>
      </c>
      <c r="B899" s="10" t="s">
        <v>4410</v>
      </c>
      <c r="C899" s="11" t="s">
        <v>6054</v>
      </c>
      <c r="D899" s="12"/>
      <c r="E899" s="13" t="s">
        <v>234</v>
      </c>
      <c r="F899" s="43" t="s">
        <v>6173</v>
      </c>
      <c r="G899" s="6" t="str">
        <f ca="1">IFERROR(__xludf.DUMMYFUNCTION("CONCATENATE(B899,(VLOOKUP(C899,CATALOGOS!$F$2:$H$6,3,FALSE)),(VLOOKUP(T899,CATALOGOS!$J$2:$K$18,2,FALSE)),""-"",TO_TEXT(A899))"),"P21DG-0898")</f>
        <v>P21DG-0898</v>
      </c>
      <c r="H899" s="6" t="s">
        <v>6174</v>
      </c>
      <c r="I899" s="6" t="s">
        <v>6175</v>
      </c>
      <c r="J899" s="6" t="s">
        <v>6176</v>
      </c>
      <c r="K899" s="6" t="s">
        <v>6177</v>
      </c>
      <c r="L899" s="17"/>
      <c r="M899" s="17"/>
      <c r="N899" s="17" t="str">
        <f t="shared" si="2"/>
        <v>OK</v>
      </c>
      <c r="O899" s="17" t="s">
        <v>35</v>
      </c>
      <c r="P899" s="6" t="s">
        <v>35</v>
      </c>
      <c r="Q899" s="17" t="s">
        <v>36</v>
      </c>
      <c r="R899" s="17" t="s">
        <v>6178</v>
      </c>
      <c r="S899" s="173" t="s">
        <v>38</v>
      </c>
      <c r="T899" s="11" t="s">
        <v>6054</v>
      </c>
      <c r="U899" s="22" t="s">
        <v>6062</v>
      </c>
      <c r="V899" s="22" t="s">
        <v>6062</v>
      </c>
    </row>
    <row r="900" spans="1:22" ht="86.25">
      <c r="A900" s="10" t="s">
        <v>6179</v>
      </c>
      <c r="B900" s="10" t="s">
        <v>4410</v>
      </c>
      <c r="C900" s="11" t="s">
        <v>6054</v>
      </c>
      <c r="D900" s="12"/>
      <c r="E900" s="13" t="s">
        <v>6180</v>
      </c>
      <c r="F900" s="43" t="s">
        <v>6181</v>
      </c>
      <c r="G900" s="6" t="str">
        <f ca="1">IFERROR(__xludf.DUMMYFUNCTION("CONCATENATE(B900,(VLOOKUP(C900,CATALOGOS!$F$2:$H$6,3,FALSE)),(VLOOKUP(T900,CATALOGOS!$J$2:$K$18,2,FALSE)),""-"",TO_TEXT(A900))"),"P21DG-0899")</f>
        <v>P21DG-0899</v>
      </c>
      <c r="H900" s="6" t="s">
        <v>6182</v>
      </c>
      <c r="I900" s="6" t="s">
        <v>6183</v>
      </c>
      <c r="J900" s="6" t="s">
        <v>6184</v>
      </c>
      <c r="K900" s="6" t="s">
        <v>6185</v>
      </c>
      <c r="L900" s="17"/>
      <c r="M900" s="17"/>
      <c r="N900" s="17" t="str">
        <f t="shared" si="2"/>
        <v>OK</v>
      </c>
      <c r="O900" s="17" t="s">
        <v>35</v>
      </c>
      <c r="P900" s="6" t="s">
        <v>35</v>
      </c>
      <c r="Q900" s="17" t="s">
        <v>36</v>
      </c>
      <c r="R900" s="17" t="s">
        <v>85</v>
      </c>
      <c r="S900" s="173" t="s">
        <v>38</v>
      </c>
      <c r="T900" s="11" t="s">
        <v>6054</v>
      </c>
      <c r="U900" s="22" t="s">
        <v>6062</v>
      </c>
      <c r="V900" s="22" t="s">
        <v>6062</v>
      </c>
    </row>
    <row r="901" spans="1:22" ht="43.5">
      <c r="A901" s="10" t="s">
        <v>6186</v>
      </c>
      <c r="B901" s="10" t="s">
        <v>4410</v>
      </c>
      <c r="C901" s="11" t="s">
        <v>6054</v>
      </c>
      <c r="D901" s="12"/>
      <c r="E901" s="13" t="s">
        <v>6187</v>
      </c>
      <c r="F901" s="6" t="s">
        <v>6188</v>
      </c>
      <c r="G901" s="6" t="str">
        <f ca="1">IFERROR(__xludf.DUMMYFUNCTION("CONCATENATE(B901,(VLOOKUP(C901,CATALOGOS!$F$2:$H$6,3,FALSE)),(VLOOKUP(T901,CATALOGOS!$J$2:$K$18,2,FALSE)),""-"",TO_TEXT(A901))"),"P21DG-0900")</f>
        <v>P21DG-0900</v>
      </c>
      <c r="H901" s="6" t="s">
        <v>6189</v>
      </c>
      <c r="I901" s="36"/>
      <c r="J901" s="36"/>
      <c r="K901" s="6" t="s">
        <v>141</v>
      </c>
      <c r="L901" s="17"/>
      <c r="M901" s="17"/>
      <c r="N901" s="17" t="str">
        <f t="shared" si="2"/>
        <v>REPETIDO</v>
      </c>
      <c r="O901" s="35" t="s">
        <v>35</v>
      </c>
      <c r="P901" s="6" t="s">
        <v>35</v>
      </c>
      <c r="Q901" s="10" t="s">
        <v>36</v>
      </c>
      <c r="R901" s="32" t="s">
        <v>85</v>
      </c>
      <c r="S901" s="173" t="s">
        <v>38</v>
      </c>
      <c r="T901" s="11" t="s">
        <v>6054</v>
      </c>
      <c r="U901" s="22" t="s">
        <v>6062</v>
      </c>
      <c r="V901" s="22" t="s">
        <v>6062</v>
      </c>
    </row>
    <row r="902" spans="1:22" ht="100.5">
      <c r="A902" s="10" t="s">
        <v>6190</v>
      </c>
      <c r="B902" s="10" t="s">
        <v>4410</v>
      </c>
      <c r="C902" s="11" t="s">
        <v>6054</v>
      </c>
      <c r="D902" s="12"/>
      <c r="E902" s="13" t="s">
        <v>93</v>
      </c>
      <c r="F902" s="6" t="s">
        <v>6191</v>
      </c>
      <c r="G902" s="6" t="str">
        <f ca="1">IFERROR(__xludf.DUMMYFUNCTION("CONCATENATE(B902,(VLOOKUP(C902,CATALOGOS!$F$2:$H$6,3,FALSE)),(VLOOKUP(T902,CATALOGOS!$J$2:$K$18,2,FALSE)),""-"",TO_TEXT(A902))"),"P21DG-0901")</f>
        <v>P21DG-0901</v>
      </c>
      <c r="H902" s="6" t="s">
        <v>6192</v>
      </c>
      <c r="I902" s="36"/>
      <c r="J902" s="36"/>
      <c r="K902" s="6" t="s">
        <v>141</v>
      </c>
      <c r="L902" s="17"/>
      <c r="M902" s="17"/>
      <c r="N902" s="17" t="str">
        <f t="shared" si="2"/>
        <v>REPETIDO</v>
      </c>
      <c r="O902" s="35" t="s">
        <v>35</v>
      </c>
      <c r="P902" s="6" t="s">
        <v>35</v>
      </c>
      <c r="Q902" s="10" t="s">
        <v>36</v>
      </c>
      <c r="R902" s="32" t="s">
        <v>85</v>
      </c>
      <c r="S902" s="173" t="s">
        <v>38</v>
      </c>
      <c r="T902" s="11" t="s">
        <v>6054</v>
      </c>
      <c r="U902" s="22" t="s">
        <v>6062</v>
      </c>
      <c r="V902" s="22" t="s">
        <v>6062</v>
      </c>
    </row>
    <row r="903" spans="1:22" ht="114.75">
      <c r="A903" s="10" t="s">
        <v>6193</v>
      </c>
      <c r="B903" s="10" t="s">
        <v>4410</v>
      </c>
      <c r="C903" s="11" t="s">
        <v>6054</v>
      </c>
      <c r="D903" s="12"/>
      <c r="E903" s="13" t="s">
        <v>116</v>
      </c>
      <c r="F903" s="6" t="s">
        <v>6194</v>
      </c>
      <c r="G903" s="6" t="str">
        <f ca="1">IFERROR(__xludf.DUMMYFUNCTION("CONCATENATE(B903,(VLOOKUP(C903,CATALOGOS!$F$2:$H$6,3,FALSE)),(VLOOKUP(T903,CATALOGOS!$J$2:$K$18,2,FALSE)),""-"",TO_TEXT(A903))"),"P21DG-0902")</f>
        <v>P21DG-0902</v>
      </c>
      <c r="H903" s="6" t="s">
        <v>6195</v>
      </c>
      <c r="I903" s="6" t="s">
        <v>6196</v>
      </c>
      <c r="J903" s="6" t="s">
        <v>6197</v>
      </c>
      <c r="K903" s="6" t="s">
        <v>6198</v>
      </c>
      <c r="L903" s="17"/>
      <c r="M903" s="17"/>
      <c r="N903" s="17" t="str">
        <f t="shared" si="2"/>
        <v>OK</v>
      </c>
      <c r="O903" s="17" t="s">
        <v>35</v>
      </c>
      <c r="P903" s="49" t="s">
        <v>35</v>
      </c>
      <c r="Q903" s="17" t="s">
        <v>36</v>
      </c>
      <c r="R903" s="17" t="s">
        <v>6199</v>
      </c>
      <c r="S903" s="173" t="s">
        <v>38</v>
      </c>
      <c r="T903" s="11" t="s">
        <v>6054</v>
      </c>
      <c r="U903" s="22" t="s">
        <v>6062</v>
      </c>
      <c r="V903" s="22" t="s">
        <v>6062</v>
      </c>
    </row>
    <row r="904" spans="1:22" ht="43.5">
      <c r="A904" s="10" t="s">
        <v>6200</v>
      </c>
      <c r="B904" s="10" t="s">
        <v>4410</v>
      </c>
      <c r="C904" s="11" t="s">
        <v>6054</v>
      </c>
      <c r="D904" s="12"/>
      <c r="E904" s="13" t="s">
        <v>184</v>
      </c>
      <c r="F904" s="6" t="s">
        <v>6201</v>
      </c>
      <c r="G904" s="6" t="str">
        <f ca="1">IFERROR(__xludf.DUMMYFUNCTION("CONCATENATE(B904,(VLOOKUP(C904,CATALOGOS!$F$2:$H$6,3,FALSE)),(VLOOKUP(T904,CATALOGOS!$J$2:$K$18,2,FALSE)),""-"",TO_TEXT(A904))"),"P21DG-0903")</f>
        <v>P21DG-0903</v>
      </c>
      <c r="H904" s="6" t="s">
        <v>6202</v>
      </c>
      <c r="I904" s="6" t="s">
        <v>6203</v>
      </c>
      <c r="J904" s="6" t="s">
        <v>6204</v>
      </c>
      <c r="K904" s="43" t="s">
        <v>6205</v>
      </c>
      <c r="L904" s="17"/>
      <c r="M904" s="17"/>
      <c r="N904" s="17" t="str">
        <f t="shared" si="2"/>
        <v>OK</v>
      </c>
      <c r="O904" s="17" t="s">
        <v>35</v>
      </c>
      <c r="P904" s="6" t="s">
        <v>35</v>
      </c>
      <c r="Q904" s="17" t="s">
        <v>36</v>
      </c>
      <c r="R904" s="17" t="s">
        <v>6206</v>
      </c>
      <c r="S904" s="173" t="s">
        <v>38</v>
      </c>
      <c r="T904" s="11" t="s">
        <v>6054</v>
      </c>
      <c r="U904" s="22" t="s">
        <v>6062</v>
      </c>
      <c r="V904" s="22" t="s">
        <v>6062</v>
      </c>
    </row>
    <row r="905" spans="1:22" ht="43.5">
      <c r="A905" s="10" t="s">
        <v>6207</v>
      </c>
      <c r="B905" s="10" t="s">
        <v>4410</v>
      </c>
      <c r="C905" s="11" t="s">
        <v>6054</v>
      </c>
      <c r="D905" s="12"/>
      <c r="E905" s="13" t="s">
        <v>184</v>
      </c>
      <c r="F905" s="6" t="s">
        <v>6201</v>
      </c>
      <c r="G905" s="6" t="str">
        <f ca="1">IFERROR(__xludf.DUMMYFUNCTION("CONCATENATE(B905,(VLOOKUP(C905,CATALOGOS!$F$2:$H$6,3,FALSE)),(VLOOKUP(T905,CATALOGOS!$J$2:$K$18,2,FALSE)),""-"",TO_TEXT(A905))"),"P21DG-0904")</f>
        <v>P21DG-0904</v>
      </c>
      <c r="H905" s="6" t="s">
        <v>6208</v>
      </c>
      <c r="I905" s="6" t="s">
        <v>6209</v>
      </c>
      <c r="J905" s="6" t="s">
        <v>6210</v>
      </c>
      <c r="K905" s="43" t="s">
        <v>6211</v>
      </c>
      <c r="L905" s="17"/>
      <c r="M905" s="17"/>
      <c r="N905" s="17" t="str">
        <f t="shared" si="2"/>
        <v>OK</v>
      </c>
      <c r="O905" s="17" t="s">
        <v>35</v>
      </c>
      <c r="P905" s="6" t="s">
        <v>35</v>
      </c>
      <c r="Q905" s="17" t="s">
        <v>36</v>
      </c>
      <c r="R905" s="17" t="s">
        <v>6212</v>
      </c>
      <c r="S905" s="173" t="s">
        <v>38</v>
      </c>
      <c r="T905" s="11" t="s">
        <v>6054</v>
      </c>
      <c r="U905" s="22" t="s">
        <v>6062</v>
      </c>
      <c r="V905" s="22" t="s">
        <v>6062</v>
      </c>
    </row>
    <row r="906" spans="1:22" ht="43.5">
      <c r="A906" s="10" t="s">
        <v>6213</v>
      </c>
      <c r="B906" s="10" t="s">
        <v>4410</v>
      </c>
      <c r="C906" s="11" t="s">
        <v>6054</v>
      </c>
      <c r="D906" s="12"/>
      <c r="E906" s="13" t="s">
        <v>184</v>
      </c>
      <c r="F906" s="6" t="s">
        <v>6201</v>
      </c>
      <c r="G906" s="6" t="str">
        <f ca="1">IFERROR(__xludf.DUMMYFUNCTION("CONCATENATE(B906,(VLOOKUP(C906,CATALOGOS!$F$2:$H$6,3,FALSE)),(VLOOKUP(T906,CATALOGOS!$J$2:$K$18,2,FALSE)),""-"",TO_TEXT(A906))"),"P21DG-0905")</f>
        <v>P21DG-0905</v>
      </c>
      <c r="H906" s="6" t="s">
        <v>6214</v>
      </c>
      <c r="I906" s="6" t="s">
        <v>6215</v>
      </c>
      <c r="J906" s="6" t="s">
        <v>6216</v>
      </c>
      <c r="K906" s="6" t="s">
        <v>6217</v>
      </c>
      <c r="L906" s="17"/>
      <c r="M906" s="17"/>
      <c r="N906" s="17" t="str">
        <f t="shared" si="2"/>
        <v>OK</v>
      </c>
      <c r="O906" s="17" t="s">
        <v>35</v>
      </c>
      <c r="P906" s="6" t="s">
        <v>35</v>
      </c>
      <c r="Q906" s="17" t="s">
        <v>36</v>
      </c>
      <c r="R906" s="17" t="s">
        <v>6218</v>
      </c>
      <c r="S906" s="173" t="s">
        <v>38</v>
      </c>
      <c r="T906" s="11" t="s">
        <v>6054</v>
      </c>
      <c r="U906" s="22" t="s">
        <v>6062</v>
      </c>
      <c r="V906" s="22" t="s">
        <v>6062</v>
      </c>
    </row>
    <row r="907" spans="1:22" ht="57.75">
      <c r="A907" s="10" t="s">
        <v>6219</v>
      </c>
      <c r="B907" s="10" t="s">
        <v>4410</v>
      </c>
      <c r="C907" s="11" t="s">
        <v>6054</v>
      </c>
      <c r="D907" s="12"/>
      <c r="E907" s="13" t="s">
        <v>378</v>
      </c>
      <c r="F907" s="6" t="s">
        <v>379</v>
      </c>
      <c r="G907" s="6" t="str">
        <f ca="1">IFERROR(__xludf.DUMMYFUNCTION("CONCATENATE(B907,(VLOOKUP(C907,CATALOGOS!$F$2:$H$6,3,FALSE)),(VLOOKUP(T907,CATALOGOS!$J$2:$K$18,2,FALSE)),""-"",TO_TEXT(A907))"),"P21DG-0906")</f>
        <v>P21DG-0906</v>
      </c>
      <c r="H907" s="6" t="s">
        <v>6220</v>
      </c>
      <c r="I907" s="6" t="s">
        <v>6221</v>
      </c>
      <c r="J907" s="66" t="s">
        <v>6222</v>
      </c>
      <c r="K907" s="6" t="s">
        <v>6223</v>
      </c>
      <c r="L907" s="17"/>
      <c r="M907" s="17"/>
      <c r="N907" s="17" t="str">
        <f t="shared" si="2"/>
        <v>OK</v>
      </c>
      <c r="O907" s="17" t="s">
        <v>35</v>
      </c>
      <c r="P907" s="6" t="s">
        <v>35</v>
      </c>
      <c r="Q907" s="17" t="s">
        <v>36</v>
      </c>
      <c r="R907" s="17" t="s">
        <v>6224</v>
      </c>
      <c r="S907" s="173" t="s">
        <v>38</v>
      </c>
      <c r="T907" s="11" t="s">
        <v>6054</v>
      </c>
      <c r="U907" s="22" t="s">
        <v>6062</v>
      </c>
      <c r="V907" s="22" t="s">
        <v>6062</v>
      </c>
    </row>
    <row r="908" spans="1:22" ht="86.25">
      <c r="A908" s="10" t="s">
        <v>6225</v>
      </c>
      <c r="B908" s="10" t="s">
        <v>4410</v>
      </c>
      <c r="C908" s="11" t="s">
        <v>6054</v>
      </c>
      <c r="D908" s="12"/>
      <c r="E908" s="13" t="s">
        <v>6226</v>
      </c>
      <c r="F908" s="43" t="s">
        <v>278</v>
      </c>
      <c r="G908" s="6" t="str">
        <f ca="1">IFERROR(__xludf.DUMMYFUNCTION("CONCATENATE(B908,(VLOOKUP(C908,CATALOGOS!$F$2:$H$6,3,FALSE)),(VLOOKUP(T908,CATALOGOS!$J$2:$K$18,2,FALSE)),""-"",TO_TEXT(A908))"),"P21DG-0907")</f>
        <v>P21DG-0907</v>
      </c>
      <c r="H908" s="6" t="s">
        <v>6227</v>
      </c>
      <c r="I908" s="6" t="s">
        <v>6228</v>
      </c>
      <c r="J908" s="6" t="s">
        <v>6229</v>
      </c>
      <c r="K908" s="6" t="s">
        <v>6230</v>
      </c>
      <c r="L908" s="17"/>
      <c r="M908" s="17"/>
      <c r="N908" s="17" t="str">
        <f t="shared" si="2"/>
        <v>OK</v>
      </c>
      <c r="O908" s="17" t="s">
        <v>35</v>
      </c>
      <c r="P908" s="6" t="s">
        <v>35</v>
      </c>
      <c r="Q908" s="17" t="s">
        <v>36</v>
      </c>
      <c r="R908" s="17" t="s">
        <v>6231</v>
      </c>
      <c r="S908" s="173" t="s">
        <v>38</v>
      </c>
      <c r="T908" s="11" t="s">
        <v>6054</v>
      </c>
      <c r="U908" s="22" t="s">
        <v>6062</v>
      </c>
      <c r="V908" s="22" t="s">
        <v>6062</v>
      </c>
    </row>
    <row r="909" spans="1:22" ht="43.5">
      <c r="A909" s="10" t="s">
        <v>6232</v>
      </c>
      <c r="B909" s="10" t="s">
        <v>4410</v>
      </c>
      <c r="C909" s="11" t="s">
        <v>6054</v>
      </c>
      <c r="D909" s="12"/>
      <c r="E909" s="13" t="s">
        <v>93</v>
      </c>
      <c r="F909" s="6" t="s">
        <v>6233</v>
      </c>
      <c r="G909" s="6" t="str">
        <f ca="1">IFERROR(__xludf.DUMMYFUNCTION("CONCATENATE(B909,(VLOOKUP(C909,CATALOGOS!$F$2:$H$6,3,FALSE)),(VLOOKUP(T909,CATALOGOS!$J$2:$K$18,2,FALSE)),""-"",TO_TEXT(A909))"),"P21DG-0908")</f>
        <v>P21DG-0908</v>
      </c>
      <c r="H909" s="6" t="s">
        <v>6234</v>
      </c>
      <c r="I909" s="6" t="s">
        <v>6235</v>
      </c>
      <c r="J909" s="37"/>
      <c r="K909" s="6" t="s">
        <v>6236</v>
      </c>
      <c r="L909" s="17"/>
      <c r="M909" s="17"/>
      <c r="N909" s="17" t="str">
        <f t="shared" si="2"/>
        <v>OK</v>
      </c>
      <c r="O909" s="35" t="s">
        <v>35</v>
      </c>
      <c r="P909" s="6" t="s">
        <v>35</v>
      </c>
      <c r="Q909" s="10" t="s">
        <v>36</v>
      </c>
      <c r="R909" s="32" t="s">
        <v>6237</v>
      </c>
      <c r="S909" s="173" t="s">
        <v>38</v>
      </c>
      <c r="T909" s="11" t="s">
        <v>6054</v>
      </c>
      <c r="U909" s="22" t="s">
        <v>6062</v>
      </c>
      <c r="V909" s="22" t="s">
        <v>6062</v>
      </c>
    </row>
    <row r="910" spans="1:22" ht="57.75">
      <c r="A910" s="10" t="s">
        <v>6238</v>
      </c>
      <c r="B910" s="10" t="s">
        <v>4410</v>
      </c>
      <c r="C910" s="11" t="s">
        <v>6054</v>
      </c>
      <c r="D910" s="12"/>
      <c r="E910" s="13" t="s">
        <v>1199</v>
      </c>
      <c r="F910" s="43" t="s">
        <v>6239</v>
      </c>
      <c r="G910" s="6" t="str">
        <f ca="1">IFERROR(__xludf.DUMMYFUNCTION("CONCATENATE(B910,(VLOOKUP(C910,CATALOGOS!$F$2:$H$6,3,FALSE)),(VLOOKUP(T910,CATALOGOS!$J$2:$K$18,2,FALSE)),""-"",TO_TEXT(A910))"),"P21DG-0909")</f>
        <v>P21DG-0909</v>
      </c>
      <c r="H910" s="6" t="s">
        <v>6240</v>
      </c>
      <c r="I910" s="6" t="s">
        <v>6241</v>
      </c>
      <c r="J910" s="6" t="s">
        <v>6242</v>
      </c>
      <c r="K910" s="6" t="s">
        <v>6243</v>
      </c>
      <c r="L910" s="17"/>
      <c r="M910" s="17"/>
      <c r="N910" s="17" t="str">
        <f t="shared" si="2"/>
        <v>OK</v>
      </c>
      <c r="O910" s="17" t="s">
        <v>205</v>
      </c>
      <c r="P910" s="6" t="s">
        <v>6244</v>
      </c>
      <c r="Q910" s="17" t="s">
        <v>6245</v>
      </c>
      <c r="R910" s="10" t="s">
        <v>6246</v>
      </c>
      <c r="S910" s="173" t="s">
        <v>38</v>
      </c>
      <c r="T910" s="11" t="s">
        <v>6054</v>
      </c>
      <c r="U910" s="22" t="s">
        <v>6062</v>
      </c>
      <c r="V910" s="22" t="s">
        <v>6062</v>
      </c>
    </row>
    <row r="911" spans="1:22" ht="29.25">
      <c r="A911" s="10" t="s">
        <v>6247</v>
      </c>
      <c r="B911" s="10" t="s">
        <v>4410</v>
      </c>
      <c r="C911" s="11" t="s">
        <v>6054</v>
      </c>
      <c r="D911" s="12"/>
      <c r="E911" s="13" t="s">
        <v>248</v>
      </c>
      <c r="F911" s="43" t="s">
        <v>248</v>
      </c>
      <c r="G911" s="6" t="str">
        <f ca="1">IFERROR(__xludf.DUMMYFUNCTION("CONCATENATE(B911,(VLOOKUP(C911,CATALOGOS!$F$2:$H$6,3,FALSE)),(VLOOKUP(T911,CATALOGOS!$J$2:$K$18,2,FALSE)),""-"",TO_TEXT(A911))"),"P21DG-0910")</f>
        <v>P21DG-0910</v>
      </c>
      <c r="H911" s="6" t="s">
        <v>6248</v>
      </c>
      <c r="I911" s="6" t="s">
        <v>6249</v>
      </c>
      <c r="J911" s="6" t="s">
        <v>6250</v>
      </c>
      <c r="K911" s="6" t="s">
        <v>6251</v>
      </c>
      <c r="L911" s="17"/>
      <c r="M911" s="17"/>
      <c r="N911" s="17" t="str">
        <f t="shared" si="2"/>
        <v>OK</v>
      </c>
      <c r="O911" s="17" t="s">
        <v>978</v>
      </c>
      <c r="P911" s="6" t="s">
        <v>979</v>
      </c>
      <c r="Q911" s="17" t="s">
        <v>6252</v>
      </c>
      <c r="R911" s="17" t="s">
        <v>6253</v>
      </c>
      <c r="S911" s="173" t="s">
        <v>38</v>
      </c>
      <c r="T911" s="11" t="s">
        <v>6054</v>
      </c>
      <c r="U911" s="22" t="s">
        <v>6062</v>
      </c>
      <c r="V911" s="22" t="s">
        <v>6062</v>
      </c>
    </row>
    <row r="912" spans="1:22" ht="43.5">
      <c r="A912" s="10" t="s">
        <v>6254</v>
      </c>
      <c r="B912" s="10" t="s">
        <v>4410</v>
      </c>
      <c r="C912" s="11" t="s">
        <v>6054</v>
      </c>
      <c r="D912" s="12"/>
      <c r="E912" s="13" t="s">
        <v>162</v>
      </c>
      <c r="F912" s="43" t="s">
        <v>6255</v>
      </c>
      <c r="G912" s="6" t="str">
        <f ca="1">IFERROR(__xludf.DUMMYFUNCTION("CONCATENATE(B912,(VLOOKUP(C912,CATALOGOS!$F$2:$H$6,3,FALSE)),(VLOOKUP(T912,CATALOGOS!$J$2:$K$18,2,FALSE)),""-"",TO_TEXT(A912))"),"P21DG-0911")</f>
        <v>P21DG-0911</v>
      </c>
      <c r="H912" s="6" t="s">
        <v>6256</v>
      </c>
      <c r="I912" s="6" t="s">
        <v>6257</v>
      </c>
      <c r="J912" s="6" t="s">
        <v>6258</v>
      </c>
      <c r="K912" s="6" t="s">
        <v>6259</v>
      </c>
      <c r="L912" s="17"/>
      <c r="M912" s="17"/>
      <c r="N912" s="17" t="str">
        <f t="shared" si="2"/>
        <v>OK</v>
      </c>
      <c r="O912" s="17" t="s">
        <v>168</v>
      </c>
      <c r="P912" s="6" t="s">
        <v>169</v>
      </c>
      <c r="Q912" s="17" t="s">
        <v>6260</v>
      </c>
      <c r="R912" s="17" t="s">
        <v>6261</v>
      </c>
      <c r="S912" s="173" t="s">
        <v>38</v>
      </c>
      <c r="T912" s="11" t="s">
        <v>6054</v>
      </c>
      <c r="U912" s="22" t="s">
        <v>6062</v>
      </c>
      <c r="V912" s="22" t="s">
        <v>6062</v>
      </c>
    </row>
    <row r="913" spans="1:22" ht="72">
      <c r="A913" s="10" t="s">
        <v>6262</v>
      </c>
      <c r="B913" s="10" t="s">
        <v>4410</v>
      </c>
      <c r="C913" s="60" t="s">
        <v>1470</v>
      </c>
      <c r="D913" s="38"/>
      <c r="E913" s="13" t="s">
        <v>199</v>
      </c>
      <c r="F913" s="6" t="s">
        <v>677</v>
      </c>
      <c r="G913" s="6" t="str">
        <f ca="1">IFERROR(__xludf.DUMMYFUNCTION("CONCATENATE(B913,(VLOOKUP(C913,CATALOGOS!$F$2:$H$6,3,FALSE)),(VLOOKUP(T913,CATALOGOS!$J$2:$K$18,2,FALSE)),""-"",TO_TEXT(A913))"),"P22SI-0912")</f>
        <v>P22SI-0912</v>
      </c>
      <c r="H913" s="6" t="s">
        <v>6263</v>
      </c>
      <c r="I913" s="6" t="s">
        <v>6264</v>
      </c>
      <c r="J913" s="6" t="s">
        <v>6265</v>
      </c>
      <c r="K913" s="6" t="s">
        <v>6266</v>
      </c>
      <c r="L913" s="17"/>
      <c r="M913" s="17"/>
      <c r="N913" s="17" t="str">
        <f t="shared" si="2"/>
        <v>OK</v>
      </c>
      <c r="O913" s="17" t="s">
        <v>682</v>
      </c>
      <c r="P913" s="6" t="s">
        <v>6267</v>
      </c>
      <c r="Q913" s="46" t="s">
        <v>6268</v>
      </c>
      <c r="R913" s="32" t="s">
        <v>6269</v>
      </c>
      <c r="S913" s="173" t="s">
        <v>38</v>
      </c>
      <c r="T913" s="181" t="s">
        <v>1483</v>
      </c>
      <c r="U913" s="20" t="s">
        <v>1484</v>
      </c>
      <c r="V913" s="20" t="s">
        <v>1484</v>
      </c>
    </row>
    <row r="914" spans="1:22" ht="100.5">
      <c r="A914" s="10" t="s">
        <v>6270</v>
      </c>
      <c r="B914" s="10" t="s">
        <v>4410</v>
      </c>
      <c r="C914" s="11" t="s">
        <v>6054</v>
      </c>
      <c r="D914" s="12"/>
      <c r="E914" s="13" t="s">
        <v>93</v>
      </c>
      <c r="F914" s="6" t="s">
        <v>6271</v>
      </c>
      <c r="G914" s="6" t="str">
        <f ca="1">IFERROR(__xludf.DUMMYFUNCTION("CONCATENATE(B914,(VLOOKUP(C914,CATALOGOS!$F$2:$H$6,3,FALSE)),(VLOOKUP(T914,CATALOGOS!$J$2:$K$18,2,FALSE)),""-"",TO_TEXT(A914))"),"P21DG-0913")</f>
        <v>P21DG-0913</v>
      </c>
      <c r="H914" s="6" t="s">
        <v>6272</v>
      </c>
      <c r="I914" s="6" t="s">
        <v>6273</v>
      </c>
      <c r="J914" s="6" t="s">
        <v>6274</v>
      </c>
      <c r="K914" s="6" t="s">
        <v>6275</v>
      </c>
      <c r="L914" s="17"/>
      <c r="M914" s="17"/>
      <c r="N914" s="17" t="str">
        <f t="shared" si="2"/>
        <v>OK</v>
      </c>
      <c r="O914" s="17" t="s">
        <v>35</v>
      </c>
      <c r="P914" s="6" t="s">
        <v>35</v>
      </c>
      <c r="Q914" s="17" t="s">
        <v>36</v>
      </c>
      <c r="R914" s="17" t="s">
        <v>6276</v>
      </c>
      <c r="S914" s="173" t="s">
        <v>38</v>
      </c>
      <c r="T914" s="11" t="s">
        <v>6054</v>
      </c>
      <c r="U914" s="22" t="s">
        <v>6277</v>
      </c>
      <c r="V914" s="22" t="s">
        <v>6277</v>
      </c>
    </row>
    <row r="915" spans="1:22" ht="86.25">
      <c r="A915" s="10" t="s">
        <v>6278</v>
      </c>
      <c r="B915" s="10" t="s">
        <v>4410</v>
      </c>
      <c r="C915" s="11" t="s">
        <v>6054</v>
      </c>
      <c r="D915" s="12"/>
      <c r="E915" s="13" t="s">
        <v>378</v>
      </c>
      <c r="F915" s="6" t="s">
        <v>6279</v>
      </c>
      <c r="G915" s="6" t="str">
        <f ca="1">IFERROR(__xludf.DUMMYFUNCTION("CONCATENATE(B915,(VLOOKUP(C915,CATALOGOS!$F$2:$H$6,3,FALSE)),(VLOOKUP(T915,CATALOGOS!$J$2:$K$18,2,FALSE)),""-"",TO_TEXT(A915))"),"P21DG-0914")</f>
        <v>P21DG-0914</v>
      </c>
      <c r="H915" s="6" t="s">
        <v>6280</v>
      </c>
      <c r="I915" s="6" t="s">
        <v>6281</v>
      </c>
      <c r="J915" s="6" t="s">
        <v>6282</v>
      </c>
      <c r="K915" s="6" t="s">
        <v>6283</v>
      </c>
      <c r="L915" s="17"/>
      <c r="M915" s="17"/>
      <c r="N915" s="17" t="str">
        <f t="shared" si="2"/>
        <v>OK</v>
      </c>
      <c r="O915" s="17" t="s">
        <v>35</v>
      </c>
      <c r="P915" s="6" t="s">
        <v>35</v>
      </c>
      <c r="Q915" s="17" t="s">
        <v>36</v>
      </c>
      <c r="R915" s="17" t="s">
        <v>6284</v>
      </c>
      <c r="S915" s="173" t="s">
        <v>517</v>
      </c>
      <c r="T915" s="11" t="s">
        <v>6054</v>
      </c>
      <c r="U915" s="22" t="s">
        <v>6277</v>
      </c>
      <c r="V915" s="22" t="s">
        <v>6277</v>
      </c>
    </row>
    <row r="916" spans="1:22" ht="86.25">
      <c r="A916" s="10" t="s">
        <v>6285</v>
      </c>
      <c r="B916" s="10" t="s">
        <v>27</v>
      </c>
      <c r="C916" s="63" t="s">
        <v>28</v>
      </c>
      <c r="D916" s="12"/>
      <c r="E916" s="13" t="s">
        <v>378</v>
      </c>
      <c r="F916" s="6" t="s">
        <v>6279</v>
      </c>
      <c r="G916" s="6" t="str">
        <f ca="1">IFERROR(__xludf.DUMMYFUNCTION("CONCATENATE(B916,(VLOOKUP(C916,CATALOGOS!$F$2:$H$6,3,FALSE)),(VLOOKUP(T916,CATALOGOS!$J$2:$K$18,2,FALSE)),""-"",TO_TEXT(A916))"),"P05DA-0915")</f>
        <v>P05DA-0915</v>
      </c>
      <c r="H916" s="6" t="s">
        <v>6286</v>
      </c>
      <c r="I916" s="6" t="s">
        <v>6287</v>
      </c>
      <c r="J916" s="6" t="s">
        <v>6288</v>
      </c>
      <c r="K916" s="43" t="s">
        <v>6289</v>
      </c>
      <c r="L916" s="17"/>
      <c r="M916" s="17"/>
      <c r="N916" s="17" t="str">
        <f t="shared" si="2"/>
        <v>OK</v>
      </c>
      <c r="O916" s="17" t="s">
        <v>35</v>
      </c>
      <c r="P916" s="6" t="s">
        <v>35</v>
      </c>
      <c r="Q916" s="17" t="s">
        <v>36</v>
      </c>
      <c r="R916" s="17" t="s">
        <v>6290</v>
      </c>
      <c r="S916" s="173" t="s">
        <v>38</v>
      </c>
      <c r="T916" s="11" t="s">
        <v>28</v>
      </c>
      <c r="U916" s="20" t="s">
        <v>40</v>
      </c>
      <c r="V916" s="20" t="s">
        <v>40</v>
      </c>
    </row>
    <row r="917" spans="1:22" ht="72">
      <c r="A917" s="10" t="s">
        <v>6292</v>
      </c>
      <c r="B917" s="10" t="s">
        <v>4410</v>
      </c>
      <c r="C917" s="11" t="s">
        <v>6054</v>
      </c>
      <c r="D917" s="12"/>
      <c r="E917" s="13" t="s">
        <v>93</v>
      </c>
      <c r="F917" s="6" t="s">
        <v>6293</v>
      </c>
      <c r="G917" s="6" t="str">
        <f ca="1">IFERROR(__xludf.DUMMYFUNCTION("CONCATENATE(B917,(VLOOKUP(C917,CATALOGOS!$F$2:$H$6,3,FALSE)),(VLOOKUP(T917,CATALOGOS!$J$2:$K$18,2,FALSE)),""-"",TO_TEXT(A917))"),"P21DG-0916")</f>
        <v>P21DG-0916</v>
      </c>
      <c r="H917" s="6" t="s">
        <v>6294</v>
      </c>
      <c r="I917" s="6" t="s">
        <v>6295</v>
      </c>
      <c r="J917" s="6" t="s">
        <v>6296</v>
      </c>
      <c r="K917" s="6" t="s">
        <v>6297</v>
      </c>
      <c r="L917" s="17"/>
      <c r="M917" s="17"/>
      <c r="N917" s="17" t="str">
        <f t="shared" si="2"/>
        <v>OK</v>
      </c>
      <c r="O917" s="17" t="s">
        <v>35</v>
      </c>
      <c r="P917" s="6" t="s">
        <v>35</v>
      </c>
      <c r="Q917" s="17" t="s">
        <v>36</v>
      </c>
      <c r="R917" s="17" t="s">
        <v>6298</v>
      </c>
      <c r="S917" s="173" t="s">
        <v>38</v>
      </c>
      <c r="T917" s="11" t="s">
        <v>6054</v>
      </c>
      <c r="U917" s="22" t="s">
        <v>6277</v>
      </c>
      <c r="V917" s="22" t="s">
        <v>6277</v>
      </c>
    </row>
    <row r="918" spans="1:22" ht="43.5">
      <c r="A918" s="10" t="s">
        <v>6299</v>
      </c>
      <c r="B918" s="10" t="s">
        <v>4410</v>
      </c>
      <c r="C918" s="11" t="s">
        <v>6054</v>
      </c>
      <c r="D918" s="12"/>
      <c r="E918" s="13" t="s">
        <v>353</v>
      </c>
      <c r="F918" s="43" t="s">
        <v>6300</v>
      </c>
      <c r="G918" s="6" t="str">
        <f ca="1">IFERROR(__xludf.DUMMYFUNCTION("CONCATENATE(B918,(VLOOKUP(C918,CATALOGOS!$F$2:$H$6,3,FALSE)),(VLOOKUP(T918,CATALOGOS!$J$2:$K$18,2,FALSE)),""-"",TO_TEXT(A918))"),"P21DG-0917")</f>
        <v>P21DG-0917</v>
      </c>
      <c r="H918" s="6" t="s">
        <v>6301</v>
      </c>
      <c r="I918" s="6" t="s">
        <v>6302</v>
      </c>
      <c r="J918" s="6" t="s">
        <v>6303</v>
      </c>
      <c r="K918" s="6" t="s">
        <v>6304</v>
      </c>
      <c r="L918" s="17"/>
      <c r="M918" s="17"/>
      <c r="N918" s="17" t="str">
        <f t="shared" si="2"/>
        <v>OK</v>
      </c>
      <c r="O918" s="17" t="s">
        <v>6305</v>
      </c>
      <c r="P918" s="6" t="s">
        <v>6306</v>
      </c>
      <c r="Q918" s="17" t="s">
        <v>6307</v>
      </c>
      <c r="R918" s="10" t="s">
        <v>6308</v>
      </c>
      <c r="S918" s="173" t="s">
        <v>38</v>
      </c>
      <c r="T918" s="11" t="s">
        <v>6054</v>
      </c>
      <c r="U918" s="22" t="s">
        <v>6277</v>
      </c>
      <c r="V918" s="22" t="s">
        <v>6277</v>
      </c>
    </row>
    <row r="919" spans="1:22" ht="129">
      <c r="A919" s="10" t="s">
        <v>6309</v>
      </c>
      <c r="B919" s="10" t="s">
        <v>4410</v>
      </c>
      <c r="C919" s="11" t="s">
        <v>6054</v>
      </c>
      <c r="D919" s="12"/>
      <c r="E919" s="13" t="s">
        <v>3521</v>
      </c>
      <c r="F919" s="6" t="s">
        <v>6310</v>
      </c>
      <c r="G919" s="6" t="str">
        <f ca="1">IFERROR(__xludf.DUMMYFUNCTION("CONCATENATE(B919,(VLOOKUP(C919,CATALOGOS!$F$2:$H$6,3,FALSE)),(VLOOKUP(T919,CATALOGOS!$J$2:$K$18,2,FALSE)),""-"",TO_TEXT(A919))"),"P21DG-0918")</f>
        <v>P21DG-0918</v>
      </c>
      <c r="H919" s="6" t="s">
        <v>6311</v>
      </c>
      <c r="I919" s="6" t="s">
        <v>6312</v>
      </c>
      <c r="J919" s="6" t="s">
        <v>6313</v>
      </c>
      <c r="K919" s="6" t="s">
        <v>6314</v>
      </c>
      <c r="L919" s="17"/>
      <c r="M919" s="17"/>
      <c r="N919" s="17" t="str">
        <f t="shared" si="2"/>
        <v>OK</v>
      </c>
      <c r="O919" s="17" t="s">
        <v>35</v>
      </c>
      <c r="P919" s="6" t="s">
        <v>35</v>
      </c>
      <c r="Q919" s="17" t="s">
        <v>36</v>
      </c>
      <c r="R919" s="17" t="s">
        <v>6315</v>
      </c>
      <c r="S919" s="173" t="s">
        <v>38</v>
      </c>
      <c r="T919" s="11" t="s">
        <v>6054</v>
      </c>
      <c r="U919" s="22" t="s">
        <v>6277</v>
      </c>
      <c r="V919" s="22" t="s">
        <v>6277</v>
      </c>
    </row>
    <row r="920" spans="1:22" ht="114.75">
      <c r="A920" s="10" t="s">
        <v>6316</v>
      </c>
      <c r="B920" s="10" t="s">
        <v>4410</v>
      </c>
      <c r="C920" s="11" t="s">
        <v>6054</v>
      </c>
      <c r="D920" s="12"/>
      <c r="E920" s="13" t="s">
        <v>71</v>
      </c>
      <c r="F920" s="6" t="s">
        <v>6317</v>
      </c>
      <c r="G920" s="6" t="str">
        <f ca="1">IFERROR(__xludf.DUMMYFUNCTION("CONCATENATE(B920,(VLOOKUP(C920,CATALOGOS!$F$2:$H$6,3,FALSE)),(VLOOKUP(T920,CATALOGOS!$J$2:$K$18,2,FALSE)),""-"",TO_TEXT(A920))"),"P21DG-0919")</f>
        <v>P21DG-0919</v>
      </c>
      <c r="H920" s="6" t="s">
        <v>6318</v>
      </c>
      <c r="I920" s="6" t="s">
        <v>6319</v>
      </c>
      <c r="J920" s="6" t="s">
        <v>6320</v>
      </c>
      <c r="K920" s="6" t="s">
        <v>6321</v>
      </c>
      <c r="L920" s="17"/>
      <c r="M920" s="17"/>
      <c r="N920" s="17" t="str">
        <f t="shared" si="2"/>
        <v>OK</v>
      </c>
      <c r="O920" s="17" t="s">
        <v>35</v>
      </c>
      <c r="P920" s="49" t="s">
        <v>35</v>
      </c>
      <c r="Q920" s="17" t="s">
        <v>36</v>
      </c>
      <c r="R920" s="17" t="s">
        <v>6322</v>
      </c>
      <c r="S920" s="173" t="s">
        <v>38</v>
      </c>
      <c r="T920" s="11" t="s">
        <v>6054</v>
      </c>
      <c r="U920" s="22" t="s">
        <v>6277</v>
      </c>
      <c r="V920" s="22" t="s">
        <v>6277</v>
      </c>
    </row>
    <row r="921" spans="1:22" ht="72">
      <c r="A921" s="10" t="s">
        <v>6323</v>
      </c>
      <c r="B921" s="10" t="s">
        <v>4410</v>
      </c>
      <c r="C921" s="11" t="s">
        <v>6054</v>
      </c>
      <c r="D921" s="12"/>
      <c r="E921" s="13" t="s">
        <v>93</v>
      </c>
      <c r="F921" s="6" t="s">
        <v>6324</v>
      </c>
      <c r="G921" s="6" t="str">
        <f ca="1">IFERROR(__xludf.DUMMYFUNCTION("CONCATENATE(B921,(VLOOKUP(C921,CATALOGOS!$F$2:$H$6,3,FALSE)),(VLOOKUP(T921,CATALOGOS!$J$2:$K$18,2,FALSE)),""-"",TO_TEXT(A921))"),"P21DG-0920")</f>
        <v>P21DG-0920</v>
      </c>
      <c r="H921" s="6" t="s">
        <v>6325</v>
      </c>
      <c r="I921" s="6" t="s">
        <v>6326</v>
      </c>
      <c r="J921" s="6" t="s">
        <v>6327</v>
      </c>
      <c r="K921" s="6" t="s">
        <v>6328</v>
      </c>
      <c r="L921" s="17"/>
      <c r="M921" s="17"/>
      <c r="N921" s="17" t="str">
        <f t="shared" si="2"/>
        <v>OK</v>
      </c>
      <c r="O921" s="17" t="s">
        <v>35</v>
      </c>
      <c r="P921" s="6" t="s">
        <v>35</v>
      </c>
      <c r="Q921" s="17" t="s">
        <v>36</v>
      </c>
      <c r="R921" s="17" t="s">
        <v>6329</v>
      </c>
      <c r="S921" s="173" t="s">
        <v>38</v>
      </c>
      <c r="T921" s="11" t="s">
        <v>6054</v>
      </c>
      <c r="U921" s="22" t="s">
        <v>6277</v>
      </c>
      <c r="V921" s="22" t="s">
        <v>6277</v>
      </c>
    </row>
    <row r="922" spans="1:22" ht="72">
      <c r="A922" s="10" t="s">
        <v>6330</v>
      </c>
      <c r="B922" s="10" t="s">
        <v>4410</v>
      </c>
      <c r="C922" s="11" t="s">
        <v>6054</v>
      </c>
      <c r="D922" s="12"/>
      <c r="E922" s="13" t="s">
        <v>93</v>
      </c>
      <c r="F922" s="6" t="s">
        <v>6331</v>
      </c>
      <c r="G922" s="6" t="str">
        <f ca="1">IFERROR(__xludf.DUMMYFUNCTION("CONCATENATE(B922,(VLOOKUP(C922,CATALOGOS!$F$2:$H$6,3,FALSE)),(VLOOKUP(T922,CATALOGOS!$J$2:$K$18,2,FALSE)),""-"",TO_TEXT(A922))"),"P21DG-0921")</f>
        <v>P21DG-0921</v>
      </c>
      <c r="H922" s="6" t="s">
        <v>6332</v>
      </c>
      <c r="I922" s="6" t="s">
        <v>6333</v>
      </c>
      <c r="J922" s="6" t="s">
        <v>6334</v>
      </c>
      <c r="K922" s="6" t="s">
        <v>6335</v>
      </c>
      <c r="L922" s="17"/>
      <c r="M922" s="17"/>
      <c r="N922" s="17" t="str">
        <f t="shared" si="2"/>
        <v>OK</v>
      </c>
      <c r="O922" s="17" t="s">
        <v>35</v>
      </c>
      <c r="P922" s="6" t="s">
        <v>35</v>
      </c>
      <c r="Q922" s="17" t="s">
        <v>36</v>
      </c>
      <c r="R922" s="17" t="s">
        <v>6336</v>
      </c>
      <c r="S922" s="173" t="s">
        <v>38</v>
      </c>
      <c r="T922" s="11" t="s">
        <v>6054</v>
      </c>
      <c r="U922" s="22" t="s">
        <v>6277</v>
      </c>
      <c r="V922" s="22" t="s">
        <v>6277</v>
      </c>
    </row>
    <row r="923" spans="1:22" ht="72">
      <c r="A923" s="10" t="s">
        <v>6337</v>
      </c>
      <c r="B923" s="10" t="s">
        <v>4410</v>
      </c>
      <c r="C923" s="11" t="s">
        <v>6054</v>
      </c>
      <c r="D923" s="12"/>
      <c r="E923" s="13" t="s">
        <v>6338</v>
      </c>
      <c r="F923" s="6" t="s">
        <v>6339</v>
      </c>
      <c r="G923" s="6" t="str">
        <f ca="1">IFERROR(__xludf.DUMMYFUNCTION("CONCATENATE(B923,(VLOOKUP(C923,CATALOGOS!$F$2:$H$6,3,FALSE)),(VLOOKUP(T923,CATALOGOS!$J$2:$K$18,2,FALSE)),""-"",TO_TEXT(A923))"),"P21DG-0922")</f>
        <v>P21DG-0922</v>
      </c>
      <c r="H923" s="6" t="s">
        <v>6340</v>
      </c>
      <c r="I923" s="6" t="s">
        <v>6341</v>
      </c>
      <c r="J923" s="6" t="s">
        <v>6342</v>
      </c>
      <c r="K923" s="6" t="s">
        <v>6343</v>
      </c>
      <c r="L923" s="17"/>
      <c r="M923" s="17"/>
      <c r="N923" s="17" t="str">
        <f t="shared" si="2"/>
        <v>OK</v>
      </c>
      <c r="O923" s="17" t="s">
        <v>35</v>
      </c>
      <c r="P923" s="6" t="s">
        <v>35</v>
      </c>
      <c r="Q923" s="17" t="s">
        <v>36</v>
      </c>
      <c r="R923" s="17" t="s">
        <v>85</v>
      </c>
      <c r="S923" s="173" t="s">
        <v>38</v>
      </c>
      <c r="T923" s="11" t="s">
        <v>6054</v>
      </c>
      <c r="U923" s="22" t="s">
        <v>6277</v>
      </c>
      <c r="V923" s="22" t="s">
        <v>6277</v>
      </c>
    </row>
    <row r="924" spans="1:22" ht="29.25">
      <c r="A924" s="10" t="s">
        <v>6344</v>
      </c>
      <c r="B924" s="10" t="s">
        <v>4410</v>
      </c>
      <c r="C924" s="11" t="s">
        <v>6054</v>
      </c>
      <c r="D924" s="12"/>
      <c r="E924" s="13" t="s">
        <v>6345</v>
      </c>
      <c r="F924" s="6" t="s">
        <v>6346</v>
      </c>
      <c r="G924" s="6" t="str">
        <f ca="1">IFERROR(__xludf.DUMMYFUNCTION("CONCATENATE(B924,(VLOOKUP(C924,CATALOGOS!$F$2:$H$6,3,FALSE)),(VLOOKUP(T924,CATALOGOS!$J$2:$K$18,2,FALSE)),""-"",TO_TEXT(A924))"),"P21DG-0923")</f>
        <v>P21DG-0923</v>
      </c>
      <c r="H924" s="6" t="s">
        <v>6347</v>
      </c>
      <c r="I924" s="6" t="s">
        <v>6348</v>
      </c>
      <c r="J924" s="6" t="s">
        <v>6349</v>
      </c>
      <c r="K924" s="6" t="s">
        <v>6350</v>
      </c>
      <c r="L924" s="17"/>
      <c r="M924" s="17"/>
      <c r="N924" s="17" t="str">
        <f t="shared" si="2"/>
        <v>OK</v>
      </c>
      <c r="O924" s="17" t="s">
        <v>35</v>
      </c>
      <c r="P924" s="6" t="s">
        <v>35</v>
      </c>
      <c r="Q924" s="17" t="s">
        <v>36</v>
      </c>
      <c r="R924" s="17" t="s">
        <v>6351</v>
      </c>
      <c r="S924" s="173" t="s">
        <v>38</v>
      </c>
      <c r="T924" s="11" t="s">
        <v>6054</v>
      </c>
      <c r="U924" s="22" t="s">
        <v>6277</v>
      </c>
      <c r="V924" s="22" t="s">
        <v>6277</v>
      </c>
    </row>
    <row r="925" spans="1:22" ht="57.75">
      <c r="A925" s="10" t="s">
        <v>6352</v>
      </c>
      <c r="B925" s="10" t="s">
        <v>4410</v>
      </c>
      <c r="C925" s="11" t="s">
        <v>6054</v>
      </c>
      <c r="D925" s="12"/>
      <c r="E925" s="13" t="s">
        <v>6353</v>
      </c>
      <c r="F925" s="43" t="s">
        <v>6354</v>
      </c>
      <c r="G925" s="6" t="str">
        <f ca="1">IFERROR(__xludf.DUMMYFUNCTION("CONCATENATE(B925,(VLOOKUP(C925,CATALOGOS!$F$2:$H$6,3,FALSE)),(VLOOKUP(T925,CATALOGOS!$J$2:$K$18,2,FALSE)),""-"",TO_TEXT(A925))"),"P21DG-0924")</f>
        <v>P21DG-0924</v>
      </c>
      <c r="H925" s="6" t="s">
        <v>6355</v>
      </c>
      <c r="I925" s="6" t="s">
        <v>6356</v>
      </c>
      <c r="J925" s="6" t="s">
        <v>6357</v>
      </c>
      <c r="K925" s="6" t="s">
        <v>6358</v>
      </c>
      <c r="L925" s="17"/>
      <c r="M925" s="17"/>
      <c r="N925" s="17" t="str">
        <f t="shared" si="2"/>
        <v>OK</v>
      </c>
      <c r="O925" s="17" t="s">
        <v>6359</v>
      </c>
      <c r="P925" s="6" t="s">
        <v>6360</v>
      </c>
      <c r="Q925" s="17" t="s">
        <v>6361</v>
      </c>
      <c r="R925" s="10" t="s">
        <v>6362</v>
      </c>
      <c r="S925" s="173" t="s">
        <v>38</v>
      </c>
      <c r="T925" s="11" t="s">
        <v>6054</v>
      </c>
      <c r="U925" s="22" t="s">
        <v>6277</v>
      </c>
      <c r="V925" s="22" t="s">
        <v>6277</v>
      </c>
    </row>
    <row r="926" spans="1:22" ht="57.75">
      <c r="A926" s="10" t="s">
        <v>6363</v>
      </c>
      <c r="B926" s="10" t="s">
        <v>4410</v>
      </c>
      <c r="C926" s="11" t="s">
        <v>6054</v>
      </c>
      <c r="D926" s="12"/>
      <c r="E926" s="13" t="s">
        <v>2860</v>
      </c>
      <c r="F926" s="43" t="s">
        <v>2861</v>
      </c>
      <c r="G926" s="6" t="str">
        <f ca="1">IFERROR(__xludf.DUMMYFUNCTION("CONCATENATE(B926,(VLOOKUP(C926,CATALOGOS!$F$2:$H$6,3,FALSE)),(VLOOKUP(T926,CATALOGOS!$J$2:$K$18,2,FALSE)),""-"",TO_TEXT(A926))"),"P21DG-0925")</f>
        <v>P21DG-0925</v>
      </c>
      <c r="H926" s="6" t="s">
        <v>6364</v>
      </c>
      <c r="I926" s="6" t="s">
        <v>6365</v>
      </c>
      <c r="J926" s="6" t="s">
        <v>6366</v>
      </c>
      <c r="K926" s="6" t="s">
        <v>6367</v>
      </c>
      <c r="L926" s="17"/>
      <c r="M926" s="17"/>
      <c r="N926" s="17" t="str">
        <f t="shared" si="2"/>
        <v>OK</v>
      </c>
      <c r="O926" s="17" t="s">
        <v>2866</v>
      </c>
      <c r="P926" s="6" t="s">
        <v>35</v>
      </c>
      <c r="Q926" s="17" t="s">
        <v>36</v>
      </c>
      <c r="R926" s="17" t="s">
        <v>6368</v>
      </c>
      <c r="S926" s="173" t="s">
        <v>38</v>
      </c>
      <c r="T926" s="11" t="s">
        <v>6054</v>
      </c>
      <c r="U926" s="22" t="s">
        <v>6277</v>
      </c>
      <c r="V926" s="22" t="s">
        <v>6277</v>
      </c>
    </row>
    <row r="927" spans="1:22" ht="86.25">
      <c r="A927" s="10" t="s">
        <v>6369</v>
      </c>
      <c r="B927" s="10" t="s">
        <v>4410</v>
      </c>
      <c r="C927" s="11" t="s">
        <v>6054</v>
      </c>
      <c r="D927" s="12"/>
      <c r="E927" s="13" t="s">
        <v>184</v>
      </c>
      <c r="F927" s="6" t="s">
        <v>6370</v>
      </c>
      <c r="G927" s="6" t="str">
        <f ca="1">IFERROR(__xludf.DUMMYFUNCTION("CONCATENATE(B927,(VLOOKUP(C927,CATALOGOS!$F$2:$H$6,3,FALSE)),(VLOOKUP(T927,CATALOGOS!$J$2:$K$18,2,FALSE)),""-"",TO_TEXT(A927))"),"P21DG-0926")</f>
        <v>P21DG-0926</v>
      </c>
      <c r="H927" s="6" t="s">
        <v>6371</v>
      </c>
      <c r="I927" s="6" t="s">
        <v>6372</v>
      </c>
      <c r="J927" s="6" t="s">
        <v>6373</v>
      </c>
      <c r="K927" s="6" t="s">
        <v>6374</v>
      </c>
      <c r="L927" s="17"/>
      <c r="M927" s="17"/>
      <c r="N927" s="17" t="str">
        <f t="shared" si="2"/>
        <v>OK</v>
      </c>
      <c r="O927" s="17" t="s">
        <v>35</v>
      </c>
      <c r="P927" s="6" t="s">
        <v>35</v>
      </c>
      <c r="Q927" s="17" t="s">
        <v>36</v>
      </c>
      <c r="R927" s="17" t="s">
        <v>6375</v>
      </c>
      <c r="S927" s="173" t="s">
        <v>38</v>
      </c>
      <c r="T927" s="11" t="s">
        <v>6054</v>
      </c>
      <c r="U927" s="22" t="s">
        <v>6277</v>
      </c>
      <c r="V927" s="22" t="s">
        <v>6277</v>
      </c>
    </row>
    <row r="928" spans="1:22" ht="86.25">
      <c r="A928" s="10" t="s">
        <v>6376</v>
      </c>
      <c r="B928" s="10" t="s">
        <v>4410</v>
      </c>
      <c r="C928" s="11" t="s">
        <v>6054</v>
      </c>
      <c r="D928" s="12"/>
      <c r="E928" s="13" t="s">
        <v>184</v>
      </c>
      <c r="F928" s="6" t="s">
        <v>6370</v>
      </c>
      <c r="G928" s="6" t="str">
        <f ca="1">IFERROR(__xludf.DUMMYFUNCTION("CONCATENATE(B928,(VLOOKUP(C928,CATALOGOS!$F$2:$H$6,3,FALSE)),(VLOOKUP(T928,CATALOGOS!$J$2:$K$18,2,FALSE)),""-"",TO_TEXT(A928))"),"P21DG-0927")</f>
        <v>P21DG-0927</v>
      </c>
      <c r="H928" s="6" t="s">
        <v>6377</v>
      </c>
      <c r="I928" s="6" t="s">
        <v>6378</v>
      </c>
      <c r="J928" s="6" t="s">
        <v>6379</v>
      </c>
      <c r="K928" s="6" t="s">
        <v>6380</v>
      </c>
      <c r="L928" s="17"/>
      <c r="M928" s="17"/>
      <c r="N928" s="17" t="str">
        <f t="shared" si="2"/>
        <v>OK</v>
      </c>
      <c r="O928" s="17" t="s">
        <v>35</v>
      </c>
      <c r="P928" s="6" t="s">
        <v>35</v>
      </c>
      <c r="Q928" s="17" t="s">
        <v>36</v>
      </c>
      <c r="R928" s="17" t="s">
        <v>6381</v>
      </c>
      <c r="S928" s="173" t="s">
        <v>38</v>
      </c>
      <c r="T928" s="11" t="s">
        <v>6054</v>
      </c>
      <c r="U928" s="22" t="s">
        <v>6277</v>
      </c>
      <c r="V928" s="22" t="s">
        <v>6277</v>
      </c>
    </row>
    <row r="929" spans="1:22" ht="86.25">
      <c r="A929" s="10" t="s">
        <v>6382</v>
      </c>
      <c r="B929" s="10" t="s">
        <v>4410</v>
      </c>
      <c r="C929" s="11" t="s">
        <v>6054</v>
      </c>
      <c r="D929" s="12"/>
      <c r="E929" s="13" t="s">
        <v>184</v>
      </c>
      <c r="F929" s="6" t="s">
        <v>6370</v>
      </c>
      <c r="G929" s="6" t="str">
        <f ca="1">IFERROR(__xludf.DUMMYFUNCTION("CONCATENATE(B929,(VLOOKUP(C929,CATALOGOS!$F$2:$H$6,3,FALSE)),(VLOOKUP(T929,CATALOGOS!$J$2:$K$18,2,FALSE)),""-"",TO_TEXT(A929))"),"P21DG-0928")</f>
        <v>P21DG-0928</v>
      </c>
      <c r="H929" s="6" t="s">
        <v>6383</v>
      </c>
      <c r="I929" s="6" t="s">
        <v>6384</v>
      </c>
      <c r="J929" s="6" t="s">
        <v>6385</v>
      </c>
      <c r="K929" s="6" t="s">
        <v>6386</v>
      </c>
      <c r="L929" s="17"/>
      <c r="M929" s="17"/>
      <c r="N929" s="17" t="str">
        <f t="shared" si="2"/>
        <v>OK</v>
      </c>
      <c r="O929" s="17" t="s">
        <v>35</v>
      </c>
      <c r="P929" s="6" t="s">
        <v>35</v>
      </c>
      <c r="Q929" s="17" t="s">
        <v>36</v>
      </c>
      <c r="R929" s="17" t="s">
        <v>6387</v>
      </c>
      <c r="S929" s="173" t="s">
        <v>38</v>
      </c>
      <c r="T929" s="11" t="s">
        <v>6054</v>
      </c>
      <c r="U929" s="22" t="s">
        <v>6277</v>
      </c>
      <c r="V929" s="22" t="s">
        <v>6277</v>
      </c>
    </row>
    <row r="930" spans="1:22" ht="86.25">
      <c r="A930" s="10" t="s">
        <v>6388</v>
      </c>
      <c r="B930" s="10" t="s">
        <v>4410</v>
      </c>
      <c r="C930" s="11" t="s">
        <v>6054</v>
      </c>
      <c r="D930" s="12"/>
      <c r="E930" s="13" t="s">
        <v>184</v>
      </c>
      <c r="F930" s="6" t="s">
        <v>6370</v>
      </c>
      <c r="G930" s="6" t="str">
        <f ca="1">IFERROR(__xludf.DUMMYFUNCTION("CONCATENATE(B930,(VLOOKUP(C930,CATALOGOS!$F$2:$H$6,3,FALSE)),(VLOOKUP(T930,CATALOGOS!$J$2:$K$18,2,FALSE)),""-"",TO_TEXT(A930))"),"P21DG-0929")</f>
        <v>P21DG-0929</v>
      </c>
      <c r="H930" s="6" t="s">
        <v>6389</v>
      </c>
      <c r="I930" s="6" t="s">
        <v>6390</v>
      </c>
      <c r="J930" s="6" t="s">
        <v>6391</v>
      </c>
      <c r="K930" s="6" t="s">
        <v>6392</v>
      </c>
      <c r="L930" s="17"/>
      <c r="M930" s="17"/>
      <c r="N930" s="17" t="str">
        <f t="shared" si="2"/>
        <v>OK</v>
      </c>
      <c r="O930" s="17" t="s">
        <v>35</v>
      </c>
      <c r="P930" s="6" t="s">
        <v>35</v>
      </c>
      <c r="Q930" s="17" t="s">
        <v>36</v>
      </c>
      <c r="R930" s="17" t="s">
        <v>6393</v>
      </c>
      <c r="S930" s="173" t="s">
        <v>38</v>
      </c>
      <c r="T930" s="11" t="s">
        <v>6054</v>
      </c>
      <c r="U930" s="22" t="s">
        <v>6277</v>
      </c>
      <c r="V930" s="22" t="s">
        <v>6277</v>
      </c>
    </row>
    <row r="931" spans="1:22" ht="86.25">
      <c r="A931" s="10" t="s">
        <v>6394</v>
      </c>
      <c r="B931" s="10" t="s">
        <v>4410</v>
      </c>
      <c r="C931" s="60" t="s">
        <v>4411</v>
      </c>
      <c r="D931" s="12"/>
      <c r="E931" s="13" t="s">
        <v>184</v>
      </c>
      <c r="F931" s="6" t="s">
        <v>6370</v>
      </c>
      <c r="G931" s="6" t="str">
        <f ca="1">IFERROR(__xludf.DUMMYFUNCTION("CONCATENATE(B931,(VLOOKUP(C931,CATALOGOS!$F$2:$H$6,3,FALSE)),(VLOOKUP(T931,CATALOGOS!$J$2:$K$18,2,FALSE)),""-"",TO_TEXT(A931))"),"P24SJ-0930")</f>
        <v>P24SJ-0930</v>
      </c>
      <c r="H931" s="6" t="s">
        <v>6395</v>
      </c>
      <c r="I931" s="6" t="s">
        <v>6396</v>
      </c>
      <c r="J931" s="6" t="s">
        <v>6397</v>
      </c>
      <c r="K931" s="6" t="s">
        <v>6398</v>
      </c>
      <c r="L931" s="17"/>
      <c r="M931" s="17"/>
      <c r="N931" s="17" t="str">
        <f t="shared" si="2"/>
        <v>OK</v>
      </c>
      <c r="O931" s="17" t="s">
        <v>35</v>
      </c>
      <c r="P931" s="6" t="s">
        <v>35</v>
      </c>
      <c r="Q931" s="17" t="s">
        <v>36</v>
      </c>
      <c r="R931" s="17" t="s">
        <v>6399</v>
      </c>
      <c r="S931" s="173" t="s">
        <v>38</v>
      </c>
      <c r="T931" s="11" t="s">
        <v>4411</v>
      </c>
      <c r="U931" s="20" t="s">
        <v>4935</v>
      </c>
      <c r="V931" s="20" t="s">
        <v>4935</v>
      </c>
    </row>
    <row r="932" spans="1:22" ht="86.25">
      <c r="A932" s="10" t="s">
        <v>6400</v>
      </c>
      <c r="B932" s="10" t="s">
        <v>4410</v>
      </c>
      <c r="C932" s="11" t="s">
        <v>6054</v>
      </c>
      <c r="D932" s="12"/>
      <c r="E932" s="13" t="s">
        <v>184</v>
      </c>
      <c r="F932" s="6" t="s">
        <v>6370</v>
      </c>
      <c r="G932" s="6" t="str">
        <f ca="1">IFERROR(__xludf.DUMMYFUNCTION("CONCATENATE(B932,(VLOOKUP(C932,CATALOGOS!$F$2:$H$6,3,FALSE)),(VLOOKUP(T932,CATALOGOS!$J$2:$K$18,2,FALSE)),""-"",TO_TEXT(A932))"),"P21DG-0931")</f>
        <v>P21DG-0931</v>
      </c>
      <c r="H932" s="6" t="s">
        <v>6401</v>
      </c>
      <c r="I932" s="6" t="s">
        <v>6402</v>
      </c>
      <c r="J932" s="6" t="s">
        <v>6403</v>
      </c>
      <c r="K932" s="6" t="s">
        <v>6404</v>
      </c>
      <c r="L932" s="17"/>
      <c r="M932" s="17"/>
      <c r="N932" s="17" t="str">
        <f t="shared" si="2"/>
        <v>OK</v>
      </c>
      <c r="O932" s="17" t="s">
        <v>35</v>
      </c>
      <c r="P932" s="6" t="s">
        <v>35</v>
      </c>
      <c r="Q932" s="17" t="s">
        <v>36</v>
      </c>
      <c r="R932" s="17" t="s">
        <v>6405</v>
      </c>
      <c r="S932" s="173" t="s">
        <v>38</v>
      </c>
      <c r="T932" s="11" t="s">
        <v>6054</v>
      </c>
      <c r="U932" s="22" t="s">
        <v>6277</v>
      </c>
      <c r="V932" s="22" t="s">
        <v>6277</v>
      </c>
    </row>
    <row r="933" spans="1:22" ht="86.25">
      <c r="A933" s="10" t="s">
        <v>6406</v>
      </c>
      <c r="B933" s="10" t="s">
        <v>4410</v>
      </c>
      <c r="C933" s="11" t="s">
        <v>6054</v>
      </c>
      <c r="D933" s="12"/>
      <c r="E933" s="13" t="s">
        <v>184</v>
      </c>
      <c r="F933" s="6" t="s">
        <v>6370</v>
      </c>
      <c r="G933" s="6" t="str">
        <f ca="1">IFERROR(__xludf.DUMMYFUNCTION("CONCATENATE(B933,(VLOOKUP(C933,CATALOGOS!$F$2:$H$6,3,FALSE)),(VLOOKUP(T933,CATALOGOS!$J$2:$K$18,2,FALSE)),""-"",TO_TEXT(A933))"),"P21DG-0932")</f>
        <v>P21DG-0932</v>
      </c>
      <c r="H933" s="6" t="s">
        <v>6407</v>
      </c>
      <c r="I933" s="6" t="s">
        <v>6408</v>
      </c>
      <c r="J933" s="6" t="s">
        <v>6409</v>
      </c>
      <c r="K933" s="6" t="s">
        <v>6410</v>
      </c>
      <c r="L933" s="17"/>
      <c r="M933" s="17"/>
      <c r="N933" s="17" t="str">
        <f t="shared" si="2"/>
        <v>OK</v>
      </c>
      <c r="O933" s="17" t="s">
        <v>35</v>
      </c>
      <c r="P933" s="6" t="s">
        <v>35</v>
      </c>
      <c r="Q933" s="17" t="s">
        <v>36</v>
      </c>
      <c r="R933" s="17" t="s">
        <v>6411</v>
      </c>
      <c r="S933" s="173" t="s">
        <v>38</v>
      </c>
      <c r="T933" s="11" t="s">
        <v>6054</v>
      </c>
      <c r="U933" s="22" t="s">
        <v>6277</v>
      </c>
      <c r="V933" s="22" t="s">
        <v>6277</v>
      </c>
    </row>
    <row r="934" spans="1:22" ht="86.25">
      <c r="A934" s="10" t="s">
        <v>6412</v>
      </c>
      <c r="B934" s="10" t="s">
        <v>4410</v>
      </c>
      <c r="C934" s="11" t="s">
        <v>6054</v>
      </c>
      <c r="D934" s="12"/>
      <c r="E934" s="13" t="s">
        <v>184</v>
      </c>
      <c r="F934" s="6" t="s">
        <v>6370</v>
      </c>
      <c r="G934" s="6" t="str">
        <f ca="1">IFERROR(__xludf.DUMMYFUNCTION("CONCATENATE(B934,(VLOOKUP(C934,CATALOGOS!$F$2:$H$6,3,FALSE)),(VLOOKUP(T934,CATALOGOS!$J$2:$K$18,2,FALSE)),""-"",TO_TEXT(A934))"),"P21DG-0933")</f>
        <v>P21DG-0933</v>
      </c>
      <c r="H934" s="6" t="s">
        <v>6413</v>
      </c>
      <c r="I934" s="6" t="s">
        <v>6414</v>
      </c>
      <c r="J934" s="6" t="s">
        <v>6415</v>
      </c>
      <c r="K934" s="6" t="s">
        <v>6416</v>
      </c>
      <c r="L934" s="17"/>
      <c r="M934" s="17"/>
      <c r="N934" s="17" t="str">
        <f t="shared" si="2"/>
        <v>OK</v>
      </c>
      <c r="O934" s="17" t="s">
        <v>35</v>
      </c>
      <c r="P934" s="6" t="s">
        <v>35</v>
      </c>
      <c r="Q934" s="17" t="s">
        <v>36</v>
      </c>
      <c r="R934" s="17" t="s">
        <v>6417</v>
      </c>
      <c r="S934" s="173" t="s">
        <v>38</v>
      </c>
      <c r="T934" s="11" t="s">
        <v>6054</v>
      </c>
      <c r="U934" s="22" t="s">
        <v>6277</v>
      </c>
      <c r="V934" s="22" t="s">
        <v>6277</v>
      </c>
    </row>
    <row r="935" spans="1:22" ht="86.25">
      <c r="A935" s="10" t="s">
        <v>6418</v>
      </c>
      <c r="B935" s="10" t="s">
        <v>4410</v>
      </c>
      <c r="C935" s="11" t="s">
        <v>6054</v>
      </c>
      <c r="D935" s="12"/>
      <c r="E935" s="13" t="s">
        <v>184</v>
      </c>
      <c r="F935" s="6" t="s">
        <v>6370</v>
      </c>
      <c r="G935" s="6" t="str">
        <f ca="1">IFERROR(__xludf.DUMMYFUNCTION("CONCATENATE(B935,(VLOOKUP(C935,CATALOGOS!$F$2:$H$6,3,FALSE)),(VLOOKUP(T935,CATALOGOS!$J$2:$K$18,2,FALSE)),""-"",TO_TEXT(A935))"),"P21DG-0934")</f>
        <v>P21DG-0934</v>
      </c>
      <c r="H935" s="6" t="s">
        <v>6419</v>
      </c>
      <c r="I935" s="6" t="s">
        <v>6420</v>
      </c>
      <c r="J935" s="6" t="s">
        <v>6421</v>
      </c>
      <c r="K935" s="6" t="s">
        <v>6422</v>
      </c>
      <c r="L935" s="17"/>
      <c r="M935" s="17"/>
      <c r="N935" s="17" t="str">
        <f t="shared" si="2"/>
        <v>OK</v>
      </c>
      <c r="O935" s="17" t="s">
        <v>35</v>
      </c>
      <c r="P935" s="6" t="s">
        <v>35</v>
      </c>
      <c r="Q935" s="17" t="s">
        <v>36</v>
      </c>
      <c r="R935" s="17" t="s">
        <v>6423</v>
      </c>
      <c r="S935" s="173" t="s">
        <v>38</v>
      </c>
      <c r="T935" s="11" t="s">
        <v>6054</v>
      </c>
      <c r="U935" s="22" t="s">
        <v>6277</v>
      </c>
      <c r="V935" s="22" t="s">
        <v>6277</v>
      </c>
    </row>
    <row r="936" spans="1:22" ht="86.25">
      <c r="A936" s="10" t="s">
        <v>6424</v>
      </c>
      <c r="B936" s="10" t="s">
        <v>4410</v>
      </c>
      <c r="C936" s="11" t="s">
        <v>6054</v>
      </c>
      <c r="D936" s="12"/>
      <c r="E936" s="13" t="s">
        <v>184</v>
      </c>
      <c r="F936" s="6" t="s">
        <v>6370</v>
      </c>
      <c r="G936" s="6" t="str">
        <f ca="1">IFERROR(__xludf.DUMMYFUNCTION("CONCATENATE(B936,(VLOOKUP(C936,CATALOGOS!$F$2:$H$6,3,FALSE)),(VLOOKUP(T936,CATALOGOS!$J$2:$K$18,2,FALSE)),""-"",TO_TEXT(A936))"),"P21DG-0935")</f>
        <v>P21DG-0935</v>
      </c>
      <c r="H936" s="6" t="s">
        <v>6425</v>
      </c>
      <c r="I936" s="6" t="s">
        <v>6426</v>
      </c>
      <c r="J936" s="6" t="s">
        <v>6427</v>
      </c>
      <c r="K936" s="6" t="s">
        <v>6428</v>
      </c>
      <c r="L936" s="17"/>
      <c r="M936" s="17"/>
      <c r="N936" s="17" t="str">
        <f t="shared" si="2"/>
        <v>OK</v>
      </c>
      <c r="O936" s="17" t="s">
        <v>35</v>
      </c>
      <c r="P936" s="6" t="s">
        <v>35</v>
      </c>
      <c r="Q936" s="17" t="s">
        <v>36</v>
      </c>
      <c r="R936" s="17" t="s">
        <v>6429</v>
      </c>
      <c r="S936" s="173" t="s">
        <v>38</v>
      </c>
      <c r="T936" s="11" t="s">
        <v>6054</v>
      </c>
      <c r="U936" s="22" t="s">
        <v>6277</v>
      </c>
      <c r="V936" s="22" t="s">
        <v>6277</v>
      </c>
    </row>
    <row r="937" spans="1:22" ht="86.25">
      <c r="A937" s="10" t="s">
        <v>6430</v>
      </c>
      <c r="B937" s="10" t="s">
        <v>4410</v>
      </c>
      <c r="C937" s="11" t="s">
        <v>6054</v>
      </c>
      <c r="D937" s="12"/>
      <c r="E937" s="13" t="s">
        <v>184</v>
      </c>
      <c r="F937" s="6" t="s">
        <v>6370</v>
      </c>
      <c r="G937" s="6" t="str">
        <f ca="1">IFERROR(__xludf.DUMMYFUNCTION("CONCATENATE(B937,(VLOOKUP(C937,CATALOGOS!$F$2:$H$6,3,FALSE)),(VLOOKUP(T937,CATALOGOS!$J$2:$K$18,2,FALSE)),""-"",TO_TEXT(A937))"),"P21DG-0936")</f>
        <v>P21DG-0936</v>
      </c>
      <c r="H937" s="6" t="s">
        <v>6431</v>
      </c>
      <c r="I937" s="6" t="s">
        <v>6432</v>
      </c>
      <c r="J937" s="6" t="s">
        <v>6433</v>
      </c>
      <c r="K937" s="6" t="s">
        <v>6434</v>
      </c>
      <c r="L937" s="17"/>
      <c r="M937" s="17"/>
      <c r="N937" s="17" t="str">
        <f t="shared" si="2"/>
        <v>OK</v>
      </c>
      <c r="O937" s="17" t="s">
        <v>35</v>
      </c>
      <c r="P937" s="6" t="s">
        <v>35</v>
      </c>
      <c r="Q937" s="17" t="s">
        <v>36</v>
      </c>
      <c r="R937" s="17" t="s">
        <v>6435</v>
      </c>
      <c r="S937" s="173" t="s">
        <v>38</v>
      </c>
      <c r="T937" s="11" t="s">
        <v>6054</v>
      </c>
      <c r="U937" s="22" t="s">
        <v>6277</v>
      </c>
      <c r="V937" s="22" t="s">
        <v>6277</v>
      </c>
    </row>
    <row r="938" spans="1:22" ht="86.25">
      <c r="A938" s="10" t="s">
        <v>6436</v>
      </c>
      <c r="B938" s="10" t="s">
        <v>4410</v>
      </c>
      <c r="C938" s="11" t="s">
        <v>6054</v>
      </c>
      <c r="D938" s="12"/>
      <c r="E938" s="13" t="s">
        <v>184</v>
      </c>
      <c r="F938" s="6" t="s">
        <v>6370</v>
      </c>
      <c r="G938" s="6" t="str">
        <f ca="1">IFERROR(__xludf.DUMMYFUNCTION("CONCATENATE(B938,(VLOOKUP(C938,CATALOGOS!$F$2:$H$6,3,FALSE)),(VLOOKUP(T938,CATALOGOS!$J$2:$K$18,2,FALSE)),""-"",TO_TEXT(A938))"),"P21DG-0937")</f>
        <v>P21DG-0937</v>
      </c>
      <c r="H938" s="6" t="s">
        <v>6437</v>
      </c>
      <c r="I938" s="6" t="s">
        <v>6438</v>
      </c>
      <c r="J938" s="6" t="s">
        <v>6439</v>
      </c>
      <c r="K938" s="43" t="s">
        <v>6440</v>
      </c>
      <c r="L938" s="17"/>
      <c r="M938" s="17"/>
      <c r="N938" s="17" t="str">
        <f t="shared" si="2"/>
        <v>OK</v>
      </c>
      <c r="O938" s="17" t="s">
        <v>35</v>
      </c>
      <c r="P938" s="6" t="s">
        <v>35</v>
      </c>
      <c r="Q938" s="17" t="s">
        <v>36</v>
      </c>
      <c r="R938" s="17" t="s">
        <v>6441</v>
      </c>
      <c r="S938" s="173" t="s">
        <v>38</v>
      </c>
      <c r="T938" s="11" t="s">
        <v>6054</v>
      </c>
      <c r="U938" s="22" t="s">
        <v>6277</v>
      </c>
      <c r="V938" s="22" t="s">
        <v>6277</v>
      </c>
    </row>
    <row r="939" spans="1:22" ht="57.75">
      <c r="A939" s="10" t="s">
        <v>6442</v>
      </c>
      <c r="B939" s="10" t="s">
        <v>4410</v>
      </c>
      <c r="C939" s="11" t="s">
        <v>6054</v>
      </c>
      <c r="D939" s="12"/>
      <c r="E939" s="13" t="s">
        <v>93</v>
      </c>
      <c r="F939" s="6" t="s">
        <v>6443</v>
      </c>
      <c r="G939" s="6" t="str">
        <f ca="1">IFERROR(__xludf.DUMMYFUNCTION("CONCATENATE(B939,(VLOOKUP(C939,CATALOGOS!$F$2:$H$6,3,FALSE)),(VLOOKUP(T939,CATALOGOS!$J$2:$K$18,2,FALSE)),""-"",TO_TEXT(A939))"),"P21DG-0938")</f>
        <v>P21DG-0938</v>
      </c>
      <c r="H939" s="6" t="s">
        <v>6444</v>
      </c>
      <c r="I939" s="6" t="s">
        <v>6445</v>
      </c>
      <c r="J939" s="6" t="s">
        <v>6446</v>
      </c>
      <c r="K939" s="6" t="s">
        <v>6447</v>
      </c>
      <c r="L939" s="17"/>
      <c r="M939" s="17"/>
      <c r="N939" s="17" t="str">
        <f t="shared" si="2"/>
        <v>OK</v>
      </c>
      <c r="O939" s="17" t="s">
        <v>35</v>
      </c>
      <c r="P939" s="6" t="s">
        <v>35</v>
      </c>
      <c r="Q939" s="17" t="s">
        <v>36</v>
      </c>
      <c r="R939" s="17" t="s">
        <v>6448</v>
      </c>
      <c r="S939" s="173" t="s">
        <v>38</v>
      </c>
      <c r="T939" s="11" t="s">
        <v>6054</v>
      </c>
      <c r="U939" s="22" t="s">
        <v>6277</v>
      </c>
      <c r="V939" s="22" t="s">
        <v>6277</v>
      </c>
    </row>
    <row r="940" spans="1:22" ht="72">
      <c r="A940" s="10" t="s">
        <v>6449</v>
      </c>
      <c r="B940" s="10" t="s">
        <v>4410</v>
      </c>
      <c r="C940" s="11" t="s">
        <v>6054</v>
      </c>
      <c r="D940" s="12"/>
      <c r="E940" s="13" t="s">
        <v>93</v>
      </c>
      <c r="F940" s="6" t="s">
        <v>6450</v>
      </c>
      <c r="G940" s="6" t="str">
        <f ca="1">IFERROR(__xludf.DUMMYFUNCTION("CONCATENATE(B940,(VLOOKUP(C940,CATALOGOS!$F$2:$H$6,3,FALSE)),(VLOOKUP(T940,CATALOGOS!$J$2:$K$18,2,FALSE)),""-"",TO_TEXT(A940))"),"P21DG-0939")</f>
        <v>P21DG-0939</v>
      </c>
      <c r="H940" s="6" t="s">
        <v>6451</v>
      </c>
      <c r="I940" s="6" t="s">
        <v>6452</v>
      </c>
      <c r="J940" s="6" t="s">
        <v>6453</v>
      </c>
      <c r="K940" s="6" t="s">
        <v>6454</v>
      </c>
      <c r="L940" s="17"/>
      <c r="M940" s="17"/>
      <c r="N940" s="17" t="str">
        <f t="shared" si="2"/>
        <v>OK</v>
      </c>
      <c r="O940" s="17" t="s">
        <v>35</v>
      </c>
      <c r="P940" s="6" t="s">
        <v>35</v>
      </c>
      <c r="Q940" s="17" t="s">
        <v>36</v>
      </c>
      <c r="R940" s="17" t="s">
        <v>6455</v>
      </c>
      <c r="S940" s="173" t="s">
        <v>38</v>
      </c>
      <c r="T940" s="11" t="s">
        <v>6054</v>
      </c>
      <c r="U940" s="22" t="s">
        <v>6277</v>
      </c>
      <c r="V940" s="22" t="s">
        <v>6277</v>
      </c>
    </row>
    <row r="941" spans="1:22" ht="72">
      <c r="A941" s="10" t="s">
        <v>6456</v>
      </c>
      <c r="B941" s="10" t="s">
        <v>4410</v>
      </c>
      <c r="C941" s="11" t="s">
        <v>6054</v>
      </c>
      <c r="D941" s="12"/>
      <c r="E941" s="13" t="s">
        <v>93</v>
      </c>
      <c r="F941" s="6" t="s">
        <v>6450</v>
      </c>
      <c r="G941" s="6" t="str">
        <f ca="1">IFERROR(__xludf.DUMMYFUNCTION("CONCATENATE(B941,(VLOOKUP(C941,CATALOGOS!$F$2:$H$6,3,FALSE)),(VLOOKUP(T941,CATALOGOS!$J$2:$K$18,2,FALSE)),""-"",TO_TEXT(A941))"),"P21DG-0940")</f>
        <v>P21DG-0940</v>
      </c>
      <c r="H941" s="6" t="s">
        <v>6457</v>
      </c>
      <c r="I941" s="6" t="s">
        <v>6458</v>
      </c>
      <c r="J941" s="6" t="s">
        <v>6459</v>
      </c>
      <c r="K941" s="6" t="s">
        <v>6460</v>
      </c>
      <c r="L941" s="17"/>
      <c r="M941" s="17"/>
      <c r="N941" s="17" t="str">
        <f t="shared" si="2"/>
        <v>OK</v>
      </c>
      <c r="O941" s="17" t="s">
        <v>35</v>
      </c>
      <c r="P941" s="6" t="s">
        <v>35</v>
      </c>
      <c r="Q941" s="17" t="s">
        <v>36</v>
      </c>
      <c r="R941" s="17" t="s">
        <v>6461</v>
      </c>
      <c r="S941" s="173" t="s">
        <v>38</v>
      </c>
      <c r="T941" s="11" t="s">
        <v>6054</v>
      </c>
      <c r="U941" s="22" t="s">
        <v>6277</v>
      </c>
      <c r="V941" s="22" t="s">
        <v>6277</v>
      </c>
    </row>
    <row r="942" spans="1:22" ht="57.75">
      <c r="A942" s="10" t="s">
        <v>6462</v>
      </c>
      <c r="B942" s="10" t="s">
        <v>4410</v>
      </c>
      <c r="C942" s="11" t="s">
        <v>6054</v>
      </c>
      <c r="D942" s="12"/>
      <c r="E942" s="13" t="s">
        <v>93</v>
      </c>
      <c r="F942" s="6" t="s">
        <v>6443</v>
      </c>
      <c r="G942" s="6" t="str">
        <f ca="1">IFERROR(__xludf.DUMMYFUNCTION("CONCATENATE(B942,(VLOOKUP(C942,CATALOGOS!$F$2:$H$6,3,FALSE)),(VLOOKUP(T942,CATALOGOS!$J$2:$K$18,2,FALSE)),""-"",TO_TEXT(A942))"),"P21DG-0941")</f>
        <v>P21DG-0941</v>
      </c>
      <c r="H942" s="6" t="s">
        <v>6463</v>
      </c>
      <c r="I942" s="6" t="s">
        <v>6464</v>
      </c>
      <c r="J942" s="6" t="s">
        <v>6465</v>
      </c>
      <c r="K942" s="6" t="s">
        <v>6466</v>
      </c>
      <c r="L942" s="17"/>
      <c r="M942" s="17"/>
      <c r="N942" s="17" t="str">
        <f t="shared" si="2"/>
        <v>OK</v>
      </c>
      <c r="O942" s="17" t="s">
        <v>35</v>
      </c>
      <c r="P942" s="6" t="s">
        <v>35</v>
      </c>
      <c r="Q942" s="17" t="s">
        <v>36</v>
      </c>
      <c r="R942" s="17" t="s">
        <v>6467</v>
      </c>
      <c r="S942" s="173" t="s">
        <v>38</v>
      </c>
      <c r="T942" s="11" t="s">
        <v>6054</v>
      </c>
      <c r="U942" s="22" t="s">
        <v>6277</v>
      </c>
      <c r="V942" s="22" t="s">
        <v>6277</v>
      </c>
    </row>
    <row r="943" spans="1:22" ht="72">
      <c r="A943" s="10" t="s">
        <v>6468</v>
      </c>
      <c r="B943" s="10" t="s">
        <v>4410</v>
      </c>
      <c r="C943" s="11" t="s">
        <v>6054</v>
      </c>
      <c r="D943" s="12"/>
      <c r="E943" s="13" t="s">
        <v>93</v>
      </c>
      <c r="F943" s="6" t="s">
        <v>6450</v>
      </c>
      <c r="G943" s="6" t="str">
        <f ca="1">IFERROR(__xludf.DUMMYFUNCTION("CONCATENATE(B943,(VLOOKUP(C943,CATALOGOS!$F$2:$H$6,3,FALSE)),(VLOOKUP(T943,CATALOGOS!$J$2:$K$18,2,FALSE)),""-"",TO_TEXT(A943))"),"P21DG-0942")</f>
        <v>P21DG-0942</v>
      </c>
      <c r="H943" s="6" t="s">
        <v>6469</v>
      </c>
      <c r="I943" s="6" t="s">
        <v>6470</v>
      </c>
      <c r="J943" s="6" t="s">
        <v>6471</v>
      </c>
      <c r="K943" s="6" t="s">
        <v>6472</v>
      </c>
      <c r="L943" s="17"/>
      <c r="M943" s="17"/>
      <c r="N943" s="17" t="str">
        <f t="shared" si="2"/>
        <v>OK</v>
      </c>
      <c r="O943" s="17" t="s">
        <v>35</v>
      </c>
      <c r="P943" s="6" t="s">
        <v>35</v>
      </c>
      <c r="Q943" s="17" t="s">
        <v>36</v>
      </c>
      <c r="R943" s="17" t="s">
        <v>6473</v>
      </c>
      <c r="S943" s="173" t="s">
        <v>38</v>
      </c>
      <c r="T943" s="11" t="s">
        <v>6054</v>
      </c>
      <c r="U943" s="22" t="s">
        <v>6277</v>
      </c>
      <c r="V943" s="22" t="s">
        <v>6277</v>
      </c>
    </row>
    <row r="944" spans="1:22" ht="72">
      <c r="A944" s="10" t="s">
        <v>6474</v>
      </c>
      <c r="B944" s="10" t="s">
        <v>4410</v>
      </c>
      <c r="C944" s="11" t="s">
        <v>6054</v>
      </c>
      <c r="D944" s="12"/>
      <c r="E944" s="13" t="s">
        <v>93</v>
      </c>
      <c r="F944" s="6" t="s">
        <v>6450</v>
      </c>
      <c r="G944" s="6" t="str">
        <f ca="1">IFERROR(__xludf.DUMMYFUNCTION("CONCATENATE(B944,(VLOOKUP(C944,CATALOGOS!$F$2:$H$6,3,FALSE)),(VLOOKUP(T944,CATALOGOS!$J$2:$K$18,2,FALSE)),""-"",TO_TEXT(A944))"),"P21DG-0943")</f>
        <v>P21DG-0943</v>
      </c>
      <c r="H944" s="6" t="s">
        <v>6475</v>
      </c>
      <c r="I944" s="6" t="s">
        <v>6476</v>
      </c>
      <c r="J944" s="6" t="s">
        <v>6477</v>
      </c>
      <c r="K944" s="6" t="s">
        <v>6478</v>
      </c>
      <c r="L944" s="17"/>
      <c r="M944" s="17"/>
      <c r="N944" s="17" t="str">
        <f t="shared" si="2"/>
        <v>OK</v>
      </c>
      <c r="O944" s="17" t="s">
        <v>35</v>
      </c>
      <c r="P944" s="6" t="s">
        <v>35</v>
      </c>
      <c r="Q944" s="17" t="s">
        <v>36</v>
      </c>
      <c r="R944" s="17" t="s">
        <v>6479</v>
      </c>
      <c r="S944" s="173" t="s">
        <v>38</v>
      </c>
      <c r="T944" s="11" t="s">
        <v>6054</v>
      </c>
      <c r="U944" s="22" t="s">
        <v>6277</v>
      </c>
      <c r="V944" s="22" t="s">
        <v>6277</v>
      </c>
    </row>
    <row r="945" spans="1:22" ht="86.25">
      <c r="A945" s="10" t="s">
        <v>6480</v>
      </c>
      <c r="B945" s="10" t="s">
        <v>27</v>
      </c>
      <c r="C945" s="60" t="s">
        <v>868</v>
      </c>
      <c r="D945" s="12"/>
      <c r="E945" s="13" t="s">
        <v>116</v>
      </c>
      <c r="F945" s="6" t="s">
        <v>920</v>
      </c>
      <c r="G945" s="6" t="str">
        <f ca="1">IFERROR(__xludf.DUMMYFUNCTION("CONCATENATE(B945,(VLOOKUP(C945,CATALOGOS!$F$2:$H$6,3,FALSE)),(VLOOKUP(T945,CATALOGOS!$J$2:$K$18,2,FALSE)),""-"",TO_TEXT(A945))"),"P03CV-0944")</f>
        <v>P03CV-0944</v>
      </c>
      <c r="H945" s="6" t="s">
        <v>6481</v>
      </c>
      <c r="I945" s="6" t="s">
        <v>6482</v>
      </c>
      <c r="J945" s="6" t="s">
        <v>6483</v>
      </c>
      <c r="K945" s="6" t="s">
        <v>6484</v>
      </c>
      <c r="L945" s="17"/>
      <c r="M945" s="17"/>
      <c r="N945" s="17" t="str">
        <f t="shared" si="2"/>
        <v>OK</v>
      </c>
      <c r="O945" s="17" t="s">
        <v>35</v>
      </c>
      <c r="P945" s="6" t="s">
        <v>35</v>
      </c>
      <c r="Q945" s="17" t="s">
        <v>36</v>
      </c>
      <c r="R945" s="17" t="s">
        <v>6485</v>
      </c>
      <c r="S945" s="173" t="s">
        <v>38</v>
      </c>
      <c r="T945" s="11" t="s">
        <v>875</v>
      </c>
      <c r="U945" s="20" t="s">
        <v>876</v>
      </c>
      <c r="V945" s="20" t="s">
        <v>876</v>
      </c>
    </row>
    <row r="946" spans="1:22" ht="43.5">
      <c r="A946" s="10" t="s">
        <v>6486</v>
      </c>
      <c r="B946" s="10" t="s">
        <v>4410</v>
      </c>
      <c r="C946" s="11" t="s">
        <v>6054</v>
      </c>
      <c r="D946" s="12"/>
      <c r="E946" s="13" t="s">
        <v>93</v>
      </c>
      <c r="F946" s="6" t="s">
        <v>6487</v>
      </c>
      <c r="G946" s="6" t="str">
        <f ca="1">IFERROR(__xludf.DUMMYFUNCTION("CONCATENATE(B946,(VLOOKUP(C946,CATALOGOS!$F$2:$H$6,3,FALSE)),(VLOOKUP(T946,CATALOGOS!$J$2:$K$18,2,FALSE)),""-"",TO_TEXT(A946))"),"P21DG-0945")</f>
        <v>P21DG-0945</v>
      </c>
      <c r="H946" s="6" t="s">
        <v>6488</v>
      </c>
      <c r="I946" s="6" t="s">
        <v>6489</v>
      </c>
      <c r="J946" s="6" t="s">
        <v>6490</v>
      </c>
      <c r="K946" s="6" t="s">
        <v>6491</v>
      </c>
      <c r="L946" s="17"/>
      <c r="M946" s="17"/>
      <c r="N946" s="17" t="str">
        <f t="shared" si="2"/>
        <v>OK</v>
      </c>
      <c r="O946" s="17" t="s">
        <v>35</v>
      </c>
      <c r="P946" s="6" t="s">
        <v>35</v>
      </c>
      <c r="Q946" s="17" t="s">
        <v>36</v>
      </c>
      <c r="R946" s="17" t="s">
        <v>6492</v>
      </c>
      <c r="S946" s="173" t="s">
        <v>38</v>
      </c>
      <c r="T946" s="11" t="s">
        <v>6054</v>
      </c>
      <c r="U946" s="22" t="s">
        <v>6277</v>
      </c>
      <c r="V946" s="22" t="s">
        <v>6277</v>
      </c>
    </row>
    <row r="947" spans="1:22" ht="29.25">
      <c r="A947" s="10" t="s">
        <v>6493</v>
      </c>
      <c r="B947" s="10" t="s">
        <v>4410</v>
      </c>
      <c r="C947" s="11" t="s">
        <v>6054</v>
      </c>
      <c r="D947" s="12"/>
      <c r="E947" s="13" t="s">
        <v>1199</v>
      </c>
      <c r="F947" s="43" t="s">
        <v>1199</v>
      </c>
      <c r="G947" s="6" t="str">
        <f ca="1">IFERROR(__xludf.DUMMYFUNCTION("CONCATENATE(B947,(VLOOKUP(C947,CATALOGOS!$F$2:$H$6,3,FALSE)),(VLOOKUP(T947,CATALOGOS!$J$2:$K$18,2,FALSE)),""-"",TO_TEXT(A947))"),"P21DG-0946")</f>
        <v>P21DG-0946</v>
      </c>
      <c r="H947" s="6" t="s">
        <v>6494</v>
      </c>
      <c r="I947" s="6" t="s">
        <v>6495</v>
      </c>
      <c r="J947" s="6" t="s">
        <v>6496</v>
      </c>
      <c r="K947" s="6" t="s">
        <v>6497</v>
      </c>
      <c r="L947" s="17"/>
      <c r="M947" s="17"/>
      <c r="N947" s="17" t="str">
        <f t="shared" si="2"/>
        <v>OK</v>
      </c>
      <c r="O947" s="17" t="s">
        <v>205</v>
      </c>
      <c r="P947" s="6" t="s">
        <v>6498</v>
      </c>
      <c r="Q947" s="17" t="s">
        <v>6499</v>
      </c>
      <c r="R947" s="17" t="s">
        <v>6500</v>
      </c>
      <c r="S947" s="173" t="s">
        <v>38</v>
      </c>
      <c r="T947" s="11" t="s">
        <v>6054</v>
      </c>
      <c r="U947" s="22" t="s">
        <v>6277</v>
      </c>
      <c r="V947" s="22" t="s">
        <v>6277</v>
      </c>
    </row>
    <row r="948" spans="1:22" ht="29.25">
      <c r="A948" s="10" t="s">
        <v>6501</v>
      </c>
      <c r="B948" s="10" t="s">
        <v>1469</v>
      </c>
      <c r="C948" s="61" t="s">
        <v>1470</v>
      </c>
      <c r="D948" s="12"/>
      <c r="E948" s="13" t="s">
        <v>248</v>
      </c>
      <c r="F948" s="6" t="s">
        <v>248</v>
      </c>
      <c r="G948" s="6" t="str">
        <f ca="1">IFERROR(__xludf.DUMMYFUNCTION("CONCATENATE(B948,(VLOOKUP(C948,CATALOGOS!$F$2:$H$6,3,FALSE)),(VLOOKUP(T948,CATALOGOS!$J$2:$K$18,2,FALSE)),""-"",TO_TEXT(A948))"),"P12SI-0947")</f>
        <v>P12SI-0947</v>
      </c>
      <c r="H948" s="6" t="s">
        <v>6502</v>
      </c>
      <c r="I948" s="6" t="s">
        <v>6503</v>
      </c>
      <c r="J948" s="6" t="s">
        <v>6504</v>
      </c>
      <c r="K948" s="6" t="s">
        <v>6505</v>
      </c>
      <c r="L948" s="17"/>
      <c r="M948" s="17"/>
      <c r="N948" s="17" t="str">
        <f t="shared" si="2"/>
        <v>OK</v>
      </c>
      <c r="O948" s="17" t="s">
        <v>6506</v>
      </c>
      <c r="P948" s="6" t="s">
        <v>6507</v>
      </c>
      <c r="Q948" s="6" t="s">
        <v>6508</v>
      </c>
      <c r="R948" s="10" t="s">
        <v>6509</v>
      </c>
      <c r="S948" s="173" t="s">
        <v>38</v>
      </c>
      <c r="T948" s="181" t="s">
        <v>1483</v>
      </c>
      <c r="U948" s="20" t="s">
        <v>1484</v>
      </c>
      <c r="V948" s="20" t="s">
        <v>1484</v>
      </c>
    </row>
    <row r="949" spans="1:22" ht="29.25">
      <c r="A949" s="10" t="s">
        <v>6510</v>
      </c>
      <c r="B949" s="10" t="s">
        <v>4410</v>
      </c>
      <c r="C949" s="61" t="s">
        <v>6054</v>
      </c>
      <c r="D949" s="12"/>
      <c r="E949" s="13" t="s">
        <v>162</v>
      </c>
      <c r="F949" s="6" t="s">
        <v>285</v>
      </c>
      <c r="G949" s="6" t="str">
        <f ca="1">IFERROR(__xludf.DUMMYFUNCTION("CONCATENATE(B949,(VLOOKUP(C949,CATALOGOS!$F$2:$H$6,3,FALSE)),(VLOOKUP(T949,CATALOGOS!$J$2:$K$18,2,FALSE)),""-"",TO_TEXT(A949))"),"P21DG-0948")</f>
        <v>P21DG-0948</v>
      </c>
      <c r="H949" s="6" t="s">
        <v>6511</v>
      </c>
      <c r="I949" s="6" t="s">
        <v>6512</v>
      </c>
      <c r="J949" s="6" t="s">
        <v>6513</v>
      </c>
      <c r="K949" s="6" t="s">
        <v>6514</v>
      </c>
      <c r="L949" s="17"/>
      <c r="M949" s="17"/>
      <c r="N949" s="17" t="str">
        <f t="shared" si="2"/>
        <v>OK</v>
      </c>
      <c r="O949" s="17" t="s">
        <v>168</v>
      </c>
      <c r="P949" s="6" t="s">
        <v>169</v>
      </c>
      <c r="Q949" s="17" t="s">
        <v>6515</v>
      </c>
      <c r="R949" s="10" t="s">
        <v>6516</v>
      </c>
      <c r="S949" s="173" t="s">
        <v>38</v>
      </c>
      <c r="T949" s="11" t="s">
        <v>6054</v>
      </c>
      <c r="U949" s="22" t="s">
        <v>6277</v>
      </c>
      <c r="V949" s="22" t="s">
        <v>6277</v>
      </c>
    </row>
    <row r="950" spans="1:22" ht="57.75">
      <c r="A950" s="10" t="s">
        <v>6517</v>
      </c>
      <c r="B950" s="10" t="s">
        <v>4410</v>
      </c>
      <c r="C950" s="61" t="s">
        <v>6054</v>
      </c>
      <c r="D950" s="12"/>
      <c r="E950" s="13" t="s">
        <v>378</v>
      </c>
      <c r="F950" s="6" t="s">
        <v>379</v>
      </c>
      <c r="G950" s="6" t="str">
        <f ca="1">IFERROR(__xludf.DUMMYFUNCTION("CONCATENATE(B950,(VLOOKUP(C950,CATALOGOS!$F$2:$H$6,3,FALSE)),(VLOOKUP(T950,CATALOGOS!$J$2:$K$18,2,FALSE)),""-"",TO_TEXT(A950))"),"P21DG-0949")</f>
        <v>P21DG-0949</v>
      </c>
      <c r="H950" s="6" t="s">
        <v>6518</v>
      </c>
      <c r="I950" s="6" t="s">
        <v>6519</v>
      </c>
      <c r="J950" s="49" t="s">
        <v>6520</v>
      </c>
      <c r="K950" s="6" t="s">
        <v>6521</v>
      </c>
      <c r="L950" s="17"/>
      <c r="M950" s="17"/>
      <c r="N950" s="17" t="str">
        <f t="shared" si="2"/>
        <v>OK</v>
      </c>
      <c r="O950" s="17" t="s">
        <v>35</v>
      </c>
      <c r="P950" s="6" t="s">
        <v>35</v>
      </c>
      <c r="Q950" s="6" t="s">
        <v>36</v>
      </c>
      <c r="R950" s="17" t="s">
        <v>6522</v>
      </c>
      <c r="S950" s="173" t="s">
        <v>38</v>
      </c>
      <c r="T950" s="11" t="s">
        <v>6054</v>
      </c>
      <c r="U950" s="22" t="s">
        <v>6277</v>
      </c>
      <c r="V950" s="22" t="s">
        <v>6277</v>
      </c>
    </row>
    <row r="951" spans="1:22" ht="57.75">
      <c r="A951" s="10" t="s">
        <v>6523</v>
      </c>
      <c r="B951" s="10" t="s">
        <v>4410</v>
      </c>
      <c r="C951" s="61" t="s">
        <v>6054</v>
      </c>
      <c r="D951" s="12"/>
      <c r="E951" s="13" t="s">
        <v>199</v>
      </c>
      <c r="F951" s="43" t="s">
        <v>1394</v>
      </c>
      <c r="G951" s="6" t="str">
        <f ca="1">IFERROR(__xludf.DUMMYFUNCTION("CONCATENATE(B951,(VLOOKUP(C951,CATALOGOS!$F$2:$H$6,3,FALSE)),(VLOOKUP(T951,CATALOGOS!$J$2:$K$18,2,FALSE)),""-"",TO_TEXT(A951))"),"P21DG-0950")</f>
        <v>P21DG-0950</v>
      </c>
      <c r="H951" s="6" t="s">
        <v>6524</v>
      </c>
      <c r="I951" s="6" t="s">
        <v>6525</v>
      </c>
      <c r="J951" s="6" t="s">
        <v>6526</v>
      </c>
      <c r="K951" s="6" t="s">
        <v>6527</v>
      </c>
      <c r="L951" s="17"/>
      <c r="M951" s="17"/>
      <c r="N951" s="17" t="str">
        <f t="shared" si="2"/>
        <v>OK</v>
      </c>
      <c r="O951" s="17" t="s">
        <v>157</v>
      </c>
      <c r="P951" s="6" t="s">
        <v>6528</v>
      </c>
      <c r="Q951" s="17" t="s">
        <v>6529</v>
      </c>
      <c r="R951" s="10" t="s">
        <v>6530</v>
      </c>
      <c r="S951" s="173" t="s">
        <v>38</v>
      </c>
      <c r="T951" s="11" t="s">
        <v>6054</v>
      </c>
      <c r="U951" s="22" t="s">
        <v>6277</v>
      </c>
      <c r="V951" s="22" t="s">
        <v>6277</v>
      </c>
    </row>
    <row r="952" spans="1:22" ht="30">
      <c r="A952" s="10" t="s">
        <v>6531</v>
      </c>
      <c r="B952" s="10" t="s">
        <v>4410</v>
      </c>
      <c r="C952" s="61" t="s">
        <v>6054</v>
      </c>
      <c r="D952" s="38"/>
      <c r="E952" s="13" t="s">
        <v>151</v>
      </c>
      <c r="F952" s="6" t="s">
        <v>963</v>
      </c>
      <c r="G952" s="6" t="str">
        <f ca="1">IFERROR(__xludf.DUMMYFUNCTION("CONCATENATE(B952,(VLOOKUP(C952,CATALOGOS!$F$2:$H$6,3,FALSE)),(VLOOKUP(T952,CATALOGOS!$J$2:$K$18,2,FALSE)),""-"",TO_TEXT(A952))"),"P21DG-0951")</f>
        <v>P21DG-0951</v>
      </c>
      <c r="H952" s="6" t="s">
        <v>6532</v>
      </c>
      <c r="I952" s="6" t="s">
        <v>6533</v>
      </c>
      <c r="J952" s="6" t="s">
        <v>6534</v>
      </c>
      <c r="K952" s="6" t="s">
        <v>6535</v>
      </c>
      <c r="L952" s="17"/>
      <c r="M952" s="17"/>
      <c r="N952" s="17" t="str">
        <f t="shared" si="2"/>
        <v>OK</v>
      </c>
      <c r="O952" s="17" t="s">
        <v>703</v>
      </c>
      <c r="P952" s="6" t="s">
        <v>6536</v>
      </c>
      <c r="Q952" s="46" t="s">
        <v>6537</v>
      </c>
      <c r="R952" s="17" t="s">
        <v>6538</v>
      </c>
      <c r="S952" s="173" t="s">
        <v>38</v>
      </c>
      <c r="T952" s="11" t="s">
        <v>6054</v>
      </c>
      <c r="U952" s="22" t="s">
        <v>6277</v>
      </c>
      <c r="V952" s="22" t="s">
        <v>6277</v>
      </c>
    </row>
    <row r="953" spans="1:22" ht="86.25">
      <c r="A953" s="10" t="s">
        <v>6539</v>
      </c>
      <c r="B953" s="10" t="s">
        <v>4410</v>
      </c>
      <c r="C953" s="61" t="s">
        <v>6054</v>
      </c>
      <c r="D953" s="12"/>
      <c r="E953" s="13" t="s">
        <v>116</v>
      </c>
      <c r="F953" s="6" t="s">
        <v>6540</v>
      </c>
      <c r="G953" s="6" t="str">
        <f ca="1">IFERROR(__xludf.DUMMYFUNCTION("CONCATENATE(B953,(VLOOKUP(C953,CATALOGOS!$F$2:$H$6,3,FALSE)),(VLOOKUP(T953,CATALOGOS!$J$2:$K$18,2,FALSE)),""-"",TO_TEXT(A953))"),"P21DG-0952")</f>
        <v>P21DG-0952</v>
      </c>
      <c r="H953" s="6" t="s">
        <v>6541</v>
      </c>
      <c r="I953" s="6" t="s">
        <v>6542</v>
      </c>
      <c r="J953" s="6" t="s">
        <v>6543</v>
      </c>
      <c r="K953" s="6" t="s">
        <v>6544</v>
      </c>
      <c r="L953" s="17"/>
      <c r="M953" s="17"/>
      <c r="N953" s="17" t="str">
        <f t="shared" si="2"/>
        <v>OK</v>
      </c>
      <c r="O953" s="17" t="s">
        <v>35</v>
      </c>
      <c r="P953" s="6" t="s">
        <v>35</v>
      </c>
      <c r="Q953" s="17" t="s">
        <v>36</v>
      </c>
      <c r="R953" s="17" t="s">
        <v>85</v>
      </c>
      <c r="S953" s="173" t="s">
        <v>38</v>
      </c>
      <c r="T953" s="11" t="s">
        <v>6054</v>
      </c>
      <c r="U953" s="20" t="s">
        <v>6546</v>
      </c>
      <c r="V953" s="20" t="s">
        <v>6546</v>
      </c>
    </row>
    <row r="954" spans="1:22" ht="29.25">
      <c r="A954" s="10" t="s">
        <v>6547</v>
      </c>
      <c r="B954" s="10" t="s">
        <v>4410</v>
      </c>
      <c r="C954" s="61" t="s">
        <v>6054</v>
      </c>
      <c r="D954" s="12"/>
      <c r="E954" s="13" t="s">
        <v>43</v>
      </c>
      <c r="F954" s="43" t="s">
        <v>2581</v>
      </c>
      <c r="G954" s="6" t="str">
        <f ca="1">IFERROR(__xludf.DUMMYFUNCTION("CONCATENATE(B954,(VLOOKUP(C954,CATALOGOS!$F$2:$H$6,3,FALSE)),(VLOOKUP(T954,CATALOGOS!$J$2:$K$18,2,FALSE)),""-"",TO_TEXT(A954))"),"P21DG-0953")</f>
        <v>P21DG-0953</v>
      </c>
      <c r="H954" s="6" t="s">
        <v>6548</v>
      </c>
      <c r="I954" s="6" t="s">
        <v>6549</v>
      </c>
      <c r="J954" s="6" t="s">
        <v>6550</v>
      </c>
      <c r="K954" s="6" t="s">
        <v>6551</v>
      </c>
      <c r="L954" s="17"/>
      <c r="M954" s="17"/>
      <c r="N954" s="17" t="str">
        <f t="shared" si="2"/>
        <v>OK</v>
      </c>
      <c r="O954" s="17" t="s">
        <v>49</v>
      </c>
      <c r="P954" s="6" t="s">
        <v>35</v>
      </c>
      <c r="Q954" s="17" t="s">
        <v>36</v>
      </c>
      <c r="R954" s="17" t="s">
        <v>6552</v>
      </c>
      <c r="S954" s="173" t="s">
        <v>38</v>
      </c>
      <c r="T954" s="11" t="s">
        <v>6054</v>
      </c>
      <c r="U954" s="20" t="s">
        <v>6546</v>
      </c>
      <c r="V954" s="20" t="s">
        <v>6546</v>
      </c>
    </row>
    <row r="955" spans="1:22" ht="72">
      <c r="A955" s="10" t="s">
        <v>6553</v>
      </c>
      <c r="B955" s="10" t="s">
        <v>4410</v>
      </c>
      <c r="C955" s="61" t="s">
        <v>6054</v>
      </c>
      <c r="D955" s="12"/>
      <c r="E955" s="13" t="s">
        <v>378</v>
      </c>
      <c r="F955" s="6" t="s">
        <v>6554</v>
      </c>
      <c r="G955" s="6" t="str">
        <f ca="1">IFERROR(__xludf.DUMMYFUNCTION("CONCATENATE(B955,(VLOOKUP(C955,CATALOGOS!$F$2:$H$6,3,FALSE)),(VLOOKUP(T955,CATALOGOS!$J$2:$K$18,2,FALSE)),""-"",TO_TEXT(A955))"),"P21DG-0954")</f>
        <v>P21DG-0954</v>
      </c>
      <c r="H955" s="6" t="s">
        <v>6555</v>
      </c>
      <c r="I955" s="6" t="s">
        <v>6556</v>
      </c>
      <c r="J955" s="6" t="s">
        <v>6557</v>
      </c>
      <c r="K955" s="6" t="s">
        <v>6558</v>
      </c>
      <c r="L955" s="17"/>
      <c r="M955" s="17"/>
      <c r="N955" s="17" t="str">
        <f t="shared" si="2"/>
        <v>OK</v>
      </c>
      <c r="O955" s="17" t="s">
        <v>35</v>
      </c>
      <c r="P955" s="6" t="s">
        <v>35</v>
      </c>
      <c r="Q955" s="17" t="s">
        <v>36</v>
      </c>
      <c r="R955" s="17" t="s">
        <v>6559</v>
      </c>
      <c r="S955" s="173" t="s">
        <v>38</v>
      </c>
      <c r="T955" s="11" t="s">
        <v>6054</v>
      </c>
      <c r="U955" s="20" t="s">
        <v>6546</v>
      </c>
      <c r="V955" s="20" t="s">
        <v>6546</v>
      </c>
    </row>
    <row r="956" spans="1:22" ht="43.5">
      <c r="A956" s="10" t="s">
        <v>6560</v>
      </c>
      <c r="B956" s="10" t="s">
        <v>4410</v>
      </c>
      <c r="C956" s="61" t="s">
        <v>6054</v>
      </c>
      <c r="D956" s="12"/>
      <c r="E956" s="13" t="s">
        <v>353</v>
      </c>
      <c r="F956" s="43" t="s">
        <v>638</v>
      </c>
      <c r="G956" s="6" t="str">
        <f ca="1">IFERROR(__xludf.DUMMYFUNCTION("CONCATENATE(B956,(VLOOKUP(C956,CATALOGOS!$F$2:$H$6,3,FALSE)),(VLOOKUP(T956,CATALOGOS!$J$2:$K$18,2,FALSE)),""-"",TO_TEXT(A956))"),"P21DG-0955")</f>
        <v>P21DG-0955</v>
      </c>
      <c r="H956" s="6" t="s">
        <v>6561</v>
      </c>
      <c r="I956" s="6" t="s">
        <v>6562</v>
      </c>
      <c r="J956" s="6" t="s">
        <v>6563</v>
      </c>
      <c r="K956" s="6" t="s">
        <v>6564</v>
      </c>
      <c r="L956" s="17"/>
      <c r="M956" s="17"/>
      <c r="N956" s="17" t="str">
        <f t="shared" si="2"/>
        <v>OK</v>
      </c>
      <c r="O956" s="17" t="s">
        <v>6565</v>
      </c>
      <c r="P956" s="6" t="s">
        <v>6566</v>
      </c>
      <c r="Q956" s="6" t="s">
        <v>6567</v>
      </c>
      <c r="R956" s="10" t="s">
        <v>6568</v>
      </c>
      <c r="S956" s="173" t="s">
        <v>38</v>
      </c>
      <c r="T956" s="11" t="s">
        <v>6054</v>
      </c>
      <c r="U956" s="20" t="s">
        <v>6546</v>
      </c>
      <c r="V956" s="20" t="s">
        <v>6546</v>
      </c>
    </row>
    <row r="957" spans="1:22" ht="29.25">
      <c r="A957" s="10" t="s">
        <v>6569</v>
      </c>
      <c r="B957" s="10" t="s">
        <v>4410</v>
      </c>
      <c r="C957" s="61" t="s">
        <v>6054</v>
      </c>
      <c r="D957" s="12"/>
      <c r="E957" s="13" t="s">
        <v>151</v>
      </c>
      <c r="F957" s="6" t="s">
        <v>6570</v>
      </c>
      <c r="G957" s="6" t="str">
        <f ca="1">IFERROR(__xludf.DUMMYFUNCTION("CONCATENATE(B957,(VLOOKUP(C957,CATALOGOS!$F$2:$H$6,3,FALSE)),(VLOOKUP(T957,CATALOGOS!$J$2:$K$18,2,FALSE)),""-"",TO_TEXT(A957))"),"P21DG-0956")</f>
        <v>P21DG-0956</v>
      </c>
      <c r="H957" s="6" t="s">
        <v>6571</v>
      </c>
      <c r="I957" s="6" t="s">
        <v>6572</v>
      </c>
      <c r="J957" s="6" t="s">
        <v>6573</v>
      </c>
      <c r="K957" s="6" t="s">
        <v>6574</v>
      </c>
      <c r="L957" s="17"/>
      <c r="M957" s="17"/>
      <c r="N957" s="17" t="str">
        <f t="shared" si="2"/>
        <v>OK</v>
      </c>
      <c r="O957" s="17" t="s">
        <v>6575</v>
      </c>
      <c r="P957" s="6" t="s">
        <v>6576</v>
      </c>
      <c r="Q957" s="17" t="s">
        <v>6577</v>
      </c>
      <c r="R957" s="10" t="s">
        <v>6578</v>
      </c>
      <c r="S957" s="173" t="s">
        <v>38</v>
      </c>
      <c r="T957" s="11" t="s">
        <v>6054</v>
      </c>
      <c r="U957" s="20" t="s">
        <v>6546</v>
      </c>
      <c r="V957" s="20" t="s">
        <v>6546</v>
      </c>
    </row>
    <row r="958" spans="1:22" ht="57.75">
      <c r="A958" s="10" t="s">
        <v>6579</v>
      </c>
      <c r="B958" s="10" t="s">
        <v>4410</v>
      </c>
      <c r="C958" s="61" t="s">
        <v>6054</v>
      </c>
      <c r="D958" s="38"/>
      <c r="E958" s="13" t="s">
        <v>199</v>
      </c>
      <c r="F958" s="6" t="s">
        <v>199</v>
      </c>
      <c r="G958" s="6" t="str">
        <f ca="1">IFERROR(__xludf.DUMMYFUNCTION("CONCATENATE(B958,(VLOOKUP(C958,CATALOGOS!$F$2:$H$6,3,FALSE)),(VLOOKUP(T958,CATALOGOS!$J$2:$K$18,2,FALSE)),""-"",TO_TEXT(A958))"),"P21DG-0957")</f>
        <v>P21DG-0957</v>
      </c>
      <c r="H958" s="6" t="s">
        <v>6580</v>
      </c>
      <c r="I958" s="6" t="s">
        <v>6581</v>
      </c>
      <c r="J958" s="6" t="s">
        <v>6582</v>
      </c>
      <c r="K958" s="6" t="s">
        <v>6583</v>
      </c>
      <c r="L958" s="17"/>
      <c r="M958" s="17"/>
      <c r="N958" s="17" t="str">
        <f t="shared" si="2"/>
        <v>OK</v>
      </c>
      <c r="O958" s="17" t="s">
        <v>205</v>
      </c>
      <c r="P958" s="6" t="s">
        <v>794</v>
      </c>
      <c r="Q958" s="46" t="s">
        <v>6584</v>
      </c>
      <c r="R958" s="17" t="s">
        <v>6585</v>
      </c>
      <c r="S958" s="173" t="s">
        <v>38</v>
      </c>
      <c r="T958" s="11" t="s">
        <v>6054</v>
      </c>
      <c r="U958" s="20" t="s">
        <v>6546</v>
      </c>
      <c r="V958" s="20" t="s">
        <v>6546</v>
      </c>
    </row>
    <row r="959" spans="1:22" ht="57.75">
      <c r="A959" s="10" t="s">
        <v>6586</v>
      </c>
      <c r="B959" s="10" t="s">
        <v>4410</v>
      </c>
      <c r="C959" s="61" t="s">
        <v>6054</v>
      </c>
      <c r="D959" s="12"/>
      <c r="E959" s="13" t="s">
        <v>5904</v>
      </c>
      <c r="F959" s="6" t="s">
        <v>6587</v>
      </c>
      <c r="G959" s="6" t="str">
        <f ca="1">IFERROR(__xludf.DUMMYFUNCTION("CONCATENATE(B959,(VLOOKUP(C959,CATALOGOS!$F$2:$H$6,3,FALSE)),(VLOOKUP(T959,CATALOGOS!$J$2:$K$18,2,FALSE)),""-"",TO_TEXT(A959))"),"P21DG-0958")</f>
        <v>P21DG-0958</v>
      </c>
      <c r="H959" s="6" t="s">
        <v>6588</v>
      </c>
      <c r="I959" s="6" t="s">
        <v>6589</v>
      </c>
      <c r="J959" s="6" t="s">
        <v>6590</v>
      </c>
      <c r="K959" s="6" t="s">
        <v>6591</v>
      </c>
      <c r="L959" s="17"/>
      <c r="M959" s="17"/>
      <c r="N959" s="17" t="str">
        <f t="shared" si="2"/>
        <v>OK</v>
      </c>
      <c r="O959" s="17" t="s">
        <v>5918</v>
      </c>
      <c r="P959" s="6" t="s">
        <v>6592</v>
      </c>
      <c r="Q959" s="17" t="s">
        <v>36</v>
      </c>
      <c r="R959" s="10" t="s">
        <v>6593</v>
      </c>
      <c r="S959" s="173" t="s">
        <v>38</v>
      </c>
      <c r="T959" s="11" t="s">
        <v>6054</v>
      </c>
      <c r="U959" s="22" t="s">
        <v>6594</v>
      </c>
      <c r="V959" s="22" t="s">
        <v>6594</v>
      </c>
    </row>
    <row r="960" spans="1:22" ht="72">
      <c r="A960" s="10" t="s">
        <v>6595</v>
      </c>
      <c r="B960" s="10" t="s">
        <v>4410</v>
      </c>
      <c r="C960" s="61" t="s">
        <v>6054</v>
      </c>
      <c r="D960" s="12"/>
      <c r="E960" s="13" t="s">
        <v>501</v>
      </c>
      <c r="F960" s="6" t="s">
        <v>6596</v>
      </c>
      <c r="G960" s="6" t="str">
        <f ca="1">IFERROR(__xludf.DUMMYFUNCTION("CONCATENATE(B960,(VLOOKUP(C960,CATALOGOS!$F$2:$H$6,3,FALSE)),(VLOOKUP(T960,CATALOGOS!$J$2:$K$18,2,FALSE)),""-"",TO_TEXT(A960))"),"P21DG-0959")</f>
        <v>P21DG-0959</v>
      </c>
      <c r="H960" s="6" t="s">
        <v>6597</v>
      </c>
      <c r="I960" s="6" t="s">
        <v>6598</v>
      </c>
      <c r="J960" s="6" t="s">
        <v>6599</v>
      </c>
      <c r="K960" s="6" t="s">
        <v>6600</v>
      </c>
      <c r="L960" s="17"/>
      <c r="M960" s="17"/>
      <c r="N960" s="17" t="str">
        <f t="shared" si="2"/>
        <v>OK</v>
      </c>
      <c r="O960" s="17" t="s">
        <v>35</v>
      </c>
      <c r="P960" s="6" t="s">
        <v>35</v>
      </c>
      <c r="Q960" s="17" t="s">
        <v>36</v>
      </c>
      <c r="R960" s="17" t="s">
        <v>6601</v>
      </c>
      <c r="S960" s="173" t="s">
        <v>38</v>
      </c>
      <c r="T960" s="11" t="s">
        <v>6054</v>
      </c>
      <c r="U960" s="22" t="s">
        <v>6594</v>
      </c>
      <c r="V960" s="22" t="s">
        <v>6594</v>
      </c>
    </row>
    <row r="961" spans="1:22" ht="57.75">
      <c r="A961" s="10" t="s">
        <v>6602</v>
      </c>
      <c r="B961" s="10" t="s">
        <v>4410</v>
      </c>
      <c r="C961" s="61" t="s">
        <v>6054</v>
      </c>
      <c r="D961" s="12"/>
      <c r="E961" s="13" t="s">
        <v>378</v>
      </c>
      <c r="F961" s="6" t="s">
        <v>878</v>
      </c>
      <c r="G961" s="6" t="str">
        <f ca="1">IFERROR(__xludf.DUMMYFUNCTION("CONCATENATE(B961,(VLOOKUP(C961,CATALOGOS!$F$2:$H$6,3,FALSE)),(VLOOKUP(T961,CATALOGOS!$J$2:$K$18,2,FALSE)),""-"",TO_TEXT(A961))"),"P21DG-0960")</f>
        <v>P21DG-0960</v>
      </c>
      <c r="H961" s="6" t="s">
        <v>6603</v>
      </c>
      <c r="I961" s="6" t="s">
        <v>6604</v>
      </c>
      <c r="J961" s="6" t="s">
        <v>6605</v>
      </c>
      <c r="K961" s="6" t="s">
        <v>141</v>
      </c>
      <c r="L961" s="17"/>
      <c r="M961" s="17"/>
      <c r="N961" s="17" t="str">
        <f t="shared" si="2"/>
        <v>REPETIDO</v>
      </c>
      <c r="O961" s="17" t="s">
        <v>35</v>
      </c>
      <c r="P961" s="32" t="s">
        <v>35</v>
      </c>
      <c r="Q961" s="17" t="s">
        <v>36</v>
      </c>
      <c r="R961" s="17" t="s">
        <v>6606</v>
      </c>
      <c r="S961" s="173" t="s">
        <v>38</v>
      </c>
      <c r="T961" s="11" t="s">
        <v>6054</v>
      </c>
      <c r="U961" s="22" t="s">
        <v>6594</v>
      </c>
      <c r="V961" s="22" t="s">
        <v>6594</v>
      </c>
    </row>
    <row r="962" spans="1:22" ht="43.5">
      <c r="A962" s="10" t="s">
        <v>6607</v>
      </c>
      <c r="B962" s="10" t="s">
        <v>4410</v>
      </c>
      <c r="C962" s="61" t="s">
        <v>6054</v>
      </c>
      <c r="D962" s="12"/>
      <c r="E962" s="13" t="s">
        <v>5778</v>
      </c>
      <c r="F962" s="43" t="s">
        <v>6608</v>
      </c>
      <c r="G962" s="6" t="str">
        <f ca="1">IFERROR(__xludf.DUMMYFUNCTION("CONCATENATE(B962,(VLOOKUP(C962,CATALOGOS!$F$2:$H$6,3,FALSE)),(VLOOKUP(T962,CATALOGOS!$J$2:$K$18,2,FALSE)),""-"",TO_TEXT(A962))"),"P21DG-0961")</f>
        <v>P21DG-0961</v>
      </c>
      <c r="H962" s="6" t="s">
        <v>6609</v>
      </c>
      <c r="I962" s="6" t="s">
        <v>6610</v>
      </c>
      <c r="J962" s="6" t="s">
        <v>6611</v>
      </c>
      <c r="K962" s="6" t="s">
        <v>6612</v>
      </c>
      <c r="L962" s="17"/>
      <c r="M962" s="17"/>
      <c r="N962" s="17" t="str">
        <f t="shared" si="2"/>
        <v>OK</v>
      </c>
      <c r="O962" s="17" t="s">
        <v>4035</v>
      </c>
      <c r="P962" s="6" t="s">
        <v>6613</v>
      </c>
      <c r="Q962" s="17" t="s">
        <v>6614</v>
      </c>
      <c r="R962" s="10" t="s">
        <v>6615</v>
      </c>
      <c r="S962" s="173" t="s">
        <v>38</v>
      </c>
      <c r="T962" s="11" t="s">
        <v>6054</v>
      </c>
      <c r="U962" s="22" t="s">
        <v>6594</v>
      </c>
      <c r="V962" s="22" t="s">
        <v>6594</v>
      </c>
    </row>
    <row r="963" spans="1:22" ht="72">
      <c r="A963" s="10" t="s">
        <v>6616</v>
      </c>
      <c r="B963" s="10" t="s">
        <v>4410</v>
      </c>
      <c r="C963" s="61" t="s">
        <v>6054</v>
      </c>
      <c r="D963" s="12"/>
      <c r="E963" s="13" t="s">
        <v>93</v>
      </c>
      <c r="F963" s="6" t="s">
        <v>6617</v>
      </c>
      <c r="G963" s="6" t="str">
        <f ca="1">IFERROR(__xludf.DUMMYFUNCTION("CONCATENATE(B963,(VLOOKUP(C963,CATALOGOS!$F$2:$H$6,3,FALSE)),(VLOOKUP(T963,CATALOGOS!$J$2:$K$18,2,FALSE)),""-"",TO_TEXT(A963))"),"P21DG-0962")</f>
        <v>P21DG-0962</v>
      </c>
      <c r="H963" s="6" t="s">
        <v>6618</v>
      </c>
      <c r="I963" s="6" t="s">
        <v>6619</v>
      </c>
      <c r="J963" s="6" t="s">
        <v>6620</v>
      </c>
      <c r="K963" s="6" t="s">
        <v>6621</v>
      </c>
      <c r="L963" s="17"/>
      <c r="M963" s="17"/>
      <c r="N963" s="17" t="str">
        <f t="shared" si="2"/>
        <v>OK</v>
      </c>
      <c r="O963" s="17" t="s">
        <v>35</v>
      </c>
      <c r="P963" s="6" t="s">
        <v>35</v>
      </c>
      <c r="Q963" s="17" t="s">
        <v>36</v>
      </c>
      <c r="R963" s="17" t="s">
        <v>6622</v>
      </c>
      <c r="S963" s="173" t="s">
        <v>38</v>
      </c>
      <c r="T963" s="11" t="s">
        <v>6054</v>
      </c>
      <c r="U963" s="22" t="s">
        <v>6594</v>
      </c>
      <c r="V963" s="22" t="s">
        <v>6594</v>
      </c>
    </row>
    <row r="964" spans="1:22" ht="72">
      <c r="A964" s="10" t="s">
        <v>6623</v>
      </c>
      <c r="B964" s="10" t="s">
        <v>4410</v>
      </c>
      <c r="C964" s="61" t="s">
        <v>6054</v>
      </c>
      <c r="D964" s="12"/>
      <c r="E964" s="13" t="s">
        <v>93</v>
      </c>
      <c r="F964" s="6" t="s">
        <v>6617</v>
      </c>
      <c r="G964" s="6" t="str">
        <f ca="1">IFERROR(__xludf.DUMMYFUNCTION("CONCATENATE(B964,(VLOOKUP(C964,CATALOGOS!$F$2:$H$6,3,FALSE)),(VLOOKUP(T964,CATALOGOS!$J$2:$K$18,2,FALSE)),""-"",TO_TEXT(A964))"),"P21DG-0963")</f>
        <v>P21DG-0963</v>
      </c>
      <c r="H964" s="6" t="s">
        <v>6624</v>
      </c>
      <c r="I964" s="6" t="s">
        <v>6625</v>
      </c>
      <c r="J964" s="6" t="s">
        <v>6626</v>
      </c>
      <c r="K964" s="6" t="s">
        <v>6627</v>
      </c>
      <c r="L964" s="17"/>
      <c r="M964" s="17"/>
      <c r="N964" s="17" t="str">
        <f t="shared" si="2"/>
        <v>OK</v>
      </c>
      <c r="O964" s="17" t="s">
        <v>35</v>
      </c>
      <c r="P964" s="6" t="s">
        <v>35</v>
      </c>
      <c r="Q964" s="17" t="s">
        <v>36</v>
      </c>
      <c r="R964" s="17" t="s">
        <v>6628</v>
      </c>
      <c r="S964" s="173" t="s">
        <v>38</v>
      </c>
      <c r="T964" s="11" t="s">
        <v>6054</v>
      </c>
      <c r="U964" s="22" t="s">
        <v>6594</v>
      </c>
      <c r="V964" s="22" t="s">
        <v>6594</v>
      </c>
    </row>
    <row r="965" spans="1:22" ht="72">
      <c r="A965" s="10" t="s">
        <v>6629</v>
      </c>
      <c r="B965" s="10" t="s">
        <v>4410</v>
      </c>
      <c r="C965" s="61" t="s">
        <v>6054</v>
      </c>
      <c r="D965" s="12"/>
      <c r="E965" s="13" t="s">
        <v>93</v>
      </c>
      <c r="F965" s="6" t="s">
        <v>6630</v>
      </c>
      <c r="G965" s="6" t="str">
        <f ca="1">IFERROR(__xludf.DUMMYFUNCTION("CONCATENATE(B965,(VLOOKUP(C965,CATALOGOS!$F$2:$H$6,3,FALSE)),(VLOOKUP(T965,CATALOGOS!$J$2:$K$18,2,FALSE)),""-"",TO_TEXT(A965))"),"P21DG-0964")</f>
        <v>P21DG-0964</v>
      </c>
      <c r="H965" s="6" t="s">
        <v>6631</v>
      </c>
      <c r="I965" s="6" t="s">
        <v>6632</v>
      </c>
      <c r="J965" s="6" t="s">
        <v>6633</v>
      </c>
      <c r="K965" s="6" t="s">
        <v>6634</v>
      </c>
      <c r="L965" s="17"/>
      <c r="M965" s="17"/>
      <c r="N965" s="17" t="str">
        <f t="shared" si="2"/>
        <v>OK</v>
      </c>
      <c r="O965" s="17" t="s">
        <v>35</v>
      </c>
      <c r="P965" s="6" t="s">
        <v>35</v>
      </c>
      <c r="Q965" s="17" t="s">
        <v>36</v>
      </c>
      <c r="R965" s="17" t="s">
        <v>85</v>
      </c>
      <c r="S965" s="173" t="s">
        <v>38</v>
      </c>
      <c r="T965" s="11" t="s">
        <v>6054</v>
      </c>
      <c r="U965" s="22" t="s">
        <v>6594</v>
      </c>
      <c r="V965" s="22" t="s">
        <v>6594</v>
      </c>
    </row>
    <row r="966" spans="1:22" ht="29.25">
      <c r="A966" s="10" t="s">
        <v>6635</v>
      </c>
      <c r="B966" s="10" t="s">
        <v>4410</v>
      </c>
      <c r="C966" s="61" t="s">
        <v>6054</v>
      </c>
      <c r="D966" s="38"/>
      <c r="E966" s="13" t="s">
        <v>387</v>
      </c>
      <c r="F966" s="43" t="s">
        <v>387</v>
      </c>
      <c r="G966" s="6" t="str">
        <f ca="1">IFERROR(__xludf.DUMMYFUNCTION("CONCATENATE(B966,(VLOOKUP(C966,CATALOGOS!$F$2:$H$6,3,FALSE)),(VLOOKUP(T966,CATALOGOS!$J$2:$K$18,2,FALSE)),""-"",TO_TEXT(A966))"),"P21DG-0965")</f>
        <v>P21DG-0965</v>
      </c>
      <c r="H966" s="6" t="s">
        <v>6636</v>
      </c>
      <c r="I966" s="6" t="s">
        <v>6637</v>
      </c>
      <c r="J966" s="6" t="s">
        <v>6638</v>
      </c>
      <c r="K966" s="43" t="s">
        <v>6639</v>
      </c>
      <c r="L966" s="17"/>
      <c r="M966" s="17"/>
      <c r="N966" s="17" t="str">
        <f t="shared" si="2"/>
        <v>OK</v>
      </c>
      <c r="O966" s="17" t="s">
        <v>5597</v>
      </c>
      <c r="P966" s="6" t="s">
        <v>5598</v>
      </c>
      <c r="Q966" s="46" t="s">
        <v>6640</v>
      </c>
      <c r="R966" s="17" t="s">
        <v>6641</v>
      </c>
      <c r="S966" s="173" t="s">
        <v>38</v>
      </c>
      <c r="T966" s="11" t="s">
        <v>6054</v>
      </c>
      <c r="U966" s="22" t="s">
        <v>6594</v>
      </c>
      <c r="V966" s="22" t="s">
        <v>6594</v>
      </c>
    </row>
    <row r="967" spans="1:22" ht="72">
      <c r="A967" s="10" t="s">
        <v>6642</v>
      </c>
      <c r="B967" s="10" t="s">
        <v>4410</v>
      </c>
      <c r="C967" s="61" t="s">
        <v>6054</v>
      </c>
      <c r="D967" s="12"/>
      <c r="E967" s="13" t="s">
        <v>93</v>
      </c>
      <c r="F967" s="6" t="s">
        <v>6146</v>
      </c>
      <c r="G967" s="6" t="str">
        <f ca="1">IFERROR(__xludf.DUMMYFUNCTION("CONCATENATE(B967,(VLOOKUP(C967,CATALOGOS!$F$2:$H$6,3,FALSE)),(VLOOKUP(T967,CATALOGOS!$J$2:$K$18,2,FALSE)),""-"",TO_TEXT(A967))"),"P21DG-0966")</f>
        <v>P21DG-0966</v>
      </c>
      <c r="H967" s="6" t="s">
        <v>6643</v>
      </c>
      <c r="I967" s="6" t="s">
        <v>6644</v>
      </c>
      <c r="J967" s="6" t="s">
        <v>6645</v>
      </c>
      <c r="K967" s="6" t="s">
        <v>6646</v>
      </c>
      <c r="L967" s="17"/>
      <c r="M967" s="17"/>
      <c r="N967" s="17" t="str">
        <f t="shared" si="2"/>
        <v>OK</v>
      </c>
      <c r="O967" s="17" t="s">
        <v>35</v>
      </c>
      <c r="P967" s="6" t="s">
        <v>35</v>
      </c>
      <c r="Q967" s="17" t="s">
        <v>36</v>
      </c>
      <c r="R967" s="17" t="s">
        <v>6647</v>
      </c>
      <c r="S967" s="173" t="s">
        <v>38</v>
      </c>
      <c r="T967" s="11" t="s">
        <v>6054</v>
      </c>
      <c r="U967" s="22" t="s">
        <v>6648</v>
      </c>
      <c r="V967" s="22" t="s">
        <v>6648</v>
      </c>
    </row>
    <row r="968" spans="1:22" ht="72">
      <c r="A968" s="10" t="s">
        <v>6649</v>
      </c>
      <c r="B968" s="10" t="s">
        <v>4410</v>
      </c>
      <c r="C968" s="61" t="s">
        <v>6054</v>
      </c>
      <c r="D968" s="12"/>
      <c r="E968" s="13" t="s">
        <v>93</v>
      </c>
      <c r="F968" s="6" t="s">
        <v>6146</v>
      </c>
      <c r="G968" s="6" t="str">
        <f ca="1">IFERROR(__xludf.DUMMYFUNCTION("CONCATENATE(B968,(VLOOKUP(C968,CATALOGOS!$F$2:$H$6,3,FALSE)),(VLOOKUP(T968,CATALOGOS!$J$2:$K$18,2,FALSE)),""-"",TO_TEXT(A968))"),"P21DG-0967")</f>
        <v>P21DG-0967</v>
      </c>
      <c r="H968" s="6" t="s">
        <v>6650</v>
      </c>
      <c r="I968" s="6" t="s">
        <v>6651</v>
      </c>
      <c r="J968" s="6" t="s">
        <v>6652</v>
      </c>
      <c r="K968" s="6" t="s">
        <v>6653</v>
      </c>
      <c r="L968" s="17"/>
      <c r="M968" s="17"/>
      <c r="N968" s="17" t="str">
        <f t="shared" si="2"/>
        <v>OK</v>
      </c>
      <c r="O968" s="17" t="s">
        <v>35</v>
      </c>
      <c r="P968" s="6" t="s">
        <v>35</v>
      </c>
      <c r="Q968" s="17" t="s">
        <v>36</v>
      </c>
      <c r="R968" s="17" t="s">
        <v>6654</v>
      </c>
      <c r="S968" s="173" t="s">
        <v>38</v>
      </c>
      <c r="T968" s="11" t="s">
        <v>6054</v>
      </c>
      <c r="U968" s="22" t="s">
        <v>6648</v>
      </c>
      <c r="V968" s="22" t="s">
        <v>6648</v>
      </c>
    </row>
    <row r="969" spans="1:22" ht="86.25">
      <c r="A969" s="10" t="s">
        <v>6655</v>
      </c>
      <c r="B969" s="10" t="s">
        <v>4410</v>
      </c>
      <c r="C969" s="61" t="s">
        <v>6054</v>
      </c>
      <c r="D969" s="12"/>
      <c r="E969" s="13" t="s">
        <v>93</v>
      </c>
      <c r="F969" s="6" t="s">
        <v>6656</v>
      </c>
      <c r="G969" s="6" t="str">
        <f ca="1">IFERROR(__xludf.DUMMYFUNCTION("CONCATENATE(B969,(VLOOKUP(C969,CATALOGOS!$F$2:$H$6,3,FALSE)),(VLOOKUP(T969,CATALOGOS!$J$2:$K$18,2,FALSE)),""-"",TO_TEXT(A969))"),"P21DG-0968")</f>
        <v>P21DG-0968</v>
      </c>
      <c r="H969" s="6" t="s">
        <v>6657</v>
      </c>
      <c r="I969" s="6" t="s">
        <v>6658</v>
      </c>
      <c r="J969" s="6" t="s">
        <v>6659</v>
      </c>
      <c r="K969" s="6" t="s">
        <v>6660</v>
      </c>
      <c r="L969" s="17"/>
      <c r="M969" s="17"/>
      <c r="N969" s="17" t="str">
        <f t="shared" si="2"/>
        <v>OK</v>
      </c>
      <c r="O969" s="17" t="s">
        <v>35</v>
      </c>
      <c r="P969" s="6" t="s">
        <v>35</v>
      </c>
      <c r="Q969" s="17" t="s">
        <v>36</v>
      </c>
      <c r="R969" s="17" t="s">
        <v>6661</v>
      </c>
      <c r="S969" s="173" t="s">
        <v>38</v>
      </c>
      <c r="T969" s="11" t="s">
        <v>6054</v>
      </c>
      <c r="U969" s="22" t="s">
        <v>6648</v>
      </c>
      <c r="V969" s="22" t="s">
        <v>6648</v>
      </c>
    </row>
    <row r="970" spans="1:22" ht="72">
      <c r="A970" s="10" t="s">
        <v>6662</v>
      </c>
      <c r="B970" s="10" t="s">
        <v>4410</v>
      </c>
      <c r="C970" s="61" t="s">
        <v>6054</v>
      </c>
      <c r="D970" s="12"/>
      <c r="E970" s="13" t="s">
        <v>93</v>
      </c>
      <c r="F970" s="6" t="s">
        <v>6663</v>
      </c>
      <c r="G970" s="6" t="str">
        <f ca="1">IFERROR(__xludf.DUMMYFUNCTION("CONCATENATE(B970,(VLOOKUP(C970,CATALOGOS!$F$2:$H$6,3,FALSE)),(VLOOKUP(T970,CATALOGOS!$J$2:$K$18,2,FALSE)),""-"",TO_TEXT(A970))"),"P21DG-0969")</f>
        <v>P21DG-0969</v>
      </c>
      <c r="H970" s="6" t="s">
        <v>6664</v>
      </c>
      <c r="I970" s="6" t="s">
        <v>6665</v>
      </c>
      <c r="J970" s="6" t="s">
        <v>6666</v>
      </c>
      <c r="K970" s="6" t="s">
        <v>6667</v>
      </c>
      <c r="L970" s="17"/>
      <c r="M970" s="17"/>
      <c r="N970" s="17" t="str">
        <f t="shared" si="2"/>
        <v>OK</v>
      </c>
      <c r="O970" s="17" t="s">
        <v>35</v>
      </c>
      <c r="P970" s="6" t="s">
        <v>35</v>
      </c>
      <c r="Q970" s="17" t="s">
        <v>36</v>
      </c>
      <c r="R970" s="17" t="s">
        <v>6668</v>
      </c>
      <c r="S970" s="173" t="s">
        <v>38</v>
      </c>
      <c r="T970" s="11" t="s">
        <v>6054</v>
      </c>
      <c r="U970" s="22" t="s">
        <v>6648</v>
      </c>
      <c r="V970" s="22" t="s">
        <v>6648</v>
      </c>
    </row>
    <row r="971" spans="1:22" ht="72">
      <c r="A971" s="10" t="s">
        <v>6669</v>
      </c>
      <c r="B971" s="10" t="s">
        <v>4410</v>
      </c>
      <c r="C971" s="61" t="s">
        <v>6054</v>
      </c>
      <c r="D971" s="12"/>
      <c r="E971" s="13" t="s">
        <v>6092</v>
      </c>
      <c r="F971" s="43" t="s">
        <v>6670</v>
      </c>
      <c r="G971" s="6" t="str">
        <f ca="1">IFERROR(__xludf.DUMMYFUNCTION("CONCATENATE(B971,(VLOOKUP(C971,CATALOGOS!$F$2:$H$6,3,FALSE)),(VLOOKUP(T971,CATALOGOS!$J$2:$K$18,2,FALSE)),""-"",TO_TEXT(A971))"),"P21DG-0970")</f>
        <v>P21DG-0970</v>
      </c>
      <c r="H971" s="6" t="s">
        <v>6671</v>
      </c>
      <c r="I971" s="6" t="s">
        <v>6672</v>
      </c>
      <c r="J971" s="6" t="s">
        <v>6673</v>
      </c>
      <c r="K971" s="6" t="s">
        <v>6674</v>
      </c>
      <c r="L971" s="17"/>
      <c r="M971" s="17"/>
      <c r="N971" s="17" t="str">
        <f t="shared" si="2"/>
        <v>OK</v>
      </c>
      <c r="O971" s="17" t="s">
        <v>35</v>
      </c>
      <c r="P971" s="6" t="s">
        <v>35</v>
      </c>
      <c r="Q971" s="17" t="s">
        <v>36</v>
      </c>
      <c r="R971" s="17" t="s">
        <v>6675</v>
      </c>
      <c r="S971" s="173" t="s">
        <v>38</v>
      </c>
      <c r="T971" s="11" t="s">
        <v>6054</v>
      </c>
      <c r="U971" s="22" t="s">
        <v>6648</v>
      </c>
      <c r="V971" s="22" t="s">
        <v>6648</v>
      </c>
    </row>
    <row r="972" spans="1:22" ht="57.75">
      <c r="A972" s="10" t="s">
        <v>6676</v>
      </c>
      <c r="B972" s="10" t="s">
        <v>4410</v>
      </c>
      <c r="C972" s="61" t="s">
        <v>6054</v>
      </c>
      <c r="D972" s="38"/>
      <c r="E972" s="13" t="s">
        <v>43</v>
      </c>
      <c r="F972" s="43" t="s">
        <v>4929</v>
      </c>
      <c r="G972" s="6" t="str">
        <f ca="1">IFERROR(__xludf.DUMMYFUNCTION("CONCATENATE(B972,(VLOOKUP(C972,CATALOGOS!$F$2:$H$6,3,FALSE)),(VLOOKUP(T972,CATALOGOS!$J$2:$K$18,2,FALSE)),""-"",TO_TEXT(A972))"),"P21DG-0971")</f>
        <v>P21DG-0971</v>
      </c>
      <c r="H972" s="6" t="s">
        <v>6677</v>
      </c>
      <c r="I972" s="6" t="s">
        <v>6678</v>
      </c>
      <c r="J972" s="6" t="s">
        <v>6679</v>
      </c>
      <c r="K972" s="6" t="s">
        <v>6680</v>
      </c>
      <c r="L972" s="17"/>
      <c r="M972" s="17"/>
      <c r="N972" s="17" t="str">
        <f t="shared" si="2"/>
        <v>OK</v>
      </c>
      <c r="O972" s="17" t="s">
        <v>406</v>
      </c>
      <c r="P972" s="6" t="s">
        <v>6681</v>
      </c>
      <c r="Q972" s="46" t="s">
        <v>6682</v>
      </c>
      <c r="R972" s="17" t="s">
        <v>6683</v>
      </c>
      <c r="S972" s="173" t="s">
        <v>38</v>
      </c>
      <c r="T972" s="11" t="s">
        <v>6054</v>
      </c>
      <c r="U972" s="20" t="s">
        <v>6684</v>
      </c>
      <c r="V972" s="22" t="s">
        <v>6648</v>
      </c>
    </row>
    <row r="973" spans="1:22" ht="86.25">
      <c r="A973" s="10" t="s">
        <v>6685</v>
      </c>
      <c r="B973" s="10" t="s">
        <v>4410</v>
      </c>
      <c r="C973" s="61" t="s">
        <v>6054</v>
      </c>
      <c r="D973" s="12"/>
      <c r="E973" s="13" t="s">
        <v>93</v>
      </c>
      <c r="F973" s="6" t="s">
        <v>6686</v>
      </c>
      <c r="G973" s="6" t="str">
        <f ca="1">IFERROR(__xludf.DUMMYFUNCTION("CONCATENATE(B973,(VLOOKUP(C973,CATALOGOS!$F$2:$H$6,3,FALSE)),(VLOOKUP(T973,CATALOGOS!$J$2:$K$18,2,FALSE)),""-"",TO_TEXT(A973))"),"P21DG-0972")</f>
        <v>P21DG-0972</v>
      </c>
      <c r="H973" s="6" t="s">
        <v>6687</v>
      </c>
      <c r="I973" s="6" t="s">
        <v>6688</v>
      </c>
      <c r="J973" s="6" t="s">
        <v>6689</v>
      </c>
      <c r="K973" s="6" t="s">
        <v>6690</v>
      </c>
      <c r="L973" s="17"/>
      <c r="M973" s="17"/>
      <c r="N973" s="17" t="str">
        <f t="shared" si="2"/>
        <v>OK</v>
      </c>
      <c r="O973" s="17" t="s">
        <v>35</v>
      </c>
      <c r="P973" s="6" t="s">
        <v>35</v>
      </c>
      <c r="Q973" s="17" t="s">
        <v>36</v>
      </c>
      <c r="R973" s="17" t="s">
        <v>6691</v>
      </c>
      <c r="S973" s="173" t="s">
        <v>38</v>
      </c>
      <c r="T973" s="11" t="s">
        <v>6054</v>
      </c>
      <c r="U973" s="20" t="s">
        <v>6684</v>
      </c>
      <c r="V973" s="20" t="s">
        <v>6684</v>
      </c>
    </row>
    <row r="974" spans="1:22" ht="86.25">
      <c r="A974" s="10" t="s">
        <v>6692</v>
      </c>
      <c r="B974" s="10" t="s">
        <v>4410</v>
      </c>
      <c r="C974" s="61" t="s">
        <v>6054</v>
      </c>
      <c r="D974" s="12"/>
      <c r="E974" s="13" t="s">
        <v>93</v>
      </c>
      <c r="F974" s="6" t="s">
        <v>6686</v>
      </c>
      <c r="G974" s="6" t="str">
        <f ca="1">IFERROR(__xludf.DUMMYFUNCTION("CONCATENATE(B974,(VLOOKUP(C974,CATALOGOS!$F$2:$H$6,3,FALSE)),(VLOOKUP(T974,CATALOGOS!$J$2:$K$18,2,FALSE)),""-"",TO_TEXT(A974))"),"P21DG-0973")</f>
        <v>P21DG-0973</v>
      </c>
      <c r="H974" s="6" t="s">
        <v>6693</v>
      </c>
      <c r="I974" s="6" t="s">
        <v>6694</v>
      </c>
      <c r="J974" s="6" t="s">
        <v>6695</v>
      </c>
      <c r="K974" s="6" t="s">
        <v>6696</v>
      </c>
      <c r="L974" s="17"/>
      <c r="M974" s="17"/>
      <c r="N974" s="17" t="str">
        <f t="shared" si="2"/>
        <v>OK</v>
      </c>
      <c r="O974" s="17" t="s">
        <v>35</v>
      </c>
      <c r="P974" s="6" t="s">
        <v>35</v>
      </c>
      <c r="Q974" s="17" t="s">
        <v>36</v>
      </c>
      <c r="R974" s="17" t="s">
        <v>6697</v>
      </c>
      <c r="S974" s="173" t="s">
        <v>38</v>
      </c>
      <c r="T974" s="11" t="s">
        <v>6054</v>
      </c>
      <c r="U974" s="20" t="s">
        <v>6684</v>
      </c>
      <c r="V974" s="20" t="s">
        <v>6684</v>
      </c>
    </row>
    <row r="975" spans="1:22" ht="72">
      <c r="A975" s="10" t="s">
        <v>6698</v>
      </c>
      <c r="B975" s="10" t="s">
        <v>4410</v>
      </c>
      <c r="C975" s="61" t="s">
        <v>6054</v>
      </c>
      <c r="D975" s="12"/>
      <c r="E975" s="13" t="s">
        <v>116</v>
      </c>
      <c r="F975" s="6" t="s">
        <v>6699</v>
      </c>
      <c r="G975" s="6" t="str">
        <f ca="1">IFERROR(__xludf.DUMMYFUNCTION("CONCATENATE(B975,(VLOOKUP(C975,CATALOGOS!$F$2:$H$6,3,FALSE)),(VLOOKUP(T975,CATALOGOS!$J$2:$K$18,2,FALSE)),""-"",TO_TEXT(A975))"),"P21DG-0974")</f>
        <v>P21DG-0974</v>
      </c>
      <c r="H975" s="6" t="s">
        <v>6700</v>
      </c>
      <c r="I975" s="6" t="s">
        <v>6701</v>
      </c>
      <c r="J975" s="6" t="s">
        <v>6702</v>
      </c>
      <c r="K975" s="6" t="s">
        <v>6703</v>
      </c>
      <c r="L975" s="17"/>
      <c r="M975" s="17"/>
      <c r="N975" s="17" t="str">
        <f t="shared" si="2"/>
        <v>OK</v>
      </c>
      <c r="O975" s="17" t="s">
        <v>35</v>
      </c>
      <c r="P975" s="6" t="s">
        <v>35</v>
      </c>
      <c r="Q975" s="17" t="s">
        <v>36</v>
      </c>
      <c r="R975" s="17" t="s">
        <v>6704</v>
      </c>
      <c r="S975" s="173" t="s">
        <v>38</v>
      </c>
      <c r="T975" s="11" t="s">
        <v>6054</v>
      </c>
      <c r="U975" s="20" t="s">
        <v>6684</v>
      </c>
      <c r="V975" s="20" t="s">
        <v>6684</v>
      </c>
    </row>
    <row r="976" spans="1:22" ht="100.5">
      <c r="A976" s="10" t="s">
        <v>6705</v>
      </c>
      <c r="B976" s="10" t="s">
        <v>4410</v>
      </c>
      <c r="C976" s="61" t="s">
        <v>6054</v>
      </c>
      <c r="D976" s="12"/>
      <c r="E976" s="13" t="s">
        <v>62</v>
      </c>
      <c r="F976" s="6" t="s">
        <v>6706</v>
      </c>
      <c r="G976" s="6" t="str">
        <f ca="1">IFERROR(__xludf.DUMMYFUNCTION("CONCATENATE(B976,(VLOOKUP(C976,CATALOGOS!$F$2:$H$6,3,FALSE)),(VLOOKUP(T976,CATALOGOS!$J$2:$K$18,2,FALSE)),""-"",TO_TEXT(A976))"),"P21DG-0975")</f>
        <v>P21DG-0975</v>
      </c>
      <c r="H976" s="6" t="s">
        <v>6707</v>
      </c>
      <c r="I976" s="6" t="s">
        <v>6708</v>
      </c>
      <c r="J976" s="6" t="s">
        <v>6709</v>
      </c>
      <c r="K976" s="6" t="s">
        <v>6710</v>
      </c>
      <c r="L976" s="17"/>
      <c r="M976" s="17"/>
      <c r="N976" s="17" t="str">
        <f t="shared" si="2"/>
        <v>OK</v>
      </c>
      <c r="O976" s="17" t="s">
        <v>35</v>
      </c>
      <c r="P976" s="6" t="s">
        <v>35</v>
      </c>
      <c r="Q976" s="17" t="s">
        <v>36</v>
      </c>
      <c r="R976" s="17" t="s">
        <v>6711</v>
      </c>
      <c r="S976" s="173" t="s">
        <v>38</v>
      </c>
      <c r="T976" s="11" t="s">
        <v>6054</v>
      </c>
      <c r="U976" s="20" t="s">
        <v>6684</v>
      </c>
      <c r="V976" s="20" t="s">
        <v>6684</v>
      </c>
    </row>
    <row r="977" spans="1:22" ht="29.25">
      <c r="A977" s="10" t="s">
        <v>6712</v>
      </c>
      <c r="B977" s="10" t="s">
        <v>4410</v>
      </c>
      <c r="C977" s="61" t="s">
        <v>6054</v>
      </c>
      <c r="D977" s="12"/>
      <c r="E977" s="13" t="s">
        <v>43</v>
      </c>
      <c r="F977" s="43" t="s">
        <v>457</v>
      </c>
      <c r="G977" s="6" t="str">
        <f ca="1">IFERROR(__xludf.DUMMYFUNCTION("CONCATENATE(B977,(VLOOKUP(C977,CATALOGOS!$F$2:$H$6,3,FALSE)),(VLOOKUP(T977,CATALOGOS!$J$2:$K$18,2,FALSE)),""-"",TO_TEXT(A977))"),"P21DG-0976")</f>
        <v>P21DG-0976</v>
      </c>
      <c r="H977" s="6" t="s">
        <v>6713</v>
      </c>
      <c r="I977" s="6" t="s">
        <v>6714</v>
      </c>
      <c r="J977" s="6" t="s">
        <v>6715</v>
      </c>
      <c r="K977" s="6" t="s">
        <v>6716</v>
      </c>
      <c r="L977" s="17"/>
      <c r="M977" s="17"/>
      <c r="N977" s="17" t="str">
        <f t="shared" si="2"/>
        <v>OK</v>
      </c>
      <c r="O977" s="17" t="s">
        <v>406</v>
      </c>
      <c r="P977" s="6" t="s">
        <v>6717</v>
      </c>
      <c r="Q977" s="17" t="s">
        <v>6682</v>
      </c>
      <c r="R977" s="10" t="s">
        <v>6718</v>
      </c>
      <c r="S977" s="184" t="s">
        <v>1304</v>
      </c>
      <c r="T977" s="11" t="s">
        <v>6054</v>
      </c>
      <c r="U977" s="20" t="s">
        <v>6684</v>
      </c>
      <c r="V977" s="20" t="s">
        <v>6684</v>
      </c>
    </row>
    <row r="978" spans="1:22" ht="43.5">
      <c r="A978" s="10" t="s">
        <v>6719</v>
      </c>
      <c r="B978" s="10" t="s">
        <v>4410</v>
      </c>
      <c r="C978" s="61" t="s">
        <v>6054</v>
      </c>
      <c r="D978" s="12"/>
      <c r="E978" s="13" t="s">
        <v>353</v>
      </c>
      <c r="F978" s="43" t="s">
        <v>354</v>
      </c>
      <c r="G978" s="6" t="str">
        <f ca="1">IFERROR(__xludf.DUMMYFUNCTION("CONCATENATE(B978,(VLOOKUP(C978,CATALOGOS!$F$2:$H$6,3,FALSE)),(VLOOKUP(T978,CATALOGOS!$J$2:$K$18,2,FALSE)),""-"",TO_TEXT(A978))"),"P21DG-0977")</f>
        <v>P21DG-0977</v>
      </c>
      <c r="H978" s="6" t="s">
        <v>6720</v>
      </c>
      <c r="I978" s="6" t="s">
        <v>6721</v>
      </c>
      <c r="J978" s="6" t="s">
        <v>6722</v>
      </c>
      <c r="K978" s="6" t="s">
        <v>6723</v>
      </c>
      <c r="L978" s="17"/>
      <c r="M978" s="17"/>
      <c r="N978" s="17" t="str">
        <f t="shared" si="2"/>
        <v>OK</v>
      </c>
      <c r="O978" s="17" t="s">
        <v>359</v>
      </c>
      <c r="P978" s="6" t="s">
        <v>6724</v>
      </c>
      <c r="Q978" s="17" t="s">
        <v>6725</v>
      </c>
      <c r="R978" s="10" t="s">
        <v>6726</v>
      </c>
      <c r="S978" s="173" t="s">
        <v>38</v>
      </c>
      <c r="T978" s="11" t="s">
        <v>6054</v>
      </c>
      <c r="U978" s="20" t="s">
        <v>6684</v>
      </c>
      <c r="V978" s="20" t="s">
        <v>6684</v>
      </c>
    </row>
    <row r="979" spans="1:22" ht="57.75">
      <c r="A979" s="10" t="s">
        <v>6727</v>
      </c>
      <c r="B979" s="10" t="s">
        <v>4410</v>
      </c>
      <c r="C979" s="61" t="s">
        <v>6054</v>
      </c>
      <c r="D979" s="12"/>
      <c r="E979" s="13" t="s">
        <v>199</v>
      </c>
      <c r="F979" s="6" t="s">
        <v>199</v>
      </c>
      <c r="G979" s="6" t="str">
        <f ca="1">IFERROR(__xludf.DUMMYFUNCTION("CONCATENATE(B979,(VLOOKUP(C979,CATALOGOS!$F$2:$H$6,3,FALSE)),(VLOOKUP(T979,CATALOGOS!$J$2:$K$18,2,FALSE)),""-"",TO_TEXT(A979))"),"P21DG-0978")</f>
        <v>P21DG-0978</v>
      </c>
      <c r="H979" s="6" t="s">
        <v>6728</v>
      </c>
      <c r="I979" s="6" t="s">
        <v>6729</v>
      </c>
      <c r="J979" s="6" t="s">
        <v>6730</v>
      </c>
      <c r="K979" s="6" t="s">
        <v>141</v>
      </c>
      <c r="L979" s="17"/>
      <c r="M979" s="17"/>
      <c r="N979" s="17" t="str">
        <f t="shared" si="2"/>
        <v>REPETIDO</v>
      </c>
      <c r="O979" s="17" t="s">
        <v>205</v>
      </c>
      <c r="P979" s="32" t="s">
        <v>794</v>
      </c>
      <c r="Q979" s="17" t="s">
        <v>6731</v>
      </c>
      <c r="R979" s="17" t="s">
        <v>6732</v>
      </c>
      <c r="S979" s="173" t="s">
        <v>38</v>
      </c>
      <c r="T979" s="11" t="s">
        <v>6054</v>
      </c>
      <c r="U979" s="20" t="s">
        <v>6684</v>
      </c>
      <c r="V979" s="20" t="s">
        <v>6684</v>
      </c>
    </row>
    <row r="980" spans="1:22" ht="29.25">
      <c r="A980" s="10" t="s">
        <v>6733</v>
      </c>
      <c r="B980" s="10" t="s">
        <v>4410</v>
      </c>
      <c r="C980" s="61" t="s">
        <v>6054</v>
      </c>
      <c r="D980" s="12"/>
      <c r="E980" s="13" t="s">
        <v>151</v>
      </c>
      <c r="F980" s="6" t="s">
        <v>714</v>
      </c>
      <c r="G980" s="6" t="str">
        <f ca="1">IFERROR(__xludf.DUMMYFUNCTION("CONCATENATE(B980,(VLOOKUP(C980,CATALOGOS!$F$2:$H$6,3,FALSE)),(VLOOKUP(T980,CATALOGOS!$J$2:$K$18,2,FALSE)),""-"",TO_TEXT(A980))"),"P21DG-0979")</f>
        <v>P21DG-0979</v>
      </c>
      <c r="H980" s="6" t="s">
        <v>6734</v>
      </c>
      <c r="I980" s="6" t="s">
        <v>6735</v>
      </c>
      <c r="J980" s="6" t="s">
        <v>6736</v>
      </c>
      <c r="K980" s="6" t="s">
        <v>6737</v>
      </c>
      <c r="L980" s="17"/>
      <c r="M980" s="17"/>
      <c r="N980" s="17" t="str">
        <f t="shared" si="2"/>
        <v>OK</v>
      </c>
      <c r="O980" s="17" t="s">
        <v>1220</v>
      </c>
      <c r="P980" s="6" t="s">
        <v>720</v>
      </c>
      <c r="Q980" s="17" t="s">
        <v>6738</v>
      </c>
      <c r="R980" s="17" t="s">
        <v>6739</v>
      </c>
      <c r="S980" s="173" t="s">
        <v>38</v>
      </c>
      <c r="T980" s="19" t="s">
        <v>6054</v>
      </c>
      <c r="U980" s="20" t="s">
        <v>6684</v>
      </c>
      <c r="V980" s="20" t="s">
        <v>6684</v>
      </c>
    </row>
    <row r="981" spans="1:22" ht="29.25">
      <c r="A981" s="10" t="s">
        <v>6740</v>
      </c>
      <c r="B981" s="10" t="s">
        <v>4410</v>
      </c>
      <c r="C981" s="61" t="s">
        <v>6054</v>
      </c>
      <c r="D981" s="12"/>
      <c r="E981" s="13" t="s">
        <v>162</v>
      </c>
      <c r="F981" s="43" t="s">
        <v>285</v>
      </c>
      <c r="G981" s="6" t="str">
        <f ca="1">IFERROR(__xludf.DUMMYFUNCTION("CONCATENATE(B981,(VLOOKUP(C981,CATALOGOS!$F$2:$H$6,3,FALSE)),(VLOOKUP(T981,CATALOGOS!$J$2:$K$18,2,FALSE)),""-"",TO_TEXT(A981))"),"P21DG-0980")</f>
        <v>P21DG-0980</v>
      </c>
      <c r="H981" s="6" t="s">
        <v>6741</v>
      </c>
      <c r="I981" s="6" t="s">
        <v>6742</v>
      </c>
      <c r="J981" s="6" t="s">
        <v>6743</v>
      </c>
      <c r="K981" s="6" t="s">
        <v>6744</v>
      </c>
      <c r="L981" s="17"/>
      <c r="M981" s="17"/>
      <c r="N981" s="17" t="str">
        <f t="shared" si="2"/>
        <v>OK</v>
      </c>
      <c r="O981" s="17" t="s">
        <v>663</v>
      </c>
      <c r="P981" s="6" t="s">
        <v>664</v>
      </c>
      <c r="Q981" s="17" t="s">
        <v>6745</v>
      </c>
      <c r="R981" s="17" t="s">
        <v>6746</v>
      </c>
      <c r="S981" s="173" t="s">
        <v>38</v>
      </c>
      <c r="T981" s="11" t="s">
        <v>6054</v>
      </c>
      <c r="U981" s="20" t="s">
        <v>6684</v>
      </c>
      <c r="V981" s="20" t="s">
        <v>6684</v>
      </c>
    </row>
    <row r="982" spans="1:22" ht="86.25">
      <c r="A982" s="10" t="s">
        <v>6747</v>
      </c>
      <c r="B982" s="10" t="s">
        <v>4410</v>
      </c>
      <c r="C982" s="61" t="s">
        <v>6054</v>
      </c>
      <c r="D982" s="12"/>
      <c r="E982" s="13" t="s">
        <v>62</v>
      </c>
      <c r="F982" s="6" t="s">
        <v>6748</v>
      </c>
      <c r="G982" s="6" t="str">
        <f ca="1">IFERROR(__xludf.DUMMYFUNCTION("CONCATENATE(B982,(VLOOKUP(C982,CATALOGOS!$F$2:$H$6,3,FALSE)),(VLOOKUP(T982,CATALOGOS!$J$2:$K$18,2,FALSE)),""-"",TO_TEXT(A982))"),"P21DG-0981")</f>
        <v>P21DG-0981</v>
      </c>
      <c r="H982" s="6" t="s">
        <v>6749</v>
      </c>
      <c r="I982" s="6" t="s">
        <v>6750</v>
      </c>
      <c r="J982" s="6" t="s">
        <v>6751</v>
      </c>
      <c r="K982" s="6" t="s">
        <v>6752</v>
      </c>
      <c r="L982" s="17"/>
      <c r="M982" s="35" t="s">
        <v>6753</v>
      </c>
      <c r="N982" s="17" t="str">
        <f t="shared" si="2"/>
        <v>OK</v>
      </c>
      <c r="O982" s="17" t="s">
        <v>35</v>
      </c>
      <c r="P982" s="32" t="s">
        <v>35</v>
      </c>
      <c r="Q982" s="17" t="s">
        <v>36</v>
      </c>
      <c r="R982" s="17" t="s">
        <v>6754</v>
      </c>
      <c r="S982" s="173" t="s">
        <v>38</v>
      </c>
      <c r="T982" s="11" t="s">
        <v>6054</v>
      </c>
      <c r="U982" s="20" t="s">
        <v>6684</v>
      </c>
      <c r="V982" s="20" t="s">
        <v>6684</v>
      </c>
    </row>
    <row r="983" spans="1:22" ht="100.5">
      <c r="A983" s="10" t="s">
        <v>6755</v>
      </c>
      <c r="B983" s="10" t="s">
        <v>4410</v>
      </c>
      <c r="C983" s="61" t="s">
        <v>6054</v>
      </c>
      <c r="D983" s="12"/>
      <c r="E983" s="13" t="s">
        <v>501</v>
      </c>
      <c r="F983" s="6" t="s">
        <v>6756</v>
      </c>
      <c r="G983" s="6" t="str">
        <f ca="1">IFERROR(__xludf.DUMMYFUNCTION("CONCATENATE(B983,(VLOOKUP(C983,CATALOGOS!$F$2:$H$6,3,FALSE)),(VLOOKUP(T983,CATALOGOS!$J$2:$K$18,2,FALSE)),""-"",TO_TEXT(A983))"),"P21DG-0982")</f>
        <v>P21DG-0982</v>
      </c>
      <c r="H983" s="6" t="s">
        <v>6757</v>
      </c>
      <c r="I983" s="6" t="s">
        <v>6758</v>
      </c>
      <c r="J983" s="6" t="s">
        <v>6759</v>
      </c>
      <c r="K983" s="6" t="s">
        <v>6760</v>
      </c>
      <c r="L983" s="17"/>
      <c r="M983" s="17"/>
      <c r="N983" s="17" t="str">
        <f t="shared" si="2"/>
        <v>OK</v>
      </c>
      <c r="O983" s="17" t="s">
        <v>35</v>
      </c>
      <c r="P983" s="6" t="s">
        <v>35</v>
      </c>
      <c r="Q983" s="17" t="s">
        <v>36</v>
      </c>
      <c r="R983" s="17" t="s">
        <v>6761</v>
      </c>
      <c r="S983" s="173" t="s">
        <v>38</v>
      </c>
      <c r="T983" s="11" t="s">
        <v>6054</v>
      </c>
      <c r="U983" s="20" t="s">
        <v>6684</v>
      </c>
      <c r="V983" s="20" t="s">
        <v>6684</v>
      </c>
    </row>
    <row r="984" spans="1:22" ht="86.25">
      <c r="A984" s="10" t="s">
        <v>6762</v>
      </c>
      <c r="B984" s="10" t="s">
        <v>4410</v>
      </c>
      <c r="C984" s="61" t="s">
        <v>6054</v>
      </c>
      <c r="D984" s="12"/>
      <c r="E984" s="13" t="s">
        <v>378</v>
      </c>
      <c r="F984" s="43" t="s">
        <v>6763</v>
      </c>
      <c r="G984" s="6" t="str">
        <f ca="1">IFERROR(__xludf.DUMMYFUNCTION("CONCATENATE(B984,(VLOOKUP(C984,CATALOGOS!$F$2:$H$6,3,FALSE)),(VLOOKUP(T984,CATALOGOS!$J$2:$K$18,2,FALSE)),""-"",TO_TEXT(A984))"),"P21DG-0983")</f>
        <v>P21DG-0983</v>
      </c>
      <c r="H984" s="6" t="s">
        <v>6764</v>
      </c>
      <c r="I984" s="6" t="s">
        <v>6765</v>
      </c>
      <c r="J984" s="6" t="s">
        <v>6766</v>
      </c>
      <c r="K984" s="6" t="s">
        <v>6767</v>
      </c>
      <c r="L984" s="17"/>
      <c r="M984" s="17"/>
      <c r="N984" s="17" t="str">
        <f t="shared" si="2"/>
        <v>OK</v>
      </c>
      <c r="O984" s="17" t="s">
        <v>35</v>
      </c>
      <c r="P984" s="6" t="s">
        <v>35</v>
      </c>
      <c r="Q984" s="17" t="s">
        <v>36</v>
      </c>
      <c r="R984" s="17" t="s">
        <v>6768</v>
      </c>
      <c r="S984" s="173" t="s">
        <v>38</v>
      </c>
      <c r="T984" s="11" t="s">
        <v>6054</v>
      </c>
      <c r="U984" s="20" t="s">
        <v>6684</v>
      </c>
      <c r="V984" s="20" t="s">
        <v>6684</v>
      </c>
    </row>
    <row r="985" spans="1:22" ht="43.5">
      <c r="A985" s="10" t="s">
        <v>6769</v>
      </c>
      <c r="B985" s="10" t="s">
        <v>4410</v>
      </c>
      <c r="C985" s="61" t="s">
        <v>6054</v>
      </c>
      <c r="D985" s="38"/>
      <c r="E985" s="13" t="s">
        <v>378</v>
      </c>
      <c r="F985" s="6" t="s">
        <v>1306</v>
      </c>
      <c r="G985" s="6" t="str">
        <f ca="1">IFERROR(__xludf.DUMMYFUNCTION("CONCATENATE(B985,(VLOOKUP(C985,CATALOGOS!$F$2:$H$6,3,FALSE)),(VLOOKUP(T985,CATALOGOS!$J$2:$K$18,2,FALSE)),""-"",TO_TEXT(A985))"),"P21DG-0984")</f>
        <v>P21DG-0984</v>
      </c>
      <c r="H985" s="6" t="s">
        <v>6770</v>
      </c>
      <c r="I985" s="6" t="s">
        <v>6771</v>
      </c>
      <c r="J985" s="6" t="s">
        <v>6772</v>
      </c>
      <c r="K985" s="6" t="s">
        <v>6773</v>
      </c>
      <c r="L985" s="17"/>
      <c r="M985" s="17"/>
      <c r="N985" s="17" t="str">
        <f t="shared" si="2"/>
        <v>OK</v>
      </c>
      <c r="O985" s="17" t="s">
        <v>35</v>
      </c>
      <c r="P985" s="6" t="s">
        <v>35</v>
      </c>
      <c r="Q985" s="46" t="s">
        <v>36</v>
      </c>
      <c r="R985" s="17" t="s">
        <v>6774</v>
      </c>
      <c r="S985" s="173" t="s">
        <v>38</v>
      </c>
      <c r="T985" s="11" t="s">
        <v>6054</v>
      </c>
      <c r="U985" s="20" t="s">
        <v>6684</v>
      </c>
      <c r="V985" s="20" t="s">
        <v>6684</v>
      </c>
    </row>
    <row r="986" spans="1:22" ht="29.25">
      <c r="A986" s="10" t="s">
        <v>6775</v>
      </c>
      <c r="B986" s="10" t="s">
        <v>1469</v>
      </c>
      <c r="C986" s="61" t="s">
        <v>1470</v>
      </c>
      <c r="D986" s="12"/>
      <c r="E986" s="13" t="s">
        <v>162</v>
      </c>
      <c r="F986" s="6" t="s">
        <v>162</v>
      </c>
      <c r="G986" s="6" t="str">
        <f ca="1">IFERROR(__xludf.DUMMYFUNCTION("CONCATENATE(B986,(VLOOKUP(C986,CATALOGOS!$F$2:$H$6,3,FALSE)),(VLOOKUP(T986,CATALOGOS!$J$2:$K$18,2,FALSE)),""-"",TO_TEXT(A986))"),"P12DG-0985")</f>
        <v>P12DG-0985</v>
      </c>
      <c r="H986" s="6" t="s">
        <v>6776</v>
      </c>
      <c r="I986" s="6" t="s">
        <v>6777</v>
      </c>
      <c r="J986" s="37"/>
      <c r="K986" s="6" t="s">
        <v>6778</v>
      </c>
      <c r="L986" s="17"/>
      <c r="M986" s="17"/>
      <c r="N986" s="17" t="str">
        <f t="shared" si="2"/>
        <v>OK</v>
      </c>
      <c r="O986" s="17" t="s">
        <v>663</v>
      </c>
      <c r="P986" s="6" t="s">
        <v>6779</v>
      </c>
      <c r="Q986" s="6" t="s">
        <v>6780</v>
      </c>
      <c r="R986" s="10" t="s">
        <v>85</v>
      </c>
      <c r="S986" s="173" t="s">
        <v>38</v>
      </c>
      <c r="T986" s="11" t="s">
        <v>6054</v>
      </c>
      <c r="U986" s="20" t="s">
        <v>1484</v>
      </c>
      <c r="V986" s="20" t="s">
        <v>1484</v>
      </c>
    </row>
    <row r="987" spans="1:22" ht="43.5">
      <c r="A987" s="10" t="s">
        <v>6781</v>
      </c>
      <c r="B987" s="10" t="s">
        <v>1469</v>
      </c>
      <c r="C987" s="61" t="s">
        <v>1470</v>
      </c>
      <c r="D987" s="12"/>
      <c r="E987" s="13" t="s">
        <v>162</v>
      </c>
      <c r="F987" s="6" t="s">
        <v>162</v>
      </c>
      <c r="G987" s="6" t="str">
        <f ca="1">IFERROR(__xludf.DUMMYFUNCTION("CONCATENATE(B987,(VLOOKUP(C987,CATALOGOS!$F$2:$H$6,3,FALSE)),(VLOOKUP(T987,CATALOGOS!$J$2:$K$18,2,FALSE)),""-"",TO_TEXT(A987))"),"P12DG-0986")</f>
        <v>P12DG-0986</v>
      </c>
      <c r="H987" s="6" t="s">
        <v>6782</v>
      </c>
      <c r="I987" s="6" t="s">
        <v>6783</v>
      </c>
      <c r="J987" s="54"/>
      <c r="K987" s="32" t="s">
        <v>6784</v>
      </c>
      <c r="L987" s="17"/>
      <c r="M987" s="17"/>
      <c r="N987" s="17" t="str">
        <f t="shared" si="2"/>
        <v>OK</v>
      </c>
      <c r="O987" s="32" t="s">
        <v>663</v>
      </c>
      <c r="P987" s="6" t="s">
        <v>6785</v>
      </c>
      <c r="Q987" s="17" t="s">
        <v>6786</v>
      </c>
      <c r="R987" s="6" t="s">
        <v>85</v>
      </c>
      <c r="S987" s="173" t="s">
        <v>38</v>
      </c>
      <c r="T987" s="11" t="s">
        <v>6054</v>
      </c>
      <c r="U987" s="20" t="s">
        <v>1484</v>
      </c>
      <c r="V987" s="20" t="s">
        <v>1484</v>
      </c>
    </row>
    <row r="988" spans="1:22" ht="43.5">
      <c r="A988" s="10" t="s">
        <v>6787</v>
      </c>
      <c r="B988" s="10" t="s">
        <v>1469</v>
      </c>
      <c r="C988" s="61" t="s">
        <v>1470</v>
      </c>
      <c r="D988" s="12"/>
      <c r="E988" s="13" t="s">
        <v>162</v>
      </c>
      <c r="F988" s="6" t="s">
        <v>162</v>
      </c>
      <c r="G988" s="6" t="str">
        <f ca="1">IFERROR(__xludf.DUMMYFUNCTION("CONCATENATE(B988,(VLOOKUP(C988,CATALOGOS!$F$2:$H$6,3,FALSE)),(VLOOKUP(T988,CATALOGOS!$J$2:$K$18,2,FALSE)),""-"",TO_TEXT(A988))"),"P12DG-0987")</f>
        <v>P12DG-0987</v>
      </c>
      <c r="H988" s="6" t="s">
        <v>6788</v>
      </c>
      <c r="I988" s="6" t="s">
        <v>6789</v>
      </c>
      <c r="J988" s="54"/>
      <c r="K988" s="32" t="s">
        <v>6790</v>
      </c>
      <c r="L988" s="17"/>
      <c r="M988" s="17"/>
      <c r="N988" s="17" t="str">
        <f t="shared" si="2"/>
        <v>OK</v>
      </c>
      <c r="O988" s="32" t="s">
        <v>663</v>
      </c>
      <c r="P988" s="6" t="s">
        <v>6779</v>
      </c>
      <c r="Q988" s="17" t="s">
        <v>6791</v>
      </c>
      <c r="R988" s="6" t="s">
        <v>85</v>
      </c>
      <c r="S988" s="173" t="s">
        <v>38</v>
      </c>
      <c r="T988" s="11" t="s">
        <v>6054</v>
      </c>
      <c r="U988" s="20" t="s">
        <v>1484</v>
      </c>
      <c r="V988" s="20" t="s">
        <v>1484</v>
      </c>
    </row>
    <row r="989" spans="1:22" ht="43.5">
      <c r="A989" s="10" t="s">
        <v>6792</v>
      </c>
      <c r="B989" s="10" t="s">
        <v>1469</v>
      </c>
      <c r="C989" s="61" t="s">
        <v>1470</v>
      </c>
      <c r="D989" s="12"/>
      <c r="E989" s="13" t="s">
        <v>162</v>
      </c>
      <c r="F989" s="6" t="s">
        <v>162</v>
      </c>
      <c r="G989" s="6" t="str">
        <f ca="1">IFERROR(__xludf.DUMMYFUNCTION("CONCATENATE(B989,(VLOOKUP(C989,CATALOGOS!$F$2:$H$6,3,FALSE)),(VLOOKUP(T989,CATALOGOS!$J$2:$K$18,2,FALSE)),""-"",TO_TEXT(A989))"),"P12DG-0988")</f>
        <v>P12DG-0988</v>
      </c>
      <c r="H989" s="6" t="s">
        <v>6793</v>
      </c>
      <c r="I989" s="6" t="s">
        <v>6794</v>
      </c>
      <c r="J989" s="54"/>
      <c r="K989" s="32" t="s">
        <v>6795</v>
      </c>
      <c r="L989" s="17"/>
      <c r="M989" s="17"/>
      <c r="N989" s="17" t="str">
        <f t="shared" si="2"/>
        <v>OK</v>
      </c>
      <c r="O989" s="32" t="s">
        <v>663</v>
      </c>
      <c r="P989" s="6" t="s">
        <v>6779</v>
      </c>
      <c r="Q989" s="17" t="s">
        <v>6796</v>
      </c>
      <c r="R989" s="6" t="s">
        <v>85</v>
      </c>
      <c r="S989" s="173" t="s">
        <v>38</v>
      </c>
      <c r="T989" s="11" t="s">
        <v>6054</v>
      </c>
      <c r="U989" s="20" t="s">
        <v>1484</v>
      </c>
      <c r="V989" s="20" t="s">
        <v>1484</v>
      </c>
    </row>
    <row r="990" spans="1:22" ht="29.25">
      <c r="A990" s="10" t="s">
        <v>6797</v>
      </c>
      <c r="B990" s="20" t="s">
        <v>1469</v>
      </c>
      <c r="C990" s="61" t="s">
        <v>1470</v>
      </c>
      <c r="D990" s="38"/>
      <c r="E990" s="13" t="s">
        <v>162</v>
      </c>
      <c r="F990" s="6" t="s">
        <v>162</v>
      </c>
      <c r="G990" s="6" t="str">
        <f ca="1">IFERROR(__xludf.DUMMYFUNCTION("CONCATENATE(B990,(VLOOKUP(C990,CATALOGOS!$F$2:$H$6,3,FALSE)),(VLOOKUP(T990,CATALOGOS!$J$2:$K$18,2,FALSE)),""-"",TO_TEXT(A990))"),"P12DG-0989")</f>
        <v>P12DG-0989</v>
      </c>
      <c r="H990" s="6" t="s">
        <v>6798</v>
      </c>
      <c r="I990" s="6" t="s">
        <v>6799</v>
      </c>
      <c r="J990" s="72"/>
      <c r="K990" s="6" t="s">
        <v>6800</v>
      </c>
      <c r="L990" s="17"/>
      <c r="M990" s="17"/>
      <c r="N990" s="17" t="str">
        <f t="shared" si="2"/>
        <v>OK</v>
      </c>
      <c r="O990" s="17" t="s">
        <v>663</v>
      </c>
      <c r="P990" s="6" t="s">
        <v>35</v>
      </c>
      <c r="Q990" s="6" t="s">
        <v>36</v>
      </c>
      <c r="R990" s="32" t="s">
        <v>85</v>
      </c>
      <c r="S990" s="173" t="s">
        <v>38</v>
      </c>
      <c r="T990" s="11" t="s">
        <v>6054</v>
      </c>
      <c r="U990" s="20" t="s">
        <v>1484</v>
      </c>
      <c r="V990" s="20" t="s">
        <v>1484</v>
      </c>
    </row>
    <row r="991" spans="1:22" ht="29.25">
      <c r="A991" s="10" t="s">
        <v>6801</v>
      </c>
      <c r="B991" s="10" t="s">
        <v>4410</v>
      </c>
      <c r="C991" s="61" t="s">
        <v>4411</v>
      </c>
      <c r="D991" s="12"/>
      <c r="E991" s="13" t="s">
        <v>43</v>
      </c>
      <c r="F991" s="43" t="s">
        <v>2581</v>
      </c>
      <c r="G991" s="6" t="str">
        <f ca="1">IFERROR(__xludf.DUMMYFUNCTION("CONCATENATE(B991,(VLOOKUP(C991,CATALOGOS!$F$2:$H$6,3,FALSE)),(VLOOKUP(T991,CATALOGOS!$J$2:$K$18,2,FALSE)),""-"",TO_TEXT(A991))"),"P24SJ-0990")</f>
        <v>P24SJ-0990</v>
      </c>
      <c r="H991" s="6" t="s">
        <v>6802</v>
      </c>
      <c r="I991" s="6" t="s">
        <v>5285</v>
      </c>
      <c r="J991" s="32" t="s">
        <v>5235</v>
      </c>
      <c r="K991" s="6" t="s">
        <v>141</v>
      </c>
      <c r="L991" s="17"/>
      <c r="M991" s="17"/>
      <c r="N991" s="17" t="str">
        <f t="shared" si="2"/>
        <v>REPETIDO</v>
      </c>
      <c r="O991" s="17" t="s">
        <v>5237</v>
      </c>
      <c r="P991" s="32" t="s">
        <v>35</v>
      </c>
      <c r="Q991" s="17" t="s">
        <v>36</v>
      </c>
      <c r="R991" s="17" t="s">
        <v>5239</v>
      </c>
      <c r="S991" s="173" t="s">
        <v>38</v>
      </c>
      <c r="T991" s="11" t="s">
        <v>4411</v>
      </c>
      <c r="U991" s="22" t="s">
        <v>4417</v>
      </c>
      <c r="V991" s="22" t="s">
        <v>4417</v>
      </c>
    </row>
    <row r="992" spans="1:22" ht="29.25">
      <c r="A992" s="10" t="s">
        <v>6803</v>
      </c>
      <c r="B992" s="10" t="s">
        <v>4410</v>
      </c>
      <c r="C992" s="61" t="s">
        <v>4411</v>
      </c>
      <c r="D992" s="12"/>
      <c r="E992" s="13" t="s">
        <v>184</v>
      </c>
      <c r="F992" s="43" t="s">
        <v>6804</v>
      </c>
      <c r="G992" s="6" t="str">
        <f ca="1">IFERROR(__xludf.DUMMYFUNCTION("CONCATENATE(B992,(VLOOKUP(C992,CATALOGOS!$F$2:$H$6,3,FALSE)),(VLOOKUP(T992,CATALOGOS!$J$2:$K$18,2,FALSE)),""-"",TO_TEXT(A992))"),"P24SJ-0991")</f>
        <v>P24SJ-0991</v>
      </c>
      <c r="H992" s="6" t="s">
        <v>6805</v>
      </c>
      <c r="I992" s="6" t="s">
        <v>6806</v>
      </c>
      <c r="J992" s="32" t="s">
        <v>6807</v>
      </c>
      <c r="K992" s="6" t="s">
        <v>6808</v>
      </c>
      <c r="L992" s="17"/>
      <c r="M992" s="17"/>
      <c r="N992" s="17" t="str">
        <f t="shared" si="2"/>
        <v>OK</v>
      </c>
      <c r="O992" s="17" t="s">
        <v>35</v>
      </c>
      <c r="P992" s="6" t="s">
        <v>35</v>
      </c>
      <c r="Q992" s="17" t="s">
        <v>36</v>
      </c>
      <c r="R992" s="17" t="s">
        <v>6809</v>
      </c>
      <c r="S992" s="173" t="s">
        <v>38</v>
      </c>
      <c r="T992" s="11" t="s">
        <v>4411</v>
      </c>
      <c r="U992" s="22" t="s">
        <v>4417</v>
      </c>
      <c r="V992" s="22" t="s">
        <v>4417</v>
      </c>
    </row>
    <row r="993" spans="1:22" ht="57.75">
      <c r="A993" s="10" t="s">
        <v>6810</v>
      </c>
      <c r="B993" s="10" t="s">
        <v>4410</v>
      </c>
      <c r="C993" s="61" t="s">
        <v>4411</v>
      </c>
      <c r="D993" s="12"/>
      <c r="E993" s="13" t="s">
        <v>116</v>
      </c>
      <c r="F993" s="43" t="s">
        <v>6811</v>
      </c>
      <c r="G993" s="6" t="str">
        <f ca="1">IFERROR(__xludf.DUMMYFUNCTION("CONCATENATE(B993,(VLOOKUP(C993,CATALOGOS!$F$2:$H$6,3,FALSE)),(VLOOKUP(T993,CATALOGOS!$J$2:$K$18,2,FALSE)),""-"",TO_TEXT(A993))"),"P24SJ-0992")</f>
        <v>P24SJ-0992</v>
      </c>
      <c r="H993" s="6" t="s">
        <v>6812</v>
      </c>
      <c r="I993" s="6" t="s">
        <v>6813</v>
      </c>
      <c r="J993" s="32" t="s">
        <v>4413</v>
      </c>
      <c r="K993" s="6" t="s">
        <v>6814</v>
      </c>
      <c r="L993" s="17"/>
      <c r="M993" s="17"/>
      <c r="N993" s="17" t="str">
        <f t="shared" si="2"/>
        <v>OK</v>
      </c>
      <c r="O993" s="17" t="s">
        <v>35</v>
      </c>
      <c r="P993" s="6" t="s">
        <v>35</v>
      </c>
      <c r="Q993" s="17" t="s">
        <v>36</v>
      </c>
      <c r="R993" s="17" t="s">
        <v>6815</v>
      </c>
      <c r="S993" s="173" t="s">
        <v>38</v>
      </c>
      <c r="T993" s="11" t="s">
        <v>4411</v>
      </c>
      <c r="U993" s="22" t="s">
        <v>4417</v>
      </c>
      <c r="V993" s="22" t="s">
        <v>4417</v>
      </c>
    </row>
    <row r="994" spans="1:22" ht="29.25">
      <c r="A994" s="10" t="s">
        <v>6816</v>
      </c>
      <c r="B994" s="10" t="s">
        <v>4410</v>
      </c>
      <c r="C994" s="61" t="s">
        <v>4411</v>
      </c>
      <c r="D994" s="12"/>
      <c r="E994" s="13" t="s">
        <v>248</v>
      </c>
      <c r="F994" s="43" t="s">
        <v>249</v>
      </c>
      <c r="G994" s="6" t="str">
        <f ca="1">IFERROR(__xludf.DUMMYFUNCTION("CONCATENATE(B994,(VLOOKUP(C994,CATALOGOS!$F$2:$H$6,3,FALSE)),(VLOOKUP(T994,CATALOGOS!$J$2:$K$18,2,FALSE)),""-"",TO_TEXT(A994))"),"P24SJ-0993")</f>
        <v>P24SJ-0993</v>
      </c>
      <c r="H994" s="6" t="s">
        <v>6817</v>
      </c>
      <c r="I994" s="6" t="s">
        <v>6818</v>
      </c>
      <c r="J994" s="32" t="s">
        <v>6819</v>
      </c>
      <c r="K994" s="6" t="s">
        <v>6820</v>
      </c>
      <c r="L994" s="17"/>
      <c r="M994" s="17"/>
      <c r="N994" s="17" t="str">
        <f t="shared" si="2"/>
        <v>OK</v>
      </c>
      <c r="O994" s="17" t="s">
        <v>978</v>
      </c>
      <c r="P994" s="6" t="s">
        <v>979</v>
      </c>
      <c r="Q994" s="17" t="s">
        <v>36</v>
      </c>
      <c r="R994" s="17" t="s">
        <v>6821</v>
      </c>
      <c r="S994" s="173" t="s">
        <v>38</v>
      </c>
      <c r="T994" s="11" t="s">
        <v>4411</v>
      </c>
      <c r="U994" s="22" t="s">
        <v>4417</v>
      </c>
      <c r="V994" s="22" t="s">
        <v>4417</v>
      </c>
    </row>
    <row r="995" spans="1:22" ht="72">
      <c r="A995" s="10" t="s">
        <v>6822</v>
      </c>
      <c r="B995" s="10" t="s">
        <v>4410</v>
      </c>
      <c r="C995" s="61" t="s">
        <v>4411</v>
      </c>
      <c r="D995" s="12"/>
      <c r="E995" s="13" t="s">
        <v>278</v>
      </c>
      <c r="F995" s="43" t="s">
        <v>278</v>
      </c>
      <c r="G995" s="6" t="str">
        <f ca="1">IFERROR(__xludf.DUMMYFUNCTION("CONCATENATE(B995,(VLOOKUP(C995,CATALOGOS!$F$2:$H$6,3,FALSE)),(VLOOKUP(T995,CATALOGOS!$J$2:$K$18,2,FALSE)),""-"",TO_TEXT(A995))"),"P24SJ-0994")</f>
        <v>P24SJ-0994</v>
      </c>
      <c r="H995" s="6" t="s">
        <v>6823</v>
      </c>
      <c r="I995" s="6" t="s">
        <v>6824</v>
      </c>
      <c r="J995" s="32" t="s">
        <v>6825</v>
      </c>
      <c r="K995" s="6" t="s">
        <v>6826</v>
      </c>
      <c r="L995" s="17"/>
      <c r="M995" s="17"/>
      <c r="N995" s="17" t="str">
        <f t="shared" si="2"/>
        <v>OK</v>
      </c>
      <c r="O995" s="17" t="s">
        <v>35</v>
      </c>
      <c r="P995" s="6" t="s">
        <v>35</v>
      </c>
      <c r="Q995" s="17" t="s">
        <v>36</v>
      </c>
      <c r="R995" s="17" t="s">
        <v>6827</v>
      </c>
      <c r="S995" s="173" t="s">
        <v>38</v>
      </c>
      <c r="T995" s="11" t="s">
        <v>4411</v>
      </c>
      <c r="U995" s="22" t="s">
        <v>4417</v>
      </c>
      <c r="V995" s="22" t="s">
        <v>4417</v>
      </c>
    </row>
    <row r="996" spans="1:22" ht="29.25">
      <c r="A996" s="10" t="s">
        <v>6828</v>
      </c>
      <c r="B996" s="10" t="s">
        <v>4410</v>
      </c>
      <c r="C996" s="61" t="s">
        <v>4411</v>
      </c>
      <c r="D996" s="12"/>
      <c r="E996" s="13" t="s">
        <v>43</v>
      </c>
      <c r="F996" s="43" t="s">
        <v>2581</v>
      </c>
      <c r="G996" s="6" t="str">
        <f ca="1">IFERROR(__xludf.DUMMYFUNCTION("CONCATENATE(B996,(VLOOKUP(C996,CATALOGOS!$F$2:$H$6,3,FALSE)),(VLOOKUP(T996,CATALOGOS!$J$2:$K$18,2,FALSE)),""-"",TO_TEXT(A996))"),"P24SJ-0995")</f>
        <v>P24SJ-0995</v>
      </c>
      <c r="H996" s="6" t="s">
        <v>6829</v>
      </c>
      <c r="I996" s="6" t="s">
        <v>6830</v>
      </c>
      <c r="J996" s="32" t="s">
        <v>6831</v>
      </c>
      <c r="K996" s="6" t="s">
        <v>6832</v>
      </c>
      <c r="L996" s="17"/>
      <c r="M996" s="17"/>
      <c r="N996" s="17" t="str">
        <f t="shared" si="2"/>
        <v>OK</v>
      </c>
      <c r="O996" s="17" t="s">
        <v>5237</v>
      </c>
      <c r="P996" s="6" t="s">
        <v>35</v>
      </c>
      <c r="Q996" s="17" t="s">
        <v>36</v>
      </c>
      <c r="R996" s="35" t="s">
        <v>6833</v>
      </c>
      <c r="S996" s="173" t="s">
        <v>38</v>
      </c>
      <c r="T996" s="11" t="s">
        <v>4411</v>
      </c>
      <c r="U996" s="22" t="s">
        <v>4417</v>
      </c>
      <c r="V996" s="22" t="s">
        <v>4417</v>
      </c>
    </row>
    <row r="997" spans="1:22" ht="72">
      <c r="A997" s="10" t="s">
        <v>6835</v>
      </c>
      <c r="B997" s="20" t="s">
        <v>4410</v>
      </c>
      <c r="C997" s="61" t="s">
        <v>4411</v>
      </c>
      <c r="D997" s="38"/>
      <c r="E997" s="13" t="s">
        <v>199</v>
      </c>
      <c r="F997" s="43" t="s">
        <v>6836</v>
      </c>
      <c r="G997" s="6" t="str">
        <f ca="1">IFERROR(__xludf.DUMMYFUNCTION("CONCATENATE(B997,(VLOOKUP(C997,CATALOGOS!$F$2:$H$6,3,FALSE)),(VLOOKUP(T997,CATALOGOS!$J$2:$K$18,2,FALSE)),""-"",TO_TEXT(A997))"),"P24SJ-0996")</f>
        <v>P24SJ-0996</v>
      </c>
      <c r="H997" s="6" t="s">
        <v>6837</v>
      </c>
      <c r="I997" s="6" t="s">
        <v>6838</v>
      </c>
      <c r="J997" s="49" t="s">
        <v>6839</v>
      </c>
      <c r="K997" s="6" t="s">
        <v>6840</v>
      </c>
      <c r="L997" s="17"/>
      <c r="M997" s="17"/>
      <c r="N997" s="17" t="str">
        <f t="shared" si="2"/>
        <v>OK</v>
      </c>
      <c r="O997" s="17" t="s">
        <v>682</v>
      </c>
      <c r="P997" s="6" t="s">
        <v>35</v>
      </c>
      <c r="Q997" s="46" t="s">
        <v>8445</v>
      </c>
      <c r="R997" s="35" t="s">
        <v>85</v>
      </c>
      <c r="S997" s="173" t="s">
        <v>38</v>
      </c>
      <c r="T997" s="11" t="s">
        <v>4411</v>
      </c>
      <c r="U997" s="22" t="s">
        <v>4417</v>
      </c>
      <c r="V997" s="22" t="s">
        <v>4417</v>
      </c>
    </row>
    <row r="998" spans="1:22" ht="57.75">
      <c r="A998" s="10" t="s">
        <v>6842</v>
      </c>
      <c r="B998" s="10" t="s">
        <v>1469</v>
      </c>
      <c r="C998" s="61" t="s">
        <v>1470</v>
      </c>
      <c r="D998" s="12"/>
      <c r="E998" s="13" t="s">
        <v>378</v>
      </c>
      <c r="F998" s="6" t="s">
        <v>379</v>
      </c>
      <c r="G998" s="6" t="str">
        <f ca="1">IFERROR(__xludf.DUMMYFUNCTION("CONCATENATE(B998,(VLOOKUP(C998,CATALOGOS!$F$2:$H$6,3,FALSE)),(VLOOKUP(T998,CATALOGOS!$J$2:$K$18,2,FALSE)),""-"",TO_TEXT(A998))"),"P12PP-0997")</f>
        <v>P12PP-0997</v>
      </c>
      <c r="H998" s="6" t="s">
        <v>6843</v>
      </c>
      <c r="I998" s="37"/>
      <c r="J998" s="37"/>
      <c r="K998" s="6" t="s">
        <v>141</v>
      </c>
      <c r="L998" s="17"/>
      <c r="M998" s="17"/>
      <c r="N998" s="17"/>
      <c r="O998" s="35" t="s">
        <v>6844</v>
      </c>
      <c r="P998" s="10" t="s">
        <v>6845</v>
      </c>
      <c r="Q998" s="10" t="s">
        <v>36</v>
      </c>
      <c r="R998" s="10" t="s">
        <v>6846</v>
      </c>
      <c r="S998" s="173" t="s">
        <v>38</v>
      </c>
      <c r="T998" s="11" t="s">
        <v>1548</v>
      </c>
      <c r="U998" s="20" t="s">
        <v>1737</v>
      </c>
      <c r="V998" s="20" t="s">
        <v>1737</v>
      </c>
    </row>
    <row r="999" spans="1:22" ht="43.5">
      <c r="A999" s="10" t="s">
        <v>6847</v>
      </c>
      <c r="B999" s="10" t="s">
        <v>1469</v>
      </c>
      <c r="C999" s="61" t="s">
        <v>1470</v>
      </c>
      <c r="D999" s="12"/>
      <c r="E999" s="13" t="s">
        <v>43</v>
      </c>
      <c r="F999" s="6" t="s">
        <v>6848</v>
      </c>
      <c r="G999" s="6" t="str">
        <f ca="1">IFERROR(__xludf.DUMMYFUNCTION("CONCATENATE(B999,(VLOOKUP(C999,CATALOGOS!$F$2:$H$6,3,FALSE)),(VLOOKUP(T999,CATALOGOS!$J$2:$K$18,2,FALSE)),""-"",TO_TEXT(A999))"),"P12PL-0998")</f>
        <v>P12PL-0998</v>
      </c>
      <c r="H999" s="6" t="s">
        <v>6849</v>
      </c>
      <c r="I999" s="37"/>
      <c r="J999" s="37"/>
      <c r="K999" s="6" t="s">
        <v>141</v>
      </c>
      <c r="L999" s="17"/>
      <c r="M999" s="17"/>
      <c r="N999" s="17"/>
      <c r="O999" s="35" t="s">
        <v>1913</v>
      </c>
      <c r="P999" s="10" t="s">
        <v>6850</v>
      </c>
      <c r="Q999" s="10" t="s">
        <v>36</v>
      </c>
      <c r="R999" s="10" t="s">
        <v>85</v>
      </c>
      <c r="S999" s="173" t="s">
        <v>38</v>
      </c>
      <c r="T999" s="11" t="s">
        <v>3091</v>
      </c>
      <c r="U999" s="20" t="s">
        <v>3092</v>
      </c>
      <c r="V999" s="20" t="s">
        <v>3092</v>
      </c>
    </row>
    <row r="1000" spans="1:22" ht="57.75">
      <c r="A1000" s="10" t="s">
        <v>6851</v>
      </c>
      <c r="B1000" s="10" t="s">
        <v>1469</v>
      </c>
      <c r="C1000" s="61" t="s">
        <v>1470</v>
      </c>
      <c r="D1000" s="12"/>
      <c r="E1000" s="13" t="s">
        <v>378</v>
      </c>
      <c r="F1000" s="6" t="s">
        <v>379</v>
      </c>
      <c r="G1000" s="6" t="str">
        <f ca="1">IFERROR(__xludf.DUMMYFUNCTION("CONCATENATE(B1000,(VLOOKUP(C1000,CATALOGOS!$F$2:$H$6,3,FALSE)),(VLOOKUP(T1000,CATALOGOS!$J$2:$K$18,2,FALSE)),""-"",TO_TEXT(A1000))"),"P12SI-0999")</f>
        <v>P12SI-0999</v>
      </c>
      <c r="H1000" s="6" t="s">
        <v>6852</v>
      </c>
      <c r="I1000" s="37"/>
      <c r="J1000" s="37"/>
      <c r="K1000" s="6" t="s">
        <v>141</v>
      </c>
      <c r="L1000" s="17"/>
      <c r="M1000" s="17"/>
      <c r="N1000" s="17"/>
      <c r="O1000" s="35" t="s">
        <v>35</v>
      </c>
      <c r="P1000" s="10" t="s">
        <v>35</v>
      </c>
      <c r="Q1000" s="10" t="s">
        <v>36</v>
      </c>
      <c r="R1000" s="10" t="s">
        <v>6853</v>
      </c>
      <c r="S1000" s="173" t="s">
        <v>38</v>
      </c>
      <c r="T1000" s="181" t="s">
        <v>1483</v>
      </c>
      <c r="U1000" s="20" t="s">
        <v>2533</v>
      </c>
      <c r="V1000" s="20" t="s">
        <v>2533</v>
      </c>
    </row>
    <row r="1001" spans="1:22" ht="57.75">
      <c r="A1001" s="10" t="s">
        <v>6854</v>
      </c>
      <c r="B1001" s="10" t="s">
        <v>1469</v>
      </c>
      <c r="C1001" s="61" t="s">
        <v>1470</v>
      </c>
      <c r="D1001" s="12"/>
      <c r="E1001" s="13" t="s">
        <v>378</v>
      </c>
      <c r="F1001" s="6" t="s">
        <v>379</v>
      </c>
      <c r="G1001" s="6" t="str">
        <f ca="1">IFERROR(__xludf.DUMMYFUNCTION("CONCATENATE(B1001,(VLOOKUP(C1001,CATALOGOS!$F$2:$H$6,3,FALSE)),(VLOOKUP(T1001,CATALOGOS!$J$2:$K$18,2,FALSE)),""-"",TO_TEXT(A1001))"),"P12SI-1000")</f>
        <v>P12SI-1000</v>
      </c>
      <c r="H1001" s="6" t="s">
        <v>6855</v>
      </c>
      <c r="I1001" s="37"/>
      <c r="J1001" s="37"/>
      <c r="K1001" s="6" t="s">
        <v>141</v>
      </c>
      <c r="L1001" s="17"/>
      <c r="M1001" s="17"/>
      <c r="N1001" s="17"/>
      <c r="O1001" s="35" t="s">
        <v>35</v>
      </c>
      <c r="P1001" s="10" t="s">
        <v>35</v>
      </c>
      <c r="Q1001" s="10" t="s">
        <v>36</v>
      </c>
      <c r="R1001" s="10" t="s">
        <v>6856</v>
      </c>
      <c r="S1001" s="173" t="s">
        <v>38</v>
      </c>
      <c r="T1001" s="181" t="s">
        <v>1483</v>
      </c>
      <c r="U1001" s="20" t="s">
        <v>1484</v>
      </c>
      <c r="V1001" s="20" t="s">
        <v>1484</v>
      </c>
    </row>
    <row r="1002" spans="1:22" ht="29.25">
      <c r="A1002" s="10" t="s">
        <v>6857</v>
      </c>
      <c r="B1002" s="10" t="s">
        <v>1469</v>
      </c>
      <c r="C1002" s="61" t="s">
        <v>1470</v>
      </c>
      <c r="D1002" s="12"/>
      <c r="E1002" s="13" t="s">
        <v>151</v>
      </c>
      <c r="F1002" s="6" t="s">
        <v>6858</v>
      </c>
      <c r="G1002" s="6" t="str">
        <f ca="1">IFERROR(__xludf.DUMMYFUNCTION("CONCATENATE(B1002,(VLOOKUP(C1002,CATALOGOS!$F$2:$H$6,3,FALSE)),(VLOOKUP(T1002,CATALOGOS!$J$2:$K$18,2,FALSE)),""-"",TO_TEXT(A1002))"),"P12SI-1001")</f>
        <v>P12SI-1001</v>
      </c>
      <c r="H1002" s="6" t="s">
        <v>6859</v>
      </c>
      <c r="I1002" s="37"/>
      <c r="J1002" s="37"/>
      <c r="K1002" s="6" t="s">
        <v>141</v>
      </c>
      <c r="L1002" s="17"/>
      <c r="M1002" s="17"/>
      <c r="N1002" s="17"/>
      <c r="O1002" s="35" t="s">
        <v>35</v>
      </c>
      <c r="P1002" s="10" t="s">
        <v>6860</v>
      </c>
      <c r="Q1002" s="10" t="s">
        <v>6861</v>
      </c>
      <c r="R1002" s="10" t="s">
        <v>85</v>
      </c>
      <c r="S1002" s="173" t="s">
        <v>38</v>
      </c>
      <c r="T1002" s="181" t="s">
        <v>1483</v>
      </c>
      <c r="U1002" s="20" t="s">
        <v>2533</v>
      </c>
      <c r="V1002" s="20" t="s">
        <v>2533</v>
      </c>
    </row>
    <row r="1003" spans="1:22" ht="29.25">
      <c r="A1003" s="10" t="s">
        <v>6863</v>
      </c>
      <c r="B1003" s="10" t="s">
        <v>1469</v>
      </c>
      <c r="C1003" s="61" t="s">
        <v>1470</v>
      </c>
      <c r="D1003" s="12"/>
      <c r="E1003" s="13" t="s">
        <v>151</v>
      </c>
      <c r="F1003" s="6" t="s">
        <v>6858</v>
      </c>
      <c r="G1003" s="6" t="str">
        <f ca="1">IFERROR(__xludf.DUMMYFUNCTION("CONCATENATE(B1003,(VLOOKUP(C1003,CATALOGOS!$F$2:$H$6,3,FALSE)),(VLOOKUP(T1003,CATALOGOS!$J$2:$K$18,2,FALSE)),""-"",TO_TEXT(A1003))"),"P12SI-1002")</f>
        <v>P12SI-1002</v>
      </c>
      <c r="H1003" s="6" t="s">
        <v>6864</v>
      </c>
      <c r="I1003" s="37"/>
      <c r="J1003" s="37"/>
      <c r="K1003" s="6" t="s">
        <v>141</v>
      </c>
      <c r="L1003" s="17"/>
      <c r="M1003" s="17"/>
      <c r="N1003" s="17"/>
      <c r="O1003" s="35" t="s">
        <v>2317</v>
      </c>
      <c r="P1003" s="10" t="s">
        <v>6860</v>
      </c>
      <c r="Q1003" s="10" t="s">
        <v>6865</v>
      </c>
      <c r="R1003" s="10" t="s">
        <v>85</v>
      </c>
      <c r="S1003" s="173" t="s">
        <v>38</v>
      </c>
      <c r="T1003" s="181" t="s">
        <v>1483</v>
      </c>
      <c r="U1003" s="20" t="s">
        <v>3173</v>
      </c>
      <c r="V1003" s="20" t="s">
        <v>3173</v>
      </c>
    </row>
    <row r="1004" spans="1:22" ht="57.75">
      <c r="A1004" s="10" t="s">
        <v>6867</v>
      </c>
      <c r="B1004" s="10" t="s">
        <v>1469</v>
      </c>
      <c r="C1004" s="61" t="s">
        <v>1470</v>
      </c>
      <c r="D1004" s="12"/>
      <c r="E1004" s="13" t="s">
        <v>378</v>
      </c>
      <c r="F1004" s="6" t="s">
        <v>379</v>
      </c>
      <c r="G1004" s="6" t="str">
        <f ca="1">IFERROR(__xludf.DUMMYFUNCTION("CONCATENATE(B1004,(VLOOKUP(C1004,CATALOGOS!$F$2:$H$6,3,FALSE)),(VLOOKUP(T1004,CATALOGOS!$J$2:$K$18,2,FALSE)),""-"",TO_TEXT(A1004))"),"P12SI-1003")</f>
        <v>P12SI-1003</v>
      </c>
      <c r="H1004" s="6" t="s">
        <v>6868</v>
      </c>
      <c r="I1004" s="37"/>
      <c r="J1004" s="37"/>
      <c r="K1004" s="6" t="s">
        <v>141</v>
      </c>
      <c r="L1004" s="17"/>
      <c r="M1004" s="17"/>
      <c r="N1004" s="17"/>
      <c r="O1004" s="35" t="s">
        <v>35</v>
      </c>
      <c r="P1004" s="10" t="s">
        <v>35</v>
      </c>
      <c r="Q1004" s="10" t="s">
        <v>36</v>
      </c>
      <c r="R1004" s="10" t="s">
        <v>6869</v>
      </c>
      <c r="S1004" s="173" t="s">
        <v>38</v>
      </c>
      <c r="T1004" s="181" t="s">
        <v>1483</v>
      </c>
      <c r="U1004" s="20" t="s">
        <v>3173</v>
      </c>
      <c r="V1004" s="20" t="s">
        <v>3173</v>
      </c>
    </row>
    <row r="1005" spans="1:22" ht="100.5">
      <c r="A1005" s="10" t="s">
        <v>6870</v>
      </c>
      <c r="B1005" s="10" t="s">
        <v>4410</v>
      </c>
      <c r="C1005" s="61" t="s">
        <v>4411</v>
      </c>
      <c r="D1005" s="12"/>
      <c r="E1005" s="13" t="s">
        <v>184</v>
      </c>
      <c r="F1005" s="6" t="s">
        <v>6871</v>
      </c>
      <c r="G1005" s="6" t="str">
        <f ca="1">IFERROR(__xludf.DUMMYFUNCTION("CONCATENATE(B1005,(VLOOKUP(C1005,CATALOGOS!$F$2:$H$6,3,FALSE)),(VLOOKUP(T1005,CATALOGOS!$J$2:$K$18,2,FALSE)),""-"",TO_TEXT(A1005))"),"P24SJ-1004")</f>
        <v>P24SJ-1004</v>
      </c>
      <c r="H1005" s="6" t="s">
        <v>6872</v>
      </c>
      <c r="I1005" s="37"/>
      <c r="J1005" s="37"/>
      <c r="K1005" s="6" t="s">
        <v>141</v>
      </c>
      <c r="L1005" s="17"/>
      <c r="M1005" s="17"/>
      <c r="N1005" s="17"/>
      <c r="O1005" s="35" t="s">
        <v>35</v>
      </c>
      <c r="P1005" s="10" t="s">
        <v>35</v>
      </c>
      <c r="Q1005" s="10" t="s">
        <v>36</v>
      </c>
      <c r="R1005" s="10" t="s">
        <v>6873</v>
      </c>
      <c r="S1005" s="173" t="s">
        <v>38</v>
      </c>
      <c r="T1005" s="189" t="s">
        <v>4411</v>
      </c>
      <c r="U1005" s="20" t="s">
        <v>4935</v>
      </c>
      <c r="V1005" s="20" t="s">
        <v>4935</v>
      </c>
    </row>
    <row r="1006" spans="1:22" ht="100.5">
      <c r="A1006" s="10" t="s">
        <v>6874</v>
      </c>
      <c r="B1006" s="10" t="s">
        <v>4410</v>
      </c>
      <c r="C1006" s="61" t="s">
        <v>4411</v>
      </c>
      <c r="D1006" s="12"/>
      <c r="E1006" s="13" t="s">
        <v>184</v>
      </c>
      <c r="F1006" s="6" t="s">
        <v>6871</v>
      </c>
      <c r="G1006" s="6" t="str">
        <f ca="1">IFERROR(__xludf.DUMMYFUNCTION("CONCATENATE(B1006,(VLOOKUP(C1006,CATALOGOS!$F$2:$H$6,3,FALSE)),(VLOOKUP(T1006,CATALOGOS!$J$2:$K$18,2,FALSE)),""-"",TO_TEXT(A1006))"),"P24SJ-1005")</f>
        <v>P24SJ-1005</v>
      </c>
      <c r="H1006" s="6" t="s">
        <v>6875</v>
      </c>
      <c r="I1006" s="37"/>
      <c r="J1006" s="37"/>
      <c r="K1006" s="6" t="s">
        <v>141</v>
      </c>
      <c r="L1006" s="17"/>
      <c r="M1006" s="17"/>
      <c r="N1006" s="17"/>
      <c r="O1006" s="35" t="s">
        <v>35</v>
      </c>
      <c r="P1006" s="10" t="s">
        <v>35</v>
      </c>
      <c r="Q1006" s="10" t="s">
        <v>36</v>
      </c>
      <c r="R1006" s="10" t="s">
        <v>6876</v>
      </c>
      <c r="S1006" s="173" t="s">
        <v>38</v>
      </c>
      <c r="T1006" s="189" t="s">
        <v>4411</v>
      </c>
      <c r="U1006" s="20" t="s">
        <v>4935</v>
      </c>
      <c r="V1006" s="20" t="s">
        <v>4935</v>
      </c>
    </row>
    <row r="1007" spans="1:22" ht="86.25">
      <c r="A1007" s="10" t="s">
        <v>6877</v>
      </c>
      <c r="B1007" s="10" t="s">
        <v>4410</v>
      </c>
      <c r="C1007" s="61" t="s">
        <v>4411</v>
      </c>
      <c r="D1007" s="12"/>
      <c r="E1007" s="13" t="s">
        <v>43</v>
      </c>
      <c r="F1007" s="6" t="s">
        <v>6878</v>
      </c>
      <c r="G1007" s="6" t="str">
        <f ca="1">IFERROR(__xludf.DUMMYFUNCTION("CONCATENATE(B1007,(VLOOKUP(C1007,CATALOGOS!$F$2:$H$6,3,FALSE)),(VLOOKUP(T1007,CATALOGOS!$J$2:$K$18,2,FALSE)),""-"",TO_TEXT(A1007))"),"P24SJ-1006")</f>
        <v>P24SJ-1006</v>
      </c>
      <c r="H1007" s="6" t="s">
        <v>6879</v>
      </c>
      <c r="I1007" s="37"/>
      <c r="J1007" s="37"/>
      <c r="K1007" s="6" t="s">
        <v>141</v>
      </c>
      <c r="L1007" s="17"/>
      <c r="M1007" s="17"/>
      <c r="N1007" s="17"/>
      <c r="O1007" s="35" t="s">
        <v>49</v>
      </c>
      <c r="P1007" s="10">
        <v>3196</v>
      </c>
      <c r="Q1007" s="10" t="s">
        <v>36</v>
      </c>
      <c r="R1007" s="190">
        <v>705581</v>
      </c>
      <c r="S1007" s="173" t="s">
        <v>38</v>
      </c>
      <c r="T1007" s="189" t="s">
        <v>4411</v>
      </c>
      <c r="U1007" s="20" t="s">
        <v>4935</v>
      </c>
      <c r="V1007" s="20" t="s">
        <v>4935</v>
      </c>
    </row>
    <row r="1008" spans="1:22" ht="15">
      <c r="A1008" s="10" t="s">
        <v>6881</v>
      </c>
      <c r="B1008" s="10" t="s">
        <v>4410</v>
      </c>
      <c r="C1008" s="61" t="s">
        <v>4411</v>
      </c>
      <c r="D1008" s="12"/>
      <c r="E1008" s="13" t="s">
        <v>321</v>
      </c>
      <c r="F1008" s="6" t="s">
        <v>6882</v>
      </c>
      <c r="G1008" s="6" t="str">
        <f ca="1">IFERROR(__xludf.DUMMYFUNCTION("CONCATENATE(B1008,(VLOOKUP(C1008,CATALOGOS!$F$2:$H$6,3,FALSE)),(VLOOKUP(T1008,CATALOGOS!$J$2:$K$18,2,FALSE)),""-"",TO_TEXT(A1008))"),"P24SJ-1007")</f>
        <v>P24SJ-1007</v>
      </c>
      <c r="H1008" s="6" t="s">
        <v>6883</v>
      </c>
      <c r="I1008" s="37"/>
      <c r="J1008" s="37"/>
      <c r="K1008" s="6" t="s">
        <v>141</v>
      </c>
      <c r="L1008" s="17"/>
      <c r="M1008" s="17"/>
      <c r="N1008" s="17"/>
      <c r="O1008" s="35" t="s">
        <v>6884</v>
      </c>
      <c r="P1008" s="10" t="s">
        <v>6885</v>
      </c>
      <c r="Q1008" s="10" t="s">
        <v>36</v>
      </c>
      <c r="R1008" s="10" t="s">
        <v>85</v>
      </c>
      <c r="S1008" s="179" t="s">
        <v>517</v>
      </c>
      <c r="T1008" s="189" t="s">
        <v>4411</v>
      </c>
      <c r="U1008" s="20" t="s">
        <v>5138</v>
      </c>
      <c r="V1008" s="20" t="s">
        <v>5138</v>
      </c>
    </row>
    <row r="1009" spans="1:22" ht="57.75">
      <c r="A1009" s="10" t="s">
        <v>6886</v>
      </c>
      <c r="B1009" s="10" t="s">
        <v>4410</v>
      </c>
      <c r="C1009" s="61" t="s">
        <v>4411</v>
      </c>
      <c r="D1009" s="12"/>
      <c r="E1009" s="13" t="s">
        <v>184</v>
      </c>
      <c r="F1009" s="6" t="s">
        <v>927</v>
      </c>
      <c r="G1009" s="6" t="str">
        <f ca="1">IFERROR(__xludf.DUMMYFUNCTION("CONCATENATE(B1009,(VLOOKUP(C1009,CATALOGOS!$F$2:$H$6,3,FALSE)),(VLOOKUP(T1009,CATALOGOS!$J$2:$K$18,2,FALSE)),""-"",TO_TEXT(A1009))"),"P24SJ-1008")</f>
        <v>P24SJ-1008</v>
      </c>
      <c r="H1009" s="6" t="s">
        <v>6887</v>
      </c>
      <c r="I1009" s="37"/>
      <c r="J1009" s="37"/>
      <c r="K1009" s="6" t="s">
        <v>141</v>
      </c>
      <c r="L1009" s="17"/>
      <c r="M1009" s="17"/>
      <c r="N1009" s="17"/>
      <c r="O1009" s="35" t="s">
        <v>35</v>
      </c>
      <c r="P1009" s="10" t="s">
        <v>35</v>
      </c>
      <c r="Q1009" s="10" t="s">
        <v>36</v>
      </c>
      <c r="R1009" s="10" t="s">
        <v>6888</v>
      </c>
      <c r="S1009" s="173" t="s">
        <v>38</v>
      </c>
      <c r="T1009" s="189" t="s">
        <v>4411</v>
      </c>
      <c r="U1009" s="20" t="s">
        <v>5223</v>
      </c>
      <c r="V1009" s="20" t="s">
        <v>5223</v>
      </c>
    </row>
    <row r="1010" spans="1:22" ht="29.25">
      <c r="A1010" s="10" t="s">
        <v>6889</v>
      </c>
      <c r="B1010" s="10" t="s">
        <v>4410</v>
      </c>
      <c r="C1010" s="61" t="s">
        <v>4411</v>
      </c>
      <c r="D1010" s="12"/>
      <c r="E1010" s="13" t="s">
        <v>210</v>
      </c>
      <c r="F1010" s="6" t="s">
        <v>210</v>
      </c>
      <c r="G1010" s="6" t="str">
        <f ca="1">IFERROR(__xludf.DUMMYFUNCTION("CONCATENATE(B1010,(VLOOKUP(C1010,CATALOGOS!$F$2:$H$6,3,FALSE)),(VLOOKUP(T1010,CATALOGOS!$J$2:$K$18,2,FALSE)),""-"",TO_TEXT(A1010))"),"P24NV-1009")</f>
        <v>P24NV-1009</v>
      </c>
      <c r="H1010" s="6" t="s">
        <v>6890</v>
      </c>
      <c r="I1010" s="37"/>
      <c r="J1010" s="37"/>
      <c r="K1010" s="6" t="s">
        <v>141</v>
      </c>
      <c r="L1010" s="17"/>
      <c r="M1010" s="17"/>
      <c r="N1010" s="17"/>
      <c r="O1010" s="35" t="s">
        <v>216</v>
      </c>
      <c r="P1010" s="10" t="s">
        <v>6891</v>
      </c>
      <c r="Q1010" s="10" t="s">
        <v>6892</v>
      </c>
      <c r="R1010" s="10" t="s">
        <v>6893</v>
      </c>
      <c r="S1010" s="173" t="s">
        <v>38</v>
      </c>
      <c r="T1010" s="181" t="s">
        <v>5695</v>
      </c>
      <c r="U1010" s="20" t="s">
        <v>5696</v>
      </c>
      <c r="V1010" s="20" t="s">
        <v>5696</v>
      </c>
    </row>
    <row r="1011" spans="1:22" ht="43.5">
      <c r="A1011" s="10" t="s">
        <v>6894</v>
      </c>
      <c r="B1011" s="10" t="s">
        <v>4410</v>
      </c>
      <c r="C1011" s="61" t="s">
        <v>4411</v>
      </c>
      <c r="D1011" s="12"/>
      <c r="E1011" s="13" t="s">
        <v>2311</v>
      </c>
      <c r="F1011" s="6" t="s">
        <v>6895</v>
      </c>
      <c r="G1011" s="6" t="str">
        <f ca="1">IFERROR(__xludf.DUMMYFUNCTION("CONCATENATE(B1011,(VLOOKUP(C1011,CATALOGOS!$F$2:$H$6,3,FALSE)),(VLOOKUP(T1011,CATALOGOS!$J$2:$K$18,2,FALSE)),""-"",TO_TEXT(A1011))"),"P24NV-1010")</f>
        <v>P24NV-1010</v>
      </c>
      <c r="H1011" s="6" t="s">
        <v>6896</v>
      </c>
      <c r="I1011" s="37"/>
      <c r="J1011" s="37"/>
      <c r="K1011" s="6" t="s">
        <v>141</v>
      </c>
      <c r="L1011" s="17"/>
      <c r="M1011" s="17"/>
      <c r="N1011" s="17"/>
      <c r="O1011" s="35" t="s">
        <v>682</v>
      </c>
      <c r="P1011" s="10" t="s">
        <v>6897</v>
      </c>
      <c r="Q1011" s="10" t="s">
        <v>6898</v>
      </c>
      <c r="R1011" s="10" t="s">
        <v>6899</v>
      </c>
      <c r="S1011" s="173" t="s">
        <v>38</v>
      </c>
      <c r="T1011" s="181" t="s">
        <v>5695</v>
      </c>
      <c r="U1011" s="20" t="s">
        <v>5696</v>
      </c>
      <c r="V1011" s="20" t="s">
        <v>5696</v>
      </c>
    </row>
    <row r="1012" spans="1:22" ht="72">
      <c r="A1012" s="10" t="s">
        <v>6900</v>
      </c>
      <c r="B1012" s="10" t="s">
        <v>4410</v>
      </c>
      <c r="C1012" s="61" t="s">
        <v>4411</v>
      </c>
      <c r="D1012" s="12"/>
      <c r="E1012" s="13" t="s">
        <v>184</v>
      </c>
      <c r="F1012" s="6" t="s">
        <v>6901</v>
      </c>
      <c r="G1012" s="6" t="str">
        <f ca="1">IFERROR(__xludf.DUMMYFUNCTION("CONCATENATE(B1012,(VLOOKUP(C1012,CATALOGOS!$F$2:$H$6,3,FALSE)),(VLOOKUP(T1012,CATALOGOS!$J$2:$K$18,2,FALSE)),""-"",TO_TEXT(A1012))"),"P24CS-1011")</f>
        <v>P24CS-1011</v>
      </c>
      <c r="H1012" s="6" t="s">
        <v>6902</v>
      </c>
      <c r="I1012" s="37"/>
      <c r="J1012" s="37"/>
      <c r="K1012" s="6" t="s">
        <v>141</v>
      </c>
      <c r="L1012" s="17"/>
      <c r="M1012" s="17"/>
      <c r="N1012" s="17"/>
      <c r="O1012" s="35" t="s">
        <v>35</v>
      </c>
      <c r="P1012" s="10" t="s">
        <v>35</v>
      </c>
      <c r="Q1012" s="10" t="s">
        <v>36</v>
      </c>
      <c r="R1012" s="10" t="s">
        <v>6903</v>
      </c>
      <c r="S1012" s="173" t="s">
        <v>38</v>
      </c>
      <c r="T1012" s="189" t="s">
        <v>4979</v>
      </c>
      <c r="U1012" s="20" t="s">
        <v>4980</v>
      </c>
      <c r="V1012" s="20" t="s">
        <v>4980</v>
      </c>
    </row>
    <row r="1013" spans="1:22" ht="72">
      <c r="A1013" s="10" t="s">
        <v>6904</v>
      </c>
      <c r="B1013" s="10" t="s">
        <v>1469</v>
      </c>
      <c r="C1013" s="61" t="s">
        <v>1470</v>
      </c>
      <c r="D1013" s="12"/>
      <c r="E1013" s="13" t="s">
        <v>2502</v>
      </c>
      <c r="F1013" s="6" t="s">
        <v>6905</v>
      </c>
      <c r="G1013" s="6" t="str">
        <f ca="1">IFERROR(__xludf.DUMMYFUNCTION("CONCATENATE(B1013,(VLOOKUP(C1013,CATALOGOS!$F$2:$H$6,3,FALSE)),(VLOOKUP(T1013,CATALOGOS!$J$2:$K$18,2,FALSE)),""-"",TO_TEXT(A1013))"),"P12SI-1012")</f>
        <v>P12SI-1012</v>
      </c>
      <c r="H1013" s="6" t="s">
        <v>6906</v>
      </c>
      <c r="I1013" s="37"/>
      <c r="J1013" s="37"/>
      <c r="K1013" s="6" t="s">
        <v>141</v>
      </c>
      <c r="L1013" s="17"/>
      <c r="M1013" s="17"/>
      <c r="N1013" s="17"/>
      <c r="O1013" s="35" t="s">
        <v>179</v>
      </c>
      <c r="P1013" s="10" t="s">
        <v>6907</v>
      </c>
      <c r="Q1013" s="10" t="s">
        <v>6908</v>
      </c>
      <c r="R1013" s="10" t="s">
        <v>85</v>
      </c>
      <c r="S1013" s="173" t="s">
        <v>38</v>
      </c>
      <c r="T1013" s="181" t="s">
        <v>1483</v>
      </c>
      <c r="U1013" s="20" t="s">
        <v>1484</v>
      </c>
      <c r="V1013" s="20" t="s">
        <v>1484</v>
      </c>
    </row>
    <row r="1014" spans="1:22" ht="28.5">
      <c r="A1014" s="10" t="s">
        <v>6910</v>
      </c>
      <c r="B1014" s="86" t="s">
        <v>474</v>
      </c>
      <c r="C1014" s="86" t="s">
        <v>28</v>
      </c>
      <c r="E1014" s="86" t="s">
        <v>378</v>
      </c>
      <c r="F1014" s="86" t="s">
        <v>535</v>
      </c>
      <c r="G1014" s="6" t="str">
        <f ca="1">IFERROR(__xludf.DUMMYFUNCTION("CONCATENATE(B1014,(VLOOKUP(C1014,CATALOGOS!$F$2:$H$6,3,FALSE)),(VLOOKUP(T1014,CATALOGOS!$J$2:$K$18,2,FALSE)),""-"",TO_TEXT(A1014))"),"P35DA-1013")</f>
        <v>P35DA-1013</v>
      </c>
      <c r="H1014" s="6" t="s">
        <v>6911</v>
      </c>
      <c r="K1014" s="86" t="s">
        <v>141</v>
      </c>
      <c r="O1014" s="86" t="s">
        <v>35</v>
      </c>
      <c r="P1014" s="86" t="s">
        <v>35</v>
      </c>
      <c r="Q1014" s="86" t="s">
        <v>36</v>
      </c>
      <c r="R1014" s="86" t="s">
        <v>85</v>
      </c>
      <c r="S1014" s="86" t="s">
        <v>517</v>
      </c>
      <c r="T1014" s="86" t="s">
        <v>28</v>
      </c>
      <c r="U1014" s="86" t="s">
        <v>40</v>
      </c>
      <c r="V1014" s="86" t="s">
        <v>40</v>
      </c>
    </row>
    <row r="1015" spans="1:22" ht="86.25">
      <c r="A1015" s="10" t="s">
        <v>6912</v>
      </c>
      <c r="B1015" s="10" t="s">
        <v>27</v>
      </c>
      <c r="C1015" s="10" t="s">
        <v>28</v>
      </c>
      <c r="D1015" s="12"/>
      <c r="E1015" s="13" t="s">
        <v>62</v>
      </c>
      <c r="F1015" s="6" t="s">
        <v>6913</v>
      </c>
      <c r="G1015" s="6" t="str">
        <f ca="1">IFERROR(__xludf.DUMMYFUNCTION("CONCATENATE(B1015,(VLOOKUP(C1015,CATALOGOS!$F$2:$H$6,3,FALSE)),(VLOOKUP(T1015,CATALOGOS!$J$2:$K$18,2,FALSE)),""-"",TO_TEXT(A1015))"),"P05RM-1014")</f>
        <v>P05RM-1014</v>
      </c>
      <c r="H1015" s="6" t="s">
        <v>6914</v>
      </c>
      <c r="I1015" s="37"/>
      <c r="J1015" s="37"/>
      <c r="K1015" s="6" t="s">
        <v>141</v>
      </c>
      <c r="L1015" s="17"/>
      <c r="M1015" s="17"/>
      <c r="N1015" s="17"/>
      <c r="O1015" s="35" t="s">
        <v>35</v>
      </c>
      <c r="P1015" s="10" t="s">
        <v>35</v>
      </c>
      <c r="Q1015" s="10" t="s">
        <v>36</v>
      </c>
      <c r="R1015" s="10" t="s">
        <v>85</v>
      </c>
      <c r="S1015" s="173" t="s">
        <v>38</v>
      </c>
      <c r="T1015" s="189" t="s">
        <v>147</v>
      </c>
      <c r="U1015" s="20" t="s">
        <v>493</v>
      </c>
      <c r="V1015" s="20" t="s">
        <v>493</v>
      </c>
    </row>
    <row r="1016" spans="1:22" ht="72">
      <c r="A1016" s="10" t="s">
        <v>6915</v>
      </c>
      <c r="B1016" s="10" t="s">
        <v>27</v>
      </c>
      <c r="C1016" s="10" t="s">
        <v>1470</v>
      </c>
      <c r="D1016" s="12"/>
      <c r="E1016" s="13" t="s">
        <v>6916</v>
      </c>
      <c r="F1016" s="6" t="s">
        <v>6917</v>
      </c>
      <c r="G1016" s="6" t="str">
        <f ca="1">IFERROR(__xludf.DUMMYFUNCTION("CONCATENATE(B1016,(VLOOKUP(C1016,CATALOGOS!$F$2:$H$6,3,FALSE)),(VLOOKUP(T1016,CATALOGOS!$J$2:$K$18,2,FALSE)),""-"",TO_TEXT(A1016))"),"P02PP-1015")</f>
        <v>P02PP-1015</v>
      </c>
      <c r="H1016" s="6"/>
      <c r="I1016" s="37"/>
      <c r="J1016" s="37"/>
      <c r="K1016" s="6" t="s">
        <v>141</v>
      </c>
      <c r="L1016" s="17"/>
      <c r="M1016" s="17"/>
      <c r="N1016" s="17"/>
      <c r="O1016" s="35" t="s">
        <v>6918</v>
      </c>
      <c r="P1016" s="10" t="s">
        <v>6919</v>
      </c>
      <c r="Q1016" s="10">
        <v>41480</v>
      </c>
      <c r="R1016" s="10" t="s">
        <v>85</v>
      </c>
      <c r="S1016" s="191" t="s">
        <v>38</v>
      </c>
      <c r="T1016" s="189" t="s">
        <v>1548</v>
      </c>
      <c r="U1016" s="20" t="s">
        <v>1983</v>
      </c>
      <c r="V1016" s="20"/>
    </row>
    <row r="1017" spans="1:22" ht="57.75">
      <c r="A1017" s="10" t="s">
        <v>6921</v>
      </c>
      <c r="B1017" s="10" t="s">
        <v>27</v>
      </c>
      <c r="C1017" s="10" t="s">
        <v>1470</v>
      </c>
      <c r="D1017" s="12"/>
      <c r="E1017" s="13" t="s">
        <v>6916</v>
      </c>
      <c r="F1017" s="6" t="s">
        <v>6922</v>
      </c>
      <c r="G1017" s="6" t="str">
        <f ca="1">IFERROR(__xludf.DUMMYFUNCTION("CONCATENATE(B1017,(VLOOKUP(C1017,CATALOGOS!$F$2:$H$6,3,FALSE)),(VLOOKUP(T1017,CATALOGOS!$J$2:$K$18,2,FALSE)),""-"",TO_TEXT(A1017))"),"P02PP-1016")</f>
        <v>P02PP-1016</v>
      </c>
      <c r="H1017" s="6"/>
      <c r="I1017" s="37"/>
      <c r="J1017" s="37"/>
      <c r="K1017" s="6" t="s">
        <v>141</v>
      </c>
      <c r="L1017" s="17"/>
      <c r="M1017" s="17"/>
      <c r="N1017" s="17"/>
      <c r="O1017" s="35" t="s">
        <v>6923</v>
      </c>
      <c r="P1017" s="10" t="s">
        <v>6924</v>
      </c>
      <c r="Q1017" s="10" t="s">
        <v>6925</v>
      </c>
      <c r="R1017" s="10" t="s">
        <v>85</v>
      </c>
      <c r="S1017" s="191" t="s">
        <v>38</v>
      </c>
      <c r="T1017" s="189" t="s">
        <v>1548</v>
      </c>
      <c r="U1017" s="20" t="s">
        <v>1983</v>
      </c>
      <c r="V1017" s="20"/>
    </row>
    <row r="1018" spans="1:22" ht="100.5">
      <c r="A1018" s="10" t="s">
        <v>6927</v>
      </c>
      <c r="B1018" s="10" t="s">
        <v>27</v>
      </c>
      <c r="C1018" s="10" t="s">
        <v>1470</v>
      </c>
      <c r="D1018" s="12"/>
      <c r="E1018" s="13" t="s">
        <v>6928</v>
      </c>
      <c r="F1018" s="6" t="s">
        <v>6929</v>
      </c>
      <c r="G1018" s="6" t="str">
        <f ca="1">IFERROR(__xludf.DUMMYFUNCTION("CONCATENATE(B1018,(VLOOKUP(C1018,CATALOGOS!$F$2:$H$6,3,FALSE)),(VLOOKUP(T1018,CATALOGOS!$J$2:$K$18,2,FALSE)),""-"",TO_TEXT(A1018))"),"P02PP-1017")</f>
        <v>P02PP-1017</v>
      </c>
      <c r="H1018" s="6"/>
      <c r="I1018" s="37"/>
      <c r="J1018" s="37"/>
      <c r="K1018" s="6" t="s">
        <v>141</v>
      </c>
      <c r="L1018" s="17"/>
      <c r="M1018" s="17"/>
      <c r="N1018" s="17"/>
      <c r="O1018" s="35" t="s">
        <v>6930</v>
      </c>
      <c r="P1018" s="10" t="s">
        <v>6931</v>
      </c>
      <c r="Q1018" s="10">
        <v>264105</v>
      </c>
      <c r="R1018" s="10" t="s">
        <v>85</v>
      </c>
      <c r="S1018" s="191" t="s">
        <v>38</v>
      </c>
      <c r="T1018" s="189" t="s">
        <v>1548</v>
      </c>
      <c r="U1018" s="20" t="s">
        <v>1983</v>
      </c>
      <c r="V1018" s="20"/>
    </row>
    <row r="1019" spans="1:22" ht="57.75">
      <c r="A1019" s="10" t="s">
        <v>6933</v>
      </c>
      <c r="B1019" s="10" t="s">
        <v>27</v>
      </c>
      <c r="C1019" s="10" t="s">
        <v>868</v>
      </c>
      <c r="D1019" s="12"/>
      <c r="E1019" s="13" t="s">
        <v>199</v>
      </c>
      <c r="F1019" s="6" t="s">
        <v>199</v>
      </c>
      <c r="G1019" s="6" t="str">
        <f ca="1">IFERROR(__xludf.DUMMYFUNCTION("CONCATENATE(B1019,(VLOOKUP(C1019,CATALOGOS!$F$2:$H$6,3,FALSE)),(VLOOKUP(T1019,CATALOGOS!$J$2:$K$18,2,FALSE)),""-"",TO_TEXT(A1019))"),"P03CV-1018")</f>
        <v>P03CV-1018</v>
      </c>
      <c r="H1019" s="6"/>
      <c r="I1019" s="37"/>
      <c r="J1019" s="37"/>
      <c r="K1019" s="81"/>
      <c r="L1019" s="17"/>
      <c r="M1019" s="17"/>
      <c r="N1019" s="17"/>
      <c r="O1019" s="35" t="s">
        <v>2748</v>
      </c>
      <c r="P1019" s="10" t="s">
        <v>6934</v>
      </c>
      <c r="Q1019" s="10" t="s">
        <v>6935</v>
      </c>
      <c r="R1019" s="10" t="s">
        <v>85</v>
      </c>
      <c r="S1019" s="191" t="s">
        <v>38</v>
      </c>
      <c r="T1019" s="189" t="s">
        <v>875</v>
      </c>
      <c r="U1019" s="20" t="s">
        <v>1004</v>
      </c>
      <c r="V1019" s="90"/>
    </row>
    <row r="1020" spans="1:22" ht="43.5">
      <c r="A1020" s="10" t="s">
        <v>6937</v>
      </c>
      <c r="B1020" s="10" t="s">
        <v>27</v>
      </c>
      <c r="C1020" s="10" t="s">
        <v>868</v>
      </c>
      <c r="D1020" s="12"/>
      <c r="E1020" s="13" t="s">
        <v>151</v>
      </c>
      <c r="F1020" s="6" t="s">
        <v>6938</v>
      </c>
      <c r="G1020" s="6" t="str">
        <f ca="1">IFERROR(__xludf.DUMMYFUNCTION("CONCATENATE(B1020,(VLOOKUP(C1020,CATALOGOS!$F$2:$H$6,3,FALSE)),(VLOOKUP(T1020,CATALOGOS!$J$2:$K$18,2,FALSE)),""-"",TO_TEXT(A1020))"),"P03CV-1019")</f>
        <v>P03CV-1019</v>
      </c>
      <c r="H1020" s="6"/>
      <c r="I1020" s="37"/>
      <c r="J1020" s="37"/>
      <c r="K1020" s="81"/>
      <c r="L1020" s="17"/>
      <c r="M1020" s="17"/>
      <c r="N1020" s="17"/>
      <c r="O1020" s="35" t="s">
        <v>2748</v>
      </c>
      <c r="P1020" s="10" t="s">
        <v>6939</v>
      </c>
      <c r="Q1020" s="10" t="s">
        <v>8446</v>
      </c>
      <c r="R1020" s="10" t="s">
        <v>85</v>
      </c>
      <c r="S1020" s="191" t="s">
        <v>38</v>
      </c>
      <c r="T1020" s="189" t="s">
        <v>875</v>
      </c>
      <c r="U1020" s="20" t="s">
        <v>1004</v>
      </c>
      <c r="V1020" s="90"/>
    </row>
    <row r="1021" spans="1:22" ht="57.75">
      <c r="A1021" s="10" t="s">
        <v>6942</v>
      </c>
      <c r="B1021" s="10" t="s">
        <v>27</v>
      </c>
      <c r="C1021" s="10" t="s">
        <v>868</v>
      </c>
      <c r="D1021" s="12"/>
      <c r="E1021" s="13" t="s">
        <v>199</v>
      </c>
      <c r="F1021" s="6" t="s">
        <v>199</v>
      </c>
      <c r="G1021" s="6" t="str">
        <f ca="1">IFERROR(__xludf.DUMMYFUNCTION("CONCATENATE(B1021,(VLOOKUP(C1021,CATALOGOS!$F$2:$H$6,3,FALSE)),(VLOOKUP(T1021,CATALOGOS!$J$2:$K$18,2,FALSE)),""-"",TO_TEXT(A1021))"),"P03CV-1020")</f>
        <v>P03CV-1020</v>
      </c>
      <c r="H1021" s="6"/>
      <c r="I1021" s="37"/>
      <c r="J1021" s="37"/>
      <c r="K1021" s="81"/>
      <c r="L1021" s="17"/>
      <c r="M1021" s="17"/>
      <c r="N1021" s="17"/>
      <c r="O1021" s="35" t="s">
        <v>2748</v>
      </c>
      <c r="P1021" s="10" t="s">
        <v>6934</v>
      </c>
      <c r="Q1021" s="10" t="s">
        <v>6943</v>
      </c>
      <c r="R1021" s="10" t="s">
        <v>85</v>
      </c>
      <c r="S1021" s="191" t="s">
        <v>38</v>
      </c>
      <c r="T1021" s="189" t="s">
        <v>875</v>
      </c>
      <c r="U1021" s="20" t="s">
        <v>876</v>
      </c>
      <c r="V1021" s="90"/>
    </row>
    <row r="1022" spans="1:22" ht="43.5">
      <c r="A1022" s="10" t="s">
        <v>6945</v>
      </c>
      <c r="B1022" s="10" t="s">
        <v>27</v>
      </c>
      <c r="C1022" s="10" t="s">
        <v>868</v>
      </c>
      <c r="D1022" s="12"/>
      <c r="E1022" s="13" t="s">
        <v>151</v>
      </c>
      <c r="F1022" s="6" t="s">
        <v>6938</v>
      </c>
      <c r="G1022" s="6" t="str">
        <f ca="1">IFERROR(__xludf.DUMMYFUNCTION("CONCATENATE(B1022,(VLOOKUP(C1022,CATALOGOS!$F$2:$H$6,3,FALSE)),(VLOOKUP(T1022,CATALOGOS!$J$2:$K$18,2,FALSE)),""-"",TO_TEXT(A1022))"),"P03CV-1021")</f>
        <v>P03CV-1021</v>
      </c>
      <c r="H1022" s="6"/>
      <c r="I1022" s="37"/>
      <c r="J1022" s="37"/>
      <c r="K1022" s="81"/>
      <c r="L1022" s="17"/>
      <c r="M1022" s="17"/>
      <c r="N1022" s="17"/>
      <c r="O1022" s="35" t="s">
        <v>2748</v>
      </c>
      <c r="P1022" s="10" t="s">
        <v>6939</v>
      </c>
      <c r="Q1022" s="10" t="s">
        <v>8447</v>
      </c>
      <c r="R1022" s="10" t="s">
        <v>85</v>
      </c>
      <c r="S1022" s="191" t="s">
        <v>38</v>
      </c>
      <c r="T1022" s="189" t="s">
        <v>875</v>
      </c>
      <c r="U1022" s="20" t="s">
        <v>876</v>
      </c>
      <c r="V1022" s="90"/>
    </row>
    <row r="1023" spans="1:22" ht="57.75">
      <c r="A1023" s="10" t="s">
        <v>6948</v>
      </c>
      <c r="B1023" s="10" t="s">
        <v>1469</v>
      </c>
      <c r="C1023" s="10" t="s">
        <v>868</v>
      </c>
      <c r="D1023" s="12"/>
      <c r="E1023" s="13" t="s">
        <v>199</v>
      </c>
      <c r="F1023" s="6" t="s">
        <v>199</v>
      </c>
      <c r="G1023" s="6" t="str">
        <f ca="1">IFERROR(__xludf.DUMMYFUNCTION("CONCATENATE(B1023,(VLOOKUP(C1023,CATALOGOS!$F$2:$H$6,3,FALSE)),(VLOOKUP(T1023,CATALOGOS!$J$2:$K$18,2,FALSE)),""-"",TO_TEXT(A1023))"),"P13LP-1022")</f>
        <v>P13LP-1022</v>
      </c>
      <c r="H1023" s="6"/>
      <c r="I1023" s="37"/>
      <c r="J1023" s="37"/>
      <c r="K1023" s="81"/>
      <c r="L1023" s="17"/>
      <c r="M1023" s="17"/>
      <c r="N1023" s="17"/>
      <c r="O1023" s="35" t="s">
        <v>2748</v>
      </c>
      <c r="P1023" s="10" t="s">
        <v>6934</v>
      </c>
      <c r="Q1023" s="10" t="s">
        <v>6949</v>
      </c>
      <c r="R1023" s="10" t="s">
        <v>85</v>
      </c>
      <c r="S1023" s="191" t="s">
        <v>38</v>
      </c>
      <c r="T1023" s="189" t="s">
        <v>2328</v>
      </c>
      <c r="U1023" s="20" t="s">
        <v>3984</v>
      </c>
      <c r="V1023" s="90"/>
    </row>
    <row r="1024" spans="1:22" ht="43.5">
      <c r="A1024" s="10" t="s">
        <v>6951</v>
      </c>
      <c r="B1024" s="10" t="s">
        <v>1469</v>
      </c>
      <c r="C1024" s="10" t="s">
        <v>868</v>
      </c>
      <c r="D1024" s="12"/>
      <c r="E1024" s="13" t="s">
        <v>151</v>
      </c>
      <c r="F1024" s="6" t="s">
        <v>6938</v>
      </c>
      <c r="G1024" s="6" t="str">
        <f ca="1">IFERROR(__xludf.DUMMYFUNCTION("CONCATENATE(B1024,(VLOOKUP(C1024,CATALOGOS!$F$2:$H$6,3,FALSE)),(VLOOKUP(T1024,CATALOGOS!$J$2:$K$18,2,FALSE)),""-"",TO_TEXT(A1024))"),"P13LP-1023")</f>
        <v>P13LP-1023</v>
      </c>
      <c r="H1024" s="6"/>
      <c r="I1024" s="37"/>
      <c r="J1024" s="37"/>
      <c r="K1024" s="81"/>
      <c r="L1024" s="17"/>
      <c r="M1024" s="17"/>
      <c r="N1024" s="17"/>
      <c r="O1024" s="35" t="s">
        <v>2748</v>
      </c>
      <c r="P1024" s="10" t="s">
        <v>6939</v>
      </c>
      <c r="Q1024" s="10" t="s">
        <v>6952</v>
      </c>
      <c r="R1024" s="10" t="s">
        <v>85</v>
      </c>
      <c r="S1024" s="191" t="s">
        <v>38</v>
      </c>
      <c r="T1024" s="189" t="s">
        <v>2328</v>
      </c>
      <c r="U1024" s="20" t="s">
        <v>3984</v>
      </c>
      <c r="V1024" s="90"/>
    </row>
    <row r="1025" spans="1:22" ht="57.75">
      <c r="A1025" s="10" t="s">
        <v>6954</v>
      </c>
      <c r="B1025" s="10" t="s">
        <v>4410</v>
      </c>
      <c r="C1025" s="10" t="s">
        <v>4411</v>
      </c>
      <c r="D1025" s="12"/>
      <c r="E1025" s="13" t="s">
        <v>199</v>
      </c>
      <c r="F1025" s="6" t="s">
        <v>199</v>
      </c>
      <c r="G1025" s="6" t="str">
        <f ca="1">IFERROR(__xludf.DUMMYFUNCTION("CONCATENATE(B1025,(VLOOKUP(C1025,CATALOGOS!$F$2:$H$6,3,FALSE)),(VLOOKUP(T1025,CATALOGOS!$J$2:$K$18,2,FALSE)),""-"",TO_TEXT(A1025))"),"P24SJ-1024")</f>
        <v>P24SJ-1024</v>
      </c>
      <c r="H1025" s="6"/>
      <c r="I1025" s="37"/>
      <c r="J1025" s="37"/>
      <c r="K1025" s="81"/>
      <c r="L1025" s="17"/>
      <c r="M1025" s="17"/>
      <c r="N1025" s="17"/>
      <c r="O1025" s="35" t="s">
        <v>2748</v>
      </c>
      <c r="P1025" s="10" t="s">
        <v>6934</v>
      </c>
      <c r="Q1025" s="10" t="s">
        <v>8448</v>
      </c>
      <c r="R1025" s="10" t="s">
        <v>85</v>
      </c>
      <c r="S1025" s="191" t="s">
        <v>38</v>
      </c>
      <c r="T1025" s="189" t="s">
        <v>4411</v>
      </c>
      <c r="U1025" s="20" t="s">
        <v>5223</v>
      </c>
      <c r="V1025" s="90"/>
    </row>
    <row r="1026" spans="1:22" ht="43.5">
      <c r="A1026" s="10">
        <v>1025</v>
      </c>
      <c r="B1026" s="10" t="s">
        <v>4410</v>
      </c>
      <c r="C1026" s="10" t="s">
        <v>4411</v>
      </c>
      <c r="D1026" s="12"/>
      <c r="E1026" s="13" t="s">
        <v>151</v>
      </c>
      <c r="F1026" s="6" t="s">
        <v>6938</v>
      </c>
      <c r="G1026" s="6" t="str">
        <f ca="1">IFERROR(__xludf.DUMMYFUNCTION("CONCATENATE(B1026,(VLOOKUP(C1026,CATALOGOS!$F$2:$H$6,3,FALSE)),(VLOOKUP(T1026,CATALOGOS!$J$2:$K$18,2,FALSE)),""-"",TO_TEXT(A1026))"),"P24SJ-1025")</f>
        <v>P24SJ-1025</v>
      </c>
      <c r="H1026" s="6"/>
      <c r="I1026" s="37"/>
      <c r="J1026" s="37"/>
      <c r="K1026" s="81"/>
      <c r="L1026" s="17"/>
      <c r="M1026" s="17"/>
      <c r="N1026" s="17"/>
      <c r="O1026" s="35" t="s">
        <v>2748</v>
      </c>
      <c r="P1026" s="10" t="s">
        <v>6939</v>
      </c>
      <c r="Q1026" s="10" t="s">
        <v>6958</v>
      </c>
      <c r="R1026" s="10" t="s">
        <v>85</v>
      </c>
      <c r="S1026" s="191" t="s">
        <v>38</v>
      </c>
      <c r="T1026" s="189" t="s">
        <v>4411</v>
      </c>
      <c r="U1026" s="20" t="s">
        <v>5223</v>
      </c>
      <c r="V1026" s="90"/>
    </row>
  </sheetData>
  <dataValidations count="3">
    <dataValidation type="list" allowBlank="1" sqref="C2:C1026">
      <formula1>#REF!</formula1>
    </dataValidation>
    <dataValidation type="list" allowBlank="1" sqref="T2:T1026">
      <formula1>#REF!</formula1>
    </dataValidation>
    <dataValidation type="list" allowBlank="1" sqref="B2:B1026">
      <formula1>#REF!</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pageSetUpPr fitToPage="1"/>
  </sheetPr>
  <dimension ref="A1:O1481"/>
  <sheetViews>
    <sheetView tabSelected="1" workbookViewId="0">
      <pane ySplit="1" topLeftCell="A2" activePane="bottomLeft" state="frozen"/>
      <selection pane="bottomLeft"/>
    </sheetView>
  </sheetViews>
  <sheetFormatPr baseColWidth="10" defaultColWidth="12.5703125" defaultRowHeight="15.75" customHeight="1"/>
  <cols>
    <col min="1" max="1" width="7.5703125" bestFit="1" customWidth="1"/>
    <col min="2" max="2" width="13.42578125" bestFit="1" customWidth="1"/>
    <col min="3" max="3" width="32.28515625" bestFit="1" customWidth="1"/>
    <col min="4" max="4" width="38" customWidth="1"/>
    <col min="5" max="5" width="58.5703125" customWidth="1"/>
    <col min="6" max="6" width="32.7109375" bestFit="1" customWidth="1"/>
    <col min="7" max="12" width="21.28515625" customWidth="1"/>
    <col min="13" max="13" width="30.5703125" bestFit="1" customWidth="1"/>
    <col min="14" max="14" width="26" customWidth="1"/>
    <col min="15" max="15" width="52.28515625" bestFit="1" customWidth="1"/>
  </cols>
  <sheetData>
    <row r="1" spans="1:15" ht="15">
      <c r="A1" s="248" t="s">
        <v>0</v>
      </c>
      <c r="B1" s="249" t="s">
        <v>1</v>
      </c>
      <c r="C1" s="249" t="s">
        <v>2</v>
      </c>
      <c r="D1" s="250" t="s">
        <v>4</v>
      </c>
      <c r="E1" s="251" t="s">
        <v>5</v>
      </c>
      <c r="F1" s="249" t="s">
        <v>17</v>
      </c>
      <c r="G1" s="250" t="s">
        <v>13</v>
      </c>
      <c r="H1" s="250" t="s">
        <v>14</v>
      </c>
      <c r="I1" s="252" t="s">
        <v>15</v>
      </c>
      <c r="J1" s="252" t="s">
        <v>16</v>
      </c>
      <c r="K1" s="249" t="s">
        <v>17</v>
      </c>
      <c r="L1" s="252"/>
      <c r="M1" s="252" t="s">
        <v>18</v>
      </c>
      <c r="N1" s="250" t="s">
        <v>19</v>
      </c>
      <c r="O1" s="252" t="s">
        <v>20</v>
      </c>
    </row>
    <row r="2" spans="1:15" ht="15.75" customHeight="1">
      <c r="A2" s="9" t="s">
        <v>26</v>
      </c>
      <c r="B2" s="10" t="s">
        <v>27</v>
      </c>
      <c r="C2" s="11" t="s">
        <v>28</v>
      </c>
      <c r="D2" s="13" t="s">
        <v>29</v>
      </c>
      <c r="E2" s="6" t="s">
        <v>30</v>
      </c>
      <c r="F2" s="10" t="s">
        <v>37</v>
      </c>
      <c r="G2" s="17"/>
      <c r="H2" s="17" t="s">
        <v>35</v>
      </c>
      <c r="I2" s="6" t="s">
        <v>35</v>
      </c>
      <c r="J2" s="6" t="s">
        <v>36</v>
      </c>
      <c r="K2" s="10" t="s">
        <v>37</v>
      </c>
      <c r="L2" s="18" t="str">
        <f t="shared" ref="L2:L65" si="0">A2</f>
        <v>0001</v>
      </c>
      <c r="M2" s="18" t="s">
        <v>38</v>
      </c>
      <c r="N2" s="19" t="s">
        <v>28</v>
      </c>
      <c r="O2" s="20" t="s">
        <v>39</v>
      </c>
    </row>
    <row r="3" spans="1:15" ht="15.75" customHeight="1">
      <c r="A3" s="9" t="s">
        <v>42</v>
      </c>
      <c r="B3" s="10" t="s">
        <v>27</v>
      </c>
      <c r="C3" s="11" t="s">
        <v>28</v>
      </c>
      <c r="D3" s="13" t="s">
        <v>43</v>
      </c>
      <c r="E3" s="6" t="s">
        <v>44</v>
      </c>
      <c r="F3" s="10" t="s">
        <v>50</v>
      </c>
      <c r="G3" s="17"/>
      <c r="H3" s="17" t="s">
        <v>49</v>
      </c>
      <c r="I3" s="6">
        <v>3358</v>
      </c>
      <c r="J3" s="6" t="s">
        <v>36</v>
      </c>
      <c r="K3" s="10" t="s">
        <v>50</v>
      </c>
      <c r="L3" s="18" t="str">
        <f t="shared" si="0"/>
        <v>0002</v>
      </c>
      <c r="M3" s="18" t="s">
        <v>38</v>
      </c>
      <c r="N3" s="19" t="s">
        <v>28</v>
      </c>
      <c r="O3" s="22" t="s">
        <v>40</v>
      </c>
    </row>
    <row r="4" spans="1:15" ht="15.75" customHeight="1">
      <c r="A4" s="9" t="s">
        <v>52</v>
      </c>
      <c r="B4" s="10" t="s">
        <v>27</v>
      </c>
      <c r="C4" s="11" t="s">
        <v>28</v>
      </c>
      <c r="D4" s="13" t="s">
        <v>53</v>
      </c>
      <c r="E4" s="6" t="s">
        <v>54</v>
      </c>
      <c r="F4" s="10" t="s">
        <v>59</v>
      </c>
      <c r="G4" s="17"/>
      <c r="H4" s="17" t="s">
        <v>35</v>
      </c>
      <c r="I4" s="6" t="s">
        <v>35</v>
      </c>
      <c r="J4" s="6" t="s">
        <v>36</v>
      </c>
      <c r="K4" s="10" t="s">
        <v>59</v>
      </c>
      <c r="L4" s="18" t="str">
        <f t="shared" si="0"/>
        <v>0003</v>
      </c>
      <c r="M4" s="18" t="s">
        <v>38</v>
      </c>
      <c r="N4" s="28" t="s">
        <v>28</v>
      </c>
      <c r="O4" s="22" t="s">
        <v>40</v>
      </c>
    </row>
    <row r="5" spans="1:15" ht="15.75" customHeight="1">
      <c r="A5" s="10" t="s">
        <v>61</v>
      </c>
      <c r="B5" s="10" t="s">
        <v>27</v>
      </c>
      <c r="C5" s="11" t="s">
        <v>28</v>
      </c>
      <c r="D5" s="13" t="s">
        <v>62</v>
      </c>
      <c r="E5" s="6" t="s">
        <v>63</v>
      </c>
      <c r="F5" s="10" t="s">
        <v>68</v>
      </c>
      <c r="G5" s="17"/>
      <c r="H5" s="17" t="s">
        <v>35</v>
      </c>
      <c r="I5" s="6" t="s">
        <v>35</v>
      </c>
      <c r="J5" s="6" t="s">
        <v>36</v>
      </c>
      <c r="K5" s="10" t="s">
        <v>68</v>
      </c>
      <c r="L5" s="18" t="str">
        <f t="shared" si="0"/>
        <v>0004</v>
      </c>
      <c r="M5" s="18" t="s">
        <v>38</v>
      </c>
      <c r="N5" s="19" t="s">
        <v>28</v>
      </c>
      <c r="O5" s="20" t="s">
        <v>39</v>
      </c>
    </row>
    <row r="6" spans="1:15" ht="15.75" customHeight="1">
      <c r="A6" s="10" t="s">
        <v>70</v>
      </c>
      <c r="B6" s="10" t="s">
        <v>27</v>
      </c>
      <c r="C6" s="11" t="s">
        <v>28</v>
      </c>
      <c r="D6" s="13" t="s">
        <v>71</v>
      </c>
      <c r="E6" s="6" t="s">
        <v>72</v>
      </c>
      <c r="F6" s="10" t="s">
        <v>77</v>
      </c>
      <c r="G6" s="17"/>
      <c r="H6" s="17" t="s">
        <v>35</v>
      </c>
      <c r="I6" s="6" t="s">
        <v>35</v>
      </c>
      <c r="J6" s="6" t="s">
        <v>36</v>
      </c>
      <c r="K6" s="10" t="s">
        <v>77</v>
      </c>
      <c r="L6" s="18" t="str">
        <f t="shared" si="0"/>
        <v>0005</v>
      </c>
      <c r="M6" s="18" t="s">
        <v>38</v>
      </c>
      <c r="N6" s="19" t="s">
        <v>28</v>
      </c>
      <c r="O6" s="22" t="s">
        <v>40</v>
      </c>
    </row>
    <row r="7" spans="1:15" ht="15.75" customHeight="1">
      <c r="A7" s="10" t="s">
        <v>79</v>
      </c>
      <c r="B7" s="10" t="s">
        <v>27</v>
      </c>
      <c r="C7" s="11" t="s">
        <v>28</v>
      </c>
      <c r="D7" s="13" t="s">
        <v>80</v>
      </c>
      <c r="E7" s="6" t="s">
        <v>81</v>
      </c>
      <c r="F7" s="10" t="s">
        <v>85</v>
      </c>
      <c r="G7" s="17"/>
      <c r="H7" s="17" t="s">
        <v>35</v>
      </c>
      <c r="I7" s="6" t="s">
        <v>35</v>
      </c>
      <c r="J7" s="6" t="s">
        <v>36</v>
      </c>
      <c r="K7" s="10" t="s">
        <v>85</v>
      </c>
      <c r="L7" s="18" t="str">
        <f t="shared" si="0"/>
        <v>0006</v>
      </c>
      <c r="M7" s="18" t="s">
        <v>38</v>
      </c>
      <c r="N7" s="19" t="s">
        <v>28</v>
      </c>
      <c r="O7" s="22" t="s">
        <v>40</v>
      </c>
    </row>
    <row r="8" spans="1:15" ht="15.75" customHeight="1">
      <c r="A8" s="10" t="s">
        <v>87</v>
      </c>
      <c r="B8" s="10" t="s">
        <v>27</v>
      </c>
      <c r="C8" s="11" t="s">
        <v>28</v>
      </c>
      <c r="D8" s="13" t="s">
        <v>80</v>
      </c>
      <c r="E8" s="6" t="s">
        <v>81</v>
      </c>
      <c r="F8" s="10" t="s">
        <v>91</v>
      </c>
      <c r="G8" s="17"/>
      <c r="H8" s="35" t="s">
        <v>90</v>
      </c>
      <c r="I8" s="6" t="s">
        <v>90</v>
      </c>
      <c r="J8" s="6" t="s">
        <v>36</v>
      </c>
      <c r="K8" s="10" t="s">
        <v>91</v>
      </c>
      <c r="L8" s="18" t="str">
        <f t="shared" si="0"/>
        <v>0007</v>
      </c>
      <c r="M8" s="18" t="s">
        <v>38</v>
      </c>
      <c r="N8" s="19" t="s">
        <v>28</v>
      </c>
      <c r="O8" s="20" t="s">
        <v>39</v>
      </c>
    </row>
    <row r="9" spans="1:15" ht="15.75" customHeight="1">
      <c r="A9" s="10" t="s">
        <v>92</v>
      </c>
      <c r="B9" s="10" t="s">
        <v>27</v>
      </c>
      <c r="C9" s="11" t="s">
        <v>28</v>
      </c>
      <c r="D9" s="13" t="s">
        <v>93</v>
      </c>
      <c r="E9" s="6" t="s">
        <v>94</v>
      </c>
      <c r="F9" s="10" t="s">
        <v>99</v>
      </c>
      <c r="G9" s="17"/>
      <c r="H9" s="17" t="s">
        <v>35</v>
      </c>
      <c r="I9" s="6" t="s">
        <v>35</v>
      </c>
      <c r="J9" s="6" t="s">
        <v>36</v>
      </c>
      <c r="K9" s="10" t="s">
        <v>99</v>
      </c>
      <c r="L9" s="18" t="str">
        <f t="shared" si="0"/>
        <v>0008</v>
      </c>
      <c r="M9" s="18" t="s">
        <v>100</v>
      </c>
      <c r="N9" s="19" t="s">
        <v>28</v>
      </c>
      <c r="O9" s="22" t="s">
        <v>40</v>
      </c>
    </row>
    <row r="10" spans="1:15" ht="15.75" customHeight="1">
      <c r="A10" s="10" t="s">
        <v>102</v>
      </c>
      <c r="B10" s="10" t="s">
        <v>27</v>
      </c>
      <c r="C10" s="11" t="s">
        <v>28</v>
      </c>
      <c r="D10" s="13" t="s">
        <v>62</v>
      </c>
      <c r="E10" s="6" t="s">
        <v>103</v>
      </c>
      <c r="F10" s="10" t="s">
        <v>108</v>
      </c>
      <c r="G10" s="17"/>
      <c r="H10" s="17" t="s">
        <v>35</v>
      </c>
      <c r="I10" s="6" t="s">
        <v>35</v>
      </c>
      <c r="J10" s="6" t="s">
        <v>36</v>
      </c>
      <c r="K10" s="10" t="s">
        <v>108</v>
      </c>
      <c r="L10" s="18" t="str">
        <f t="shared" si="0"/>
        <v>0009</v>
      </c>
      <c r="M10" s="18" t="s">
        <v>38</v>
      </c>
      <c r="N10" s="19" t="s">
        <v>28</v>
      </c>
      <c r="O10" s="22" t="s">
        <v>40</v>
      </c>
    </row>
    <row r="11" spans="1:15" ht="15.75" customHeight="1">
      <c r="A11" s="10" t="s">
        <v>109</v>
      </c>
      <c r="B11" s="10" t="s">
        <v>27</v>
      </c>
      <c r="C11" s="11" t="s">
        <v>28</v>
      </c>
      <c r="D11" s="13" t="s">
        <v>29</v>
      </c>
      <c r="E11" s="6" t="s">
        <v>110</v>
      </c>
      <c r="F11" s="10" t="s">
        <v>114</v>
      </c>
      <c r="G11" s="35"/>
      <c r="H11" s="17" t="s">
        <v>35</v>
      </c>
      <c r="I11" s="6" t="s">
        <v>35</v>
      </c>
      <c r="J11" s="6" t="s">
        <v>36</v>
      </c>
      <c r="K11" s="10" t="s">
        <v>114</v>
      </c>
      <c r="L11" s="18" t="str">
        <f t="shared" si="0"/>
        <v>0010</v>
      </c>
      <c r="M11" s="18" t="s">
        <v>38</v>
      </c>
      <c r="N11" s="19" t="s">
        <v>28</v>
      </c>
      <c r="O11" s="22" t="s">
        <v>40</v>
      </c>
    </row>
    <row r="12" spans="1:15" ht="15.75" customHeight="1">
      <c r="A12" s="10" t="s">
        <v>115</v>
      </c>
      <c r="B12" s="10" t="s">
        <v>27</v>
      </c>
      <c r="C12" s="11" t="s">
        <v>28</v>
      </c>
      <c r="D12" s="13" t="s">
        <v>116</v>
      </c>
      <c r="E12" s="6" t="s">
        <v>117</v>
      </c>
      <c r="F12" s="10" t="s">
        <v>121</v>
      </c>
      <c r="G12" s="17"/>
      <c r="H12" s="17" t="s">
        <v>35</v>
      </c>
      <c r="I12" s="6" t="s">
        <v>35</v>
      </c>
      <c r="J12" s="6" t="s">
        <v>36</v>
      </c>
      <c r="K12" s="10" t="s">
        <v>121</v>
      </c>
      <c r="L12" s="18" t="str">
        <f t="shared" si="0"/>
        <v>0011</v>
      </c>
      <c r="M12" s="18" t="s">
        <v>38</v>
      </c>
      <c r="N12" s="19" t="s">
        <v>28</v>
      </c>
      <c r="O12" s="22" t="s">
        <v>40</v>
      </c>
    </row>
    <row r="13" spans="1:15" ht="15.75" customHeight="1">
      <c r="A13" s="10" t="s">
        <v>122</v>
      </c>
      <c r="B13" s="10" t="s">
        <v>27</v>
      </c>
      <c r="C13" s="11" t="s">
        <v>28</v>
      </c>
      <c r="D13" s="13" t="s">
        <v>116</v>
      </c>
      <c r="E13" s="6" t="s">
        <v>123</v>
      </c>
      <c r="F13" s="10" t="s">
        <v>127</v>
      </c>
      <c r="G13" s="17"/>
      <c r="H13" s="17" t="s">
        <v>35</v>
      </c>
      <c r="I13" s="6" t="s">
        <v>35</v>
      </c>
      <c r="J13" s="6" t="s">
        <v>36</v>
      </c>
      <c r="K13" s="10" t="s">
        <v>127</v>
      </c>
      <c r="L13" s="18" t="str">
        <f t="shared" si="0"/>
        <v>0012</v>
      </c>
      <c r="M13" s="18" t="s">
        <v>38</v>
      </c>
      <c r="N13" s="19" t="s">
        <v>28</v>
      </c>
      <c r="O13" s="22" t="s">
        <v>40</v>
      </c>
    </row>
    <row r="14" spans="1:15" ht="15.75" customHeight="1">
      <c r="A14" s="10" t="s">
        <v>128</v>
      </c>
      <c r="B14" s="10" t="s">
        <v>27</v>
      </c>
      <c r="C14" s="11" t="s">
        <v>28</v>
      </c>
      <c r="D14" s="13" t="s">
        <v>116</v>
      </c>
      <c r="E14" s="6" t="s">
        <v>129</v>
      </c>
      <c r="F14" s="10" t="s">
        <v>134</v>
      </c>
      <c r="G14" s="17"/>
      <c r="H14" s="17" t="s">
        <v>35</v>
      </c>
      <c r="I14" s="6" t="s">
        <v>35</v>
      </c>
      <c r="J14" s="6" t="s">
        <v>36</v>
      </c>
      <c r="K14" s="10" t="s">
        <v>134</v>
      </c>
      <c r="L14" s="18" t="str">
        <f t="shared" si="0"/>
        <v>0013</v>
      </c>
      <c r="M14" s="18" t="s">
        <v>38</v>
      </c>
      <c r="N14" s="19" t="s">
        <v>28</v>
      </c>
      <c r="O14" s="22" t="s">
        <v>40</v>
      </c>
    </row>
    <row r="15" spans="1:15" ht="15.75" customHeight="1">
      <c r="A15" s="10" t="s">
        <v>135</v>
      </c>
      <c r="B15" s="10" t="s">
        <v>27</v>
      </c>
      <c r="C15" s="11" t="s">
        <v>28</v>
      </c>
      <c r="D15" s="13" t="s">
        <v>136</v>
      </c>
      <c r="E15" s="6" t="s">
        <v>7233</v>
      </c>
      <c r="F15" s="10" t="s">
        <v>146</v>
      </c>
      <c r="G15" s="17"/>
      <c r="H15" s="17" t="s">
        <v>143</v>
      </c>
      <c r="I15" s="6" t="s">
        <v>144</v>
      </c>
      <c r="J15" s="6" t="s">
        <v>145</v>
      </c>
      <c r="K15" s="10" t="s">
        <v>146</v>
      </c>
      <c r="L15" s="18" t="str">
        <f t="shared" si="0"/>
        <v>0014</v>
      </c>
      <c r="M15" s="18" t="s">
        <v>100</v>
      </c>
      <c r="N15" s="19" t="s">
        <v>147</v>
      </c>
      <c r="O15" s="20" t="s">
        <v>148</v>
      </c>
    </row>
    <row r="16" spans="1:15" ht="15.75" customHeight="1">
      <c r="A16" s="10" t="s">
        <v>150</v>
      </c>
      <c r="B16" s="10" t="s">
        <v>27</v>
      </c>
      <c r="C16" s="11" t="s">
        <v>28</v>
      </c>
      <c r="D16" s="13" t="s">
        <v>151</v>
      </c>
      <c r="E16" s="6" t="s">
        <v>152</v>
      </c>
      <c r="F16" s="10" t="s">
        <v>160</v>
      </c>
      <c r="G16" s="17"/>
      <c r="H16" s="17" t="s">
        <v>157</v>
      </c>
      <c r="I16" s="6" t="s">
        <v>158</v>
      </c>
      <c r="J16" s="6" t="s">
        <v>159</v>
      </c>
      <c r="K16" s="10" t="s">
        <v>160</v>
      </c>
      <c r="L16" s="18" t="str">
        <f t="shared" si="0"/>
        <v>0015</v>
      </c>
      <c r="M16" s="18" t="s">
        <v>100</v>
      </c>
      <c r="N16" s="19" t="s">
        <v>28</v>
      </c>
      <c r="O16" s="22" t="s">
        <v>40</v>
      </c>
    </row>
    <row r="17" spans="1:15" ht="15.75" customHeight="1">
      <c r="A17" s="10" t="s">
        <v>161</v>
      </c>
      <c r="B17" s="10" t="s">
        <v>27</v>
      </c>
      <c r="C17" s="11" t="s">
        <v>28</v>
      </c>
      <c r="D17" s="13" t="s">
        <v>162</v>
      </c>
      <c r="E17" s="6" t="s">
        <v>163</v>
      </c>
      <c r="F17" s="10" t="s">
        <v>171</v>
      </c>
      <c r="G17" s="17"/>
      <c r="H17" s="17" t="s">
        <v>168</v>
      </c>
      <c r="I17" s="6" t="s">
        <v>169</v>
      </c>
      <c r="J17" s="6" t="s">
        <v>170</v>
      </c>
      <c r="K17" s="10" t="s">
        <v>171</v>
      </c>
      <c r="L17" s="18" t="str">
        <f t="shared" si="0"/>
        <v>0016</v>
      </c>
      <c r="M17" s="18" t="s">
        <v>100</v>
      </c>
      <c r="N17" s="19" t="s">
        <v>28</v>
      </c>
      <c r="O17" s="22" t="s">
        <v>40</v>
      </c>
    </row>
    <row r="18" spans="1:15" ht="15.75" customHeight="1">
      <c r="A18" s="10" t="s">
        <v>172</v>
      </c>
      <c r="B18" s="10" t="s">
        <v>27</v>
      </c>
      <c r="C18" s="11" t="s">
        <v>28</v>
      </c>
      <c r="D18" s="13" t="s">
        <v>173</v>
      </c>
      <c r="E18" s="6" t="s">
        <v>174</v>
      </c>
      <c r="F18" s="10" t="s">
        <v>182</v>
      </c>
      <c r="G18" s="17"/>
      <c r="H18" s="17" t="s">
        <v>179</v>
      </c>
      <c r="I18" s="6" t="s">
        <v>180</v>
      </c>
      <c r="J18" s="6" t="s">
        <v>181</v>
      </c>
      <c r="K18" s="10" t="s">
        <v>182</v>
      </c>
      <c r="L18" s="18" t="str">
        <f t="shared" si="0"/>
        <v>0017</v>
      </c>
      <c r="M18" s="18" t="s">
        <v>38</v>
      </c>
      <c r="N18" s="19" t="s">
        <v>28</v>
      </c>
      <c r="O18" s="22" t="s">
        <v>40</v>
      </c>
    </row>
    <row r="19" spans="1:15" ht="15.75" customHeight="1">
      <c r="A19" s="10" t="s">
        <v>183</v>
      </c>
      <c r="B19" s="10" t="s">
        <v>27</v>
      </c>
      <c r="C19" s="11" t="s">
        <v>28</v>
      </c>
      <c r="D19" s="13" t="s">
        <v>184</v>
      </c>
      <c r="E19" s="6" t="s">
        <v>185</v>
      </c>
      <c r="F19" s="10" t="s">
        <v>190</v>
      </c>
      <c r="G19" s="17"/>
      <c r="H19" s="35" t="s">
        <v>35</v>
      </c>
      <c r="I19" s="6" t="s">
        <v>35</v>
      </c>
      <c r="J19" s="10" t="s">
        <v>36</v>
      </c>
      <c r="K19" s="10" t="s">
        <v>190</v>
      </c>
      <c r="L19" s="18" t="str">
        <f t="shared" si="0"/>
        <v>0018</v>
      </c>
      <c r="M19" s="18" t="s">
        <v>38</v>
      </c>
      <c r="N19" s="19" t="s">
        <v>28</v>
      </c>
      <c r="O19" s="22" t="s">
        <v>40</v>
      </c>
    </row>
    <row r="20" spans="1:15" ht="15.75" customHeight="1">
      <c r="A20" s="10" t="s">
        <v>191</v>
      </c>
      <c r="B20" s="10" t="s">
        <v>27</v>
      </c>
      <c r="C20" s="11" t="s">
        <v>28</v>
      </c>
      <c r="D20" s="13" t="s">
        <v>53</v>
      </c>
      <c r="E20" s="6" t="s">
        <v>192</v>
      </c>
      <c r="F20" s="10" t="s">
        <v>197</v>
      </c>
      <c r="G20" s="17"/>
      <c r="H20" s="35" t="s">
        <v>35</v>
      </c>
      <c r="I20" s="6" t="s">
        <v>35</v>
      </c>
      <c r="J20" s="10" t="s">
        <v>36</v>
      </c>
      <c r="K20" s="10" t="s">
        <v>197</v>
      </c>
      <c r="L20" s="18" t="str">
        <f t="shared" si="0"/>
        <v>0019</v>
      </c>
      <c r="M20" s="18" t="s">
        <v>38</v>
      </c>
      <c r="N20" s="19" t="s">
        <v>28</v>
      </c>
      <c r="O20" s="22" t="s">
        <v>40</v>
      </c>
    </row>
    <row r="21" spans="1:15" ht="15.75" customHeight="1">
      <c r="A21" s="10" t="s">
        <v>198</v>
      </c>
      <c r="B21" s="10" t="s">
        <v>27</v>
      </c>
      <c r="C21" s="11" t="s">
        <v>28</v>
      </c>
      <c r="D21" s="13" t="s">
        <v>199</v>
      </c>
      <c r="E21" s="6" t="s">
        <v>200</v>
      </c>
      <c r="F21" s="10" t="s">
        <v>208</v>
      </c>
      <c r="G21" s="17"/>
      <c r="H21" s="17" t="s">
        <v>205</v>
      </c>
      <c r="I21" s="6" t="s">
        <v>7234</v>
      </c>
      <c r="J21" s="6" t="s">
        <v>207</v>
      </c>
      <c r="K21" s="10" t="s">
        <v>208</v>
      </c>
      <c r="L21" s="18" t="str">
        <f t="shared" si="0"/>
        <v>0020</v>
      </c>
      <c r="M21" s="18" t="s">
        <v>38</v>
      </c>
      <c r="N21" s="19" t="s">
        <v>28</v>
      </c>
      <c r="O21" s="22" t="s">
        <v>40</v>
      </c>
    </row>
    <row r="22" spans="1:15" ht="15.75" customHeight="1">
      <c r="A22" s="10" t="s">
        <v>209</v>
      </c>
      <c r="B22" s="10" t="s">
        <v>27</v>
      </c>
      <c r="C22" s="11" t="s">
        <v>28</v>
      </c>
      <c r="D22" s="13" t="s">
        <v>210</v>
      </c>
      <c r="E22" s="6" t="s">
        <v>211</v>
      </c>
      <c r="F22" s="10" t="s">
        <v>219</v>
      </c>
      <c r="G22" s="17"/>
      <c r="H22" s="17" t="s">
        <v>216</v>
      </c>
      <c r="I22" s="6" t="s">
        <v>217</v>
      </c>
      <c r="J22" s="6" t="s">
        <v>218</v>
      </c>
      <c r="K22" s="10" t="s">
        <v>219</v>
      </c>
      <c r="L22" s="18" t="str">
        <f t="shared" si="0"/>
        <v>0021</v>
      </c>
      <c r="M22" s="18" t="s">
        <v>38</v>
      </c>
      <c r="N22" s="19" t="s">
        <v>28</v>
      </c>
      <c r="O22" s="22" t="s">
        <v>40</v>
      </c>
    </row>
    <row r="23" spans="1:15" ht="15.75" customHeight="1">
      <c r="A23" s="10" t="s">
        <v>220</v>
      </c>
      <c r="B23" s="10" t="s">
        <v>27</v>
      </c>
      <c r="C23" s="11" t="s">
        <v>28</v>
      </c>
      <c r="D23" s="13" t="s">
        <v>184</v>
      </c>
      <c r="E23" s="6" t="s">
        <v>7235</v>
      </c>
      <c r="F23" s="10" t="s">
        <v>226</v>
      </c>
      <c r="G23" s="17"/>
      <c r="H23" s="17" t="s">
        <v>35</v>
      </c>
      <c r="I23" s="6" t="s">
        <v>35</v>
      </c>
      <c r="J23" s="6" t="s">
        <v>36</v>
      </c>
      <c r="K23" s="10" t="s">
        <v>226</v>
      </c>
      <c r="L23" s="18" t="str">
        <f t="shared" si="0"/>
        <v>0022</v>
      </c>
      <c r="M23" s="18" t="s">
        <v>38</v>
      </c>
      <c r="N23" s="19" t="s">
        <v>28</v>
      </c>
      <c r="O23" s="22" t="s">
        <v>40</v>
      </c>
    </row>
    <row r="24" spans="1:15" ht="15.75" customHeight="1">
      <c r="A24" s="10" t="s">
        <v>227</v>
      </c>
      <c r="B24" s="10" t="s">
        <v>27</v>
      </c>
      <c r="C24" s="11" t="s">
        <v>28</v>
      </c>
      <c r="D24" s="13" t="s">
        <v>184</v>
      </c>
      <c r="E24" s="6" t="s">
        <v>7235</v>
      </c>
      <c r="F24" s="35" t="s">
        <v>232</v>
      </c>
      <c r="G24" s="17"/>
      <c r="H24" s="17" t="s">
        <v>35</v>
      </c>
      <c r="I24" s="6" t="s">
        <v>35</v>
      </c>
      <c r="J24" s="17" t="s">
        <v>36</v>
      </c>
      <c r="K24" s="35" t="s">
        <v>232</v>
      </c>
      <c r="L24" s="18" t="str">
        <f t="shared" si="0"/>
        <v>0023</v>
      </c>
      <c r="M24" s="18" t="s">
        <v>38</v>
      </c>
      <c r="N24" s="19" t="s">
        <v>28</v>
      </c>
      <c r="O24" s="22" t="s">
        <v>40</v>
      </c>
    </row>
    <row r="25" spans="1:15" ht="15.75" customHeight="1">
      <c r="A25" s="10" t="s">
        <v>233</v>
      </c>
      <c r="B25" s="10" t="s">
        <v>27</v>
      </c>
      <c r="C25" s="11" t="s">
        <v>28</v>
      </c>
      <c r="D25" s="13" t="s">
        <v>234</v>
      </c>
      <c r="E25" s="6" t="s">
        <v>235</v>
      </c>
      <c r="F25" s="35" t="s">
        <v>240</v>
      </c>
      <c r="G25" s="17"/>
      <c r="H25" s="17" t="s">
        <v>35</v>
      </c>
      <c r="I25" s="6" t="s">
        <v>35</v>
      </c>
      <c r="J25" s="17" t="s">
        <v>36</v>
      </c>
      <c r="K25" s="35" t="s">
        <v>240</v>
      </c>
      <c r="L25" s="18" t="str">
        <f t="shared" si="0"/>
        <v>0024</v>
      </c>
      <c r="M25" s="18" t="s">
        <v>38</v>
      </c>
      <c r="N25" s="28" t="s">
        <v>28</v>
      </c>
      <c r="O25" s="22" t="s">
        <v>40</v>
      </c>
    </row>
    <row r="26" spans="1:15" ht="15.75" customHeight="1">
      <c r="A26" s="10" t="s">
        <v>241</v>
      </c>
      <c r="B26" s="10" t="s">
        <v>27</v>
      </c>
      <c r="C26" s="11" t="s">
        <v>28</v>
      </c>
      <c r="D26" s="13" t="s">
        <v>242</v>
      </c>
      <c r="E26" s="6" t="s">
        <v>242</v>
      </c>
      <c r="F26" s="10" t="s">
        <v>85</v>
      </c>
      <c r="G26" s="17"/>
      <c r="H26" s="17" t="s">
        <v>245</v>
      </c>
      <c r="I26" s="6" t="s">
        <v>246</v>
      </c>
      <c r="J26" s="6" t="s">
        <v>36</v>
      </c>
      <c r="K26" s="10" t="s">
        <v>85</v>
      </c>
      <c r="L26" s="18" t="str">
        <f t="shared" si="0"/>
        <v>0025</v>
      </c>
      <c r="M26" s="18" t="s">
        <v>38</v>
      </c>
      <c r="N26" s="19" t="s">
        <v>28</v>
      </c>
      <c r="O26" s="22" t="s">
        <v>40</v>
      </c>
    </row>
    <row r="27" spans="1:15" ht="15.75" customHeight="1">
      <c r="A27" s="10" t="s">
        <v>247</v>
      </c>
      <c r="B27" s="10" t="s">
        <v>27</v>
      </c>
      <c r="C27" s="11" t="s">
        <v>28</v>
      </c>
      <c r="D27" s="13" t="s">
        <v>248</v>
      </c>
      <c r="E27" s="6" t="s">
        <v>249</v>
      </c>
      <c r="F27" s="10" t="s">
        <v>252</v>
      </c>
      <c r="G27" s="17"/>
      <c r="H27" s="35" t="s">
        <v>250</v>
      </c>
      <c r="I27" s="6" t="s">
        <v>7236</v>
      </c>
      <c r="J27" s="6">
        <v>5827700022</v>
      </c>
      <c r="K27" s="10" t="s">
        <v>252</v>
      </c>
      <c r="L27" s="18" t="str">
        <f t="shared" si="0"/>
        <v>0026</v>
      </c>
      <c r="M27" s="18" t="s">
        <v>38</v>
      </c>
      <c r="N27" s="19" t="s">
        <v>28</v>
      </c>
      <c r="O27" s="20" t="s">
        <v>40</v>
      </c>
    </row>
    <row r="28" spans="1:15" ht="15.75" customHeight="1">
      <c r="A28" s="10" t="s">
        <v>253</v>
      </c>
      <c r="B28" s="10" t="s">
        <v>27</v>
      </c>
      <c r="C28" s="11" t="s">
        <v>28</v>
      </c>
      <c r="D28" s="13" t="s">
        <v>184</v>
      </c>
      <c r="E28" s="6" t="s">
        <v>254</v>
      </c>
      <c r="F28" s="35" t="s">
        <v>259</v>
      </c>
      <c r="G28" s="17"/>
      <c r="H28" s="17" t="s">
        <v>35</v>
      </c>
      <c r="I28" s="6" t="s">
        <v>35</v>
      </c>
      <c r="J28" s="17" t="s">
        <v>36</v>
      </c>
      <c r="K28" s="35" t="s">
        <v>259</v>
      </c>
      <c r="L28" s="18" t="str">
        <f t="shared" si="0"/>
        <v>0027</v>
      </c>
      <c r="M28" s="18" t="s">
        <v>38</v>
      </c>
      <c r="N28" s="19" t="s">
        <v>147</v>
      </c>
      <c r="O28" s="20" t="s">
        <v>260</v>
      </c>
    </row>
    <row r="29" spans="1:15" ht="15.75" customHeight="1">
      <c r="A29" s="10" t="s">
        <v>262</v>
      </c>
      <c r="B29" s="10" t="s">
        <v>27</v>
      </c>
      <c r="C29" s="11" t="s">
        <v>28</v>
      </c>
      <c r="D29" s="13" t="s">
        <v>116</v>
      </c>
      <c r="E29" s="6" t="s">
        <v>263</v>
      </c>
      <c r="F29" s="35" t="s">
        <v>268</v>
      </c>
      <c r="G29" s="17"/>
      <c r="H29" s="17" t="s">
        <v>35</v>
      </c>
      <c r="I29" s="6" t="s">
        <v>35</v>
      </c>
      <c r="J29" s="17" t="s">
        <v>36</v>
      </c>
      <c r="K29" s="35" t="s">
        <v>268</v>
      </c>
      <c r="L29" s="18" t="str">
        <f t="shared" si="0"/>
        <v>0028</v>
      </c>
      <c r="M29" s="18" t="s">
        <v>38</v>
      </c>
      <c r="N29" s="19" t="s">
        <v>28</v>
      </c>
      <c r="O29" s="22" t="s">
        <v>39</v>
      </c>
    </row>
    <row r="30" spans="1:15" ht="15.75" customHeight="1">
      <c r="A30" s="10" t="s">
        <v>269</v>
      </c>
      <c r="B30" s="10" t="s">
        <v>27</v>
      </c>
      <c r="C30" s="11" t="s">
        <v>28</v>
      </c>
      <c r="D30" s="13" t="s">
        <v>199</v>
      </c>
      <c r="E30" s="6" t="s">
        <v>199</v>
      </c>
      <c r="F30" s="10" t="s">
        <v>85</v>
      </c>
      <c r="G30" s="17"/>
      <c r="H30" s="17" t="s">
        <v>273</v>
      </c>
      <c r="I30" s="6" t="s">
        <v>274</v>
      </c>
      <c r="J30" s="6">
        <v>11392903015651</v>
      </c>
      <c r="K30" s="10" t="s">
        <v>85</v>
      </c>
      <c r="L30" s="18" t="str">
        <f t="shared" si="0"/>
        <v>0029</v>
      </c>
      <c r="M30" s="18" t="s">
        <v>38</v>
      </c>
      <c r="N30" s="19" t="s">
        <v>28</v>
      </c>
      <c r="O30" s="22" t="s">
        <v>39</v>
      </c>
    </row>
    <row r="31" spans="1:15" ht="15.75" customHeight="1">
      <c r="A31" s="10" t="s">
        <v>277</v>
      </c>
      <c r="B31" s="10" t="s">
        <v>27</v>
      </c>
      <c r="C31" s="11" t="s">
        <v>28</v>
      </c>
      <c r="D31" s="13" t="s">
        <v>278</v>
      </c>
      <c r="E31" s="43" t="s">
        <v>278</v>
      </c>
      <c r="F31" s="35" t="s">
        <v>283</v>
      </c>
      <c r="G31" s="17"/>
      <c r="H31" s="17" t="s">
        <v>35</v>
      </c>
      <c r="I31" s="6" t="s">
        <v>35</v>
      </c>
      <c r="J31" s="17" t="s">
        <v>36</v>
      </c>
      <c r="K31" s="35" t="s">
        <v>283</v>
      </c>
      <c r="L31" s="18" t="str">
        <f t="shared" si="0"/>
        <v>0030</v>
      </c>
      <c r="M31" s="18" t="s">
        <v>38</v>
      </c>
      <c r="N31" s="19" t="s">
        <v>28</v>
      </c>
      <c r="O31" s="22" t="s">
        <v>39</v>
      </c>
    </row>
    <row r="32" spans="1:15" ht="15.75" customHeight="1">
      <c r="A32" s="10" t="s">
        <v>284</v>
      </c>
      <c r="B32" s="10" t="s">
        <v>27</v>
      </c>
      <c r="C32" s="11" t="s">
        <v>28</v>
      </c>
      <c r="D32" s="13" t="s">
        <v>162</v>
      </c>
      <c r="E32" s="6" t="s">
        <v>285</v>
      </c>
      <c r="F32" s="35" t="s">
        <v>291</v>
      </c>
      <c r="G32" s="17"/>
      <c r="H32" s="17" t="s">
        <v>168</v>
      </c>
      <c r="I32" s="6" t="s">
        <v>169</v>
      </c>
      <c r="J32" s="17" t="s">
        <v>290</v>
      </c>
      <c r="K32" s="35" t="s">
        <v>291</v>
      </c>
      <c r="L32" s="18" t="str">
        <f t="shared" si="0"/>
        <v>0031</v>
      </c>
      <c r="M32" s="18" t="s">
        <v>38</v>
      </c>
      <c r="N32" s="19" t="s">
        <v>28</v>
      </c>
      <c r="O32" s="22" t="s">
        <v>39</v>
      </c>
    </row>
    <row r="33" spans="1:15" ht="15.75" customHeight="1">
      <c r="A33" s="10" t="s">
        <v>292</v>
      </c>
      <c r="B33" s="10" t="s">
        <v>27</v>
      </c>
      <c r="C33" s="11" t="s">
        <v>28</v>
      </c>
      <c r="D33" s="13" t="s">
        <v>151</v>
      </c>
      <c r="E33" s="6" t="s">
        <v>293</v>
      </c>
      <c r="F33" s="10" t="s">
        <v>85</v>
      </c>
      <c r="G33" s="17"/>
      <c r="H33" s="17" t="s">
        <v>297</v>
      </c>
      <c r="I33" s="6" t="s">
        <v>298</v>
      </c>
      <c r="J33" s="6" t="s">
        <v>299</v>
      </c>
      <c r="K33" s="10" t="s">
        <v>85</v>
      </c>
      <c r="L33" s="18" t="str">
        <f t="shared" si="0"/>
        <v>0032</v>
      </c>
      <c r="M33" s="18" t="s">
        <v>100</v>
      </c>
      <c r="N33" s="19" t="s">
        <v>28</v>
      </c>
      <c r="O33" s="22" t="s">
        <v>39</v>
      </c>
    </row>
    <row r="34" spans="1:15" ht="15.75" customHeight="1">
      <c r="A34" s="10" t="s">
        <v>300</v>
      </c>
      <c r="B34" s="10" t="s">
        <v>27</v>
      </c>
      <c r="C34" s="11" t="s">
        <v>28</v>
      </c>
      <c r="D34" s="13" t="s">
        <v>248</v>
      </c>
      <c r="E34" s="6" t="s">
        <v>248</v>
      </c>
      <c r="F34" s="10" t="s">
        <v>7237</v>
      </c>
      <c r="G34" s="17"/>
      <c r="H34" s="17" t="s">
        <v>303</v>
      </c>
      <c r="I34" s="6" t="s">
        <v>304</v>
      </c>
      <c r="J34" s="6" t="s">
        <v>305</v>
      </c>
      <c r="K34" s="10" t="s">
        <v>7237</v>
      </c>
      <c r="L34" s="18" t="str">
        <f t="shared" si="0"/>
        <v>0033</v>
      </c>
      <c r="M34" s="18" t="s">
        <v>38</v>
      </c>
      <c r="N34" s="19" t="s">
        <v>28</v>
      </c>
      <c r="O34" s="22" t="s">
        <v>39</v>
      </c>
    </row>
    <row r="35" spans="1:15" ht="15.75" customHeight="1">
      <c r="A35" s="10" t="s">
        <v>307</v>
      </c>
      <c r="B35" s="10" t="s">
        <v>27</v>
      </c>
      <c r="C35" s="11" t="s">
        <v>28</v>
      </c>
      <c r="D35" s="13" t="s">
        <v>93</v>
      </c>
      <c r="E35" s="6" t="s">
        <v>308</v>
      </c>
      <c r="F35" s="35" t="s">
        <v>313</v>
      </c>
      <c r="G35" s="17"/>
      <c r="H35" s="17" t="s">
        <v>35</v>
      </c>
      <c r="I35" s="6" t="s">
        <v>35</v>
      </c>
      <c r="J35" s="17" t="s">
        <v>36</v>
      </c>
      <c r="K35" s="35" t="s">
        <v>313</v>
      </c>
      <c r="L35" s="18" t="str">
        <f t="shared" si="0"/>
        <v>0034</v>
      </c>
      <c r="M35" s="18" t="s">
        <v>38</v>
      </c>
      <c r="N35" s="19" t="s">
        <v>28</v>
      </c>
      <c r="O35" s="22" t="s">
        <v>39</v>
      </c>
    </row>
    <row r="36" spans="1:15" ht="15.75" customHeight="1">
      <c r="A36" s="10" t="s">
        <v>314</v>
      </c>
      <c r="B36" s="10" t="s">
        <v>27</v>
      </c>
      <c r="C36" s="11" t="s">
        <v>28</v>
      </c>
      <c r="D36" s="13" t="s">
        <v>43</v>
      </c>
      <c r="E36" s="6" t="s">
        <v>315</v>
      </c>
      <c r="F36" s="10" t="s">
        <v>319</v>
      </c>
      <c r="G36" s="17"/>
      <c r="H36" s="17" t="s">
        <v>318</v>
      </c>
      <c r="I36" s="6">
        <v>10188</v>
      </c>
      <c r="J36" s="6" t="s">
        <v>36</v>
      </c>
      <c r="K36" s="10" t="s">
        <v>319</v>
      </c>
      <c r="L36" s="18" t="str">
        <f t="shared" si="0"/>
        <v>0035</v>
      </c>
      <c r="M36" s="18" t="s">
        <v>38</v>
      </c>
      <c r="N36" s="19" t="s">
        <v>28</v>
      </c>
      <c r="O36" s="22" t="s">
        <v>39</v>
      </c>
    </row>
    <row r="37" spans="1:15" ht="15.75" customHeight="1">
      <c r="A37" s="10" t="s">
        <v>320</v>
      </c>
      <c r="B37" s="10" t="s">
        <v>27</v>
      </c>
      <c r="C37" s="11" t="s">
        <v>28</v>
      </c>
      <c r="D37" s="13" t="s">
        <v>321</v>
      </c>
      <c r="E37" s="6" t="s">
        <v>322</v>
      </c>
      <c r="F37" s="32" t="s">
        <v>85</v>
      </c>
      <c r="G37" s="17"/>
      <c r="H37" s="17" t="s">
        <v>325</v>
      </c>
      <c r="I37" s="6" t="s">
        <v>326</v>
      </c>
      <c r="J37" s="6" t="s">
        <v>36</v>
      </c>
      <c r="K37" s="32" t="s">
        <v>85</v>
      </c>
      <c r="L37" s="18" t="str">
        <f t="shared" si="0"/>
        <v>0036</v>
      </c>
      <c r="M37" s="18" t="s">
        <v>100</v>
      </c>
      <c r="N37" s="19" t="s">
        <v>28</v>
      </c>
      <c r="O37" s="22" t="s">
        <v>39</v>
      </c>
    </row>
    <row r="38" spans="1:15" ht="15.75" customHeight="1">
      <c r="A38" s="10" t="s">
        <v>327</v>
      </c>
      <c r="B38" s="10" t="s">
        <v>27</v>
      </c>
      <c r="C38" s="11" t="s">
        <v>28</v>
      </c>
      <c r="D38" s="13" t="s">
        <v>151</v>
      </c>
      <c r="E38" s="6" t="s">
        <v>293</v>
      </c>
      <c r="F38" s="10" t="s">
        <v>85</v>
      </c>
      <c r="G38" s="17"/>
      <c r="H38" s="17" t="s">
        <v>297</v>
      </c>
      <c r="I38" s="6" t="s">
        <v>298</v>
      </c>
      <c r="J38" s="6" t="s">
        <v>331</v>
      </c>
      <c r="K38" s="10" t="s">
        <v>85</v>
      </c>
      <c r="L38" s="18" t="str">
        <f t="shared" si="0"/>
        <v>0037</v>
      </c>
      <c r="M38" s="18" t="s">
        <v>38</v>
      </c>
      <c r="N38" s="19" t="s">
        <v>28</v>
      </c>
      <c r="O38" s="22" t="s">
        <v>332</v>
      </c>
    </row>
    <row r="39" spans="1:15" ht="15.75" customHeight="1">
      <c r="A39" s="10" t="s">
        <v>333</v>
      </c>
      <c r="B39" s="10" t="s">
        <v>27</v>
      </c>
      <c r="C39" s="11" t="s">
        <v>28</v>
      </c>
      <c r="D39" s="13" t="s">
        <v>162</v>
      </c>
      <c r="E39" s="6" t="s">
        <v>285</v>
      </c>
      <c r="F39" s="35" t="s">
        <v>339</v>
      </c>
      <c r="G39" s="17"/>
      <c r="H39" s="17" t="s">
        <v>168</v>
      </c>
      <c r="I39" s="6" t="s">
        <v>169</v>
      </c>
      <c r="J39" s="17" t="s">
        <v>338</v>
      </c>
      <c r="K39" s="35" t="s">
        <v>339</v>
      </c>
      <c r="L39" s="18" t="str">
        <f t="shared" si="0"/>
        <v>0038</v>
      </c>
      <c r="M39" s="18" t="s">
        <v>100</v>
      </c>
      <c r="N39" s="19" t="s">
        <v>147</v>
      </c>
      <c r="O39" s="20" t="s">
        <v>340</v>
      </c>
    </row>
    <row r="40" spans="1:15" ht="15.75" customHeight="1">
      <c r="A40" s="10" t="s">
        <v>341</v>
      </c>
      <c r="B40" s="10" t="s">
        <v>27</v>
      </c>
      <c r="C40" s="11" t="s">
        <v>28</v>
      </c>
      <c r="D40" s="13" t="s">
        <v>199</v>
      </c>
      <c r="E40" s="6" t="s">
        <v>199</v>
      </c>
      <c r="F40" s="10" t="s">
        <v>85</v>
      </c>
      <c r="G40" s="17"/>
      <c r="H40" s="17" t="s">
        <v>273</v>
      </c>
      <c r="I40" s="6" t="s">
        <v>274</v>
      </c>
      <c r="J40" s="6">
        <v>11392903011586</v>
      </c>
      <c r="K40" s="10" t="s">
        <v>85</v>
      </c>
      <c r="L40" s="18" t="str">
        <f t="shared" si="0"/>
        <v>0039</v>
      </c>
      <c r="M40" s="18" t="s">
        <v>38</v>
      </c>
      <c r="N40" s="19" t="s">
        <v>28</v>
      </c>
      <c r="O40" s="22" t="s">
        <v>332</v>
      </c>
    </row>
    <row r="41" spans="1:15" ht="15.75" customHeight="1">
      <c r="A41" s="10" t="s">
        <v>345</v>
      </c>
      <c r="B41" s="10" t="s">
        <v>27</v>
      </c>
      <c r="C41" s="11" t="s">
        <v>28</v>
      </c>
      <c r="D41" s="13" t="s">
        <v>62</v>
      </c>
      <c r="E41" s="6" t="s">
        <v>346</v>
      </c>
      <c r="F41" s="35" t="s">
        <v>351</v>
      </c>
      <c r="G41" s="17"/>
      <c r="H41" s="17" t="s">
        <v>35</v>
      </c>
      <c r="I41" s="6" t="s">
        <v>35</v>
      </c>
      <c r="J41" s="35" t="s">
        <v>36</v>
      </c>
      <c r="K41" s="35" t="s">
        <v>351</v>
      </c>
      <c r="L41" s="18" t="str">
        <f t="shared" si="0"/>
        <v>0040</v>
      </c>
      <c r="M41" s="18" t="s">
        <v>38</v>
      </c>
      <c r="N41" s="19" t="s">
        <v>28</v>
      </c>
      <c r="O41" s="22" t="s">
        <v>332</v>
      </c>
    </row>
    <row r="42" spans="1:15" ht="15.75" customHeight="1">
      <c r="A42" s="10" t="s">
        <v>352</v>
      </c>
      <c r="B42" s="10" t="s">
        <v>27</v>
      </c>
      <c r="C42" s="11" t="s">
        <v>28</v>
      </c>
      <c r="D42" s="13" t="s">
        <v>353</v>
      </c>
      <c r="E42" s="6" t="s">
        <v>354</v>
      </c>
      <c r="F42" s="35" t="s">
        <v>362</v>
      </c>
      <c r="G42" s="17"/>
      <c r="H42" s="17" t="s">
        <v>359</v>
      </c>
      <c r="I42" s="6" t="s">
        <v>360</v>
      </c>
      <c r="J42" s="17" t="s">
        <v>361</v>
      </c>
      <c r="K42" s="35" t="s">
        <v>362</v>
      </c>
      <c r="L42" s="18" t="str">
        <f t="shared" si="0"/>
        <v>0041</v>
      </c>
      <c r="M42" s="18" t="s">
        <v>38</v>
      </c>
      <c r="N42" s="19" t="s">
        <v>28</v>
      </c>
      <c r="O42" s="22" t="s">
        <v>332</v>
      </c>
    </row>
    <row r="43" spans="1:15" ht="15.75" customHeight="1">
      <c r="A43" s="10" t="s">
        <v>363</v>
      </c>
      <c r="B43" s="10" t="s">
        <v>27</v>
      </c>
      <c r="C43" s="11" t="s">
        <v>28</v>
      </c>
      <c r="D43" s="13" t="s">
        <v>116</v>
      </c>
      <c r="E43" s="6" t="s">
        <v>364</v>
      </c>
      <c r="F43" s="35" t="s">
        <v>369</v>
      </c>
      <c r="G43" s="17"/>
      <c r="H43" s="17" t="s">
        <v>35</v>
      </c>
      <c r="I43" s="6" t="s">
        <v>35</v>
      </c>
      <c r="J43" s="17" t="s">
        <v>36</v>
      </c>
      <c r="K43" s="35" t="s">
        <v>369</v>
      </c>
      <c r="L43" s="18" t="str">
        <f t="shared" si="0"/>
        <v>0042</v>
      </c>
      <c r="M43" s="18" t="s">
        <v>100</v>
      </c>
      <c r="N43" s="19" t="s">
        <v>28</v>
      </c>
      <c r="O43" s="22" t="s">
        <v>332</v>
      </c>
    </row>
    <row r="44" spans="1:15" ht="15.75" customHeight="1">
      <c r="A44" s="10" t="s">
        <v>370</v>
      </c>
      <c r="B44" s="10" t="s">
        <v>27</v>
      </c>
      <c r="C44" s="11" t="s">
        <v>28</v>
      </c>
      <c r="D44" s="13" t="s">
        <v>93</v>
      </c>
      <c r="E44" s="6" t="s">
        <v>371</v>
      </c>
      <c r="F44" s="35" t="s">
        <v>376</v>
      </c>
      <c r="G44" s="17"/>
      <c r="H44" s="17" t="s">
        <v>35</v>
      </c>
      <c r="I44" s="6" t="s">
        <v>35</v>
      </c>
      <c r="J44" s="17" t="s">
        <v>36</v>
      </c>
      <c r="K44" s="35" t="s">
        <v>376</v>
      </c>
      <c r="L44" s="18" t="str">
        <f t="shared" si="0"/>
        <v>0043</v>
      </c>
      <c r="M44" s="18" t="s">
        <v>38</v>
      </c>
      <c r="N44" s="19" t="s">
        <v>28</v>
      </c>
      <c r="O44" s="22" t="s">
        <v>332</v>
      </c>
    </row>
    <row r="45" spans="1:15" ht="15.75" customHeight="1">
      <c r="A45" s="10" t="s">
        <v>377</v>
      </c>
      <c r="B45" s="10" t="s">
        <v>27</v>
      </c>
      <c r="C45" s="11" t="s">
        <v>28</v>
      </c>
      <c r="D45" s="13" t="s">
        <v>378</v>
      </c>
      <c r="E45" s="6" t="s">
        <v>379</v>
      </c>
      <c r="F45" s="35" t="s">
        <v>384</v>
      </c>
      <c r="G45" s="17"/>
      <c r="H45" s="17" t="s">
        <v>35</v>
      </c>
      <c r="I45" s="6" t="s">
        <v>35</v>
      </c>
      <c r="J45" s="46" t="s">
        <v>36</v>
      </c>
      <c r="K45" s="35" t="s">
        <v>384</v>
      </c>
      <c r="L45" s="18" t="str">
        <f t="shared" si="0"/>
        <v>0044</v>
      </c>
      <c r="M45" s="18" t="s">
        <v>100</v>
      </c>
      <c r="N45" s="19" t="s">
        <v>147</v>
      </c>
      <c r="O45" s="20" t="s">
        <v>385</v>
      </c>
    </row>
    <row r="46" spans="1:15" ht="15.75" customHeight="1">
      <c r="A46" s="10" t="s">
        <v>386</v>
      </c>
      <c r="B46" s="10" t="s">
        <v>27</v>
      </c>
      <c r="C46" s="11" t="s">
        <v>28</v>
      </c>
      <c r="D46" s="13" t="s">
        <v>387</v>
      </c>
      <c r="E46" s="6" t="s">
        <v>387</v>
      </c>
      <c r="F46" s="10" t="s">
        <v>85</v>
      </c>
      <c r="G46" s="17"/>
      <c r="H46" s="17" t="s">
        <v>390</v>
      </c>
      <c r="I46" s="6">
        <v>40514</v>
      </c>
      <c r="J46" s="6" t="s">
        <v>391</v>
      </c>
      <c r="K46" s="10" t="s">
        <v>85</v>
      </c>
      <c r="L46" s="18" t="str">
        <f t="shared" si="0"/>
        <v>0045</v>
      </c>
      <c r="M46" s="18" t="s">
        <v>38</v>
      </c>
      <c r="N46" s="19" t="s">
        <v>28</v>
      </c>
      <c r="O46" s="22" t="s">
        <v>392</v>
      </c>
    </row>
    <row r="47" spans="1:15" ht="15.75" customHeight="1">
      <c r="A47" s="10" t="s">
        <v>393</v>
      </c>
      <c r="B47" s="10" t="s">
        <v>27</v>
      </c>
      <c r="C47" s="11" t="s">
        <v>28</v>
      </c>
      <c r="D47" s="13" t="s">
        <v>93</v>
      </c>
      <c r="E47" s="6" t="s">
        <v>394</v>
      </c>
      <c r="F47" s="10" t="s">
        <v>399</v>
      </c>
      <c r="G47" s="17"/>
      <c r="H47" s="17" t="s">
        <v>35</v>
      </c>
      <c r="I47" s="6" t="s">
        <v>35</v>
      </c>
      <c r="J47" s="6" t="s">
        <v>36</v>
      </c>
      <c r="K47" s="10" t="s">
        <v>399</v>
      </c>
      <c r="L47" s="18" t="str">
        <f t="shared" si="0"/>
        <v>0046</v>
      </c>
      <c r="M47" s="18" t="s">
        <v>38</v>
      </c>
      <c r="N47" s="19" t="s">
        <v>28</v>
      </c>
      <c r="O47" s="22" t="s">
        <v>392</v>
      </c>
    </row>
    <row r="48" spans="1:15" ht="15.75" customHeight="1">
      <c r="A48" s="10" t="s">
        <v>400</v>
      </c>
      <c r="B48" s="10" t="s">
        <v>27</v>
      </c>
      <c r="C48" s="11" t="s">
        <v>28</v>
      </c>
      <c r="D48" s="13" t="s">
        <v>43</v>
      </c>
      <c r="E48" s="6" t="s">
        <v>401</v>
      </c>
      <c r="F48" s="35" t="s">
        <v>409</v>
      </c>
      <c r="G48" s="17"/>
      <c r="H48" s="17" t="s">
        <v>406</v>
      </c>
      <c r="I48" s="10" t="s">
        <v>407</v>
      </c>
      <c r="J48" s="17" t="s">
        <v>408</v>
      </c>
      <c r="K48" s="35" t="s">
        <v>409</v>
      </c>
      <c r="L48" s="18" t="str">
        <f t="shared" si="0"/>
        <v>0047</v>
      </c>
      <c r="M48" s="18" t="s">
        <v>38</v>
      </c>
      <c r="N48" s="19" t="s">
        <v>28</v>
      </c>
      <c r="O48" s="22" t="s">
        <v>392</v>
      </c>
    </row>
    <row r="49" spans="1:15" ht="15.75" customHeight="1">
      <c r="A49" s="10" t="s">
        <v>410</v>
      </c>
      <c r="B49" s="10" t="s">
        <v>27</v>
      </c>
      <c r="C49" s="11" t="s">
        <v>28</v>
      </c>
      <c r="D49" s="13" t="s">
        <v>43</v>
      </c>
      <c r="E49" s="6" t="s">
        <v>401</v>
      </c>
      <c r="F49" s="35" t="s">
        <v>416</v>
      </c>
      <c r="G49" s="17"/>
      <c r="H49" s="17" t="s">
        <v>406</v>
      </c>
      <c r="I49" s="6" t="s">
        <v>407</v>
      </c>
      <c r="J49" s="17" t="s">
        <v>415</v>
      </c>
      <c r="K49" s="35" t="s">
        <v>416</v>
      </c>
      <c r="L49" s="18" t="str">
        <f t="shared" si="0"/>
        <v>0048</v>
      </c>
      <c r="M49" s="18" t="s">
        <v>38</v>
      </c>
      <c r="N49" s="19" t="s">
        <v>28</v>
      </c>
      <c r="O49" s="22" t="s">
        <v>392</v>
      </c>
    </row>
    <row r="50" spans="1:15" ht="15.75" customHeight="1">
      <c r="A50" s="10" t="s">
        <v>417</v>
      </c>
      <c r="B50" s="10" t="s">
        <v>27</v>
      </c>
      <c r="C50" s="11" t="s">
        <v>28</v>
      </c>
      <c r="D50" s="13" t="s">
        <v>43</v>
      </c>
      <c r="E50" s="6" t="s">
        <v>401</v>
      </c>
      <c r="F50" s="35" t="s">
        <v>423</v>
      </c>
      <c r="G50" s="17"/>
      <c r="H50" s="17" t="s">
        <v>406</v>
      </c>
      <c r="I50" s="6" t="s">
        <v>407</v>
      </c>
      <c r="J50" s="17" t="s">
        <v>422</v>
      </c>
      <c r="K50" s="35" t="s">
        <v>423</v>
      </c>
      <c r="L50" s="18" t="str">
        <f t="shared" si="0"/>
        <v>0049</v>
      </c>
      <c r="M50" s="18" t="s">
        <v>38</v>
      </c>
      <c r="N50" s="19" t="s">
        <v>28</v>
      </c>
      <c r="O50" s="22" t="s">
        <v>392</v>
      </c>
    </row>
    <row r="51" spans="1:15" ht="15.75" customHeight="1">
      <c r="A51" s="10" t="s">
        <v>424</v>
      </c>
      <c r="B51" s="10" t="s">
        <v>27</v>
      </c>
      <c r="C51" s="11" t="s">
        <v>28</v>
      </c>
      <c r="D51" s="13" t="s">
        <v>425</v>
      </c>
      <c r="E51" s="43" t="s">
        <v>426</v>
      </c>
      <c r="F51" s="35" t="s">
        <v>431</v>
      </c>
      <c r="G51" s="17"/>
      <c r="H51" s="17" t="s">
        <v>35</v>
      </c>
      <c r="I51" s="6" t="s">
        <v>35</v>
      </c>
      <c r="J51" s="17" t="s">
        <v>36</v>
      </c>
      <c r="K51" s="35" t="s">
        <v>431</v>
      </c>
      <c r="L51" s="18" t="str">
        <f t="shared" si="0"/>
        <v>0050</v>
      </c>
      <c r="M51" s="18" t="s">
        <v>38</v>
      </c>
      <c r="N51" s="19" t="s">
        <v>28</v>
      </c>
      <c r="O51" s="22" t="s">
        <v>392</v>
      </c>
    </row>
    <row r="52" spans="1:15" ht="15.75" customHeight="1">
      <c r="A52" s="10" t="s">
        <v>433</v>
      </c>
      <c r="B52" s="10" t="s">
        <v>27</v>
      </c>
      <c r="C52" s="11" t="s">
        <v>28</v>
      </c>
      <c r="D52" s="13" t="s">
        <v>378</v>
      </c>
      <c r="E52" s="43" t="s">
        <v>434</v>
      </c>
      <c r="F52" s="35" t="s">
        <v>7238</v>
      </c>
      <c r="G52" s="17"/>
      <c r="H52" s="35" t="s">
        <v>35</v>
      </c>
      <c r="I52" s="6" t="s">
        <v>35</v>
      </c>
      <c r="J52" s="17" t="s">
        <v>36</v>
      </c>
      <c r="K52" s="35" t="s">
        <v>7238</v>
      </c>
      <c r="L52" s="18" t="str">
        <f t="shared" si="0"/>
        <v>0051</v>
      </c>
      <c r="M52" s="18" t="s">
        <v>100</v>
      </c>
      <c r="N52" s="19" t="s">
        <v>147</v>
      </c>
      <c r="O52" s="20" t="s">
        <v>385</v>
      </c>
    </row>
    <row r="53" spans="1:15" ht="15.75" customHeight="1">
      <c r="A53" s="10" t="s">
        <v>441</v>
      </c>
      <c r="B53" s="10" t="s">
        <v>27</v>
      </c>
      <c r="C53" s="11" t="s">
        <v>28</v>
      </c>
      <c r="D53" s="13" t="s">
        <v>93</v>
      </c>
      <c r="E53" s="43" t="s">
        <v>442</v>
      </c>
      <c r="F53" s="35" t="s">
        <v>447</v>
      </c>
      <c r="G53" s="17"/>
      <c r="H53" s="17" t="s">
        <v>35</v>
      </c>
      <c r="I53" s="6" t="s">
        <v>35</v>
      </c>
      <c r="J53" s="17" t="s">
        <v>36</v>
      </c>
      <c r="K53" s="35" t="s">
        <v>447</v>
      </c>
      <c r="L53" s="18" t="str">
        <f t="shared" si="0"/>
        <v>0052</v>
      </c>
      <c r="M53" s="18" t="s">
        <v>38</v>
      </c>
      <c r="N53" s="19" t="s">
        <v>28</v>
      </c>
      <c r="O53" s="22" t="s">
        <v>392</v>
      </c>
    </row>
    <row r="54" spans="1:15" ht="15.75" customHeight="1">
      <c r="A54" s="10" t="s">
        <v>448</v>
      </c>
      <c r="B54" s="10" t="s">
        <v>27</v>
      </c>
      <c r="C54" s="11" t="s">
        <v>28</v>
      </c>
      <c r="D54" s="13" t="s">
        <v>184</v>
      </c>
      <c r="E54" s="6" t="s">
        <v>449</v>
      </c>
      <c r="F54" s="35" t="s">
        <v>454</v>
      </c>
      <c r="G54" s="17"/>
      <c r="H54" s="17" t="s">
        <v>35</v>
      </c>
      <c r="I54" s="6" t="s">
        <v>35</v>
      </c>
      <c r="J54" s="17" t="s">
        <v>36</v>
      </c>
      <c r="K54" s="35" t="s">
        <v>454</v>
      </c>
      <c r="L54" s="18" t="str">
        <f t="shared" si="0"/>
        <v>0053</v>
      </c>
      <c r="M54" s="18" t="s">
        <v>38</v>
      </c>
      <c r="N54" s="19" t="s">
        <v>28</v>
      </c>
      <c r="O54" s="22" t="s">
        <v>392</v>
      </c>
    </row>
    <row r="55" spans="1:15" ht="15.75" customHeight="1">
      <c r="A55" s="10" t="s">
        <v>456</v>
      </c>
      <c r="B55" s="10" t="s">
        <v>27</v>
      </c>
      <c r="C55" s="11" t="s">
        <v>28</v>
      </c>
      <c r="D55" s="13" t="s">
        <v>43</v>
      </c>
      <c r="E55" s="43" t="s">
        <v>457</v>
      </c>
      <c r="F55" s="35" t="s">
        <v>464</v>
      </c>
      <c r="G55" s="17"/>
      <c r="H55" s="17" t="s">
        <v>462</v>
      </c>
      <c r="I55" s="6" t="s">
        <v>35</v>
      </c>
      <c r="J55" s="17" t="s">
        <v>463</v>
      </c>
      <c r="K55" s="35" t="s">
        <v>464</v>
      </c>
      <c r="L55" s="18" t="str">
        <f t="shared" si="0"/>
        <v>0054</v>
      </c>
      <c r="M55" s="18" t="s">
        <v>38</v>
      </c>
      <c r="N55" s="19" t="s">
        <v>28</v>
      </c>
      <c r="O55" s="22" t="s">
        <v>392</v>
      </c>
    </row>
    <row r="56" spans="1:15" ht="15.75" customHeight="1">
      <c r="A56" s="10" t="s">
        <v>465</v>
      </c>
      <c r="B56" s="10" t="s">
        <v>27</v>
      </c>
      <c r="C56" s="11" t="s">
        <v>28</v>
      </c>
      <c r="D56" s="13" t="s">
        <v>466</v>
      </c>
      <c r="E56" s="6" t="s">
        <v>467</v>
      </c>
      <c r="F56" s="35" t="s">
        <v>472</v>
      </c>
      <c r="G56" s="17"/>
      <c r="H56" s="17" t="s">
        <v>35</v>
      </c>
      <c r="I56" s="6" t="s">
        <v>35</v>
      </c>
      <c r="J56" s="17" t="s">
        <v>36</v>
      </c>
      <c r="K56" s="35" t="s">
        <v>472</v>
      </c>
      <c r="L56" s="18" t="str">
        <f t="shared" si="0"/>
        <v>0055</v>
      </c>
      <c r="M56" s="18" t="s">
        <v>38</v>
      </c>
      <c r="N56" s="19" t="s">
        <v>28</v>
      </c>
      <c r="O56" s="22" t="s">
        <v>392</v>
      </c>
    </row>
    <row r="57" spans="1:15" ht="15.75" customHeight="1">
      <c r="A57" s="10" t="s">
        <v>473</v>
      </c>
      <c r="B57" s="10" t="s">
        <v>474</v>
      </c>
      <c r="C57" s="11" t="s">
        <v>28</v>
      </c>
      <c r="D57" s="13" t="s">
        <v>353</v>
      </c>
      <c r="E57" s="43" t="s">
        <v>475</v>
      </c>
      <c r="F57" s="35" t="s">
        <v>482</v>
      </c>
      <c r="G57" s="17"/>
      <c r="H57" s="17" t="s">
        <v>480</v>
      </c>
      <c r="I57" s="6">
        <v>1300</v>
      </c>
      <c r="J57" s="17" t="s">
        <v>481</v>
      </c>
      <c r="K57" s="35" t="s">
        <v>482</v>
      </c>
      <c r="L57" s="18" t="str">
        <f t="shared" si="0"/>
        <v>0056</v>
      </c>
      <c r="M57" s="18" t="s">
        <v>100</v>
      </c>
      <c r="N57" s="19" t="s">
        <v>147</v>
      </c>
      <c r="O57" s="20" t="s">
        <v>483</v>
      </c>
    </row>
    <row r="58" spans="1:15" ht="15.75" customHeight="1">
      <c r="A58" s="10" t="s">
        <v>485</v>
      </c>
      <c r="B58" s="10" t="s">
        <v>27</v>
      </c>
      <c r="C58" s="11" t="s">
        <v>28</v>
      </c>
      <c r="D58" s="13" t="s">
        <v>93</v>
      </c>
      <c r="E58" s="48" t="s">
        <v>486</v>
      </c>
      <c r="F58" s="35" t="s">
        <v>491</v>
      </c>
      <c r="G58" s="17"/>
      <c r="H58" s="17" t="s">
        <v>35</v>
      </c>
      <c r="I58" s="6" t="s">
        <v>35</v>
      </c>
      <c r="J58" s="17" t="s">
        <v>36</v>
      </c>
      <c r="K58" s="35" t="s">
        <v>491</v>
      </c>
      <c r="L58" s="18" t="str">
        <f t="shared" si="0"/>
        <v>0057</v>
      </c>
      <c r="M58" s="18" t="s">
        <v>38</v>
      </c>
      <c r="N58" s="19" t="s">
        <v>147</v>
      </c>
      <c r="O58" s="20" t="s">
        <v>492</v>
      </c>
    </row>
    <row r="59" spans="1:15" ht="15.75" customHeight="1">
      <c r="A59" s="10" t="s">
        <v>494</v>
      </c>
      <c r="B59" s="10" t="s">
        <v>27</v>
      </c>
      <c r="C59" s="11" t="s">
        <v>28</v>
      </c>
      <c r="D59" s="13" t="s">
        <v>425</v>
      </c>
      <c r="E59" s="43" t="s">
        <v>426</v>
      </c>
      <c r="F59" s="35" t="s">
        <v>499</v>
      </c>
      <c r="G59" s="17"/>
      <c r="H59" s="17" t="s">
        <v>35</v>
      </c>
      <c r="I59" s="6" t="s">
        <v>35</v>
      </c>
      <c r="J59" s="17" t="s">
        <v>36</v>
      </c>
      <c r="K59" s="35" t="s">
        <v>499</v>
      </c>
      <c r="L59" s="18" t="str">
        <f t="shared" si="0"/>
        <v>0058</v>
      </c>
      <c r="M59" s="18" t="s">
        <v>38</v>
      </c>
      <c r="N59" s="19" t="s">
        <v>28</v>
      </c>
      <c r="O59" s="22" t="s">
        <v>392</v>
      </c>
    </row>
    <row r="60" spans="1:15" ht="15.75" customHeight="1">
      <c r="A60" s="10" t="s">
        <v>500</v>
      </c>
      <c r="B60" s="10" t="s">
        <v>27</v>
      </c>
      <c r="C60" s="11" t="s">
        <v>28</v>
      </c>
      <c r="D60" s="13" t="s">
        <v>501</v>
      </c>
      <c r="E60" s="6" t="s">
        <v>502</v>
      </c>
      <c r="F60" s="35" t="s">
        <v>507</v>
      </c>
      <c r="G60" s="17"/>
      <c r="H60" s="17" t="s">
        <v>35</v>
      </c>
      <c r="I60" s="6" t="s">
        <v>35</v>
      </c>
      <c r="J60" s="17" t="s">
        <v>36</v>
      </c>
      <c r="K60" s="35" t="s">
        <v>507</v>
      </c>
      <c r="L60" s="18" t="str">
        <f t="shared" si="0"/>
        <v>0059</v>
      </c>
      <c r="M60" s="18" t="s">
        <v>38</v>
      </c>
      <c r="N60" s="19" t="s">
        <v>147</v>
      </c>
      <c r="O60" s="20" t="s">
        <v>492</v>
      </c>
    </row>
    <row r="61" spans="1:15" ht="15.75" customHeight="1">
      <c r="A61" s="10" t="s">
        <v>510</v>
      </c>
      <c r="B61" s="10" t="s">
        <v>474</v>
      </c>
      <c r="C61" s="11" t="s">
        <v>28</v>
      </c>
      <c r="D61" s="13" t="s">
        <v>378</v>
      </c>
      <c r="E61" s="43" t="s">
        <v>511</v>
      </c>
      <c r="F61" s="17" t="s">
        <v>516</v>
      </c>
      <c r="G61" s="17"/>
      <c r="H61" s="17" t="s">
        <v>35</v>
      </c>
      <c r="I61" s="6" t="s">
        <v>35</v>
      </c>
      <c r="J61" s="17" t="s">
        <v>36</v>
      </c>
      <c r="K61" s="17" t="s">
        <v>516</v>
      </c>
      <c r="L61" s="18" t="str">
        <f t="shared" si="0"/>
        <v>0060</v>
      </c>
      <c r="M61" s="18" t="s">
        <v>517</v>
      </c>
      <c r="N61" s="19" t="s">
        <v>28</v>
      </c>
      <c r="O61" s="22" t="s">
        <v>392</v>
      </c>
    </row>
    <row r="62" spans="1:15" ht="15.75" customHeight="1">
      <c r="A62" s="10" t="s">
        <v>519</v>
      </c>
      <c r="B62" s="10" t="s">
        <v>27</v>
      </c>
      <c r="C62" s="11" t="s">
        <v>28</v>
      </c>
      <c r="D62" s="13" t="s">
        <v>378</v>
      </c>
      <c r="E62" s="6" t="s">
        <v>520</v>
      </c>
      <c r="F62" s="17" t="s">
        <v>525</v>
      </c>
      <c r="G62" s="17"/>
      <c r="H62" s="17" t="s">
        <v>35</v>
      </c>
      <c r="I62" s="6" t="s">
        <v>35</v>
      </c>
      <c r="J62" s="17" t="s">
        <v>36</v>
      </c>
      <c r="K62" s="17" t="s">
        <v>525</v>
      </c>
      <c r="L62" s="18" t="str">
        <f t="shared" si="0"/>
        <v>0061</v>
      </c>
      <c r="M62" s="18" t="s">
        <v>100</v>
      </c>
      <c r="N62" s="19" t="s">
        <v>147</v>
      </c>
      <c r="O62" s="20" t="s">
        <v>385</v>
      </c>
    </row>
    <row r="63" spans="1:15" ht="15.75" customHeight="1">
      <c r="A63" s="10" t="s">
        <v>527</v>
      </c>
      <c r="B63" s="10" t="s">
        <v>27</v>
      </c>
      <c r="C63" s="11" t="s">
        <v>28</v>
      </c>
      <c r="D63" s="13" t="s">
        <v>93</v>
      </c>
      <c r="E63" s="6" t="s">
        <v>528</v>
      </c>
      <c r="F63" s="17" t="s">
        <v>533</v>
      </c>
      <c r="G63" s="17"/>
      <c r="H63" s="17" t="s">
        <v>35</v>
      </c>
      <c r="I63" s="6" t="s">
        <v>35</v>
      </c>
      <c r="J63" s="17" t="s">
        <v>36</v>
      </c>
      <c r="K63" s="17" t="s">
        <v>533</v>
      </c>
      <c r="L63" s="18" t="str">
        <f t="shared" si="0"/>
        <v>0062</v>
      </c>
      <c r="M63" s="18" t="s">
        <v>38</v>
      </c>
      <c r="N63" s="19" t="s">
        <v>28</v>
      </c>
      <c r="O63" s="22" t="s">
        <v>392</v>
      </c>
    </row>
    <row r="64" spans="1:15" ht="15.75" customHeight="1">
      <c r="A64" s="10" t="s">
        <v>534</v>
      </c>
      <c r="B64" s="10" t="s">
        <v>474</v>
      </c>
      <c r="C64" s="11" t="s">
        <v>28</v>
      </c>
      <c r="D64" s="13" t="s">
        <v>378</v>
      </c>
      <c r="E64" s="6" t="s">
        <v>535</v>
      </c>
      <c r="F64" s="17" t="s">
        <v>540</v>
      </c>
      <c r="G64" s="17"/>
      <c r="H64" s="17" t="s">
        <v>35</v>
      </c>
      <c r="I64" s="6" t="s">
        <v>35</v>
      </c>
      <c r="J64" s="17" t="s">
        <v>36</v>
      </c>
      <c r="K64" s="17" t="s">
        <v>540</v>
      </c>
      <c r="L64" s="18" t="str">
        <f t="shared" si="0"/>
        <v>0063</v>
      </c>
      <c r="M64" s="18" t="s">
        <v>38</v>
      </c>
      <c r="N64" s="19" t="s">
        <v>28</v>
      </c>
      <c r="O64" s="22" t="s">
        <v>392</v>
      </c>
    </row>
    <row r="65" spans="1:15" ht="15.75" customHeight="1">
      <c r="A65" s="10" t="s">
        <v>542</v>
      </c>
      <c r="B65" s="10" t="s">
        <v>27</v>
      </c>
      <c r="C65" s="11" t="s">
        <v>28</v>
      </c>
      <c r="D65" s="13" t="s">
        <v>93</v>
      </c>
      <c r="E65" s="6" t="s">
        <v>543</v>
      </c>
      <c r="F65" s="35" t="s">
        <v>7239</v>
      </c>
      <c r="G65" s="17"/>
      <c r="H65" s="17" t="s">
        <v>35</v>
      </c>
      <c r="I65" s="6" t="s">
        <v>35</v>
      </c>
      <c r="J65" s="17" t="s">
        <v>36</v>
      </c>
      <c r="K65" s="35" t="s">
        <v>7239</v>
      </c>
      <c r="L65" s="18" t="str">
        <f t="shared" si="0"/>
        <v>0064</v>
      </c>
      <c r="M65" s="18" t="s">
        <v>549</v>
      </c>
      <c r="N65" s="19" t="s">
        <v>28</v>
      </c>
      <c r="O65" s="22" t="s">
        <v>392</v>
      </c>
    </row>
    <row r="66" spans="1:15" ht="15.75" customHeight="1">
      <c r="A66" s="10" t="s">
        <v>550</v>
      </c>
      <c r="B66" s="10" t="s">
        <v>27</v>
      </c>
      <c r="C66" s="11" t="s">
        <v>28</v>
      </c>
      <c r="D66" s="13" t="s">
        <v>466</v>
      </c>
      <c r="E66" s="6" t="s">
        <v>551</v>
      </c>
      <c r="F66" s="17" t="s">
        <v>556</v>
      </c>
      <c r="G66" s="17"/>
      <c r="H66" s="17" t="s">
        <v>35</v>
      </c>
      <c r="I66" s="6" t="s">
        <v>35</v>
      </c>
      <c r="J66" s="17" t="s">
        <v>36</v>
      </c>
      <c r="K66" s="17" t="s">
        <v>556</v>
      </c>
      <c r="L66" s="18" t="str">
        <f t="shared" ref="L66:L129" si="1">A66</f>
        <v>0065</v>
      </c>
      <c r="M66" s="18" t="s">
        <v>38</v>
      </c>
      <c r="N66" s="19" t="s">
        <v>28</v>
      </c>
      <c r="O66" s="22" t="s">
        <v>392</v>
      </c>
    </row>
    <row r="67" spans="1:15" ht="15.75" customHeight="1">
      <c r="A67" s="10" t="s">
        <v>557</v>
      </c>
      <c r="B67" s="10" t="s">
        <v>27</v>
      </c>
      <c r="C67" s="11" t="s">
        <v>28</v>
      </c>
      <c r="D67" s="13" t="s">
        <v>53</v>
      </c>
      <c r="E67" s="6" t="s">
        <v>558</v>
      </c>
      <c r="F67" s="17" t="s">
        <v>563</v>
      </c>
      <c r="G67" s="17"/>
      <c r="H67" s="17" t="s">
        <v>35</v>
      </c>
      <c r="I67" s="6" t="s">
        <v>35</v>
      </c>
      <c r="J67" s="17" t="s">
        <v>36</v>
      </c>
      <c r="K67" s="17" t="s">
        <v>563</v>
      </c>
      <c r="L67" s="18" t="str">
        <f t="shared" si="1"/>
        <v>0066</v>
      </c>
      <c r="M67" s="18" t="s">
        <v>38</v>
      </c>
      <c r="N67" s="19" t="s">
        <v>28</v>
      </c>
      <c r="O67" s="22" t="s">
        <v>392</v>
      </c>
    </row>
    <row r="68" spans="1:15" ht="15.75" customHeight="1">
      <c r="A68" s="10" t="s">
        <v>564</v>
      </c>
      <c r="B68" s="10" t="s">
        <v>27</v>
      </c>
      <c r="C68" s="11" t="s">
        <v>28</v>
      </c>
      <c r="D68" s="13" t="s">
        <v>565</v>
      </c>
      <c r="E68" s="6" t="s">
        <v>566</v>
      </c>
      <c r="F68" s="17" t="s">
        <v>85</v>
      </c>
      <c r="G68" s="17"/>
      <c r="H68" s="17" t="s">
        <v>35</v>
      </c>
      <c r="I68" s="6" t="s">
        <v>35</v>
      </c>
      <c r="J68" s="46" t="s">
        <v>36</v>
      </c>
      <c r="K68" s="17" t="s">
        <v>85</v>
      </c>
      <c r="L68" s="18" t="str">
        <f t="shared" si="1"/>
        <v>0067</v>
      </c>
      <c r="M68" s="18" t="s">
        <v>38</v>
      </c>
      <c r="N68" s="19" t="s">
        <v>28</v>
      </c>
      <c r="O68" s="22" t="s">
        <v>392</v>
      </c>
    </row>
    <row r="69" spans="1:15" ht="15.75" customHeight="1">
      <c r="A69" s="10" t="s">
        <v>571</v>
      </c>
      <c r="B69" s="10" t="s">
        <v>27</v>
      </c>
      <c r="C69" s="11" t="s">
        <v>28</v>
      </c>
      <c r="D69" s="13" t="s">
        <v>501</v>
      </c>
      <c r="E69" s="6" t="s">
        <v>572</v>
      </c>
      <c r="F69" s="17" t="s">
        <v>577</v>
      </c>
      <c r="G69" s="17"/>
      <c r="H69" s="17" t="s">
        <v>35</v>
      </c>
      <c r="I69" s="6" t="s">
        <v>35</v>
      </c>
      <c r="J69" s="17" t="s">
        <v>36</v>
      </c>
      <c r="K69" s="17" t="s">
        <v>577</v>
      </c>
      <c r="L69" s="18" t="str">
        <f t="shared" si="1"/>
        <v>0068</v>
      </c>
      <c r="M69" s="18" t="s">
        <v>38</v>
      </c>
      <c r="N69" s="19" t="s">
        <v>147</v>
      </c>
      <c r="O69" s="20" t="s">
        <v>492</v>
      </c>
    </row>
    <row r="70" spans="1:15" ht="15.75" customHeight="1">
      <c r="A70" s="10" t="s">
        <v>578</v>
      </c>
      <c r="B70" s="10" t="s">
        <v>27</v>
      </c>
      <c r="C70" s="11" t="s">
        <v>28</v>
      </c>
      <c r="D70" s="13" t="s">
        <v>501</v>
      </c>
      <c r="E70" s="6" t="s">
        <v>579</v>
      </c>
      <c r="F70" s="35" t="s">
        <v>7240</v>
      </c>
      <c r="G70" s="17"/>
      <c r="H70" s="17" t="s">
        <v>35</v>
      </c>
      <c r="I70" s="6" t="s">
        <v>35</v>
      </c>
      <c r="J70" s="17" t="s">
        <v>36</v>
      </c>
      <c r="K70" s="35" t="s">
        <v>7240</v>
      </c>
      <c r="L70" s="18" t="str">
        <f t="shared" si="1"/>
        <v>0069</v>
      </c>
      <c r="M70" s="18" t="s">
        <v>38</v>
      </c>
      <c r="N70" s="19" t="s">
        <v>147</v>
      </c>
      <c r="O70" s="20" t="s">
        <v>492</v>
      </c>
    </row>
    <row r="71" spans="1:15" ht="15.75" customHeight="1">
      <c r="A71" s="10" t="s">
        <v>275</v>
      </c>
      <c r="B71" s="10" t="s">
        <v>27</v>
      </c>
      <c r="C71" s="11" t="s">
        <v>28</v>
      </c>
      <c r="D71" s="13" t="s">
        <v>62</v>
      </c>
      <c r="E71" s="6" t="s">
        <v>585</v>
      </c>
      <c r="F71" s="17" t="s">
        <v>590</v>
      </c>
      <c r="G71" s="17"/>
      <c r="H71" s="17" t="s">
        <v>35</v>
      </c>
      <c r="I71" s="6" t="s">
        <v>35</v>
      </c>
      <c r="J71" s="17" t="s">
        <v>36</v>
      </c>
      <c r="K71" s="17" t="s">
        <v>590</v>
      </c>
      <c r="L71" s="18" t="str">
        <f t="shared" si="1"/>
        <v>0070</v>
      </c>
      <c r="M71" s="18" t="s">
        <v>38</v>
      </c>
      <c r="N71" s="19" t="s">
        <v>147</v>
      </c>
      <c r="O71" s="20" t="s">
        <v>492</v>
      </c>
    </row>
    <row r="72" spans="1:15" ht="15.75" customHeight="1">
      <c r="A72" s="10" t="s">
        <v>591</v>
      </c>
      <c r="B72" s="10" t="s">
        <v>27</v>
      </c>
      <c r="C72" s="11" t="s">
        <v>28</v>
      </c>
      <c r="D72" s="13" t="s">
        <v>93</v>
      </c>
      <c r="E72" s="6" t="s">
        <v>592</v>
      </c>
      <c r="F72" s="152" t="s">
        <v>7241</v>
      </c>
      <c r="G72" s="17"/>
      <c r="H72" s="17" t="s">
        <v>35</v>
      </c>
      <c r="I72" s="49" t="s">
        <v>35</v>
      </c>
      <c r="J72" s="17" t="s">
        <v>36</v>
      </c>
      <c r="K72" s="35" t="s">
        <v>7241</v>
      </c>
      <c r="L72" s="18" t="str">
        <f t="shared" si="1"/>
        <v>0071</v>
      </c>
      <c r="M72" s="18" t="s">
        <v>38</v>
      </c>
      <c r="N72" s="19" t="s">
        <v>147</v>
      </c>
      <c r="O72" s="20" t="s">
        <v>492</v>
      </c>
    </row>
    <row r="73" spans="1:15" ht="15.75" customHeight="1">
      <c r="A73" s="10" t="s">
        <v>598</v>
      </c>
      <c r="B73" s="10" t="s">
        <v>27</v>
      </c>
      <c r="C73" s="11" t="s">
        <v>28</v>
      </c>
      <c r="D73" s="13" t="s">
        <v>116</v>
      </c>
      <c r="E73" s="6" t="s">
        <v>599</v>
      </c>
      <c r="F73" s="17" t="s">
        <v>604</v>
      </c>
      <c r="G73" s="17"/>
      <c r="H73" s="17" t="s">
        <v>35</v>
      </c>
      <c r="I73" s="6" t="s">
        <v>35</v>
      </c>
      <c r="J73" s="17" t="s">
        <v>36</v>
      </c>
      <c r="K73" s="17" t="s">
        <v>604</v>
      </c>
      <c r="L73" s="18" t="str">
        <f t="shared" si="1"/>
        <v>0072</v>
      </c>
      <c r="M73" s="18" t="s">
        <v>38</v>
      </c>
      <c r="N73" s="19" t="s">
        <v>147</v>
      </c>
      <c r="O73" s="20" t="s">
        <v>492</v>
      </c>
    </row>
    <row r="74" spans="1:15" ht="15.75" customHeight="1">
      <c r="A74" s="10" t="s">
        <v>605</v>
      </c>
      <c r="B74" s="10" t="s">
        <v>27</v>
      </c>
      <c r="C74" s="11" t="s">
        <v>28</v>
      </c>
      <c r="D74" s="13" t="s">
        <v>378</v>
      </c>
      <c r="E74" s="6" t="s">
        <v>606</v>
      </c>
      <c r="F74" s="17" t="s">
        <v>611</v>
      </c>
      <c r="G74" s="17"/>
      <c r="H74" s="17" t="s">
        <v>35</v>
      </c>
      <c r="I74" s="6" t="s">
        <v>35</v>
      </c>
      <c r="J74" s="17" t="s">
        <v>36</v>
      </c>
      <c r="K74" s="17" t="s">
        <v>611</v>
      </c>
      <c r="L74" s="18" t="str">
        <f t="shared" si="1"/>
        <v>0073</v>
      </c>
      <c r="M74" s="18" t="s">
        <v>38</v>
      </c>
      <c r="N74" s="19" t="s">
        <v>147</v>
      </c>
      <c r="O74" s="20" t="s">
        <v>492</v>
      </c>
    </row>
    <row r="75" spans="1:15" ht="15.75" customHeight="1">
      <c r="A75" s="10" t="s">
        <v>612</v>
      </c>
      <c r="B75" s="10" t="s">
        <v>27</v>
      </c>
      <c r="C75" s="11" t="s">
        <v>28</v>
      </c>
      <c r="D75" s="13" t="s">
        <v>378</v>
      </c>
      <c r="E75" s="6" t="s">
        <v>606</v>
      </c>
      <c r="F75" s="17" t="s">
        <v>617</v>
      </c>
      <c r="G75" s="17"/>
      <c r="H75" s="17" t="s">
        <v>35</v>
      </c>
      <c r="I75" s="6" t="s">
        <v>35</v>
      </c>
      <c r="J75" s="17" t="s">
        <v>36</v>
      </c>
      <c r="K75" s="17" t="s">
        <v>617</v>
      </c>
      <c r="L75" s="18" t="str">
        <f t="shared" si="1"/>
        <v>0074</v>
      </c>
      <c r="M75" s="18" t="s">
        <v>38</v>
      </c>
      <c r="N75" s="19" t="s">
        <v>147</v>
      </c>
      <c r="O75" s="20" t="s">
        <v>492</v>
      </c>
    </row>
    <row r="76" spans="1:15" ht="15.75" customHeight="1">
      <c r="A76" s="10" t="s">
        <v>618</v>
      </c>
      <c r="B76" s="10" t="s">
        <v>27</v>
      </c>
      <c r="C76" s="11" t="s">
        <v>28</v>
      </c>
      <c r="D76" s="13" t="s">
        <v>151</v>
      </c>
      <c r="E76" s="6" t="s">
        <v>152</v>
      </c>
      <c r="F76" s="10" t="s">
        <v>622</v>
      </c>
      <c r="G76" s="17"/>
      <c r="H76" s="17" t="s">
        <v>157</v>
      </c>
      <c r="I76" s="6" t="s">
        <v>158</v>
      </c>
      <c r="J76" s="17" t="s">
        <v>36</v>
      </c>
      <c r="K76" s="10" t="s">
        <v>622</v>
      </c>
      <c r="L76" s="18" t="str">
        <f t="shared" si="1"/>
        <v>0075</v>
      </c>
      <c r="M76" s="18" t="s">
        <v>38</v>
      </c>
      <c r="N76" s="19" t="s">
        <v>147</v>
      </c>
      <c r="O76" s="20" t="s">
        <v>492</v>
      </c>
    </row>
    <row r="77" spans="1:15" ht="15.75" customHeight="1">
      <c r="A77" s="10" t="s">
        <v>623</v>
      </c>
      <c r="B77" s="10" t="s">
        <v>27</v>
      </c>
      <c r="C77" s="11" t="s">
        <v>28</v>
      </c>
      <c r="D77" s="13" t="s">
        <v>199</v>
      </c>
      <c r="E77" s="6" t="s">
        <v>199</v>
      </c>
      <c r="F77" s="17" t="s">
        <v>629</v>
      </c>
      <c r="G77" s="17"/>
      <c r="H77" s="17" t="s">
        <v>157</v>
      </c>
      <c r="I77" s="6">
        <v>2378</v>
      </c>
      <c r="J77" s="17" t="s">
        <v>628</v>
      </c>
      <c r="K77" s="17" t="s">
        <v>629</v>
      </c>
      <c r="L77" s="18" t="str">
        <f t="shared" si="1"/>
        <v>0076</v>
      </c>
      <c r="M77" s="18" t="s">
        <v>38</v>
      </c>
      <c r="N77" s="19" t="s">
        <v>147</v>
      </c>
      <c r="O77" s="20" t="s">
        <v>492</v>
      </c>
    </row>
    <row r="78" spans="1:15" ht="15.75" customHeight="1">
      <c r="A78" s="10" t="s">
        <v>630</v>
      </c>
      <c r="B78" s="10" t="s">
        <v>27</v>
      </c>
      <c r="C78" s="11" t="s">
        <v>28</v>
      </c>
      <c r="D78" s="13" t="s">
        <v>151</v>
      </c>
      <c r="E78" s="6" t="s">
        <v>152</v>
      </c>
      <c r="F78" s="10" t="s">
        <v>636</v>
      </c>
      <c r="G78" s="17"/>
      <c r="H78" s="17" t="s">
        <v>157</v>
      </c>
      <c r="I78" s="6" t="s">
        <v>158</v>
      </c>
      <c r="J78" s="17" t="s">
        <v>635</v>
      </c>
      <c r="K78" s="10" t="s">
        <v>636</v>
      </c>
      <c r="L78" s="18" t="str">
        <f t="shared" si="1"/>
        <v>0077</v>
      </c>
      <c r="M78" s="18" t="s">
        <v>38</v>
      </c>
      <c r="N78" s="19" t="s">
        <v>147</v>
      </c>
      <c r="O78" s="20" t="s">
        <v>492</v>
      </c>
    </row>
    <row r="79" spans="1:15" ht="15.75" customHeight="1">
      <c r="A79" s="10" t="s">
        <v>637</v>
      </c>
      <c r="B79" s="10" t="s">
        <v>27</v>
      </c>
      <c r="C79" s="11" t="s">
        <v>28</v>
      </c>
      <c r="D79" s="13" t="s">
        <v>353</v>
      </c>
      <c r="E79" s="43" t="s">
        <v>638</v>
      </c>
      <c r="F79" s="17" t="s">
        <v>644</v>
      </c>
      <c r="G79" s="17"/>
      <c r="H79" s="17" t="s">
        <v>359</v>
      </c>
      <c r="I79" s="6" t="s">
        <v>360</v>
      </c>
      <c r="J79" s="17" t="s">
        <v>643</v>
      </c>
      <c r="K79" s="17" t="s">
        <v>644</v>
      </c>
      <c r="L79" s="18" t="str">
        <f t="shared" si="1"/>
        <v>0078</v>
      </c>
      <c r="M79" s="18" t="s">
        <v>38</v>
      </c>
      <c r="N79" s="19" t="s">
        <v>147</v>
      </c>
      <c r="O79" s="20" t="s">
        <v>492</v>
      </c>
    </row>
    <row r="80" spans="1:15" ht="15.75" customHeight="1">
      <c r="A80" s="10" t="s">
        <v>645</v>
      </c>
      <c r="B80" s="10" t="s">
        <v>27</v>
      </c>
      <c r="C80" s="11" t="s">
        <v>28</v>
      </c>
      <c r="D80" s="13" t="s">
        <v>93</v>
      </c>
      <c r="E80" s="6" t="s">
        <v>646</v>
      </c>
      <c r="F80" s="153" t="s">
        <v>7242</v>
      </c>
      <c r="G80" s="17"/>
      <c r="H80" s="17" t="s">
        <v>35</v>
      </c>
      <c r="I80" s="6" t="s">
        <v>35</v>
      </c>
      <c r="J80" s="17" t="s">
        <v>36</v>
      </c>
      <c r="K80" s="35" t="s">
        <v>7242</v>
      </c>
      <c r="L80" s="18" t="str">
        <f t="shared" si="1"/>
        <v>0079</v>
      </c>
      <c r="M80" s="18" t="s">
        <v>38</v>
      </c>
      <c r="N80" s="19" t="s">
        <v>147</v>
      </c>
      <c r="O80" s="20" t="s">
        <v>492</v>
      </c>
    </row>
    <row r="81" spans="1:15" ht="15.75" customHeight="1">
      <c r="A81" s="10" t="s">
        <v>652</v>
      </c>
      <c r="B81" s="10" t="s">
        <v>27</v>
      </c>
      <c r="C81" s="11" t="s">
        <v>28</v>
      </c>
      <c r="D81" s="13" t="s">
        <v>184</v>
      </c>
      <c r="E81" s="6" t="s">
        <v>653</v>
      </c>
      <c r="F81" s="17" t="s">
        <v>658</v>
      </c>
      <c r="G81" s="17"/>
      <c r="H81" s="17" t="s">
        <v>35</v>
      </c>
      <c r="I81" s="6" t="s">
        <v>35</v>
      </c>
      <c r="J81" s="17" t="s">
        <v>36</v>
      </c>
      <c r="K81" s="17" t="s">
        <v>658</v>
      </c>
      <c r="L81" s="18" t="str">
        <f t="shared" si="1"/>
        <v>0080</v>
      </c>
      <c r="M81" s="18" t="s">
        <v>38</v>
      </c>
      <c r="N81" s="19" t="s">
        <v>147</v>
      </c>
      <c r="O81" s="20" t="s">
        <v>492</v>
      </c>
    </row>
    <row r="82" spans="1:15" ht="15.75" customHeight="1">
      <c r="A82" s="10" t="s">
        <v>659</v>
      </c>
      <c r="B82" s="10" t="s">
        <v>27</v>
      </c>
      <c r="C82" s="11" t="s">
        <v>28</v>
      </c>
      <c r="D82" s="13" t="s">
        <v>162</v>
      </c>
      <c r="E82" s="6" t="s">
        <v>162</v>
      </c>
      <c r="F82" s="17" t="s">
        <v>85</v>
      </c>
      <c r="G82" s="17"/>
      <c r="H82" s="17" t="s">
        <v>663</v>
      </c>
      <c r="I82" s="6" t="s">
        <v>664</v>
      </c>
      <c r="J82" s="17" t="s">
        <v>665</v>
      </c>
      <c r="K82" s="17" t="s">
        <v>85</v>
      </c>
      <c r="L82" s="18" t="str">
        <f t="shared" si="1"/>
        <v>0081</v>
      </c>
      <c r="M82" s="18" t="s">
        <v>38</v>
      </c>
      <c r="N82" s="19" t="s">
        <v>147</v>
      </c>
      <c r="O82" s="20" t="s">
        <v>492</v>
      </c>
    </row>
    <row r="83" spans="1:15" ht="15.75" customHeight="1">
      <c r="A83" s="10" t="s">
        <v>666</v>
      </c>
      <c r="B83" s="10" t="s">
        <v>27</v>
      </c>
      <c r="C83" s="11" t="s">
        <v>28</v>
      </c>
      <c r="D83" s="13" t="s">
        <v>43</v>
      </c>
      <c r="E83" s="6" t="s">
        <v>667</v>
      </c>
      <c r="F83" s="17" t="s">
        <v>675</v>
      </c>
      <c r="G83" s="17"/>
      <c r="H83" s="17" t="s">
        <v>672</v>
      </c>
      <c r="I83" s="6" t="s">
        <v>673</v>
      </c>
      <c r="J83" s="46" t="s">
        <v>674</v>
      </c>
      <c r="K83" s="17" t="s">
        <v>675</v>
      </c>
      <c r="L83" s="18" t="str">
        <f t="shared" si="1"/>
        <v>0082</v>
      </c>
      <c r="M83" s="18" t="s">
        <v>38</v>
      </c>
      <c r="N83" s="19" t="s">
        <v>147</v>
      </c>
      <c r="O83" s="20" t="s">
        <v>492</v>
      </c>
    </row>
    <row r="84" spans="1:15" ht="15.75" customHeight="1">
      <c r="A84" s="10" t="s">
        <v>676</v>
      </c>
      <c r="B84" s="10" t="s">
        <v>27</v>
      </c>
      <c r="C84" s="11" t="s">
        <v>28</v>
      </c>
      <c r="D84" s="13" t="s">
        <v>199</v>
      </c>
      <c r="E84" s="6" t="s">
        <v>677</v>
      </c>
      <c r="F84" s="10" t="s">
        <v>685</v>
      </c>
      <c r="G84" s="17"/>
      <c r="H84" s="17" t="s">
        <v>682</v>
      </c>
      <c r="I84" s="6" t="s">
        <v>683</v>
      </c>
      <c r="J84" s="6" t="s">
        <v>684</v>
      </c>
      <c r="K84" s="10" t="s">
        <v>685</v>
      </c>
      <c r="L84" s="18" t="str">
        <f t="shared" si="1"/>
        <v>0083</v>
      </c>
      <c r="M84" s="18" t="s">
        <v>38</v>
      </c>
      <c r="N84" s="19" t="s">
        <v>147</v>
      </c>
      <c r="O84" s="20" t="s">
        <v>686</v>
      </c>
    </row>
    <row r="85" spans="1:15" ht="15.75" customHeight="1">
      <c r="A85" s="10" t="s">
        <v>688</v>
      </c>
      <c r="B85" s="10" t="s">
        <v>27</v>
      </c>
      <c r="C85" s="11" t="s">
        <v>28</v>
      </c>
      <c r="D85" s="13" t="s">
        <v>136</v>
      </c>
      <c r="E85" s="6" t="s">
        <v>689</v>
      </c>
      <c r="F85" s="17" t="s">
        <v>696</v>
      </c>
      <c r="G85" s="17"/>
      <c r="H85" s="17" t="s">
        <v>205</v>
      </c>
      <c r="I85" s="6" t="s">
        <v>694</v>
      </c>
      <c r="J85" s="17" t="s">
        <v>695</v>
      </c>
      <c r="K85" s="17" t="s">
        <v>696</v>
      </c>
      <c r="L85" s="18" t="str">
        <f t="shared" si="1"/>
        <v>0084</v>
      </c>
      <c r="M85" s="18" t="s">
        <v>100</v>
      </c>
      <c r="N85" s="19" t="s">
        <v>147</v>
      </c>
      <c r="O85" s="20" t="s">
        <v>483</v>
      </c>
    </row>
    <row r="86" spans="1:15" ht="15.75" customHeight="1">
      <c r="A86" s="10" t="s">
        <v>697</v>
      </c>
      <c r="B86" s="10" t="s">
        <v>27</v>
      </c>
      <c r="C86" s="11" t="s">
        <v>28</v>
      </c>
      <c r="D86" s="13" t="s">
        <v>151</v>
      </c>
      <c r="E86" s="6" t="s">
        <v>698</v>
      </c>
      <c r="F86" s="154" t="s">
        <v>7243</v>
      </c>
      <c r="G86" s="17"/>
      <c r="H86" s="17" t="s">
        <v>703</v>
      </c>
      <c r="I86" s="6" t="s">
        <v>704</v>
      </c>
      <c r="J86" s="10" t="s">
        <v>705</v>
      </c>
      <c r="K86" s="154" t="s">
        <v>7243</v>
      </c>
      <c r="L86" s="18" t="str">
        <f t="shared" si="1"/>
        <v>0085</v>
      </c>
      <c r="M86" s="18" t="s">
        <v>38</v>
      </c>
      <c r="N86" s="19" t="s">
        <v>147</v>
      </c>
      <c r="O86" s="20" t="s">
        <v>483</v>
      </c>
    </row>
    <row r="87" spans="1:15" ht="15.75" customHeight="1">
      <c r="A87" s="10" t="s">
        <v>706</v>
      </c>
      <c r="B87" s="10" t="s">
        <v>27</v>
      </c>
      <c r="C87" s="11" t="s">
        <v>28</v>
      </c>
      <c r="D87" s="13" t="s">
        <v>151</v>
      </c>
      <c r="E87" s="6" t="s">
        <v>698</v>
      </c>
      <c r="F87" s="10" t="s">
        <v>7244</v>
      </c>
      <c r="G87" s="17"/>
      <c r="H87" s="17" t="s">
        <v>703</v>
      </c>
      <c r="I87" s="6" t="s">
        <v>704</v>
      </c>
      <c r="J87" s="32" t="s">
        <v>711</v>
      </c>
      <c r="K87" s="10" t="s">
        <v>7244</v>
      </c>
      <c r="L87" s="18" t="str">
        <f t="shared" si="1"/>
        <v>0086</v>
      </c>
      <c r="M87" s="18" t="s">
        <v>38</v>
      </c>
      <c r="N87" s="19" t="s">
        <v>147</v>
      </c>
      <c r="O87" s="20" t="s">
        <v>483</v>
      </c>
    </row>
    <row r="88" spans="1:15" ht="15.75" customHeight="1">
      <c r="A88" s="10" t="s">
        <v>713</v>
      </c>
      <c r="B88" s="10" t="s">
        <v>27</v>
      </c>
      <c r="C88" s="11" t="s">
        <v>28</v>
      </c>
      <c r="D88" s="13" t="s">
        <v>151</v>
      </c>
      <c r="E88" s="6" t="s">
        <v>714</v>
      </c>
      <c r="F88" s="17" t="s">
        <v>722</v>
      </c>
      <c r="G88" s="17"/>
      <c r="H88" s="17" t="s">
        <v>719</v>
      </c>
      <c r="I88" s="6" t="s">
        <v>720</v>
      </c>
      <c r="J88" s="17" t="s">
        <v>721</v>
      </c>
      <c r="K88" s="17" t="s">
        <v>722</v>
      </c>
      <c r="L88" s="18" t="str">
        <f t="shared" si="1"/>
        <v>0087</v>
      </c>
      <c r="M88" s="18" t="s">
        <v>38</v>
      </c>
      <c r="N88" s="19" t="s">
        <v>723</v>
      </c>
      <c r="O88" s="20" t="s">
        <v>724</v>
      </c>
    </row>
    <row r="89" spans="1:15" ht="15.75" customHeight="1">
      <c r="A89" s="10" t="s">
        <v>725</v>
      </c>
      <c r="B89" s="10" t="s">
        <v>27</v>
      </c>
      <c r="C89" s="11" t="s">
        <v>28</v>
      </c>
      <c r="D89" s="13" t="s">
        <v>501</v>
      </c>
      <c r="E89" s="6" t="s">
        <v>726</v>
      </c>
      <c r="F89" s="17" t="s">
        <v>731</v>
      </c>
      <c r="G89" s="17"/>
      <c r="H89" s="17" t="s">
        <v>35</v>
      </c>
      <c r="I89" s="6" t="s">
        <v>35</v>
      </c>
      <c r="J89" s="17" t="s">
        <v>36</v>
      </c>
      <c r="K89" s="17" t="s">
        <v>731</v>
      </c>
      <c r="L89" s="18" t="str">
        <f t="shared" si="1"/>
        <v>0088</v>
      </c>
      <c r="M89" s="18" t="s">
        <v>38</v>
      </c>
      <c r="N89" s="19" t="s">
        <v>147</v>
      </c>
      <c r="O89" s="20" t="s">
        <v>483</v>
      </c>
    </row>
    <row r="90" spans="1:15" ht="15.75" customHeight="1">
      <c r="A90" s="10" t="s">
        <v>732</v>
      </c>
      <c r="B90" s="10" t="s">
        <v>27</v>
      </c>
      <c r="C90" s="11" t="s">
        <v>28</v>
      </c>
      <c r="D90" s="13" t="s">
        <v>210</v>
      </c>
      <c r="E90" s="6" t="s">
        <v>733</v>
      </c>
      <c r="F90" s="10" t="s">
        <v>85</v>
      </c>
      <c r="G90" s="17"/>
      <c r="H90" s="17" t="s">
        <v>216</v>
      </c>
      <c r="I90" s="6" t="s">
        <v>737</v>
      </c>
      <c r="J90" s="6">
        <v>194708563</v>
      </c>
      <c r="K90" s="10" t="s">
        <v>85</v>
      </c>
      <c r="L90" s="18" t="str">
        <f t="shared" si="1"/>
        <v>0089</v>
      </c>
      <c r="M90" s="18" t="s">
        <v>38</v>
      </c>
      <c r="N90" s="19" t="s">
        <v>147</v>
      </c>
      <c r="O90" s="20" t="s">
        <v>483</v>
      </c>
    </row>
    <row r="91" spans="1:15" ht="15.75" customHeight="1">
      <c r="A91" s="10" t="s">
        <v>738</v>
      </c>
      <c r="B91" s="10" t="s">
        <v>27</v>
      </c>
      <c r="C91" s="11" t="s">
        <v>28</v>
      </c>
      <c r="D91" s="13" t="s">
        <v>53</v>
      </c>
      <c r="E91" s="6" t="s">
        <v>739</v>
      </c>
      <c r="F91" s="32" t="s">
        <v>85</v>
      </c>
      <c r="G91" s="17"/>
      <c r="H91" s="35" t="s">
        <v>35</v>
      </c>
      <c r="I91" s="6" t="s">
        <v>35</v>
      </c>
      <c r="J91" s="10" t="s">
        <v>36</v>
      </c>
      <c r="K91" s="32" t="s">
        <v>85</v>
      </c>
      <c r="L91" s="18" t="str">
        <f t="shared" si="1"/>
        <v>0090</v>
      </c>
      <c r="M91" s="18" t="s">
        <v>38</v>
      </c>
      <c r="N91" s="19" t="s">
        <v>147</v>
      </c>
      <c r="O91" s="20" t="s">
        <v>483</v>
      </c>
    </row>
    <row r="92" spans="1:15" ht="15.75" customHeight="1">
      <c r="A92" s="10" t="s">
        <v>742</v>
      </c>
      <c r="B92" s="10" t="s">
        <v>27</v>
      </c>
      <c r="C92" s="11" t="s">
        <v>28</v>
      </c>
      <c r="D92" s="13" t="s">
        <v>93</v>
      </c>
      <c r="E92" s="6" t="s">
        <v>743</v>
      </c>
      <c r="F92" s="17" t="s">
        <v>748</v>
      </c>
      <c r="G92" s="17"/>
      <c r="H92" s="17" t="s">
        <v>35</v>
      </c>
      <c r="I92" s="6" t="s">
        <v>35</v>
      </c>
      <c r="J92" s="17" t="s">
        <v>36</v>
      </c>
      <c r="K92" s="17" t="s">
        <v>748</v>
      </c>
      <c r="L92" s="18" t="str">
        <f t="shared" si="1"/>
        <v>0091</v>
      </c>
      <c r="M92" s="18" t="s">
        <v>38</v>
      </c>
      <c r="N92" s="19" t="s">
        <v>147</v>
      </c>
      <c r="O92" s="20" t="s">
        <v>483</v>
      </c>
    </row>
    <row r="93" spans="1:15" ht="15.75" customHeight="1">
      <c r="A93" s="10" t="s">
        <v>750</v>
      </c>
      <c r="B93" s="10" t="s">
        <v>27</v>
      </c>
      <c r="C93" s="11" t="s">
        <v>28</v>
      </c>
      <c r="D93" s="13" t="s">
        <v>93</v>
      </c>
      <c r="E93" s="6" t="s">
        <v>751</v>
      </c>
      <c r="F93" s="17" t="s">
        <v>756</v>
      </c>
      <c r="G93" s="17"/>
      <c r="H93" s="17" t="s">
        <v>35</v>
      </c>
      <c r="I93" s="6" t="s">
        <v>35</v>
      </c>
      <c r="J93" s="17" t="s">
        <v>36</v>
      </c>
      <c r="K93" s="17" t="s">
        <v>756</v>
      </c>
      <c r="L93" s="18" t="str">
        <f t="shared" si="1"/>
        <v>0092</v>
      </c>
      <c r="M93" s="18" t="s">
        <v>38</v>
      </c>
      <c r="N93" s="19" t="s">
        <v>147</v>
      </c>
      <c r="O93" s="20" t="s">
        <v>483</v>
      </c>
    </row>
    <row r="94" spans="1:15" ht="15.75" customHeight="1">
      <c r="A94" s="10" t="s">
        <v>757</v>
      </c>
      <c r="B94" s="10" t="s">
        <v>27</v>
      </c>
      <c r="C94" s="11" t="s">
        <v>28</v>
      </c>
      <c r="D94" s="13" t="s">
        <v>93</v>
      </c>
      <c r="E94" s="6" t="s">
        <v>758</v>
      </c>
      <c r="F94" s="17" t="s">
        <v>763</v>
      </c>
      <c r="G94" s="17"/>
      <c r="H94" s="17" t="s">
        <v>35</v>
      </c>
      <c r="I94" s="6" t="s">
        <v>35</v>
      </c>
      <c r="J94" s="17" t="s">
        <v>36</v>
      </c>
      <c r="K94" s="17" t="s">
        <v>763</v>
      </c>
      <c r="L94" s="18" t="str">
        <f t="shared" si="1"/>
        <v>0093</v>
      </c>
      <c r="M94" s="18" t="s">
        <v>38</v>
      </c>
      <c r="N94" s="19" t="s">
        <v>147</v>
      </c>
      <c r="O94" s="20" t="s">
        <v>483</v>
      </c>
    </row>
    <row r="95" spans="1:15" ht="15.75" customHeight="1">
      <c r="A95" s="10" t="s">
        <v>764</v>
      </c>
      <c r="B95" s="10" t="s">
        <v>27</v>
      </c>
      <c r="C95" s="11" t="s">
        <v>28</v>
      </c>
      <c r="D95" s="13" t="s">
        <v>93</v>
      </c>
      <c r="E95" s="6" t="s">
        <v>765</v>
      </c>
      <c r="F95" s="17" t="s">
        <v>770</v>
      </c>
      <c r="G95" s="17"/>
      <c r="H95" s="17" t="s">
        <v>35</v>
      </c>
      <c r="I95" s="6" t="s">
        <v>35</v>
      </c>
      <c r="J95" s="17" t="s">
        <v>36</v>
      </c>
      <c r="K95" s="17" t="s">
        <v>770</v>
      </c>
      <c r="L95" s="18" t="str">
        <f t="shared" si="1"/>
        <v>0094</v>
      </c>
      <c r="M95" s="18" t="s">
        <v>38</v>
      </c>
      <c r="N95" s="19" t="s">
        <v>28</v>
      </c>
      <c r="O95" s="20" t="s">
        <v>392</v>
      </c>
    </row>
    <row r="96" spans="1:15" ht="15.75" customHeight="1">
      <c r="A96" s="10" t="s">
        <v>771</v>
      </c>
      <c r="B96" s="10" t="s">
        <v>27</v>
      </c>
      <c r="C96" s="11" t="s">
        <v>28</v>
      </c>
      <c r="D96" s="13" t="s">
        <v>93</v>
      </c>
      <c r="E96" s="6" t="s">
        <v>772</v>
      </c>
      <c r="F96" s="17" t="s">
        <v>777</v>
      </c>
      <c r="G96" s="17"/>
      <c r="H96" s="17" t="s">
        <v>35</v>
      </c>
      <c r="I96" s="6" t="s">
        <v>35</v>
      </c>
      <c r="J96" s="17" t="s">
        <v>36</v>
      </c>
      <c r="K96" s="17" t="s">
        <v>777</v>
      </c>
      <c r="L96" s="18" t="str">
        <f t="shared" si="1"/>
        <v>0095</v>
      </c>
      <c r="M96" s="18" t="s">
        <v>38</v>
      </c>
      <c r="N96" s="19" t="s">
        <v>147</v>
      </c>
      <c r="O96" s="20" t="s">
        <v>483</v>
      </c>
    </row>
    <row r="97" spans="1:15" ht="15.75" customHeight="1">
      <c r="A97" s="10" t="s">
        <v>778</v>
      </c>
      <c r="B97" s="10" t="s">
        <v>27</v>
      </c>
      <c r="C97" s="11" t="s">
        <v>28</v>
      </c>
      <c r="D97" s="13" t="s">
        <v>93</v>
      </c>
      <c r="E97" s="6" t="s">
        <v>779</v>
      </c>
      <c r="F97" s="10" t="s">
        <v>7245</v>
      </c>
      <c r="G97" s="17"/>
      <c r="H97" s="35" t="s">
        <v>35</v>
      </c>
      <c r="I97" s="6" t="s">
        <v>35</v>
      </c>
      <c r="J97" s="10" t="s">
        <v>36</v>
      </c>
      <c r="K97" s="10" t="s">
        <v>7245</v>
      </c>
      <c r="L97" s="18" t="str">
        <f t="shared" si="1"/>
        <v>0096</v>
      </c>
      <c r="M97" s="18" t="s">
        <v>38</v>
      </c>
      <c r="N97" s="19" t="s">
        <v>147</v>
      </c>
      <c r="O97" s="20" t="s">
        <v>483</v>
      </c>
    </row>
    <row r="98" spans="1:15" ht="15.75" customHeight="1">
      <c r="A98" s="10" t="s">
        <v>782</v>
      </c>
      <c r="B98" s="10" t="s">
        <v>27</v>
      </c>
      <c r="C98" s="11" t="s">
        <v>28</v>
      </c>
      <c r="D98" s="13" t="s">
        <v>501</v>
      </c>
      <c r="E98" s="6" t="s">
        <v>783</v>
      </c>
      <c r="F98" s="17" t="s">
        <v>788</v>
      </c>
      <c r="G98" s="17"/>
      <c r="H98" s="17" t="s">
        <v>35</v>
      </c>
      <c r="I98" s="6" t="s">
        <v>35</v>
      </c>
      <c r="J98" s="17" t="s">
        <v>36</v>
      </c>
      <c r="K98" s="17" t="s">
        <v>788</v>
      </c>
      <c r="L98" s="18" t="str">
        <f t="shared" si="1"/>
        <v>0097</v>
      </c>
      <c r="M98" s="18" t="s">
        <v>38</v>
      </c>
      <c r="N98" s="19" t="s">
        <v>147</v>
      </c>
      <c r="O98" s="20" t="s">
        <v>483</v>
      </c>
    </row>
    <row r="99" spans="1:15" ht="15.75" customHeight="1">
      <c r="A99" s="10" t="s">
        <v>789</v>
      </c>
      <c r="B99" s="10" t="s">
        <v>27</v>
      </c>
      <c r="C99" s="11" t="s">
        <v>28</v>
      </c>
      <c r="D99" s="13" t="s">
        <v>199</v>
      </c>
      <c r="E99" s="6" t="s">
        <v>199</v>
      </c>
      <c r="F99" s="17" t="s">
        <v>796</v>
      </c>
      <c r="G99" s="17"/>
      <c r="H99" s="17" t="s">
        <v>205</v>
      </c>
      <c r="I99" s="6" t="s">
        <v>794</v>
      </c>
      <c r="J99" s="17" t="s">
        <v>795</v>
      </c>
      <c r="K99" s="17" t="s">
        <v>796</v>
      </c>
      <c r="L99" s="18" t="str">
        <f t="shared" si="1"/>
        <v>0098</v>
      </c>
      <c r="M99" s="18" t="s">
        <v>38</v>
      </c>
      <c r="N99" s="19" t="s">
        <v>147</v>
      </c>
      <c r="O99" s="20" t="s">
        <v>483</v>
      </c>
    </row>
    <row r="100" spans="1:15" ht="15.75" customHeight="1">
      <c r="A100" s="10" t="s">
        <v>797</v>
      </c>
      <c r="B100" s="10" t="s">
        <v>27</v>
      </c>
      <c r="C100" s="11" t="s">
        <v>28</v>
      </c>
      <c r="D100" s="13" t="s">
        <v>199</v>
      </c>
      <c r="E100" s="6" t="s">
        <v>798</v>
      </c>
      <c r="F100" s="10" t="s">
        <v>7246</v>
      </c>
      <c r="G100" s="17"/>
      <c r="H100" s="17" t="s">
        <v>205</v>
      </c>
      <c r="I100" s="6" t="s">
        <v>802</v>
      </c>
      <c r="J100" s="17" t="s">
        <v>803</v>
      </c>
      <c r="K100" s="10" t="s">
        <v>7246</v>
      </c>
      <c r="L100" s="18" t="str">
        <f t="shared" si="1"/>
        <v>0099</v>
      </c>
      <c r="M100" s="50" t="s">
        <v>549</v>
      </c>
      <c r="N100" s="19" t="s">
        <v>147</v>
      </c>
      <c r="O100" s="20" t="s">
        <v>483</v>
      </c>
    </row>
    <row r="101" spans="1:15" ht="15.75" customHeight="1">
      <c r="A101" s="10" t="s">
        <v>805</v>
      </c>
      <c r="B101" s="10" t="s">
        <v>27</v>
      </c>
      <c r="C101" s="11" t="s">
        <v>28</v>
      </c>
      <c r="D101" s="13" t="s">
        <v>199</v>
      </c>
      <c r="E101" s="6" t="s">
        <v>199</v>
      </c>
      <c r="F101" s="17" t="s">
        <v>810</v>
      </c>
      <c r="G101" s="17"/>
      <c r="H101" s="17" t="s">
        <v>205</v>
      </c>
      <c r="I101" s="6" t="s">
        <v>794</v>
      </c>
      <c r="J101" s="17" t="s">
        <v>809</v>
      </c>
      <c r="K101" s="17" t="s">
        <v>810</v>
      </c>
      <c r="L101" s="18" t="str">
        <f t="shared" si="1"/>
        <v>0100</v>
      </c>
      <c r="M101" s="18" t="s">
        <v>38</v>
      </c>
      <c r="N101" s="19" t="s">
        <v>147</v>
      </c>
      <c r="O101" s="20" t="s">
        <v>483</v>
      </c>
    </row>
    <row r="102" spans="1:15" ht="15.75" customHeight="1">
      <c r="A102" s="10" t="s">
        <v>811</v>
      </c>
      <c r="B102" s="10" t="s">
        <v>27</v>
      </c>
      <c r="C102" s="11" t="s">
        <v>28</v>
      </c>
      <c r="D102" s="13" t="s">
        <v>199</v>
      </c>
      <c r="E102" s="6" t="s">
        <v>199</v>
      </c>
      <c r="F102" s="155" t="s">
        <v>7247</v>
      </c>
      <c r="G102" s="17"/>
      <c r="H102" s="17" t="s">
        <v>205</v>
      </c>
      <c r="I102" s="6" t="s">
        <v>794</v>
      </c>
      <c r="J102" s="6" t="s">
        <v>815</v>
      </c>
      <c r="K102" s="155" t="s">
        <v>7247</v>
      </c>
      <c r="L102" s="18" t="str">
        <f t="shared" si="1"/>
        <v>0101</v>
      </c>
      <c r="M102" s="50" t="s">
        <v>817</v>
      </c>
      <c r="N102" s="20" t="s">
        <v>147</v>
      </c>
      <c r="O102" s="20" t="s">
        <v>483</v>
      </c>
    </row>
    <row r="103" spans="1:15" ht="15.75" customHeight="1">
      <c r="A103" s="10" t="s">
        <v>818</v>
      </c>
      <c r="B103" s="10" t="s">
        <v>27</v>
      </c>
      <c r="C103" s="11" t="s">
        <v>28</v>
      </c>
      <c r="D103" s="13" t="s">
        <v>199</v>
      </c>
      <c r="E103" s="6" t="s">
        <v>199</v>
      </c>
      <c r="F103" s="35" t="s">
        <v>7248</v>
      </c>
      <c r="G103" s="17"/>
      <c r="H103" s="17" t="s">
        <v>205</v>
      </c>
      <c r="I103" s="6" t="s">
        <v>794</v>
      </c>
      <c r="J103" s="35" t="s">
        <v>822</v>
      </c>
      <c r="K103" s="35" t="s">
        <v>7248</v>
      </c>
      <c r="L103" s="18" t="str">
        <f t="shared" si="1"/>
        <v>0102</v>
      </c>
      <c r="M103" s="18" t="s">
        <v>38</v>
      </c>
      <c r="N103" s="19" t="s">
        <v>147</v>
      </c>
      <c r="O103" s="20" t="s">
        <v>483</v>
      </c>
    </row>
    <row r="104" spans="1:15" ht="15.75" customHeight="1">
      <c r="A104" s="10" t="s">
        <v>824</v>
      </c>
      <c r="B104" s="10" t="s">
        <v>27</v>
      </c>
      <c r="C104" s="11" t="s">
        <v>28</v>
      </c>
      <c r="D104" s="13" t="s">
        <v>353</v>
      </c>
      <c r="E104" s="6" t="s">
        <v>354</v>
      </c>
      <c r="F104" s="10" t="s">
        <v>7249</v>
      </c>
      <c r="G104" s="17"/>
      <c r="H104" s="17" t="s">
        <v>827</v>
      </c>
      <c r="I104" s="6" t="s">
        <v>828</v>
      </c>
      <c r="J104" s="6" t="s">
        <v>829</v>
      </c>
      <c r="K104" s="10" t="s">
        <v>85</v>
      </c>
      <c r="L104" s="18" t="str">
        <f t="shared" si="1"/>
        <v>0103</v>
      </c>
      <c r="M104" s="18" t="s">
        <v>38</v>
      </c>
      <c r="N104" s="19" t="s">
        <v>147</v>
      </c>
      <c r="O104" s="20" t="s">
        <v>483</v>
      </c>
    </row>
    <row r="105" spans="1:15" ht="15.75" customHeight="1">
      <c r="A105" s="10" t="s">
        <v>830</v>
      </c>
      <c r="B105" s="10" t="s">
        <v>27</v>
      </c>
      <c r="C105" s="11" t="s">
        <v>28</v>
      </c>
      <c r="D105" s="13" t="s">
        <v>378</v>
      </c>
      <c r="E105" s="6" t="s">
        <v>831</v>
      </c>
      <c r="F105" s="156" t="s">
        <v>1311</v>
      </c>
      <c r="G105" s="17"/>
      <c r="H105" s="35" t="s">
        <v>35</v>
      </c>
      <c r="I105" s="6" t="s">
        <v>35</v>
      </c>
      <c r="J105" s="10" t="s">
        <v>36</v>
      </c>
      <c r="K105" s="156" t="s">
        <v>1311</v>
      </c>
      <c r="L105" s="18" t="str">
        <f t="shared" si="1"/>
        <v>0104</v>
      </c>
      <c r="M105" s="18" t="s">
        <v>38</v>
      </c>
      <c r="N105" s="19" t="s">
        <v>147</v>
      </c>
      <c r="O105" s="20" t="s">
        <v>483</v>
      </c>
    </row>
    <row r="106" spans="1:15" ht="15.75" customHeight="1">
      <c r="A106" s="10" t="s">
        <v>834</v>
      </c>
      <c r="B106" s="10" t="s">
        <v>27</v>
      </c>
      <c r="C106" s="11" t="s">
        <v>28</v>
      </c>
      <c r="D106" s="13" t="s">
        <v>835</v>
      </c>
      <c r="E106" s="43" t="s">
        <v>836</v>
      </c>
      <c r="F106" s="17" t="s">
        <v>841</v>
      </c>
      <c r="G106" s="17"/>
      <c r="H106" s="17" t="s">
        <v>840</v>
      </c>
      <c r="I106" s="6" t="s">
        <v>35</v>
      </c>
      <c r="J106" s="6" t="s">
        <v>36</v>
      </c>
      <c r="K106" s="17" t="s">
        <v>841</v>
      </c>
      <c r="L106" s="18" t="str">
        <f t="shared" si="1"/>
        <v>0105</v>
      </c>
      <c r="M106" s="18" t="s">
        <v>38</v>
      </c>
      <c r="N106" s="19" t="s">
        <v>147</v>
      </c>
      <c r="O106" s="20" t="s">
        <v>483</v>
      </c>
    </row>
    <row r="107" spans="1:15" ht="15.75" customHeight="1">
      <c r="A107" s="10" t="s">
        <v>842</v>
      </c>
      <c r="B107" s="10" t="s">
        <v>27</v>
      </c>
      <c r="C107" s="11" t="s">
        <v>28</v>
      </c>
      <c r="D107" s="13" t="s">
        <v>843</v>
      </c>
      <c r="E107" s="6" t="s">
        <v>843</v>
      </c>
      <c r="F107" s="17" t="s">
        <v>847</v>
      </c>
      <c r="G107" s="17"/>
      <c r="H107" s="51" t="s">
        <v>35</v>
      </c>
      <c r="I107" s="6" t="s">
        <v>35</v>
      </c>
      <c r="J107" s="17" t="s">
        <v>36</v>
      </c>
      <c r="K107" s="17" t="s">
        <v>847</v>
      </c>
      <c r="L107" s="18" t="str">
        <f t="shared" si="1"/>
        <v>0106</v>
      </c>
      <c r="M107" s="18" t="s">
        <v>38</v>
      </c>
      <c r="N107" s="19" t="s">
        <v>28</v>
      </c>
      <c r="O107" s="20" t="s">
        <v>848</v>
      </c>
    </row>
    <row r="108" spans="1:15" ht="15.75" customHeight="1">
      <c r="A108" s="10" t="s">
        <v>849</v>
      </c>
      <c r="B108" s="10" t="s">
        <v>27</v>
      </c>
      <c r="C108" s="11" t="s">
        <v>28</v>
      </c>
      <c r="D108" s="13" t="s">
        <v>850</v>
      </c>
      <c r="E108" s="43" t="s">
        <v>851</v>
      </c>
      <c r="F108" s="10" t="s">
        <v>859</v>
      </c>
      <c r="G108" s="17"/>
      <c r="H108" s="17" t="s">
        <v>856</v>
      </c>
      <c r="I108" s="6" t="s">
        <v>857</v>
      </c>
      <c r="J108" s="6" t="s">
        <v>858</v>
      </c>
      <c r="K108" s="10" t="s">
        <v>859</v>
      </c>
      <c r="L108" s="18" t="str">
        <f t="shared" si="1"/>
        <v>0107</v>
      </c>
      <c r="M108" s="18" t="s">
        <v>38</v>
      </c>
      <c r="N108" s="19" t="s">
        <v>28</v>
      </c>
      <c r="O108" s="20" t="s">
        <v>848</v>
      </c>
    </row>
    <row r="109" spans="1:15" ht="15.75" customHeight="1">
      <c r="A109" s="10" t="s">
        <v>860</v>
      </c>
      <c r="B109" s="10" t="s">
        <v>27</v>
      </c>
      <c r="C109" s="11" t="s">
        <v>28</v>
      </c>
      <c r="D109" s="13" t="s">
        <v>93</v>
      </c>
      <c r="E109" s="6" t="s">
        <v>861</v>
      </c>
      <c r="F109" s="17" t="s">
        <v>866</v>
      </c>
      <c r="G109" s="17"/>
      <c r="H109" s="17" t="s">
        <v>35</v>
      </c>
      <c r="I109" s="6" t="s">
        <v>35</v>
      </c>
      <c r="J109" s="17" t="s">
        <v>36</v>
      </c>
      <c r="K109" s="17" t="s">
        <v>866</v>
      </c>
      <c r="L109" s="18" t="str">
        <f t="shared" si="1"/>
        <v>0108</v>
      </c>
      <c r="M109" s="18" t="s">
        <v>38</v>
      </c>
      <c r="N109" s="19" t="s">
        <v>28</v>
      </c>
      <c r="O109" s="20" t="s">
        <v>848</v>
      </c>
    </row>
    <row r="110" spans="1:15" ht="15.75" customHeight="1">
      <c r="A110" s="10" t="s">
        <v>867</v>
      </c>
      <c r="B110" s="10" t="s">
        <v>27</v>
      </c>
      <c r="C110" s="11" t="s">
        <v>868</v>
      </c>
      <c r="D110" s="13" t="s">
        <v>93</v>
      </c>
      <c r="E110" s="6" t="s">
        <v>869</v>
      </c>
      <c r="F110" s="17" t="s">
        <v>874</v>
      </c>
      <c r="G110" s="17"/>
      <c r="H110" s="17" t="s">
        <v>35</v>
      </c>
      <c r="I110" s="6" t="s">
        <v>35</v>
      </c>
      <c r="J110" s="17" t="s">
        <v>36</v>
      </c>
      <c r="K110" s="17" t="s">
        <v>874</v>
      </c>
      <c r="L110" s="18" t="str">
        <f t="shared" si="1"/>
        <v>0109</v>
      </c>
      <c r="M110" s="18" t="s">
        <v>38</v>
      </c>
      <c r="N110" s="19" t="s">
        <v>875</v>
      </c>
      <c r="O110" s="20" t="s">
        <v>876</v>
      </c>
    </row>
    <row r="111" spans="1:15" ht="15.75" customHeight="1">
      <c r="A111" s="10" t="s">
        <v>877</v>
      </c>
      <c r="B111" s="10" t="s">
        <v>27</v>
      </c>
      <c r="C111" s="11" t="s">
        <v>28</v>
      </c>
      <c r="D111" s="13" t="s">
        <v>378</v>
      </c>
      <c r="E111" s="6" t="s">
        <v>878</v>
      </c>
      <c r="F111" s="17" t="s">
        <v>883</v>
      </c>
      <c r="G111" s="17"/>
      <c r="H111" s="17" t="s">
        <v>35</v>
      </c>
      <c r="I111" s="6" t="s">
        <v>35</v>
      </c>
      <c r="J111" s="17" t="s">
        <v>36</v>
      </c>
      <c r="K111" s="17" t="s">
        <v>883</v>
      </c>
      <c r="L111" s="18" t="str">
        <f t="shared" si="1"/>
        <v>0110</v>
      </c>
      <c r="M111" s="18" t="s">
        <v>38</v>
      </c>
      <c r="N111" s="19" t="s">
        <v>28</v>
      </c>
      <c r="O111" s="20" t="s">
        <v>848</v>
      </c>
    </row>
    <row r="112" spans="1:15" ht="15.75" customHeight="1">
      <c r="A112" s="10" t="s">
        <v>884</v>
      </c>
      <c r="B112" s="10" t="s">
        <v>27</v>
      </c>
      <c r="C112" s="11" t="s">
        <v>28</v>
      </c>
      <c r="D112" s="13" t="s">
        <v>43</v>
      </c>
      <c r="E112" s="6" t="s">
        <v>885</v>
      </c>
      <c r="F112" s="17" t="s">
        <v>891</v>
      </c>
      <c r="G112" s="17"/>
      <c r="H112" s="17" t="s">
        <v>890</v>
      </c>
      <c r="I112" s="6" t="s">
        <v>35</v>
      </c>
      <c r="J112" s="17" t="s">
        <v>36</v>
      </c>
      <c r="K112" s="17" t="s">
        <v>891</v>
      </c>
      <c r="L112" s="18" t="str">
        <f t="shared" si="1"/>
        <v>0111</v>
      </c>
      <c r="M112" s="18" t="s">
        <v>38</v>
      </c>
      <c r="N112" s="19" t="s">
        <v>28</v>
      </c>
      <c r="O112" s="20" t="s">
        <v>848</v>
      </c>
    </row>
    <row r="113" spans="1:15" ht="15.75" customHeight="1">
      <c r="A113" s="10" t="s">
        <v>892</v>
      </c>
      <c r="B113" s="10" t="s">
        <v>27</v>
      </c>
      <c r="C113" s="11" t="s">
        <v>28</v>
      </c>
      <c r="D113" s="13" t="s">
        <v>43</v>
      </c>
      <c r="E113" s="6" t="s">
        <v>893</v>
      </c>
      <c r="F113" s="17" t="s">
        <v>85</v>
      </c>
      <c r="G113" s="17"/>
      <c r="H113" s="17" t="s">
        <v>898</v>
      </c>
      <c r="I113" s="6" t="s">
        <v>899</v>
      </c>
      <c r="J113" s="6" t="s">
        <v>36</v>
      </c>
      <c r="K113" s="17" t="s">
        <v>85</v>
      </c>
      <c r="L113" s="18" t="str">
        <f t="shared" si="1"/>
        <v>0112</v>
      </c>
      <c r="M113" s="18" t="s">
        <v>38</v>
      </c>
      <c r="N113" s="19" t="s">
        <v>28</v>
      </c>
      <c r="O113" s="20" t="s">
        <v>848</v>
      </c>
    </row>
    <row r="114" spans="1:15" ht="15.75" customHeight="1">
      <c r="A114" s="10" t="s">
        <v>900</v>
      </c>
      <c r="B114" s="10" t="s">
        <v>27</v>
      </c>
      <c r="C114" s="11" t="s">
        <v>28</v>
      </c>
      <c r="D114" s="13" t="s">
        <v>53</v>
      </c>
      <c r="E114" s="6" t="s">
        <v>901</v>
      </c>
      <c r="F114" s="32" t="s">
        <v>85</v>
      </c>
      <c r="G114" s="17"/>
      <c r="H114" s="35" t="s">
        <v>35</v>
      </c>
      <c r="I114" s="6" t="s">
        <v>35</v>
      </c>
      <c r="J114" s="10" t="s">
        <v>36</v>
      </c>
      <c r="K114" s="32" t="s">
        <v>85</v>
      </c>
      <c r="L114" s="18" t="str">
        <f t="shared" si="1"/>
        <v>0113</v>
      </c>
      <c r="M114" s="18" t="s">
        <v>38</v>
      </c>
      <c r="N114" s="19" t="s">
        <v>28</v>
      </c>
      <c r="O114" s="20" t="s">
        <v>848</v>
      </c>
    </row>
    <row r="115" spans="1:15" ht="15.75" customHeight="1">
      <c r="A115" s="10" t="s">
        <v>904</v>
      </c>
      <c r="B115" s="10" t="s">
        <v>27</v>
      </c>
      <c r="C115" s="11" t="s">
        <v>28</v>
      </c>
      <c r="D115" s="13" t="s">
        <v>151</v>
      </c>
      <c r="E115" s="6" t="s">
        <v>152</v>
      </c>
      <c r="F115" s="10" t="s">
        <v>910</v>
      </c>
      <c r="G115" s="17"/>
      <c r="H115" s="17" t="s">
        <v>157</v>
      </c>
      <c r="I115" s="6" t="s">
        <v>158</v>
      </c>
      <c r="J115" s="17" t="s">
        <v>909</v>
      </c>
      <c r="K115" s="10" t="s">
        <v>910</v>
      </c>
      <c r="L115" s="18" t="str">
        <f t="shared" si="1"/>
        <v>0114</v>
      </c>
      <c r="M115" s="18" t="s">
        <v>38</v>
      </c>
      <c r="N115" s="19" t="s">
        <v>28</v>
      </c>
      <c r="O115" s="20" t="s">
        <v>848</v>
      </c>
    </row>
    <row r="116" spans="1:15" ht="15.75" customHeight="1">
      <c r="A116" s="10" t="s">
        <v>911</v>
      </c>
      <c r="B116" s="10" t="s">
        <v>27</v>
      </c>
      <c r="C116" s="11" t="s">
        <v>28</v>
      </c>
      <c r="D116" s="13" t="s">
        <v>151</v>
      </c>
      <c r="E116" s="6" t="s">
        <v>714</v>
      </c>
      <c r="F116" s="17" t="s">
        <v>918</v>
      </c>
      <c r="G116" s="17"/>
      <c r="H116" s="17" t="s">
        <v>205</v>
      </c>
      <c r="I116" s="6" t="s">
        <v>916</v>
      </c>
      <c r="J116" s="17" t="s">
        <v>917</v>
      </c>
      <c r="K116" s="17" t="s">
        <v>918</v>
      </c>
      <c r="L116" s="18" t="str">
        <f t="shared" si="1"/>
        <v>0115</v>
      </c>
      <c r="M116" s="18" t="s">
        <v>38</v>
      </c>
      <c r="N116" s="19" t="s">
        <v>28</v>
      </c>
      <c r="O116" s="20" t="s">
        <v>848</v>
      </c>
    </row>
    <row r="117" spans="1:15" ht="15.75" customHeight="1">
      <c r="A117" s="10" t="s">
        <v>919</v>
      </c>
      <c r="B117" s="10" t="s">
        <v>27</v>
      </c>
      <c r="C117" s="11" t="s">
        <v>28</v>
      </c>
      <c r="D117" s="13" t="s">
        <v>116</v>
      </c>
      <c r="E117" s="6" t="s">
        <v>920</v>
      </c>
      <c r="F117" s="17" t="s">
        <v>925</v>
      </c>
      <c r="G117" s="17"/>
      <c r="H117" s="17" t="s">
        <v>35</v>
      </c>
      <c r="I117" s="6" t="s">
        <v>35</v>
      </c>
      <c r="J117" s="17" t="s">
        <v>36</v>
      </c>
      <c r="K117" s="17" t="s">
        <v>925</v>
      </c>
      <c r="L117" s="18" t="str">
        <f t="shared" si="1"/>
        <v>0116</v>
      </c>
      <c r="M117" s="18" t="s">
        <v>38</v>
      </c>
      <c r="N117" s="19" t="s">
        <v>28</v>
      </c>
      <c r="O117" s="20" t="s">
        <v>848</v>
      </c>
    </row>
    <row r="118" spans="1:15" ht="15.75" customHeight="1">
      <c r="A118" s="10" t="s">
        <v>926</v>
      </c>
      <c r="B118" s="10" t="s">
        <v>27</v>
      </c>
      <c r="C118" s="11" t="s">
        <v>28</v>
      </c>
      <c r="D118" s="13" t="s">
        <v>184</v>
      </c>
      <c r="E118" s="6" t="s">
        <v>927</v>
      </c>
      <c r="F118" s="35" t="s">
        <v>7250</v>
      </c>
      <c r="G118" s="17"/>
      <c r="H118" s="17" t="s">
        <v>35</v>
      </c>
      <c r="I118" s="6" t="s">
        <v>35</v>
      </c>
      <c r="J118" s="17" t="s">
        <v>36</v>
      </c>
      <c r="K118" s="35" t="s">
        <v>7250</v>
      </c>
      <c r="L118" s="18" t="str">
        <f t="shared" si="1"/>
        <v>0117</v>
      </c>
      <c r="M118" s="18" t="s">
        <v>38</v>
      </c>
      <c r="N118" s="19" t="s">
        <v>28</v>
      </c>
      <c r="O118" s="20" t="s">
        <v>848</v>
      </c>
    </row>
    <row r="119" spans="1:15" ht="15.75" customHeight="1">
      <c r="A119" s="10" t="s">
        <v>933</v>
      </c>
      <c r="B119" s="10" t="s">
        <v>27</v>
      </c>
      <c r="C119" s="11" t="s">
        <v>28</v>
      </c>
      <c r="D119" s="13" t="s">
        <v>353</v>
      </c>
      <c r="E119" s="6" t="s">
        <v>638</v>
      </c>
      <c r="F119" s="10" t="s">
        <v>940</v>
      </c>
      <c r="G119" s="17"/>
      <c r="H119" s="17" t="s">
        <v>359</v>
      </c>
      <c r="I119" s="6" t="s">
        <v>938</v>
      </c>
      <c r="J119" s="17" t="s">
        <v>939</v>
      </c>
      <c r="K119" s="10" t="s">
        <v>940</v>
      </c>
      <c r="L119" s="18" t="str">
        <f t="shared" si="1"/>
        <v>0118</v>
      </c>
      <c r="M119" s="18" t="s">
        <v>38</v>
      </c>
      <c r="N119" s="19" t="s">
        <v>28</v>
      </c>
      <c r="O119" s="20" t="s">
        <v>848</v>
      </c>
    </row>
    <row r="120" spans="1:15" ht="15.75" customHeight="1">
      <c r="A120" s="10" t="s">
        <v>941</v>
      </c>
      <c r="B120" s="10" t="s">
        <v>27</v>
      </c>
      <c r="C120" s="11" t="s">
        <v>28</v>
      </c>
      <c r="D120" s="13" t="s">
        <v>199</v>
      </c>
      <c r="E120" s="6" t="s">
        <v>199</v>
      </c>
      <c r="F120" s="17" t="s">
        <v>947</v>
      </c>
      <c r="G120" s="17"/>
      <c r="H120" s="17" t="s">
        <v>157</v>
      </c>
      <c r="I120" s="6">
        <v>2378</v>
      </c>
      <c r="J120" s="17" t="s">
        <v>946</v>
      </c>
      <c r="K120" s="17" t="s">
        <v>947</v>
      </c>
      <c r="L120" s="18" t="str">
        <f t="shared" si="1"/>
        <v>0119</v>
      </c>
      <c r="M120" s="18" t="s">
        <v>38</v>
      </c>
      <c r="N120" s="19" t="s">
        <v>28</v>
      </c>
      <c r="O120" s="20" t="s">
        <v>848</v>
      </c>
    </row>
    <row r="121" spans="1:15" ht="15.75" customHeight="1">
      <c r="A121" s="10" t="s">
        <v>948</v>
      </c>
      <c r="B121" s="10" t="s">
        <v>27</v>
      </c>
      <c r="C121" s="11" t="s">
        <v>28</v>
      </c>
      <c r="D121" s="13" t="s">
        <v>210</v>
      </c>
      <c r="E121" s="6" t="s">
        <v>949</v>
      </c>
      <c r="F121" s="17" t="s">
        <v>85</v>
      </c>
      <c r="G121" s="17"/>
      <c r="H121" s="17" t="s">
        <v>216</v>
      </c>
      <c r="I121" s="6" t="s">
        <v>737</v>
      </c>
      <c r="J121" s="17" t="s">
        <v>954</v>
      </c>
      <c r="K121" s="17" t="s">
        <v>85</v>
      </c>
      <c r="L121" s="18" t="str">
        <f t="shared" si="1"/>
        <v>0120</v>
      </c>
      <c r="M121" s="18" t="s">
        <v>38</v>
      </c>
      <c r="N121" s="19" t="s">
        <v>28</v>
      </c>
      <c r="O121" s="20" t="s">
        <v>848</v>
      </c>
    </row>
    <row r="122" spans="1:15" ht="15.75" customHeight="1">
      <c r="A122" s="10" t="s">
        <v>955</v>
      </c>
      <c r="B122" s="10" t="s">
        <v>27</v>
      </c>
      <c r="C122" s="11" t="s">
        <v>28</v>
      </c>
      <c r="D122" s="13" t="s">
        <v>378</v>
      </c>
      <c r="E122" s="6" t="s">
        <v>956</v>
      </c>
      <c r="F122" s="17" t="s">
        <v>961</v>
      </c>
      <c r="G122" s="17"/>
      <c r="H122" s="17" t="s">
        <v>35</v>
      </c>
      <c r="I122" s="6" t="s">
        <v>35</v>
      </c>
      <c r="J122" s="46" t="s">
        <v>36</v>
      </c>
      <c r="K122" s="17" t="s">
        <v>961</v>
      </c>
      <c r="L122" s="18" t="str">
        <f t="shared" si="1"/>
        <v>0121</v>
      </c>
      <c r="M122" s="18" t="s">
        <v>38</v>
      </c>
      <c r="N122" s="19" t="s">
        <v>28</v>
      </c>
      <c r="O122" s="20" t="s">
        <v>848</v>
      </c>
    </row>
    <row r="123" spans="1:15" ht="15.75" customHeight="1">
      <c r="A123" s="10" t="s">
        <v>962</v>
      </c>
      <c r="B123" s="10" t="s">
        <v>27</v>
      </c>
      <c r="C123" s="11" t="s">
        <v>28</v>
      </c>
      <c r="D123" s="13" t="s">
        <v>151</v>
      </c>
      <c r="E123" s="6" t="s">
        <v>963</v>
      </c>
      <c r="F123" s="10" t="s">
        <v>970</v>
      </c>
      <c r="G123" s="17"/>
      <c r="H123" s="17" t="s">
        <v>703</v>
      </c>
      <c r="I123" s="6" t="s">
        <v>968</v>
      </c>
      <c r="J123" s="17" t="s">
        <v>969</v>
      </c>
      <c r="K123" s="10" t="s">
        <v>970</v>
      </c>
      <c r="L123" s="18" t="str">
        <f t="shared" si="1"/>
        <v>0122</v>
      </c>
      <c r="M123" s="18" t="s">
        <v>971</v>
      </c>
      <c r="N123" s="19" t="s">
        <v>147</v>
      </c>
      <c r="O123" s="20" t="s">
        <v>385</v>
      </c>
    </row>
    <row r="124" spans="1:15" ht="15.75" customHeight="1">
      <c r="A124" s="10" t="s">
        <v>972</v>
      </c>
      <c r="B124" s="10" t="s">
        <v>27</v>
      </c>
      <c r="C124" s="11" t="s">
        <v>28</v>
      </c>
      <c r="D124" s="13" t="s">
        <v>248</v>
      </c>
      <c r="E124" s="6" t="s">
        <v>973</v>
      </c>
      <c r="F124" s="17" t="s">
        <v>981</v>
      </c>
      <c r="G124" s="17"/>
      <c r="H124" s="17" t="s">
        <v>978</v>
      </c>
      <c r="I124" s="6" t="s">
        <v>979</v>
      </c>
      <c r="J124" s="17" t="s">
        <v>980</v>
      </c>
      <c r="K124" s="17" t="s">
        <v>981</v>
      </c>
      <c r="L124" s="18" t="str">
        <f t="shared" si="1"/>
        <v>0123</v>
      </c>
      <c r="M124" s="18" t="s">
        <v>38</v>
      </c>
      <c r="N124" s="19" t="s">
        <v>147</v>
      </c>
      <c r="O124" s="22" t="s">
        <v>686</v>
      </c>
    </row>
    <row r="125" spans="1:15" ht="15.75" customHeight="1">
      <c r="A125" s="10" t="s">
        <v>982</v>
      </c>
      <c r="B125" s="10" t="s">
        <v>27</v>
      </c>
      <c r="C125" s="11" t="s">
        <v>28</v>
      </c>
      <c r="D125" s="13" t="s">
        <v>93</v>
      </c>
      <c r="E125" s="6" t="s">
        <v>869</v>
      </c>
      <c r="F125" s="17" t="s">
        <v>987</v>
      </c>
      <c r="G125" s="17"/>
      <c r="H125" s="17" t="s">
        <v>35</v>
      </c>
      <c r="I125" s="6" t="s">
        <v>35</v>
      </c>
      <c r="J125" s="17" t="s">
        <v>36</v>
      </c>
      <c r="K125" s="17" t="s">
        <v>987</v>
      </c>
      <c r="L125" s="18" t="str">
        <f t="shared" si="1"/>
        <v>0124</v>
      </c>
      <c r="M125" s="18" t="s">
        <v>38</v>
      </c>
      <c r="N125" s="19" t="s">
        <v>147</v>
      </c>
      <c r="O125" s="20" t="s">
        <v>686</v>
      </c>
    </row>
    <row r="126" spans="1:15" ht="15.75" customHeight="1">
      <c r="A126" s="10" t="s">
        <v>988</v>
      </c>
      <c r="B126" s="10" t="s">
        <v>27</v>
      </c>
      <c r="C126" s="11" t="s">
        <v>28</v>
      </c>
      <c r="D126" s="13" t="s">
        <v>199</v>
      </c>
      <c r="E126" s="6" t="s">
        <v>199</v>
      </c>
      <c r="F126" s="17" t="s">
        <v>995</v>
      </c>
      <c r="G126" s="17"/>
      <c r="H126" s="17" t="s">
        <v>205</v>
      </c>
      <c r="I126" s="6" t="s">
        <v>993</v>
      </c>
      <c r="J126" s="6" t="s">
        <v>7251</v>
      </c>
      <c r="K126" s="17" t="s">
        <v>995</v>
      </c>
      <c r="L126" s="18" t="str">
        <f t="shared" si="1"/>
        <v>0125</v>
      </c>
      <c r="M126" s="18" t="s">
        <v>38</v>
      </c>
      <c r="N126" s="19" t="s">
        <v>147</v>
      </c>
      <c r="O126" s="22" t="s">
        <v>686</v>
      </c>
    </row>
    <row r="127" spans="1:15" ht="15.75" customHeight="1">
      <c r="A127" s="10" t="s">
        <v>996</v>
      </c>
      <c r="B127" s="10" t="s">
        <v>27</v>
      </c>
      <c r="C127" s="52" t="s">
        <v>868</v>
      </c>
      <c r="D127" s="13" t="s">
        <v>151</v>
      </c>
      <c r="E127" s="6" t="s">
        <v>963</v>
      </c>
      <c r="F127" s="17" t="s">
        <v>1003</v>
      </c>
      <c r="G127" s="17"/>
      <c r="H127" s="17" t="s">
        <v>297</v>
      </c>
      <c r="I127" s="6" t="s">
        <v>1001</v>
      </c>
      <c r="J127" s="6" t="s">
        <v>1002</v>
      </c>
      <c r="K127" s="17" t="s">
        <v>1003</v>
      </c>
      <c r="L127" s="18" t="str">
        <f t="shared" si="1"/>
        <v>0126</v>
      </c>
      <c r="M127" s="18" t="s">
        <v>517</v>
      </c>
      <c r="N127" s="19" t="s">
        <v>875</v>
      </c>
      <c r="O127" s="20" t="s">
        <v>385</v>
      </c>
    </row>
    <row r="128" spans="1:15" ht="15.75" customHeight="1">
      <c r="A128" s="10" t="s">
        <v>1005</v>
      </c>
      <c r="B128" s="10" t="s">
        <v>27</v>
      </c>
      <c r="C128" s="11" t="s">
        <v>28</v>
      </c>
      <c r="D128" s="13" t="s">
        <v>378</v>
      </c>
      <c r="E128" s="6" t="s">
        <v>1006</v>
      </c>
      <c r="F128" s="17" t="s">
        <v>1011</v>
      </c>
      <c r="G128" s="17"/>
      <c r="H128" s="17" t="s">
        <v>35</v>
      </c>
      <c r="I128" s="6" t="s">
        <v>35</v>
      </c>
      <c r="J128" s="46" t="s">
        <v>36</v>
      </c>
      <c r="K128" s="17" t="s">
        <v>1011</v>
      </c>
      <c r="L128" s="18" t="str">
        <f t="shared" si="1"/>
        <v>0127</v>
      </c>
      <c r="M128" s="18" t="s">
        <v>38</v>
      </c>
      <c r="N128" s="19" t="s">
        <v>147</v>
      </c>
      <c r="O128" s="20" t="s">
        <v>385</v>
      </c>
    </row>
    <row r="129" spans="1:15" ht="15.75" customHeight="1">
      <c r="A129" s="10" t="s">
        <v>1012</v>
      </c>
      <c r="B129" s="10" t="s">
        <v>27</v>
      </c>
      <c r="C129" s="11" t="s">
        <v>28</v>
      </c>
      <c r="D129" s="13" t="s">
        <v>116</v>
      </c>
      <c r="E129" s="6" t="s">
        <v>1013</v>
      </c>
      <c r="F129" s="156" t="s">
        <v>7252</v>
      </c>
      <c r="G129" s="17"/>
      <c r="H129" s="35" t="s">
        <v>35</v>
      </c>
      <c r="I129" s="6" t="s">
        <v>35</v>
      </c>
      <c r="J129" s="10" t="s">
        <v>36</v>
      </c>
      <c r="K129" s="156" t="s">
        <v>7252</v>
      </c>
      <c r="L129" s="18" t="str">
        <f t="shared" si="1"/>
        <v>0128</v>
      </c>
      <c r="M129" s="18" t="s">
        <v>38</v>
      </c>
      <c r="N129" s="19" t="s">
        <v>147</v>
      </c>
      <c r="O129" s="22" t="s">
        <v>260</v>
      </c>
    </row>
    <row r="130" spans="1:15" ht="15.75" customHeight="1">
      <c r="A130" s="10" t="s">
        <v>1017</v>
      </c>
      <c r="B130" s="10" t="s">
        <v>27</v>
      </c>
      <c r="C130" s="11" t="s">
        <v>28</v>
      </c>
      <c r="D130" s="13" t="s">
        <v>184</v>
      </c>
      <c r="E130" s="6" t="s">
        <v>1018</v>
      </c>
      <c r="F130" s="17" t="s">
        <v>1023</v>
      </c>
      <c r="G130" s="17"/>
      <c r="H130" s="17" t="s">
        <v>35</v>
      </c>
      <c r="I130" s="6" t="s">
        <v>35</v>
      </c>
      <c r="J130" s="17" t="s">
        <v>36</v>
      </c>
      <c r="K130" s="17" t="s">
        <v>1023</v>
      </c>
      <c r="L130" s="18" t="str">
        <f t="shared" ref="L130:L193" si="2">A130</f>
        <v>0129</v>
      </c>
      <c r="M130" s="18" t="s">
        <v>100</v>
      </c>
      <c r="N130" s="19" t="s">
        <v>147</v>
      </c>
      <c r="O130" s="20" t="s">
        <v>385</v>
      </c>
    </row>
    <row r="131" spans="1:15" ht="15.75" customHeight="1">
      <c r="A131" s="10" t="s">
        <v>1024</v>
      </c>
      <c r="B131" s="10" t="s">
        <v>27</v>
      </c>
      <c r="C131" s="11" t="s">
        <v>28</v>
      </c>
      <c r="D131" s="13" t="s">
        <v>199</v>
      </c>
      <c r="E131" s="6" t="s">
        <v>199</v>
      </c>
      <c r="F131" s="35" t="s">
        <v>7253</v>
      </c>
      <c r="G131" s="17"/>
      <c r="H131" s="17" t="s">
        <v>297</v>
      </c>
      <c r="I131" s="6" t="s">
        <v>1029</v>
      </c>
      <c r="J131" s="17" t="s">
        <v>1030</v>
      </c>
      <c r="K131" s="35" t="s">
        <v>7253</v>
      </c>
      <c r="L131" s="18" t="str">
        <f t="shared" si="2"/>
        <v>0130</v>
      </c>
      <c r="M131" s="18" t="s">
        <v>38</v>
      </c>
      <c r="N131" s="19" t="s">
        <v>147</v>
      </c>
      <c r="O131" s="22" t="s">
        <v>260</v>
      </c>
    </row>
    <row r="132" spans="1:15" ht="15.75" customHeight="1">
      <c r="A132" s="10" t="s">
        <v>1032</v>
      </c>
      <c r="B132" s="10" t="s">
        <v>27</v>
      </c>
      <c r="C132" s="11" t="s">
        <v>28</v>
      </c>
      <c r="D132" s="13" t="s">
        <v>151</v>
      </c>
      <c r="E132" s="6" t="s">
        <v>963</v>
      </c>
      <c r="F132" s="17" t="s">
        <v>1039</v>
      </c>
      <c r="G132" s="17"/>
      <c r="H132" s="17" t="s">
        <v>297</v>
      </c>
      <c r="I132" s="6" t="s">
        <v>1037</v>
      </c>
      <c r="J132" s="17" t="s">
        <v>1038</v>
      </c>
      <c r="K132" s="17" t="s">
        <v>1039</v>
      </c>
      <c r="L132" s="18" t="str">
        <f t="shared" si="2"/>
        <v>0131</v>
      </c>
      <c r="M132" s="18" t="s">
        <v>38</v>
      </c>
      <c r="N132" s="19" t="s">
        <v>147</v>
      </c>
      <c r="O132" s="22" t="s">
        <v>260</v>
      </c>
    </row>
    <row r="133" spans="1:15" ht="15.75" customHeight="1">
      <c r="A133" s="10" t="s">
        <v>1040</v>
      </c>
      <c r="B133" s="10" t="s">
        <v>27</v>
      </c>
      <c r="C133" s="52" t="s">
        <v>868</v>
      </c>
      <c r="D133" s="13" t="s">
        <v>353</v>
      </c>
      <c r="E133" s="43" t="s">
        <v>354</v>
      </c>
      <c r="F133" s="17" t="s">
        <v>1046</v>
      </c>
      <c r="G133" s="17"/>
      <c r="H133" s="17" t="s">
        <v>359</v>
      </c>
      <c r="I133" s="6">
        <v>1350</v>
      </c>
      <c r="J133" s="46" t="s">
        <v>1045</v>
      </c>
      <c r="K133" s="17" t="s">
        <v>1046</v>
      </c>
      <c r="L133" s="18" t="str">
        <f t="shared" si="2"/>
        <v>0132</v>
      </c>
      <c r="M133" s="18" t="s">
        <v>38</v>
      </c>
      <c r="N133" s="19" t="s">
        <v>875</v>
      </c>
      <c r="O133" s="20" t="s">
        <v>876</v>
      </c>
    </row>
    <row r="134" spans="1:15" ht="15.75" customHeight="1">
      <c r="A134" s="10" t="s">
        <v>1047</v>
      </c>
      <c r="B134" s="10" t="s">
        <v>27</v>
      </c>
      <c r="C134" s="11" t="s">
        <v>28</v>
      </c>
      <c r="D134" s="13" t="s">
        <v>501</v>
      </c>
      <c r="E134" s="6" t="s">
        <v>1048</v>
      </c>
      <c r="F134" s="17" t="s">
        <v>1053</v>
      </c>
      <c r="G134" s="17"/>
      <c r="H134" s="17" t="s">
        <v>35</v>
      </c>
      <c r="I134" s="6" t="s">
        <v>35</v>
      </c>
      <c r="J134" s="17" t="s">
        <v>36</v>
      </c>
      <c r="K134" s="17" t="s">
        <v>1053</v>
      </c>
      <c r="L134" s="18" t="str">
        <f t="shared" si="2"/>
        <v>0133</v>
      </c>
      <c r="M134" s="18" t="s">
        <v>38</v>
      </c>
      <c r="N134" s="19" t="s">
        <v>28</v>
      </c>
      <c r="O134" s="20" t="s">
        <v>848</v>
      </c>
    </row>
    <row r="135" spans="1:15" ht="15.75" customHeight="1">
      <c r="A135" s="10" t="s">
        <v>1054</v>
      </c>
      <c r="B135" s="10" t="s">
        <v>27</v>
      </c>
      <c r="C135" s="11" t="s">
        <v>28</v>
      </c>
      <c r="D135" s="13" t="s">
        <v>501</v>
      </c>
      <c r="E135" s="6" t="s">
        <v>1048</v>
      </c>
      <c r="F135" s="17" t="s">
        <v>1059</v>
      </c>
      <c r="G135" s="17"/>
      <c r="H135" s="17" t="s">
        <v>35</v>
      </c>
      <c r="I135" s="6" t="s">
        <v>35</v>
      </c>
      <c r="J135" s="17" t="s">
        <v>36</v>
      </c>
      <c r="K135" s="17" t="s">
        <v>1059</v>
      </c>
      <c r="L135" s="18" t="str">
        <f t="shared" si="2"/>
        <v>0134</v>
      </c>
      <c r="M135" s="18" t="s">
        <v>38</v>
      </c>
      <c r="N135" s="19" t="s">
        <v>28</v>
      </c>
      <c r="O135" s="20" t="s">
        <v>848</v>
      </c>
    </row>
    <row r="136" spans="1:15" ht="15.75" customHeight="1">
      <c r="A136" s="10" t="s">
        <v>1060</v>
      </c>
      <c r="B136" s="10" t="s">
        <v>27</v>
      </c>
      <c r="C136" s="11" t="s">
        <v>28</v>
      </c>
      <c r="D136" s="13" t="s">
        <v>501</v>
      </c>
      <c r="E136" s="6" t="s">
        <v>1061</v>
      </c>
      <c r="F136" s="17" t="s">
        <v>1065</v>
      </c>
      <c r="G136" s="17"/>
      <c r="H136" s="17" t="s">
        <v>35</v>
      </c>
      <c r="I136" s="6" t="s">
        <v>35</v>
      </c>
      <c r="J136" s="17" t="s">
        <v>36</v>
      </c>
      <c r="K136" s="17" t="s">
        <v>1065</v>
      </c>
      <c r="L136" s="18" t="str">
        <f t="shared" si="2"/>
        <v>0135</v>
      </c>
      <c r="M136" s="18" t="s">
        <v>38</v>
      </c>
      <c r="N136" s="19" t="s">
        <v>28</v>
      </c>
      <c r="O136" s="20" t="s">
        <v>848</v>
      </c>
    </row>
    <row r="137" spans="1:15" ht="15.75" customHeight="1">
      <c r="A137" s="10" t="s">
        <v>1066</v>
      </c>
      <c r="B137" s="10" t="s">
        <v>27</v>
      </c>
      <c r="C137" s="11" t="s">
        <v>28</v>
      </c>
      <c r="D137" s="13" t="s">
        <v>501</v>
      </c>
      <c r="E137" s="6" t="s">
        <v>1048</v>
      </c>
      <c r="F137" s="17" t="s">
        <v>1071</v>
      </c>
      <c r="G137" s="17"/>
      <c r="H137" s="17" t="s">
        <v>35</v>
      </c>
      <c r="I137" s="6" t="s">
        <v>35</v>
      </c>
      <c r="J137" s="17" t="s">
        <v>36</v>
      </c>
      <c r="K137" s="17" t="s">
        <v>1071</v>
      </c>
      <c r="L137" s="18" t="str">
        <f t="shared" si="2"/>
        <v>0136</v>
      </c>
      <c r="M137" s="18" t="s">
        <v>38</v>
      </c>
      <c r="N137" s="19" t="s">
        <v>28</v>
      </c>
      <c r="O137" s="20" t="s">
        <v>848</v>
      </c>
    </row>
    <row r="138" spans="1:15" ht="15.75" customHeight="1">
      <c r="A138" s="10" t="s">
        <v>1072</v>
      </c>
      <c r="B138" s="10" t="s">
        <v>27</v>
      </c>
      <c r="C138" s="11" t="s">
        <v>28</v>
      </c>
      <c r="D138" s="13" t="s">
        <v>501</v>
      </c>
      <c r="E138" s="6" t="s">
        <v>1048</v>
      </c>
      <c r="F138" s="17" t="s">
        <v>1077</v>
      </c>
      <c r="G138" s="17"/>
      <c r="H138" s="17" t="s">
        <v>35</v>
      </c>
      <c r="I138" s="6" t="s">
        <v>35</v>
      </c>
      <c r="J138" s="17" t="s">
        <v>36</v>
      </c>
      <c r="K138" s="17" t="s">
        <v>1077</v>
      </c>
      <c r="L138" s="18" t="str">
        <f t="shared" si="2"/>
        <v>0137</v>
      </c>
      <c r="M138" s="18" t="s">
        <v>38</v>
      </c>
      <c r="N138" s="19" t="s">
        <v>28</v>
      </c>
      <c r="O138" s="20" t="s">
        <v>848</v>
      </c>
    </row>
    <row r="139" spans="1:15" ht="15.75" customHeight="1">
      <c r="A139" s="10" t="s">
        <v>1078</v>
      </c>
      <c r="B139" s="10" t="s">
        <v>27</v>
      </c>
      <c r="C139" s="11" t="s">
        <v>28</v>
      </c>
      <c r="D139" s="13" t="s">
        <v>501</v>
      </c>
      <c r="E139" s="6" t="s">
        <v>1048</v>
      </c>
      <c r="F139" s="17" t="s">
        <v>1083</v>
      </c>
      <c r="G139" s="17"/>
      <c r="H139" s="17" t="s">
        <v>35</v>
      </c>
      <c r="I139" s="6" t="s">
        <v>35</v>
      </c>
      <c r="J139" s="17" t="s">
        <v>36</v>
      </c>
      <c r="K139" s="17" t="s">
        <v>1083</v>
      </c>
      <c r="L139" s="18" t="str">
        <f t="shared" si="2"/>
        <v>0138</v>
      </c>
      <c r="M139" s="18" t="s">
        <v>38</v>
      </c>
      <c r="N139" s="19" t="s">
        <v>28</v>
      </c>
      <c r="O139" s="20" t="s">
        <v>848</v>
      </c>
    </row>
    <row r="140" spans="1:15" ht="15.75" customHeight="1">
      <c r="A140" s="10" t="s">
        <v>1084</v>
      </c>
      <c r="B140" s="10" t="s">
        <v>27</v>
      </c>
      <c r="C140" s="11" t="s">
        <v>28</v>
      </c>
      <c r="D140" s="13" t="s">
        <v>501</v>
      </c>
      <c r="E140" s="6" t="s">
        <v>1048</v>
      </c>
      <c r="F140" s="17" t="s">
        <v>1089</v>
      </c>
      <c r="G140" s="17"/>
      <c r="H140" s="17" t="s">
        <v>35</v>
      </c>
      <c r="I140" s="6" t="s">
        <v>35</v>
      </c>
      <c r="J140" s="17" t="s">
        <v>36</v>
      </c>
      <c r="K140" s="17" t="s">
        <v>1089</v>
      </c>
      <c r="L140" s="18" t="str">
        <f t="shared" si="2"/>
        <v>0139</v>
      </c>
      <c r="M140" s="18" t="s">
        <v>38</v>
      </c>
      <c r="N140" s="19" t="s">
        <v>28</v>
      </c>
      <c r="O140" s="20" t="s">
        <v>848</v>
      </c>
    </row>
    <row r="141" spans="1:15" ht="15.75" customHeight="1">
      <c r="A141" s="10" t="s">
        <v>1090</v>
      </c>
      <c r="B141" s="10" t="s">
        <v>27</v>
      </c>
      <c r="C141" s="11" t="s">
        <v>28</v>
      </c>
      <c r="D141" s="13" t="s">
        <v>501</v>
      </c>
      <c r="E141" s="6" t="s">
        <v>1091</v>
      </c>
      <c r="F141" s="10" t="s">
        <v>1094</v>
      </c>
      <c r="G141" s="17"/>
      <c r="H141" s="17" t="s">
        <v>35</v>
      </c>
      <c r="I141" s="6" t="s">
        <v>35</v>
      </c>
      <c r="J141" s="6" t="s">
        <v>36</v>
      </c>
      <c r="K141" s="10" t="s">
        <v>1094</v>
      </c>
      <c r="L141" s="18" t="str">
        <f t="shared" si="2"/>
        <v>0140</v>
      </c>
      <c r="M141" s="18" t="s">
        <v>38</v>
      </c>
      <c r="N141" s="19" t="s">
        <v>28</v>
      </c>
      <c r="O141" s="20" t="s">
        <v>848</v>
      </c>
    </row>
    <row r="142" spans="1:15" ht="15.75" customHeight="1">
      <c r="A142" s="10" t="s">
        <v>1095</v>
      </c>
      <c r="B142" s="10" t="s">
        <v>27</v>
      </c>
      <c r="C142" s="11" t="s">
        <v>28</v>
      </c>
      <c r="D142" s="13" t="s">
        <v>501</v>
      </c>
      <c r="E142" s="6" t="s">
        <v>1091</v>
      </c>
      <c r="F142" s="10" t="s">
        <v>1098</v>
      </c>
      <c r="G142" s="17"/>
      <c r="H142" s="17" t="s">
        <v>35</v>
      </c>
      <c r="I142" s="6" t="s">
        <v>35</v>
      </c>
      <c r="J142" s="6" t="s">
        <v>36</v>
      </c>
      <c r="K142" s="10" t="s">
        <v>1098</v>
      </c>
      <c r="L142" s="18" t="str">
        <f t="shared" si="2"/>
        <v>0141</v>
      </c>
      <c r="M142" s="18" t="s">
        <v>38</v>
      </c>
      <c r="N142" s="19" t="s">
        <v>28</v>
      </c>
      <c r="O142" s="20" t="s">
        <v>848</v>
      </c>
    </row>
    <row r="143" spans="1:15" ht="15.75" customHeight="1">
      <c r="A143" s="10" t="s">
        <v>1099</v>
      </c>
      <c r="B143" s="10" t="s">
        <v>27</v>
      </c>
      <c r="C143" s="11" t="s">
        <v>28</v>
      </c>
      <c r="D143" s="13" t="s">
        <v>501</v>
      </c>
      <c r="E143" s="6" t="s">
        <v>1091</v>
      </c>
      <c r="F143" s="6" t="s">
        <v>1102</v>
      </c>
      <c r="G143" s="17"/>
      <c r="H143" s="17" t="s">
        <v>35</v>
      </c>
      <c r="I143" s="6" t="s">
        <v>35</v>
      </c>
      <c r="J143" s="6" t="s">
        <v>36</v>
      </c>
      <c r="K143" s="6" t="s">
        <v>1102</v>
      </c>
      <c r="L143" s="18" t="str">
        <f t="shared" si="2"/>
        <v>0142</v>
      </c>
      <c r="M143" s="18" t="s">
        <v>38</v>
      </c>
      <c r="N143" s="19" t="s">
        <v>28</v>
      </c>
      <c r="O143" s="20" t="s">
        <v>848</v>
      </c>
    </row>
    <row r="144" spans="1:15" ht="15.75" customHeight="1">
      <c r="A144" s="10" t="s">
        <v>1103</v>
      </c>
      <c r="B144" s="10" t="s">
        <v>27</v>
      </c>
      <c r="C144" s="11" t="s">
        <v>28</v>
      </c>
      <c r="D144" s="13" t="s">
        <v>501</v>
      </c>
      <c r="E144" s="6" t="s">
        <v>1091</v>
      </c>
      <c r="F144" s="6" t="s">
        <v>1106</v>
      </c>
      <c r="G144" s="17"/>
      <c r="H144" s="17" t="s">
        <v>35</v>
      </c>
      <c r="I144" s="6" t="s">
        <v>35</v>
      </c>
      <c r="J144" s="6" t="s">
        <v>36</v>
      </c>
      <c r="K144" s="6" t="s">
        <v>1106</v>
      </c>
      <c r="L144" s="18" t="str">
        <f t="shared" si="2"/>
        <v>0143</v>
      </c>
      <c r="M144" s="18" t="s">
        <v>38</v>
      </c>
      <c r="N144" s="19" t="s">
        <v>28</v>
      </c>
      <c r="O144" s="20" t="s">
        <v>848</v>
      </c>
    </row>
    <row r="145" spans="1:15" ht="15.75" customHeight="1">
      <c r="A145" s="10" t="s">
        <v>1107</v>
      </c>
      <c r="B145" s="10" t="s">
        <v>27</v>
      </c>
      <c r="C145" s="11" t="s">
        <v>28</v>
      </c>
      <c r="D145" s="13" t="s">
        <v>501</v>
      </c>
      <c r="E145" s="6" t="s">
        <v>1091</v>
      </c>
      <c r="F145" s="6" t="s">
        <v>1110</v>
      </c>
      <c r="G145" s="17"/>
      <c r="H145" s="17" t="s">
        <v>35</v>
      </c>
      <c r="I145" s="6" t="s">
        <v>35</v>
      </c>
      <c r="J145" s="6" t="s">
        <v>36</v>
      </c>
      <c r="K145" s="6" t="s">
        <v>1110</v>
      </c>
      <c r="L145" s="18" t="str">
        <f t="shared" si="2"/>
        <v>0144</v>
      </c>
      <c r="M145" s="18" t="s">
        <v>38</v>
      </c>
      <c r="N145" s="19" t="s">
        <v>28</v>
      </c>
      <c r="O145" s="20" t="s">
        <v>848</v>
      </c>
    </row>
    <row r="146" spans="1:15" ht="15.75" customHeight="1">
      <c r="A146" s="10" t="s">
        <v>1111</v>
      </c>
      <c r="B146" s="10" t="s">
        <v>27</v>
      </c>
      <c r="C146" s="11" t="s">
        <v>28</v>
      </c>
      <c r="D146" s="13" t="s">
        <v>501</v>
      </c>
      <c r="E146" s="6" t="s">
        <v>1091</v>
      </c>
      <c r="F146" s="6" t="s">
        <v>1114</v>
      </c>
      <c r="G146" s="17"/>
      <c r="H146" s="17" t="s">
        <v>35</v>
      </c>
      <c r="I146" s="6" t="s">
        <v>35</v>
      </c>
      <c r="J146" s="6" t="s">
        <v>36</v>
      </c>
      <c r="K146" s="6" t="s">
        <v>1114</v>
      </c>
      <c r="L146" s="18" t="str">
        <f t="shared" si="2"/>
        <v>0145</v>
      </c>
      <c r="M146" s="18" t="s">
        <v>38</v>
      </c>
      <c r="N146" s="19" t="s">
        <v>28</v>
      </c>
      <c r="O146" s="20" t="s">
        <v>848</v>
      </c>
    </row>
    <row r="147" spans="1:15" ht="15.75" customHeight="1">
      <c r="A147" s="10" t="s">
        <v>1115</v>
      </c>
      <c r="B147" s="10" t="s">
        <v>27</v>
      </c>
      <c r="C147" s="11" t="s">
        <v>28</v>
      </c>
      <c r="D147" s="13" t="s">
        <v>501</v>
      </c>
      <c r="E147" s="6" t="s">
        <v>1091</v>
      </c>
      <c r="F147" s="6" t="s">
        <v>1118</v>
      </c>
      <c r="G147" s="17"/>
      <c r="H147" s="35" t="s">
        <v>35</v>
      </c>
      <c r="I147" s="6" t="s">
        <v>35</v>
      </c>
      <c r="J147" s="6" t="s">
        <v>36</v>
      </c>
      <c r="K147" s="6" t="s">
        <v>1118</v>
      </c>
      <c r="L147" s="18" t="str">
        <f t="shared" si="2"/>
        <v>0146</v>
      </c>
      <c r="M147" s="18" t="s">
        <v>38</v>
      </c>
      <c r="N147" s="19" t="s">
        <v>28</v>
      </c>
      <c r="O147" s="20" t="s">
        <v>848</v>
      </c>
    </row>
    <row r="148" spans="1:15" ht="15.75" customHeight="1">
      <c r="A148" s="10" t="s">
        <v>1119</v>
      </c>
      <c r="B148" s="10" t="s">
        <v>27</v>
      </c>
      <c r="C148" s="11" t="s">
        <v>28</v>
      </c>
      <c r="D148" s="13" t="s">
        <v>501</v>
      </c>
      <c r="E148" s="6" t="s">
        <v>1091</v>
      </c>
      <c r="F148" s="6" t="s">
        <v>1122</v>
      </c>
      <c r="G148" s="17"/>
      <c r="H148" s="17" t="s">
        <v>35</v>
      </c>
      <c r="I148" s="6" t="s">
        <v>35</v>
      </c>
      <c r="J148" s="6" t="s">
        <v>36</v>
      </c>
      <c r="K148" s="6" t="s">
        <v>1122</v>
      </c>
      <c r="L148" s="18" t="str">
        <f t="shared" si="2"/>
        <v>0147</v>
      </c>
      <c r="M148" s="18" t="s">
        <v>38</v>
      </c>
      <c r="N148" s="19" t="s">
        <v>28</v>
      </c>
      <c r="O148" s="20" t="s">
        <v>848</v>
      </c>
    </row>
    <row r="149" spans="1:15" ht="15.75" customHeight="1">
      <c r="A149" s="10" t="s">
        <v>1123</v>
      </c>
      <c r="B149" s="10" t="s">
        <v>27</v>
      </c>
      <c r="C149" s="11" t="s">
        <v>28</v>
      </c>
      <c r="D149" s="13" t="s">
        <v>501</v>
      </c>
      <c r="E149" s="6" t="s">
        <v>1091</v>
      </c>
      <c r="F149" s="157" t="s">
        <v>7254</v>
      </c>
      <c r="G149" s="17"/>
      <c r="H149" s="17" t="s">
        <v>35</v>
      </c>
      <c r="I149" s="6" t="s">
        <v>35</v>
      </c>
      <c r="J149" s="6" t="s">
        <v>36</v>
      </c>
      <c r="K149" s="157" t="s">
        <v>7254</v>
      </c>
      <c r="L149" s="18" t="str">
        <f t="shared" si="2"/>
        <v>0148</v>
      </c>
      <c r="M149" s="18" t="s">
        <v>38</v>
      </c>
      <c r="N149" s="19" t="s">
        <v>28</v>
      </c>
      <c r="O149" s="20" t="s">
        <v>848</v>
      </c>
    </row>
    <row r="150" spans="1:15" ht="15.75" customHeight="1">
      <c r="A150" s="10" t="s">
        <v>1126</v>
      </c>
      <c r="B150" s="10" t="s">
        <v>27</v>
      </c>
      <c r="C150" s="11" t="s">
        <v>28</v>
      </c>
      <c r="D150" s="13" t="s">
        <v>151</v>
      </c>
      <c r="E150" s="6" t="s">
        <v>698</v>
      </c>
      <c r="F150" s="35" t="s">
        <v>1133</v>
      </c>
      <c r="G150" s="17"/>
      <c r="H150" s="17" t="s">
        <v>297</v>
      </c>
      <c r="I150" s="6" t="s">
        <v>1131</v>
      </c>
      <c r="J150" s="46" t="s">
        <v>1132</v>
      </c>
      <c r="K150" s="35" t="s">
        <v>1133</v>
      </c>
      <c r="L150" s="18" t="str">
        <f t="shared" si="2"/>
        <v>0149</v>
      </c>
      <c r="M150" s="18" t="s">
        <v>38</v>
      </c>
      <c r="N150" s="19" t="s">
        <v>147</v>
      </c>
      <c r="O150" s="20" t="s">
        <v>483</v>
      </c>
    </row>
    <row r="151" spans="1:15" ht="15.75" customHeight="1">
      <c r="A151" s="10" t="s">
        <v>1134</v>
      </c>
      <c r="B151" s="10" t="s">
        <v>27</v>
      </c>
      <c r="C151" s="11" t="s">
        <v>28</v>
      </c>
      <c r="D151" s="13" t="s">
        <v>151</v>
      </c>
      <c r="E151" s="6" t="s">
        <v>698</v>
      </c>
      <c r="F151" s="35" t="s">
        <v>1140</v>
      </c>
      <c r="G151" s="17"/>
      <c r="H151" s="17" t="s">
        <v>297</v>
      </c>
      <c r="I151" s="6" t="s">
        <v>1131</v>
      </c>
      <c r="J151" s="46" t="s">
        <v>1139</v>
      </c>
      <c r="K151" s="35" t="s">
        <v>1140</v>
      </c>
      <c r="L151" s="18" t="str">
        <f t="shared" si="2"/>
        <v>0150</v>
      </c>
      <c r="M151" s="18" t="s">
        <v>38</v>
      </c>
      <c r="N151" s="19" t="s">
        <v>147</v>
      </c>
      <c r="O151" s="20" t="s">
        <v>483</v>
      </c>
    </row>
    <row r="152" spans="1:15" ht="15.75" customHeight="1">
      <c r="A152" s="10" t="s">
        <v>1141</v>
      </c>
      <c r="B152" s="10" t="s">
        <v>27</v>
      </c>
      <c r="C152" s="11" t="s">
        <v>28</v>
      </c>
      <c r="D152" s="13" t="s">
        <v>1142</v>
      </c>
      <c r="E152" s="6" t="s">
        <v>1143</v>
      </c>
      <c r="F152" s="17" t="s">
        <v>1149</v>
      </c>
      <c r="G152" s="17"/>
      <c r="H152" s="17" t="s">
        <v>359</v>
      </c>
      <c r="I152" s="6" t="s">
        <v>1148</v>
      </c>
      <c r="J152" s="46" t="s">
        <v>36</v>
      </c>
      <c r="K152" s="17" t="s">
        <v>1149</v>
      </c>
      <c r="L152" s="18" t="str">
        <f t="shared" si="2"/>
        <v>0151</v>
      </c>
      <c r="M152" s="18" t="s">
        <v>38</v>
      </c>
      <c r="N152" s="19" t="s">
        <v>147</v>
      </c>
      <c r="O152" s="20" t="s">
        <v>483</v>
      </c>
    </row>
    <row r="153" spans="1:15" ht="15.75" customHeight="1">
      <c r="A153" s="10" t="s">
        <v>1150</v>
      </c>
      <c r="B153" s="10" t="s">
        <v>27</v>
      </c>
      <c r="C153" s="11" t="s">
        <v>28</v>
      </c>
      <c r="D153" s="13" t="s">
        <v>151</v>
      </c>
      <c r="E153" s="6" t="s">
        <v>963</v>
      </c>
      <c r="F153" s="17" t="s">
        <v>1156</v>
      </c>
      <c r="G153" s="17"/>
      <c r="H153" s="17" t="s">
        <v>205</v>
      </c>
      <c r="I153" s="6" t="s">
        <v>1154</v>
      </c>
      <c r="J153" s="35" t="s">
        <v>1155</v>
      </c>
      <c r="K153" s="17" t="s">
        <v>1156</v>
      </c>
      <c r="L153" s="18" t="str">
        <f t="shared" si="2"/>
        <v>0152</v>
      </c>
      <c r="M153" s="18" t="s">
        <v>38</v>
      </c>
      <c r="N153" s="19" t="s">
        <v>147</v>
      </c>
      <c r="O153" s="20" t="s">
        <v>483</v>
      </c>
    </row>
    <row r="154" spans="1:15" ht="15.75" customHeight="1">
      <c r="A154" s="10" t="s">
        <v>1157</v>
      </c>
      <c r="B154" s="10" t="s">
        <v>27</v>
      </c>
      <c r="C154" s="11" t="s">
        <v>28</v>
      </c>
      <c r="D154" s="13" t="s">
        <v>62</v>
      </c>
      <c r="E154" s="6" t="s">
        <v>1158</v>
      </c>
      <c r="F154" s="17" t="s">
        <v>1163</v>
      </c>
      <c r="G154" s="17"/>
      <c r="H154" s="17" t="s">
        <v>35</v>
      </c>
      <c r="I154" s="6" t="s">
        <v>35</v>
      </c>
      <c r="J154" s="17" t="s">
        <v>36</v>
      </c>
      <c r="K154" s="17" t="s">
        <v>1163</v>
      </c>
      <c r="L154" s="18" t="str">
        <f t="shared" si="2"/>
        <v>0153</v>
      </c>
      <c r="M154" s="18" t="s">
        <v>38</v>
      </c>
      <c r="N154" s="19" t="s">
        <v>723</v>
      </c>
      <c r="O154" s="22" t="s">
        <v>1164</v>
      </c>
    </row>
    <row r="155" spans="1:15" ht="15.75" customHeight="1">
      <c r="A155" s="10" t="s">
        <v>1165</v>
      </c>
      <c r="B155" s="10" t="s">
        <v>27</v>
      </c>
      <c r="C155" s="11" t="s">
        <v>28</v>
      </c>
      <c r="D155" s="13" t="s">
        <v>29</v>
      </c>
      <c r="E155" s="43" t="s">
        <v>1166</v>
      </c>
      <c r="F155" s="17" t="s">
        <v>1171</v>
      </c>
      <c r="G155" s="17"/>
      <c r="H155" s="53" t="s">
        <v>35</v>
      </c>
      <c r="I155" s="49" t="s">
        <v>35</v>
      </c>
      <c r="J155" s="17" t="s">
        <v>36</v>
      </c>
      <c r="K155" s="17" t="s">
        <v>1171</v>
      </c>
      <c r="L155" s="18" t="str">
        <f t="shared" si="2"/>
        <v>0154</v>
      </c>
      <c r="M155" s="18" t="s">
        <v>38</v>
      </c>
      <c r="N155" s="19" t="s">
        <v>723</v>
      </c>
      <c r="O155" s="22" t="s">
        <v>1164</v>
      </c>
    </row>
    <row r="156" spans="1:15" ht="15.75" customHeight="1">
      <c r="A156" s="10" t="s">
        <v>1172</v>
      </c>
      <c r="B156" s="10" t="s">
        <v>27</v>
      </c>
      <c r="C156" s="11" t="s">
        <v>28</v>
      </c>
      <c r="D156" s="13" t="s">
        <v>93</v>
      </c>
      <c r="E156" s="6" t="s">
        <v>1173</v>
      </c>
      <c r="F156" s="17" t="s">
        <v>1177</v>
      </c>
      <c r="G156" s="17"/>
      <c r="H156" s="53" t="s">
        <v>35</v>
      </c>
      <c r="I156" s="6" t="s">
        <v>35</v>
      </c>
      <c r="J156" s="17" t="s">
        <v>36</v>
      </c>
      <c r="K156" s="17" t="s">
        <v>1177</v>
      </c>
      <c r="L156" s="18" t="str">
        <f t="shared" si="2"/>
        <v>0155</v>
      </c>
      <c r="M156" s="18" t="s">
        <v>38</v>
      </c>
      <c r="N156" s="19" t="s">
        <v>723</v>
      </c>
      <c r="O156" s="22" t="s">
        <v>1164</v>
      </c>
    </row>
    <row r="157" spans="1:15" ht="15.75" customHeight="1">
      <c r="A157" s="10" t="s">
        <v>1178</v>
      </c>
      <c r="B157" s="10" t="s">
        <v>27</v>
      </c>
      <c r="C157" s="11" t="s">
        <v>28</v>
      </c>
      <c r="D157" s="13" t="s">
        <v>116</v>
      </c>
      <c r="E157" s="6" t="s">
        <v>1179</v>
      </c>
      <c r="F157" s="35" t="s">
        <v>1184</v>
      </c>
      <c r="G157" s="17"/>
      <c r="H157" s="17" t="s">
        <v>35</v>
      </c>
      <c r="I157" s="6" t="s">
        <v>35</v>
      </c>
      <c r="J157" s="17" t="s">
        <v>36</v>
      </c>
      <c r="K157" s="35" t="s">
        <v>1184</v>
      </c>
      <c r="L157" s="18" t="str">
        <f t="shared" si="2"/>
        <v>0156</v>
      </c>
      <c r="M157" s="18" t="s">
        <v>38</v>
      </c>
      <c r="N157" s="19" t="s">
        <v>147</v>
      </c>
      <c r="O157" s="20" t="s">
        <v>1185</v>
      </c>
    </row>
    <row r="158" spans="1:15" ht="15.75" customHeight="1">
      <c r="A158" s="10" t="s">
        <v>1186</v>
      </c>
      <c r="B158" s="10" t="s">
        <v>27</v>
      </c>
      <c r="C158" s="11" t="s">
        <v>28</v>
      </c>
      <c r="D158" s="13" t="s">
        <v>378</v>
      </c>
      <c r="E158" s="6" t="s">
        <v>878</v>
      </c>
      <c r="F158" s="17" t="s">
        <v>1191</v>
      </c>
      <c r="G158" s="17"/>
      <c r="H158" s="17" t="s">
        <v>35</v>
      </c>
      <c r="I158" s="6" t="s">
        <v>35</v>
      </c>
      <c r="J158" s="17" t="s">
        <v>36</v>
      </c>
      <c r="K158" s="17" t="s">
        <v>1191</v>
      </c>
      <c r="L158" s="18" t="str">
        <f t="shared" si="2"/>
        <v>0157</v>
      </c>
      <c r="M158" s="18" t="s">
        <v>38</v>
      </c>
      <c r="N158" s="19" t="s">
        <v>723</v>
      </c>
      <c r="O158" s="22" t="s">
        <v>1164</v>
      </c>
    </row>
    <row r="159" spans="1:15" ht="15.75" customHeight="1">
      <c r="A159" s="10" t="s">
        <v>1192</v>
      </c>
      <c r="B159" s="10" t="s">
        <v>27</v>
      </c>
      <c r="C159" s="11" t="s">
        <v>28</v>
      </c>
      <c r="D159" s="13" t="s">
        <v>378</v>
      </c>
      <c r="E159" s="55" t="s">
        <v>878</v>
      </c>
      <c r="F159" s="17" t="s">
        <v>1197</v>
      </c>
      <c r="G159" s="17"/>
      <c r="H159" s="32" t="s">
        <v>35</v>
      </c>
      <c r="I159" s="6" t="s">
        <v>35</v>
      </c>
      <c r="J159" s="17" t="s">
        <v>36</v>
      </c>
      <c r="K159" s="17" t="s">
        <v>1197</v>
      </c>
      <c r="L159" s="18" t="str">
        <f t="shared" si="2"/>
        <v>0158</v>
      </c>
      <c r="M159" s="18" t="s">
        <v>38</v>
      </c>
      <c r="N159" s="19" t="s">
        <v>723</v>
      </c>
      <c r="O159" s="22" t="s">
        <v>1164</v>
      </c>
    </row>
    <row r="160" spans="1:15" ht="15.75" customHeight="1">
      <c r="A160" s="10" t="s">
        <v>1198</v>
      </c>
      <c r="B160" s="10" t="s">
        <v>27</v>
      </c>
      <c r="C160" s="11" t="s">
        <v>28</v>
      </c>
      <c r="D160" s="13" t="s">
        <v>1199</v>
      </c>
      <c r="E160" s="6" t="s">
        <v>1200</v>
      </c>
      <c r="F160" s="17" t="s">
        <v>1207</v>
      </c>
      <c r="G160" s="17"/>
      <c r="H160" s="17" t="s">
        <v>205</v>
      </c>
      <c r="I160" s="6" t="s">
        <v>1205</v>
      </c>
      <c r="J160" s="17" t="s">
        <v>1206</v>
      </c>
      <c r="K160" s="17" t="s">
        <v>1207</v>
      </c>
      <c r="L160" s="18" t="str">
        <f t="shared" si="2"/>
        <v>0159</v>
      </c>
      <c r="M160" s="18" t="s">
        <v>38</v>
      </c>
      <c r="N160" s="19" t="s">
        <v>723</v>
      </c>
      <c r="O160" s="22" t="s">
        <v>1164</v>
      </c>
    </row>
    <row r="161" spans="1:15" ht="15.75" customHeight="1">
      <c r="A161" s="10" t="s">
        <v>1208</v>
      </c>
      <c r="B161" s="10" t="s">
        <v>27</v>
      </c>
      <c r="C161" s="11" t="s">
        <v>28</v>
      </c>
      <c r="D161" s="13" t="s">
        <v>162</v>
      </c>
      <c r="E161" s="6" t="s">
        <v>285</v>
      </c>
      <c r="F161" s="17" t="s">
        <v>1214</v>
      </c>
      <c r="G161" s="17"/>
      <c r="H161" s="17" t="s">
        <v>663</v>
      </c>
      <c r="I161" s="6" t="s">
        <v>664</v>
      </c>
      <c r="J161" s="56" t="s">
        <v>1213</v>
      </c>
      <c r="K161" s="17" t="s">
        <v>1214</v>
      </c>
      <c r="L161" s="18" t="str">
        <f t="shared" si="2"/>
        <v>0160</v>
      </c>
      <c r="M161" s="18" t="s">
        <v>38</v>
      </c>
      <c r="N161" s="19" t="s">
        <v>723</v>
      </c>
      <c r="O161" s="22" t="s">
        <v>1164</v>
      </c>
    </row>
    <row r="162" spans="1:15" ht="15.75" customHeight="1">
      <c r="A162" s="10" t="s">
        <v>1215</v>
      </c>
      <c r="B162" s="10" t="s">
        <v>27</v>
      </c>
      <c r="C162" s="11" t="s">
        <v>28</v>
      </c>
      <c r="D162" s="13" t="s">
        <v>151</v>
      </c>
      <c r="E162" s="6" t="s">
        <v>714</v>
      </c>
      <c r="F162" s="32" t="s">
        <v>1222</v>
      </c>
      <c r="G162" s="17"/>
      <c r="H162" s="17" t="s">
        <v>1220</v>
      </c>
      <c r="I162" s="6" t="s">
        <v>720</v>
      </c>
      <c r="J162" s="17" t="s">
        <v>1221</v>
      </c>
      <c r="K162" s="32" t="s">
        <v>1222</v>
      </c>
      <c r="L162" s="18" t="str">
        <f t="shared" si="2"/>
        <v>0161</v>
      </c>
      <c r="M162" s="18" t="s">
        <v>38</v>
      </c>
      <c r="N162" s="19" t="s">
        <v>723</v>
      </c>
      <c r="O162" s="22" t="s">
        <v>1164</v>
      </c>
    </row>
    <row r="163" spans="1:15" ht="15.75" customHeight="1">
      <c r="A163" s="10" t="s">
        <v>1223</v>
      </c>
      <c r="B163" s="10" t="s">
        <v>27</v>
      </c>
      <c r="C163" s="11" t="s">
        <v>28</v>
      </c>
      <c r="D163" s="13" t="s">
        <v>151</v>
      </c>
      <c r="E163" s="6" t="s">
        <v>293</v>
      </c>
      <c r="F163" s="10" t="s">
        <v>85</v>
      </c>
      <c r="G163" s="17"/>
      <c r="H163" s="17" t="s">
        <v>297</v>
      </c>
      <c r="I163" s="6" t="s">
        <v>298</v>
      </c>
      <c r="J163" s="6" t="s">
        <v>1227</v>
      </c>
      <c r="K163" s="10" t="s">
        <v>85</v>
      </c>
      <c r="L163" s="18" t="str">
        <f t="shared" si="2"/>
        <v>0162</v>
      </c>
      <c r="M163" s="18" t="s">
        <v>38</v>
      </c>
      <c r="N163" s="19" t="s">
        <v>723</v>
      </c>
      <c r="O163" s="22" t="s">
        <v>1164</v>
      </c>
    </row>
    <row r="164" spans="1:15" ht="15.75" customHeight="1">
      <c r="A164" s="10" t="s">
        <v>1228</v>
      </c>
      <c r="B164" s="10" t="s">
        <v>27</v>
      </c>
      <c r="C164" s="11" t="s">
        <v>28</v>
      </c>
      <c r="D164" s="13" t="s">
        <v>248</v>
      </c>
      <c r="E164" s="6" t="s">
        <v>249</v>
      </c>
      <c r="F164" s="17" t="s">
        <v>1234</v>
      </c>
      <c r="G164" s="17"/>
      <c r="H164" s="17" t="s">
        <v>978</v>
      </c>
      <c r="I164" s="6" t="s">
        <v>979</v>
      </c>
      <c r="J164" s="17" t="s">
        <v>1233</v>
      </c>
      <c r="K164" s="17" t="s">
        <v>1234</v>
      </c>
      <c r="L164" s="18" t="str">
        <f t="shared" si="2"/>
        <v>0163</v>
      </c>
      <c r="M164" s="18" t="s">
        <v>38</v>
      </c>
      <c r="N164" s="19" t="s">
        <v>723</v>
      </c>
      <c r="O164" s="22" t="s">
        <v>1164</v>
      </c>
    </row>
    <row r="165" spans="1:15" ht="15.75" customHeight="1">
      <c r="A165" s="10" t="s">
        <v>1235</v>
      </c>
      <c r="B165" s="10" t="s">
        <v>27</v>
      </c>
      <c r="C165" s="11" t="s">
        <v>28</v>
      </c>
      <c r="D165" s="13" t="s">
        <v>199</v>
      </c>
      <c r="E165" s="6" t="s">
        <v>199</v>
      </c>
      <c r="F165" s="10" t="s">
        <v>85</v>
      </c>
      <c r="G165" s="17"/>
      <c r="H165" s="17" t="s">
        <v>273</v>
      </c>
      <c r="I165" s="6" t="s">
        <v>274</v>
      </c>
      <c r="J165" s="6">
        <v>11392903014316</v>
      </c>
      <c r="K165" s="10" t="s">
        <v>85</v>
      </c>
      <c r="L165" s="18" t="str">
        <f t="shared" si="2"/>
        <v>0164</v>
      </c>
      <c r="M165" s="18" t="s">
        <v>38</v>
      </c>
      <c r="N165" s="19" t="s">
        <v>723</v>
      </c>
      <c r="O165" s="22" t="s">
        <v>1164</v>
      </c>
    </row>
    <row r="166" spans="1:15" ht="15.75" customHeight="1">
      <c r="A166" s="10" t="s">
        <v>1239</v>
      </c>
      <c r="B166" s="10" t="s">
        <v>27</v>
      </c>
      <c r="C166" s="11" t="s">
        <v>28</v>
      </c>
      <c r="D166" s="13" t="s">
        <v>1240</v>
      </c>
      <c r="E166" s="43" t="s">
        <v>278</v>
      </c>
      <c r="F166" s="17" t="s">
        <v>1245</v>
      </c>
      <c r="G166" s="17"/>
      <c r="H166" s="17" t="s">
        <v>35</v>
      </c>
      <c r="I166" s="6" t="s">
        <v>35</v>
      </c>
      <c r="J166" s="17" t="s">
        <v>36</v>
      </c>
      <c r="K166" s="17" t="s">
        <v>1245</v>
      </c>
      <c r="L166" s="18" t="str">
        <f t="shared" si="2"/>
        <v>0165</v>
      </c>
      <c r="M166" s="18" t="s">
        <v>38</v>
      </c>
      <c r="N166" s="19" t="s">
        <v>723</v>
      </c>
      <c r="O166" s="22" t="s">
        <v>1164</v>
      </c>
    </row>
    <row r="167" spans="1:15" ht="15.75" customHeight="1">
      <c r="A167" s="10" t="s">
        <v>1246</v>
      </c>
      <c r="B167" s="10" t="s">
        <v>27</v>
      </c>
      <c r="C167" s="11" t="s">
        <v>28</v>
      </c>
      <c r="D167" s="13" t="s">
        <v>378</v>
      </c>
      <c r="E167" s="6" t="s">
        <v>379</v>
      </c>
      <c r="F167" s="35" t="s">
        <v>7255</v>
      </c>
      <c r="G167" s="17"/>
      <c r="H167" s="17" t="s">
        <v>35</v>
      </c>
      <c r="I167" s="6" t="s">
        <v>35</v>
      </c>
      <c r="J167" s="17" t="s">
        <v>36</v>
      </c>
      <c r="K167" s="35" t="s">
        <v>7255</v>
      </c>
      <c r="L167" s="18" t="str">
        <f t="shared" si="2"/>
        <v>0166</v>
      </c>
      <c r="M167" s="18" t="s">
        <v>38</v>
      </c>
      <c r="N167" s="19" t="s">
        <v>723</v>
      </c>
      <c r="O167" s="22" t="s">
        <v>1164</v>
      </c>
    </row>
    <row r="168" spans="1:15" ht="15.75" customHeight="1">
      <c r="A168" s="10" t="s">
        <v>1252</v>
      </c>
      <c r="B168" s="10" t="s">
        <v>27</v>
      </c>
      <c r="C168" s="11" t="s">
        <v>28</v>
      </c>
      <c r="D168" s="13" t="s">
        <v>62</v>
      </c>
      <c r="E168" s="6" t="s">
        <v>1253</v>
      </c>
      <c r="F168" s="17" t="s">
        <v>1258</v>
      </c>
      <c r="G168" s="17"/>
      <c r="H168" s="17" t="s">
        <v>35</v>
      </c>
      <c r="I168" s="6" t="s">
        <v>35</v>
      </c>
      <c r="J168" s="17" t="s">
        <v>36</v>
      </c>
      <c r="K168" s="17" t="s">
        <v>1258</v>
      </c>
      <c r="L168" s="18" t="str">
        <f t="shared" si="2"/>
        <v>0167</v>
      </c>
      <c r="M168" s="18" t="s">
        <v>38</v>
      </c>
      <c r="N168" s="19" t="s">
        <v>723</v>
      </c>
      <c r="O168" s="22" t="s">
        <v>1164</v>
      </c>
    </row>
    <row r="169" spans="1:15" ht="15.75" customHeight="1">
      <c r="A169" s="10" t="s">
        <v>1259</v>
      </c>
      <c r="B169" s="10" t="s">
        <v>27</v>
      </c>
      <c r="C169" s="11" t="s">
        <v>28</v>
      </c>
      <c r="D169" s="13" t="s">
        <v>62</v>
      </c>
      <c r="E169" s="6" t="s">
        <v>1260</v>
      </c>
      <c r="F169" s="17" t="s">
        <v>1265</v>
      </c>
      <c r="G169" s="17"/>
      <c r="H169" s="17" t="s">
        <v>35</v>
      </c>
      <c r="I169" s="6" t="s">
        <v>35</v>
      </c>
      <c r="J169" s="17" t="s">
        <v>36</v>
      </c>
      <c r="K169" s="17" t="s">
        <v>1265</v>
      </c>
      <c r="L169" s="18" t="str">
        <f t="shared" si="2"/>
        <v>0168</v>
      </c>
      <c r="M169" s="18" t="s">
        <v>38</v>
      </c>
      <c r="N169" s="19" t="s">
        <v>723</v>
      </c>
      <c r="O169" s="22" t="s">
        <v>1164</v>
      </c>
    </row>
    <row r="170" spans="1:15" ht="15.75" customHeight="1">
      <c r="A170" s="10" t="s">
        <v>1266</v>
      </c>
      <c r="B170" s="10" t="s">
        <v>27</v>
      </c>
      <c r="C170" s="11" t="s">
        <v>28</v>
      </c>
      <c r="D170" s="13" t="s">
        <v>43</v>
      </c>
      <c r="E170" s="6" t="s">
        <v>885</v>
      </c>
      <c r="F170" s="17" t="s">
        <v>1273</v>
      </c>
      <c r="G170" s="17"/>
      <c r="H170" s="17" t="s">
        <v>406</v>
      </c>
      <c r="I170" s="6" t="s">
        <v>1271</v>
      </c>
      <c r="J170" s="17" t="s">
        <v>1272</v>
      </c>
      <c r="K170" s="17" t="s">
        <v>1273</v>
      </c>
      <c r="L170" s="18" t="str">
        <f t="shared" si="2"/>
        <v>0169</v>
      </c>
      <c r="M170" s="18" t="s">
        <v>38</v>
      </c>
      <c r="N170" s="19" t="s">
        <v>723</v>
      </c>
      <c r="O170" s="22" t="s">
        <v>1164</v>
      </c>
    </row>
    <row r="171" spans="1:15" ht="15.75" customHeight="1">
      <c r="A171" s="10" t="s">
        <v>1274</v>
      </c>
      <c r="B171" s="10" t="s">
        <v>27</v>
      </c>
      <c r="C171" s="11" t="s">
        <v>28</v>
      </c>
      <c r="D171" s="13" t="s">
        <v>1275</v>
      </c>
      <c r="E171" s="6" t="s">
        <v>1276</v>
      </c>
      <c r="F171" s="17" t="s">
        <v>1283</v>
      </c>
      <c r="G171" s="17"/>
      <c r="H171" s="17" t="s">
        <v>682</v>
      </c>
      <c r="I171" s="6" t="s">
        <v>1281</v>
      </c>
      <c r="J171" s="46" t="s">
        <v>1282</v>
      </c>
      <c r="K171" s="17" t="s">
        <v>1283</v>
      </c>
      <c r="L171" s="18" t="str">
        <f t="shared" si="2"/>
        <v>0170</v>
      </c>
      <c r="M171" s="18" t="s">
        <v>38</v>
      </c>
      <c r="N171" s="19" t="s">
        <v>723</v>
      </c>
      <c r="O171" s="22" t="s">
        <v>1164</v>
      </c>
    </row>
    <row r="172" spans="1:15" ht="15.75" customHeight="1">
      <c r="A172" s="10" t="s">
        <v>1284</v>
      </c>
      <c r="B172" s="10" t="s">
        <v>27</v>
      </c>
      <c r="C172" s="11" t="s">
        <v>28</v>
      </c>
      <c r="D172" s="13" t="s">
        <v>93</v>
      </c>
      <c r="E172" s="6" t="s">
        <v>1285</v>
      </c>
      <c r="F172" s="17" t="s">
        <v>1290</v>
      </c>
      <c r="G172" s="17"/>
      <c r="H172" s="17" t="s">
        <v>35</v>
      </c>
      <c r="I172" s="6" t="s">
        <v>35</v>
      </c>
      <c r="J172" s="17" t="s">
        <v>36</v>
      </c>
      <c r="K172" s="17" t="s">
        <v>1290</v>
      </c>
      <c r="L172" s="18" t="str">
        <f t="shared" si="2"/>
        <v>0171</v>
      </c>
      <c r="M172" s="18" t="s">
        <v>38</v>
      </c>
      <c r="N172" s="19" t="s">
        <v>723</v>
      </c>
      <c r="O172" s="22" t="s">
        <v>724</v>
      </c>
    </row>
    <row r="173" spans="1:15" ht="15.75" customHeight="1">
      <c r="A173" s="10" t="s">
        <v>1291</v>
      </c>
      <c r="B173" s="10" t="s">
        <v>27</v>
      </c>
      <c r="C173" s="11" t="s">
        <v>28</v>
      </c>
      <c r="D173" s="13" t="s">
        <v>378</v>
      </c>
      <c r="E173" s="6" t="s">
        <v>1292</v>
      </c>
      <c r="F173" s="10" t="s">
        <v>1296</v>
      </c>
      <c r="G173" s="17"/>
      <c r="H173" s="35" t="s">
        <v>35</v>
      </c>
      <c r="I173" s="6" t="s">
        <v>35</v>
      </c>
      <c r="J173" s="10" t="s">
        <v>36</v>
      </c>
      <c r="K173" s="10" t="s">
        <v>1296</v>
      </c>
      <c r="L173" s="18" t="str">
        <f t="shared" si="2"/>
        <v>0172</v>
      </c>
      <c r="M173" s="18" t="s">
        <v>38</v>
      </c>
      <c r="N173" s="19" t="s">
        <v>723</v>
      </c>
      <c r="O173" s="22" t="s">
        <v>724</v>
      </c>
    </row>
    <row r="174" spans="1:15" ht="15.75" customHeight="1">
      <c r="A174" s="10" t="s">
        <v>1297</v>
      </c>
      <c r="B174" s="10" t="s">
        <v>27</v>
      </c>
      <c r="C174" s="11" t="s">
        <v>28</v>
      </c>
      <c r="D174" s="13" t="s">
        <v>151</v>
      </c>
      <c r="E174" s="6" t="s">
        <v>152</v>
      </c>
      <c r="F174" s="35" t="s">
        <v>7256</v>
      </c>
      <c r="G174" s="17"/>
      <c r="H174" s="17" t="s">
        <v>157</v>
      </c>
      <c r="I174" s="6" t="s">
        <v>1302</v>
      </c>
      <c r="J174" s="17" t="s">
        <v>36</v>
      </c>
      <c r="K174" s="35" t="s">
        <v>7256</v>
      </c>
      <c r="L174" s="18" t="str">
        <f t="shared" si="2"/>
        <v>0175</v>
      </c>
      <c r="M174" s="18" t="s">
        <v>1304</v>
      </c>
      <c r="N174" s="19" t="s">
        <v>147</v>
      </c>
      <c r="O174" s="20" t="s">
        <v>483</v>
      </c>
    </row>
    <row r="175" spans="1:15" ht="15.75" customHeight="1">
      <c r="A175" s="55" t="s">
        <v>1305</v>
      </c>
      <c r="B175" s="10" t="s">
        <v>27</v>
      </c>
      <c r="C175" s="11" t="s">
        <v>28</v>
      </c>
      <c r="D175" s="13" t="s">
        <v>378</v>
      </c>
      <c r="E175" s="6" t="s">
        <v>1306</v>
      </c>
      <c r="F175" s="35" t="s">
        <v>7257</v>
      </c>
      <c r="G175" s="17"/>
      <c r="H175" s="46" t="s">
        <v>35</v>
      </c>
      <c r="I175" s="6" t="s">
        <v>35</v>
      </c>
      <c r="J175" s="17" t="s">
        <v>36</v>
      </c>
      <c r="K175" s="35" t="s">
        <v>7257</v>
      </c>
      <c r="L175" s="18" t="str">
        <f t="shared" si="2"/>
        <v>0173</v>
      </c>
      <c r="M175" s="18" t="s">
        <v>38</v>
      </c>
      <c r="N175" s="19" t="s">
        <v>723</v>
      </c>
      <c r="O175" s="22" t="s">
        <v>724</v>
      </c>
    </row>
    <row r="176" spans="1:15" ht="15.75" customHeight="1">
      <c r="A176" s="10" t="s">
        <v>1312</v>
      </c>
      <c r="B176" s="10" t="s">
        <v>27</v>
      </c>
      <c r="C176" s="11" t="s">
        <v>28</v>
      </c>
      <c r="D176" s="13" t="s">
        <v>116</v>
      </c>
      <c r="E176" s="6" t="s">
        <v>364</v>
      </c>
      <c r="F176" s="17" t="s">
        <v>1317</v>
      </c>
      <c r="G176" s="17"/>
      <c r="H176" s="17" t="s">
        <v>35</v>
      </c>
      <c r="I176" s="49" t="s">
        <v>35</v>
      </c>
      <c r="J176" s="17" t="s">
        <v>36</v>
      </c>
      <c r="K176" s="17" t="s">
        <v>1317</v>
      </c>
      <c r="L176" s="18" t="str">
        <f t="shared" si="2"/>
        <v>0174</v>
      </c>
      <c r="M176" s="18" t="s">
        <v>38</v>
      </c>
      <c r="N176" s="19" t="s">
        <v>723</v>
      </c>
      <c r="O176" s="22" t="s">
        <v>724</v>
      </c>
    </row>
    <row r="177" spans="1:15" ht="15.75" customHeight="1">
      <c r="A177" s="10" t="s">
        <v>1318</v>
      </c>
      <c r="B177" s="10" t="s">
        <v>27</v>
      </c>
      <c r="C177" s="11" t="s">
        <v>28</v>
      </c>
      <c r="D177" s="13" t="s">
        <v>199</v>
      </c>
      <c r="E177" s="6" t="s">
        <v>199</v>
      </c>
      <c r="F177" s="17" t="s">
        <v>1324</v>
      </c>
      <c r="G177" s="17"/>
      <c r="H177" s="17" t="s">
        <v>157</v>
      </c>
      <c r="I177" s="6">
        <v>2378</v>
      </c>
      <c r="J177" s="17" t="s">
        <v>1323</v>
      </c>
      <c r="K177" s="17" t="s">
        <v>1324</v>
      </c>
      <c r="L177" s="18" t="str">
        <f t="shared" si="2"/>
        <v>0176</v>
      </c>
      <c r="M177" s="18" t="s">
        <v>38</v>
      </c>
      <c r="N177" s="19" t="s">
        <v>723</v>
      </c>
      <c r="O177" s="22" t="s">
        <v>724</v>
      </c>
    </row>
    <row r="178" spans="1:15" ht="15.75" customHeight="1">
      <c r="A178" s="10" t="s">
        <v>1325</v>
      </c>
      <c r="B178" s="10" t="s">
        <v>27</v>
      </c>
      <c r="C178" s="11" t="s">
        <v>28</v>
      </c>
      <c r="D178" s="13" t="s">
        <v>136</v>
      </c>
      <c r="E178" s="6" t="s">
        <v>689</v>
      </c>
      <c r="F178" s="17" t="s">
        <v>1332</v>
      </c>
      <c r="G178" s="17"/>
      <c r="H178" s="17" t="s">
        <v>143</v>
      </c>
      <c r="I178" s="6" t="s">
        <v>1330</v>
      </c>
      <c r="J178" s="10" t="s">
        <v>7258</v>
      </c>
      <c r="K178" s="17" t="s">
        <v>1332</v>
      </c>
      <c r="L178" s="18" t="str">
        <f t="shared" si="2"/>
        <v>0177</v>
      </c>
      <c r="M178" s="18" t="s">
        <v>38</v>
      </c>
      <c r="N178" s="19" t="s">
        <v>723</v>
      </c>
      <c r="O178" s="22" t="s">
        <v>724</v>
      </c>
    </row>
    <row r="179" spans="1:15" ht="15.75" customHeight="1">
      <c r="A179" s="10" t="s">
        <v>1333</v>
      </c>
      <c r="B179" s="10" t="s">
        <v>27</v>
      </c>
      <c r="C179" s="11" t="s">
        <v>28</v>
      </c>
      <c r="D179" s="13" t="s">
        <v>353</v>
      </c>
      <c r="E179" s="43" t="s">
        <v>638</v>
      </c>
      <c r="F179" s="17" t="s">
        <v>1339</v>
      </c>
      <c r="G179" s="17"/>
      <c r="H179" s="17" t="s">
        <v>359</v>
      </c>
      <c r="I179" s="6" t="s">
        <v>360</v>
      </c>
      <c r="J179" s="17" t="s">
        <v>1338</v>
      </c>
      <c r="K179" s="17" t="s">
        <v>1339</v>
      </c>
      <c r="L179" s="18" t="str">
        <f t="shared" si="2"/>
        <v>0178</v>
      </c>
      <c r="M179" s="18" t="s">
        <v>38</v>
      </c>
      <c r="N179" s="19" t="s">
        <v>723</v>
      </c>
      <c r="O179" s="22" t="s">
        <v>724</v>
      </c>
    </row>
    <row r="180" spans="1:15" ht="15.75" customHeight="1">
      <c r="A180" s="10" t="s">
        <v>1340</v>
      </c>
      <c r="B180" s="10" t="s">
        <v>27</v>
      </c>
      <c r="C180" s="11" t="s">
        <v>28</v>
      </c>
      <c r="D180" s="13" t="s">
        <v>1240</v>
      </c>
      <c r="E180" s="6" t="s">
        <v>278</v>
      </c>
      <c r="F180" s="17" t="s">
        <v>1345</v>
      </c>
      <c r="G180" s="17"/>
      <c r="H180" s="17" t="s">
        <v>35</v>
      </c>
      <c r="I180" s="6" t="s">
        <v>35</v>
      </c>
      <c r="J180" s="46" t="s">
        <v>36</v>
      </c>
      <c r="K180" s="17" t="s">
        <v>1345</v>
      </c>
      <c r="L180" s="18" t="str">
        <f t="shared" si="2"/>
        <v>0179</v>
      </c>
      <c r="M180" s="18" t="s">
        <v>38</v>
      </c>
      <c r="N180" s="19" t="s">
        <v>723</v>
      </c>
      <c r="O180" s="22" t="s">
        <v>724</v>
      </c>
    </row>
    <row r="181" spans="1:15" ht="15.75" customHeight="1">
      <c r="A181" s="10" t="s">
        <v>1346</v>
      </c>
      <c r="B181" s="10" t="s">
        <v>27</v>
      </c>
      <c r="C181" s="11" t="s">
        <v>28</v>
      </c>
      <c r="D181" s="13" t="s">
        <v>116</v>
      </c>
      <c r="E181" s="6" t="s">
        <v>1347</v>
      </c>
      <c r="F181" s="10" t="s">
        <v>7259</v>
      </c>
      <c r="G181" s="17"/>
      <c r="H181" s="17" t="s">
        <v>35</v>
      </c>
      <c r="I181" s="6" t="s">
        <v>35</v>
      </c>
      <c r="J181" s="6" t="s">
        <v>36</v>
      </c>
      <c r="K181" s="10" t="s">
        <v>7259</v>
      </c>
      <c r="L181" s="18" t="str">
        <f t="shared" si="2"/>
        <v>0180</v>
      </c>
      <c r="M181" s="18" t="s">
        <v>38</v>
      </c>
      <c r="N181" s="19" t="s">
        <v>723</v>
      </c>
      <c r="O181" s="20" t="s">
        <v>1350</v>
      </c>
    </row>
    <row r="182" spans="1:15" ht="15.75" customHeight="1">
      <c r="A182" s="10" t="s">
        <v>1351</v>
      </c>
      <c r="B182" s="10" t="s">
        <v>27</v>
      </c>
      <c r="C182" s="11" t="s">
        <v>28</v>
      </c>
      <c r="D182" s="13" t="s">
        <v>151</v>
      </c>
      <c r="E182" s="6" t="s">
        <v>293</v>
      </c>
      <c r="F182" s="10" t="s">
        <v>85</v>
      </c>
      <c r="G182" s="17"/>
      <c r="H182" s="17" t="s">
        <v>297</v>
      </c>
      <c r="I182" s="6" t="s">
        <v>298</v>
      </c>
      <c r="J182" s="6" t="s">
        <v>1355</v>
      </c>
      <c r="K182" s="10" t="s">
        <v>85</v>
      </c>
      <c r="L182" s="18" t="str">
        <f t="shared" si="2"/>
        <v>0181</v>
      </c>
      <c r="M182" s="18" t="s">
        <v>38</v>
      </c>
      <c r="N182" s="19" t="s">
        <v>723</v>
      </c>
      <c r="O182" s="22" t="s">
        <v>1350</v>
      </c>
    </row>
    <row r="183" spans="1:15" ht="15.75" customHeight="1">
      <c r="A183" s="10" t="s">
        <v>1356</v>
      </c>
      <c r="B183" s="10" t="s">
        <v>27</v>
      </c>
      <c r="C183" s="11" t="s">
        <v>28</v>
      </c>
      <c r="D183" s="13" t="s">
        <v>199</v>
      </c>
      <c r="E183" s="6" t="s">
        <v>199</v>
      </c>
      <c r="F183" s="10" t="s">
        <v>85</v>
      </c>
      <c r="G183" s="17"/>
      <c r="H183" s="17" t="s">
        <v>273</v>
      </c>
      <c r="I183" s="6" t="s">
        <v>274</v>
      </c>
      <c r="J183" s="6">
        <v>11392903015062</v>
      </c>
      <c r="K183" s="10" t="s">
        <v>85</v>
      </c>
      <c r="L183" s="18" t="str">
        <f t="shared" si="2"/>
        <v>0182</v>
      </c>
      <c r="M183" s="18" t="s">
        <v>38</v>
      </c>
      <c r="N183" s="19" t="s">
        <v>723</v>
      </c>
      <c r="O183" s="22" t="s">
        <v>1350</v>
      </c>
    </row>
    <row r="184" spans="1:15" ht="15.75" customHeight="1">
      <c r="A184" s="10" t="s">
        <v>1360</v>
      </c>
      <c r="B184" s="10" t="s">
        <v>27</v>
      </c>
      <c r="C184" s="11" t="s">
        <v>28</v>
      </c>
      <c r="D184" s="13" t="s">
        <v>378</v>
      </c>
      <c r="E184" s="6" t="s">
        <v>379</v>
      </c>
      <c r="F184" s="17" t="s">
        <v>1365</v>
      </c>
      <c r="G184" s="17"/>
      <c r="H184" s="17" t="s">
        <v>35</v>
      </c>
      <c r="I184" s="6" t="s">
        <v>35</v>
      </c>
      <c r="J184" s="17" t="s">
        <v>36</v>
      </c>
      <c r="K184" s="17" t="s">
        <v>1365</v>
      </c>
      <c r="L184" s="18" t="str">
        <f t="shared" si="2"/>
        <v>0183</v>
      </c>
      <c r="M184" s="18" t="s">
        <v>38</v>
      </c>
      <c r="N184" s="19" t="s">
        <v>723</v>
      </c>
      <c r="O184" s="22" t="s">
        <v>1350</v>
      </c>
    </row>
    <row r="185" spans="1:15" ht="15.75" customHeight="1">
      <c r="A185" s="10" t="s">
        <v>1366</v>
      </c>
      <c r="B185" s="10" t="s">
        <v>27</v>
      </c>
      <c r="C185" s="11" t="s">
        <v>28</v>
      </c>
      <c r="D185" s="13" t="s">
        <v>353</v>
      </c>
      <c r="E185" s="6" t="s">
        <v>354</v>
      </c>
      <c r="F185" s="10" t="s">
        <v>2413</v>
      </c>
      <c r="G185" s="17"/>
      <c r="H185" s="35" t="s">
        <v>303</v>
      </c>
      <c r="I185" s="6" t="s">
        <v>304</v>
      </c>
      <c r="J185" s="6" t="s">
        <v>1371</v>
      </c>
      <c r="K185" s="32" t="s">
        <v>1372</v>
      </c>
      <c r="L185" s="18" t="str">
        <f t="shared" si="2"/>
        <v>0184</v>
      </c>
      <c r="M185" s="18" t="s">
        <v>38</v>
      </c>
      <c r="N185" s="19" t="s">
        <v>723</v>
      </c>
      <c r="O185" s="22" t="s">
        <v>1350</v>
      </c>
    </row>
    <row r="186" spans="1:15" ht="15.75" customHeight="1">
      <c r="A186" s="10" t="s">
        <v>1373</v>
      </c>
      <c r="B186" s="10" t="s">
        <v>27</v>
      </c>
      <c r="C186" s="11" t="s">
        <v>28</v>
      </c>
      <c r="D186" s="13" t="s">
        <v>1240</v>
      </c>
      <c r="E186" s="43" t="s">
        <v>278</v>
      </c>
      <c r="F186" s="17" t="s">
        <v>1378</v>
      </c>
      <c r="G186" s="17"/>
      <c r="H186" s="17" t="s">
        <v>35</v>
      </c>
      <c r="I186" s="6" t="s">
        <v>35</v>
      </c>
      <c r="J186" s="17" t="s">
        <v>36</v>
      </c>
      <c r="K186" s="17" t="s">
        <v>1378</v>
      </c>
      <c r="L186" s="18" t="str">
        <f t="shared" si="2"/>
        <v>0185</v>
      </c>
      <c r="M186" s="18" t="s">
        <v>38</v>
      </c>
      <c r="N186" s="19" t="s">
        <v>723</v>
      </c>
      <c r="O186" s="20" t="s">
        <v>1350</v>
      </c>
    </row>
    <row r="187" spans="1:15" ht="15.75" customHeight="1">
      <c r="A187" s="10" t="s">
        <v>1379</v>
      </c>
      <c r="B187" s="10" t="s">
        <v>27</v>
      </c>
      <c r="C187" s="11" t="s">
        <v>28</v>
      </c>
      <c r="D187" s="13" t="s">
        <v>93</v>
      </c>
      <c r="E187" s="6" t="s">
        <v>1380</v>
      </c>
      <c r="F187" s="17" t="s">
        <v>1385</v>
      </c>
      <c r="G187" s="17"/>
      <c r="H187" s="17" t="s">
        <v>35</v>
      </c>
      <c r="I187" s="6" t="s">
        <v>35</v>
      </c>
      <c r="J187" s="17" t="s">
        <v>36</v>
      </c>
      <c r="K187" s="17" t="s">
        <v>1385</v>
      </c>
      <c r="L187" s="18" t="str">
        <f t="shared" si="2"/>
        <v>0186</v>
      </c>
      <c r="M187" s="18" t="s">
        <v>38</v>
      </c>
      <c r="N187" s="19" t="s">
        <v>723</v>
      </c>
      <c r="O187" s="22" t="s">
        <v>1386</v>
      </c>
    </row>
    <row r="188" spans="1:15" ht="15.75" customHeight="1">
      <c r="A188" s="10" t="s">
        <v>1387</v>
      </c>
      <c r="B188" s="10" t="s">
        <v>27</v>
      </c>
      <c r="C188" s="11" t="s">
        <v>28</v>
      </c>
      <c r="D188" s="13" t="s">
        <v>116</v>
      </c>
      <c r="E188" s="6" t="s">
        <v>364</v>
      </c>
      <c r="F188" s="17" t="s">
        <v>1392</v>
      </c>
      <c r="G188" s="17"/>
      <c r="H188" s="17" t="s">
        <v>35</v>
      </c>
      <c r="I188" s="6" t="s">
        <v>35</v>
      </c>
      <c r="J188" s="17" t="s">
        <v>36</v>
      </c>
      <c r="K188" s="17" t="s">
        <v>1392</v>
      </c>
      <c r="L188" s="18" t="str">
        <f t="shared" si="2"/>
        <v>0187</v>
      </c>
      <c r="M188" s="18" t="s">
        <v>38</v>
      </c>
      <c r="N188" s="19" t="s">
        <v>723</v>
      </c>
      <c r="O188" s="22" t="s">
        <v>1386</v>
      </c>
    </row>
    <row r="189" spans="1:15" ht="15.75" customHeight="1">
      <c r="A189" s="10" t="s">
        <v>1393</v>
      </c>
      <c r="B189" s="10" t="s">
        <v>27</v>
      </c>
      <c r="C189" s="11" t="s">
        <v>28</v>
      </c>
      <c r="D189" s="13" t="s">
        <v>199</v>
      </c>
      <c r="E189" s="43" t="s">
        <v>1394</v>
      </c>
      <c r="F189" s="35" t="s">
        <v>7260</v>
      </c>
      <c r="G189" s="17"/>
      <c r="H189" s="17" t="s">
        <v>297</v>
      </c>
      <c r="I189" s="6" t="s">
        <v>1399</v>
      </c>
      <c r="J189" s="35" t="s">
        <v>1400</v>
      </c>
      <c r="K189" s="35" t="s">
        <v>7260</v>
      </c>
      <c r="L189" s="18" t="str">
        <f t="shared" si="2"/>
        <v>0188</v>
      </c>
      <c r="M189" s="18" t="s">
        <v>517</v>
      </c>
      <c r="N189" s="19" t="s">
        <v>723</v>
      </c>
      <c r="O189" s="22" t="s">
        <v>1386</v>
      </c>
    </row>
    <row r="190" spans="1:15" ht="15.75" customHeight="1">
      <c r="A190" s="10" t="s">
        <v>1402</v>
      </c>
      <c r="B190" s="10" t="s">
        <v>27</v>
      </c>
      <c r="C190" s="11" t="s">
        <v>28</v>
      </c>
      <c r="D190" s="13" t="s">
        <v>151</v>
      </c>
      <c r="E190" s="6" t="s">
        <v>963</v>
      </c>
      <c r="F190" s="17" t="s">
        <v>1409</v>
      </c>
      <c r="G190" s="17"/>
      <c r="H190" s="17" t="s">
        <v>297</v>
      </c>
      <c r="I190" s="6" t="s">
        <v>1407</v>
      </c>
      <c r="J190" s="35" t="s">
        <v>7261</v>
      </c>
      <c r="K190" s="17" t="s">
        <v>1409</v>
      </c>
      <c r="L190" s="18" t="str">
        <f t="shared" si="2"/>
        <v>0189</v>
      </c>
      <c r="M190" s="18" t="s">
        <v>517</v>
      </c>
      <c r="N190" s="19" t="s">
        <v>723</v>
      </c>
      <c r="O190" s="22" t="s">
        <v>1386</v>
      </c>
    </row>
    <row r="191" spans="1:15" ht="15.75" customHeight="1">
      <c r="A191" s="10" t="s">
        <v>1410</v>
      </c>
      <c r="B191" s="10" t="s">
        <v>27</v>
      </c>
      <c r="C191" s="11" t="s">
        <v>28</v>
      </c>
      <c r="D191" s="13" t="s">
        <v>353</v>
      </c>
      <c r="E191" s="6" t="s">
        <v>638</v>
      </c>
      <c r="F191" s="10" t="s">
        <v>1415</v>
      </c>
      <c r="G191" s="17"/>
      <c r="H191" s="17" t="s">
        <v>359</v>
      </c>
      <c r="I191" s="6" t="s">
        <v>1414</v>
      </c>
      <c r="J191" s="6">
        <v>161139013</v>
      </c>
      <c r="K191" s="10" t="s">
        <v>1415</v>
      </c>
      <c r="L191" s="18" t="str">
        <f t="shared" si="2"/>
        <v>0190</v>
      </c>
      <c r="M191" s="18" t="s">
        <v>38</v>
      </c>
      <c r="N191" s="19" t="s">
        <v>723</v>
      </c>
      <c r="O191" s="22" t="s">
        <v>1386</v>
      </c>
    </row>
    <row r="192" spans="1:15" ht="15.75" customHeight="1">
      <c r="A192" s="10" t="s">
        <v>1416</v>
      </c>
      <c r="B192" s="10" t="s">
        <v>27</v>
      </c>
      <c r="C192" s="11" t="s">
        <v>28</v>
      </c>
      <c r="D192" s="13" t="s">
        <v>378</v>
      </c>
      <c r="E192" s="6" t="s">
        <v>1006</v>
      </c>
      <c r="F192" s="17" t="s">
        <v>1421</v>
      </c>
      <c r="G192" s="17"/>
      <c r="H192" s="17" t="s">
        <v>35</v>
      </c>
      <c r="I192" s="6" t="s">
        <v>35</v>
      </c>
      <c r="J192" s="46" t="s">
        <v>36</v>
      </c>
      <c r="K192" s="17" t="s">
        <v>1421</v>
      </c>
      <c r="L192" s="18" t="str">
        <f t="shared" si="2"/>
        <v>0191</v>
      </c>
      <c r="M192" s="18" t="s">
        <v>517</v>
      </c>
      <c r="N192" s="19" t="s">
        <v>723</v>
      </c>
      <c r="O192" s="22" t="s">
        <v>1386</v>
      </c>
    </row>
    <row r="193" spans="1:15" ht="15.75" customHeight="1">
      <c r="A193" s="10" t="s">
        <v>1422</v>
      </c>
      <c r="B193" s="10" t="s">
        <v>27</v>
      </c>
      <c r="C193" s="11" t="s">
        <v>28</v>
      </c>
      <c r="D193" s="13" t="s">
        <v>116</v>
      </c>
      <c r="E193" s="6" t="s">
        <v>364</v>
      </c>
      <c r="F193" s="35" t="s">
        <v>7262</v>
      </c>
      <c r="G193" s="17"/>
      <c r="H193" s="17" t="s">
        <v>35</v>
      </c>
      <c r="I193" s="6" t="s">
        <v>35</v>
      </c>
      <c r="J193" s="17" t="s">
        <v>36</v>
      </c>
      <c r="K193" s="35" t="s">
        <v>7262</v>
      </c>
      <c r="L193" s="18" t="str">
        <f t="shared" si="2"/>
        <v>0192</v>
      </c>
      <c r="M193" s="18" t="s">
        <v>38</v>
      </c>
      <c r="N193" s="19" t="s">
        <v>723</v>
      </c>
      <c r="O193" s="20" t="s">
        <v>1427</v>
      </c>
    </row>
    <row r="194" spans="1:15" ht="15.75" customHeight="1">
      <c r="A194" s="10" t="s">
        <v>1428</v>
      </c>
      <c r="B194" s="10" t="s">
        <v>27</v>
      </c>
      <c r="C194" s="11" t="s">
        <v>28</v>
      </c>
      <c r="D194" s="13" t="s">
        <v>199</v>
      </c>
      <c r="E194" s="6" t="s">
        <v>677</v>
      </c>
      <c r="F194" s="10" t="s">
        <v>1434</v>
      </c>
      <c r="G194" s="17"/>
      <c r="H194" s="17" t="s">
        <v>682</v>
      </c>
      <c r="I194" s="6" t="s">
        <v>1432</v>
      </c>
      <c r="J194" s="17" t="s">
        <v>1433</v>
      </c>
      <c r="K194" s="10" t="s">
        <v>1434</v>
      </c>
      <c r="L194" s="18" t="str">
        <f t="shared" ref="L194:L257" si="3">A194</f>
        <v>0193</v>
      </c>
      <c r="M194" s="18" t="s">
        <v>38</v>
      </c>
      <c r="N194" s="19" t="s">
        <v>723</v>
      </c>
      <c r="O194" s="20" t="s">
        <v>1427</v>
      </c>
    </row>
    <row r="195" spans="1:15" ht="15.75" customHeight="1">
      <c r="A195" s="10" t="s">
        <v>1435</v>
      </c>
      <c r="B195" s="10" t="s">
        <v>27</v>
      </c>
      <c r="C195" s="11" t="s">
        <v>28</v>
      </c>
      <c r="D195" s="13" t="s">
        <v>248</v>
      </c>
      <c r="E195" s="6" t="s">
        <v>248</v>
      </c>
      <c r="F195" s="10" t="s">
        <v>7263</v>
      </c>
      <c r="G195" s="17"/>
      <c r="H195" s="17" t="s">
        <v>303</v>
      </c>
      <c r="I195" s="6" t="s">
        <v>304</v>
      </c>
      <c r="J195" s="17" t="s">
        <v>1440</v>
      </c>
      <c r="K195" s="10" t="s">
        <v>7263</v>
      </c>
      <c r="L195" s="18" t="str">
        <f t="shared" si="3"/>
        <v>0194</v>
      </c>
      <c r="M195" s="18" t="s">
        <v>38</v>
      </c>
      <c r="N195" s="19" t="s">
        <v>147</v>
      </c>
      <c r="O195" s="20" t="s">
        <v>1185</v>
      </c>
    </row>
    <row r="196" spans="1:15" ht="15.75" customHeight="1">
      <c r="A196" s="10" t="s">
        <v>1442</v>
      </c>
      <c r="B196" s="10" t="s">
        <v>27</v>
      </c>
      <c r="C196" s="11" t="s">
        <v>28</v>
      </c>
      <c r="D196" s="13" t="s">
        <v>116</v>
      </c>
      <c r="E196" s="6" t="s">
        <v>1443</v>
      </c>
      <c r="F196" s="17" t="s">
        <v>1448</v>
      </c>
      <c r="G196" s="17"/>
      <c r="H196" s="17" t="s">
        <v>35</v>
      </c>
      <c r="I196" s="6" t="s">
        <v>35</v>
      </c>
      <c r="J196" s="17" t="s">
        <v>36</v>
      </c>
      <c r="K196" s="17" t="s">
        <v>1448</v>
      </c>
      <c r="L196" s="18" t="str">
        <f t="shared" si="3"/>
        <v>0195</v>
      </c>
      <c r="M196" s="18" t="s">
        <v>38</v>
      </c>
      <c r="N196" s="19" t="s">
        <v>147</v>
      </c>
      <c r="O196" s="20" t="s">
        <v>1185</v>
      </c>
    </row>
    <row r="197" spans="1:15" ht="15.75" customHeight="1">
      <c r="A197" s="10" t="s">
        <v>1449</v>
      </c>
      <c r="B197" s="10" t="s">
        <v>27</v>
      </c>
      <c r="C197" s="11" t="s">
        <v>28</v>
      </c>
      <c r="D197" s="13" t="s">
        <v>378</v>
      </c>
      <c r="E197" s="6" t="s">
        <v>1450</v>
      </c>
      <c r="F197" s="17" t="s">
        <v>1455</v>
      </c>
      <c r="G197" s="17"/>
      <c r="H197" s="17" t="s">
        <v>35</v>
      </c>
      <c r="I197" s="6" t="s">
        <v>35</v>
      </c>
      <c r="J197" s="17" t="s">
        <v>36</v>
      </c>
      <c r="K197" s="17" t="s">
        <v>1455</v>
      </c>
      <c r="L197" s="18" t="str">
        <f t="shared" si="3"/>
        <v>0196</v>
      </c>
      <c r="M197" s="18" t="s">
        <v>38</v>
      </c>
      <c r="N197" s="19" t="s">
        <v>147</v>
      </c>
      <c r="O197" s="20" t="s">
        <v>1185</v>
      </c>
    </row>
    <row r="198" spans="1:15" ht="15.75" customHeight="1">
      <c r="A198" s="10" t="s">
        <v>1456</v>
      </c>
      <c r="B198" s="10" t="s">
        <v>27</v>
      </c>
      <c r="C198" s="11" t="s">
        <v>28</v>
      </c>
      <c r="D198" s="13" t="s">
        <v>378</v>
      </c>
      <c r="E198" s="6" t="s">
        <v>1306</v>
      </c>
      <c r="F198" s="17" t="s">
        <v>1461</v>
      </c>
      <c r="G198" s="17"/>
      <c r="H198" s="17" t="s">
        <v>35</v>
      </c>
      <c r="I198" s="6" t="s">
        <v>35</v>
      </c>
      <c r="J198" s="17" t="s">
        <v>36</v>
      </c>
      <c r="K198" s="17" t="s">
        <v>1461</v>
      </c>
      <c r="L198" s="18" t="str">
        <f t="shared" si="3"/>
        <v>0197</v>
      </c>
      <c r="M198" s="18" t="s">
        <v>38</v>
      </c>
      <c r="N198" s="19" t="s">
        <v>723</v>
      </c>
      <c r="O198" s="22" t="s">
        <v>1462</v>
      </c>
    </row>
    <row r="199" spans="1:15" ht="15.75" customHeight="1">
      <c r="A199" s="10" t="s">
        <v>1463</v>
      </c>
      <c r="B199" s="10" t="s">
        <v>27</v>
      </c>
      <c r="C199" s="11" t="s">
        <v>28</v>
      </c>
      <c r="D199" s="13" t="s">
        <v>378</v>
      </c>
      <c r="E199" s="6" t="s">
        <v>1464</v>
      </c>
      <c r="F199" s="10" t="s">
        <v>7264</v>
      </c>
      <c r="G199" s="17"/>
      <c r="H199" s="17" t="s">
        <v>35</v>
      </c>
      <c r="I199" s="6" t="s">
        <v>35</v>
      </c>
      <c r="J199" s="6" t="s">
        <v>36</v>
      </c>
      <c r="K199" s="10" t="s">
        <v>7264</v>
      </c>
      <c r="L199" s="18" t="str">
        <f t="shared" si="3"/>
        <v>0198</v>
      </c>
      <c r="M199" s="18" t="s">
        <v>38</v>
      </c>
      <c r="N199" s="19" t="s">
        <v>28</v>
      </c>
      <c r="O199" s="20" t="s">
        <v>848</v>
      </c>
    </row>
    <row r="200" spans="1:15" ht="15.75" customHeight="1">
      <c r="A200" s="10" t="s">
        <v>1468</v>
      </c>
      <c r="B200" s="10" t="s">
        <v>1469</v>
      </c>
      <c r="C200" s="60" t="s">
        <v>1470</v>
      </c>
      <c r="D200" s="13" t="s">
        <v>29</v>
      </c>
      <c r="E200" s="6" t="s">
        <v>1471</v>
      </c>
      <c r="F200" s="17" t="s">
        <v>1476</v>
      </c>
      <c r="G200" s="17"/>
      <c r="H200" s="17" t="s">
        <v>35</v>
      </c>
      <c r="I200" s="49" t="s">
        <v>35</v>
      </c>
      <c r="J200" s="46" t="s">
        <v>36</v>
      </c>
      <c r="K200" s="17" t="s">
        <v>1476</v>
      </c>
      <c r="L200" s="18" t="str">
        <f t="shared" si="3"/>
        <v>0199</v>
      </c>
      <c r="M200" s="18" t="s">
        <v>38</v>
      </c>
      <c r="N200" s="19" t="s">
        <v>1470</v>
      </c>
      <c r="O200" s="20" t="s">
        <v>1477</v>
      </c>
    </row>
    <row r="201" spans="1:15" ht="15.75" customHeight="1">
      <c r="A201" s="10" t="s">
        <v>1478</v>
      </c>
      <c r="B201" s="10" t="s">
        <v>1469</v>
      </c>
      <c r="C201" s="60" t="s">
        <v>1470</v>
      </c>
      <c r="D201" s="13" t="s">
        <v>378</v>
      </c>
      <c r="E201" s="6" t="s">
        <v>878</v>
      </c>
      <c r="F201" s="158" t="s">
        <v>7265</v>
      </c>
      <c r="G201" s="17"/>
      <c r="H201" s="17" t="s">
        <v>35</v>
      </c>
      <c r="I201" s="6" t="s">
        <v>35</v>
      </c>
      <c r="J201" s="17" t="s">
        <v>36</v>
      </c>
      <c r="K201" s="158" t="s">
        <v>7265</v>
      </c>
      <c r="L201" s="18" t="str">
        <f t="shared" si="3"/>
        <v>0200</v>
      </c>
      <c r="M201" s="18" t="s">
        <v>38</v>
      </c>
      <c r="N201" s="61" t="s">
        <v>1483</v>
      </c>
      <c r="O201" s="20" t="s">
        <v>1484</v>
      </c>
    </row>
    <row r="202" spans="1:15" ht="15.75" customHeight="1">
      <c r="A202" s="10" t="s">
        <v>1485</v>
      </c>
      <c r="B202" s="10" t="s">
        <v>1469</v>
      </c>
      <c r="C202" s="60" t="s">
        <v>1470</v>
      </c>
      <c r="D202" s="13" t="s">
        <v>53</v>
      </c>
      <c r="E202" s="6" t="s">
        <v>1486</v>
      </c>
      <c r="F202" s="17" t="s">
        <v>85</v>
      </c>
      <c r="G202" s="17"/>
      <c r="H202" s="17" t="s">
        <v>35</v>
      </c>
      <c r="I202" s="6" t="s">
        <v>35</v>
      </c>
      <c r="J202" s="17" t="s">
        <v>36</v>
      </c>
      <c r="K202" s="17" t="s">
        <v>85</v>
      </c>
      <c r="L202" s="18" t="str">
        <f t="shared" si="3"/>
        <v>0201</v>
      </c>
      <c r="M202" s="18" t="s">
        <v>38</v>
      </c>
      <c r="N202" s="19" t="s">
        <v>1470</v>
      </c>
      <c r="O202" s="20" t="s">
        <v>1477</v>
      </c>
    </row>
    <row r="203" spans="1:15" ht="15.75" customHeight="1">
      <c r="A203" s="10" t="s">
        <v>1491</v>
      </c>
      <c r="B203" s="10" t="s">
        <v>1469</v>
      </c>
      <c r="C203" s="60" t="s">
        <v>1470</v>
      </c>
      <c r="D203" s="13" t="s">
        <v>43</v>
      </c>
      <c r="E203" s="6" t="s">
        <v>1492</v>
      </c>
      <c r="F203" s="17" t="s">
        <v>1497</v>
      </c>
      <c r="G203" s="17"/>
      <c r="H203" s="17" t="s">
        <v>406</v>
      </c>
      <c r="I203" s="6" t="s">
        <v>407</v>
      </c>
      <c r="J203" s="17" t="s">
        <v>36</v>
      </c>
      <c r="K203" s="17" t="s">
        <v>1497</v>
      </c>
      <c r="L203" s="18" t="str">
        <f t="shared" si="3"/>
        <v>0202</v>
      </c>
      <c r="M203" s="18" t="s">
        <v>38</v>
      </c>
      <c r="N203" s="19" t="s">
        <v>1470</v>
      </c>
      <c r="O203" s="20" t="s">
        <v>1477</v>
      </c>
    </row>
    <row r="204" spans="1:15" ht="15.75" customHeight="1">
      <c r="A204" s="10" t="s">
        <v>1498</v>
      </c>
      <c r="B204" s="10" t="s">
        <v>1469</v>
      </c>
      <c r="C204" s="60" t="s">
        <v>1470</v>
      </c>
      <c r="D204" s="13" t="s">
        <v>116</v>
      </c>
      <c r="E204" s="6" t="s">
        <v>129</v>
      </c>
      <c r="F204" s="17" t="s">
        <v>1503</v>
      </c>
      <c r="G204" s="17"/>
      <c r="H204" s="17" t="s">
        <v>35</v>
      </c>
      <c r="I204" s="6" t="s">
        <v>35</v>
      </c>
      <c r="J204" s="17" t="s">
        <v>36</v>
      </c>
      <c r="K204" s="17" t="s">
        <v>1503</v>
      </c>
      <c r="L204" s="18" t="str">
        <f t="shared" si="3"/>
        <v>0203</v>
      </c>
      <c r="M204" s="18" t="s">
        <v>38</v>
      </c>
      <c r="N204" s="19" t="s">
        <v>1470</v>
      </c>
      <c r="O204" s="20" t="s">
        <v>1477</v>
      </c>
    </row>
    <row r="205" spans="1:15" ht="15.75" customHeight="1">
      <c r="A205" s="10" t="s">
        <v>1504</v>
      </c>
      <c r="B205" s="10" t="s">
        <v>1469</v>
      </c>
      <c r="C205" s="60" t="s">
        <v>1470</v>
      </c>
      <c r="D205" s="13" t="s">
        <v>71</v>
      </c>
      <c r="E205" s="6" t="s">
        <v>72</v>
      </c>
      <c r="F205" s="17" t="s">
        <v>1508</v>
      </c>
      <c r="G205" s="17"/>
      <c r="H205" s="17" t="s">
        <v>35</v>
      </c>
      <c r="I205" s="6" t="s">
        <v>35</v>
      </c>
      <c r="J205" s="17" t="s">
        <v>36</v>
      </c>
      <c r="K205" s="17" t="s">
        <v>1508</v>
      </c>
      <c r="L205" s="18" t="str">
        <f t="shared" si="3"/>
        <v>0204</v>
      </c>
      <c r="M205" s="18" t="s">
        <v>38</v>
      </c>
      <c r="N205" s="19" t="s">
        <v>1470</v>
      </c>
      <c r="O205" s="20" t="s">
        <v>1477</v>
      </c>
    </row>
    <row r="206" spans="1:15" ht="15.75" customHeight="1">
      <c r="A206" s="10" t="s">
        <v>1509</v>
      </c>
      <c r="B206" s="10" t="s">
        <v>1469</v>
      </c>
      <c r="C206" s="60" t="s">
        <v>1470</v>
      </c>
      <c r="D206" s="13" t="s">
        <v>116</v>
      </c>
      <c r="E206" s="6" t="s">
        <v>1510</v>
      </c>
      <c r="F206" s="17" t="s">
        <v>1514</v>
      </c>
      <c r="G206" s="17"/>
      <c r="H206" s="17" t="s">
        <v>35</v>
      </c>
      <c r="I206" s="6" t="s">
        <v>35</v>
      </c>
      <c r="J206" s="17" t="s">
        <v>36</v>
      </c>
      <c r="K206" s="17" t="s">
        <v>1514</v>
      </c>
      <c r="L206" s="18" t="str">
        <f t="shared" si="3"/>
        <v>0205</v>
      </c>
      <c r="M206" s="18" t="s">
        <v>38</v>
      </c>
      <c r="N206" s="19" t="s">
        <v>1470</v>
      </c>
      <c r="O206" s="20" t="s">
        <v>1477</v>
      </c>
    </row>
    <row r="207" spans="1:15" ht="15.75" customHeight="1">
      <c r="A207" s="10" t="s">
        <v>1515</v>
      </c>
      <c r="B207" s="10" t="s">
        <v>1469</v>
      </c>
      <c r="C207" s="60" t="s">
        <v>1470</v>
      </c>
      <c r="D207" s="13" t="s">
        <v>116</v>
      </c>
      <c r="E207" s="6" t="s">
        <v>117</v>
      </c>
      <c r="F207" s="17" t="s">
        <v>1519</v>
      </c>
      <c r="G207" s="17"/>
      <c r="H207" s="17" t="s">
        <v>35</v>
      </c>
      <c r="I207" s="6" t="s">
        <v>35</v>
      </c>
      <c r="J207" s="17" t="s">
        <v>36</v>
      </c>
      <c r="K207" s="17" t="s">
        <v>1519</v>
      </c>
      <c r="L207" s="18" t="str">
        <f t="shared" si="3"/>
        <v>0206</v>
      </c>
      <c r="M207" s="18" t="s">
        <v>38</v>
      </c>
      <c r="N207" s="19" t="s">
        <v>1470</v>
      </c>
      <c r="O207" s="20" t="s">
        <v>1477</v>
      </c>
    </row>
    <row r="208" spans="1:15" ht="15.75" customHeight="1">
      <c r="A208" s="10" t="s">
        <v>1520</v>
      </c>
      <c r="B208" s="10" t="s">
        <v>1469</v>
      </c>
      <c r="C208" s="60" t="s">
        <v>1470</v>
      </c>
      <c r="D208" s="13" t="s">
        <v>184</v>
      </c>
      <c r="E208" s="43" t="s">
        <v>1521</v>
      </c>
      <c r="F208" s="17" t="s">
        <v>1526</v>
      </c>
      <c r="G208" s="17"/>
      <c r="H208" s="17" t="s">
        <v>35</v>
      </c>
      <c r="I208" s="6" t="s">
        <v>35</v>
      </c>
      <c r="J208" s="17" t="s">
        <v>36</v>
      </c>
      <c r="K208" s="17" t="s">
        <v>1526</v>
      </c>
      <c r="L208" s="18" t="str">
        <f t="shared" si="3"/>
        <v>0207</v>
      </c>
      <c r="M208" s="18" t="s">
        <v>100</v>
      </c>
      <c r="N208" s="19" t="s">
        <v>1470</v>
      </c>
      <c r="O208" s="20" t="s">
        <v>1477</v>
      </c>
    </row>
    <row r="209" spans="1:15" ht="15.75" customHeight="1">
      <c r="A209" s="10" t="s">
        <v>1527</v>
      </c>
      <c r="B209" s="10" t="s">
        <v>1469</v>
      </c>
      <c r="C209" s="60" t="s">
        <v>1470</v>
      </c>
      <c r="D209" s="13" t="s">
        <v>199</v>
      </c>
      <c r="E209" s="6" t="s">
        <v>199</v>
      </c>
      <c r="F209" s="17" t="s">
        <v>1534</v>
      </c>
      <c r="G209" s="17"/>
      <c r="H209" s="17" t="s">
        <v>205</v>
      </c>
      <c r="I209" s="6" t="s">
        <v>1532</v>
      </c>
      <c r="J209" s="17" t="s">
        <v>1533</v>
      </c>
      <c r="K209" s="17" t="s">
        <v>1534</v>
      </c>
      <c r="L209" s="18" t="str">
        <f t="shared" si="3"/>
        <v>0208</v>
      </c>
      <c r="M209" s="18" t="s">
        <v>38</v>
      </c>
      <c r="N209" s="19" t="s">
        <v>1470</v>
      </c>
      <c r="O209" s="20" t="s">
        <v>1477</v>
      </c>
    </row>
    <row r="210" spans="1:15" ht="15.75" customHeight="1">
      <c r="A210" s="10" t="s">
        <v>1535</v>
      </c>
      <c r="B210" s="10" t="s">
        <v>1469</v>
      </c>
      <c r="C210" s="60" t="s">
        <v>1470</v>
      </c>
      <c r="D210" s="13" t="s">
        <v>151</v>
      </c>
      <c r="E210" s="6" t="s">
        <v>714</v>
      </c>
      <c r="F210" s="17" t="s">
        <v>1541</v>
      </c>
      <c r="G210" s="17"/>
      <c r="H210" s="17" t="s">
        <v>719</v>
      </c>
      <c r="I210" s="6" t="s">
        <v>720</v>
      </c>
      <c r="J210" s="35" t="s">
        <v>7266</v>
      </c>
      <c r="K210" s="17" t="s">
        <v>1541</v>
      </c>
      <c r="L210" s="18" t="str">
        <f t="shared" si="3"/>
        <v>0209</v>
      </c>
      <c r="M210" s="18" t="s">
        <v>38</v>
      </c>
      <c r="N210" s="19" t="s">
        <v>1470</v>
      </c>
      <c r="O210" s="20" t="s">
        <v>1477</v>
      </c>
    </row>
    <row r="211" spans="1:15" ht="15.75" customHeight="1">
      <c r="A211" s="10" t="s">
        <v>1542</v>
      </c>
      <c r="B211" s="10" t="s">
        <v>1469</v>
      </c>
      <c r="C211" s="60" t="s">
        <v>1470</v>
      </c>
      <c r="D211" s="13" t="s">
        <v>162</v>
      </c>
      <c r="E211" s="6" t="s">
        <v>285</v>
      </c>
      <c r="F211" s="17" t="s">
        <v>1547</v>
      </c>
      <c r="G211" s="17"/>
      <c r="H211" s="17" t="s">
        <v>663</v>
      </c>
      <c r="I211" s="6" t="s">
        <v>664</v>
      </c>
      <c r="J211" s="17" t="s">
        <v>1546</v>
      </c>
      <c r="K211" s="17" t="s">
        <v>1547</v>
      </c>
      <c r="L211" s="18" t="str">
        <f t="shared" si="3"/>
        <v>0210</v>
      </c>
      <c r="M211" s="18" t="s">
        <v>38</v>
      </c>
      <c r="N211" s="19" t="s">
        <v>1548</v>
      </c>
      <c r="O211" s="20" t="s">
        <v>1549</v>
      </c>
    </row>
    <row r="212" spans="1:15" ht="15.75" customHeight="1">
      <c r="A212" s="10" t="s">
        <v>1551</v>
      </c>
      <c r="B212" s="10" t="s">
        <v>27</v>
      </c>
      <c r="C212" s="63" t="s">
        <v>28</v>
      </c>
      <c r="D212" s="13" t="s">
        <v>1275</v>
      </c>
      <c r="E212" s="43" t="s">
        <v>1552</v>
      </c>
      <c r="F212" s="17" t="s">
        <v>1559</v>
      </c>
      <c r="G212" s="17"/>
      <c r="H212" s="17" t="s">
        <v>205</v>
      </c>
      <c r="I212" s="6" t="s">
        <v>1557</v>
      </c>
      <c r="J212" s="17" t="s">
        <v>1558</v>
      </c>
      <c r="K212" s="17" t="s">
        <v>1559</v>
      </c>
      <c r="L212" s="18" t="str">
        <f t="shared" si="3"/>
        <v>0211</v>
      </c>
      <c r="M212" s="18" t="s">
        <v>38</v>
      </c>
      <c r="N212" s="61" t="s">
        <v>28</v>
      </c>
      <c r="O212" s="20" t="s">
        <v>40</v>
      </c>
    </row>
    <row r="213" spans="1:15" ht="15.75" customHeight="1">
      <c r="A213" s="10" t="s">
        <v>1560</v>
      </c>
      <c r="B213" s="10" t="s">
        <v>1469</v>
      </c>
      <c r="C213" s="60" t="s">
        <v>1470</v>
      </c>
      <c r="D213" s="13" t="s">
        <v>184</v>
      </c>
      <c r="E213" s="43" t="s">
        <v>1561</v>
      </c>
      <c r="F213" s="17" t="s">
        <v>1566</v>
      </c>
      <c r="G213" s="17"/>
      <c r="H213" s="17" t="s">
        <v>35</v>
      </c>
      <c r="I213" s="6" t="s">
        <v>35</v>
      </c>
      <c r="J213" s="35" t="s">
        <v>36</v>
      </c>
      <c r="K213" s="17" t="s">
        <v>1566</v>
      </c>
      <c r="L213" s="18" t="str">
        <f t="shared" si="3"/>
        <v>0212</v>
      </c>
      <c r="M213" s="18" t="s">
        <v>38</v>
      </c>
      <c r="N213" s="19" t="s">
        <v>1470</v>
      </c>
      <c r="O213" s="20" t="s">
        <v>1477</v>
      </c>
    </row>
    <row r="214" spans="1:15" ht="15.75" customHeight="1">
      <c r="A214" s="10" t="s">
        <v>1567</v>
      </c>
      <c r="B214" s="10" t="s">
        <v>1469</v>
      </c>
      <c r="C214" s="60" t="s">
        <v>1470</v>
      </c>
      <c r="D214" s="13" t="s">
        <v>184</v>
      </c>
      <c r="E214" s="43" t="s">
        <v>1561</v>
      </c>
      <c r="F214" s="17" t="s">
        <v>1572</v>
      </c>
      <c r="G214" s="17"/>
      <c r="H214" s="17" t="s">
        <v>35</v>
      </c>
      <c r="I214" s="6" t="s">
        <v>35</v>
      </c>
      <c r="J214" s="35" t="s">
        <v>36</v>
      </c>
      <c r="K214" s="17" t="s">
        <v>1572</v>
      </c>
      <c r="L214" s="18" t="str">
        <f t="shared" si="3"/>
        <v>0213</v>
      </c>
      <c r="M214" s="18" t="s">
        <v>38</v>
      </c>
      <c r="N214" s="19" t="s">
        <v>1470</v>
      </c>
      <c r="O214" s="20" t="s">
        <v>1477</v>
      </c>
    </row>
    <row r="215" spans="1:15" ht="15.75" customHeight="1">
      <c r="A215" s="10" t="s">
        <v>1573</v>
      </c>
      <c r="B215" s="10" t="s">
        <v>1469</v>
      </c>
      <c r="C215" s="60" t="s">
        <v>1470</v>
      </c>
      <c r="D215" s="13" t="s">
        <v>387</v>
      </c>
      <c r="E215" s="6" t="s">
        <v>387</v>
      </c>
      <c r="F215" s="10" t="s">
        <v>85</v>
      </c>
      <c r="G215" s="17"/>
      <c r="H215" s="17" t="s">
        <v>390</v>
      </c>
      <c r="I215" s="6">
        <v>40514</v>
      </c>
      <c r="J215" s="6" t="s">
        <v>1577</v>
      </c>
      <c r="K215" s="10" t="s">
        <v>85</v>
      </c>
      <c r="L215" s="18" t="str">
        <f t="shared" si="3"/>
        <v>0214</v>
      </c>
      <c r="M215" s="18" t="s">
        <v>38</v>
      </c>
      <c r="N215" s="19" t="s">
        <v>1470</v>
      </c>
      <c r="O215" s="20" t="s">
        <v>1477</v>
      </c>
    </row>
    <row r="216" spans="1:15" ht="15.75" customHeight="1">
      <c r="A216" s="10" t="s">
        <v>1578</v>
      </c>
      <c r="B216" s="10" t="s">
        <v>1469</v>
      </c>
      <c r="C216" s="60" t="s">
        <v>1470</v>
      </c>
      <c r="D216" s="13" t="s">
        <v>93</v>
      </c>
      <c r="E216" s="6" t="s">
        <v>1579</v>
      </c>
      <c r="F216" s="158" t="s">
        <v>7267</v>
      </c>
      <c r="G216" s="17"/>
      <c r="H216" s="17" t="s">
        <v>35</v>
      </c>
      <c r="I216" s="6" t="s">
        <v>35</v>
      </c>
      <c r="J216" s="17" t="s">
        <v>36</v>
      </c>
      <c r="K216" s="158" t="s">
        <v>7267</v>
      </c>
      <c r="L216" s="18" t="str">
        <f t="shared" si="3"/>
        <v>0215</v>
      </c>
      <c r="M216" s="18" t="s">
        <v>38</v>
      </c>
      <c r="N216" s="19" t="s">
        <v>1470</v>
      </c>
      <c r="O216" s="20" t="s">
        <v>1477</v>
      </c>
    </row>
    <row r="217" spans="1:15" ht="15.75" customHeight="1">
      <c r="A217" s="10" t="s">
        <v>1584</v>
      </c>
      <c r="B217" s="10" t="s">
        <v>1469</v>
      </c>
      <c r="C217" s="60" t="s">
        <v>1470</v>
      </c>
      <c r="D217" s="20" t="s">
        <v>43</v>
      </c>
      <c r="E217" s="43" t="s">
        <v>1492</v>
      </c>
      <c r="F217" s="35" t="s">
        <v>1589</v>
      </c>
      <c r="G217" s="17"/>
      <c r="H217" s="17" t="s">
        <v>406</v>
      </c>
      <c r="I217" s="6" t="s">
        <v>407</v>
      </c>
      <c r="J217" s="17" t="s">
        <v>36</v>
      </c>
      <c r="K217" s="35" t="s">
        <v>1589</v>
      </c>
      <c r="L217" s="18" t="str">
        <f t="shared" si="3"/>
        <v>0216</v>
      </c>
      <c r="M217" s="18" t="s">
        <v>38</v>
      </c>
      <c r="N217" s="19" t="s">
        <v>1470</v>
      </c>
      <c r="O217" s="20" t="s">
        <v>1477</v>
      </c>
    </row>
    <row r="218" spans="1:15" ht="15.75" customHeight="1">
      <c r="A218" s="10" t="s">
        <v>1590</v>
      </c>
      <c r="B218" s="10" t="s">
        <v>1469</v>
      </c>
      <c r="C218" s="60" t="s">
        <v>1470</v>
      </c>
      <c r="D218" s="13" t="s">
        <v>501</v>
      </c>
      <c r="E218" s="6" t="s">
        <v>1591</v>
      </c>
      <c r="F218" s="17" t="s">
        <v>1596</v>
      </c>
      <c r="G218" s="17"/>
      <c r="H218" s="17" t="s">
        <v>35</v>
      </c>
      <c r="I218" s="6" t="s">
        <v>35</v>
      </c>
      <c r="J218" s="46" t="s">
        <v>36</v>
      </c>
      <c r="K218" s="17" t="s">
        <v>1596</v>
      </c>
      <c r="L218" s="18" t="str">
        <f t="shared" si="3"/>
        <v>0217</v>
      </c>
      <c r="M218" s="18" t="s">
        <v>38</v>
      </c>
      <c r="N218" s="19" t="s">
        <v>1548</v>
      </c>
      <c r="O218" s="20" t="s">
        <v>1597</v>
      </c>
    </row>
    <row r="219" spans="1:15" ht="15.75" customHeight="1">
      <c r="A219" s="10" t="s">
        <v>1599</v>
      </c>
      <c r="B219" s="10" t="s">
        <v>1469</v>
      </c>
      <c r="C219" s="60" t="s">
        <v>1470</v>
      </c>
      <c r="D219" s="13" t="s">
        <v>136</v>
      </c>
      <c r="E219" s="6" t="s">
        <v>137</v>
      </c>
      <c r="F219" s="17" t="s">
        <v>1607</v>
      </c>
      <c r="G219" s="17"/>
      <c r="H219" s="17" t="s">
        <v>1604</v>
      </c>
      <c r="I219" s="6" t="s">
        <v>1605</v>
      </c>
      <c r="J219" s="17" t="s">
        <v>1606</v>
      </c>
      <c r="K219" s="17" t="s">
        <v>1607</v>
      </c>
      <c r="L219" s="18" t="str">
        <f t="shared" si="3"/>
        <v>0218</v>
      </c>
      <c r="M219" s="18" t="s">
        <v>38</v>
      </c>
      <c r="N219" s="19" t="s">
        <v>1548</v>
      </c>
      <c r="O219" s="20" t="s">
        <v>1597</v>
      </c>
    </row>
    <row r="220" spans="1:15" ht="15.75" customHeight="1">
      <c r="A220" s="10" t="s">
        <v>1608</v>
      </c>
      <c r="B220" s="10" t="s">
        <v>1469</v>
      </c>
      <c r="C220" s="60" t="s">
        <v>1470</v>
      </c>
      <c r="D220" s="13" t="s">
        <v>162</v>
      </c>
      <c r="E220" s="43" t="s">
        <v>285</v>
      </c>
      <c r="F220" s="17" t="s">
        <v>1614</v>
      </c>
      <c r="G220" s="17"/>
      <c r="H220" s="17" t="s">
        <v>168</v>
      </c>
      <c r="I220" s="6" t="s">
        <v>169</v>
      </c>
      <c r="J220" s="17" t="s">
        <v>1613</v>
      </c>
      <c r="K220" s="17" t="s">
        <v>1614</v>
      </c>
      <c r="L220" s="18" t="str">
        <f t="shared" si="3"/>
        <v>0219</v>
      </c>
      <c r="M220" s="18" t="s">
        <v>38</v>
      </c>
      <c r="N220" s="19" t="s">
        <v>1548</v>
      </c>
      <c r="O220" s="20" t="s">
        <v>1597</v>
      </c>
    </row>
    <row r="221" spans="1:15" ht="15.75" customHeight="1">
      <c r="A221" s="10" t="s">
        <v>1615</v>
      </c>
      <c r="B221" s="10" t="s">
        <v>1469</v>
      </c>
      <c r="C221" s="60" t="s">
        <v>1470</v>
      </c>
      <c r="D221" s="13" t="s">
        <v>151</v>
      </c>
      <c r="E221" s="6" t="s">
        <v>152</v>
      </c>
      <c r="F221" s="17" t="s">
        <v>1622</v>
      </c>
      <c r="G221" s="17"/>
      <c r="H221" s="17" t="s">
        <v>297</v>
      </c>
      <c r="I221" s="6" t="s">
        <v>1620</v>
      </c>
      <c r="J221" s="17" t="s">
        <v>1621</v>
      </c>
      <c r="K221" s="17" t="s">
        <v>1622</v>
      </c>
      <c r="L221" s="18" t="str">
        <f t="shared" si="3"/>
        <v>0220</v>
      </c>
      <c r="M221" s="18" t="s">
        <v>38</v>
      </c>
      <c r="N221" s="19" t="s">
        <v>1548</v>
      </c>
      <c r="O221" s="20" t="s">
        <v>1597</v>
      </c>
    </row>
    <row r="222" spans="1:15" ht="15.75" customHeight="1">
      <c r="A222" s="10" t="s">
        <v>1623</v>
      </c>
      <c r="B222" s="10" t="s">
        <v>1469</v>
      </c>
      <c r="C222" s="60" t="s">
        <v>1470</v>
      </c>
      <c r="D222" s="13" t="s">
        <v>151</v>
      </c>
      <c r="E222" s="6" t="s">
        <v>293</v>
      </c>
      <c r="F222" s="17" t="s">
        <v>85</v>
      </c>
      <c r="G222" s="17"/>
      <c r="H222" s="17" t="s">
        <v>297</v>
      </c>
      <c r="I222" s="6" t="s">
        <v>298</v>
      </c>
      <c r="J222" s="17" t="s">
        <v>1628</v>
      </c>
      <c r="K222" s="17" t="s">
        <v>85</v>
      </c>
      <c r="L222" s="18" t="str">
        <f t="shared" si="3"/>
        <v>0221</v>
      </c>
      <c r="M222" s="18" t="s">
        <v>38</v>
      </c>
      <c r="N222" s="19" t="s">
        <v>1548</v>
      </c>
      <c r="O222" s="20" t="s">
        <v>1597</v>
      </c>
    </row>
    <row r="223" spans="1:15" ht="15.75" customHeight="1">
      <c r="A223" s="10" t="s">
        <v>1629</v>
      </c>
      <c r="B223" s="10" t="s">
        <v>1469</v>
      </c>
      <c r="C223" s="60" t="s">
        <v>1470</v>
      </c>
      <c r="D223" s="13" t="s">
        <v>199</v>
      </c>
      <c r="E223" s="6" t="s">
        <v>199</v>
      </c>
      <c r="F223" s="10" t="s">
        <v>85</v>
      </c>
      <c r="G223" s="17"/>
      <c r="H223" s="17" t="s">
        <v>273</v>
      </c>
      <c r="I223" s="6" t="s">
        <v>274</v>
      </c>
      <c r="J223" s="17" t="s">
        <v>1634</v>
      </c>
      <c r="K223" s="10" t="s">
        <v>85</v>
      </c>
      <c r="L223" s="18" t="str">
        <f t="shared" si="3"/>
        <v>0222</v>
      </c>
      <c r="M223" s="18" t="s">
        <v>38</v>
      </c>
      <c r="N223" s="19" t="s">
        <v>1548</v>
      </c>
      <c r="O223" s="20" t="s">
        <v>1597</v>
      </c>
    </row>
    <row r="224" spans="1:15" ht="15.75" customHeight="1">
      <c r="A224" s="10" t="s">
        <v>1635</v>
      </c>
      <c r="B224" s="10" t="s">
        <v>1469</v>
      </c>
      <c r="C224" s="60" t="s">
        <v>1470</v>
      </c>
      <c r="D224" s="13" t="s">
        <v>1636</v>
      </c>
      <c r="E224" s="43" t="s">
        <v>278</v>
      </c>
      <c r="F224" s="17" t="s">
        <v>1641</v>
      </c>
      <c r="G224" s="17"/>
      <c r="H224" s="17" t="s">
        <v>35</v>
      </c>
      <c r="I224" s="6" t="s">
        <v>35</v>
      </c>
      <c r="J224" s="17" t="s">
        <v>36</v>
      </c>
      <c r="K224" s="17" t="s">
        <v>1641</v>
      </c>
      <c r="L224" s="18" t="str">
        <f t="shared" si="3"/>
        <v>0223</v>
      </c>
      <c r="M224" s="18" t="s">
        <v>38</v>
      </c>
      <c r="N224" s="19" t="s">
        <v>1548</v>
      </c>
      <c r="O224" s="20" t="s">
        <v>1597</v>
      </c>
    </row>
    <row r="225" spans="1:15" ht="15.75" customHeight="1">
      <c r="A225" s="10" t="s">
        <v>1642</v>
      </c>
      <c r="B225" s="10" t="s">
        <v>1469</v>
      </c>
      <c r="C225" s="60" t="s">
        <v>1470</v>
      </c>
      <c r="D225" s="13" t="s">
        <v>116</v>
      </c>
      <c r="E225" s="6" t="s">
        <v>129</v>
      </c>
      <c r="F225" s="17" t="s">
        <v>1647</v>
      </c>
      <c r="G225" s="17"/>
      <c r="H225" s="17" t="s">
        <v>35</v>
      </c>
      <c r="I225" s="6" t="s">
        <v>35</v>
      </c>
      <c r="J225" s="17" t="s">
        <v>36</v>
      </c>
      <c r="K225" s="17" t="s">
        <v>1647</v>
      </c>
      <c r="L225" s="18" t="str">
        <f t="shared" si="3"/>
        <v>0224</v>
      </c>
      <c r="M225" s="18" t="s">
        <v>38</v>
      </c>
      <c r="N225" s="19" t="s">
        <v>1548</v>
      </c>
      <c r="O225" s="20" t="s">
        <v>1597</v>
      </c>
    </row>
    <row r="226" spans="1:15" ht="15.75" customHeight="1">
      <c r="A226" s="10" t="s">
        <v>1648</v>
      </c>
      <c r="B226" s="10" t="s">
        <v>1469</v>
      </c>
      <c r="C226" s="60" t="s">
        <v>1470</v>
      </c>
      <c r="D226" s="13" t="s">
        <v>93</v>
      </c>
      <c r="E226" s="6" t="s">
        <v>1173</v>
      </c>
      <c r="F226" s="156" t="s">
        <v>597</v>
      </c>
      <c r="G226" s="17"/>
      <c r="H226" s="35" t="s">
        <v>35</v>
      </c>
      <c r="I226" s="6" t="s">
        <v>35</v>
      </c>
      <c r="J226" s="10" t="s">
        <v>36</v>
      </c>
      <c r="K226" s="156" t="s">
        <v>597</v>
      </c>
      <c r="L226" s="18" t="str">
        <f t="shared" si="3"/>
        <v>0225</v>
      </c>
      <c r="M226" s="18" t="s">
        <v>38</v>
      </c>
      <c r="N226" s="19" t="s">
        <v>1548</v>
      </c>
      <c r="O226" s="20" t="s">
        <v>1597</v>
      </c>
    </row>
    <row r="227" spans="1:15" ht="15.75" customHeight="1">
      <c r="A227" s="10" t="s">
        <v>1652</v>
      </c>
      <c r="B227" s="10" t="s">
        <v>1469</v>
      </c>
      <c r="C227" s="60" t="s">
        <v>1470</v>
      </c>
      <c r="D227" s="13" t="s">
        <v>29</v>
      </c>
      <c r="E227" s="43" t="s">
        <v>1166</v>
      </c>
      <c r="F227" s="35" t="s">
        <v>7268</v>
      </c>
      <c r="G227" s="17"/>
      <c r="H227" s="17" t="s">
        <v>35</v>
      </c>
      <c r="I227" s="6" t="s">
        <v>35</v>
      </c>
      <c r="J227" s="17" t="s">
        <v>36</v>
      </c>
      <c r="K227" s="35" t="s">
        <v>7268</v>
      </c>
      <c r="L227" s="18" t="str">
        <f t="shared" si="3"/>
        <v>0226</v>
      </c>
      <c r="M227" s="18" t="s">
        <v>38</v>
      </c>
      <c r="N227" s="19" t="s">
        <v>1548</v>
      </c>
      <c r="O227" s="20" t="s">
        <v>1597</v>
      </c>
    </row>
    <row r="228" spans="1:15" ht="15.75" customHeight="1">
      <c r="A228" s="10" t="s">
        <v>1657</v>
      </c>
      <c r="B228" s="10" t="s">
        <v>1469</v>
      </c>
      <c r="C228" s="60" t="s">
        <v>1470</v>
      </c>
      <c r="D228" s="13" t="s">
        <v>116</v>
      </c>
      <c r="E228" s="6" t="s">
        <v>117</v>
      </c>
      <c r="F228" s="156" t="s">
        <v>7269</v>
      </c>
      <c r="G228" s="17"/>
      <c r="H228" s="35" t="s">
        <v>35</v>
      </c>
      <c r="I228" s="6" t="s">
        <v>35</v>
      </c>
      <c r="J228" s="10" t="s">
        <v>36</v>
      </c>
      <c r="K228" s="156" t="s">
        <v>7269</v>
      </c>
      <c r="L228" s="18" t="str">
        <f t="shared" si="3"/>
        <v>0227</v>
      </c>
      <c r="M228" s="18" t="s">
        <v>38</v>
      </c>
      <c r="N228" s="19" t="s">
        <v>1548</v>
      </c>
      <c r="O228" s="20" t="s">
        <v>1597</v>
      </c>
    </row>
    <row r="229" spans="1:15" ht="15.75" customHeight="1">
      <c r="A229" s="10" t="s">
        <v>1659</v>
      </c>
      <c r="B229" s="10" t="s">
        <v>1469</v>
      </c>
      <c r="C229" s="63" t="s">
        <v>868</v>
      </c>
      <c r="D229" s="13" t="s">
        <v>184</v>
      </c>
      <c r="E229" s="43" t="s">
        <v>927</v>
      </c>
      <c r="F229" s="17" t="s">
        <v>1664</v>
      </c>
      <c r="G229" s="17"/>
      <c r="H229" s="17" t="s">
        <v>35</v>
      </c>
      <c r="I229" s="6" t="s">
        <v>35</v>
      </c>
      <c r="J229" s="17" t="s">
        <v>36</v>
      </c>
      <c r="K229" s="17" t="s">
        <v>1664</v>
      </c>
      <c r="L229" s="18" t="str">
        <f t="shared" si="3"/>
        <v>0228</v>
      </c>
      <c r="M229" s="18" t="s">
        <v>38</v>
      </c>
      <c r="N229" s="19" t="s">
        <v>868</v>
      </c>
      <c r="O229" s="20" t="s">
        <v>1665</v>
      </c>
    </row>
    <row r="230" spans="1:15" ht="15.75" customHeight="1">
      <c r="A230" s="10" t="s">
        <v>1666</v>
      </c>
      <c r="B230" s="10" t="s">
        <v>1469</v>
      </c>
      <c r="C230" s="60" t="s">
        <v>1470</v>
      </c>
      <c r="D230" s="13" t="s">
        <v>378</v>
      </c>
      <c r="E230" s="43" t="s">
        <v>831</v>
      </c>
      <c r="F230" s="17" t="s">
        <v>1671</v>
      </c>
      <c r="G230" s="17"/>
      <c r="H230" s="17" t="s">
        <v>35</v>
      </c>
      <c r="I230" s="6" t="s">
        <v>35</v>
      </c>
      <c r="J230" s="17" t="s">
        <v>36</v>
      </c>
      <c r="K230" s="17" t="s">
        <v>1671</v>
      </c>
      <c r="L230" s="18" t="str">
        <f t="shared" si="3"/>
        <v>0229</v>
      </c>
      <c r="M230" s="18" t="s">
        <v>38</v>
      </c>
      <c r="N230" s="19" t="s">
        <v>1548</v>
      </c>
      <c r="O230" s="20" t="s">
        <v>687</v>
      </c>
    </row>
    <row r="231" spans="1:15" ht="15.75" customHeight="1">
      <c r="A231" s="10" t="s">
        <v>1673</v>
      </c>
      <c r="B231" s="10" t="s">
        <v>1469</v>
      </c>
      <c r="C231" s="60" t="s">
        <v>1470</v>
      </c>
      <c r="D231" s="13" t="s">
        <v>378</v>
      </c>
      <c r="E231" s="43" t="s">
        <v>1674</v>
      </c>
      <c r="F231" s="17" t="s">
        <v>1679</v>
      </c>
      <c r="G231" s="17"/>
      <c r="H231" s="17" t="s">
        <v>35</v>
      </c>
      <c r="I231" s="6" t="s">
        <v>35</v>
      </c>
      <c r="J231" s="17" t="s">
        <v>36</v>
      </c>
      <c r="K231" s="17" t="s">
        <v>1679</v>
      </c>
      <c r="L231" s="18" t="str">
        <f t="shared" si="3"/>
        <v>0230</v>
      </c>
      <c r="M231" s="18" t="s">
        <v>38</v>
      </c>
      <c r="N231" s="19" t="s">
        <v>1548</v>
      </c>
      <c r="O231" s="20" t="s">
        <v>1597</v>
      </c>
    </row>
    <row r="232" spans="1:15" ht="15.75" customHeight="1">
      <c r="A232" s="10" t="s">
        <v>1680</v>
      </c>
      <c r="B232" s="10" t="s">
        <v>1469</v>
      </c>
      <c r="C232" s="60" t="s">
        <v>1470</v>
      </c>
      <c r="D232" s="13" t="s">
        <v>53</v>
      </c>
      <c r="E232" s="6" t="s">
        <v>1681</v>
      </c>
      <c r="F232" s="17" t="s">
        <v>1686</v>
      </c>
      <c r="G232" s="17"/>
      <c r="H232" s="17" t="s">
        <v>35</v>
      </c>
      <c r="I232" s="6" t="s">
        <v>35</v>
      </c>
      <c r="J232" s="17" t="s">
        <v>36</v>
      </c>
      <c r="K232" s="17" t="s">
        <v>1686</v>
      </c>
      <c r="L232" s="18" t="str">
        <f t="shared" si="3"/>
        <v>0231</v>
      </c>
      <c r="M232" s="18" t="s">
        <v>38</v>
      </c>
      <c r="N232" s="19" t="s">
        <v>1548</v>
      </c>
      <c r="O232" s="20" t="s">
        <v>1597</v>
      </c>
    </row>
    <row r="233" spans="1:15" ht="15.75" customHeight="1">
      <c r="A233" s="10" t="s">
        <v>1687</v>
      </c>
      <c r="B233" s="10" t="s">
        <v>1469</v>
      </c>
      <c r="C233" s="60" t="s">
        <v>1470</v>
      </c>
      <c r="D233" s="13" t="s">
        <v>43</v>
      </c>
      <c r="E233" s="43" t="s">
        <v>1688</v>
      </c>
      <c r="F233" s="17" t="s">
        <v>1694</v>
      </c>
      <c r="G233" s="17"/>
      <c r="H233" s="17" t="s">
        <v>1693</v>
      </c>
      <c r="I233" s="6">
        <v>3141</v>
      </c>
      <c r="J233" s="17" t="s">
        <v>36</v>
      </c>
      <c r="K233" s="17" t="s">
        <v>1694</v>
      </c>
      <c r="L233" s="18" t="str">
        <f t="shared" si="3"/>
        <v>0232</v>
      </c>
      <c r="M233" s="18" t="s">
        <v>38</v>
      </c>
      <c r="N233" s="19" t="s">
        <v>1548</v>
      </c>
      <c r="O233" s="20" t="s">
        <v>1597</v>
      </c>
    </row>
    <row r="234" spans="1:15" ht="15.75" customHeight="1">
      <c r="A234" s="10" t="s">
        <v>1695</v>
      </c>
      <c r="B234" s="10" t="s">
        <v>1469</v>
      </c>
      <c r="C234" s="60" t="s">
        <v>1470</v>
      </c>
      <c r="D234" s="13" t="s">
        <v>93</v>
      </c>
      <c r="E234" s="43" t="s">
        <v>1696</v>
      </c>
      <c r="F234" s="17" t="s">
        <v>1701</v>
      </c>
      <c r="G234" s="17"/>
      <c r="H234" s="17" t="s">
        <v>35</v>
      </c>
      <c r="I234" s="6" t="s">
        <v>35</v>
      </c>
      <c r="J234" s="17" t="s">
        <v>36</v>
      </c>
      <c r="K234" s="17" t="s">
        <v>1701</v>
      </c>
      <c r="L234" s="18" t="str">
        <f t="shared" si="3"/>
        <v>0233</v>
      </c>
      <c r="M234" s="18" t="s">
        <v>38</v>
      </c>
      <c r="N234" s="19" t="s">
        <v>1548</v>
      </c>
      <c r="O234" s="20" t="s">
        <v>1549</v>
      </c>
    </row>
    <row r="235" spans="1:15" ht="15.75" customHeight="1">
      <c r="A235" s="10" t="s">
        <v>1702</v>
      </c>
      <c r="B235" s="10" t="s">
        <v>1469</v>
      </c>
      <c r="C235" s="60" t="s">
        <v>1470</v>
      </c>
      <c r="D235" s="13" t="s">
        <v>378</v>
      </c>
      <c r="E235" s="43" t="s">
        <v>1703</v>
      </c>
      <c r="F235" s="17" t="s">
        <v>1708</v>
      </c>
      <c r="G235" s="17"/>
      <c r="H235" s="17" t="s">
        <v>35</v>
      </c>
      <c r="I235" s="6" t="s">
        <v>35</v>
      </c>
      <c r="J235" s="17" t="s">
        <v>36</v>
      </c>
      <c r="K235" s="17" t="s">
        <v>1708</v>
      </c>
      <c r="L235" s="18" t="str">
        <f t="shared" si="3"/>
        <v>0234</v>
      </c>
      <c r="M235" s="18" t="s">
        <v>38</v>
      </c>
      <c r="N235" s="19" t="s">
        <v>1548</v>
      </c>
      <c r="O235" s="20" t="s">
        <v>1597</v>
      </c>
    </row>
    <row r="236" spans="1:15" ht="15.75" customHeight="1">
      <c r="A236" s="10" t="s">
        <v>1709</v>
      </c>
      <c r="B236" s="10" t="s">
        <v>1469</v>
      </c>
      <c r="C236" s="60" t="s">
        <v>1470</v>
      </c>
      <c r="D236" s="13" t="s">
        <v>378</v>
      </c>
      <c r="E236" s="43" t="s">
        <v>1703</v>
      </c>
      <c r="F236" s="17" t="s">
        <v>1714</v>
      </c>
      <c r="G236" s="17"/>
      <c r="H236" s="17" t="s">
        <v>35</v>
      </c>
      <c r="I236" s="6" t="s">
        <v>35</v>
      </c>
      <c r="J236" s="17" t="s">
        <v>36</v>
      </c>
      <c r="K236" s="17" t="s">
        <v>1714</v>
      </c>
      <c r="L236" s="18" t="str">
        <f t="shared" si="3"/>
        <v>0235</v>
      </c>
      <c r="M236" s="18" t="s">
        <v>38</v>
      </c>
      <c r="N236" s="19" t="s">
        <v>1548</v>
      </c>
      <c r="O236" s="20" t="s">
        <v>1597</v>
      </c>
    </row>
    <row r="237" spans="1:15" ht="15.75" customHeight="1">
      <c r="A237" s="10" t="s">
        <v>1715</v>
      </c>
      <c r="B237" s="10" t="s">
        <v>1469</v>
      </c>
      <c r="C237" s="60" t="s">
        <v>1470</v>
      </c>
      <c r="D237" s="13" t="s">
        <v>62</v>
      </c>
      <c r="E237" s="43" t="s">
        <v>1716</v>
      </c>
      <c r="F237" s="158" t="s">
        <v>6711</v>
      </c>
      <c r="G237" s="17"/>
      <c r="H237" s="17" t="s">
        <v>35</v>
      </c>
      <c r="I237" s="6" t="s">
        <v>35</v>
      </c>
      <c r="J237" s="17" t="s">
        <v>36</v>
      </c>
      <c r="K237" s="158" t="s">
        <v>6711</v>
      </c>
      <c r="L237" s="18" t="str">
        <f t="shared" si="3"/>
        <v>0236</v>
      </c>
      <c r="M237" s="18" t="s">
        <v>38</v>
      </c>
      <c r="N237" s="19" t="s">
        <v>1548</v>
      </c>
      <c r="O237" s="20" t="s">
        <v>1597</v>
      </c>
    </row>
    <row r="238" spans="1:15" ht="15.75" customHeight="1">
      <c r="A238" s="10" t="s">
        <v>1721</v>
      </c>
      <c r="B238" s="10" t="s">
        <v>1469</v>
      </c>
      <c r="C238" s="60" t="s">
        <v>1470</v>
      </c>
      <c r="D238" s="13" t="s">
        <v>248</v>
      </c>
      <c r="E238" s="43" t="s">
        <v>249</v>
      </c>
      <c r="F238" s="35" t="s">
        <v>7270</v>
      </c>
      <c r="G238" s="17"/>
      <c r="H238" s="17" t="s">
        <v>303</v>
      </c>
      <c r="I238" s="6" t="s">
        <v>1726</v>
      </c>
      <c r="J238" s="46" t="s">
        <v>1727</v>
      </c>
      <c r="K238" s="35" t="s">
        <v>7270</v>
      </c>
      <c r="L238" s="18" t="str">
        <f t="shared" si="3"/>
        <v>0237</v>
      </c>
      <c r="M238" s="18" t="s">
        <v>38</v>
      </c>
      <c r="N238" s="19" t="s">
        <v>1548</v>
      </c>
      <c r="O238" s="20" t="s">
        <v>1597</v>
      </c>
    </row>
    <row r="239" spans="1:15" ht="15.75" customHeight="1">
      <c r="A239" s="10" t="s">
        <v>1729</v>
      </c>
      <c r="B239" s="10" t="s">
        <v>1469</v>
      </c>
      <c r="C239" s="60" t="s">
        <v>1470</v>
      </c>
      <c r="D239" s="13" t="s">
        <v>116</v>
      </c>
      <c r="E239" s="6" t="s">
        <v>1730</v>
      </c>
      <c r="F239" s="17" t="s">
        <v>1735</v>
      </c>
      <c r="G239" s="17"/>
      <c r="H239" s="17" t="s">
        <v>35</v>
      </c>
      <c r="I239" s="6" t="s">
        <v>35</v>
      </c>
      <c r="J239" s="17" t="s">
        <v>36</v>
      </c>
      <c r="K239" s="17" t="s">
        <v>1735</v>
      </c>
      <c r="L239" s="18" t="str">
        <f t="shared" si="3"/>
        <v>0238</v>
      </c>
      <c r="M239" s="18" t="s">
        <v>38</v>
      </c>
      <c r="N239" s="19" t="s">
        <v>1548</v>
      </c>
      <c r="O239" s="20" t="s">
        <v>1736</v>
      </c>
    </row>
    <row r="240" spans="1:15" ht="15.75" customHeight="1">
      <c r="A240" s="10" t="s">
        <v>1738</v>
      </c>
      <c r="B240" s="10" t="s">
        <v>1469</v>
      </c>
      <c r="C240" s="60" t="s">
        <v>1470</v>
      </c>
      <c r="D240" s="13" t="s">
        <v>93</v>
      </c>
      <c r="E240" s="6" t="s">
        <v>1739</v>
      </c>
      <c r="F240" s="17" t="s">
        <v>1744</v>
      </c>
      <c r="G240" s="17"/>
      <c r="H240" s="17" t="s">
        <v>35</v>
      </c>
      <c r="I240" s="6" t="s">
        <v>35</v>
      </c>
      <c r="J240" s="17" t="s">
        <v>36</v>
      </c>
      <c r="K240" s="17" t="s">
        <v>1744</v>
      </c>
      <c r="L240" s="18" t="str">
        <f t="shared" si="3"/>
        <v>0239</v>
      </c>
      <c r="M240" s="18" t="s">
        <v>38</v>
      </c>
      <c r="N240" s="19" t="s">
        <v>1548</v>
      </c>
      <c r="O240" s="20" t="s">
        <v>1736</v>
      </c>
    </row>
    <row r="241" spans="1:15" ht="15.75" customHeight="1">
      <c r="A241" s="10" t="s">
        <v>1745</v>
      </c>
      <c r="B241" s="10" t="s">
        <v>1469</v>
      </c>
      <c r="C241" s="60" t="s">
        <v>1470</v>
      </c>
      <c r="D241" s="13" t="s">
        <v>199</v>
      </c>
      <c r="E241" s="6" t="s">
        <v>1746</v>
      </c>
      <c r="F241" s="17" t="s">
        <v>1752</v>
      </c>
      <c r="G241" s="17"/>
      <c r="H241" s="17" t="s">
        <v>682</v>
      </c>
      <c r="I241" s="6" t="s">
        <v>1750</v>
      </c>
      <c r="J241" s="17" t="s">
        <v>1751</v>
      </c>
      <c r="K241" s="17" t="s">
        <v>1752</v>
      </c>
      <c r="L241" s="18" t="str">
        <f t="shared" si="3"/>
        <v>0240</v>
      </c>
      <c r="M241" s="18" t="s">
        <v>38</v>
      </c>
      <c r="N241" s="19" t="s">
        <v>1548</v>
      </c>
      <c r="O241" s="20" t="s">
        <v>1736</v>
      </c>
    </row>
    <row r="242" spans="1:15" ht="15.75" customHeight="1">
      <c r="A242" s="10" t="s">
        <v>1753</v>
      </c>
      <c r="B242" s="10" t="s">
        <v>1469</v>
      </c>
      <c r="C242" s="60" t="s">
        <v>1470</v>
      </c>
      <c r="D242" s="13" t="s">
        <v>248</v>
      </c>
      <c r="E242" s="6" t="s">
        <v>249</v>
      </c>
      <c r="F242" s="17" t="s">
        <v>1759</v>
      </c>
      <c r="G242" s="17"/>
      <c r="H242" s="6" t="s">
        <v>303</v>
      </c>
      <c r="I242" s="6" t="s">
        <v>304</v>
      </c>
      <c r="J242" s="43" t="s">
        <v>1758</v>
      </c>
      <c r="K242" s="17" t="s">
        <v>1759</v>
      </c>
      <c r="L242" s="18" t="str">
        <f t="shared" si="3"/>
        <v>0241</v>
      </c>
      <c r="M242" s="18" t="s">
        <v>38</v>
      </c>
      <c r="N242" s="19" t="s">
        <v>1548</v>
      </c>
      <c r="O242" s="20" t="s">
        <v>687</v>
      </c>
    </row>
    <row r="243" spans="1:15" ht="15.75" customHeight="1">
      <c r="A243" s="10" t="s">
        <v>1760</v>
      </c>
      <c r="B243" s="10" t="s">
        <v>1469</v>
      </c>
      <c r="C243" s="60" t="s">
        <v>1470</v>
      </c>
      <c r="D243" s="13" t="s">
        <v>116</v>
      </c>
      <c r="E243" s="6" t="s">
        <v>1730</v>
      </c>
      <c r="F243" s="17" t="s">
        <v>1765</v>
      </c>
      <c r="G243" s="17"/>
      <c r="H243" s="17" t="s">
        <v>35</v>
      </c>
      <c r="I243" s="6" t="s">
        <v>35</v>
      </c>
      <c r="J243" s="17" t="s">
        <v>36</v>
      </c>
      <c r="K243" s="17" t="s">
        <v>1765</v>
      </c>
      <c r="L243" s="18" t="str">
        <f t="shared" si="3"/>
        <v>0242</v>
      </c>
      <c r="M243" s="18" t="s">
        <v>38</v>
      </c>
      <c r="N243" s="19" t="s">
        <v>1548</v>
      </c>
      <c r="O243" s="20" t="s">
        <v>687</v>
      </c>
    </row>
    <row r="244" spans="1:15" ht="15.75" customHeight="1">
      <c r="A244" s="10" t="s">
        <v>1766</v>
      </c>
      <c r="B244" s="10" t="s">
        <v>1469</v>
      </c>
      <c r="C244" s="60" t="s">
        <v>1470</v>
      </c>
      <c r="D244" s="13" t="s">
        <v>93</v>
      </c>
      <c r="E244" s="6" t="s">
        <v>1739</v>
      </c>
      <c r="F244" s="17" t="s">
        <v>1771</v>
      </c>
      <c r="G244" s="17"/>
      <c r="H244" s="17" t="s">
        <v>35</v>
      </c>
      <c r="I244" s="6" t="s">
        <v>35</v>
      </c>
      <c r="J244" s="17" t="s">
        <v>36</v>
      </c>
      <c r="K244" s="17" t="s">
        <v>1771</v>
      </c>
      <c r="L244" s="18" t="str">
        <f t="shared" si="3"/>
        <v>0243</v>
      </c>
      <c r="M244" s="18" t="s">
        <v>38</v>
      </c>
      <c r="N244" s="19" t="s">
        <v>1548</v>
      </c>
      <c r="O244" s="20" t="s">
        <v>687</v>
      </c>
    </row>
    <row r="245" spans="1:15" ht="15.75" customHeight="1">
      <c r="A245" s="10" t="s">
        <v>1772</v>
      </c>
      <c r="B245" s="10" t="s">
        <v>1469</v>
      </c>
      <c r="C245" s="60" t="s">
        <v>1470</v>
      </c>
      <c r="D245" s="13" t="s">
        <v>1240</v>
      </c>
      <c r="E245" s="43" t="s">
        <v>278</v>
      </c>
      <c r="F245" s="17" t="s">
        <v>1777</v>
      </c>
      <c r="G245" s="17"/>
      <c r="H245" s="17" t="s">
        <v>35</v>
      </c>
      <c r="I245" s="6" t="s">
        <v>35</v>
      </c>
      <c r="J245" s="17" t="s">
        <v>36</v>
      </c>
      <c r="K245" s="17" t="s">
        <v>1777</v>
      </c>
      <c r="L245" s="18" t="str">
        <f t="shared" si="3"/>
        <v>0244</v>
      </c>
      <c r="M245" s="18" t="s">
        <v>38</v>
      </c>
      <c r="N245" s="19" t="s">
        <v>1548</v>
      </c>
      <c r="O245" s="20" t="s">
        <v>687</v>
      </c>
    </row>
    <row r="246" spans="1:15" ht="15.75" customHeight="1">
      <c r="A246" s="10" t="s">
        <v>1778</v>
      </c>
      <c r="B246" s="10" t="s">
        <v>1469</v>
      </c>
      <c r="C246" s="60" t="s">
        <v>1470</v>
      </c>
      <c r="D246" s="13" t="s">
        <v>199</v>
      </c>
      <c r="E246" s="6" t="s">
        <v>199</v>
      </c>
      <c r="F246" s="10" t="s">
        <v>85</v>
      </c>
      <c r="G246" s="17"/>
      <c r="H246" s="17" t="s">
        <v>273</v>
      </c>
      <c r="I246" s="6" t="s">
        <v>274</v>
      </c>
      <c r="J246" s="17" t="s">
        <v>1783</v>
      </c>
      <c r="K246" s="10" t="s">
        <v>85</v>
      </c>
      <c r="L246" s="18" t="str">
        <f t="shared" si="3"/>
        <v>0245</v>
      </c>
      <c r="M246" s="18" t="s">
        <v>38</v>
      </c>
      <c r="N246" s="19" t="s">
        <v>1548</v>
      </c>
      <c r="O246" s="20" t="s">
        <v>687</v>
      </c>
    </row>
    <row r="247" spans="1:15" ht="15.75" customHeight="1">
      <c r="A247" s="10" t="s">
        <v>1784</v>
      </c>
      <c r="B247" s="10" t="s">
        <v>1469</v>
      </c>
      <c r="C247" s="60" t="s">
        <v>1470</v>
      </c>
      <c r="D247" s="13" t="s">
        <v>151</v>
      </c>
      <c r="E247" s="6" t="s">
        <v>293</v>
      </c>
      <c r="F247" s="17" t="s">
        <v>85</v>
      </c>
      <c r="G247" s="17"/>
      <c r="H247" s="17" t="s">
        <v>297</v>
      </c>
      <c r="I247" s="6" t="s">
        <v>298</v>
      </c>
      <c r="J247" s="17" t="s">
        <v>1789</v>
      </c>
      <c r="K247" s="17" t="s">
        <v>85</v>
      </c>
      <c r="L247" s="18" t="str">
        <f t="shared" si="3"/>
        <v>0246</v>
      </c>
      <c r="M247" s="18" t="s">
        <v>38</v>
      </c>
      <c r="N247" s="19" t="s">
        <v>1548</v>
      </c>
      <c r="O247" s="20" t="s">
        <v>687</v>
      </c>
    </row>
    <row r="248" spans="1:15" ht="15.75" customHeight="1">
      <c r="A248" s="10" t="s">
        <v>1790</v>
      </c>
      <c r="B248" s="10" t="s">
        <v>1469</v>
      </c>
      <c r="C248" s="60" t="s">
        <v>1470</v>
      </c>
      <c r="D248" s="13" t="s">
        <v>248</v>
      </c>
      <c r="E248" s="43" t="s">
        <v>248</v>
      </c>
      <c r="F248" s="17" t="s">
        <v>1796</v>
      </c>
      <c r="G248" s="17"/>
      <c r="H248" s="17" t="s">
        <v>978</v>
      </c>
      <c r="I248" s="6" t="s">
        <v>979</v>
      </c>
      <c r="J248" s="46" t="s">
        <v>1795</v>
      </c>
      <c r="K248" s="17" t="s">
        <v>1796</v>
      </c>
      <c r="L248" s="18" t="str">
        <f t="shared" si="3"/>
        <v>0247</v>
      </c>
      <c r="M248" s="18" t="s">
        <v>38</v>
      </c>
      <c r="N248" s="19" t="s">
        <v>1548</v>
      </c>
      <c r="O248" s="20" t="s">
        <v>1736</v>
      </c>
    </row>
    <row r="249" spans="1:15" ht="15.75" customHeight="1">
      <c r="A249" s="10" t="s">
        <v>1797</v>
      </c>
      <c r="B249" s="10" t="s">
        <v>1469</v>
      </c>
      <c r="C249" s="60" t="s">
        <v>1470</v>
      </c>
      <c r="D249" s="13" t="s">
        <v>378</v>
      </c>
      <c r="E249" s="6" t="s">
        <v>1450</v>
      </c>
      <c r="F249" s="156" t="s">
        <v>5842</v>
      </c>
      <c r="G249" s="17"/>
      <c r="H249" s="35" t="s">
        <v>35</v>
      </c>
      <c r="I249" s="6" t="s">
        <v>35</v>
      </c>
      <c r="J249" s="10" t="s">
        <v>36</v>
      </c>
      <c r="K249" s="156" t="s">
        <v>5842</v>
      </c>
      <c r="L249" s="18" t="str">
        <f t="shared" si="3"/>
        <v>0248</v>
      </c>
      <c r="M249" s="18" t="s">
        <v>38</v>
      </c>
      <c r="N249" s="19" t="s">
        <v>1548</v>
      </c>
      <c r="O249" s="20" t="s">
        <v>1597</v>
      </c>
    </row>
    <row r="250" spans="1:15" ht="15.75" customHeight="1">
      <c r="A250" s="10" t="s">
        <v>1801</v>
      </c>
      <c r="B250" s="10" t="s">
        <v>1469</v>
      </c>
      <c r="C250" s="60" t="s">
        <v>1470</v>
      </c>
      <c r="D250" s="13" t="s">
        <v>378</v>
      </c>
      <c r="E250" s="6" t="s">
        <v>878</v>
      </c>
      <c r="F250" s="17" t="s">
        <v>1806</v>
      </c>
      <c r="G250" s="17"/>
      <c r="H250" s="17" t="s">
        <v>35</v>
      </c>
      <c r="I250" s="6" t="s">
        <v>35</v>
      </c>
      <c r="J250" s="17" t="s">
        <v>36</v>
      </c>
      <c r="K250" s="17" t="s">
        <v>1806</v>
      </c>
      <c r="L250" s="18" t="str">
        <f t="shared" si="3"/>
        <v>0249</v>
      </c>
      <c r="M250" s="18" t="s">
        <v>38</v>
      </c>
      <c r="N250" s="19" t="s">
        <v>1548</v>
      </c>
      <c r="O250" s="20" t="s">
        <v>1736</v>
      </c>
    </row>
    <row r="251" spans="1:15" ht="15.75" customHeight="1">
      <c r="A251" s="10" t="s">
        <v>1807</v>
      </c>
      <c r="B251" s="10" t="s">
        <v>1469</v>
      </c>
      <c r="C251" s="60" t="s">
        <v>1470</v>
      </c>
      <c r="D251" s="13" t="s">
        <v>378</v>
      </c>
      <c r="E251" s="6" t="s">
        <v>878</v>
      </c>
      <c r="F251" s="17" t="s">
        <v>1812</v>
      </c>
      <c r="G251" s="17"/>
      <c r="H251" s="17" t="s">
        <v>35</v>
      </c>
      <c r="I251" s="6" t="s">
        <v>35</v>
      </c>
      <c r="J251" s="46" t="s">
        <v>36</v>
      </c>
      <c r="K251" s="17" t="s">
        <v>1812</v>
      </c>
      <c r="L251" s="18" t="str">
        <f t="shared" si="3"/>
        <v>0250</v>
      </c>
      <c r="M251" s="18" t="s">
        <v>38</v>
      </c>
      <c r="N251" s="19" t="s">
        <v>1548</v>
      </c>
      <c r="O251" s="20" t="s">
        <v>687</v>
      </c>
    </row>
    <row r="252" spans="1:15" ht="15.75" customHeight="1">
      <c r="A252" s="10" t="s">
        <v>1813</v>
      </c>
      <c r="B252" s="10" t="s">
        <v>1469</v>
      </c>
      <c r="C252" s="60" t="s">
        <v>1470</v>
      </c>
      <c r="D252" s="13" t="s">
        <v>378</v>
      </c>
      <c r="E252" s="6" t="s">
        <v>878</v>
      </c>
      <c r="F252" s="17" t="s">
        <v>1818</v>
      </c>
      <c r="G252" s="17"/>
      <c r="H252" s="17" t="s">
        <v>35</v>
      </c>
      <c r="I252" s="6" t="s">
        <v>35</v>
      </c>
      <c r="J252" s="46" t="s">
        <v>36</v>
      </c>
      <c r="K252" s="17" t="s">
        <v>1818</v>
      </c>
      <c r="L252" s="18" t="str">
        <f t="shared" si="3"/>
        <v>0251</v>
      </c>
      <c r="M252" s="18" t="s">
        <v>38</v>
      </c>
      <c r="N252" s="19" t="s">
        <v>1548</v>
      </c>
      <c r="O252" s="20" t="s">
        <v>687</v>
      </c>
    </row>
    <row r="253" spans="1:15" ht="15.75" customHeight="1">
      <c r="A253" s="10" t="s">
        <v>1819</v>
      </c>
      <c r="B253" s="10" t="s">
        <v>1469</v>
      </c>
      <c r="C253" s="60" t="s">
        <v>1470</v>
      </c>
      <c r="D253" s="13" t="s">
        <v>378</v>
      </c>
      <c r="E253" s="6" t="s">
        <v>878</v>
      </c>
      <c r="F253" s="17" t="s">
        <v>1824</v>
      </c>
      <c r="G253" s="17"/>
      <c r="H253" s="17" t="s">
        <v>35</v>
      </c>
      <c r="I253" s="6" t="s">
        <v>35</v>
      </c>
      <c r="J253" s="17" t="s">
        <v>36</v>
      </c>
      <c r="K253" s="17" t="s">
        <v>1824</v>
      </c>
      <c r="L253" s="18" t="str">
        <f t="shared" si="3"/>
        <v>0252</v>
      </c>
      <c r="M253" s="18" t="s">
        <v>38</v>
      </c>
      <c r="N253" s="19" t="s">
        <v>1548</v>
      </c>
      <c r="O253" s="20" t="s">
        <v>1549</v>
      </c>
    </row>
    <row r="254" spans="1:15" ht="15.75" customHeight="1">
      <c r="A254" s="10" t="s">
        <v>1825</v>
      </c>
      <c r="B254" s="10" t="s">
        <v>1469</v>
      </c>
      <c r="C254" s="60" t="s">
        <v>1470</v>
      </c>
      <c r="D254" s="13" t="s">
        <v>378</v>
      </c>
      <c r="E254" s="6" t="s">
        <v>878</v>
      </c>
      <c r="F254" s="17" t="s">
        <v>1830</v>
      </c>
      <c r="G254" s="17"/>
      <c r="H254" s="17" t="s">
        <v>35</v>
      </c>
      <c r="I254" s="6" t="s">
        <v>35</v>
      </c>
      <c r="J254" s="17" t="s">
        <v>36</v>
      </c>
      <c r="K254" s="17" t="s">
        <v>1830</v>
      </c>
      <c r="L254" s="18" t="str">
        <f t="shared" si="3"/>
        <v>0253</v>
      </c>
      <c r="M254" s="18" t="s">
        <v>38</v>
      </c>
      <c r="N254" s="19" t="s">
        <v>1548</v>
      </c>
      <c r="O254" s="20" t="s">
        <v>1549</v>
      </c>
    </row>
    <row r="255" spans="1:15" ht="15.75" customHeight="1">
      <c r="A255" s="10" t="s">
        <v>1831</v>
      </c>
      <c r="B255" s="10" t="s">
        <v>1469</v>
      </c>
      <c r="C255" s="60" t="s">
        <v>1470</v>
      </c>
      <c r="D255" s="13" t="s">
        <v>93</v>
      </c>
      <c r="E255" s="6" t="s">
        <v>1739</v>
      </c>
      <c r="F255" s="17" t="s">
        <v>1836</v>
      </c>
      <c r="G255" s="17"/>
      <c r="H255" s="17" t="s">
        <v>35</v>
      </c>
      <c r="I255" s="6" t="s">
        <v>35</v>
      </c>
      <c r="J255" s="17" t="s">
        <v>36</v>
      </c>
      <c r="K255" s="17" t="s">
        <v>1836</v>
      </c>
      <c r="L255" s="18" t="str">
        <f t="shared" si="3"/>
        <v>0254</v>
      </c>
      <c r="M255" s="18" t="s">
        <v>38</v>
      </c>
      <c r="N255" s="19" t="s">
        <v>1548</v>
      </c>
      <c r="O255" s="20" t="s">
        <v>1549</v>
      </c>
    </row>
    <row r="256" spans="1:15" ht="15.75" customHeight="1">
      <c r="A256" s="10" t="s">
        <v>1837</v>
      </c>
      <c r="B256" s="10" t="s">
        <v>1469</v>
      </c>
      <c r="C256" s="60" t="s">
        <v>1470</v>
      </c>
      <c r="D256" s="13" t="s">
        <v>116</v>
      </c>
      <c r="E256" s="6" t="s">
        <v>1730</v>
      </c>
      <c r="F256" s="17" t="s">
        <v>1842</v>
      </c>
      <c r="G256" s="17"/>
      <c r="H256" s="17" t="s">
        <v>35</v>
      </c>
      <c r="I256" s="6" t="s">
        <v>35</v>
      </c>
      <c r="J256" s="17" t="s">
        <v>36</v>
      </c>
      <c r="K256" s="17" t="s">
        <v>1842</v>
      </c>
      <c r="L256" s="18" t="str">
        <f t="shared" si="3"/>
        <v>0255</v>
      </c>
      <c r="M256" s="18" t="s">
        <v>38</v>
      </c>
      <c r="N256" s="19" t="s">
        <v>1548</v>
      </c>
      <c r="O256" s="20" t="s">
        <v>1549</v>
      </c>
    </row>
    <row r="257" spans="1:15" ht="15.75" customHeight="1">
      <c r="A257" s="10" t="s">
        <v>1843</v>
      </c>
      <c r="B257" s="10" t="s">
        <v>1469</v>
      </c>
      <c r="C257" s="60" t="s">
        <v>1470</v>
      </c>
      <c r="D257" s="13" t="s">
        <v>93</v>
      </c>
      <c r="E257" s="43" t="s">
        <v>528</v>
      </c>
      <c r="F257" s="17" t="s">
        <v>1848</v>
      </c>
      <c r="G257" s="17"/>
      <c r="H257" s="17" t="s">
        <v>35</v>
      </c>
      <c r="I257" s="6" t="s">
        <v>35</v>
      </c>
      <c r="J257" s="17" t="s">
        <v>36</v>
      </c>
      <c r="K257" s="17" t="s">
        <v>1848</v>
      </c>
      <c r="L257" s="18" t="str">
        <f t="shared" si="3"/>
        <v>0256</v>
      </c>
      <c r="M257" s="18" t="s">
        <v>38</v>
      </c>
      <c r="N257" s="19" t="s">
        <v>1548</v>
      </c>
      <c r="O257" s="20" t="s">
        <v>1597</v>
      </c>
    </row>
    <row r="258" spans="1:15" ht="15.75" customHeight="1">
      <c r="A258" s="10" t="s">
        <v>1849</v>
      </c>
      <c r="B258" s="10" t="s">
        <v>1469</v>
      </c>
      <c r="C258" s="60" t="s">
        <v>1470</v>
      </c>
      <c r="D258" s="13" t="s">
        <v>43</v>
      </c>
      <c r="E258" s="43" t="s">
        <v>1850</v>
      </c>
      <c r="F258" s="35" t="s">
        <v>7271</v>
      </c>
      <c r="G258" s="17"/>
      <c r="H258" s="17" t="s">
        <v>49</v>
      </c>
      <c r="I258" s="6">
        <v>3352</v>
      </c>
      <c r="J258" s="17" t="s">
        <v>1855</v>
      </c>
      <c r="K258" s="35" t="s">
        <v>7271</v>
      </c>
      <c r="L258" s="18" t="str">
        <f t="shared" ref="L258:L321" si="4">A258</f>
        <v>0257</v>
      </c>
      <c r="M258" s="18" t="s">
        <v>38</v>
      </c>
      <c r="N258" s="19" t="s">
        <v>1548</v>
      </c>
      <c r="O258" s="20" t="s">
        <v>1549</v>
      </c>
    </row>
    <row r="259" spans="1:15" ht="15.75" customHeight="1">
      <c r="A259" s="10" t="s">
        <v>1857</v>
      </c>
      <c r="B259" s="10" t="s">
        <v>1469</v>
      </c>
      <c r="C259" s="60" t="s">
        <v>1470</v>
      </c>
      <c r="D259" s="13" t="s">
        <v>353</v>
      </c>
      <c r="E259" s="43" t="s">
        <v>354</v>
      </c>
      <c r="F259" s="17" t="s">
        <v>1862</v>
      </c>
      <c r="G259" s="17"/>
      <c r="H259" s="17" t="s">
        <v>359</v>
      </c>
      <c r="I259" s="6" t="s">
        <v>360</v>
      </c>
      <c r="J259" s="17" t="s">
        <v>36</v>
      </c>
      <c r="K259" s="17" t="s">
        <v>1862</v>
      </c>
      <c r="L259" s="18" t="str">
        <f t="shared" si="4"/>
        <v>0258</v>
      </c>
      <c r="M259" s="18" t="s">
        <v>38</v>
      </c>
      <c r="N259" s="19" t="s">
        <v>1548</v>
      </c>
      <c r="O259" s="20" t="s">
        <v>1549</v>
      </c>
    </row>
    <row r="260" spans="1:15" ht="15.75" customHeight="1">
      <c r="A260" s="10" t="s">
        <v>1863</v>
      </c>
      <c r="B260" s="10" t="s">
        <v>1469</v>
      </c>
      <c r="C260" s="60" t="s">
        <v>1470</v>
      </c>
      <c r="D260" s="13" t="s">
        <v>199</v>
      </c>
      <c r="E260" s="6" t="s">
        <v>199</v>
      </c>
      <c r="F260" s="17" t="s">
        <v>1869</v>
      </c>
      <c r="G260" s="17"/>
      <c r="H260" s="17" t="s">
        <v>157</v>
      </c>
      <c r="I260" s="6">
        <v>2378</v>
      </c>
      <c r="J260" s="17" t="s">
        <v>1868</v>
      </c>
      <c r="K260" s="17" t="s">
        <v>1869</v>
      </c>
      <c r="L260" s="18" t="str">
        <f t="shared" si="4"/>
        <v>0259</v>
      </c>
      <c r="M260" s="18" t="s">
        <v>38</v>
      </c>
      <c r="N260" s="19" t="s">
        <v>1548</v>
      </c>
      <c r="O260" s="20" t="s">
        <v>1549</v>
      </c>
    </row>
    <row r="261" spans="1:15" ht="15.75" customHeight="1">
      <c r="A261" s="10" t="s">
        <v>1870</v>
      </c>
      <c r="B261" s="10" t="s">
        <v>1469</v>
      </c>
      <c r="C261" s="60" t="s">
        <v>1470</v>
      </c>
      <c r="D261" s="13" t="s">
        <v>151</v>
      </c>
      <c r="E261" s="6" t="s">
        <v>152</v>
      </c>
      <c r="F261" s="17" t="s">
        <v>1878</v>
      </c>
      <c r="G261" s="17"/>
      <c r="H261" s="17" t="s">
        <v>1875</v>
      </c>
      <c r="I261" s="6" t="s">
        <v>1876</v>
      </c>
      <c r="J261" s="17" t="s">
        <v>1877</v>
      </c>
      <c r="K261" s="17" t="s">
        <v>1878</v>
      </c>
      <c r="L261" s="18" t="str">
        <f t="shared" si="4"/>
        <v>0260</v>
      </c>
      <c r="M261" s="18" t="s">
        <v>38</v>
      </c>
      <c r="N261" s="19" t="s">
        <v>1548</v>
      </c>
      <c r="O261" s="20" t="s">
        <v>1549</v>
      </c>
    </row>
    <row r="262" spans="1:15" ht="15.75" customHeight="1">
      <c r="A262" s="10" t="s">
        <v>1879</v>
      </c>
      <c r="B262" s="10" t="s">
        <v>1469</v>
      </c>
      <c r="C262" s="60" t="s">
        <v>1470</v>
      </c>
      <c r="D262" s="13" t="s">
        <v>378</v>
      </c>
      <c r="E262" s="43" t="s">
        <v>379</v>
      </c>
      <c r="F262" s="17" t="s">
        <v>1884</v>
      </c>
      <c r="G262" s="17"/>
      <c r="H262" s="17" t="s">
        <v>35</v>
      </c>
      <c r="I262" s="6" t="s">
        <v>35</v>
      </c>
      <c r="J262" s="46" t="s">
        <v>36</v>
      </c>
      <c r="K262" s="17" t="s">
        <v>1884</v>
      </c>
      <c r="L262" s="18" t="str">
        <f t="shared" si="4"/>
        <v>0261</v>
      </c>
      <c r="M262" s="18" t="s">
        <v>38</v>
      </c>
      <c r="N262" s="19" t="s">
        <v>1548</v>
      </c>
      <c r="O262" s="20" t="s">
        <v>1549</v>
      </c>
    </row>
    <row r="263" spans="1:15" ht="15.75" customHeight="1">
      <c r="A263" s="10" t="s">
        <v>1885</v>
      </c>
      <c r="B263" s="10" t="s">
        <v>1469</v>
      </c>
      <c r="C263" s="60" t="s">
        <v>1470</v>
      </c>
      <c r="D263" s="13" t="s">
        <v>378</v>
      </c>
      <c r="E263" s="6" t="s">
        <v>878</v>
      </c>
      <c r="F263" s="158" t="s">
        <v>1467</v>
      </c>
      <c r="G263" s="17"/>
      <c r="H263" s="17" t="s">
        <v>35</v>
      </c>
      <c r="I263" s="6" t="s">
        <v>35</v>
      </c>
      <c r="J263" s="17" t="s">
        <v>36</v>
      </c>
      <c r="K263" s="158" t="s">
        <v>1467</v>
      </c>
      <c r="L263" s="18" t="str">
        <f t="shared" si="4"/>
        <v>0262</v>
      </c>
      <c r="M263" s="18" t="s">
        <v>38</v>
      </c>
      <c r="N263" s="19" t="s">
        <v>1548</v>
      </c>
      <c r="O263" s="20" t="s">
        <v>1890</v>
      </c>
    </row>
    <row r="264" spans="1:15" ht="15.75" customHeight="1">
      <c r="A264" s="10" t="s">
        <v>1891</v>
      </c>
      <c r="B264" s="10" t="s">
        <v>1469</v>
      </c>
      <c r="C264" s="60" t="s">
        <v>1470</v>
      </c>
      <c r="D264" s="13" t="s">
        <v>378</v>
      </c>
      <c r="E264" s="6" t="s">
        <v>878</v>
      </c>
      <c r="F264" s="158" t="s">
        <v>4392</v>
      </c>
      <c r="G264" s="17"/>
      <c r="H264" s="17" t="s">
        <v>35</v>
      </c>
      <c r="I264" s="6" t="s">
        <v>35</v>
      </c>
      <c r="J264" s="17" t="s">
        <v>36</v>
      </c>
      <c r="K264" s="158" t="s">
        <v>4392</v>
      </c>
      <c r="L264" s="18" t="str">
        <f t="shared" si="4"/>
        <v>0263</v>
      </c>
      <c r="M264" s="18" t="s">
        <v>38</v>
      </c>
      <c r="N264" s="19" t="s">
        <v>1548</v>
      </c>
      <c r="O264" s="22" t="s">
        <v>1890</v>
      </c>
    </row>
    <row r="265" spans="1:15" ht="15.75" customHeight="1">
      <c r="A265" s="10" t="s">
        <v>1896</v>
      </c>
      <c r="B265" s="10" t="s">
        <v>1469</v>
      </c>
      <c r="C265" s="60" t="s">
        <v>1470</v>
      </c>
      <c r="D265" s="13" t="s">
        <v>93</v>
      </c>
      <c r="E265" s="6" t="s">
        <v>1739</v>
      </c>
      <c r="F265" s="17" t="s">
        <v>1901</v>
      </c>
      <c r="G265" s="17"/>
      <c r="H265" s="17" t="s">
        <v>35</v>
      </c>
      <c r="I265" s="6" t="s">
        <v>35</v>
      </c>
      <c r="J265" s="17" t="s">
        <v>36</v>
      </c>
      <c r="K265" s="17" t="s">
        <v>1901</v>
      </c>
      <c r="L265" s="18" t="str">
        <f t="shared" si="4"/>
        <v>0264</v>
      </c>
      <c r="M265" s="18" t="s">
        <v>38</v>
      </c>
      <c r="N265" s="19" t="s">
        <v>1548</v>
      </c>
      <c r="O265" s="22" t="s">
        <v>1890</v>
      </c>
    </row>
    <row r="266" spans="1:15" ht="15.75" customHeight="1">
      <c r="A266" s="10" t="s">
        <v>1902</v>
      </c>
      <c r="B266" s="10" t="s">
        <v>1469</v>
      </c>
      <c r="C266" s="60" t="s">
        <v>1470</v>
      </c>
      <c r="D266" s="13" t="s">
        <v>116</v>
      </c>
      <c r="E266" s="6" t="s">
        <v>1730</v>
      </c>
      <c r="F266" s="17" t="s">
        <v>1907</v>
      </c>
      <c r="G266" s="17"/>
      <c r="H266" s="17" t="s">
        <v>35</v>
      </c>
      <c r="I266" s="6" t="s">
        <v>35</v>
      </c>
      <c r="J266" s="17" t="s">
        <v>36</v>
      </c>
      <c r="K266" s="17" t="s">
        <v>1907</v>
      </c>
      <c r="L266" s="18" t="str">
        <f t="shared" si="4"/>
        <v>0265</v>
      </c>
      <c r="M266" s="18" t="s">
        <v>38</v>
      </c>
      <c r="N266" s="19" t="s">
        <v>1548</v>
      </c>
      <c r="O266" s="22" t="s">
        <v>1890</v>
      </c>
    </row>
    <row r="267" spans="1:15" ht="15.75" customHeight="1">
      <c r="A267" s="10" t="s">
        <v>1908</v>
      </c>
      <c r="B267" s="10" t="s">
        <v>1469</v>
      </c>
      <c r="C267" s="63" t="s">
        <v>28</v>
      </c>
      <c r="D267" s="13" t="s">
        <v>43</v>
      </c>
      <c r="E267" s="6" t="s">
        <v>885</v>
      </c>
      <c r="F267" s="17" t="s">
        <v>1915</v>
      </c>
      <c r="G267" s="17"/>
      <c r="H267" s="17" t="s">
        <v>1913</v>
      </c>
      <c r="I267" s="6" t="s">
        <v>1914</v>
      </c>
      <c r="J267" s="17" t="s">
        <v>36</v>
      </c>
      <c r="K267" s="17" t="s">
        <v>1915</v>
      </c>
      <c r="L267" s="18" t="str">
        <f t="shared" si="4"/>
        <v>0266</v>
      </c>
      <c r="M267" s="18" t="s">
        <v>100</v>
      </c>
      <c r="N267" s="19" t="s">
        <v>147</v>
      </c>
      <c r="O267" s="20" t="s">
        <v>385</v>
      </c>
    </row>
    <row r="268" spans="1:15" ht="15.75" customHeight="1">
      <c r="A268" s="10" t="s">
        <v>1916</v>
      </c>
      <c r="B268" s="10" t="s">
        <v>1469</v>
      </c>
      <c r="C268" s="60" t="s">
        <v>1470</v>
      </c>
      <c r="D268" s="13" t="s">
        <v>162</v>
      </c>
      <c r="E268" s="43" t="s">
        <v>285</v>
      </c>
      <c r="F268" s="17" t="s">
        <v>1922</v>
      </c>
      <c r="G268" s="17"/>
      <c r="H268" s="17" t="s">
        <v>168</v>
      </c>
      <c r="I268" s="6" t="s">
        <v>169</v>
      </c>
      <c r="J268" s="35" t="s">
        <v>7272</v>
      </c>
      <c r="K268" s="17" t="s">
        <v>1922</v>
      </c>
      <c r="L268" s="18" t="str">
        <f t="shared" si="4"/>
        <v>0267</v>
      </c>
      <c r="M268" s="18" t="s">
        <v>38</v>
      </c>
      <c r="N268" s="19" t="s">
        <v>1548</v>
      </c>
      <c r="O268" s="22" t="s">
        <v>1890</v>
      </c>
    </row>
    <row r="269" spans="1:15" ht="15.75" customHeight="1">
      <c r="A269" s="10" t="s">
        <v>1923</v>
      </c>
      <c r="B269" s="10" t="s">
        <v>1469</v>
      </c>
      <c r="C269" s="60" t="s">
        <v>1470</v>
      </c>
      <c r="D269" s="13" t="s">
        <v>151</v>
      </c>
      <c r="E269" s="6" t="s">
        <v>698</v>
      </c>
      <c r="F269" s="17" t="s">
        <v>1929</v>
      </c>
      <c r="G269" s="17"/>
      <c r="H269" s="17" t="s">
        <v>297</v>
      </c>
      <c r="I269" s="6" t="s">
        <v>1131</v>
      </c>
      <c r="J269" s="17" t="s">
        <v>1928</v>
      </c>
      <c r="K269" s="17" t="s">
        <v>1929</v>
      </c>
      <c r="L269" s="18" t="str">
        <f t="shared" si="4"/>
        <v>0268</v>
      </c>
      <c r="M269" s="18" t="s">
        <v>38</v>
      </c>
      <c r="N269" s="19" t="s">
        <v>1548</v>
      </c>
      <c r="O269" s="22" t="s">
        <v>1890</v>
      </c>
    </row>
    <row r="270" spans="1:15" ht="15.75" customHeight="1">
      <c r="A270" s="10" t="s">
        <v>1930</v>
      </c>
      <c r="B270" s="10" t="s">
        <v>1469</v>
      </c>
      <c r="C270" s="60" t="s">
        <v>1470</v>
      </c>
      <c r="D270" s="13" t="s">
        <v>151</v>
      </c>
      <c r="E270" s="6" t="s">
        <v>152</v>
      </c>
      <c r="F270" s="17" t="s">
        <v>1935</v>
      </c>
      <c r="G270" s="17"/>
      <c r="H270" s="17" t="s">
        <v>1220</v>
      </c>
      <c r="I270" s="6" t="s">
        <v>720</v>
      </c>
      <c r="J270" s="17" t="s">
        <v>1934</v>
      </c>
      <c r="K270" s="17" t="s">
        <v>1935</v>
      </c>
      <c r="L270" s="18" t="str">
        <f t="shared" si="4"/>
        <v>0269</v>
      </c>
      <c r="M270" s="18" t="s">
        <v>38</v>
      </c>
      <c r="N270" s="19" t="s">
        <v>1548</v>
      </c>
      <c r="O270" s="22" t="s">
        <v>1890</v>
      </c>
    </row>
    <row r="271" spans="1:15" ht="15.75" customHeight="1">
      <c r="A271" s="10" t="s">
        <v>1936</v>
      </c>
      <c r="B271" s="10" t="s">
        <v>1469</v>
      </c>
      <c r="C271" s="60" t="s">
        <v>1470</v>
      </c>
      <c r="D271" s="13" t="s">
        <v>199</v>
      </c>
      <c r="E271" s="6" t="s">
        <v>199</v>
      </c>
      <c r="F271" s="17" t="s">
        <v>1942</v>
      </c>
      <c r="G271" s="17"/>
      <c r="H271" s="17" t="s">
        <v>205</v>
      </c>
      <c r="I271" s="6" t="s">
        <v>993</v>
      </c>
      <c r="J271" s="17" t="s">
        <v>1941</v>
      </c>
      <c r="K271" s="17" t="s">
        <v>1942</v>
      </c>
      <c r="L271" s="18" t="str">
        <f t="shared" si="4"/>
        <v>0270</v>
      </c>
      <c r="M271" s="18" t="s">
        <v>38</v>
      </c>
      <c r="N271" s="19" t="s">
        <v>1548</v>
      </c>
      <c r="O271" s="22" t="s">
        <v>1890</v>
      </c>
    </row>
    <row r="272" spans="1:15" ht="15.75" customHeight="1">
      <c r="A272" s="10" t="s">
        <v>1943</v>
      </c>
      <c r="B272" s="10" t="s">
        <v>1469</v>
      </c>
      <c r="C272" s="60" t="s">
        <v>1470</v>
      </c>
      <c r="D272" s="13" t="s">
        <v>1240</v>
      </c>
      <c r="E272" s="43" t="s">
        <v>278</v>
      </c>
      <c r="F272" s="17" t="s">
        <v>1948</v>
      </c>
      <c r="G272" s="17"/>
      <c r="H272" s="17" t="s">
        <v>35</v>
      </c>
      <c r="I272" s="6" t="s">
        <v>35</v>
      </c>
      <c r="J272" s="17" t="s">
        <v>36</v>
      </c>
      <c r="K272" s="17" t="s">
        <v>1948</v>
      </c>
      <c r="L272" s="18" t="str">
        <f t="shared" si="4"/>
        <v>0271</v>
      </c>
      <c r="M272" s="18" t="s">
        <v>38</v>
      </c>
      <c r="N272" s="19" t="s">
        <v>1548</v>
      </c>
      <c r="O272" s="22" t="s">
        <v>1890</v>
      </c>
    </row>
    <row r="273" spans="1:15" ht="15.75" customHeight="1">
      <c r="A273" s="10" t="s">
        <v>1949</v>
      </c>
      <c r="B273" s="10" t="s">
        <v>1469</v>
      </c>
      <c r="C273" s="60" t="s">
        <v>1470</v>
      </c>
      <c r="D273" s="13" t="s">
        <v>248</v>
      </c>
      <c r="E273" s="43" t="s">
        <v>249</v>
      </c>
      <c r="F273" s="17" t="s">
        <v>1956</v>
      </c>
      <c r="G273" s="17"/>
      <c r="H273" s="17" t="s">
        <v>250</v>
      </c>
      <c r="I273" s="6" t="s">
        <v>1954</v>
      </c>
      <c r="J273" s="17" t="s">
        <v>1955</v>
      </c>
      <c r="K273" s="17" t="s">
        <v>1956</v>
      </c>
      <c r="L273" s="18" t="str">
        <f t="shared" si="4"/>
        <v>0272</v>
      </c>
      <c r="M273" s="18" t="s">
        <v>38</v>
      </c>
      <c r="N273" s="19" t="s">
        <v>1548</v>
      </c>
      <c r="O273" s="22" t="s">
        <v>1890</v>
      </c>
    </row>
    <row r="274" spans="1:15" ht="15.75" customHeight="1">
      <c r="A274" s="10" t="s">
        <v>1957</v>
      </c>
      <c r="B274" s="10" t="s">
        <v>1469</v>
      </c>
      <c r="C274" s="63" t="s">
        <v>28</v>
      </c>
      <c r="D274" s="13" t="s">
        <v>378</v>
      </c>
      <c r="E274" s="43" t="s">
        <v>1958</v>
      </c>
      <c r="F274" s="17" t="s">
        <v>1963</v>
      </c>
      <c r="G274" s="17"/>
      <c r="H274" s="17" t="s">
        <v>35</v>
      </c>
      <c r="I274" s="6" t="s">
        <v>35</v>
      </c>
      <c r="J274" s="17" t="s">
        <v>36</v>
      </c>
      <c r="K274" s="17" t="s">
        <v>1963</v>
      </c>
      <c r="L274" s="18" t="str">
        <f t="shared" si="4"/>
        <v>0273</v>
      </c>
      <c r="M274" s="18" t="s">
        <v>100</v>
      </c>
      <c r="N274" s="19" t="s">
        <v>147</v>
      </c>
      <c r="O274" s="20" t="s">
        <v>385</v>
      </c>
    </row>
    <row r="275" spans="1:15" ht="15.75" customHeight="1">
      <c r="A275" s="10" t="s">
        <v>1964</v>
      </c>
      <c r="B275" s="10" t="s">
        <v>1469</v>
      </c>
      <c r="C275" s="63" t="s">
        <v>28</v>
      </c>
      <c r="D275" s="13" t="s">
        <v>184</v>
      </c>
      <c r="E275" s="43" t="s">
        <v>927</v>
      </c>
      <c r="F275" s="17" t="s">
        <v>1969</v>
      </c>
      <c r="G275" s="17"/>
      <c r="H275" s="43" t="s">
        <v>35</v>
      </c>
      <c r="I275" s="6" t="s">
        <v>35</v>
      </c>
      <c r="J275" s="46" t="s">
        <v>36</v>
      </c>
      <c r="K275" s="17" t="s">
        <v>1969</v>
      </c>
      <c r="L275" s="18" t="str">
        <f t="shared" si="4"/>
        <v>0274</v>
      </c>
      <c r="M275" s="18" t="s">
        <v>100</v>
      </c>
      <c r="N275" s="19" t="s">
        <v>147</v>
      </c>
      <c r="O275" s="20" t="s">
        <v>385</v>
      </c>
    </row>
    <row r="276" spans="1:15" ht="15.75" customHeight="1">
      <c r="A276" s="10" t="s">
        <v>1970</v>
      </c>
      <c r="B276" s="10" t="s">
        <v>1469</v>
      </c>
      <c r="C276" s="60" t="s">
        <v>1470</v>
      </c>
      <c r="D276" s="13" t="s">
        <v>210</v>
      </c>
      <c r="E276" s="6" t="s">
        <v>210</v>
      </c>
      <c r="F276" s="10" t="s">
        <v>1975</v>
      </c>
      <c r="G276" s="17"/>
      <c r="H276" s="17" t="s">
        <v>216</v>
      </c>
      <c r="I276" s="6" t="s">
        <v>1974</v>
      </c>
      <c r="J276" s="6" t="s">
        <v>36</v>
      </c>
      <c r="K276" s="10" t="s">
        <v>1975</v>
      </c>
      <c r="L276" s="18" t="str">
        <f t="shared" si="4"/>
        <v>0275</v>
      </c>
      <c r="M276" s="18" t="s">
        <v>38</v>
      </c>
      <c r="N276" s="19" t="s">
        <v>1548</v>
      </c>
      <c r="O276" s="20" t="s">
        <v>1597</v>
      </c>
    </row>
    <row r="277" spans="1:15" ht="15.75" customHeight="1">
      <c r="A277" s="10" t="s">
        <v>1976</v>
      </c>
      <c r="B277" s="10" t="s">
        <v>27</v>
      </c>
      <c r="C277" s="60" t="s">
        <v>1470</v>
      </c>
      <c r="D277" s="13" t="s">
        <v>501</v>
      </c>
      <c r="E277" s="6" t="s">
        <v>1977</v>
      </c>
      <c r="F277" s="35" t="s">
        <v>1982</v>
      </c>
      <c r="G277" s="17"/>
      <c r="H277" s="17" t="s">
        <v>35</v>
      </c>
      <c r="I277" s="6" t="s">
        <v>35</v>
      </c>
      <c r="J277" s="17" t="s">
        <v>36</v>
      </c>
      <c r="K277" s="35" t="s">
        <v>1982</v>
      </c>
      <c r="L277" s="18" t="str">
        <f t="shared" si="4"/>
        <v>0276</v>
      </c>
      <c r="M277" s="18" t="s">
        <v>38</v>
      </c>
      <c r="N277" s="19" t="s">
        <v>1548</v>
      </c>
      <c r="O277" s="22" t="s">
        <v>1983</v>
      </c>
    </row>
    <row r="278" spans="1:15" ht="15.75" customHeight="1">
      <c r="A278" s="10" t="s">
        <v>1984</v>
      </c>
      <c r="B278" s="10" t="s">
        <v>27</v>
      </c>
      <c r="C278" s="60" t="s">
        <v>1470</v>
      </c>
      <c r="D278" s="13" t="s">
        <v>43</v>
      </c>
      <c r="E278" s="6" t="s">
        <v>1688</v>
      </c>
      <c r="F278" s="10" t="s">
        <v>1990</v>
      </c>
      <c r="G278" s="17"/>
      <c r="H278" s="17" t="s">
        <v>49</v>
      </c>
      <c r="I278" s="6" t="s">
        <v>1989</v>
      </c>
      <c r="J278" s="17" t="s">
        <v>36</v>
      </c>
      <c r="K278" s="10" t="s">
        <v>1990</v>
      </c>
      <c r="L278" s="18" t="str">
        <f t="shared" si="4"/>
        <v>0277</v>
      </c>
      <c r="M278" s="18" t="s">
        <v>100</v>
      </c>
      <c r="N278" s="19" t="s">
        <v>1548</v>
      </c>
      <c r="O278" s="22" t="s">
        <v>1983</v>
      </c>
    </row>
    <row r="279" spans="1:15" ht="15.75" customHeight="1">
      <c r="A279" s="10" t="s">
        <v>1991</v>
      </c>
      <c r="B279" s="10" t="s">
        <v>27</v>
      </c>
      <c r="C279" s="60" t="s">
        <v>1470</v>
      </c>
      <c r="D279" s="13" t="s">
        <v>184</v>
      </c>
      <c r="E279" s="6" t="s">
        <v>1992</v>
      </c>
      <c r="F279" s="35" t="s">
        <v>1997</v>
      </c>
      <c r="G279" s="17"/>
      <c r="H279" s="17" t="s">
        <v>35</v>
      </c>
      <c r="I279" s="6" t="s">
        <v>35</v>
      </c>
      <c r="J279" s="17" t="s">
        <v>36</v>
      </c>
      <c r="K279" s="35" t="s">
        <v>1997</v>
      </c>
      <c r="L279" s="18" t="str">
        <f t="shared" si="4"/>
        <v>0278</v>
      </c>
      <c r="M279" s="18" t="s">
        <v>38</v>
      </c>
      <c r="N279" s="19" t="s">
        <v>1548</v>
      </c>
      <c r="O279" s="22" t="s">
        <v>1983</v>
      </c>
    </row>
    <row r="280" spans="1:15" ht="15.75" customHeight="1">
      <c r="A280" s="10" t="s">
        <v>1998</v>
      </c>
      <c r="B280" s="10" t="s">
        <v>27</v>
      </c>
      <c r="C280" s="60" t="s">
        <v>1470</v>
      </c>
      <c r="D280" s="13" t="s">
        <v>116</v>
      </c>
      <c r="E280" s="6" t="s">
        <v>599</v>
      </c>
      <c r="F280" s="35" t="s">
        <v>2003</v>
      </c>
      <c r="G280" s="17"/>
      <c r="H280" s="17" t="s">
        <v>35</v>
      </c>
      <c r="I280" s="6" t="s">
        <v>35</v>
      </c>
      <c r="J280" s="17" t="s">
        <v>36</v>
      </c>
      <c r="K280" s="35" t="s">
        <v>2003</v>
      </c>
      <c r="L280" s="18" t="str">
        <f t="shared" si="4"/>
        <v>0279</v>
      </c>
      <c r="M280" s="18" t="s">
        <v>38</v>
      </c>
      <c r="N280" s="19" t="s">
        <v>1548</v>
      </c>
      <c r="O280" s="22" t="s">
        <v>1983</v>
      </c>
    </row>
    <row r="281" spans="1:15" ht="15.75" customHeight="1">
      <c r="A281" s="10" t="s">
        <v>2004</v>
      </c>
      <c r="B281" s="10" t="s">
        <v>27</v>
      </c>
      <c r="C281" s="60" t="s">
        <v>1470</v>
      </c>
      <c r="D281" s="13" t="s">
        <v>199</v>
      </c>
      <c r="E281" s="6" t="s">
        <v>199</v>
      </c>
      <c r="F281" s="35" t="s">
        <v>1401</v>
      </c>
      <c r="G281" s="17"/>
      <c r="H281" s="17" t="s">
        <v>297</v>
      </c>
      <c r="I281" s="6" t="s">
        <v>2009</v>
      </c>
      <c r="J281" s="17" t="s">
        <v>7273</v>
      </c>
      <c r="K281" s="35" t="s">
        <v>1401</v>
      </c>
      <c r="L281" s="18" t="str">
        <f t="shared" si="4"/>
        <v>0280</v>
      </c>
      <c r="M281" s="18" t="s">
        <v>517</v>
      </c>
      <c r="N281" s="19" t="s">
        <v>1548</v>
      </c>
      <c r="O281" s="22" t="s">
        <v>1983</v>
      </c>
    </row>
    <row r="282" spans="1:15" ht="15.75" customHeight="1">
      <c r="A282" s="10" t="s">
        <v>2012</v>
      </c>
      <c r="B282" s="10" t="s">
        <v>27</v>
      </c>
      <c r="C282" s="60" t="s">
        <v>1470</v>
      </c>
      <c r="D282" s="13" t="s">
        <v>151</v>
      </c>
      <c r="E282" s="6" t="s">
        <v>152</v>
      </c>
      <c r="F282" s="35" t="s">
        <v>2018</v>
      </c>
      <c r="G282" s="17"/>
      <c r="H282" s="17" t="s">
        <v>1220</v>
      </c>
      <c r="I282" s="6" t="s">
        <v>720</v>
      </c>
      <c r="J282" s="17" t="s">
        <v>2017</v>
      </c>
      <c r="K282" s="35" t="s">
        <v>2018</v>
      </c>
      <c r="L282" s="18" t="str">
        <f t="shared" si="4"/>
        <v>0281</v>
      </c>
      <c r="M282" s="18" t="s">
        <v>38</v>
      </c>
      <c r="N282" s="19" t="s">
        <v>1548</v>
      </c>
      <c r="O282" s="22" t="s">
        <v>1983</v>
      </c>
    </row>
    <row r="283" spans="1:15" ht="15.75" customHeight="1">
      <c r="A283" s="10" t="s">
        <v>2019</v>
      </c>
      <c r="B283" s="10" t="s">
        <v>27</v>
      </c>
      <c r="C283" s="60" t="s">
        <v>1470</v>
      </c>
      <c r="D283" s="13" t="s">
        <v>248</v>
      </c>
      <c r="E283" s="6" t="s">
        <v>248</v>
      </c>
      <c r="F283" s="32" t="s">
        <v>2024</v>
      </c>
      <c r="G283" s="17"/>
      <c r="H283" s="17" t="s">
        <v>2022</v>
      </c>
      <c r="I283" s="6" t="s">
        <v>35</v>
      </c>
      <c r="J283" s="6" t="s">
        <v>2023</v>
      </c>
      <c r="K283" s="32" t="s">
        <v>2024</v>
      </c>
      <c r="L283" s="18" t="str">
        <f t="shared" si="4"/>
        <v>0282</v>
      </c>
      <c r="M283" s="18" t="s">
        <v>100</v>
      </c>
      <c r="N283" s="19" t="s">
        <v>1548</v>
      </c>
      <c r="O283" s="22" t="s">
        <v>1983</v>
      </c>
    </row>
    <row r="284" spans="1:15" ht="15.75" customHeight="1">
      <c r="A284" s="10" t="s">
        <v>2025</v>
      </c>
      <c r="B284" s="10" t="s">
        <v>27</v>
      </c>
      <c r="C284" s="60" t="s">
        <v>1470</v>
      </c>
      <c r="D284" s="13" t="s">
        <v>53</v>
      </c>
      <c r="E284" s="6" t="s">
        <v>2026</v>
      </c>
      <c r="F284" s="155" t="s">
        <v>7274</v>
      </c>
      <c r="G284" s="17"/>
      <c r="H284" s="17" t="s">
        <v>35</v>
      </c>
      <c r="I284" s="6" t="s">
        <v>35</v>
      </c>
      <c r="J284" s="6" t="s">
        <v>36</v>
      </c>
      <c r="K284" s="155" t="s">
        <v>7274</v>
      </c>
      <c r="L284" s="18" t="str">
        <f t="shared" si="4"/>
        <v>0283</v>
      </c>
      <c r="M284" s="18" t="s">
        <v>38</v>
      </c>
      <c r="N284" s="19" t="s">
        <v>1548</v>
      </c>
      <c r="O284" s="22" t="s">
        <v>1983</v>
      </c>
    </row>
    <row r="285" spans="1:15" ht="15.75" customHeight="1">
      <c r="A285" s="10" t="s">
        <v>2029</v>
      </c>
      <c r="B285" s="10" t="s">
        <v>27</v>
      </c>
      <c r="C285" s="60" t="s">
        <v>1470</v>
      </c>
      <c r="D285" s="13" t="s">
        <v>2030</v>
      </c>
      <c r="E285" s="6" t="s">
        <v>2030</v>
      </c>
      <c r="F285" s="10" t="s">
        <v>85</v>
      </c>
      <c r="G285" s="17"/>
      <c r="H285" s="17" t="s">
        <v>2033</v>
      </c>
      <c r="I285" s="6" t="s">
        <v>2034</v>
      </c>
      <c r="J285" s="6" t="s">
        <v>36</v>
      </c>
      <c r="K285" s="10" t="s">
        <v>85</v>
      </c>
      <c r="L285" s="18" t="str">
        <f t="shared" si="4"/>
        <v>0284</v>
      </c>
      <c r="M285" s="18" t="s">
        <v>38</v>
      </c>
      <c r="N285" s="19" t="s">
        <v>1548</v>
      </c>
      <c r="O285" s="22" t="s">
        <v>1983</v>
      </c>
    </row>
    <row r="286" spans="1:15" ht="15.75" customHeight="1">
      <c r="A286" s="10" t="s">
        <v>2035</v>
      </c>
      <c r="B286" s="10" t="s">
        <v>27</v>
      </c>
      <c r="C286" s="60" t="s">
        <v>1470</v>
      </c>
      <c r="D286" s="13" t="s">
        <v>321</v>
      </c>
      <c r="E286" s="6" t="s">
        <v>322</v>
      </c>
      <c r="F286" s="32" t="s">
        <v>85</v>
      </c>
      <c r="G286" s="17"/>
      <c r="H286" s="35" t="s">
        <v>2038</v>
      </c>
      <c r="I286" s="6">
        <v>29965</v>
      </c>
      <c r="J286" s="6" t="s">
        <v>36</v>
      </c>
      <c r="K286" s="32" t="s">
        <v>85</v>
      </c>
      <c r="L286" s="18" t="str">
        <f t="shared" si="4"/>
        <v>0285</v>
      </c>
      <c r="M286" s="18" t="s">
        <v>38</v>
      </c>
      <c r="N286" s="19" t="s">
        <v>1548</v>
      </c>
      <c r="O286" s="32" t="s">
        <v>1983</v>
      </c>
    </row>
    <row r="287" spans="1:15" ht="15.75" customHeight="1">
      <c r="A287" s="10" t="s">
        <v>2039</v>
      </c>
      <c r="B287" s="10" t="s">
        <v>27</v>
      </c>
      <c r="C287" s="60" t="s">
        <v>1470</v>
      </c>
      <c r="D287" s="13" t="s">
        <v>378</v>
      </c>
      <c r="E287" s="43" t="s">
        <v>2040</v>
      </c>
      <c r="F287" s="158" t="s">
        <v>7275</v>
      </c>
      <c r="G287" s="17"/>
      <c r="H287" s="17" t="s">
        <v>35</v>
      </c>
      <c r="I287" s="6" t="s">
        <v>35</v>
      </c>
      <c r="J287" s="46" t="s">
        <v>36</v>
      </c>
      <c r="K287" s="158" t="s">
        <v>7275</v>
      </c>
      <c r="L287" s="18" t="str">
        <f t="shared" si="4"/>
        <v>0286</v>
      </c>
      <c r="M287" s="18" t="s">
        <v>38</v>
      </c>
      <c r="N287" s="19" t="s">
        <v>1548</v>
      </c>
      <c r="O287" s="32" t="s">
        <v>1983</v>
      </c>
    </row>
    <row r="288" spans="1:15" ht="15.75" customHeight="1">
      <c r="A288" s="10" t="s">
        <v>2045</v>
      </c>
      <c r="B288" s="10" t="s">
        <v>27</v>
      </c>
      <c r="C288" s="60" t="s">
        <v>1470</v>
      </c>
      <c r="D288" s="13" t="s">
        <v>501</v>
      </c>
      <c r="E288" s="6" t="s">
        <v>2046</v>
      </c>
      <c r="F288" s="17" t="s">
        <v>2051</v>
      </c>
      <c r="G288" s="17"/>
      <c r="H288" s="17" t="s">
        <v>35</v>
      </c>
      <c r="I288" s="6" t="s">
        <v>35</v>
      </c>
      <c r="J288" s="17" t="s">
        <v>36</v>
      </c>
      <c r="K288" s="17" t="s">
        <v>2051</v>
      </c>
      <c r="L288" s="18" t="str">
        <f t="shared" si="4"/>
        <v>0287</v>
      </c>
      <c r="M288" s="18" t="s">
        <v>38</v>
      </c>
      <c r="N288" s="19" t="s">
        <v>1548</v>
      </c>
      <c r="O288" s="20" t="s">
        <v>2052</v>
      </c>
    </row>
    <row r="289" spans="1:15" ht="15.75" customHeight="1">
      <c r="A289" s="10" t="s">
        <v>2053</v>
      </c>
      <c r="B289" s="10" t="s">
        <v>27</v>
      </c>
      <c r="C289" s="60" t="s">
        <v>1470</v>
      </c>
      <c r="D289" s="13" t="s">
        <v>501</v>
      </c>
      <c r="E289" s="6" t="s">
        <v>2046</v>
      </c>
      <c r="F289" s="17" t="s">
        <v>2058</v>
      </c>
      <c r="G289" s="17"/>
      <c r="H289" s="17" t="s">
        <v>35</v>
      </c>
      <c r="I289" s="6" t="s">
        <v>35</v>
      </c>
      <c r="J289" s="17" t="s">
        <v>36</v>
      </c>
      <c r="K289" s="17" t="s">
        <v>2058</v>
      </c>
      <c r="L289" s="18" t="str">
        <f t="shared" si="4"/>
        <v>0288</v>
      </c>
      <c r="M289" s="18" t="s">
        <v>38</v>
      </c>
      <c r="N289" s="19" t="s">
        <v>1548</v>
      </c>
      <c r="O289" s="20" t="s">
        <v>2052</v>
      </c>
    </row>
    <row r="290" spans="1:15" ht="15.75" customHeight="1">
      <c r="A290" s="10" t="s">
        <v>2059</v>
      </c>
      <c r="B290" s="10" t="s">
        <v>27</v>
      </c>
      <c r="C290" s="60" t="s">
        <v>1470</v>
      </c>
      <c r="D290" s="13" t="s">
        <v>2060</v>
      </c>
      <c r="E290" s="6" t="s">
        <v>2061</v>
      </c>
      <c r="F290" s="17" t="s">
        <v>2066</v>
      </c>
      <c r="G290" s="17"/>
      <c r="H290" s="17" t="s">
        <v>35</v>
      </c>
      <c r="I290" s="6" t="s">
        <v>35</v>
      </c>
      <c r="J290" s="35" t="s">
        <v>36</v>
      </c>
      <c r="K290" s="17" t="s">
        <v>2066</v>
      </c>
      <c r="L290" s="18" t="str">
        <f t="shared" si="4"/>
        <v>0289</v>
      </c>
      <c r="M290" s="18" t="s">
        <v>38</v>
      </c>
      <c r="N290" s="19" t="s">
        <v>1548</v>
      </c>
      <c r="O290" s="20" t="s">
        <v>2052</v>
      </c>
    </row>
    <row r="291" spans="1:15" ht="15.75" customHeight="1">
      <c r="A291" s="10" t="s">
        <v>2067</v>
      </c>
      <c r="B291" s="10" t="s">
        <v>27</v>
      </c>
      <c r="C291" s="60" t="s">
        <v>1470</v>
      </c>
      <c r="D291" s="13" t="s">
        <v>2060</v>
      </c>
      <c r="E291" s="6" t="s">
        <v>2061</v>
      </c>
      <c r="F291" s="17" t="s">
        <v>2072</v>
      </c>
      <c r="G291" s="17"/>
      <c r="H291" s="17" t="s">
        <v>35</v>
      </c>
      <c r="I291" s="6" t="s">
        <v>35</v>
      </c>
      <c r="J291" s="17" t="s">
        <v>36</v>
      </c>
      <c r="K291" s="17" t="s">
        <v>2072</v>
      </c>
      <c r="L291" s="18" t="str">
        <f t="shared" si="4"/>
        <v>0290</v>
      </c>
      <c r="M291" s="18" t="s">
        <v>38</v>
      </c>
      <c r="N291" s="19" t="s">
        <v>1548</v>
      </c>
      <c r="O291" s="20" t="s">
        <v>2052</v>
      </c>
    </row>
    <row r="292" spans="1:15" ht="15.75" customHeight="1">
      <c r="A292" s="10" t="s">
        <v>2073</v>
      </c>
      <c r="B292" s="10" t="s">
        <v>27</v>
      </c>
      <c r="C292" s="60" t="s">
        <v>1470</v>
      </c>
      <c r="D292" s="13" t="s">
        <v>501</v>
      </c>
      <c r="E292" s="6" t="s">
        <v>2046</v>
      </c>
      <c r="F292" s="17" t="s">
        <v>2078</v>
      </c>
      <c r="G292" s="17"/>
      <c r="H292" s="17" t="s">
        <v>35</v>
      </c>
      <c r="I292" s="6" t="s">
        <v>35</v>
      </c>
      <c r="J292" s="17" t="s">
        <v>36</v>
      </c>
      <c r="K292" s="17" t="s">
        <v>2078</v>
      </c>
      <c r="L292" s="18" t="str">
        <f t="shared" si="4"/>
        <v>0291</v>
      </c>
      <c r="M292" s="18" t="s">
        <v>38</v>
      </c>
      <c r="N292" s="19" t="s">
        <v>1548</v>
      </c>
      <c r="O292" s="20" t="s">
        <v>2052</v>
      </c>
    </row>
    <row r="293" spans="1:15" ht="15.75" customHeight="1">
      <c r="A293" s="10" t="s">
        <v>2079</v>
      </c>
      <c r="B293" s="10" t="s">
        <v>27</v>
      </c>
      <c r="C293" s="60" t="s">
        <v>1470</v>
      </c>
      <c r="D293" s="13" t="s">
        <v>2060</v>
      </c>
      <c r="E293" s="6" t="s">
        <v>2061</v>
      </c>
      <c r="F293" s="17" t="s">
        <v>2084</v>
      </c>
      <c r="G293" s="17"/>
      <c r="H293" s="17" t="s">
        <v>35</v>
      </c>
      <c r="I293" s="6" t="s">
        <v>35</v>
      </c>
      <c r="J293" s="17" t="s">
        <v>36</v>
      </c>
      <c r="K293" s="17" t="s">
        <v>2084</v>
      </c>
      <c r="L293" s="18" t="str">
        <f t="shared" si="4"/>
        <v>0292</v>
      </c>
      <c r="M293" s="18" t="s">
        <v>38</v>
      </c>
      <c r="N293" s="19" t="s">
        <v>1548</v>
      </c>
      <c r="O293" s="20" t="s">
        <v>2052</v>
      </c>
    </row>
    <row r="294" spans="1:15" ht="15.75" customHeight="1">
      <c r="A294" s="10" t="s">
        <v>2085</v>
      </c>
      <c r="B294" s="10" t="s">
        <v>27</v>
      </c>
      <c r="C294" s="60" t="s">
        <v>1470</v>
      </c>
      <c r="D294" s="13" t="s">
        <v>2060</v>
      </c>
      <c r="E294" s="6" t="s">
        <v>2061</v>
      </c>
      <c r="F294" s="17" t="s">
        <v>2090</v>
      </c>
      <c r="G294" s="17"/>
      <c r="H294" s="17" t="s">
        <v>35</v>
      </c>
      <c r="I294" s="6" t="s">
        <v>35</v>
      </c>
      <c r="J294" s="17" t="s">
        <v>36</v>
      </c>
      <c r="K294" s="17" t="s">
        <v>2090</v>
      </c>
      <c r="L294" s="18" t="str">
        <f t="shared" si="4"/>
        <v>0293</v>
      </c>
      <c r="M294" s="18" t="s">
        <v>38</v>
      </c>
      <c r="N294" s="19" t="s">
        <v>1548</v>
      </c>
      <c r="O294" s="20" t="s">
        <v>2052</v>
      </c>
    </row>
    <row r="295" spans="1:15" ht="15.75" customHeight="1">
      <c r="A295" s="10" t="s">
        <v>2091</v>
      </c>
      <c r="B295" s="10" t="s">
        <v>27</v>
      </c>
      <c r="C295" s="60" t="s">
        <v>1470</v>
      </c>
      <c r="D295" s="13" t="s">
        <v>501</v>
      </c>
      <c r="E295" s="6" t="s">
        <v>2092</v>
      </c>
      <c r="F295" s="17" t="s">
        <v>2097</v>
      </c>
      <c r="G295" s="17"/>
      <c r="H295" s="17" t="s">
        <v>35</v>
      </c>
      <c r="I295" s="6" t="s">
        <v>35</v>
      </c>
      <c r="J295" s="17" t="s">
        <v>36</v>
      </c>
      <c r="K295" s="17" t="s">
        <v>2097</v>
      </c>
      <c r="L295" s="18" t="str">
        <f t="shared" si="4"/>
        <v>0294</v>
      </c>
      <c r="M295" s="18" t="s">
        <v>38</v>
      </c>
      <c r="N295" s="19" t="s">
        <v>1548</v>
      </c>
      <c r="O295" s="20" t="s">
        <v>2052</v>
      </c>
    </row>
    <row r="296" spans="1:15" ht="15.75" customHeight="1">
      <c r="A296" s="10" t="s">
        <v>2098</v>
      </c>
      <c r="B296" s="10" t="s">
        <v>27</v>
      </c>
      <c r="C296" s="60" t="s">
        <v>1470</v>
      </c>
      <c r="D296" s="13" t="s">
        <v>501</v>
      </c>
      <c r="E296" s="6" t="s">
        <v>2046</v>
      </c>
      <c r="F296" s="17" t="s">
        <v>2103</v>
      </c>
      <c r="G296" s="17"/>
      <c r="H296" s="17" t="s">
        <v>35</v>
      </c>
      <c r="I296" s="6" t="s">
        <v>35</v>
      </c>
      <c r="J296" s="17" t="s">
        <v>36</v>
      </c>
      <c r="K296" s="17" t="s">
        <v>2103</v>
      </c>
      <c r="L296" s="18" t="str">
        <f t="shared" si="4"/>
        <v>0295</v>
      </c>
      <c r="M296" s="18" t="s">
        <v>38</v>
      </c>
      <c r="N296" s="28" t="s">
        <v>1548</v>
      </c>
      <c r="O296" s="20" t="s">
        <v>2052</v>
      </c>
    </row>
    <row r="297" spans="1:15" ht="15.75" customHeight="1">
      <c r="A297" s="10" t="s">
        <v>2104</v>
      </c>
      <c r="B297" s="10" t="s">
        <v>27</v>
      </c>
      <c r="C297" s="60" t="s">
        <v>1470</v>
      </c>
      <c r="D297" s="13" t="s">
        <v>2060</v>
      </c>
      <c r="E297" s="6" t="s">
        <v>2061</v>
      </c>
      <c r="F297" s="17" t="s">
        <v>2109</v>
      </c>
      <c r="G297" s="17"/>
      <c r="H297" s="17" t="s">
        <v>35</v>
      </c>
      <c r="I297" s="6" t="s">
        <v>35</v>
      </c>
      <c r="J297" s="17" t="s">
        <v>36</v>
      </c>
      <c r="K297" s="17" t="s">
        <v>2109</v>
      </c>
      <c r="L297" s="18" t="str">
        <f t="shared" si="4"/>
        <v>0296</v>
      </c>
      <c r="M297" s="18" t="s">
        <v>38</v>
      </c>
      <c r="N297" s="19" t="s">
        <v>1548</v>
      </c>
      <c r="O297" s="20" t="s">
        <v>2052</v>
      </c>
    </row>
    <row r="298" spans="1:15" ht="15.75" customHeight="1">
      <c r="A298" s="10" t="s">
        <v>2110</v>
      </c>
      <c r="B298" s="10" t="s">
        <v>27</v>
      </c>
      <c r="C298" s="60" t="s">
        <v>1470</v>
      </c>
      <c r="D298" s="13" t="s">
        <v>2060</v>
      </c>
      <c r="E298" s="6" t="s">
        <v>2061</v>
      </c>
      <c r="F298" s="17" t="s">
        <v>2115</v>
      </c>
      <c r="G298" s="17"/>
      <c r="H298" s="17" t="s">
        <v>35</v>
      </c>
      <c r="I298" s="6" t="s">
        <v>35</v>
      </c>
      <c r="J298" s="17" t="s">
        <v>36</v>
      </c>
      <c r="K298" s="17" t="s">
        <v>2115</v>
      </c>
      <c r="L298" s="18" t="str">
        <f t="shared" si="4"/>
        <v>0297</v>
      </c>
      <c r="M298" s="18" t="s">
        <v>38</v>
      </c>
      <c r="N298" s="19" t="s">
        <v>1548</v>
      </c>
      <c r="O298" s="20" t="s">
        <v>2052</v>
      </c>
    </row>
    <row r="299" spans="1:15" ht="15.75" customHeight="1">
      <c r="A299" s="10" t="s">
        <v>2116</v>
      </c>
      <c r="B299" s="10" t="s">
        <v>27</v>
      </c>
      <c r="C299" s="60" t="s">
        <v>1470</v>
      </c>
      <c r="D299" s="13" t="s">
        <v>501</v>
      </c>
      <c r="E299" s="6" t="s">
        <v>2092</v>
      </c>
      <c r="F299" s="17" t="s">
        <v>2121</v>
      </c>
      <c r="G299" s="17"/>
      <c r="H299" s="17" t="s">
        <v>35</v>
      </c>
      <c r="I299" s="6" t="s">
        <v>35</v>
      </c>
      <c r="J299" s="17" t="s">
        <v>36</v>
      </c>
      <c r="K299" s="17" t="s">
        <v>2121</v>
      </c>
      <c r="L299" s="18" t="str">
        <f t="shared" si="4"/>
        <v>0298</v>
      </c>
      <c r="M299" s="18" t="s">
        <v>38</v>
      </c>
      <c r="N299" s="19" t="s">
        <v>1548</v>
      </c>
      <c r="O299" s="20" t="s">
        <v>2052</v>
      </c>
    </row>
    <row r="300" spans="1:15" ht="15.75" customHeight="1">
      <c r="A300" s="10" t="s">
        <v>2122</v>
      </c>
      <c r="B300" s="10" t="s">
        <v>27</v>
      </c>
      <c r="C300" s="60" t="s">
        <v>1470</v>
      </c>
      <c r="D300" s="13" t="s">
        <v>2060</v>
      </c>
      <c r="E300" s="6" t="s">
        <v>2061</v>
      </c>
      <c r="F300" s="17" t="s">
        <v>2127</v>
      </c>
      <c r="G300" s="17"/>
      <c r="H300" s="17" t="s">
        <v>35</v>
      </c>
      <c r="I300" s="6" t="s">
        <v>35</v>
      </c>
      <c r="J300" s="17" t="s">
        <v>36</v>
      </c>
      <c r="K300" s="17" t="s">
        <v>2127</v>
      </c>
      <c r="L300" s="18" t="str">
        <f t="shared" si="4"/>
        <v>0299</v>
      </c>
      <c r="M300" s="18" t="s">
        <v>38</v>
      </c>
      <c r="N300" s="19" t="s">
        <v>1548</v>
      </c>
      <c r="O300" s="20" t="s">
        <v>2052</v>
      </c>
    </row>
    <row r="301" spans="1:15" ht="15.75" customHeight="1">
      <c r="A301" s="10" t="s">
        <v>2128</v>
      </c>
      <c r="B301" s="10" t="s">
        <v>27</v>
      </c>
      <c r="C301" s="60" t="s">
        <v>1470</v>
      </c>
      <c r="D301" s="13" t="s">
        <v>501</v>
      </c>
      <c r="E301" s="6" t="s">
        <v>2046</v>
      </c>
      <c r="F301" s="17" t="s">
        <v>2133</v>
      </c>
      <c r="G301" s="17"/>
      <c r="H301" s="17" t="s">
        <v>35</v>
      </c>
      <c r="I301" s="6" t="s">
        <v>35</v>
      </c>
      <c r="J301" s="17" t="s">
        <v>36</v>
      </c>
      <c r="K301" s="17" t="s">
        <v>2133</v>
      </c>
      <c r="L301" s="18" t="str">
        <f t="shared" si="4"/>
        <v>0300</v>
      </c>
      <c r="M301" s="18" t="s">
        <v>38</v>
      </c>
      <c r="N301" s="19" t="s">
        <v>1548</v>
      </c>
      <c r="O301" s="20" t="s">
        <v>2052</v>
      </c>
    </row>
    <row r="302" spans="1:15" ht="15.75" customHeight="1">
      <c r="A302" s="10" t="s">
        <v>2134</v>
      </c>
      <c r="B302" s="10" t="s">
        <v>27</v>
      </c>
      <c r="C302" s="60" t="s">
        <v>1470</v>
      </c>
      <c r="D302" s="13" t="s">
        <v>501</v>
      </c>
      <c r="E302" s="6" t="s">
        <v>2046</v>
      </c>
      <c r="F302" s="17" t="s">
        <v>2139</v>
      </c>
      <c r="G302" s="17"/>
      <c r="H302" s="17" t="s">
        <v>35</v>
      </c>
      <c r="I302" s="6" t="s">
        <v>35</v>
      </c>
      <c r="J302" s="17" t="s">
        <v>36</v>
      </c>
      <c r="K302" s="17" t="s">
        <v>2139</v>
      </c>
      <c r="L302" s="18" t="str">
        <f t="shared" si="4"/>
        <v>0301</v>
      </c>
      <c r="M302" s="18" t="s">
        <v>38</v>
      </c>
      <c r="N302" s="19" t="s">
        <v>1548</v>
      </c>
      <c r="O302" s="20" t="s">
        <v>2052</v>
      </c>
    </row>
    <row r="303" spans="1:15" ht="15.75" customHeight="1">
      <c r="A303" s="10" t="s">
        <v>2140</v>
      </c>
      <c r="B303" s="10" t="s">
        <v>27</v>
      </c>
      <c r="C303" s="60" t="s">
        <v>1470</v>
      </c>
      <c r="D303" s="13" t="s">
        <v>2060</v>
      </c>
      <c r="E303" s="6" t="s">
        <v>2061</v>
      </c>
      <c r="F303" s="17" t="s">
        <v>2145</v>
      </c>
      <c r="G303" s="17"/>
      <c r="H303" s="17" t="s">
        <v>35</v>
      </c>
      <c r="I303" s="6" t="s">
        <v>35</v>
      </c>
      <c r="J303" s="17" t="s">
        <v>36</v>
      </c>
      <c r="K303" s="17" t="s">
        <v>2145</v>
      </c>
      <c r="L303" s="18" t="str">
        <f t="shared" si="4"/>
        <v>0302</v>
      </c>
      <c r="M303" s="18" t="s">
        <v>38</v>
      </c>
      <c r="N303" s="19" t="s">
        <v>1548</v>
      </c>
      <c r="O303" s="20" t="s">
        <v>2052</v>
      </c>
    </row>
    <row r="304" spans="1:15" ht="15.75" customHeight="1">
      <c r="A304" s="10" t="s">
        <v>2146</v>
      </c>
      <c r="B304" s="10" t="s">
        <v>27</v>
      </c>
      <c r="C304" s="60" t="s">
        <v>1470</v>
      </c>
      <c r="D304" s="13" t="s">
        <v>2060</v>
      </c>
      <c r="E304" s="6" t="s">
        <v>2061</v>
      </c>
      <c r="F304" s="17" t="s">
        <v>2151</v>
      </c>
      <c r="G304" s="17"/>
      <c r="H304" s="17" t="s">
        <v>35</v>
      </c>
      <c r="I304" s="6" t="s">
        <v>35</v>
      </c>
      <c r="J304" s="17" t="s">
        <v>36</v>
      </c>
      <c r="K304" s="17" t="s">
        <v>2151</v>
      </c>
      <c r="L304" s="18" t="str">
        <f t="shared" si="4"/>
        <v>0303</v>
      </c>
      <c r="M304" s="18" t="s">
        <v>38</v>
      </c>
      <c r="N304" s="19" t="s">
        <v>1548</v>
      </c>
      <c r="O304" s="20" t="s">
        <v>2052</v>
      </c>
    </row>
    <row r="305" spans="1:15" ht="15.75" customHeight="1">
      <c r="A305" s="10" t="s">
        <v>2152</v>
      </c>
      <c r="B305" s="10" t="s">
        <v>27</v>
      </c>
      <c r="C305" s="60" t="s">
        <v>1470</v>
      </c>
      <c r="D305" s="13" t="s">
        <v>501</v>
      </c>
      <c r="E305" s="6" t="s">
        <v>2046</v>
      </c>
      <c r="F305" s="17" t="s">
        <v>2157</v>
      </c>
      <c r="G305" s="17"/>
      <c r="H305" s="17" t="s">
        <v>35</v>
      </c>
      <c r="I305" s="6" t="s">
        <v>35</v>
      </c>
      <c r="J305" s="17" t="s">
        <v>36</v>
      </c>
      <c r="K305" s="17" t="s">
        <v>2157</v>
      </c>
      <c r="L305" s="18" t="str">
        <f t="shared" si="4"/>
        <v>0304</v>
      </c>
      <c r="M305" s="18" t="s">
        <v>38</v>
      </c>
      <c r="N305" s="19" t="s">
        <v>1548</v>
      </c>
      <c r="O305" s="20" t="s">
        <v>2052</v>
      </c>
    </row>
    <row r="306" spans="1:15" ht="15.75" customHeight="1">
      <c r="A306" s="10" t="s">
        <v>2158</v>
      </c>
      <c r="B306" s="10" t="s">
        <v>27</v>
      </c>
      <c r="C306" s="60" t="s">
        <v>1470</v>
      </c>
      <c r="D306" s="13" t="s">
        <v>2060</v>
      </c>
      <c r="E306" s="6" t="s">
        <v>2061</v>
      </c>
      <c r="F306" s="17" t="s">
        <v>2163</v>
      </c>
      <c r="G306" s="17"/>
      <c r="H306" s="17" t="s">
        <v>35</v>
      </c>
      <c r="I306" s="6" t="s">
        <v>35</v>
      </c>
      <c r="J306" s="17" t="s">
        <v>36</v>
      </c>
      <c r="K306" s="17" t="s">
        <v>2163</v>
      </c>
      <c r="L306" s="18" t="str">
        <f t="shared" si="4"/>
        <v>0305</v>
      </c>
      <c r="M306" s="18" t="s">
        <v>38</v>
      </c>
      <c r="N306" s="19" t="s">
        <v>1548</v>
      </c>
      <c r="O306" s="20" t="s">
        <v>2052</v>
      </c>
    </row>
    <row r="307" spans="1:15" ht="15.75" customHeight="1">
      <c r="A307" s="10" t="s">
        <v>2164</v>
      </c>
      <c r="B307" s="10" t="s">
        <v>27</v>
      </c>
      <c r="C307" s="60" t="s">
        <v>1470</v>
      </c>
      <c r="D307" s="13" t="s">
        <v>2060</v>
      </c>
      <c r="E307" s="6" t="s">
        <v>2061</v>
      </c>
      <c r="F307" s="17" t="s">
        <v>2169</v>
      </c>
      <c r="G307" s="17"/>
      <c r="H307" s="17" t="s">
        <v>35</v>
      </c>
      <c r="I307" s="6" t="s">
        <v>35</v>
      </c>
      <c r="J307" s="17" t="s">
        <v>36</v>
      </c>
      <c r="K307" s="17" t="s">
        <v>2169</v>
      </c>
      <c r="L307" s="18" t="str">
        <f t="shared" si="4"/>
        <v>0306</v>
      </c>
      <c r="M307" s="18" t="s">
        <v>38</v>
      </c>
      <c r="N307" s="19" t="s">
        <v>1548</v>
      </c>
      <c r="O307" s="20" t="s">
        <v>2052</v>
      </c>
    </row>
    <row r="308" spans="1:15" ht="15.75" customHeight="1">
      <c r="A308" s="10" t="s">
        <v>2170</v>
      </c>
      <c r="B308" s="10" t="s">
        <v>27</v>
      </c>
      <c r="C308" s="60" t="s">
        <v>1470</v>
      </c>
      <c r="D308" s="13" t="s">
        <v>501</v>
      </c>
      <c r="E308" s="6" t="s">
        <v>2046</v>
      </c>
      <c r="F308" s="17" t="s">
        <v>2175</v>
      </c>
      <c r="G308" s="17"/>
      <c r="H308" s="17" t="s">
        <v>35</v>
      </c>
      <c r="I308" s="6" t="s">
        <v>35</v>
      </c>
      <c r="J308" s="17" t="s">
        <v>36</v>
      </c>
      <c r="K308" s="17" t="s">
        <v>2175</v>
      </c>
      <c r="L308" s="18" t="str">
        <f t="shared" si="4"/>
        <v>0307</v>
      </c>
      <c r="M308" s="18" t="s">
        <v>38</v>
      </c>
      <c r="N308" s="19" t="s">
        <v>1548</v>
      </c>
      <c r="O308" s="20" t="s">
        <v>2052</v>
      </c>
    </row>
    <row r="309" spans="1:15" ht="15.75" customHeight="1">
      <c r="A309" s="10" t="s">
        <v>2176</v>
      </c>
      <c r="B309" s="10" t="s">
        <v>27</v>
      </c>
      <c r="C309" s="60" t="s">
        <v>1470</v>
      </c>
      <c r="D309" s="13" t="s">
        <v>2060</v>
      </c>
      <c r="E309" s="6" t="s">
        <v>2061</v>
      </c>
      <c r="F309" s="17" t="s">
        <v>2181</v>
      </c>
      <c r="G309" s="17"/>
      <c r="H309" s="17" t="s">
        <v>35</v>
      </c>
      <c r="I309" s="6" t="s">
        <v>35</v>
      </c>
      <c r="J309" s="17" t="s">
        <v>36</v>
      </c>
      <c r="K309" s="17" t="s">
        <v>2181</v>
      </c>
      <c r="L309" s="18" t="str">
        <f t="shared" si="4"/>
        <v>0308</v>
      </c>
      <c r="M309" s="18" t="s">
        <v>38</v>
      </c>
      <c r="N309" s="19" t="s">
        <v>1548</v>
      </c>
      <c r="O309" s="20" t="s">
        <v>2052</v>
      </c>
    </row>
    <row r="310" spans="1:15" ht="15.75" customHeight="1">
      <c r="A310" s="10" t="s">
        <v>2182</v>
      </c>
      <c r="B310" s="10" t="s">
        <v>27</v>
      </c>
      <c r="C310" s="60" t="s">
        <v>1470</v>
      </c>
      <c r="D310" s="13" t="s">
        <v>2060</v>
      </c>
      <c r="E310" s="6" t="s">
        <v>2061</v>
      </c>
      <c r="F310" s="17" t="s">
        <v>2187</v>
      </c>
      <c r="G310" s="17"/>
      <c r="H310" s="17" t="s">
        <v>35</v>
      </c>
      <c r="I310" s="6" t="s">
        <v>35</v>
      </c>
      <c r="J310" s="17" t="s">
        <v>36</v>
      </c>
      <c r="K310" s="17" t="s">
        <v>2187</v>
      </c>
      <c r="L310" s="18" t="str">
        <f t="shared" si="4"/>
        <v>0309</v>
      </c>
      <c r="M310" s="18" t="s">
        <v>38</v>
      </c>
      <c r="N310" s="19" t="s">
        <v>1548</v>
      </c>
      <c r="O310" s="20" t="s">
        <v>2052</v>
      </c>
    </row>
    <row r="311" spans="1:15" ht="15.75" customHeight="1">
      <c r="A311" s="10" t="s">
        <v>2188</v>
      </c>
      <c r="B311" s="10" t="s">
        <v>27</v>
      </c>
      <c r="C311" s="60" t="s">
        <v>1470</v>
      </c>
      <c r="D311" s="13" t="s">
        <v>501</v>
      </c>
      <c r="E311" s="6" t="s">
        <v>2046</v>
      </c>
      <c r="F311" s="17" t="s">
        <v>2193</v>
      </c>
      <c r="G311" s="17"/>
      <c r="H311" s="17" t="s">
        <v>35</v>
      </c>
      <c r="I311" s="6" t="s">
        <v>35</v>
      </c>
      <c r="J311" s="17" t="s">
        <v>36</v>
      </c>
      <c r="K311" s="17" t="s">
        <v>2193</v>
      </c>
      <c r="L311" s="18" t="str">
        <f t="shared" si="4"/>
        <v>0310</v>
      </c>
      <c r="M311" s="18" t="s">
        <v>38</v>
      </c>
      <c r="N311" s="19" t="s">
        <v>1548</v>
      </c>
      <c r="O311" s="20" t="s">
        <v>2052</v>
      </c>
    </row>
    <row r="312" spans="1:15" ht="15.75" customHeight="1">
      <c r="A312" s="10" t="s">
        <v>2194</v>
      </c>
      <c r="B312" s="10" t="s">
        <v>27</v>
      </c>
      <c r="C312" s="60" t="s">
        <v>1470</v>
      </c>
      <c r="D312" s="13" t="s">
        <v>2060</v>
      </c>
      <c r="E312" s="6" t="s">
        <v>2061</v>
      </c>
      <c r="F312" s="17" t="s">
        <v>2199</v>
      </c>
      <c r="G312" s="17"/>
      <c r="H312" s="17" t="s">
        <v>35</v>
      </c>
      <c r="I312" s="6" t="s">
        <v>35</v>
      </c>
      <c r="J312" s="17" t="s">
        <v>36</v>
      </c>
      <c r="K312" s="17" t="s">
        <v>2199</v>
      </c>
      <c r="L312" s="18" t="str">
        <f t="shared" si="4"/>
        <v>0311</v>
      </c>
      <c r="M312" s="18" t="s">
        <v>38</v>
      </c>
      <c r="N312" s="19" t="s">
        <v>1548</v>
      </c>
      <c r="O312" s="20" t="s">
        <v>2052</v>
      </c>
    </row>
    <row r="313" spans="1:15" ht="15.75" customHeight="1">
      <c r="A313" s="10" t="s">
        <v>2200</v>
      </c>
      <c r="B313" s="10" t="s">
        <v>27</v>
      </c>
      <c r="C313" s="60" t="s">
        <v>1470</v>
      </c>
      <c r="D313" s="13" t="s">
        <v>378</v>
      </c>
      <c r="E313" s="6" t="s">
        <v>2201</v>
      </c>
      <c r="F313" s="17" t="s">
        <v>2206</v>
      </c>
      <c r="G313" s="17"/>
      <c r="H313" s="17" t="s">
        <v>35</v>
      </c>
      <c r="I313" s="6" t="s">
        <v>35</v>
      </c>
      <c r="J313" s="17" t="s">
        <v>36</v>
      </c>
      <c r="K313" s="17" t="s">
        <v>2206</v>
      </c>
      <c r="L313" s="18" t="str">
        <f t="shared" si="4"/>
        <v>0312</v>
      </c>
      <c r="M313" s="18" t="s">
        <v>38</v>
      </c>
      <c r="N313" s="19" t="s">
        <v>1548</v>
      </c>
      <c r="O313" s="20" t="s">
        <v>2052</v>
      </c>
    </row>
    <row r="314" spans="1:15" ht="15.75" customHeight="1">
      <c r="A314" s="10" t="s">
        <v>2207</v>
      </c>
      <c r="B314" s="10" t="s">
        <v>27</v>
      </c>
      <c r="C314" s="60" t="s">
        <v>1470</v>
      </c>
      <c r="D314" s="13" t="s">
        <v>62</v>
      </c>
      <c r="E314" s="6" t="s">
        <v>2208</v>
      </c>
      <c r="F314" s="17" t="s">
        <v>2213</v>
      </c>
      <c r="G314" s="17"/>
      <c r="H314" s="17" t="s">
        <v>35</v>
      </c>
      <c r="I314" s="6" t="s">
        <v>35</v>
      </c>
      <c r="J314" s="17" t="s">
        <v>36</v>
      </c>
      <c r="K314" s="17" t="s">
        <v>2213</v>
      </c>
      <c r="L314" s="18" t="str">
        <f t="shared" si="4"/>
        <v>0313</v>
      </c>
      <c r="M314" s="18" t="s">
        <v>38</v>
      </c>
      <c r="N314" s="19" t="s">
        <v>1548</v>
      </c>
      <c r="O314" s="20" t="s">
        <v>2052</v>
      </c>
    </row>
    <row r="315" spans="1:15" ht="15.75" customHeight="1">
      <c r="A315" s="10" t="s">
        <v>2214</v>
      </c>
      <c r="B315" s="10" t="s">
        <v>27</v>
      </c>
      <c r="C315" s="60" t="s">
        <v>1470</v>
      </c>
      <c r="D315" s="13" t="s">
        <v>93</v>
      </c>
      <c r="E315" s="6" t="s">
        <v>2215</v>
      </c>
      <c r="F315" s="17" t="s">
        <v>2220</v>
      </c>
      <c r="G315" s="17"/>
      <c r="H315" s="17" t="s">
        <v>35</v>
      </c>
      <c r="I315" s="6" t="s">
        <v>35</v>
      </c>
      <c r="J315" s="17" t="s">
        <v>36</v>
      </c>
      <c r="K315" s="17" t="s">
        <v>2220</v>
      </c>
      <c r="L315" s="18" t="str">
        <f t="shared" si="4"/>
        <v>0314</v>
      </c>
      <c r="M315" s="18" t="s">
        <v>38</v>
      </c>
      <c r="N315" s="19" t="s">
        <v>1548</v>
      </c>
      <c r="O315" s="20" t="s">
        <v>2052</v>
      </c>
    </row>
    <row r="316" spans="1:15" ht="15.75" customHeight="1">
      <c r="A316" s="10" t="s">
        <v>2221</v>
      </c>
      <c r="B316" s="10" t="s">
        <v>27</v>
      </c>
      <c r="C316" s="60" t="s">
        <v>1470</v>
      </c>
      <c r="D316" s="13" t="s">
        <v>93</v>
      </c>
      <c r="E316" s="6" t="s">
        <v>2222</v>
      </c>
      <c r="F316" s="17" t="s">
        <v>2227</v>
      </c>
      <c r="G316" s="17"/>
      <c r="H316" s="17" t="s">
        <v>35</v>
      </c>
      <c r="I316" s="6" t="s">
        <v>35</v>
      </c>
      <c r="J316" s="17" t="s">
        <v>36</v>
      </c>
      <c r="K316" s="17" t="s">
        <v>2227</v>
      </c>
      <c r="L316" s="18" t="str">
        <f t="shared" si="4"/>
        <v>0315</v>
      </c>
      <c r="M316" s="18" t="s">
        <v>38</v>
      </c>
      <c r="N316" s="19" t="s">
        <v>1548</v>
      </c>
      <c r="O316" s="20" t="s">
        <v>2052</v>
      </c>
    </row>
    <row r="317" spans="1:15" ht="15.75" customHeight="1">
      <c r="A317" s="10" t="s">
        <v>2228</v>
      </c>
      <c r="B317" s="10" t="s">
        <v>27</v>
      </c>
      <c r="C317" s="60" t="s">
        <v>1470</v>
      </c>
      <c r="D317" s="13" t="s">
        <v>184</v>
      </c>
      <c r="E317" s="6" t="s">
        <v>2229</v>
      </c>
      <c r="F317" s="17" t="s">
        <v>2234</v>
      </c>
      <c r="G317" s="17"/>
      <c r="H317" s="17" t="s">
        <v>35</v>
      </c>
      <c r="I317" s="6" t="s">
        <v>35</v>
      </c>
      <c r="J317" s="17" t="s">
        <v>36</v>
      </c>
      <c r="K317" s="17" t="s">
        <v>2234</v>
      </c>
      <c r="L317" s="18" t="str">
        <f t="shared" si="4"/>
        <v>0316</v>
      </c>
      <c r="M317" s="18" t="s">
        <v>38</v>
      </c>
      <c r="N317" s="19" t="s">
        <v>1548</v>
      </c>
      <c r="O317" s="20" t="s">
        <v>2052</v>
      </c>
    </row>
    <row r="318" spans="1:15" ht="15.75" customHeight="1">
      <c r="A318" s="10" t="s">
        <v>2235</v>
      </c>
      <c r="B318" s="10" t="s">
        <v>27</v>
      </c>
      <c r="C318" s="60" t="s">
        <v>1470</v>
      </c>
      <c r="D318" s="13" t="s">
        <v>151</v>
      </c>
      <c r="E318" s="6" t="s">
        <v>2236</v>
      </c>
      <c r="F318" s="10" t="s">
        <v>2243</v>
      </c>
      <c r="G318" s="17"/>
      <c r="H318" s="17" t="s">
        <v>703</v>
      </c>
      <c r="I318" s="6" t="s">
        <v>2241</v>
      </c>
      <c r="J318" s="17" t="s">
        <v>2242</v>
      </c>
      <c r="K318" s="10" t="s">
        <v>2243</v>
      </c>
      <c r="L318" s="18" t="str">
        <f t="shared" si="4"/>
        <v>0317</v>
      </c>
      <c r="M318" s="18" t="s">
        <v>38</v>
      </c>
      <c r="N318" s="19" t="s">
        <v>1548</v>
      </c>
      <c r="O318" s="20" t="s">
        <v>2052</v>
      </c>
    </row>
    <row r="319" spans="1:15" ht="15.75" customHeight="1">
      <c r="A319" s="10" t="s">
        <v>2244</v>
      </c>
      <c r="B319" s="10" t="s">
        <v>27</v>
      </c>
      <c r="C319" s="60" t="s">
        <v>1470</v>
      </c>
      <c r="D319" s="13" t="s">
        <v>199</v>
      </c>
      <c r="E319" s="6" t="s">
        <v>199</v>
      </c>
      <c r="F319" s="17" t="s">
        <v>2250</v>
      </c>
      <c r="G319" s="17"/>
      <c r="H319" s="17" t="s">
        <v>205</v>
      </c>
      <c r="I319" s="6" t="s">
        <v>794</v>
      </c>
      <c r="J319" s="17" t="s">
        <v>2249</v>
      </c>
      <c r="K319" s="17" t="s">
        <v>2250</v>
      </c>
      <c r="L319" s="18" t="str">
        <f t="shared" si="4"/>
        <v>0318</v>
      </c>
      <c r="M319" s="18" t="s">
        <v>517</v>
      </c>
      <c r="N319" s="19" t="s">
        <v>1548</v>
      </c>
      <c r="O319" s="20" t="s">
        <v>2052</v>
      </c>
    </row>
    <row r="320" spans="1:15" ht="15.75" customHeight="1">
      <c r="A320" s="10" t="s">
        <v>2251</v>
      </c>
      <c r="B320" s="10" t="s">
        <v>27</v>
      </c>
      <c r="C320" s="60" t="s">
        <v>1470</v>
      </c>
      <c r="D320" s="13" t="s">
        <v>43</v>
      </c>
      <c r="E320" s="6" t="s">
        <v>1688</v>
      </c>
      <c r="F320" s="10" t="s">
        <v>7276</v>
      </c>
      <c r="G320" s="17"/>
      <c r="H320" s="17" t="s">
        <v>49</v>
      </c>
      <c r="I320" s="6" t="s">
        <v>1989</v>
      </c>
      <c r="J320" s="17" t="s">
        <v>36</v>
      </c>
      <c r="K320" s="10" t="s">
        <v>7276</v>
      </c>
      <c r="L320" s="18" t="str">
        <f t="shared" si="4"/>
        <v>0319</v>
      </c>
      <c r="M320" s="18" t="s">
        <v>517</v>
      </c>
      <c r="N320" s="19" t="s">
        <v>1548</v>
      </c>
      <c r="O320" s="20" t="s">
        <v>2052</v>
      </c>
    </row>
    <row r="321" spans="1:15" ht="15.75" customHeight="1">
      <c r="A321" s="10" t="s">
        <v>2257</v>
      </c>
      <c r="B321" s="10" t="s">
        <v>27</v>
      </c>
      <c r="C321" s="60" t="s">
        <v>1470</v>
      </c>
      <c r="D321" s="13" t="s">
        <v>378</v>
      </c>
      <c r="E321" s="6" t="s">
        <v>2258</v>
      </c>
      <c r="F321" s="155" t="s">
        <v>7277</v>
      </c>
      <c r="G321" s="17"/>
      <c r="H321" s="17" t="s">
        <v>35</v>
      </c>
      <c r="I321" s="6" t="s">
        <v>35</v>
      </c>
      <c r="J321" s="6" t="s">
        <v>36</v>
      </c>
      <c r="K321" s="155" t="s">
        <v>7277</v>
      </c>
      <c r="L321" s="18" t="str">
        <f t="shared" si="4"/>
        <v>0320</v>
      </c>
      <c r="M321" s="18" t="s">
        <v>38</v>
      </c>
      <c r="N321" s="19" t="s">
        <v>1548</v>
      </c>
      <c r="O321" s="20" t="s">
        <v>2052</v>
      </c>
    </row>
    <row r="322" spans="1:15" ht="15.75" customHeight="1">
      <c r="A322" s="10" t="s">
        <v>2261</v>
      </c>
      <c r="B322" s="10" t="s">
        <v>27</v>
      </c>
      <c r="C322" s="60" t="s">
        <v>1470</v>
      </c>
      <c r="D322" s="13" t="s">
        <v>378</v>
      </c>
      <c r="E322" s="6" t="s">
        <v>2262</v>
      </c>
      <c r="F322" s="155" t="s">
        <v>439</v>
      </c>
      <c r="G322" s="17"/>
      <c r="H322" s="17" t="s">
        <v>35</v>
      </c>
      <c r="I322" s="6" t="s">
        <v>35</v>
      </c>
      <c r="J322" s="6" t="s">
        <v>36</v>
      </c>
      <c r="K322" s="155" t="s">
        <v>439</v>
      </c>
      <c r="L322" s="18" t="str">
        <f t="shared" ref="L322:L385" si="5">A322</f>
        <v>0321</v>
      </c>
      <c r="M322" s="18" t="s">
        <v>38</v>
      </c>
      <c r="N322" s="19" t="s">
        <v>1548</v>
      </c>
      <c r="O322" s="20" t="s">
        <v>2052</v>
      </c>
    </row>
    <row r="323" spans="1:15" ht="15.75" customHeight="1">
      <c r="A323" s="10" t="s">
        <v>2265</v>
      </c>
      <c r="B323" s="10" t="s">
        <v>27</v>
      </c>
      <c r="C323" s="60" t="s">
        <v>1470</v>
      </c>
      <c r="D323" s="13" t="s">
        <v>353</v>
      </c>
      <c r="E323" s="6" t="s">
        <v>638</v>
      </c>
      <c r="F323" s="32" t="s">
        <v>2271</v>
      </c>
      <c r="G323" s="17"/>
      <c r="H323" s="17" t="s">
        <v>359</v>
      </c>
      <c r="I323" s="6" t="s">
        <v>938</v>
      </c>
      <c r="J323" s="46" t="s">
        <v>2270</v>
      </c>
      <c r="K323" s="32" t="s">
        <v>2271</v>
      </c>
      <c r="L323" s="18" t="str">
        <f t="shared" si="5"/>
        <v>0322</v>
      </c>
      <c r="M323" s="18" t="s">
        <v>38</v>
      </c>
      <c r="N323" s="19" t="s">
        <v>1548</v>
      </c>
      <c r="O323" s="20" t="s">
        <v>2052</v>
      </c>
    </row>
    <row r="324" spans="1:15" ht="15.75" customHeight="1">
      <c r="A324" s="10" t="s">
        <v>2272</v>
      </c>
      <c r="B324" s="10" t="s">
        <v>27</v>
      </c>
      <c r="C324" s="60" t="s">
        <v>1470</v>
      </c>
      <c r="D324" s="13" t="s">
        <v>501</v>
      </c>
      <c r="E324" s="6" t="s">
        <v>2273</v>
      </c>
      <c r="F324" s="155" t="s">
        <v>7278</v>
      </c>
      <c r="G324" s="17"/>
      <c r="H324" s="17" t="s">
        <v>35</v>
      </c>
      <c r="I324" s="6" t="s">
        <v>35</v>
      </c>
      <c r="J324" s="6" t="s">
        <v>36</v>
      </c>
      <c r="K324" s="155" t="s">
        <v>7278</v>
      </c>
      <c r="L324" s="18" t="str">
        <f t="shared" si="5"/>
        <v>0323</v>
      </c>
      <c r="M324" s="18" t="s">
        <v>38</v>
      </c>
      <c r="N324" s="19" t="s">
        <v>1548</v>
      </c>
      <c r="O324" s="20" t="s">
        <v>1983</v>
      </c>
    </row>
    <row r="325" spans="1:15" ht="15.75" customHeight="1">
      <c r="A325" s="10" t="s">
        <v>2276</v>
      </c>
      <c r="B325" s="10" t="s">
        <v>27</v>
      </c>
      <c r="C325" s="60" t="s">
        <v>1470</v>
      </c>
      <c r="D325" s="13" t="s">
        <v>501</v>
      </c>
      <c r="E325" s="6" t="s">
        <v>2277</v>
      </c>
      <c r="F325" s="155" t="s">
        <v>7279</v>
      </c>
      <c r="G325" s="17"/>
      <c r="H325" s="17" t="s">
        <v>35</v>
      </c>
      <c r="I325" s="6" t="s">
        <v>35</v>
      </c>
      <c r="J325" s="6" t="s">
        <v>36</v>
      </c>
      <c r="K325" s="155" t="s">
        <v>7279</v>
      </c>
      <c r="L325" s="18" t="str">
        <f t="shared" si="5"/>
        <v>0324</v>
      </c>
      <c r="M325" s="18" t="s">
        <v>38</v>
      </c>
      <c r="N325" s="19" t="s">
        <v>1548</v>
      </c>
      <c r="O325" s="22" t="s">
        <v>1983</v>
      </c>
    </row>
    <row r="326" spans="1:15" ht="15.75" customHeight="1">
      <c r="A326" s="10" t="s">
        <v>2280</v>
      </c>
      <c r="B326" s="10" t="s">
        <v>27</v>
      </c>
      <c r="C326" s="60" t="s">
        <v>1470</v>
      </c>
      <c r="D326" s="13" t="s">
        <v>501</v>
      </c>
      <c r="E326" s="6" t="s">
        <v>2281</v>
      </c>
      <c r="F326" s="156" t="s">
        <v>7280</v>
      </c>
      <c r="G326" s="17"/>
      <c r="H326" s="17" t="s">
        <v>35</v>
      </c>
      <c r="I326" s="6" t="s">
        <v>35</v>
      </c>
      <c r="J326" s="6" t="s">
        <v>36</v>
      </c>
      <c r="K326" s="156" t="s">
        <v>7280</v>
      </c>
      <c r="L326" s="18" t="str">
        <f t="shared" si="5"/>
        <v>0325</v>
      </c>
      <c r="M326" s="18" t="s">
        <v>38</v>
      </c>
      <c r="N326" s="19" t="s">
        <v>1548</v>
      </c>
      <c r="O326" s="20" t="s">
        <v>2052</v>
      </c>
    </row>
    <row r="327" spans="1:15" ht="15.75" customHeight="1">
      <c r="A327" s="10" t="s">
        <v>2284</v>
      </c>
      <c r="B327" s="10" t="s">
        <v>1469</v>
      </c>
      <c r="C327" s="60" t="s">
        <v>1470</v>
      </c>
      <c r="D327" s="13" t="s">
        <v>501</v>
      </c>
      <c r="E327" s="6" t="s">
        <v>2285</v>
      </c>
      <c r="F327" s="17" t="s">
        <v>2290</v>
      </c>
      <c r="G327" s="17"/>
      <c r="H327" s="17" t="s">
        <v>35</v>
      </c>
      <c r="I327" s="6" t="s">
        <v>35</v>
      </c>
      <c r="J327" s="17" t="s">
        <v>36</v>
      </c>
      <c r="K327" s="17" t="s">
        <v>2290</v>
      </c>
      <c r="L327" s="18" t="str">
        <f t="shared" si="5"/>
        <v>0326</v>
      </c>
      <c r="M327" s="18" t="s">
        <v>38</v>
      </c>
      <c r="N327" s="61" t="s">
        <v>1483</v>
      </c>
      <c r="O327" s="20" t="s">
        <v>1484</v>
      </c>
    </row>
    <row r="328" spans="1:15" ht="15.75" customHeight="1">
      <c r="A328" s="10" t="s">
        <v>2291</v>
      </c>
      <c r="B328" s="10" t="s">
        <v>1469</v>
      </c>
      <c r="C328" s="60" t="s">
        <v>1470</v>
      </c>
      <c r="D328" s="13" t="s">
        <v>116</v>
      </c>
      <c r="E328" s="43" t="s">
        <v>2292</v>
      </c>
      <c r="F328" s="17" t="s">
        <v>2297</v>
      </c>
      <c r="G328" s="17"/>
      <c r="H328" s="17" t="s">
        <v>35</v>
      </c>
      <c r="I328" s="6" t="s">
        <v>35</v>
      </c>
      <c r="J328" s="17" t="s">
        <v>36</v>
      </c>
      <c r="K328" s="17" t="s">
        <v>2297</v>
      </c>
      <c r="L328" s="18" t="str">
        <f t="shared" si="5"/>
        <v>0327</v>
      </c>
      <c r="M328" s="18" t="s">
        <v>38</v>
      </c>
      <c r="N328" s="61" t="s">
        <v>1483</v>
      </c>
      <c r="O328" s="20" t="s">
        <v>1484</v>
      </c>
    </row>
    <row r="329" spans="1:15" ht="15.75" customHeight="1">
      <c r="A329" s="10" t="s">
        <v>2298</v>
      </c>
      <c r="B329" s="10" t="s">
        <v>27</v>
      </c>
      <c r="C329" s="63" t="s">
        <v>28</v>
      </c>
      <c r="D329" s="13" t="s">
        <v>2299</v>
      </c>
      <c r="E329" s="43" t="s">
        <v>2300</v>
      </c>
      <c r="F329" s="17" t="s">
        <v>2308</v>
      </c>
      <c r="G329" s="17"/>
      <c r="H329" s="17" t="s">
        <v>2305</v>
      </c>
      <c r="I329" s="6" t="s">
        <v>2306</v>
      </c>
      <c r="J329" s="17" t="s">
        <v>2307</v>
      </c>
      <c r="K329" s="17" t="s">
        <v>2308</v>
      </c>
      <c r="L329" s="18" t="str">
        <f t="shared" si="5"/>
        <v>0328</v>
      </c>
      <c r="M329" s="18" t="s">
        <v>2309</v>
      </c>
      <c r="N329" s="61" t="s">
        <v>147</v>
      </c>
      <c r="O329" s="20" t="s">
        <v>385</v>
      </c>
    </row>
    <row r="330" spans="1:15" ht="15.75" customHeight="1">
      <c r="A330" s="10" t="s">
        <v>2310</v>
      </c>
      <c r="B330" s="10" t="s">
        <v>1469</v>
      </c>
      <c r="C330" s="60" t="s">
        <v>1470</v>
      </c>
      <c r="D330" s="13" t="s">
        <v>2311</v>
      </c>
      <c r="E330" s="43" t="s">
        <v>2312</v>
      </c>
      <c r="F330" s="17" t="s">
        <v>2320</v>
      </c>
      <c r="G330" s="17"/>
      <c r="H330" s="17" t="s">
        <v>2317</v>
      </c>
      <c r="I330" s="6" t="s">
        <v>2318</v>
      </c>
      <c r="J330" s="17" t="s">
        <v>2319</v>
      </c>
      <c r="K330" s="17" t="s">
        <v>2320</v>
      </c>
      <c r="L330" s="18" t="str">
        <f t="shared" si="5"/>
        <v>0329</v>
      </c>
      <c r="M330" s="18" t="s">
        <v>38</v>
      </c>
      <c r="N330" s="61" t="s">
        <v>1483</v>
      </c>
      <c r="O330" s="20" t="s">
        <v>1484</v>
      </c>
    </row>
    <row r="331" spans="1:15" ht="15.75" customHeight="1">
      <c r="A331" s="10" t="s">
        <v>2321</v>
      </c>
      <c r="B331" s="10" t="s">
        <v>1469</v>
      </c>
      <c r="C331" s="63" t="s">
        <v>868</v>
      </c>
      <c r="D331" s="13" t="s">
        <v>93</v>
      </c>
      <c r="E331" s="6" t="s">
        <v>2322</v>
      </c>
      <c r="F331" s="17" t="s">
        <v>2327</v>
      </c>
      <c r="G331" s="17"/>
      <c r="H331" s="17" t="s">
        <v>35</v>
      </c>
      <c r="I331" s="6" t="s">
        <v>35</v>
      </c>
      <c r="J331" s="17" t="s">
        <v>36</v>
      </c>
      <c r="K331" s="17" t="s">
        <v>2327</v>
      </c>
      <c r="L331" s="18" t="str">
        <f t="shared" si="5"/>
        <v>0330</v>
      </c>
      <c r="M331" s="18" t="s">
        <v>38</v>
      </c>
      <c r="N331" s="61" t="s">
        <v>2328</v>
      </c>
      <c r="O331" s="20" t="s">
        <v>2329</v>
      </c>
    </row>
    <row r="332" spans="1:15" ht="15.75" customHeight="1">
      <c r="A332" s="10" t="s">
        <v>2330</v>
      </c>
      <c r="B332" s="10" t="s">
        <v>1469</v>
      </c>
      <c r="C332" s="60" t="s">
        <v>1470</v>
      </c>
      <c r="D332" s="13" t="s">
        <v>93</v>
      </c>
      <c r="E332" s="6" t="s">
        <v>2331</v>
      </c>
      <c r="F332" s="17" t="s">
        <v>2336</v>
      </c>
      <c r="G332" s="17"/>
      <c r="H332" s="17" t="s">
        <v>35</v>
      </c>
      <c r="I332" s="6" t="s">
        <v>35</v>
      </c>
      <c r="J332" s="17" t="s">
        <v>36</v>
      </c>
      <c r="K332" s="17" t="s">
        <v>2336</v>
      </c>
      <c r="L332" s="18" t="str">
        <f t="shared" si="5"/>
        <v>0331</v>
      </c>
      <c r="M332" s="18" t="s">
        <v>38</v>
      </c>
      <c r="N332" s="61" t="s">
        <v>1483</v>
      </c>
      <c r="O332" s="20" t="s">
        <v>2337</v>
      </c>
    </row>
    <row r="333" spans="1:15" ht="15.75" customHeight="1">
      <c r="A333" s="10" t="s">
        <v>2338</v>
      </c>
      <c r="B333" s="10" t="s">
        <v>1469</v>
      </c>
      <c r="C333" s="60" t="s">
        <v>1470</v>
      </c>
      <c r="D333" s="13" t="s">
        <v>248</v>
      </c>
      <c r="E333" s="6" t="s">
        <v>249</v>
      </c>
      <c r="F333" s="10" t="s">
        <v>7281</v>
      </c>
      <c r="G333" s="17"/>
      <c r="H333" s="17" t="s">
        <v>827</v>
      </c>
      <c r="I333" s="6" t="s">
        <v>828</v>
      </c>
      <c r="J333" s="6" t="s">
        <v>2341</v>
      </c>
      <c r="K333" s="10" t="s">
        <v>7281</v>
      </c>
      <c r="L333" s="18" t="str">
        <f t="shared" si="5"/>
        <v>0332</v>
      </c>
      <c r="M333" s="18" t="s">
        <v>38</v>
      </c>
      <c r="N333" s="61" t="s">
        <v>1483</v>
      </c>
      <c r="O333" s="20" t="s">
        <v>1484</v>
      </c>
    </row>
    <row r="334" spans="1:15" ht="15.75" customHeight="1">
      <c r="A334" s="10" t="s">
        <v>2342</v>
      </c>
      <c r="B334" s="10" t="s">
        <v>1469</v>
      </c>
      <c r="C334" s="60" t="s">
        <v>1470</v>
      </c>
      <c r="D334" s="13" t="s">
        <v>248</v>
      </c>
      <c r="E334" s="43" t="s">
        <v>248</v>
      </c>
      <c r="F334" s="17" t="s">
        <v>2349</v>
      </c>
      <c r="G334" s="17"/>
      <c r="H334" s="17" t="s">
        <v>250</v>
      </c>
      <c r="I334" s="6" t="s">
        <v>2347</v>
      </c>
      <c r="J334" s="17" t="s">
        <v>2348</v>
      </c>
      <c r="K334" s="17" t="s">
        <v>2349</v>
      </c>
      <c r="L334" s="18" t="str">
        <f t="shared" si="5"/>
        <v>0333</v>
      </c>
      <c r="M334" s="18" t="s">
        <v>38</v>
      </c>
      <c r="N334" s="61" t="s">
        <v>1483</v>
      </c>
      <c r="O334" s="20" t="s">
        <v>1484</v>
      </c>
    </row>
    <row r="335" spans="1:15" ht="15.75" customHeight="1">
      <c r="A335" s="10" t="s">
        <v>2350</v>
      </c>
      <c r="B335" s="10" t="s">
        <v>1469</v>
      </c>
      <c r="C335" s="60" t="s">
        <v>1470</v>
      </c>
      <c r="D335" s="13" t="s">
        <v>2351</v>
      </c>
      <c r="E335" s="43" t="s">
        <v>2352</v>
      </c>
      <c r="F335" s="17" t="s">
        <v>2360</v>
      </c>
      <c r="G335" s="17"/>
      <c r="H335" s="17" t="s">
        <v>2357</v>
      </c>
      <c r="I335" s="6" t="s">
        <v>2358</v>
      </c>
      <c r="J335" s="17" t="s">
        <v>2694</v>
      </c>
      <c r="K335" s="17" t="s">
        <v>2360</v>
      </c>
      <c r="L335" s="18" t="str">
        <f t="shared" si="5"/>
        <v>0334</v>
      </c>
      <c r="M335" s="18" t="s">
        <v>38</v>
      </c>
      <c r="N335" s="61" t="s">
        <v>1483</v>
      </c>
      <c r="O335" s="20" t="s">
        <v>1484</v>
      </c>
    </row>
    <row r="336" spans="1:15" ht="15.75" customHeight="1">
      <c r="A336" s="10" t="s">
        <v>2361</v>
      </c>
      <c r="B336" s="10" t="s">
        <v>1469</v>
      </c>
      <c r="C336" s="60" t="s">
        <v>1470</v>
      </c>
      <c r="D336" s="13" t="s">
        <v>53</v>
      </c>
      <c r="E336" s="6" t="s">
        <v>2362</v>
      </c>
      <c r="F336" s="17" t="s">
        <v>2367</v>
      </c>
      <c r="G336" s="17"/>
      <c r="H336" s="17" t="s">
        <v>35</v>
      </c>
      <c r="I336" s="6" t="s">
        <v>35</v>
      </c>
      <c r="J336" s="17" t="s">
        <v>36</v>
      </c>
      <c r="K336" s="17" t="s">
        <v>2367</v>
      </c>
      <c r="L336" s="18" t="str">
        <f t="shared" si="5"/>
        <v>0335</v>
      </c>
      <c r="M336" s="18" t="s">
        <v>38</v>
      </c>
      <c r="N336" s="61" t="s">
        <v>1483</v>
      </c>
      <c r="O336" s="20" t="s">
        <v>1484</v>
      </c>
    </row>
    <row r="337" spans="1:15" ht="15.75" customHeight="1">
      <c r="A337" s="10" t="s">
        <v>2368</v>
      </c>
      <c r="B337" s="10" t="s">
        <v>1469</v>
      </c>
      <c r="C337" s="60" t="s">
        <v>1470</v>
      </c>
      <c r="D337" s="13" t="s">
        <v>199</v>
      </c>
      <c r="E337" s="6" t="s">
        <v>199</v>
      </c>
      <c r="F337" s="17" t="s">
        <v>2373</v>
      </c>
      <c r="G337" s="17"/>
      <c r="H337" s="17" t="s">
        <v>205</v>
      </c>
      <c r="I337" s="32" t="s">
        <v>993</v>
      </c>
      <c r="J337" s="159" t="s">
        <v>2372</v>
      </c>
      <c r="K337" s="17" t="s">
        <v>2373</v>
      </c>
      <c r="L337" s="18" t="str">
        <f t="shared" si="5"/>
        <v>0336</v>
      </c>
      <c r="M337" s="18" t="s">
        <v>38</v>
      </c>
      <c r="N337" s="61" t="s">
        <v>1483</v>
      </c>
      <c r="O337" s="20" t="s">
        <v>1484</v>
      </c>
    </row>
    <row r="338" spans="1:15" ht="15.75" customHeight="1">
      <c r="A338" s="10" t="s">
        <v>2374</v>
      </c>
      <c r="B338" s="10" t="s">
        <v>1469</v>
      </c>
      <c r="C338" s="63" t="s">
        <v>868</v>
      </c>
      <c r="D338" s="13" t="s">
        <v>151</v>
      </c>
      <c r="E338" s="6" t="s">
        <v>963</v>
      </c>
      <c r="F338" s="17" t="s">
        <v>2380</v>
      </c>
      <c r="G338" s="17"/>
      <c r="H338" s="17" t="s">
        <v>297</v>
      </c>
      <c r="I338" s="6" t="s">
        <v>1037</v>
      </c>
      <c r="J338" s="17" t="s">
        <v>2379</v>
      </c>
      <c r="K338" s="17" t="s">
        <v>2380</v>
      </c>
      <c r="L338" s="18" t="str">
        <f t="shared" si="5"/>
        <v>0337</v>
      </c>
      <c r="M338" s="18" t="s">
        <v>38</v>
      </c>
      <c r="N338" s="61" t="s">
        <v>2381</v>
      </c>
      <c r="O338" s="20" t="s">
        <v>493</v>
      </c>
    </row>
    <row r="339" spans="1:15" ht="15.75" customHeight="1">
      <c r="A339" s="10" t="s">
        <v>2382</v>
      </c>
      <c r="B339" s="10" t="s">
        <v>1469</v>
      </c>
      <c r="C339" s="60" t="s">
        <v>1470</v>
      </c>
      <c r="D339" s="13" t="s">
        <v>93</v>
      </c>
      <c r="E339" s="6" t="s">
        <v>2383</v>
      </c>
      <c r="F339" s="17" t="s">
        <v>2388</v>
      </c>
      <c r="G339" s="17"/>
      <c r="H339" s="17" t="s">
        <v>35</v>
      </c>
      <c r="I339" s="6" t="s">
        <v>35</v>
      </c>
      <c r="J339" s="17" t="s">
        <v>36</v>
      </c>
      <c r="K339" s="17" t="s">
        <v>2388</v>
      </c>
      <c r="L339" s="18" t="str">
        <f t="shared" si="5"/>
        <v>0338</v>
      </c>
      <c r="M339" s="18" t="s">
        <v>38</v>
      </c>
      <c r="N339" s="61" t="s">
        <v>1483</v>
      </c>
      <c r="O339" s="20" t="s">
        <v>1484</v>
      </c>
    </row>
    <row r="340" spans="1:15" ht="15.75" customHeight="1">
      <c r="A340" s="10" t="s">
        <v>2389</v>
      </c>
      <c r="B340" s="10" t="s">
        <v>1469</v>
      </c>
      <c r="C340" s="60" t="s">
        <v>1470</v>
      </c>
      <c r="D340" s="13" t="s">
        <v>151</v>
      </c>
      <c r="E340" s="6" t="s">
        <v>698</v>
      </c>
      <c r="F340" s="17" t="s">
        <v>2395</v>
      </c>
      <c r="G340" s="17"/>
      <c r="H340" s="17" t="s">
        <v>297</v>
      </c>
      <c r="I340" s="6" t="s">
        <v>1131</v>
      </c>
      <c r="J340" s="17" t="s">
        <v>7282</v>
      </c>
      <c r="K340" s="17" t="s">
        <v>2395</v>
      </c>
      <c r="L340" s="18" t="str">
        <f t="shared" si="5"/>
        <v>0339</v>
      </c>
      <c r="M340" s="18" t="s">
        <v>38</v>
      </c>
      <c r="N340" s="61" t="s">
        <v>1483</v>
      </c>
      <c r="O340" s="20" t="s">
        <v>1484</v>
      </c>
    </row>
    <row r="341" spans="1:15" ht="15.75" customHeight="1">
      <c r="A341" s="10" t="s">
        <v>2396</v>
      </c>
      <c r="B341" s="10" t="s">
        <v>1469</v>
      </c>
      <c r="C341" s="60" t="s">
        <v>1470</v>
      </c>
      <c r="D341" s="13" t="s">
        <v>2397</v>
      </c>
      <c r="E341" s="6" t="s">
        <v>2398</v>
      </c>
      <c r="F341" s="17" t="s">
        <v>2406</v>
      </c>
      <c r="G341" s="17"/>
      <c r="H341" s="17" t="s">
        <v>2403</v>
      </c>
      <c r="I341" s="6" t="s">
        <v>2404</v>
      </c>
      <c r="J341" s="17" t="s">
        <v>2405</v>
      </c>
      <c r="K341" s="17" t="s">
        <v>2406</v>
      </c>
      <c r="L341" s="18" t="str">
        <f t="shared" si="5"/>
        <v>0340</v>
      </c>
      <c r="M341" s="18" t="s">
        <v>38</v>
      </c>
      <c r="N341" s="61" t="s">
        <v>1483</v>
      </c>
      <c r="O341" s="20" t="s">
        <v>1484</v>
      </c>
    </row>
    <row r="342" spans="1:15" ht="15.75" customHeight="1">
      <c r="A342" s="10" t="s">
        <v>2407</v>
      </c>
      <c r="B342" s="10" t="s">
        <v>1469</v>
      </c>
      <c r="C342" s="60" t="s">
        <v>1470</v>
      </c>
      <c r="D342" s="13" t="s">
        <v>248</v>
      </c>
      <c r="E342" s="43" t="s">
        <v>248</v>
      </c>
      <c r="F342" s="35" t="s">
        <v>2858</v>
      </c>
      <c r="G342" s="17"/>
      <c r="H342" s="17" t="s">
        <v>303</v>
      </c>
      <c r="I342" s="6" t="s">
        <v>1726</v>
      </c>
      <c r="J342" s="35" t="s">
        <v>2412</v>
      </c>
      <c r="K342" s="35" t="s">
        <v>2858</v>
      </c>
      <c r="L342" s="18" t="str">
        <f t="shared" si="5"/>
        <v>0341</v>
      </c>
      <c r="M342" s="18" t="s">
        <v>38</v>
      </c>
      <c r="N342" s="61" t="s">
        <v>1483</v>
      </c>
      <c r="O342" s="20" t="s">
        <v>1484</v>
      </c>
    </row>
    <row r="343" spans="1:15" ht="15.75" customHeight="1">
      <c r="A343" s="10" t="s">
        <v>2414</v>
      </c>
      <c r="B343" s="10" t="s">
        <v>1469</v>
      </c>
      <c r="C343" s="60" t="s">
        <v>1470</v>
      </c>
      <c r="D343" s="13" t="s">
        <v>199</v>
      </c>
      <c r="E343" s="6" t="s">
        <v>199</v>
      </c>
      <c r="F343" s="17" t="s">
        <v>2422</v>
      </c>
      <c r="G343" s="17"/>
      <c r="H343" s="17" t="s">
        <v>2419</v>
      </c>
      <c r="I343" s="6" t="s">
        <v>2420</v>
      </c>
      <c r="J343" s="35" t="s">
        <v>2421</v>
      </c>
      <c r="K343" s="17" t="s">
        <v>2422</v>
      </c>
      <c r="L343" s="18" t="str">
        <f t="shared" si="5"/>
        <v>0342</v>
      </c>
      <c r="M343" s="18" t="s">
        <v>38</v>
      </c>
      <c r="N343" s="61" t="s">
        <v>1483</v>
      </c>
      <c r="O343" s="20" t="s">
        <v>1484</v>
      </c>
    </row>
    <row r="344" spans="1:15" ht="15.75" customHeight="1">
      <c r="A344" s="10" t="s">
        <v>2423</v>
      </c>
      <c r="B344" s="10" t="s">
        <v>1469</v>
      </c>
      <c r="C344" s="60" t="s">
        <v>1470</v>
      </c>
      <c r="D344" s="13" t="s">
        <v>162</v>
      </c>
      <c r="E344" s="43" t="s">
        <v>285</v>
      </c>
      <c r="F344" s="17" t="s">
        <v>2428</v>
      </c>
      <c r="G344" s="17"/>
      <c r="H344" s="17" t="s">
        <v>663</v>
      </c>
      <c r="I344" s="32" t="s">
        <v>664</v>
      </c>
      <c r="J344" s="109" t="s">
        <v>2427</v>
      </c>
      <c r="K344" s="17" t="s">
        <v>2428</v>
      </c>
      <c r="L344" s="18" t="str">
        <f t="shared" si="5"/>
        <v>0343</v>
      </c>
      <c r="M344" s="18" t="s">
        <v>38</v>
      </c>
      <c r="N344" s="61" t="s">
        <v>1483</v>
      </c>
      <c r="O344" s="20" t="s">
        <v>1484</v>
      </c>
    </row>
    <row r="345" spans="1:15" ht="15.75" customHeight="1">
      <c r="A345" s="10" t="s">
        <v>2429</v>
      </c>
      <c r="B345" s="10" t="s">
        <v>1469</v>
      </c>
      <c r="C345" s="60" t="s">
        <v>1470</v>
      </c>
      <c r="D345" s="13" t="s">
        <v>2311</v>
      </c>
      <c r="E345" s="6" t="s">
        <v>2430</v>
      </c>
      <c r="F345" s="17" t="s">
        <v>2437</v>
      </c>
      <c r="G345" s="17"/>
      <c r="H345" s="17" t="s">
        <v>2317</v>
      </c>
      <c r="I345" s="6" t="s">
        <v>2435</v>
      </c>
      <c r="J345" s="17" t="s">
        <v>2436</v>
      </c>
      <c r="K345" s="17" t="s">
        <v>2437</v>
      </c>
      <c r="L345" s="18" t="str">
        <f t="shared" si="5"/>
        <v>0344</v>
      </c>
      <c r="M345" s="18" t="s">
        <v>38</v>
      </c>
      <c r="N345" s="61" t="s">
        <v>1483</v>
      </c>
      <c r="O345" s="20" t="s">
        <v>1484</v>
      </c>
    </row>
    <row r="346" spans="1:15" ht="15.75" customHeight="1">
      <c r="A346" s="10" t="s">
        <v>2438</v>
      </c>
      <c r="B346" s="10" t="s">
        <v>1469</v>
      </c>
      <c r="C346" s="60" t="s">
        <v>1470</v>
      </c>
      <c r="D346" s="13" t="s">
        <v>151</v>
      </c>
      <c r="E346" s="6" t="s">
        <v>2439</v>
      </c>
      <c r="F346" s="17" t="s">
        <v>2446</v>
      </c>
      <c r="G346" s="17"/>
      <c r="H346" s="17" t="s">
        <v>703</v>
      </c>
      <c r="I346" s="6" t="s">
        <v>2444</v>
      </c>
      <c r="J346" s="35" t="s">
        <v>2445</v>
      </c>
      <c r="K346" s="17" t="s">
        <v>2446</v>
      </c>
      <c r="L346" s="18" t="str">
        <f t="shared" si="5"/>
        <v>0345</v>
      </c>
      <c r="M346" s="18" t="s">
        <v>38</v>
      </c>
      <c r="N346" s="61" t="s">
        <v>1483</v>
      </c>
      <c r="O346" s="20" t="s">
        <v>1484</v>
      </c>
    </row>
    <row r="347" spans="1:15" ht="15.75" customHeight="1">
      <c r="A347" s="10" t="s">
        <v>2447</v>
      </c>
      <c r="B347" s="10" t="s">
        <v>1469</v>
      </c>
      <c r="C347" s="60" t="s">
        <v>1470</v>
      </c>
      <c r="D347" s="13" t="s">
        <v>93</v>
      </c>
      <c r="E347" s="6" t="s">
        <v>1380</v>
      </c>
      <c r="F347" s="17" t="s">
        <v>2451</v>
      </c>
      <c r="G347" s="17"/>
      <c r="H347" s="17" t="s">
        <v>35</v>
      </c>
      <c r="I347" s="49" t="s">
        <v>35</v>
      </c>
      <c r="J347" s="17" t="s">
        <v>36</v>
      </c>
      <c r="K347" s="17" t="s">
        <v>2451</v>
      </c>
      <c r="L347" s="18" t="str">
        <f t="shared" si="5"/>
        <v>0346</v>
      </c>
      <c r="M347" s="18" t="s">
        <v>38</v>
      </c>
      <c r="N347" s="61" t="s">
        <v>1483</v>
      </c>
      <c r="O347" s="20" t="s">
        <v>1484</v>
      </c>
    </row>
    <row r="348" spans="1:15" ht="15.75" customHeight="1">
      <c r="A348" s="10" t="s">
        <v>2452</v>
      </c>
      <c r="B348" s="10" t="s">
        <v>1469</v>
      </c>
      <c r="C348" s="60" t="s">
        <v>1470</v>
      </c>
      <c r="D348" s="13" t="s">
        <v>116</v>
      </c>
      <c r="E348" s="43" t="s">
        <v>2453</v>
      </c>
      <c r="F348" s="17" t="s">
        <v>2458</v>
      </c>
      <c r="G348" s="17"/>
      <c r="H348" s="17" t="s">
        <v>35</v>
      </c>
      <c r="I348" s="49" t="s">
        <v>35</v>
      </c>
      <c r="J348" s="17" t="s">
        <v>36</v>
      </c>
      <c r="K348" s="17" t="s">
        <v>2458</v>
      </c>
      <c r="L348" s="18" t="str">
        <f t="shared" si="5"/>
        <v>0347</v>
      </c>
      <c r="M348" s="18" t="s">
        <v>38</v>
      </c>
      <c r="N348" s="61" t="s">
        <v>1483</v>
      </c>
      <c r="O348" s="20" t="s">
        <v>1484</v>
      </c>
    </row>
    <row r="349" spans="1:15" ht="15.75" customHeight="1">
      <c r="A349" s="10" t="s">
        <v>2459</v>
      </c>
      <c r="B349" s="10" t="s">
        <v>1469</v>
      </c>
      <c r="C349" s="60" t="s">
        <v>1470</v>
      </c>
      <c r="D349" s="13" t="s">
        <v>93</v>
      </c>
      <c r="E349" s="6" t="s">
        <v>2460</v>
      </c>
      <c r="F349" s="17" t="s">
        <v>2465</v>
      </c>
      <c r="G349" s="17"/>
      <c r="H349" s="17" t="s">
        <v>35</v>
      </c>
      <c r="I349" s="6" t="s">
        <v>35</v>
      </c>
      <c r="J349" s="17" t="s">
        <v>36</v>
      </c>
      <c r="K349" s="17" t="s">
        <v>2465</v>
      </c>
      <c r="L349" s="18" t="str">
        <f t="shared" si="5"/>
        <v>0348</v>
      </c>
      <c r="M349" s="18" t="s">
        <v>38</v>
      </c>
      <c r="N349" s="61" t="s">
        <v>1483</v>
      </c>
      <c r="O349" s="20" t="s">
        <v>2466</v>
      </c>
    </row>
    <row r="350" spans="1:15" ht="15.75" customHeight="1">
      <c r="A350" s="10" t="s">
        <v>2467</v>
      </c>
      <c r="B350" s="10" t="s">
        <v>1469</v>
      </c>
      <c r="C350" s="60" t="s">
        <v>1470</v>
      </c>
      <c r="D350" s="13" t="s">
        <v>378</v>
      </c>
      <c r="E350" s="6" t="s">
        <v>878</v>
      </c>
      <c r="F350" s="35" t="s">
        <v>7283</v>
      </c>
      <c r="G350" s="17"/>
      <c r="H350" s="17" t="s">
        <v>35</v>
      </c>
      <c r="I350" s="6" t="s">
        <v>35</v>
      </c>
      <c r="J350" s="17" t="s">
        <v>36</v>
      </c>
      <c r="K350" s="35" t="s">
        <v>7283</v>
      </c>
      <c r="L350" s="18" t="str">
        <f t="shared" si="5"/>
        <v>0349</v>
      </c>
      <c r="M350" s="18" t="s">
        <v>38</v>
      </c>
      <c r="N350" s="61" t="s">
        <v>1483</v>
      </c>
      <c r="O350" s="20" t="s">
        <v>1484</v>
      </c>
    </row>
    <row r="351" spans="1:15" ht="15.75" customHeight="1">
      <c r="A351" s="10" t="s">
        <v>2473</v>
      </c>
      <c r="B351" s="10" t="s">
        <v>1469</v>
      </c>
      <c r="C351" s="60" t="s">
        <v>1470</v>
      </c>
      <c r="D351" s="13" t="s">
        <v>378</v>
      </c>
      <c r="E351" s="6" t="s">
        <v>878</v>
      </c>
      <c r="F351" s="17" t="s">
        <v>2478</v>
      </c>
      <c r="G351" s="17"/>
      <c r="H351" s="17" t="s">
        <v>35</v>
      </c>
      <c r="I351" s="6" t="s">
        <v>35</v>
      </c>
      <c r="J351" s="17" t="s">
        <v>36</v>
      </c>
      <c r="K351" s="17" t="s">
        <v>2478</v>
      </c>
      <c r="L351" s="18" t="str">
        <f t="shared" si="5"/>
        <v>0350</v>
      </c>
      <c r="M351" s="18" t="s">
        <v>38</v>
      </c>
      <c r="N351" s="61" t="s">
        <v>1483</v>
      </c>
      <c r="O351" s="20" t="s">
        <v>1484</v>
      </c>
    </row>
    <row r="352" spans="1:15" ht="15.75" customHeight="1">
      <c r="A352" s="10" t="s">
        <v>2479</v>
      </c>
      <c r="B352" s="10" t="s">
        <v>27</v>
      </c>
      <c r="C352" s="63" t="s">
        <v>28</v>
      </c>
      <c r="D352" s="13" t="s">
        <v>378</v>
      </c>
      <c r="E352" s="43" t="s">
        <v>2480</v>
      </c>
      <c r="F352" s="17" t="s">
        <v>2485</v>
      </c>
      <c r="G352" s="17"/>
      <c r="H352" s="17" t="s">
        <v>35</v>
      </c>
      <c r="I352" s="6" t="s">
        <v>35</v>
      </c>
      <c r="J352" s="17" t="s">
        <v>36</v>
      </c>
      <c r="K352" s="17" t="s">
        <v>2485</v>
      </c>
      <c r="L352" s="18" t="str">
        <f t="shared" si="5"/>
        <v>0351</v>
      </c>
      <c r="M352" s="18" t="s">
        <v>2309</v>
      </c>
      <c r="N352" s="61" t="s">
        <v>147</v>
      </c>
      <c r="O352" s="20" t="s">
        <v>385</v>
      </c>
    </row>
    <row r="353" spans="1:15" ht="15.75" customHeight="1">
      <c r="A353" s="10" t="s">
        <v>2486</v>
      </c>
      <c r="B353" s="10" t="s">
        <v>27</v>
      </c>
      <c r="C353" s="63" t="s">
        <v>28</v>
      </c>
      <c r="D353" s="13" t="s">
        <v>184</v>
      </c>
      <c r="E353" s="43" t="s">
        <v>2677</v>
      </c>
      <c r="F353" s="17" t="s">
        <v>2492</v>
      </c>
      <c r="G353" s="17"/>
      <c r="H353" s="17" t="s">
        <v>35</v>
      </c>
      <c r="I353" s="6" t="s">
        <v>35</v>
      </c>
      <c r="J353" s="17" t="s">
        <v>36</v>
      </c>
      <c r="K353" s="17" t="s">
        <v>2492</v>
      </c>
      <c r="L353" s="18" t="str">
        <f t="shared" si="5"/>
        <v>0352</v>
      </c>
      <c r="M353" s="18" t="s">
        <v>549</v>
      </c>
      <c r="N353" s="61" t="s">
        <v>147</v>
      </c>
      <c r="O353" s="20" t="s">
        <v>385</v>
      </c>
    </row>
    <row r="354" spans="1:15" ht="15.75" customHeight="1">
      <c r="A354" s="10" t="s">
        <v>2493</v>
      </c>
      <c r="B354" s="10" t="s">
        <v>1469</v>
      </c>
      <c r="C354" s="60" t="s">
        <v>1470</v>
      </c>
      <c r="D354" s="13" t="s">
        <v>199</v>
      </c>
      <c r="E354" s="6" t="s">
        <v>677</v>
      </c>
      <c r="F354" s="17" t="s">
        <v>2499</v>
      </c>
      <c r="G354" s="17"/>
      <c r="H354" s="17" t="s">
        <v>682</v>
      </c>
      <c r="I354" s="32" t="s">
        <v>2497</v>
      </c>
      <c r="J354" s="17" t="s">
        <v>2498</v>
      </c>
      <c r="K354" s="17" t="s">
        <v>2499</v>
      </c>
      <c r="L354" s="18" t="str">
        <f t="shared" si="5"/>
        <v>0353</v>
      </c>
      <c r="M354" s="18" t="s">
        <v>38</v>
      </c>
      <c r="N354" s="61" t="s">
        <v>1483</v>
      </c>
      <c r="O354" s="20" t="s">
        <v>2500</v>
      </c>
    </row>
    <row r="355" spans="1:15" ht="15.75" customHeight="1">
      <c r="A355" s="10" t="s">
        <v>2501</v>
      </c>
      <c r="B355" s="10" t="s">
        <v>27</v>
      </c>
      <c r="C355" s="63" t="s">
        <v>28</v>
      </c>
      <c r="D355" s="13" t="s">
        <v>2502</v>
      </c>
      <c r="E355" s="43" t="s">
        <v>2503</v>
      </c>
      <c r="F355" s="17" t="s">
        <v>85</v>
      </c>
      <c r="G355" s="17"/>
      <c r="H355" s="17" t="s">
        <v>2508</v>
      </c>
      <c r="I355" s="6" t="s">
        <v>2509</v>
      </c>
      <c r="J355" s="17" t="s">
        <v>2510</v>
      </c>
      <c r="K355" s="17" t="s">
        <v>85</v>
      </c>
      <c r="L355" s="18" t="str">
        <f t="shared" si="5"/>
        <v>0354</v>
      </c>
      <c r="M355" s="50" t="s">
        <v>2511</v>
      </c>
      <c r="N355" s="61" t="s">
        <v>147</v>
      </c>
      <c r="O355" s="20" t="s">
        <v>385</v>
      </c>
    </row>
    <row r="356" spans="1:15" ht="15.75" customHeight="1">
      <c r="A356" s="10" t="s">
        <v>2512</v>
      </c>
      <c r="B356" s="10" t="s">
        <v>1469</v>
      </c>
      <c r="C356" s="60" t="s">
        <v>1470</v>
      </c>
      <c r="D356" s="13" t="s">
        <v>151</v>
      </c>
      <c r="E356" s="6" t="s">
        <v>152</v>
      </c>
      <c r="F356" s="17" t="s">
        <v>85</v>
      </c>
      <c r="G356" s="17"/>
      <c r="H356" s="17" t="s">
        <v>297</v>
      </c>
      <c r="I356" s="6" t="s">
        <v>1620</v>
      </c>
      <c r="J356" s="17" t="s">
        <v>2517</v>
      </c>
      <c r="K356" s="17" t="s">
        <v>85</v>
      </c>
      <c r="L356" s="18" t="str">
        <f t="shared" si="5"/>
        <v>0355</v>
      </c>
      <c r="M356" s="18" t="s">
        <v>38</v>
      </c>
      <c r="N356" s="61" t="s">
        <v>1483</v>
      </c>
      <c r="O356" s="20" t="s">
        <v>2518</v>
      </c>
    </row>
    <row r="357" spans="1:15" ht="15.75" customHeight="1">
      <c r="A357" s="10" t="s">
        <v>2519</v>
      </c>
      <c r="B357" s="10" t="s">
        <v>27</v>
      </c>
      <c r="C357" s="63" t="s">
        <v>28</v>
      </c>
      <c r="D357" s="13" t="s">
        <v>162</v>
      </c>
      <c r="E357" s="43" t="s">
        <v>285</v>
      </c>
      <c r="F357" s="35" t="s">
        <v>7284</v>
      </c>
      <c r="G357" s="17"/>
      <c r="H357" s="17" t="s">
        <v>168</v>
      </c>
      <c r="I357" s="6" t="s">
        <v>169</v>
      </c>
      <c r="J357" s="17" t="s">
        <v>2524</v>
      </c>
      <c r="K357" s="35" t="s">
        <v>7284</v>
      </c>
      <c r="L357" s="18" t="str">
        <f t="shared" si="5"/>
        <v>0356</v>
      </c>
      <c r="M357" s="18" t="s">
        <v>2309</v>
      </c>
      <c r="N357" s="61" t="s">
        <v>1483</v>
      </c>
      <c r="O357" s="20" t="s">
        <v>385</v>
      </c>
    </row>
    <row r="358" spans="1:15" ht="15.75" customHeight="1">
      <c r="A358" s="10" t="s">
        <v>2526</v>
      </c>
      <c r="B358" s="10" t="s">
        <v>1469</v>
      </c>
      <c r="C358" s="60" t="s">
        <v>1470</v>
      </c>
      <c r="D358" s="13" t="s">
        <v>93</v>
      </c>
      <c r="E358" s="6" t="s">
        <v>2527</v>
      </c>
      <c r="F358" s="17" t="s">
        <v>2532</v>
      </c>
      <c r="G358" s="17"/>
      <c r="H358" s="17" t="s">
        <v>35</v>
      </c>
      <c r="I358" s="6" t="s">
        <v>35</v>
      </c>
      <c r="J358" s="17" t="s">
        <v>36</v>
      </c>
      <c r="K358" s="17" t="s">
        <v>2532</v>
      </c>
      <c r="L358" s="18" t="str">
        <f t="shared" si="5"/>
        <v>0357</v>
      </c>
      <c r="M358" s="18" t="s">
        <v>38</v>
      </c>
      <c r="N358" s="61" t="s">
        <v>1483</v>
      </c>
      <c r="O358" s="20" t="s">
        <v>2337</v>
      </c>
    </row>
    <row r="359" spans="1:15" ht="15.75" customHeight="1">
      <c r="A359" s="10" t="s">
        <v>2534</v>
      </c>
      <c r="B359" s="10" t="s">
        <v>1469</v>
      </c>
      <c r="C359" s="60" t="s">
        <v>1470</v>
      </c>
      <c r="D359" s="13" t="s">
        <v>248</v>
      </c>
      <c r="E359" s="6" t="s">
        <v>2535</v>
      </c>
      <c r="F359" s="17" t="s">
        <v>2543</v>
      </c>
      <c r="G359" s="17"/>
      <c r="H359" s="17" t="s">
        <v>2540</v>
      </c>
      <c r="I359" s="6" t="s">
        <v>2541</v>
      </c>
      <c r="J359" s="46" t="s">
        <v>2542</v>
      </c>
      <c r="K359" s="17" t="s">
        <v>2543</v>
      </c>
      <c r="L359" s="18" t="str">
        <f t="shared" si="5"/>
        <v>0358</v>
      </c>
      <c r="M359" s="18" t="s">
        <v>2544</v>
      </c>
      <c r="N359" s="61" t="s">
        <v>1483</v>
      </c>
      <c r="O359" s="10" t="s">
        <v>1484</v>
      </c>
    </row>
    <row r="360" spans="1:15" ht="15.75" customHeight="1">
      <c r="A360" s="10" t="s">
        <v>2545</v>
      </c>
      <c r="B360" s="10" t="s">
        <v>1469</v>
      </c>
      <c r="C360" s="60" t="s">
        <v>1470</v>
      </c>
      <c r="D360" s="13" t="s">
        <v>116</v>
      </c>
      <c r="E360" s="43" t="s">
        <v>2546</v>
      </c>
      <c r="F360" s="17" t="s">
        <v>2551</v>
      </c>
      <c r="G360" s="17"/>
      <c r="H360" s="17" t="s">
        <v>35</v>
      </c>
      <c r="I360" s="49" t="s">
        <v>35</v>
      </c>
      <c r="J360" s="17" t="s">
        <v>36</v>
      </c>
      <c r="K360" s="17" t="s">
        <v>2551</v>
      </c>
      <c r="L360" s="18" t="str">
        <f t="shared" si="5"/>
        <v>0359</v>
      </c>
      <c r="M360" s="18" t="s">
        <v>38</v>
      </c>
      <c r="N360" s="61" t="s">
        <v>1483</v>
      </c>
      <c r="O360" s="20" t="s">
        <v>2518</v>
      </c>
    </row>
    <row r="361" spans="1:15" ht="15.75" customHeight="1">
      <c r="A361" s="10" t="s">
        <v>2553</v>
      </c>
      <c r="B361" s="10" t="s">
        <v>1469</v>
      </c>
      <c r="C361" s="60" t="s">
        <v>1470</v>
      </c>
      <c r="D361" s="13" t="s">
        <v>151</v>
      </c>
      <c r="E361" s="6" t="s">
        <v>152</v>
      </c>
      <c r="F361" s="17" t="s">
        <v>2559</v>
      </c>
      <c r="G361" s="17"/>
      <c r="H361" s="17" t="s">
        <v>205</v>
      </c>
      <c r="I361" s="6" t="s">
        <v>916</v>
      </c>
      <c r="J361" s="17" t="s">
        <v>2558</v>
      </c>
      <c r="K361" s="17" t="s">
        <v>2559</v>
      </c>
      <c r="L361" s="18" t="str">
        <f t="shared" si="5"/>
        <v>0360</v>
      </c>
      <c r="M361" s="18" t="s">
        <v>38</v>
      </c>
      <c r="N361" s="61" t="s">
        <v>1483</v>
      </c>
      <c r="O361" s="20" t="s">
        <v>1484</v>
      </c>
    </row>
    <row r="362" spans="1:15" ht="15.75" customHeight="1">
      <c r="A362" s="10" t="s">
        <v>2560</v>
      </c>
      <c r="B362" s="10" t="s">
        <v>1469</v>
      </c>
      <c r="C362" s="60" t="s">
        <v>1470</v>
      </c>
      <c r="D362" s="13" t="s">
        <v>1240</v>
      </c>
      <c r="E362" s="43" t="s">
        <v>278</v>
      </c>
      <c r="F362" s="35" t="s">
        <v>7285</v>
      </c>
      <c r="G362" s="17"/>
      <c r="H362" s="17" t="s">
        <v>35</v>
      </c>
      <c r="I362" s="6" t="s">
        <v>35</v>
      </c>
      <c r="J362" s="17" t="s">
        <v>36</v>
      </c>
      <c r="K362" s="35" t="s">
        <v>7285</v>
      </c>
      <c r="L362" s="18" t="str">
        <f t="shared" si="5"/>
        <v>0361</v>
      </c>
      <c r="M362" s="18" t="s">
        <v>38</v>
      </c>
      <c r="N362" s="61" t="s">
        <v>1483</v>
      </c>
      <c r="O362" s="20" t="s">
        <v>2518</v>
      </c>
    </row>
    <row r="363" spans="1:15" ht="15.75" customHeight="1">
      <c r="A363" s="10" t="s">
        <v>2566</v>
      </c>
      <c r="B363" s="10" t="s">
        <v>1469</v>
      </c>
      <c r="C363" s="60" t="s">
        <v>1470</v>
      </c>
      <c r="D363" s="13" t="s">
        <v>248</v>
      </c>
      <c r="E363" s="43" t="s">
        <v>248</v>
      </c>
      <c r="F363" s="17" t="s">
        <v>2572</v>
      </c>
      <c r="G363" s="17"/>
      <c r="H363" s="17" t="s">
        <v>250</v>
      </c>
      <c r="I363" s="6" t="s">
        <v>35</v>
      </c>
      <c r="J363" s="17" t="s">
        <v>2571</v>
      </c>
      <c r="K363" s="17" t="s">
        <v>2572</v>
      </c>
      <c r="L363" s="18" t="str">
        <f t="shared" si="5"/>
        <v>0362</v>
      </c>
      <c r="M363" s="18" t="s">
        <v>38</v>
      </c>
      <c r="N363" s="61" t="s">
        <v>1483</v>
      </c>
      <c r="O363" s="20" t="s">
        <v>2518</v>
      </c>
    </row>
    <row r="364" spans="1:15" ht="15.75" customHeight="1">
      <c r="A364" s="10" t="s">
        <v>2573</v>
      </c>
      <c r="B364" s="10" t="s">
        <v>1469</v>
      </c>
      <c r="C364" s="60" t="s">
        <v>1470</v>
      </c>
      <c r="D364" s="13" t="s">
        <v>199</v>
      </c>
      <c r="E364" s="43" t="s">
        <v>1394</v>
      </c>
      <c r="F364" s="17" t="s">
        <v>2579</v>
      </c>
      <c r="G364" s="17"/>
      <c r="H364" s="17" t="s">
        <v>297</v>
      </c>
      <c r="I364" s="6" t="s">
        <v>2009</v>
      </c>
      <c r="J364" s="17" t="s">
        <v>2578</v>
      </c>
      <c r="K364" s="17" t="s">
        <v>2579</v>
      </c>
      <c r="L364" s="18" t="str">
        <f t="shared" si="5"/>
        <v>0363</v>
      </c>
      <c r="M364" s="18" t="s">
        <v>38</v>
      </c>
      <c r="N364" s="61" t="s">
        <v>1483</v>
      </c>
      <c r="O364" s="20" t="s">
        <v>2337</v>
      </c>
    </row>
    <row r="365" spans="1:15" ht="15.75" customHeight="1">
      <c r="A365" s="10" t="s">
        <v>2580</v>
      </c>
      <c r="B365" s="10" t="s">
        <v>1469</v>
      </c>
      <c r="C365" s="60" t="s">
        <v>1470</v>
      </c>
      <c r="D365" s="13" t="s">
        <v>43</v>
      </c>
      <c r="E365" s="6" t="s">
        <v>2581</v>
      </c>
      <c r="F365" s="10" t="s">
        <v>2588</v>
      </c>
      <c r="G365" s="17"/>
      <c r="H365" s="17" t="s">
        <v>2586</v>
      </c>
      <c r="I365" s="6" t="s">
        <v>2587</v>
      </c>
      <c r="J365" s="17" t="s">
        <v>36</v>
      </c>
      <c r="K365" s="10" t="s">
        <v>2588</v>
      </c>
      <c r="L365" s="18" t="str">
        <f t="shared" si="5"/>
        <v>0364</v>
      </c>
      <c r="M365" s="18" t="s">
        <v>100</v>
      </c>
      <c r="N365" s="61" t="s">
        <v>1483</v>
      </c>
      <c r="O365" s="20" t="s">
        <v>2518</v>
      </c>
    </row>
    <row r="366" spans="1:15" ht="15.75" customHeight="1">
      <c r="A366" s="10" t="s">
        <v>2589</v>
      </c>
      <c r="B366" s="10" t="s">
        <v>1469</v>
      </c>
      <c r="C366" s="60" t="s">
        <v>1470</v>
      </c>
      <c r="D366" s="13" t="s">
        <v>184</v>
      </c>
      <c r="E366" s="6" t="s">
        <v>927</v>
      </c>
      <c r="F366" s="17" t="s">
        <v>2594</v>
      </c>
      <c r="G366" s="17"/>
      <c r="H366" s="17" t="s">
        <v>35</v>
      </c>
      <c r="I366" s="6" t="s">
        <v>35</v>
      </c>
      <c r="J366" s="17" t="s">
        <v>36</v>
      </c>
      <c r="K366" s="17" t="s">
        <v>2594</v>
      </c>
      <c r="L366" s="18" t="str">
        <f t="shared" si="5"/>
        <v>0365</v>
      </c>
      <c r="M366" s="18" t="s">
        <v>38</v>
      </c>
      <c r="N366" s="61" t="s">
        <v>1483</v>
      </c>
      <c r="O366" s="20" t="s">
        <v>2337</v>
      </c>
    </row>
    <row r="367" spans="1:15" ht="15.75" customHeight="1">
      <c r="A367" s="10" t="s">
        <v>2595</v>
      </c>
      <c r="B367" s="10" t="s">
        <v>1469</v>
      </c>
      <c r="C367" s="60" t="s">
        <v>1470</v>
      </c>
      <c r="D367" s="13" t="s">
        <v>2311</v>
      </c>
      <c r="E367" s="6" t="s">
        <v>2596</v>
      </c>
      <c r="F367" s="32" t="s">
        <v>85</v>
      </c>
      <c r="G367" s="17"/>
      <c r="H367" s="17" t="s">
        <v>2599</v>
      </c>
      <c r="I367" s="6" t="s">
        <v>2600</v>
      </c>
      <c r="J367" s="6" t="s">
        <v>2601</v>
      </c>
      <c r="K367" s="32" t="s">
        <v>85</v>
      </c>
      <c r="L367" s="18" t="str">
        <f t="shared" si="5"/>
        <v>0366</v>
      </c>
      <c r="M367" s="18" t="s">
        <v>38</v>
      </c>
      <c r="N367" s="61" t="s">
        <v>1483</v>
      </c>
      <c r="O367" s="20" t="s">
        <v>2466</v>
      </c>
    </row>
    <row r="368" spans="1:15" ht="15.75" customHeight="1">
      <c r="A368" s="10" t="s">
        <v>2602</v>
      </c>
      <c r="B368" s="10" t="s">
        <v>1469</v>
      </c>
      <c r="C368" s="60" t="s">
        <v>1470</v>
      </c>
      <c r="D368" s="13" t="s">
        <v>151</v>
      </c>
      <c r="E368" s="6" t="s">
        <v>151</v>
      </c>
      <c r="F368" s="10" t="s">
        <v>2608</v>
      </c>
      <c r="G368" s="17"/>
      <c r="H368" s="17" t="s">
        <v>297</v>
      </c>
      <c r="I368" s="6" t="s">
        <v>1407</v>
      </c>
      <c r="J368" s="17" t="s">
        <v>2607</v>
      </c>
      <c r="K368" s="10" t="s">
        <v>2608</v>
      </c>
      <c r="L368" s="18" t="str">
        <f t="shared" si="5"/>
        <v>0367</v>
      </c>
      <c r="M368" s="18" t="s">
        <v>38</v>
      </c>
      <c r="N368" s="61" t="s">
        <v>1483</v>
      </c>
      <c r="O368" s="22" t="s">
        <v>2500</v>
      </c>
    </row>
    <row r="369" spans="1:15" ht="15.75" customHeight="1">
      <c r="A369" s="10" t="s">
        <v>2609</v>
      </c>
      <c r="B369" s="10" t="s">
        <v>1469</v>
      </c>
      <c r="C369" s="60" t="s">
        <v>1470</v>
      </c>
      <c r="D369" s="13" t="s">
        <v>151</v>
      </c>
      <c r="E369" s="6" t="s">
        <v>151</v>
      </c>
      <c r="F369" s="10" t="s">
        <v>2615</v>
      </c>
      <c r="G369" s="17"/>
      <c r="H369" s="17" t="s">
        <v>297</v>
      </c>
      <c r="I369" s="6" t="s">
        <v>1407</v>
      </c>
      <c r="J369" s="109" t="s">
        <v>2614</v>
      </c>
      <c r="K369" s="10" t="s">
        <v>2615</v>
      </c>
      <c r="L369" s="18" t="str">
        <f t="shared" si="5"/>
        <v>0368</v>
      </c>
      <c r="M369" s="18" t="s">
        <v>38</v>
      </c>
      <c r="N369" s="61" t="s">
        <v>1483</v>
      </c>
      <c r="O369" s="22" t="s">
        <v>2500</v>
      </c>
    </row>
    <row r="370" spans="1:15" ht="15.75" customHeight="1">
      <c r="A370" s="10" t="s">
        <v>2616</v>
      </c>
      <c r="B370" s="10" t="s">
        <v>1469</v>
      </c>
      <c r="C370" s="60" t="s">
        <v>1470</v>
      </c>
      <c r="D370" s="13" t="s">
        <v>199</v>
      </c>
      <c r="E370" s="43" t="s">
        <v>1394</v>
      </c>
      <c r="F370" s="17" t="s">
        <v>2622</v>
      </c>
      <c r="G370" s="17"/>
      <c r="H370" s="17" t="s">
        <v>297</v>
      </c>
      <c r="I370" s="10" t="s">
        <v>2009</v>
      </c>
      <c r="J370" s="109" t="s">
        <v>2621</v>
      </c>
      <c r="K370" s="17" t="s">
        <v>2622</v>
      </c>
      <c r="L370" s="18" t="str">
        <f t="shared" si="5"/>
        <v>0369</v>
      </c>
      <c r="M370" s="18" t="s">
        <v>38</v>
      </c>
      <c r="N370" s="61" t="s">
        <v>1483</v>
      </c>
      <c r="O370" s="22" t="s">
        <v>2500</v>
      </c>
    </row>
    <row r="371" spans="1:15" ht="15.75" customHeight="1">
      <c r="A371" s="10" t="s">
        <v>2623</v>
      </c>
      <c r="B371" s="10" t="s">
        <v>1469</v>
      </c>
      <c r="C371" s="60" t="s">
        <v>1470</v>
      </c>
      <c r="D371" s="13" t="s">
        <v>2311</v>
      </c>
      <c r="E371" s="6" t="s">
        <v>2624</v>
      </c>
      <c r="F371" s="10" t="s">
        <v>2632</v>
      </c>
      <c r="G371" s="17"/>
      <c r="H371" s="17" t="s">
        <v>2629</v>
      </c>
      <c r="I371" s="114" t="s">
        <v>2630</v>
      </c>
      <c r="J371" s="17" t="s">
        <v>2631</v>
      </c>
      <c r="K371" s="10" t="s">
        <v>2632</v>
      </c>
      <c r="L371" s="18" t="str">
        <f t="shared" si="5"/>
        <v>0370</v>
      </c>
      <c r="M371" s="18" t="s">
        <v>38</v>
      </c>
      <c r="N371" s="61" t="s">
        <v>1483</v>
      </c>
      <c r="O371" s="22" t="s">
        <v>2500</v>
      </c>
    </row>
    <row r="372" spans="1:15" ht="15.75" customHeight="1">
      <c r="A372" s="10" t="s">
        <v>2633</v>
      </c>
      <c r="B372" s="10" t="s">
        <v>1469</v>
      </c>
      <c r="C372" s="63" t="s">
        <v>28</v>
      </c>
      <c r="D372" s="13" t="s">
        <v>136</v>
      </c>
      <c r="E372" s="43" t="s">
        <v>136</v>
      </c>
      <c r="F372" s="10" t="s">
        <v>2639</v>
      </c>
      <c r="G372" s="17"/>
      <c r="H372" s="17" t="s">
        <v>143</v>
      </c>
      <c r="I372" s="6" t="s">
        <v>1330</v>
      </c>
      <c r="J372" s="17" t="s">
        <v>2638</v>
      </c>
      <c r="K372" s="10" t="s">
        <v>2639</v>
      </c>
      <c r="L372" s="18" t="str">
        <f t="shared" si="5"/>
        <v>0371</v>
      </c>
      <c r="M372" s="50" t="s">
        <v>142</v>
      </c>
      <c r="N372" s="61" t="s">
        <v>147</v>
      </c>
      <c r="O372" s="20" t="s">
        <v>385</v>
      </c>
    </row>
    <row r="373" spans="1:15" ht="15.75" customHeight="1">
      <c r="A373" s="10" t="s">
        <v>2640</v>
      </c>
      <c r="B373" s="10" t="s">
        <v>1469</v>
      </c>
      <c r="C373" s="60" t="s">
        <v>1470</v>
      </c>
      <c r="D373" s="13" t="s">
        <v>43</v>
      </c>
      <c r="E373" s="6" t="s">
        <v>2641</v>
      </c>
      <c r="F373" s="17" t="s">
        <v>2647</v>
      </c>
      <c r="G373" s="17"/>
      <c r="H373" s="17" t="s">
        <v>406</v>
      </c>
      <c r="I373" s="6" t="s">
        <v>1271</v>
      </c>
      <c r="J373" s="17" t="s">
        <v>2646</v>
      </c>
      <c r="K373" s="17" t="s">
        <v>2647</v>
      </c>
      <c r="L373" s="18" t="str">
        <f t="shared" si="5"/>
        <v>0372</v>
      </c>
      <c r="M373" s="18" t="s">
        <v>38</v>
      </c>
      <c r="N373" s="61" t="s">
        <v>1483</v>
      </c>
      <c r="O373" s="22" t="s">
        <v>2500</v>
      </c>
    </row>
    <row r="374" spans="1:15" ht="15.75" customHeight="1">
      <c r="A374" s="10" t="s">
        <v>2648</v>
      </c>
      <c r="B374" s="10" t="s">
        <v>1469</v>
      </c>
      <c r="C374" s="60" t="s">
        <v>1470</v>
      </c>
      <c r="D374" s="13" t="s">
        <v>248</v>
      </c>
      <c r="E374" s="6" t="s">
        <v>248</v>
      </c>
      <c r="F374" s="10" t="s">
        <v>2654</v>
      </c>
      <c r="G374" s="17"/>
      <c r="H374" s="17" t="s">
        <v>303</v>
      </c>
      <c r="I374" s="6" t="s">
        <v>304</v>
      </c>
      <c r="J374" s="17" t="s">
        <v>2653</v>
      </c>
      <c r="K374" s="10" t="s">
        <v>2654</v>
      </c>
      <c r="L374" s="18" t="str">
        <f t="shared" si="5"/>
        <v>0373</v>
      </c>
      <c r="M374" s="18" t="s">
        <v>38</v>
      </c>
      <c r="N374" s="61" t="s">
        <v>1483</v>
      </c>
      <c r="O374" s="22" t="s">
        <v>2500</v>
      </c>
    </row>
    <row r="375" spans="1:15" ht="15.75" customHeight="1">
      <c r="A375" s="10" t="s">
        <v>2655</v>
      </c>
      <c r="B375" s="10" t="s">
        <v>1469</v>
      </c>
      <c r="C375" s="60" t="s">
        <v>1470</v>
      </c>
      <c r="D375" s="13" t="s">
        <v>184</v>
      </c>
      <c r="E375" s="6" t="s">
        <v>927</v>
      </c>
      <c r="F375" s="35" t="s">
        <v>7286</v>
      </c>
      <c r="G375" s="17"/>
      <c r="H375" s="17" t="s">
        <v>35</v>
      </c>
      <c r="I375" s="6" t="s">
        <v>35</v>
      </c>
      <c r="J375" s="17" t="s">
        <v>36</v>
      </c>
      <c r="K375" s="35" t="s">
        <v>7286</v>
      </c>
      <c r="L375" s="18" t="str">
        <f t="shared" si="5"/>
        <v>0374</v>
      </c>
      <c r="M375" s="18" t="s">
        <v>38</v>
      </c>
      <c r="N375" s="61" t="s">
        <v>1483</v>
      </c>
      <c r="O375" s="22" t="s">
        <v>2500</v>
      </c>
    </row>
    <row r="376" spans="1:15" ht="15.75" customHeight="1">
      <c r="A376" s="10" t="s">
        <v>2661</v>
      </c>
      <c r="B376" s="10" t="s">
        <v>1469</v>
      </c>
      <c r="C376" s="60" t="s">
        <v>1470</v>
      </c>
      <c r="D376" s="13" t="s">
        <v>116</v>
      </c>
      <c r="E376" s="6" t="s">
        <v>2662</v>
      </c>
      <c r="F376" s="17" t="s">
        <v>2667</v>
      </c>
      <c r="G376" s="17"/>
      <c r="H376" s="17" t="s">
        <v>35</v>
      </c>
      <c r="I376" s="6" t="s">
        <v>35</v>
      </c>
      <c r="J376" s="46" t="s">
        <v>36</v>
      </c>
      <c r="K376" s="17" t="s">
        <v>2667</v>
      </c>
      <c r="L376" s="18" t="str">
        <f t="shared" si="5"/>
        <v>0375</v>
      </c>
      <c r="M376" s="18" t="s">
        <v>38</v>
      </c>
      <c r="N376" s="61" t="s">
        <v>1483</v>
      </c>
      <c r="O376" s="32" t="s">
        <v>2500</v>
      </c>
    </row>
    <row r="377" spans="1:15" ht="15.75" customHeight="1">
      <c r="A377" s="10" t="s">
        <v>2668</v>
      </c>
      <c r="B377" s="10" t="s">
        <v>1469</v>
      </c>
      <c r="C377" s="60" t="s">
        <v>1470</v>
      </c>
      <c r="D377" s="13" t="s">
        <v>43</v>
      </c>
      <c r="E377" s="43" t="s">
        <v>2669</v>
      </c>
      <c r="F377" s="17" t="s">
        <v>2675</v>
      </c>
      <c r="G377" s="17"/>
      <c r="H377" s="17" t="s">
        <v>406</v>
      </c>
      <c r="I377" s="6" t="s">
        <v>2674</v>
      </c>
      <c r="J377" s="17" t="s">
        <v>36</v>
      </c>
      <c r="K377" s="17" t="s">
        <v>2675</v>
      </c>
      <c r="L377" s="18" t="str">
        <f t="shared" si="5"/>
        <v>0376</v>
      </c>
      <c r="M377" s="18" t="s">
        <v>38</v>
      </c>
      <c r="N377" s="61" t="s">
        <v>1483</v>
      </c>
      <c r="O377" s="20" t="s">
        <v>1484</v>
      </c>
    </row>
    <row r="378" spans="1:15" ht="15.75" customHeight="1">
      <c r="A378" s="10" t="s">
        <v>2676</v>
      </c>
      <c r="B378" s="10" t="s">
        <v>27</v>
      </c>
      <c r="C378" s="63" t="s">
        <v>28</v>
      </c>
      <c r="D378" s="13" t="s">
        <v>184</v>
      </c>
      <c r="E378" s="43" t="s">
        <v>2677</v>
      </c>
      <c r="F378" s="17" t="s">
        <v>2682</v>
      </c>
      <c r="G378" s="17"/>
      <c r="H378" s="17" t="s">
        <v>35</v>
      </c>
      <c r="I378" s="6" t="s">
        <v>35</v>
      </c>
      <c r="J378" s="17" t="s">
        <v>36</v>
      </c>
      <c r="K378" s="17" t="s">
        <v>2682</v>
      </c>
      <c r="L378" s="18" t="str">
        <f t="shared" si="5"/>
        <v>0377</v>
      </c>
      <c r="M378" s="18" t="s">
        <v>549</v>
      </c>
      <c r="N378" s="61" t="s">
        <v>147</v>
      </c>
      <c r="O378" s="20" t="s">
        <v>385</v>
      </c>
    </row>
    <row r="379" spans="1:15" ht="15.75" customHeight="1">
      <c r="A379" s="10" t="s">
        <v>2683</v>
      </c>
      <c r="B379" s="10" t="s">
        <v>1469</v>
      </c>
      <c r="C379" s="60" t="s">
        <v>1470</v>
      </c>
      <c r="D379" s="13" t="s">
        <v>2300</v>
      </c>
      <c r="E379" s="6" t="s">
        <v>2300</v>
      </c>
      <c r="F379" s="10" t="s">
        <v>85</v>
      </c>
      <c r="G379" s="17"/>
      <c r="H379" s="17" t="s">
        <v>2599</v>
      </c>
      <c r="I379" s="6" t="s">
        <v>2686</v>
      </c>
      <c r="J379" s="6">
        <v>2159987001653</v>
      </c>
      <c r="K379" s="10" t="s">
        <v>85</v>
      </c>
      <c r="L379" s="18" t="str">
        <f t="shared" si="5"/>
        <v>0378</v>
      </c>
      <c r="M379" s="18" t="s">
        <v>38</v>
      </c>
      <c r="N379" s="61" t="s">
        <v>1483</v>
      </c>
      <c r="O379" s="20" t="s">
        <v>1484</v>
      </c>
    </row>
    <row r="380" spans="1:15" ht="15.75" customHeight="1">
      <c r="A380" s="10" t="s">
        <v>2687</v>
      </c>
      <c r="B380" s="10" t="s">
        <v>1469</v>
      </c>
      <c r="C380" s="60" t="s">
        <v>1470</v>
      </c>
      <c r="D380" s="13" t="s">
        <v>2351</v>
      </c>
      <c r="E380" s="43" t="s">
        <v>2688</v>
      </c>
      <c r="F380" s="10" t="s">
        <v>2695</v>
      </c>
      <c r="G380" s="17"/>
      <c r="H380" s="17" t="s">
        <v>2357</v>
      </c>
      <c r="I380" s="6" t="s">
        <v>2693</v>
      </c>
      <c r="J380" s="17" t="s">
        <v>2694</v>
      </c>
      <c r="K380" s="10" t="s">
        <v>2695</v>
      </c>
      <c r="L380" s="18" t="str">
        <f t="shared" si="5"/>
        <v>0379</v>
      </c>
      <c r="M380" s="18" t="s">
        <v>38</v>
      </c>
      <c r="N380" s="65" t="s">
        <v>1483</v>
      </c>
      <c r="O380" s="20" t="s">
        <v>1484</v>
      </c>
    </row>
    <row r="381" spans="1:15" ht="15.75" customHeight="1">
      <c r="A381" s="10" t="s">
        <v>2696</v>
      </c>
      <c r="B381" s="10" t="s">
        <v>1469</v>
      </c>
      <c r="C381" s="60" t="s">
        <v>1470</v>
      </c>
      <c r="D381" s="13" t="s">
        <v>2311</v>
      </c>
      <c r="E381" s="6" t="s">
        <v>2697</v>
      </c>
      <c r="F381" s="10" t="s">
        <v>2703</v>
      </c>
      <c r="G381" s="17"/>
      <c r="H381" s="17" t="s">
        <v>2701</v>
      </c>
      <c r="I381" s="6" t="s">
        <v>2702</v>
      </c>
      <c r="J381" s="6">
        <v>60344924301373</v>
      </c>
      <c r="K381" s="10" t="s">
        <v>2703</v>
      </c>
      <c r="L381" s="18" t="str">
        <f t="shared" si="5"/>
        <v>0380</v>
      </c>
      <c r="M381" s="18" t="s">
        <v>38</v>
      </c>
      <c r="N381" s="61" t="s">
        <v>1483</v>
      </c>
      <c r="O381" s="20" t="s">
        <v>1484</v>
      </c>
    </row>
    <row r="382" spans="1:15" ht="15.75" customHeight="1">
      <c r="A382" s="10" t="s">
        <v>2704</v>
      </c>
      <c r="B382" s="10" t="s">
        <v>1469</v>
      </c>
      <c r="C382" s="60" t="s">
        <v>1470</v>
      </c>
      <c r="D382" s="13" t="s">
        <v>2311</v>
      </c>
      <c r="E382" s="6" t="s">
        <v>2705</v>
      </c>
      <c r="F382" s="32" t="s">
        <v>2710</v>
      </c>
      <c r="G382" s="17"/>
      <c r="H382" s="17" t="s">
        <v>827</v>
      </c>
      <c r="I382" s="6" t="s">
        <v>2709</v>
      </c>
      <c r="J382" s="6">
        <v>43201404</v>
      </c>
      <c r="K382" s="32" t="s">
        <v>2710</v>
      </c>
      <c r="L382" s="18" t="str">
        <f t="shared" si="5"/>
        <v>0381</v>
      </c>
      <c r="M382" s="18" t="s">
        <v>38</v>
      </c>
      <c r="N382" s="61" t="s">
        <v>1483</v>
      </c>
      <c r="O382" s="10" t="s">
        <v>1484</v>
      </c>
    </row>
    <row r="383" spans="1:15" ht="15.75" customHeight="1">
      <c r="A383" s="10" t="s">
        <v>2711</v>
      </c>
      <c r="B383" s="10" t="s">
        <v>1469</v>
      </c>
      <c r="C383" s="60" t="s">
        <v>1470</v>
      </c>
      <c r="D383" s="13" t="s">
        <v>1275</v>
      </c>
      <c r="E383" s="6" t="s">
        <v>2712</v>
      </c>
      <c r="F383" s="10" t="s">
        <v>2718</v>
      </c>
      <c r="G383" s="17"/>
      <c r="H383" s="17" t="s">
        <v>297</v>
      </c>
      <c r="I383" s="6" t="s">
        <v>2716</v>
      </c>
      <c r="J383" s="6" t="s">
        <v>2717</v>
      </c>
      <c r="K383" s="10" t="s">
        <v>2718</v>
      </c>
      <c r="L383" s="18" t="str">
        <f t="shared" si="5"/>
        <v>0382</v>
      </c>
      <c r="M383" s="18" t="s">
        <v>38</v>
      </c>
      <c r="N383" s="61" t="s">
        <v>1483</v>
      </c>
      <c r="O383" s="20" t="s">
        <v>2518</v>
      </c>
    </row>
    <row r="384" spans="1:15" ht="15.75" customHeight="1">
      <c r="A384" s="10" t="s">
        <v>2719</v>
      </c>
      <c r="B384" s="10" t="s">
        <v>1469</v>
      </c>
      <c r="C384" s="60" t="s">
        <v>1470</v>
      </c>
      <c r="D384" s="13" t="s">
        <v>210</v>
      </c>
      <c r="E384" s="6" t="s">
        <v>2720</v>
      </c>
      <c r="F384" s="10" t="s">
        <v>2726</v>
      </c>
      <c r="G384" s="17"/>
      <c r="H384" s="17" t="s">
        <v>216</v>
      </c>
      <c r="I384" s="6" t="s">
        <v>2724</v>
      </c>
      <c r="J384" s="6" t="s">
        <v>2725</v>
      </c>
      <c r="K384" s="10" t="s">
        <v>2726</v>
      </c>
      <c r="L384" s="18" t="str">
        <f t="shared" si="5"/>
        <v>0383</v>
      </c>
      <c r="M384" s="18" t="s">
        <v>38</v>
      </c>
      <c r="N384" s="61" t="s">
        <v>1483</v>
      </c>
      <c r="O384" s="20" t="s">
        <v>1484</v>
      </c>
    </row>
    <row r="385" spans="1:15" ht="15.75" customHeight="1">
      <c r="A385" s="10" t="s">
        <v>2727</v>
      </c>
      <c r="B385" s="10" t="s">
        <v>1469</v>
      </c>
      <c r="C385" s="60" t="s">
        <v>1470</v>
      </c>
      <c r="D385" s="13" t="s">
        <v>210</v>
      </c>
      <c r="E385" s="6" t="s">
        <v>2720</v>
      </c>
      <c r="F385" s="10" t="s">
        <v>7287</v>
      </c>
      <c r="G385" s="17"/>
      <c r="H385" s="17" t="s">
        <v>216</v>
      </c>
      <c r="I385" s="6" t="s">
        <v>2724</v>
      </c>
      <c r="J385" s="6" t="s">
        <v>2731</v>
      </c>
      <c r="K385" s="10" t="s">
        <v>2732</v>
      </c>
      <c r="L385" s="18" t="str">
        <f t="shared" si="5"/>
        <v>0384</v>
      </c>
      <c r="M385" s="18" t="s">
        <v>38</v>
      </c>
      <c r="N385" s="61" t="s">
        <v>1483</v>
      </c>
      <c r="O385" s="20" t="s">
        <v>1484</v>
      </c>
    </row>
    <row r="386" spans="1:15" ht="15.75" customHeight="1">
      <c r="A386" s="10" t="s">
        <v>2733</v>
      </c>
      <c r="B386" s="10" t="s">
        <v>1469</v>
      </c>
      <c r="C386" s="60" t="s">
        <v>1470</v>
      </c>
      <c r="D386" s="13" t="s">
        <v>2734</v>
      </c>
      <c r="E386" s="6" t="s">
        <v>2734</v>
      </c>
      <c r="F386" s="17" t="s">
        <v>2741</v>
      </c>
      <c r="G386" s="17"/>
      <c r="H386" s="17" t="s">
        <v>205</v>
      </c>
      <c r="I386" s="6" t="s">
        <v>2739</v>
      </c>
      <c r="J386" s="17" t="s">
        <v>2740</v>
      </c>
      <c r="K386" s="17" t="s">
        <v>2741</v>
      </c>
      <c r="L386" s="18" t="str">
        <f t="shared" ref="L386:L449" si="6">A386</f>
        <v>0385</v>
      </c>
      <c r="M386" s="18" t="s">
        <v>38</v>
      </c>
      <c r="N386" s="61" t="s">
        <v>1483</v>
      </c>
      <c r="O386" s="20" t="s">
        <v>1484</v>
      </c>
    </row>
    <row r="387" spans="1:15" ht="15.75" customHeight="1">
      <c r="A387" s="10" t="s">
        <v>2742</v>
      </c>
      <c r="B387" s="10" t="s">
        <v>1469</v>
      </c>
      <c r="C387" s="60" t="s">
        <v>1470</v>
      </c>
      <c r="D387" s="13" t="s">
        <v>2743</v>
      </c>
      <c r="E387" s="43" t="s">
        <v>2743</v>
      </c>
      <c r="F387" s="17" t="s">
        <v>2751</v>
      </c>
      <c r="G387" s="17"/>
      <c r="H387" s="17" t="s">
        <v>2748</v>
      </c>
      <c r="I387" s="6" t="s">
        <v>2749</v>
      </c>
      <c r="J387" s="17" t="s">
        <v>2750</v>
      </c>
      <c r="K387" s="17" t="s">
        <v>2751</v>
      </c>
      <c r="L387" s="18" t="str">
        <f t="shared" si="6"/>
        <v>0386</v>
      </c>
      <c r="M387" s="18" t="s">
        <v>38</v>
      </c>
      <c r="N387" s="61" t="s">
        <v>1483</v>
      </c>
      <c r="O387" s="20" t="s">
        <v>1484</v>
      </c>
    </row>
    <row r="388" spans="1:15" ht="15.75" customHeight="1">
      <c r="A388" s="10" t="s">
        <v>2752</v>
      </c>
      <c r="B388" s="10" t="s">
        <v>1469</v>
      </c>
      <c r="C388" s="60" t="s">
        <v>1470</v>
      </c>
      <c r="D388" s="13" t="s">
        <v>2743</v>
      </c>
      <c r="E388" s="43" t="s">
        <v>2743</v>
      </c>
      <c r="F388" s="35" t="s">
        <v>7288</v>
      </c>
      <c r="G388" s="17"/>
      <c r="H388" s="17" t="s">
        <v>205</v>
      </c>
      <c r="I388" s="6" t="s">
        <v>2757</v>
      </c>
      <c r="J388" s="17" t="s">
        <v>2758</v>
      </c>
      <c r="K388" s="35" t="s">
        <v>7288</v>
      </c>
      <c r="L388" s="18" t="str">
        <f t="shared" si="6"/>
        <v>0387</v>
      </c>
      <c r="M388" s="18" t="s">
        <v>38</v>
      </c>
      <c r="N388" s="61" t="s">
        <v>1483</v>
      </c>
      <c r="O388" s="20" t="s">
        <v>1484</v>
      </c>
    </row>
    <row r="389" spans="1:15" ht="15.75" customHeight="1">
      <c r="A389" s="10" t="s">
        <v>2760</v>
      </c>
      <c r="B389" s="10" t="s">
        <v>1469</v>
      </c>
      <c r="C389" s="60" t="s">
        <v>1470</v>
      </c>
      <c r="D389" s="13" t="s">
        <v>151</v>
      </c>
      <c r="E389" s="6" t="s">
        <v>698</v>
      </c>
      <c r="F389" s="10" t="s">
        <v>2767</v>
      </c>
      <c r="G389" s="17"/>
      <c r="H389" s="17" t="s">
        <v>157</v>
      </c>
      <c r="I389" s="114" t="s">
        <v>2765</v>
      </c>
      <c r="J389" s="17" t="s">
        <v>2766</v>
      </c>
      <c r="K389" s="10" t="s">
        <v>2767</v>
      </c>
      <c r="L389" s="18" t="str">
        <f t="shared" si="6"/>
        <v>0388</v>
      </c>
      <c r="M389" s="18" t="s">
        <v>38</v>
      </c>
      <c r="N389" s="61" t="s">
        <v>1483</v>
      </c>
      <c r="O389" s="20" t="s">
        <v>1484</v>
      </c>
    </row>
    <row r="390" spans="1:15" ht="15.75" customHeight="1">
      <c r="A390" s="10" t="s">
        <v>2768</v>
      </c>
      <c r="B390" s="10" t="s">
        <v>1469</v>
      </c>
      <c r="C390" s="60" t="s">
        <v>1470</v>
      </c>
      <c r="D390" s="13" t="s">
        <v>199</v>
      </c>
      <c r="E390" s="6" t="s">
        <v>199</v>
      </c>
      <c r="F390" s="10" t="s">
        <v>2774</v>
      </c>
      <c r="G390" s="17"/>
      <c r="H390" s="17" t="s">
        <v>297</v>
      </c>
      <c r="I390" s="32" t="s">
        <v>2772</v>
      </c>
      <c r="J390" s="17" t="s">
        <v>2773</v>
      </c>
      <c r="K390" s="10" t="s">
        <v>2774</v>
      </c>
      <c r="L390" s="18" t="str">
        <f t="shared" si="6"/>
        <v>0389</v>
      </c>
      <c r="M390" s="18" t="s">
        <v>38</v>
      </c>
      <c r="N390" s="61" t="s">
        <v>1483</v>
      </c>
      <c r="O390" s="20" t="s">
        <v>1484</v>
      </c>
    </row>
    <row r="391" spans="1:15" ht="15.75" customHeight="1">
      <c r="A391" s="10" t="s">
        <v>2775</v>
      </c>
      <c r="B391" s="10" t="s">
        <v>1469</v>
      </c>
      <c r="C391" s="60" t="s">
        <v>1470</v>
      </c>
      <c r="D391" s="13" t="s">
        <v>2743</v>
      </c>
      <c r="E391" s="43" t="s">
        <v>2776</v>
      </c>
      <c r="F391" s="10" t="s">
        <v>2784</v>
      </c>
      <c r="G391" s="17"/>
      <c r="H391" s="17" t="s">
        <v>2781</v>
      </c>
      <c r="I391" s="6" t="s">
        <v>2782</v>
      </c>
      <c r="J391" s="17" t="s">
        <v>2783</v>
      </c>
      <c r="K391" s="10" t="s">
        <v>2784</v>
      </c>
      <c r="L391" s="18" t="str">
        <f t="shared" si="6"/>
        <v>0390</v>
      </c>
      <c r="M391" s="18" t="s">
        <v>38</v>
      </c>
      <c r="N391" s="61" t="s">
        <v>1483</v>
      </c>
      <c r="O391" s="20" t="s">
        <v>1484</v>
      </c>
    </row>
    <row r="392" spans="1:15" ht="15.75" customHeight="1">
      <c r="A392" s="10" t="s">
        <v>2785</v>
      </c>
      <c r="B392" s="10" t="s">
        <v>1469</v>
      </c>
      <c r="C392" s="60" t="s">
        <v>1470</v>
      </c>
      <c r="D392" s="13" t="s">
        <v>2743</v>
      </c>
      <c r="E392" s="43" t="s">
        <v>2776</v>
      </c>
      <c r="F392" s="10" t="s">
        <v>2791</v>
      </c>
      <c r="G392" s="17"/>
      <c r="H392" s="17" t="s">
        <v>2781</v>
      </c>
      <c r="I392" s="6" t="s">
        <v>2782</v>
      </c>
      <c r="J392" s="17" t="s">
        <v>2790</v>
      </c>
      <c r="K392" s="10" t="s">
        <v>2791</v>
      </c>
      <c r="L392" s="18" t="str">
        <f t="shared" si="6"/>
        <v>0391</v>
      </c>
      <c r="M392" s="18" t="s">
        <v>38</v>
      </c>
      <c r="N392" s="61" t="s">
        <v>1483</v>
      </c>
      <c r="O392" s="20" t="s">
        <v>1484</v>
      </c>
    </row>
    <row r="393" spans="1:15" ht="15.75" customHeight="1">
      <c r="A393" s="10" t="s">
        <v>2792</v>
      </c>
      <c r="B393" s="10" t="s">
        <v>1469</v>
      </c>
      <c r="C393" s="60" t="s">
        <v>1470</v>
      </c>
      <c r="D393" s="13" t="s">
        <v>248</v>
      </c>
      <c r="E393" s="43" t="s">
        <v>248</v>
      </c>
      <c r="F393" s="17" t="s">
        <v>2799</v>
      </c>
      <c r="G393" s="17"/>
      <c r="H393" s="17" t="s">
        <v>205</v>
      </c>
      <c r="I393" s="6" t="s">
        <v>2797</v>
      </c>
      <c r="J393" s="17" t="s">
        <v>2798</v>
      </c>
      <c r="K393" s="17" t="s">
        <v>2799</v>
      </c>
      <c r="L393" s="18" t="str">
        <f t="shared" si="6"/>
        <v>0392</v>
      </c>
      <c r="M393" s="18" t="s">
        <v>38</v>
      </c>
      <c r="N393" s="61" t="s">
        <v>1483</v>
      </c>
      <c r="O393" s="20" t="s">
        <v>1484</v>
      </c>
    </row>
    <row r="394" spans="1:15" ht="15.75" customHeight="1">
      <c r="A394" s="10" t="s">
        <v>2800</v>
      </c>
      <c r="B394" s="10" t="s">
        <v>1469</v>
      </c>
      <c r="C394" s="60" t="s">
        <v>1470</v>
      </c>
      <c r="D394" s="13" t="s">
        <v>2734</v>
      </c>
      <c r="E394" s="6" t="s">
        <v>2801</v>
      </c>
      <c r="F394" s="17" t="s">
        <v>2807</v>
      </c>
      <c r="G394" s="17"/>
      <c r="H394" s="17" t="s">
        <v>35</v>
      </c>
      <c r="I394" s="6" t="s">
        <v>35</v>
      </c>
      <c r="J394" s="17" t="s">
        <v>2806</v>
      </c>
      <c r="K394" s="17" t="s">
        <v>2807</v>
      </c>
      <c r="L394" s="18" t="str">
        <f t="shared" si="6"/>
        <v>0393</v>
      </c>
      <c r="M394" s="18" t="s">
        <v>38</v>
      </c>
      <c r="N394" s="61" t="s">
        <v>1483</v>
      </c>
      <c r="O394" s="20" t="s">
        <v>1484</v>
      </c>
    </row>
    <row r="395" spans="1:15" ht="15.75" customHeight="1">
      <c r="A395" s="10" t="s">
        <v>2808</v>
      </c>
      <c r="B395" s="10" t="s">
        <v>1469</v>
      </c>
      <c r="C395" s="60" t="s">
        <v>1470</v>
      </c>
      <c r="D395" s="13" t="s">
        <v>2351</v>
      </c>
      <c r="E395" s="43" t="s">
        <v>2352</v>
      </c>
      <c r="F395" s="17" t="s">
        <v>2815</v>
      </c>
      <c r="G395" s="17"/>
      <c r="H395" s="17" t="s">
        <v>663</v>
      </c>
      <c r="I395" s="6" t="s">
        <v>2813</v>
      </c>
      <c r="J395" s="17" t="s">
        <v>2814</v>
      </c>
      <c r="K395" s="17" t="s">
        <v>2815</v>
      </c>
      <c r="L395" s="18" t="str">
        <f t="shared" si="6"/>
        <v>0394</v>
      </c>
      <c r="M395" s="18" t="s">
        <v>38</v>
      </c>
      <c r="N395" s="61" t="s">
        <v>1483</v>
      </c>
      <c r="O395" s="20" t="s">
        <v>1484</v>
      </c>
    </row>
    <row r="396" spans="1:15" ht="15.75" customHeight="1">
      <c r="A396" s="10" t="s">
        <v>2816</v>
      </c>
      <c r="B396" s="10" t="s">
        <v>1469</v>
      </c>
      <c r="C396" s="60" t="s">
        <v>1470</v>
      </c>
      <c r="D396" s="13" t="s">
        <v>2817</v>
      </c>
      <c r="E396" s="43" t="s">
        <v>2817</v>
      </c>
      <c r="F396" s="17" t="s">
        <v>2823</v>
      </c>
      <c r="G396" s="17"/>
      <c r="H396" s="17" t="s">
        <v>2822</v>
      </c>
      <c r="I396" s="6" t="s">
        <v>35</v>
      </c>
      <c r="J396" s="17" t="s">
        <v>36</v>
      </c>
      <c r="K396" s="17" t="s">
        <v>2823</v>
      </c>
      <c r="L396" s="18" t="str">
        <f t="shared" si="6"/>
        <v>0395</v>
      </c>
      <c r="M396" s="18" t="s">
        <v>38</v>
      </c>
      <c r="N396" s="61" t="s">
        <v>1483</v>
      </c>
      <c r="O396" s="20" t="s">
        <v>1484</v>
      </c>
    </row>
    <row r="397" spans="1:15" ht="15.75" customHeight="1">
      <c r="A397" s="10" t="s">
        <v>2824</v>
      </c>
      <c r="B397" s="10" t="s">
        <v>1469</v>
      </c>
      <c r="C397" s="60" t="s">
        <v>1470</v>
      </c>
      <c r="D397" s="13" t="s">
        <v>2817</v>
      </c>
      <c r="E397" s="43" t="s">
        <v>2817</v>
      </c>
      <c r="F397" s="35" t="s">
        <v>7289</v>
      </c>
      <c r="G397" s="17"/>
      <c r="H397" s="17" t="s">
        <v>2822</v>
      </c>
      <c r="I397" s="6" t="s">
        <v>35</v>
      </c>
      <c r="J397" s="17" t="s">
        <v>36</v>
      </c>
      <c r="K397" s="35" t="s">
        <v>7289</v>
      </c>
      <c r="L397" s="18" t="str">
        <f t="shared" si="6"/>
        <v>0396</v>
      </c>
      <c r="M397" s="18" t="s">
        <v>38</v>
      </c>
      <c r="N397" s="61" t="s">
        <v>1483</v>
      </c>
      <c r="O397" s="20" t="s">
        <v>1484</v>
      </c>
    </row>
    <row r="398" spans="1:15" ht="15.75" customHeight="1">
      <c r="A398" s="10" t="s">
        <v>2829</v>
      </c>
      <c r="B398" s="10" t="s">
        <v>1469</v>
      </c>
      <c r="C398" s="60" t="s">
        <v>1470</v>
      </c>
      <c r="D398" s="13" t="s">
        <v>2351</v>
      </c>
      <c r="E398" s="43" t="s">
        <v>2688</v>
      </c>
      <c r="F398" s="17" t="s">
        <v>2835</v>
      </c>
      <c r="G398" s="17"/>
      <c r="H398" s="17" t="s">
        <v>2357</v>
      </c>
      <c r="I398" s="6" t="s">
        <v>2693</v>
      </c>
      <c r="J398" s="17" t="s">
        <v>2834</v>
      </c>
      <c r="K398" s="17" t="s">
        <v>2835</v>
      </c>
      <c r="L398" s="18" t="str">
        <f t="shared" si="6"/>
        <v>0397</v>
      </c>
      <c r="M398" s="18" t="s">
        <v>38</v>
      </c>
      <c r="N398" s="61" t="s">
        <v>1483</v>
      </c>
      <c r="O398" s="20" t="s">
        <v>1484</v>
      </c>
    </row>
    <row r="399" spans="1:15" ht="15.75" customHeight="1">
      <c r="A399" s="10" t="s">
        <v>2836</v>
      </c>
      <c r="B399" s="10" t="s">
        <v>1469</v>
      </c>
      <c r="C399" s="60" t="s">
        <v>1470</v>
      </c>
      <c r="D399" s="13" t="s">
        <v>2743</v>
      </c>
      <c r="E399" s="43" t="s">
        <v>2743</v>
      </c>
      <c r="F399" s="17" t="s">
        <v>2843</v>
      </c>
      <c r="G399" s="17"/>
      <c r="H399" s="17" t="s">
        <v>273</v>
      </c>
      <c r="I399" s="6" t="s">
        <v>2841</v>
      </c>
      <c r="J399" s="17" t="s">
        <v>2842</v>
      </c>
      <c r="K399" s="17" t="s">
        <v>2843</v>
      </c>
      <c r="L399" s="18" t="str">
        <f t="shared" si="6"/>
        <v>0398</v>
      </c>
      <c r="M399" s="18" t="s">
        <v>38</v>
      </c>
      <c r="N399" s="61" t="s">
        <v>1483</v>
      </c>
      <c r="O399" s="20" t="s">
        <v>1484</v>
      </c>
    </row>
    <row r="400" spans="1:15" ht="15.75" customHeight="1">
      <c r="A400" s="10" t="s">
        <v>2844</v>
      </c>
      <c r="B400" s="10" t="s">
        <v>1469</v>
      </c>
      <c r="C400" s="60" t="s">
        <v>1470</v>
      </c>
      <c r="D400" s="13" t="s">
        <v>248</v>
      </c>
      <c r="E400" s="6" t="s">
        <v>249</v>
      </c>
      <c r="F400" s="10" t="s">
        <v>2851</v>
      </c>
      <c r="G400" s="17"/>
      <c r="H400" s="17" t="s">
        <v>827</v>
      </c>
      <c r="I400" s="6" t="s">
        <v>2849</v>
      </c>
      <c r="J400" s="17" t="s">
        <v>2850</v>
      </c>
      <c r="K400" s="10" t="s">
        <v>2851</v>
      </c>
      <c r="L400" s="18" t="str">
        <f t="shared" si="6"/>
        <v>0399</v>
      </c>
      <c r="M400" s="18" t="s">
        <v>38</v>
      </c>
      <c r="N400" s="61" t="s">
        <v>1483</v>
      </c>
      <c r="O400" s="20" t="s">
        <v>1484</v>
      </c>
    </row>
    <row r="401" spans="1:15" ht="15.75" customHeight="1">
      <c r="A401" s="10" t="s">
        <v>2852</v>
      </c>
      <c r="B401" s="10" t="s">
        <v>1469</v>
      </c>
      <c r="C401" s="60" t="s">
        <v>1470</v>
      </c>
      <c r="D401" s="13" t="s">
        <v>248</v>
      </c>
      <c r="E401" s="43" t="s">
        <v>2535</v>
      </c>
      <c r="F401" s="155" t="s">
        <v>7290</v>
      </c>
      <c r="G401" s="17"/>
      <c r="H401" s="17" t="s">
        <v>303</v>
      </c>
      <c r="I401" s="6" t="s">
        <v>2856</v>
      </c>
      <c r="J401" s="35" t="s">
        <v>2857</v>
      </c>
      <c r="K401" s="155" t="s">
        <v>7290</v>
      </c>
      <c r="L401" s="18" t="str">
        <f t="shared" si="6"/>
        <v>0400</v>
      </c>
      <c r="M401" s="18" t="s">
        <v>38</v>
      </c>
      <c r="N401" s="61" t="s">
        <v>1483</v>
      </c>
      <c r="O401" s="20" t="s">
        <v>1484</v>
      </c>
    </row>
    <row r="402" spans="1:15" ht="15.75" customHeight="1">
      <c r="A402" s="10" t="s">
        <v>2859</v>
      </c>
      <c r="B402" s="10" t="s">
        <v>1469</v>
      </c>
      <c r="C402" s="60" t="s">
        <v>1470</v>
      </c>
      <c r="D402" s="13" t="s">
        <v>2860</v>
      </c>
      <c r="E402" s="43" t="s">
        <v>2861</v>
      </c>
      <c r="F402" s="35" t="s">
        <v>7291</v>
      </c>
      <c r="G402" s="17"/>
      <c r="H402" s="17" t="s">
        <v>2866</v>
      </c>
      <c r="I402" s="114" t="s">
        <v>2867</v>
      </c>
      <c r="J402" s="17" t="s">
        <v>2868</v>
      </c>
      <c r="K402" s="35" t="s">
        <v>7291</v>
      </c>
      <c r="L402" s="18" t="str">
        <f t="shared" si="6"/>
        <v>0401</v>
      </c>
      <c r="M402" s="18" t="s">
        <v>2544</v>
      </c>
      <c r="N402" s="61" t="s">
        <v>1483</v>
      </c>
      <c r="O402" s="20" t="s">
        <v>1484</v>
      </c>
    </row>
    <row r="403" spans="1:15" ht="15.75" customHeight="1">
      <c r="A403" s="10" t="s">
        <v>2869</v>
      </c>
      <c r="B403" s="10" t="s">
        <v>1469</v>
      </c>
      <c r="C403" s="60" t="s">
        <v>1470</v>
      </c>
      <c r="D403" s="13" t="s">
        <v>151</v>
      </c>
      <c r="E403" s="6" t="s">
        <v>698</v>
      </c>
      <c r="F403" s="35" t="s">
        <v>712</v>
      </c>
      <c r="G403" s="17"/>
      <c r="H403" s="17" t="s">
        <v>703</v>
      </c>
      <c r="I403" s="114" t="s">
        <v>2874</v>
      </c>
      <c r="J403" s="17" t="s">
        <v>2875</v>
      </c>
      <c r="K403" s="35" t="s">
        <v>712</v>
      </c>
      <c r="L403" s="18" t="str">
        <f t="shared" si="6"/>
        <v>0402</v>
      </c>
      <c r="M403" s="18" t="s">
        <v>38</v>
      </c>
      <c r="N403" s="61" t="s">
        <v>1483</v>
      </c>
      <c r="O403" s="20" t="s">
        <v>1484</v>
      </c>
    </row>
    <row r="404" spans="1:15" ht="15.75" customHeight="1">
      <c r="A404" s="10" t="s">
        <v>2877</v>
      </c>
      <c r="B404" s="10" t="s">
        <v>1469</v>
      </c>
      <c r="C404" s="60" t="s">
        <v>1470</v>
      </c>
      <c r="D404" s="13" t="s">
        <v>199</v>
      </c>
      <c r="E404" s="6" t="s">
        <v>677</v>
      </c>
      <c r="F404" s="17" t="s">
        <v>2883</v>
      </c>
      <c r="G404" s="17"/>
      <c r="H404" s="17" t="s">
        <v>682</v>
      </c>
      <c r="I404" s="32" t="s">
        <v>2881</v>
      </c>
      <c r="J404" s="17" t="s">
        <v>2882</v>
      </c>
      <c r="K404" s="17" t="s">
        <v>2883</v>
      </c>
      <c r="L404" s="18" t="str">
        <f t="shared" si="6"/>
        <v>0403</v>
      </c>
      <c r="M404" s="18" t="s">
        <v>38</v>
      </c>
      <c r="N404" s="19" t="s">
        <v>2884</v>
      </c>
      <c r="O404" s="20" t="s">
        <v>2885</v>
      </c>
    </row>
    <row r="405" spans="1:15" ht="15.75" customHeight="1">
      <c r="A405" s="10" t="s">
        <v>2886</v>
      </c>
      <c r="B405" s="10" t="s">
        <v>27</v>
      </c>
      <c r="C405" s="63" t="s">
        <v>28</v>
      </c>
      <c r="D405" s="13" t="s">
        <v>199</v>
      </c>
      <c r="E405" s="6" t="s">
        <v>677</v>
      </c>
      <c r="F405" s="17" t="s">
        <v>2892</v>
      </c>
      <c r="G405" s="17"/>
      <c r="H405" s="17" t="s">
        <v>205</v>
      </c>
      <c r="I405" s="32" t="s">
        <v>2890</v>
      </c>
      <c r="J405" s="17" t="s">
        <v>2891</v>
      </c>
      <c r="K405" s="17" t="s">
        <v>2892</v>
      </c>
      <c r="L405" s="18" t="str">
        <f t="shared" si="6"/>
        <v>0404</v>
      </c>
      <c r="M405" s="18" t="s">
        <v>38</v>
      </c>
      <c r="N405" s="19" t="s">
        <v>147</v>
      </c>
      <c r="O405" s="20" t="s">
        <v>1185</v>
      </c>
    </row>
    <row r="406" spans="1:15" ht="15.75" customHeight="1">
      <c r="A406" s="10" t="s">
        <v>2893</v>
      </c>
      <c r="B406" s="10" t="s">
        <v>1469</v>
      </c>
      <c r="C406" s="60" t="s">
        <v>1470</v>
      </c>
      <c r="D406" s="13" t="s">
        <v>199</v>
      </c>
      <c r="E406" s="6" t="s">
        <v>677</v>
      </c>
      <c r="F406" s="17" t="s">
        <v>2899</v>
      </c>
      <c r="G406" s="17"/>
      <c r="H406" s="17" t="s">
        <v>682</v>
      </c>
      <c r="I406" s="32" t="s">
        <v>2897</v>
      </c>
      <c r="J406" s="17" t="s">
        <v>2898</v>
      </c>
      <c r="K406" s="17" t="s">
        <v>2899</v>
      </c>
      <c r="L406" s="18" t="str">
        <f t="shared" si="6"/>
        <v>0405</v>
      </c>
      <c r="M406" s="18" t="s">
        <v>38</v>
      </c>
      <c r="N406" s="61" t="s">
        <v>1483</v>
      </c>
      <c r="O406" s="20" t="s">
        <v>1484</v>
      </c>
    </row>
    <row r="407" spans="1:15" ht="15.75" customHeight="1">
      <c r="A407" s="10" t="s">
        <v>2900</v>
      </c>
      <c r="B407" s="10" t="s">
        <v>1469</v>
      </c>
      <c r="C407" s="60" t="s">
        <v>1470</v>
      </c>
      <c r="D407" s="13" t="s">
        <v>1142</v>
      </c>
      <c r="E407" s="43" t="s">
        <v>2901</v>
      </c>
      <c r="F407" s="10" t="s">
        <v>85</v>
      </c>
      <c r="G407" s="17"/>
      <c r="H407" s="17" t="s">
        <v>359</v>
      </c>
      <c r="I407" s="6" t="s">
        <v>2906</v>
      </c>
      <c r="J407" s="17" t="s">
        <v>2907</v>
      </c>
      <c r="K407" s="10" t="s">
        <v>85</v>
      </c>
      <c r="L407" s="18" t="str">
        <f t="shared" si="6"/>
        <v>0406</v>
      </c>
      <c r="M407" s="18" t="s">
        <v>38</v>
      </c>
      <c r="N407" s="61" t="s">
        <v>1483</v>
      </c>
      <c r="O407" s="20" t="s">
        <v>1484</v>
      </c>
    </row>
    <row r="408" spans="1:15" ht="15.75" customHeight="1">
      <c r="A408" s="10" t="s">
        <v>2908</v>
      </c>
      <c r="B408" s="10" t="s">
        <v>27</v>
      </c>
      <c r="C408" s="63" t="s">
        <v>28</v>
      </c>
      <c r="D408" s="13" t="s">
        <v>151</v>
      </c>
      <c r="E408" s="6" t="s">
        <v>152</v>
      </c>
      <c r="F408" s="17" t="s">
        <v>2914</v>
      </c>
      <c r="G408" s="17"/>
      <c r="H408" s="17" t="s">
        <v>1220</v>
      </c>
      <c r="I408" s="6" t="s">
        <v>720</v>
      </c>
      <c r="J408" s="17" t="s">
        <v>2913</v>
      </c>
      <c r="K408" s="17" t="s">
        <v>2914</v>
      </c>
      <c r="L408" s="18" t="str">
        <f t="shared" si="6"/>
        <v>0407</v>
      </c>
      <c r="M408" s="18" t="s">
        <v>2915</v>
      </c>
      <c r="N408" s="61" t="s">
        <v>147</v>
      </c>
      <c r="O408" s="20" t="s">
        <v>385</v>
      </c>
    </row>
    <row r="409" spans="1:15" ht="15.75" customHeight="1">
      <c r="A409" s="10" t="s">
        <v>2916</v>
      </c>
      <c r="B409" s="10" t="s">
        <v>1469</v>
      </c>
      <c r="C409" s="60" t="s">
        <v>1470</v>
      </c>
      <c r="D409" s="13" t="s">
        <v>353</v>
      </c>
      <c r="E409" s="43" t="s">
        <v>638</v>
      </c>
      <c r="F409" s="10" t="s">
        <v>2922</v>
      </c>
      <c r="G409" s="17"/>
      <c r="H409" s="66" t="s">
        <v>359</v>
      </c>
      <c r="I409" s="6">
        <v>1500</v>
      </c>
      <c r="J409" s="17" t="s">
        <v>2921</v>
      </c>
      <c r="K409" s="10" t="s">
        <v>2922</v>
      </c>
      <c r="L409" s="18" t="str">
        <f t="shared" si="6"/>
        <v>0408</v>
      </c>
      <c r="M409" s="18" t="s">
        <v>38</v>
      </c>
      <c r="N409" s="61" t="s">
        <v>1483</v>
      </c>
      <c r="O409" s="20" t="s">
        <v>2466</v>
      </c>
    </row>
    <row r="410" spans="1:15" ht="15.75" customHeight="1">
      <c r="A410" s="10" t="s">
        <v>2923</v>
      </c>
      <c r="B410" s="10" t="s">
        <v>1469</v>
      </c>
      <c r="C410" s="60" t="s">
        <v>1470</v>
      </c>
      <c r="D410" s="13" t="s">
        <v>151</v>
      </c>
      <c r="E410" s="6" t="s">
        <v>698</v>
      </c>
      <c r="F410" s="10" t="s">
        <v>2929</v>
      </c>
      <c r="G410" s="17"/>
      <c r="H410" s="17" t="s">
        <v>703</v>
      </c>
      <c r="I410" s="114" t="s">
        <v>2874</v>
      </c>
      <c r="J410" s="109" t="s">
        <v>2928</v>
      </c>
      <c r="K410" s="10" t="s">
        <v>2929</v>
      </c>
      <c r="L410" s="18" t="str">
        <f t="shared" si="6"/>
        <v>0409</v>
      </c>
      <c r="M410" s="18" t="s">
        <v>38</v>
      </c>
      <c r="N410" s="61" t="s">
        <v>1483</v>
      </c>
      <c r="O410" s="20" t="s">
        <v>1484</v>
      </c>
    </row>
    <row r="411" spans="1:15" ht="15.75" customHeight="1">
      <c r="A411" s="10" t="s">
        <v>2930</v>
      </c>
      <c r="B411" s="10" t="s">
        <v>1469</v>
      </c>
      <c r="C411" s="60" t="s">
        <v>1470</v>
      </c>
      <c r="D411" s="13" t="s">
        <v>2734</v>
      </c>
      <c r="E411" s="43" t="s">
        <v>2931</v>
      </c>
      <c r="F411" s="17" t="s">
        <v>2936</v>
      </c>
      <c r="G411" s="17"/>
      <c r="H411" s="17" t="s">
        <v>35</v>
      </c>
      <c r="I411" s="6" t="s">
        <v>35</v>
      </c>
      <c r="J411" s="17" t="s">
        <v>36</v>
      </c>
      <c r="K411" s="17" t="s">
        <v>2936</v>
      </c>
      <c r="L411" s="18" t="str">
        <f t="shared" si="6"/>
        <v>0410</v>
      </c>
      <c r="M411" s="18" t="s">
        <v>38</v>
      </c>
      <c r="N411" s="61" t="s">
        <v>1483</v>
      </c>
      <c r="O411" s="20" t="s">
        <v>2937</v>
      </c>
    </row>
    <row r="412" spans="1:15" ht="15.75" customHeight="1">
      <c r="A412" s="10" t="s">
        <v>2938</v>
      </c>
      <c r="B412" s="10" t="s">
        <v>1469</v>
      </c>
      <c r="C412" s="60" t="s">
        <v>1470</v>
      </c>
      <c r="D412" s="13" t="s">
        <v>2817</v>
      </c>
      <c r="E412" s="43" t="s">
        <v>2817</v>
      </c>
      <c r="F412" s="17" t="s">
        <v>2944</v>
      </c>
      <c r="G412" s="17"/>
      <c r="H412" s="17" t="s">
        <v>2943</v>
      </c>
      <c r="I412" s="6" t="s">
        <v>35</v>
      </c>
      <c r="J412" s="17" t="s">
        <v>36</v>
      </c>
      <c r="K412" s="17" t="s">
        <v>2944</v>
      </c>
      <c r="L412" s="18" t="str">
        <f t="shared" si="6"/>
        <v>0411</v>
      </c>
      <c r="M412" s="18" t="s">
        <v>38</v>
      </c>
      <c r="N412" s="61" t="s">
        <v>1483</v>
      </c>
      <c r="O412" s="20" t="s">
        <v>2937</v>
      </c>
    </row>
    <row r="413" spans="1:15" ht="15.75" customHeight="1">
      <c r="A413" s="10" t="s">
        <v>2945</v>
      </c>
      <c r="B413" s="10" t="s">
        <v>1469</v>
      </c>
      <c r="C413" s="60" t="s">
        <v>1470</v>
      </c>
      <c r="D413" s="13" t="s">
        <v>2351</v>
      </c>
      <c r="E413" s="43" t="s">
        <v>2352</v>
      </c>
      <c r="F413" s="17" t="s">
        <v>2950</v>
      </c>
      <c r="G413" s="17"/>
      <c r="H413" s="17" t="s">
        <v>2357</v>
      </c>
      <c r="I413" s="6" t="s">
        <v>7292</v>
      </c>
      <c r="J413" s="17" t="s">
        <v>2834</v>
      </c>
      <c r="K413" s="17" t="s">
        <v>2950</v>
      </c>
      <c r="L413" s="18" t="str">
        <f t="shared" si="6"/>
        <v>0412</v>
      </c>
      <c r="M413" s="18" t="s">
        <v>38</v>
      </c>
      <c r="N413" s="61" t="s">
        <v>1483</v>
      </c>
      <c r="O413" s="20" t="s">
        <v>2937</v>
      </c>
    </row>
    <row r="414" spans="1:15" ht="15.75" customHeight="1">
      <c r="A414" s="10" t="s">
        <v>2951</v>
      </c>
      <c r="B414" s="10" t="s">
        <v>1469</v>
      </c>
      <c r="C414" s="60" t="s">
        <v>1470</v>
      </c>
      <c r="D414" s="13" t="s">
        <v>501</v>
      </c>
      <c r="E414" s="6" t="s">
        <v>2952</v>
      </c>
      <c r="F414" s="10" t="s">
        <v>2957</v>
      </c>
      <c r="G414" s="17"/>
      <c r="H414" s="17" t="s">
        <v>35</v>
      </c>
      <c r="I414" s="6" t="s">
        <v>35</v>
      </c>
      <c r="J414" s="17" t="s">
        <v>36</v>
      </c>
      <c r="K414" s="10" t="s">
        <v>2957</v>
      </c>
      <c r="L414" s="18" t="str">
        <f t="shared" si="6"/>
        <v>0413</v>
      </c>
      <c r="M414" s="18" t="s">
        <v>38</v>
      </c>
      <c r="N414" s="61" t="s">
        <v>1483</v>
      </c>
      <c r="O414" s="20" t="s">
        <v>1484</v>
      </c>
    </row>
    <row r="415" spans="1:15" ht="15.75" customHeight="1">
      <c r="A415" s="10" t="s">
        <v>2958</v>
      </c>
      <c r="B415" s="10" t="s">
        <v>1469</v>
      </c>
      <c r="C415" s="60" t="s">
        <v>1470</v>
      </c>
      <c r="D415" s="13" t="s">
        <v>2734</v>
      </c>
      <c r="E415" s="43" t="s">
        <v>2734</v>
      </c>
      <c r="F415" s="17" t="s">
        <v>2963</v>
      </c>
      <c r="G415" s="17"/>
      <c r="H415" s="17" t="s">
        <v>35</v>
      </c>
      <c r="I415" s="6" t="s">
        <v>35</v>
      </c>
      <c r="J415" s="17" t="s">
        <v>36</v>
      </c>
      <c r="K415" s="17" t="s">
        <v>2963</v>
      </c>
      <c r="L415" s="18" t="str">
        <f t="shared" si="6"/>
        <v>0414</v>
      </c>
      <c r="M415" s="18" t="s">
        <v>38</v>
      </c>
      <c r="N415" s="61" t="s">
        <v>1483</v>
      </c>
      <c r="O415" s="20" t="s">
        <v>2964</v>
      </c>
    </row>
    <row r="416" spans="1:15" ht="15.75" customHeight="1">
      <c r="A416" s="10" t="s">
        <v>2965</v>
      </c>
      <c r="B416" s="10" t="s">
        <v>1469</v>
      </c>
      <c r="C416" s="60" t="s">
        <v>1470</v>
      </c>
      <c r="D416" s="13" t="s">
        <v>2817</v>
      </c>
      <c r="E416" s="43" t="s">
        <v>2817</v>
      </c>
      <c r="F416" s="17" t="s">
        <v>2970</v>
      </c>
      <c r="G416" s="17"/>
      <c r="H416" s="17" t="s">
        <v>2822</v>
      </c>
      <c r="I416" s="6" t="s">
        <v>35</v>
      </c>
      <c r="J416" s="6" t="s">
        <v>36</v>
      </c>
      <c r="K416" s="17" t="s">
        <v>2970</v>
      </c>
      <c r="L416" s="18" t="str">
        <f t="shared" si="6"/>
        <v>0415</v>
      </c>
      <c r="M416" s="18" t="s">
        <v>38</v>
      </c>
      <c r="N416" s="61" t="s">
        <v>1483</v>
      </c>
      <c r="O416" s="20" t="s">
        <v>2964</v>
      </c>
    </row>
    <row r="417" spans="1:15" ht="15.75" customHeight="1">
      <c r="A417" s="10" t="s">
        <v>2971</v>
      </c>
      <c r="B417" s="10" t="s">
        <v>1469</v>
      </c>
      <c r="C417" s="60" t="s">
        <v>1470</v>
      </c>
      <c r="D417" s="13" t="s">
        <v>2351</v>
      </c>
      <c r="E417" s="43" t="s">
        <v>2352</v>
      </c>
      <c r="F417" s="10" t="s">
        <v>2979</v>
      </c>
      <c r="G417" s="17"/>
      <c r="H417" s="17" t="s">
        <v>2976</v>
      </c>
      <c r="I417" s="6" t="s">
        <v>2977</v>
      </c>
      <c r="J417" s="6" t="s">
        <v>2978</v>
      </c>
      <c r="K417" s="10" t="s">
        <v>2979</v>
      </c>
      <c r="L417" s="18" t="str">
        <f t="shared" si="6"/>
        <v>0416</v>
      </c>
      <c r="M417" s="18" t="s">
        <v>38</v>
      </c>
      <c r="N417" s="61" t="s">
        <v>1483</v>
      </c>
      <c r="O417" s="20" t="s">
        <v>2964</v>
      </c>
    </row>
    <row r="418" spans="1:15" ht="15.75" customHeight="1">
      <c r="A418" s="10" t="s">
        <v>2980</v>
      </c>
      <c r="B418" s="10" t="s">
        <v>1469</v>
      </c>
      <c r="C418" s="60" t="s">
        <v>1470</v>
      </c>
      <c r="D418" s="13" t="s">
        <v>93</v>
      </c>
      <c r="E418" s="6" t="s">
        <v>2981</v>
      </c>
      <c r="F418" s="17" t="s">
        <v>2986</v>
      </c>
      <c r="G418" s="17"/>
      <c r="H418" s="17" t="s">
        <v>35</v>
      </c>
      <c r="I418" s="6" t="s">
        <v>35</v>
      </c>
      <c r="J418" s="17" t="s">
        <v>36</v>
      </c>
      <c r="K418" s="17" t="s">
        <v>2986</v>
      </c>
      <c r="L418" s="18" t="str">
        <f t="shared" si="6"/>
        <v>0417</v>
      </c>
      <c r="M418" s="18" t="s">
        <v>38</v>
      </c>
      <c r="N418" s="61" t="s">
        <v>1483</v>
      </c>
      <c r="O418" s="20" t="s">
        <v>1484</v>
      </c>
    </row>
    <row r="419" spans="1:15" ht="15.75" customHeight="1">
      <c r="A419" s="10" t="s">
        <v>2987</v>
      </c>
      <c r="B419" s="10" t="s">
        <v>1469</v>
      </c>
      <c r="C419" s="60" t="s">
        <v>1470</v>
      </c>
      <c r="D419" s="13" t="s">
        <v>2988</v>
      </c>
      <c r="E419" s="6" t="s">
        <v>2988</v>
      </c>
      <c r="F419" s="17" t="s">
        <v>2996</v>
      </c>
      <c r="G419" s="17"/>
      <c r="H419" s="17" t="s">
        <v>2993</v>
      </c>
      <c r="I419" s="6" t="s">
        <v>2994</v>
      </c>
      <c r="J419" s="17" t="s">
        <v>2995</v>
      </c>
      <c r="K419" s="17" t="s">
        <v>2996</v>
      </c>
      <c r="L419" s="18" t="str">
        <f t="shared" si="6"/>
        <v>0418</v>
      </c>
      <c r="M419" s="18" t="s">
        <v>38</v>
      </c>
      <c r="N419" s="61" t="s">
        <v>1483</v>
      </c>
      <c r="O419" s="20" t="s">
        <v>1484</v>
      </c>
    </row>
    <row r="420" spans="1:15" ht="15.75" customHeight="1">
      <c r="A420" s="10" t="s">
        <v>2998</v>
      </c>
      <c r="B420" s="10" t="s">
        <v>1469</v>
      </c>
      <c r="C420" s="60" t="s">
        <v>1470</v>
      </c>
      <c r="D420" s="13" t="s">
        <v>2988</v>
      </c>
      <c r="E420" s="6" t="s">
        <v>2988</v>
      </c>
      <c r="F420" s="17" t="s">
        <v>3005</v>
      </c>
      <c r="G420" s="17"/>
      <c r="H420" s="17" t="s">
        <v>2993</v>
      </c>
      <c r="I420" s="6" t="s">
        <v>3003</v>
      </c>
      <c r="J420" s="17" t="s">
        <v>3004</v>
      </c>
      <c r="K420" s="17" t="s">
        <v>3005</v>
      </c>
      <c r="L420" s="18" t="str">
        <f t="shared" si="6"/>
        <v>0419</v>
      </c>
      <c r="M420" s="18" t="s">
        <v>38</v>
      </c>
      <c r="N420" s="61" t="s">
        <v>1483</v>
      </c>
      <c r="O420" s="20" t="s">
        <v>1484</v>
      </c>
    </row>
    <row r="421" spans="1:15" ht="15.75" customHeight="1">
      <c r="A421" s="10" t="s">
        <v>3007</v>
      </c>
      <c r="B421" s="10" t="s">
        <v>1469</v>
      </c>
      <c r="C421" s="60" t="s">
        <v>1470</v>
      </c>
      <c r="D421" s="13" t="s">
        <v>2988</v>
      </c>
      <c r="E421" s="6" t="s">
        <v>2988</v>
      </c>
      <c r="F421" s="17" t="s">
        <v>3014</v>
      </c>
      <c r="G421" s="17"/>
      <c r="H421" s="17" t="s">
        <v>2993</v>
      </c>
      <c r="I421" s="6" t="s">
        <v>3012</v>
      </c>
      <c r="J421" s="17" t="s">
        <v>3013</v>
      </c>
      <c r="K421" s="17" t="s">
        <v>3014</v>
      </c>
      <c r="L421" s="18" t="str">
        <f t="shared" si="6"/>
        <v>0420</v>
      </c>
      <c r="M421" s="18" t="s">
        <v>38</v>
      </c>
      <c r="N421" s="61" t="s">
        <v>1483</v>
      </c>
      <c r="O421" s="20" t="s">
        <v>1484</v>
      </c>
    </row>
    <row r="422" spans="1:15" ht="15.75" customHeight="1">
      <c r="A422" s="10" t="s">
        <v>3016</v>
      </c>
      <c r="B422" s="10" t="s">
        <v>1469</v>
      </c>
      <c r="C422" s="60" t="s">
        <v>1470</v>
      </c>
      <c r="D422" s="13" t="s">
        <v>2988</v>
      </c>
      <c r="E422" s="6" t="s">
        <v>2988</v>
      </c>
      <c r="F422" s="17" t="s">
        <v>3022</v>
      </c>
      <c r="G422" s="17"/>
      <c r="H422" s="17" t="s">
        <v>2993</v>
      </c>
      <c r="I422" s="6" t="s">
        <v>3003</v>
      </c>
      <c r="J422" s="17" t="s">
        <v>3021</v>
      </c>
      <c r="K422" s="17" t="s">
        <v>3022</v>
      </c>
      <c r="L422" s="18" t="str">
        <f t="shared" si="6"/>
        <v>0421</v>
      </c>
      <c r="M422" s="18" t="s">
        <v>100</v>
      </c>
      <c r="N422" s="61" t="s">
        <v>1483</v>
      </c>
      <c r="O422" s="20" t="s">
        <v>1484</v>
      </c>
    </row>
    <row r="423" spans="1:15" ht="15.75" customHeight="1">
      <c r="A423" s="10" t="s">
        <v>3024</v>
      </c>
      <c r="B423" s="10" t="s">
        <v>1469</v>
      </c>
      <c r="C423" s="60" t="s">
        <v>1470</v>
      </c>
      <c r="D423" s="13" t="s">
        <v>2988</v>
      </c>
      <c r="E423" s="6" t="s">
        <v>2988</v>
      </c>
      <c r="F423" s="17" t="s">
        <v>3030</v>
      </c>
      <c r="G423" s="17"/>
      <c r="H423" s="17" t="s">
        <v>2993</v>
      </c>
      <c r="I423" s="6" t="s">
        <v>3003</v>
      </c>
      <c r="J423" s="17" t="s">
        <v>3029</v>
      </c>
      <c r="K423" s="17" t="s">
        <v>3030</v>
      </c>
      <c r="L423" s="18" t="str">
        <f t="shared" si="6"/>
        <v>0422</v>
      </c>
      <c r="M423" s="18" t="s">
        <v>38</v>
      </c>
      <c r="N423" s="61" t="s">
        <v>1483</v>
      </c>
      <c r="O423" s="20" t="s">
        <v>1484</v>
      </c>
    </row>
    <row r="424" spans="1:15" ht="15.75" customHeight="1">
      <c r="A424" s="10" t="s">
        <v>3032</v>
      </c>
      <c r="B424" s="10" t="s">
        <v>1469</v>
      </c>
      <c r="C424" s="60" t="s">
        <v>1470</v>
      </c>
      <c r="D424" s="13" t="s">
        <v>2988</v>
      </c>
      <c r="E424" s="6" t="s">
        <v>2988</v>
      </c>
      <c r="F424" s="17" t="s">
        <v>3039</v>
      </c>
      <c r="G424" s="17"/>
      <c r="H424" s="17" t="s">
        <v>2993</v>
      </c>
      <c r="I424" s="6" t="s">
        <v>3037</v>
      </c>
      <c r="J424" s="17" t="s">
        <v>3038</v>
      </c>
      <c r="K424" s="17" t="s">
        <v>3039</v>
      </c>
      <c r="L424" s="18" t="str">
        <f t="shared" si="6"/>
        <v>0423</v>
      </c>
      <c r="M424" s="18" t="s">
        <v>38</v>
      </c>
      <c r="N424" s="61" t="s">
        <v>1483</v>
      </c>
      <c r="O424" s="20" t="s">
        <v>1484</v>
      </c>
    </row>
    <row r="425" spans="1:15" ht="15.75" customHeight="1">
      <c r="A425" s="10" t="s">
        <v>3041</v>
      </c>
      <c r="B425" s="10" t="s">
        <v>1469</v>
      </c>
      <c r="C425" s="60" t="s">
        <v>1470</v>
      </c>
      <c r="D425" s="13" t="s">
        <v>2988</v>
      </c>
      <c r="E425" s="6" t="s">
        <v>2988</v>
      </c>
      <c r="F425" s="17" t="s">
        <v>3048</v>
      </c>
      <c r="G425" s="17"/>
      <c r="H425" s="17" t="s">
        <v>2993</v>
      </c>
      <c r="I425" s="6" t="s">
        <v>3046</v>
      </c>
      <c r="J425" s="17" t="s">
        <v>3047</v>
      </c>
      <c r="K425" s="17" t="s">
        <v>3048</v>
      </c>
      <c r="L425" s="18" t="str">
        <f t="shared" si="6"/>
        <v>0424</v>
      </c>
      <c r="M425" s="18" t="s">
        <v>38</v>
      </c>
      <c r="N425" s="61" t="s">
        <v>1483</v>
      </c>
      <c r="O425" s="20" t="s">
        <v>1484</v>
      </c>
    </row>
    <row r="426" spans="1:15" ht="15.75" customHeight="1">
      <c r="A426" s="10" t="s">
        <v>3050</v>
      </c>
      <c r="B426" s="10" t="s">
        <v>1469</v>
      </c>
      <c r="C426" s="60" t="s">
        <v>1470</v>
      </c>
      <c r="D426" s="13" t="s">
        <v>2988</v>
      </c>
      <c r="E426" s="6" t="s">
        <v>2988</v>
      </c>
      <c r="F426" s="17" t="s">
        <v>3058</v>
      </c>
      <c r="G426" s="17"/>
      <c r="H426" s="35" t="s">
        <v>3055</v>
      </c>
      <c r="I426" s="6" t="s">
        <v>3056</v>
      </c>
      <c r="J426" s="35" t="s">
        <v>3057</v>
      </c>
      <c r="K426" s="17" t="s">
        <v>3058</v>
      </c>
      <c r="L426" s="18" t="str">
        <f t="shared" si="6"/>
        <v>0425</v>
      </c>
      <c r="M426" s="18" t="s">
        <v>100</v>
      </c>
      <c r="N426" s="61" t="s">
        <v>1483</v>
      </c>
      <c r="O426" s="20" t="s">
        <v>1484</v>
      </c>
    </row>
    <row r="427" spans="1:15" ht="15.75" customHeight="1">
      <c r="A427" s="10" t="s">
        <v>3060</v>
      </c>
      <c r="B427" s="10" t="s">
        <v>1469</v>
      </c>
      <c r="C427" s="60" t="s">
        <v>1470</v>
      </c>
      <c r="D427" s="13" t="s">
        <v>2300</v>
      </c>
      <c r="E427" s="6" t="s">
        <v>2596</v>
      </c>
      <c r="F427" s="10" t="s">
        <v>85</v>
      </c>
      <c r="G427" s="17"/>
      <c r="H427" s="17" t="s">
        <v>3063</v>
      </c>
      <c r="I427" s="6" t="s">
        <v>3064</v>
      </c>
      <c r="J427" s="6" t="s">
        <v>3065</v>
      </c>
      <c r="K427" s="10" t="s">
        <v>85</v>
      </c>
      <c r="L427" s="18" t="str">
        <f t="shared" si="6"/>
        <v>0426</v>
      </c>
      <c r="M427" s="18" t="s">
        <v>38</v>
      </c>
      <c r="N427" s="61" t="s">
        <v>1483</v>
      </c>
      <c r="O427" s="20" t="s">
        <v>1484</v>
      </c>
    </row>
    <row r="428" spans="1:15" ht="15.75" customHeight="1">
      <c r="A428" s="10" t="s">
        <v>3066</v>
      </c>
      <c r="B428" s="10" t="s">
        <v>1469</v>
      </c>
      <c r="C428" s="63" t="s">
        <v>28</v>
      </c>
      <c r="D428" s="13" t="s">
        <v>2300</v>
      </c>
      <c r="E428" s="6" t="s">
        <v>2596</v>
      </c>
      <c r="F428" s="10" t="s">
        <v>85</v>
      </c>
      <c r="G428" s="17"/>
      <c r="H428" s="17" t="s">
        <v>3069</v>
      </c>
      <c r="I428" s="6" t="s">
        <v>3070</v>
      </c>
      <c r="J428" s="6" t="s">
        <v>3071</v>
      </c>
      <c r="K428" s="10" t="s">
        <v>85</v>
      </c>
      <c r="L428" s="18" t="str">
        <f t="shared" si="6"/>
        <v>0427</v>
      </c>
      <c r="M428" s="18" t="s">
        <v>100</v>
      </c>
      <c r="N428" s="61" t="s">
        <v>147</v>
      </c>
      <c r="O428" s="20" t="s">
        <v>385</v>
      </c>
    </row>
    <row r="429" spans="1:15" ht="15.75" customHeight="1">
      <c r="A429" s="10" t="s">
        <v>3072</v>
      </c>
      <c r="B429" s="10" t="s">
        <v>1469</v>
      </c>
      <c r="C429" s="60" t="s">
        <v>1470</v>
      </c>
      <c r="D429" s="13" t="s">
        <v>2300</v>
      </c>
      <c r="E429" s="6" t="s">
        <v>2596</v>
      </c>
      <c r="F429" s="10" t="s">
        <v>85</v>
      </c>
      <c r="G429" s="17"/>
      <c r="H429" s="17" t="s">
        <v>3063</v>
      </c>
      <c r="I429" s="6" t="s">
        <v>3064</v>
      </c>
      <c r="J429" s="6" t="s">
        <v>3075</v>
      </c>
      <c r="K429" s="10" t="s">
        <v>85</v>
      </c>
      <c r="L429" s="18" t="str">
        <f t="shared" si="6"/>
        <v>0428</v>
      </c>
      <c r="M429" s="18" t="s">
        <v>38</v>
      </c>
      <c r="N429" s="61" t="s">
        <v>1483</v>
      </c>
      <c r="O429" s="20" t="s">
        <v>1484</v>
      </c>
    </row>
    <row r="430" spans="1:15" ht="15.75" customHeight="1">
      <c r="A430" s="10" t="s">
        <v>3076</v>
      </c>
      <c r="B430" s="10" t="s">
        <v>1469</v>
      </c>
      <c r="C430" s="60" t="s">
        <v>1470</v>
      </c>
      <c r="D430" s="13" t="s">
        <v>2988</v>
      </c>
      <c r="E430" s="6" t="s">
        <v>2988</v>
      </c>
      <c r="F430" s="10" t="s">
        <v>85</v>
      </c>
      <c r="G430" s="17"/>
      <c r="H430" s="17" t="s">
        <v>3079</v>
      </c>
      <c r="I430" s="6" t="s">
        <v>3080</v>
      </c>
      <c r="J430" s="6">
        <v>358720</v>
      </c>
      <c r="K430" s="10" t="s">
        <v>85</v>
      </c>
      <c r="L430" s="18" t="str">
        <f t="shared" si="6"/>
        <v>0429</v>
      </c>
      <c r="M430" s="18" t="s">
        <v>38</v>
      </c>
      <c r="N430" s="61" t="s">
        <v>1483</v>
      </c>
      <c r="O430" s="20" t="s">
        <v>1484</v>
      </c>
    </row>
    <row r="431" spans="1:15" ht="15.75" customHeight="1">
      <c r="A431" s="10" t="s">
        <v>3081</v>
      </c>
      <c r="B431" s="10" t="s">
        <v>1469</v>
      </c>
      <c r="C431" s="60" t="s">
        <v>1470</v>
      </c>
      <c r="D431" s="13" t="s">
        <v>2300</v>
      </c>
      <c r="E431" s="6" t="s">
        <v>2300</v>
      </c>
      <c r="F431" s="10" t="s">
        <v>3084</v>
      </c>
      <c r="G431" s="17"/>
      <c r="H431" s="35" t="s">
        <v>3082</v>
      </c>
      <c r="I431" s="6" t="s">
        <v>3083</v>
      </c>
      <c r="J431" s="6">
        <v>104001694168</v>
      </c>
      <c r="K431" s="10" t="s">
        <v>3084</v>
      </c>
      <c r="L431" s="18" t="str">
        <f t="shared" si="6"/>
        <v>0430</v>
      </c>
      <c r="M431" s="18" t="s">
        <v>38</v>
      </c>
      <c r="N431" s="61" t="s">
        <v>1483</v>
      </c>
      <c r="O431" s="10" t="s">
        <v>1484</v>
      </c>
    </row>
    <row r="432" spans="1:15" ht="15.75" customHeight="1">
      <c r="A432" s="10" t="s">
        <v>3085</v>
      </c>
      <c r="B432" s="10" t="s">
        <v>1469</v>
      </c>
      <c r="C432" s="60" t="s">
        <v>1470</v>
      </c>
      <c r="D432" s="13" t="s">
        <v>162</v>
      </c>
      <c r="E432" s="6" t="s">
        <v>285</v>
      </c>
      <c r="F432" s="17" t="s">
        <v>3090</v>
      </c>
      <c r="G432" s="17"/>
      <c r="H432" s="17" t="s">
        <v>663</v>
      </c>
      <c r="I432" s="32" t="s">
        <v>664</v>
      </c>
      <c r="J432" s="17" t="s">
        <v>3089</v>
      </c>
      <c r="K432" s="17" t="s">
        <v>3090</v>
      </c>
      <c r="L432" s="18" t="str">
        <f t="shared" si="6"/>
        <v>0431</v>
      </c>
      <c r="M432" s="18" t="s">
        <v>38</v>
      </c>
      <c r="N432" s="19" t="s">
        <v>3091</v>
      </c>
      <c r="O432" s="20" t="s">
        <v>3092</v>
      </c>
    </row>
    <row r="433" spans="1:15" ht="15.75" customHeight="1">
      <c r="A433" s="10" t="s">
        <v>3093</v>
      </c>
      <c r="B433" s="10" t="s">
        <v>1469</v>
      </c>
      <c r="C433" s="60" t="s">
        <v>1470</v>
      </c>
      <c r="D433" s="13" t="s">
        <v>353</v>
      </c>
      <c r="E433" s="43" t="s">
        <v>638</v>
      </c>
      <c r="F433" s="17" t="s">
        <v>3099</v>
      </c>
      <c r="G433" s="17"/>
      <c r="H433" s="17" t="s">
        <v>359</v>
      </c>
      <c r="I433" s="6" t="s">
        <v>360</v>
      </c>
      <c r="J433" s="17" t="s">
        <v>3098</v>
      </c>
      <c r="K433" s="17" t="s">
        <v>3099</v>
      </c>
      <c r="L433" s="18" t="str">
        <f t="shared" si="6"/>
        <v>0432</v>
      </c>
      <c r="M433" s="18" t="s">
        <v>38</v>
      </c>
      <c r="N433" s="19" t="s">
        <v>3091</v>
      </c>
      <c r="O433" s="20" t="s">
        <v>3092</v>
      </c>
    </row>
    <row r="434" spans="1:15" ht="15.75" customHeight="1">
      <c r="A434" s="10" t="s">
        <v>3100</v>
      </c>
      <c r="B434" s="10" t="s">
        <v>1469</v>
      </c>
      <c r="C434" s="60" t="s">
        <v>1470</v>
      </c>
      <c r="D434" s="13" t="s">
        <v>116</v>
      </c>
      <c r="E434" s="6" t="s">
        <v>3101</v>
      </c>
      <c r="F434" s="17" t="s">
        <v>3106</v>
      </c>
      <c r="G434" s="17"/>
      <c r="H434" s="17" t="s">
        <v>35</v>
      </c>
      <c r="I434" s="6" t="s">
        <v>35</v>
      </c>
      <c r="J434" s="17" t="s">
        <v>36</v>
      </c>
      <c r="K434" s="17" t="s">
        <v>3106</v>
      </c>
      <c r="L434" s="18" t="str">
        <f t="shared" si="6"/>
        <v>0433</v>
      </c>
      <c r="M434" s="18" t="s">
        <v>38</v>
      </c>
      <c r="N434" s="19" t="s">
        <v>3091</v>
      </c>
      <c r="O434" s="20" t="s">
        <v>3092</v>
      </c>
    </row>
    <row r="435" spans="1:15" ht="15.75" customHeight="1">
      <c r="A435" s="10" t="s">
        <v>3107</v>
      </c>
      <c r="B435" s="10" t="s">
        <v>1469</v>
      </c>
      <c r="C435" s="60" t="s">
        <v>1470</v>
      </c>
      <c r="D435" s="13" t="s">
        <v>184</v>
      </c>
      <c r="E435" s="6" t="s">
        <v>927</v>
      </c>
      <c r="F435" s="17" t="s">
        <v>3112</v>
      </c>
      <c r="G435" s="17"/>
      <c r="H435" s="17" t="s">
        <v>35</v>
      </c>
      <c r="I435" s="6" t="s">
        <v>35</v>
      </c>
      <c r="J435" s="17" t="s">
        <v>36</v>
      </c>
      <c r="K435" s="17" t="s">
        <v>3112</v>
      </c>
      <c r="L435" s="18" t="str">
        <f t="shared" si="6"/>
        <v>0434</v>
      </c>
      <c r="M435" s="18" t="s">
        <v>38</v>
      </c>
      <c r="N435" s="19" t="s">
        <v>3091</v>
      </c>
      <c r="O435" s="20" t="s">
        <v>3092</v>
      </c>
    </row>
    <row r="436" spans="1:15" ht="15.75" customHeight="1">
      <c r="A436" s="10" t="s">
        <v>3113</v>
      </c>
      <c r="B436" s="10" t="s">
        <v>1469</v>
      </c>
      <c r="C436" s="60" t="s">
        <v>1470</v>
      </c>
      <c r="D436" s="13" t="s">
        <v>378</v>
      </c>
      <c r="E436" s="6" t="s">
        <v>1306</v>
      </c>
      <c r="F436" s="32" t="s">
        <v>3117</v>
      </c>
      <c r="G436" s="17"/>
      <c r="H436" s="35" t="s">
        <v>35</v>
      </c>
      <c r="I436" s="6" t="s">
        <v>35</v>
      </c>
      <c r="J436" s="10" t="s">
        <v>36</v>
      </c>
      <c r="K436" s="32" t="s">
        <v>3117</v>
      </c>
      <c r="L436" s="18" t="str">
        <f t="shared" si="6"/>
        <v>0435</v>
      </c>
      <c r="M436" s="18" t="s">
        <v>38</v>
      </c>
      <c r="N436" s="19" t="s">
        <v>3091</v>
      </c>
      <c r="O436" s="20" t="s">
        <v>3092</v>
      </c>
    </row>
    <row r="437" spans="1:15" ht="15.75" customHeight="1">
      <c r="A437" s="10" t="s">
        <v>3118</v>
      </c>
      <c r="B437" s="10" t="s">
        <v>1469</v>
      </c>
      <c r="C437" s="60" t="s">
        <v>1470</v>
      </c>
      <c r="D437" s="13" t="s">
        <v>378</v>
      </c>
      <c r="E437" s="6" t="s">
        <v>1306</v>
      </c>
      <c r="F437" s="17" t="s">
        <v>3123</v>
      </c>
      <c r="G437" s="17"/>
      <c r="H437" s="17" t="s">
        <v>35</v>
      </c>
      <c r="I437" s="6" t="s">
        <v>35</v>
      </c>
      <c r="J437" s="17" t="s">
        <v>36</v>
      </c>
      <c r="K437" s="17" t="s">
        <v>3123</v>
      </c>
      <c r="L437" s="18" t="str">
        <f t="shared" si="6"/>
        <v>0436</v>
      </c>
      <c r="M437" s="18" t="s">
        <v>38</v>
      </c>
      <c r="N437" s="19" t="s">
        <v>3091</v>
      </c>
      <c r="O437" s="20" t="s">
        <v>3092</v>
      </c>
    </row>
    <row r="438" spans="1:15" ht="15.75" customHeight="1">
      <c r="A438" s="10" t="s">
        <v>3124</v>
      </c>
      <c r="B438" s="10" t="s">
        <v>1469</v>
      </c>
      <c r="C438" s="60" t="s">
        <v>1470</v>
      </c>
      <c r="D438" s="13" t="s">
        <v>501</v>
      </c>
      <c r="E438" s="6" t="s">
        <v>3125</v>
      </c>
      <c r="F438" s="17" t="s">
        <v>3130</v>
      </c>
      <c r="G438" s="17"/>
      <c r="H438" s="17" t="s">
        <v>35</v>
      </c>
      <c r="I438" s="6" t="s">
        <v>35</v>
      </c>
      <c r="J438" s="17" t="s">
        <v>36</v>
      </c>
      <c r="K438" s="17" t="s">
        <v>3130</v>
      </c>
      <c r="L438" s="18" t="str">
        <f t="shared" si="6"/>
        <v>0437</v>
      </c>
      <c r="M438" s="18" t="s">
        <v>38</v>
      </c>
      <c r="N438" s="19" t="s">
        <v>3091</v>
      </c>
      <c r="O438" s="20" t="s">
        <v>3092</v>
      </c>
    </row>
    <row r="439" spans="1:15" ht="15.75" customHeight="1">
      <c r="A439" s="10" t="s">
        <v>3131</v>
      </c>
      <c r="B439" s="10" t="s">
        <v>1469</v>
      </c>
      <c r="C439" s="60" t="s">
        <v>1470</v>
      </c>
      <c r="D439" s="13" t="s">
        <v>62</v>
      </c>
      <c r="E439" s="6" t="s">
        <v>3132</v>
      </c>
      <c r="F439" s="17" t="s">
        <v>3137</v>
      </c>
      <c r="G439" s="17"/>
      <c r="H439" s="17" t="s">
        <v>35</v>
      </c>
      <c r="I439" s="6" t="s">
        <v>35</v>
      </c>
      <c r="J439" s="17" t="s">
        <v>36</v>
      </c>
      <c r="K439" s="17" t="s">
        <v>3137</v>
      </c>
      <c r="L439" s="18" t="str">
        <f t="shared" si="6"/>
        <v>0438</v>
      </c>
      <c r="M439" s="18" t="s">
        <v>38</v>
      </c>
      <c r="N439" s="19" t="s">
        <v>3091</v>
      </c>
      <c r="O439" s="20" t="s">
        <v>3092</v>
      </c>
    </row>
    <row r="440" spans="1:15" ht="15.75" customHeight="1">
      <c r="A440" s="10" t="s">
        <v>3138</v>
      </c>
      <c r="B440" s="10" t="s">
        <v>27</v>
      </c>
      <c r="C440" s="63" t="s">
        <v>28</v>
      </c>
      <c r="D440" s="13" t="s">
        <v>43</v>
      </c>
      <c r="E440" s="6" t="s">
        <v>457</v>
      </c>
      <c r="F440" s="35" t="s">
        <v>7293</v>
      </c>
      <c r="G440" s="17"/>
      <c r="H440" s="17" t="s">
        <v>406</v>
      </c>
      <c r="I440" s="6" t="s">
        <v>407</v>
      </c>
      <c r="J440" s="17" t="s">
        <v>36</v>
      </c>
      <c r="K440" s="35" t="s">
        <v>7293</v>
      </c>
      <c r="L440" s="18" t="str">
        <f t="shared" si="6"/>
        <v>0439</v>
      </c>
      <c r="M440" s="18" t="s">
        <v>2544</v>
      </c>
      <c r="N440" s="19" t="s">
        <v>147</v>
      </c>
      <c r="O440" s="20" t="s">
        <v>385</v>
      </c>
    </row>
    <row r="441" spans="1:15" ht="15.75" customHeight="1">
      <c r="A441" s="10" t="s">
        <v>3144</v>
      </c>
      <c r="B441" s="10" t="s">
        <v>1469</v>
      </c>
      <c r="C441" s="60" t="s">
        <v>1470</v>
      </c>
      <c r="D441" s="13" t="s">
        <v>378</v>
      </c>
      <c r="E441" s="6" t="s">
        <v>3145</v>
      </c>
      <c r="F441" s="17" t="s">
        <v>3150</v>
      </c>
      <c r="G441" s="17"/>
      <c r="H441" s="17" t="s">
        <v>35</v>
      </c>
      <c r="I441" s="6" t="s">
        <v>35</v>
      </c>
      <c r="J441" s="17" t="s">
        <v>36</v>
      </c>
      <c r="K441" s="17" t="s">
        <v>3150</v>
      </c>
      <c r="L441" s="18" t="str">
        <f t="shared" si="6"/>
        <v>0440</v>
      </c>
      <c r="M441" s="18" t="s">
        <v>38</v>
      </c>
      <c r="N441" s="19" t="s">
        <v>3091</v>
      </c>
      <c r="O441" s="20" t="s">
        <v>3151</v>
      </c>
    </row>
    <row r="442" spans="1:15" ht="15.75" customHeight="1">
      <c r="A442" s="10" t="s">
        <v>3152</v>
      </c>
      <c r="B442" s="10" t="s">
        <v>1469</v>
      </c>
      <c r="C442" s="60" t="s">
        <v>1470</v>
      </c>
      <c r="D442" s="13" t="s">
        <v>199</v>
      </c>
      <c r="E442" s="6" t="s">
        <v>199</v>
      </c>
      <c r="F442" s="10" t="s">
        <v>3158</v>
      </c>
      <c r="G442" s="17"/>
      <c r="H442" s="17" t="s">
        <v>157</v>
      </c>
      <c r="I442" s="6">
        <v>2378</v>
      </c>
      <c r="J442" s="17" t="s">
        <v>3157</v>
      </c>
      <c r="K442" s="10" t="s">
        <v>3158</v>
      </c>
      <c r="L442" s="18" t="str">
        <f t="shared" si="6"/>
        <v>0441</v>
      </c>
      <c r="M442" s="18" t="s">
        <v>38</v>
      </c>
      <c r="N442" s="19" t="s">
        <v>3091</v>
      </c>
      <c r="O442" s="20" t="s">
        <v>3092</v>
      </c>
    </row>
    <row r="443" spans="1:15" ht="15.75" customHeight="1">
      <c r="A443" s="10" t="s">
        <v>3159</v>
      </c>
      <c r="B443" s="10" t="s">
        <v>1469</v>
      </c>
      <c r="C443" s="60" t="s">
        <v>1470</v>
      </c>
      <c r="D443" s="13" t="s">
        <v>151</v>
      </c>
      <c r="E443" s="6" t="s">
        <v>714</v>
      </c>
      <c r="F443" s="10" t="s">
        <v>3165</v>
      </c>
      <c r="G443" s="17"/>
      <c r="H443" s="17" t="s">
        <v>157</v>
      </c>
      <c r="I443" s="6" t="s">
        <v>158</v>
      </c>
      <c r="J443" s="17" t="s">
        <v>3164</v>
      </c>
      <c r="K443" s="10" t="s">
        <v>3165</v>
      </c>
      <c r="L443" s="18" t="str">
        <f t="shared" si="6"/>
        <v>0442</v>
      </c>
      <c r="M443" s="18" t="s">
        <v>38</v>
      </c>
      <c r="N443" s="28" t="s">
        <v>3091</v>
      </c>
      <c r="O443" s="20" t="s">
        <v>3092</v>
      </c>
    </row>
    <row r="444" spans="1:15" ht="15.75" customHeight="1">
      <c r="A444" s="10" t="s">
        <v>3166</v>
      </c>
      <c r="B444" s="10" t="s">
        <v>1469</v>
      </c>
      <c r="C444" s="60" t="s">
        <v>1470</v>
      </c>
      <c r="D444" s="13" t="s">
        <v>116</v>
      </c>
      <c r="E444" s="6" t="s">
        <v>3167</v>
      </c>
      <c r="F444" s="17" t="s">
        <v>3172</v>
      </c>
      <c r="G444" s="17"/>
      <c r="H444" s="17" t="s">
        <v>35</v>
      </c>
      <c r="I444" s="6" t="s">
        <v>35</v>
      </c>
      <c r="J444" s="17" t="s">
        <v>36</v>
      </c>
      <c r="K444" s="17" t="s">
        <v>3172</v>
      </c>
      <c r="L444" s="18" t="str">
        <f t="shared" si="6"/>
        <v>0443</v>
      </c>
      <c r="M444" s="18" t="s">
        <v>38</v>
      </c>
      <c r="N444" s="61" t="s">
        <v>1483</v>
      </c>
      <c r="O444" s="20" t="s">
        <v>2466</v>
      </c>
    </row>
    <row r="445" spans="1:15" ht="15.75" customHeight="1">
      <c r="A445" s="10" t="s">
        <v>3174</v>
      </c>
      <c r="B445" s="10" t="s">
        <v>1469</v>
      </c>
      <c r="C445" s="60" t="s">
        <v>1470</v>
      </c>
      <c r="D445" s="13" t="s">
        <v>378</v>
      </c>
      <c r="E445" s="6" t="s">
        <v>3175</v>
      </c>
      <c r="F445" s="10" t="s">
        <v>7294</v>
      </c>
      <c r="G445" s="17"/>
      <c r="H445" s="35" t="s">
        <v>35</v>
      </c>
      <c r="I445" s="6" t="s">
        <v>35</v>
      </c>
      <c r="J445" s="10" t="s">
        <v>36</v>
      </c>
      <c r="K445" s="32" t="s">
        <v>85</v>
      </c>
      <c r="L445" s="18" t="str">
        <f t="shared" si="6"/>
        <v>0444</v>
      </c>
      <c r="M445" s="18" t="s">
        <v>38</v>
      </c>
      <c r="N445" s="19" t="s">
        <v>3091</v>
      </c>
      <c r="O445" s="20" t="s">
        <v>3092</v>
      </c>
    </row>
    <row r="446" spans="1:15" ht="15.75" customHeight="1">
      <c r="A446" s="10" t="s">
        <v>3178</v>
      </c>
      <c r="B446" s="10" t="s">
        <v>1469</v>
      </c>
      <c r="C446" s="63" t="s">
        <v>28</v>
      </c>
      <c r="D446" s="13" t="s">
        <v>353</v>
      </c>
      <c r="E446" s="6" t="s">
        <v>638</v>
      </c>
      <c r="F446" s="32" t="s">
        <v>3183</v>
      </c>
      <c r="G446" s="17"/>
      <c r="H446" s="17" t="s">
        <v>359</v>
      </c>
      <c r="I446" s="6" t="s">
        <v>360</v>
      </c>
      <c r="J446" s="6">
        <v>161039232</v>
      </c>
      <c r="K446" s="32" t="s">
        <v>3183</v>
      </c>
      <c r="L446" s="18" t="str">
        <f t="shared" si="6"/>
        <v>0445</v>
      </c>
      <c r="M446" s="69" t="s">
        <v>971</v>
      </c>
      <c r="N446" s="19" t="s">
        <v>147</v>
      </c>
      <c r="O446" s="20" t="s">
        <v>385</v>
      </c>
    </row>
    <row r="447" spans="1:15" ht="15.75" customHeight="1">
      <c r="A447" s="10" t="s">
        <v>3184</v>
      </c>
      <c r="B447" s="10" t="s">
        <v>1469</v>
      </c>
      <c r="C447" s="60" t="s">
        <v>1470</v>
      </c>
      <c r="D447" s="13" t="s">
        <v>93</v>
      </c>
      <c r="E447" s="6" t="s">
        <v>1739</v>
      </c>
      <c r="F447" s="17" t="s">
        <v>3189</v>
      </c>
      <c r="G447" s="17"/>
      <c r="H447" s="17" t="s">
        <v>35</v>
      </c>
      <c r="I447" s="6" t="s">
        <v>35</v>
      </c>
      <c r="J447" s="17" t="s">
        <v>36</v>
      </c>
      <c r="K447" s="17" t="s">
        <v>3189</v>
      </c>
      <c r="L447" s="18" t="str">
        <f t="shared" si="6"/>
        <v>0446</v>
      </c>
      <c r="M447" s="18" t="s">
        <v>38</v>
      </c>
      <c r="N447" s="19" t="s">
        <v>3091</v>
      </c>
      <c r="O447" s="22" t="s">
        <v>3151</v>
      </c>
    </row>
    <row r="448" spans="1:15" ht="15.75" customHeight="1">
      <c r="A448" s="10" t="s">
        <v>3190</v>
      </c>
      <c r="B448" s="10" t="s">
        <v>1469</v>
      </c>
      <c r="C448" s="60" t="s">
        <v>1470</v>
      </c>
      <c r="D448" s="13" t="s">
        <v>116</v>
      </c>
      <c r="E448" s="43" t="s">
        <v>117</v>
      </c>
      <c r="F448" s="17" t="s">
        <v>3195</v>
      </c>
      <c r="G448" s="17"/>
      <c r="H448" s="17" t="s">
        <v>35</v>
      </c>
      <c r="I448" s="6" t="s">
        <v>35</v>
      </c>
      <c r="J448" s="17" t="s">
        <v>36</v>
      </c>
      <c r="K448" s="17" t="s">
        <v>3195</v>
      </c>
      <c r="L448" s="18" t="str">
        <f t="shared" si="6"/>
        <v>0447</v>
      </c>
      <c r="M448" s="18" t="s">
        <v>38</v>
      </c>
      <c r="N448" s="19" t="s">
        <v>3091</v>
      </c>
      <c r="O448" s="22" t="s">
        <v>3151</v>
      </c>
    </row>
    <row r="449" spans="1:15" ht="15.75" customHeight="1">
      <c r="A449" s="10" t="s">
        <v>3196</v>
      </c>
      <c r="B449" s="10" t="s">
        <v>27</v>
      </c>
      <c r="C449" s="63" t="s">
        <v>28</v>
      </c>
      <c r="D449" s="13" t="s">
        <v>199</v>
      </c>
      <c r="E449" s="6" t="s">
        <v>199</v>
      </c>
      <c r="F449" s="17" t="s">
        <v>3202</v>
      </c>
      <c r="G449" s="17"/>
      <c r="H449" s="17" t="s">
        <v>205</v>
      </c>
      <c r="I449" s="6" t="s">
        <v>794</v>
      </c>
      <c r="J449" s="17" t="s">
        <v>3201</v>
      </c>
      <c r="K449" s="17" t="s">
        <v>3202</v>
      </c>
      <c r="L449" s="18" t="str">
        <f t="shared" si="6"/>
        <v>0448</v>
      </c>
      <c r="M449" s="18" t="s">
        <v>100</v>
      </c>
      <c r="N449" s="19" t="s">
        <v>147</v>
      </c>
      <c r="O449" s="20" t="s">
        <v>385</v>
      </c>
    </row>
    <row r="450" spans="1:15" ht="15.75" customHeight="1">
      <c r="A450" s="10" t="s">
        <v>3203</v>
      </c>
      <c r="B450" s="10" t="s">
        <v>1469</v>
      </c>
      <c r="C450" s="60" t="s">
        <v>1470</v>
      </c>
      <c r="D450" s="13" t="s">
        <v>248</v>
      </c>
      <c r="E450" s="43" t="s">
        <v>248</v>
      </c>
      <c r="F450" s="17" t="s">
        <v>3208</v>
      </c>
      <c r="G450" s="17"/>
      <c r="H450" s="17" t="s">
        <v>978</v>
      </c>
      <c r="I450" s="6" t="s">
        <v>979</v>
      </c>
      <c r="J450" s="17" t="s">
        <v>36</v>
      </c>
      <c r="K450" s="17" t="s">
        <v>3208</v>
      </c>
      <c r="L450" s="18" t="str">
        <f t="shared" ref="L450:L513" si="7">A450</f>
        <v>0449</v>
      </c>
      <c r="M450" s="18" t="s">
        <v>38</v>
      </c>
      <c r="N450" s="19" t="s">
        <v>3091</v>
      </c>
      <c r="O450" s="22" t="s">
        <v>3151</v>
      </c>
    </row>
    <row r="451" spans="1:15" ht="15.75" customHeight="1">
      <c r="A451" s="10" t="s">
        <v>3209</v>
      </c>
      <c r="B451" s="10" t="s">
        <v>1469</v>
      </c>
      <c r="C451" s="60" t="s">
        <v>1470</v>
      </c>
      <c r="D451" s="13" t="s">
        <v>1240</v>
      </c>
      <c r="E451" s="43" t="s">
        <v>278</v>
      </c>
      <c r="F451" s="17" t="s">
        <v>3214</v>
      </c>
      <c r="G451" s="17"/>
      <c r="H451" s="17" t="s">
        <v>35</v>
      </c>
      <c r="I451" s="6" t="s">
        <v>35</v>
      </c>
      <c r="J451" s="17" t="s">
        <v>36</v>
      </c>
      <c r="K451" s="17" t="s">
        <v>3214</v>
      </c>
      <c r="L451" s="18" t="str">
        <f t="shared" si="7"/>
        <v>0450</v>
      </c>
      <c r="M451" s="18" t="s">
        <v>38</v>
      </c>
      <c r="N451" s="19" t="s">
        <v>3091</v>
      </c>
      <c r="O451" s="22" t="s">
        <v>3151</v>
      </c>
    </row>
    <row r="452" spans="1:15" ht="15.75" customHeight="1">
      <c r="A452" s="10" t="s">
        <v>3215</v>
      </c>
      <c r="B452" s="10" t="s">
        <v>1469</v>
      </c>
      <c r="C452" s="60" t="s">
        <v>1470</v>
      </c>
      <c r="D452" s="13" t="s">
        <v>151</v>
      </c>
      <c r="E452" s="6" t="s">
        <v>152</v>
      </c>
      <c r="F452" s="17" t="s">
        <v>3221</v>
      </c>
      <c r="G452" s="17"/>
      <c r="H452" s="17" t="s">
        <v>1220</v>
      </c>
      <c r="I452" s="6" t="s">
        <v>720</v>
      </c>
      <c r="J452" s="46" t="s">
        <v>3220</v>
      </c>
      <c r="K452" s="17" t="s">
        <v>3221</v>
      </c>
      <c r="L452" s="18" t="str">
        <f t="shared" si="7"/>
        <v>0451</v>
      </c>
      <c r="M452" s="18" t="s">
        <v>38</v>
      </c>
      <c r="N452" s="19" t="s">
        <v>1483</v>
      </c>
      <c r="O452" s="10" t="s">
        <v>1484</v>
      </c>
    </row>
    <row r="453" spans="1:15" ht="15.75" customHeight="1">
      <c r="A453" s="10" t="s">
        <v>3222</v>
      </c>
      <c r="B453" s="10" t="s">
        <v>1469</v>
      </c>
      <c r="C453" s="63" t="s">
        <v>28</v>
      </c>
      <c r="D453" s="13" t="s">
        <v>378</v>
      </c>
      <c r="E453" s="6" t="s">
        <v>379</v>
      </c>
      <c r="F453" s="17" t="s">
        <v>3227</v>
      </c>
      <c r="G453" s="17"/>
      <c r="H453" s="17" t="s">
        <v>35</v>
      </c>
      <c r="I453" s="6" t="s">
        <v>35</v>
      </c>
      <c r="J453" s="46" t="s">
        <v>36</v>
      </c>
      <c r="K453" s="17" t="s">
        <v>3227</v>
      </c>
      <c r="L453" s="18" t="str">
        <f t="shared" si="7"/>
        <v>0452</v>
      </c>
      <c r="M453" s="18" t="s">
        <v>38</v>
      </c>
      <c r="N453" s="19" t="s">
        <v>147</v>
      </c>
      <c r="O453" s="39" t="s">
        <v>385</v>
      </c>
    </row>
    <row r="454" spans="1:15" ht="15.75" customHeight="1">
      <c r="A454" s="10" t="s">
        <v>3228</v>
      </c>
      <c r="B454" s="10" t="s">
        <v>1469</v>
      </c>
      <c r="C454" s="60" t="s">
        <v>1470</v>
      </c>
      <c r="D454" s="13" t="s">
        <v>184</v>
      </c>
      <c r="E454" s="6" t="s">
        <v>3229</v>
      </c>
      <c r="F454" s="17" t="s">
        <v>3234</v>
      </c>
      <c r="G454" s="17"/>
      <c r="H454" s="17" t="s">
        <v>35</v>
      </c>
      <c r="I454" s="6" t="s">
        <v>35</v>
      </c>
      <c r="J454" s="46" t="s">
        <v>36</v>
      </c>
      <c r="K454" s="17" t="s">
        <v>3234</v>
      </c>
      <c r="L454" s="18" t="str">
        <f t="shared" si="7"/>
        <v>0453</v>
      </c>
      <c r="M454" s="18" t="s">
        <v>38</v>
      </c>
      <c r="N454" s="19" t="s">
        <v>3091</v>
      </c>
      <c r="O454" s="22" t="s">
        <v>3151</v>
      </c>
    </row>
    <row r="455" spans="1:15" ht="15.75" customHeight="1">
      <c r="A455" s="10" t="s">
        <v>3235</v>
      </c>
      <c r="B455" s="10" t="s">
        <v>1469</v>
      </c>
      <c r="C455" s="60" t="s">
        <v>1470</v>
      </c>
      <c r="D455" s="13" t="s">
        <v>210</v>
      </c>
      <c r="E455" s="6" t="s">
        <v>210</v>
      </c>
      <c r="F455" s="10" t="s">
        <v>7295</v>
      </c>
      <c r="G455" s="17"/>
      <c r="H455" s="17" t="s">
        <v>216</v>
      </c>
      <c r="I455" s="6" t="s">
        <v>3239</v>
      </c>
      <c r="J455" s="6" t="s">
        <v>3240</v>
      </c>
      <c r="K455" s="10" t="s">
        <v>7295</v>
      </c>
      <c r="L455" s="18" t="str">
        <f t="shared" si="7"/>
        <v>0454</v>
      </c>
      <c r="M455" s="18" t="s">
        <v>38</v>
      </c>
      <c r="N455" s="19" t="s">
        <v>3091</v>
      </c>
      <c r="O455" s="20" t="s">
        <v>3092</v>
      </c>
    </row>
    <row r="456" spans="1:15" ht="15.75" customHeight="1">
      <c r="A456" s="10" t="s">
        <v>3241</v>
      </c>
      <c r="B456" s="10" t="s">
        <v>1469</v>
      </c>
      <c r="C456" s="60" t="s">
        <v>1470</v>
      </c>
      <c r="D456" s="13" t="s">
        <v>501</v>
      </c>
      <c r="E456" s="6" t="s">
        <v>2285</v>
      </c>
      <c r="F456" s="17" t="s">
        <v>3246</v>
      </c>
      <c r="G456" s="17"/>
      <c r="H456" s="17" t="s">
        <v>35</v>
      </c>
      <c r="I456" s="6" t="s">
        <v>35</v>
      </c>
      <c r="J456" s="17" t="s">
        <v>36</v>
      </c>
      <c r="K456" s="17" t="s">
        <v>3246</v>
      </c>
      <c r="L456" s="18" t="str">
        <f t="shared" si="7"/>
        <v>0455</v>
      </c>
      <c r="M456" s="18" t="s">
        <v>38</v>
      </c>
      <c r="N456" s="19" t="s">
        <v>2884</v>
      </c>
      <c r="O456" s="20" t="s">
        <v>3247</v>
      </c>
    </row>
    <row r="457" spans="1:15" ht="15.75" customHeight="1">
      <c r="A457" s="10" t="s">
        <v>3248</v>
      </c>
      <c r="B457" s="10" t="s">
        <v>1469</v>
      </c>
      <c r="C457" s="60" t="s">
        <v>1470</v>
      </c>
      <c r="D457" s="13" t="s">
        <v>43</v>
      </c>
      <c r="E457" s="43" t="s">
        <v>885</v>
      </c>
      <c r="F457" s="35" t="s">
        <v>7296</v>
      </c>
      <c r="G457" s="17"/>
      <c r="H457" s="17" t="s">
        <v>3253</v>
      </c>
      <c r="I457" s="6" t="s">
        <v>35</v>
      </c>
      <c r="J457" s="17" t="s">
        <v>36</v>
      </c>
      <c r="K457" s="35" t="s">
        <v>7296</v>
      </c>
      <c r="L457" s="18" t="str">
        <f t="shared" si="7"/>
        <v>0456</v>
      </c>
      <c r="M457" s="18" t="s">
        <v>100</v>
      </c>
      <c r="N457" s="19" t="s">
        <v>2884</v>
      </c>
      <c r="O457" s="22" t="s">
        <v>3247</v>
      </c>
    </row>
    <row r="458" spans="1:15" ht="15.75" customHeight="1">
      <c r="A458" s="10" t="s">
        <v>3255</v>
      </c>
      <c r="B458" s="10" t="s">
        <v>1469</v>
      </c>
      <c r="C458" s="60" t="s">
        <v>1470</v>
      </c>
      <c r="D458" s="13" t="s">
        <v>93</v>
      </c>
      <c r="E458" s="6" t="s">
        <v>2383</v>
      </c>
      <c r="F458" s="17" t="s">
        <v>3260</v>
      </c>
      <c r="G458" s="17"/>
      <c r="H458" s="17" t="s">
        <v>35</v>
      </c>
      <c r="I458" s="6" t="s">
        <v>35</v>
      </c>
      <c r="J458" s="17" t="s">
        <v>36</v>
      </c>
      <c r="K458" s="17" t="s">
        <v>3260</v>
      </c>
      <c r="L458" s="18" t="str">
        <f t="shared" si="7"/>
        <v>0457</v>
      </c>
      <c r="M458" s="18" t="s">
        <v>38</v>
      </c>
      <c r="N458" s="19" t="s">
        <v>2884</v>
      </c>
      <c r="O458" s="22" t="s">
        <v>3247</v>
      </c>
    </row>
    <row r="459" spans="1:15" ht="15.75" customHeight="1">
      <c r="A459" s="10" t="s">
        <v>3261</v>
      </c>
      <c r="B459" s="10" t="s">
        <v>1469</v>
      </c>
      <c r="C459" s="60" t="s">
        <v>1470</v>
      </c>
      <c r="D459" s="13" t="s">
        <v>62</v>
      </c>
      <c r="E459" s="43" t="s">
        <v>3262</v>
      </c>
      <c r="F459" s="17" t="s">
        <v>3267</v>
      </c>
      <c r="G459" s="17"/>
      <c r="H459" s="17" t="s">
        <v>35</v>
      </c>
      <c r="I459" s="6" t="s">
        <v>35</v>
      </c>
      <c r="J459" s="17" t="s">
        <v>36</v>
      </c>
      <c r="K459" s="17" t="s">
        <v>3267</v>
      </c>
      <c r="L459" s="18" t="str">
        <f t="shared" si="7"/>
        <v>0458</v>
      </c>
      <c r="M459" s="18" t="s">
        <v>38</v>
      </c>
      <c r="N459" s="19" t="s">
        <v>2884</v>
      </c>
      <c r="O459" s="22" t="s">
        <v>3247</v>
      </c>
    </row>
    <row r="460" spans="1:15" ht="15.75" customHeight="1">
      <c r="A460" s="10" t="s">
        <v>3268</v>
      </c>
      <c r="B460" s="10" t="s">
        <v>1469</v>
      </c>
      <c r="C460" s="60" t="s">
        <v>1470</v>
      </c>
      <c r="D460" s="13" t="s">
        <v>501</v>
      </c>
      <c r="E460" s="43" t="s">
        <v>3269</v>
      </c>
      <c r="F460" s="17" t="s">
        <v>3274</v>
      </c>
      <c r="G460" s="17"/>
      <c r="H460" s="17" t="s">
        <v>35</v>
      </c>
      <c r="I460" s="6" t="s">
        <v>35</v>
      </c>
      <c r="J460" s="17" t="s">
        <v>36</v>
      </c>
      <c r="K460" s="17" t="s">
        <v>3274</v>
      </c>
      <c r="L460" s="18" t="str">
        <f t="shared" si="7"/>
        <v>0459</v>
      </c>
      <c r="M460" s="18" t="s">
        <v>38</v>
      </c>
      <c r="N460" s="19" t="s">
        <v>2884</v>
      </c>
      <c r="O460" s="22" t="s">
        <v>3247</v>
      </c>
    </row>
    <row r="461" spans="1:15" ht="15.75" customHeight="1">
      <c r="A461" s="10" t="s">
        <v>3275</v>
      </c>
      <c r="B461" s="10" t="s">
        <v>27</v>
      </c>
      <c r="C461" s="63" t="s">
        <v>28</v>
      </c>
      <c r="D461" s="13" t="s">
        <v>199</v>
      </c>
      <c r="E461" s="6" t="s">
        <v>677</v>
      </c>
      <c r="F461" s="17" t="s">
        <v>3281</v>
      </c>
      <c r="G461" s="17"/>
      <c r="H461" s="17" t="s">
        <v>205</v>
      </c>
      <c r="I461" s="6" t="s">
        <v>2890</v>
      </c>
      <c r="J461" s="17" t="s">
        <v>3280</v>
      </c>
      <c r="K461" s="17" t="s">
        <v>3281</v>
      </c>
      <c r="L461" s="18" t="str">
        <f t="shared" si="7"/>
        <v>0460</v>
      </c>
      <c r="M461" s="18" t="s">
        <v>3282</v>
      </c>
      <c r="N461" s="19" t="s">
        <v>147</v>
      </c>
      <c r="O461" s="20" t="s">
        <v>385</v>
      </c>
    </row>
    <row r="462" spans="1:15" ht="15.75" customHeight="1">
      <c r="A462" s="10" t="s">
        <v>3284</v>
      </c>
      <c r="B462" s="10" t="s">
        <v>1469</v>
      </c>
      <c r="C462" s="60" t="s">
        <v>1470</v>
      </c>
      <c r="D462" s="13" t="s">
        <v>501</v>
      </c>
      <c r="E462" s="6" t="s">
        <v>3285</v>
      </c>
      <c r="F462" s="17" t="s">
        <v>3290</v>
      </c>
      <c r="G462" s="17"/>
      <c r="H462" s="17" t="s">
        <v>35</v>
      </c>
      <c r="I462" s="6" t="s">
        <v>35</v>
      </c>
      <c r="J462" s="17" t="s">
        <v>36</v>
      </c>
      <c r="K462" s="17" t="s">
        <v>3290</v>
      </c>
      <c r="L462" s="18" t="str">
        <f t="shared" si="7"/>
        <v>0461</v>
      </c>
      <c r="M462" s="18" t="s">
        <v>38</v>
      </c>
      <c r="N462" s="19" t="s">
        <v>2884</v>
      </c>
      <c r="O462" s="22" t="s">
        <v>3247</v>
      </c>
    </row>
    <row r="463" spans="1:15" ht="15.75" customHeight="1">
      <c r="A463" s="10" t="s">
        <v>3291</v>
      </c>
      <c r="B463" s="10" t="s">
        <v>1469</v>
      </c>
      <c r="C463" s="60" t="s">
        <v>1470</v>
      </c>
      <c r="D463" s="13" t="s">
        <v>378</v>
      </c>
      <c r="E463" s="6" t="s">
        <v>2040</v>
      </c>
      <c r="F463" s="17" t="s">
        <v>3296</v>
      </c>
      <c r="G463" s="17"/>
      <c r="H463" s="17" t="s">
        <v>35</v>
      </c>
      <c r="I463" s="6" t="s">
        <v>35</v>
      </c>
      <c r="J463" s="17" t="s">
        <v>36</v>
      </c>
      <c r="K463" s="17" t="s">
        <v>3296</v>
      </c>
      <c r="L463" s="18" t="str">
        <f t="shared" si="7"/>
        <v>0462</v>
      </c>
      <c r="M463" s="18" t="s">
        <v>38</v>
      </c>
      <c r="N463" s="19" t="s">
        <v>2884</v>
      </c>
      <c r="O463" s="22" t="s">
        <v>3247</v>
      </c>
    </row>
    <row r="464" spans="1:15" ht="15.75" customHeight="1">
      <c r="A464" s="10" t="s">
        <v>3297</v>
      </c>
      <c r="B464" s="10" t="s">
        <v>1469</v>
      </c>
      <c r="C464" s="60" t="s">
        <v>1470</v>
      </c>
      <c r="D464" s="13" t="s">
        <v>93</v>
      </c>
      <c r="E464" s="6" t="s">
        <v>2383</v>
      </c>
      <c r="F464" s="17" t="s">
        <v>3302</v>
      </c>
      <c r="G464" s="17"/>
      <c r="H464" s="17" t="s">
        <v>35</v>
      </c>
      <c r="I464" s="6" t="s">
        <v>35</v>
      </c>
      <c r="J464" s="17" t="s">
        <v>36</v>
      </c>
      <c r="K464" s="17" t="s">
        <v>3302</v>
      </c>
      <c r="L464" s="18" t="str">
        <f t="shared" si="7"/>
        <v>0463</v>
      </c>
      <c r="M464" s="18" t="s">
        <v>38</v>
      </c>
      <c r="N464" s="19" t="s">
        <v>2884</v>
      </c>
      <c r="O464" s="22" t="s">
        <v>3247</v>
      </c>
    </row>
    <row r="465" spans="1:15" ht="15.75" customHeight="1">
      <c r="A465" s="10" t="s">
        <v>3303</v>
      </c>
      <c r="B465" s="10" t="s">
        <v>1469</v>
      </c>
      <c r="C465" s="60" t="s">
        <v>1470</v>
      </c>
      <c r="D465" s="13" t="s">
        <v>93</v>
      </c>
      <c r="E465" s="6" t="s">
        <v>3304</v>
      </c>
      <c r="F465" s="17" t="s">
        <v>3309</v>
      </c>
      <c r="G465" s="17"/>
      <c r="H465" s="17" t="s">
        <v>35</v>
      </c>
      <c r="I465" s="6" t="s">
        <v>35</v>
      </c>
      <c r="J465" s="17" t="s">
        <v>36</v>
      </c>
      <c r="K465" s="17" t="s">
        <v>3309</v>
      </c>
      <c r="L465" s="18" t="str">
        <f t="shared" si="7"/>
        <v>0464</v>
      </c>
      <c r="M465" s="18" t="s">
        <v>38</v>
      </c>
      <c r="N465" s="19" t="s">
        <v>2884</v>
      </c>
      <c r="O465" s="22" t="s">
        <v>3247</v>
      </c>
    </row>
    <row r="466" spans="1:15" ht="15.75" customHeight="1">
      <c r="A466" s="10" t="s">
        <v>3310</v>
      </c>
      <c r="B466" s="10" t="s">
        <v>1469</v>
      </c>
      <c r="C466" s="60" t="s">
        <v>1470</v>
      </c>
      <c r="D466" s="13" t="s">
        <v>184</v>
      </c>
      <c r="E466" s="6" t="s">
        <v>3311</v>
      </c>
      <c r="F466" s="17" t="s">
        <v>3316</v>
      </c>
      <c r="G466" s="17"/>
      <c r="H466" s="17" t="s">
        <v>35</v>
      </c>
      <c r="I466" s="6" t="s">
        <v>35</v>
      </c>
      <c r="J466" s="17" t="s">
        <v>36</v>
      </c>
      <c r="K466" s="17" t="s">
        <v>3316</v>
      </c>
      <c r="L466" s="18" t="str">
        <f t="shared" si="7"/>
        <v>0465</v>
      </c>
      <c r="M466" s="18" t="s">
        <v>38</v>
      </c>
      <c r="N466" s="19" t="s">
        <v>2884</v>
      </c>
      <c r="O466" s="22" t="s">
        <v>3247</v>
      </c>
    </row>
    <row r="467" spans="1:15" ht="15.75" customHeight="1">
      <c r="A467" s="10" t="s">
        <v>3317</v>
      </c>
      <c r="B467" s="10" t="s">
        <v>1469</v>
      </c>
      <c r="C467" s="60" t="s">
        <v>1470</v>
      </c>
      <c r="D467" s="13" t="s">
        <v>184</v>
      </c>
      <c r="E467" s="6" t="s">
        <v>3311</v>
      </c>
      <c r="F467" s="17" t="s">
        <v>3322</v>
      </c>
      <c r="G467" s="17"/>
      <c r="H467" s="17" t="s">
        <v>35</v>
      </c>
      <c r="I467" s="6" t="s">
        <v>35</v>
      </c>
      <c r="J467" s="17" t="s">
        <v>36</v>
      </c>
      <c r="K467" s="17" t="s">
        <v>3322</v>
      </c>
      <c r="L467" s="18" t="str">
        <f t="shared" si="7"/>
        <v>0466</v>
      </c>
      <c r="M467" s="18" t="s">
        <v>38</v>
      </c>
      <c r="N467" s="19" t="s">
        <v>2884</v>
      </c>
      <c r="O467" s="22" t="s">
        <v>3247</v>
      </c>
    </row>
    <row r="468" spans="1:15" ht="15.75" customHeight="1">
      <c r="A468" s="10" t="s">
        <v>3323</v>
      </c>
      <c r="B468" s="10" t="s">
        <v>1469</v>
      </c>
      <c r="C468" s="60" t="s">
        <v>1470</v>
      </c>
      <c r="D468" s="13" t="s">
        <v>234</v>
      </c>
      <c r="E468" s="6" t="s">
        <v>3324</v>
      </c>
      <c r="F468" s="17" t="s">
        <v>3329</v>
      </c>
      <c r="G468" s="17"/>
      <c r="H468" s="17" t="s">
        <v>35</v>
      </c>
      <c r="I468" s="6" t="s">
        <v>35</v>
      </c>
      <c r="J468" s="17" t="s">
        <v>36</v>
      </c>
      <c r="K468" s="17" t="s">
        <v>3329</v>
      </c>
      <c r="L468" s="18" t="str">
        <f t="shared" si="7"/>
        <v>0467</v>
      </c>
      <c r="M468" s="18" t="s">
        <v>38</v>
      </c>
      <c r="N468" s="19" t="s">
        <v>2884</v>
      </c>
      <c r="O468" s="22" t="s">
        <v>3247</v>
      </c>
    </row>
    <row r="469" spans="1:15" ht="15.75" customHeight="1">
      <c r="A469" s="10" t="s">
        <v>3330</v>
      </c>
      <c r="B469" s="10" t="s">
        <v>1469</v>
      </c>
      <c r="C469" s="60" t="s">
        <v>1470</v>
      </c>
      <c r="D469" s="13" t="s">
        <v>501</v>
      </c>
      <c r="E469" s="6" t="s">
        <v>3331</v>
      </c>
      <c r="F469" s="17" t="s">
        <v>3336</v>
      </c>
      <c r="G469" s="17"/>
      <c r="H469" s="17" t="s">
        <v>35</v>
      </c>
      <c r="I469" s="6" t="s">
        <v>35</v>
      </c>
      <c r="J469" s="17" t="s">
        <v>36</v>
      </c>
      <c r="K469" s="17" t="s">
        <v>3336</v>
      </c>
      <c r="L469" s="18" t="str">
        <f t="shared" si="7"/>
        <v>0468</v>
      </c>
      <c r="M469" s="18" t="s">
        <v>38</v>
      </c>
      <c r="N469" s="19" t="s">
        <v>2884</v>
      </c>
      <c r="O469" s="22" t="s">
        <v>3247</v>
      </c>
    </row>
    <row r="470" spans="1:15" ht="15.75" customHeight="1">
      <c r="A470" s="10" t="s">
        <v>3337</v>
      </c>
      <c r="B470" s="10" t="s">
        <v>1469</v>
      </c>
      <c r="C470" s="60" t="s">
        <v>1470</v>
      </c>
      <c r="D470" s="13" t="s">
        <v>93</v>
      </c>
      <c r="E470" s="43" t="s">
        <v>3338</v>
      </c>
      <c r="F470" s="17" t="s">
        <v>3342</v>
      </c>
      <c r="G470" s="17"/>
      <c r="H470" s="17" t="s">
        <v>35</v>
      </c>
      <c r="I470" s="6" t="s">
        <v>35</v>
      </c>
      <c r="J470" s="17" t="s">
        <v>36</v>
      </c>
      <c r="K470" s="17" t="s">
        <v>3342</v>
      </c>
      <c r="L470" s="18" t="str">
        <f t="shared" si="7"/>
        <v>0469</v>
      </c>
      <c r="M470" s="18" t="s">
        <v>38</v>
      </c>
      <c r="N470" s="19" t="s">
        <v>2884</v>
      </c>
      <c r="O470" s="22" t="s">
        <v>3247</v>
      </c>
    </row>
    <row r="471" spans="1:15" ht="15.75" customHeight="1">
      <c r="A471" s="10" t="s">
        <v>3343</v>
      </c>
      <c r="B471" s="10" t="s">
        <v>1469</v>
      </c>
      <c r="C471" s="60" t="s">
        <v>1470</v>
      </c>
      <c r="D471" s="13" t="s">
        <v>116</v>
      </c>
      <c r="E471" s="6" t="s">
        <v>3344</v>
      </c>
      <c r="F471" s="17" t="s">
        <v>3349</v>
      </c>
      <c r="G471" s="17"/>
      <c r="H471" s="17" t="s">
        <v>35</v>
      </c>
      <c r="I471" s="6" t="s">
        <v>35</v>
      </c>
      <c r="J471" s="17" t="s">
        <v>36</v>
      </c>
      <c r="K471" s="17" t="s">
        <v>3349</v>
      </c>
      <c r="L471" s="18" t="str">
        <f t="shared" si="7"/>
        <v>0470</v>
      </c>
      <c r="M471" s="18" t="s">
        <v>38</v>
      </c>
      <c r="N471" s="19" t="s">
        <v>2884</v>
      </c>
      <c r="O471" s="22" t="s">
        <v>3247</v>
      </c>
    </row>
    <row r="472" spans="1:15" ht="15.75" customHeight="1">
      <c r="A472" s="10" t="s">
        <v>3350</v>
      </c>
      <c r="B472" s="10" t="s">
        <v>1469</v>
      </c>
      <c r="C472" s="60" t="s">
        <v>1470</v>
      </c>
      <c r="D472" s="13" t="s">
        <v>151</v>
      </c>
      <c r="E472" s="6" t="s">
        <v>963</v>
      </c>
      <c r="F472" s="17" t="s">
        <v>3356</v>
      </c>
      <c r="G472" s="17"/>
      <c r="H472" s="17" t="s">
        <v>297</v>
      </c>
      <c r="I472" s="6" t="s">
        <v>1407</v>
      </c>
      <c r="J472" s="17" t="s">
        <v>3355</v>
      </c>
      <c r="K472" s="17" t="s">
        <v>3356</v>
      </c>
      <c r="L472" s="18" t="str">
        <f t="shared" si="7"/>
        <v>0471</v>
      </c>
      <c r="M472" s="18" t="s">
        <v>38</v>
      </c>
      <c r="N472" s="19" t="s">
        <v>2884</v>
      </c>
      <c r="O472" s="22" t="s">
        <v>3247</v>
      </c>
    </row>
    <row r="473" spans="1:15" ht="15.75" customHeight="1">
      <c r="A473" s="10" t="s">
        <v>3357</v>
      </c>
      <c r="B473" s="10" t="s">
        <v>1469</v>
      </c>
      <c r="C473" s="60" t="s">
        <v>1470</v>
      </c>
      <c r="D473" s="13" t="s">
        <v>151</v>
      </c>
      <c r="E473" s="6" t="s">
        <v>714</v>
      </c>
      <c r="F473" s="10" t="s">
        <v>3363</v>
      </c>
      <c r="G473" s="17"/>
      <c r="H473" s="17" t="s">
        <v>157</v>
      </c>
      <c r="I473" s="6" t="s">
        <v>158</v>
      </c>
      <c r="J473" s="17" t="s">
        <v>3362</v>
      </c>
      <c r="K473" s="10" t="s">
        <v>3363</v>
      </c>
      <c r="L473" s="18" t="str">
        <f t="shared" si="7"/>
        <v>0472</v>
      </c>
      <c r="M473" s="18" t="s">
        <v>38</v>
      </c>
      <c r="N473" s="19" t="s">
        <v>2884</v>
      </c>
      <c r="O473" s="22" t="s">
        <v>3247</v>
      </c>
    </row>
    <row r="474" spans="1:15" ht="15.75" customHeight="1">
      <c r="A474" s="10" t="s">
        <v>3364</v>
      </c>
      <c r="B474" s="10" t="s">
        <v>1469</v>
      </c>
      <c r="C474" s="60" t="s">
        <v>1470</v>
      </c>
      <c r="D474" s="13" t="s">
        <v>162</v>
      </c>
      <c r="E474" s="6" t="s">
        <v>285</v>
      </c>
      <c r="F474" s="17" t="s">
        <v>3370</v>
      </c>
      <c r="G474" s="17"/>
      <c r="H474" s="17" t="s">
        <v>168</v>
      </c>
      <c r="I474" s="6" t="s">
        <v>169</v>
      </c>
      <c r="J474" s="17" t="s">
        <v>3369</v>
      </c>
      <c r="K474" s="17" t="s">
        <v>3370</v>
      </c>
      <c r="L474" s="18" t="str">
        <f t="shared" si="7"/>
        <v>0473</v>
      </c>
      <c r="M474" s="18" t="s">
        <v>38</v>
      </c>
      <c r="N474" s="19" t="s">
        <v>2884</v>
      </c>
      <c r="O474" s="22" t="s">
        <v>3247</v>
      </c>
    </row>
    <row r="475" spans="1:15" ht="15.75" customHeight="1">
      <c r="A475" s="10" t="s">
        <v>3371</v>
      </c>
      <c r="B475" s="10" t="s">
        <v>1469</v>
      </c>
      <c r="C475" s="60" t="s">
        <v>1470</v>
      </c>
      <c r="D475" s="13" t="s">
        <v>199</v>
      </c>
      <c r="E475" s="6" t="s">
        <v>199</v>
      </c>
      <c r="F475" s="10" t="s">
        <v>3377</v>
      </c>
      <c r="G475" s="17"/>
      <c r="H475" s="17" t="s">
        <v>157</v>
      </c>
      <c r="I475" s="6">
        <v>2378</v>
      </c>
      <c r="J475" s="17" t="s">
        <v>3376</v>
      </c>
      <c r="K475" s="10" t="s">
        <v>3377</v>
      </c>
      <c r="L475" s="18" t="str">
        <f t="shared" si="7"/>
        <v>0474</v>
      </c>
      <c r="M475" s="18" t="s">
        <v>38</v>
      </c>
      <c r="N475" s="19" t="s">
        <v>2884</v>
      </c>
      <c r="O475" s="20" t="s">
        <v>3247</v>
      </c>
    </row>
    <row r="476" spans="1:15" ht="15.75" customHeight="1">
      <c r="A476" s="10" t="s">
        <v>3378</v>
      </c>
      <c r="B476" s="10" t="s">
        <v>1469</v>
      </c>
      <c r="C476" s="60" t="s">
        <v>1470</v>
      </c>
      <c r="D476" s="13" t="s">
        <v>353</v>
      </c>
      <c r="E476" s="43" t="s">
        <v>638</v>
      </c>
      <c r="F476" s="17" t="s">
        <v>3383</v>
      </c>
      <c r="G476" s="17"/>
      <c r="H476" s="17" t="s">
        <v>359</v>
      </c>
      <c r="I476" s="6" t="s">
        <v>360</v>
      </c>
      <c r="J476" s="17" t="s">
        <v>36</v>
      </c>
      <c r="K476" s="17" t="s">
        <v>3383</v>
      </c>
      <c r="L476" s="18" t="str">
        <f t="shared" si="7"/>
        <v>0475</v>
      </c>
      <c r="M476" s="18" t="s">
        <v>38</v>
      </c>
      <c r="N476" s="19" t="s">
        <v>2884</v>
      </c>
      <c r="O476" s="22" t="s">
        <v>3247</v>
      </c>
    </row>
    <row r="477" spans="1:15" ht="15.75" customHeight="1">
      <c r="A477" s="10" t="s">
        <v>3384</v>
      </c>
      <c r="B477" s="10" t="s">
        <v>1469</v>
      </c>
      <c r="C477" s="60" t="s">
        <v>1470</v>
      </c>
      <c r="D477" s="13" t="s">
        <v>248</v>
      </c>
      <c r="E477" s="43" t="s">
        <v>248</v>
      </c>
      <c r="F477" s="17" t="s">
        <v>3390</v>
      </c>
      <c r="G477" s="17"/>
      <c r="H477" s="17" t="s">
        <v>978</v>
      </c>
      <c r="I477" s="6" t="s">
        <v>979</v>
      </c>
      <c r="J477" s="17" t="s">
        <v>3389</v>
      </c>
      <c r="K477" s="17" t="s">
        <v>3390</v>
      </c>
      <c r="L477" s="18" t="str">
        <f t="shared" si="7"/>
        <v>0476</v>
      </c>
      <c r="M477" s="18" t="s">
        <v>38</v>
      </c>
      <c r="N477" s="19" t="s">
        <v>2884</v>
      </c>
      <c r="O477" s="22" t="s">
        <v>3247</v>
      </c>
    </row>
    <row r="478" spans="1:15" ht="15.75" customHeight="1">
      <c r="A478" s="10" t="s">
        <v>3391</v>
      </c>
      <c r="B478" s="10" t="s">
        <v>1469</v>
      </c>
      <c r="C478" s="60" t="s">
        <v>1470</v>
      </c>
      <c r="D478" s="13" t="s">
        <v>1240</v>
      </c>
      <c r="E478" s="6" t="s">
        <v>1240</v>
      </c>
      <c r="F478" s="35" t="s">
        <v>7297</v>
      </c>
      <c r="G478" s="17"/>
      <c r="H478" s="17" t="s">
        <v>35</v>
      </c>
      <c r="I478" s="6" t="s">
        <v>35</v>
      </c>
      <c r="J478" s="17" t="s">
        <v>36</v>
      </c>
      <c r="K478" s="35" t="s">
        <v>7297</v>
      </c>
      <c r="L478" s="18" t="str">
        <f t="shared" si="7"/>
        <v>0477</v>
      </c>
      <c r="M478" s="18" t="s">
        <v>38</v>
      </c>
      <c r="N478" s="19" t="s">
        <v>2884</v>
      </c>
      <c r="O478" s="20" t="s">
        <v>3247</v>
      </c>
    </row>
    <row r="479" spans="1:15" ht="15.75" customHeight="1">
      <c r="A479" s="10" t="s">
        <v>3397</v>
      </c>
      <c r="B479" s="10" t="s">
        <v>1469</v>
      </c>
      <c r="C479" s="60" t="s">
        <v>1470</v>
      </c>
      <c r="D479" s="13" t="s">
        <v>248</v>
      </c>
      <c r="E479" s="43" t="s">
        <v>248</v>
      </c>
      <c r="F479" s="10" t="s">
        <v>3403</v>
      </c>
      <c r="G479" s="17"/>
      <c r="H479" s="35" t="s">
        <v>7298</v>
      </c>
      <c r="I479" s="6" t="s">
        <v>828</v>
      </c>
      <c r="J479" s="17" t="s">
        <v>3402</v>
      </c>
      <c r="K479" s="10" t="s">
        <v>3403</v>
      </c>
      <c r="L479" s="18" t="str">
        <f t="shared" si="7"/>
        <v>0478</v>
      </c>
      <c r="M479" s="18" t="s">
        <v>38</v>
      </c>
      <c r="N479" s="19" t="s">
        <v>1483</v>
      </c>
      <c r="O479" s="20" t="s">
        <v>1484</v>
      </c>
    </row>
    <row r="480" spans="1:15" ht="15.75" customHeight="1">
      <c r="A480" s="10" t="s">
        <v>3404</v>
      </c>
      <c r="B480" s="10" t="s">
        <v>1469</v>
      </c>
      <c r="C480" s="60" t="s">
        <v>1470</v>
      </c>
      <c r="D480" s="13" t="s">
        <v>43</v>
      </c>
      <c r="E480" s="43" t="s">
        <v>3405</v>
      </c>
      <c r="F480" s="10" t="s">
        <v>3410</v>
      </c>
      <c r="G480" s="17"/>
      <c r="H480" s="17" t="s">
        <v>49</v>
      </c>
      <c r="I480" s="6">
        <v>3352</v>
      </c>
      <c r="J480" s="17" t="s">
        <v>36</v>
      </c>
      <c r="K480" s="10" t="s">
        <v>3410</v>
      </c>
      <c r="L480" s="18" t="str">
        <f t="shared" si="7"/>
        <v>0479</v>
      </c>
      <c r="M480" s="18" t="s">
        <v>38</v>
      </c>
      <c r="N480" s="19" t="s">
        <v>2884</v>
      </c>
      <c r="O480" s="20" t="s">
        <v>2885</v>
      </c>
    </row>
    <row r="481" spans="1:15" ht="15.75" customHeight="1">
      <c r="A481" s="10" t="s">
        <v>3411</v>
      </c>
      <c r="B481" s="10" t="s">
        <v>1469</v>
      </c>
      <c r="C481" s="60" t="s">
        <v>1470</v>
      </c>
      <c r="D481" s="13" t="s">
        <v>248</v>
      </c>
      <c r="E481" s="6" t="s">
        <v>248</v>
      </c>
      <c r="F481" s="10" t="s">
        <v>3418</v>
      </c>
      <c r="G481" s="17"/>
      <c r="H481" s="17" t="s">
        <v>250</v>
      </c>
      <c r="I481" s="6" t="s">
        <v>3416</v>
      </c>
      <c r="J481" s="17" t="s">
        <v>3417</v>
      </c>
      <c r="K481" s="10" t="s">
        <v>3418</v>
      </c>
      <c r="L481" s="18" t="str">
        <f t="shared" si="7"/>
        <v>0480</v>
      </c>
      <c r="M481" s="18" t="s">
        <v>38</v>
      </c>
      <c r="N481" s="19" t="s">
        <v>2884</v>
      </c>
      <c r="O481" s="20" t="s">
        <v>2885</v>
      </c>
    </row>
    <row r="482" spans="1:15" ht="15.75" customHeight="1">
      <c r="A482" s="10" t="s">
        <v>3419</v>
      </c>
      <c r="B482" s="10" t="s">
        <v>1469</v>
      </c>
      <c r="C482" s="60" t="s">
        <v>1470</v>
      </c>
      <c r="D482" s="13" t="s">
        <v>1240</v>
      </c>
      <c r="E482" s="6" t="s">
        <v>1240</v>
      </c>
      <c r="F482" s="17" t="s">
        <v>3424</v>
      </c>
      <c r="G482" s="17"/>
      <c r="H482" s="17" t="s">
        <v>35</v>
      </c>
      <c r="I482" s="6" t="s">
        <v>35</v>
      </c>
      <c r="J482" s="17" t="s">
        <v>36</v>
      </c>
      <c r="K482" s="17" t="s">
        <v>3424</v>
      </c>
      <c r="L482" s="18" t="str">
        <f t="shared" si="7"/>
        <v>0481</v>
      </c>
      <c r="M482" s="18" t="s">
        <v>38</v>
      </c>
      <c r="N482" s="19" t="s">
        <v>2884</v>
      </c>
      <c r="O482" s="20" t="s">
        <v>2885</v>
      </c>
    </row>
    <row r="483" spans="1:15" ht="15.75" customHeight="1">
      <c r="A483" s="10" t="s">
        <v>3425</v>
      </c>
      <c r="B483" s="10" t="s">
        <v>1469</v>
      </c>
      <c r="C483" s="60" t="s">
        <v>1470</v>
      </c>
      <c r="D483" s="13" t="s">
        <v>116</v>
      </c>
      <c r="E483" s="6" t="s">
        <v>117</v>
      </c>
      <c r="F483" s="17" t="s">
        <v>3430</v>
      </c>
      <c r="G483" s="17"/>
      <c r="H483" s="17" t="s">
        <v>35</v>
      </c>
      <c r="I483" s="49" t="s">
        <v>35</v>
      </c>
      <c r="J483" s="17" t="s">
        <v>36</v>
      </c>
      <c r="K483" s="17" t="s">
        <v>3430</v>
      </c>
      <c r="L483" s="18" t="str">
        <f t="shared" si="7"/>
        <v>0482</v>
      </c>
      <c r="M483" s="18" t="s">
        <v>38</v>
      </c>
      <c r="N483" s="19" t="s">
        <v>2884</v>
      </c>
      <c r="O483" s="20" t="s">
        <v>2885</v>
      </c>
    </row>
    <row r="484" spans="1:15" ht="15.75" customHeight="1">
      <c r="A484" s="10" t="s">
        <v>3431</v>
      </c>
      <c r="B484" s="10" t="s">
        <v>1469</v>
      </c>
      <c r="C484" s="60" t="s">
        <v>1470</v>
      </c>
      <c r="D484" s="13" t="s">
        <v>93</v>
      </c>
      <c r="E484" s="6" t="s">
        <v>3432</v>
      </c>
      <c r="F484" s="17" t="s">
        <v>3436</v>
      </c>
      <c r="G484" s="17"/>
      <c r="H484" s="17" t="s">
        <v>35</v>
      </c>
      <c r="I484" s="32" t="s">
        <v>35</v>
      </c>
      <c r="J484" s="17" t="s">
        <v>36</v>
      </c>
      <c r="K484" s="17" t="s">
        <v>3436</v>
      </c>
      <c r="L484" s="18" t="str">
        <f t="shared" si="7"/>
        <v>0483</v>
      </c>
      <c r="M484" s="18" t="s">
        <v>38</v>
      </c>
      <c r="N484" s="19" t="s">
        <v>1548</v>
      </c>
      <c r="O484" s="20" t="s">
        <v>1597</v>
      </c>
    </row>
    <row r="485" spans="1:15" ht="15.75" customHeight="1">
      <c r="A485" s="10" t="s">
        <v>3437</v>
      </c>
      <c r="B485" s="10" t="s">
        <v>1469</v>
      </c>
      <c r="C485" s="60" t="s">
        <v>1470</v>
      </c>
      <c r="D485" s="13" t="s">
        <v>184</v>
      </c>
      <c r="E485" s="6" t="s">
        <v>2677</v>
      </c>
      <c r="F485" s="17" t="s">
        <v>3442</v>
      </c>
      <c r="G485" s="17"/>
      <c r="H485" s="17" t="s">
        <v>35</v>
      </c>
      <c r="I485" s="6" t="s">
        <v>35</v>
      </c>
      <c r="J485" s="46" t="s">
        <v>36</v>
      </c>
      <c r="K485" s="17" t="s">
        <v>3442</v>
      </c>
      <c r="L485" s="18" t="str">
        <f t="shared" si="7"/>
        <v>0484</v>
      </c>
      <c r="M485" s="18" t="s">
        <v>38</v>
      </c>
      <c r="N485" s="19" t="s">
        <v>2884</v>
      </c>
      <c r="O485" s="39" t="s">
        <v>2885</v>
      </c>
    </row>
    <row r="486" spans="1:15" ht="15.75" customHeight="1">
      <c r="A486" s="10" t="s">
        <v>3443</v>
      </c>
      <c r="B486" s="10" t="s">
        <v>1469</v>
      </c>
      <c r="C486" s="52" t="s">
        <v>868</v>
      </c>
      <c r="D486" s="13" t="s">
        <v>501</v>
      </c>
      <c r="E486" s="6" t="s">
        <v>3444</v>
      </c>
      <c r="F486" s="17" t="s">
        <v>3449</v>
      </c>
      <c r="G486" s="17"/>
      <c r="H486" s="17" t="s">
        <v>35</v>
      </c>
      <c r="I486" s="6" t="s">
        <v>35</v>
      </c>
      <c r="J486" s="17" t="s">
        <v>36</v>
      </c>
      <c r="K486" s="17" t="s">
        <v>3449</v>
      </c>
      <c r="L486" s="18" t="str">
        <f t="shared" si="7"/>
        <v>0485</v>
      </c>
      <c r="M486" s="18" t="s">
        <v>38</v>
      </c>
      <c r="N486" s="19" t="s">
        <v>868</v>
      </c>
      <c r="O486" s="20" t="s">
        <v>3450</v>
      </c>
    </row>
    <row r="487" spans="1:15" ht="15.75" customHeight="1">
      <c r="A487" s="10" t="s">
        <v>3452</v>
      </c>
      <c r="B487" s="10" t="s">
        <v>1469</v>
      </c>
      <c r="C487" s="52" t="s">
        <v>868</v>
      </c>
      <c r="D487" s="13" t="s">
        <v>248</v>
      </c>
      <c r="E487" s="6" t="s">
        <v>249</v>
      </c>
      <c r="F487" s="10" t="s">
        <v>3458</v>
      </c>
      <c r="G487" s="17"/>
      <c r="H487" s="17" t="s">
        <v>303</v>
      </c>
      <c r="I487" s="6" t="s">
        <v>304</v>
      </c>
      <c r="J487" s="17" t="s">
        <v>3457</v>
      </c>
      <c r="K487" s="10" t="s">
        <v>3458</v>
      </c>
      <c r="L487" s="18" t="str">
        <f t="shared" si="7"/>
        <v>0486</v>
      </c>
      <c r="M487" s="18" t="s">
        <v>38</v>
      </c>
      <c r="N487" s="19" t="s">
        <v>868</v>
      </c>
      <c r="O487" s="20" t="s">
        <v>3450</v>
      </c>
    </row>
    <row r="488" spans="1:15" ht="15.75" customHeight="1">
      <c r="A488" s="10" t="s">
        <v>3459</v>
      </c>
      <c r="B488" s="10" t="s">
        <v>1469</v>
      </c>
      <c r="C488" s="52" t="s">
        <v>868</v>
      </c>
      <c r="D488" s="13" t="s">
        <v>43</v>
      </c>
      <c r="E488" s="6" t="s">
        <v>1492</v>
      </c>
      <c r="F488" s="17" t="s">
        <v>3464</v>
      </c>
      <c r="G488" s="17"/>
      <c r="H488" s="17" t="s">
        <v>406</v>
      </c>
      <c r="I488" s="6" t="s">
        <v>407</v>
      </c>
      <c r="J488" s="17" t="s">
        <v>36</v>
      </c>
      <c r="K488" s="17" t="s">
        <v>3464</v>
      </c>
      <c r="L488" s="18" t="str">
        <f t="shared" si="7"/>
        <v>0487</v>
      </c>
      <c r="M488" s="18" t="s">
        <v>38</v>
      </c>
      <c r="N488" s="19" t="s">
        <v>868</v>
      </c>
      <c r="O488" s="20" t="s">
        <v>3450</v>
      </c>
    </row>
    <row r="489" spans="1:15" ht="15.75" customHeight="1">
      <c r="A489" s="10" t="s">
        <v>3465</v>
      </c>
      <c r="B489" s="10" t="s">
        <v>1469</v>
      </c>
      <c r="C489" s="52" t="s">
        <v>868</v>
      </c>
      <c r="D489" s="13" t="s">
        <v>93</v>
      </c>
      <c r="E489" s="6" t="s">
        <v>3466</v>
      </c>
      <c r="F489" s="17" t="s">
        <v>3471</v>
      </c>
      <c r="G489" s="17"/>
      <c r="H489" s="17" t="s">
        <v>35</v>
      </c>
      <c r="I489" s="6" t="s">
        <v>35</v>
      </c>
      <c r="J489" s="17" t="s">
        <v>36</v>
      </c>
      <c r="K489" s="17" t="s">
        <v>3471</v>
      </c>
      <c r="L489" s="18" t="str">
        <f t="shared" si="7"/>
        <v>0488</v>
      </c>
      <c r="M489" s="18" t="s">
        <v>38</v>
      </c>
      <c r="N489" s="19" t="s">
        <v>868</v>
      </c>
      <c r="O489" s="20" t="s">
        <v>3450</v>
      </c>
    </row>
    <row r="490" spans="1:15" ht="15.75" customHeight="1">
      <c r="A490" s="10" t="s">
        <v>3472</v>
      </c>
      <c r="B490" s="10" t="s">
        <v>1469</v>
      </c>
      <c r="C490" s="52" t="s">
        <v>868</v>
      </c>
      <c r="D490" s="13" t="s">
        <v>184</v>
      </c>
      <c r="E490" s="6" t="s">
        <v>3473</v>
      </c>
      <c r="F490" s="17" t="s">
        <v>3478</v>
      </c>
      <c r="G490" s="17"/>
      <c r="H490" s="17" t="s">
        <v>35</v>
      </c>
      <c r="I490" s="6" t="s">
        <v>35</v>
      </c>
      <c r="J490" s="17" t="s">
        <v>36</v>
      </c>
      <c r="K490" s="17" t="s">
        <v>3478</v>
      </c>
      <c r="L490" s="18" t="str">
        <f t="shared" si="7"/>
        <v>0489</v>
      </c>
      <c r="M490" s="18" t="s">
        <v>38</v>
      </c>
      <c r="N490" s="19" t="s">
        <v>868</v>
      </c>
      <c r="O490" s="20" t="s">
        <v>3450</v>
      </c>
    </row>
    <row r="491" spans="1:15" ht="15.75" customHeight="1">
      <c r="A491" s="9" t="s">
        <v>3479</v>
      </c>
      <c r="B491" s="10" t="s">
        <v>1469</v>
      </c>
      <c r="C491" s="52" t="s">
        <v>868</v>
      </c>
      <c r="D491" s="13" t="s">
        <v>378</v>
      </c>
      <c r="E491" s="6" t="s">
        <v>3480</v>
      </c>
      <c r="F491" s="17" t="s">
        <v>3485</v>
      </c>
      <c r="G491" s="17"/>
      <c r="H491" s="17" t="s">
        <v>35</v>
      </c>
      <c r="I491" s="6" t="s">
        <v>35</v>
      </c>
      <c r="J491" s="17" t="s">
        <v>36</v>
      </c>
      <c r="K491" s="17" t="s">
        <v>3485</v>
      </c>
      <c r="L491" s="18" t="str">
        <f t="shared" si="7"/>
        <v>0492</v>
      </c>
      <c r="M491" s="18" t="s">
        <v>38</v>
      </c>
      <c r="N491" s="19" t="s">
        <v>868</v>
      </c>
      <c r="O491" s="20" t="s">
        <v>3450</v>
      </c>
    </row>
    <row r="492" spans="1:15" ht="15.75" customHeight="1">
      <c r="A492" s="10" t="s">
        <v>3486</v>
      </c>
      <c r="B492" s="10" t="s">
        <v>1469</v>
      </c>
      <c r="C492" s="52" t="s">
        <v>868</v>
      </c>
      <c r="D492" s="13" t="s">
        <v>378</v>
      </c>
      <c r="E492" s="55" t="s">
        <v>3480</v>
      </c>
      <c r="F492" s="17" t="s">
        <v>3491</v>
      </c>
      <c r="G492" s="17"/>
      <c r="H492" s="17" t="s">
        <v>35</v>
      </c>
      <c r="I492" s="6" t="s">
        <v>35</v>
      </c>
      <c r="J492" s="17" t="s">
        <v>36</v>
      </c>
      <c r="K492" s="17" t="s">
        <v>3491</v>
      </c>
      <c r="L492" s="18" t="str">
        <f t="shared" si="7"/>
        <v>0491</v>
      </c>
      <c r="M492" s="18" t="s">
        <v>38</v>
      </c>
      <c r="N492" s="19" t="s">
        <v>868</v>
      </c>
      <c r="O492" s="20" t="s">
        <v>3450</v>
      </c>
    </row>
    <row r="493" spans="1:15" ht="15.75" customHeight="1">
      <c r="A493" s="10" t="s">
        <v>3479</v>
      </c>
      <c r="B493" s="10" t="s">
        <v>1469</v>
      </c>
      <c r="C493" s="61" t="s">
        <v>28</v>
      </c>
      <c r="D493" s="13" t="s">
        <v>378</v>
      </c>
      <c r="E493" s="55" t="s">
        <v>3480</v>
      </c>
      <c r="F493" s="17" t="s">
        <v>3496</v>
      </c>
      <c r="G493" s="17"/>
      <c r="H493" s="17" t="s">
        <v>35</v>
      </c>
      <c r="I493" s="6" t="s">
        <v>35</v>
      </c>
      <c r="J493" s="17" t="s">
        <v>36</v>
      </c>
      <c r="K493" s="17" t="s">
        <v>3496</v>
      </c>
      <c r="L493" s="18" t="str">
        <f t="shared" si="7"/>
        <v>0492</v>
      </c>
      <c r="M493" s="18" t="s">
        <v>38</v>
      </c>
      <c r="N493" s="19" t="s">
        <v>147</v>
      </c>
      <c r="O493" s="20" t="s">
        <v>385</v>
      </c>
    </row>
    <row r="494" spans="1:15" ht="15.75" customHeight="1">
      <c r="A494" s="10" t="s">
        <v>3497</v>
      </c>
      <c r="B494" s="10" t="s">
        <v>1469</v>
      </c>
      <c r="C494" s="52" t="s">
        <v>868</v>
      </c>
      <c r="D494" s="13" t="s">
        <v>378</v>
      </c>
      <c r="E494" s="55" t="s">
        <v>3480</v>
      </c>
      <c r="F494" s="17" t="s">
        <v>3502</v>
      </c>
      <c r="G494" s="17"/>
      <c r="H494" s="17" t="s">
        <v>35</v>
      </c>
      <c r="I494" s="6" t="s">
        <v>35</v>
      </c>
      <c r="J494" s="17" t="s">
        <v>36</v>
      </c>
      <c r="K494" s="17" t="s">
        <v>3502</v>
      </c>
      <c r="L494" s="18" t="str">
        <f t="shared" si="7"/>
        <v>0493</v>
      </c>
      <c r="M494" s="18" t="s">
        <v>38</v>
      </c>
      <c r="N494" s="19" t="s">
        <v>2328</v>
      </c>
      <c r="O494" s="20" t="s">
        <v>2329</v>
      </c>
    </row>
    <row r="495" spans="1:15" ht="15.75" customHeight="1">
      <c r="A495" s="10" t="s">
        <v>3503</v>
      </c>
      <c r="B495" s="10" t="s">
        <v>27</v>
      </c>
      <c r="C495" s="61" t="s">
        <v>28</v>
      </c>
      <c r="D495" s="13" t="s">
        <v>378</v>
      </c>
      <c r="E495" s="55" t="s">
        <v>3480</v>
      </c>
      <c r="F495" s="17" t="s">
        <v>3508</v>
      </c>
      <c r="G495" s="17"/>
      <c r="H495" s="17" t="s">
        <v>35</v>
      </c>
      <c r="I495" s="6" t="s">
        <v>35</v>
      </c>
      <c r="J495" s="17" t="s">
        <v>36</v>
      </c>
      <c r="K495" s="17" t="s">
        <v>3508</v>
      </c>
      <c r="L495" s="18" t="str">
        <f t="shared" si="7"/>
        <v>0494</v>
      </c>
      <c r="M495" s="18" t="s">
        <v>3509</v>
      </c>
      <c r="N495" s="19" t="s">
        <v>147</v>
      </c>
      <c r="O495" s="20" t="s">
        <v>385</v>
      </c>
    </row>
    <row r="496" spans="1:15" ht="15.75" customHeight="1">
      <c r="A496" s="10" t="s">
        <v>3510</v>
      </c>
      <c r="B496" s="10" t="s">
        <v>1469</v>
      </c>
      <c r="C496" s="52" t="s">
        <v>868</v>
      </c>
      <c r="D496" s="13" t="s">
        <v>93</v>
      </c>
      <c r="E496" s="6" t="s">
        <v>1173</v>
      </c>
      <c r="F496" s="17" t="s">
        <v>3514</v>
      </c>
      <c r="G496" s="17"/>
      <c r="H496" s="17" t="s">
        <v>35</v>
      </c>
      <c r="I496" s="6" t="s">
        <v>35</v>
      </c>
      <c r="J496" s="17" t="s">
        <v>36</v>
      </c>
      <c r="K496" s="17" t="s">
        <v>3514</v>
      </c>
      <c r="L496" s="18" t="str">
        <f t="shared" si="7"/>
        <v>0495</v>
      </c>
      <c r="M496" s="18" t="s">
        <v>38</v>
      </c>
      <c r="N496" s="19" t="s">
        <v>868</v>
      </c>
      <c r="O496" s="20" t="s">
        <v>3450</v>
      </c>
    </row>
    <row r="497" spans="1:15" ht="15.75" customHeight="1">
      <c r="A497" s="10" t="s">
        <v>3515</v>
      </c>
      <c r="B497" s="10" t="s">
        <v>1469</v>
      </c>
      <c r="C497" s="52" t="s">
        <v>868</v>
      </c>
      <c r="D497" s="13" t="s">
        <v>29</v>
      </c>
      <c r="E497" s="6" t="s">
        <v>1166</v>
      </c>
      <c r="F497" s="17" t="s">
        <v>3519</v>
      </c>
      <c r="G497" s="17"/>
      <c r="H497" s="17" t="s">
        <v>35</v>
      </c>
      <c r="I497" s="6" t="s">
        <v>35</v>
      </c>
      <c r="J497" s="17" t="s">
        <v>36</v>
      </c>
      <c r="K497" s="17" t="s">
        <v>3519</v>
      </c>
      <c r="L497" s="18" t="str">
        <f t="shared" si="7"/>
        <v>0496</v>
      </c>
      <c r="M497" s="18" t="s">
        <v>38</v>
      </c>
      <c r="N497" s="19" t="s">
        <v>868</v>
      </c>
      <c r="O497" s="20" t="s">
        <v>3450</v>
      </c>
    </row>
    <row r="498" spans="1:15" ht="15.75" customHeight="1">
      <c r="A498" s="10" t="s">
        <v>3520</v>
      </c>
      <c r="B498" s="10" t="s">
        <v>1469</v>
      </c>
      <c r="C498" s="52" t="s">
        <v>868</v>
      </c>
      <c r="D498" s="13" t="s">
        <v>3521</v>
      </c>
      <c r="E498" s="43" t="s">
        <v>3522</v>
      </c>
      <c r="F498" s="17" t="s">
        <v>3526</v>
      </c>
      <c r="G498" s="17"/>
      <c r="H498" s="17" t="s">
        <v>35</v>
      </c>
      <c r="I498" s="49" t="s">
        <v>35</v>
      </c>
      <c r="J498" s="17" t="s">
        <v>36</v>
      </c>
      <c r="K498" s="17" t="s">
        <v>3526</v>
      </c>
      <c r="L498" s="18" t="str">
        <f t="shared" si="7"/>
        <v>0497</v>
      </c>
      <c r="M498" s="18" t="s">
        <v>38</v>
      </c>
      <c r="N498" s="19" t="s">
        <v>868</v>
      </c>
      <c r="O498" s="20" t="s">
        <v>3450</v>
      </c>
    </row>
    <row r="499" spans="1:15" ht="15.75" customHeight="1">
      <c r="A499" s="10" t="s">
        <v>3527</v>
      </c>
      <c r="B499" s="10" t="s">
        <v>1469</v>
      </c>
      <c r="C499" s="52" t="s">
        <v>868</v>
      </c>
      <c r="D499" s="13" t="s">
        <v>116</v>
      </c>
      <c r="E499" s="6" t="s">
        <v>3528</v>
      </c>
      <c r="F499" s="17" t="s">
        <v>3533</v>
      </c>
      <c r="G499" s="17"/>
      <c r="H499" s="17" t="s">
        <v>35</v>
      </c>
      <c r="I499" s="6" t="s">
        <v>35</v>
      </c>
      <c r="J499" s="17" t="s">
        <v>36</v>
      </c>
      <c r="K499" s="17" t="s">
        <v>3533</v>
      </c>
      <c r="L499" s="18" t="str">
        <f t="shared" si="7"/>
        <v>0498</v>
      </c>
      <c r="M499" s="18" t="s">
        <v>38</v>
      </c>
      <c r="N499" s="19" t="s">
        <v>868</v>
      </c>
      <c r="O499" s="20" t="s">
        <v>3450</v>
      </c>
    </row>
    <row r="500" spans="1:15" ht="15.75" customHeight="1">
      <c r="A500" s="10" t="s">
        <v>3534</v>
      </c>
      <c r="B500" s="10" t="s">
        <v>1469</v>
      </c>
      <c r="C500" s="52" t="s">
        <v>868</v>
      </c>
      <c r="D500" s="13" t="s">
        <v>184</v>
      </c>
      <c r="E500" s="6" t="s">
        <v>3535</v>
      </c>
      <c r="F500" s="17" t="s">
        <v>3540</v>
      </c>
      <c r="G500" s="17"/>
      <c r="H500" s="17" t="s">
        <v>35</v>
      </c>
      <c r="I500" s="6" t="s">
        <v>35</v>
      </c>
      <c r="J500" s="17" t="s">
        <v>36</v>
      </c>
      <c r="K500" s="17" t="s">
        <v>3540</v>
      </c>
      <c r="L500" s="18" t="str">
        <f t="shared" si="7"/>
        <v>0499</v>
      </c>
      <c r="M500" s="18" t="s">
        <v>38</v>
      </c>
      <c r="N500" s="19" t="s">
        <v>868</v>
      </c>
      <c r="O500" s="20" t="s">
        <v>3450</v>
      </c>
    </row>
    <row r="501" spans="1:15" ht="15.75" customHeight="1">
      <c r="A501" s="10" t="s">
        <v>3541</v>
      </c>
      <c r="B501" s="10" t="s">
        <v>1469</v>
      </c>
      <c r="C501" s="52" t="s">
        <v>868</v>
      </c>
      <c r="D501" s="13" t="s">
        <v>1240</v>
      </c>
      <c r="E501" s="43" t="s">
        <v>278</v>
      </c>
      <c r="F501" s="17" t="s">
        <v>3546</v>
      </c>
      <c r="G501" s="17"/>
      <c r="H501" s="17" t="s">
        <v>35</v>
      </c>
      <c r="I501" s="49" t="s">
        <v>35</v>
      </c>
      <c r="J501" s="17" t="s">
        <v>36</v>
      </c>
      <c r="K501" s="17" t="s">
        <v>3546</v>
      </c>
      <c r="L501" s="18" t="str">
        <f t="shared" si="7"/>
        <v>0500</v>
      </c>
      <c r="M501" s="18" t="s">
        <v>38</v>
      </c>
      <c r="N501" s="19" t="s">
        <v>868</v>
      </c>
      <c r="O501" s="20" t="s">
        <v>3450</v>
      </c>
    </row>
    <row r="502" spans="1:15" ht="15.75" customHeight="1">
      <c r="A502" s="10" t="s">
        <v>3547</v>
      </c>
      <c r="B502" s="10" t="s">
        <v>1469</v>
      </c>
      <c r="C502" s="52" t="s">
        <v>868</v>
      </c>
      <c r="D502" s="13" t="s">
        <v>248</v>
      </c>
      <c r="E502" s="43" t="s">
        <v>3548</v>
      </c>
      <c r="F502" s="10" t="s">
        <v>3554</v>
      </c>
      <c r="G502" s="17"/>
      <c r="H502" s="17" t="s">
        <v>978</v>
      </c>
      <c r="I502" s="6" t="s">
        <v>979</v>
      </c>
      <c r="J502" s="17" t="s">
        <v>3553</v>
      </c>
      <c r="K502" s="10" t="s">
        <v>3554</v>
      </c>
      <c r="L502" s="18" t="str">
        <f t="shared" si="7"/>
        <v>0501</v>
      </c>
      <c r="M502" s="18" t="s">
        <v>38</v>
      </c>
      <c r="N502" s="19" t="s">
        <v>868</v>
      </c>
      <c r="O502" s="20" t="s">
        <v>3450</v>
      </c>
    </row>
    <row r="503" spans="1:15" ht="15.75" customHeight="1">
      <c r="A503" s="10" t="s">
        <v>3555</v>
      </c>
      <c r="B503" s="10" t="s">
        <v>1469</v>
      </c>
      <c r="C503" s="52" t="s">
        <v>868</v>
      </c>
      <c r="D503" s="13" t="s">
        <v>162</v>
      </c>
      <c r="E503" s="6" t="s">
        <v>285</v>
      </c>
      <c r="F503" s="17" t="s">
        <v>3561</v>
      </c>
      <c r="G503" s="17"/>
      <c r="H503" s="17" t="s">
        <v>663</v>
      </c>
      <c r="I503" s="6" t="s">
        <v>664</v>
      </c>
      <c r="J503" s="17" t="s">
        <v>3560</v>
      </c>
      <c r="K503" s="17" t="s">
        <v>3561</v>
      </c>
      <c r="L503" s="18" t="str">
        <f t="shared" si="7"/>
        <v>0502</v>
      </c>
      <c r="M503" s="18" t="s">
        <v>38</v>
      </c>
      <c r="N503" s="19" t="s">
        <v>868</v>
      </c>
      <c r="O503" s="20" t="s">
        <v>3450</v>
      </c>
    </row>
    <row r="504" spans="1:15" ht="15.75" customHeight="1">
      <c r="A504" s="10" t="s">
        <v>3562</v>
      </c>
      <c r="B504" s="10" t="s">
        <v>1469</v>
      </c>
      <c r="C504" s="52" t="s">
        <v>868</v>
      </c>
      <c r="D504" s="13" t="s">
        <v>1199</v>
      </c>
      <c r="E504" s="6" t="s">
        <v>3563</v>
      </c>
      <c r="F504" s="17" t="s">
        <v>3570</v>
      </c>
      <c r="G504" s="17"/>
      <c r="H504" s="17" t="s">
        <v>205</v>
      </c>
      <c r="I504" s="6" t="s">
        <v>3568</v>
      </c>
      <c r="J504" s="35" t="s">
        <v>3569</v>
      </c>
      <c r="K504" s="17" t="s">
        <v>3570</v>
      </c>
      <c r="L504" s="18" t="str">
        <f t="shared" si="7"/>
        <v>0503</v>
      </c>
      <c r="M504" s="18" t="s">
        <v>38</v>
      </c>
      <c r="N504" s="19" t="s">
        <v>868</v>
      </c>
      <c r="O504" s="20" t="s">
        <v>3450</v>
      </c>
    </row>
    <row r="505" spans="1:15" ht="15.75" customHeight="1">
      <c r="A505" s="10" t="s">
        <v>3571</v>
      </c>
      <c r="B505" s="10" t="s">
        <v>1469</v>
      </c>
      <c r="C505" s="52" t="s">
        <v>868</v>
      </c>
      <c r="D505" s="13" t="s">
        <v>1240</v>
      </c>
      <c r="E505" s="43" t="s">
        <v>278</v>
      </c>
      <c r="F505" s="17" t="s">
        <v>3576</v>
      </c>
      <c r="G505" s="17"/>
      <c r="H505" s="17" t="s">
        <v>35</v>
      </c>
      <c r="I505" s="6" t="s">
        <v>35</v>
      </c>
      <c r="J505" s="17" t="s">
        <v>36</v>
      </c>
      <c r="K505" s="17" t="s">
        <v>3576</v>
      </c>
      <c r="L505" s="18" t="str">
        <f t="shared" si="7"/>
        <v>0504</v>
      </c>
      <c r="M505" s="18" t="s">
        <v>38</v>
      </c>
      <c r="N505" s="19" t="s">
        <v>868</v>
      </c>
      <c r="O505" s="20" t="s">
        <v>3450</v>
      </c>
    </row>
    <row r="506" spans="1:15" ht="15.75" customHeight="1">
      <c r="A506" s="10" t="s">
        <v>3577</v>
      </c>
      <c r="B506" s="10" t="s">
        <v>1469</v>
      </c>
      <c r="C506" s="52" t="s">
        <v>868</v>
      </c>
      <c r="D506" s="13" t="s">
        <v>199</v>
      </c>
      <c r="E506" s="6" t="s">
        <v>3578</v>
      </c>
      <c r="F506" s="10" t="s">
        <v>85</v>
      </c>
      <c r="G506" s="17"/>
      <c r="H506" s="17" t="s">
        <v>273</v>
      </c>
      <c r="I506" s="6" t="s">
        <v>274</v>
      </c>
      <c r="J506" s="6">
        <v>11392903012354</v>
      </c>
      <c r="K506" s="10" t="s">
        <v>85</v>
      </c>
      <c r="L506" s="18" t="str">
        <f t="shared" si="7"/>
        <v>0505</v>
      </c>
      <c r="M506" s="18" t="s">
        <v>38</v>
      </c>
      <c r="N506" s="19" t="s">
        <v>868</v>
      </c>
      <c r="O506" s="20" t="s">
        <v>3450</v>
      </c>
    </row>
    <row r="507" spans="1:15" ht="15.75" customHeight="1">
      <c r="A507" s="10" t="s">
        <v>3582</v>
      </c>
      <c r="B507" s="10" t="s">
        <v>1469</v>
      </c>
      <c r="C507" s="52" t="s">
        <v>868</v>
      </c>
      <c r="D507" s="13" t="s">
        <v>151</v>
      </c>
      <c r="E507" s="6" t="s">
        <v>3583</v>
      </c>
      <c r="F507" s="10" t="s">
        <v>85</v>
      </c>
      <c r="G507" s="17"/>
      <c r="H507" s="17" t="s">
        <v>297</v>
      </c>
      <c r="I507" s="6" t="s">
        <v>298</v>
      </c>
      <c r="J507" s="6" t="s">
        <v>3587</v>
      </c>
      <c r="K507" s="10" t="s">
        <v>85</v>
      </c>
      <c r="L507" s="18" t="str">
        <f t="shared" si="7"/>
        <v>0506</v>
      </c>
      <c r="M507" s="18" t="s">
        <v>38</v>
      </c>
      <c r="N507" s="19" t="s">
        <v>868</v>
      </c>
      <c r="O507" s="20" t="s">
        <v>3450</v>
      </c>
    </row>
    <row r="508" spans="1:15" ht="15.75" customHeight="1">
      <c r="A508" s="10" t="s">
        <v>3588</v>
      </c>
      <c r="B508" s="10" t="s">
        <v>1469</v>
      </c>
      <c r="C508" s="52" t="s">
        <v>868</v>
      </c>
      <c r="D508" s="13" t="s">
        <v>53</v>
      </c>
      <c r="E508" s="6" t="s">
        <v>7299</v>
      </c>
      <c r="F508" s="17" t="s">
        <v>3594</v>
      </c>
      <c r="G508" s="17"/>
      <c r="H508" s="17" t="s">
        <v>35</v>
      </c>
      <c r="I508" s="6" t="s">
        <v>35</v>
      </c>
      <c r="J508" s="17" t="s">
        <v>36</v>
      </c>
      <c r="K508" s="17" t="s">
        <v>3594</v>
      </c>
      <c r="L508" s="18" t="str">
        <f t="shared" si="7"/>
        <v>0507</v>
      </c>
      <c r="M508" s="18" t="s">
        <v>38</v>
      </c>
      <c r="N508" s="19" t="s">
        <v>868</v>
      </c>
      <c r="O508" s="20" t="s">
        <v>3450</v>
      </c>
    </row>
    <row r="509" spans="1:15" ht="15.75" customHeight="1">
      <c r="A509" s="10" t="s">
        <v>3595</v>
      </c>
      <c r="B509" s="10" t="s">
        <v>1469</v>
      </c>
      <c r="C509" s="52" t="s">
        <v>868</v>
      </c>
      <c r="D509" s="13" t="s">
        <v>93</v>
      </c>
      <c r="E509" s="6" t="s">
        <v>3596</v>
      </c>
      <c r="F509" s="17" t="s">
        <v>3601</v>
      </c>
      <c r="G509" s="17"/>
      <c r="H509" s="17" t="s">
        <v>35</v>
      </c>
      <c r="I509" s="6" t="s">
        <v>35</v>
      </c>
      <c r="J509" s="17" t="s">
        <v>36</v>
      </c>
      <c r="K509" s="17" t="s">
        <v>3601</v>
      </c>
      <c r="L509" s="18" t="str">
        <f t="shared" si="7"/>
        <v>0508</v>
      </c>
      <c r="M509" s="18" t="s">
        <v>38</v>
      </c>
      <c r="N509" s="19" t="s">
        <v>868</v>
      </c>
      <c r="O509" s="20" t="s">
        <v>3450</v>
      </c>
    </row>
    <row r="510" spans="1:15" ht="15.75" customHeight="1">
      <c r="A510" s="10" t="s">
        <v>3602</v>
      </c>
      <c r="B510" s="10" t="s">
        <v>1469</v>
      </c>
      <c r="C510" s="52" t="s">
        <v>868</v>
      </c>
      <c r="D510" s="13" t="s">
        <v>29</v>
      </c>
      <c r="E510" s="6" t="s">
        <v>3603</v>
      </c>
      <c r="F510" s="17" t="s">
        <v>3608</v>
      </c>
      <c r="G510" s="17"/>
      <c r="H510" s="17" t="s">
        <v>35</v>
      </c>
      <c r="I510" s="6" t="s">
        <v>35</v>
      </c>
      <c r="J510" s="17" t="s">
        <v>36</v>
      </c>
      <c r="K510" s="17" t="s">
        <v>3608</v>
      </c>
      <c r="L510" s="18" t="str">
        <f t="shared" si="7"/>
        <v>0509</v>
      </c>
      <c r="M510" s="18" t="s">
        <v>38</v>
      </c>
      <c r="N510" s="19" t="s">
        <v>868</v>
      </c>
      <c r="O510" s="20" t="s">
        <v>3450</v>
      </c>
    </row>
    <row r="511" spans="1:15" ht="15.75" customHeight="1">
      <c r="A511" s="10" t="s">
        <v>3609</v>
      </c>
      <c r="B511" s="10" t="s">
        <v>1469</v>
      </c>
      <c r="C511" s="52" t="s">
        <v>868</v>
      </c>
      <c r="D511" s="13" t="s">
        <v>378</v>
      </c>
      <c r="E511" s="6" t="s">
        <v>3610</v>
      </c>
      <c r="F511" s="17" t="s">
        <v>3615</v>
      </c>
      <c r="G511" s="17"/>
      <c r="H511" s="17" t="s">
        <v>35</v>
      </c>
      <c r="I511" s="6" t="s">
        <v>35</v>
      </c>
      <c r="J511" s="17" t="s">
        <v>36</v>
      </c>
      <c r="K511" s="17" t="s">
        <v>3615</v>
      </c>
      <c r="L511" s="18" t="str">
        <f t="shared" si="7"/>
        <v>0510</v>
      </c>
      <c r="M511" s="18" t="s">
        <v>38</v>
      </c>
      <c r="N511" s="19" t="s">
        <v>868</v>
      </c>
      <c r="O511" s="20" t="s">
        <v>3450</v>
      </c>
    </row>
    <row r="512" spans="1:15" ht="15.75" customHeight="1">
      <c r="A512" s="10" t="s">
        <v>3616</v>
      </c>
      <c r="B512" s="10" t="s">
        <v>1469</v>
      </c>
      <c r="C512" s="52" t="s">
        <v>868</v>
      </c>
      <c r="D512" s="13" t="s">
        <v>501</v>
      </c>
      <c r="E512" s="6" t="s">
        <v>3617</v>
      </c>
      <c r="F512" s="17" t="s">
        <v>3622</v>
      </c>
      <c r="G512" s="17"/>
      <c r="H512" s="17" t="s">
        <v>35</v>
      </c>
      <c r="I512" s="6" t="s">
        <v>35</v>
      </c>
      <c r="J512" s="46" t="s">
        <v>36</v>
      </c>
      <c r="K512" s="17" t="s">
        <v>3622</v>
      </c>
      <c r="L512" s="18" t="str">
        <f t="shared" si="7"/>
        <v>0511</v>
      </c>
      <c r="M512" s="18" t="s">
        <v>38</v>
      </c>
      <c r="N512" s="19" t="s">
        <v>868</v>
      </c>
      <c r="O512" s="20" t="s">
        <v>3450</v>
      </c>
    </row>
    <row r="513" spans="1:15" ht="15.75" customHeight="1">
      <c r="A513" s="10" t="s">
        <v>3623</v>
      </c>
      <c r="B513" s="10" t="s">
        <v>1469</v>
      </c>
      <c r="C513" s="52" t="s">
        <v>868</v>
      </c>
      <c r="D513" s="13" t="s">
        <v>501</v>
      </c>
      <c r="E513" s="6" t="s">
        <v>3624</v>
      </c>
      <c r="F513" s="17" t="s">
        <v>3629</v>
      </c>
      <c r="G513" s="17"/>
      <c r="H513" s="17" t="s">
        <v>35</v>
      </c>
      <c r="I513" s="6" t="s">
        <v>35</v>
      </c>
      <c r="J513" s="17" t="s">
        <v>36</v>
      </c>
      <c r="K513" s="17" t="s">
        <v>3629</v>
      </c>
      <c r="L513" s="18" t="str">
        <f t="shared" si="7"/>
        <v>0512</v>
      </c>
      <c r="M513" s="18" t="s">
        <v>38</v>
      </c>
      <c r="N513" s="19" t="s">
        <v>868</v>
      </c>
      <c r="O513" s="20" t="s">
        <v>3450</v>
      </c>
    </row>
    <row r="514" spans="1:15" ht="15.75" customHeight="1">
      <c r="A514" s="10" t="s">
        <v>3630</v>
      </c>
      <c r="B514" s="10" t="s">
        <v>1469</v>
      </c>
      <c r="C514" s="52" t="s">
        <v>868</v>
      </c>
      <c r="D514" s="13" t="s">
        <v>2060</v>
      </c>
      <c r="E514" s="6" t="s">
        <v>3631</v>
      </c>
      <c r="F514" s="17" t="s">
        <v>3636</v>
      </c>
      <c r="G514" s="17"/>
      <c r="H514" s="17" t="s">
        <v>35</v>
      </c>
      <c r="I514" s="6" t="s">
        <v>35</v>
      </c>
      <c r="J514" s="17" t="s">
        <v>36</v>
      </c>
      <c r="K514" s="17" t="s">
        <v>3636</v>
      </c>
      <c r="L514" s="18" t="str">
        <f t="shared" ref="L514:L577" si="8">A514</f>
        <v>0513</v>
      </c>
      <c r="M514" s="18" t="s">
        <v>38</v>
      </c>
      <c r="N514" s="19" t="s">
        <v>868</v>
      </c>
      <c r="O514" s="20" t="s">
        <v>3450</v>
      </c>
    </row>
    <row r="515" spans="1:15" ht="15.75" customHeight="1">
      <c r="A515" s="10" t="s">
        <v>3637</v>
      </c>
      <c r="B515" s="10" t="s">
        <v>1469</v>
      </c>
      <c r="C515" s="52" t="s">
        <v>868</v>
      </c>
      <c r="D515" s="13" t="s">
        <v>501</v>
      </c>
      <c r="E515" s="43" t="s">
        <v>3269</v>
      </c>
      <c r="F515" s="17" t="s">
        <v>3642</v>
      </c>
      <c r="G515" s="17"/>
      <c r="H515" s="17" t="s">
        <v>35</v>
      </c>
      <c r="I515" s="6" t="s">
        <v>35</v>
      </c>
      <c r="J515" s="17" t="s">
        <v>36</v>
      </c>
      <c r="K515" s="17" t="s">
        <v>3642</v>
      </c>
      <c r="L515" s="18" t="str">
        <f t="shared" si="8"/>
        <v>0514</v>
      </c>
      <c r="M515" s="18" t="s">
        <v>38</v>
      </c>
      <c r="N515" s="19" t="s">
        <v>868</v>
      </c>
      <c r="O515" s="20" t="s">
        <v>3450</v>
      </c>
    </row>
    <row r="516" spans="1:15" ht="15.75" customHeight="1">
      <c r="A516" s="10" t="s">
        <v>3643</v>
      </c>
      <c r="B516" s="10" t="s">
        <v>1469</v>
      </c>
      <c r="C516" s="52" t="s">
        <v>868</v>
      </c>
      <c r="D516" s="13" t="s">
        <v>2060</v>
      </c>
      <c r="E516" s="6" t="s">
        <v>3631</v>
      </c>
      <c r="F516" s="17" t="s">
        <v>3648</v>
      </c>
      <c r="G516" s="17"/>
      <c r="H516" s="17" t="s">
        <v>35</v>
      </c>
      <c r="I516" s="6" t="s">
        <v>35</v>
      </c>
      <c r="J516" s="17" t="s">
        <v>36</v>
      </c>
      <c r="K516" s="17" t="s">
        <v>3648</v>
      </c>
      <c r="L516" s="18" t="str">
        <f t="shared" si="8"/>
        <v>0515</v>
      </c>
      <c r="M516" s="18" t="s">
        <v>38</v>
      </c>
      <c r="N516" s="19" t="s">
        <v>868</v>
      </c>
      <c r="O516" s="20" t="s">
        <v>3450</v>
      </c>
    </row>
    <row r="517" spans="1:15" ht="15.75" customHeight="1">
      <c r="A517" s="10" t="s">
        <v>3649</v>
      </c>
      <c r="B517" s="10" t="s">
        <v>1469</v>
      </c>
      <c r="C517" s="52" t="s">
        <v>868</v>
      </c>
      <c r="D517" s="13" t="s">
        <v>501</v>
      </c>
      <c r="E517" s="43" t="s">
        <v>3269</v>
      </c>
      <c r="F517" s="17" t="s">
        <v>3654</v>
      </c>
      <c r="G517" s="17"/>
      <c r="H517" s="17" t="s">
        <v>35</v>
      </c>
      <c r="I517" s="6" t="s">
        <v>35</v>
      </c>
      <c r="J517" s="17" t="s">
        <v>36</v>
      </c>
      <c r="K517" s="17" t="s">
        <v>3654</v>
      </c>
      <c r="L517" s="18" t="str">
        <f t="shared" si="8"/>
        <v>0516</v>
      </c>
      <c r="M517" s="18" t="s">
        <v>38</v>
      </c>
      <c r="N517" s="19" t="s">
        <v>868</v>
      </c>
      <c r="O517" s="20" t="s">
        <v>3450</v>
      </c>
    </row>
    <row r="518" spans="1:15" ht="15.75" customHeight="1">
      <c r="A518" s="10" t="s">
        <v>3655</v>
      </c>
      <c r="B518" s="10" t="s">
        <v>1469</v>
      </c>
      <c r="C518" s="52" t="s">
        <v>868</v>
      </c>
      <c r="D518" s="13" t="s">
        <v>2060</v>
      </c>
      <c r="E518" s="6" t="s">
        <v>3631</v>
      </c>
      <c r="F518" s="10" t="s">
        <v>3660</v>
      </c>
      <c r="G518" s="17"/>
      <c r="H518" s="17" t="s">
        <v>35</v>
      </c>
      <c r="I518" s="6" t="s">
        <v>35</v>
      </c>
      <c r="J518" s="6" t="s">
        <v>36</v>
      </c>
      <c r="K518" s="10" t="s">
        <v>3660</v>
      </c>
      <c r="L518" s="18" t="str">
        <f t="shared" si="8"/>
        <v>0517</v>
      </c>
      <c r="M518" s="18" t="s">
        <v>38</v>
      </c>
      <c r="N518" s="19" t="s">
        <v>868</v>
      </c>
      <c r="O518" s="20" t="s">
        <v>3450</v>
      </c>
    </row>
    <row r="519" spans="1:15" ht="15.75" customHeight="1">
      <c r="A519" s="10" t="s">
        <v>3661</v>
      </c>
      <c r="B519" s="10" t="s">
        <v>1469</v>
      </c>
      <c r="C519" s="52" t="s">
        <v>868</v>
      </c>
      <c r="D519" s="13" t="s">
        <v>501</v>
      </c>
      <c r="E519" s="43" t="s">
        <v>3285</v>
      </c>
      <c r="F519" s="17" t="s">
        <v>3666</v>
      </c>
      <c r="G519" s="17"/>
      <c r="H519" s="17" t="s">
        <v>35</v>
      </c>
      <c r="I519" s="6" t="s">
        <v>35</v>
      </c>
      <c r="J519" s="17" t="s">
        <v>36</v>
      </c>
      <c r="K519" s="17" t="s">
        <v>3666</v>
      </c>
      <c r="L519" s="18" t="str">
        <f t="shared" si="8"/>
        <v>0518</v>
      </c>
      <c r="M519" s="18" t="s">
        <v>38</v>
      </c>
      <c r="N519" s="19" t="s">
        <v>868</v>
      </c>
      <c r="O519" s="20" t="s">
        <v>3450</v>
      </c>
    </row>
    <row r="520" spans="1:15" ht="15.75" customHeight="1">
      <c r="A520" s="10" t="s">
        <v>3667</v>
      </c>
      <c r="B520" s="10" t="s">
        <v>1469</v>
      </c>
      <c r="C520" s="52" t="s">
        <v>868</v>
      </c>
      <c r="D520" s="13" t="s">
        <v>501</v>
      </c>
      <c r="E520" s="43" t="s">
        <v>3269</v>
      </c>
      <c r="F520" s="17" t="s">
        <v>3672</v>
      </c>
      <c r="G520" s="17"/>
      <c r="H520" s="17" t="s">
        <v>35</v>
      </c>
      <c r="I520" s="6" t="s">
        <v>35</v>
      </c>
      <c r="J520" s="17" t="s">
        <v>36</v>
      </c>
      <c r="K520" s="17" t="s">
        <v>3672</v>
      </c>
      <c r="L520" s="18" t="str">
        <f t="shared" si="8"/>
        <v>0519</v>
      </c>
      <c r="M520" s="18" t="s">
        <v>38</v>
      </c>
      <c r="N520" s="19" t="s">
        <v>868</v>
      </c>
      <c r="O520" s="20" t="s">
        <v>3450</v>
      </c>
    </row>
    <row r="521" spans="1:15" ht="15.75" customHeight="1">
      <c r="A521" s="10" t="s">
        <v>3673</v>
      </c>
      <c r="B521" s="10" t="s">
        <v>1469</v>
      </c>
      <c r="C521" s="52" t="s">
        <v>868</v>
      </c>
      <c r="D521" s="13" t="s">
        <v>2060</v>
      </c>
      <c r="E521" s="6" t="s">
        <v>3631</v>
      </c>
      <c r="F521" s="10" t="s">
        <v>85</v>
      </c>
      <c r="G521" s="17"/>
      <c r="H521" s="17" t="s">
        <v>35</v>
      </c>
      <c r="I521" s="6" t="s">
        <v>35</v>
      </c>
      <c r="J521" s="6" t="s">
        <v>36</v>
      </c>
      <c r="K521" s="10" t="s">
        <v>85</v>
      </c>
      <c r="L521" s="18" t="str">
        <f t="shared" si="8"/>
        <v>0520</v>
      </c>
      <c r="M521" s="18" t="s">
        <v>38</v>
      </c>
      <c r="N521" s="19" t="s">
        <v>868</v>
      </c>
      <c r="O521" s="20" t="s">
        <v>3450</v>
      </c>
    </row>
    <row r="522" spans="1:15" ht="15.75" customHeight="1">
      <c r="A522" s="10" t="s">
        <v>3676</v>
      </c>
      <c r="B522" s="10" t="s">
        <v>1469</v>
      </c>
      <c r="C522" s="52" t="s">
        <v>868</v>
      </c>
      <c r="D522" s="13" t="s">
        <v>501</v>
      </c>
      <c r="E522" s="43" t="s">
        <v>3269</v>
      </c>
      <c r="F522" s="17" t="s">
        <v>3681</v>
      </c>
      <c r="G522" s="17"/>
      <c r="H522" s="17" t="s">
        <v>35</v>
      </c>
      <c r="I522" s="6" t="s">
        <v>35</v>
      </c>
      <c r="J522" s="17" t="s">
        <v>36</v>
      </c>
      <c r="K522" s="17" t="s">
        <v>3681</v>
      </c>
      <c r="L522" s="18" t="str">
        <f t="shared" si="8"/>
        <v>0521</v>
      </c>
      <c r="M522" s="18" t="s">
        <v>38</v>
      </c>
      <c r="N522" s="19" t="s">
        <v>868</v>
      </c>
      <c r="O522" s="20" t="s">
        <v>3450</v>
      </c>
    </row>
    <row r="523" spans="1:15" ht="15.75" customHeight="1">
      <c r="A523" s="10" t="s">
        <v>3682</v>
      </c>
      <c r="B523" s="10" t="s">
        <v>1469</v>
      </c>
      <c r="C523" s="52" t="s">
        <v>868</v>
      </c>
      <c r="D523" s="13" t="s">
        <v>2060</v>
      </c>
      <c r="E523" s="6" t="s">
        <v>3631</v>
      </c>
      <c r="F523" s="10" t="s">
        <v>85</v>
      </c>
      <c r="G523" s="17"/>
      <c r="H523" s="17" t="s">
        <v>35</v>
      </c>
      <c r="I523" s="6" t="s">
        <v>35</v>
      </c>
      <c r="J523" s="6" t="s">
        <v>36</v>
      </c>
      <c r="K523" s="10" t="s">
        <v>85</v>
      </c>
      <c r="L523" s="18" t="str">
        <f t="shared" si="8"/>
        <v>0522</v>
      </c>
      <c r="M523" s="18" t="s">
        <v>38</v>
      </c>
      <c r="N523" s="19" t="s">
        <v>868</v>
      </c>
      <c r="O523" s="20" t="s">
        <v>3450</v>
      </c>
    </row>
    <row r="524" spans="1:15" ht="15.75" customHeight="1">
      <c r="A524" s="10" t="s">
        <v>3685</v>
      </c>
      <c r="B524" s="10" t="s">
        <v>1469</v>
      </c>
      <c r="C524" s="52" t="s">
        <v>868</v>
      </c>
      <c r="D524" s="13" t="s">
        <v>501</v>
      </c>
      <c r="E524" s="6" t="s">
        <v>3285</v>
      </c>
      <c r="F524" s="17" t="s">
        <v>3690</v>
      </c>
      <c r="G524" s="17"/>
      <c r="H524" s="17" t="s">
        <v>35</v>
      </c>
      <c r="I524" s="6" t="s">
        <v>35</v>
      </c>
      <c r="J524" s="17" t="s">
        <v>36</v>
      </c>
      <c r="K524" s="17" t="s">
        <v>3690</v>
      </c>
      <c r="L524" s="18" t="str">
        <f t="shared" si="8"/>
        <v>0523</v>
      </c>
      <c r="M524" s="18" t="s">
        <v>38</v>
      </c>
      <c r="N524" s="19" t="s">
        <v>868</v>
      </c>
      <c r="O524" s="20" t="s">
        <v>3450</v>
      </c>
    </row>
    <row r="525" spans="1:15" ht="15.75" customHeight="1">
      <c r="A525" s="10" t="s">
        <v>3691</v>
      </c>
      <c r="B525" s="10" t="s">
        <v>1469</v>
      </c>
      <c r="C525" s="52" t="s">
        <v>868</v>
      </c>
      <c r="D525" s="13" t="s">
        <v>501</v>
      </c>
      <c r="E525" s="6" t="s">
        <v>2046</v>
      </c>
      <c r="F525" s="10" t="s">
        <v>3696</v>
      </c>
      <c r="G525" s="17"/>
      <c r="H525" s="17" t="s">
        <v>35</v>
      </c>
      <c r="I525" s="6" t="s">
        <v>35</v>
      </c>
      <c r="J525" s="6" t="s">
        <v>36</v>
      </c>
      <c r="K525" s="10" t="s">
        <v>3696</v>
      </c>
      <c r="L525" s="18" t="str">
        <f t="shared" si="8"/>
        <v>0524</v>
      </c>
      <c r="M525" s="18" t="s">
        <v>38</v>
      </c>
      <c r="N525" s="19" t="s">
        <v>868</v>
      </c>
      <c r="O525" s="20" t="s">
        <v>3450</v>
      </c>
    </row>
    <row r="526" spans="1:15" ht="15.75" customHeight="1">
      <c r="A526" s="10" t="s">
        <v>3697</v>
      </c>
      <c r="B526" s="10" t="s">
        <v>1469</v>
      </c>
      <c r="C526" s="52" t="s">
        <v>868</v>
      </c>
      <c r="D526" s="13" t="s">
        <v>501</v>
      </c>
      <c r="E526" s="43" t="s">
        <v>3269</v>
      </c>
      <c r="F526" s="17" t="s">
        <v>3702</v>
      </c>
      <c r="G526" s="17"/>
      <c r="H526" s="17" t="s">
        <v>35</v>
      </c>
      <c r="I526" s="6" t="s">
        <v>35</v>
      </c>
      <c r="J526" s="17" t="s">
        <v>36</v>
      </c>
      <c r="K526" s="17" t="s">
        <v>3702</v>
      </c>
      <c r="L526" s="18" t="str">
        <f t="shared" si="8"/>
        <v>0525</v>
      </c>
      <c r="M526" s="18" t="s">
        <v>38</v>
      </c>
      <c r="N526" s="19" t="s">
        <v>868</v>
      </c>
      <c r="O526" s="20" t="s">
        <v>3450</v>
      </c>
    </row>
    <row r="527" spans="1:15" ht="15.75" customHeight="1">
      <c r="A527" s="10" t="s">
        <v>3703</v>
      </c>
      <c r="B527" s="10" t="s">
        <v>1469</v>
      </c>
      <c r="C527" s="52" t="s">
        <v>868</v>
      </c>
      <c r="D527" s="13" t="s">
        <v>62</v>
      </c>
      <c r="E527" s="6" t="s">
        <v>3262</v>
      </c>
      <c r="F527" s="17" t="s">
        <v>3708</v>
      </c>
      <c r="G527" s="17"/>
      <c r="H527" s="17" t="s">
        <v>35</v>
      </c>
      <c r="I527" s="6" t="s">
        <v>35</v>
      </c>
      <c r="J527" s="17" t="s">
        <v>36</v>
      </c>
      <c r="K527" s="17" t="s">
        <v>3708</v>
      </c>
      <c r="L527" s="18" t="str">
        <f t="shared" si="8"/>
        <v>0526</v>
      </c>
      <c r="M527" s="18" t="s">
        <v>38</v>
      </c>
      <c r="N527" s="19" t="s">
        <v>868</v>
      </c>
      <c r="O527" s="20" t="s">
        <v>3450</v>
      </c>
    </row>
    <row r="528" spans="1:15" ht="15.75" customHeight="1">
      <c r="A528" s="10" t="s">
        <v>3709</v>
      </c>
      <c r="B528" s="10" t="s">
        <v>1469</v>
      </c>
      <c r="C528" s="52" t="s">
        <v>868</v>
      </c>
      <c r="D528" s="13" t="s">
        <v>93</v>
      </c>
      <c r="E528" s="6" t="s">
        <v>3710</v>
      </c>
      <c r="F528" s="17" t="s">
        <v>3715</v>
      </c>
      <c r="G528" s="17"/>
      <c r="H528" s="17" t="s">
        <v>35</v>
      </c>
      <c r="I528" s="6" t="s">
        <v>35</v>
      </c>
      <c r="J528" s="46" t="s">
        <v>36</v>
      </c>
      <c r="K528" s="17" t="s">
        <v>3715</v>
      </c>
      <c r="L528" s="18" t="str">
        <f t="shared" si="8"/>
        <v>0527</v>
      </c>
      <c r="M528" s="18" t="s">
        <v>38</v>
      </c>
      <c r="N528" s="19" t="s">
        <v>868</v>
      </c>
      <c r="O528" s="20" t="s">
        <v>3716</v>
      </c>
    </row>
    <row r="529" spans="1:15" ht="15.75" customHeight="1">
      <c r="A529" s="10" t="s">
        <v>3717</v>
      </c>
      <c r="B529" s="10" t="s">
        <v>1469</v>
      </c>
      <c r="C529" s="52" t="s">
        <v>868</v>
      </c>
      <c r="D529" s="13" t="s">
        <v>242</v>
      </c>
      <c r="E529" s="6" t="s">
        <v>3718</v>
      </c>
      <c r="F529" s="10" t="s">
        <v>85</v>
      </c>
      <c r="G529" s="17"/>
      <c r="H529" s="17" t="s">
        <v>856</v>
      </c>
      <c r="I529" s="6" t="s">
        <v>3721</v>
      </c>
      <c r="J529" s="6" t="s">
        <v>36</v>
      </c>
      <c r="K529" s="10" t="s">
        <v>85</v>
      </c>
      <c r="L529" s="18" t="str">
        <f t="shared" si="8"/>
        <v>0528</v>
      </c>
      <c r="M529" s="18" t="s">
        <v>38</v>
      </c>
      <c r="N529" s="19" t="s">
        <v>868</v>
      </c>
      <c r="O529" s="22" t="s">
        <v>1665</v>
      </c>
    </row>
    <row r="530" spans="1:15" ht="15.75" customHeight="1">
      <c r="A530" s="10" t="s">
        <v>3722</v>
      </c>
      <c r="B530" s="10" t="s">
        <v>1469</v>
      </c>
      <c r="C530" s="52" t="s">
        <v>868</v>
      </c>
      <c r="D530" s="13" t="s">
        <v>116</v>
      </c>
      <c r="E530" s="6" t="s">
        <v>3723</v>
      </c>
      <c r="F530" s="17" t="s">
        <v>3728</v>
      </c>
      <c r="G530" s="17"/>
      <c r="H530" s="17" t="s">
        <v>35</v>
      </c>
      <c r="I530" s="6" t="s">
        <v>35</v>
      </c>
      <c r="J530" s="17" t="s">
        <v>36</v>
      </c>
      <c r="K530" s="17" t="s">
        <v>3728</v>
      </c>
      <c r="L530" s="18" t="str">
        <f t="shared" si="8"/>
        <v>0529</v>
      </c>
      <c r="M530" s="18" t="s">
        <v>38</v>
      </c>
      <c r="N530" s="19" t="s">
        <v>868</v>
      </c>
      <c r="O530" s="22" t="s">
        <v>1665</v>
      </c>
    </row>
    <row r="531" spans="1:15" ht="15.75" customHeight="1">
      <c r="A531" s="10" t="s">
        <v>3729</v>
      </c>
      <c r="B531" s="10" t="s">
        <v>1469</v>
      </c>
      <c r="C531" s="52" t="s">
        <v>868</v>
      </c>
      <c r="D531" s="13" t="s">
        <v>62</v>
      </c>
      <c r="E531" s="6" t="s">
        <v>3730</v>
      </c>
      <c r="F531" s="17" t="s">
        <v>3735</v>
      </c>
      <c r="G531" s="17"/>
      <c r="H531" s="17" t="s">
        <v>35</v>
      </c>
      <c r="I531" s="6" t="s">
        <v>35</v>
      </c>
      <c r="J531" s="17" t="s">
        <v>36</v>
      </c>
      <c r="K531" s="17" t="s">
        <v>3735</v>
      </c>
      <c r="L531" s="18" t="str">
        <f t="shared" si="8"/>
        <v>0530</v>
      </c>
      <c r="M531" s="18" t="s">
        <v>38</v>
      </c>
      <c r="N531" s="19" t="s">
        <v>868</v>
      </c>
      <c r="O531" s="22" t="s">
        <v>1665</v>
      </c>
    </row>
    <row r="532" spans="1:15" ht="15.75" customHeight="1">
      <c r="A532" s="10" t="s">
        <v>3736</v>
      </c>
      <c r="B532" s="10" t="s">
        <v>1469</v>
      </c>
      <c r="C532" s="52" t="s">
        <v>868</v>
      </c>
      <c r="D532" s="13" t="s">
        <v>62</v>
      </c>
      <c r="E532" s="6" t="s">
        <v>3737</v>
      </c>
      <c r="F532" s="17" t="s">
        <v>3742</v>
      </c>
      <c r="G532" s="17"/>
      <c r="H532" s="17" t="s">
        <v>35</v>
      </c>
      <c r="I532" s="6" t="s">
        <v>35</v>
      </c>
      <c r="J532" s="17" t="s">
        <v>36</v>
      </c>
      <c r="K532" s="17" t="s">
        <v>3742</v>
      </c>
      <c r="L532" s="18" t="str">
        <f t="shared" si="8"/>
        <v>0531</v>
      </c>
      <c r="M532" s="18" t="s">
        <v>38</v>
      </c>
      <c r="N532" s="19" t="s">
        <v>868</v>
      </c>
      <c r="O532" s="22" t="s">
        <v>1665</v>
      </c>
    </row>
    <row r="533" spans="1:15" ht="15.75" customHeight="1">
      <c r="A533" s="10" t="s">
        <v>3743</v>
      </c>
      <c r="B533" s="10" t="s">
        <v>1469</v>
      </c>
      <c r="C533" s="52" t="s">
        <v>868</v>
      </c>
      <c r="D533" s="13" t="s">
        <v>3521</v>
      </c>
      <c r="E533" s="6" t="s">
        <v>3744</v>
      </c>
      <c r="F533" s="17" t="s">
        <v>3749</v>
      </c>
      <c r="G533" s="17"/>
      <c r="H533" s="17" t="s">
        <v>35</v>
      </c>
      <c r="I533" s="6" t="s">
        <v>35</v>
      </c>
      <c r="J533" s="17" t="s">
        <v>36</v>
      </c>
      <c r="K533" s="17" t="s">
        <v>3749</v>
      </c>
      <c r="L533" s="18" t="str">
        <f t="shared" si="8"/>
        <v>0532</v>
      </c>
      <c r="M533" s="18" t="s">
        <v>38</v>
      </c>
      <c r="N533" s="19" t="s">
        <v>868</v>
      </c>
      <c r="O533" s="22" t="s">
        <v>1665</v>
      </c>
    </row>
    <row r="534" spans="1:15" ht="15.75" customHeight="1">
      <c r="A534" s="10" t="s">
        <v>3750</v>
      </c>
      <c r="B534" s="10" t="s">
        <v>1469</v>
      </c>
      <c r="C534" s="52" t="s">
        <v>868</v>
      </c>
      <c r="D534" s="13" t="s">
        <v>43</v>
      </c>
      <c r="E534" s="43" t="s">
        <v>3751</v>
      </c>
      <c r="F534" s="17" t="s">
        <v>3758</v>
      </c>
      <c r="G534" s="17"/>
      <c r="H534" s="17" t="s">
        <v>406</v>
      </c>
      <c r="I534" s="6" t="s">
        <v>3756</v>
      </c>
      <c r="J534" s="17" t="s">
        <v>3757</v>
      </c>
      <c r="K534" s="17" t="s">
        <v>3758</v>
      </c>
      <c r="L534" s="18" t="str">
        <f t="shared" si="8"/>
        <v>0533</v>
      </c>
      <c r="M534" s="18" t="s">
        <v>38</v>
      </c>
      <c r="N534" s="19" t="s">
        <v>868</v>
      </c>
      <c r="O534" s="22" t="s">
        <v>1665</v>
      </c>
    </row>
    <row r="535" spans="1:15" ht="15.75" customHeight="1">
      <c r="A535" s="10" t="s">
        <v>3759</v>
      </c>
      <c r="B535" s="10" t="s">
        <v>1469</v>
      </c>
      <c r="C535" s="52" t="s">
        <v>868</v>
      </c>
      <c r="D535" s="13" t="s">
        <v>116</v>
      </c>
      <c r="E535" s="6" t="s">
        <v>3760</v>
      </c>
      <c r="F535" s="17" t="s">
        <v>3765</v>
      </c>
      <c r="G535" s="17"/>
      <c r="H535" s="17" t="s">
        <v>35</v>
      </c>
      <c r="I535" s="49" t="s">
        <v>35</v>
      </c>
      <c r="J535" s="17" t="s">
        <v>36</v>
      </c>
      <c r="K535" s="17" t="s">
        <v>3765</v>
      </c>
      <c r="L535" s="18" t="str">
        <f t="shared" si="8"/>
        <v>0534</v>
      </c>
      <c r="M535" s="18" t="s">
        <v>38</v>
      </c>
      <c r="N535" s="19" t="s">
        <v>868</v>
      </c>
      <c r="O535" s="22" t="s">
        <v>1665</v>
      </c>
    </row>
    <row r="536" spans="1:15" ht="15.75" customHeight="1">
      <c r="A536" s="10" t="s">
        <v>3766</v>
      </c>
      <c r="B536" s="10" t="s">
        <v>1469</v>
      </c>
      <c r="C536" s="52" t="s">
        <v>868</v>
      </c>
      <c r="D536" s="13" t="s">
        <v>1240</v>
      </c>
      <c r="E536" s="43" t="s">
        <v>278</v>
      </c>
      <c r="F536" s="17" t="s">
        <v>3771</v>
      </c>
      <c r="G536" s="17"/>
      <c r="H536" s="17" t="s">
        <v>35</v>
      </c>
      <c r="I536" s="6" t="s">
        <v>35</v>
      </c>
      <c r="J536" s="17" t="s">
        <v>36</v>
      </c>
      <c r="K536" s="17" t="s">
        <v>3771</v>
      </c>
      <c r="L536" s="18" t="str">
        <f t="shared" si="8"/>
        <v>0535</v>
      </c>
      <c r="M536" s="18" t="s">
        <v>38</v>
      </c>
      <c r="N536" s="19" t="s">
        <v>868</v>
      </c>
      <c r="O536" s="22" t="s">
        <v>1665</v>
      </c>
    </row>
    <row r="537" spans="1:15" ht="15.75" customHeight="1">
      <c r="A537" s="10" t="s">
        <v>3772</v>
      </c>
      <c r="B537" s="10" t="s">
        <v>1469</v>
      </c>
      <c r="C537" s="52" t="s">
        <v>868</v>
      </c>
      <c r="D537" s="13" t="s">
        <v>248</v>
      </c>
      <c r="E537" s="43" t="s">
        <v>248</v>
      </c>
      <c r="F537" s="17" t="s">
        <v>3779</v>
      </c>
      <c r="G537" s="17"/>
      <c r="H537" s="17" t="s">
        <v>978</v>
      </c>
      <c r="I537" s="6" t="s">
        <v>3777</v>
      </c>
      <c r="J537" s="17" t="s">
        <v>3778</v>
      </c>
      <c r="K537" s="17" t="s">
        <v>3779</v>
      </c>
      <c r="L537" s="18" t="str">
        <f t="shared" si="8"/>
        <v>0536</v>
      </c>
      <c r="M537" s="18" t="s">
        <v>38</v>
      </c>
      <c r="N537" s="19" t="s">
        <v>868</v>
      </c>
      <c r="O537" s="22" t="s">
        <v>1665</v>
      </c>
    </row>
    <row r="538" spans="1:15" ht="15.75" customHeight="1">
      <c r="A538" s="10" t="s">
        <v>3780</v>
      </c>
      <c r="B538" s="10" t="s">
        <v>1469</v>
      </c>
      <c r="C538" s="52" t="s">
        <v>868</v>
      </c>
      <c r="D538" s="13" t="s">
        <v>378</v>
      </c>
      <c r="E538" s="6" t="s">
        <v>878</v>
      </c>
      <c r="F538" s="17" t="s">
        <v>3785</v>
      </c>
      <c r="G538" s="17"/>
      <c r="H538" s="17" t="s">
        <v>35</v>
      </c>
      <c r="I538" s="6" t="s">
        <v>35</v>
      </c>
      <c r="J538" s="17" t="s">
        <v>36</v>
      </c>
      <c r="K538" s="17" t="s">
        <v>3785</v>
      </c>
      <c r="L538" s="18" t="str">
        <f t="shared" si="8"/>
        <v>0537</v>
      </c>
      <c r="M538" s="18" t="s">
        <v>38</v>
      </c>
      <c r="N538" s="19" t="s">
        <v>868</v>
      </c>
      <c r="O538" s="22" t="s">
        <v>1665</v>
      </c>
    </row>
    <row r="539" spans="1:15" ht="15.75" customHeight="1">
      <c r="A539" s="10" t="s">
        <v>3786</v>
      </c>
      <c r="B539" s="10" t="s">
        <v>1469</v>
      </c>
      <c r="C539" s="52" t="s">
        <v>868</v>
      </c>
      <c r="D539" s="13" t="s">
        <v>378</v>
      </c>
      <c r="E539" s="6" t="s">
        <v>878</v>
      </c>
      <c r="F539" s="17" t="s">
        <v>3791</v>
      </c>
      <c r="G539" s="17"/>
      <c r="H539" s="17" t="s">
        <v>35</v>
      </c>
      <c r="I539" s="6" t="s">
        <v>35</v>
      </c>
      <c r="J539" s="17" t="s">
        <v>36</v>
      </c>
      <c r="K539" s="17" t="s">
        <v>3791</v>
      </c>
      <c r="L539" s="18" t="str">
        <f t="shared" si="8"/>
        <v>0538</v>
      </c>
      <c r="M539" s="18" t="s">
        <v>38</v>
      </c>
      <c r="N539" s="19" t="s">
        <v>868</v>
      </c>
      <c r="O539" s="22" t="s">
        <v>1665</v>
      </c>
    </row>
    <row r="540" spans="1:15" ht="15.75" customHeight="1">
      <c r="A540" s="10" t="s">
        <v>3792</v>
      </c>
      <c r="B540" s="10" t="s">
        <v>1469</v>
      </c>
      <c r="C540" s="52" t="s">
        <v>868</v>
      </c>
      <c r="D540" s="13" t="s">
        <v>199</v>
      </c>
      <c r="E540" s="6" t="s">
        <v>199</v>
      </c>
      <c r="F540" s="17" t="s">
        <v>3799</v>
      </c>
      <c r="G540" s="17"/>
      <c r="H540" s="17" t="s">
        <v>205</v>
      </c>
      <c r="I540" s="6" t="s">
        <v>3797</v>
      </c>
      <c r="J540" s="35" t="s">
        <v>3798</v>
      </c>
      <c r="K540" s="17" t="s">
        <v>3799</v>
      </c>
      <c r="L540" s="18" t="str">
        <f t="shared" si="8"/>
        <v>0539</v>
      </c>
      <c r="M540" s="18" t="s">
        <v>517</v>
      </c>
      <c r="N540" s="19" t="s">
        <v>868</v>
      </c>
      <c r="O540" s="22" t="s">
        <v>1665</v>
      </c>
    </row>
    <row r="541" spans="1:15" ht="15.75" customHeight="1">
      <c r="A541" s="10" t="s">
        <v>3800</v>
      </c>
      <c r="B541" s="10" t="s">
        <v>1469</v>
      </c>
      <c r="C541" s="52" t="s">
        <v>868</v>
      </c>
      <c r="D541" s="13" t="s">
        <v>151</v>
      </c>
      <c r="E541" s="6" t="s">
        <v>152</v>
      </c>
      <c r="F541" s="10" t="s">
        <v>3806</v>
      </c>
      <c r="G541" s="17"/>
      <c r="H541" s="17" t="s">
        <v>1220</v>
      </c>
      <c r="I541" s="6" t="s">
        <v>720</v>
      </c>
      <c r="J541" s="17" t="s">
        <v>3805</v>
      </c>
      <c r="K541" s="10" t="s">
        <v>3806</v>
      </c>
      <c r="L541" s="18" t="str">
        <f t="shared" si="8"/>
        <v>0540</v>
      </c>
      <c r="M541" s="18" t="s">
        <v>38</v>
      </c>
      <c r="N541" s="19" t="s">
        <v>868</v>
      </c>
      <c r="O541" s="22" t="s">
        <v>1665</v>
      </c>
    </row>
    <row r="542" spans="1:15" ht="15.75" customHeight="1">
      <c r="A542" s="10" t="s">
        <v>3807</v>
      </c>
      <c r="B542" s="10" t="s">
        <v>27</v>
      </c>
      <c r="C542" s="61" t="s">
        <v>28</v>
      </c>
      <c r="D542" s="13" t="s">
        <v>162</v>
      </c>
      <c r="E542" s="43" t="s">
        <v>285</v>
      </c>
      <c r="F542" s="35" t="s">
        <v>7300</v>
      </c>
      <c r="G542" s="17"/>
      <c r="H542" s="17" t="s">
        <v>168</v>
      </c>
      <c r="I542" s="6" t="s">
        <v>169</v>
      </c>
      <c r="J542" s="46" t="s">
        <v>3812</v>
      </c>
      <c r="K542" s="35" t="s">
        <v>7300</v>
      </c>
      <c r="L542" s="18" t="str">
        <f t="shared" si="8"/>
        <v>0541</v>
      </c>
      <c r="M542" s="50" t="s">
        <v>2309</v>
      </c>
      <c r="N542" s="19" t="s">
        <v>147</v>
      </c>
      <c r="O542" s="20" t="s">
        <v>385</v>
      </c>
    </row>
    <row r="543" spans="1:15" ht="15.75" customHeight="1">
      <c r="A543" s="10" t="s">
        <v>3814</v>
      </c>
      <c r="B543" s="10" t="s">
        <v>1469</v>
      </c>
      <c r="C543" s="52" t="s">
        <v>868</v>
      </c>
      <c r="D543" s="13" t="s">
        <v>43</v>
      </c>
      <c r="E543" s="6" t="s">
        <v>1492</v>
      </c>
      <c r="F543" s="17" t="s">
        <v>3819</v>
      </c>
      <c r="G543" s="17"/>
      <c r="H543" s="17" t="s">
        <v>406</v>
      </c>
      <c r="I543" s="6" t="s">
        <v>407</v>
      </c>
      <c r="J543" s="17" t="s">
        <v>36</v>
      </c>
      <c r="K543" s="17" t="s">
        <v>3819</v>
      </c>
      <c r="L543" s="18" t="str">
        <f t="shared" si="8"/>
        <v>0542</v>
      </c>
      <c r="M543" s="18" t="s">
        <v>38</v>
      </c>
      <c r="N543" s="19" t="s">
        <v>868</v>
      </c>
      <c r="O543" s="20" t="s">
        <v>3450</v>
      </c>
    </row>
    <row r="544" spans="1:15" ht="15.75" customHeight="1">
      <c r="A544" s="10" t="s">
        <v>3820</v>
      </c>
      <c r="B544" s="10" t="s">
        <v>1469</v>
      </c>
      <c r="C544" s="52" t="s">
        <v>868</v>
      </c>
      <c r="D544" s="13" t="s">
        <v>43</v>
      </c>
      <c r="E544" s="6" t="s">
        <v>1492</v>
      </c>
      <c r="F544" s="17" t="s">
        <v>3825</v>
      </c>
      <c r="G544" s="17"/>
      <c r="H544" s="17" t="s">
        <v>406</v>
      </c>
      <c r="I544" s="6" t="s">
        <v>407</v>
      </c>
      <c r="J544" s="17" t="s">
        <v>36</v>
      </c>
      <c r="K544" s="17" t="s">
        <v>3825</v>
      </c>
      <c r="L544" s="18" t="str">
        <f t="shared" si="8"/>
        <v>0543</v>
      </c>
      <c r="M544" s="18" t="s">
        <v>38</v>
      </c>
      <c r="N544" s="19" t="s">
        <v>868</v>
      </c>
      <c r="O544" s="20" t="s">
        <v>3450</v>
      </c>
    </row>
    <row r="545" spans="1:15" ht="15.75" customHeight="1">
      <c r="A545" s="10" t="s">
        <v>3826</v>
      </c>
      <c r="B545" s="10" t="s">
        <v>1469</v>
      </c>
      <c r="C545" s="52" t="s">
        <v>868</v>
      </c>
      <c r="D545" s="13" t="s">
        <v>93</v>
      </c>
      <c r="E545" s="6" t="s">
        <v>3827</v>
      </c>
      <c r="F545" s="17" t="s">
        <v>3832</v>
      </c>
      <c r="G545" s="17"/>
      <c r="H545" s="17" t="s">
        <v>35</v>
      </c>
      <c r="I545" s="6" t="s">
        <v>35</v>
      </c>
      <c r="J545" s="17" t="s">
        <v>36</v>
      </c>
      <c r="K545" s="17" t="s">
        <v>3832</v>
      </c>
      <c r="L545" s="18" t="str">
        <f t="shared" si="8"/>
        <v>0544</v>
      </c>
      <c r="M545" s="18" t="s">
        <v>38</v>
      </c>
      <c r="N545" s="19" t="s">
        <v>868</v>
      </c>
      <c r="O545" s="20" t="s">
        <v>3450</v>
      </c>
    </row>
    <row r="546" spans="1:15" ht="15.75" customHeight="1">
      <c r="A546" s="10" t="s">
        <v>3833</v>
      </c>
      <c r="B546" s="10" t="s">
        <v>1469</v>
      </c>
      <c r="C546" s="52" t="s">
        <v>868</v>
      </c>
      <c r="D546" s="13" t="s">
        <v>93</v>
      </c>
      <c r="E546" s="6" t="s">
        <v>3834</v>
      </c>
      <c r="F546" s="35" t="s">
        <v>7301</v>
      </c>
      <c r="G546" s="17"/>
      <c r="H546" s="17" t="s">
        <v>35</v>
      </c>
      <c r="I546" s="6" t="s">
        <v>35</v>
      </c>
      <c r="J546" s="46" t="s">
        <v>36</v>
      </c>
      <c r="K546" s="17" t="s">
        <v>3839</v>
      </c>
      <c r="L546" s="18" t="str">
        <f t="shared" si="8"/>
        <v>0545</v>
      </c>
      <c r="M546" s="18" t="s">
        <v>38</v>
      </c>
      <c r="N546" s="19" t="s">
        <v>2381</v>
      </c>
      <c r="O546" s="10" t="s">
        <v>3840</v>
      </c>
    </row>
    <row r="547" spans="1:15" ht="15.75" customHeight="1">
      <c r="A547" s="10" t="s">
        <v>3841</v>
      </c>
      <c r="B547" s="10" t="s">
        <v>1469</v>
      </c>
      <c r="C547" s="52" t="s">
        <v>868</v>
      </c>
      <c r="D547" s="13" t="s">
        <v>184</v>
      </c>
      <c r="E547" s="6" t="s">
        <v>3842</v>
      </c>
      <c r="F547" s="17" t="s">
        <v>3847</v>
      </c>
      <c r="G547" s="17"/>
      <c r="H547" s="17" t="s">
        <v>35</v>
      </c>
      <c r="I547" s="6" t="s">
        <v>35</v>
      </c>
      <c r="J547" s="46" t="s">
        <v>36</v>
      </c>
      <c r="K547" s="17" t="s">
        <v>3847</v>
      </c>
      <c r="L547" s="18" t="str">
        <f t="shared" si="8"/>
        <v>0546</v>
      </c>
      <c r="M547" s="18" t="s">
        <v>38</v>
      </c>
      <c r="N547" s="19" t="s">
        <v>2328</v>
      </c>
      <c r="O547" s="39" t="s">
        <v>2329</v>
      </c>
    </row>
    <row r="548" spans="1:15" ht="15.75" customHeight="1">
      <c r="A548" s="10" t="s">
        <v>3849</v>
      </c>
      <c r="B548" s="10" t="s">
        <v>1469</v>
      </c>
      <c r="C548" s="52" t="s">
        <v>868</v>
      </c>
      <c r="D548" s="13" t="s">
        <v>210</v>
      </c>
      <c r="E548" s="6" t="s">
        <v>210</v>
      </c>
      <c r="F548" s="10" t="s">
        <v>3853</v>
      </c>
      <c r="G548" s="17"/>
      <c r="H548" s="17" t="s">
        <v>216</v>
      </c>
      <c r="I548" s="6" t="s">
        <v>217</v>
      </c>
      <c r="J548" s="6" t="s">
        <v>36</v>
      </c>
      <c r="K548" s="10" t="s">
        <v>3853</v>
      </c>
      <c r="L548" s="18" t="str">
        <f t="shared" si="8"/>
        <v>0547</v>
      </c>
      <c r="M548" s="18" t="s">
        <v>38</v>
      </c>
      <c r="N548" s="19" t="s">
        <v>868</v>
      </c>
      <c r="O548" s="20" t="s">
        <v>3450</v>
      </c>
    </row>
    <row r="549" spans="1:15" ht="15.75" customHeight="1">
      <c r="A549" s="10" t="s">
        <v>3854</v>
      </c>
      <c r="B549" s="10" t="s">
        <v>1469</v>
      </c>
      <c r="C549" s="52" t="s">
        <v>868</v>
      </c>
      <c r="D549" s="13" t="s">
        <v>93</v>
      </c>
      <c r="E549" s="6" t="s">
        <v>3855</v>
      </c>
      <c r="F549" s="17" t="s">
        <v>3860</v>
      </c>
      <c r="G549" s="17"/>
      <c r="H549" s="17" t="s">
        <v>35</v>
      </c>
      <c r="I549" s="6" t="s">
        <v>35</v>
      </c>
      <c r="J549" s="17" t="s">
        <v>36</v>
      </c>
      <c r="K549" s="17" t="s">
        <v>3860</v>
      </c>
      <c r="L549" s="18" t="str">
        <f t="shared" si="8"/>
        <v>0548</v>
      </c>
      <c r="M549" s="18" t="s">
        <v>38</v>
      </c>
      <c r="N549" s="61" t="s">
        <v>2381</v>
      </c>
      <c r="O549" s="20" t="s">
        <v>493</v>
      </c>
    </row>
    <row r="550" spans="1:15" ht="15.75" customHeight="1">
      <c r="A550" s="10" t="s">
        <v>3861</v>
      </c>
      <c r="B550" s="10" t="s">
        <v>1469</v>
      </c>
      <c r="C550" s="52" t="s">
        <v>868</v>
      </c>
      <c r="D550" s="13" t="s">
        <v>378</v>
      </c>
      <c r="E550" s="6" t="s">
        <v>3862</v>
      </c>
      <c r="F550" s="10" t="s">
        <v>3865</v>
      </c>
      <c r="G550" s="17"/>
      <c r="H550" s="17" t="s">
        <v>35</v>
      </c>
      <c r="I550" s="6" t="s">
        <v>35</v>
      </c>
      <c r="J550" s="6" t="s">
        <v>36</v>
      </c>
      <c r="K550" s="10" t="s">
        <v>3865</v>
      </c>
      <c r="L550" s="18" t="str">
        <f t="shared" si="8"/>
        <v>0549</v>
      </c>
      <c r="M550" s="18" t="s">
        <v>38</v>
      </c>
      <c r="N550" s="61" t="s">
        <v>2381</v>
      </c>
      <c r="O550" s="20" t="s">
        <v>493</v>
      </c>
    </row>
    <row r="551" spans="1:15" ht="15.75" customHeight="1">
      <c r="A551" s="10" t="s">
        <v>3866</v>
      </c>
      <c r="B551" s="10" t="s">
        <v>1469</v>
      </c>
      <c r="C551" s="52" t="s">
        <v>868</v>
      </c>
      <c r="D551" s="13" t="s">
        <v>378</v>
      </c>
      <c r="E551" s="6" t="s">
        <v>3867</v>
      </c>
      <c r="F551" s="17" t="s">
        <v>3871</v>
      </c>
      <c r="G551" s="17"/>
      <c r="H551" s="17" t="s">
        <v>35</v>
      </c>
      <c r="I551" s="6" t="s">
        <v>35</v>
      </c>
      <c r="J551" s="17" t="s">
        <v>36</v>
      </c>
      <c r="K551" s="17" t="s">
        <v>3871</v>
      </c>
      <c r="L551" s="18" t="str">
        <f t="shared" si="8"/>
        <v>0550</v>
      </c>
      <c r="M551" s="18" t="s">
        <v>38</v>
      </c>
      <c r="N551" s="61" t="s">
        <v>2381</v>
      </c>
      <c r="O551" s="20" t="s">
        <v>493</v>
      </c>
    </row>
    <row r="552" spans="1:15" ht="15.75" customHeight="1">
      <c r="A552" s="10" t="s">
        <v>3872</v>
      </c>
      <c r="B552" s="10" t="s">
        <v>1469</v>
      </c>
      <c r="C552" s="52" t="s">
        <v>868</v>
      </c>
      <c r="D552" s="13" t="s">
        <v>378</v>
      </c>
      <c r="E552" s="6" t="s">
        <v>3867</v>
      </c>
      <c r="F552" s="17" t="s">
        <v>3877</v>
      </c>
      <c r="G552" s="17"/>
      <c r="H552" s="17" t="s">
        <v>35</v>
      </c>
      <c r="I552" s="6" t="s">
        <v>35</v>
      </c>
      <c r="J552" s="17" t="s">
        <v>36</v>
      </c>
      <c r="K552" s="17" t="s">
        <v>3877</v>
      </c>
      <c r="L552" s="18" t="str">
        <f t="shared" si="8"/>
        <v>0551</v>
      </c>
      <c r="M552" s="18" t="s">
        <v>38</v>
      </c>
      <c r="N552" s="61" t="s">
        <v>2381</v>
      </c>
      <c r="O552" s="20" t="s">
        <v>493</v>
      </c>
    </row>
    <row r="553" spans="1:15" ht="15.75" customHeight="1">
      <c r="A553" s="10" t="s">
        <v>3878</v>
      </c>
      <c r="B553" s="10" t="s">
        <v>1469</v>
      </c>
      <c r="C553" s="52" t="s">
        <v>868</v>
      </c>
      <c r="D553" s="13" t="s">
        <v>184</v>
      </c>
      <c r="E553" s="6" t="s">
        <v>3879</v>
      </c>
      <c r="F553" s="17" t="s">
        <v>3884</v>
      </c>
      <c r="G553" s="17"/>
      <c r="H553" s="17" t="s">
        <v>35</v>
      </c>
      <c r="I553" s="6" t="s">
        <v>35</v>
      </c>
      <c r="J553" s="17" t="s">
        <v>36</v>
      </c>
      <c r="K553" s="17" t="s">
        <v>3884</v>
      </c>
      <c r="L553" s="18" t="str">
        <f t="shared" si="8"/>
        <v>0552</v>
      </c>
      <c r="M553" s="18" t="s">
        <v>38</v>
      </c>
      <c r="N553" s="61" t="s">
        <v>2381</v>
      </c>
      <c r="O553" s="20" t="s">
        <v>493</v>
      </c>
    </row>
    <row r="554" spans="1:15" ht="15.75" customHeight="1">
      <c r="A554" s="10" t="s">
        <v>3885</v>
      </c>
      <c r="B554" s="10" t="s">
        <v>1469</v>
      </c>
      <c r="C554" s="52" t="s">
        <v>868</v>
      </c>
      <c r="D554" s="13" t="s">
        <v>93</v>
      </c>
      <c r="E554" s="6" t="s">
        <v>3886</v>
      </c>
      <c r="F554" s="17" t="s">
        <v>3891</v>
      </c>
      <c r="G554" s="17"/>
      <c r="H554" s="17" t="s">
        <v>35</v>
      </c>
      <c r="I554" s="6" t="s">
        <v>35</v>
      </c>
      <c r="J554" s="17" t="s">
        <v>36</v>
      </c>
      <c r="K554" s="17" t="s">
        <v>3891</v>
      </c>
      <c r="L554" s="18" t="str">
        <f t="shared" si="8"/>
        <v>0553</v>
      </c>
      <c r="M554" s="18" t="s">
        <v>38</v>
      </c>
      <c r="N554" s="61" t="s">
        <v>2381</v>
      </c>
      <c r="O554" s="20" t="s">
        <v>493</v>
      </c>
    </row>
    <row r="555" spans="1:15" ht="15.75" customHeight="1">
      <c r="A555" s="10" t="s">
        <v>3892</v>
      </c>
      <c r="B555" s="10" t="s">
        <v>1469</v>
      </c>
      <c r="C555" s="52" t="s">
        <v>868</v>
      </c>
      <c r="D555" s="13" t="s">
        <v>93</v>
      </c>
      <c r="E555" s="6" t="s">
        <v>3893</v>
      </c>
      <c r="F555" s="17" t="s">
        <v>3898</v>
      </c>
      <c r="G555" s="17"/>
      <c r="H555" s="17" t="s">
        <v>35</v>
      </c>
      <c r="I555" s="6" t="s">
        <v>35</v>
      </c>
      <c r="J555" s="17" t="s">
        <v>36</v>
      </c>
      <c r="K555" s="17" t="s">
        <v>3898</v>
      </c>
      <c r="L555" s="18" t="str">
        <f t="shared" si="8"/>
        <v>0554</v>
      </c>
      <c r="M555" s="18" t="s">
        <v>38</v>
      </c>
      <c r="N555" s="61" t="s">
        <v>2381</v>
      </c>
      <c r="O555" s="20" t="s">
        <v>493</v>
      </c>
    </row>
    <row r="556" spans="1:15" ht="15.75" customHeight="1">
      <c r="A556" s="10" t="s">
        <v>3899</v>
      </c>
      <c r="B556" s="10" t="s">
        <v>1469</v>
      </c>
      <c r="C556" s="52" t="s">
        <v>868</v>
      </c>
      <c r="D556" s="13" t="s">
        <v>43</v>
      </c>
      <c r="E556" s="6" t="s">
        <v>1850</v>
      </c>
      <c r="F556" s="10" t="s">
        <v>3904</v>
      </c>
      <c r="G556" s="17"/>
      <c r="H556" s="17" t="s">
        <v>49</v>
      </c>
      <c r="I556" s="6">
        <v>3358</v>
      </c>
      <c r="J556" s="17" t="s">
        <v>36</v>
      </c>
      <c r="K556" s="10" t="s">
        <v>3904</v>
      </c>
      <c r="L556" s="18" t="str">
        <f t="shared" si="8"/>
        <v>0555</v>
      </c>
      <c r="M556" s="18" t="s">
        <v>38</v>
      </c>
      <c r="N556" s="61" t="s">
        <v>2381</v>
      </c>
      <c r="O556" s="20" t="s">
        <v>493</v>
      </c>
    </row>
    <row r="557" spans="1:15" ht="15.75" customHeight="1">
      <c r="A557" s="10" t="s">
        <v>3905</v>
      </c>
      <c r="B557" s="10" t="s">
        <v>1469</v>
      </c>
      <c r="C557" s="52" t="s">
        <v>868</v>
      </c>
      <c r="D557" s="13" t="s">
        <v>62</v>
      </c>
      <c r="E557" s="6" t="s">
        <v>3906</v>
      </c>
      <c r="F557" s="17" t="s">
        <v>3911</v>
      </c>
      <c r="G557" s="17"/>
      <c r="H557" s="17" t="s">
        <v>35</v>
      </c>
      <c r="I557" s="6" t="s">
        <v>35</v>
      </c>
      <c r="J557" s="17" t="s">
        <v>36</v>
      </c>
      <c r="K557" s="17" t="s">
        <v>3911</v>
      </c>
      <c r="L557" s="18" t="str">
        <f t="shared" si="8"/>
        <v>0556</v>
      </c>
      <c r="M557" s="18" t="s">
        <v>38</v>
      </c>
      <c r="N557" s="61" t="s">
        <v>2381</v>
      </c>
      <c r="O557" s="20" t="s">
        <v>493</v>
      </c>
    </row>
    <row r="558" spans="1:15" ht="15.75" customHeight="1">
      <c r="A558" s="10" t="s">
        <v>3912</v>
      </c>
      <c r="B558" s="10" t="s">
        <v>1469</v>
      </c>
      <c r="C558" s="52" t="s">
        <v>868</v>
      </c>
      <c r="D558" s="13" t="s">
        <v>29</v>
      </c>
      <c r="E558" s="14" t="s">
        <v>29</v>
      </c>
      <c r="F558" s="17" t="s">
        <v>3916</v>
      </c>
      <c r="G558" s="17"/>
      <c r="H558" s="17" t="s">
        <v>35</v>
      </c>
      <c r="I558" s="6" t="s">
        <v>35</v>
      </c>
      <c r="J558" s="17" t="s">
        <v>36</v>
      </c>
      <c r="K558" s="17" t="s">
        <v>3916</v>
      </c>
      <c r="L558" s="18" t="str">
        <f t="shared" si="8"/>
        <v>0557</v>
      </c>
      <c r="M558" s="18" t="s">
        <v>38</v>
      </c>
      <c r="N558" s="61" t="s">
        <v>2381</v>
      </c>
      <c r="O558" s="20" t="s">
        <v>493</v>
      </c>
    </row>
    <row r="559" spans="1:15" ht="15.75" customHeight="1">
      <c r="A559" s="10" t="s">
        <v>3917</v>
      </c>
      <c r="B559" s="10" t="s">
        <v>1469</v>
      </c>
      <c r="C559" s="52" t="s">
        <v>868</v>
      </c>
      <c r="D559" s="13" t="s">
        <v>3521</v>
      </c>
      <c r="E559" s="14" t="s">
        <v>117</v>
      </c>
      <c r="F559" s="17" t="s">
        <v>3921</v>
      </c>
      <c r="G559" s="17"/>
      <c r="H559" s="17" t="s">
        <v>35</v>
      </c>
      <c r="I559" s="6" t="s">
        <v>35</v>
      </c>
      <c r="J559" s="17" t="s">
        <v>36</v>
      </c>
      <c r="K559" s="17" t="s">
        <v>3921</v>
      </c>
      <c r="L559" s="18" t="str">
        <f t="shared" si="8"/>
        <v>0558</v>
      </c>
      <c r="M559" s="18" t="s">
        <v>38</v>
      </c>
      <c r="N559" s="61" t="s">
        <v>2381</v>
      </c>
      <c r="O559" s="20" t="s">
        <v>493</v>
      </c>
    </row>
    <row r="560" spans="1:15" ht="15.75" customHeight="1">
      <c r="A560" s="10" t="s">
        <v>3922</v>
      </c>
      <c r="B560" s="10" t="s">
        <v>1469</v>
      </c>
      <c r="C560" s="52" t="s">
        <v>868</v>
      </c>
      <c r="D560" s="13" t="s">
        <v>116</v>
      </c>
      <c r="E560" s="14" t="s">
        <v>3923</v>
      </c>
      <c r="F560" s="17" t="s">
        <v>3928</v>
      </c>
      <c r="G560" s="17"/>
      <c r="H560" s="17" t="s">
        <v>35</v>
      </c>
      <c r="I560" s="6" t="s">
        <v>35</v>
      </c>
      <c r="J560" s="17" t="s">
        <v>36</v>
      </c>
      <c r="K560" s="17" t="s">
        <v>3928</v>
      </c>
      <c r="L560" s="18" t="str">
        <f t="shared" si="8"/>
        <v>0559</v>
      </c>
      <c r="M560" s="18" t="s">
        <v>38</v>
      </c>
      <c r="N560" s="61" t="s">
        <v>2381</v>
      </c>
      <c r="O560" s="20" t="s">
        <v>493</v>
      </c>
    </row>
    <row r="561" spans="1:15" ht="15.75" customHeight="1">
      <c r="A561" s="10" t="s">
        <v>3929</v>
      </c>
      <c r="B561" s="10" t="s">
        <v>1469</v>
      </c>
      <c r="C561" s="52" t="s">
        <v>868</v>
      </c>
      <c r="D561" s="13" t="s">
        <v>1240</v>
      </c>
      <c r="E561" s="48" t="s">
        <v>3930</v>
      </c>
      <c r="F561" s="17" t="s">
        <v>3935</v>
      </c>
      <c r="G561" s="17"/>
      <c r="H561" s="35" t="s">
        <v>35</v>
      </c>
      <c r="I561" s="6" t="s">
        <v>35</v>
      </c>
      <c r="J561" s="17" t="s">
        <v>36</v>
      </c>
      <c r="K561" s="17" t="s">
        <v>3935</v>
      </c>
      <c r="L561" s="18" t="str">
        <f t="shared" si="8"/>
        <v>0560</v>
      </c>
      <c r="M561" s="18" t="s">
        <v>38</v>
      </c>
      <c r="N561" s="61" t="s">
        <v>2381</v>
      </c>
      <c r="O561" s="20" t="s">
        <v>493</v>
      </c>
    </row>
    <row r="562" spans="1:15" ht="15.75" customHeight="1">
      <c r="A562" s="10" t="s">
        <v>3936</v>
      </c>
      <c r="B562" s="10" t="s">
        <v>1469</v>
      </c>
      <c r="C562" s="52" t="s">
        <v>868</v>
      </c>
      <c r="D562" s="13" t="s">
        <v>1240</v>
      </c>
      <c r="E562" s="43" t="s">
        <v>278</v>
      </c>
      <c r="F562" s="17" t="s">
        <v>3941</v>
      </c>
      <c r="G562" s="17"/>
      <c r="H562" s="17" t="s">
        <v>35</v>
      </c>
      <c r="I562" s="6" t="s">
        <v>35</v>
      </c>
      <c r="J562" s="17" t="s">
        <v>36</v>
      </c>
      <c r="K562" s="17" t="s">
        <v>3941</v>
      </c>
      <c r="L562" s="18" t="str">
        <f t="shared" si="8"/>
        <v>0561</v>
      </c>
      <c r="M562" s="18" t="s">
        <v>38</v>
      </c>
      <c r="N562" s="61" t="s">
        <v>2381</v>
      </c>
      <c r="O562" s="20" t="s">
        <v>493</v>
      </c>
    </row>
    <row r="563" spans="1:15" ht="15.75" customHeight="1">
      <c r="A563" s="10" t="s">
        <v>3942</v>
      </c>
      <c r="B563" s="10" t="s">
        <v>1469</v>
      </c>
      <c r="C563" s="61" t="s">
        <v>28</v>
      </c>
      <c r="D563" s="13" t="s">
        <v>184</v>
      </c>
      <c r="E563" s="6" t="s">
        <v>2677</v>
      </c>
      <c r="F563" s="17" t="s">
        <v>3947</v>
      </c>
      <c r="G563" s="17"/>
      <c r="H563" s="17" t="s">
        <v>35</v>
      </c>
      <c r="I563" s="6" t="s">
        <v>35</v>
      </c>
      <c r="J563" s="17" t="s">
        <v>36</v>
      </c>
      <c r="K563" s="17" t="s">
        <v>3947</v>
      </c>
      <c r="L563" s="18" t="str">
        <f t="shared" si="8"/>
        <v>0562</v>
      </c>
      <c r="M563" s="18" t="s">
        <v>100</v>
      </c>
      <c r="N563" s="19" t="s">
        <v>147</v>
      </c>
      <c r="O563" s="20" t="s">
        <v>385</v>
      </c>
    </row>
    <row r="564" spans="1:15" ht="15.75" customHeight="1">
      <c r="A564" s="10" t="s">
        <v>3948</v>
      </c>
      <c r="B564" s="10" t="s">
        <v>1469</v>
      </c>
      <c r="C564" s="52" t="s">
        <v>868</v>
      </c>
      <c r="D564" s="13" t="s">
        <v>248</v>
      </c>
      <c r="E564" s="6" t="s">
        <v>249</v>
      </c>
      <c r="F564" s="10" t="s">
        <v>3953</v>
      </c>
      <c r="G564" s="17"/>
      <c r="H564" s="17" t="s">
        <v>303</v>
      </c>
      <c r="I564" s="32" t="s">
        <v>304</v>
      </c>
      <c r="J564" s="17" t="s">
        <v>3952</v>
      </c>
      <c r="K564" s="10" t="s">
        <v>3953</v>
      </c>
      <c r="L564" s="18" t="str">
        <f t="shared" si="8"/>
        <v>0563</v>
      </c>
      <c r="M564" s="18" t="s">
        <v>38</v>
      </c>
      <c r="N564" s="61" t="s">
        <v>2381</v>
      </c>
      <c r="O564" s="20" t="s">
        <v>493</v>
      </c>
    </row>
    <row r="565" spans="1:15" ht="15.75" customHeight="1">
      <c r="A565" s="10" t="s">
        <v>3954</v>
      </c>
      <c r="B565" s="10" t="s">
        <v>1469</v>
      </c>
      <c r="C565" s="52" t="s">
        <v>868</v>
      </c>
      <c r="D565" s="13" t="s">
        <v>199</v>
      </c>
      <c r="E565" s="6" t="s">
        <v>199</v>
      </c>
      <c r="F565" s="17" t="s">
        <v>3961</v>
      </c>
      <c r="G565" s="17"/>
      <c r="H565" s="17" t="s">
        <v>205</v>
      </c>
      <c r="I565" s="6" t="s">
        <v>3959</v>
      </c>
      <c r="J565" s="17" t="s">
        <v>3960</v>
      </c>
      <c r="K565" s="17" t="s">
        <v>3961</v>
      </c>
      <c r="L565" s="18" t="str">
        <f t="shared" si="8"/>
        <v>0564</v>
      </c>
      <c r="M565" s="18" t="s">
        <v>38</v>
      </c>
      <c r="N565" s="61" t="s">
        <v>2381</v>
      </c>
      <c r="O565" s="20" t="s">
        <v>493</v>
      </c>
    </row>
    <row r="566" spans="1:15" ht="15.75" customHeight="1">
      <c r="A566" s="10" t="s">
        <v>3962</v>
      </c>
      <c r="B566" s="10" t="s">
        <v>1469</v>
      </c>
      <c r="C566" s="52" t="s">
        <v>868</v>
      </c>
      <c r="D566" s="13" t="s">
        <v>151</v>
      </c>
      <c r="E566" s="6" t="s">
        <v>963</v>
      </c>
      <c r="F566" s="17" t="s">
        <v>3969</v>
      </c>
      <c r="G566" s="17"/>
      <c r="H566" s="17" t="s">
        <v>205</v>
      </c>
      <c r="I566" s="6" t="s">
        <v>3967</v>
      </c>
      <c r="J566" s="17" t="s">
        <v>3968</v>
      </c>
      <c r="K566" s="17" t="s">
        <v>3969</v>
      </c>
      <c r="L566" s="18" t="str">
        <f t="shared" si="8"/>
        <v>0565</v>
      </c>
      <c r="M566" s="18" t="s">
        <v>38</v>
      </c>
      <c r="N566" s="61" t="s">
        <v>2381</v>
      </c>
      <c r="O566" s="20" t="s">
        <v>493</v>
      </c>
    </row>
    <row r="567" spans="1:15" ht="15.75" customHeight="1">
      <c r="A567" s="10" t="s">
        <v>3970</v>
      </c>
      <c r="B567" s="10" t="s">
        <v>1469</v>
      </c>
      <c r="C567" s="52" t="s">
        <v>868</v>
      </c>
      <c r="D567" s="13" t="s">
        <v>162</v>
      </c>
      <c r="E567" s="6" t="s">
        <v>285</v>
      </c>
      <c r="F567" s="17" t="s">
        <v>3976</v>
      </c>
      <c r="G567" s="17"/>
      <c r="H567" s="17" t="s">
        <v>168</v>
      </c>
      <c r="I567" s="6" t="s">
        <v>169</v>
      </c>
      <c r="J567" s="46" t="s">
        <v>3975</v>
      </c>
      <c r="K567" s="17" t="s">
        <v>3976</v>
      </c>
      <c r="L567" s="18" t="str">
        <f t="shared" si="8"/>
        <v>0566</v>
      </c>
      <c r="M567" s="18" t="s">
        <v>38</v>
      </c>
      <c r="N567" s="61" t="s">
        <v>2381</v>
      </c>
      <c r="O567" s="20" t="s">
        <v>493</v>
      </c>
    </row>
    <row r="568" spans="1:15" ht="15.75" customHeight="1">
      <c r="A568" s="10" t="s">
        <v>3977</v>
      </c>
      <c r="B568" s="10" t="s">
        <v>1469</v>
      </c>
      <c r="C568" s="52" t="s">
        <v>868</v>
      </c>
      <c r="D568" s="13" t="s">
        <v>93</v>
      </c>
      <c r="E568" s="6" t="s">
        <v>3978</v>
      </c>
      <c r="F568" s="17" t="s">
        <v>3983</v>
      </c>
      <c r="G568" s="17"/>
      <c r="H568" s="17" t="s">
        <v>35</v>
      </c>
      <c r="I568" s="6" t="s">
        <v>35</v>
      </c>
      <c r="J568" s="17" t="s">
        <v>36</v>
      </c>
      <c r="K568" s="17" t="s">
        <v>3983</v>
      </c>
      <c r="L568" s="18" t="str">
        <f t="shared" si="8"/>
        <v>0567</v>
      </c>
      <c r="M568" s="18" t="s">
        <v>38</v>
      </c>
      <c r="N568" s="19" t="s">
        <v>2328</v>
      </c>
      <c r="O568" s="22" t="s">
        <v>3984</v>
      </c>
    </row>
    <row r="569" spans="1:15" ht="15.75" customHeight="1">
      <c r="A569" s="10" t="s">
        <v>3985</v>
      </c>
      <c r="B569" s="10" t="s">
        <v>1469</v>
      </c>
      <c r="C569" s="52" t="s">
        <v>868</v>
      </c>
      <c r="D569" s="13" t="s">
        <v>116</v>
      </c>
      <c r="E569" s="6" t="s">
        <v>117</v>
      </c>
      <c r="F569" s="17" t="s">
        <v>3990</v>
      </c>
      <c r="G569" s="17"/>
      <c r="H569" s="17" t="s">
        <v>35</v>
      </c>
      <c r="I569" s="6" t="s">
        <v>35</v>
      </c>
      <c r="J569" s="17" t="s">
        <v>36</v>
      </c>
      <c r="K569" s="17" t="s">
        <v>3990</v>
      </c>
      <c r="L569" s="18" t="str">
        <f t="shared" si="8"/>
        <v>0568</v>
      </c>
      <c r="M569" s="18" t="s">
        <v>38</v>
      </c>
      <c r="N569" s="19" t="s">
        <v>2328</v>
      </c>
      <c r="O569" s="22" t="s">
        <v>3984</v>
      </c>
    </row>
    <row r="570" spans="1:15" ht="15.75" customHeight="1">
      <c r="A570" s="10" t="s">
        <v>3991</v>
      </c>
      <c r="B570" s="10" t="s">
        <v>1469</v>
      </c>
      <c r="C570" s="52" t="s">
        <v>868</v>
      </c>
      <c r="D570" s="13" t="s">
        <v>93</v>
      </c>
      <c r="E570" s="6" t="s">
        <v>3992</v>
      </c>
      <c r="F570" s="17" t="s">
        <v>3997</v>
      </c>
      <c r="G570" s="17"/>
      <c r="H570" s="17" t="s">
        <v>35</v>
      </c>
      <c r="I570" s="6" t="s">
        <v>35</v>
      </c>
      <c r="J570" s="17" t="s">
        <v>36</v>
      </c>
      <c r="K570" s="17" t="s">
        <v>3997</v>
      </c>
      <c r="L570" s="18" t="str">
        <f t="shared" si="8"/>
        <v>0569</v>
      </c>
      <c r="M570" s="18" t="s">
        <v>38</v>
      </c>
      <c r="N570" s="19" t="s">
        <v>2328</v>
      </c>
      <c r="O570" s="22" t="s">
        <v>3984</v>
      </c>
    </row>
    <row r="571" spans="1:15" ht="15.75" customHeight="1">
      <c r="A571" s="10" t="s">
        <v>3998</v>
      </c>
      <c r="B571" s="10" t="s">
        <v>1469</v>
      </c>
      <c r="C571" s="52" t="s">
        <v>868</v>
      </c>
      <c r="D571" s="13" t="s">
        <v>71</v>
      </c>
      <c r="E571" s="6" t="s">
        <v>3999</v>
      </c>
      <c r="F571" s="17" t="s">
        <v>4004</v>
      </c>
      <c r="G571" s="17"/>
      <c r="H571" s="17" t="s">
        <v>35</v>
      </c>
      <c r="I571" s="6" t="s">
        <v>35</v>
      </c>
      <c r="J571" s="17" t="s">
        <v>36</v>
      </c>
      <c r="K571" s="17" t="s">
        <v>4004</v>
      </c>
      <c r="L571" s="18" t="str">
        <f t="shared" si="8"/>
        <v>0570</v>
      </c>
      <c r="M571" s="18" t="s">
        <v>38</v>
      </c>
      <c r="N571" s="19" t="s">
        <v>2328</v>
      </c>
      <c r="O571" s="22" t="s">
        <v>3984</v>
      </c>
    </row>
    <row r="572" spans="1:15" ht="15.75" customHeight="1">
      <c r="A572" s="10" t="s">
        <v>4005</v>
      </c>
      <c r="B572" s="10" t="s">
        <v>1469</v>
      </c>
      <c r="C572" s="52" t="s">
        <v>868</v>
      </c>
      <c r="D572" s="13" t="s">
        <v>43</v>
      </c>
      <c r="E572" s="6" t="s">
        <v>1850</v>
      </c>
      <c r="F572" s="10" t="s">
        <v>4010</v>
      </c>
      <c r="G572" s="17"/>
      <c r="H572" s="17" t="s">
        <v>1913</v>
      </c>
      <c r="I572" s="6" t="s">
        <v>1914</v>
      </c>
      <c r="J572" s="17" t="s">
        <v>36</v>
      </c>
      <c r="K572" s="10" t="s">
        <v>4010</v>
      </c>
      <c r="L572" s="18" t="str">
        <f t="shared" si="8"/>
        <v>0571</v>
      </c>
      <c r="M572" s="18" t="s">
        <v>38</v>
      </c>
      <c r="N572" s="19" t="s">
        <v>2328</v>
      </c>
      <c r="O572" s="22" t="s">
        <v>3984</v>
      </c>
    </row>
    <row r="573" spans="1:15" ht="15.75" customHeight="1">
      <c r="A573" s="10" t="s">
        <v>4011</v>
      </c>
      <c r="B573" s="10" t="s">
        <v>1469</v>
      </c>
      <c r="C573" s="52" t="s">
        <v>868</v>
      </c>
      <c r="D573" s="13" t="s">
        <v>162</v>
      </c>
      <c r="E573" s="6" t="s">
        <v>285</v>
      </c>
      <c r="F573" s="17" t="s">
        <v>4017</v>
      </c>
      <c r="G573" s="17"/>
      <c r="H573" s="17" t="s">
        <v>168</v>
      </c>
      <c r="I573" s="6" t="s">
        <v>169</v>
      </c>
      <c r="J573" s="17" t="s">
        <v>4016</v>
      </c>
      <c r="K573" s="17" t="s">
        <v>4017</v>
      </c>
      <c r="L573" s="18" t="str">
        <f t="shared" si="8"/>
        <v>0572</v>
      </c>
      <c r="M573" s="18" t="s">
        <v>38</v>
      </c>
      <c r="N573" s="19" t="s">
        <v>868</v>
      </c>
      <c r="O573" s="20" t="s">
        <v>1665</v>
      </c>
    </row>
    <row r="574" spans="1:15" ht="15.75" customHeight="1">
      <c r="A574" s="10" t="s">
        <v>4018</v>
      </c>
      <c r="B574" s="10" t="s">
        <v>1469</v>
      </c>
      <c r="C574" s="52" t="s">
        <v>868</v>
      </c>
      <c r="D574" s="13" t="s">
        <v>248</v>
      </c>
      <c r="E574" s="6" t="s">
        <v>249</v>
      </c>
      <c r="F574" s="17" t="s">
        <v>4024</v>
      </c>
      <c r="G574" s="17"/>
      <c r="H574" s="17" t="s">
        <v>978</v>
      </c>
      <c r="I574" s="6" t="s">
        <v>979</v>
      </c>
      <c r="J574" s="17" t="s">
        <v>4023</v>
      </c>
      <c r="K574" s="17" t="s">
        <v>4024</v>
      </c>
      <c r="L574" s="18" t="str">
        <f t="shared" si="8"/>
        <v>0573</v>
      </c>
      <c r="M574" s="18" t="s">
        <v>38</v>
      </c>
      <c r="N574" s="19" t="s">
        <v>2328</v>
      </c>
      <c r="O574" s="22" t="s">
        <v>3984</v>
      </c>
    </row>
    <row r="575" spans="1:15" ht="15.75" customHeight="1">
      <c r="A575" s="10" t="s">
        <v>4025</v>
      </c>
      <c r="B575" s="10" t="s">
        <v>1469</v>
      </c>
      <c r="C575" s="52" t="s">
        <v>868</v>
      </c>
      <c r="D575" s="13" t="s">
        <v>1240</v>
      </c>
      <c r="E575" s="43" t="s">
        <v>278</v>
      </c>
      <c r="F575" s="17" t="s">
        <v>4030</v>
      </c>
      <c r="G575" s="17"/>
      <c r="H575" s="17" t="s">
        <v>35</v>
      </c>
      <c r="I575" s="6" t="s">
        <v>35</v>
      </c>
      <c r="J575" s="17" t="s">
        <v>36</v>
      </c>
      <c r="K575" s="17" t="s">
        <v>4030</v>
      </c>
      <c r="L575" s="18" t="str">
        <f t="shared" si="8"/>
        <v>0574</v>
      </c>
      <c r="M575" s="18" t="s">
        <v>38</v>
      </c>
      <c r="N575" s="19" t="s">
        <v>2328</v>
      </c>
      <c r="O575" s="22" t="s">
        <v>3984</v>
      </c>
    </row>
    <row r="576" spans="1:15" ht="15.75" customHeight="1">
      <c r="A576" s="10" t="s">
        <v>4031</v>
      </c>
      <c r="B576" s="10" t="s">
        <v>1469</v>
      </c>
      <c r="C576" s="52" t="s">
        <v>868</v>
      </c>
      <c r="D576" s="13" t="s">
        <v>321</v>
      </c>
      <c r="E576" s="6" t="s">
        <v>321</v>
      </c>
      <c r="F576" s="10" t="s">
        <v>4037</v>
      </c>
      <c r="G576" s="17"/>
      <c r="H576" s="17" t="s">
        <v>4035</v>
      </c>
      <c r="I576" s="6" t="s">
        <v>4036</v>
      </c>
      <c r="J576" s="6" t="s">
        <v>36</v>
      </c>
      <c r="K576" s="10" t="s">
        <v>4037</v>
      </c>
      <c r="L576" s="18" t="str">
        <f t="shared" si="8"/>
        <v>0575</v>
      </c>
      <c r="M576" s="18" t="s">
        <v>517</v>
      </c>
      <c r="N576" s="19" t="s">
        <v>2328</v>
      </c>
      <c r="O576" s="22" t="s">
        <v>3984</v>
      </c>
    </row>
    <row r="577" spans="1:15" ht="15.75" customHeight="1">
      <c r="A577" s="10" t="s">
        <v>4038</v>
      </c>
      <c r="B577" s="10" t="s">
        <v>1469</v>
      </c>
      <c r="C577" s="52" t="s">
        <v>868</v>
      </c>
      <c r="D577" s="13" t="s">
        <v>378</v>
      </c>
      <c r="E577" s="43" t="s">
        <v>379</v>
      </c>
      <c r="F577" s="17" t="s">
        <v>4043</v>
      </c>
      <c r="G577" s="17"/>
      <c r="H577" s="17" t="s">
        <v>35</v>
      </c>
      <c r="I577" s="6" t="s">
        <v>35</v>
      </c>
      <c r="J577" s="17" t="s">
        <v>36</v>
      </c>
      <c r="K577" s="17" t="s">
        <v>4043</v>
      </c>
      <c r="L577" s="18" t="str">
        <f t="shared" si="8"/>
        <v>0576</v>
      </c>
      <c r="M577" s="18" t="s">
        <v>38</v>
      </c>
      <c r="N577" s="19" t="s">
        <v>2328</v>
      </c>
      <c r="O577" s="22" t="s">
        <v>3984</v>
      </c>
    </row>
    <row r="578" spans="1:15" ht="15.75" customHeight="1">
      <c r="A578" s="10" t="s">
        <v>4044</v>
      </c>
      <c r="B578" s="10" t="s">
        <v>1469</v>
      </c>
      <c r="C578" s="52" t="s">
        <v>868</v>
      </c>
      <c r="D578" s="13" t="s">
        <v>199</v>
      </c>
      <c r="E578" s="6" t="s">
        <v>677</v>
      </c>
      <c r="F578" s="17" t="s">
        <v>4050</v>
      </c>
      <c r="G578" s="17"/>
      <c r="H578" s="17" t="s">
        <v>682</v>
      </c>
      <c r="I578" s="6" t="s">
        <v>2497</v>
      </c>
      <c r="J578" s="46" t="s">
        <v>4049</v>
      </c>
      <c r="K578" s="17" t="s">
        <v>4050</v>
      </c>
      <c r="L578" s="18" t="str">
        <f t="shared" ref="L578:L641" si="9">A578</f>
        <v>0577</v>
      </c>
      <c r="M578" s="18" t="s">
        <v>38</v>
      </c>
      <c r="N578" s="19" t="s">
        <v>2328</v>
      </c>
      <c r="O578" s="32" t="s">
        <v>3984</v>
      </c>
    </row>
    <row r="579" spans="1:15" ht="15.75" customHeight="1">
      <c r="A579" s="10" t="s">
        <v>4051</v>
      </c>
      <c r="B579" s="10" t="s">
        <v>1469</v>
      </c>
      <c r="C579" s="52" t="s">
        <v>868</v>
      </c>
      <c r="D579" s="13" t="s">
        <v>71</v>
      </c>
      <c r="E579" s="6" t="s">
        <v>4052</v>
      </c>
      <c r="F579" s="17" t="s">
        <v>4056</v>
      </c>
      <c r="G579" s="17"/>
      <c r="H579" s="17" t="s">
        <v>35</v>
      </c>
      <c r="I579" s="6" t="s">
        <v>35</v>
      </c>
      <c r="J579" s="17" t="s">
        <v>36</v>
      </c>
      <c r="K579" s="17" t="s">
        <v>4056</v>
      </c>
      <c r="L579" s="18" t="str">
        <f t="shared" si="9"/>
        <v>0578</v>
      </c>
      <c r="M579" s="18" t="s">
        <v>38</v>
      </c>
      <c r="N579" s="19" t="s">
        <v>2328</v>
      </c>
      <c r="O579" s="22" t="s">
        <v>4057</v>
      </c>
    </row>
    <row r="580" spans="1:15" ht="15.75" customHeight="1">
      <c r="A580" s="10" t="s">
        <v>4058</v>
      </c>
      <c r="B580" s="10" t="s">
        <v>1469</v>
      </c>
      <c r="C580" s="52" t="s">
        <v>868</v>
      </c>
      <c r="D580" s="13" t="s">
        <v>116</v>
      </c>
      <c r="E580" s="6" t="s">
        <v>117</v>
      </c>
      <c r="F580" s="17" t="s">
        <v>4063</v>
      </c>
      <c r="G580" s="17"/>
      <c r="H580" s="17" t="s">
        <v>35</v>
      </c>
      <c r="I580" s="6" t="s">
        <v>35</v>
      </c>
      <c r="J580" s="17" t="s">
        <v>36</v>
      </c>
      <c r="K580" s="17" t="s">
        <v>4063</v>
      </c>
      <c r="L580" s="18" t="str">
        <f t="shared" si="9"/>
        <v>0579</v>
      </c>
      <c r="M580" s="18" t="s">
        <v>38</v>
      </c>
      <c r="N580" s="19" t="s">
        <v>2328</v>
      </c>
      <c r="O580" s="22" t="s">
        <v>4057</v>
      </c>
    </row>
    <row r="581" spans="1:15" ht="15.75" customHeight="1">
      <c r="A581" s="10" t="s">
        <v>4064</v>
      </c>
      <c r="B581" s="10" t="s">
        <v>1469</v>
      </c>
      <c r="C581" s="52" t="s">
        <v>868</v>
      </c>
      <c r="D581" s="13" t="s">
        <v>93</v>
      </c>
      <c r="E581" s="43" t="s">
        <v>4065</v>
      </c>
      <c r="F581" s="17" t="s">
        <v>4070</v>
      </c>
      <c r="G581" s="17"/>
      <c r="H581" s="17" t="s">
        <v>35</v>
      </c>
      <c r="I581" s="6" t="s">
        <v>35</v>
      </c>
      <c r="J581" s="17" t="s">
        <v>36</v>
      </c>
      <c r="K581" s="17" t="s">
        <v>4070</v>
      </c>
      <c r="L581" s="18" t="str">
        <f t="shared" si="9"/>
        <v>0580</v>
      </c>
      <c r="M581" s="18" t="s">
        <v>38</v>
      </c>
      <c r="N581" s="19" t="s">
        <v>2328</v>
      </c>
      <c r="O581" s="22" t="s">
        <v>4057</v>
      </c>
    </row>
    <row r="582" spans="1:15" ht="15.75" customHeight="1">
      <c r="A582" s="10" t="s">
        <v>4071</v>
      </c>
      <c r="B582" s="10" t="s">
        <v>1469</v>
      </c>
      <c r="C582" s="52" t="s">
        <v>868</v>
      </c>
      <c r="D582" s="13" t="s">
        <v>378</v>
      </c>
      <c r="E582" s="43" t="s">
        <v>878</v>
      </c>
      <c r="F582" s="17" t="s">
        <v>4076</v>
      </c>
      <c r="G582" s="17"/>
      <c r="H582" s="17" t="s">
        <v>35</v>
      </c>
      <c r="I582" s="6" t="s">
        <v>35</v>
      </c>
      <c r="J582" s="17" t="s">
        <v>36</v>
      </c>
      <c r="K582" s="17" t="s">
        <v>4076</v>
      </c>
      <c r="L582" s="18" t="str">
        <f t="shared" si="9"/>
        <v>0581</v>
      </c>
      <c r="M582" s="18" t="s">
        <v>38</v>
      </c>
      <c r="N582" s="19" t="s">
        <v>2328</v>
      </c>
      <c r="O582" s="22" t="s">
        <v>4057</v>
      </c>
    </row>
    <row r="583" spans="1:15" ht="15.75" customHeight="1">
      <c r="A583" s="10" t="s">
        <v>4077</v>
      </c>
      <c r="B583" s="10" t="s">
        <v>1469</v>
      </c>
      <c r="C583" s="52" t="s">
        <v>868</v>
      </c>
      <c r="D583" s="13" t="s">
        <v>93</v>
      </c>
      <c r="E583" s="6" t="s">
        <v>869</v>
      </c>
      <c r="F583" s="17" t="s">
        <v>4082</v>
      </c>
      <c r="G583" s="17"/>
      <c r="H583" s="17" t="s">
        <v>35</v>
      </c>
      <c r="I583" s="6" t="s">
        <v>35</v>
      </c>
      <c r="J583" s="17" t="s">
        <v>36</v>
      </c>
      <c r="K583" s="17" t="s">
        <v>4082</v>
      </c>
      <c r="L583" s="18" t="str">
        <f t="shared" si="9"/>
        <v>0582</v>
      </c>
      <c r="M583" s="18" t="s">
        <v>38</v>
      </c>
      <c r="N583" s="19" t="s">
        <v>2328</v>
      </c>
      <c r="O583" s="22" t="s">
        <v>4057</v>
      </c>
    </row>
    <row r="584" spans="1:15" ht="15.75" customHeight="1">
      <c r="A584" s="10" t="s">
        <v>4083</v>
      </c>
      <c r="B584" s="10" t="s">
        <v>1469</v>
      </c>
      <c r="C584" s="52" t="s">
        <v>868</v>
      </c>
      <c r="D584" s="13" t="s">
        <v>378</v>
      </c>
      <c r="E584" s="6" t="s">
        <v>379</v>
      </c>
      <c r="F584" s="17" t="s">
        <v>4088</v>
      </c>
      <c r="G584" s="17"/>
      <c r="H584" s="17" t="s">
        <v>35</v>
      </c>
      <c r="I584" s="6" t="s">
        <v>35</v>
      </c>
      <c r="J584" s="17" t="s">
        <v>36</v>
      </c>
      <c r="K584" s="17" t="s">
        <v>4088</v>
      </c>
      <c r="L584" s="18" t="str">
        <f t="shared" si="9"/>
        <v>0583</v>
      </c>
      <c r="M584" s="18" t="s">
        <v>38</v>
      </c>
      <c r="N584" s="19" t="s">
        <v>2328</v>
      </c>
      <c r="O584" s="22" t="s">
        <v>4057</v>
      </c>
    </row>
    <row r="585" spans="1:15" ht="15.75" customHeight="1">
      <c r="A585" s="10" t="s">
        <v>4089</v>
      </c>
      <c r="B585" s="10" t="s">
        <v>1469</v>
      </c>
      <c r="C585" s="61" t="s">
        <v>28</v>
      </c>
      <c r="D585" s="13" t="s">
        <v>151</v>
      </c>
      <c r="E585" s="6" t="s">
        <v>152</v>
      </c>
      <c r="F585" s="17" t="s">
        <v>4094</v>
      </c>
      <c r="G585" s="17"/>
      <c r="H585" s="17" t="s">
        <v>1220</v>
      </c>
      <c r="I585" s="6" t="s">
        <v>720</v>
      </c>
      <c r="J585" s="17" t="s">
        <v>36</v>
      </c>
      <c r="K585" s="17" t="s">
        <v>4094</v>
      </c>
      <c r="L585" s="18" t="str">
        <f t="shared" si="9"/>
        <v>0584</v>
      </c>
      <c r="M585" s="18" t="s">
        <v>1304</v>
      </c>
      <c r="N585" s="19" t="s">
        <v>147</v>
      </c>
      <c r="O585" s="20" t="s">
        <v>385</v>
      </c>
    </row>
    <row r="586" spans="1:15" ht="15.75" customHeight="1">
      <c r="A586" s="10" t="s">
        <v>4095</v>
      </c>
      <c r="B586" s="10" t="s">
        <v>1469</v>
      </c>
      <c r="C586" s="52" t="s">
        <v>868</v>
      </c>
      <c r="D586" s="13" t="s">
        <v>248</v>
      </c>
      <c r="E586" s="43" t="s">
        <v>248</v>
      </c>
      <c r="F586" s="17" t="s">
        <v>4101</v>
      </c>
      <c r="G586" s="17"/>
      <c r="H586" s="17" t="s">
        <v>978</v>
      </c>
      <c r="I586" s="6" t="s">
        <v>979</v>
      </c>
      <c r="J586" s="17" t="s">
        <v>4100</v>
      </c>
      <c r="K586" s="17" t="s">
        <v>4101</v>
      </c>
      <c r="L586" s="18" t="str">
        <f t="shared" si="9"/>
        <v>0585</v>
      </c>
      <c r="M586" s="18" t="s">
        <v>38</v>
      </c>
      <c r="N586" s="19" t="s">
        <v>2328</v>
      </c>
      <c r="O586" s="22" t="s">
        <v>4057</v>
      </c>
    </row>
    <row r="587" spans="1:15" ht="15.75" customHeight="1">
      <c r="A587" s="10" t="s">
        <v>4102</v>
      </c>
      <c r="B587" s="10" t="s">
        <v>1469</v>
      </c>
      <c r="C587" s="52" t="s">
        <v>868</v>
      </c>
      <c r="D587" s="13" t="s">
        <v>199</v>
      </c>
      <c r="E587" s="6" t="s">
        <v>199</v>
      </c>
      <c r="F587" s="10" t="s">
        <v>85</v>
      </c>
      <c r="G587" s="17"/>
      <c r="H587" s="17" t="s">
        <v>273</v>
      </c>
      <c r="I587" s="6" t="s">
        <v>274</v>
      </c>
      <c r="J587" s="6">
        <v>11392903012347</v>
      </c>
      <c r="K587" s="10" t="s">
        <v>85</v>
      </c>
      <c r="L587" s="18" t="str">
        <f t="shared" si="9"/>
        <v>0586</v>
      </c>
      <c r="M587" s="18" t="s">
        <v>38</v>
      </c>
      <c r="N587" s="19" t="s">
        <v>2328</v>
      </c>
      <c r="O587" s="22" t="s">
        <v>4057</v>
      </c>
    </row>
    <row r="588" spans="1:15" ht="15.75" customHeight="1">
      <c r="A588" s="10" t="s">
        <v>4106</v>
      </c>
      <c r="B588" s="10" t="s">
        <v>1469</v>
      </c>
      <c r="C588" s="52" t="s">
        <v>868</v>
      </c>
      <c r="D588" s="13" t="s">
        <v>1240</v>
      </c>
      <c r="E588" s="43" t="s">
        <v>278</v>
      </c>
      <c r="F588" s="17" t="s">
        <v>4111</v>
      </c>
      <c r="G588" s="17"/>
      <c r="H588" s="17" t="s">
        <v>35</v>
      </c>
      <c r="I588" s="6" t="s">
        <v>35</v>
      </c>
      <c r="J588" s="17" t="s">
        <v>36</v>
      </c>
      <c r="K588" s="17" t="s">
        <v>4111</v>
      </c>
      <c r="L588" s="18" t="str">
        <f t="shared" si="9"/>
        <v>0587</v>
      </c>
      <c r="M588" s="18" t="s">
        <v>38</v>
      </c>
      <c r="N588" s="19" t="s">
        <v>2328</v>
      </c>
      <c r="O588" s="22" t="s">
        <v>4057</v>
      </c>
    </row>
    <row r="589" spans="1:15" ht="15.75" customHeight="1">
      <c r="A589" s="10" t="s">
        <v>4112</v>
      </c>
      <c r="B589" s="10" t="s">
        <v>1469</v>
      </c>
      <c r="C589" s="52" t="s">
        <v>868</v>
      </c>
      <c r="D589" s="13" t="s">
        <v>151</v>
      </c>
      <c r="E589" s="6" t="s">
        <v>4113</v>
      </c>
      <c r="F589" s="32" t="s">
        <v>85</v>
      </c>
      <c r="G589" s="17"/>
      <c r="H589" s="17" t="s">
        <v>297</v>
      </c>
      <c r="I589" s="6" t="s">
        <v>298</v>
      </c>
      <c r="J589" s="6" t="s">
        <v>4117</v>
      </c>
      <c r="K589" s="32" t="s">
        <v>85</v>
      </c>
      <c r="L589" s="18" t="str">
        <f t="shared" si="9"/>
        <v>0588</v>
      </c>
      <c r="M589" s="18" t="s">
        <v>38</v>
      </c>
      <c r="N589" s="19" t="s">
        <v>2328</v>
      </c>
      <c r="O589" s="32" t="s">
        <v>4057</v>
      </c>
    </row>
    <row r="590" spans="1:15" ht="15.75" customHeight="1">
      <c r="A590" s="10" t="s">
        <v>4118</v>
      </c>
      <c r="B590" s="10" t="s">
        <v>1469</v>
      </c>
      <c r="C590" s="52" t="s">
        <v>868</v>
      </c>
      <c r="D590" s="13" t="s">
        <v>93</v>
      </c>
      <c r="E590" s="6" t="s">
        <v>4119</v>
      </c>
      <c r="F590" s="17" t="s">
        <v>4124</v>
      </c>
      <c r="G590" s="17"/>
      <c r="H590" s="17" t="s">
        <v>35</v>
      </c>
      <c r="I590" s="6" t="s">
        <v>35</v>
      </c>
      <c r="J590" s="17" t="s">
        <v>36</v>
      </c>
      <c r="K590" s="17" t="s">
        <v>4124</v>
      </c>
      <c r="L590" s="18" t="str">
        <f t="shared" si="9"/>
        <v>0589</v>
      </c>
      <c r="M590" s="18" t="s">
        <v>38</v>
      </c>
      <c r="N590" s="19" t="s">
        <v>2328</v>
      </c>
      <c r="O590" s="20" t="s">
        <v>7302</v>
      </c>
    </row>
    <row r="591" spans="1:15" ht="15.75" customHeight="1">
      <c r="A591" s="10" t="s">
        <v>4126</v>
      </c>
      <c r="B591" s="10" t="s">
        <v>1469</v>
      </c>
      <c r="C591" s="52" t="s">
        <v>868</v>
      </c>
      <c r="D591" s="13" t="s">
        <v>29</v>
      </c>
      <c r="E591" s="6" t="s">
        <v>1166</v>
      </c>
      <c r="F591" s="17" t="s">
        <v>4131</v>
      </c>
      <c r="G591" s="17"/>
      <c r="H591" s="17" t="s">
        <v>35</v>
      </c>
      <c r="I591" s="6" t="s">
        <v>35</v>
      </c>
      <c r="J591" s="17" t="s">
        <v>36</v>
      </c>
      <c r="K591" s="17" t="s">
        <v>4131</v>
      </c>
      <c r="L591" s="18" t="str">
        <f t="shared" si="9"/>
        <v>0590</v>
      </c>
      <c r="M591" s="18" t="s">
        <v>38</v>
      </c>
      <c r="N591" s="19" t="s">
        <v>2328</v>
      </c>
      <c r="O591" s="20" t="s">
        <v>7302</v>
      </c>
    </row>
    <row r="592" spans="1:15" ht="15.75" customHeight="1">
      <c r="A592" s="10" t="s">
        <v>4132</v>
      </c>
      <c r="B592" s="10" t="s">
        <v>1469</v>
      </c>
      <c r="C592" s="52" t="s">
        <v>868</v>
      </c>
      <c r="D592" s="13" t="s">
        <v>93</v>
      </c>
      <c r="E592" s="6" t="s">
        <v>4133</v>
      </c>
      <c r="F592" s="17" t="s">
        <v>4138</v>
      </c>
      <c r="G592" s="17"/>
      <c r="H592" s="17" t="s">
        <v>35</v>
      </c>
      <c r="I592" s="6" t="s">
        <v>35</v>
      </c>
      <c r="J592" s="17" t="s">
        <v>36</v>
      </c>
      <c r="K592" s="17" t="s">
        <v>4138</v>
      </c>
      <c r="L592" s="18" t="str">
        <f t="shared" si="9"/>
        <v>0591</v>
      </c>
      <c r="M592" s="18" t="s">
        <v>38</v>
      </c>
      <c r="N592" s="19" t="s">
        <v>2328</v>
      </c>
      <c r="O592" s="20" t="s">
        <v>7302</v>
      </c>
    </row>
    <row r="593" spans="1:15" ht="15.75" customHeight="1">
      <c r="A593" s="10" t="s">
        <v>4139</v>
      </c>
      <c r="B593" s="10" t="s">
        <v>1469</v>
      </c>
      <c r="C593" s="52" t="s">
        <v>868</v>
      </c>
      <c r="D593" s="13" t="s">
        <v>378</v>
      </c>
      <c r="E593" s="6" t="s">
        <v>379</v>
      </c>
      <c r="F593" s="17" t="s">
        <v>4144</v>
      </c>
      <c r="G593" s="17"/>
      <c r="H593" s="17" t="s">
        <v>35</v>
      </c>
      <c r="I593" s="6" t="s">
        <v>35</v>
      </c>
      <c r="J593" s="17" t="s">
        <v>36</v>
      </c>
      <c r="K593" s="17" t="s">
        <v>4144</v>
      </c>
      <c r="L593" s="18" t="str">
        <f t="shared" si="9"/>
        <v>0592</v>
      </c>
      <c r="M593" s="18" t="s">
        <v>38</v>
      </c>
      <c r="N593" s="19" t="s">
        <v>2328</v>
      </c>
      <c r="O593" s="20" t="s">
        <v>7302</v>
      </c>
    </row>
    <row r="594" spans="1:15" ht="15.75" customHeight="1">
      <c r="A594" s="10" t="s">
        <v>4145</v>
      </c>
      <c r="B594" s="10" t="s">
        <v>1469</v>
      </c>
      <c r="C594" s="52" t="s">
        <v>868</v>
      </c>
      <c r="D594" s="13" t="s">
        <v>248</v>
      </c>
      <c r="E594" s="43" t="s">
        <v>248</v>
      </c>
      <c r="F594" s="17" t="s">
        <v>4151</v>
      </c>
      <c r="G594" s="17"/>
      <c r="H594" s="17" t="s">
        <v>978</v>
      </c>
      <c r="I594" s="6" t="s">
        <v>979</v>
      </c>
      <c r="J594" s="17" t="s">
        <v>4150</v>
      </c>
      <c r="K594" s="17" t="s">
        <v>4151</v>
      </c>
      <c r="L594" s="18" t="str">
        <f t="shared" si="9"/>
        <v>0593</v>
      </c>
      <c r="M594" s="18" t="s">
        <v>38</v>
      </c>
      <c r="N594" s="19" t="s">
        <v>2328</v>
      </c>
      <c r="O594" s="20" t="s">
        <v>7302</v>
      </c>
    </row>
    <row r="595" spans="1:15" ht="15.75" customHeight="1">
      <c r="A595" s="10" t="s">
        <v>4152</v>
      </c>
      <c r="B595" s="10" t="s">
        <v>1469</v>
      </c>
      <c r="C595" s="52" t="s">
        <v>868</v>
      </c>
      <c r="D595" s="13" t="s">
        <v>116</v>
      </c>
      <c r="E595" s="6" t="s">
        <v>4153</v>
      </c>
      <c r="F595" s="17" t="s">
        <v>4158</v>
      </c>
      <c r="G595" s="17"/>
      <c r="H595" s="17" t="s">
        <v>35</v>
      </c>
      <c r="I595" s="6" t="s">
        <v>35</v>
      </c>
      <c r="J595" s="17" t="s">
        <v>36</v>
      </c>
      <c r="K595" s="17" t="s">
        <v>4158</v>
      </c>
      <c r="L595" s="18" t="str">
        <f t="shared" si="9"/>
        <v>0594</v>
      </c>
      <c r="M595" s="18" t="s">
        <v>38</v>
      </c>
      <c r="N595" s="19" t="s">
        <v>2328</v>
      </c>
      <c r="O595" s="20" t="s">
        <v>7302</v>
      </c>
    </row>
    <row r="596" spans="1:15" ht="15.75" customHeight="1">
      <c r="A596" s="10" t="s">
        <v>4159</v>
      </c>
      <c r="B596" s="10" t="s">
        <v>1469</v>
      </c>
      <c r="C596" s="52" t="s">
        <v>868</v>
      </c>
      <c r="D596" s="13" t="s">
        <v>199</v>
      </c>
      <c r="E596" s="6" t="s">
        <v>199</v>
      </c>
      <c r="F596" s="10" t="s">
        <v>85</v>
      </c>
      <c r="G596" s="17"/>
      <c r="H596" s="17" t="s">
        <v>273</v>
      </c>
      <c r="I596" s="6" t="s">
        <v>274</v>
      </c>
      <c r="J596" s="6">
        <v>11392903015788</v>
      </c>
      <c r="K596" s="10" t="s">
        <v>85</v>
      </c>
      <c r="L596" s="18" t="str">
        <f t="shared" si="9"/>
        <v>0595</v>
      </c>
      <c r="M596" s="18" t="s">
        <v>38</v>
      </c>
      <c r="N596" s="19" t="s">
        <v>2328</v>
      </c>
      <c r="O596" s="20" t="s">
        <v>7302</v>
      </c>
    </row>
    <row r="597" spans="1:15" ht="15.75" customHeight="1">
      <c r="A597" s="10" t="s">
        <v>4163</v>
      </c>
      <c r="B597" s="10" t="s">
        <v>1469</v>
      </c>
      <c r="C597" s="52" t="s">
        <v>868</v>
      </c>
      <c r="D597" s="13" t="s">
        <v>151</v>
      </c>
      <c r="E597" s="6" t="s">
        <v>4113</v>
      </c>
      <c r="F597" s="10" t="s">
        <v>85</v>
      </c>
      <c r="G597" s="17"/>
      <c r="H597" s="17" t="s">
        <v>297</v>
      </c>
      <c r="I597" s="6" t="s">
        <v>298</v>
      </c>
      <c r="J597" s="6" t="s">
        <v>4167</v>
      </c>
      <c r="K597" s="10" t="s">
        <v>85</v>
      </c>
      <c r="L597" s="18" t="str">
        <f t="shared" si="9"/>
        <v>0596</v>
      </c>
      <c r="M597" s="18" t="s">
        <v>38</v>
      </c>
      <c r="N597" s="19" t="s">
        <v>2328</v>
      </c>
      <c r="O597" s="20" t="s">
        <v>7302</v>
      </c>
    </row>
    <row r="598" spans="1:15" ht="15.75" customHeight="1">
      <c r="A598" s="10" t="s">
        <v>4168</v>
      </c>
      <c r="B598" s="10" t="s">
        <v>1469</v>
      </c>
      <c r="C598" s="52" t="s">
        <v>868</v>
      </c>
      <c r="D598" s="13" t="s">
        <v>1240</v>
      </c>
      <c r="E598" s="43" t="s">
        <v>278</v>
      </c>
      <c r="F598" s="17" t="s">
        <v>4173</v>
      </c>
      <c r="G598" s="17"/>
      <c r="H598" s="17" t="s">
        <v>35</v>
      </c>
      <c r="I598" s="6" t="s">
        <v>35</v>
      </c>
      <c r="J598" s="46" t="s">
        <v>36</v>
      </c>
      <c r="K598" s="17" t="s">
        <v>4173</v>
      </c>
      <c r="L598" s="18" t="str">
        <f t="shared" si="9"/>
        <v>0597</v>
      </c>
      <c r="M598" s="18" t="s">
        <v>38</v>
      </c>
      <c r="N598" s="19" t="s">
        <v>2328</v>
      </c>
      <c r="O598" s="20" t="s">
        <v>7302</v>
      </c>
    </row>
    <row r="599" spans="1:15" ht="15.75" customHeight="1">
      <c r="A599" s="10" t="s">
        <v>4174</v>
      </c>
      <c r="B599" s="10" t="s">
        <v>1469</v>
      </c>
      <c r="C599" s="52" t="s">
        <v>868</v>
      </c>
      <c r="D599" s="13" t="s">
        <v>378</v>
      </c>
      <c r="E599" s="43" t="s">
        <v>4175</v>
      </c>
      <c r="F599" s="35" t="s">
        <v>7303</v>
      </c>
      <c r="G599" s="17"/>
      <c r="H599" s="17" t="s">
        <v>35</v>
      </c>
      <c r="I599" s="6" t="s">
        <v>35</v>
      </c>
      <c r="J599" s="17" t="s">
        <v>36</v>
      </c>
      <c r="K599" s="35" t="s">
        <v>7303</v>
      </c>
      <c r="L599" s="18" t="str">
        <f t="shared" si="9"/>
        <v>0598</v>
      </c>
      <c r="M599" s="18" t="s">
        <v>38</v>
      </c>
      <c r="N599" s="19" t="s">
        <v>2328</v>
      </c>
      <c r="O599" s="20" t="s">
        <v>3716</v>
      </c>
    </row>
    <row r="600" spans="1:15" ht="15.75" customHeight="1">
      <c r="A600" s="10" t="s">
        <v>4182</v>
      </c>
      <c r="B600" s="10" t="s">
        <v>1469</v>
      </c>
      <c r="C600" s="52" t="s">
        <v>868</v>
      </c>
      <c r="D600" s="13" t="s">
        <v>378</v>
      </c>
      <c r="E600" s="6" t="s">
        <v>4183</v>
      </c>
      <c r="F600" s="17" t="s">
        <v>4188</v>
      </c>
      <c r="G600" s="17"/>
      <c r="H600" s="17" t="s">
        <v>35</v>
      </c>
      <c r="I600" s="6" t="s">
        <v>35</v>
      </c>
      <c r="J600" s="17" t="s">
        <v>36</v>
      </c>
      <c r="K600" s="17" t="s">
        <v>4188</v>
      </c>
      <c r="L600" s="18" t="str">
        <f t="shared" si="9"/>
        <v>0599</v>
      </c>
      <c r="M600" s="18" t="s">
        <v>38</v>
      </c>
      <c r="N600" s="19" t="s">
        <v>868</v>
      </c>
      <c r="O600" s="20" t="s">
        <v>3450</v>
      </c>
    </row>
    <row r="601" spans="1:15" ht="15.75" customHeight="1">
      <c r="A601" s="10" t="s">
        <v>4189</v>
      </c>
      <c r="B601" s="10" t="s">
        <v>1469</v>
      </c>
      <c r="C601" s="52" t="s">
        <v>868</v>
      </c>
      <c r="D601" s="13" t="s">
        <v>93</v>
      </c>
      <c r="E601" s="6" t="s">
        <v>4190</v>
      </c>
      <c r="F601" s="17" t="s">
        <v>4195</v>
      </c>
      <c r="G601" s="17"/>
      <c r="H601" s="17" t="s">
        <v>35</v>
      </c>
      <c r="I601" s="6" t="s">
        <v>35</v>
      </c>
      <c r="J601" s="17" t="s">
        <v>36</v>
      </c>
      <c r="K601" s="17" t="s">
        <v>4195</v>
      </c>
      <c r="L601" s="18" t="str">
        <f t="shared" si="9"/>
        <v>0600</v>
      </c>
      <c r="M601" s="18" t="s">
        <v>38</v>
      </c>
      <c r="N601" s="19" t="s">
        <v>2381</v>
      </c>
      <c r="O601" s="20" t="s">
        <v>4181</v>
      </c>
    </row>
    <row r="602" spans="1:15" ht="15.75" customHeight="1">
      <c r="A602" s="10" t="s">
        <v>4196</v>
      </c>
      <c r="B602" s="10" t="s">
        <v>1469</v>
      </c>
      <c r="C602" s="52" t="s">
        <v>868</v>
      </c>
      <c r="D602" s="13" t="s">
        <v>93</v>
      </c>
      <c r="E602" s="6" t="s">
        <v>869</v>
      </c>
      <c r="F602" s="17" t="s">
        <v>4201</v>
      </c>
      <c r="G602" s="17"/>
      <c r="H602" s="17" t="s">
        <v>35</v>
      </c>
      <c r="I602" s="6" t="s">
        <v>35</v>
      </c>
      <c r="J602" s="17" t="s">
        <v>36</v>
      </c>
      <c r="K602" s="17" t="s">
        <v>4201</v>
      </c>
      <c r="L602" s="18" t="str">
        <f t="shared" si="9"/>
        <v>0601</v>
      </c>
      <c r="M602" s="18" t="s">
        <v>38</v>
      </c>
      <c r="N602" s="19" t="s">
        <v>2328</v>
      </c>
      <c r="O602" s="20" t="s">
        <v>3716</v>
      </c>
    </row>
    <row r="603" spans="1:15" ht="15.75" customHeight="1">
      <c r="A603" s="10" t="s">
        <v>4204</v>
      </c>
      <c r="B603" s="10" t="s">
        <v>1469</v>
      </c>
      <c r="C603" s="52" t="s">
        <v>868</v>
      </c>
      <c r="D603" s="13" t="s">
        <v>199</v>
      </c>
      <c r="E603" s="6" t="s">
        <v>199</v>
      </c>
      <c r="F603" s="35" t="s">
        <v>7304</v>
      </c>
      <c r="G603" s="17"/>
      <c r="H603" s="17" t="s">
        <v>157</v>
      </c>
      <c r="I603" s="32">
        <v>1592</v>
      </c>
      <c r="J603" s="17" t="s">
        <v>4208</v>
      </c>
      <c r="K603" s="35" t="s">
        <v>7304</v>
      </c>
      <c r="L603" s="18" t="str">
        <f t="shared" si="9"/>
        <v>0602</v>
      </c>
      <c r="M603" s="18" t="s">
        <v>3282</v>
      </c>
      <c r="N603" s="19" t="s">
        <v>2381</v>
      </c>
      <c r="O603" s="20" t="s">
        <v>4181</v>
      </c>
    </row>
    <row r="604" spans="1:15" ht="15.75" customHeight="1">
      <c r="A604" s="10" t="s">
        <v>4210</v>
      </c>
      <c r="B604" s="10" t="s">
        <v>1469</v>
      </c>
      <c r="C604" s="52" t="s">
        <v>868</v>
      </c>
      <c r="D604" s="13" t="s">
        <v>353</v>
      </c>
      <c r="E604" s="43" t="s">
        <v>354</v>
      </c>
      <c r="F604" s="17" t="s">
        <v>4215</v>
      </c>
      <c r="G604" s="17"/>
      <c r="H604" s="17" t="s">
        <v>359</v>
      </c>
      <c r="I604" s="6" t="s">
        <v>360</v>
      </c>
      <c r="J604" s="17" t="s">
        <v>36</v>
      </c>
      <c r="K604" s="17" t="s">
        <v>4215</v>
      </c>
      <c r="L604" s="18" t="str">
        <f t="shared" si="9"/>
        <v>0603</v>
      </c>
      <c r="M604" s="18" t="s">
        <v>38</v>
      </c>
      <c r="N604" s="19" t="s">
        <v>2328</v>
      </c>
      <c r="O604" s="6" t="s">
        <v>492</v>
      </c>
    </row>
    <row r="605" spans="1:15" ht="15.75" customHeight="1">
      <c r="A605" s="10" t="s">
        <v>4216</v>
      </c>
      <c r="B605" s="10" t="s">
        <v>1469</v>
      </c>
      <c r="C605" s="61" t="s">
        <v>28</v>
      </c>
      <c r="D605" s="13" t="s">
        <v>151</v>
      </c>
      <c r="E605" s="6" t="s">
        <v>152</v>
      </c>
      <c r="F605" s="17" t="s">
        <v>4222</v>
      </c>
      <c r="G605" s="17"/>
      <c r="H605" s="17" t="s">
        <v>1220</v>
      </c>
      <c r="I605" s="6" t="s">
        <v>720</v>
      </c>
      <c r="J605" s="46" t="s">
        <v>4221</v>
      </c>
      <c r="K605" s="17" t="s">
        <v>4222</v>
      </c>
      <c r="L605" s="18" t="str">
        <f t="shared" si="9"/>
        <v>0604</v>
      </c>
      <c r="M605" s="18" t="s">
        <v>749</v>
      </c>
      <c r="N605" s="19" t="s">
        <v>147</v>
      </c>
      <c r="O605" s="74" t="s">
        <v>492</v>
      </c>
    </row>
    <row r="606" spans="1:15" ht="15.75" customHeight="1">
      <c r="A606" s="10" t="s">
        <v>4223</v>
      </c>
      <c r="B606" s="10" t="s">
        <v>1469</v>
      </c>
      <c r="C606" s="52" t="s">
        <v>868</v>
      </c>
      <c r="D606" s="13" t="s">
        <v>53</v>
      </c>
      <c r="E606" s="6" t="s">
        <v>2362</v>
      </c>
      <c r="F606" s="17" t="s">
        <v>4228</v>
      </c>
      <c r="G606" s="17"/>
      <c r="H606" s="17" t="s">
        <v>35</v>
      </c>
      <c r="I606" s="6" t="s">
        <v>35</v>
      </c>
      <c r="J606" s="17" t="s">
        <v>36</v>
      </c>
      <c r="K606" s="17" t="s">
        <v>4228</v>
      </c>
      <c r="L606" s="18" t="str">
        <f t="shared" si="9"/>
        <v>0605</v>
      </c>
      <c r="M606" s="18" t="s">
        <v>38</v>
      </c>
      <c r="N606" s="19" t="s">
        <v>2328</v>
      </c>
      <c r="O606" s="20" t="s">
        <v>2329</v>
      </c>
    </row>
    <row r="607" spans="1:15" ht="15.75" customHeight="1">
      <c r="A607" s="10" t="s">
        <v>4229</v>
      </c>
      <c r="B607" s="10" t="s">
        <v>1469</v>
      </c>
      <c r="C607" s="52" t="s">
        <v>868</v>
      </c>
      <c r="D607" s="13" t="s">
        <v>93</v>
      </c>
      <c r="E607" s="6" t="s">
        <v>4230</v>
      </c>
      <c r="F607" s="17" t="s">
        <v>4235</v>
      </c>
      <c r="G607" s="17"/>
      <c r="H607" s="17" t="s">
        <v>35</v>
      </c>
      <c r="I607" s="6" t="s">
        <v>35</v>
      </c>
      <c r="J607" s="17" t="s">
        <v>36</v>
      </c>
      <c r="K607" s="17" t="s">
        <v>4235</v>
      </c>
      <c r="L607" s="18" t="str">
        <f t="shared" si="9"/>
        <v>0606</v>
      </c>
      <c r="M607" s="18" t="s">
        <v>38</v>
      </c>
      <c r="N607" s="19" t="s">
        <v>2328</v>
      </c>
      <c r="O607" s="20" t="s">
        <v>2329</v>
      </c>
    </row>
    <row r="608" spans="1:15" ht="15.75" customHeight="1">
      <c r="A608" s="10" t="s">
        <v>4236</v>
      </c>
      <c r="B608" s="10" t="s">
        <v>1469</v>
      </c>
      <c r="C608" s="52" t="s">
        <v>868</v>
      </c>
      <c r="D608" s="13" t="s">
        <v>378</v>
      </c>
      <c r="E608" s="6" t="s">
        <v>1306</v>
      </c>
      <c r="F608" s="17" t="s">
        <v>4241</v>
      </c>
      <c r="G608" s="17"/>
      <c r="H608" s="17" t="s">
        <v>35</v>
      </c>
      <c r="I608" s="6" t="s">
        <v>35</v>
      </c>
      <c r="J608" s="17" t="s">
        <v>36</v>
      </c>
      <c r="K608" s="17" t="s">
        <v>4241</v>
      </c>
      <c r="L608" s="18" t="str">
        <f t="shared" si="9"/>
        <v>0607</v>
      </c>
      <c r="M608" s="18" t="s">
        <v>38</v>
      </c>
      <c r="N608" s="19" t="s">
        <v>2328</v>
      </c>
      <c r="O608" s="20" t="s">
        <v>2329</v>
      </c>
    </row>
    <row r="609" spans="1:15" ht="15.75" customHeight="1">
      <c r="A609" s="10" t="s">
        <v>4242</v>
      </c>
      <c r="B609" s="10" t="s">
        <v>1469</v>
      </c>
      <c r="C609" s="52" t="s">
        <v>868</v>
      </c>
      <c r="D609" s="13" t="s">
        <v>29</v>
      </c>
      <c r="E609" s="6" t="s">
        <v>4243</v>
      </c>
      <c r="F609" s="17" t="s">
        <v>4248</v>
      </c>
      <c r="G609" s="17"/>
      <c r="H609" s="17" t="s">
        <v>35</v>
      </c>
      <c r="I609" s="6" t="s">
        <v>35</v>
      </c>
      <c r="J609" s="17" t="s">
        <v>36</v>
      </c>
      <c r="K609" s="17" t="s">
        <v>4248</v>
      </c>
      <c r="L609" s="18" t="str">
        <f t="shared" si="9"/>
        <v>0608</v>
      </c>
      <c r="M609" s="18" t="s">
        <v>38</v>
      </c>
      <c r="N609" s="19" t="s">
        <v>2328</v>
      </c>
      <c r="O609" s="20" t="s">
        <v>2329</v>
      </c>
    </row>
    <row r="610" spans="1:15" ht="15.75" customHeight="1">
      <c r="A610" s="10" t="s">
        <v>4249</v>
      </c>
      <c r="B610" s="10" t="s">
        <v>1469</v>
      </c>
      <c r="C610" s="52" t="s">
        <v>868</v>
      </c>
      <c r="D610" s="13" t="s">
        <v>62</v>
      </c>
      <c r="E610" s="6" t="s">
        <v>4250</v>
      </c>
      <c r="F610" s="17" t="s">
        <v>4255</v>
      </c>
      <c r="G610" s="17"/>
      <c r="H610" s="17" t="s">
        <v>35</v>
      </c>
      <c r="I610" s="6" t="s">
        <v>35</v>
      </c>
      <c r="J610" s="17" t="s">
        <v>36</v>
      </c>
      <c r="K610" s="17" t="s">
        <v>4255</v>
      </c>
      <c r="L610" s="18" t="str">
        <f t="shared" si="9"/>
        <v>0609</v>
      </c>
      <c r="M610" s="18" t="s">
        <v>38</v>
      </c>
      <c r="N610" s="19" t="s">
        <v>2328</v>
      </c>
      <c r="O610" s="20" t="s">
        <v>2329</v>
      </c>
    </row>
    <row r="611" spans="1:15" ht="15.75" customHeight="1">
      <c r="A611" s="10" t="s">
        <v>4256</v>
      </c>
      <c r="B611" s="10" t="s">
        <v>1469</v>
      </c>
      <c r="C611" s="52" t="s">
        <v>868</v>
      </c>
      <c r="D611" s="13" t="s">
        <v>71</v>
      </c>
      <c r="E611" s="6" t="s">
        <v>4257</v>
      </c>
      <c r="F611" s="17" t="s">
        <v>4262</v>
      </c>
      <c r="G611" s="17"/>
      <c r="H611" s="17" t="s">
        <v>35</v>
      </c>
      <c r="I611" s="6" t="s">
        <v>35</v>
      </c>
      <c r="J611" s="17" t="s">
        <v>36</v>
      </c>
      <c r="K611" s="17" t="s">
        <v>4262</v>
      </c>
      <c r="L611" s="18" t="str">
        <f t="shared" si="9"/>
        <v>0610</v>
      </c>
      <c r="M611" s="18" t="s">
        <v>38</v>
      </c>
      <c r="N611" s="19" t="s">
        <v>2328</v>
      </c>
      <c r="O611" s="20" t="s">
        <v>2329</v>
      </c>
    </row>
    <row r="612" spans="1:15" ht="15.75" customHeight="1">
      <c r="A612" s="10" t="s">
        <v>4263</v>
      </c>
      <c r="B612" s="10" t="s">
        <v>1469</v>
      </c>
      <c r="C612" s="52" t="s">
        <v>868</v>
      </c>
      <c r="D612" s="13" t="s">
        <v>116</v>
      </c>
      <c r="E612" s="6" t="s">
        <v>4264</v>
      </c>
      <c r="F612" s="17" t="s">
        <v>4269</v>
      </c>
      <c r="G612" s="17"/>
      <c r="H612" s="17" t="s">
        <v>35</v>
      </c>
      <c r="I612" s="6" t="s">
        <v>35</v>
      </c>
      <c r="J612" s="17" t="s">
        <v>36</v>
      </c>
      <c r="K612" s="17" t="s">
        <v>4269</v>
      </c>
      <c r="L612" s="18" t="str">
        <f t="shared" si="9"/>
        <v>0611</v>
      </c>
      <c r="M612" s="18" t="s">
        <v>38</v>
      </c>
      <c r="N612" s="19" t="s">
        <v>2328</v>
      </c>
      <c r="O612" s="20" t="s">
        <v>2329</v>
      </c>
    </row>
    <row r="613" spans="1:15" ht="15.75" customHeight="1">
      <c r="A613" s="10" t="s">
        <v>4270</v>
      </c>
      <c r="B613" s="10" t="s">
        <v>1469</v>
      </c>
      <c r="C613" s="52" t="s">
        <v>868</v>
      </c>
      <c r="D613" s="13" t="s">
        <v>136</v>
      </c>
      <c r="E613" s="43" t="s">
        <v>136</v>
      </c>
      <c r="F613" s="10" t="s">
        <v>4277</v>
      </c>
      <c r="G613" s="17"/>
      <c r="H613" s="17" t="s">
        <v>703</v>
      </c>
      <c r="I613" s="6" t="s">
        <v>4275</v>
      </c>
      <c r="J613" s="17" t="s">
        <v>4276</v>
      </c>
      <c r="K613" s="10" t="s">
        <v>4277</v>
      </c>
      <c r="L613" s="18" t="str">
        <f t="shared" si="9"/>
        <v>0612</v>
      </c>
      <c r="M613" s="18" t="s">
        <v>38</v>
      </c>
      <c r="N613" s="19" t="s">
        <v>2328</v>
      </c>
      <c r="O613" s="20" t="s">
        <v>2329</v>
      </c>
    </row>
    <row r="614" spans="1:15" ht="15.75" customHeight="1">
      <c r="A614" s="10" t="s">
        <v>4278</v>
      </c>
      <c r="B614" s="10" t="s">
        <v>1469</v>
      </c>
      <c r="C614" s="52" t="s">
        <v>868</v>
      </c>
      <c r="D614" s="13" t="s">
        <v>151</v>
      </c>
      <c r="E614" s="6" t="s">
        <v>152</v>
      </c>
      <c r="F614" s="17" t="s">
        <v>4284</v>
      </c>
      <c r="G614" s="17"/>
      <c r="H614" s="17" t="s">
        <v>1220</v>
      </c>
      <c r="I614" s="6" t="s">
        <v>720</v>
      </c>
      <c r="J614" s="17" t="s">
        <v>4283</v>
      </c>
      <c r="K614" s="17" t="s">
        <v>4284</v>
      </c>
      <c r="L614" s="18" t="str">
        <f t="shared" si="9"/>
        <v>0613</v>
      </c>
      <c r="M614" s="18" t="s">
        <v>38</v>
      </c>
      <c r="N614" s="19" t="s">
        <v>2328</v>
      </c>
      <c r="O614" s="20" t="s">
        <v>2329</v>
      </c>
    </row>
    <row r="615" spans="1:15" ht="15.75" customHeight="1">
      <c r="A615" s="10" t="s">
        <v>4285</v>
      </c>
      <c r="B615" s="10" t="s">
        <v>1469</v>
      </c>
      <c r="C615" s="52" t="s">
        <v>868</v>
      </c>
      <c r="D615" s="13" t="s">
        <v>199</v>
      </c>
      <c r="E615" s="43" t="s">
        <v>1394</v>
      </c>
      <c r="F615" s="10" t="s">
        <v>4291</v>
      </c>
      <c r="G615" s="17"/>
      <c r="H615" s="17" t="s">
        <v>157</v>
      </c>
      <c r="I615" s="6">
        <v>2378</v>
      </c>
      <c r="J615" s="17" t="s">
        <v>4290</v>
      </c>
      <c r="K615" s="10" t="s">
        <v>4291</v>
      </c>
      <c r="L615" s="18" t="str">
        <f t="shared" si="9"/>
        <v>0614</v>
      </c>
      <c r="M615" s="18" t="s">
        <v>38</v>
      </c>
      <c r="N615" s="19" t="s">
        <v>2328</v>
      </c>
      <c r="O615" s="20" t="s">
        <v>2329</v>
      </c>
    </row>
    <row r="616" spans="1:15" ht="15.75" customHeight="1">
      <c r="A616" s="10" t="s">
        <v>4292</v>
      </c>
      <c r="B616" s="10" t="s">
        <v>1469</v>
      </c>
      <c r="C616" s="52" t="s">
        <v>868</v>
      </c>
      <c r="D616" s="13" t="s">
        <v>43</v>
      </c>
      <c r="E616" s="43" t="s">
        <v>43</v>
      </c>
      <c r="F616" s="17" t="s">
        <v>4298</v>
      </c>
      <c r="G616" s="17"/>
      <c r="H616" s="17" t="s">
        <v>49</v>
      </c>
      <c r="I616" s="6" t="s">
        <v>4297</v>
      </c>
      <c r="J616" s="17" t="s">
        <v>36</v>
      </c>
      <c r="K616" s="17" t="s">
        <v>4298</v>
      </c>
      <c r="L616" s="18" t="str">
        <f t="shared" si="9"/>
        <v>0615</v>
      </c>
      <c r="M616" s="18" t="s">
        <v>38</v>
      </c>
      <c r="N616" s="19" t="s">
        <v>2328</v>
      </c>
      <c r="O616" s="20" t="s">
        <v>2329</v>
      </c>
    </row>
    <row r="617" spans="1:15" ht="15.75" customHeight="1">
      <c r="A617" s="10" t="s">
        <v>4299</v>
      </c>
      <c r="B617" s="10" t="s">
        <v>1469</v>
      </c>
      <c r="C617" s="52" t="s">
        <v>868</v>
      </c>
      <c r="D617" s="13" t="s">
        <v>353</v>
      </c>
      <c r="E617" s="43" t="s">
        <v>638</v>
      </c>
      <c r="F617" s="35" t="s">
        <v>7305</v>
      </c>
      <c r="G617" s="17"/>
      <c r="H617" s="17" t="s">
        <v>359</v>
      </c>
      <c r="I617" s="6" t="s">
        <v>7306</v>
      </c>
      <c r="J617" s="17" t="s">
        <v>4304</v>
      </c>
      <c r="K617" s="35" t="s">
        <v>7305</v>
      </c>
      <c r="L617" s="18" t="str">
        <f t="shared" si="9"/>
        <v>0616</v>
      </c>
      <c r="M617" s="18" t="s">
        <v>38</v>
      </c>
      <c r="N617" s="19" t="s">
        <v>2328</v>
      </c>
      <c r="O617" s="20" t="s">
        <v>2329</v>
      </c>
    </row>
    <row r="618" spans="1:15" ht="15.75" customHeight="1">
      <c r="A618" s="10" t="s">
        <v>4306</v>
      </c>
      <c r="B618" s="10" t="s">
        <v>1469</v>
      </c>
      <c r="C618" s="52" t="s">
        <v>868</v>
      </c>
      <c r="D618" s="13" t="s">
        <v>378</v>
      </c>
      <c r="E618" s="43" t="s">
        <v>379</v>
      </c>
      <c r="F618" s="35" t="s">
        <v>4311</v>
      </c>
      <c r="G618" s="17"/>
      <c r="H618" s="17" t="s">
        <v>35</v>
      </c>
      <c r="I618" s="6" t="s">
        <v>35</v>
      </c>
      <c r="J618" s="17" t="s">
        <v>36</v>
      </c>
      <c r="K618" s="35" t="s">
        <v>4311</v>
      </c>
      <c r="L618" s="18" t="str">
        <f t="shared" si="9"/>
        <v>0617</v>
      </c>
      <c r="M618" s="18" t="s">
        <v>38</v>
      </c>
      <c r="N618" s="19" t="s">
        <v>2328</v>
      </c>
      <c r="O618" s="20" t="s">
        <v>4312</v>
      </c>
    </row>
    <row r="619" spans="1:15" ht="15.75" customHeight="1">
      <c r="A619" s="10" t="s">
        <v>4314</v>
      </c>
      <c r="B619" s="10" t="s">
        <v>1469</v>
      </c>
      <c r="C619" s="52" t="s">
        <v>868</v>
      </c>
      <c r="D619" s="13" t="s">
        <v>1240</v>
      </c>
      <c r="E619" s="43" t="s">
        <v>278</v>
      </c>
      <c r="F619" s="17" t="s">
        <v>4319</v>
      </c>
      <c r="G619" s="17"/>
      <c r="H619" s="17" t="s">
        <v>35</v>
      </c>
      <c r="I619" s="6" t="s">
        <v>35</v>
      </c>
      <c r="J619" s="17" t="s">
        <v>36</v>
      </c>
      <c r="K619" s="17" t="s">
        <v>4319</v>
      </c>
      <c r="L619" s="18" t="str">
        <f t="shared" si="9"/>
        <v>0618</v>
      </c>
      <c r="M619" s="18" t="s">
        <v>38</v>
      </c>
      <c r="N619" s="19" t="s">
        <v>2328</v>
      </c>
      <c r="O619" s="20" t="s">
        <v>2329</v>
      </c>
    </row>
    <row r="620" spans="1:15" ht="15.75" customHeight="1">
      <c r="A620" s="10" t="s">
        <v>4320</v>
      </c>
      <c r="B620" s="10" t="s">
        <v>1469</v>
      </c>
      <c r="C620" s="52" t="s">
        <v>868</v>
      </c>
      <c r="D620" s="13" t="s">
        <v>29</v>
      </c>
      <c r="E620" s="43" t="s">
        <v>1166</v>
      </c>
      <c r="F620" s="158" t="s">
        <v>7307</v>
      </c>
      <c r="G620" s="17"/>
      <c r="H620" s="17" t="s">
        <v>35</v>
      </c>
      <c r="I620" s="6" t="s">
        <v>35</v>
      </c>
      <c r="J620" s="46" t="s">
        <v>36</v>
      </c>
      <c r="K620" s="158" t="s">
        <v>7307</v>
      </c>
      <c r="L620" s="18" t="str">
        <f t="shared" si="9"/>
        <v>0619</v>
      </c>
      <c r="M620" s="18" t="s">
        <v>38</v>
      </c>
      <c r="N620" s="19" t="s">
        <v>2381</v>
      </c>
      <c r="O620" s="32" t="s">
        <v>3840</v>
      </c>
    </row>
    <row r="621" spans="1:15" ht="15.75" customHeight="1">
      <c r="A621" s="10" t="s">
        <v>4324</v>
      </c>
      <c r="B621" s="10" t="s">
        <v>1469</v>
      </c>
      <c r="C621" s="52" t="s">
        <v>868</v>
      </c>
      <c r="D621" s="13" t="s">
        <v>116</v>
      </c>
      <c r="E621" s="6" t="s">
        <v>117</v>
      </c>
      <c r="F621" s="17" t="s">
        <v>4329</v>
      </c>
      <c r="G621" s="17"/>
      <c r="H621" s="17" t="s">
        <v>35</v>
      </c>
      <c r="I621" s="49" t="s">
        <v>35</v>
      </c>
      <c r="J621" s="17" t="s">
        <v>36</v>
      </c>
      <c r="K621" s="17" t="s">
        <v>4329</v>
      </c>
      <c r="L621" s="18" t="str">
        <f t="shared" si="9"/>
        <v>0620</v>
      </c>
      <c r="M621" s="18" t="s">
        <v>38</v>
      </c>
      <c r="N621" s="19" t="s">
        <v>2381</v>
      </c>
      <c r="O621" s="22" t="s">
        <v>3840</v>
      </c>
    </row>
    <row r="622" spans="1:15" ht="15.75" customHeight="1">
      <c r="A622" s="10" t="s">
        <v>4330</v>
      </c>
      <c r="B622" s="10" t="s">
        <v>1469</v>
      </c>
      <c r="C622" s="52" t="s">
        <v>868</v>
      </c>
      <c r="D622" s="13" t="s">
        <v>116</v>
      </c>
      <c r="E622" s="6" t="s">
        <v>4153</v>
      </c>
      <c r="F622" s="17" t="s">
        <v>4335</v>
      </c>
      <c r="G622" s="17"/>
      <c r="H622" s="17" t="s">
        <v>35</v>
      </c>
      <c r="I622" s="6" t="s">
        <v>35</v>
      </c>
      <c r="J622" s="17" t="s">
        <v>36</v>
      </c>
      <c r="K622" s="17" t="s">
        <v>4335</v>
      </c>
      <c r="L622" s="18" t="str">
        <f t="shared" si="9"/>
        <v>0621</v>
      </c>
      <c r="M622" s="18" t="s">
        <v>38</v>
      </c>
      <c r="N622" s="19" t="s">
        <v>2381</v>
      </c>
      <c r="O622" s="22" t="s">
        <v>3840</v>
      </c>
    </row>
    <row r="623" spans="1:15" ht="15.75" customHeight="1">
      <c r="A623" s="10" t="s">
        <v>4336</v>
      </c>
      <c r="B623" s="10" t="s">
        <v>1469</v>
      </c>
      <c r="C623" s="52" t="s">
        <v>868</v>
      </c>
      <c r="D623" s="13" t="s">
        <v>1240</v>
      </c>
      <c r="E623" s="43" t="s">
        <v>278</v>
      </c>
      <c r="F623" s="17" t="s">
        <v>4341</v>
      </c>
      <c r="G623" s="17"/>
      <c r="H623" s="17" t="s">
        <v>35</v>
      </c>
      <c r="I623" s="49" t="s">
        <v>35</v>
      </c>
      <c r="J623" s="17" t="s">
        <v>36</v>
      </c>
      <c r="K623" s="17" t="s">
        <v>4341</v>
      </c>
      <c r="L623" s="18" t="str">
        <f t="shared" si="9"/>
        <v>0622</v>
      </c>
      <c r="M623" s="18" t="s">
        <v>38</v>
      </c>
      <c r="N623" s="19" t="s">
        <v>2381</v>
      </c>
      <c r="O623" s="22" t="s">
        <v>3840</v>
      </c>
    </row>
    <row r="624" spans="1:15" ht="15.75" customHeight="1">
      <c r="A624" s="10" t="s">
        <v>4342</v>
      </c>
      <c r="B624" s="10" t="s">
        <v>1469</v>
      </c>
      <c r="C624" s="52" t="s">
        <v>868</v>
      </c>
      <c r="D624" s="13" t="s">
        <v>248</v>
      </c>
      <c r="E624" s="43" t="s">
        <v>249</v>
      </c>
      <c r="F624" s="17" t="s">
        <v>4348</v>
      </c>
      <c r="G624" s="17"/>
      <c r="H624" s="17" t="s">
        <v>978</v>
      </c>
      <c r="I624" s="6" t="s">
        <v>979</v>
      </c>
      <c r="J624" s="17" t="s">
        <v>4347</v>
      </c>
      <c r="K624" s="17" t="s">
        <v>4348</v>
      </c>
      <c r="L624" s="18" t="str">
        <f t="shared" si="9"/>
        <v>0623</v>
      </c>
      <c r="M624" s="18" t="s">
        <v>38</v>
      </c>
      <c r="N624" s="19" t="s">
        <v>2381</v>
      </c>
      <c r="O624" s="22" t="s">
        <v>3840</v>
      </c>
    </row>
    <row r="625" spans="1:15" ht="15.75" customHeight="1">
      <c r="A625" s="10" t="s">
        <v>4349</v>
      </c>
      <c r="B625" s="10" t="s">
        <v>1469</v>
      </c>
      <c r="C625" s="52" t="s">
        <v>868</v>
      </c>
      <c r="D625" s="13" t="s">
        <v>199</v>
      </c>
      <c r="E625" s="6" t="s">
        <v>199</v>
      </c>
      <c r="F625" s="10" t="s">
        <v>85</v>
      </c>
      <c r="G625" s="17"/>
      <c r="H625" s="17" t="s">
        <v>273</v>
      </c>
      <c r="I625" s="6" t="s">
        <v>274</v>
      </c>
      <c r="J625" s="6">
        <v>11392903012343</v>
      </c>
      <c r="K625" s="10" t="s">
        <v>85</v>
      </c>
      <c r="L625" s="18" t="str">
        <f t="shared" si="9"/>
        <v>0624</v>
      </c>
      <c r="M625" s="18" t="s">
        <v>38</v>
      </c>
      <c r="N625" s="19" t="s">
        <v>2381</v>
      </c>
      <c r="O625" s="22" t="s">
        <v>3840</v>
      </c>
    </row>
    <row r="626" spans="1:15" ht="15.75" customHeight="1">
      <c r="A626" s="10" t="s">
        <v>4353</v>
      </c>
      <c r="B626" s="10" t="s">
        <v>1469</v>
      </c>
      <c r="C626" s="52" t="s">
        <v>868</v>
      </c>
      <c r="D626" s="13" t="s">
        <v>151</v>
      </c>
      <c r="E626" s="6" t="s">
        <v>4113</v>
      </c>
      <c r="F626" s="10" t="s">
        <v>85</v>
      </c>
      <c r="G626" s="17"/>
      <c r="H626" s="17" t="s">
        <v>297</v>
      </c>
      <c r="I626" s="6" t="s">
        <v>298</v>
      </c>
      <c r="J626" s="6" t="s">
        <v>4357</v>
      </c>
      <c r="K626" s="10" t="s">
        <v>85</v>
      </c>
      <c r="L626" s="18" t="str">
        <f t="shared" si="9"/>
        <v>0625</v>
      </c>
      <c r="M626" s="50" t="s">
        <v>971</v>
      </c>
      <c r="N626" s="19" t="s">
        <v>2381</v>
      </c>
      <c r="O626" s="22" t="s">
        <v>3840</v>
      </c>
    </row>
    <row r="627" spans="1:15" ht="15.75" customHeight="1">
      <c r="A627" s="10" t="s">
        <v>4358</v>
      </c>
      <c r="B627" s="10" t="s">
        <v>1469</v>
      </c>
      <c r="C627" s="52" t="s">
        <v>868</v>
      </c>
      <c r="D627" s="13" t="s">
        <v>93</v>
      </c>
      <c r="E627" s="6" t="s">
        <v>1380</v>
      </c>
      <c r="F627" s="17" t="s">
        <v>4363</v>
      </c>
      <c r="G627" s="17"/>
      <c r="H627" s="17" t="s">
        <v>35</v>
      </c>
      <c r="I627" s="6" t="s">
        <v>35</v>
      </c>
      <c r="J627" s="46" t="s">
        <v>36</v>
      </c>
      <c r="K627" s="17" t="s">
        <v>4363</v>
      </c>
      <c r="L627" s="18" t="str">
        <f t="shared" si="9"/>
        <v>0626</v>
      </c>
      <c r="M627" s="18" t="s">
        <v>38</v>
      </c>
      <c r="N627" s="19" t="s">
        <v>2328</v>
      </c>
      <c r="O627" s="10" t="s">
        <v>4312</v>
      </c>
    </row>
    <row r="628" spans="1:15" ht="15.75" customHeight="1">
      <c r="A628" s="10" t="s">
        <v>4364</v>
      </c>
      <c r="B628" s="10" t="s">
        <v>1469</v>
      </c>
      <c r="C628" s="52" t="s">
        <v>868</v>
      </c>
      <c r="D628" s="13" t="s">
        <v>93</v>
      </c>
      <c r="E628" s="6" t="s">
        <v>3893</v>
      </c>
      <c r="F628" s="156" t="s">
        <v>7308</v>
      </c>
      <c r="G628" s="17"/>
      <c r="H628" s="35" t="s">
        <v>35</v>
      </c>
      <c r="I628" s="6" t="s">
        <v>35</v>
      </c>
      <c r="J628" s="10" t="s">
        <v>36</v>
      </c>
      <c r="K628" s="156" t="s">
        <v>7308</v>
      </c>
      <c r="L628" s="18" t="str">
        <f t="shared" si="9"/>
        <v>0627</v>
      </c>
      <c r="M628" s="18" t="s">
        <v>38</v>
      </c>
      <c r="N628" s="19" t="s">
        <v>2328</v>
      </c>
      <c r="O628" s="10" t="s">
        <v>4312</v>
      </c>
    </row>
    <row r="629" spans="1:15" ht="15.75" customHeight="1">
      <c r="A629" s="10" t="s">
        <v>4367</v>
      </c>
      <c r="B629" s="10" t="s">
        <v>1469</v>
      </c>
      <c r="C629" s="52" t="s">
        <v>868</v>
      </c>
      <c r="D629" s="13" t="s">
        <v>93</v>
      </c>
      <c r="E629" s="6" t="s">
        <v>4368</v>
      </c>
      <c r="F629" s="17" t="s">
        <v>4373</v>
      </c>
      <c r="G629" s="17"/>
      <c r="H629" s="17" t="s">
        <v>35</v>
      </c>
      <c r="I629" s="6" t="s">
        <v>35</v>
      </c>
      <c r="J629" s="17" t="s">
        <v>36</v>
      </c>
      <c r="K629" s="17" t="s">
        <v>4373</v>
      </c>
      <c r="L629" s="18" t="str">
        <f t="shared" si="9"/>
        <v>0628</v>
      </c>
      <c r="M629" s="18" t="s">
        <v>38</v>
      </c>
      <c r="N629" s="19" t="s">
        <v>2381</v>
      </c>
      <c r="O629" s="20" t="s">
        <v>3840</v>
      </c>
    </row>
    <row r="630" spans="1:15" ht="15.75" customHeight="1">
      <c r="A630" s="10" t="s">
        <v>4374</v>
      </c>
      <c r="B630" s="10" t="s">
        <v>1469</v>
      </c>
      <c r="C630" s="52" t="s">
        <v>868</v>
      </c>
      <c r="D630" s="13" t="s">
        <v>116</v>
      </c>
      <c r="E630" s="6" t="s">
        <v>4375</v>
      </c>
      <c r="F630" s="17" t="s">
        <v>4380</v>
      </c>
      <c r="G630" s="17"/>
      <c r="H630" s="17" t="s">
        <v>35</v>
      </c>
      <c r="I630" s="49" t="s">
        <v>35</v>
      </c>
      <c r="J630" s="17" t="s">
        <v>36</v>
      </c>
      <c r="K630" s="17" t="s">
        <v>4380</v>
      </c>
      <c r="L630" s="18" t="str">
        <f t="shared" si="9"/>
        <v>0629</v>
      </c>
      <c r="M630" s="18" t="s">
        <v>38</v>
      </c>
      <c r="N630" s="19" t="s">
        <v>2328</v>
      </c>
      <c r="O630" s="10" t="s">
        <v>4312</v>
      </c>
    </row>
    <row r="631" spans="1:15" ht="15.75" customHeight="1">
      <c r="A631" s="10" t="s">
        <v>4381</v>
      </c>
      <c r="B631" s="10" t="s">
        <v>1469</v>
      </c>
      <c r="C631" s="52" t="s">
        <v>868</v>
      </c>
      <c r="D631" s="13" t="s">
        <v>1240</v>
      </c>
      <c r="E631" s="43" t="s">
        <v>278</v>
      </c>
      <c r="F631" s="17" t="s">
        <v>4386</v>
      </c>
      <c r="G631" s="17"/>
      <c r="H631" s="17" t="s">
        <v>35</v>
      </c>
      <c r="I631" s="6" t="s">
        <v>35</v>
      </c>
      <c r="J631" s="17" t="s">
        <v>36</v>
      </c>
      <c r="K631" s="17" t="s">
        <v>4386</v>
      </c>
      <c r="L631" s="18" t="str">
        <f t="shared" si="9"/>
        <v>0630</v>
      </c>
      <c r="M631" s="18" t="s">
        <v>38</v>
      </c>
      <c r="N631" s="19" t="s">
        <v>2328</v>
      </c>
      <c r="O631" s="10" t="s">
        <v>4312</v>
      </c>
    </row>
    <row r="632" spans="1:15" ht="15.75" customHeight="1">
      <c r="A632" s="10" t="s">
        <v>4387</v>
      </c>
      <c r="B632" s="10" t="s">
        <v>1469</v>
      </c>
      <c r="C632" s="52" t="s">
        <v>868</v>
      </c>
      <c r="D632" s="13" t="s">
        <v>378</v>
      </c>
      <c r="E632" s="43" t="s">
        <v>379</v>
      </c>
      <c r="F632" s="35" t="s">
        <v>7309</v>
      </c>
      <c r="G632" s="17"/>
      <c r="H632" s="17" t="s">
        <v>35</v>
      </c>
      <c r="I632" s="6" t="s">
        <v>35</v>
      </c>
      <c r="J632" s="17" t="s">
        <v>36</v>
      </c>
      <c r="K632" s="35" t="s">
        <v>7309</v>
      </c>
      <c r="L632" s="18" t="str">
        <f t="shared" si="9"/>
        <v>0631</v>
      </c>
      <c r="M632" s="18" t="s">
        <v>517</v>
      </c>
      <c r="N632" s="19" t="s">
        <v>2381</v>
      </c>
      <c r="O632" s="20" t="s">
        <v>4181</v>
      </c>
    </row>
    <row r="633" spans="1:15" ht="15.75" customHeight="1">
      <c r="A633" s="10" t="s">
        <v>4393</v>
      </c>
      <c r="B633" s="10" t="s">
        <v>1469</v>
      </c>
      <c r="C633" s="52" t="s">
        <v>868</v>
      </c>
      <c r="D633" s="13" t="s">
        <v>248</v>
      </c>
      <c r="E633" s="43" t="s">
        <v>249</v>
      </c>
      <c r="F633" s="17" t="s">
        <v>4399</v>
      </c>
      <c r="G633" s="17"/>
      <c r="H633" s="17" t="s">
        <v>978</v>
      </c>
      <c r="I633" s="6" t="s">
        <v>979</v>
      </c>
      <c r="J633" s="17" t="s">
        <v>4398</v>
      </c>
      <c r="K633" s="17" t="s">
        <v>4399</v>
      </c>
      <c r="L633" s="18" t="str">
        <f t="shared" si="9"/>
        <v>0632</v>
      </c>
      <c r="M633" s="18" t="s">
        <v>38</v>
      </c>
      <c r="N633" s="19" t="s">
        <v>2328</v>
      </c>
      <c r="O633" s="10" t="s">
        <v>4312</v>
      </c>
    </row>
    <row r="634" spans="1:15" ht="15.75" customHeight="1">
      <c r="A634" s="10" t="s">
        <v>4400</v>
      </c>
      <c r="B634" s="10" t="s">
        <v>1469</v>
      </c>
      <c r="C634" s="52" t="s">
        <v>868</v>
      </c>
      <c r="D634" s="13" t="s">
        <v>199</v>
      </c>
      <c r="E634" s="6" t="s">
        <v>199</v>
      </c>
      <c r="F634" s="10" t="s">
        <v>85</v>
      </c>
      <c r="G634" s="17"/>
      <c r="H634" s="17" t="s">
        <v>273</v>
      </c>
      <c r="I634" s="6" t="s">
        <v>274</v>
      </c>
      <c r="J634" s="6">
        <v>11392903014920</v>
      </c>
      <c r="K634" s="10" t="s">
        <v>85</v>
      </c>
      <c r="L634" s="18" t="str">
        <f t="shared" si="9"/>
        <v>0633</v>
      </c>
      <c r="M634" s="18" t="s">
        <v>38</v>
      </c>
      <c r="N634" s="19" t="s">
        <v>2328</v>
      </c>
      <c r="O634" s="10" t="s">
        <v>4312</v>
      </c>
    </row>
    <row r="635" spans="1:15" ht="15.75" customHeight="1">
      <c r="A635" s="10" t="s">
        <v>4404</v>
      </c>
      <c r="B635" s="10" t="s">
        <v>1469</v>
      </c>
      <c r="C635" s="52" t="s">
        <v>868</v>
      </c>
      <c r="D635" s="13" t="s">
        <v>151</v>
      </c>
      <c r="E635" s="6" t="s">
        <v>4113</v>
      </c>
      <c r="F635" s="10" t="s">
        <v>85</v>
      </c>
      <c r="G635" s="17"/>
      <c r="H635" s="17" t="s">
        <v>297</v>
      </c>
      <c r="I635" s="6" t="s">
        <v>298</v>
      </c>
      <c r="J635" s="6" t="s">
        <v>4408</v>
      </c>
      <c r="K635" s="10" t="s">
        <v>85</v>
      </c>
      <c r="L635" s="18" t="str">
        <f t="shared" si="9"/>
        <v>0634</v>
      </c>
      <c r="M635" s="18" t="s">
        <v>38</v>
      </c>
      <c r="N635" s="19" t="s">
        <v>2328</v>
      </c>
      <c r="O635" s="10" t="s">
        <v>4312</v>
      </c>
    </row>
    <row r="636" spans="1:15" ht="15.75" customHeight="1">
      <c r="A636" s="10" t="s">
        <v>4409</v>
      </c>
      <c r="B636" s="10" t="s">
        <v>4410</v>
      </c>
      <c r="C636" s="61" t="s">
        <v>4411</v>
      </c>
      <c r="D636" s="13" t="s">
        <v>116</v>
      </c>
      <c r="E636" s="6" t="s">
        <v>3992</v>
      </c>
      <c r="F636" s="35" t="s">
        <v>4415</v>
      </c>
      <c r="G636" s="17"/>
      <c r="H636" s="17" t="s">
        <v>35</v>
      </c>
      <c r="I636" s="6" t="s">
        <v>35</v>
      </c>
      <c r="J636" s="46" t="s">
        <v>36</v>
      </c>
      <c r="K636" s="35" t="s">
        <v>4415</v>
      </c>
      <c r="L636" s="18" t="str">
        <f t="shared" si="9"/>
        <v>0635</v>
      </c>
      <c r="M636" s="18" t="s">
        <v>38</v>
      </c>
      <c r="N636" s="19" t="s">
        <v>4416</v>
      </c>
      <c r="O636" s="74" t="s">
        <v>4417</v>
      </c>
    </row>
    <row r="637" spans="1:15" ht="15.75" customHeight="1">
      <c r="A637" s="10" t="s">
        <v>4418</v>
      </c>
      <c r="B637" s="10" t="s">
        <v>1469</v>
      </c>
      <c r="C637" s="52" t="s">
        <v>868</v>
      </c>
      <c r="D637" s="13" t="s">
        <v>248</v>
      </c>
      <c r="E637" s="43" t="s">
        <v>248</v>
      </c>
      <c r="F637" s="10" t="s">
        <v>7310</v>
      </c>
      <c r="G637" s="17"/>
      <c r="H637" s="17" t="s">
        <v>303</v>
      </c>
      <c r="I637" s="6" t="s">
        <v>304</v>
      </c>
      <c r="J637" s="17" t="s">
        <v>4423</v>
      </c>
      <c r="K637" s="10" t="s">
        <v>7310</v>
      </c>
      <c r="L637" s="18" t="str">
        <f t="shared" si="9"/>
        <v>0636</v>
      </c>
      <c r="M637" s="18" t="s">
        <v>38</v>
      </c>
      <c r="N637" s="19" t="s">
        <v>868</v>
      </c>
      <c r="O637" s="6" t="s">
        <v>1665</v>
      </c>
    </row>
    <row r="638" spans="1:15" ht="15.75" customHeight="1">
      <c r="A638" s="10" t="s">
        <v>4425</v>
      </c>
      <c r="B638" s="10" t="s">
        <v>1469</v>
      </c>
      <c r="C638" s="52" t="s">
        <v>868</v>
      </c>
      <c r="D638" s="13" t="s">
        <v>199</v>
      </c>
      <c r="E638" s="43" t="s">
        <v>4426</v>
      </c>
      <c r="F638" s="10" t="s">
        <v>4432</v>
      </c>
      <c r="G638" s="17"/>
      <c r="H638" s="17" t="s">
        <v>205</v>
      </c>
      <c r="I638" s="6" t="s">
        <v>794</v>
      </c>
      <c r="J638" s="17" t="s">
        <v>4431</v>
      </c>
      <c r="K638" s="10" t="s">
        <v>4432</v>
      </c>
      <c r="L638" s="18" t="str">
        <f t="shared" si="9"/>
        <v>0637</v>
      </c>
      <c r="M638" s="18" t="s">
        <v>38</v>
      </c>
      <c r="N638" s="19" t="s">
        <v>2328</v>
      </c>
      <c r="O638" s="6" t="s">
        <v>3716</v>
      </c>
    </row>
    <row r="639" spans="1:15" ht="15.75" customHeight="1">
      <c r="A639" s="10" t="s">
        <v>4433</v>
      </c>
      <c r="B639" s="10" t="s">
        <v>1469</v>
      </c>
      <c r="C639" s="52" t="s">
        <v>868</v>
      </c>
      <c r="D639" s="13" t="s">
        <v>151</v>
      </c>
      <c r="E639" s="6" t="s">
        <v>714</v>
      </c>
      <c r="F639" s="17" t="s">
        <v>4439</v>
      </c>
      <c r="G639" s="17"/>
      <c r="H639" s="17" t="s">
        <v>1220</v>
      </c>
      <c r="I639" s="6" t="s">
        <v>720</v>
      </c>
      <c r="J639" s="46" t="s">
        <v>4438</v>
      </c>
      <c r="K639" s="17" t="s">
        <v>4439</v>
      </c>
      <c r="L639" s="18" t="str">
        <f t="shared" si="9"/>
        <v>0638</v>
      </c>
      <c r="M639" s="18" t="s">
        <v>3282</v>
      </c>
      <c r="N639" s="19" t="s">
        <v>2328</v>
      </c>
      <c r="O639" s="6" t="s">
        <v>3716</v>
      </c>
    </row>
    <row r="640" spans="1:15" ht="15.75" customHeight="1">
      <c r="A640" s="10" t="s">
        <v>4440</v>
      </c>
      <c r="B640" s="10" t="s">
        <v>1469</v>
      </c>
      <c r="C640" s="52" t="s">
        <v>868</v>
      </c>
      <c r="D640" s="13" t="s">
        <v>93</v>
      </c>
      <c r="E640" s="6" t="s">
        <v>869</v>
      </c>
      <c r="F640" s="17" t="s">
        <v>4445</v>
      </c>
      <c r="G640" s="17"/>
      <c r="H640" s="35" t="s">
        <v>35</v>
      </c>
      <c r="I640" s="6" t="s">
        <v>35</v>
      </c>
      <c r="J640" s="17" t="s">
        <v>36</v>
      </c>
      <c r="K640" s="17" t="s">
        <v>4445</v>
      </c>
      <c r="L640" s="18" t="str">
        <f t="shared" si="9"/>
        <v>0639</v>
      </c>
      <c r="M640" s="18" t="s">
        <v>38</v>
      </c>
      <c r="N640" s="19" t="s">
        <v>2381</v>
      </c>
      <c r="O640" s="22" t="s">
        <v>4181</v>
      </c>
    </row>
    <row r="641" spans="1:15" ht="15.75" customHeight="1">
      <c r="A641" s="10" t="s">
        <v>4446</v>
      </c>
      <c r="B641" s="10" t="s">
        <v>1469</v>
      </c>
      <c r="C641" s="52" t="s">
        <v>868</v>
      </c>
      <c r="D641" s="13" t="s">
        <v>116</v>
      </c>
      <c r="E641" s="6" t="s">
        <v>4447</v>
      </c>
      <c r="F641" s="17" t="s">
        <v>4452</v>
      </c>
      <c r="G641" s="17"/>
      <c r="H641" s="17" t="s">
        <v>35</v>
      </c>
      <c r="I641" s="6" t="s">
        <v>35</v>
      </c>
      <c r="J641" s="17" t="s">
        <v>36</v>
      </c>
      <c r="K641" s="17" t="s">
        <v>4452</v>
      </c>
      <c r="L641" s="18" t="str">
        <f t="shared" si="9"/>
        <v>0640</v>
      </c>
      <c r="M641" s="18" t="s">
        <v>38</v>
      </c>
      <c r="N641" s="19" t="s">
        <v>2381</v>
      </c>
      <c r="O641" s="22" t="s">
        <v>4181</v>
      </c>
    </row>
    <row r="642" spans="1:15" ht="15.75" customHeight="1">
      <c r="A642" s="10" t="s">
        <v>4453</v>
      </c>
      <c r="B642" s="10" t="s">
        <v>1469</v>
      </c>
      <c r="C642" s="52" t="s">
        <v>868</v>
      </c>
      <c r="D642" s="13" t="s">
        <v>29</v>
      </c>
      <c r="E642" s="6" t="s">
        <v>1166</v>
      </c>
      <c r="F642" s="17" t="s">
        <v>4458</v>
      </c>
      <c r="G642" s="17"/>
      <c r="H642" s="17" t="s">
        <v>35</v>
      </c>
      <c r="I642" s="6" t="s">
        <v>35</v>
      </c>
      <c r="J642" s="17" t="s">
        <v>36</v>
      </c>
      <c r="K642" s="17" t="s">
        <v>4458</v>
      </c>
      <c r="L642" s="18" t="str">
        <f t="shared" ref="L642:L705" si="10">A642</f>
        <v>0641</v>
      </c>
      <c r="M642" s="18" t="s">
        <v>38</v>
      </c>
      <c r="N642" s="19" t="s">
        <v>2381</v>
      </c>
      <c r="O642" s="22" t="s">
        <v>4181</v>
      </c>
    </row>
    <row r="643" spans="1:15" ht="15.75" customHeight="1">
      <c r="A643" s="10" t="s">
        <v>4459</v>
      </c>
      <c r="B643" s="10" t="s">
        <v>1469</v>
      </c>
      <c r="C643" s="52" t="s">
        <v>868</v>
      </c>
      <c r="D643" s="13" t="s">
        <v>378</v>
      </c>
      <c r="E643" s="6" t="s">
        <v>1306</v>
      </c>
      <c r="F643" s="17" t="s">
        <v>4464</v>
      </c>
      <c r="G643" s="17"/>
      <c r="H643" s="17" t="s">
        <v>35</v>
      </c>
      <c r="I643" s="6" t="s">
        <v>35</v>
      </c>
      <c r="J643" s="17" t="s">
        <v>36</v>
      </c>
      <c r="K643" s="17" t="s">
        <v>4464</v>
      </c>
      <c r="L643" s="18" t="str">
        <f t="shared" si="10"/>
        <v>0642</v>
      </c>
      <c r="M643" s="18" t="s">
        <v>38</v>
      </c>
      <c r="N643" s="19" t="s">
        <v>2381</v>
      </c>
      <c r="O643" s="22" t="s">
        <v>4181</v>
      </c>
    </row>
    <row r="644" spans="1:15" ht="15.75" customHeight="1">
      <c r="A644" s="10" t="s">
        <v>4465</v>
      </c>
      <c r="B644" s="10" t="s">
        <v>1469</v>
      </c>
      <c r="C644" s="52" t="s">
        <v>868</v>
      </c>
      <c r="D644" s="13" t="s">
        <v>248</v>
      </c>
      <c r="E644" s="6" t="s">
        <v>248</v>
      </c>
      <c r="F644" s="35" t="s">
        <v>7311</v>
      </c>
      <c r="G644" s="17"/>
      <c r="H644" s="17" t="s">
        <v>359</v>
      </c>
      <c r="I644" s="6">
        <v>550</v>
      </c>
      <c r="J644" s="17" t="s">
        <v>36</v>
      </c>
      <c r="K644" s="35" t="s">
        <v>7311</v>
      </c>
      <c r="L644" s="18" t="str">
        <f t="shared" si="10"/>
        <v>0643</v>
      </c>
      <c r="M644" s="18" t="s">
        <v>38</v>
      </c>
      <c r="N644" s="19" t="s">
        <v>2381</v>
      </c>
      <c r="O644" s="22" t="s">
        <v>4181</v>
      </c>
    </row>
    <row r="645" spans="1:15" ht="15.75" customHeight="1">
      <c r="A645" s="10" t="s">
        <v>4470</v>
      </c>
      <c r="B645" s="10" t="s">
        <v>27</v>
      </c>
      <c r="C645" s="61" t="s">
        <v>28</v>
      </c>
      <c r="D645" s="13" t="s">
        <v>184</v>
      </c>
      <c r="E645" s="6" t="s">
        <v>927</v>
      </c>
      <c r="F645" s="17" t="s">
        <v>4475</v>
      </c>
      <c r="G645" s="17"/>
      <c r="H645" s="17" t="s">
        <v>35</v>
      </c>
      <c r="I645" s="6" t="s">
        <v>35</v>
      </c>
      <c r="J645" s="17" t="s">
        <v>36</v>
      </c>
      <c r="K645" s="17" t="s">
        <v>4475</v>
      </c>
      <c r="L645" s="18" t="str">
        <f t="shared" si="10"/>
        <v>0644</v>
      </c>
      <c r="M645" s="18" t="s">
        <v>38</v>
      </c>
      <c r="N645" s="19" t="s">
        <v>723</v>
      </c>
      <c r="O645" s="20" t="s">
        <v>1427</v>
      </c>
    </row>
    <row r="646" spans="1:15" ht="15.75" customHeight="1">
      <c r="A646" s="10" t="s">
        <v>4476</v>
      </c>
      <c r="B646" s="10" t="s">
        <v>1469</v>
      </c>
      <c r="C646" s="52" t="s">
        <v>868</v>
      </c>
      <c r="D646" s="13" t="s">
        <v>199</v>
      </c>
      <c r="E646" s="6" t="s">
        <v>199</v>
      </c>
      <c r="F646" s="10" t="s">
        <v>85</v>
      </c>
      <c r="G646" s="17"/>
      <c r="H646" s="17" t="s">
        <v>273</v>
      </c>
      <c r="I646" s="6" t="s">
        <v>274</v>
      </c>
      <c r="J646" s="6">
        <v>11392903015273</v>
      </c>
      <c r="K646" s="10" t="s">
        <v>85</v>
      </c>
      <c r="L646" s="18" t="str">
        <f t="shared" si="10"/>
        <v>0645</v>
      </c>
      <c r="M646" s="18" t="s">
        <v>38</v>
      </c>
      <c r="N646" s="19" t="s">
        <v>2381</v>
      </c>
      <c r="O646" s="22" t="s">
        <v>4181</v>
      </c>
    </row>
    <row r="647" spans="1:15" ht="15.75" customHeight="1">
      <c r="A647" s="10" t="s">
        <v>4480</v>
      </c>
      <c r="B647" s="10" t="s">
        <v>1469</v>
      </c>
      <c r="C647" s="52" t="s">
        <v>868</v>
      </c>
      <c r="D647" s="13" t="s">
        <v>151</v>
      </c>
      <c r="E647" s="6" t="s">
        <v>4113</v>
      </c>
      <c r="F647" s="32" t="s">
        <v>85</v>
      </c>
      <c r="G647" s="17"/>
      <c r="H647" s="17" t="s">
        <v>297</v>
      </c>
      <c r="I647" s="6" t="s">
        <v>298</v>
      </c>
      <c r="J647" s="6" t="s">
        <v>4484</v>
      </c>
      <c r="K647" s="32" t="s">
        <v>85</v>
      </c>
      <c r="L647" s="18" t="str">
        <f t="shared" si="10"/>
        <v>0646</v>
      </c>
      <c r="M647" s="18" t="s">
        <v>38</v>
      </c>
      <c r="N647" s="19" t="s">
        <v>2381</v>
      </c>
      <c r="O647" s="32" t="s">
        <v>4181</v>
      </c>
    </row>
    <row r="648" spans="1:15" ht="15.75" customHeight="1">
      <c r="A648" s="10" t="s">
        <v>4485</v>
      </c>
      <c r="B648" s="10" t="s">
        <v>1469</v>
      </c>
      <c r="C648" s="52" t="s">
        <v>868</v>
      </c>
      <c r="D648" s="13" t="s">
        <v>93</v>
      </c>
      <c r="E648" s="6" t="s">
        <v>4486</v>
      </c>
      <c r="F648" s="17" t="s">
        <v>4491</v>
      </c>
      <c r="G648" s="17"/>
      <c r="H648" s="17" t="s">
        <v>35</v>
      </c>
      <c r="I648" s="6" t="s">
        <v>35</v>
      </c>
      <c r="J648" s="17" t="s">
        <v>36</v>
      </c>
      <c r="K648" s="17" t="s">
        <v>4491</v>
      </c>
      <c r="L648" s="18" t="str">
        <f t="shared" si="10"/>
        <v>0647</v>
      </c>
      <c r="M648" s="18" t="s">
        <v>38</v>
      </c>
      <c r="N648" s="19" t="s">
        <v>2381</v>
      </c>
      <c r="O648" s="20" t="s">
        <v>4492</v>
      </c>
    </row>
    <row r="649" spans="1:15" ht="15.75" customHeight="1">
      <c r="A649" s="10" t="s">
        <v>4493</v>
      </c>
      <c r="B649" s="10" t="s">
        <v>1469</v>
      </c>
      <c r="C649" s="52" t="s">
        <v>868</v>
      </c>
      <c r="D649" s="13" t="s">
        <v>93</v>
      </c>
      <c r="E649" s="6" t="s">
        <v>4494</v>
      </c>
      <c r="F649" s="17" t="s">
        <v>4499</v>
      </c>
      <c r="G649" s="17"/>
      <c r="H649" s="17" t="s">
        <v>35</v>
      </c>
      <c r="I649" s="6" t="s">
        <v>35</v>
      </c>
      <c r="J649" s="17" t="s">
        <v>36</v>
      </c>
      <c r="K649" s="17" t="s">
        <v>4499</v>
      </c>
      <c r="L649" s="18" t="str">
        <f t="shared" si="10"/>
        <v>0648</v>
      </c>
      <c r="M649" s="18" t="s">
        <v>38</v>
      </c>
      <c r="N649" s="19" t="s">
        <v>2381</v>
      </c>
      <c r="O649" s="22" t="s">
        <v>4492</v>
      </c>
    </row>
    <row r="650" spans="1:15" ht="15.75" customHeight="1">
      <c r="A650" s="10" t="s">
        <v>4500</v>
      </c>
      <c r="B650" s="10" t="s">
        <v>1469</v>
      </c>
      <c r="C650" s="52" t="s">
        <v>868</v>
      </c>
      <c r="D650" s="13" t="s">
        <v>29</v>
      </c>
      <c r="E650" s="6" t="s">
        <v>1166</v>
      </c>
      <c r="F650" s="17" t="s">
        <v>4504</v>
      </c>
      <c r="G650" s="17"/>
      <c r="H650" s="17" t="s">
        <v>35</v>
      </c>
      <c r="I650" s="6" t="s">
        <v>35</v>
      </c>
      <c r="J650" s="17" t="s">
        <v>36</v>
      </c>
      <c r="K650" s="17" t="s">
        <v>4504</v>
      </c>
      <c r="L650" s="18" t="str">
        <f t="shared" si="10"/>
        <v>0649</v>
      </c>
      <c r="M650" s="18" t="s">
        <v>38</v>
      </c>
      <c r="N650" s="19" t="s">
        <v>2381</v>
      </c>
      <c r="O650" s="22" t="s">
        <v>4492</v>
      </c>
    </row>
    <row r="651" spans="1:15" ht="15.75" customHeight="1">
      <c r="A651" s="10" t="s">
        <v>4505</v>
      </c>
      <c r="B651" s="10" t="s">
        <v>1469</v>
      </c>
      <c r="C651" s="52" t="s">
        <v>868</v>
      </c>
      <c r="D651" s="13" t="s">
        <v>116</v>
      </c>
      <c r="E651" s="6" t="s">
        <v>4506</v>
      </c>
      <c r="F651" s="17" t="s">
        <v>4511</v>
      </c>
      <c r="G651" s="17"/>
      <c r="H651" s="17" t="s">
        <v>35</v>
      </c>
      <c r="I651" s="49" t="s">
        <v>35</v>
      </c>
      <c r="J651" s="17" t="s">
        <v>36</v>
      </c>
      <c r="K651" s="17" t="s">
        <v>4511</v>
      </c>
      <c r="L651" s="18" t="str">
        <f t="shared" si="10"/>
        <v>0650</v>
      </c>
      <c r="M651" s="18" t="s">
        <v>38</v>
      </c>
      <c r="N651" s="19" t="s">
        <v>2381</v>
      </c>
      <c r="O651" s="22" t="s">
        <v>4492</v>
      </c>
    </row>
    <row r="652" spans="1:15" ht="15.75" customHeight="1">
      <c r="A652" s="10" t="s">
        <v>4512</v>
      </c>
      <c r="B652" s="10" t="s">
        <v>1469</v>
      </c>
      <c r="C652" s="52" t="s">
        <v>868</v>
      </c>
      <c r="D652" s="13" t="s">
        <v>378</v>
      </c>
      <c r="E652" s="6" t="s">
        <v>2040</v>
      </c>
      <c r="F652" s="17" t="s">
        <v>4517</v>
      </c>
      <c r="G652" s="17"/>
      <c r="H652" s="17" t="s">
        <v>35</v>
      </c>
      <c r="I652" s="6" t="s">
        <v>35</v>
      </c>
      <c r="J652" s="17" t="s">
        <v>36</v>
      </c>
      <c r="K652" s="17" t="s">
        <v>4517</v>
      </c>
      <c r="L652" s="18" t="str">
        <f t="shared" si="10"/>
        <v>0651</v>
      </c>
      <c r="M652" s="18" t="s">
        <v>38</v>
      </c>
      <c r="N652" s="19" t="s">
        <v>2381</v>
      </c>
      <c r="O652" s="22" t="s">
        <v>4492</v>
      </c>
    </row>
    <row r="653" spans="1:15" ht="15.75" customHeight="1">
      <c r="A653" s="10" t="s">
        <v>4518</v>
      </c>
      <c r="B653" s="10" t="s">
        <v>1469</v>
      </c>
      <c r="C653" s="52" t="s">
        <v>868</v>
      </c>
      <c r="D653" s="13" t="s">
        <v>1240</v>
      </c>
      <c r="E653" s="43" t="s">
        <v>278</v>
      </c>
      <c r="F653" s="17" t="s">
        <v>4523</v>
      </c>
      <c r="G653" s="17"/>
      <c r="H653" s="17" t="s">
        <v>35</v>
      </c>
      <c r="I653" s="6" t="s">
        <v>35</v>
      </c>
      <c r="J653" s="17" t="s">
        <v>36</v>
      </c>
      <c r="K653" s="17" t="s">
        <v>4523</v>
      </c>
      <c r="L653" s="18" t="str">
        <f t="shared" si="10"/>
        <v>0652</v>
      </c>
      <c r="M653" s="18" t="s">
        <v>38</v>
      </c>
      <c r="N653" s="19" t="s">
        <v>2381</v>
      </c>
      <c r="O653" s="22" t="s">
        <v>4492</v>
      </c>
    </row>
    <row r="654" spans="1:15" ht="15.75" customHeight="1">
      <c r="A654" s="10" t="s">
        <v>4524</v>
      </c>
      <c r="B654" s="10" t="s">
        <v>1469</v>
      </c>
      <c r="C654" s="52" t="s">
        <v>868</v>
      </c>
      <c r="D654" s="13" t="s">
        <v>248</v>
      </c>
      <c r="E654" s="43" t="s">
        <v>248</v>
      </c>
      <c r="F654" s="17" t="s">
        <v>4530</v>
      </c>
      <c r="G654" s="17"/>
      <c r="H654" s="17" t="s">
        <v>978</v>
      </c>
      <c r="I654" s="6" t="s">
        <v>979</v>
      </c>
      <c r="J654" s="17" t="s">
        <v>4529</v>
      </c>
      <c r="K654" s="17" t="s">
        <v>4530</v>
      </c>
      <c r="L654" s="18" t="str">
        <f t="shared" si="10"/>
        <v>0653</v>
      </c>
      <c r="M654" s="18" t="s">
        <v>38</v>
      </c>
      <c r="N654" s="19" t="s">
        <v>2381</v>
      </c>
      <c r="O654" s="22" t="s">
        <v>4492</v>
      </c>
    </row>
    <row r="655" spans="1:15" ht="15.75" customHeight="1">
      <c r="A655" s="10" t="s">
        <v>4531</v>
      </c>
      <c r="B655" s="10" t="s">
        <v>1469</v>
      </c>
      <c r="C655" s="52" t="s">
        <v>868</v>
      </c>
      <c r="D655" s="13" t="s">
        <v>199</v>
      </c>
      <c r="E655" s="6" t="s">
        <v>199</v>
      </c>
      <c r="F655" s="10" t="s">
        <v>85</v>
      </c>
      <c r="G655" s="17"/>
      <c r="H655" s="17" t="s">
        <v>273</v>
      </c>
      <c r="I655" s="6" t="s">
        <v>274</v>
      </c>
      <c r="J655" s="6">
        <v>11392903012339</v>
      </c>
      <c r="K655" s="10" t="s">
        <v>85</v>
      </c>
      <c r="L655" s="18" t="str">
        <f t="shared" si="10"/>
        <v>0654</v>
      </c>
      <c r="M655" s="18" t="s">
        <v>38</v>
      </c>
      <c r="N655" s="19" t="s">
        <v>2381</v>
      </c>
      <c r="O655" s="22" t="s">
        <v>4492</v>
      </c>
    </row>
    <row r="656" spans="1:15" ht="15.75" customHeight="1">
      <c r="A656" s="10" t="s">
        <v>4535</v>
      </c>
      <c r="B656" s="10" t="s">
        <v>1469</v>
      </c>
      <c r="C656" s="52" t="s">
        <v>868</v>
      </c>
      <c r="D656" s="13" t="s">
        <v>151</v>
      </c>
      <c r="E656" s="6" t="s">
        <v>4113</v>
      </c>
      <c r="F656" s="10" t="s">
        <v>85</v>
      </c>
      <c r="G656" s="17"/>
      <c r="H656" s="17" t="s">
        <v>297</v>
      </c>
      <c r="I656" s="6" t="s">
        <v>298</v>
      </c>
      <c r="J656" s="6" t="s">
        <v>4539</v>
      </c>
      <c r="K656" s="10" t="s">
        <v>85</v>
      </c>
      <c r="L656" s="18" t="str">
        <f t="shared" si="10"/>
        <v>0655</v>
      </c>
      <c r="M656" s="18" t="s">
        <v>38</v>
      </c>
      <c r="N656" s="19" t="s">
        <v>2381</v>
      </c>
      <c r="O656" s="22" t="s">
        <v>4492</v>
      </c>
    </row>
    <row r="657" spans="1:15" ht="15.75" customHeight="1">
      <c r="A657" s="10" t="s">
        <v>4540</v>
      </c>
      <c r="B657" s="10" t="s">
        <v>1469</v>
      </c>
      <c r="C657" s="52" t="s">
        <v>868</v>
      </c>
      <c r="D657" s="13" t="s">
        <v>151</v>
      </c>
      <c r="E657" s="6" t="s">
        <v>714</v>
      </c>
      <c r="F657" s="17" t="s">
        <v>4545</v>
      </c>
      <c r="G657" s="17"/>
      <c r="H657" s="17" t="s">
        <v>1220</v>
      </c>
      <c r="I657" s="6" t="s">
        <v>720</v>
      </c>
      <c r="J657" s="46" t="s">
        <v>36</v>
      </c>
      <c r="K657" s="17" t="s">
        <v>4545</v>
      </c>
      <c r="L657" s="18" t="str">
        <f t="shared" si="10"/>
        <v>0656</v>
      </c>
      <c r="M657" s="18" t="s">
        <v>38</v>
      </c>
      <c r="N657" s="19" t="s">
        <v>2381</v>
      </c>
      <c r="O657" s="32" t="s">
        <v>3840</v>
      </c>
    </row>
    <row r="658" spans="1:15" ht="15.75" customHeight="1">
      <c r="A658" s="10" t="s">
        <v>4546</v>
      </c>
      <c r="B658" s="10" t="s">
        <v>1469</v>
      </c>
      <c r="C658" s="52" t="s">
        <v>868</v>
      </c>
      <c r="D658" s="13" t="s">
        <v>378</v>
      </c>
      <c r="E658" s="6" t="s">
        <v>379</v>
      </c>
      <c r="F658" s="17" t="s">
        <v>4551</v>
      </c>
      <c r="G658" s="17"/>
      <c r="H658" s="17" t="s">
        <v>35</v>
      </c>
      <c r="I658" s="6" t="s">
        <v>35</v>
      </c>
      <c r="J658" s="46" t="s">
        <v>36</v>
      </c>
      <c r="K658" s="17" t="s">
        <v>4551</v>
      </c>
      <c r="L658" s="18" t="str">
        <f t="shared" si="10"/>
        <v>0657</v>
      </c>
      <c r="M658" s="18" t="s">
        <v>38</v>
      </c>
      <c r="N658" s="19" t="s">
        <v>2381</v>
      </c>
      <c r="O658" s="32" t="s">
        <v>3840</v>
      </c>
    </row>
    <row r="659" spans="1:15" ht="15.75" customHeight="1">
      <c r="A659" s="10" t="s">
        <v>4552</v>
      </c>
      <c r="B659" s="10" t="s">
        <v>1469</v>
      </c>
      <c r="C659" s="52" t="s">
        <v>868</v>
      </c>
      <c r="D659" s="13" t="s">
        <v>378</v>
      </c>
      <c r="E659" s="6" t="s">
        <v>4553</v>
      </c>
      <c r="F659" s="17" t="s">
        <v>4558</v>
      </c>
      <c r="G659" s="17"/>
      <c r="H659" s="35" t="s">
        <v>35</v>
      </c>
      <c r="I659" s="6" t="s">
        <v>35</v>
      </c>
      <c r="J659" s="46" t="s">
        <v>36</v>
      </c>
      <c r="K659" s="17" t="s">
        <v>4558</v>
      </c>
      <c r="L659" s="18" t="str">
        <f t="shared" si="10"/>
        <v>0658</v>
      </c>
      <c r="M659" s="18" t="s">
        <v>38</v>
      </c>
      <c r="N659" s="19" t="s">
        <v>2381</v>
      </c>
      <c r="O659" s="32" t="s">
        <v>4492</v>
      </c>
    </row>
    <row r="660" spans="1:15" ht="15.75" customHeight="1">
      <c r="A660" s="10" t="s">
        <v>4559</v>
      </c>
      <c r="B660" s="10" t="s">
        <v>1469</v>
      </c>
      <c r="C660" s="52" t="s">
        <v>868</v>
      </c>
      <c r="D660" s="13" t="s">
        <v>184</v>
      </c>
      <c r="E660" s="6" t="s">
        <v>4560</v>
      </c>
      <c r="F660" s="17" t="s">
        <v>4565</v>
      </c>
      <c r="G660" s="17"/>
      <c r="H660" s="35" t="s">
        <v>35</v>
      </c>
      <c r="I660" s="6" t="s">
        <v>35</v>
      </c>
      <c r="J660" s="46" t="s">
        <v>36</v>
      </c>
      <c r="K660" s="17" t="s">
        <v>4565</v>
      </c>
      <c r="L660" s="18" t="str">
        <f t="shared" si="10"/>
        <v>0659</v>
      </c>
      <c r="M660" s="18" t="s">
        <v>38</v>
      </c>
      <c r="N660" s="19" t="s">
        <v>868</v>
      </c>
      <c r="O660" s="20" t="s">
        <v>3450</v>
      </c>
    </row>
    <row r="661" spans="1:15" ht="15.75" customHeight="1">
      <c r="A661" s="10" t="s">
        <v>4566</v>
      </c>
      <c r="B661" s="10" t="s">
        <v>27</v>
      </c>
      <c r="C661" s="52" t="s">
        <v>868</v>
      </c>
      <c r="D661" s="13" t="s">
        <v>62</v>
      </c>
      <c r="E661" s="6" t="s">
        <v>4567</v>
      </c>
      <c r="F661" s="35" t="s">
        <v>4572</v>
      </c>
      <c r="G661" s="17"/>
      <c r="H661" s="17" t="s">
        <v>35</v>
      </c>
      <c r="I661" s="6" t="s">
        <v>35</v>
      </c>
      <c r="J661" s="17" t="s">
        <v>36</v>
      </c>
      <c r="K661" s="35" t="s">
        <v>4572</v>
      </c>
      <c r="L661" s="18" t="str">
        <f t="shared" si="10"/>
        <v>0660</v>
      </c>
      <c r="M661" s="18" t="s">
        <v>38</v>
      </c>
      <c r="N661" s="19" t="s">
        <v>875</v>
      </c>
      <c r="O661" s="20" t="s">
        <v>4573</v>
      </c>
    </row>
    <row r="662" spans="1:15" ht="15.75" customHeight="1">
      <c r="A662" s="10" t="s">
        <v>4575</v>
      </c>
      <c r="B662" s="10" t="s">
        <v>27</v>
      </c>
      <c r="C662" s="52" t="s">
        <v>868</v>
      </c>
      <c r="D662" s="13" t="s">
        <v>62</v>
      </c>
      <c r="E662" s="6" t="s">
        <v>4576</v>
      </c>
      <c r="F662" s="35" t="s">
        <v>4581</v>
      </c>
      <c r="G662" s="17"/>
      <c r="H662" s="17" t="s">
        <v>35</v>
      </c>
      <c r="I662" s="6" t="s">
        <v>35</v>
      </c>
      <c r="J662" s="17" t="s">
        <v>36</v>
      </c>
      <c r="K662" s="35" t="s">
        <v>4581</v>
      </c>
      <c r="L662" s="18" t="str">
        <f t="shared" si="10"/>
        <v>0661</v>
      </c>
      <c r="M662" s="18" t="s">
        <v>100</v>
      </c>
      <c r="N662" s="19" t="s">
        <v>875</v>
      </c>
      <c r="O662" s="20" t="s">
        <v>4573</v>
      </c>
    </row>
    <row r="663" spans="1:15" ht="15.75" customHeight="1">
      <c r="A663" s="10" t="s">
        <v>4582</v>
      </c>
      <c r="B663" s="10" t="s">
        <v>27</v>
      </c>
      <c r="C663" s="52" t="s">
        <v>868</v>
      </c>
      <c r="D663" s="13" t="s">
        <v>62</v>
      </c>
      <c r="E663" s="6" t="s">
        <v>4583</v>
      </c>
      <c r="F663" s="17" t="s">
        <v>4588</v>
      </c>
      <c r="G663" s="17"/>
      <c r="H663" s="17" t="s">
        <v>35</v>
      </c>
      <c r="I663" s="6" t="s">
        <v>35</v>
      </c>
      <c r="J663" s="17" t="s">
        <v>36</v>
      </c>
      <c r="K663" s="17" t="s">
        <v>4588</v>
      </c>
      <c r="L663" s="18" t="str">
        <f t="shared" si="10"/>
        <v>0662</v>
      </c>
      <c r="M663" s="18" t="s">
        <v>38</v>
      </c>
      <c r="N663" s="19" t="s">
        <v>875</v>
      </c>
      <c r="O663" s="20" t="s">
        <v>4573</v>
      </c>
    </row>
    <row r="664" spans="1:15" ht="15.75" customHeight="1">
      <c r="A664" s="10" t="s">
        <v>4589</v>
      </c>
      <c r="B664" s="10" t="s">
        <v>27</v>
      </c>
      <c r="C664" s="52" t="s">
        <v>868</v>
      </c>
      <c r="D664" s="13" t="s">
        <v>62</v>
      </c>
      <c r="E664" s="6" t="s">
        <v>4590</v>
      </c>
      <c r="F664" s="17" t="s">
        <v>4595</v>
      </c>
      <c r="G664" s="17"/>
      <c r="H664" s="17" t="s">
        <v>35</v>
      </c>
      <c r="I664" s="6" t="s">
        <v>35</v>
      </c>
      <c r="J664" s="17" t="s">
        <v>36</v>
      </c>
      <c r="K664" s="17" t="s">
        <v>4595</v>
      </c>
      <c r="L664" s="18" t="str">
        <f t="shared" si="10"/>
        <v>0663</v>
      </c>
      <c r="M664" s="18" t="s">
        <v>38</v>
      </c>
      <c r="N664" s="19" t="s">
        <v>875</v>
      </c>
      <c r="O664" s="20" t="s">
        <v>1004</v>
      </c>
    </row>
    <row r="665" spans="1:15" ht="15.75" customHeight="1">
      <c r="A665" s="10" t="s">
        <v>4596</v>
      </c>
      <c r="B665" s="10" t="s">
        <v>27</v>
      </c>
      <c r="C665" s="52" t="s">
        <v>868</v>
      </c>
      <c r="D665" s="13" t="s">
        <v>43</v>
      </c>
      <c r="E665" s="6" t="s">
        <v>4597</v>
      </c>
      <c r="F665" s="10" t="s">
        <v>4603</v>
      </c>
      <c r="G665" s="17"/>
      <c r="H665" s="17" t="s">
        <v>4602</v>
      </c>
      <c r="I665" s="6">
        <v>10187</v>
      </c>
      <c r="J665" s="17" t="s">
        <v>36</v>
      </c>
      <c r="K665" s="10" t="s">
        <v>4603</v>
      </c>
      <c r="L665" s="18" t="str">
        <f t="shared" si="10"/>
        <v>0664</v>
      </c>
      <c r="M665" s="18" t="s">
        <v>38</v>
      </c>
      <c r="N665" s="19" t="s">
        <v>875</v>
      </c>
      <c r="O665" s="20" t="s">
        <v>4573</v>
      </c>
    </row>
    <row r="666" spans="1:15" ht="15.75" customHeight="1">
      <c r="A666" s="10" t="s">
        <v>4604</v>
      </c>
      <c r="B666" s="10" t="s">
        <v>27</v>
      </c>
      <c r="C666" s="52" t="s">
        <v>868</v>
      </c>
      <c r="D666" s="13" t="s">
        <v>378</v>
      </c>
      <c r="E666" s="6" t="s">
        <v>4605</v>
      </c>
      <c r="F666" s="17" t="s">
        <v>4610</v>
      </c>
      <c r="G666" s="17"/>
      <c r="H666" s="17" t="s">
        <v>35</v>
      </c>
      <c r="I666" s="6" t="s">
        <v>35</v>
      </c>
      <c r="J666" s="17" t="s">
        <v>36</v>
      </c>
      <c r="K666" s="17" t="s">
        <v>4610</v>
      </c>
      <c r="L666" s="18" t="str">
        <f t="shared" si="10"/>
        <v>0665</v>
      </c>
      <c r="M666" s="18" t="s">
        <v>38</v>
      </c>
      <c r="N666" s="19" t="s">
        <v>875</v>
      </c>
      <c r="O666" s="20" t="s">
        <v>1004</v>
      </c>
    </row>
    <row r="667" spans="1:15" ht="15.75" customHeight="1">
      <c r="A667" s="10" t="s">
        <v>4611</v>
      </c>
      <c r="B667" s="10" t="s">
        <v>27</v>
      </c>
      <c r="C667" s="52" t="s">
        <v>868</v>
      </c>
      <c r="D667" s="13" t="s">
        <v>378</v>
      </c>
      <c r="E667" s="6" t="s">
        <v>878</v>
      </c>
      <c r="F667" s="17" t="s">
        <v>4616</v>
      </c>
      <c r="G667" s="17"/>
      <c r="H667" s="17" t="s">
        <v>35</v>
      </c>
      <c r="I667" s="6" t="s">
        <v>35</v>
      </c>
      <c r="J667" s="17" t="s">
        <v>36</v>
      </c>
      <c r="K667" s="17" t="s">
        <v>4616</v>
      </c>
      <c r="L667" s="18" t="str">
        <f t="shared" si="10"/>
        <v>0666</v>
      </c>
      <c r="M667" s="18" t="s">
        <v>38</v>
      </c>
      <c r="N667" s="19" t="s">
        <v>875</v>
      </c>
      <c r="O667" s="20" t="s">
        <v>4573</v>
      </c>
    </row>
    <row r="668" spans="1:15" ht="15.75" customHeight="1">
      <c r="A668" s="10" t="s">
        <v>4617</v>
      </c>
      <c r="B668" s="10" t="s">
        <v>27</v>
      </c>
      <c r="C668" s="52" t="s">
        <v>868</v>
      </c>
      <c r="D668" s="13" t="s">
        <v>378</v>
      </c>
      <c r="E668" s="6" t="s">
        <v>878</v>
      </c>
      <c r="F668" s="35" t="s">
        <v>4622</v>
      </c>
      <c r="G668" s="17"/>
      <c r="H668" s="17" t="s">
        <v>35</v>
      </c>
      <c r="I668" s="6" t="s">
        <v>35</v>
      </c>
      <c r="J668" s="17" t="s">
        <v>36</v>
      </c>
      <c r="K668" s="35" t="s">
        <v>4622</v>
      </c>
      <c r="L668" s="18" t="str">
        <f t="shared" si="10"/>
        <v>0667</v>
      </c>
      <c r="M668" s="18" t="s">
        <v>38</v>
      </c>
      <c r="N668" s="19" t="s">
        <v>875</v>
      </c>
      <c r="O668" s="20" t="s">
        <v>4573</v>
      </c>
    </row>
    <row r="669" spans="1:15" ht="15.75" customHeight="1">
      <c r="A669" s="10" t="s">
        <v>4623</v>
      </c>
      <c r="B669" s="10" t="s">
        <v>27</v>
      </c>
      <c r="C669" s="52" t="s">
        <v>868</v>
      </c>
      <c r="D669" s="13" t="s">
        <v>378</v>
      </c>
      <c r="E669" s="6" t="s">
        <v>878</v>
      </c>
      <c r="F669" s="35" t="s">
        <v>4628</v>
      </c>
      <c r="G669" s="17"/>
      <c r="H669" s="17" t="s">
        <v>35</v>
      </c>
      <c r="I669" s="6" t="s">
        <v>35</v>
      </c>
      <c r="J669" s="17" t="s">
        <v>36</v>
      </c>
      <c r="K669" s="35" t="s">
        <v>4628</v>
      </c>
      <c r="L669" s="18" t="str">
        <f t="shared" si="10"/>
        <v>0668</v>
      </c>
      <c r="M669" s="18" t="s">
        <v>38</v>
      </c>
      <c r="N669" s="19" t="s">
        <v>875</v>
      </c>
      <c r="O669" s="20" t="s">
        <v>4573</v>
      </c>
    </row>
    <row r="670" spans="1:15" ht="15.75" customHeight="1">
      <c r="A670" s="10" t="s">
        <v>4630</v>
      </c>
      <c r="B670" s="10" t="s">
        <v>27</v>
      </c>
      <c r="C670" s="52" t="s">
        <v>868</v>
      </c>
      <c r="D670" s="13" t="s">
        <v>62</v>
      </c>
      <c r="E670" s="6" t="s">
        <v>4631</v>
      </c>
      <c r="F670" s="35" t="s">
        <v>4636</v>
      </c>
      <c r="G670" s="17"/>
      <c r="H670" s="17" t="s">
        <v>35</v>
      </c>
      <c r="I670" s="6" t="s">
        <v>35</v>
      </c>
      <c r="J670" s="17" t="s">
        <v>36</v>
      </c>
      <c r="K670" s="35" t="s">
        <v>4636</v>
      </c>
      <c r="L670" s="18" t="str">
        <f t="shared" si="10"/>
        <v>0669</v>
      </c>
      <c r="M670" s="18" t="s">
        <v>38</v>
      </c>
      <c r="N670" s="19" t="s">
        <v>875</v>
      </c>
      <c r="O670" s="20" t="s">
        <v>4573</v>
      </c>
    </row>
    <row r="671" spans="1:15" ht="15.75" customHeight="1">
      <c r="A671" s="10" t="s">
        <v>4637</v>
      </c>
      <c r="B671" s="10" t="s">
        <v>27</v>
      </c>
      <c r="C671" s="52" t="s">
        <v>868</v>
      </c>
      <c r="D671" s="13" t="s">
        <v>116</v>
      </c>
      <c r="E671" s="6" t="s">
        <v>4638</v>
      </c>
      <c r="F671" s="35" t="s">
        <v>4643</v>
      </c>
      <c r="G671" s="17"/>
      <c r="H671" s="17" t="s">
        <v>35</v>
      </c>
      <c r="I671" s="6" t="s">
        <v>35</v>
      </c>
      <c r="J671" s="17" t="s">
        <v>36</v>
      </c>
      <c r="K671" s="35" t="s">
        <v>4643</v>
      </c>
      <c r="L671" s="18" t="str">
        <f t="shared" si="10"/>
        <v>0670</v>
      </c>
      <c r="M671" s="18" t="s">
        <v>38</v>
      </c>
      <c r="N671" s="19" t="s">
        <v>875</v>
      </c>
      <c r="O671" s="20" t="s">
        <v>4573</v>
      </c>
    </row>
    <row r="672" spans="1:15" ht="15.75" customHeight="1">
      <c r="A672" s="10" t="s">
        <v>4644</v>
      </c>
      <c r="B672" s="10" t="s">
        <v>27</v>
      </c>
      <c r="C672" s="61" t="s">
        <v>28</v>
      </c>
      <c r="D672" s="13" t="s">
        <v>93</v>
      </c>
      <c r="E672" s="6" t="s">
        <v>4645</v>
      </c>
      <c r="F672" s="17" t="s">
        <v>4650</v>
      </c>
      <c r="G672" s="17"/>
      <c r="H672" s="17" t="s">
        <v>35</v>
      </c>
      <c r="I672" s="6" t="s">
        <v>35</v>
      </c>
      <c r="J672" s="17" t="s">
        <v>36</v>
      </c>
      <c r="K672" s="17" t="s">
        <v>4650</v>
      </c>
      <c r="L672" s="18" t="str">
        <f t="shared" si="10"/>
        <v>0671</v>
      </c>
      <c r="M672" s="18" t="s">
        <v>38</v>
      </c>
      <c r="N672" s="19" t="s">
        <v>28</v>
      </c>
      <c r="O672" s="20" t="s">
        <v>848</v>
      </c>
    </row>
    <row r="673" spans="1:15" ht="15.75" customHeight="1">
      <c r="A673" s="10" t="s">
        <v>4651</v>
      </c>
      <c r="B673" s="10" t="s">
        <v>27</v>
      </c>
      <c r="C673" s="52" t="s">
        <v>868</v>
      </c>
      <c r="D673" s="13" t="s">
        <v>151</v>
      </c>
      <c r="E673" s="6" t="s">
        <v>714</v>
      </c>
      <c r="F673" s="10" t="s">
        <v>4657</v>
      </c>
      <c r="G673" s="17"/>
      <c r="H673" s="17" t="s">
        <v>157</v>
      </c>
      <c r="I673" s="6" t="s">
        <v>158</v>
      </c>
      <c r="J673" s="17" t="s">
        <v>4656</v>
      </c>
      <c r="K673" s="10" t="s">
        <v>4657</v>
      </c>
      <c r="L673" s="18" t="str">
        <f t="shared" si="10"/>
        <v>0672</v>
      </c>
      <c r="M673" s="18" t="s">
        <v>38</v>
      </c>
      <c r="N673" s="19" t="s">
        <v>875</v>
      </c>
      <c r="O673" s="20" t="s">
        <v>4573</v>
      </c>
    </row>
    <row r="674" spans="1:15" ht="15.75" customHeight="1">
      <c r="A674" s="10" t="s">
        <v>4658</v>
      </c>
      <c r="B674" s="10" t="s">
        <v>27</v>
      </c>
      <c r="C674" s="52" t="s">
        <v>868</v>
      </c>
      <c r="D674" s="13" t="s">
        <v>199</v>
      </c>
      <c r="E674" s="6" t="s">
        <v>199</v>
      </c>
      <c r="F674" s="10" t="s">
        <v>4664</v>
      </c>
      <c r="G674" s="17"/>
      <c r="H674" s="17" t="s">
        <v>157</v>
      </c>
      <c r="I674" s="6">
        <v>2378</v>
      </c>
      <c r="J674" s="17" t="s">
        <v>4663</v>
      </c>
      <c r="K674" s="10" t="s">
        <v>4664</v>
      </c>
      <c r="L674" s="18" t="str">
        <f t="shared" si="10"/>
        <v>0673</v>
      </c>
      <c r="M674" s="18" t="s">
        <v>38</v>
      </c>
      <c r="N674" s="19" t="s">
        <v>875</v>
      </c>
      <c r="O674" s="20" t="s">
        <v>4573</v>
      </c>
    </row>
    <row r="675" spans="1:15" ht="15.75" customHeight="1">
      <c r="A675" s="10" t="s">
        <v>4665</v>
      </c>
      <c r="B675" s="10" t="s">
        <v>27</v>
      </c>
      <c r="C675" s="52" t="s">
        <v>868</v>
      </c>
      <c r="D675" s="13" t="s">
        <v>248</v>
      </c>
      <c r="E675" s="6" t="s">
        <v>248</v>
      </c>
      <c r="F675" s="10" t="s">
        <v>4669</v>
      </c>
      <c r="G675" s="17"/>
      <c r="H675" s="17" t="s">
        <v>303</v>
      </c>
      <c r="I675" s="6" t="s">
        <v>304</v>
      </c>
      <c r="J675" s="6" t="s">
        <v>4668</v>
      </c>
      <c r="K675" s="10" t="s">
        <v>4669</v>
      </c>
      <c r="L675" s="18" t="str">
        <f t="shared" si="10"/>
        <v>0674</v>
      </c>
      <c r="M675" s="18" t="s">
        <v>38</v>
      </c>
      <c r="N675" s="19" t="s">
        <v>875</v>
      </c>
      <c r="O675" s="20" t="s">
        <v>4573</v>
      </c>
    </row>
    <row r="676" spans="1:15" ht="15.75" customHeight="1">
      <c r="A676" s="10" t="s">
        <v>4670</v>
      </c>
      <c r="B676" s="10" t="s">
        <v>27</v>
      </c>
      <c r="C676" s="61" t="s">
        <v>28</v>
      </c>
      <c r="D676" s="13" t="s">
        <v>151</v>
      </c>
      <c r="E676" s="6" t="s">
        <v>714</v>
      </c>
      <c r="F676" s="17" t="s">
        <v>4676</v>
      </c>
      <c r="G676" s="17"/>
      <c r="H676" s="17" t="s">
        <v>719</v>
      </c>
      <c r="I676" s="6" t="s">
        <v>720</v>
      </c>
      <c r="J676" s="17" t="s">
        <v>4675</v>
      </c>
      <c r="K676" s="17" t="s">
        <v>4676</v>
      </c>
      <c r="L676" s="18" t="str">
        <f t="shared" si="10"/>
        <v>0675</v>
      </c>
      <c r="M676" s="18" t="s">
        <v>4677</v>
      </c>
      <c r="N676" s="19" t="s">
        <v>147</v>
      </c>
      <c r="O676" s="20" t="s">
        <v>385</v>
      </c>
    </row>
    <row r="677" spans="1:15" ht="15.75" customHeight="1">
      <c r="A677" s="10" t="s">
        <v>4678</v>
      </c>
      <c r="B677" s="10" t="s">
        <v>27</v>
      </c>
      <c r="C677" s="52" t="s">
        <v>868</v>
      </c>
      <c r="D677" s="13" t="s">
        <v>184</v>
      </c>
      <c r="E677" s="6" t="s">
        <v>4679</v>
      </c>
      <c r="F677" s="35" t="s">
        <v>4685</v>
      </c>
      <c r="G677" s="17"/>
      <c r="H677" s="35" t="s">
        <v>4684</v>
      </c>
      <c r="I677" s="6" t="s">
        <v>35</v>
      </c>
      <c r="J677" s="17" t="s">
        <v>36</v>
      </c>
      <c r="K677" s="35" t="s">
        <v>4685</v>
      </c>
      <c r="L677" s="18" t="str">
        <f t="shared" si="10"/>
        <v>0676</v>
      </c>
      <c r="M677" s="18" t="s">
        <v>517</v>
      </c>
      <c r="N677" s="19" t="s">
        <v>875</v>
      </c>
      <c r="O677" s="20" t="s">
        <v>4573</v>
      </c>
    </row>
    <row r="678" spans="1:15" ht="15.75" customHeight="1">
      <c r="A678" s="10" t="s">
        <v>4686</v>
      </c>
      <c r="B678" s="10" t="s">
        <v>27</v>
      </c>
      <c r="C678" s="52" t="s">
        <v>868</v>
      </c>
      <c r="D678" s="13" t="s">
        <v>162</v>
      </c>
      <c r="E678" s="6" t="s">
        <v>285</v>
      </c>
      <c r="F678" s="35" t="s">
        <v>4692</v>
      </c>
      <c r="G678" s="17"/>
      <c r="H678" s="17" t="s">
        <v>168</v>
      </c>
      <c r="I678" s="6" t="s">
        <v>169</v>
      </c>
      <c r="J678" s="17" t="s">
        <v>4691</v>
      </c>
      <c r="K678" s="35" t="s">
        <v>4692</v>
      </c>
      <c r="L678" s="18" t="str">
        <f t="shared" si="10"/>
        <v>0677</v>
      </c>
      <c r="M678" s="18" t="s">
        <v>38</v>
      </c>
      <c r="N678" s="19" t="s">
        <v>875</v>
      </c>
      <c r="O678" s="20" t="s">
        <v>4573</v>
      </c>
    </row>
    <row r="679" spans="1:15" ht="15.75" customHeight="1">
      <c r="A679" s="10" t="s">
        <v>4693</v>
      </c>
      <c r="B679" s="10" t="s">
        <v>27</v>
      </c>
      <c r="C679" s="52" t="s">
        <v>868</v>
      </c>
      <c r="D679" s="13" t="s">
        <v>151</v>
      </c>
      <c r="E679" s="6" t="s">
        <v>4113</v>
      </c>
      <c r="F679" s="10" t="s">
        <v>85</v>
      </c>
      <c r="G679" s="17"/>
      <c r="H679" s="17" t="s">
        <v>297</v>
      </c>
      <c r="I679" s="6" t="s">
        <v>298</v>
      </c>
      <c r="J679" s="6" t="s">
        <v>4697</v>
      </c>
      <c r="K679" s="10" t="s">
        <v>85</v>
      </c>
      <c r="L679" s="18" t="str">
        <f t="shared" si="10"/>
        <v>0678</v>
      </c>
      <c r="M679" s="18" t="s">
        <v>38</v>
      </c>
      <c r="N679" s="19" t="s">
        <v>875</v>
      </c>
      <c r="O679" s="22" t="s">
        <v>4629</v>
      </c>
    </row>
    <row r="680" spans="1:15" ht="15.75" customHeight="1">
      <c r="A680" s="10" t="s">
        <v>4698</v>
      </c>
      <c r="B680" s="10" t="s">
        <v>27</v>
      </c>
      <c r="C680" s="52" t="s">
        <v>868</v>
      </c>
      <c r="D680" s="13" t="s">
        <v>199</v>
      </c>
      <c r="E680" s="6" t="s">
        <v>199</v>
      </c>
      <c r="F680" s="10" t="s">
        <v>85</v>
      </c>
      <c r="G680" s="17"/>
      <c r="H680" s="17" t="s">
        <v>273</v>
      </c>
      <c r="I680" s="6" t="s">
        <v>274</v>
      </c>
      <c r="J680" s="6">
        <v>11392903014603</v>
      </c>
      <c r="K680" s="10" t="s">
        <v>85</v>
      </c>
      <c r="L680" s="18" t="str">
        <f t="shared" si="10"/>
        <v>0679</v>
      </c>
      <c r="M680" s="18" t="s">
        <v>38</v>
      </c>
      <c r="N680" s="19" t="s">
        <v>875</v>
      </c>
      <c r="O680" s="22" t="s">
        <v>4629</v>
      </c>
    </row>
    <row r="681" spans="1:15" ht="15.75" customHeight="1">
      <c r="A681" s="10" t="s">
        <v>4702</v>
      </c>
      <c r="B681" s="10" t="s">
        <v>27</v>
      </c>
      <c r="C681" s="52" t="s">
        <v>868</v>
      </c>
      <c r="D681" s="13" t="s">
        <v>353</v>
      </c>
      <c r="E681" s="6" t="s">
        <v>354</v>
      </c>
      <c r="F681" s="10" t="s">
        <v>4708</v>
      </c>
      <c r="G681" s="17"/>
      <c r="H681" s="17" t="s">
        <v>359</v>
      </c>
      <c r="I681" s="6" t="s">
        <v>7306</v>
      </c>
      <c r="J681" s="6" t="s">
        <v>4707</v>
      </c>
      <c r="K681" s="10" t="s">
        <v>4708</v>
      </c>
      <c r="L681" s="18" t="str">
        <f t="shared" si="10"/>
        <v>0680</v>
      </c>
      <c r="M681" s="18" t="s">
        <v>38</v>
      </c>
      <c r="N681" s="19" t="s">
        <v>875</v>
      </c>
      <c r="O681" s="22" t="s">
        <v>4629</v>
      </c>
    </row>
    <row r="682" spans="1:15" ht="15.75" customHeight="1">
      <c r="A682" s="10" t="s">
        <v>4709</v>
      </c>
      <c r="B682" s="10" t="s">
        <v>27</v>
      </c>
      <c r="C682" s="52" t="s">
        <v>868</v>
      </c>
      <c r="D682" s="13" t="s">
        <v>62</v>
      </c>
      <c r="E682" s="6" t="s">
        <v>4710</v>
      </c>
      <c r="F682" s="17" t="s">
        <v>4715</v>
      </c>
      <c r="G682" s="17"/>
      <c r="H682" s="17" t="s">
        <v>35</v>
      </c>
      <c r="I682" s="6" t="s">
        <v>35</v>
      </c>
      <c r="J682" s="17" t="s">
        <v>36</v>
      </c>
      <c r="K682" s="17" t="s">
        <v>4715</v>
      </c>
      <c r="L682" s="18" t="str">
        <f t="shared" si="10"/>
        <v>0681</v>
      </c>
      <c r="M682" s="18" t="s">
        <v>100</v>
      </c>
      <c r="N682" s="19" t="s">
        <v>875</v>
      </c>
      <c r="O682" s="20" t="s">
        <v>4573</v>
      </c>
    </row>
    <row r="683" spans="1:15" ht="15.75" customHeight="1">
      <c r="A683" s="10" t="s">
        <v>4716</v>
      </c>
      <c r="B683" s="10" t="s">
        <v>27</v>
      </c>
      <c r="C683" s="52" t="s">
        <v>868</v>
      </c>
      <c r="D683" s="13" t="s">
        <v>62</v>
      </c>
      <c r="E683" s="6" t="s">
        <v>4717</v>
      </c>
      <c r="F683" s="35" t="s">
        <v>4722</v>
      </c>
      <c r="G683" s="17"/>
      <c r="H683" s="17" t="s">
        <v>35</v>
      </c>
      <c r="I683" s="6" t="s">
        <v>35</v>
      </c>
      <c r="J683" s="17" t="s">
        <v>36</v>
      </c>
      <c r="K683" s="35" t="s">
        <v>4722</v>
      </c>
      <c r="L683" s="18" t="str">
        <f t="shared" si="10"/>
        <v>0682</v>
      </c>
      <c r="M683" s="18" t="s">
        <v>517</v>
      </c>
      <c r="N683" s="19" t="s">
        <v>875</v>
      </c>
      <c r="O683" s="20" t="s">
        <v>4573</v>
      </c>
    </row>
    <row r="684" spans="1:15" ht="15.75" customHeight="1">
      <c r="A684" s="10" t="s">
        <v>4723</v>
      </c>
      <c r="B684" s="10" t="s">
        <v>27</v>
      </c>
      <c r="C684" s="52" t="s">
        <v>868</v>
      </c>
      <c r="D684" s="13" t="s">
        <v>62</v>
      </c>
      <c r="E684" s="6" t="s">
        <v>4724</v>
      </c>
      <c r="F684" s="17" t="s">
        <v>4729</v>
      </c>
      <c r="G684" s="17"/>
      <c r="H684" s="17" t="s">
        <v>35</v>
      </c>
      <c r="I684" s="6" t="s">
        <v>35</v>
      </c>
      <c r="J684" s="17" t="s">
        <v>36</v>
      </c>
      <c r="K684" s="17" t="s">
        <v>4729</v>
      </c>
      <c r="L684" s="18" t="str">
        <f t="shared" si="10"/>
        <v>0683</v>
      </c>
      <c r="M684" s="18" t="s">
        <v>38</v>
      </c>
      <c r="N684" s="19" t="s">
        <v>875</v>
      </c>
      <c r="O684" s="20" t="s">
        <v>876</v>
      </c>
    </row>
    <row r="685" spans="1:15" ht="15.75" customHeight="1">
      <c r="A685" s="10" t="s">
        <v>4730</v>
      </c>
      <c r="B685" s="10" t="s">
        <v>27</v>
      </c>
      <c r="C685" s="52" t="s">
        <v>868</v>
      </c>
      <c r="D685" s="13" t="s">
        <v>62</v>
      </c>
      <c r="E685" s="6" t="s">
        <v>4731</v>
      </c>
      <c r="F685" s="17" t="s">
        <v>4736</v>
      </c>
      <c r="G685" s="17"/>
      <c r="H685" s="17" t="s">
        <v>35</v>
      </c>
      <c r="I685" s="6" t="s">
        <v>35</v>
      </c>
      <c r="J685" s="17" t="s">
        <v>36</v>
      </c>
      <c r="K685" s="17" t="s">
        <v>4736</v>
      </c>
      <c r="L685" s="18" t="str">
        <f t="shared" si="10"/>
        <v>0684</v>
      </c>
      <c r="M685" s="18" t="s">
        <v>38</v>
      </c>
      <c r="N685" s="19" t="s">
        <v>875</v>
      </c>
      <c r="O685" s="20" t="s">
        <v>4737</v>
      </c>
    </row>
    <row r="686" spans="1:15" ht="15.75" customHeight="1">
      <c r="A686" s="10" t="s">
        <v>4738</v>
      </c>
      <c r="B686" s="10" t="s">
        <v>27</v>
      </c>
      <c r="C686" s="52" t="s">
        <v>868</v>
      </c>
      <c r="D686" s="13" t="s">
        <v>62</v>
      </c>
      <c r="E686" s="6" t="s">
        <v>4739</v>
      </c>
      <c r="F686" s="17" t="s">
        <v>4744</v>
      </c>
      <c r="G686" s="17"/>
      <c r="H686" s="17" t="s">
        <v>35</v>
      </c>
      <c r="I686" s="6" t="s">
        <v>35</v>
      </c>
      <c r="J686" s="46" t="s">
        <v>36</v>
      </c>
      <c r="K686" s="17" t="s">
        <v>4744</v>
      </c>
      <c r="L686" s="18" t="str">
        <f t="shared" si="10"/>
        <v>0685</v>
      </c>
      <c r="M686" s="18" t="s">
        <v>38</v>
      </c>
      <c r="N686" s="19" t="s">
        <v>875</v>
      </c>
      <c r="O686" s="20" t="s">
        <v>4573</v>
      </c>
    </row>
    <row r="687" spans="1:15" ht="15.75" customHeight="1">
      <c r="A687" s="10" t="s">
        <v>4745</v>
      </c>
      <c r="B687" s="10" t="s">
        <v>27</v>
      </c>
      <c r="C687" s="61" t="s">
        <v>28</v>
      </c>
      <c r="D687" s="13" t="s">
        <v>378</v>
      </c>
      <c r="E687" s="6" t="s">
        <v>878</v>
      </c>
      <c r="F687" s="17" t="s">
        <v>4750</v>
      </c>
      <c r="G687" s="17"/>
      <c r="H687" s="17" t="s">
        <v>35</v>
      </c>
      <c r="I687" s="6" t="s">
        <v>35</v>
      </c>
      <c r="J687" s="17" t="s">
        <v>36</v>
      </c>
      <c r="K687" s="17" t="s">
        <v>4750</v>
      </c>
      <c r="L687" s="18" t="str">
        <f t="shared" si="10"/>
        <v>0686</v>
      </c>
      <c r="M687" s="18" t="s">
        <v>38</v>
      </c>
      <c r="N687" s="19" t="s">
        <v>28</v>
      </c>
      <c r="O687" s="20" t="s">
        <v>39</v>
      </c>
    </row>
    <row r="688" spans="1:15" ht="15.75" customHeight="1">
      <c r="A688" s="10" t="s">
        <v>4751</v>
      </c>
      <c r="B688" s="10" t="s">
        <v>27</v>
      </c>
      <c r="C688" s="61" t="s">
        <v>28</v>
      </c>
      <c r="D688" s="13" t="s">
        <v>62</v>
      </c>
      <c r="E688" s="6" t="s">
        <v>4752</v>
      </c>
      <c r="F688" s="17" t="s">
        <v>4757</v>
      </c>
      <c r="G688" s="17"/>
      <c r="H688" s="17" t="s">
        <v>35</v>
      </c>
      <c r="I688" s="6" t="s">
        <v>35</v>
      </c>
      <c r="J688" s="17" t="s">
        <v>36</v>
      </c>
      <c r="K688" s="17" t="s">
        <v>4757</v>
      </c>
      <c r="L688" s="18" t="str">
        <f t="shared" si="10"/>
        <v>0687</v>
      </c>
      <c r="M688" s="18" t="s">
        <v>38</v>
      </c>
      <c r="N688" s="19" t="s">
        <v>723</v>
      </c>
      <c r="O688" s="20" t="s">
        <v>724</v>
      </c>
    </row>
    <row r="689" spans="1:15" ht="15.75" customHeight="1">
      <c r="A689" s="10" t="s">
        <v>4758</v>
      </c>
      <c r="B689" s="10" t="s">
        <v>27</v>
      </c>
      <c r="C689" s="52" t="s">
        <v>868</v>
      </c>
      <c r="D689" s="13" t="s">
        <v>93</v>
      </c>
      <c r="E689" s="6" t="s">
        <v>4759</v>
      </c>
      <c r="F689" s="35" t="s">
        <v>4764</v>
      </c>
      <c r="G689" s="17"/>
      <c r="H689" s="17" t="s">
        <v>35</v>
      </c>
      <c r="I689" s="6" t="s">
        <v>35</v>
      </c>
      <c r="J689" s="17" t="s">
        <v>36</v>
      </c>
      <c r="K689" s="35" t="s">
        <v>4764</v>
      </c>
      <c r="L689" s="18" t="str">
        <f t="shared" si="10"/>
        <v>0688</v>
      </c>
      <c r="M689" s="18" t="s">
        <v>38</v>
      </c>
      <c r="N689" s="19" t="s">
        <v>875</v>
      </c>
      <c r="O689" s="20" t="s">
        <v>4573</v>
      </c>
    </row>
    <row r="690" spans="1:15" ht="15.75" customHeight="1">
      <c r="A690" s="10" t="s">
        <v>4765</v>
      </c>
      <c r="B690" s="10" t="s">
        <v>27</v>
      </c>
      <c r="C690" s="52" t="s">
        <v>868</v>
      </c>
      <c r="D690" s="13" t="s">
        <v>43</v>
      </c>
      <c r="E690" s="6" t="s">
        <v>4766</v>
      </c>
      <c r="F690" s="10" t="s">
        <v>4771</v>
      </c>
      <c r="G690" s="17"/>
      <c r="H690" s="17" t="s">
        <v>4602</v>
      </c>
      <c r="I690" s="6">
        <v>10186</v>
      </c>
      <c r="J690" s="6" t="s">
        <v>36</v>
      </c>
      <c r="K690" s="10" t="s">
        <v>4771</v>
      </c>
      <c r="L690" s="18" t="str">
        <f t="shared" si="10"/>
        <v>0689</v>
      </c>
      <c r="M690" s="18" t="s">
        <v>38</v>
      </c>
      <c r="N690" s="19" t="s">
        <v>875</v>
      </c>
      <c r="O690" s="22" t="s">
        <v>1004</v>
      </c>
    </row>
    <row r="691" spans="1:15" ht="15.75" customHeight="1">
      <c r="A691" s="10" t="s">
        <v>4772</v>
      </c>
      <c r="B691" s="10" t="s">
        <v>27</v>
      </c>
      <c r="C691" s="52" t="s">
        <v>868</v>
      </c>
      <c r="D691" s="13" t="s">
        <v>116</v>
      </c>
      <c r="E691" s="6" t="s">
        <v>4773</v>
      </c>
      <c r="F691" s="17" t="s">
        <v>4778</v>
      </c>
      <c r="G691" s="17"/>
      <c r="H691" s="17" t="s">
        <v>35</v>
      </c>
      <c r="I691" s="6" t="s">
        <v>35</v>
      </c>
      <c r="J691" s="17" t="s">
        <v>36</v>
      </c>
      <c r="K691" s="17" t="s">
        <v>4778</v>
      </c>
      <c r="L691" s="18" t="str">
        <f t="shared" si="10"/>
        <v>0690</v>
      </c>
      <c r="M691" s="18" t="s">
        <v>38</v>
      </c>
      <c r="N691" s="19" t="s">
        <v>875</v>
      </c>
      <c r="O691" s="22" t="s">
        <v>1004</v>
      </c>
    </row>
    <row r="692" spans="1:15" ht="15.75" customHeight="1">
      <c r="A692" s="10" t="s">
        <v>4779</v>
      </c>
      <c r="B692" s="10" t="s">
        <v>27</v>
      </c>
      <c r="C692" s="52" t="s">
        <v>868</v>
      </c>
      <c r="D692" s="13" t="s">
        <v>93</v>
      </c>
      <c r="E692" s="6" t="s">
        <v>1739</v>
      </c>
      <c r="F692" s="17" t="s">
        <v>4784</v>
      </c>
      <c r="G692" s="17"/>
      <c r="H692" s="17" t="s">
        <v>35</v>
      </c>
      <c r="I692" s="6" t="s">
        <v>35</v>
      </c>
      <c r="J692" s="17" t="s">
        <v>36</v>
      </c>
      <c r="K692" s="17" t="s">
        <v>4784</v>
      </c>
      <c r="L692" s="18" t="str">
        <f t="shared" si="10"/>
        <v>0691</v>
      </c>
      <c r="M692" s="18" t="s">
        <v>38</v>
      </c>
      <c r="N692" s="19" t="s">
        <v>875</v>
      </c>
      <c r="O692" s="22" t="s">
        <v>1004</v>
      </c>
    </row>
    <row r="693" spans="1:15" ht="15.75" customHeight="1">
      <c r="A693" s="55" t="s">
        <v>4785</v>
      </c>
      <c r="B693" s="10" t="s">
        <v>27</v>
      </c>
      <c r="C693" s="61" t="s">
        <v>28</v>
      </c>
      <c r="D693" s="13" t="s">
        <v>151</v>
      </c>
      <c r="E693" s="6" t="s">
        <v>714</v>
      </c>
      <c r="F693" s="17" t="s">
        <v>4791</v>
      </c>
      <c r="G693" s="17"/>
      <c r="H693" s="17" t="s">
        <v>719</v>
      </c>
      <c r="I693" s="6" t="s">
        <v>720</v>
      </c>
      <c r="J693" s="6" t="s">
        <v>4790</v>
      </c>
      <c r="K693" s="17" t="s">
        <v>4791</v>
      </c>
      <c r="L693" s="18" t="str">
        <f t="shared" si="10"/>
        <v>0692</v>
      </c>
      <c r="M693" s="18" t="s">
        <v>38</v>
      </c>
      <c r="N693" s="19" t="s">
        <v>147</v>
      </c>
      <c r="O693" s="20" t="s">
        <v>385</v>
      </c>
    </row>
    <row r="694" spans="1:15" ht="15.75" customHeight="1">
      <c r="A694" s="10" t="s">
        <v>4792</v>
      </c>
      <c r="B694" s="10" t="s">
        <v>27</v>
      </c>
      <c r="C694" s="61" t="s">
        <v>28</v>
      </c>
      <c r="D694" s="13" t="s">
        <v>199</v>
      </c>
      <c r="E694" s="6" t="s">
        <v>199</v>
      </c>
      <c r="F694" s="17" t="s">
        <v>4798</v>
      </c>
      <c r="G694" s="17"/>
      <c r="H694" s="17" t="s">
        <v>205</v>
      </c>
      <c r="I694" s="6" t="s">
        <v>794</v>
      </c>
      <c r="J694" s="17" t="s">
        <v>4797</v>
      </c>
      <c r="K694" s="17" t="s">
        <v>4798</v>
      </c>
      <c r="L694" s="18" t="str">
        <f t="shared" si="10"/>
        <v>0693</v>
      </c>
      <c r="M694" s="18" t="s">
        <v>100</v>
      </c>
      <c r="N694" s="19" t="s">
        <v>147</v>
      </c>
      <c r="O694" s="20" t="s">
        <v>385</v>
      </c>
    </row>
    <row r="695" spans="1:15" ht="15.75" customHeight="1">
      <c r="A695" s="10" t="s">
        <v>4799</v>
      </c>
      <c r="B695" s="10" t="s">
        <v>27</v>
      </c>
      <c r="C695" s="52" t="s">
        <v>868</v>
      </c>
      <c r="D695" s="13" t="s">
        <v>1240</v>
      </c>
      <c r="E695" s="6" t="s">
        <v>278</v>
      </c>
      <c r="F695" s="17" t="s">
        <v>4804</v>
      </c>
      <c r="G695" s="17"/>
      <c r="H695" s="17" t="s">
        <v>35</v>
      </c>
      <c r="I695" s="6" t="s">
        <v>35</v>
      </c>
      <c r="J695" s="17" t="s">
        <v>36</v>
      </c>
      <c r="K695" s="17" t="s">
        <v>4804</v>
      </c>
      <c r="L695" s="18" t="str">
        <f t="shared" si="10"/>
        <v>0694</v>
      </c>
      <c r="M695" s="18" t="s">
        <v>38</v>
      </c>
      <c r="N695" s="19" t="s">
        <v>875</v>
      </c>
      <c r="O695" s="22" t="s">
        <v>1004</v>
      </c>
    </row>
    <row r="696" spans="1:15" ht="15.75" customHeight="1">
      <c r="A696" s="10" t="s">
        <v>4805</v>
      </c>
      <c r="B696" s="10" t="s">
        <v>27</v>
      </c>
      <c r="C696" s="52" t="s">
        <v>868</v>
      </c>
      <c r="D696" s="13" t="s">
        <v>248</v>
      </c>
      <c r="E696" s="6" t="s">
        <v>249</v>
      </c>
      <c r="F696" s="10" t="s">
        <v>4813</v>
      </c>
      <c r="G696" s="17"/>
      <c r="H696" s="17" t="s">
        <v>4810</v>
      </c>
      <c r="I696" s="6" t="s">
        <v>4811</v>
      </c>
      <c r="J696" s="17" t="s">
        <v>4812</v>
      </c>
      <c r="K696" s="10" t="s">
        <v>4813</v>
      </c>
      <c r="L696" s="18" t="str">
        <f t="shared" si="10"/>
        <v>0695</v>
      </c>
      <c r="M696" s="18" t="s">
        <v>38</v>
      </c>
      <c r="N696" s="19" t="s">
        <v>875</v>
      </c>
      <c r="O696" s="22" t="s">
        <v>1004</v>
      </c>
    </row>
    <row r="697" spans="1:15" ht="15.75" customHeight="1">
      <c r="A697" s="10" t="s">
        <v>4814</v>
      </c>
      <c r="B697" s="10" t="s">
        <v>27</v>
      </c>
      <c r="C697" s="52" t="s">
        <v>868</v>
      </c>
      <c r="D697" s="13" t="s">
        <v>184</v>
      </c>
      <c r="E697" s="6" t="s">
        <v>4815</v>
      </c>
      <c r="F697" s="17" t="s">
        <v>4820</v>
      </c>
      <c r="G697" s="17"/>
      <c r="H697" s="17" t="s">
        <v>35</v>
      </c>
      <c r="I697" s="6" t="s">
        <v>35</v>
      </c>
      <c r="J697" s="46" t="s">
        <v>36</v>
      </c>
      <c r="K697" s="17" t="s">
        <v>4820</v>
      </c>
      <c r="L697" s="18" t="str">
        <f t="shared" si="10"/>
        <v>0696</v>
      </c>
      <c r="M697" s="18" t="s">
        <v>517</v>
      </c>
      <c r="N697" s="19" t="s">
        <v>875</v>
      </c>
      <c r="O697" s="22" t="s">
        <v>1004</v>
      </c>
    </row>
    <row r="698" spans="1:15" ht="15.75" customHeight="1">
      <c r="A698" s="10" t="s">
        <v>4821</v>
      </c>
      <c r="B698" s="10" t="s">
        <v>27</v>
      </c>
      <c r="C698" s="52" t="s">
        <v>868</v>
      </c>
      <c r="D698" s="13" t="s">
        <v>62</v>
      </c>
      <c r="E698" s="6" t="s">
        <v>4822</v>
      </c>
      <c r="F698" s="17" t="s">
        <v>4827</v>
      </c>
      <c r="G698" s="17"/>
      <c r="H698" s="17" t="s">
        <v>35</v>
      </c>
      <c r="I698" s="6" t="s">
        <v>35</v>
      </c>
      <c r="J698" s="17" t="s">
        <v>36</v>
      </c>
      <c r="K698" s="17" t="s">
        <v>4827</v>
      </c>
      <c r="L698" s="18" t="str">
        <f t="shared" si="10"/>
        <v>0697</v>
      </c>
      <c r="M698" s="18" t="s">
        <v>38</v>
      </c>
      <c r="N698" s="19" t="s">
        <v>875</v>
      </c>
      <c r="O698" s="20" t="s">
        <v>4629</v>
      </c>
    </row>
    <row r="699" spans="1:15" ht="15.75" customHeight="1">
      <c r="A699" s="10" t="s">
        <v>4828</v>
      </c>
      <c r="B699" s="10" t="s">
        <v>27</v>
      </c>
      <c r="C699" s="52" t="s">
        <v>868</v>
      </c>
      <c r="D699" s="13" t="s">
        <v>116</v>
      </c>
      <c r="E699" s="6" t="s">
        <v>364</v>
      </c>
      <c r="F699" s="17" t="s">
        <v>4833</v>
      </c>
      <c r="G699" s="17"/>
      <c r="H699" s="17" t="s">
        <v>35</v>
      </c>
      <c r="I699" s="6" t="s">
        <v>35</v>
      </c>
      <c r="J699" s="17" t="s">
        <v>36</v>
      </c>
      <c r="K699" s="17" t="s">
        <v>4833</v>
      </c>
      <c r="L699" s="18" t="str">
        <f t="shared" si="10"/>
        <v>0698</v>
      </c>
      <c r="M699" s="18" t="s">
        <v>38</v>
      </c>
      <c r="N699" s="19" t="s">
        <v>875</v>
      </c>
      <c r="O699" s="20" t="s">
        <v>4629</v>
      </c>
    </row>
    <row r="700" spans="1:15" ht="15.75" customHeight="1">
      <c r="A700" s="10" t="s">
        <v>4834</v>
      </c>
      <c r="B700" s="10" t="s">
        <v>27</v>
      </c>
      <c r="C700" s="52" t="s">
        <v>868</v>
      </c>
      <c r="D700" s="13" t="s">
        <v>93</v>
      </c>
      <c r="E700" s="6" t="s">
        <v>1739</v>
      </c>
      <c r="F700" s="17" t="s">
        <v>4839</v>
      </c>
      <c r="G700" s="17"/>
      <c r="H700" s="17" t="s">
        <v>35</v>
      </c>
      <c r="I700" s="6" t="s">
        <v>35</v>
      </c>
      <c r="J700" s="17" t="s">
        <v>36</v>
      </c>
      <c r="K700" s="17" t="s">
        <v>4839</v>
      </c>
      <c r="L700" s="18" t="str">
        <f t="shared" si="10"/>
        <v>0699</v>
      </c>
      <c r="M700" s="18" t="s">
        <v>38</v>
      </c>
      <c r="N700" s="19" t="s">
        <v>875</v>
      </c>
      <c r="O700" s="20" t="s">
        <v>4629</v>
      </c>
    </row>
    <row r="701" spans="1:15" ht="15.75" customHeight="1">
      <c r="A701" s="10" t="s">
        <v>4840</v>
      </c>
      <c r="B701" s="10" t="s">
        <v>27</v>
      </c>
      <c r="C701" s="52" t="s">
        <v>868</v>
      </c>
      <c r="D701" s="13" t="s">
        <v>248</v>
      </c>
      <c r="E701" s="6" t="s">
        <v>249</v>
      </c>
      <c r="F701" s="17" t="s">
        <v>4846</v>
      </c>
      <c r="G701" s="17"/>
      <c r="H701" s="17" t="s">
        <v>978</v>
      </c>
      <c r="I701" s="6" t="s">
        <v>979</v>
      </c>
      <c r="J701" s="17" t="s">
        <v>4845</v>
      </c>
      <c r="K701" s="17" t="s">
        <v>4846</v>
      </c>
      <c r="L701" s="18" t="str">
        <f t="shared" si="10"/>
        <v>0700</v>
      </c>
      <c r="M701" s="18" t="s">
        <v>38</v>
      </c>
      <c r="N701" s="19" t="s">
        <v>875</v>
      </c>
      <c r="O701" s="20" t="s">
        <v>4629</v>
      </c>
    </row>
    <row r="702" spans="1:15" ht="15.75" customHeight="1">
      <c r="A702" s="10" t="s">
        <v>4847</v>
      </c>
      <c r="B702" s="10" t="s">
        <v>27</v>
      </c>
      <c r="C702" s="52" t="s">
        <v>868</v>
      </c>
      <c r="D702" s="13" t="s">
        <v>162</v>
      </c>
      <c r="E702" s="6" t="s">
        <v>285</v>
      </c>
      <c r="F702" s="17" t="s">
        <v>4853</v>
      </c>
      <c r="G702" s="17"/>
      <c r="H702" s="17" t="s">
        <v>168</v>
      </c>
      <c r="I702" s="6" t="s">
        <v>169</v>
      </c>
      <c r="J702" s="46" t="s">
        <v>4852</v>
      </c>
      <c r="K702" s="17" t="s">
        <v>4853</v>
      </c>
      <c r="L702" s="18" t="str">
        <f t="shared" si="10"/>
        <v>0701</v>
      </c>
      <c r="M702" s="18" t="s">
        <v>549</v>
      </c>
      <c r="N702" s="19" t="s">
        <v>875</v>
      </c>
      <c r="O702" s="20" t="s">
        <v>4629</v>
      </c>
    </row>
    <row r="703" spans="1:15" ht="15.75" customHeight="1">
      <c r="A703" s="10" t="s">
        <v>4854</v>
      </c>
      <c r="B703" s="10" t="s">
        <v>27</v>
      </c>
      <c r="C703" s="52" t="s">
        <v>868</v>
      </c>
      <c r="D703" s="13" t="s">
        <v>93</v>
      </c>
      <c r="E703" s="6" t="s">
        <v>4855</v>
      </c>
      <c r="F703" s="35" t="s">
        <v>7312</v>
      </c>
      <c r="G703" s="17"/>
      <c r="H703" s="17" t="s">
        <v>35</v>
      </c>
      <c r="I703" s="6" t="s">
        <v>35</v>
      </c>
      <c r="J703" s="17" t="s">
        <v>36</v>
      </c>
      <c r="K703" s="35" t="s">
        <v>7312</v>
      </c>
      <c r="L703" s="18" t="str">
        <f t="shared" si="10"/>
        <v>0702</v>
      </c>
      <c r="M703" s="18" t="s">
        <v>38</v>
      </c>
      <c r="N703" s="19" t="s">
        <v>875</v>
      </c>
      <c r="O703" s="20" t="s">
        <v>4737</v>
      </c>
    </row>
    <row r="704" spans="1:15" ht="15.75" customHeight="1">
      <c r="A704" s="10" t="s">
        <v>4861</v>
      </c>
      <c r="B704" s="10" t="s">
        <v>27</v>
      </c>
      <c r="C704" s="52" t="s">
        <v>868</v>
      </c>
      <c r="D704" s="13" t="s">
        <v>116</v>
      </c>
      <c r="E704" s="6" t="s">
        <v>1443</v>
      </c>
      <c r="F704" s="17" t="s">
        <v>4866</v>
      </c>
      <c r="G704" s="17"/>
      <c r="H704" s="17" t="s">
        <v>35</v>
      </c>
      <c r="I704" s="6" t="s">
        <v>35</v>
      </c>
      <c r="J704" s="17" t="s">
        <v>36</v>
      </c>
      <c r="K704" s="17" t="s">
        <v>4866</v>
      </c>
      <c r="L704" s="18" t="str">
        <f t="shared" si="10"/>
        <v>0703</v>
      </c>
      <c r="M704" s="18" t="s">
        <v>38</v>
      </c>
      <c r="N704" s="19" t="s">
        <v>875</v>
      </c>
      <c r="O704" s="22" t="s">
        <v>4737</v>
      </c>
    </row>
    <row r="705" spans="1:15" ht="15.75" customHeight="1">
      <c r="A705" s="10" t="s">
        <v>4867</v>
      </c>
      <c r="B705" s="10" t="s">
        <v>27</v>
      </c>
      <c r="C705" s="52" t="s">
        <v>868</v>
      </c>
      <c r="D705" s="13" t="s">
        <v>151</v>
      </c>
      <c r="E705" s="6" t="s">
        <v>714</v>
      </c>
      <c r="F705" s="17" t="s">
        <v>4873</v>
      </c>
      <c r="G705" s="17"/>
      <c r="H705" s="17" t="s">
        <v>1220</v>
      </c>
      <c r="I705" s="6" t="s">
        <v>720</v>
      </c>
      <c r="J705" s="17" t="s">
        <v>4872</v>
      </c>
      <c r="K705" s="17" t="s">
        <v>4873</v>
      </c>
      <c r="L705" s="18" t="str">
        <f t="shared" si="10"/>
        <v>0704</v>
      </c>
      <c r="M705" s="18" t="s">
        <v>38</v>
      </c>
      <c r="N705" s="19" t="s">
        <v>875</v>
      </c>
      <c r="O705" s="22" t="s">
        <v>4737</v>
      </c>
    </row>
    <row r="706" spans="1:15" ht="15.75" customHeight="1">
      <c r="A706" s="10" t="s">
        <v>4874</v>
      </c>
      <c r="B706" s="10" t="s">
        <v>27</v>
      </c>
      <c r="C706" s="52" t="s">
        <v>868</v>
      </c>
      <c r="D706" s="13" t="s">
        <v>199</v>
      </c>
      <c r="E706" s="6" t="s">
        <v>199</v>
      </c>
      <c r="F706" s="17" t="s">
        <v>4880</v>
      </c>
      <c r="G706" s="17"/>
      <c r="H706" s="17" t="s">
        <v>297</v>
      </c>
      <c r="I706" s="6" t="s">
        <v>1399</v>
      </c>
      <c r="J706" s="35" t="s">
        <v>4879</v>
      </c>
      <c r="K706" s="17" t="s">
        <v>4880</v>
      </c>
      <c r="L706" s="18" t="str">
        <f t="shared" ref="L706:L769" si="11">A706</f>
        <v>0705</v>
      </c>
      <c r="M706" s="18" t="s">
        <v>38</v>
      </c>
      <c r="N706" s="19" t="s">
        <v>875</v>
      </c>
      <c r="O706" s="22" t="s">
        <v>4737</v>
      </c>
    </row>
    <row r="707" spans="1:15" ht="15.75" customHeight="1">
      <c r="A707" s="10" t="s">
        <v>4881</v>
      </c>
      <c r="B707" s="10" t="s">
        <v>27</v>
      </c>
      <c r="C707" s="52" t="s">
        <v>868</v>
      </c>
      <c r="D707" s="13" t="s">
        <v>162</v>
      </c>
      <c r="E707" s="43" t="s">
        <v>285</v>
      </c>
      <c r="F707" s="10" t="s">
        <v>4887</v>
      </c>
      <c r="G707" s="17"/>
      <c r="H707" s="17" t="s">
        <v>663</v>
      </c>
      <c r="I707" s="6" t="s">
        <v>664</v>
      </c>
      <c r="J707" s="17" t="s">
        <v>4886</v>
      </c>
      <c r="K707" s="10" t="s">
        <v>4887</v>
      </c>
      <c r="L707" s="18" t="str">
        <f t="shared" si="11"/>
        <v>0706</v>
      </c>
      <c r="M707" s="18" t="s">
        <v>38</v>
      </c>
      <c r="N707" s="19" t="s">
        <v>875</v>
      </c>
      <c r="O707" s="22" t="s">
        <v>4737</v>
      </c>
    </row>
    <row r="708" spans="1:15" ht="15.75" customHeight="1">
      <c r="A708" s="10" t="s">
        <v>4888</v>
      </c>
      <c r="B708" s="10" t="s">
        <v>27</v>
      </c>
      <c r="C708" s="52" t="s">
        <v>868</v>
      </c>
      <c r="D708" s="13" t="s">
        <v>248</v>
      </c>
      <c r="E708" s="6" t="s">
        <v>249</v>
      </c>
      <c r="F708" s="17" t="s">
        <v>4894</v>
      </c>
      <c r="G708" s="17"/>
      <c r="H708" s="17" t="s">
        <v>978</v>
      </c>
      <c r="I708" s="6" t="s">
        <v>979</v>
      </c>
      <c r="J708" s="17" t="s">
        <v>4893</v>
      </c>
      <c r="K708" s="17" t="s">
        <v>4894</v>
      </c>
      <c r="L708" s="18" t="str">
        <f t="shared" si="11"/>
        <v>0707</v>
      </c>
      <c r="M708" s="18" t="s">
        <v>38</v>
      </c>
      <c r="N708" s="19" t="s">
        <v>875</v>
      </c>
      <c r="O708" s="22" t="s">
        <v>4737</v>
      </c>
    </row>
    <row r="709" spans="1:15" ht="15.75" customHeight="1">
      <c r="A709" s="10" t="s">
        <v>4895</v>
      </c>
      <c r="B709" s="10" t="s">
        <v>27</v>
      </c>
      <c r="C709" s="52" t="s">
        <v>868</v>
      </c>
      <c r="D709" s="13" t="s">
        <v>378</v>
      </c>
      <c r="E709" s="6" t="s">
        <v>379</v>
      </c>
      <c r="F709" s="17" t="s">
        <v>4900</v>
      </c>
      <c r="G709" s="17"/>
      <c r="H709" s="17" t="s">
        <v>35</v>
      </c>
      <c r="I709" s="6" t="s">
        <v>35</v>
      </c>
      <c r="J709" s="17" t="s">
        <v>36</v>
      </c>
      <c r="K709" s="17" t="s">
        <v>4900</v>
      </c>
      <c r="L709" s="18" t="str">
        <f t="shared" si="11"/>
        <v>0708</v>
      </c>
      <c r="M709" s="18" t="s">
        <v>38</v>
      </c>
      <c r="N709" s="19" t="s">
        <v>875</v>
      </c>
      <c r="O709" s="22" t="s">
        <v>4737</v>
      </c>
    </row>
    <row r="710" spans="1:15" ht="15.75" customHeight="1">
      <c r="A710" s="10" t="s">
        <v>4901</v>
      </c>
      <c r="B710" s="10" t="s">
        <v>27</v>
      </c>
      <c r="C710" s="61" t="s">
        <v>28</v>
      </c>
      <c r="D710" s="13" t="s">
        <v>378</v>
      </c>
      <c r="E710" s="6" t="s">
        <v>4902</v>
      </c>
      <c r="F710" s="10" t="s">
        <v>4905</v>
      </c>
      <c r="G710" s="17"/>
      <c r="H710" s="17" t="s">
        <v>35</v>
      </c>
      <c r="I710" s="6" t="s">
        <v>35</v>
      </c>
      <c r="J710" s="6" t="s">
        <v>36</v>
      </c>
      <c r="K710" s="10" t="s">
        <v>4905</v>
      </c>
      <c r="L710" s="18" t="str">
        <f t="shared" si="11"/>
        <v>0709</v>
      </c>
      <c r="M710" s="18" t="s">
        <v>38</v>
      </c>
      <c r="N710" s="19" t="s">
        <v>147</v>
      </c>
      <c r="O710" s="20" t="s">
        <v>385</v>
      </c>
    </row>
    <row r="711" spans="1:15" ht="15.75" customHeight="1">
      <c r="A711" s="10" t="s">
        <v>4906</v>
      </c>
      <c r="B711" s="10" t="s">
        <v>27</v>
      </c>
      <c r="C711" s="61" t="s">
        <v>28</v>
      </c>
      <c r="D711" s="13" t="s">
        <v>184</v>
      </c>
      <c r="E711" s="6" t="s">
        <v>4815</v>
      </c>
      <c r="F711" s="17" t="s">
        <v>4911</v>
      </c>
      <c r="G711" s="17"/>
      <c r="H711" s="43" t="s">
        <v>35</v>
      </c>
      <c r="I711" s="6" t="s">
        <v>35</v>
      </c>
      <c r="J711" s="46" t="s">
        <v>36</v>
      </c>
      <c r="K711" s="17" t="s">
        <v>4911</v>
      </c>
      <c r="L711" s="18" t="str">
        <f t="shared" si="11"/>
        <v>0710</v>
      </c>
      <c r="M711" s="18" t="s">
        <v>100</v>
      </c>
      <c r="N711" s="19" t="s">
        <v>147</v>
      </c>
      <c r="O711" s="39" t="s">
        <v>385</v>
      </c>
    </row>
    <row r="712" spans="1:15" ht="15.75" customHeight="1">
      <c r="A712" s="10" t="s">
        <v>4912</v>
      </c>
      <c r="B712" s="10" t="s">
        <v>27</v>
      </c>
      <c r="C712" s="61" t="s">
        <v>28</v>
      </c>
      <c r="D712" s="13" t="s">
        <v>151</v>
      </c>
      <c r="E712" s="6" t="s">
        <v>714</v>
      </c>
      <c r="F712" s="17" t="s">
        <v>4918</v>
      </c>
      <c r="G712" s="17"/>
      <c r="H712" s="17" t="s">
        <v>1220</v>
      </c>
      <c r="I712" s="6" t="s">
        <v>720</v>
      </c>
      <c r="J712" s="17" t="s">
        <v>4917</v>
      </c>
      <c r="K712" s="17" t="s">
        <v>4918</v>
      </c>
      <c r="L712" s="18" t="str">
        <f t="shared" si="11"/>
        <v>0711</v>
      </c>
      <c r="M712" s="18" t="s">
        <v>38</v>
      </c>
      <c r="N712" s="28" t="s">
        <v>147</v>
      </c>
      <c r="O712" s="20" t="s">
        <v>385</v>
      </c>
    </row>
    <row r="713" spans="1:15" ht="15.75" customHeight="1">
      <c r="A713" s="10" t="s">
        <v>4919</v>
      </c>
      <c r="B713" s="10" t="s">
        <v>27</v>
      </c>
      <c r="C713" s="61" t="s">
        <v>28</v>
      </c>
      <c r="D713" s="13" t="s">
        <v>199</v>
      </c>
      <c r="E713" s="6" t="s">
        <v>199</v>
      </c>
      <c r="F713" s="32" t="s">
        <v>4926</v>
      </c>
      <c r="G713" s="17"/>
      <c r="H713" s="17" t="s">
        <v>205</v>
      </c>
      <c r="I713" s="6" t="s">
        <v>7313</v>
      </c>
      <c r="J713" s="46" t="s">
        <v>4925</v>
      </c>
      <c r="K713" s="32" t="s">
        <v>4926</v>
      </c>
      <c r="L713" s="18" t="str">
        <f t="shared" si="11"/>
        <v>0712</v>
      </c>
      <c r="M713" s="18" t="s">
        <v>100</v>
      </c>
      <c r="N713" s="19" t="s">
        <v>147</v>
      </c>
      <c r="O713" s="20" t="s">
        <v>385</v>
      </c>
    </row>
    <row r="714" spans="1:15" ht="15.75" customHeight="1">
      <c r="A714" s="10" t="s">
        <v>4928</v>
      </c>
      <c r="B714" s="10" t="s">
        <v>474</v>
      </c>
      <c r="C714" s="19" t="s">
        <v>28</v>
      </c>
      <c r="D714" s="13" t="s">
        <v>43</v>
      </c>
      <c r="E714" s="43" t="s">
        <v>4929</v>
      </c>
      <c r="F714" s="35" t="s">
        <v>7314</v>
      </c>
      <c r="G714" s="17"/>
      <c r="H714" s="17" t="s">
        <v>406</v>
      </c>
      <c r="I714" s="6" t="s">
        <v>407</v>
      </c>
      <c r="J714" s="17" t="s">
        <v>36</v>
      </c>
      <c r="K714" s="35" t="s">
        <v>7314</v>
      </c>
      <c r="L714" s="18" t="str">
        <f t="shared" si="11"/>
        <v>0713</v>
      </c>
      <c r="M714" s="18" t="s">
        <v>100</v>
      </c>
      <c r="N714" s="19" t="s">
        <v>147</v>
      </c>
      <c r="O714" s="20" t="s">
        <v>385</v>
      </c>
    </row>
    <row r="715" spans="1:15" ht="15.75" customHeight="1">
      <c r="A715" s="10" t="s">
        <v>4936</v>
      </c>
      <c r="B715" s="10" t="s">
        <v>4410</v>
      </c>
      <c r="C715" s="19" t="s">
        <v>4411</v>
      </c>
      <c r="D715" s="13" t="s">
        <v>71</v>
      </c>
      <c r="E715" s="6" t="s">
        <v>4937</v>
      </c>
      <c r="F715" s="35" t="s">
        <v>7315</v>
      </c>
      <c r="G715" s="17"/>
      <c r="H715" s="17" t="s">
        <v>35</v>
      </c>
      <c r="I715" s="6" t="s">
        <v>35</v>
      </c>
      <c r="J715" s="17" t="s">
        <v>36</v>
      </c>
      <c r="K715" s="35" t="s">
        <v>7315</v>
      </c>
      <c r="L715" s="18" t="str">
        <f t="shared" si="11"/>
        <v>0714</v>
      </c>
      <c r="M715" s="18" t="s">
        <v>38</v>
      </c>
      <c r="N715" s="19" t="s">
        <v>4411</v>
      </c>
      <c r="O715" s="22" t="s">
        <v>4935</v>
      </c>
    </row>
    <row r="716" spans="1:15" ht="15.75" customHeight="1">
      <c r="A716" s="10" t="s">
        <v>4943</v>
      </c>
      <c r="B716" s="10" t="s">
        <v>4410</v>
      </c>
      <c r="C716" s="19" t="s">
        <v>4411</v>
      </c>
      <c r="D716" s="13" t="s">
        <v>71</v>
      </c>
      <c r="E716" s="6" t="s">
        <v>4937</v>
      </c>
      <c r="F716" s="17" t="s">
        <v>4948</v>
      </c>
      <c r="G716" s="17"/>
      <c r="H716" s="17" t="s">
        <v>35</v>
      </c>
      <c r="I716" s="6" t="s">
        <v>35</v>
      </c>
      <c r="J716" s="17" t="s">
        <v>36</v>
      </c>
      <c r="K716" s="17" t="s">
        <v>4948</v>
      </c>
      <c r="L716" s="18" t="str">
        <f t="shared" si="11"/>
        <v>0715</v>
      </c>
      <c r="M716" s="18" t="s">
        <v>38</v>
      </c>
      <c r="N716" s="19" t="s">
        <v>4411</v>
      </c>
      <c r="O716" s="22" t="s">
        <v>4935</v>
      </c>
    </row>
    <row r="717" spans="1:15" ht="15.75" customHeight="1">
      <c r="A717" s="10" t="s">
        <v>4949</v>
      </c>
      <c r="B717" s="10" t="s">
        <v>27</v>
      </c>
      <c r="C717" s="19" t="s">
        <v>28</v>
      </c>
      <c r="D717" s="13" t="s">
        <v>43</v>
      </c>
      <c r="E717" s="6" t="s">
        <v>4950</v>
      </c>
      <c r="F717" s="10" t="s">
        <v>4955</v>
      </c>
      <c r="G717" s="17"/>
      <c r="H717" s="17" t="s">
        <v>2586</v>
      </c>
      <c r="I717" s="6">
        <v>37268</v>
      </c>
      <c r="J717" s="17" t="s">
        <v>36</v>
      </c>
      <c r="K717" s="10" t="s">
        <v>4955</v>
      </c>
      <c r="L717" s="18" t="str">
        <f t="shared" si="11"/>
        <v>0716</v>
      </c>
      <c r="M717" s="18" t="s">
        <v>38</v>
      </c>
      <c r="N717" s="19" t="s">
        <v>147</v>
      </c>
      <c r="O717" s="20" t="s">
        <v>483</v>
      </c>
    </row>
    <row r="718" spans="1:15" ht="15.75" customHeight="1">
      <c r="A718" s="10" t="s">
        <v>4957</v>
      </c>
      <c r="B718" s="10" t="s">
        <v>4410</v>
      </c>
      <c r="C718" s="19" t="s">
        <v>4411</v>
      </c>
      <c r="D718" s="13" t="s">
        <v>136</v>
      </c>
      <c r="E718" s="43" t="s">
        <v>689</v>
      </c>
      <c r="F718" s="10" t="s">
        <v>4964</v>
      </c>
      <c r="G718" s="17"/>
      <c r="H718" s="17" t="s">
        <v>205</v>
      </c>
      <c r="I718" s="6" t="s">
        <v>4962</v>
      </c>
      <c r="J718" s="75" t="s">
        <v>4963</v>
      </c>
      <c r="K718" s="10" t="s">
        <v>4964</v>
      </c>
      <c r="L718" s="18" t="str">
        <f t="shared" si="11"/>
        <v>0717</v>
      </c>
      <c r="M718" s="18" t="s">
        <v>38</v>
      </c>
      <c r="N718" s="19" t="s">
        <v>4411</v>
      </c>
      <c r="O718" s="22" t="s">
        <v>4935</v>
      </c>
    </row>
    <row r="719" spans="1:15" ht="15.75" customHeight="1">
      <c r="A719" s="10" t="s">
        <v>4965</v>
      </c>
      <c r="B719" s="10" t="s">
        <v>4410</v>
      </c>
      <c r="C719" s="19" t="s">
        <v>4411</v>
      </c>
      <c r="D719" s="13" t="s">
        <v>93</v>
      </c>
      <c r="E719" s="6" t="s">
        <v>4966</v>
      </c>
      <c r="F719" s="35" t="s">
        <v>7316</v>
      </c>
      <c r="G719" s="17"/>
      <c r="H719" s="17" t="s">
        <v>35</v>
      </c>
      <c r="I719" s="6" t="s">
        <v>35</v>
      </c>
      <c r="J719" s="17" t="s">
        <v>36</v>
      </c>
      <c r="K719" s="35" t="s">
        <v>7316</v>
      </c>
      <c r="L719" s="18" t="str">
        <f t="shared" si="11"/>
        <v>0718</v>
      </c>
      <c r="M719" s="18" t="s">
        <v>38</v>
      </c>
      <c r="N719" s="19" t="s">
        <v>4411</v>
      </c>
      <c r="O719" s="22" t="s">
        <v>4935</v>
      </c>
    </row>
    <row r="720" spans="1:15" ht="15.75" customHeight="1">
      <c r="A720" s="10" t="s">
        <v>4972</v>
      </c>
      <c r="B720" s="10" t="s">
        <v>4410</v>
      </c>
      <c r="C720" s="19" t="s">
        <v>4411</v>
      </c>
      <c r="D720" s="13" t="s">
        <v>378</v>
      </c>
      <c r="E720" s="6" t="s">
        <v>4973</v>
      </c>
      <c r="F720" s="17" t="s">
        <v>4978</v>
      </c>
      <c r="G720" s="17"/>
      <c r="H720" s="17" t="s">
        <v>35</v>
      </c>
      <c r="I720" s="6" t="s">
        <v>35</v>
      </c>
      <c r="J720" s="17" t="s">
        <v>36</v>
      </c>
      <c r="K720" s="17" t="s">
        <v>4978</v>
      </c>
      <c r="L720" s="18" t="str">
        <f t="shared" si="11"/>
        <v>0719</v>
      </c>
      <c r="M720" s="18" t="s">
        <v>38</v>
      </c>
      <c r="N720" s="19" t="s">
        <v>4979</v>
      </c>
      <c r="O720" s="20" t="s">
        <v>4980</v>
      </c>
    </row>
    <row r="721" spans="1:15" ht="29.25" customHeight="1">
      <c r="A721" s="10" t="s">
        <v>4981</v>
      </c>
      <c r="B721" s="10" t="s">
        <v>4410</v>
      </c>
      <c r="C721" s="19" t="s">
        <v>4411</v>
      </c>
      <c r="D721" s="13" t="s">
        <v>62</v>
      </c>
      <c r="E721" s="6" t="s">
        <v>4982</v>
      </c>
      <c r="F721" s="17" t="s">
        <v>4987</v>
      </c>
      <c r="G721" s="17"/>
      <c r="H721" s="17" t="s">
        <v>35</v>
      </c>
      <c r="I721" s="6" t="s">
        <v>35</v>
      </c>
      <c r="J721" s="17" t="s">
        <v>36</v>
      </c>
      <c r="K721" s="17" t="s">
        <v>4987</v>
      </c>
      <c r="L721" s="18" t="str">
        <f t="shared" si="11"/>
        <v>0720</v>
      </c>
      <c r="M721" s="18" t="s">
        <v>38</v>
      </c>
      <c r="N721" s="19" t="s">
        <v>4411</v>
      </c>
      <c r="O721" s="22" t="s">
        <v>4935</v>
      </c>
    </row>
    <row r="722" spans="1:15" ht="15.75" customHeight="1">
      <c r="A722" s="10" t="s">
        <v>4988</v>
      </c>
      <c r="B722" s="10" t="s">
        <v>4410</v>
      </c>
      <c r="C722" s="19" t="s">
        <v>28</v>
      </c>
      <c r="D722" s="13" t="s">
        <v>184</v>
      </c>
      <c r="E722" s="6" t="s">
        <v>4989</v>
      </c>
      <c r="F722" s="17" t="s">
        <v>4994</v>
      </c>
      <c r="G722" s="17"/>
      <c r="H722" s="17" t="s">
        <v>35</v>
      </c>
      <c r="I722" s="6" t="s">
        <v>35</v>
      </c>
      <c r="J722" s="17" t="s">
        <v>36</v>
      </c>
      <c r="K722" s="17" t="s">
        <v>4994</v>
      </c>
      <c r="L722" s="18" t="str">
        <f t="shared" si="11"/>
        <v>0721</v>
      </c>
      <c r="M722" s="18" t="s">
        <v>38</v>
      </c>
      <c r="N722" s="19" t="s">
        <v>147</v>
      </c>
      <c r="O722" s="20" t="s">
        <v>483</v>
      </c>
    </row>
    <row r="723" spans="1:15" ht="15.75" customHeight="1">
      <c r="A723" s="10" t="s">
        <v>4995</v>
      </c>
      <c r="B723" s="10" t="s">
        <v>4410</v>
      </c>
      <c r="C723" s="19" t="s">
        <v>28</v>
      </c>
      <c r="D723" s="13" t="s">
        <v>184</v>
      </c>
      <c r="E723" s="6" t="s">
        <v>4989</v>
      </c>
      <c r="F723" s="17" t="s">
        <v>5000</v>
      </c>
      <c r="G723" s="17"/>
      <c r="H723" s="17" t="s">
        <v>35</v>
      </c>
      <c r="I723" s="6" t="s">
        <v>35</v>
      </c>
      <c r="J723" s="17" t="s">
        <v>36</v>
      </c>
      <c r="K723" s="17" t="s">
        <v>5000</v>
      </c>
      <c r="L723" s="18" t="str">
        <f t="shared" si="11"/>
        <v>0722</v>
      </c>
      <c r="M723" s="18" t="s">
        <v>38</v>
      </c>
      <c r="N723" s="19" t="s">
        <v>147</v>
      </c>
      <c r="O723" s="20" t="s">
        <v>483</v>
      </c>
    </row>
    <row r="724" spans="1:15" ht="15.75" customHeight="1">
      <c r="A724" s="10" t="s">
        <v>5001</v>
      </c>
      <c r="B724" s="10" t="s">
        <v>4410</v>
      </c>
      <c r="C724" s="19" t="s">
        <v>4411</v>
      </c>
      <c r="D724" s="13" t="s">
        <v>93</v>
      </c>
      <c r="E724" s="6" t="s">
        <v>1380</v>
      </c>
      <c r="F724" s="17" t="s">
        <v>5005</v>
      </c>
      <c r="G724" s="17"/>
      <c r="H724" s="17" t="s">
        <v>35</v>
      </c>
      <c r="I724" s="6" t="s">
        <v>35</v>
      </c>
      <c r="J724" s="17" t="s">
        <v>36</v>
      </c>
      <c r="K724" s="17" t="s">
        <v>5005</v>
      </c>
      <c r="L724" s="18" t="str">
        <f t="shared" si="11"/>
        <v>0723</v>
      </c>
      <c r="M724" s="18" t="s">
        <v>38</v>
      </c>
      <c r="N724" s="19" t="s">
        <v>4411</v>
      </c>
      <c r="O724" s="22" t="s">
        <v>4935</v>
      </c>
    </row>
    <row r="725" spans="1:15" ht="15.75" customHeight="1">
      <c r="A725" s="10" t="s">
        <v>5006</v>
      </c>
      <c r="B725" s="10" t="s">
        <v>4410</v>
      </c>
      <c r="C725" s="19" t="s">
        <v>4411</v>
      </c>
      <c r="D725" s="13" t="s">
        <v>29</v>
      </c>
      <c r="E725" s="43" t="s">
        <v>29</v>
      </c>
      <c r="F725" s="17" t="s">
        <v>85</v>
      </c>
      <c r="G725" s="17"/>
      <c r="H725" s="17" t="s">
        <v>35</v>
      </c>
      <c r="I725" s="6" t="s">
        <v>35</v>
      </c>
      <c r="J725" s="17" t="s">
        <v>36</v>
      </c>
      <c r="K725" s="17" t="s">
        <v>85</v>
      </c>
      <c r="L725" s="18" t="str">
        <f t="shared" si="11"/>
        <v>0724</v>
      </c>
      <c r="M725" s="18" t="s">
        <v>38</v>
      </c>
      <c r="N725" s="19" t="s">
        <v>4411</v>
      </c>
      <c r="O725" s="22" t="s">
        <v>4935</v>
      </c>
    </row>
    <row r="726" spans="1:15" ht="29.25" customHeight="1">
      <c r="A726" s="10" t="s">
        <v>5010</v>
      </c>
      <c r="B726" s="10" t="s">
        <v>4410</v>
      </c>
      <c r="C726" s="19" t="s">
        <v>4411</v>
      </c>
      <c r="D726" s="13" t="s">
        <v>116</v>
      </c>
      <c r="E726" s="6" t="s">
        <v>5011</v>
      </c>
      <c r="F726" s="17" t="s">
        <v>5016</v>
      </c>
      <c r="G726" s="17"/>
      <c r="H726" s="17" t="s">
        <v>35</v>
      </c>
      <c r="I726" s="6" t="s">
        <v>35</v>
      </c>
      <c r="J726" s="17" t="s">
        <v>36</v>
      </c>
      <c r="K726" s="17" t="s">
        <v>5016</v>
      </c>
      <c r="L726" s="18" t="str">
        <f t="shared" si="11"/>
        <v>0725</v>
      </c>
      <c r="M726" s="18" t="s">
        <v>38</v>
      </c>
      <c r="N726" s="19" t="s">
        <v>4411</v>
      </c>
      <c r="O726" s="22" t="s">
        <v>4935</v>
      </c>
    </row>
    <row r="727" spans="1:15" ht="15.75" customHeight="1">
      <c r="A727" s="10" t="s">
        <v>5017</v>
      </c>
      <c r="B727" s="10" t="s">
        <v>4410</v>
      </c>
      <c r="C727" s="19" t="s">
        <v>4411</v>
      </c>
      <c r="D727" s="13" t="s">
        <v>116</v>
      </c>
      <c r="E727" s="6" t="s">
        <v>4153</v>
      </c>
      <c r="F727" s="17" t="s">
        <v>5022</v>
      </c>
      <c r="G727" s="17"/>
      <c r="H727" s="17" t="s">
        <v>35</v>
      </c>
      <c r="I727" s="6" t="s">
        <v>35</v>
      </c>
      <c r="J727" s="17" t="s">
        <v>36</v>
      </c>
      <c r="K727" s="17" t="s">
        <v>5022</v>
      </c>
      <c r="L727" s="18" t="str">
        <f t="shared" si="11"/>
        <v>0726</v>
      </c>
      <c r="M727" s="18" t="s">
        <v>38</v>
      </c>
      <c r="N727" s="19" t="s">
        <v>4411</v>
      </c>
      <c r="O727" s="22" t="s">
        <v>4935</v>
      </c>
    </row>
    <row r="728" spans="1:15" ht="15.75" customHeight="1">
      <c r="A728" s="10" t="s">
        <v>5023</v>
      </c>
      <c r="B728" s="10" t="s">
        <v>4410</v>
      </c>
      <c r="C728" s="19" t="s">
        <v>4411</v>
      </c>
      <c r="D728" s="13" t="s">
        <v>162</v>
      </c>
      <c r="E728" s="43" t="s">
        <v>285</v>
      </c>
      <c r="F728" s="17" t="s">
        <v>5029</v>
      </c>
      <c r="G728" s="17"/>
      <c r="H728" s="17" t="s">
        <v>663</v>
      </c>
      <c r="I728" s="6" t="s">
        <v>664</v>
      </c>
      <c r="J728" s="17" t="s">
        <v>5028</v>
      </c>
      <c r="K728" s="17" t="s">
        <v>5029</v>
      </c>
      <c r="L728" s="18" t="str">
        <f t="shared" si="11"/>
        <v>0727</v>
      </c>
      <c r="M728" s="18" t="s">
        <v>38</v>
      </c>
      <c r="N728" s="19" t="s">
        <v>4411</v>
      </c>
      <c r="O728" s="22" t="s">
        <v>4935</v>
      </c>
    </row>
    <row r="729" spans="1:15" ht="15.75" customHeight="1">
      <c r="A729" s="10" t="s">
        <v>5030</v>
      </c>
      <c r="B729" s="10" t="s">
        <v>4410</v>
      </c>
      <c r="C729" s="19" t="s">
        <v>28</v>
      </c>
      <c r="D729" s="13" t="s">
        <v>151</v>
      </c>
      <c r="E729" s="6" t="s">
        <v>5031</v>
      </c>
      <c r="F729" s="10" t="s">
        <v>5039</v>
      </c>
      <c r="G729" s="17"/>
      <c r="H729" s="17" t="s">
        <v>5036</v>
      </c>
      <c r="I729" s="6" t="s">
        <v>7317</v>
      </c>
      <c r="J729" s="17" t="s">
        <v>7318</v>
      </c>
      <c r="K729" s="10" t="s">
        <v>5039</v>
      </c>
      <c r="L729" s="18" t="str">
        <f t="shared" si="11"/>
        <v>0728</v>
      </c>
      <c r="M729" s="18" t="s">
        <v>38</v>
      </c>
      <c r="N729" s="19" t="s">
        <v>147</v>
      </c>
      <c r="O729" s="22" t="s">
        <v>5040</v>
      </c>
    </row>
    <row r="730" spans="1:15" ht="15.75" customHeight="1">
      <c r="A730" s="10" t="s">
        <v>5042</v>
      </c>
      <c r="B730" s="10" t="s">
        <v>4410</v>
      </c>
      <c r="C730" s="19" t="s">
        <v>4411</v>
      </c>
      <c r="D730" s="13" t="s">
        <v>199</v>
      </c>
      <c r="E730" s="6" t="s">
        <v>199</v>
      </c>
      <c r="F730" s="17" t="s">
        <v>5049</v>
      </c>
      <c r="G730" s="17"/>
      <c r="H730" s="17" t="s">
        <v>205</v>
      </c>
      <c r="I730" s="6" t="s">
        <v>5047</v>
      </c>
      <c r="J730" s="17" t="s">
        <v>5048</v>
      </c>
      <c r="K730" s="17" t="s">
        <v>5049</v>
      </c>
      <c r="L730" s="18" t="str">
        <f t="shared" si="11"/>
        <v>0729</v>
      </c>
      <c r="M730" s="18" t="s">
        <v>38</v>
      </c>
      <c r="N730" s="19" t="s">
        <v>4411</v>
      </c>
      <c r="O730" s="22" t="s">
        <v>4935</v>
      </c>
    </row>
    <row r="731" spans="1:15" ht="15.75" customHeight="1">
      <c r="A731" s="10" t="s">
        <v>5050</v>
      </c>
      <c r="B731" s="10" t="s">
        <v>4410</v>
      </c>
      <c r="C731" s="19" t="s">
        <v>4411</v>
      </c>
      <c r="D731" s="13" t="s">
        <v>210</v>
      </c>
      <c r="E731" s="43" t="s">
        <v>5051</v>
      </c>
      <c r="F731" s="10" t="s">
        <v>5058</v>
      </c>
      <c r="G731" s="17"/>
      <c r="H731" s="17" t="s">
        <v>216</v>
      </c>
      <c r="I731" s="6" t="s">
        <v>5056</v>
      </c>
      <c r="J731" s="17" t="s">
        <v>5057</v>
      </c>
      <c r="K731" s="10" t="s">
        <v>5058</v>
      </c>
      <c r="L731" s="18" t="str">
        <f t="shared" si="11"/>
        <v>0730</v>
      </c>
      <c r="M731" s="18" t="s">
        <v>38</v>
      </c>
      <c r="N731" s="19" t="s">
        <v>4411</v>
      </c>
      <c r="O731" s="22" t="s">
        <v>4935</v>
      </c>
    </row>
    <row r="732" spans="1:15" ht="15.75" customHeight="1">
      <c r="A732" s="10" t="s">
        <v>5059</v>
      </c>
      <c r="B732" s="10" t="s">
        <v>4410</v>
      </c>
      <c r="C732" s="19" t="s">
        <v>4411</v>
      </c>
      <c r="D732" s="13" t="s">
        <v>248</v>
      </c>
      <c r="E732" s="43" t="s">
        <v>248</v>
      </c>
      <c r="F732" s="17" t="s">
        <v>5065</v>
      </c>
      <c r="G732" s="17"/>
      <c r="H732" s="17" t="s">
        <v>978</v>
      </c>
      <c r="I732" s="6" t="s">
        <v>979</v>
      </c>
      <c r="J732" s="17" t="s">
        <v>5064</v>
      </c>
      <c r="K732" s="17" t="s">
        <v>5065</v>
      </c>
      <c r="L732" s="18" t="str">
        <f t="shared" si="11"/>
        <v>0731</v>
      </c>
      <c r="M732" s="18" t="s">
        <v>38</v>
      </c>
      <c r="N732" s="19" t="s">
        <v>4411</v>
      </c>
      <c r="O732" s="22" t="s">
        <v>4935</v>
      </c>
    </row>
    <row r="733" spans="1:15" ht="15.75" customHeight="1">
      <c r="A733" s="10" t="s">
        <v>5066</v>
      </c>
      <c r="B733" s="10" t="s">
        <v>27</v>
      </c>
      <c r="C733" s="19" t="s">
        <v>28</v>
      </c>
      <c r="D733" s="13" t="s">
        <v>184</v>
      </c>
      <c r="E733" s="43" t="s">
        <v>927</v>
      </c>
      <c r="F733" s="17" t="s">
        <v>5071</v>
      </c>
      <c r="G733" s="17"/>
      <c r="H733" s="17" t="s">
        <v>35</v>
      </c>
      <c r="I733" s="6" t="s">
        <v>35</v>
      </c>
      <c r="J733" s="46" t="s">
        <v>36</v>
      </c>
      <c r="K733" s="17" t="s">
        <v>5071</v>
      </c>
      <c r="L733" s="18" t="str">
        <f t="shared" si="11"/>
        <v>0732</v>
      </c>
      <c r="M733" s="18" t="s">
        <v>549</v>
      </c>
      <c r="N733" s="19" t="s">
        <v>147</v>
      </c>
      <c r="O733" s="20" t="s">
        <v>385</v>
      </c>
    </row>
    <row r="734" spans="1:15" ht="15.75" customHeight="1">
      <c r="A734" s="10" t="s">
        <v>5073</v>
      </c>
      <c r="B734" s="10" t="s">
        <v>4410</v>
      </c>
      <c r="C734" s="19" t="s">
        <v>4411</v>
      </c>
      <c r="D734" s="13" t="s">
        <v>93</v>
      </c>
      <c r="E734" s="6" t="s">
        <v>3710</v>
      </c>
      <c r="F734" s="17" t="s">
        <v>5078</v>
      </c>
      <c r="G734" s="17"/>
      <c r="H734" s="17" t="s">
        <v>35</v>
      </c>
      <c r="I734" s="6" t="s">
        <v>35</v>
      </c>
      <c r="J734" s="17" t="s">
        <v>36</v>
      </c>
      <c r="K734" s="17" t="s">
        <v>5078</v>
      </c>
      <c r="L734" s="18" t="str">
        <f t="shared" si="11"/>
        <v>0733</v>
      </c>
      <c r="M734" s="18" t="s">
        <v>38</v>
      </c>
      <c r="N734" s="19" t="s">
        <v>4411</v>
      </c>
      <c r="O734" s="22" t="s">
        <v>5079</v>
      </c>
    </row>
    <row r="735" spans="1:15" ht="36.75" customHeight="1">
      <c r="A735" s="10" t="s">
        <v>5081</v>
      </c>
      <c r="B735" s="10" t="s">
        <v>4410</v>
      </c>
      <c r="C735" s="19" t="s">
        <v>4411</v>
      </c>
      <c r="D735" s="13" t="s">
        <v>466</v>
      </c>
      <c r="E735" s="6" t="s">
        <v>5082</v>
      </c>
      <c r="F735" s="17" t="s">
        <v>5087</v>
      </c>
      <c r="G735" s="17"/>
      <c r="H735" s="17" t="s">
        <v>35</v>
      </c>
      <c r="I735" s="6" t="s">
        <v>35</v>
      </c>
      <c r="J735" s="17" t="s">
        <v>36</v>
      </c>
      <c r="K735" s="17" t="s">
        <v>5087</v>
      </c>
      <c r="L735" s="18" t="str">
        <f t="shared" si="11"/>
        <v>0734</v>
      </c>
      <c r="M735" s="18" t="s">
        <v>38</v>
      </c>
      <c r="N735" s="19" t="s">
        <v>4411</v>
      </c>
      <c r="O735" s="22" t="s">
        <v>5079</v>
      </c>
    </row>
    <row r="736" spans="1:15" ht="31.5" customHeight="1">
      <c r="A736" s="10" t="s">
        <v>5088</v>
      </c>
      <c r="B736" s="10" t="s">
        <v>4410</v>
      </c>
      <c r="C736" s="19" t="s">
        <v>4411</v>
      </c>
      <c r="D736" s="13" t="s">
        <v>466</v>
      </c>
      <c r="E736" s="6" t="s">
        <v>5082</v>
      </c>
      <c r="F736" s="17" t="s">
        <v>5093</v>
      </c>
      <c r="G736" s="17"/>
      <c r="H736" s="17" t="s">
        <v>35</v>
      </c>
      <c r="I736" s="6" t="s">
        <v>35</v>
      </c>
      <c r="J736" s="17" t="s">
        <v>36</v>
      </c>
      <c r="K736" s="17" t="s">
        <v>5093</v>
      </c>
      <c r="L736" s="18" t="str">
        <f t="shared" si="11"/>
        <v>0735</v>
      </c>
      <c r="M736" s="18" t="s">
        <v>38</v>
      </c>
      <c r="N736" s="19" t="s">
        <v>4411</v>
      </c>
      <c r="O736" s="22" t="s">
        <v>5079</v>
      </c>
    </row>
    <row r="737" spans="1:15" ht="15.75" customHeight="1">
      <c r="A737" s="10" t="s">
        <v>5094</v>
      </c>
      <c r="B737" s="10" t="s">
        <v>4410</v>
      </c>
      <c r="C737" s="19" t="s">
        <v>4411</v>
      </c>
      <c r="D737" s="13" t="s">
        <v>184</v>
      </c>
      <c r="E737" s="6" t="s">
        <v>4989</v>
      </c>
      <c r="F737" s="17" t="s">
        <v>5099</v>
      </c>
      <c r="G737" s="17"/>
      <c r="H737" s="17" t="s">
        <v>35</v>
      </c>
      <c r="I737" s="6" t="s">
        <v>35</v>
      </c>
      <c r="J737" s="17" t="s">
        <v>36</v>
      </c>
      <c r="K737" s="17" t="s">
        <v>5099</v>
      </c>
      <c r="L737" s="18" t="str">
        <f t="shared" si="11"/>
        <v>0736</v>
      </c>
      <c r="M737" s="18" t="s">
        <v>38</v>
      </c>
      <c r="N737" s="19" t="s">
        <v>4411</v>
      </c>
      <c r="O737" s="22" t="s">
        <v>5079</v>
      </c>
    </row>
    <row r="738" spans="1:15" ht="15.75" customHeight="1">
      <c r="A738" s="10" t="s">
        <v>5100</v>
      </c>
      <c r="B738" s="10" t="s">
        <v>4410</v>
      </c>
      <c r="C738" s="19" t="s">
        <v>4411</v>
      </c>
      <c r="D738" s="13" t="s">
        <v>184</v>
      </c>
      <c r="E738" s="6" t="s">
        <v>4989</v>
      </c>
      <c r="F738" s="17" t="s">
        <v>5105</v>
      </c>
      <c r="G738" s="17"/>
      <c r="H738" s="17" t="s">
        <v>35</v>
      </c>
      <c r="I738" s="6" t="s">
        <v>35</v>
      </c>
      <c r="J738" s="17" t="s">
        <v>36</v>
      </c>
      <c r="K738" s="17" t="s">
        <v>5105</v>
      </c>
      <c r="L738" s="18" t="str">
        <f t="shared" si="11"/>
        <v>0737</v>
      </c>
      <c r="M738" s="18" t="s">
        <v>38</v>
      </c>
      <c r="N738" s="19" t="s">
        <v>4411</v>
      </c>
      <c r="O738" s="22" t="s">
        <v>5079</v>
      </c>
    </row>
    <row r="739" spans="1:15" ht="29.25">
      <c r="A739" s="10" t="s">
        <v>5106</v>
      </c>
      <c r="B739" s="10" t="s">
        <v>4410</v>
      </c>
      <c r="C739" s="19" t="s">
        <v>4411</v>
      </c>
      <c r="D739" s="13" t="s">
        <v>466</v>
      </c>
      <c r="E739" s="6" t="s">
        <v>5082</v>
      </c>
      <c r="F739" s="17" t="s">
        <v>5111</v>
      </c>
      <c r="G739" s="17"/>
      <c r="H739" s="17" t="s">
        <v>35</v>
      </c>
      <c r="I739" s="6" t="s">
        <v>35</v>
      </c>
      <c r="J739" s="17" t="s">
        <v>36</v>
      </c>
      <c r="K739" s="17" t="s">
        <v>5111</v>
      </c>
      <c r="L739" s="18" t="str">
        <f t="shared" si="11"/>
        <v>0738</v>
      </c>
      <c r="M739" s="18" t="s">
        <v>38</v>
      </c>
      <c r="N739" s="19" t="s">
        <v>4411</v>
      </c>
      <c r="O739" s="22" t="s">
        <v>5079</v>
      </c>
    </row>
    <row r="740" spans="1:15" ht="15.75" customHeight="1">
      <c r="A740" s="10" t="s">
        <v>5112</v>
      </c>
      <c r="B740" s="10" t="s">
        <v>4410</v>
      </c>
      <c r="C740" s="19" t="s">
        <v>28</v>
      </c>
      <c r="D740" s="13" t="s">
        <v>43</v>
      </c>
      <c r="E740" s="6" t="s">
        <v>1492</v>
      </c>
      <c r="F740" s="35" t="s">
        <v>7319</v>
      </c>
      <c r="G740" s="17"/>
      <c r="H740" s="17" t="s">
        <v>406</v>
      </c>
      <c r="I740" s="6" t="s">
        <v>407</v>
      </c>
      <c r="J740" s="17" t="s">
        <v>36</v>
      </c>
      <c r="K740" s="35" t="s">
        <v>7319</v>
      </c>
      <c r="L740" s="18" t="str">
        <f t="shared" si="11"/>
        <v>0739</v>
      </c>
      <c r="M740" s="18" t="s">
        <v>100</v>
      </c>
      <c r="N740" s="19" t="s">
        <v>147</v>
      </c>
      <c r="O740" s="20" t="s">
        <v>385</v>
      </c>
    </row>
    <row r="741" spans="1:15" ht="15.75" customHeight="1">
      <c r="A741" s="10" t="s">
        <v>5118</v>
      </c>
      <c r="B741" s="10" t="s">
        <v>4410</v>
      </c>
      <c r="C741" s="19" t="s">
        <v>4411</v>
      </c>
      <c r="D741" s="13" t="s">
        <v>93</v>
      </c>
      <c r="E741" s="6" t="s">
        <v>5119</v>
      </c>
      <c r="F741" s="17" t="s">
        <v>5124</v>
      </c>
      <c r="G741" s="17"/>
      <c r="H741" s="17" t="s">
        <v>35</v>
      </c>
      <c r="I741" s="6" t="s">
        <v>35</v>
      </c>
      <c r="J741" s="17" t="s">
        <v>36</v>
      </c>
      <c r="K741" s="17" t="s">
        <v>5124</v>
      </c>
      <c r="L741" s="18" t="str">
        <f t="shared" si="11"/>
        <v>0740</v>
      </c>
      <c r="M741" s="18" t="s">
        <v>38</v>
      </c>
      <c r="N741" s="19" t="s">
        <v>4411</v>
      </c>
      <c r="O741" s="22" t="s">
        <v>5079</v>
      </c>
    </row>
    <row r="742" spans="1:15" ht="26.25" customHeight="1">
      <c r="A742" s="10" t="s">
        <v>5125</v>
      </c>
      <c r="B742" s="10" t="s">
        <v>4410</v>
      </c>
      <c r="C742" s="19" t="s">
        <v>4411</v>
      </c>
      <c r="D742" s="13" t="s">
        <v>62</v>
      </c>
      <c r="E742" s="6" t="s">
        <v>5126</v>
      </c>
      <c r="F742" s="17" t="s">
        <v>5131</v>
      </c>
      <c r="G742" s="17"/>
      <c r="H742" s="17" t="s">
        <v>35</v>
      </c>
      <c r="I742" s="6" t="s">
        <v>35</v>
      </c>
      <c r="J742" s="46" t="s">
        <v>36</v>
      </c>
      <c r="K742" s="17" t="s">
        <v>5131</v>
      </c>
      <c r="L742" s="18" t="str">
        <f t="shared" si="11"/>
        <v>0741</v>
      </c>
      <c r="M742" s="18" t="s">
        <v>2309</v>
      </c>
      <c r="N742" s="19" t="s">
        <v>4411</v>
      </c>
      <c r="O742" s="22" t="s">
        <v>5079</v>
      </c>
    </row>
    <row r="743" spans="1:15" ht="15.75" customHeight="1">
      <c r="A743" s="10" t="s">
        <v>5133</v>
      </c>
      <c r="B743" s="10" t="s">
        <v>4410</v>
      </c>
      <c r="C743" s="19" t="s">
        <v>4411</v>
      </c>
      <c r="D743" s="13" t="s">
        <v>93</v>
      </c>
      <c r="E743" s="6" t="s">
        <v>1380</v>
      </c>
      <c r="F743" s="35" t="s">
        <v>7320</v>
      </c>
      <c r="G743" s="17"/>
      <c r="H743" s="17" t="s">
        <v>35</v>
      </c>
      <c r="I743" s="6" t="s">
        <v>35</v>
      </c>
      <c r="J743" s="17" t="s">
        <v>36</v>
      </c>
      <c r="K743" s="35" t="s">
        <v>7320</v>
      </c>
      <c r="L743" s="18" t="str">
        <f t="shared" si="11"/>
        <v>0742</v>
      </c>
      <c r="M743" s="18" t="s">
        <v>38</v>
      </c>
      <c r="N743" s="19" t="s">
        <v>4411</v>
      </c>
      <c r="O743" s="20" t="s">
        <v>5138</v>
      </c>
    </row>
    <row r="744" spans="1:15" ht="15.75" customHeight="1">
      <c r="A744" s="10" t="s">
        <v>5139</v>
      </c>
      <c r="B744" s="10" t="s">
        <v>4410</v>
      </c>
      <c r="C744" s="19" t="s">
        <v>4411</v>
      </c>
      <c r="D744" s="13" t="s">
        <v>199</v>
      </c>
      <c r="E744" s="6" t="s">
        <v>677</v>
      </c>
      <c r="F744" s="17" t="s">
        <v>85</v>
      </c>
      <c r="G744" s="17"/>
      <c r="H744" s="17" t="s">
        <v>682</v>
      </c>
      <c r="I744" s="6" t="s">
        <v>5144</v>
      </c>
      <c r="J744" s="17" t="s">
        <v>5145</v>
      </c>
      <c r="K744" s="17" t="s">
        <v>85</v>
      </c>
      <c r="L744" s="18" t="str">
        <f t="shared" si="11"/>
        <v>0743</v>
      </c>
      <c r="M744" s="18" t="s">
        <v>38</v>
      </c>
      <c r="N744" s="19" t="s">
        <v>4416</v>
      </c>
      <c r="O744" s="20" t="s">
        <v>4417</v>
      </c>
    </row>
    <row r="745" spans="1:15" ht="15.75" customHeight="1">
      <c r="A745" s="10" t="s">
        <v>5147</v>
      </c>
      <c r="B745" s="10" t="s">
        <v>4410</v>
      </c>
      <c r="C745" s="19" t="s">
        <v>4411</v>
      </c>
      <c r="D745" s="13" t="s">
        <v>378</v>
      </c>
      <c r="E745" s="43" t="s">
        <v>379</v>
      </c>
      <c r="F745" s="17" t="s">
        <v>5152</v>
      </c>
      <c r="G745" s="17"/>
      <c r="H745" s="17" t="s">
        <v>35</v>
      </c>
      <c r="I745" s="6" t="s">
        <v>35</v>
      </c>
      <c r="J745" s="46" t="s">
        <v>36</v>
      </c>
      <c r="K745" s="17" t="s">
        <v>5152</v>
      </c>
      <c r="L745" s="18" t="str">
        <f t="shared" si="11"/>
        <v>0744</v>
      </c>
      <c r="M745" s="18" t="s">
        <v>38</v>
      </c>
      <c r="N745" s="19" t="s">
        <v>4416</v>
      </c>
      <c r="O745" s="20" t="s">
        <v>4417</v>
      </c>
    </row>
    <row r="746" spans="1:15" ht="15.75" customHeight="1">
      <c r="A746" s="10" t="s">
        <v>5153</v>
      </c>
      <c r="B746" s="10" t="s">
        <v>4410</v>
      </c>
      <c r="C746" s="19" t="s">
        <v>4411</v>
      </c>
      <c r="D746" s="13" t="s">
        <v>93</v>
      </c>
      <c r="E746" s="6" t="s">
        <v>1380</v>
      </c>
      <c r="F746" s="17" t="s">
        <v>5158</v>
      </c>
      <c r="G746" s="17"/>
      <c r="H746" s="17" t="s">
        <v>35</v>
      </c>
      <c r="I746" s="6" t="s">
        <v>35</v>
      </c>
      <c r="J746" s="17" t="s">
        <v>36</v>
      </c>
      <c r="K746" s="17" t="s">
        <v>5158</v>
      </c>
      <c r="L746" s="18" t="str">
        <f t="shared" si="11"/>
        <v>0745</v>
      </c>
      <c r="M746" s="18" t="s">
        <v>38</v>
      </c>
      <c r="N746" s="19" t="s">
        <v>4411</v>
      </c>
      <c r="O746" s="22" t="s">
        <v>5138</v>
      </c>
    </row>
    <row r="747" spans="1:15" ht="15.75" customHeight="1">
      <c r="A747" s="10" t="s">
        <v>5159</v>
      </c>
      <c r="B747" s="10" t="s">
        <v>4410</v>
      </c>
      <c r="C747" s="19" t="s">
        <v>4411</v>
      </c>
      <c r="D747" s="13" t="s">
        <v>93</v>
      </c>
      <c r="E747" s="43" t="s">
        <v>5160</v>
      </c>
      <c r="F747" s="17" t="s">
        <v>5165</v>
      </c>
      <c r="G747" s="17"/>
      <c r="H747" s="17" t="s">
        <v>35</v>
      </c>
      <c r="I747" s="6" t="s">
        <v>35</v>
      </c>
      <c r="J747" s="17" t="s">
        <v>36</v>
      </c>
      <c r="K747" s="17" t="s">
        <v>5165</v>
      </c>
      <c r="L747" s="18" t="str">
        <f t="shared" si="11"/>
        <v>0746</v>
      </c>
      <c r="M747" s="18" t="s">
        <v>38</v>
      </c>
      <c r="N747" s="19" t="s">
        <v>4411</v>
      </c>
      <c r="O747" s="22" t="s">
        <v>5138</v>
      </c>
    </row>
    <row r="748" spans="1:15" ht="15.75" customHeight="1">
      <c r="A748" s="10" t="s">
        <v>5166</v>
      </c>
      <c r="B748" s="10" t="s">
        <v>4410</v>
      </c>
      <c r="C748" s="19" t="s">
        <v>4411</v>
      </c>
      <c r="D748" s="13" t="s">
        <v>29</v>
      </c>
      <c r="E748" s="6" t="s">
        <v>5167</v>
      </c>
      <c r="F748" s="17" t="s">
        <v>5172</v>
      </c>
      <c r="G748" s="17"/>
      <c r="H748" s="17" t="s">
        <v>35</v>
      </c>
      <c r="I748" s="6" t="s">
        <v>35</v>
      </c>
      <c r="J748" s="17" t="s">
        <v>36</v>
      </c>
      <c r="K748" s="17" t="s">
        <v>5172</v>
      </c>
      <c r="L748" s="18" t="str">
        <f t="shared" si="11"/>
        <v>0747</v>
      </c>
      <c r="M748" s="18" t="s">
        <v>38</v>
      </c>
      <c r="N748" s="19" t="s">
        <v>4411</v>
      </c>
      <c r="O748" s="22" t="s">
        <v>5138</v>
      </c>
    </row>
    <row r="749" spans="1:15" ht="15.75" customHeight="1">
      <c r="A749" s="10" t="s">
        <v>5173</v>
      </c>
      <c r="B749" s="10" t="s">
        <v>4410</v>
      </c>
      <c r="C749" s="19" t="s">
        <v>4411</v>
      </c>
      <c r="D749" s="13" t="s">
        <v>162</v>
      </c>
      <c r="E749" s="43" t="s">
        <v>285</v>
      </c>
      <c r="F749" s="10" t="s">
        <v>5179</v>
      </c>
      <c r="G749" s="17"/>
      <c r="H749" s="17" t="s">
        <v>663</v>
      </c>
      <c r="I749" s="6" t="s">
        <v>664</v>
      </c>
      <c r="J749" s="17" t="s">
        <v>5178</v>
      </c>
      <c r="K749" s="10" t="s">
        <v>5179</v>
      </c>
      <c r="L749" s="18" t="str">
        <f t="shared" si="11"/>
        <v>0748</v>
      </c>
      <c r="M749" s="18" t="s">
        <v>38</v>
      </c>
      <c r="N749" s="19" t="s">
        <v>4411</v>
      </c>
      <c r="O749" s="22" t="s">
        <v>5138</v>
      </c>
    </row>
    <row r="750" spans="1:15" ht="15.75" customHeight="1">
      <c r="A750" s="10" t="s">
        <v>5180</v>
      </c>
      <c r="B750" s="10" t="s">
        <v>4410</v>
      </c>
      <c r="C750" s="19" t="s">
        <v>4411</v>
      </c>
      <c r="D750" s="13" t="s">
        <v>248</v>
      </c>
      <c r="E750" s="43" t="s">
        <v>249</v>
      </c>
      <c r="F750" s="17" t="s">
        <v>5186</v>
      </c>
      <c r="G750" s="17"/>
      <c r="H750" s="17" t="s">
        <v>978</v>
      </c>
      <c r="I750" s="6" t="s">
        <v>979</v>
      </c>
      <c r="J750" s="17" t="s">
        <v>5185</v>
      </c>
      <c r="K750" s="17" t="s">
        <v>5186</v>
      </c>
      <c r="L750" s="18" t="str">
        <f t="shared" si="11"/>
        <v>0749</v>
      </c>
      <c r="M750" s="18" t="s">
        <v>38</v>
      </c>
      <c r="N750" s="19" t="s">
        <v>4411</v>
      </c>
      <c r="O750" s="22" t="s">
        <v>5138</v>
      </c>
    </row>
    <row r="751" spans="1:15" ht="15.75" customHeight="1">
      <c r="A751" s="10" t="s">
        <v>5187</v>
      </c>
      <c r="B751" s="10" t="s">
        <v>4410</v>
      </c>
      <c r="C751" s="19" t="s">
        <v>4411</v>
      </c>
      <c r="D751" s="13" t="s">
        <v>353</v>
      </c>
      <c r="E751" s="43" t="s">
        <v>354</v>
      </c>
      <c r="F751" s="10" t="s">
        <v>5193</v>
      </c>
      <c r="G751" s="17"/>
      <c r="H751" s="17" t="s">
        <v>827</v>
      </c>
      <c r="I751" s="6" t="s">
        <v>828</v>
      </c>
      <c r="J751" s="17" t="s">
        <v>5192</v>
      </c>
      <c r="K751" s="10" t="s">
        <v>5193</v>
      </c>
      <c r="L751" s="18" t="str">
        <f t="shared" si="11"/>
        <v>0750</v>
      </c>
      <c r="M751" s="18" t="s">
        <v>100</v>
      </c>
      <c r="N751" s="19" t="s">
        <v>4411</v>
      </c>
      <c r="O751" s="22" t="s">
        <v>5138</v>
      </c>
    </row>
    <row r="752" spans="1:15" ht="29.25" customHeight="1">
      <c r="A752" s="10" t="s">
        <v>5195</v>
      </c>
      <c r="B752" s="10" t="s">
        <v>4410</v>
      </c>
      <c r="C752" s="19" t="s">
        <v>4411</v>
      </c>
      <c r="D752" s="13" t="s">
        <v>116</v>
      </c>
      <c r="E752" s="6" t="s">
        <v>5196</v>
      </c>
      <c r="F752" s="35" t="s">
        <v>7321</v>
      </c>
      <c r="G752" s="17"/>
      <c r="H752" s="17" t="s">
        <v>35</v>
      </c>
      <c r="I752" s="6" t="s">
        <v>35</v>
      </c>
      <c r="J752" s="17" t="s">
        <v>36</v>
      </c>
      <c r="K752" s="35" t="s">
        <v>7321</v>
      </c>
      <c r="L752" s="18" t="str">
        <f t="shared" si="11"/>
        <v>0751</v>
      </c>
      <c r="M752" s="18" t="s">
        <v>517</v>
      </c>
      <c r="N752" s="19" t="s">
        <v>4411</v>
      </c>
      <c r="O752" s="22" t="s">
        <v>5138</v>
      </c>
    </row>
    <row r="753" spans="1:15" ht="15.75" customHeight="1">
      <c r="A753" s="10" t="s">
        <v>5202</v>
      </c>
      <c r="B753" s="10" t="s">
        <v>4410</v>
      </c>
      <c r="C753" s="19" t="s">
        <v>4411</v>
      </c>
      <c r="D753" s="13" t="s">
        <v>378</v>
      </c>
      <c r="E753" s="43" t="s">
        <v>5203</v>
      </c>
      <c r="F753" s="17" t="s">
        <v>5208</v>
      </c>
      <c r="G753" s="17"/>
      <c r="H753" s="17" t="s">
        <v>35</v>
      </c>
      <c r="I753" s="6" t="s">
        <v>35</v>
      </c>
      <c r="J753" s="17" t="s">
        <v>36</v>
      </c>
      <c r="K753" s="17" t="s">
        <v>5208</v>
      </c>
      <c r="L753" s="18" t="str">
        <f t="shared" si="11"/>
        <v>0752</v>
      </c>
      <c r="M753" s="18" t="s">
        <v>517</v>
      </c>
      <c r="N753" s="19" t="s">
        <v>4411</v>
      </c>
      <c r="O753" s="22" t="s">
        <v>5138</v>
      </c>
    </row>
    <row r="754" spans="1:15" ht="15.75" customHeight="1">
      <c r="A754" s="10" t="s">
        <v>5209</v>
      </c>
      <c r="B754" s="10" t="s">
        <v>4410</v>
      </c>
      <c r="C754" s="19" t="s">
        <v>4411</v>
      </c>
      <c r="D754" s="13" t="s">
        <v>199</v>
      </c>
      <c r="E754" s="6" t="s">
        <v>677</v>
      </c>
      <c r="F754" s="32" t="s">
        <v>85</v>
      </c>
      <c r="G754" s="17"/>
      <c r="H754" s="17" t="s">
        <v>682</v>
      </c>
      <c r="I754" s="6" t="s">
        <v>5214</v>
      </c>
      <c r="J754" s="46" t="s">
        <v>5215</v>
      </c>
      <c r="K754" s="32" t="s">
        <v>85</v>
      </c>
      <c r="L754" s="18" t="str">
        <f t="shared" si="11"/>
        <v>0753</v>
      </c>
      <c r="M754" s="18" t="s">
        <v>517</v>
      </c>
      <c r="N754" s="19" t="s">
        <v>4411</v>
      </c>
      <c r="O754" s="22" t="s">
        <v>5138</v>
      </c>
    </row>
    <row r="755" spans="1:15" ht="29.25" customHeight="1">
      <c r="A755" s="10" t="s">
        <v>5216</v>
      </c>
      <c r="B755" s="10" t="s">
        <v>4410</v>
      </c>
      <c r="C755" s="19" t="s">
        <v>4411</v>
      </c>
      <c r="D755" s="13" t="s">
        <v>62</v>
      </c>
      <c r="E755" s="43" t="s">
        <v>5217</v>
      </c>
      <c r="F755" s="35" t="s">
        <v>5131</v>
      </c>
      <c r="G755" s="17"/>
      <c r="H755" s="17" t="s">
        <v>35</v>
      </c>
      <c r="I755" s="6" t="s">
        <v>35</v>
      </c>
      <c r="J755" s="17" t="s">
        <v>36</v>
      </c>
      <c r="K755" s="35" t="s">
        <v>5131</v>
      </c>
      <c r="L755" s="18" t="str">
        <f t="shared" si="11"/>
        <v>0754</v>
      </c>
      <c r="M755" s="18" t="s">
        <v>38</v>
      </c>
      <c r="N755" s="19" t="s">
        <v>4411</v>
      </c>
      <c r="O755" s="22" t="s">
        <v>5223</v>
      </c>
    </row>
    <row r="756" spans="1:15" ht="27.75" customHeight="1">
      <c r="A756" s="10" t="s">
        <v>5224</v>
      </c>
      <c r="B756" s="10" t="s">
        <v>4410</v>
      </c>
      <c r="C756" s="19" t="s">
        <v>4411</v>
      </c>
      <c r="D756" s="13" t="s">
        <v>93</v>
      </c>
      <c r="E756" s="6" t="s">
        <v>5225</v>
      </c>
      <c r="F756" s="17" t="s">
        <v>5230</v>
      </c>
      <c r="G756" s="17"/>
      <c r="H756" s="17" t="s">
        <v>35</v>
      </c>
      <c r="I756" s="6" t="s">
        <v>35</v>
      </c>
      <c r="J756" s="17" t="s">
        <v>36</v>
      </c>
      <c r="K756" s="17" t="s">
        <v>5230</v>
      </c>
      <c r="L756" s="18" t="str">
        <f t="shared" si="11"/>
        <v>0755</v>
      </c>
      <c r="M756" s="18" t="s">
        <v>38</v>
      </c>
      <c r="N756" s="19" t="s">
        <v>4411</v>
      </c>
      <c r="O756" s="22" t="s">
        <v>5223</v>
      </c>
    </row>
    <row r="757" spans="1:15" ht="15.75" customHeight="1">
      <c r="A757" s="10" t="s">
        <v>5231</v>
      </c>
      <c r="B757" s="10" t="s">
        <v>4410</v>
      </c>
      <c r="C757" s="19" t="s">
        <v>4411</v>
      </c>
      <c r="D757" s="13" t="s">
        <v>43</v>
      </c>
      <c r="E757" s="6" t="s">
        <v>5232</v>
      </c>
      <c r="F757" s="10" t="s">
        <v>5239</v>
      </c>
      <c r="G757" s="17"/>
      <c r="H757" s="17" t="s">
        <v>5237</v>
      </c>
      <c r="I757" s="6" t="s">
        <v>5238</v>
      </c>
      <c r="J757" s="17" t="s">
        <v>36</v>
      </c>
      <c r="K757" s="10" t="s">
        <v>5239</v>
      </c>
      <c r="L757" s="18" t="str">
        <f t="shared" si="11"/>
        <v>0756</v>
      </c>
      <c r="M757" s="18" t="s">
        <v>38</v>
      </c>
      <c r="N757" s="19" t="s">
        <v>4411</v>
      </c>
      <c r="O757" s="22" t="s">
        <v>5223</v>
      </c>
    </row>
    <row r="758" spans="1:15" ht="15.75" customHeight="1">
      <c r="A758" s="10" t="s">
        <v>5240</v>
      </c>
      <c r="B758" s="10" t="s">
        <v>474</v>
      </c>
      <c r="C758" s="19" t="s">
        <v>28</v>
      </c>
      <c r="D758" s="13" t="s">
        <v>184</v>
      </c>
      <c r="E758" s="6" t="s">
        <v>2677</v>
      </c>
      <c r="F758" s="17" t="s">
        <v>5245</v>
      </c>
      <c r="G758" s="17"/>
      <c r="H758" s="17" t="s">
        <v>35</v>
      </c>
      <c r="I758" s="6" t="s">
        <v>35</v>
      </c>
      <c r="J758" s="17" t="s">
        <v>36</v>
      </c>
      <c r="K758" s="17" t="s">
        <v>5245</v>
      </c>
      <c r="L758" s="18" t="str">
        <f t="shared" si="11"/>
        <v>0757</v>
      </c>
      <c r="M758" s="18" t="s">
        <v>3282</v>
      </c>
      <c r="N758" s="19" t="s">
        <v>147</v>
      </c>
      <c r="O758" s="20" t="s">
        <v>385</v>
      </c>
    </row>
    <row r="759" spans="1:15" ht="15.75" customHeight="1">
      <c r="A759" s="10" t="s">
        <v>5247</v>
      </c>
      <c r="B759" s="10" t="s">
        <v>4410</v>
      </c>
      <c r="C759" s="19" t="s">
        <v>4411</v>
      </c>
      <c r="D759" s="13" t="s">
        <v>378</v>
      </c>
      <c r="E759" s="43" t="s">
        <v>5248</v>
      </c>
      <c r="F759" s="17" t="s">
        <v>5253</v>
      </c>
      <c r="G759" s="17"/>
      <c r="H759" s="17" t="s">
        <v>35</v>
      </c>
      <c r="I759" s="6" t="s">
        <v>35</v>
      </c>
      <c r="J759" s="17" t="s">
        <v>36</v>
      </c>
      <c r="K759" s="17" t="s">
        <v>5253</v>
      </c>
      <c r="L759" s="18" t="str">
        <f t="shared" si="11"/>
        <v>0758</v>
      </c>
      <c r="M759" s="18" t="s">
        <v>38</v>
      </c>
      <c r="N759" s="19" t="s">
        <v>4411</v>
      </c>
      <c r="O759" s="22" t="s">
        <v>5223</v>
      </c>
    </row>
    <row r="760" spans="1:15" ht="30.75" customHeight="1">
      <c r="A760" s="10" t="s">
        <v>5254</v>
      </c>
      <c r="B760" s="10" t="s">
        <v>4410</v>
      </c>
      <c r="C760" s="19" t="s">
        <v>4411</v>
      </c>
      <c r="D760" s="13" t="s">
        <v>93</v>
      </c>
      <c r="E760" s="6" t="s">
        <v>5255</v>
      </c>
      <c r="F760" s="17" t="s">
        <v>5260</v>
      </c>
      <c r="G760" s="17"/>
      <c r="H760" s="17" t="s">
        <v>35</v>
      </c>
      <c r="I760" s="6" t="s">
        <v>35</v>
      </c>
      <c r="J760" s="17" t="s">
        <v>36</v>
      </c>
      <c r="K760" s="17" t="s">
        <v>5260</v>
      </c>
      <c r="L760" s="18" t="str">
        <f t="shared" si="11"/>
        <v>0759</v>
      </c>
      <c r="M760" s="18" t="s">
        <v>38</v>
      </c>
      <c r="N760" s="19" t="s">
        <v>4411</v>
      </c>
      <c r="O760" s="22" t="s">
        <v>5223</v>
      </c>
    </row>
    <row r="761" spans="1:15" ht="15.75" customHeight="1">
      <c r="A761" s="10" t="s">
        <v>5261</v>
      </c>
      <c r="B761" s="10" t="s">
        <v>4410</v>
      </c>
      <c r="C761" s="19" t="s">
        <v>4411</v>
      </c>
      <c r="D761" s="13" t="s">
        <v>116</v>
      </c>
      <c r="E761" s="6" t="s">
        <v>5262</v>
      </c>
      <c r="F761" s="17" t="s">
        <v>5267</v>
      </c>
      <c r="G761" s="17"/>
      <c r="H761" s="17" t="s">
        <v>35</v>
      </c>
      <c r="I761" s="6" t="s">
        <v>35</v>
      </c>
      <c r="J761" s="17" t="s">
        <v>36</v>
      </c>
      <c r="K761" s="17" t="s">
        <v>5267</v>
      </c>
      <c r="L761" s="18" t="str">
        <f t="shared" si="11"/>
        <v>0760</v>
      </c>
      <c r="M761" s="18" t="s">
        <v>38</v>
      </c>
      <c r="N761" s="19" t="s">
        <v>4411</v>
      </c>
      <c r="O761" s="22" t="s">
        <v>5223</v>
      </c>
    </row>
    <row r="762" spans="1:15" ht="15.75" customHeight="1">
      <c r="A762" s="10" t="s">
        <v>5268</v>
      </c>
      <c r="B762" s="10" t="s">
        <v>4410</v>
      </c>
      <c r="C762" s="19" t="s">
        <v>4411</v>
      </c>
      <c r="D762" s="13" t="s">
        <v>248</v>
      </c>
      <c r="E762" s="43" t="s">
        <v>248</v>
      </c>
      <c r="F762" s="17" t="s">
        <v>5274</v>
      </c>
      <c r="G762" s="17"/>
      <c r="H762" s="17" t="s">
        <v>978</v>
      </c>
      <c r="I762" s="6" t="s">
        <v>979</v>
      </c>
      <c r="J762" s="17" t="s">
        <v>5273</v>
      </c>
      <c r="K762" s="17" t="s">
        <v>5274</v>
      </c>
      <c r="L762" s="18" t="str">
        <f t="shared" si="11"/>
        <v>0761</v>
      </c>
      <c r="M762" s="18" t="s">
        <v>38</v>
      </c>
      <c r="N762" s="19" t="s">
        <v>4411</v>
      </c>
      <c r="O762" s="22" t="s">
        <v>5223</v>
      </c>
    </row>
    <row r="763" spans="1:15" ht="15.75" customHeight="1">
      <c r="A763" s="10" t="s">
        <v>5275</v>
      </c>
      <c r="B763" s="10" t="s">
        <v>27</v>
      </c>
      <c r="C763" s="19" t="s">
        <v>28</v>
      </c>
      <c r="D763" s="13" t="s">
        <v>151</v>
      </c>
      <c r="E763" s="6" t="s">
        <v>2236</v>
      </c>
      <c r="F763" s="17" t="s">
        <v>5281</v>
      </c>
      <c r="G763" s="17"/>
      <c r="H763" s="17" t="s">
        <v>1220</v>
      </c>
      <c r="I763" s="6" t="s">
        <v>720</v>
      </c>
      <c r="J763" s="17" t="s">
        <v>5280</v>
      </c>
      <c r="K763" s="17" t="s">
        <v>5281</v>
      </c>
      <c r="L763" s="18" t="str">
        <f t="shared" si="11"/>
        <v>0762</v>
      </c>
      <c r="M763" s="18" t="s">
        <v>3282</v>
      </c>
      <c r="N763" s="19" t="s">
        <v>147</v>
      </c>
      <c r="O763" s="20" t="s">
        <v>385</v>
      </c>
    </row>
    <row r="764" spans="1:15" ht="15.75" customHeight="1">
      <c r="A764" s="10" t="s">
        <v>5282</v>
      </c>
      <c r="B764" s="10" t="s">
        <v>474</v>
      </c>
      <c r="C764" s="19" t="s">
        <v>28</v>
      </c>
      <c r="D764" s="13" t="s">
        <v>199</v>
      </c>
      <c r="E764" s="43" t="s">
        <v>5283</v>
      </c>
      <c r="F764" s="17" t="s">
        <v>5289</v>
      </c>
      <c r="G764" s="17"/>
      <c r="H764" s="17" t="s">
        <v>205</v>
      </c>
      <c r="I764" s="6" t="s">
        <v>794</v>
      </c>
      <c r="J764" s="46" t="s">
        <v>5288</v>
      </c>
      <c r="K764" s="17" t="s">
        <v>5289</v>
      </c>
      <c r="L764" s="18" t="str">
        <f t="shared" si="11"/>
        <v>0763</v>
      </c>
      <c r="M764" s="18" t="s">
        <v>3282</v>
      </c>
      <c r="N764" s="19" t="s">
        <v>147</v>
      </c>
      <c r="O764" s="20" t="s">
        <v>385</v>
      </c>
    </row>
    <row r="765" spans="1:15" ht="15.75" customHeight="1">
      <c r="A765" s="10" t="s">
        <v>5290</v>
      </c>
      <c r="B765" s="10" t="s">
        <v>4410</v>
      </c>
      <c r="C765" s="19" t="s">
        <v>4411</v>
      </c>
      <c r="D765" s="13" t="s">
        <v>62</v>
      </c>
      <c r="E765" s="6" t="s">
        <v>5291</v>
      </c>
      <c r="F765" s="17" t="s">
        <v>5296</v>
      </c>
      <c r="G765" s="17"/>
      <c r="H765" s="17" t="s">
        <v>35</v>
      </c>
      <c r="I765" s="6" t="s">
        <v>35</v>
      </c>
      <c r="J765" s="17" t="s">
        <v>36</v>
      </c>
      <c r="K765" s="17" t="s">
        <v>5296</v>
      </c>
      <c r="L765" s="18" t="str">
        <f t="shared" si="11"/>
        <v>0764</v>
      </c>
      <c r="M765" s="18" t="s">
        <v>38</v>
      </c>
      <c r="N765" s="19" t="s">
        <v>4979</v>
      </c>
      <c r="O765" s="20" t="s">
        <v>4980</v>
      </c>
    </row>
    <row r="766" spans="1:15" ht="15.75" customHeight="1">
      <c r="A766" s="10" t="s">
        <v>5297</v>
      </c>
      <c r="B766" s="10" t="s">
        <v>4410</v>
      </c>
      <c r="C766" s="19" t="s">
        <v>4411</v>
      </c>
      <c r="D766" s="13" t="s">
        <v>43</v>
      </c>
      <c r="E766" s="43" t="s">
        <v>5298</v>
      </c>
      <c r="F766" s="10" t="s">
        <v>5303</v>
      </c>
      <c r="G766" s="17"/>
      <c r="H766" s="17" t="s">
        <v>406</v>
      </c>
      <c r="I766" s="6" t="s">
        <v>2674</v>
      </c>
      <c r="J766" s="17" t="s">
        <v>36</v>
      </c>
      <c r="K766" s="10" t="s">
        <v>5303</v>
      </c>
      <c r="L766" s="18" t="str">
        <f t="shared" si="11"/>
        <v>0765</v>
      </c>
      <c r="M766" s="18" t="s">
        <v>38</v>
      </c>
      <c r="N766" s="19" t="s">
        <v>4979</v>
      </c>
      <c r="O766" s="20" t="s">
        <v>4980</v>
      </c>
    </row>
    <row r="767" spans="1:15" ht="15.75" customHeight="1">
      <c r="A767" s="10" t="s">
        <v>5304</v>
      </c>
      <c r="B767" s="10" t="s">
        <v>4410</v>
      </c>
      <c r="C767" s="19" t="s">
        <v>4411</v>
      </c>
      <c r="D767" s="13" t="s">
        <v>378</v>
      </c>
      <c r="E767" s="6" t="s">
        <v>1306</v>
      </c>
      <c r="F767" s="17" t="s">
        <v>5309</v>
      </c>
      <c r="G767" s="17"/>
      <c r="H767" s="17" t="s">
        <v>35</v>
      </c>
      <c r="I767" s="6" t="s">
        <v>35</v>
      </c>
      <c r="J767" s="17" t="s">
        <v>36</v>
      </c>
      <c r="K767" s="17" t="s">
        <v>5309</v>
      </c>
      <c r="L767" s="18" t="str">
        <f t="shared" si="11"/>
        <v>0766</v>
      </c>
      <c r="M767" s="18" t="s">
        <v>38</v>
      </c>
      <c r="N767" s="19" t="s">
        <v>4416</v>
      </c>
      <c r="O767" s="20" t="s">
        <v>5310</v>
      </c>
    </row>
    <row r="768" spans="1:15" ht="15.75" customHeight="1">
      <c r="A768" s="10" t="s">
        <v>5311</v>
      </c>
      <c r="B768" s="10" t="s">
        <v>4410</v>
      </c>
      <c r="C768" s="19" t="s">
        <v>4411</v>
      </c>
      <c r="D768" s="13" t="s">
        <v>378</v>
      </c>
      <c r="E768" s="6" t="s">
        <v>1306</v>
      </c>
      <c r="F768" s="17" t="s">
        <v>5316</v>
      </c>
      <c r="G768" s="17"/>
      <c r="H768" s="17" t="s">
        <v>35</v>
      </c>
      <c r="I768" s="6" t="s">
        <v>35</v>
      </c>
      <c r="J768" s="17" t="s">
        <v>36</v>
      </c>
      <c r="K768" s="17" t="s">
        <v>5316</v>
      </c>
      <c r="L768" s="18" t="str">
        <f t="shared" si="11"/>
        <v>0767</v>
      </c>
      <c r="M768" s="18" t="s">
        <v>38</v>
      </c>
      <c r="N768" s="19" t="s">
        <v>4979</v>
      </c>
      <c r="O768" s="20" t="s">
        <v>4980</v>
      </c>
    </row>
    <row r="769" spans="1:15" ht="15.75" customHeight="1">
      <c r="A769" s="10" t="s">
        <v>5317</v>
      </c>
      <c r="B769" s="10" t="s">
        <v>1469</v>
      </c>
      <c r="C769" s="60" t="s">
        <v>1470</v>
      </c>
      <c r="D769" s="13" t="s">
        <v>184</v>
      </c>
      <c r="E769" s="43" t="s">
        <v>5318</v>
      </c>
      <c r="F769" s="17" t="s">
        <v>5323</v>
      </c>
      <c r="G769" s="17"/>
      <c r="H769" s="17" t="s">
        <v>35</v>
      </c>
      <c r="I769" s="6" t="s">
        <v>35</v>
      </c>
      <c r="J769" s="17" t="s">
        <v>36</v>
      </c>
      <c r="K769" s="17" t="s">
        <v>5323</v>
      </c>
      <c r="L769" s="18" t="str">
        <f t="shared" si="11"/>
        <v>0768</v>
      </c>
      <c r="M769" s="18" t="s">
        <v>100</v>
      </c>
      <c r="N769" s="19" t="s">
        <v>1548</v>
      </c>
      <c r="O769" s="20" t="s">
        <v>1597</v>
      </c>
    </row>
    <row r="770" spans="1:15" ht="15.75" customHeight="1">
      <c r="A770" s="10" t="s">
        <v>5324</v>
      </c>
      <c r="B770" s="10" t="s">
        <v>4410</v>
      </c>
      <c r="C770" s="19" t="s">
        <v>4411</v>
      </c>
      <c r="D770" s="13" t="s">
        <v>248</v>
      </c>
      <c r="E770" s="43" t="s">
        <v>249</v>
      </c>
      <c r="F770" s="17" t="s">
        <v>5330</v>
      </c>
      <c r="G770" s="17"/>
      <c r="H770" s="17" t="s">
        <v>978</v>
      </c>
      <c r="I770" s="6" t="s">
        <v>979</v>
      </c>
      <c r="J770" s="17" t="s">
        <v>5329</v>
      </c>
      <c r="K770" s="17" t="s">
        <v>5330</v>
      </c>
      <c r="L770" s="18" t="str">
        <f t="shared" ref="L770:L833" si="12">A770</f>
        <v>0769</v>
      </c>
      <c r="M770" s="18" t="s">
        <v>38</v>
      </c>
      <c r="N770" s="19" t="s">
        <v>4979</v>
      </c>
      <c r="O770" s="20" t="s">
        <v>4980</v>
      </c>
    </row>
    <row r="771" spans="1:15" ht="15.75" customHeight="1">
      <c r="A771" s="10" t="s">
        <v>5331</v>
      </c>
      <c r="B771" s="10" t="s">
        <v>4410</v>
      </c>
      <c r="C771" s="19" t="s">
        <v>4411</v>
      </c>
      <c r="D771" s="13" t="s">
        <v>93</v>
      </c>
      <c r="E771" s="43" t="s">
        <v>5332</v>
      </c>
      <c r="F771" s="17" t="s">
        <v>5335</v>
      </c>
      <c r="G771" s="17"/>
      <c r="H771" s="17" t="s">
        <v>35</v>
      </c>
      <c r="I771" s="32" t="s">
        <v>35</v>
      </c>
      <c r="J771" s="17" t="s">
        <v>36</v>
      </c>
      <c r="K771" s="17" t="s">
        <v>5335</v>
      </c>
      <c r="L771" s="18" t="str">
        <f t="shared" si="12"/>
        <v>0770</v>
      </c>
      <c r="M771" s="18" t="s">
        <v>38</v>
      </c>
      <c r="N771" s="19" t="s">
        <v>4979</v>
      </c>
      <c r="O771" s="20" t="s">
        <v>4980</v>
      </c>
    </row>
    <row r="772" spans="1:15" ht="15.75" customHeight="1">
      <c r="A772" s="10" t="s">
        <v>5336</v>
      </c>
      <c r="B772" s="10" t="s">
        <v>4410</v>
      </c>
      <c r="C772" s="19" t="s">
        <v>4411</v>
      </c>
      <c r="D772" s="13" t="s">
        <v>29</v>
      </c>
      <c r="E772" s="6" t="s">
        <v>5337</v>
      </c>
      <c r="F772" s="32" t="s">
        <v>85</v>
      </c>
      <c r="G772" s="17"/>
      <c r="H772" s="35" t="s">
        <v>35</v>
      </c>
      <c r="I772" s="6" t="s">
        <v>35</v>
      </c>
      <c r="J772" s="10" t="s">
        <v>36</v>
      </c>
      <c r="K772" s="32" t="s">
        <v>85</v>
      </c>
      <c r="L772" s="18" t="str">
        <f t="shared" si="12"/>
        <v>0771</v>
      </c>
      <c r="M772" s="18" t="s">
        <v>38</v>
      </c>
      <c r="N772" s="19" t="s">
        <v>4979</v>
      </c>
      <c r="O772" s="20" t="s">
        <v>4980</v>
      </c>
    </row>
    <row r="773" spans="1:15" ht="15">
      <c r="A773" s="10" t="s">
        <v>5339</v>
      </c>
      <c r="B773" s="10" t="s">
        <v>4410</v>
      </c>
      <c r="C773" s="19" t="s">
        <v>4411</v>
      </c>
      <c r="D773" s="13" t="s">
        <v>3521</v>
      </c>
      <c r="E773" s="43" t="s">
        <v>5340</v>
      </c>
      <c r="F773" s="152" t="s">
        <v>7322</v>
      </c>
      <c r="G773" s="17"/>
      <c r="H773" s="17" t="s">
        <v>35</v>
      </c>
      <c r="I773" s="6" t="s">
        <v>35</v>
      </c>
      <c r="J773" s="17" t="s">
        <v>36</v>
      </c>
      <c r="K773" s="35" t="s">
        <v>7322</v>
      </c>
      <c r="L773" s="18" t="str">
        <f t="shared" si="12"/>
        <v>0772</v>
      </c>
      <c r="M773" s="18" t="s">
        <v>38</v>
      </c>
      <c r="N773" s="19" t="s">
        <v>4979</v>
      </c>
      <c r="O773" s="20" t="s">
        <v>4980</v>
      </c>
    </row>
    <row r="774" spans="1:15" ht="30" customHeight="1">
      <c r="A774" s="10" t="s">
        <v>5345</v>
      </c>
      <c r="B774" s="10" t="s">
        <v>4410</v>
      </c>
      <c r="C774" s="19" t="s">
        <v>4411</v>
      </c>
      <c r="D774" s="13" t="s">
        <v>116</v>
      </c>
      <c r="E774" s="6" t="s">
        <v>4638</v>
      </c>
      <c r="F774" s="17" t="s">
        <v>5350</v>
      </c>
      <c r="G774" s="17"/>
      <c r="H774" s="17" t="s">
        <v>35</v>
      </c>
      <c r="I774" s="6" t="s">
        <v>35</v>
      </c>
      <c r="J774" s="17" t="s">
        <v>36</v>
      </c>
      <c r="K774" s="17" t="s">
        <v>5350</v>
      </c>
      <c r="L774" s="18" t="str">
        <f t="shared" si="12"/>
        <v>0773</v>
      </c>
      <c r="M774" s="18" t="s">
        <v>38</v>
      </c>
      <c r="N774" s="19" t="s">
        <v>4979</v>
      </c>
      <c r="O774" s="20" t="s">
        <v>4980</v>
      </c>
    </row>
    <row r="775" spans="1:15" ht="15.75" customHeight="1">
      <c r="A775" s="10" t="s">
        <v>5351</v>
      </c>
      <c r="B775" s="10" t="s">
        <v>4410</v>
      </c>
      <c r="C775" s="19" t="s">
        <v>4411</v>
      </c>
      <c r="D775" s="13" t="s">
        <v>162</v>
      </c>
      <c r="E775" s="43" t="s">
        <v>285</v>
      </c>
      <c r="F775" s="17" t="s">
        <v>5357</v>
      </c>
      <c r="G775" s="17"/>
      <c r="H775" s="17" t="s">
        <v>168</v>
      </c>
      <c r="I775" s="6" t="s">
        <v>169</v>
      </c>
      <c r="J775" s="17" t="s">
        <v>5356</v>
      </c>
      <c r="K775" s="17" t="s">
        <v>5357</v>
      </c>
      <c r="L775" s="18" t="str">
        <f t="shared" si="12"/>
        <v>0774</v>
      </c>
      <c r="M775" s="18" t="s">
        <v>38</v>
      </c>
      <c r="N775" s="79" t="s">
        <v>4979</v>
      </c>
      <c r="O775" s="20" t="s">
        <v>4980</v>
      </c>
    </row>
    <row r="776" spans="1:15" ht="15.75" customHeight="1">
      <c r="A776" s="10" t="s">
        <v>5358</v>
      </c>
      <c r="B776" s="10" t="s">
        <v>4410</v>
      </c>
      <c r="C776" s="19" t="s">
        <v>4411</v>
      </c>
      <c r="D776" s="13" t="s">
        <v>199</v>
      </c>
      <c r="E776" s="6" t="s">
        <v>199</v>
      </c>
      <c r="F776" s="10" t="s">
        <v>85</v>
      </c>
      <c r="G776" s="17"/>
      <c r="H776" s="17" t="s">
        <v>273</v>
      </c>
      <c r="I776" s="6" t="s">
        <v>274</v>
      </c>
      <c r="J776" s="6">
        <v>11392903015655</v>
      </c>
      <c r="K776" s="10" t="s">
        <v>85</v>
      </c>
      <c r="L776" s="18" t="str">
        <f t="shared" si="12"/>
        <v>0775</v>
      </c>
      <c r="M776" s="18" t="s">
        <v>38</v>
      </c>
      <c r="N776" s="19" t="s">
        <v>4979</v>
      </c>
      <c r="O776" s="20" t="s">
        <v>4980</v>
      </c>
    </row>
    <row r="777" spans="1:15" ht="15.75" customHeight="1">
      <c r="A777" s="10" t="s">
        <v>5362</v>
      </c>
      <c r="B777" s="10" t="s">
        <v>4410</v>
      </c>
      <c r="C777" s="19" t="s">
        <v>4411</v>
      </c>
      <c r="D777" s="13" t="s">
        <v>151</v>
      </c>
      <c r="E777" s="6" t="s">
        <v>4113</v>
      </c>
      <c r="F777" s="10" t="s">
        <v>85</v>
      </c>
      <c r="G777" s="17"/>
      <c r="H777" s="17" t="s">
        <v>297</v>
      </c>
      <c r="I777" s="6" t="s">
        <v>298</v>
      </c>
      <c r="J777" s="6" t="s">
        <v>5366</v>
      </c>
      <c r="K777" s="10" t="s">
        <v>85</v>
      </c>
      <c r="L777" s="18" t="str">
        <f t="shared" si="12"/>
        <v>0776</v>
      </c>
      <c r="M777" s="18" t="s">
        <v>38</v>
      </c>
      <c r="N777" s="19" t="s">
        <v>4979</v>
      </c>
      <c r="O777" s="20" t="s">
        <v>4980</v>
      </c>
    </row>
    <row r="778" spans="1:15" ht="15.75" customHeight="1">
      <c r="A778" s="10" t="s">
        <v>5367</v>
      </c>
      <c r="B778" s="10" t="s">
        <v>4410</v>
      </c>
      <c r="C778" s="19" t="s">
        <v>4411</v>
      </c>
      <c r="D778" s="13" t="s">
        <v>62</v>
      </c>
      <c r="E778" s="6" t="s">
        <v>5368</v>
      </c>
      <c r="F778" s="17" t="s">
        <v>5373</v>
      </c>
      <c r="G778" s="17"/>
      <c r="H778" s="17" t="s">
        <v>35</v>
      </c>
      <c r="I778" s="6" t="s">
        <v>35</v>
      </c>
      <c r="J778" s="17" t="s">
        <v>36</v>
      </c>
      <c r="K778" s="17" t="s">
        <v>5373</v>
      </c>
      <c r="L778" s="18" t="str">
        <f t="shared" si="12"/>
        <v>0777</v>
      </c>
      <c r="M778" s="18" t="s">
        <v>38</v>
      </c>
      <c r="N778" s="19" t="s">
        <v>4979</v>
      </c>
      <c r="O778" s="20" t="s">
        <v>5374</v>
      </c>
    </row>
    <row r="779" spans="1:15" ht="15.75" customHeight="1">
      <c r="A779" s="10" t="s">
        <v>5375</v>
      </c>
      <c r="B779" s="10" t="s">
        <v>4410</v>
      </c>
      <c r="C779" s="19" t="s">
        <v>4411</v>
      </c>
      <c r="D779" s="13" t="s">
        <v>43</v>
      </c>
      <c r="E779" s="43" t="s">
        <v>885</v>
      </c>
      <c r="F779" s="10" t="s">
        <v>5381</v>
      </c>
      <c r="G779" s="17"/>
      <c r="H779" s="17" t="s">
        <v>2586</v>
      </c>
      <c r="I779" s="6" t="s">
        <v>5380</v>
      </c>
      <c r="J779" s="17" t="s">
        <v>36</v>
      </c>
      <c r="K779" s="10" t="s">
        <v>5381</v>
      </c>
      <c r="L779" s="18" t="str">
        <f t="shared" si="12"/>
        <v>0778</v>
      </c>
      <c r="M779" s="18" t="s">
        <v>38</v>
      </c>
      <c r="N779" s="19" t="s">
        <v>4979</v>
      </c>
      <c r="O779" s="20" t="s">
        <v>5374</v>
      </c>
    </row>
    <row r="780" spans="1:15" ht="15.75" customHeight="1">
      <c r="A780" s="10" t="s">
        <v>5382</v>
      </c>
      <c r="B780" s="10" t="s">
        <v>4410</v>
      </c>
      <c r="C780" s="19" t="s">
        <v>4411</v>
      </c>
      <c r="D780" s="13" t="s">
        <v>93</v>
      </c>
      <c r="E780" s="6" t="s">
        <v>5383</v>
      </c>
      <c r="F780" s="17" t="s">
        <v>5388</v>
      </c>
      <c r="G780" s="17"/>
      <c r="H780" s="17" t="s">
        <v>35</v>
      </c>
      <c r="I780" s="6" t="s">
        <v>35</v>
      </c>
      <c r="J780" s="17" t="s">
        <v>36</v>
      </c>
      <c r="K780" s="17" t="s">
        <v>5388</v>
      </c>
      <c r="L780" s="18" t="str">
        <f t="shared" si="12"/>
        <v>0779</v>
      </c>
      <c r="M780" s="18" t="s">
        <v>38</v>
      </c>
      <c r="N780" s="19" t="s">
        <v>4979</v>
      </c>
      <c r="O780" s="20" t="s">
        <v>5374</v>
      </c>
    </row>
    <row r="781" spans="1:15" ht="15.75" customHeight="1">
      <c r="A781" s="10" t="s">
        <v>5389</v>
      </c>
      <c r="B781" s="10" t="s">
        <v>4410</v>
      </c>
      <c r="C781" s="19" t="s">
        <v>4411</v>
      </c>
      <c r="D781" s="13" t="s">
        <v>62</v>
      </c>
      <c r="E781" s="6" t="s">
        <v>5368</v>
      </c>
      <c r="F781" s="17" t="s">
        <v>5394</v>
      </c>
      <c r="G781" s="17"/>
      <c r="H781" s="17" t="s">
        <v>35</v>
      </c>
      <c r="I781" s="6" t="s">
        <v>35</v>
      </c>
      <c r="J781" s="17" t="s">
        <v>36</v>
      </c>
      <c r="K781" s="17" t="s">
        <v>5394</v>
      </c>
      <c r="L781" s="18" t="str">
        <f t="shared" si="12"/>
        <v>0780</v>
      </c>
      <c r="M781" s="18" t="s">
        <v>38</v>
      </c>
      <c r="N781" s="19" t="s">
        <v>4979</v>
      </c>
      <c r="O781" s="20" t="s">
        <v>5374</v>
      </c>
    </row>
    <row r="782" spans="1:15" ht="15.75" customHeight="1">
      <c r="A782" s="10" t="s">
        <v>5395</v>
      </c>
      <c r="B782" s="10" t="s">
        <v>4410</v>
      </c>
      <c r="C782" s="19" t="s">
        <v>4411</v>
      </c>
      <c r="D782" s="13" t="s">
        <v>116</v>
      </c>
      <c r="E782" s="43" t="s">
        <v>5396</v>
      </c>
      <c r="F782" s="35" t="s">
        <v>5201</v>
      </c>
      <c r="G782" s="17"/>
      <c r="H782" s="17" t="s">
        <v>35</v>
      </c>
      <c r="I782" s="6" t="s">
        <v>35</v>
      </c>
      <c r="J782" s="17" t="s">
        <v>36</v>
      </c>
      <c r="K782" s="35" t="s">
        <v>5201</v>
      </c>
      <c r="L782" s="18" t="str">
        <f t="shared" si="12"/>
        <v>0781</v>
      </c>
      <c r="M782" s="18" t="s">
        <v>38</v>
      </c>
      <c r="N782" s="19" t="s">
        <v>4979</v>
      </c>
      <c r="O782" s="20" t="s">
        <v>5374</v>
      </c>
    </row>
    <row r="783" spans="1:15" ht="15.75" customHeight="1">
      <c r="A783" s="10" t="s">
        <v>5402</v>
      </c>
      <c r="B783" s="10" t="s">
        <v>4410</v>
      </c>
      <c r="C783" s="19" t="s">
        <v>4411</v>
      </c>
      <c r="D783" s="13" t="s">
        <v>1240</v>
      </c>
      <c r="E783" s="43" t="s">
        <v>278</v>
      </c>
      <c r="F783" s="17" t="s">
        <v>5407</v>
      </c>
      <c r="G783" s="17"/>
      <c r="H783" s="17" t="s">
        <v>35</v>
      </c>
      <c r="I783" s="6" t="s">
        <v>35</v>
      </c>
      <c r="J783" s="17" t="s">
        <v>36</v>
      </c>
      <c r="K783" s="17" t="s">
        <v>5407</v>
      </c>
      <c r="L783" s="18" t="str">
        <f t="shared" si="12"/>
        <v>0782</v>
      </c>
      <c r="M783" s="18" t="s">
        <v>38</v>
      </c>
      <c r="N783" s="19" t="s">
        <v>4979</v>
      </c>
      <c r="O783" s="20" t="s">
        <v>5374</v>
      </c>
    </row>
    <row r="784" spans="1:15" ht="15.75" customHeight="1">
      <c r="A784" s="10" t="s">
        <v>5408</v>
      </c>
      <c r="B784" s="10" t="s">
        <v>4410</v>
      </c>
      <c r="C784" s="19" t="s">
        <v>4411</v>
      </c>
      <c r="D784" s="13" t="s">
        <v>199</v>
      </c>
      <c r="E784" s="6" t="s">
        <v>199</v>
      </c>
      <c r="F784" s="10" t="s">
        <v>5415</v>
      </c>
      <c r="G784" s="17"/>
      <c r="H784" s="17" t="s">
        <v>297</v>
      </c>
      <c r="I784" s="6" t="s">
        <v>5413</v>
      </c>
      <c r="J784" s="35" t="s">
        <v>5414</v>
      </c>
      <c r="K784" s="10" t="s">
        <v>5415</v>
      </c>
      <c r="L784" s="18" t="str">
        <f t="shared" si="12"/>
        <v>0783</v>
      </c>
      <c r="M784" s="50" t="s">
        <v>38</v>
      </c>
      <c r="N784" s="19" t="s">
        <v>4979</v>
      </c>
      <c r="O784" s="20" t="s">
        <v>5374</v>
      </c>
    </row>
    <row r="785" spans="1:15" ht="15.75" customHeight="1">
      <c r="A785" s="10" t="s">
        <v>5416</v>
      </c>
      <c r="B785" s="10" t="s">
        <v>4410</v>
      </c>
      <c r="C785" s="19" t="s">
        <v>4411</v>
      </c>
      <c r="D785" s="13" t="s">
        <v>248</v>
      </c>
      <c r="E785" s="43" t="s">
        <v>249</v>
      </c>
      <c r="F785" s="17" t="s">
        <v>5422</v>
      </c>
      <c r="G785" s="17"/>
      <c r="H785" s="17" t="s">
        <v>978</v>
      </c>
      <c r="I785" s="6" t="s">
        <v>979</v>
      </c>
      <c r="J785" s="35" t="s">
        <v>5421</v>
      </c>
      <c r="K785" s="17" t="s">
        <v>5422</v>
      </c>
      <c r="L785" s="18" t="str">
        <f t="shared" si="12"/>
        <v>0784</v>
      </c>
      <c r="M785" s="18" t="s">
        <v>38</v>
      </c>
      <c r="N785" s="19" t="s">
        <v>4979</v>
      </c>
      <c r="O785" s="20" t="s">
        <v>5374</v>
      </c>
    </row>
    <row r="786" spans="1:15" ht="15.75" customHeight="1">
      <c r="A786" s="10" t="s">
        <v>5423</v>
      </c>
      <c r="B786" s="10" t="s">
        <v>4410</v>
      </c>
      <c r="C786" s="19" t="s">
        <v>4411</v>
      </c>
      <c r="D786" s="13" t="s">
        <v>151</v>
      </c>
      <c r="E786" s="6" t="s">
        <v>963</v>
      </c>
      <c r="F786" s="17" t="s">
        <v>5429</v>
      </c>
      <c r="G786" s="17"/>
      <c r="H786" s="17" t="s">
        <v>297</v>
      </c>
      <c r="I786" s="6" t="s">
        <v>1037</v>
      </c>
      <c r="J786" s="17" t="s">
        <v>5428</v>
      </c>
      <c r="K786" s="17" t="s">
        <v>5429</v>
      </c>
      <c r="L786" s="18" t="str">
        <f t="shared" si="12"/>
        <v>0785</v>
      </c>
      <c r="M786" s="18" t="s">
        <v>38</v>
      </c>
      <c r="N786" s="19" t="s">
        <v>4979</v>
      </c>
      <c r="O786" s="20" t="s">
        <v>5374</v>
      </c>
    </row>
    <row r="787" spans="1:15" ht="15.75" customHeight="1">
      <c r="A787" s="10" t="s">
        <v>5430</v>
      </c>
      <c r="B787" s="10" t="s">
        <v>4410</v>
      </c>
      <c r="C787" s="19" t="s">
        <v>4411</v>
      </c>
      <c r="D787" s="13" t="s">
        <v>378</v>
      </c>
      <c r="E787" s="6" t="s">
        <v>878</v>
      </c>
      <c r="F787" s="10" t="s">
        <v>5433</v>
      </c>
      <c r="G787" s="17"/>
      <c r="H787" s="17" t="s">
        <v>35</v>
      </c>
      <c r="I787" s="6" t="s">
        <v>35</v>
      </c>
      <c r="J787" s="6" t="s">
        <v>36</v>
      </c>
      <c r="K787" s="10" t="s">
        <v>5433</v>
      </c>
      <c r="L787" s="18" t="str">
        <f t="shared" si="12"/>
        <v>0786</v>
      </c>
      <c r="M787" s="18" t="s">
        <v>38</v>
      </c>
      <c r="N787" s="19" t="s">
        <v>4979</v>
      </c>
      <c r="O787" s="20" t="s">
        <v>5374</v>
      </c>
    </row>
    <row r="788" spans="1:15" ht="15.75" customHeight="1">
      <c r="A788" s="10" t="s">
        <v>5434</v>
      </c>
      <c r="B788" s="10" t="s">
        <v>4410</v>
      </c>
      <c r="C788" s="19" t="s">
        <v>4411</v>
      </c>
      <c r="D788" s="13" t="s">
        <v>378</v>
      </c>
      <c r="E788" s="43" t="s">
        <v>379</v>
      </c>
      <c r="F788" s="17" t="s">
        <v>5439</v>
      </c>
      <c r="G788" s="17"/>
      <c r="H788" s="17" t="s">
        <v>35</v>
      </c>
      <c r="I788" s="6" t="s">
        <v>35</v>
      </c>
      <c r="J788" s="46" t="s">
        <v>36</v>
      </c>
      <c r="K788" s="17" t="s">
        <v>5439</v>
      </c>
      <c r="L788" s="18" t="str">
        <f t="shared" si="12"/>
        <v>0787</v>
      </c>
      <c r="M788" s="18" t="s">
        <v>38</v>
      </c>
      <c r="N788" s="19" t="s">
        <v>4979</v>
      </c>
      <c r="O788" s="20" t="s">
        <v>5374</v>
      </c>
    </row>
    <row r="789" spans="1:15" ht="15.75" customHeight="1">
      <c r="A789" s="10" t="s">
        <v>5440</v>
      </c>
      <c r="B789" s="10" t="s">
        <v>4410</v>
      </c>
      <c r="C789" s="19" t="s">
        <v>4411</v>
      </c>
      <c r="D789" s="13" t="s">
        <v>53</v>
      </c>
      <c r="E789" s="6" t="s">
        <v>192</v>
      </c>
      <c r="F789" s="17" t="s">
        <v>5445</v>
      </c>
      <c r="G789" s="17"/>
      <c r="H789" s="17" t="s">
        <v>35</v>
      </c>
      <c r="I789" s="6" t="s">
        <v>35</v>
      </c>
      <c r="J789" s="17" t="s">
        <v>36</v>
      </c>
      <c r="K789" s="17" t="s">
        <v>5445</v>
      </c>
      <c r="L789" s="18" t="str">
        <f t="shared" si="12"/>
        <v>0788</v>
      </c>
      <c r="M789" s="18" t="s">
        <v>38</v>
      </c>
      <c r="N789" s="19" t="s">
        <v>4416</v>
      </c>
      <c r="O789" s="22" t="s">
        <v>5310</v>
      </c>
    </row>
    <row r="790" spans="1:15" ht="15.75" customHeight="1">
      <c r="A790" s="10" t="s">
        <v>5446</v>
      </c>
      <c r="B790" s="10" t="s">
        <v>4410</v>
      </c>
      <c r="C790" s="19" t="s">
        <v>4411</v>
      </c>
      <c r="D790" s="13" t="s">
        <v>62</v>
      </c>
      <c r="E790" s="6" t="s">
        <v>5447</v>
      </c>
      <c r="F790" s="17" t="s">
        <v>5452</v>
      </c>
      <c r="G790" s="17"/>
      <c r="H790" s="17" t="s">
        <v>35</v>
      </c>
      <c r="I790" s="6" t="s">
        <v>35</v>
      </c>
      <c r="J790" s="17" t="s">
        <v>36</v>
      </c>
      <c r="K790" s="17" t="s">
        <v>5452</v>
      </c>
      <c r="L790" s="18" t="str">
        <f t="shared" si="12"/>
        <v>0789</v>
      </c>
      <c r="M790" s="18" t="s">
        <v>38</v>
      </c>
      <c r="N790" s="19" t="s">
        <v>4416</v>
      </c>
      <c r="O790" s="22" t="s">
        <v>5310</v>
      </c>
    </row>
    <row r="791" spans="1:15" ht="15.75" customHeight="1">
      <c r="A791" s="10" t="s">
        <v>5453</v>
      </c>
      <c r="B791" s="10" t="s">
        <v>4410</v>
      </c>
      <c r="C791" s="19" t="s">
        <v>4411</v>
      </c>
      <c r="D791" s="13" t="s">
        <v>71</v>
      </c>
      <c r="E791" s="6" t="s">
        <v>4937</v>
      </c>
      <c r="F791" s="35" t="s">
        <v>5458</v>
      </c>
      <c r="G791" s="17"/>
      <c r="H791" s="17" t="s">
        <v>35</v>
      </c>
      <c r="I791" s="6" t="s">
        <v>35</v>
      </c>
      <c r="J791" s="17" t="s">
        <v>36</v>
      </c>
      <c r="K791" s="35" t="s">
        <v>5458</v>
      </c>
      <c r="L791" s="18" t="str">
        <f t="shared" si="12"/>
        <v>0790</v>
      </c>
      <c r="M791" s="18" t="s">
        <v>38</v>
      </c>
      <c r="N791" s="19" t="s">
        <v>4416</v>
      </c>
      <c r="O791" s="22" t="s">
        <v>5310</v>
      </c>
    </row>
    <row r="792" spans="1:15" ht="15.75" customHeight="1">
      <c r="A792" s="10" t="s">
        <v>5459</v>
      </c>
      <c r="B792" s="10" t="s">
        <v>4410</v>
      </c>
      <c r="C792" s="19" t="s">
        <v>4411</v>
      </c>
      <c r="D792" s="13" t="s">
        <v>93</v>
      </c>
      <c r="E792" s="6" t="s">
        <v>5460</v>
      </c>
      <c r="F792" s="17" t="s">
        <v>5465</v>
      </c>
      <c r="G792" s="17"/>
      <c r="H792" s="17" t="s">
        <v>35</v>
      </c>
      <c r="I792" s="6" t="s">
        <v>35</v>
      </c>
      <c r="J792" s="17" t="s">
        <v>36</v>
      </c>
      <c r="K792" s="17" t="s">
        <v>5465</v>
      </c>
      <c r="L792" s="18" t="str">
        <f t="shared" si="12"/>
        <v>0791</v>
      </c>
      <c r="M792" s="18" t="s">
        <v>38</v>
      </c>
      <c r="N792" s="19" t="s">
        <v>4416</v>
      </c>
      <c r="O792" s="22" t="s">
        <v>5310</v>
      </c>
    </row>
    <row r="793" spans="1:15" ht="15.75" customHeight="1">
      <c r="A793" s="10" t="s">
        <v>5466</v>
      </c>
      <c r="B793" s="10" t="s">
        <v>4410</v>
      </c>
      <c r="C793" s="19" t="s">
        <v>4411</v>
      </c>
      <c r="D793" s="13" t="s">
        <v>93</v>
      </c>
      <c r="E793" s="6" t="s">
        <v>5460</v>
      </c>
      <c r="F793" s="17" t="s">
        <v>5471</v>
      </c>
      <c r="G793" s="17"/>
      <c r="H793" s="17" t="s">
        <v>35</v>
      </c>
      <c r="I793" s="6" t="s">
        <v>35</v>
      </c>
      <c r="J793" s="17" t="s">
        <v>36</v>
      </c>
      <c r="K793" s="17" t="s">
        <v>5471</v>
      </c>
      <c r="L793" s="18" t="str">
        <f t="shared" si="12"/>
        <v>0792</v>
      </c>
      <c r="M793" s="18" t="s">
        <v>38</v>
      </c>
      <c r="N793" s="19" t="s">
        <v>4416</v>
      </c>
      <c r="O793" s="22" t="s">
        <v>5310</v>
      </c>
    </row>
    <row r="794" spans="1:15" ht="15.75" customHeight="1">
      <c r="A794" s="10" t="s">
        <v>5472</v>
      </c>
      <c r="B794" s="10" t="s">
        <v>27</v>
      </c>
      <c r="C794" s="19" t="s">
        <v>28</v>
      </c>
      <c r="D794" s="13" t="s">
        <v>43</v>
      </c>
      <c r="E794" s="6" t="s">
        <v>5473</v>
      </c>
      <c r="F794" s="10" t="s">
        <v>85</v>
      </c>
      <c r="G794" s="17"/>
      <c r="H794" s="35" t="s">
        <v>5477</v>
      </c>
      <c r="I794" s="6" t="s">
        <v>5478</v>
      </c>
      <c r="J794" s="6" t="s">
        <v>36</v>
      </c>
      <c r="K794" s="10" t="s">
        <v>85</v>
      </c>
      <c r="L794" s="18" t="str">
        <f t="shared" si="12"/>
        <v>0793</v>
      </c>
      <c r="M794" s="18" t="s">
        <v>38</v>
      </c>
      <c r="N794" s="19" t="s">
        <v>147</v>
      </c>
      <c r="O794" s="20" t="s">
        <v>385</v>
      </c>
    </row>
    <row r="795" spans="1:15" ht="15.75" customHeight="1">
      <c r="A795" s="10" t="s">
        <v>5479</v>
      </c>
      <c r="B795" s="10" t="s">
        <v>4410</v>
      </c>
      <c r="C795" s="19" t="s">
        <v>4411</v>
      </c>
      <c r="D795" s="13" t="s">
        <v>80</v>
      </c>
      <c r="E795" s="43" t="s">
        <v>5480</v>
      </c>
      <c r="F795" s="17" t="s">
        <v>5485</v>
      </c>
      <c r="G795" s="17"/>
      <c r="H795" s="17" t="s">
        <v>35</v>
      </c>
      <c r="I795" s="6" t="s">
        <v>35</v>
      </c>
      <c r="J795" s="17" t="s">
        <v>36</v>
      </c>
      <c r="K795" s="17" t="s">
        <v>5485</v>
      </c>
      <c r="L795" s="18" t="str">
        <f t="shared" si="12"/>
        <v>0794</v>
      </c>
      <c r="M795" s="18" t="s">
        <v>38</v>
      </c>
      <c r="N795" s="19" t="s">
        <v>4416</v>
      </c>
      <c r="O795" s="22" t="s">
        <v>5310</v>
      </c>
    </row>
    <row r="796" spans="1:15" ht="15.75" customHeight="1">
      <c r="A796" s="10" t="s">
        <v>5486</v>
      </c>
      <c r="B796" s="10" t="s">
        <v>4410</v>
      </c>
      <c r="C796" s="19" t="s">
        <v>4411</v>
      </c>
      <c r="D796" s="13" t="s">
        <v>378</v>
      </c>
      <c r="E796" s="6" t="s">
        <v>1306</v>
      </c>
      <c r="F796" s="17" t="s">
        <v>5491</v>
      </c>
      <c r="G796" s="17"/>
      <c r="H796" s="17" t="s">
        <v>35</v>
      </c>
      <c r="I796" s="6" t="s">
        <v>35</v>
      </c>
      <c r="J796" s="17" t="s">
        <v>36</v>
      </c>
      <c r="K796" s="17" t="s">
        <v>5491</v>
      </c>
      <c r="L796" s="18" t="str">
        <f t="shared" si="12"/>
        <v>0795</v>
      </c>
      <c r="M796" s="18" t="s">
        <v>38</v>
      </c>
      <c r="N796" s="19" t="s">
        <v>4416</v>
      </c>
      <c r="O796" s="22" t="s">
        <v>5310</v>
      </c>
    </row>
    <row r="797" spans="1:15" ht="15.75" customHeight="1">
      <c r="A797" s="10" t="s">
        <v>5492</v>
      </c>
      <c r="B797" s="10" t="s">
        <v>4410</v>
      </c>
      <c r="C797" s="19" t="s">
        <v>4411</v>
      </c>
      <c r="D797" s="13" t="s">
        <v>378</v>
      </c>
      <c r="E797" s="6" t="s">
        <v>1306</v>
      </c>
      <c r="F797" s="17" t="s">
        <v>5497</v>
      </c>
      <c r="G797" s="17"/>
      <c r="H797" s="17" t="s">
        <v>35</v>
      </c>
      <c r="I797" s="6" t="s">
        <v>35</v>
      </c>
      <c r="J797" s="17" t="s">
        <v>36</v>
      </c>
      <c r="K797" s="17" t="s">
        <v>5497</v>
      </c>
      <c r="L797" s="18" t="str">
        <f t="shared" si="12"/>
        <v>0796</v>
      </c>
      <c r="M797" s="18" t="s">
        <v>38</v>
      </c>
      <c r="N797" s="19" t="s">
        <v>4416</v>
      </c>
      <c r="O797" s="22" t="s">
        <v>5310</v>
      </c>
    </row>
    <row r="798" spans="1:15" ht="15.75" customHeight="1">
      <c r="A798" s="10" t="s">
        <v>5498</v>
      </c>
      <c r="B798" s="10" t="s">
        <v>4410</v>
      </c>
      <c r="C798" s="19" t="s">
        <v>4411</v>
      </c>
      <c r="D798" s="13" t="s">
        <v>378</v>
      </c>
      <c r="E798" s="6" t="s">
        <v>5499</v>
      </c>
      <c r="F798" s="17" t="s">
        <v>5504</v>
      </c>
      <c r="G798" s="17"/>
      <c r="H798" s="17" t="s">
        <v>35</v>
      </c>
      <c r="I798" s="6" t="s">
        <v>35</v>
      </c>
      <c r="J798" s="17" t="s">
        <v>36</v>
      </c>
      <c r="K798" s="17" t="s">
        <v>5504</v>
      </c>
      <c r="L798" s="18" t="str">
        <f t="shared" si="12"/>
        <v>0797</v>
      </c>
      <c r="M798" s="18" t="s">
        <v>38</v>
      </c>
      <c r="N798" s="19" t="s">
        <v>4416</v>
      </c>
      <c r="O798" s="22" t="s">
        <v>5310</v>
      </c>
    </row>
    <row r="799" spans="1:15" ht="15.75" customHeight="1">
      <c r="A799" s="10" t="s">
        <v>5505</v>
      </c>
      <c r="B799" s="10" t="s">
        <v>4410</v>
      </c>
      <c r="C799" s="19" t="s">
        <v>4411</v>
      </c>
      <c r="D799" s="13" t="s">
        <v>116</v>
      </c>
      <c r="E799" s="43" t="s">
        <v>5506</v>
      </c>
      <c r="F799" s="17" t="s">
        <v>5511</v>
      </c>
      <c r="G799" s="17"/>
      <c r="H799" s="17" t="s">
        <v>35</v>
      </c>
      <c r="I799" s="6" t="s">
        <v>35</v>
      </c>
      <c r="J799" s="17" t="s">
        <v>36</v>
      </c>
      <c r="K799" s="17" t="s">
        <v>5511</v>
      </c>
      <c r="L799" s="18" t="str">
        <f t="shared" si="12"/>
        <v>0798</v>
      </c>
      <c r="M799" s="18" t="s">
        <v>38</v>
      </c>
      <c r="N799" s="19" t="s">
        <v>4416</v>
      </c>
      <c r="O799" s="22" t="s">
        <v>5310</v>
      </c>
    </row>
    <row r="800" spans="1:15" ht="15.75" customHeight="1">
      <c r="A800" s="10" t="s">
        <v>5512</v>
      </c>
      <c r="B800" s="10" t="s">
        <v>4410</v>
      </c>
      <c r="C800" s="19" t="s">
        <v>4411</v>
      </c>
      <c r="D800" s="13" t="s">
        <v>29</v>
      </c>
      <c r="E800" s="43" t="s">
        <v>29</v>
      </c>
      <c r="F800" s="17" t="s">
        <v>5518</v>
      </c>
      <c r="G800" s="17"/>
      <c r="H800" s="17" t="s">
        <v>35</v>
      </c>
      <c r="I800" s="6" t="s">
        <v>35</v>
      </c>
      <c r="J800" s="17" t="s">
        <v>5517</v>
      </c>
      <c r="K800" s="17" t="s">
        <v>5518</v>
      </c>
      <c r="L800" s="18" t="str">
        <f t="shared" si="12"/>
        <v>0799</v>
      </c>
      <c r="M800" s="18" t="s">
        <v>38</v>
      </c>
      <c r="N800" s="19" t="s">
        <v>4416</v>
      </c>
      <c r="O800" s="22" t="s">
        <v>5310</v>
      </c>
    </row>
    <row r="801" spans="1:15" ht="15.75" customHeight="1">
      <c r="A801" s="10" t="s">
        <v>5519</v>
      </c>
      <c r="B801" s="10" t="s">
        <v>4410</v>
      </c>
      <c r="C801" s="19" t="s">
        <v>4411</v>
      </c>
      <c r="D801" s="13" t="s">
        <v>116</v>
      </c>
      <c r="E801" s="43" t="s">
        <v>5520</v>
      </c>
      <c r="F801" s="17" t="s">
        <v>5525</v>
      </c>
      <c r="G801" s="17"/>
      <c r="H801" s="17" t="s">
        <v>35</v>
      </c>
      <c r="I801" s="6" t="s">
        <v>35</v>
      </c>
      <c r="J801" s="17" t="s">
        <v>36</v>
      </c>
      <c r="K801" s="17" t="s">
        <v>5525</v>
      </c>
      <c r="L801" s="18" t="str">
        <f t="shared" si="12"/>
        <v>0800</v>
      </c>
      <c r="M801" s="18" t="s">
        <v>38</v>
      </c>
      <c r="N801" s="19" t="s">
        <v>4416</v>
      </c>
      <c r="O801" s="22" t="s">
        <v>5310</v>
      </c>
    </row>
    <row r="802" spans="1:15" ht="15.75" customHeight="1">
      <c r="A802" s="10" t="s">
        <v>5526</v>
      </c>
      <c r="B802" s="10" t="s">
        <v>4410</v>
      </c>
      <c r="C802" s="19" t="s">
        <v>4411</v>
      </c>
      <c r="D802" s="13" t="s">
        <v>116</v>
      </c>
      <c r="E802" s="43" t="s">
        <v>5527</v>
      </c>
      <c r="F802" s="17" t="s">
        <v>5532</v>
      </c>
      <c r="G802" s="17"/>
      <c r="H802" s="17" t="s">
        <v>35</v>
      </c>
      <c r="I802" s="6" t="s">
        <v>35</v>
      </c>
      <c r="J802" s="17" t="s">
        <v>36</v>
      </c>
      <c r="K802" s="17" t="s">
        <v>5532</v>
      </c>
      <c r="L802" s="18" t="str">
        <f t="shared" si="12"/>
        <v>0801</v>
      </c>
      <c r="M802" s="18" t="s">
        <v>38</v>
      </c>
      <c r="N802" s="19" t="s">
        <v>4416</v>
      </c>
      <c r="O802" s="22" t="s">
        <v>5310</v>
      </c>
    </row>
    <row r="803" spans="1:15" ht="15.75" customHeight="1">
      <c r="A803" s="10" t="s">
        <v>5533</v>
      </c>
      <c r="B803" s="10" t="s">
        <v>4410</v>
      </c>
      <c r="C803" s="19" t="s">
        <v>4411</v>
      </c>
      <c r="D803" s="13" t="s">
        <v>43</v>
      </c>
      <c r="E803" s="43" t="s">
        <v>5232</v>
      </c>
      <c r="F803" s="10" t="s">
        <v>5540</v>
      </c>
      <c r="G803" s="17"/>
      <c r="H803" s="17" t="s">
        <v>5538</v>
      </c>
      <c r="I803" s="6" t="s">
        <v>5539</v>
      </c>
      <c r="J803" s="6" t="s">
        <v>36</v>
      </c>
      <c r="K803" s="10" t="s">
        <v>5540</v>
      </c>
      <c r="L803" s="18" t="str">
        <f t="shared" si="12"/>
        <v>0802</v>
      </c>
      <c r="M803" s="18" t="s">
        <v>38</v>
      </c>
      <c r="N803" s="19" t="s">
        <v>4416</v>
      </c>
      <c r="O803" s="22" t="s">
        <v>5310</v>
      </c>
    </row>
    <row r="804" spans="1:15" ht="15.75" customHeight="1">
      <c r="A804" s="10" t="s">
        <v>5541</v>
      </c>
      <c r="B804" s="10" t="s">
        <v>4410</v>
      </c>
      <c r="C804" s="19" t="s">
        <v>4411</v>
      </c>
      <c r="D804" s="13" t="s">
        <v>162</v>
      </c>
      <c r="E804" s="43" t="s">
        <v>285</v>
      </c>
      <c r="F804" s="17" t="s">
        <v>5547</v>
      </c>
      <c r="G804" s="17"/>
      <c r="H804" s="17" t="s">
        <v>168</v>
      </c>
      <c r="I804" s="6" t="s">
        <v>169</v>
      </c>
      <c r="J804" s="17" t="s">
        <v>5546</v>
      </c>
      <c r="K804" s="17" t="s">
        <v>5547</v>
      </c>
      <c r="L804" s="18" t="str">
        <f t="shared" si="12"/>
        <v>0803</v>
      </c>
      <c r="M804" s="18" t="s">
        <v>38</v>
      </c>
      <c r="N804" s="19" t="s">
        <v>4416</v>
      </c>
      <c r="O804" s="22" t="s">
        <v>5310</v>
      </c>
    </row>
    <row r="805" spans="1:15" ht="15.75" customHeight="1">
      <c r="A805" s="10" t="s">
        <v>5548</v>
      </c>
      <c r="B805" s="10" t="s">
        <v>4410</v>
      </c>
      <c r="C805" s="19" t="s">
        <v>4411</v>
      </c>
      <c r="D805" s="13" t="s">
        <v>248</v>
      </c>
      <c r="E805" s="43" t="s">
        <v>249</v>
      </c>
      <c r="F805" s="17" t="s">
        <v>5554</v>
      </c>
      <c r="G805" s="17"/>
      <c r="H805" s="17" t="s">
        <v>978</v>
      </c>
      <c r="I805" s="6" t="s">
        <v>979</v>
      </c>
      <c r="J805" s="17" t="s">
        <v>5553</v>
      </c>
      <c r="K805" s="17" t="s">
        <v>5554</v>
      </c>
      <c r="L805" s="18" t="str">
        <f t="shared" si="12"/>
        <v>0804</v>
      </c>
      <c r="M805" s="18" t="s">
        <v>38</v>
      </c>
      <c r="N805" s="19" t="s">
        <v>4416</v>
      </c>
      <c r="O805" s="22" t="s">
        <v>5310</v>
      </c>
    </row>
    <row r="806" spans="1:15" ht="15.75" customHeight="1">
      <c r="A806" s="10" t="s">
        <v>5555</v>
      </c>
      <c r="B806" s="10" t="s">
        <v>4410</v>
      </c>
      <c r="C806" s="19" t="s">
        <v>4411</v>
      </c>
      <c r="D806" s="13" t="s">
        <v>199</v>
      </c>
      <c r="E806" s="6" t="s">
        <v>199</v>
      </c>
      <c r="F806" s="10" t="s">
        <v>85</v>
      </c>
      <c r="G806" s="17"/>
      <c r="H806" s="17" t="s">
        <v>273</v>
      </c>
      <c r="I806" s="6" t="s">
        <v>274</v>
      </c>
      <c r="J806" s="6">
        <v>11392903014323</v>
      </c>
      <c r="K806" s="10" t="s">
        <v>85</v>
      </c>
      <c r="L806" s="18" t="str">
        <f t="shared" si="12"/>
        <v>0805</v>
      </c>
      <c r="M806" s="18" t="s">
        <v>38</v>
      </c>
      <c r="N806" s="19" t="s">
        <v>4416</v>
      </c>
      <c r="O806" s="22" t="s">
        <v>5310</v>
      </c>
    </row>
    <row r="807" spans="1:15" ht="15.75" customHeight="1">
      <c r="A807" s="10" t="s">
        <v>5560</v>
      </c>
      <c r="B807" s="10" t="s">
        <v>4410</v>
      </c>
      <c r="C807" s="19" t="s">
        <v>4411</v>
      </c>
      <c r="D807" s="13" t="s">
        <v>151</v>
      </c>
      <c r="E807" s="6" t="s">
        <v>4113</v>
      </c>
      <c r="F807" s="35" t="s">
        <v>85</v>
      </c>
      <c r="G807" s="17"/>
      <c r="H807" s="17" t="s">
        <v>297</v>
      </c>
      <c r="I807" s="6" t="s">
        <v>298</v>
      </c>
      <c r="J807" s="6" t="s">
        <v>5564</v>
      </c>
      <c r="K807" s="17" t="s">
        <v>5565</v>
      </c>
      <c r="L807" s="18" t="str">
        <f t="shared" si="12"/>
        <v>0806</v>
      </c>
      <c r="M807" s="18" t="s">
        <v>38</v>
      </c>
      <c r="N807" s="19" t="s">
        <v>4416</v>
      </c>
      <c r="O807" s="22" t="s">
        <v>5310</v>
      </c>
    </row>
    <row r="808" spans="1:15" ht="15.75" customHeight="1">
      <c r="A808" s="10" t="s">
        <v>5566</v>
      </c>
      <c r="B808" s="10" t="s">
        <v>4410</v>
      </c>
      <c r="C808" s="19" t="s">
        <v>4411</v>
      </c>
      <c r="D808" s="13" t="s">
        <v>184</v>
      </c>
      <c r="E808" s="43" t="s">
        <v>5318</v>
      </c>
      <c r="F808" s="35" t="s">
        <v>7323</v>
      </c>
      <c r="G808" s="17"/>
      <c r="H808" s="17" t="s">
        <v>35</v>
      </c>
      <c r="I808" s="6" t="s">
        <v>35</v>
      </c>
      <c r="J808" s="17" t="s">
        <v>36</v>
      </c>
      <c r="K808" s="35" t="s">
        <v>7323</v>
      </c>
      <c r="L808" s="18" t="str">
        <f t="shared" si="12"/>
        <v>0807</v>
      </c>
      <c r="M808" s="18" t="s">
        <v>38</v>
      </c>
      <c r="N808" s="19" t="s">
        <v>4416</v>
      </c>
      <c r="O808" s="22" t="s">
        <v>5310</v>
      </c>
    </row>
    <row r="809" spans="1:15" ht="15.75" customHeight="1">
      <c r="A809" s="10" t="s">
        <v>5571</v>
      </c>
      <c r="B809" s="10" t="s">
        <v>4410</v>
      </c>
      <c r="C809" s="19" t="s">
        <v>4411</v>
      </c>
      <c r="D809" s="13" t="s">
        <v>1275</v>
      </c>
      <c r="E809" s="43" t="s">
        <v>1275</v>
      </c>
      <c r="F809" s="32" t="s">
        <v>5577</v>
      </c>
      <c r="G809" s="17"/>
      <c r="H809" s="17" t="s">
        <v>205</v>
      </c>
      <c r="I809" s="49" t="s">
        <v>5575</v>
      </c>
      <c r="J809" s="46" t="s">
        <v>5576</v>
      </c>
      <c r="K809" s="32" t="s">
        <v>5577</v>
      </c>
      <c r="L809" s="18" t="str">
        <f t="shared" si="12"/>
        <v>0808</v>
      </c>
      <c r="M809" s="18" t="s">
        <v>38</v>
      </c>
      <c r="N809" s="79" t="s">
        <v>4416</v>
      </c>
      <c r="O809" s="22" t="s">
        <v>5310</v>
      </c>
    </row>
    <row r="810" spans="1:15" ht="31.5" customHeight="1">
      <c r="A810" s="10" t="s">
        <v>5578</v>
      </c>
      <c r="B810" s="10" t="s">
        <v>4410</v>
      </c>
      <c r="C810" s="19" t="s">
        <v>4411</v>
      </c>
      <c r="D810" s="13" t="s">
        <v>62</v>
      </c>
      <c r="E810" s="6" t="s">
        <v>4982</v>
      </c>
      <c r="F810" s="17" t="s">
        <v>5583</v>
      </c>
      <c r="G810" s="17"/>
      <c r="H810" s="17" t="s">
        <v>35</v>
      </c>
      <c r="I810" s="6" t="s">
        <v>35</v>
      </c>
      <c r="J810" s="17" t="s">
        <v>36</v>
      </c>
      <c r="K810" s="17" t="s">
        <v>5583</v>
      </c>
      <c r="L810" s="18" t="str">
        <f t="shared" si="12"/>
        <v>0809</v>
      </c>
      <c r="M810" s="18" t="s">
        <v>38</v>
      </c>
      <c r="N810" s="19" t="s">
        <v>4416</v>
      </c>
      <c r="O810" s="20" t="s">
        <v>5584</v>
      </c>
    </row>
    <row r="811" spans="1:15" ht="27.75" customHeight="1">
      <c r="A811" s="10" t="s">
        <v>5585</v>
      </c>
      <c r="B811" s="10" t="s">
        <v>4410</v>
      </c>
      <c r="C811" s="19" t="s">
        <v>4411</v>
      </c>
      <c r="D811" s="13" t="s">
        <v>29</v>
      </c>
      <c r="E811" s="6" t="s">
        <v>5586</v>
      </c>
      <c r="F811" s="17" t="s">
        <v>5591</v>
      </c>
      <c r="G811" s="17"/>
      <c r="H811" s="17" t="s">
        <v>35</v>
      </c>
      <c r="I811" s="6" t="s">
        <v>35</v>
      </c>
      <c r="J811" s="17" t="s">
        <v>36</v>
      </c>
      <c r="K811" s="17" t="s">
        <v>5591</v>
      </c>
      <c r="L811" s="18" t="str">
        <f t="shared" si="12"/>
        <v>0810</v>
      </c>
      <c r="M811" s="18" t="s">
        <v>517</v>
      </c>
      <c r="N811" s="19" t="s">
        <v>4416</v>
      </c>
      <c r="O811" s="20" t="s">
        <v>5584</v>
      </c>
    </row>
    <row r="812" spans="1:15" ht="15.75" customHeight="1">
      <c r="A812" s="10" t="s">
        <v>5592</v>
      </c>
      <c r="B812" s="10" t="s">
        <v>4410</v>
      </c>
      <c r="C812" s="19" t="s">
        <v>4411</v>
      </c>
      <c r="D812" s="13" t="s">
        <v>387</v>
      </c>
      <c r="E812" s="43" t="s">
        <v>387</v>
      </c>
      <c r="F812" s="17" t="s">
        <v>5599</v>
      </c>
      <c r="G812" s="17"/>
      <c r="H812" s="17" t="s">
        <v>5597</v>
      </c>
      <c r="I812" s="6" t="s">
        <v>5598</v>
      </c>
      <c r="J812" s="17" t="s">
        <v>36</v>
      </c>
      <c r="K812" s="17" t="s">
        <v>5599</v>
      </c>
      <c r="L812" s="18" t="str">
        <f t="shared" si="12"/>
        <v>0811</v>
      </c>
      <c r="M812" s="18" t="s">
        <v>38</v>
      </c>
      <c r="N812" s="19" t="s">
        <v>4416</v>
      </c>
      <c r="O812" s="20" t="s">
        <v>5584</v>
      </c>
    </row>
    <row r="813" spans="1:15" ht="15.75" customHeight="1">
      <c r="A813" s="10" t="s">
        <v>5600</v>
      </c>
      <c r="B813" s="10" t="s">
        <v>4410</v>
      </c>
      <c r="C813" s="19" t="s">
        <v>4411</v>
      </c>
      <c r="D813" s="13" t="s">
        <v>850</v>
      </c>
      <c r="E813" s="43" t="s">
        <v>851</v>
      </c>
      <c r="F813" s="10" t="s">
        <v>5606</v>
      </c>
      <c r="G813" s="17"/>
      <c r="H813" s="17" t="s">
        <v>856</v>
      </c>
      <c r="I813" s="6" t="s">
        <v>5605</v>
      </c>
      <c r="J813" s="6" t="s">
        <v>36</v>
      </c>
      <c r="K813" s="10" t="s">
        <v>5606</v>
      </c>
      <c r="L813" s="18" t="str">
        <f t="shared" si="12"/>
        <v>0812</v>
      </c>
      <c r="M813" s="18" t="s">
        <v>38</v>
      </c>
      <c r="N813" s="19" t="s">
        <v>4416</v>
      </c>
      <c r="O813" s="20" t="s">
        <v>5584</v>
      </c>
    </row>
    <row r="814" spans="1:15" ht="15.75" customHeight="1">
      <c r="A814" s="10" t="s">
        <v>5607</v>
      </c>
      <c r="B814" s="10" t="s">
        <v>4410</v>
      </c>
      <c r="C814" s="19" t="s">
        <v>4411</v>
      </c>
      <c r="D814" s="13" t="s">
        <v>3521</v>
      </c>
      <c r="E814" s="6" t="s">
        <v>5608</v>
      </c>
      <c r="F814" s="35" t="s">
        <v>5613</v>
      </c>
      <c r="G814" s="17"/>
      <c r="H814" s="17" t="s">
        <v>35</v>
      </c>
      <c r="I814" s="6" t="s">
        <v>35</v>
      </c>
      <c r="J814" s="17" t="s">
        <v>36</v>
      </c>
      <c r="K814" s="17" t="s">
        <v>5613</v>
      </c>
      <c r="L814" s="18" t="str">
        <f t="shared" si="12"/>
        <v>0813</v>
      </c>
      <c r="M814" s="18" t="s">
        <v>38</v>
      </c>
      <c r="N814" s="19" t="s">
        <v>4416</v>
      </c>
      <c r="O814" s="20" t="s">
        <v>5584</v>
      </c>
    </row>
    <row r="815" spans="1:15" ht="15.75" customHeight="1">
      <c r="A815" s="10" t="s">
        <v>5614</v>
      </c>
      <c r="B815" s="10" t="s">
        <v>4410</v>
      </c>
      <c r="C815" s="19" t="s">
        <v>4411</v>
      </c>
      <c r="D815" s="13" t="s">
        <v>116</v>
      </c>
      <c r="E815" s="6" t="s">
        <v>5615</v>
      </c>
      <c r="F815" s="17" t="s">
        <v>5620</v>
      </c>
      <c r="G815" s="17"/>
      <c r="H815" s="17" t="s">
        <v>35</v>
      </c>
      <c r="I815" s="6" t="s">
        <v>35</v>
      </c>
      <c r="J815" s="17" t="s">
        <v>36</v>
      </c>
      <c r="K815" s="17" t="s">
        <v>5620</v>
      </c>
      <c r="L815" s="18" t="str">
        <f t="shared" si="12"/>
        <v>0814</v>
      </c>
      <c r="M815" s="18" t="s">
        <v>100</v>
      </c>
      <c r="N815" s="19" t="s">
        <v>4416</v>
      </c>
      <c r="O815" s="20" t="s">
        <v>5584</v>
      </c>
    </row>
    <row r="816" spans="1:15" ht="15.75" customHeight="1">
      <c r="A816" s="10" t="s">
        <v>5621</v>
      </c>
      <c r="B816" s="10" t="s">
        <v>4410</v>
      </c>
      <c r="C816" s="19" t="s">
        <v>4411</v>
      </c>
      <c r="D816" s="13" t="s">
        <v>378</v>
      </c>
      <c r="E816" s="6" t="s">
        <v>1306</v>
      </c>
      <c r="F816" s="17" t="s">
        <v>5626</v>
      </c>
      <c r="G816" s="17"/>
      <c r="H816" s="17" t="s">
        <v>35</v>
      </c>
      <c r="I816" s="6" t="s">
        <v>35</v>
      </c>
      <c r="J816" s="17" t="s">
        <v>36</v>
      </c>
      <c r="K816" s="17" t="s">
        <v>5626</v>
      </c>
      <c r="L816" s="18" t="str">
        <f t="shared" si="12"/>
        <v>0815</v>
      </c>
      <c r="M816" s="18" t="s">
        <v>38</v>
      </c>
      <c r="N816" s="19" t="s">
        <v>4416</v>
      </c>
      <c r="O816" s="20" t="s">
        <v>5584</v>
      </c>
    </row>
    <row r="817" spans="1:15" ht="15.75" customHeight="1">
      <c r="A817" s="10" t="s">
        <v>5627</v>
      </c>
      <c r="B817" s="10" t="s">
        <v>4410</v>
      </c>
      <c r="C817" s="19" t="s">
        <v>4411</v>
      </c>
      <c r="D817" s="13" t="s">
        <v>378</v>
      </c>
      <c r="E817" s="6" t="s">
        <v>1306</v>
      </c>
      <c r="F817" s="17" t="s">
        <v>5632</v>
      </c>
      <c r="G817" s="17"/>
      <c r="H817" s="17" t="s">
        <v>35</v>
      </c>
      <c r="I817" s="6" t="s">
        <v>35</v>
      </c>
      <c r="J817" s="17" t="s">
        <v>36</v>
      </c>
      <c r="K817" s="17" t="s">
        <v>5632</v>
      </c>
      <c r="L817" s="18" t="str">
        <f t="shared" si="12"/>
        <v>0816</v>
      </c>
      <c r="M817" s="18" t="s">
        <v>38</v>
      </c>
      <c r="N817" s="19" t="s">
        <v>4416</v>
      </c>
      <c r="O817" s="20" t="s">
        <v>5584</v>
      </c>
    </row>
    <row r="818" spans="1:15" ht="15.75" customHeight="1">
      <c r="A818" s="10" t="s">
        <v>5633</v>
      </c>
      <c r="B818" s="10" t="s">
        <v>4410</v>
      </c>
      <c r="C818" s="19" t="s">
        <v>4411</v>
      </c>
      <c r="D818" s="13" t="s">
        <v>378</v>
      </c>
      <c r="E818" s="6" t="s">
        <v>1306</v>
      </c>
      <c r="F818" s="17" t="s">
        <v>5638</v>
      </c>
      <c r="G818" s="17"/>
      <c r="H818" s="17" t="s">
        <v>35</v>
      </c>
      <c r="I818" s="6" t="s">
        <v>35</v>
      </c>
      <c r="J818" s="17" t="s">
        <v>36</v>
      </c>
      <c r="K818" s="17" t="s">
        <v>5638</v>
      </c>
      <c r="L818" s="18" t="str">
        <f t="shared" si="12"/>
        <v>0817</v>
      </c>
      <c r="M818" s="18" t="s">
        <v>38</v>
      </c>
      <c r="N818" s="19" t="s">
        <v>4416</v>
      </c>
      <c r="O818" s="20" t="s">
        <v>5584</v>
      </c>
    </row>
    <row r="819" spans="1:15" ht="15.75" customHeight="1">
      <c r="A819" s="10" t="s">
        <v>5639</v>
      </c>
      <c r="B819" s="10" t="s">
        <v>27</v>
      </c>
      <c r="C819" s="19" t="s">
        <v>28</v>
      </c>
      <c r="D819" s="13" t="s">
        <v>184</v>
      </c>
      <c r="E819" s="6" t="s">
        <v>2677</v>
      </c>
      <c r="F819" s="17" t="s">
        <v>5644</v>
      </c>
      <c r="G819" s="17"/>
      <c r="H819" s="17" t="s">
        <v>35</v>
      </c>
      <c r="I819" s="6" t="s">
        <v>35</v>
      </c>
      <c r="J819" s="17" t="s">
        <v>36</v>
      </c>
      <c r="K819" s="17" t="s">
        <v>5644</v>
      </c>
      <c r="L819" s="18" t="str">
        <f t="shared" si="12"/>
        <v>0818</v>
      </c>
      <c r="M819" s="18" t="s">
        <v>100</v>
      </c>
      <c r="N819" s="19" t="s">
        <v>147</v>
      </c>
      <c r="O819" s="20" t="s">
        <v>686</v>
      </c>
    </row>
    <row r="820" spans="1:15" ht="15.75" customHeight="1">
      <c r="A820" s="10" t="s">
        <v>5645</v>
      </c>
      <c r="B820" s="10" t="s">
        <v>4410</v>
      </c>
      <c r="C820" s="19" t="s">
        <v>4411</v>
      </c>
      <c r="D820" s="13" t="s">
        <v>43</v>
      </c>
      <c r="E820" s="6" t="s">
        <v>5232</v>
      </c>
      <c r="F820" s="10" t="s">
        <v>5650</v>
      </c>
      <c r="G820" s="17"/>
      <c r="H820" s="17" t="s">
        <v>5538</v>
      </c>
      <c r="I820" s="6" t="s">
        <v>5539</v>
      </c>
      <c r="J820" s="6" t="s">
        <v>36</v>
      </c>
      <c r="K820" s="10" t="s">
        <v>5650</v>
      </c>
      <c r="L820" s="18" t="str">
        <f t="shared" si="12"/>
        <v>0819</v>
      </c>
      <c r="M820" s="18" t="s">
        <v>517</v>
      </c>
      <c r="N820" s="19" t="s">
        <v>4416</v>
      </c>
      <c r="O820" s="20" t="s">
        <v>5584</v>
      </c>
    </row>
    <row r="821" spans="1:15" ht="15.75" customHeight="1">
      <c r="A821" s="10" t="s">
        <v>5651</v>
      </c>
      <c r="B821" s="10" t="s">
        <v>4410</v>
      </c>
      <c r="C821" s="19" t="s">
        <v>4411</v>
      </c>
      <c r="D821" s="13" t="s">
        <v>93</v>
      </c>
      <c r="E821" s="6" t="s">
        <v>5652</v>
      </c>
      <c r="F821" s="17" t="s">
        <v>5657</v>
      </c>
      <c r="G821" s="17"/>
      <c r="H821" s="17" t="s">
        <v>35</v>
      </c>
      <c r="I821" s="6" t="s">
        <v>35</v>
      </c>
      <c r="J821" s="17" t="s">
        <v>36</v>
      </c>
      <c r="K821" s="17" t="s">
        <v>5657</v>
      </c>
      <c r="L821" s="18" t="str">
        <f t="shared" si="12"/>
        <v>0820</v>
      </c>
      <c r="M821" s="18" t="s">
        <v>38</v>
      </c>
      <c r="N821" s="19" t="s">
        <v>4416</v>
      </c>
      <c r="O821" s="20" t="s">
        <v>5584</v>
      </c>
    </row>
    <row r="822" spans="1:15" ht="15.75" customHeight="1">
      <c r="A822" s="10" t="s">
        <v>5658</v>
      </c>
      <c r="B822" s="10" t="s">
        <v>4410</v>
      </c>
      <c r="C822" s="19" t="s">
        <v>4411</v>
      </c>
      <c r="D822" s="13" t="s">
        <v>162</v>
      </c>
      <c r="E822" s="43" t="s">
        <v>285</v>
      </c>
      <c r="F822" s="17" t="s">
        <v>5664</v>
      </c>
      <c r="G822" s="17"/>
      <c r="H822" s="17" t="s">
        <v>168</v>
      </c>
      <c r="I822" s="6" t="s">
        <v>169</v>
      </c>
      <c r="J822" s="17" t="s">
        <v>5663</v>
      </c>
      <c r="K822" s="17" t="s">
        <v>5664</v>
      </c>
      <c r="L822" s="18" t="str">
        <f t="shared" si="12"/>
        <v>0821</v>
      </c>
      <c r="M822" s="18" t="s">
        <v>100</v>
      </c>
      <c r="N822" s="19" t="s">
        <v>4416</v>
      </c>
      <c r="O822" s="20" t="s">
        <v>5584</v>
      </c>
    </row>
    <row r="823" spans="1:15" ht="15.75" customHeight="1">
      <c r="A823" s="10" t="s">
        <v>5665</v>
      </c>
      <c r="B823" s="10" t="s">
        <v>4410</v>
      </c>
      <c r="C823" s="19" t="s">
        <v>4411</v>
      </c>
      <c r="D823" s="13" t="s">
        <v>248</v>
      </c>
      <c r="E823" s="43" t="s">
        <v>248</v>
      </c>
      <c r="F823" s="17" t="s">
        <v>5671</v>
      </c>
      <c r="G823" s="17"/>
      <c r="H823" s="17" t="s">
        <v>978</v>
      </c>
      <c r="I823" s="6" t="s">
        <v>979</v>
      </c>
      <c r="J823" s="17" t="s">
        <v>5670</v>
      </c>
      <c r="K823" s="17" t="s">
        <v>5671</v>
      </c>
      <c r="L823" s="18" t="str">
        <f t="shared" si="12"/>
        <v>0822</v>
      </c>
      <c r="M823" s="18" t="s">
        <v>38</v>
      </c>
      <c r="N823" s="19" t="s">
        <v>4416</v>
      </c>
      <c r="O823" s="20" t="s">
        <v>5584</v>
      </c>
    </row>
    <row r="824" spans="1:15" ht="15.75" customHeight="1">
      <c r="A824" s="10" t="s">
        <v>5672</v>
      </c>
      <c r="B824" s="10" t="s">
        <v>4410</v>
      </c>
      <c r="C824" s="19" t="s">
        <v>4411</v>
      </c>
      <c r="D824" s="13" t="s">
        <v>199</v>
      </c>
      <c r="E824" s="6" t="s">
        <v>199</v>
      </c>
      <c r="F824" s="10" t="s">
        <v>85</v>
      </c>
      <c r="G824" s="17"/>
      <c r="H824" s="17" t="s">
        <v>273</v>
      </c>
      <c r="I824" s="6" t="s">
        <v>274</v>
      </c>
      <c r="J824" s="6">
        <v>11392903012333</v>
      </c>
      <c r="K824" s="10" t="s">
        <v>85</v>
      </c>
      <c r="L824" s="18" t="str">
        <f t="shared" si="12"/>
        <v>0823</v>
      </c>
      <c r="M824" s="18" t="s">
        <v>38</v>
      </c>
      <c r="N824" s="19" t="s">
        <v>4416</v>
      </c>
      <c r="O824" s="20" t="s">
        <v>5584</v>
      </c>
    </row>
    <row r="825" spans="1:15" ht="15.75" customHeight="1">
      <c r="A825" s="10" t="s">
        <v>5676</v>
      </c>
      <c r="B825" s="10" t="s">
        <v>4410</v>
      </c>
      <c r="C825" s="19" t="s">
        <v>4411</v>
      </c>
      <c r="D825" s="13" t="s">
        <v>151</v>
      </c>
      <c r="E825" s="6" t="s">
        <v>2236</v>
      </c>
      <c r="F825" s="17" t="s">
        <v>5682</v>
      </c>
      <c r="G825" s="17"/>
      <c r="H825" s="17" t="s">
        <v>1220</v>
      </c>
      <c r="I825" s="6" t="s">
        <v>720</v>
      </c>
      <c r="J825" s="35" t="s">
        <v>5681</v>
      </c>
      <c r="K825" s="17" t="s">
        <v>5682</v>
      </c>
      <c r="L825" s="18" t="str">
        <f t="shared" si="12"/>
        <v>0824</v>
      </c>
      <c r="M825" s="18" t="s">
        <v>38</v>
      </c>
      <c r="N825" s="19" t="s">
        <v>4416</v>
      </c>
      <c r="O825" s="20" t="s">
        <v>5584</v>
      </c>
    </row>
    <row r="826" spans="1:15" ht="15.75" customHeight="1">
      <c r="A826" s="10" t="s">
        <v>5683</v>
      </c>
      <c r="B826" s="10" t="s">
        <v>4410</v>
      </c>
      <c r="C826" s="19" t="s">
        <v>4411</v>
      </c>
      <c r="D826" s="13" t="s">
        <v>151</v>
      </c>
      <c r="E826" s="6" t="s">
        <v>4113</v>
      </c>
      <c r="F826" s="32" t="s">
        <v>85</v>
      </c>
      <c r="G826" s="17"/>
      <c r="H826" s="17" t="s">
        <v>297</v>
      </c>
      <c r="I826" s="6" t="s">
        <v>298</v>
      </c>
      <c r="J826" s="6" t="s">
        <v>5687</v>
      </c>
      <c r="K826" s="32" t="s">
        <v>85</v>
      </c>
      <c r="L826" s="18" t="str">
        <f t="shared" si="12"/>
        <v>0825</v>
      </c>
      <c r="M826" s="18" t="s">
        <v>38</v>
      </c>
      <c r="N826" s="19" t="s">
        <v>4416</v>
      </c>
      <c r="O826" s="20" t="s">
        <v>5584</v>
      </c>
    </row>
    <row r="827" spans="1:15" ht="29.25">
      <c r="A827" s="10" t="s">
        <v>5688</v>
      </c>
      <c r="B827" s="10" t="s">
        <v>4410</v>
      </c>
      <c r="C827" s="19" t="s">
        <v>4411</v>
      </c>
      <c r="D827" s="13" t="s">
        <v>501</v>
      </c>
      <c r="E827" s="6" t="s">
        <v>5689</v>
      </c>
      <c r="F827" s="17" t="s">
        <v>5694</v>
      </c>
      <c r="G827" s="17"/>
      <c r="H827" s="17" t="s">
        <v>35</v>
      </c>
      <c r="I827" s="6" t="s">
        <v>35</v>
      </c>
      <c r="J827" s="17" t="s">
        <v>36</v>
      </c>
      <c r="K827" s="17" t="s">
        <v>5694</v>
      </c>
      <c r="L827" s="18" t="str">
        <f t="shared" si="12"/>
        <v>0826</v>
      </c>
      <c r="M827" s="18" t="s">
        <v>38</v>
      </c>
      <c r="N827" s="61" t="s">
        <v>5695</v>
      </c>
      <c r="O827" s="22" t="s">
        <v>5696</v>
      </c>
    </row>
    <row r="828" spans="1:15" ht="15.75" customHeight="1">
      <c r="A828" s="10" t="s">
        <v>5697</v>
      </c>
      <c r="B828" s="10" t="s">
        <v>4410</v>
      </c>
      <c r="C828" s="19" t="s">
        <v>4411</v>
      </c>
      <c r="D828" s="13" t="s">
        <v>378</v>
      </c>
      <c r="E828" s="43" t="s">
        <v>1450</v>
      </c>
      <c r="F828" s="17" t="s">
        <v>5702</v>
      </c>
      <c r="G828" s="17"/>
      <c r="H828" s="17" t="s">
        <v>35</v>
      </c>
      <c r="I828" s="6" t="s">
        <v>35</v>
      </c>
      <c r="J828" s="17" t="s">
        <v>36</v>
      </c>
      <c r="K828" s="17" t="s">
        <v>5702</v>
      </c>
      <c r="L828" s="18" t="str">
        <f t="shared" si="12"/>
        <v>0827</v>
      </c>
      <c r="M828" s="18" t="s">
        <v>38</v>
      </c>
      <c r="N828" s="61" t="s">
        <v>5695</v>
      </c>
      <c r="O828" s="22" t="s">
        <v>5696</v>
      </c>
    </row>
    <row r="829" spans="1:15" ht="15.75" customHeight="1">
      <c r="A829" s="10" t="s">
        <v>5703</v>
      </c>
      <c r="B829" s="10" t="s">
        <v>4410</v>
      </c>
      <c r="C829" s="19" t="s">
        <v>4411</v>
      </c>
      <c r="D829" s="13" t="s">
        <v>116</v>
      </c>
      <c r="E829" s="6" t="s">
        <v>364</v>
      </c>
      <c r="F829" s="17" t="s">
        <v>5708</v>
      </c>
      <c r="G829" s="17"/>
      <c r="H829" s="17" t="s">
        <v>35</v>
      </c>
      <c r="I829" s="6" t="s">
        <v>35</v>
      </c>
      <c r="J829" s="17" t="s">
        <v>36</v>
      </c>
      <c r="K829" s="17" t="s">
        <v>5708</v>
      </c>
      <c r="L829" s="18" t="str">
        <f t="shared" si="12"/>
        <v>0828</v>
      </c>
      <c r="M829" s="18" t="s">
        <v>38</v>
      </c>
      <c r="N829" s="61" t="s">
        <v>5695</v>
      </c>
      <c r="O829" s="22" t="s">
        <v>5696</v>
      </c>
    </row>
    <row r="830" spans="1:15" ht="15.75" customHeight="1">
      <c r="A830" s="10" t="s">
        <v>5709</v>
      </c>
      <c r="B830" s="10" t="s">
        <v>4410</v>
      </c>
      <c r="C830" s="19" t="s">
        <v>4411</v>
      </c>
      <c r="D830" s="13" t="s">
        <v>248</v>
      </c>
      <c r="E830" s="43" t="s">
        <v>248</v>
      </c>
      <c r="F830" s="17" t="s">
        <v>5715</v>
      </c>
      <c r="G830" s="17"/>
      <c r="H830" s="17" t="s">
        <v>978</v>
      </c>
      <c r="I830" s="6" t="s">
        <v>979</v>
      </c>
      <c r="J830" s="17" t="s">
        <v>5714</v>
      </c>
      <c r="K830" s="17" t="s">
        <v>5715</v>
      </c>
      <c r="L830" s="18" t="str">
        <f t="shared" si="12"/>
        <v>0829</v>
      </c>
      <c r="M830" s="18" t="s">
        <v>38</v>
      </c>
      <c r="N830" s="61" t="s">
        <v>5695</v>
      </c>
      <c r="O830" s="22" t="s">
        <v>5696</v>
      </c>
    </row>
    <row r="831" spans="1:15" ht="15.75" customHeight="1">
      <c r="A831" s="10" t="s">
        <v>5716</v>
      </c>
      <c r="B831" s="10" t="s">
        <v>4410</v>
      </c>
      <c r="C831" s="19" t="s">
        <v>4411</v>
      </c>
      <c r="D831" s="13" t="s">
        <v>199</v>
      </c>
      <c r="E831" s="6" t="s">
        <v>199</v>
      </c>
      <c r="F831" s="10" t="s">
        <v>85</v>
      </c>
      <c r="G831" s="17"/>
      <c r="H831" s="17" t="s">
        <v>273</v>
      </c>
      <c r="I831" s="6" t="s">
        <v>274</v>
      </c>
      <c r="J831" s="6">
        <v>11392903012346</v>
      </c>
      <c r="K831" s="10" t="s">
        <v>85</v>
      </c>
      <c r="L831" s="18" t="str">
        <f t="shared" si="12"/>
        <v>0830</v>
      </c>
      <c r="M831" s="18" t="s">
        <v>38</v>
      </c>
      <c r="N831" s="61" t="s">
        <v>5695</v>
      </c>
      <c r="O831" s="22" t="s">
        <v>5696</v>
      </c>
    </row>
    <row r="832" spans="1:15" ht="15.75" customHeight="1">
      <c r="A832" s="10" t="s">
        <v>5720</v>
      </c>
      <c r="B832" s="10" t="s">
        <v>4410</v>
      </c>
      <c r="C832" s="19" t="s">
        <v>4411</v>
      </c>
      <c r="D832" s="13" t="s">
        <v>151</v>
      </c>
      <c r="E832" s="6" t="s">
        <v>714</v>
      </c>
      <c r="F832" s="10" t="s">
        <v>85</v>
      </c>
      <c r="G832" s="17"/>
      <c r="H832" s="17" t="s">
        <v>297</v>
      </c>
      <c r="I832" s="6" t="s">
        <v>298</v>
      </c>
      <c r="J832" s="6" t="s">
        <v>5724</v>
      </c>
      <c r="K832" s="10" t="s">
        <v>85</v>
      </c>
      <c r="L832" s="18" t="str">
        <f t="shared" si="12"/>
        <v>0831</v>
      </c>
      <c r="M832" s="18" t="s">
        <v>38</v>
      </c>
      <c r="N832" s="61" t="s">
        <v>5695</v>
      </c>
      <c r="O832" s="22" t="s">
        <v>5696</v>
      </c>
    </row>
    <row r="833" spans="1:15" ht="15.75" customHeight="1">
      <c r="A833" s="10" t="s">
        <v>5725</v>
      </c>
      <c r="B833" s="10" t="s">
        <v>4410</v>
      </c>
      <c r="C833" s="19" t="s">
        <v>4411</v>
      </c>
      <c r="D833" s="13" t="s">
        <v>43</v>
      </c>
      <c r="E833" s="43" t="s">
        <v>315</v>
      </c>
      <c r="F833" s="17" t="s">
        <v>5731</v>
      </c>
      <c r="G833" s="17"/>
      <c r="H833" s="17" t="s">
        <v>2586</v>
      </c>
      <c r="I833" s="6" t="s">
        <v>5730</v>
      </c>
      <c r="J833" s="46" t="s">
        <v>36</v>
      </c>
      <c r="K833" s="17" t="s">
        <v>5731</v>
      </c>
      <c r="L833" s="18" t="str">
        <f t="shared" si="12"/>
        <v>0832</v>
      </c>
      <c r="M833" s="18" t="s">
        <v>100</v>
      </c>
      <c r="N833" s="61" t="s">
        <v>5695</v>
      </c>
      <c r="O833" s="22" t="s">
        <v>5696</v>
      </c>
    </row>
    <row r="834" spans="1:15" ht="15.75" customHeight="1">
      <c r="A834" s="10" t="s">
        <v>5732</v>
      </c>
      <c r="B834" s="10" t="s">
        <v>474</v>
      </c>
      <c r="C834" s="11" t="s">
        <v>28</v>
      </c>
      <c r="D834" s="13" t="s">
        <v>93</v>
      </c>
      <c r="E834" s="6" t="s">
        <v>5733</v>
      </c>
      <c r="F834" s="17" t="s">
        <v>5738</v>
      </c>
      <c r="G834" s="17"/>
      <c r="H834" s="17" t="s">
        <v>35</v>
      </c>
      <c r="I834" s="6" t="s">
        <v>35</v>
      </c>
      <c r="J834" s="17" t="s">
        <v>36</v>
      </c>
      <c r="K834" s="17" t="s">
        <v>5738</v>
      </c>
      <c r="L834" s="18" t="str">
        <f t="shared" ref="L834:L897" si="13">A834</f>
        <v>0833</v>
      </c>
      <c r="M834" s="18" t="s">
        <v>38</v>
      </c>
      <c r="N834" s="19" t="s">
        <v>28</v>
      </c>
      <c r="O834" s="22" t="s">
        <v>40</v>
      </c>
    </row>
    <row r="835" spans="1:15" ht="15.75" customHeight="1">
      <c r="A835" s="10" t="s">
        <v>5739</v>
      </c>
      <c r="B835" s="10" t="s">
        <v>474</v>
      </c>
      <c r="C835" s="11" t="s">
        <v>28</v>
      </c>
      <c r="D835" s="13" t="s">
        <v>93</v>
      </c>
      <c r="E835" s="6" t="s">
        <v>5740</v>
      </c>
      <c r="F835" s="10" t="s">
        <v>7324</v>
      </c>
      <c r="G835" s="17"/>
      <c r="H835" s="35" t="s">
        <v>35</v>
      </c>
      <c r="I835" s="6" t="s">
        <v>35</v>
      </c>
      <c r="J835" s="10" t="s">
        <v>36</v>
      </c>
      <c r="K835" s="10" t="s">
        <v>7324</v>
      </c>
      <c r="L835" s="18" t="str">
        <f t="shared" si="13"/>
        <v>0834</v>
      </c>
      <c r="M835" s="18" t="s">
        <v>38</v>
      </c>
      <c r="N835" s="19" t="s">
        <v>28</v>
      </c>
      <c r="O835" s="22" t="s">
        <v>40</v>
      </c>
    </row>
    <row r="836" spans="1:15" ht="15.75" customHeight="1">
      <c r="A836" s="10" t="s">
        <v>5743</v>
      </c>
      <c r="B836" s="10" t="s">
        <v>474</v>
      </c>
      <c r="C836" s="11" t="s">
        <v>28</v>
      </c>
      <c r="D836" s="13" t="s">
        <v>93</v>
      </c>
      <c r="E836" s="6" t="s">
        <v>5740</v>
      </c>
      <c r="F836" s="10" t="s">
        <v>7325</v>
      </c>
      <c r="G836" s="17"/>
      <c r="H836" s="35" t="s">
        <v>35</v>
      </c>
      <c r="I836" s="6" t="s">
        <v>35</v>
      </c>
      <c r="J836" s="10" t="s">
        <v>36</v>
      </c>
      <c r="K836" s="10" t="s">
        <v>7325</v>
      </c>
      <c r="L836" s="18" t="str">
        <f t="shared" si="13"/>
        <v>0835</v>
      </c>
      <c r="M836" s="18" t="s">
        <v>38</v>
      </c>
      <c r="N836" s="19" t="s">
        <v>28</v>
      </c>
      <c r="O836" s="22" t="s">
        <v>40</v>
      </c>
    </row>
    <row r="837" spans="1:15" ht="15.75" customHeight="1">
      <c r="A837" s="10" t="s">
        <v>5746</v>
      </c>
      <c r="B837" s="10" t="s">
        <v>474</v>
      </c>
      <c r="C837" s="11" t="s">
        <v>28</v>
      </c>
      <c r="D837" s="13" t="s">
        <v>93</v>
      </c>
      <c r="E837" s="6" t="s">
        <v>5740</v>
      </c>
      <c r="F837" s="17" t="s">
        <v>5751</v>
      </c>
      <c r="G837" s="17"/>
      <c r="H837" s="17" t="s">
        <v>35</v>
      </c>
      <c r="I837" s="6" t="s">
        <v>35</v>
      </c>
      <c r="J837" s="17" t="s">
        <v>36</v>
      </c>
      <c r="K837" s="17" t="s">
        <v>5751</v>
      </c>
      <c r="L837" s="18" t="str">
        <f t="shared" si="13"/>
        <v>0836</v>
      </c>
      <c r="M837" s="18" t="s">
        <v>38</v>
      </c>
      <c r="N837" s="19" t="s">
        <v>28</v>
      </c>
      <c r="O837" s="22" t="s">
        <v>40</v>
      </c>
    </row>
    <row r="838" spans="1:15" ht="15.75" customHeight="1">
      <c r="A838" s="10" t="s">
        <v>5752</v>
      </c>
      <c r="B838" s="10" t="s">
        <v>474</v>
      </c>
      <c r="C838" s="11" t="s">
        <v>28</v>
      </c>
      <c r="D838" s="13" t="s">
        <v>378</v>
      </c>
      <c r="E838" s="43" t="s">
        <v>511</v>
      </c>
      <c r="F838" s="17" t="s">
        <v>5757</v>
      </c>
      <c r="G838" s="17"/>
      <c r="H838" s="17" t="s">
        <v>35</v>
      </c>
      <c r="I838" s="6" t="s">
        <v>35</v>
      </c>
      <c r="J838" s="17" t="s">
        <v>36</v>
      </c>
      <c r="K838" s="17" t="s">
        <v>5757</v>
      </c>
      <c r="L838" s="18" t="str">
        <f t="shared" si="13"/>
        <v>0837</v>
      </c>
      <c r="M838" s="18" t="s">
        <v>517</v>
      </c>
      <c r="N838" s="19" t="s">
        <v>28</v>
      </c>
      <c r="O838" s="22" t="s">
        <v>40</v>
      </c>
    </row>
    <row r="839" spans="1:15" ht="15.75" customHeight="1">
      <c r="A839" s="10" t="s">
        <v>5758</v>
      </c>
      <c r="B839" s="10" t="s">
        <v>474</v>
      </c>
      <c r="C839" s="11" t="s">
        <v>28</v>
      </c>
      <c r="D839" s="13" t="s">
        <v>378</v>
      </c>
      <c r="E839" s="6" t="s">
        <v>511</v>
      </c>
      <c r="F839" s="17" t="s">
        <v>5763</v>
      </c>
      <c r="G839" s="17"/>
      <c r="H839" s="17" t="s">
        <v>35</v>
      </c>
      <c r="I839" s="6" t="s">
        <v>35</v>
      </c>
      <c r="J839" s="17" t="s">
        <v>36</v>
      </c>
      <c r="K839" s="17" t="s">
        <v>5763</v>
      </c>
      <c r="L839" s="18" t="str">
        <f t="shared" si="13"/>
        <v>0838</v>
      </c>
      <c r="M839" s="18" t="s">
        <v>100</v>
      </c>
      <c r="N839" s="19" t="s">
        <v>28</v>
      </c>
      <c r="O839" s="22" t="s">
        <v>40</v>
      </c>
    </row>
    <row r="840" spans="1:15" ht="15.75" customHeight="1">
      <c r="A840" s="10" t="s">
        <v>5764</v>
      </c>
      <c r="B840" s="10" t="s">
        <v>474</v>
      </c>
      <c r="C840" s="11" t="s">
        <v>28</v>
      </c>
      <c r="D840" s="13" t="s">
        <v>80</v>
      </c>
      <c r="E840" s="6" t="s">
        <v>5765</v>
      </c>
      <c r="F840" s="17" t="s">
        <v>85</v>
      </c>
      <c r="G840" s="17"/>
      <c r="H840" s="17" t="s">
        <v>35</v>
      </c>
      <c r="I840" s="6" t="s">
        <v>35</v>
      </c>
      <c r="J840" s="17" t="s">
        <v>36</v>
      </c>
      <c r="K840" s="17" t="s">
        <v>85</v>
      </c>
      <c r="L840" s="18" t="str">
        <f t="shared" si="13"/>
        <v>0839</v>
      </c>
      <c r="M840" s="18" t="s">
        <v>38</v>
      </c>
      <c r="N840" s="19" t="s">
        <v>28</v>
      </c>
      <c r="O840" s="22" t="s">
        <v>40</v>
      </c>
    </row>
    <row r="841" spans="1:15" ht="15.75" customHeight="1">
      <c r="A841" s="10" t="s">
        <v>5770</v>
      </c>
      <c r="B841" s="10" t="s">
        <v>474</v>
      </c>
      <c r="C841" s="11" t="s">
        <v>28</v>
      </c>
      <c r="D841" s="13" t="s">
        <v>93</v>
      </c>
      <c r="E841" s="6" t="s">
        <v>5771</v>
      </c>
      <c r="F841" s="17" t="s">
        <v>5776</v>
      </c>
      <c r="G841" s="17"/>
      <c r="H841" s="17" t="s">
        <v>35</v>
      </c>
      <c r="I841" s="6" t="s">
        <v>35</v>
      </c>
      <c r="J841" s="17" t="s">
        <v>36</v>
      </c>
      <c r="K841" s="17" t="s">
        <v>5776</v>
      </c>
      <c r="L841" s="18" t="str">
        <f t="shared" si="13"/>
        <v>0840</v>
      </c>
      <c r="M841" s="18" t="s">
        <v>38</v>
      </c>
      <c r="N841" s="19" t="s">
        <v>28</v>
      </c>
      <c r="O841" s="22" t="s">
        <v>40</v>
      </c>
    </row>
    <row r="842" spans="1:15" ht="15.75" customHeight="1">
      <c r="A842" s="10" t="s">
        <v>5777</v>
      </c>
      <c r="B842" s="10" t="s">
        <v>474</v>
      </c>
      <c r="C842" s="11" t="s">
        <v>28</v>
      </c>
      <c r="D842" s="13" t="s">
        <v>5778</v>
      </c>
      <c r="E842" s="43" t="s">
        <v>5779</v>
      </c>
      <c r="F842" s="10" t="s">
        <v>85</v>
      </c>
      <c r="G842" s="17"/>
      <c r="H842" s="17" t="s">
        <v>5784</v>
      </c>
      <c r="I842" s="6" t="s">
        <v>5785</v>
      </c>
      <c r="J842" s="6" t="s">
        <v>36</v>
      </c>
      <c r="K842" s="10" t="s">
        <v>85</v>
      </c>
      <c r="L842" s="18" t="str">
        <f t="shared" si="13"/>
        <v>0841</v>
      </c>
      <c r="M842" s="18" t="s">
        <v>38</v>
      </c>
      <c r="N842" s="19" t="s">
        <v>28</v>
      </c>
      <c r="O842" s="22" t="s">
        <v>40</v>
      </c>
    </row>
    <row r="843" spans="1:15" ht="15.75" customHeight="1">
      <c r="A843" s="10" t="s">
        <v>5786</v>
      </c>
      <c r="B843" s="10" t="s">
        <v>474</v>
      </c>
      <c r="C843" s="11" t="s">
        <v>28</v>
      </c>
      <c r="D843" s="13" t="s">
        <v>378</v>
      </c>
      <c r="E843" s="43" t="s">
        <v>511</v>
      </c>
      <c r="F843" s="17" t="s">
        <v>5791</v>
      </c>
      <c r="G843" s="17"/>
      <c r="H843" s="17" t="s">
        <v>35</v>
      </c>
      <c r="I843" s="6" t="s">
        <v>35</v>
      </c>
      <c r="J843" s="17" t="s">
        <v>36</v>
      </c>
      <c r="K843" s="17" t="s">
        <v>5791</v>
      </c>
      <c r="L843" s="18" t="str">
        <f t="shared" si="13"/>
        <v>0842</v>
      </c>
      <c r="M843" s="18" t="s">
        <v>517</v>
      </c>
      <c r="N843" s="19" t="s">
        <v>28</v>
      </c>
      <c r="O843" s="22" t="s">
        <v>40</v>
      </c>
    </row>
    <row r="844" spans="1:15" ht="15.75" customHeight="1">
      <c r="A844" s="10" t="s">
        <v>5792</v>
      </c>
      <c r="B844" s="10" t="s">
        <v>474</v>
      </c>
      <c r="C844" s="11" t="s">
        <v>28</v>
      </c>
      <c r="D844" s="13" t="s">
        <v>378</v>
      </c>
      <c r="E844" s="43" t="s">
        <v>511</v>
      </c>
      <c r="F844" s="17" t="s">
        <v>5798</v>
      </c>
      <c r="G844" s="17"/>
      <c r="H844" s="17" t="s">
        <v>35</v>
      </c>
      <c r="I844" s="6" t="s">
        <v>35</v>
      </c>
      <c r="J844" s="17" t="s">
        <v>36</v>
      </c>
      <c r="K844" s="17" t="s">
        <v>5798</v>
      </c>
      <c r="L844" s="18" t="str">
        <f t="shared" si="13"/>
        <v>0843</v>
      </c>
      <c r="M844" s="18" t="s">
        <v>100</v>
      </c>
      <c r="N844" s="19" t="s">
        <v>147</v>
      </c>
      <c r="O844" s="20" t="s">
        <v>385</v>
      </c>
    </row>
    <row r="845" spans="1:15" ht="15.75" customHeight="1">
      <c r="A845" s="10" t="s">
        <v>5799</v>
      </c>
      <c r="B845" s="10" t="s">
        <v>474</v>
      </c>
      <c r="C845" s="11" t="s">
        <v>28</v>
      </c>
      <c r="D845" s="13" t="s">
        <v>93</v>
      </c>
      <c r="E845" s="6" t="s">
        <v>5800</v>
      </c>
      <c r="F845" s="17" t="s">
        <v>5805</v>
      </c>
      <c r="G845" s="17"/>
      <c r="H845" s="17" t="s">
        <v>35</v>
      </c>
      <c r="I845" s="6" t="s">
        <v>35</v>
      </c>
      <c r="J845" s="17" t="s">
        <v>36</v>
      </c>
      <c r="K845" s="17" t="s">
        <v>5805</v>
      </c>
      <c r="L845" s="18" t="str">
        <f t="shared" si="13"/>
        <v>0844</v>
      </c>
      <c r="M845" s="18" t="s">
        <v>38</v>
      </c>
      <c r="N845" s="19" t="s">
        <v>28</v>
      </c>
      <c r="O845" s="22" t="s">
        <v>40</v>
      </c>
    </row>
    <row r="846" spans="1:15" ht="15.75" customHeight="1">
      <c r="A846" s="10" t="s">
        <v>5806</v>
      </c>
      <c r="B846" s="10" t="s">
        <v>474</v>
      </c>
      <c r="C846" s="11" t="s">
        <v>28</v>
      </c>
      <c r="D846" s="13" t="s">
        <v>93</v>
      </c>
      <c r="E846" s="6" t="s">
        <v>772</v>
      </c>
      <c r="F846" s="17" t="s">
        <v>5811</v>
      </c>
      <c r="G846" s="17"/>
      <c r="H846" s="17" t="s">
        <v>35</v>
      </c>
      <c r="I846" s="6" t="s">
        <v>35</v>
      </c>
      <c r="J846" s="17" t="s">
        <v>36</v>
      </c>
      <c r="K846" s="17" t="s">
        <v>5811</v>
      </c>
      <c r="L846" s="18" t="str">
        <f t="shared" si="13"/>
        <v>0845</v>
      </c>
      <c r="M846" s="18" t="s">
        <v>38</v>
      </c>
      <c r="N846" s="19" t="s">
        <v>28</v>
      </c>
      <c r="O846" s="22" t="s">
        <v>40</v>
      </c>
    </row>
    <row r="847" spans="1:15" ht="15.75" customHeight="1">
      <c r="A847" s="10" t="s">
        <v>5812</v>
      </c>
      <c r="B847" s="10" t="s">
        <v>474</v>
      </c>
      <c r="C847" s="11" t="s">
        <v>28</v>
      </c>
      <c r="D847" s="13" t="s">
        <v>93</v>
      </c>
      <c r="E847" s="6" t="s">
        <v>5813</v>
      </c>
      <c r="F847" s="17" t="s">
        <v>5818</v>
      </c>
      <c r="G847" s="17"/>
      <c r="H847" s="17" t="s">
        <v>35</v>
      </c>
      <c r="I847" s="6" t="s">
        <v>35</v>
      </c>
      <c r="J847" s="17" t="s">
        <v>36</v>
      </c>
      <c r="K847" s="17" t="s">
        <v>5818</v>
      </c>
      <c r="L847" s="18" t="str">
        <f t="shared" si="13"/>
        <v>0846</v>
      </c>
      <c r="M847" s="18" t="s">
        <v>38</v>
      </c>
      <c r="N847" s="19" t="s">
        <v>28</v>
      </c>
      <c r="O847" s="22" t="s">
        <v>40</v>
      </c>
    </row>
    <row r="848" spans="1:15" ht="15.75" customHeight="1">
      <c r="A848" s="10" t="s">
        <v>5819</v>
      </c>
      <c r="B848" s="10" t="s">
        <v>474</v>
      </c>
      <c r="C848" s="11" t="s">
        <v>28</v>
      </c>
      <c r="D848" s="13" t="s">
        <v>378</v>
      </c>
      <c r="E848" s="43" t="s">
        <v>511</v>
      </c>
      <c r="F848" s="17" t="s">
        <v>5824</v>
      </c>
      <c r="G848" s="17"/>
      <c r="H848" s="17" t="s">
        <v>35</v>
      </c>
      <c r="I848" s="6" t="s">
        <v>35</v>
      </c>
      <c r="J848" s="17" t="s">
        <v>36</v>
      </c>
      <c r="K848" s="17" t="s">
        <v>5824</v>
      </c>
      <c r="L848" s="18" t="str">
        <f t="shared" si="13"/>
        <v>0847</v>
      </c>
      <c r="M848" s="18" t="s">
        <v>100</v>
      </c>
      <c r="N848" s="19" t="s">
        <v>147</v>
      </c>
      <c r="O848" s="20" t="s">
        <v>385</v>
      </c>
    </row>
    <row r="849" spans="1:15" ht="15.75" customHeight="1">
      <c r="A849" s="10" t="s">
        <v>5825</v>
      </c>
      <c r="B849" s="10" t="s">
        <v>474</v>
      </c>
      <c r="C849" s="11" t="s">
        <v>28</v>
      </c>
      <c r="D849" s="13" t="s">
        <v>378</v>
      </c>
      <c r="E849" s="43" t="s">
        <v>511</v>
      </c>
      <c r="F849" s="17" t="s">
        <v>5830</v>
      </c>
      <c r="G849" s="17"/>
      <c r="H849" s="17" t="s">
        <v>35</v>
      </c>
      <c r="I849" s="6" t="s">
        <v>35</v>
      </c>
      <c r="J849" s="17" t="s">
        <v>36</v>
      </c>
      <c r="K849" s="17" t="s">
        <v>5830</v>
      </c>
      <c r="L849" s="18" t="str">
        <f t="shared" si="13"/>
        <v>0848</v>
      </c>
      <c r="M849" s="18" t="s">
        <v>517</v>
      </c>
      <c r="N849" s="19" t="s">
        <v>28</v>
      </c>
      <c r="O849" s="22" t="s">
        <v>40</v>
      </c>
    </row>
    <row r="850" spans="1:15" ht="15.75" customHeight="1">
      <c r="A850" s="10" t="s">
        <v>5831</v>
      </c>
      <c r="B850" s="10" t="s">
        <v>474</v>
      </c>
      <c r="C850" s="11" t="s">
        <v>28</v>
      </c>
      <c r="D850" s="13" t="s">
        <v>378</v>
      </c>
      <c r="E850" s="43" t="s">
        <v>511</v>
      </c>
      <c r="F850" s="17" t="s">
        <v>5836</v>
      </c>
      <c r="G850" s="17"/>
      <c r="H850" s="17" t="s">
        <v>35</v>
      </c>
      <c r="I850" s="6" t="s">
        <v>35</v>
      </c>
      <c r="J850" s="17" t="s">
        <v>36</v>
      </c>
      <c r="K850" s="17" t="s">
        <v>5836</v>
      </c>
      <c r="L850" s="18" t="str">
        <f t="shared" si="13"/>
        <v>0849</v>
      </c>
      <c r="M850" s="18" t="s">
        <v>517</v>
      </c>
      <c r="N850" s="19" t="s">
        <v>28</v>
      </c>
      <c r="O850" s="22" t="s">
        <v>40</v>
      </c>
    </row>
    <row r="851" spans="1:15" ht="15.75" customHeight="1">
      <c r="A851" s="10" t="s">
        <v>5837</v>
      </c>
      <c r="B851" s="10" t="s">
        <v>474</v>
      </c>
      <c r="C851" s="11" t="s">
        <v>28</v>
      </c>
      <c r="D851" s="13" t="s">
        <v>378</v>
      </c>
      <c r="E851" s="6" t="s">
        <v>535</v>
      </c>
      <c r="F851" s="35" t="s">
        <v>7326</v>
      </c>
      <c r="G851" s="17"/>
      <c r="H851" s="17" t="s">
        <v>35</v>
      </c>
      <c r="I851" s="6" t="s">
        <v>35</v>
      </c>
      <c r="J851" s="17" t="s">
        <v>36</v>
      </c>
      <c r="K851" s="35" t="s">
        <v>7326</v>
      </c>
      <c r="L851" s="18" t="str">
        <f t="shared" si="13"/>
        <v>0850</v>
      </c>
      <c r="M851" s="18" t="s">
        <v>517</v>
      </c>
      <c r="N851" s="19" t="s">
        <v>28</v>
      </c>
      <c r="O851" s="22" t="s">
        <v>40</v>
      </c>
    </row>
    <row r="852" spans="1:15" ht="15.75" customHeight="1">
      <c r="A852" s="10" t="s">
        <v>5843</v>
      </c>
      <c r="B852" s="10" t="s">
        <v>474</v>
      </c>
      <c r="C852" s="11" t="s">
        <v>28</v>
      </c>
      <c r="D852" s="13" t="s">
        <v>378</v>
      </c>
      <c r="E852" s="43" t="s">
        <v>511</v>
      </c>
      <c r="F852" s="17" t="s">
        <v>5848</v>
      </c>
      <c r="G852" s="17"/>
      <c r="H852" s="17" t="s">
        <v>35</v>
      </c>
      <c r="I852" s="6" t="s">
        <v>35</v>
      </c>
      <c r="J852" s="17" t="s">
        <v>36</v>
      </c>
      <c r="K852" s="17" t="s">
        <v>5848</v>
      </c>
      <c r="L852" s="18" t="str">
        <f t="shared" si="13"/>
        <v>0851</v>
      </c>
      <c r="M852" s="18" t="s">
        <v>517</v>
      </c>
      <c r="N852" s="19" t="s">
        <v>28</v>
      </c>
      <c r="O852" s="22" t="s">
        <v>40</v>
      </c>
    </row>
    <row r="853" spans="1:15" ht="15.75" customHeight="1">
      <c r="A853" s="10" t="s">
        <v>5849</v>
      </c>
      <c r="B853" s="10" t="s">
        <v>27</v>
      </c>
      <c r="C853" s="11" t="s">
        <v>28</v>
      </c>
      <c r="D853" s="13" t="s">
        <v>378</v>
      </c>
      <c r="E853" s="6" t="s">
        <v>511</v>
      </c>
      <c r="F853" s="17" t="s">
        <v>5855</v>
      </c>
      <c r="G853" s="17"/>
      <c r="H853" s="17" t="s">
        <v>35</v>
      </c>
      <c r="I853" s="6" t="s">
        <v>35</v>
      </c>
      <c r="J853" s="17" t="s">
        <v>36</v>
      </c>
      <c r="K853" s="17" t="s">
        <v>5855</v>
      </c>
      <c r="L853" s="18" t="str">
        <f t="shared" si="13"/>
        <v>0852</v>
      </c>
      <c r="M853" s="18" t="s">
        <v>517</v>
      </c>
      <c r="N853" s="19" t="s">
        <v>147</v>
      </c>
      <c r="O853" s="20" t="s">
        <v>385</v>
      </c>
    </row>
    <row r="854" spans="1:15" ht="15.75" customHeight="1">
      <c r="A854" s="10" t="s">
        <v>5856</v>
      </c>
      <c r="B854" s="10" t="s">
        <v>474</v>
      </c>
      <c r="C854" s="11" t="s">
        <v>28</v>
      </c>
      <c r="D854" s="13" t="s">
        <v>378</v>
      </c>
      <c r="E854" s="6" t="s">
        <v>5857</v>
      </c>
      <c r="F854" s="17" t="s">
        <v>5862</v>
      </c>
      <c r="G854" s="17"/>
      <c r="H854" s="17" t="s">
        <v>35</v>
      </c>
      <c r="I854" s="6" t="s">
        <v>35</v>
      </c>
      <c r="J854" s="17" t="s">
        <v>36</v>
      </c>
      <c r="K854" s="17" t="s">
        <v>5862</v>
      </c>
      <c r="L854" s="18" t="str">
        <f t="shared" si="13"/>
        <v>0853</v>
      </c>
      <c r="M854" s="18" t="s">
        <v>517</v>
      </c>
      <c r="N854" s="19" t="s">
        <v>28</v>
      </c>
      <c r="O854" s="22" t="s">
        <v>40</v>
      </c>
    </row>
    <row r="855" spans="1:15" ht="15.75" customHeight="1">
      <c r="A855" s="10" t="s">
        <v>5863</v>
      </c>
      <c r="B855" s="10" t="s">
        <v>474</v>
      </c>
      <c r="C855" s="11" t="s">
        <v>28</v>
      </c>
      <c r="D855" s="13" t="s">
        <v>93</v>
      </c>
      <c r="E855" s="6" t="s">
        <v>5771</v>
      </c>
      <c r="F855" s="17" t="s">
        <v>5868</v>
      </c>
      <c r="G855" s="17"/>
      <c r="H855" s="17" t="s">
        <v>35</v>
      </c>
      <c r="I855" s="6" t="s">
        <v>35</v>
      </c>
      <c r="J855" s="17" t="s">
        <v>36</v>
      </c>
      <c r="K855" s="17" t="s">
        <v>5868</v>
      </c>
      <c r="L855" s="18" t="str">
        <f t="shared" si="13"/>
        <v>0854</v>
      </c>
      <c r="M855" s="18" t="s">
        <v>38</v>
      </c>
      <c r="N855" s="19" t="s">
        <v>28</v>
      </c>
      <c r="O855" s="22" t="s">
        <v>40</v>
      </c>
    </row>
    <row r="856" spans="1:15" ht="15.75" customHeight="1">
      <c r="A856" s="10" t="s">
        <v>5869</v>
      </c>
      <c r="B856" s="10" t="s">
        <v>27</v>
      </c>
      <c r="C856" s="11" t="s">
        <v>28</v>
      </c>
      <c r="D856" s="13" t="s">
        <v>5778</v>
      </c>
      <c r="E856" s="43" t="s">
        <v>5870</v>
      </c>
      <c r="F856" s="17" t="s">
        <v>5878</v>
      </c>
      <c r="G856" s="17"/>
      <c r="H856" s="17" t="s">
        <v>5875</v>
      </c>
      <c r="I856" s="6" t="s">
        <v>5876</v>
      </c>
      <c r="J856" s="17" t="s">
        <v>5877</v>
      </c>
      <c r="K856" s="17" t="s">
        <v>5878</v>
      </c>
      <c r="L856" s="18" t="str">
        <f t="shared" si="13"/>
        <v>0855</v>
      </c>
      <c r="M856" s="18" t="s">
        <v>100</v>
      </c>
      <c r="N856" s="19" t="s">
        <v>147</v>
      </c>
      <c r="O856" s="20" t="s">
        <v>385</v>
      </c>
    </row>
    <row r="857" spans="1:15" ht="15.75" customHeight="1">
      <c r="A857" s="10" t="s">
        <v>5879</v>
      </c>
      <c r="B857" s="10" t="s">
        <v>474</v>
      </c>
      <c r="C857" s="11" t="s">
        <v>28</v>
      </c>
      <c r="D857" s="13" t="s">
        <v>5778</v>
      </c>
      <c r="E857" s="43" t="s">
        <v>5880</v>
      </c>
      <c r="F857" s="17" t="s">
        <v>5887</v>
      </c>
      <c r="G857" s="17"/>
      <c r="H857" s="17" t="s">
        <v>5597</v>
      </c>
      <c r="I857" s="6" t="s">
        <v>5885</v>
      </c>
      <c r="J857" s="17" t="s">
        <v>5886</v>
      </c>
      <c r="K857" s="17" t="s">
        <v>5887</v>
      </c>
      <c r="L857" s="18" t="str">
        <f t="shared" si="13"/>
        <v>0856</v>
      </c>
      <c r="M857" s="18" t="s">
        <v>38</v>
      </c>
      <c r="N857" s="19" t="s">
        <v>28</v>
      </c>
      <c r="O857" s="20" t="s">
        <v>40</v>
      </c>
    </row>
    <row r="858" spans="1:15" ht="15.75" customHeight="1">
      <c r="A858" s="10" t="s">
        <v>5888</v>
      </c>
      <c r="B858" s="10" t="s">
        <v>474</v>
      </c>
      <c r="C858" s="11" t="s">
        <v>28</v>
      </c>
      <c r="D858" s="13" t="s">
        <v>5889</v>
      </c>
      <c r="E858" s="43" t="s">
        <v>5889</v>
      </c>
      <c r="F858" s="10" t="s">
        <v>85</v>
      </c>
      <c r="G858" s="17"/>
      <c r="H858" s="17" t="s">
        <v>5893</v>
      </c>
      <c r="I858" s="32" t="s">
        <v>5894</v>
      </c>
      <c r="J858" s="17" t="s">
        <v>5895</v>
      </c>
      <c r="K858" s="10" t="s">
        <v>85</v>
      </c>
      <c r="L858" s="18" t="str">
        <f t="shared" si="13"/>
        <v>0857</v>
      </c>
      <c r="M858" s="18" t="s">
        <v>38</v>
      </c>
      <c r="N858" s="19" t="s">
        <v>28</v>
      </c>
      <c r="O858" s="22" t="s">
        <v>40</v>
      </c>
    </row>
    <row r="859" spans="1:15" ht="15.75" customHeight="1">
      <c r="A859" s="10" t="s">
        <v>5896</v>
      </c>
      <c r="B859" s="10" t="s">
        <v>474</v>
      </c>
      <c r="C859" s="11" t="s">
        <v>28</v>
      </c>
      <c r="D859" s="13" t="s">
        <v>5897</v>
      </c>
      <c r="E859" s="43" t="s">
        <v>5897</v>
      </c>
      <c r="F859" s="10" t="s">
        <v>85</v>
      </c>
      <c r="G859" s="17"/>
      <c r="H859" s="17" t="s">
        <v>5901</v>
      </c>
      <c r="I859" s="6">
        <v>106782</v>
      </c>
      <c r="J859" s="6" t="s">
        <v>5902</v>
      </c>
      <c r="K859" s="10" t="s">
        <v>85</v>
      </c>
      <c r="L859" s="18" t="str">
        <f t="shared" si="13"/>
        <v>0858</v>
      </c>
      <c r="M859" s="18" t="s">
        <v>38</v>
      </c>
      <c r="N859" s="19" t="s">
        <v>28</v>
      </c>
      <c r="O859" s="22" t="s">
        <v>40</v>
      </c>
    </row>
    <row r="860" spans="1:15" ht="15.75" customHeight="1">
      <c r="A860" s="10" t="s">
        <v>5903</v>
      </c>
      <c r="B860" s="10" t="s">
        <v>474</v>
      </c>
      <c r="C860" s="11" t="s">
        <v>28</v>
      </c>
      <c r="D860" s="13" t="s">
        <v>5904</v>
      </c>
      <c r="E860" s="43" t="s">
        <v>5905</v>
      </c>
      <c r="F860" s="17" t="s">
        <v>5911</v>
      </c>
      <c r="G860" s="17"/>
      <c r="H860" s="17" t="s">
        <v>5910</v>
      </c>
      <c r="I860" s="6" t="s">
        <v>35</v>
      </c>
      <c r="J860" s="17" t="s">
        <v>36</v>
      </c>
      <c r="K860" s="17" t="s">
        <v>5911</v>
      </c>
      <c r="L860" s="18" t="str">
        <f t="shared" si="13"/>
        <v>0859</v>
      </c>
      <c r="M860" s="18" t="s">
        <v>38</v>
      </c>
      <c r="N860" s="19" t="s">
        <v>28</v>
      </c>
      <c r="O860" s="22" t="s">
        <v>40</v>
      </c>
    </row>
    <row r="861" spans="1:15" ht="15.75" customHeight="1">
      <c r="A861" s="10" t="s">
        <v>5912</v>
      </c>
      <c r="B861" s="10" t="s">
        <v>474</v>
      </c>
      <c r="C861" s="11" t="s">
        <v>28</v>
      </c>
      <c r="D861" s="13" t="s">
        <v>5913</v>
      </c>
      <c r="E861" s="6" t="s">
        <v>5913</v>
      </c>
      <c r="F861" s="17" t="s">
        <v>5920</v>
      </c>
      <c r="G861" s="17"/>
      <c r="H861" s="17" t="s">
        <v>5918</v>
      </c>
      <c r="I861" s="6" t="s">
        <v>5919</v>
      </c>
      <c r="J861" s="17" t="s">
        <v>36</v>
      </c>
      <c r="K861" s="17" t="s">
        <v>5920</v>
      </c>
      <c r="L861" s="18" t="str">
        <f t="shared" si="13"/>
        <v>0860</v>
      </c>
      <c r="M861" s="18" t="s">
        <v>38</v>
      </c>
      <c r="N861" s="19" t="s">
        <v>28</v>
      </c>
      <c r="O861" s="22" t="s">
        <v>40</v>
      </c>
    </row>
    <row r="862" spans="1:15" ht="15.75" customHeight="1">
      <c r="A862" s="10" t="s">
        <v>5921</v>
      </c>
      <c r="B862" s="10" t="s">
        <v>474</v>
      </c>
      <c r="C862" s="11" t="s">
        <v>28</v>
      </c>
      <c r="D862" s="13" t="s">
        <v>565</v>
      </c>
      <c r="E862" s="43" t="s">
        <v>5922</v>
      </c>
      <c r="F862" s="17" t="s">
        <v>5927</v>
      </c>
      <c r="G862" s="17"/>
      <c r="H862" s="17" t="s">
        <v>35</v>
      </c>
      <c r="I862" s="6" t="s">
        <v>35</v>
      </c>
      <c r="J862" s="17" t="s">
        <v>36</v>
      </c>
      <c r="K862" s="17" t="s">
        <v>5927</v>
      </c>
      <c r="L862" s="18" t="str">
        <f t="shared" si="13"/>
        <v>0861</v>
      </c>
      <c r="M862" s="18" t="s">
        <v>38</v>
      </c>
      <c r="N862" s="19" t="s">
        <v>28</v>
      </c>
      <c r="O862" s="22" t="s">
        <v>40</v>
      </c>
    </row>
    <row r="863" spans="1:15" ht="15.75" customHeight="1">
      <c r="A863" s="10" t="s">
        <v>5928</v>
      </c>
      <c r="B863" s="10" t="s">
        <v>474</v>
      </c>
      <c r="C863" s="11" t="s">
        <v>28</v>
      </c>
      <c r="D863" s="13" t="s">
        <v>5929</v>
      </c>
      <c r="E863" s="43" t="s">
        <v>5930</v>
      </c>
      <c r="F863" s="17" t="s">
        <v>5936</v>
      </c>
      <c r="G863" s="17"/>
      <c r="H863" s="17" t="s">
        <v>5918</v>
      </c>
      <c r="I863" s="6" t="s">
        <v>35</v>
      </c>
      <c r="J863" s="17" t="s">
        <v>5935</v>
      </c>
      <c r="K863" s="17" t="s">
        <v>5936</v>
      </c>
      <c r="L863" s="18" t="str">
        <f t="shared" si="13"/>
        <v>0862</v>
      </c>
      <c r="M863" s="18" t="s">
        <v>38</v>
      </c>
      <c r="N863" s="19" t="s">
        <v>28</v>
      </c>
      <c r="O863" s="22" t="s">
        <v>40</v>
      </c>
    </row>
    <row r="864" spans="1:15" ht="15.75" customHeight="1">
      <c r="A864" s="10" t="s">
        <v>5937</v>
      </c>
      <c r="B864" s="10" t="s">
        <v>474</v>
      </c>
      <c r="C864" s="11" t="s">
        <v>28</v>
      </c>
      <c r="D864" s="13" t="s">
        <v>565</v>
      </c>
      <c r="E864" s="43" t="s">
        <v>5938</v>
      </c>
      <c r="F864" s="17" t="s">
        <v>5943</v>
      </c>
      <c r="G864" s="17"/>
      <c r="H864" s="17" t="s">
        <v>35</v>
      </c>
      <c r="I864" s="6" t="s">
        <v>35</v>
      </c>
      <c r="J864" s="17" t="s">
        <v>36</v>
      </c>
      <c r="K864" s="17" t="s">
        <v>5943</v>
      </c>
      <c r="L864" s="18" t="str">
        <f t="shared" si="13"/>
        <v>0863</v>
      </c>
      <c r="M864" s="18" t="s">
        <v>38</v>
      </c>
      <c r="N864" s="19" t="s">
        <v>28</v>
      </c>
      <c r="O864" s="22" t="s">
        <v>40</v>
      </c>
    </row>
    <row r="865" spans="1:15" ht="15.75" customHeight="1">
      <c r="A865" s="10" t="s">
        <v>5944</v>
      </c>
      <c r="B865" s="10" t="s">
        <v>474</v>
      </c>
      <c r="C865" s="11" t="s">
        <v>28</v>
      </c>
      <c r="D865" s="13" t="s">
        <v>378</v>
      </c>
      <c r="E865" s="6" t="s">
        <v>5945</v>
      </c>
      <c r="F865" s="17" t="s">
        <v>5950</v>
      </c>
      <c r="G865" s="17"/>
      <c r="H865" s="17" t="s">
        <v>35</v>
      </c>
      <c r="I865" s="6" t="s">
        <v>35</v>
      </c>
      <c r="J865" s="17" t="s">
        <v>36</v>
      </c>
      <c r="K865" s="17" t="s">
        <v>5950</v>
      </c>
      <c r="L865" s="18" t="str">
        <f t="shared" si="13"/>
        <v>0864</v>
      </c>
      <c r="M865" s="18" t="s">
        <v>38</v>
      </c>
      <c r="N865" s="19" t="s">
        <v>28</v>
      </c>
      <c r="O865" s="22" t="s">
        <v>40</v>
      </c>
    </row>
    <row r="866" spans="1:15" ht="15.75" customHeight="1">
      <c r="A866" s="10" t="s">
        <v>5951</v>
      </c>
      <c r="B866" s="10" t="s">
        <v>474</v>
      </c>
      <c r="C866" s="11" t="s">
        <v>28</v>
      </c>
      <c r="D866" s="68" t="s">
        <v>378</v>
      </c>
      <c r="E866" s="6" t="s">
        <v>5945</v>
      </c>
      <c r="F866" s="17" t="s">
        <v>5956</v>
      </c>
      <c r="G866" s="17"/>
      <c r="H866" s="17" t="s">
        <v>35</v>
      </c>
      <c r="I866" s="6" t="s">
        <v>35</v>
      </c>
      <c r="J866" s="17" t="s">
        <v>36</v>
      </c>
      <c r="K866" s="17" t="s">
        <v>5956</v>
      </c>
      <c r="L866" s="18" t="str">
        <f t="shared" si="13"/>
        <v>0865</v>
      </c>
      <c r="M866" s="18" t="s">
        <v>38</v>
      </c>
      <c r="N866" s="19" t="s">
        <v>28</v>
      </c>
      <c r="O866" s="22" t="s">
        <v>40</v>
      </c>
    </row>
    <row r="867" spans="1:15" ht="15.75" customHeight="1">
      <c r="A867" s="10" t="s">
        <v>5957</v>
      </c>
      <c r="B867" s="10" t="s">
        <v>474</v>
      </c>
      <c r="C867" s="11" t="s">
        <v>28</v>
      </c>
      <c r="D867" s="68" t="s">
        <v>378</v>
      </c>
      <c r="E867" s="43" t="s">
        <v>5945</v>
      </c>
      <c r="F867" s="17" t="s">
        <v>5962</v>
      </c>
      <c r="G867" s="17"/>
      <c r="H867" s="17" t="s">
        <v>35</v>
      </c>
      <c r="I867" s="6" t="s">
        <v>35</v>
      </c>
      <c r="J867" s="17" t="s">
        <v>36</v>
      </c>
      <c r="K867" s="17" t="s">
        <v>5962</v>
      </c>
      <c r="L867" s="18" t="str">
        <f t="shared" si="13"/>
        <v>0866</v>
      </c>
      <c r="M867" s="18" t="s">
        <v>38</v>
      </c>
      <c r="N867" s="19" t="s">
        <v>28</v>
      </c>
      <c r="O867" s="22" t="s">
        <v>40</v>
      </c>
    </row>
    <row r="868" spans="1:15" ht="15.75" customHeight="1">
      <c r="A868" s="10" t="s">
        <v>5963</v>
      </c>
      <c r="B868" s="10" t="s">
        <v>474</v>
      </c>
      <c r="C868" s="11" t="s">
        <v>28</v>
      </c>
      <c r="D868" s="68" t="s">
        <v>378</v>
      </c>
      <c r="E868" s="43" t="s">
        <v>5945</v>
      </c>
      <c r="F868" s="17" t="s">
        <v>5968</v>
      </c>
      <c r="G868" s="17"/>
      <c r="H868" s="17" t="s">
        <v>35</v>
      </c>
      <c r="I868" s="6" t="s">
        <v>35</v>
      </c>
      <c r="J868" s="17" t="s">
        <v>36</v>
      </c>
      <c r="K868" s="17" t="s">
        <v>5968</v>
      </c>
      <c r="L868" s="18" t="str">
        <f t="shared" si="13"/>
        <v>0867</v>
      </c>
      <c r="M868" s="18" t="s">
        <v>38</v>
      </c>
      <c r="N868" s="19" t="s">
        <v>28</v>
      </c>
      <c r="O868" s="22" t="s">
        <v>40</v>
      </c>
    </row>
    <row r="869" spans="1:15" ht="15.75" customHeight="1">
      <c r="A869" s="10" t="s">
        <v>5969</v>
      </c>
      <c r="B869" s="10" t="s">
        <v>474</v>
      </c>
      <c r="C869" s="11" t="s">
        <v>28</v>
      </c>
      <c r="D869" s="68" t="s">
        <v>378</v>
      </c>
      <c r="E869" s="43" t="s">
        <v>5945</v>
      </c>
      <c r="F869" s="17" t="s">
        <v>5974</v>
      </c>
      <c r="G869" s="17"/>
      <c r="H869" s="17" t="s">
        <v>35</v>
      </c>
      <c r="I869" s="6" t="s">
        <v>35</v>
      </c>
      <c r="J869" s="17" t="s">
        <v>36</v>
      </c>
      <c r="K869" s="17" t="s">
        <v>5974</v>
      </c>
      <c r="L869" s="18" t="str">
        <f t="shared" si="13"/>
        <v>0868</v>
      </c>
      <c r="M869" s="18" t="s">
        <v>38</v>
      </c>
      <c r="N869" s="19" t="s">
        <v>28</v>
      </c>
      <c r="O869" s="22" t="s">
        <v>40</v>
      </c>
    </row>
    <row r="870" spans="1:15" ht="15.75" customHeight="1">
      <c r="A870" s="10" t="s">
        <v>5975</v>
      </c>
      <c r="B870" s="10" t="s">
        <v>474</v>
      </c>
      <c r="C870" s="11" t="s">
        <v>28</v>
      </c>
      <c r="D870" s="68" t="s">
        <v>378</v>
      </c>
      <c r="E870" s="43" t="s">
        <v>5945</v>
      </c>
      <c r="F870" s="17" t="s">
        <v>5980</v>
      </c>
      <c r="G870" s="17"/>
      <c r="H870" s="17" t="s">
        <v>35</v>
      </c>
      <c r="I870" s="6" t="s">
        <v>35</v>
      </c>
      <c r="J870" s="17" t="s">
        <v>36</v>
      </c>
      <c r="K870" s="17" t="s">
        <v>5980</v>
      </c>
      <c r="L870" s="18" t="str">
        <f t="shared" si="13"/>
        <v>0869</v>
      </c>
      <c r="M870" s="18" t="s">
        <v>38</v>
      </c>
      <c r="N870" s="19" t="s">
        <v>28</v>
      </c>
      <c r="O870" s="22" t="s">
        <v>40</v>
      </c>
    </row>
    <row r="871" spans="1:15" ht="15.75" customHeight="1">
      <c r="A871" s="10" t="s">
        <v>5981</v>
      </c>
      <c r="B871" s="10" t="s">
        <v>474</v>
      </c>
      <c r="C871" s="11" t="s">
        <v>28</v>
      </c>
      <c r="D871" s="68" t="s">
        <v>378</v>
      </c>
      <c r="E871" s="43" t="s">
        <v>5945</v>
      </c>
      <c r="F871" s="17" t="s">
        <v>5986</v>
      </c>
      <c r="G871" s="17"/>
      <c r="H871" s="17" t="s">
        <v>35</v>
      </c>
      <c r="I871" s="6" t="s">
        <v>35</v>
      </c>
      <c r="J871" s="17" t="s">
        <v>36</v>
      </c>
      <c r="K871" s="17" t="s">
        <v>5986</v>
      </c>
      <c r="L871" s="18" t="str">
        <f t="shared" si="13"/>
        <v>0870</v>
      </c>
      <c r="M871" s="18" t="s">
        <v>38</v>
      </c>
      <c r="N871" s="19" t="s">
        <v>28</v>
      </c>
      <c r="O871" s="22" t="s">
        <v>40</v>
      </c>
    </row>
    <row r="872" spans="1:15" ht="15.75" customHeight="1">
      <c r="A872" s="10" t="s">
        <v>5987</v>
      </c>
      <c r="B872" s="10" t="s">
        <v>474</v>
      </c>
      <c r="C872" s="11" t="s">
        <v>28</v>
      </c>
      <c r="D872" s="68" t="s">
        <v>378</v>
      </c>
      <c r="E872" s="43" t="s">
        <v>5945</v>
      </c>
      <c r="F872" s="17" t="s">
        <v>5992</v>
      </c>
      <c r="G872" s="17"/>
      <c r="H872" s="17" t="s">
        <v>35</v>
      </c>
      <c r="I872" s="6" t="s">
        <v>35</v>
      </c>
      <c r="J872" s="17" t="s">
        <v>36</v>
      </c>
      <c r="K872" s="17" t="s">
        <v>5992</v>
      </c>
      <c r="L872" s="18" t="str">
        <f t="shared" si="13"/>
        <v>0871</v>
      </c>
      <c r="M872" s="18" t="s">
        <v>38</v>
      </c>
      <c r="N872" s="19" t="s">
        <v>28</v>
      </c>
      <c r="O872" s="22" t="s">
        <v>40</v>
      </c>
    </row>
    <row r="873" spans="1:15" ht="15.75" customHeight="1">
      <c r="A873" s="10" t="s">
        <v>5993</v>
      </c>
      <c r="B873" s="10" t="s">
        <v>474</v>
      </c>
      <c r="C873" s="11" t="s">
        <v>28</v>
      </c>
      <c r="D873" s="68" t="s">
        <v>378</v>
      </c>
      <c r="E873" s="43" t="s">
        <v>5945</v>
      </c>
      <c r="F873" s="17" t="s">
        <v>5998</v>
      </c>
      <c r="G873" s="17"/>
      <c r="H873" s="17" t="s">
        <v>35</v>
      </c>
      <c r="I873" s="6" t="s">
        <v>35</v>
      </c>
      <c r="J873" s="17" t="s">
        <v>36</v>
      </c>
      <c r="K873" s="17" t="s">
        <v>5998</v>
      </c>
      <c r="L873" s="18" t="str">
        <f t="shared" si="13"/>
        <v>0872</v>
      </c>
      <c r="M873" s="18" t="s">
        <v>38</v>
      </c>
      <c r="N873" s="19" t="s">
        <v>28</v>
      </c>
      <c r="O873" s="22" t="s">
        <v>40</v>
      </c>
    </row>
    <row r="874" spans="1:15" ht="15.75" customHeight="1">
      <c r="A874" s="10" t="s">
        <v>5999</v>
      </c>
      <c r="B874" s="10" t="s">
        <v>474</v>
      </c>
      <c r="C874" s="11" t="s">
        <v>28</v>
      </c>
      <c r="D874" s="68" t="s">
        <v>378</v>
      </c>
      <c r="E874" s="43" t="s">
        <v>5945</v>
      </c>
      <c r="F874" s="17" t="s">
        <v>6004</v>
      </c>
      <c r="G874" s="17"/>
      <c r="H874" s="17" t="s">
        <v>35</v>
      </c>
      <c r="I874" s="6" t="s">
        <v>35</v>
      </c>
      <c r="J874" s="17" t="s">
        <v>36</v>
      </c>
      <c r="K874" s="17" t="s">
        <v>6004</v>
      </c>
      <c r="L874" s="18" t="str">
        <f t="shared" si="13"/>
        <v>0873</v>
      </c>
      <c r="M874" s="18" t="s">
        <v>38</v>
      </c>
      <c r="N874" s="19" t="s">
        <v>28</v>
      </c>
      <c r="O874" s="22" t="s">
        <v>40</v>
      </c>
    </row>
    <row r="875" spans="1:15" ht="15.75" customHeight="1">
      <c r="A875" s="10" t="s">
        <v>6005</v>
      </c>
      <c r="B875" s="10" t="s">
        <v>474</v>
      </c>
      <c r="C875" s="11" t="s">
        <v>28</v>
      </c>
      <c r="D875" s="68" t="s">
        <v>378</v>
      </c>
      <c r="E875" s="43" t="s">
        <v>5945</v>
      </c>
      <c r="F875" s="17" t="s">
        <v>6010</v>
      </c>
      <c r="G875" s="17"/>
      <c r="H875" s="17" t="s">
        <v>35</v>
      </c>
      <c r="I875" s="6" t="s">
        <v>35</v>
      </c>
      <c r="J875" s="17" t="s">
        <v>36</v>
      </c>
      <c r="K875" s="17" t="s">
        <v>6010</v>
      </c>
      <c r="L875" s="18" t="str">
        <f t="shared" si="13"/>
        <v>0874</v>
      </c>
      <c r="M875" s="18" t="s">
        <v>38</v>
      </c>
      <c r="N875" s="19" t="s">
        <v>28</v>
      </c>
      <c r="O875" s="22" t="s">
        <v>40</v>
      </c>
    </row>
    <row r="876" spans="1:15" ht="15.75" customHeight="1">
      <c r="A876" s="10" t="s">
        <v>6011</v>
      </c>
      <c r="B876" s="10" t="s">
        <v>474</v>
      </c>
      <c r="C876" s="11" t="s">
        <v>28</v>
      </c>
      <c r="D876" s="68" t="s">
        <v>378</v>
      </c>
      <c r="E876" s="43" t="s">
        <v>5945</v>
      </c>
      <c r="F876" s="17" t="s">
        <v>6016</v>
      </c>
      <c r="G876" s="17"/>
      <c r="H876" s="17" t="s">
        <v>35</v>
      </c>
      <c r="I876" s="6" t="s">
        <v>35</v>
      </c>
      <c r="J876" s="17" t="s">
        <v>36</v>
      </c>
      <c r="K876" s="17" t="s">
        <v>6016</v>
      </c>
      <c r="L876" s="18" t="str">
        <f t="shared" si="13"/>
        <v>0875</v>
      </c>
      <c r="M876" s="18" t="s">
        <v>38</v>
      </c>
      <c r="N876" s="19" t="s">
        <v>28</v>
      </c>
      <c r="O876" s="22" t="s">
        <v>40</v>
      </c>
    </row>
    <row r="877" spans="1:15" ht="15.75" customHeight="1">
      <c r="A877" s="10" t="s">
        <v>6017</v>
      </c>
      <c r="B877" s="10" t="s">
        <v>474</v>
      </c>
      <c r="C877" s="11" t="s">
        <v>28</v>
      </c>
      <c r="D877" s="68" t="s">
        <v>378</v>
      </c>
      <c r="E877" s="43" t="s">
        <v>5945</v>
      </c>
      <c r="F877" s="17" t="s">
        <v>6022</v>
      </c>
      <c r="G877" s="17"/>
      <c r="H877" s="17" t="s">
        <v>35</v>
      </c>
      <c r="I877" s="6" t="s">
        <v>35</v>
      </c>
      <c r="J877" s="17" t="s">
        <v>36</v>
      </c>
      <c r="K877" s="17" t="s">
        <v>6022</v>
      </c>
      <c r="L877" s="18" t="str">
        <f t="shared" si="13"/>
        <v>0876</v>
      </c>
      <c r="M877" s="18" t="s">
        <v>38</v>
      </c>
      <c r="N877" s="19" t="s">
        <v>28</v>
      </c>
      <c r="O877" s="22" t="s">
        <v>40</v>
      </c>
    </row>
    <row r="878" spans="1:15" ht="15.75" customHeight="1">
      <c r="A878" s="10" t="s">
        <v>6023</v>
      </c>
      <c r="B878" s="10" t="s">
        <v>474</v>
      </c>
      <c r="C878" s="11" t="s">
        <v>28</v>
      </c>
      <c r="D878" s="68" t="s">
        <v>378</v>
      </c>
      <c r="E878" s="6" t="s">
        <v>5945</v>
      </c>
      <c r="F878" s="10" t="s">
        <v>6028</v>
      </c>
      <c r="G878" s="17"/>
      <c r="H878" s="17" t="s">
        <v>35</v>
      </c>
      <c r="I878" s="6" t="s">
        <v>35</v>
      </c>
      <c r="J878" s="6" t="s">
        <v>36</v>
      </c>
      <c r="K878" s="10" t="s">
        <v>6028</v>
      </c>
      <c r="L878" s="18" t="str">
        <f t="shared" si="13"/>
        <v>0877</v>
      </c>
      <c r="M878" s="18" t="s">
        <v>38</v>
      </c>
      <c r="N878" s="19" t="s">
        <v>28</v>
      </c>
      <c r="O878" s="22" t="s">
        <v>40</v>
      </c>
    </row>
    <row r="879" spans="1:15" ht="15.75" customHeight="1">
      <c r="A879" s="10" t="s">
        <v>6029</v>
      </c>
      <c r="B879" s="10" t="s">
        <v>474</v>
      </c>
      <c r="C879" s="11" t="s">
        <v>28</v>
      </c>
      <c r="D879" s="68" t="s">
        <v>378</v>
      </c>
      <c r="E879" s="43" t="s">
        <v>5945</v>
      </c>
      <c r="F879" s="17" t="s">
        <v>6034</v>
      </c>
      <c r="G879" s="17"/>
      <c r="H879" s="17" t="s">
        <v>35</v>
      </c>
      <c r="I879" s="6" t="s">
        <v>35</v>
      </c>
      <c r="J879" s="17" t="s">
        <v>36</v>
      </c>
      <c r="K879" s="17" t="s">
        <v>6034</v>
      </c>
      <c r="L879" s="18" t="str">
        <f t="shared" si="13"/>
        <v>0878</v>
      </c>
      <c r="M879" s="18" t="s">
        <v>38</v>
      </c>
      <c r="N879" s="19" t="s">
        <v>28</v>
      </c>
      <c r="O879" s="22" t="s">
        <v>40</v>
      </c>
    </row>
    <row r="880" spans="1:15" ht="15.75" customHeight="1">
      <c r="A880" s="10" t="s">
        <v>6035</v>
      </c>
      <c r="B880" s="10" t="s">
        <v>474</v>
      </c>
      <c r="C880" s="11" t="s">
        <v>28</v>
      </c>
      <c r="D880" s="68" t="s">
        <v>378</v>
      </c>
      <c r="E880" s="43" t="s">
        <v>511</v>
      </c>
      <c r="F880" s="17" t="s">
        <v>6040</v>
      </c>
      <c r="G880" s="17"/>
      <c r="H880" s="17" t="s">
        <v>35</v>
      </c>
      <c r="I880" s="6" t="s">
        <v>35</v>
      </c>
      <c r="J880" s="17" t="s">
        <v>36</v>
      </c>
      <c r="K880" s="17" t="s">
        <v>6040</v>
      </c>
      <c r="L880" s="18" t="str">
        <f t="shared" si="13"/>
        <v>0879</v>
      </c>
      <c r="M880" s="18" t="s">
        <v>38</v>
      </c>
      <c r="N880" s="19" t="s">
        <v>28</v>
      </c>
      <c r="O880" s="22" t="s">
        <v>40</v>
      </c>
    </row>
    <row r="881" spans="1:15" ht="15.75" customHeight="1">
      <c r="A881" s="10" t="s">
        <v>6041</v>
      </c>
      <c r="B881" s="10" t="s">
        <v>474</v>
      </c>
      <c r="C881" s="11" t="s">
        <v>28</v>
      </c>
      <c r="D881" s="68" t="s">
        <v>378</v>
      </c>
      <c r="E881" s="43" t="s">
        <v>511</v>
      </c>
      <c r="F881" s="17" t="s">
        <v>6046</v>
      </c>
      <c r="G881" s="17"/>
      <c r="H881" s="17" t="s">
        <v>35</v>
      </c>
      <c r="I881" s="6" t="s">
        <v>35</v>
      </c>
      <c r="J881" s="17" t="s">
        <v>36</v>
      </c>
      <c r="K881" s="17" t="s">
        <v>6046</v>
      </c>
      <c r="L881" s="18" t="str">
        <f t="shared" si="13"/>
        <v>0880</v>
      </c>
      <c r="M881" s="18" t="s">
        <v>517</v>
      </c>
      <c r="N881" s="19" t="s">
        <v>147</v>
      </c>
      <c r="O881" s="20" t="s">
        <v>385</v>
      </c>
    </row>
    <row r="882" spans="1:15" ht="15.75" customHeight="1">
      <c r="A882" s="10" t="s">
        <v>6047</v>
      </c>
      <c r="B882" s="10" t="s">
        <v>474</v>
      </c>
      <c r="C882" s="11" t="s">
        <v>28</v>
      </c>
      <c r="D882" s="68" t="s">
        <v>565</v>
      </c>
      <c r="E882" s="6" t="s">
        <v>6048</v>
      </c>
      <c r="F882" s="32" t="s">
        <v>6052</v>
      </c>
      <c r="G882" s="17"/>
      <c r="H882" s="17" t="s">
        <v>35</v>
      </c>
      <c r="I882" s="6" t="s">
        <v>35</v>
      </c>
      <c r="J882" s="6" t="s">
        <v>36</v>
      </c>
      <c r="K882" s="32" t="s">
        <v>6052</v>
      </c>
      <c r="L882" s="18" t="str">
        <f t="shared" si="13"/>
        <v>0881</v>
      </c>
      <c r="M882" s="18" t="s">
        <v>38</v>
      </c>
      <c r="N882" s="19" t="s">
        <v>28</v>
      </c>
      <c r="O882" s="22" t="s">
        <v>40</v>
      </c>
    </row>
    <row r="883" spans="1:15" ht="15.75" customHeight="1">
      <c r="A883" s="10" t="s">
        <v>6053</v>
      </c>
      <c r="B883" s="10" t="s">
        <v>4410</v>
      </c>
      <c r="C883" s="11" t="s">
        <v>6054</v>
      </c>
      <c r="D883" s="13" t="s">
        <v>6055</v>
      </c>
      <c r="E883" s="6" t="s">
        <v>6056</v>
      </c>
      <c r="F883" s="17" t="s">
        <v>6061</v>
      </c>
      <c r="G883" s="17"/>
      <c r="H883" s="17" t="s">
        <v>35</v>
      </c>
      <c r="I883" s="6" t="s">
        <v>35</v>
      </c>
      <c r="J883" s="17" t="s">
        <v>36</v>
      </c>
      <c r="K883" s="17" t="s">
        <v>6061</v>
      </c>
      <c r="L883" s="18" t="str">
        <f t="shared" si="13"/>
        <v>0882</v>
      </c>
      <c r="M883" s="18" t="s">
        <v>38</v>
      </c>
      <c r="N883" s="19" t="s">
        <v>6054</v>
      </c>
      <c r="O883" s="22" t="s">
        <v>6062</v>
      </c>
    </row>
    <row r="884" spans="1:15" ht="15.75" customHeight="1">
      <c r="A884" s="10" t="s">
        <v>6063</v>
      </c>
      <c r="B884" s="10" t="s">
        <v>4410</v>
      </c>
      <c r="C884" s="11" t="s">
        <v>6054</v>
      </c>
      <c r="D884" s="13" t="s">
        <v>378</v>
      </c>
      <c r="E884" s="43" t="s">
        <v>6064</v>
      </c>
      <c r="F884" s="17" t="s">
        <v>6069</v>
      </c>
      <c r="G884" s="17"/>
      <c r="H884" s="17" t="s">
        <v>35</v>
      </c>
      <c r="I884" s="6" t="s">
        <v>35</v>
      </c>
      <c r="J884" s="17" t="s">
        <v>36</v>
      </c>
      <c r="K884" s="17" t="s">
        <v>6069</v>
      </c>
      <c r="L884" s="18" t="str">
        <f t="shared" si="13"/>
        <v>0883</v>
      </c>
      <c r="M884" s="18" t="s">
        <v>38</v>
      </c>
      <c r="N884" s="19" t="s">
        <v>6054</v>
      </c>
      <c r="O884" s="22" t="s">
        <v>6062</v>
      </c>
    </row>
    <row r="885" spans="1:15" ht="15.75" customHeight="1">
      <c r="A885" s="10" t="s">
        <v>6070</v>
      </c>
      <c r="B885" s="10" t="s">
        <v>4410</v>
      </c>
      <c r="C885" s="11" t="s">
        <v>6054</v>
      </c>
      <c r="D885" s="13" t="s">
        <v>116</v>
      </c>
      <c r="E885" s="6" t="s">
        <v>6071</v>
      </c>
      <c r="F885" s="17" t="s">
        <v>6076</v>
      </c>
      <c r="G885" s="17"/>
      <c r="H885" s="17" t="s">
        <v>35</v>
      </c>
      <c r="I885" s="6" t="s">
        <v>35</v>
      </c>
      <c r="J885" s="17" t="s">
        <v>36</v>
      </c>
      <c r="K885" s="17" t="s">
        <v>6076</v>
      </c>
      <c r="L885" s="18" t="str">
        <f t="shared" si="13"/>
        <v>0884</v>
      </c>
      <c r="M885" s="18" t="s">
        <v>38</v>
      </c>
      <c r="N885" s="19" t="s">
        <v>6054</v>
      </c>
      <c r="O885" s="22" t="s">
        <v>6062</v>
      </c>
    </row>
    <row r="886" spans="1:15" ht="15.75" customHeight="1">
      <c r="A886" s="10" t="s">
        <v>6077</v>
      </c>
      <c r="B886" s="10" t="s">
        <v>4410</v>
      </c>
      <c r="C886" s="11" t="s">
        <v>6054</v>
      </c>
      <c r="D886" s="13" t="s">
        <v>53</v>
      </c>
      <c r="E886" s="6" t="s">
        <v>6078</v>
      </c>
      <c r="F886" s="17" t="s">
        <v>6083</v>
      </c>
      <c r="G886" s="17"/>
      <c r="H886" s="17" t="s">
        <v>35</v>
      </c>
      <c r="I886" s="6" t="s">
        <v>35</v>
      </c>
      <c r="J886" s="17" t="s">
        <v>36</v>
      </c>
      <c r="K886" s="17" t="s">
        <v>6083</v>
      </c>
      <c r="L886" s="18" t="str">
        <f t="shared" si="13"/>
        <v>0885</v>
      </c>
      <c r="M886" s="18" t="s">
        <v>38</v>
      </c>
      <c r="N886" s="19" t="s">
        <v>6054</v>
      </c>
      <c r="O886" s="22" t="s">
        <v>6062</v>
      </c>
    </row>
    <row r="887" spans="1:15" ht="15.75" customHeight="1">
      <c r="A887" s="10" t="s">
        <v>6084</v>
      </c>
      <c r="B887" s="10" t="s">
        <v>4410</v>
      </c>
      <c r="C887" s="11" t="s">
        <v>6054</v>
      </c>
      <c r="D887" s="13" t="s">
        <v>2860</v>
      </c>
      <c r="E887" s="43" t="s">
        <v>2861</v>
      </c>
      <c r="F887" s="17" t="s">
        <v>6090</v>
      </c>
      <c r="G887" s="17"/>
      <c r="H887" s="17" t="s">
        <v>6089</v>
      </c>
      <c r="I887" s="6" t="s">
        <v>35</v>
      </c>
      <c r="J887" s="6" t="s">
        <v>36</v>
      </c>
      <c r="K887" s="17" t="s">
        <v>6090</v>
      </c>
      <c r="L887" s="18" t="str">
        <f t="shared" si="13"/>
        <v>0886</v>
      </c>
      <c r="M887" s="18" t="s">
        <v>38</v>
      </c>
      <c r="N887" s="19" t="s">
        <v>6054</v>
      </c>
      <c r="O887" s="22" t="s">
        <v>6062</v>
      </c>
    </row>
    <row r="888" spans="1:15" ht="15.75" customHeight="1">
      <c r="A888" s="10" t="s">
        <v>6091</v>
      </c>
      <c r="B888" s="10" t="s">
        <v>4410</v>
      </c>
      <c r="C888" s="11" t="s">
        <v>6054</v>
      </c>
      <c r="D888" s="13" t="s">
        <v>6092</v>
      </c>
      <c r="E888" s="43" t="s">
        <v>6093</v>
      </c>
      <c r="F888" s="17" t="s">
        <v>6098</v>
      </c>
      <c r="G888" s="17"/>
      <c r="H888" s="17" t="s">
        <v>35</v>
      </c>
      <c r="I888" s="49" t="s">
        <v>35</v>
      </c>
      <c r="J888" s="17" t="s">
        <v>36</v>
      </c>
      <c r="K888" s="17" t="s">
        <v>6098</v>
      </c>
      <c r="L888" s="18" t="str">
        <f t="shared" si="13"/>
        <v>0887</v>
      </c>
      <c r="M888" s="18" t="s">
        <v>38</v>
      </c>
      <c r="N888" s="19" t="s">
        <v>6054</v>
      </c>
      <c r="O888" s="22" t="s">
        <v>6062</v>
      </c>
    </row>
    <row r="889" spans="1:15" ht="15.75" customHeight="1">
      <c r="A889" s="10" t="s">
        <v>6099</v>
      </c>
      <c r="B889" s="10" t="s">
        <v>4410</v>
      </c>
      <c r="C889" s="11" t="s">
        <v>6054</v>
      </c>
      <c r="D889" s="13" t="s">
        <v>6100</v>
      </c>
      <c r="E889" s="6" t="s">
        <v>6101</v>
      </c>
      <c r="F889" s="17" t="s">
        <v>6106</v>
      </c>
      <c r="G889" s="17"/>
      <c r="H889" s="17" t="s">
        <v>35</v>
      </c>
      <c r="I889" s="6" t="s">
        <v>35</v>
      </c>
      <c r="J889" s="17" t="s">
        <v>36</v>
      </c>
      <c r="K889" s="17" t="s">
        <v>6106</v>
      </c>
      <c r="L889" s="18" t="str">
        <f t="shared" si="13"/>
        <v>0888</v>
      </c>
      <c r="M889" s="18" t="s">
        <v>38</v>
      </c>
      <c r="N889" s="19" t="s">
        <v>6054</v>
      </c>
      <c r="O889" s="22" t="s">
        <v>6062</v>
      </c>
    </row>
    <row r="890" spans="1:15" ht="15.75" customHeight="1">
      <c r="A890" s="10" t="s">
        <v>6107</v>
      </c>
      <c r="B890" s="10" t="s">
        <v>4410</v>
      </c>
      <c r="C890" s="11" t="s">
        <v>6054</v>
      </c>
      <c r="D890" s="13" t="s">
        <v>93</v>
      </c>
      <c r="E890" s="6" t="s">
        <v>6108</v>
      </c>
      <c r="F890" s="17" t="s">
        <v>6113</v>
      </c>
      <c r="G890" s="17"/>
      <c r="H890" s="17" t="s">
        <v>35</v>
      </c>
      <c r="I890" s="6" t="s">
        <v>35</v>
      </c>
      <c r="J890" s="17" t="s">
        <v>36</v>
      </c>
      <c r="K890" s="17" t="s">
        <v>6113</v>
      </c>
      <c r="L890" s="18" t="str">
        <f t="shared" si="13"/>
        <v>0889</v>
      </c>
      <c r="M890" s="18" t="s">
        <v>38</v>
      </c>
      <c r="N890" s="19" t="s">
        <v>6054</v>
      </c>
      <c r="O890" s="22" t="s">
        <v>6062</v>
      </c>
    </row>
    <row r="891" spans="1:15" ht="15.75" customHeight="1">
      <c r="A891" s="10" t="s">
        <v>6114</v>
      </c>
      <c r="B891" s="10" t="s">
        <v>4410</v>
      </c>
      <c r="C891" s="11" t="s">
        <v>6054</v>
      </c>
      <c r="D891" s="13" t="s">
        <v>71</v>
      </c>
      <c r="E891" s="6" t="s">
        <v>6115</v>
      </c>
      <c r="F891" s="17" t="s">
        <v>6120</v>
      </c>
      <c r="G891" s="17"/>
      <c r="H891" s="17" t="s">
        <v>35</v>
      </c>
      <c r="I891" s="49" t="s">
        <v>35</v>
      </c>
      <c r="J891" s="17" t="s">
        <v>36</v>
      </c>
      <c r="K891" s="17" t="s">
        <v>6120</v>
      </c>
      <c r="L891" s="18" t="str">
        <f t="shared" si="13"/>
        <v>0890</v>
      </c>
      <c r="M891" s="18" t="s">
        <v>38</v>
      </c>
      <c r="N891" s="19" t="s">
        <v>6054</v>
      </c>
      <c r="O891" s="22" t="s">
        <v>6062</v>
      </c>
    </row>
    <row r="892" spans="1:15" ht="15.75" customHeight="1">
      <c r="A892" s="10" t="s">
        <v>6121</v>
      </c>
      <c r="B892" s="10" t="s">
        <v>4410</v>
      </c>
      <c r="C892" s="11" t="s">
        <v>6054</v>
      </c>
      <c r="D892" s="13" t="s">
        <v>93</v>
      </c>
      <c r="E892" s="6" t="s">
        <v>6122</v>
      </c>
      <c r="F892" s="17" t="s">
        <v>6127</v>
      </c>
      <c r="G892" s="17"/>
      <c r="H892" s="17" t="s">
        <v>35</v>
      </c>
      <c r="I892" s="6" t="s">
        <v>35</v>
      </c>
      <c r="J892" s="17" t="s">
        <v>36</v>
      </c>
      <c r="K892" s="17" t="s">
        <v>6127</v>
      </c>
      <c r="L892" s="18" t="str">
        <f t="shared" si="13"/>
        <v>0891</v>
      </c>
      <c r="M892" s="18" t="s">
        <v>38</v>
      </c>
      <c r="N892" s="19" t="s">
        <v>6054</v>
      </c>
      <c r="O892" s="22" t="s">
        <v>6062</v>
      </c>
    </row>
    <row r="893" spans="1:15" ht="15.75" customHeight="1">
      <c r="A893" s="10" t="s">
        <v>6128</v>
      </c>
      <c r="B893" s="10" t="s">
        <v>4410</v>
      </c>
      <c r="C893" s="11" t="s">
        <v>6054</v>
      </c>
      <c r="D893" s="13" t="s">
        <v>6129</v>
      </c>
      <c r="E893" s="6" t="s">
        <v>6130</v>
      </c>
      <c r="F893" s="10" t="s">
        <v>6138</v>
      </c>
      <c r="G893" s="17"/>
      <c r="H893" s="17" t="s">
        <v>6135</v>
      </c>
      <c r="I893" s="6" t="s">
        <v>6136</v>
      </c>
      <c r="J893" s="17" t="s">
        <v>6137</v>
      </c>
      <c r="K893" s="10" t="s">
        <v>6138</v>
      </c>
      <c r="L893" s="18" t="str">
        <f t="shared" si="13"/>
        <v>0892</v>
      </c>
      <c r="M893" s="18" t="s">
        <v>38</v>
      </c>
      <c r="N893" s="19" t="s">
        <v>6054</v>
      </c>
      <c r="O893" s="22" t="s">
        <v>6062</v>
      </c>
    </row>
    <row r="894" spans="1:15" ht="15.75" customHeight="1">
      <c r="A894" s="10" t="s">
        <v>6139</v>
      </c>
      <c r="B894" s="10" t="s">
        <v>4410</v>
      </c>
      <c r="C894" s="11" t="s">
        <v>6054</v>
      </c>
      <c r="D894" s="13" t="s">
        <v>71</v>
      </c>
      <c r="E894" s="6" t="s">
        <v>6115</v>
      </c>
      <c r="F894" s="17" t="s">
        <v>6144</v>
      </c>
      <c r="G894" s="17"/>
      <c r="H894" s="17" t="s">
        <v>35</v>
      </c>
      <c r="I894" s="6" t="s">
        <v>35</v>
      </c>
      <c r="J894" s="17" t="s">
        <v>36</v>
      </c>
      <c r="K894" s="17" t="s">
        <v>6144</v>
      </c>
      <c r="L894" s="18" t="str">
        <f t="shared" si="13"/>
        <v>0893</v>
      </c>
      <c r="M894" s="18" t="s">
        <v>38</v>
      </c>
      <c r="N894" s="19" t="s">
        <v>6054</v>
      </c>
      <c r="O894" s="22" t="s">
        <v>6062</v>
      </c>
    </row>
    <row r="895" spans="1:15" ht="15.75" customHeight="1">
      <c r="A895" s="10" t="s">
        <v>6145</v>
      </c>
      <c r="B895" s="10" t="s">
        <v>4410</v>
      </c>
      <c r="C895" s="11" t="s">
        <v>6054</v>
      </c>
      <c r="D895" s="13" t="s">
        <v>93</v>
      </c>
      <c r="E895" s="6" t="s">
        <v>6146</v>
      </c>
      <c r="F895" s="17" t="s">
        <v>6151</v>
      </c>
      <c r="G895" s="17"/>
      <c r="H895" s="17" t="s">
        <v>35</v>
      </c>
      <c r="I895" s="6" t="s">
        <v>35</v>
      </c>
      <c r="J895" s="17" t="s">
        <v>36</v>
      </c>
      <c r="K895" s="17" t="s">
        <v>6151</v>
      </c>
      <c r="L895" s="18" t="str">
        <f t="shared" si="13"/>
        <v>0894</v>
      </c>
      <c r="M895" s="18" t="s">
        <v>38</v>
      </c>
      <c r="N895" s="19" t="s">
        <v>6054</v>
      </c>
      <c r="O895" s="22" t="s">
        <v>6062</v>
      </c>
    </row>
    <row r="896" spans="1:15" ht="15.75" customHeight="1">
      <c r="A896" s="10" t="s">
        <v>6152</v>
      </c>
      <c r="B896" s="10" t="s">
        <v>4410</v>
      </c>
      <c r="C896" s="11" t="s">
        <v>6054</v>
      </c>
      <c r="D896" s="13" t="s">
        <v>29</v>
      </c>
      <c r="E896" s="6" t="s">
        <v>6153</v>
      </c>
      <c r="F896" s="17" t="s">
        <v>6158</v>
      </c>
      <c r="G896" s="17"/>
      <c r="H896" s="17" t="s">
        <v>35</v>
      </c>
      <c r="I896" s="6" t="s">
        <v>35</v>
      </c>
      <c r="J896" s="17" t="s">
        <v>36</v>
      </c>
      <c r="K896" s="17" t="s">
        <v>6158</v>
      </c>
      <c r="L896" s="18" t="str">
        <f t="shared" si="13"/>
        <v>0895</v>
      </c>
      <c r="M896" s="18" t="s">
        <v>38</v>
      </c>
      <c r="N896" s="19" t="s">
        <v>6054</v>
      </c>
      <c r="O896" s="22" t="s">
        <v>6062</v>
      </c>
    </row>
    <row r="897" spans="1:15" ht="15.75" customHeight="1">
      <c r="A897" s="10" t="s">
        <v>6159</v>
      </c>
      <c r="B897" s="10" t="s">
        <v>4410</v>
      </c>
      <c r="C897" s="11" t="s">
        <v>6054</v>
      </c>
      <c r="D897" s="13" t="s">
        <v>93</v>
      </c>
      <c r="E897" s="6" t="s">
        <v>6160</v>
      </c>
      <c r="F897" s="17" t="s">
        <v>6165</v>
      </c>
      <c r="G897" s="17"/>
      <c r="H897" s="17" t="s">
        <v>35</v>
      </c>
      <c r="I897" s="49" t="s">
        <v>35</v>
      </c>
      <c r="J897" s="17" t="s">
        <v>36</v>
      </c>
      <c r="K897" s="17" t="s">
        <v>6165</v>
      </c>
      <c r="L897" s="18" t="str">
        <f t="shared" si="13"/>
        <v>0896</v>
      </c>
      <c r="M897" s="18" t="s">
        <v>38</v>
      </c>
      <c r="N897" s="19" t="s">
        <v>6054</v>
      </c>
      <c r="O897" s="22" t="s">
        <v>6062</v>
      </c>
    </row>
    <row r="898" spans="1:15" ht="15.75" customHeight="1">
      <c r="A898" s="10" t="s">
        <v>6166</v>
      </c>
      <c r="B898" s="10" t="s">
        <v>4410</v>
      </c>
      <c r="C898" s="11" t="s">
        <v>6054</v>
      </c>
      <c r="D898" s="13" t="s">
        <v>93</v>
      </c>
      <c r="E898" s="6" t="s">
        <v>6146</v>
      </c>
      <c r="F898" s="17" t="s">
        <v>6171</v>
      </c>
      <c r="G898" s="17"/>
      <c r="H898" s="17" t="s">
        <v>35</v>
      </c>
      <c r="I898" s="6" t="s">
        <v>35</v>
      </c>
      <c r="J898" s="17" t="s">
        <v>36</v>
      </c>
      <c r="K898" s="17" t="s">
        <v>6171</v>
      </c>
      <c r="L898" s="18" t="str">
        <f t="shared" ref="L898:L961" si="14">A898</f>
        <v>0897</v>
      </c>
      <c r="M898" s="18" t="s">
        <v>38</v>
      </c>
      <c r="N898" s="19" t="s">
        <v>6054</v>
      </c>
      <c r="O898" s="22" t="s">
        <v>6062</v>
      </c>
    </row>
    <row r="899" spans="1:15" ht="15.75" customHeight="1">
      <c r="A899" s="10" t="s">
        <v>6172</v>
      </c>
      <c r="B899" s="10" t="s">
        <v>4410</v>
      </c>
      <c r="C899" s="11" t="s">
        <v>6054</v>
      </c>
      <c r="D899" s="13" t="s">
        <v>234</v>
      </c>
      <c r="E899" s="43" t="s">
        <v>6173</v>
      </c>
      <c r="F899" s="17" t="s">
        <v>6178</v>
      </c>
      <c r="G899" s="17"/>
      <c r="H899" s="17" t="s">
        <v>35</v>
      </c>
      <c r="I899" s="6" t="s">
        <v>35</v>
      </c>
      <c r="J899" s="17" t="s">
        <v>36</v>
      </c>
      <c r="K899" s="17" t="s">
        <v>6178</v>
      </c>
      <c r="L899" s="18" t="str">
        <f t="shared" si="14"/>
        <v>0898</v>
      </c>
      <c r="M899" s="18" t="s">
        <v>38</v>
      </c>
      <c r="N899" s="19" t="s">
        <v>6054</v>
      </c>
      <c r="O899" s="22" t="s">
        <v>6062</v>
      </c>
    </row>
    <row r="900" spans="1:15" ht="15.75" customHeight="1">
      <c r="A900" s="10" t="s">
        <v>6179</v>
      </c>
      <c r="B900" s="10" t="s">
        <v>4410</v>
      </c>
      <c r="C900" s="11" t="s">
        <v>6054</v>
      </c>
      <c r="D900" s="13" t="s">
        <v>6180</v>
      </c>
      <c r="E900" s="43" t="s">
        <v>6181</v>
      </c>
      <c r="F900" s="17" t="s">
        <v>85</v>
      </c>
      <c r="G900" s="17"/>
      <c r="H900" s="17" t="s">
        <v>35</v>
      </c>
      <c r="I900" s="6" t="s">
        <v>35</v>
      </c>
      <c r="J900" s="17" t="s">
        <v>36</v>
      </c>
      <c r="K900" s="17" t="s">
        <v>85</v>
      </c>
      <c r="L900" s="18" t="str">
        <f t="shared" si="14"/>
        <v>0899</v>
      </c>
      <c r="M900" s="18" t="s">
        <v>38</v>
      </c>
      <c r="N900" s="19" t="s">
        <v>6054</v>
      </c>
      <c r="O900" s="22" t="s">
        <v>6062</v>
      </c>
    </row>
    <row r="901" spans="1:15" ht="15.75" customHeight="1">
      <c r="A901" s="10" t="s">
        <v>6186</v>
      </c>
      <c r="B901" s="10" t="s">
        <v>4410</v>
      </c>
      <c r="C901" s="11" t="s">
        <v>6054</v>
      </c>
      <c r="D901" s="13" t="s">
        <v>6187</v>
      </c>
      <c r="E901" s="6" t="s">
        <v>6188</v>
      </c>
      <c r="F901" s="32" t="s">
        <v>85</v>
      </c>
      <c r="G901" s="17"/>
      <c r="H901" s="35" t="s">
        <v>35</v>
      </c>
      <c r="I901" s="6" t="s">
        <v>35</v>
      </c>
      <c r="J901" s="10" t="s">
        <v>36</v>
      </c>
      <c r="K901" s="32" t="s">
        <v>85</v>
      </c>
      <c r="L901" s="18" t="str">
        <f t="shared" si="14"/>
        <v>0900</v>
      </c>
      <c r="M901" s="18" t="s">
        <v>38</v>
      </c>
      <c r="N901" s="19" t="s">
        <v>6054</v>
      </c>
      <c r="O901" s="22" t="s">
        <v>6062</v>
      </c>
    </row>
    <row r="902" spans="1:15" ht="15.75" customHeight="1">
      <c r="A902" s="10" t="s">
        <v>6190</v>
      </c>
      <c r="B902" s="10" t="s">
        <v>4410</v>
      </c>
      <c r="C902" s="11" t="s">
        <v>6054</v>
      </c>
      <c r="D902" s="13" t="s">
        <v>93</v>
      </c>
      <c r="E902" s="6" t="s">
        <v>6191</v>
      </c>
      <c r="F902" s="156" t="s">
        <v>6628</v>
      </c>
      <c r="G902" s="17"/>
      <c r="H902" s="35" t="s">
        <v>35</v>
      </c>
      <c r="I902" s="6" t="s">
        <v>35</v>
      </c>
      <c r="J902" s="10" t="s">
        <v>36</v>
      </c>
      <c r="K902" s="156" t="s">
        <v>6628</v>
      </c>
      <c r="L902" s="18" t="str">
        <f t="shared" si="14"/>
        <v>0901</v>
      </c>
      <c r="M902" s="18" t="s">
        <v>38</v>
      </c>
      <c r="N902" s="19" t="s">
        <v>6054</v>
      </c>
      <c r="O902" s="22" t="s">
        <v>6062</v>
      </c>
    </row>
    <row r="903" spans="1:15" ht="15.75" customHeight="1">
      <c r="A903" s="10" t="s">
        <v>6193</v>
      </c>
      <c r="B903" s="10" t="s">
        <v>4410</v>
      </c>
      <c r="C903" s="11" t="s">
        <v>6054</v>
      </c>
      <c r="D903" s="13" t="s">
        <v>116</v>
      </c>
      <c r="E903" s="6" t="s">
        <v>6194</v>
      </c>
      <c r="F903" s="17" t="s">
        <v>6199</v>
      </c>
      <c r="G903" s="17"/>
      <c r="H903" s="17" t="s">
        <v>35</v>
      </c>
      <c r="I903" s="49" t="s">
        <v>35</v>
      </c>
      <c r="J903" s="17" t="s">
        <v>36</v>
      </c>
      <c r="K903" s="17" t="s">
        <v>6199</v>
      </c>
      <c r="L903" s="18" t="str">
        <f t="shared" si="14"/>
        <v>0902</v>
      </c>
      <c r="M903" s="18" t="s">
        <v>38</v>
      </c>
      <c r="N903" s="19" t="s">
        <v>6054</v>
      </c>
      <c r="O903" s="22" t="s">
        <v>6062</v>
      </c>
    </row>
    <row r="904" spans="1:15" ht="15.75" customHeight="1">
      <c r="A904" s="10" t="s">
        <v>6200</v>
      </c>
      <c r="B904" s="10" t="s">
        <v>4410</v>
      </c>
      <c r="C904" s="11" t="s">
        <v>6054</v>
      </c>
      <c r="D904" s="13" t="s">
        <v>184</v>
      </c>
      <c r="E904" s="6" t="s">
        <v>6201</v>
      </c>
      <c r="F904" s="17" t="s">
        <v>6206</v>
      </c>
      <c r="G904" s="17"/>
      <c r="H904" s="17" t="s">
        <v>35</v>
      </c>
      <c r="I904" s="6" t="s">
        <v>35</v>
      </c>
      <c r="J904" s="17" t="s">
        <v>36</v>
      </c>
      <c r="K904" s="17" t="s">
        <v>6206</v>
      </c>
      <c r="L904" s="18" t="str">
        <f t="shared" si="14"/>
        <v>0903</v>
      </c>
      <c r="M904" s="18" t="s">
        <v>38</v>
      </c>
      <c r="N904" s="19" t="s">
        <v>6054</v>
      </c>
      <c r="O904" s="22" t="s">
        <v>6062</v>
      </c>
    </row>
    <row r="905" spans="1:15" ht="15.75" customHeight="1">
      <c r="A905" s="10" t="s">
        <v>6207</v>
      </c>
      <c r="B905" s="10" t="s">
        <v>4410</v>
      </c>
      <c r="C905" s="11" t="s">
        <v>6054</v>
      </c>
      <c r="D905" s="13" t="s">
        <v>184</v>
      </c>
      <c r="E905" s="6" t="s">
        <v>6201</v>
      </c>
      <c r="F905" s="17" t="s">
        <v>6212</v>
      </c>
      <c r="G905" s="17"/>
      <c r="H905" s="17" t="s">
        <v>35</v>
      </c>
      <c r="I905" s="6" t="s">
        <v>35</v>
      </c>
      <c r="J905" s="17" t="s">
        <v>36</v>
      </c>
      <c r="K905" s="17" t="s">
        <v>6212</v>
      </c>
      <c r="L905" s="18" t="str">
        <f t="shared" si="14"/>
        <v>0904</v>
      </c>
      <c r="M905" s="18" t="s">
        <v>38</v>
      </c>
      <c r="N905" s="19" t="s">
        <v>6054</v>
      </c>
      <c r="O905" s="22" t="s">
        <v>6062</v>
      </c>
    </row>
    <row r="906" spans="1:15" ht="15.75" customHeight="1">
      <c r="A906" s="10" t="s">
        <v>6213</v>
      </c>
      <c r="B906" s="10" t="s">
        <v>4410</v>
      </c>
      <c r="C906" s="11" t="s">
        <v>6054</v>
      </c>
      <c r="D906" s="13" t="s">
        <v>184</v>
      </c>
      <c r="E906" s="6" t="s">
        <v>6201</v>
      </c>
      <c r="F906" s="17" t="s">
        <v>6218</v>
      </c>
      <c r="G906" s="17"/>
      <c r="H906" s="17" t="s">
        <v>35</v>
      </c>
      <c r="I906" s="6" t="s">
        <v>35</v>
      </c>
      <c r="J906" s="17" t="s">
        <v>36</v>
      </c>
      <c r="K906" s="17" t="s">
        <v>6218</v>
      </c>
      <c r="L906" s="18" t="str">
        <f t="shared" si="14"/>
        <v>0905</v>
      </c>
      <c r="M906" s="18" t="s">
        <v>38</v>
      </c>
      <c r="N906" s="19" t="s">
        <v>6054</v>
      </c>
      <c r="O906" s="22" t="s">
        <v>6062</v>
      </c>
    </row>
    <row r="907" spans="1:15" ht="15.75" customHeight="1">
      <c r="A907" s="10" t="s">
        <v>6219</v>
      </c>
      <c r="B907" s="10" t="s">
        <v>4410</v>
      </c>
      <c r="C907" s="11" t="s">
        <v>6054</v>
      </c>
      <c r="D907" s="13" t="s">
        <v>378</v>
      </c>
      <c r="E907" s="6" t="s">
        <v>379</v>
      </c>
      <c r="F907" s="17" t="s">
        <v>6224</v>
      </c>
      <c r="G907" s="17"/>
      <c r="H907" s="17" t="s">
        <v>35</v>
      </c>
      <c r="I907" s="6" t="s">
        <v>35</v>
      </c>
      <c r="J907" s="17" t="s">
        <v>36</v>
      </c>
      <c r="K907" s="17" t="s">
        <v>6224</v>
      </c>
      <c r="L907" s="18" t="str">
        <f t="shared" si="14"/>
        <v>0906</v>
      </c>
      <c r="M907" s="18" t="s">
        <v>38</v>
      </c>
      <c r="N907" s="19" t="s">
        <v>6054</v>
      </c>
      <c r="O907" s="22" t="s">
        <v>6062</v>
      </c>
    </row>
    <row r="908" spans="1:15" ht="15.75" customHeight="1">
      <c r="A908" s="10" t="s">
        <v>6225</v>
      </c>
      <c r="B908" s="10" t="s">
        <v>4410</v>
      </c>
      <c r="C908" s="11" t="s">
        <v>6054</v>
      </c>
      <c r="D908" s="13" t="s">
        <v>6226</v>
      </c>
      <c r="E908" s="43" t="s">
        <v>278</v>
      </c>
      <c r="F908" s="17" t="s">
        <v>6231</v>
      </c>
      <c r="G908" s="17"/>
      <c r="H908" s="17" t="s">
        <v>35</v>
      </c>
      <c r="I908" s="6" t="s">
        <v>35</v>
      </c>
      <c r="J908" s="17" t="s">
        <v>36</v>
      </c>
      <c r="K908" s="17" t="s">
        <v>6231</v>
      </c>
      <c r="L908" s="18" t="str">
        <f t="shared" si="14"/>
        <v>0907</v>
      </c>
      <c r="M908" s="18" t="s">
        <v>38</v>
      </c>
      <c r="N908" s="19" t="s">
        <v>6054</v>
      </c>
      <c r="O908" s="22" t="s">
        <v>6062</v>
      </c>
    </row>
    <row r="909" spans="1:15" ht="15.75" customHeight="1">
      <c r="A909" s="10" t="s">
        <v>6232</v>
      </c>
      <c r="B909" s="10" t="s">
        <v>4410</v>
      </c>
      <c r="C909" s="11" t="s">
        <v>6054</v>
      </c>
      <c r="D909" s="13" t="s">
        <v>93</v>
      </c>
      <c r="E909" s="6" t="s">
        <v>6233</v>
      </c>
      <c r="F909" s="32" t="s">
        <v>6237</v>
      </c>
      <c r="G909" s="17"/>
      <c r="H909" s="35" t="s">
        <v>35</v>
      </c>
      <c r="I909" s="6" t="s">
        <v>35</v>
      </c>
      <c r="J909" s="10" t="s">
        <v>36</v>
      </c>
      <c r="K909" s="32" t="s">
        <v>6237</v>
      </c>
      <c r="L909" s="18" t="str">
        <f t="shared" si="14"/>
        <v>0908</v>
      </c>
      <c r="M909" s="18" t="s">
        <v>38</v>
      </c>
      <c r="N909" s="19" t="s">
        <v>6054</v>
      </c>
      <c r="O909" s="22" t="s">
        <v>6062</v>
      </c>
    </row>
    <row r="910" spans="1:15" ht="15.75" customHeight="1">
      <c r="A910" s="10" t="s">
        <v>6238</v>
      </c>
      <c r="B910" s="10" t="s">
        <v>4410</v>
      </c>
      <c r="C910" s="11" t="s">
        <v>6054</v>
      </c>
      <c r="D910" s="13" t="s">
        <v>1199</v>
      </c>
      <c r="E910" s="43" t="s">
        <v>6239</v>
      </c>
      <c r="F910" s="10" t="s">
        <v>6246</v>
      </c>
      <c r="G910" s="17"/>
      <c r="H910" s="17" t="s">
        <v>205</v>
      </c>
      <c r="I910" s="6" t="s">
        <v>6244</v>
      </c>
      <c r="J910" s="17" t="s">
        <v>6245</v>
      </c>
      <c r="K910" s="10" t="s">
        <v>6246</v>
      </c>
      <c r="L910" s="18" t="str">
        <f t="shared" si="14"/>
        <v>0909</v>
      </c>
      <c r="M910" s="18" t="s">
        <v>38</v>
      </c>
      <c r="N910" s="19" t="s">
        <v>6054</v>
      </c>
      <c r="O910" s="22" t="s">
        <v>6062</v>
      </c>
    </row>
    <row r="911" spans="1:15" ht="15.75" customHeight="1">
      <c r="A911" s="10" t="s">
        <v>6247</v>
      </c>
      <c r="B911" s="10" t="s">
        <v>4410</v>
      </c>
      <c r="C911" s="11" t="s">
        <v>6054</v>
      </c>
      <c r="D911" s="13" t="s">
        <v>248</v>
      </c>
      <c r="E911" s="43" t="s">
        <v>248</v>
      </c>
      <c r="F911" s="17" t="s">
        <v>6253</v>
      </c>
      <c r="G911" s="17"/>
      <c r="H911" s="17" t="s">
        <v>978</v>
      </c>
      <c r="I911" s="6" t="s">
        <v>979</v>
      </c>
      <c r="J911" s="17" t="s">
        <v>6252</v>
      </c>
      <c r="K911" s="17" t="s">
        <v>6253</v>
      </c>
      <c r="L911" s="18" t="str">
        <f t="shared" si="14"/>
        <v>0910</v>
      </c>
      <c r="M911" s="18" t="s">
        <v>38</v>
      </c>
      <c r="N911" s="19" t="s">
        <v>6054</v>
      </c>
      <c r="O911" s="22" t="s">
        <v>6062</v>
      </c>
    </row>
    <row r="912" spans="1:15" ht="15.75" customHeight="1">
      <c r="A912" s="10" t="s">
        <v>6254</v>
      </c>
      <c r="B912" s="10" t="s">
        <v>4410</v>
      </c>
      <c r="C912" s="11" t="s">
        <v>6054</v>
      </c>
      <c r="D912" s="13" t="s">
        <v>162</v>
      </c>
      <c r="E912" s="43" t="s">
        <v>6255</v>
      </c>
      <c r="F912" s="17" t="s">
        <v>6261</v>
      </c>
      <c r="G912" s="17"/>
      <c r="H912" s="17" t="s">
        <v>168</v>
      </c>
      <c r="I912" s="6" t="s">
        <v>169</v>
      </c>
      <c r="J912" s="17" t="s">
        <v>6260</v>
      </c>
      <c r="K912" s="17" t="s">
        <v>6261</v>
      </c>
      <c r="L912" s="18" t="str">
        <f t="shared" si="14"/>
        <v>0911</v>
      </c>
      <c r="M912" s="18" t="s">
        <v>38</v>
      </c>
      <c r="N912" s="19" t="s">
        <v>6054</v>
      </c>
      <c r="O912" s="22" t="s">
        <v>6062</v>
      </c>
    </row>
    <row r="913" spans="1:15" ht="15.75" customHeight="1">
      <c r="A913" s="10" t="s">
        <v>6262</v>
      </c>
      <c r="B913" s="10" t="s">
        <v>1469</v>
      </c>
      <c r="C913" s="60" t="s">
        <v>1470</v>
      </c>
      <c r="D913" s="13" t="s">
        <v>199</v>
      </c>
      <c r="E913" s="6" t="s">
        <v>677</v>
      </c>
      <c r="F913" s="32" t="s">
        <v>6269</v>
      </c>
      <c r="G913" s="17"/>
      <c r="H913" s="17" t="s">
        <v>682</v>
      </c>
      <c r="I913" s="6" t="s">
        <v>6267</v>
      </c>
      <c r="J913" s="46" t="s">
        <v>6268</v>
      </c>
      <c r="K913" s="32" t="s">
        <v>6269</v>
      </c>
      <c r="L913" s="18" t="str">
        <f t="shared" si="14"/>
        <v>0912</v>
      </c>
      <c r="M913" s="18" t="s">
        <v>38</v>
      </c>
      <c r="N913" s="61" t="s">
        <v>2328</v>
      </c>
      <c r="O913" s="20" t="s">
        <v>3716</v>
      </c>
    </row>
    <row r="914" spans="1:15" ht="15.75" customHeight="1">
      <c r="A914" s="10" t="s">
        <v>6270</v>
      </c>
      <c r="B914" s="10" t="s">
        <v>4410</v>
      </c>
      <c r="C914" s="11" t="s">
        <v>6054</v>
      </c>
      <c r="D914" s="13" t="s">
        <v>93</v>
      </c>
      <c r="E914" s="6" t="s">
        <v>6271</v>
      </c>
      <c r="F914" s="17" t="s">
        <v>6276</v>
      </c>
      <c r="G914" s="17"/>
      <c r="H914" s="17" t="s">
        <v>35</v>
      </c>
      <c r="I914" s="6" t="s">
        <v>35</v>
      </c>
      <c r="J914" s="17" t="s">
        <v>36</v>
      </c>
      <c r="K914" s="17" t="s">
        <v>6276</v>
      </c>
      <c r="L914" s="18" t="str">
        <f t="shared" si="14"/>
        <v>0913</v>
      </c>
      <c r="M914" s="18" t="s">
        <v>38</v>
      </c>
      <c r="N914" s="19" t="s">
        <v>6054</v>
      </c>
      <c r="O914" s="22" t="s">
        <v>6277</v>
      </c>
    </row>
    <row r="915" spans="1:15" ht="15.75" customHeight="1">
      <c r="A915" s="10" t="s">
        <v>6278</v>
      </c>
      <c r="B915" s="10" t="s">
        <v>4410</v>
      </c>
      <c r="C915" s="11" t="s">
        <v>28</v>
      </c>
      <c r="D915" s="13" t="s">
        <v>378</v>
      </c>
      <c r="E915" s="6" t="s">
        <v>6279</v>
      </c>
      <c r="F915" s="17" t="s">
        <v>6284</v>
      </c>
      <c r="G915" s="17"/>
      <c r="H915" s="17" t="s">
        <v>35</v>
      </c>
      <c r="I915" s="6" t="s">
        <v>35</v>
      </c>
      <c r="J915" s="17" t="s">
        <v>36</v>
      </c>
      <c r="K915" s="17" t="s">
        <v>6284</v>
      </c>
      <c r="L915" s="18" t="str">
        <f t="shared" si="14"/>
        <v>0914</v>
      </c>
      <c r="M915" s="18" t="s">
        <v>3282</v>
      </c>
      <c r="N915" s="19" t="s">
        <v>147</v>
      </c>
      <c r="O915" s="20" t="s">
        <v>385</v>
      </c>
    </row>
    <row r="916" spans="1:15" ht="15.75" customHeight="1">
      <c r="A916" s="10" t="s">
        <v>6285</v>
      </c>
      <c r="B916" s="10" t="s">
        <v>27</v>
      </c>
      <c r="C916" s="63" t="s">
        <v>28</v>
      </c>
      <c r="D916" s="13" t="s">
        <v>378</v>
      </c>
      <c r="E916" s="6" t="s">
        <v>6279</v>
      </c>
      <c r="F916" s="17" t="s">
        <v>6290</v>
      </c>
      <c r="G916" s="17"/>
      <c r="H916" s="17" t="s">
        <v>35</v>
      </c>
      <c r="I916" s="6" t="s">
        <v>35</v>
      </c>
      <c r="J916" s="17" t="s">
        <v>36</v>
      </c>
      <c r="K916" s="17" t="s">
        <v>6290</v>
      </c>
      <c r="L916" s="18" t="str">
        <f t="shared" si="14"/>
        <v>0915</v>
      </c>
      <c r="M916" s="18" t="s">
        <v>38</v>
      </c>
      <c r="N916" s="19" t="s">
        <v>28</v>
      </c>
      <c r="O916" s="20" t="s">
        <v>40</v>
      </c>
    </row>
    <row r="917" spans="1:15" ht="15.75" customHeight="1">
      <c r="A917" s="10" t="s">
        <v>6292</v>
      </c>
      <c r="B917" s="10" t="s">
        <v>4410</v>
      </c>
      <c r="C917" s="11" t="s">
        <v>6054</v>
      </c>
      <c r="D917" s="13" t="s">
        <v>93</v>
      </c>
      <c r="E917" s="6" t="s">
        <v>6293</v>
      </c>
      <c r="F917" s="17" t="s">
        <v>6298</v>
      </c>
      <c r="G917" s="17"/>
      <c r="H917" s="17" t="s">
        <v>35</v>
      </c>
      <c r="I917" s="6" t="s">
        <v>35</v>
      </c>
      <c r="J917" s="17" t="s">
        <v>36</v>
      </c>
      <c r="K917" s="17" t="s">
        <v>6298</v>
      </c>
      <c r="L917" s="18" t="str">
        <f t="shared" si="14"/>
        <v>0916</v>
      </c>
      <c r="M917" s="18" t="s">
        <v>38</v>
      </c>
      <c r="N917" s="19" t="s">
        <v>6054</v>
      </c>
      <c r="O917" s="22" t="s">
        <v>6277</v>
      </c>
    </row>
    <row r="918" spans="1:15" ht="15.75" customHeight="1">
      <c r="A918" s="10" t="s">
        <v>6299</v>
      </c>
      <c r="B918" s="10" t="s">
        <v>4410</v>
      </c>
      <c r="C918" s="11" t="s">
        <v>6054</v>
      </c>
      <c r="D918" s="13" t="s">
        <v>353</v>
      </c>
      <c r="E918" s="43" t="s">
        <v>6300</v>
      </c>
      <c r="F918" s="10" t="s">
        <v>6308</v>
      </c>
      <c r="G918" s="17"/>
      <c r="H918" s="17" t="s">
        <v>6305</v>
      </c>
      <c r="I918" s="6" t="s">
        <v>6306</v>
      </c>
      <c r="J918" s="17" t="s">
        <v>6307</v>
      </c>
      <c r="K918" s="10" t="s">
        <v>6308</v>
      </c>
      <c r="L918" s="18" t="str">
        <f t="shared" si="14"/>
        <v>0917</v>
      </c>
      <c r="M918" s="18" t="s">
        <v>38</v>
      </c>
      <c r="N918" s="19" t="s">
        <v>6054</v>
      </c>
      <c r="O918" s="22" t="s">
        <v>6277</v>
      </c>
    </row>
    <row r="919" spans="1:15" ht="15.75" customHeight="1">
      <c r="A919" s="10" t="s">
        <v>6309</v>
      </c>
      <c r="B919" s="10" t="s">
        <v>4410</v>
      </c>
      <c r="C919" s="11" t="s">
        <v>6054</v>
      </c>
      <c r="D919" s="13" t="s">
        <v>3521</v>
      </c>
      <c r="E919" s="6" t="s">
        <v>6310</v>
      </c>
      <c r="F919" s="17" t="s">
        <v>6315</v>
      </c>
      <c r="G919" s="17"/>
      <c r="H919" s="17" t="s">
        <v>35</v>
      </c>
      <c r="I919" s="6" t="s">
        <v>35</v>
      </c>
      <c r="J919" s="17" t="s">
        <v>36</v>
      </c>
      <c r="K919" s="17" t="s">
        <v>6315</v>
      </c>
      <c r="L919" s="18" t="str">
        <f t="shared" si="14"/>
        <v>0918</v>
      </c>
      <c r="M919" s="18" t="s">
        <v>38</v>
      </c>
      <c r="N919" s="19" t="s">
        <v>6054</v>
      </c>
      <c r="O919" s="22" t="s">
        <v>6277</v>
      </c>
    </row>
    <row r="920" spans="1:15" ht="15.75" customHeight="1">
      <c r="A920" s="10" t="s">
        <v>6316</v>
      </c>
      <c r="B920" s="10" t="s">
        <v>4410</v>
      </c>
      <c r="C920" s="11" t="s">
        <v>6054</v>
      </c>
      <c r="D920" s="13" t="s">
        <v>71</v>
      </c>
      <c r="E920" s="6" t="s">
        <v>6317</v>
      </c>
      <c r="F920" s="17" t="s">
        <v>6322</v>
      </c>
      <c r="G920" s="17"/>
      <c r="H920" s="17" t="s">
        <v>35</v>
      </c>
      <c r="I920" s="49" t="s">
        <v>35</v>
      </c>
      <c r="J920" s="17" t="s">
        <v>36</v>
      </c>
      <c r="K920" s="17" t="s">
        <v>6322</v>
      </c>
      <c r="L920" s="18" t="str">
        <f t="shared" si="14"/>
        <v>0919</v>
      </c>
      <c r="M920" s="18" t="s">
        <v>38</v>
      </c>
      <c r="N920" s="19" t="s">
        <v>6054</v>
      </c>
      <c r="O920" s="22" t="s">
        <v>6277</v>
      </c>
    </row>
    <row r="921" spans="1:15" ht="15.75" customHeight="1">
      <c r="A921" s="10" t="s">
        <v>6323</v>
      </c>
      <c r="B921" s="10" t="s">
        <v>4410</v>
      </c>
      <c r="C921" s="11" t="s">
        <v>6054</v>
      </c>
      <c r="D921" s="13" t="s">
        <v>93</v>
      </c>
      <c r="E921" s="6" t="s">
        <v>6324</v>
      </c>
      <c r="F921" s="17" t="s">
        <v>6329</v>
      </c>
      <c r="G921" s="17"/>
      <c r="H921" s="17" t="s">
        <v>35</v>
      </c>
      <c r="I921" s="6" t="s">
        <v>35</v>
      </c>
      <c r="J921" s="17" t="s">
        <v>36</v>
      </c>
      <c r="K921" s="17" t="s">
        <v>6329</v>
      </c>
      <c r="L921" s="18" t="str">
        <f t="shared" si="14"/>
        <v>0920</v>
      </c>
      <c r="M921" s="18" t="s">
        <v>38</v>
      </c>
      <c r="N921" s="19" t="s">
        <v>6054</v>
      </c>
      <c r="O921" s="22" t="s">
        <v>6277</v>
      </c>
    </row>
    <row r="922" spans="1:15" ht="15.75" customHeight="1">
      <c r="A922" s="10" t="s">
        <v>6330</v>
      </c>
      <c r="B922" s="10" t="s">
        <v>4410</v>
      </c>
      <c r="C922" s="11" t="s">
        <v>6054</v>
      </c>
      <c r="D922" s="13" t="s">
        <v>93</v>
      </c>
      <c r="E922" s="6" t="s">
        <v>6331</v>
      </c>
      <c r="F922" s="17" t="s">
        <v>6336</v>
      </c>
      <c r="G922" s="17"/>
      <c r="H922" s="17" t="s">
        <v>35</v>
      </c>
      <c r="I922" s="6" t="s">
        <v>35</v>
      </c>
      <c r="J922" s="17" t="s">
        <v>36</v>
      </c>
      <c r="K922" s="17" t="s">
        <v>6336</v>
      </c>
      <c r="L922" s="18" t="str">
        <f t="shared" si="14"/>
        <v>0921</v>
      </c>
      <c r="M922" s="18" t="s">
        <v>38</v>
      </c>
      <c r="N922" s="19" t="s">
        <v>6054</v>
      </c>
      <c r="O922" s="22" t="s">
        <v>6277</v>
      </c>
    </row>
    <row r="923" spans="1:15" ht="15.75" customHeight="1">
      <c r="A923" s="10" t="s">
        <v>6337</v>
      </c>
      <c r="B923" s="10" t="s">
        <v>4410</v>
      </c>
      <c r="C923" s="11" t="s">
        <v>6054</v>
      </c>
      <c r="D923" s="13" t="s">
        <v>6338</v>
      </c>
      <c r="E923" s="6" t="s">
        <v>6339</v>
      </c>
      <c r="F923" s="17" t="s">
        <v>85</v>
      </c>
      <c r="G923" s="17"/>
      <c r="H923" s="17" t="s">
        <v>35</v>
      </c>
      <c r="I923" s="6" t="s">
        <v>35</v>
      </c>
      <c r="J923" s="17" t="s">
        <v>36</v>
      </c>
      <c r="K923" s="17" t="s">
        <v>85</v>
      </c>
      <c r="L923" s="18" t="str">
        <f t="shared" si="14"/>
        <v>0922</v>
      </c>
      <c r="M923" s="18" t="s">
        <v>38</v>
      </c>
      <c r="N923" s="19" t="s">
        <v>6054</v>
      </c>
      <c r="O923" s="22" t="s">
        <v>6277</v>
      </c>
    </row>
    <row r="924" spans="1:15" ht="15.75" customHeight="1">
      <c r="A924" s="10" t="s">
        <v>6344</v>
      </c>
      <c r="B924" s="10" t="s">
        <v>4410</v>
      </c>
      <c r="C924" s="11" t="s">
        <v>6054</v>
      </c>
      <c r="D924" s="13" t="s">
        <v>6345</v>
      </c>
      <c r="E924" s="6" t="s">
        <v>6346</v>
      </c>
      <c r="F924" s="17" t="s">
        <v>6351</v>
      </c>
      <c r="G924" s="17"/>
      <c r="H924" s="17" t="s">
        <v>35</v>
      </c>
      <c r="I924" s="6" t="s">
        <v>35</v>
      </c>
      <c r="J924" s="17" t="s">
        <v>36</v>
      </c>
      <c r="K924" s="17" t="s">
        <v>6351</v>
      </c>
      <c r="L924" s="18" t="str">
        <f t="shared" si="14"/>
        <v>0923</v>
      </c>
      <c r="M924" s="18" t="s">
        <v>38</v>
      </c>
      <c r="N924" s="19" t="s">
        <v>6054</v>
      </c>
      <c r="O924" s="22" t="s">
        <v>6277</v>
      </c>
    </row>
    <row r="925" spans="1:15" ht="15.75" customHeight="1">
      <c r="A925" s="10" t="s">
        <v>6352</v>
      </c>
      <c r="B925" s="10" t="s">
        <v>4410</v>
      </c>
      <c r="C925" s="11" t="s">
        <v>6054</v>
      </c>
      <c r="D925" s="13" t="s">
        <v>6353</v>
      </c>
      <c r="E925" s="43" t="s">
        <v>6354</v>
      </c>
      <c r="F925" s="10" t="s">
        <v>6362</v>
      </c>
      <c r="G925" s="17"/>
      <c r="H925" s="17" t="s">
        <v>6359</v>
      </c>
      <c r="I925" s="6" t="s">
        <v>6360</v>
      </c>
      <c r="J925" s="17" t="s">
        <v>6361</v>
      </c>
      <c r="K925" s="10" t="s">
        <v>6362</v>
      </c>
      <c r="L925" s="18" t="str">
        <f t="shared" si="14"/>
        <v>0924</v>
      </c>
      <c r="M925" s="18" t="s">
        <v>38</v>
      </c>
      <c r="N925" s="19" t="s">
        <v>6054</v>
      </c>
      <c r="O925" s="22" t="s">
        <v>6277</v>
      </c>
    </row>
    <row r="926" spans="1:15" ht="15.75" customHeight="1">
      <c r="A926" s="10" t="s">
        <v>6363</v>
      </c>
      <c r="B926" s="10" t="s">
        <v>4410</v>
      </c>
      <c r="C926" s="11" t="s">
        <v>6054</v>
      </c>
      <c r="D926" s="13" t="s">
        <v>2860</v>
      </c>
      <c r="E926" s="43" t="s">
        <v>2861</v>
      </c>
      <c r="F926" s="17" t="s">
        <v>6368</v>
      </c>
      <c r="G926" s="17"/>
      <c r="H926" s="17" t="s">
        <v>2866</v>
      </c>
      <c r="I926" s="6" t="s">
        <v>35</v>
      </c>
      <c r="J926" s="17" t="s">
        <v>36</v>
      </c>
      <c r="K926" s="17" t="s">
        <v>6368</v>
      </c>
      <c r="L926" s="18" t="str">
        <f t="shared" si="14"/>
        <v>0925</v>
      </c>
      <c r="M926" s="18" t="s">
        <v>38</v>
      </c>
      <c r="N926" s="19" t="s">
        <v>6054</v>
      </c>
      <c r="O926" s="22" t="s">
        <v>6277</v>
      </c>
    </row>
    <row r="927" spans="1:15" ht="15.75" customHeight="1">
      <c r="A927" s="10" t="s">
        <v>6369</v>
      </c>
      <c r="B927" s="10" t="s">
        <v>4410</v>
      </c>
      <c r="C927" s="11" t="s">
        <v>6054</v>
      </c>
      <c r="D927" s="13" t="s">
        <v>184</v>
      </c>
      <c r="E927" s="6" t="s">
        <v>6370</v>
      </c>
      <c r="F927" s="17" t="s">
        <v>6375</v>
      </c>
      <c r="G927" s="17"/>
      <c r="H927" s="17" t="s">
        <v>35</v>
      </c>
      <c r="I927" s="6" t="s">
        <v>35</v>
      </c>
      <c r="J927" s="17" t="s">
        <v>36</v>
      </c>
      <c r="K927" s="17" t="s">
        <v>6375</v>
      </c>
      <c r="L927" s="18" t="str">
        <f t="shared" si="14"/>
        <v>0926</v>
      </c>
      <c r="M927" s="18" t="s">
        <v>38</v>
      </c>
      <c r="N927" s="19" t="s">
        <v>6054</v>
      </c>
      <c r="O927" s="22" t="s">
        <v>6277</v>
      </c>
    </row>
    <row r="928" spans="1:15" ht="15.75" customHeight="1">
      <c r="A928" s="10" t="s">
        <v>6376</v>
      </c>
      <c r="B928" s="10" t="s">
        <v>4410</v>
      </c>
      <c r="C928" s="11" t="s">
        <v>6054</v>
      </c>
      <c r="D928" s="13" t="s">
        <v>184</v>
      </c>
      <c r="E928" s="6" t="s">
        <v>6370</v>
      </c>
      <c r="F928" s="17" t="s">
        <v>6381</v>
      </c>
      <c r="G928" s="17"/>
      <c r="H928" s="17" t="s">
        <v>35</v>
      </c>
      <c r="I928" s="6" t="s">
        <v>35</v>
      </c>
      <c r="J928" s="17" t="s">
        <v>36</v>
      </c>
      <c r="K928" s="17" t="s">
        <v>6381</v>
      </c>
      <c r="L928" s="18" t="str">
        <f t="shared" si="14"/>
        <v>0927</v>
      </c>
      <c r="M928" s="18" t="s">
        <v>38</v>
      </c>
      <c r="N928" s="19" t="s">
        <v>6054</v>
      </c>
      <c r="O928" s="22" t="s">
        <v>6277</v>
      </c>
    </row>
    <row r="929" spans="1:15" ht="15.75" customHeight="1">
      <c r="A929" s="10" t="s">
        <v>6382</v>
      </c>
      <c r="B929" s="10" t="s">
        <v>4410</v>
      </c>
      <c r="C929" s="11" t="s">
        <v>6054</v>
      </c>
      <c r="D929" s="13" t="s">
        <v>184</v>
      </c>
      <c r="E929" s="6" t="s">
        <v>6370</v>
      </c>
      <c r="F929" s="17" t="s">
        <v>6387</v>
      </c>
      <c r="G929" s="17"/>
      <c r="H929" s="17" t="s">
        <v>35</v>
      </c>
      <c r="I929" s="6" t="s">
        <v>35</v>
      </c>
      <c r="J929" s="17" t="s">
        <v>36</v>
      </c>
      <c r="K929" s="17" t="s">
        <v>6387</v>
      </c>
      <c r="L929" s="18" t="str">
        <f t="shared" si="14"/>
        <v>0928</v>
      </c>
      <c r="M929" s="18" t="s">
        <v>38</v>
      </c>
      <c r="N929" s="19" t="s">
        <v>6054</v>
      </c>
      <c r="O929" s="22" t="s">
        <v>6277</v>
      </c>
    </row>
    <row r="930" spans="1:15" ht="15.75" customHeight="1">
      <c r="A930" s="10" t="s">
        <v>6388</v>
      </c>
      <c r="B930" s="10" t="s">
        <v>4410</v>
      </c>
      <c r="C930" s="11" t="s">
        <v>6054</v>
      </c>
      <c r="D930" s="13" t="s">
        <v>184</v>
      </c>
      <c r="E930" s="6" t="s">
        <v>6370</v>
      </c>
      <c r="F930" s="17" t="s">
        <v>6393</v>
      </c>
      <c r="G930" s="17"/>
      <c r="H930" s="17" t="s">
        <v>35</v>
      </c>
      <c r="I930" s="6" t="s">
        <v>35</v>
      </c>
      <c r="J930" s="17" t="s">
        <v>36</v>
      </c>
      <c r="K930" s="17" t="s">
        <v>6393</v>
      </c>
      <c r="L930" s="18" t="str">
        <f t="shared" si="14"/>
        <v>0929</v>
      </c>
      <c r="M930" s="18" t="s">
        <v>38</v>
      </c>
      <c r="N930" s="19" t="s">
        <v>6054</v>
      </c>
      <c r="O930" s="22" t="s">
        <v>6277</v>
      </c>
    </row>
    <row r="931" spans="1:15" ht="15.75" customHeight="1">
      <c r="A931" s="10" t="s">
        <v>6394</v>
      </c>
      <c r="B931" s="10" t="s">
        <v>4410</v>
      </c>
      <c r="C931" s="60" t="s">
        <v>4411</v>
      </c>
      <c r="D931" s="13" t="s">
        <v>184</v>
      </c>
      <c r="E931" s="6" t="s">
        <v>6370</v>
      </c>
      <c r="F931" s="17" t="s">
        <v>6399</v>
      </c>
      <c r="G931" s="17"/>
      <c r="H931" s="17" t="s">
        <v>35</v>
      </c>
      <c r="I931" s="6" t="s">
        <v>35</v>
      </c>
      <c r="J931" s="17" t="s">
        <v>36</v>
      </c>
      <c r="K931" s="17" t="s">
        <v>6399</v>
      </c>
      <c r="L931" s="18" t="str">
        <f t="shared" si="14"/>
        <v>0930</v>
      </c>
      <c r="M931" s="18" t="s">
        <v>38</v>
      </c>
      <c r="N931" s="19" t="s">
        <v>4411</v>
      </c>
      <c r="O931" s="20" t="s">
        <v>4935</v>
      </c>
    </row>
    <row r="932" spans="1:15" ht="15.75" customHeight="1">
      <c r="A932" s="10" t="s">
        <v>6400</v>
      </c>
      <c r="B932" s="10" t="s">
        <v>4410</v>
      </c>
      <c r="C932" s="11" t="s">
        <v>6054</v>
      </c>
      <c r="D932" s="13" t="s">
        <v>184</v>
      </c>
      <c r="E932" s="6" t="s">
        <v>6370</v>
      </c>
      <c r="F932" s="17" t="s">
        <v>6405</v>
      </c>
      <c r="G932" s="17"/>
      <c r="H932" s="17" t="s">
        <v>35</v>
      </c>
      <c r="I932" s="6" t="s">
        <v>35</v>
      </c>
      <c r="J932" s="17" t="s">
        <v>36</v>
      </c>
      <c r="K932" s="17" t="s">
        <v>6405</v>
      </c>
      <c r="L932" s="18" t="str">
        <f t="shared" si="14"/>
        <v>0931</v>
      </c>
      <c r="M932" s="18" t="s">
        <v>38</v>
      </c>
      <c r="N932" s="19" t="s">
        <v>6054</v>
      </c>
      <c r="O932" s="22" t="s">
        <v>6277</v>
      </c>
    </row>
    <row r="933" spans="1:15" ht="15.75" customHeight="1">
      <c r="A933" s="10" t="s">
        <v>6406</v>
      </c>
      <c r="B933" s="10" t="s">
        <v>4410</v>
      </c>
      <c r="C933" s="11" t="s">
        <v>6054</v>
      </c>
      <c r="D933" s="13" t="s">
        <v>184</v>
      </c>
      <c r="E933" s="6" t="s">
        <v>6370</v>
      </c>
      <c r="F933" s="17" t="s">
        <v>6411</v>
      </c>
      <c r="G933" s="17"/>
      <c r="H933" s="17" t="s">
        <v>35</v>
      </c>
      <c r="I933" s="6" t="s">
        <v>35</v>
      </c>
      <c r="J933" s="17" t="s">
        <v>36</v>
      </c>
      <c r="K933" s="17" t="s">
        <v>6411</v>
      </c>
      <c r="L933" s="18" t="str">
        <f t="shared" si="14"/>
        <v>0932</v>
      </c>
      <c r="M933" s="18" t="s">
        <v>38</v>
      </c>
      <c r="N933" s="19" t="s">
        <v>6054</v>
      </c>
      <c r="O933" s="22" t="s">
        <v>6277</v>
      </c>
    </row>
    <row r="934" spans="1:15" ht="15.75" customHeight="1">
      <c r="A934" s="10" t="s">
        <v>6412</v>
      </c>
      <c r="B934" s="10" t="s">
        <v>4410</v>
      </c>
      <c r="C934" s="11" t="s">
        <v>6054</v>
      </c>
      <c r="D934" s="13" t="s">
        <v>184</v>
      </c>
      <c r="E934" s="6" t="s">
        <v>6370</v>
      </c>
      <c r="F934" s="17" t="s">
        <v>6417</v>
      </c>
      <c r="G934" s="17"/>
      <c r="H934" s="17" t="s">
        <v>35</v>
      </c>
      <c r="I934" s="6" t="s">
        <v>35</v>
      </c>
      <c r="J934" s="17" t="s">
        <v>36</v>
      </c>
      <c r="K934" s="17" t="s">
        <v>6417</v>
      </c>
      <c r="L934" s="18" t="str">
        <f t="shared" si="14"/>
        <v>0933</v>
      </c>
      <c r="M934" s="18" t="s">
        <v>38</v>
      </c>
      <c r="N934" s="19" t="s">
        <v>6054</v>
      </c>
      <c r="O934" s="22" t="s">
        <v>6277</v>
      </c>
    </row>
    <row r="935" spans="1:15" ht="15.75" customHeight="1">
      <c r="A935" s="10" t="s">
        <v>6418</v>
      </c>
      <c r="B935" s="10" t="s">
        <v>4410</v>
      </c>
      <c r="C935" s="11" t="s">
        <v>6054</v>
      </c>
      <c r="D935" s="13" t="s">
        <v>184</v>
      </c>
      <c r="E935" s="6" t="s">
        <v>6370</v>
      </c>
      <c r="F935" s="17" t="s">
        <v>6423</v>
      </c>
      <c r="G935" s="17"/>
      <c r="H935" s="17" t="s">
        <v>35</v>
      </c>
      <c r="I935" s="6" t="s">
        <v>35</v>
      </c>
      <c r="J935" s="17" t="s">
        <v>36</v>
      </c>
      <c r="K935" s="17" t="s">
        <v>6423</v>
      </c>
      <c r="L935" s="18" t="str">
        <f t="shared" si="14"/>
        <v>0934</v>
      </c>
      <c r="M935" s="18" t="s">
        <v>38</v>
      </c>
      <c r="N935" s="19" t="s">
        <v>6054</v>
      </c>
      <c r="O935" s="22" t="s">
        <v>6277</v>
      </c>
    </row>
    <row r="936" spans="1:15" ht="15.75" customHeight="1">
      <c r="A936" s="10" t="s">
        <v>6424</v>
      </c>
      <c r="B936" s="10" t="s">
        <v>4410</v>
      </c>
      <c r="C936" s="11" t="s">
        <v>6054</v>
      </c>
      <c r="D936" s="13" t="s">
        <v>184</v>
      </c>
      <c r="E936" s="6" t="s">
        <v>6370</v>
      </c>
      <c r="F936" s="17" t="s">
        <v>6429</v>
      </c>
      <c r="G936" s="17"/>
      <c r="H936" s="17" t="s">
        <v>35</v>
      </c>
      <c r="I936" s="6" t="s">
        <v>35</v>
      </c>
      <c r="J936" s="17" t="s">
        <v>36</v>
      </c>
      <c r="K936" s="17" t="s">
        <v>6429</v>
      </c>
      <c r="L936" s="18" t="str">
        <f t="shared" si="14"/>
        <v>0935</v>
      </c>
      <c r="M936" s="18" t="s">
        <v>38</v>
      </c>
      <c r="N936" s="19" t="s">
        <v>6054</v>
      </c>
      <c r="O936" s="22" t="s">
        <v>6277</v>
      </c>
    </row>
    <row r="937" spans="1:15" ht="15.75" customHeight="1">
      <c r="A937" s="10" t="s">
        <v>6430</v>
      </c>
      <c r="B937" s="10" t="s">
        <v>4410</v>
      </c>
      <c r="C937" s="11" t="s">
        <v>6054</v>
      </c>
      <c r="D937" s="13" t="s">
        <v>184</v>
      </c>
      <c r="E937" s="6" t="s">
        <v>6370</v>
      </c>
      <c r="F937" s="17" t="s">
        <v>6435</v>
      </c>
      <c r="G937" s="17"/>
      <c r="H937" s="17" t="s">
        <v>35</v>
      </c>
      <c r="I937" s="6" t="s">
        <v>35</v>
      </c>
      <c r="J937" s="17" t="s">
        <v>36</v>
      </c>
      <c r="K937" s="17" t="s">
        <v>6435</v>
      </c>
      <c r="L937" s="18" t="str">
        <f t="shared" si="14"/>
        <v>0936</v>
      </c>
      <c r="M937" s="18" t="s">
        <v>38</v>
      </c>
      <c r="N937" s="19" t="s">
        <v>6054</v>
      </c>
      <c r="O937" s="22" t="s">
        <v>6277</v>
      </c>
    </row>
    <row r="938" spans="1:15" ht="15.75" customHeight="1">
      <c r="A938" s="10" t="s">
        <v>6436</v>
      </c>
      <c r="B938" s="10" t="s">
        <v>4410</v>
      </c>
      <c r="C938" s="11" t="s">
        <v>6054</v>
      </c>
      <c r="D938" s="13" t="s">
        <v>184</v>
      </c>
      <c r="E938" s="6" t="s">
        <v>6370</v>
      </c>
      <c r="F938" s="17" t="s">
        <v>6441</v>
      </c>
      <c r="G938" s="17"/>
      <c r="H938" s="17" t="s">
        <v>35</v>
      </c>
      <c r="I938" s="6" t="s">
        <v>35</v>
      </c>
      <c r="J938" s="17" t="s">
        <v>36</v>
      </c>
      <c r="K938" s="17" t="s">
        <v>6441</v>
      </c>
      <c r="L938" s="18" t="str">
        <f t="shared" si="14"/>
        <v>0937</v>
      </c>
      <c r="M938" s="18" t="s">
        <v>38</v>
      </c>
      <c r="N938" s="19" t="s">
        <v>6054</v>
      </c>
      <c r="O938" s="22" t="s">
        <v>6277</v>
      </c>
    </row>
    <row r="939" spans="1:15" ht="15.75" customHeight="1">
      <c r="A939" s="10" t="s">
        <v>6442</v>
      </c>
      <c r="B939" s="10" t="s">
        <v>4410</v>
      </c>
      <c r="C939" s="11" t="s">
        <v>6054</v>
      </c>
      <c r="D939" s="13" t="s">
        <v>93</v>
      </c>
      <c r="E939" s="6" t="s">
        <v>6443</v>
      </c>
      <c r="F939" s="17" t="s">
        <v>6448</v>
      </c>
      <c r="G939" s="17"/>
      <c r="H939" s="17" t="s">
        <v>35</v>
      </c>
      <c r="I939" s="6" t="s">
        <v>35</v>
      </c>
      <c r="J939" s="17" t="s">
        <v>36</v>
      </c>
      <c r="K939" s="17" t="s">
        <v>6448</v>
      </c>
      <c r="L939" s="18" t="str">
        <f t="shared" si="14"/>
        <v>0938</v>
      </c>
      <c r="M939" s="18" t="s">
        <v>38</v>
      </c>
      <c r="N939" s="19" t="s">
        <v>6054</v>
      </c>
      <c r="O939" s="22" t="s">
        <v>6277</v>
      </c>
    </row>
    <row r="940" spans="1:15" ht="15.75" customHeight="1">
      <c r="A940" s="10" t="s">
        <v>6449</v>
      </c>
      <c r="B940" s="10" t="s">
        <v>4410</v>
      </c>
      <c r="C940" s="11" t="s">
        <v>6054</v>
      </c>
      <c r="D940" s="13" t="s">
        <v>93</v>
      </c>
      <c r="E940" s="6" t="s">
        <v>6450</v>
      </c>
      <c r="F940" s="17" t="s">
        <v>6455</v>
      </c>
      <c r="G940" s="17"/>
      <c r="H940" s="17" t="s">
        <v>35</v>
      </c>
      <c r="I940" s="6" t="s">
        <v>35</v>
      </c>
      <c r="J940" s="17" t="s">
        <v>36</v>
      </c>
      <c r="K940" s="17" t="s">
        <v>6455</v>
      </c>
      <c r="L940" s="18" t="str">
        <f t="shared" si="14"/>
        <v>0939</v>
      </c>
      <c r="M940" s="18" t="s">
        <v>38</v>
      </c>
      <c r="N940" s="19" t="s">
        <v>6054</v>
      </c>
      <c r="O940" s="22" t="s">
        <v>6277</v>
      </c>
    </row>
    <row r="941" spans="1:15" ht="15.75" customHeight="1">
      <c r="A941" s="10" t="s">
        <v>6456</v>
      </c>
      <c r="B941" s="10" t="s">
        <v>4410</v>
      </c>
      <c r="C941" s="11" t="s">
        <v>6054</v>
      </c>
      <c r="D941" s="13" t="s">
        <v>93</v>
      </c>
      <c r="E941" s="6" t="s">
        <v>6450</v>
      </c>
      <c r="F941" s="17" t="s">
        <v>6461</v>
      </c>
      <c r="G941" s="17"/>
      <c r="H941" s="17" t="s">
        <v>35</v>
      </c>
      <c r="I941" s="6" t="s">
        <v>35</v>
      </c>
      <c r="J941" s="17" t="s">
        <v>36</v>
      </c>
      <c r="K941" s="17" t="s">
        <v>6461</v>
      </c>
      <c r="L941" s="18" t="str">
        <f t="shared" si="14"/>
        <v>0940</v>
      </c>
      <c r="M941" s="18" t="s">
        <v>38</v>
      </c>
      <c r="N941" s="19" t="s">
        <v>6054</v>
      </c>
      <c r="O941" s="22" t="s">
        <v>6277</v>
      </c>
    </row>
    <row r="942" spans="1:15" ht="15.75" customHeight="1">
      <c r="A942" s="10" t="s">
        <v>6462</v>
      </c>
      <c r="B942" s="10" t="s">
        <v>4410</v>
      </c>
      <c r="C942" s="11" t="s">
        <v>6054</v>
      </c>
      <c r="D942" s="13" t="s">
        <v>93</v>
      </c>
      <c r="E942" s="6" t="s">
        <v>6443</v>
      </c>
      <c r="F942" s="17" t="s">
        <v>6467</v>
      </c>
      <c r="G942" s="17"/>
      <c r="H942" s="17" t="s">
        <v>35</v>
      </c>
      <c r="I942" s="6" t="s">
        <v>35</v>
      </c>
      <c r="J942" s="17" t="s">
        <v>36</v>
      </c>
      <c r="K942" s="17" t="s">
        <v>6467</v>
      </c>
      <c r="L942" s="18" t="str">
        <f t="shared" si="14"/>
        <v>0941</v>
      </c>
      <c r="M942" s="18" t="s">
        <v>38</v>
      </c>
      <c r="N942" s="19" t="s">
        <v>6054</v>
      </c>
      <c r="O942" s="22" t="s">
        <v>6277</v>
      </c>
    </row>
    <row r="943" spans="1:15" ht="15.75" customHeight="1">
      <c r="A943" s="10" t="s">
        <v>6468</v>
      </c>
      <c r="B943" s="10" t="s">
        <v>4410</v>
      </c>
      <c r="C943" s="11" t="s">
        <v>6054</v>
      </c>
      <c r="D943" s="13" t="s">
        <v>93</v>
      </c>
      <c r="E943" s="6" t="s">
        <v>6450</v>
      </c>
      <c r="F943" s="17" t="s">
        <v>6473</v>
      </c>
      <c r="G943" s="17"/>
      <c r="H943" s="17" t="s">
        <v>35</v>
      </c>
      <c r="I943" s="6" t="s">
        <v>35</v>
      </c>
      <c r="J943" s="17" t="s">
        <v>36</v>
      </c>
      <c r="K943" s="17" t="s">
        <v>6473</v>
      </c>
      <c r="L943" s="18" t="str">
        <f t="shared" si="14"/>
        <v>0942</v>
      </c>
      <c r="M943" s="18" t="s">
        <v>38</v>
      </c>
      <c r="N943" s="19" t="s">
        <v>6054</v>
      </c>
      <c r="O943" s="22" t="s">
        <v>6277</v>
      </c>
    </row>
    <row r="944" spans="1:15" ht="15.75" customHeight="1">
      <c r="A944" s="10" t="s">
        <v>6474</v>
      </c>
      <c r="B944" s="10" t="s">
        <v>4410</v>
      </c>
      <c r="C944" s="11" t="s">
        <v>6054</v>
      </c>
      <c r="D944" s="13" t="s">
        <v>93</v>
      </c>
      <c r="E944" s="6" t="s">
        <v>6450</v>
      </c>
      <c r="F944" s="17" t="s">
        <v>6479</v>
      </c>
      <c r="G944" s="17"/>
      <c r="H944" s="17" t="s">
        <v>35</v>
      </c>
      <c r="I944" s="6" t="s">
        <v>35</v>
      </c>
      <c r="J944" s="17" t="s">
        <v>36</v>
      </c>
      <c r="K944" s="17" t="s">
        <v>6479</v>
      </c>
      <c r="L944" s="18" t="str">
        <f t="shared" si="14"/>
        <v>0943</v>
      </c>
      <c r="M944" s="18" t="s">
        <v>38</v>
      </c>
      <c r="N944" s="19" t="s">
        <v>6054</v>
      </c>
      <c r="O944" s="22" t="s">
        <v>6277</v>
      </c>
    </row>
    <row r="945" spans="1:15" ht="15.75" customHeight="1">
      <c r="A945" s="10" t="s">
        <v>6480</v>
      </c>
      <c r="B945" s="10" t="s">
        <v>27</v>
      </c>
      <c r="C945" s="60" t="s">
        <v>868</v>
      </c>
      <c r="D945" s="13" t="s">
        <v>116</v>
      </c>
      <c r="E945" s="6" t="s">
        <v>920</v>
      </c>
      <c r="F945" s="17" t="s">
        <v>6485</v>
      </c>
      <c r="G945" s="17"/>
      <c r="H945" s="17" t="s">
        <v>35</v>
      </c>
      <c r="I945" s="6" t="s">
        <v>35</v>
      </c>
      <c r="J945" s="17" t="s">
        <v>36</v>
      </c>
      <c r="K945" s="17" t="s">
        <v>6485</v>
      </c>
      <c r="L945" s="18" t="str">
        <f t="shared" si="14"/>
        <v>0944</v>
      </c>
      <c r="M945" s="18" t="s">
        <v>38</v>
      </c>
      <c r="N945" s="19" t="s">
        <v>875</v>
      </c>
      <c r="O945" s="20" t="s">
        <v>876</v>
      </c>
    </row>
    <row r="946" spans="1:15" ht="15.75" customHeight="1">
      <c r="A946" s="10" t="s">
        <v>6486</v>
      </c>
      <c r="B946" s="10" t="s">
        <v>4410</v>
      </c>
      <c r="C946" s="11" t="s">
        <v>6054</v>
      </c>
      <c r="D946" s="13" t="s">
        <v>93</v>
      </c>
      <c r="E946" s="6" t="s">
        <v>6487</v>
      </c>
      <c r="F946" s="17" t="s">
        <v>6492</v>
      </c>
      <c r="G946" s="17"/>
      <c r="H946" s="17" t="s">
        <v>35</v>
      </c>
      <c r="I946" s="6" t="s">
        <v>35</v>
      </c>
      <c r="J946" s="17" t="s">
        <v>36</v>
      </c>
      <c r="K946" s="17" t="s">
        <v>6492</v>
      </c>
      <c r="L946" s="18" t="str">
        <f t="shared" si="14"/>
        <v>0945</v>
      </c>
      <c r="M946" s="18" t="s">
        <v>38</v>
      </c>
      <c r="N946" s="19" t="s">
        <v>6054</v>
      </c>
      <c r="O946" s="22" t="s">
        <v>6277</v>
      </c>
    </row>
    <row r="947" spans="1:15" ht="15.75" customHeight="1">
      <c r="A947" s="10" t="s">
        <v>6493</v>
      </c>
      <c r="B947" s="10" t="s">
        <v>4410</v>
      </c>
      <c r="C947" s="11" t="s">
        <v>6054</v>
      </c>
      <c r="D947" s="13" t="s">
        <v>1199</v>
      </c>
      <c r="E947" s="43" t="s">
        <v>1199</v>
      </c>
      <c r="F947" s="17" t="s">
        <v>6500</v>
      </c>
      <c r="G947" s="17"/>
      <c r="H947" s="17" t="s">
        <v>205</v>
      </c>
      <c r="I947" s="6" t="s">
        <v>6498</v>
      </c>
      <c r="J947" s="35" t="s">
        <v>6499</v>
      </c>
      <c r="K947" s="17" t="s">
        <v>6500</v>
      </c>
      <c r="L947" s="18" t="str">
        <f t="shared" si="14"/>
        <v>0946</v>
      </c>
      <c r="M947" s="18" t="s">
        <v>38</v>
      </c>
      <c r="N947" s="19" t="s">
        <v>6054</v>
      </c>
      <c r="O947" s="22" t="s">
        <v>6277</v>
      </c>
    </row>
    <row r="948" spans="1:15" ht="15.75" customHeight="1">
      <c r="A948" s="10" t="s">
        <v>6501</v>
      </c>
      <c r="B948" s="10" t="s">
        <v>1469</v>
      </c>
      <c r="C948" s="61" t="s">
        <v>1470</v>
      </c>
      <c r="D948" s="13" t="s">
        <v>248</v>
      </c>
      <c r="E948" s="6" t="s">
        <v>248</v>
      </c>
      <c r="F948" s="10" t="s">
        <v>6509</v>
      </c>
      <c r="G948" s="17"/>
      <c r="H948" s="17" t="s">
        <v>6506</v>
      </c>
      <c r="I948" s="6" t="s">
        <v>6507</v>
      </c>
      <c r="J948" s="6" t="s">
        <v>6508</v>
      </c>
      <c r="K948" s="10" t="s">
        <v>6509</v>
      </c>
      <c r="L948" s="18" t="str">
        <f t="shared" si="14"/>
        <v>0947</v>
      </c>
      <c r="M948" s="18" t="s">
        <v>38</v>
      </c>
      <c r="N948" s="61" t="s">
        <v>1483</v>
      </c>
      <c r="O948" s="20" t="s">
        <v>1484</v>
      </c>
    </row>
    <row r="949" spans="1:15" ht="15.75" customHeight="1">
      <c r="A949" s="10" t="s">
        <v>6510</v>
      </c>
      <c r="B949" s="10" t="s">
        <v>4410</v>
      </c>
      <c r="C949" s="61" t="s">
        <v>6054</v>
      </c>
      <c r="D949" s="13" t="s">
        <v>162</v>
      </c>
      <c r="E949" s="6" t="s">
        <v>285</v>
      </c>
      <c r="F949" s="10" t="s">
        <v>6516</v>
      </c>
      <c r="G949" s="17"/>
      <c r="H949" s="17" t="s">
        <v>168</v>
      </c>
      <c r="I949" s="6" t="s">
        <v>169</v>
      </c>
      <c r="J949" s="35" t="s">
        <v>6515</v>
      </c>
      <c r="K949" s="10" t="s">
        <v>6516</v>
      </c>
      <c r="L949" s="18" t="str">
        <f t="shared" si="14"/>
        <v>0948</v>
      </c>
      <c r="M949" s="18" t="s">
        <v>38</v>
      </c>
      <c r="N949" s="19" t="s">
        <v>6054</v>
      </c>
      <c r="O949" s="22" t="s">
        <v>6277</v>
      </c>
    </row>
    <row r="950" spans="1:15" ht="15.75" customHeight="1">
      <c r="A950" s="10" t="s">
        <v>6517</v>
      </c>
      <c r="B950" s="10" t="s">
        <v>4410</v>
      </c>
      <c r="C950" s="61" t="s">
        <v>6054</v>
      </c>
      <c r="D950" s="13" t="s">
        <v>378</v>
      </c>
      <c r="E950" s="6" t="s">
        <v>379</v>
      </c>
      <c r="F950" s="17" t="s">
        <v>6522</v>
      </c>
      <c r="G950" s="17"/>
      <c r="H950" s="17" t="s">
        <v>35</v>
      </c>
      <c r="I950" s="6" t="s">
        <v>35</v>
      </c>
      <c r="J950" s="6" t="s">
        <v>36</v>
      </c>
      <c r="K950" s="17" t="s">
        <v>6522</v>
      </c>
      <c r="L950" s="18" t="str">
        <f t="shared" si="14"/>
        <v>0949</v>
      </c>
      <c r="M950" s="18" t="s">
        <v>3282</v>
      </c>
      <c r="N950" s="19" t="s">
        <v>6054</v>
      </c>
      <c r="O950" s="22" t="s">
        <v>6277</v>
      </c>
    </row>
    <row r="951" spans="1:15" ht="15.75" customHeight="1">
      <c r="A951" s="10" t="s">
        <v>6523</v>
      </c>
      <c r="B951" s="10" t="s">
        <v>4410</v>
      </c>
      <c r="C951" s="61" t="s">
        <v>6054</v>
      </c>
      <c r="D951" s="13" t="s">
        <v>199</v>
      </c>
      <c r="E951" s="43" t="s">
        <v>1394</v>
      </c>
      <c r="F951" s="10" t="s">
        <v>6530</v>
      </c>
      <c r="G951" s="17"/>
      <c r="H951" s="17" t="s">
        <v>157</v>
      </c>
      <c r="I951" s="6" t="s">
        <v>6528</v>
      </c>
      <c r="J951" s="17" t="s">
        <v>6529</v>
      </c>
      <c r="K951" s="10" t="s">
        <v>6530</v>
      </c>
      <c r="L951" s="18" t="str">
        <f t="shared" si="14"/>
        <v>0950</v>
      </c>
      <c r="M951" s="18" t="s">
        <v>38</v>
      </c>
      <c r="N951" s="19" t="s">
        <v>6054</v>
      </c>
      <c r="O951" s="22" t="s">
        <v>6277</v>
      </c>
    </row>
    <row r="952" spans="1:15" ht="15.75" customHeight="1">
      <c r="A952" s="10" t="s">
        <v>6531</v>
      </c>
      <c r="B952" s="10" t="s">
        <v>4410</v>
      </c>
      <c r="C952" s="61" t="s">
        <v>6054</v>
      </c>
      <c r="D952" s="13" t="s">
        <v>151</v>
      </c>
      <c r="E952" s="6" t="s">
        <v>963</v>
      </c>
      <c r="F952" s="17" t="s">
        <v>6538</v>
      </c>
      <c r="G952" s="17"/>
      <c r="H952" s="17" t="s">
        <v>703</v>
      </c>
      <c r="I952" s="6" t="s">
        <v>6536</v>
      </c>
      <c r="J952" s="46" t="s">
        <v>6537</v>
      </c>
      <c r="K952" s="17" t="s">
        <v>6538</v>
      </c>
      <c r="L952" s="18" t="str">
        <f t="shared" si="14"/>
        <v>0951</v>
      </c>
      <c r="M952" s="18" t="s">
        <v>38</v>
      </c>
      <c r="N952" s="19" t="s">
        <v>6054</v>
      </c>
      <c r="O952" s="22" t="s">
        <v>6277</v>
      </c>
    </row>
    <row r="953" spans="1:15" ht="15.75" customHeight="1">
      <c r="A953" s="10" t="s">
        <v>6539</v>
      </c>
      <c r="B953" s="10" t="s">
        <v>4410</v>
      </c>
      <c r="C953" s="61" t="s">
        <v>6054</v>
      </c>
      <c r="D953" s="13" t="s">
        <v>116</v>
      </c>
      <c r="E953" s="6" t="s">
        <v>6540</v>
      </c>
      <c r="F953" s="158" t="s">
        <v>1426</v>
      </c>
      <c r="G953" s="17"/>
      <c r="H953" s="17" t="s">
        <v>35</v>
      </c>
      <c r="I953" s="6" t="s">
        <v>35</v>
      </c>
      <c r="J953" s="17" t="s">
        <v>36</v>
      </c>
      <c r="K953" s="158" t="s">
        <v>1426</v>
      </c>
      <c r="L953" s="18" t="str">
        <f t="shared" si="14"/>
        <v>0952</v>
      </c>
      <c r="M953" s="18" t="s">
        <v>38</v>
      </c>
      <c r="N953" s="19" t="s">
        <v>6054</v>
      </c>
      <c r="O953" s="20" t="s">
        <v>6545</v>
      </c>
    </row>
    <row r="954" spans="1:15" ht="15.75" customHeight="1">
      <c r="A954" s="10" t="s">
        <v>6547</v>
      </c>
      <c r="B954" s="10" t="s">
        <v>27</v>
      </c>
      <c r="C954" s="61" t="s">
        <v>28</v>
      </c>
      <c r="D954" s="13" t="s">
        <v>43</v>
      </c>
      <c r="E954" s="43" t="s">
        <v>2581</v>
      </c>
      <c r="F954" s="17" t="s">
        <v>6552</v>
      </c>
      <c r="G954" s="17"/>
      <c r="H954" s="17" t="s">
        <v>49</v>
      </c>
      <c r="I954" s="6" t="s">
        <v>35</v>
      </c>
      <c r="J954" s="17" t="s">
        <v>36</v>
      </c>
      <c r="K954" s="17" t="s">
        <v>6552</v>
      </c>
      <c r="L954" s="18" t="str">
        <f t="shared" si="14"/>
        <v>0953</v>
      </c>
      <c r="M954" s="83" t="s">
        <v>2309</v>
      </c>
      <c r="N954" s="19" t="s">
        <v>147</v>
      </c>
      <c r="O954" s="20" t="s">
        <v>385</v>
      </c>
    </row>
    <row r="955" spans="1:15" ht="15.75" customHeight="1">
      <c r="A955" s="10" t="s">
        <v>6553</v>
      </c>
      <c r="B955" s="10" t="s">
        <v>4410</v>
      </c>
      <c r="C955" s="61" t="s">
        <v>6054</v>
      </c>
      <c r="D955" s="13" t="s">
        <v>378</v>
      </c>
      <c r="E955" s="6" t="s">
        <v>6554</v>
      </c>
      <c r="F955" s="17" t="s">
        <v>6559</v>
      </c>
      <c r="G955" s="17"/>
      <c r="H955" s="17" t="s">
        <v>35</v>
      </c>
      <c r="I955" s="6" t="s">
        <v>35</v>
      </c>
      <c r="J955" s="17" t="s">
        <v>36</v>
      </c>
      <c r="K955" s="17" t="s">
        <v>6559</v>
      </c>
      <c r="L955" s="18" t="str">
        <f t="shared" si="14"/>
        <v>0954</v>
      </c>
      <c r="M955" s="18" t="s">
        <v>38</v>
      </c>
      <c r="N955" s="19" t="s">
        <v>6054</v>
      </c>
      <c r="O955" s="20" t="s">
        <v>6545</v>
      </c>
    </row>
    <row r="956" spans="1:15" ht="15.75" customHeight="1">
      <c r="A956" s="10" t="s">
        <v>6560</v>
      </c>
      <c r="B956" s="10" t="s">
        <v>4410</v>
      </c>
      <c r="C956" s="61" t="s">
        <v>6054</v>
      </c>
      <c r="D956" s="13" t="s">
        <v>353</v>
      </c>
      <c r="E956" s="43" t="s">
        <v>638</v>
      </c>
      <c r="F956" s="10" t="s">
        <v>6568</v>
      </c>
      <c r="G956" s="17"/>
      <c r="H956" s="17" t="s">
        <v>6565</v>
      </c>
      <c r="I956" s="6" t="s">
        <v>6566</v>
      </c>
      <c r="J956" s="6" t="s">
        <v>6567</v>
      </c>
      <c r="K956" s="10" t="s">
        <v>6568</v>
      </c>
      <c r="L956" s="18" t="str">
        <f t="shared" si="14"/>
        <v>0955</v>
      </c>
      <c r="M956" s="18" t="s">
        <v>38</v>
      </c>
      <c r="N956" s="19" t="s">
        <v>6054</v>
      </c>
      <c r="O956" s="20" t="s">
        <v>6545</v>
      </c>
    </row>
    <row r="957" spans="1:15" ht="15.75" customHeight="1">
      <c r="A957" s="10" t="s">
        <v>6569</v>
      </c>
      <c r="B957" s="10" t="s">
        <v>4410</v>
      </c>
      <c r="C957" s="61" t="s">
        <v>6054</v>
      </c>
      <c r="D957" s="13" t="s">
        <v>151</v>
      </c>
      <c r="E957" s="6" t="s">
        <v>6570</v>
      </c>
      <c r="F957" s="10" t="s">
        <v>6578</v>
      </c>
      <c r="G957" s="17"/>
      <c r="H957" s="17" t="s">
        <v>6575</v>
      </c>
      <c r="I957" s="6" t="s">
        <v>6576</v>
      </c>
      <c r="J957" s="17" t="s">
        <v>6577</v>
      </c>
      <c r="K957" s="10" t="s">
        <v>6578</v>
      </c>
      <c r="L957" s="18" t="str">
        <f t="shared" si="14"/>
        <v>0956</v>
      </c>
      <c r="M957" s="18" t="s">
        <v>38</v>
      </c>
      <c r="N957" s="19" t="s">
        <v>6054</v>
      </c>
      <c r="O957" s="20" t="s">
        <v>6545</v>
      </c>
    </row>
    <row r="958" spans="1:15" ht="15.75" customHeight="1">
      <c r="A958" s="10" t="s">
        <v>6579</v>
      </c>
      <c r="B958" s="10" t="s">
        <v>4410</v>
      </c>
      <c r="C958" s="61" t="s">
        <v>6054</v>
      </c>
      <c r="D958" s="13" t="s">
        <v>199</v>
      </c>
      <c r="E958" s="6" t="s">
        <v>199</v>
      </c>
      <c r="F958" s="17" t="s">
        <v>6585</v>
      </c>
      <c r="G958" s="17"/>
      <c r="H958" s="17" t="s">
        <v>205</v>
      </c>
      <c r="I958" s="6" t="s">
        <v>794</v>
      </c>
      <c r="J958" s="46" t="s">
        <v>6584</v>
      </c>
      <c r="K958" s="17" t="s">
        <v>6585</v>
      </c>
      <c r="L958" s="18" t="str">
        <f t="shared" si="14"/>
        <v>0957</v>
      </c>
      <c r="M958" s="18" t="s">
        <v>38</v>
      </c>
      <c r="N958" s="19" t="s">
        <v>6054</v>
      </c>
      <c r="O958" s="20" t="s">
        <v>6545</v>
      </c>
    </row>
    <row r="959" spans="1:15" ht="15.75" customHeight="1">
      <c r="A959" s="10" t="s">
        <v>6586</v>
      </c>
      <c r="B959" s="10" t="s">
        <v>4410</v>
      </c>
      <c r="C959" s="61" t="s">
        <v>6054</v>
      </c>
      <c r="D959" s="13" t="s">
        <v>5904</v>
      </c>
      <c r="E959" s="6" t="s">
        <v>6587</v>
      </c>
      <c r="F959" s="10" t="s">
        <v>6593</v>
      </c>
      <c r="G959" s="17"/>
      <c r="H959" s="17" t="s">
        <v>5918</v>
      </c>
      <c r="I959" s="6" t="s">
        <v>6592</v>
      </c>
      <c r="J959" s="17" t="s">
        <v>36</v>
      </c>
      <c r="K959" s="10" t="s">
        <v>6593</v>
      </c>
      <c r="L959" s="18" t="str">
        <f t="shared" si="14"/>
        <v>0958</v>
      </c>
      <c r="M959" s="18" t="s">
        <v>38</v>
      </c>
      <c r="N959" s="19" t="s">
        <v>6054</v>
      </c>
      <c r="O959" s="22" t="s">
        <v>6594</v>
      </c>
    </row>
    <row r="960" spans="1:15" ht="15.75" customHeight="1">
      <c r="A960" s="10" t="s">
        <v>6595</v>
      </c>
      <c r="B960" s="10" t="s">
        <v>4410</v>
      </c>
      <c r="C960" s="61" t="s">
        <v>6054</v>
      </c>
      <c r="D960" s="13" t="s">
        <v>80</v>
      </c>
      <c r="E960" s="6" t="s">
        <v>6596</v>
      </c>
      <c r="F960" s="17" t="s">
        <v>6601</v>
      </c>
      <c r="G960" s="17"/>
      <c r="H960" s="17" t="s">
        <v>35</v>
      </c>
      <c r="I960" s="6" t="s">
        <v>35</v>
      </c>
      <c r="J960" s="17" t="s">
        <v>36</v>
      </c>
      <c r="K960" s="17" t="s">
        <v>6601</v>
      </c>
      <c r="L960" s="18" t="str">
        <f t="shared" si="14"/>
        <v>0959</v>
      </c>
      <c r="M960" s="18" t="s">
        <v>38</v>
      </c>
      <c r="N960" s="19" t="s">
        <v>6054</v>
      </c>
      <c r="O960" s="22" t="s">
        <v>6594</v>
      </c>
    </row>
    <row r="961" spans="1:15" ht="15.75" customHeight="1">
      <c r="A961" s="10" t="s">
        <v>6602</v>
      </c>
      <c r="B961" s="10" t="s">
        <v>4410</v>
      </c>
      <c r="C961" s="61" t="s">
        <v>6054</v>
      </c>
      <c r="D961" s="13" t="s">
        <v>378</v>
      </c>
      <c r="E961" s="6" t="s">
        <v>878</v>
      </c>
      <c r="F961" s="17" t="s">
        <v>6606</v>
      </c>
      <c r="G961" s="17"/>
      <c r="H961" s="17" t="s">
        <v>35</v>
      </c>
      <c r="I961" s="32" t="s">
        <v>35</v>
      </c>
      <c r="J961" s="17" t="s">
        <v>36</v>
      </c>
      <c r="K961" s="17" t="s">
        <v>6606</v>
      </c>
      <c r="L961" s="18" t="str">
        <f t="shared" si="14"/>
        <v>0960</v>
      </c>
      <c r="M961" s="18" t="s">
        <v>38</v>
      </c>
      <c r="N961" s="19" t="s">
        <v>6054</v>
      </c>
      <c r="O961" s="22" t="s">
        <v>6594</v>
      </c>
    </row>
    <row r="962" spans="1:15" ht="15.75" customHeight="1">
      <c r="A962" s="10" t="s">
        <v>6607</v>
      </c>
      <c r="B962" s="10" t="s">
        <v>4410</v>
      </c>
      <c r="C962" s="61" t="s">
        <v>6054</v>
      </c>
      <c r="D962" s="13" t="s">
        <v>5778</v>
      </c>
      <c r="E962" s="43" t="s">
        <v>6608</v>
      </c>
      <c r="F962" s="10" t="s">
        <v>6615</v>
      </c>
      <c r="G962" s="17"/>
      <c r="H962" s="17" t="s">
        <v>4035</v>
      </c>
      <c r="I962" s="6" t="s">
        <v>6613</v>
      </c>
      <c r="J962" s="17" t="s">
        <v>6614</v>
      </c>
      <c r="K962" s="10" t="s">
        <v>6615</v>
      </c>
      <c r="L962" s="18" t="str">
        <f t="shared" ref="L962:L1025" si="15">A962</f>
        <v>0961</v>
      </c>
      <c r="M962" s="18" t="s">
        <v>38</v>
      </c>
      <c r="N962" s="19" t="s">
        <v>6054</v>
      </c>
      <c r="O962" s="22" t="s">
        <v>6594</v>
      </c>
    </row>
    <row r="963" spans="1:15" ht="15.75" customHeight="1">
      <c r="A963" s="10" t="s">
        <v>6616</v>
      </c>
      <c r="B963" s="10" t="s">
        <v>4410</v>
      </c>
      <c r="C963" s="61" t="s">
        <v>6054</v>
      </c>
      <c r="D963" s="13" t="s">
        <v>93</v>
      </c>
      <c r="E963" s="6" t="s">
        <v>6617</v>
      </c>
      <c r="F963" s="35" t="s">
        <v>7327</v>
      </c>
      <c r="G963" s="17"/>
      <c r="H963" s="17" t="s">
        <v>35</v>
      </c>
      <c r="I963" s="6" t="s">
        <v>35</v>
      </c>
      <c r="J963" s="17" t="s">
        <v>36</v>
      </c>
      <c r="K963" s="35" t="s">
        <v>7327</v>
      </c>
      <c r="L963" s="18" t="str">
        <f t="shared" si="15"/>
        <v>0962</v>
      </c>
      <c r="M963" s="18" t="s">
        <v>38</v>
      </c>
      <c r="N963" s="19" t="s">
        <v>6054</v>
      </c>
      <c r="O963" s="22" t="s">
        <v>6594</v>
      </c>
    </row>
    <row r="964" spans="1:15" ht="15.75" customHeight="1">
      <c r="A964" s="10" t="s">
        <v>6623</v>
      </c>
      <c r="B964" s="10" t="s">
        <v>4410</v>
      </c>
      <c r="C964" s="61" t="s">
        <v>6054</v>
      </c>
      <c r="D964" s="13" t="s">
        <v>93</v>
      </c>
      <c r="E964" s="6" t="s">
        <v>6617</v>
      </c>
      <c r="F964" s="35" t="s">
        <v>7328</v>
      </c>
      <c r="G964" s="17"/>
      <c r="H964" s="17" t="s">
        <v>35</v>
      </c>
      <c r="I964" s="6" t="s">
        <v>35</v>
      </c>
      <c r="J964" s="17" t="s">
        <v>36</v>
      </c>
      <c r="K964" s="35" t="s">
        <v>7328</v>
      </c>
      <c r="L964" s="18" t="str">
        <f t="shared" si="15"/>
        <v>0963</v>
      </c>
      <c r="M964" s="18" t="s">
        <v>38</v>
      </c>
      <c r="N964" s="19" t="s">
        <v>6054</v>
      </c>
      <c r="O964" s="22" t="s">
        <v>6594</v>
      </c>
    </row>
    <row r="965" spans="1:15" ht="15.75" customHeight="1">
      <c r="A965" s="10" t="s">
        <v>6629</v>
      </c>
      <c r="B965" s="10" t="s">
        <v>4410</v>
      </c>
      <c r="C965" s="61" t="s">
        <v>6054</v>
      </c>
      <c r="D965" s="13" t="s">
        <v>93</v>
      </c>
      <c r="E965" s="6" t="s">
        <v>6630</v>
      </c>
      <c r="F965" s="158" t="s">
        <v>6622</v>
      </c>
      <c r="G965" s="17"/>
      <c r="H965" s="17" t="s">
        <v>35</v>
      </c>
      <c r="I965" s="6" t="s">
        <v>35</v>
      </c>
      <c r="J965" s="17" t="s">
        <v>36</v>
      </c>
      <c r="K965" s="158" t="s">
        <v>6622</v>
      </c>
      <c r="L965" s="18" t="str">
        <f t="shared" si="15"/>
        <v>0964</v>
      </c>
      <c r="M965" s="18" t="s">
        <v>38</v>
      </c>
      <c r="N965" s="19" t="s">
        <v>6054</v>
      </c>
      <c r="O965" s="22" t="s">
        <v>6594</v>
      </c>
    </row>
    <row r="966" spans="1:15" ht="15.75" customHeight="1">
      <c r="A966" s="10" t="s">
        <v>6635</v>
      </c>
      <c r="B966" s="10" t="s">
        <v>4410</v>
      </c>
      <c r="C966" s="61" t="s">
        <v>6054</v>
      </c>
      <c r="D966" s="13" t="s">
        <v>387</v>
      </c>
      <c r="E966" s="43" t="s">
        <v>387</v>
      </c>
      <c r="F966" s="17" t="s">
        <v>6641</v>
      </c>
      <c r="G966" s="17"/>
      <c r="H966" s="17" t="s">
        <v>5597</v>
      </c>
      <c r="I966" s="6" t="s">
        <v>5598</v>
      </c>
      <c r="J966" s="46" t="s">
        <v>6640</v>
      </c>
      <c r="K966" s="17" t="s">
        <v>6641</v>
      </c>
      <c r="L966" s="18" t="str">
        <f t="shared" si="15"/>
        <v>0965</v>
      </c>
      <c r="M966" s="18" t="s">
        <v>3282</v>
      </c>
      <c r="N966" s="19" t="s">
        <v>6054</v>
      </c>
      <c r="O966" s="20" t="s">
        <v>6594</v>
      </c>
    </row>
    <row r="967" spans="1:15" ht="15.75" customHeight="1">
      <c r="A967" s="10" t="s">
        <v>6642</v>
      </c>
      <c r="B967" s="10" t="s">
        <v>4410</v>
      </c>
      <c r="C967" s="61" t="s">
        <v>6054</v>
      </c>
      <c r="D967" s="13" t="s">
        <v>93</v>
      </c>
      <c r="E967" s="6" t="s">
        <v>6146</v>
      </c>
      <c r="F967" s="17" t="s">
        <v>6647</v>
      </c>
      <c r="G967" s="17"/>
      <c r="H967" s="17" t="s">
        <v>35</v>
      </c>
      <c r="I967" s="6" t="s">
        <v>35</v>
      </c>
      <c r="J967" s="17" t="s">
        <v>36</v>
      </c>
      <c r="K967" s="17" t="s">
        <v>6647</v>
      </c>
      <c r="L967" s="18" t="str">
        <f t="shared" si="15"/>
        <v>0966</v>
      </c>
      <c r="M967" s="18" t="s">
        <v>38</v>
      </c>
      <c r="N967" s="19" t="s">
        <v>6054</v>
      </c>
      <c r="O967" s="22" t="s">
        <v>6648</v>
      </c>
    </row>
    <row r="968" spans="1:15" ht="15.75" customHeight="1">
      <c r="A968" s="10" t="s">
        <v>6649</v>
      </c>
      <c r="B968" s="10" t="s">
        <v>4410</v>
      </c>
      <c r="C968" s="61" t="s">
        <v>6054</v>
      </c>
      <c r="D968" s="13" t="s">
        <v>93</v>
      </c>
      <c r="E968" s="6" t="s">
        <v>6146</v>
      </c>
      <c r="F968" s="17" t="s">
        <v>6654</v>
      </c>
      <c r="G968" s="17"/>
      <c r="H968" s="17" t="s">
        <v>35</v>
      </c>
      <c r="I968" s="6" t="s">
        <v>35</v>
      </c>
      <c r="J968" s="17" t="s">
        <v>36</v>
      </c>
      <c r="K968" s="17" t="s">
        <v>6654</v>
      </c>
      <c r="L968" s="18" t="str">
        <f t="shared" si="15"/>
        <v>0967</v>
      </c>
      <c r="M968" s="18" t="s">
        <v>38</v>
      </c>
      <c r="N968" s="19" t="s">
        <v>6054</v>
      </c>
      <c r="O968" s="22" t="s">
        <v>6648</v>
      </c>
    </row>
    <row r="969" spans="1:15" ht="15.75" customHeight="1">
      <c r="A969" s="10" t="s">
        <v>6655</v>
      </c>
      <c r="B969" s="10" t="s">
        <v>4410</v>
      </c>
      <c r="C969" s="61" t="s">
        <v>6054</v>
      </c>
      <c r="D969" s="13" t="s">
        <v>93</v>
      </c>
      <c r="E969" s="6" t="s">
        <v>6656</v>
      </c>
      <c r="F969" s="17" t="s">
        <v>6661</v>
      </c>
      <c r="G969" s="17"/>
      <c r="H969" s="17" t="s">
        <v>35</v>
      </c>
      <c r="I969" s="6" t="s">
        <v>35</v>
      </c>
      <c r="J969" s="17" t="s">
        <v>36</v>
      </c>
      <c r="K969" s="17" t="s">
        <v>6661</v>
      </c>
      <c r="L969" s="18" t="str">
        <f t="shared" si="15"/>
        <v>0968</v>
      </c>
      <c r="M969" s="18" t="s">
        <v>38</v>
      </c>
      <c r="N969" s="19" t="s">
        <v>6054</v>
      </c>
      <c r="O969" s="22" t="s">
        <v>6648</v>
      </c>
    </row>
    <row r="970" spans="1:15" ht="15.75" customHeight="1">
      <c r="A970" s="10" t="s">
        <v>6662</v>
      </c>
      <c r="B970" s="10" t="s">
        <v>4410</v>
      </c>
      <c r="C970" s="61" t="s">
        <v>6054</v>
      </c>
      <c r="D970" s="13" t="s">
        <v>93</v>
      </c>
      <c r="E970" s="6" t="s">
        <v>6663</v>
      </c>
      <c r="F970" s="17" t="s">
        <v>6668</v>
      </c>
      <c r="G970" s="17"/>
      <c r="H970" s="17" t="s">
        <v>35</v>
      </c>
      <c r="I970" s="6" t="s">
        <v>35</v>
      </c>
      <c r="J970" s="17" t="s">
        <v>36</v>
      </c>
      <c r="K970" s="17" t="s">
        <v>6668</v>
      </c>
      <c r="L970" s="18" t="str">
        <f t="shared" si="15"/>
        <v>0969</v>
      </c>
      <c r="M970" s="18" t="s">
        <v>38</v>
      </c>
      <c r="N970" s="19" t="s">
        <v>6054</v>
      </c>
      <c r="O970" s="22" t="s">
        <v>6648</v>
      </c>
    </row>
    <row r="971" spans="1:15" ht="15.75" customHeight="1">
      <c r="A971" s="10" t="s">
        <v>6669</v>
      </c>
      <c r="B971" s="10" t="s">
        <v>4410</v>
      </c>
      <c r="C971" s="61" t="s">
        <v>6054</v>
      </c>
      <c r="D971" s="13" t="s">
        <v>6092</v>
      </c>
      <c r="E971" s="43" t="s">
        <v>6670</v>
      </c>
      <c r="F971" s="17" t="s">
        <v>6675</v>
      </c>
      <c r="G971" s="17"/>
      <c r="H971" s="17" t="s">
        <v>35</v>
      </c>
      <c r="I971" s="6" t="s">
        <v>35</v>
      </c>
      <c r="J971" s="17" t="s">
        <v>36</v>
      </c>
      <c r="K971" s="17" t="s">
        <v>6675</v>
      </c>
      <c r="L971" s="18" t="str">
        <f t="shared" si="15"/>
        <v>0970</v>
      </c>
      <c r="M971" s="18" t="s">
        <v>38</v>
      </c>
      <c r="N971" s="19" t="s">
        <v>6054</v>
      </c>
      <c r="O971" s="22" t="s">
        <v>6648</v>
      </c>
    </row>
    <row r="972" spans="1:15" ht="15.75" customHeight="1">
      <c r="A972" s="10" t="s">
        <v>6676</v>
      </c>
      <c r="B972" s="10" t="s">
        <v>4410</v>
      </c>
      <c r="C972" s="61" t="s">
        <v>6054</v>
      </c>
      <c r="D972" s="13" t="s">
        <v>43</v>
      </c>
      <c r="E972" s="43" t="s">
        <v>4929</v>
      </c>
      <c r="F972" s="17" t="s">
        <v>6683</v>
      </c>
      <c r="G972" s="17"/>
      <c r="H972" s="17" t="s">
        <v>406</v>
      </c>
      <c r="I972" s="6" t="s">
        <v>6681</v>
      </c>
      <c r="J972" s="46" t="s">
        <v>6682</v>
      </c>
      <c r="K972" s="17" t="s">
        <v>6683</v>
      </c>
      <c r="L972" s="18" t="str">
        <f t="shared" si="15"/>
        <v>0971</v>
      </c>
      <c r="M972" s="18" t="s">
        <v>38</v>
      </c>
      <c r="N972" s="19" t="s">
        <v>6054</v>
      </c>
      <c r="O972" s="20" t="s">
        <v>6684</v>
      </c>
    </row>
    <row r="973" spans="1:15" ht="15.75" customHeight="1">
      <c r="A973" s="10" t="s">
        <v>6685</v>
      </c>
      <c r="B973" s="10" t="s">
        <v>4410</v>
      </c>
      <c r="C973" s="61" t="s">
        <v>6054</v>
      </c>
      <c r="D973" s="13" t="s">
        <v>93</v>
      </c>
      <c r="E973" s="6" t="s">
        <v>6686</v>
      </c>
      <c r="F973" s="17" t="s">
        <v>6691</v>
      </c>
      <c r="G973" s="17"/>
      <c r="H973" s="17" t="s">
        <v>35</v>
      </c>
      <c r="I973" s="6" t="s">
        <v>35</v>
      </c>
      <c r="J973" s="17" t="s">
        <v>36</v>
      </c>
      <c r="K973" s="17" t="s">
        <v>6691</v>
      </c>
      <c r="L973" s="18" t="str">
        <f t="shared" si="15"/>
        <v>0972</v>
      </c>
      <c r="M973" s="18" t="s">
        <v>38</v>
      </c>
      <c r="N973" s="19" t="s">
        <v>6054</v>
      </c>
      <c r="O973" s="20" t="s">
        <v>6684</v>
      </c>
    </row>
    <row r="974" spans="1:15" ht="15.75" customHeight="1">
      <c r="A974" s="10" t="s">
        <v>6692</v>
      </c>
      <c r="B974" s="10" t="s">
        <v>4410</v>
      </c>
      <c r="C974" s="61" t="s">
        <v>6054</v>
      </c>
      <c r="D974" s="13" t="s">
        <v>93</v>
      </c>
      <c r="E974" s="6" t="s">
        <v>6686</v>
      </c>
      <c r="F974" s="17" t="s">
        <v>6697</v>
      </c>
      <c r="G974" s="17"/>
      <c r="H974" s="17" t="s">
        <v>35</v>
      </c>
      <c r="I974" s="6" t="s">
        <v>35</v>
      </c>
      <c r="J974" s="17" t="s">
        <v>36</v>
      </c>
      <c r="K974" s="17" t="s">
        <v>6697</v>
      </c>
      <c r="L974" s="18" t="str">
        <f t="shared" si="15"/>
        <v>0973</v>
      </c>
      <c r="M974" s="18" t="s">
        <v>38</v>
      </c>
      <c r="N974" s="19" t="s">
        <v>6054</v>
      </c>
      <c r="O974" s="20" t="s">
        <v>6684</v>
      </c>
    </row>
    <row r="975" spans="1:15" ht="15.75" customHeight="1">
      <c r="A975" s="10" t="s">
        <v>6698</v>
      </c>
      <c r="B975" s="10" t="s">
        <v>4410</v>
      </c>
      <c r="C975" s="61" t="s">
        <v>6054</v>
      </c>
      <c r="D975" s="13" t="s">
        <v>116</v>
      </c>
      <c r="E975" s="6" t="s">
        <v>6699</v>
      </c>
      <c r="F975" s="17" t="s">
        <v>6704</v>
      </c>
      <c r="G975" s="17"/>
      <c r="H975" s="17" t="s">
        <v>35</v>
      </c>
      <c r="I975" s="6" t="s">
        <v>35</v>
      </c>
      <c r="J975" s="17" t="s">
        <v>36</v>
      </c>
      <c r="K975" s="17" t="s">
        <v>6704</v>
      </c>
      <c r="L975" s="18" t="str">
        <f t="shared" si="15"/>
        <v>0974</v>
      </c>
      <c r="M975" s="18" t="s">
        <v>38</v>
      </c>
      <c r="N975" s="19" t="s">
        <v>6054</v>
      </c>
      <c r="O975" s="20" t="s">
        <v>6684</v>
      </c>
    </row>
    <row r="976" spans="1:15" ht="15.75" customHeight="1">
      <c r="A976" s="10" t="s">
        <v>6705</v>
      </c>
      <c r="B976" s="10" t="s">
        <v>4410</v>
      </c>
      <c r="C976" s="61" t="s">
        <v>6054</v>
      </c>
      <c r="D976" s="13" t="s">
        <v>62</v>
      </c>
      <c r="E976" s="6" t="s">
        <v>6706</v>
      </c>
      <c r="F976" s="35" t="s">
        <v>7329</v>
      </c>
      <c r="G976" s="17"/>
      <c r="H976" s="17" t="s">
        <v>35</v>
      </c>
      <c r="I976" s="6" t="s">
        <v>35</v>
      </c>
      <c r="J976" s="17" t="s">
        <v>36</v>
      </c>
      <c r="K976" s="35" t="s">
        <v>7329</v>
      </c>
      <c r="L976" s="18" t="str">
        <f t="shared" si="15"/>
        <v>0975</v>
      </c>
      <c r="M976" s="18" t="s">
        <v>38</v>
      </c>
      <c r="N976" s="19" t="s">
        <v>6054</v>
      </c>
      <c r="O976" s="20" t="s">
        <v>6684</v>
      </c>
    </row>
    <row r="977" spans="1:15" ht="15.75" customHeight="1">
      <c r="A977" s="10" t="s">
        <v>6712</v>
      </c>
      <c r="B977" s="10" t="s">
        <v>4410</v>
      </c>
      <c r="C977" s="61" t="s">
        <v>28</v>
      </c>
      <c r="D977" s="13" t="s">
        <v>43</v>
      </c>
      <c r="E977" s="43" t="s">
        <v>457</v>
      </c>
      <c r="F977" s="10" t="s">
        <v>6718</v>
      </c>
      <c r="G977" s="17"/>
      <c r="H977" s="17" t="s">
        <v>406</v>
      </c>
      <c r="I977" s="6" t="s">
        <v>6717</v>
      </c>
      <c r="J977" s="17" t="s">
        <v>6682</v>
      </c>
      <c r="K977" s="10" t="s">
        <v>6718</v>
      </c>
      <c r="L977" s="18" t="str">
        <f t="shared" si="15"/>
        <v>0976</v>
      </c>
      <c r="M977" s="69" t="s">
        <v>1304</v>
      </c>
      <c r="N977" s="19" t="s">
        <v>147</v>
      </c>
      <c r="O977" s="20" t="s">
        <v>385</v>
      </c>
    </row>
    <row r="978" spans="1:15" ht="15.75" customHeight="1">
      <c r="A978" s="10" t="s">
        <v>6719</v>
      </c>
      <c r="B978" s="10" t="s">
        <v>4410</v>
      </c>
      <c r="C978" s="61" t="s">
        <v>6054</v>
      </c>
      <c r="D978" s="13" t="s">
        <v>353</v>
      </c>
      <c r="E978" s="43" t="s">
        <v>354</v>
      </c>
      <c r="F978" s="10" t="s">
        <v>6726</v>
      </c>
      <c r="G978" s="17"/>
      <c r="H978" s="17" t="s">
        <v>359</v>
      </c>
      <c r="I978" s="6" t="s">
        <v>6724</v>
      </c>
      <c r="J978" s="17" t="s">
        <v>6725</v>
      </c>
      <c r="K978" s="10" t="s">
        <v>6726</v>
      </c>
      <c r="L978" s="18" t="str">
        <f t="shared" si="15"/>
        <v>0977</v>
      </c>
      <c r="M978" s="18" t="s">
        <v>38</v>
      </c>
      <c r="N978" s="19" t="s">
        <v>6054</v>
      </c>
      <c r="O978" s="20" t="s">
        <v>6684</v>
      </c>
    </row>
    <row r="979" spans="1:15" ht="15.75" customHeight="1">
      <c r="A979" s="10" t="s">
        <v>6727</v>
      </c>
      <c r="B979" s="10" t="s">
        <v>4410</v>
      </c>
      <c r="C979" s="61" t="s">
        <v>6054</v>
      </c>
      <c r="D979" s="13" t="s">
        <v>199</v>
      </c>
      <c r="E979" s="6" t="s">
        <v>199</v>
      </c>
      <c r="F979" s="17" t="s">
        <v>6732</v>
      </c>
      <c r="G979" s="17"/>
      <c r="H979" s="17" t="s">
        <v>205</v>
      </c>
      <c r="I979" s="32" t="s">
        <v>794</v>
      </c>
      <c r="J979" s="17" t="s">
        <v>6731</v>
      </c>
      <c r="K979" s="17" t="s">
        <v>6732</v>
      </c>
      <c r="L979" s="18" t="str">
        <f t="shared" si="15"/>
        <v>0978</v>
      </c>
      <c r="M979" s="18" t="s">
        <v>38</v>
      </c>
      <c r="N979" s="19" t="s">
        <v>6054</v>
      </c>
      <c r="O979" s="20" t="s">
        <v>6684</v>
      </c>
    </row>
    <row r="980" spans="1:15" ht="15.75" customHeight="1">
      <c r="A980" s="10" t="s">
        <v>6733</v>
      </c>
      <c r="B980" s="10" t="s">
        <v>4410</v>
      </c>
      <c r="C980" s="61" t="s">
        <v>6054</v>
      </c>
      <c r="D980" s="13" t="s">
        <v>151</v>
      </c>
      <c r="E980" s="6" t="s">
        <v>714</v>
      </c>
      <c r="F980" s="17" t="s">
        <v>6739</v>
      </c>
      <c r="G980" s="17"/>
      <c r="H980" s="17" t="s">
        <v>1220</v>
      </c>
      <c r="I980" s="6" t="s">
        <v>720</v>
      </c>
      <c r="J980" s="17" t="s">
        <v>6738</v>
      </c>
      <c r="K980" s="17" t="s">
        <v>6739</v>
      </c>
      <c r="L980" s="18" t="str">
        <f t="shared" si="15"/>
        <v>0979</v>
      </c>
      <c r="M980" s="18" t="s">
        <v>38</v>
      </c>
      <c r="N980" s="19" t="s">
        <v>6054</v>
      </c>
      <c r="O980" s="20" t="s">
        <v>6684</v>
      </c>
    </row>
    <row r="981" spans="1:15" ht="15.75" customHeight="1">
      <c r="A981" s="10" t="s">
        <v>6740</v>
      </c>
      <c r="B981" s="10" t="s">
        <v>4410</v>
      </c>
      <c r="C981" s="61" t="s">
        <v>6054</v>
      </c>
      <c r="D981" s="13" t="s">
        <v>162</v>
      </c>
      <c r="E981" s="43" t="s">
        <v>285</v>
      </c>
      <c r="F981" s="17" t="s">
        <v>6746</v>
      </c>
      <c r="G981" s="17"/>
      <c r="H981" s="17" t="s">
        <v>663</v>
      </c>
      <c r="I981" s="6" t="s">
        <v>664</v>
      </c>
      <c r="J981" s="17" t="s">
        <v>6745</v>
      </c>
      <c r="K981" s="17" t="s">
        <v>6746</v>
      </c>
      <c r="L981" s="18" t="str">
        <f t="shared" si="15"/>
        <v>0980</v>
      </c>
      <c r="M981" s="18" t="s">
        <v>38</v>
      </c>
      <c r="N981" s="19" t="s">
        <v>6054</v>
      </c>
      <c r="O981" s="20" t="s">
        <v>6684</v>
      </c>
    </row>
    <row r="982" spans="1:15" ht="15.75" customHeight="1">
      <c r="A982" s="10" t="s">
        <v>6747</v>
      </c>
      <c r="B982" s="10" t="s">
        <v>4410</v>
      </c>
      <c r="C982" s="61" t="s">
        <v>6054</v>
      </c>
      <c r="D982" s="13" t="s">
        <v>62</v>
      </c>
      <c r="E982" s="6" t="s">
        <v>6748</v>
      </c>
      <c r="F982" s="17" t="s">
        <v>6754</v>
      </c>
      <c r="G982" s="35" t="s">
        <v>6753</v>
      </c>
      <c r="H982" s="17" t="s">
        <v>35</v>
      </c>
      <c r="I982" s="32" t="s">
        <v>35</v>
      </c>
      <c r="J982" s="17" t="s">
        <v>36</v>
      </c>
      <c r="K982" s="17" t="s">
        <v>6754</v>
      </c>
      <c r="L982" s="18" t="str">
        <f t="shared" si="15"/>
        <v>0981</v>
      </c>
      <c r="M982" s="18" t="s">
        <v>38</v>
      </c>
      <c r="N982" s="19" t="s">
        <v>6054</v>
      </c>
      <c r="O982" s="20" t="s">
        <v>6684</v>
      </c>
    </row>
    <row r="983" spans="1:15" ht="15.75" customHeight="1">
      <c r="A983" s="10" t="s">
        <v>6755</v>
      </c>
      <c r="B983" s="10" t="s">
        <v>4410</v>
      </c>
      <c r="C983" s="61" t="s">
        <v>6054</v>
      </c>
      <c r="D983" s="13" t="s">
        <v>501</v>
      </c>
      <c r="E983" s="6" t="s">
        <v>6756</v>
      </c>
      <c r="F983" s="17" t="s">
        <v>6761</v>
      </c>
      <c r="G983" s="17"/>
      <c r="H983" s="17" t="s">
        <v>35</v>
      </c>
      <c r="I983" s="6" t="s">
        <v>35</v>
      </c>
      <c r="J983" s="17" t="s">
        <v>36</v>
      </c>
      <c r="K983" s="17" t="s">
        <v>6761</v>
      </c>
      <c r="L983" s="18" t="str">
        <f t="shared" si="15"/>
        <v>0982</v>
      </c>
      <c r="M983" s="18" t="s">
        <v>38</v>
      </c>
      <c r="N983" s="19" t="s">
        <v>6054</v>
      </c>
      <c r="O983" s="20" t="s">
        <v>6684</v>
      </c>
    </row>
    <row r="984" spans="1:15" ht="15.75" customHeight="1">
      <c r="A984" s="10" t="s">
        <v>6762</v>
      </c>
      <c r="B984" s="10" t="s">
        <v>4410</v>
      </c>
      <c r="C984" s="61" t="s">
        <v>6054</v>
      </c>
      <c r="D984" s="13" t="s">
        <v>378</v>
      </c>
      <c r="E984" s="43" t="s">
        <v>6763</v>
      </c>
      <c r="F984" s="17" t="s">
        <v>6768</v>
      </c>
      <c r="G984" s="17"/>
      <c r="H984" s="17" t="s">
        <v>35</v>
      </c>
      <c r="I984" s="6" t="s">
        <v>35</v>
      </c>
      <c r="J984" s="17" t="s">
        <v>36</v>
      </c>
      <c r="K984" s="17" t="s">
        <v>6768</v>
      </c>
      <c r="L984" s="18" t="str">
        <f t="shared" si="15"/>
        <v>0983</v>
      </c>
      <c r="M984" s="18" t="s">
        <v>38</v>
      </c>
      <c r="N984" s="19" t="s">
        <v>6054</v>
      </c>
      <c r="O984" s="20" t="s">
        <v>6684</v>
      </c>
    </row>
    <row r="985" spans="1:15" ht="15.75" customHeight="1">
      <c r="A985" s="10" t="s">
        <v>6769</v>
      </c>
      <c r="B985" s="10" t="s">
        <v>4410</v>
      </c>
      <c r="C985" s="61" t="s">
        <v>6054</v>
      </c>
      <c r="D985" s="13" t="s">
        <v>378</v>
      </c>
      <c r="E985" s="6" t="s">
        <v>1306</v>
      </c>
      <c r="F985" s="17" t="s">
        <v>6774</v>
      </c>
      <c r="G985" s="17"/>
      <c r="H985" s="17" t="s">
        <v>35</v>
      </c>
      <c r="I985" s="6" t="s">
        <v>35</v>
      </c>
      <c r="J985" s="46" t="s">
        <v>36</v>
      </c>
      <c r="K985" s="17" t="s">
        <v>6774</v>
      </c>
      <c r="L985" s="18" t="str">
        <f t="shared" si="15"/>
        <v>0984</v>
      </c>
      <c r="M985" s="18" t="s">
        <v>38</v>
      </c>
      <c r="N985" s="19" t="s">
        <v>6054</v>
      </c>
      <c r="O985" s="20" t="s">
        <v>6684</v>
      </c>
    </row>
    <row r="986" spans="1:15" ht="15.75" customHeight="1">
      <c r="A986" s="10" t="s">
        <v>6775</v>
      </c>
      <c r="B986" s="10" t="s">
        <v>27</v>
      </c>
      <c r="C986" s="61" t="s">
        <v>28</v>
      </c>
      <c r="D986" s="13" t="s">
        <v>162</v>
      </c>
      <c r="E986" s="6" t="s">
        <v>162</v>
      </c>
      <c r="F986" s="10" t="s">
        <v>85</v>
      </c>
      <c r="G986" s="17"/>
      <c r="H986" s="17" t="s">
        <v>663</v>
      </c>
      <c r="I986" s="6" t="s">
        <v>6779</v>
      </c>
      <c r="J986" s="6" t="s">
        <v>6780</v>
      </c>
      <c r="K986" s="10" t="s">
        <v>85</v>
      </c>
      <c r="L986" s="18" t="str">
        <f t="shared" si="15"/>
        <v>0985</v>
      </c>
      <c r="M986" s="18" t="s">
        <v>2309</v>
      </c>
      <c r="N986" s="19" t="s">
        <v>147</v>
      </c>
      <c r="O986" s="20" t="s">
        <v>385</v>
      </c>
    </row>
    <row r="987" spans="1:15" ht="15.75" customHeight="1">
      <c r="A987" s="10" t="s">
        <v>6781</v>
      </c>
      <c r="B987" s="10" t="s">
        <v>1469</v>
      </c>
      <c r="C987" s="61" t="s">
        <v>1470</v>
      </c>
      <c r="D987" s="13" t="s">
        <v>162</v>
      </c>
      <c r="E987" s="6" t="s">
        <v>162</v>
      </c>
      <c r="F987" s="6" t="s">
        <v>85</v>
      </c>
      <c r="G987" s="17"/>
      <c r="H987" s="32" t="s">
        <v>663</v>
      </c>
      <c r="I987" s="6" t="s">
        <v>6785</v>
      </c>
      <c r="J987" s="17" t="s">
        <v>6786</v>
      </c>
      <c r="K987" s="6" t="s">
        <v>85</v>
      </c>
      <c r="L987" s="18" t="str">
        <f t="shared" si="15"/>
        <v>0986</v>
      </c>
      <c r="M987" s="18" t="s">
        <v>38</v>
      </c>
      <c r="N987" s="19" t="s">
        <v>6054</v>
      </c>
      <c r="O987" s="20" t="s">
        <v>1484</v>
      </c>
    </row>
    <row r="988" spans="1:15" ht="15.75" customHeight="1">
      <c r="A988" s="10" t="s">
        <v>6787</v>
      </c>
      <c r="B988" s="10" t="s">
        <v>27</v>
      </c>
      <c r="C988" s="61" t="s">
        <v>28</v>
      </c>
      <c r="D988" s="13" t="s">
        <v>162</v>
      </c>
      <c r="E988" s="6" t="s">
        <v>162</v>
      </c>
      <c r="F988" s="6" t="s">
        <v>85</v>
      </c>
      <c r="G988" s="17"/>
      <c r="H988" s="32" t="s">
        <v>663</v>
      </c>
      <c r="I988" s="6" t="s">
        <v>6779</v>
      </c>
      <c r="J988" s="17" t="s">
        <v>6791</v>
      </c>
      <c r="K988" s="6" t="s">
        <v>85</v>
      </c>
      <c r="L988" s="18" t="str">
        <f t="shared" si="15"/>
        <v>0987</v>
      </c>
      <c r="M988" s="18" t="s">
        <v>2309</v>
      </c>
      <c r="N988" s="19" t="s">
        <v>147</v>
      </c>
      <c r="O988" s="20" t="s">
        <v>385</v>
      </c>
    </row>
    <row r="989" spans="1:15" ht="15.75" customHeight="1">
      <c r="A989" s="10" t="s">
        <v>6792</v>
      </c>
      <c r="B989" s="10" t="s">
        <v>1469</v>
      </c>
      <c r="C989" s="61" t="s">
        <v>1470</v>
      </c>
      <c r="D989" s="13" t="s">
        <v>162</v>
      </c>
      <c r="E989" s="6" t="s">
        <v>162</v>
      </c>
      <c r="F989" s="6" t="s">
        <v>85</v>
      </c>
      <c r="G989" s="17"/>
      <c r="H989" s="32" t="s">
        <v>663</v>
      </c>
      <c r="I989" s="6" t="s">
        <v>6779</v>
      </c>
      <c r="J989" s="17" t="s">
        <v>6796</v>
      </c>
      <c r="K989" s="6" t="s">
        <v>85</v>
      </c>
      <c r="L989" s="18" t="str">
        <f t="shared" si="15"/>
        <v>0988</v>
      </c>
      <c r="M989" s="18" t="s">
        <v>38</v>
      </c>
      <c r="N989" s="19" t="s">
        <v>6054</v>
      </c>
      <c r="O989" s="20" t="s">
        <v>1484</v>
      </c>
    </row>
    <row r="990" spans="1:15" ht="15.75" customHeight="1">
      <c r="A990" s="10" t="s">
        <v>6797</v>
      </c>
      <c r="B990" s="20" t="s">
        <v>27</v>
      </c>
      <c r="C990" s="61" t="s">
        <v>28</v>
      </c>
      <c r="D990" s="13" t="s">
        <v>162</v>
      </c>
      <c r="E990" s="6" t="s">
        <v>162</v>
      </c>
      <c r="F990" s="32" t="s">
        <v>85</v>
      </c>
      <c r="G990" s="17"/>
      <c r="H990" s="17" t="s">
        <v>663</v>
      </c>
      <c r="I990" s="6" t="s">
        <v>35</v>
      </c>
      <c r="J990" s="6" t="s">
        <v>36</v>
      </c>
      <c r="K990" s="32" t="s">
        <v>85</v>
      </c>
      <c r="L990" s="18" t="str">
        <f t="shared" si="15"/>
        <v>0989</v>
      </c>
      <c r="M990" s="18" t="s">
        <v>2309</v>
      </c>
      <c r="N990" s="19" t="s">
        <v>147</v>
      </c>
      <c r="O990" s="20" t="s">
        <v>385</v>
      </c>
    </row>
    <row r="991" spans="1:15" ht="15.75" customHeight="1">
      <c r="A991" s="10" t="s">
        <v>6801</v>
      </c>
      <c r="B991" s="10" t="s">
        <v>4410</v>
      </c>
      <c r="C991" s="61" t="s">
        <v>4411</v>
      </c>
      <c r="D991" s="13" t="s">
        <v>43</v>
      </c>
      <c r="E991" s="43" t="s">
        <v>2581</v>
      </c>
      <c r="F991" s="35" t="s">
        <v>7330</v>
      </c>
      <c r="G991" s="17"/>
      <c r="H991" s="17" t="s">
        <v>5237</v>
      </c>
      <c r="I991" s="32" t="s">
        <v>35</v>
      </c>
      <c r="J991" s="17" t="s">
        <v>36</v>
      </c>
      <c r="K991" s="35" t="s">
        <v>7330</v>
      </c>
      <c r="L991" s="18" t="str">
        <f t="shared" si="15"/>
        <v>0990</v>
      </c>
      <c r="M991" s="83" t="s">
        <v>2309</v>
      </c>
      <c r="N991" s="19" t="s">
        <v>147</v>
      </c>
      <c r="O991" s="20" t="s">
        <v>385</v>
      </c>
    </row>
    <row r="992" spans="1:15" ht="15.75" customHeight="1">
      <c r="A992" s="10" t="s">
        <v>6803</v>
      </c>
      <c r="B992" s="10" t="s">
        <v>4410</v>
      </c>
      <c r="C992" s="61" t="s">
        <v>4411</v>
      </c>
      <c r="D992" s="13" t="s">
        <v>184</v>
      </c>
      <c r="E992" s="43" t="s">
        <v>6804</v>
      </c>
      <c r="F992" s="17" t="s">
        <v>6809</v>
      </c>
      <c r="G992" s="17"/>
      <c r="H992" s="17" t="s">
        <v>35</v>
      </c>
      <c r="I992" s="6" t="s">
        <v>35</v>
      </c>
      <c r="J992" s="17" t="s">
        <v>36</v>
      </c>
      <c r="K992" s="17" t="s">
        <v>6809</v>
      </c>
      <c r="L992" s="18" t="str">
        <f t="shared" si="15"/>
        <v>0991</v>
      </c>
      <c r="M992" s="83" t="s">
        <v>2309</v>
      </c>
      <c r="N992" s="19" t="s">
        <v>147</v>
      </c>
      <c r="O992" s="20" t="s">
        <v>385</v>
      </c>
    </row>
    <row r="993" spans="1:15" ht="15.75" customHeight="1">
      <c r="A993" s="10" t="s">
        <v>6810</v>
      </c>
      <c r="B993" s="10" t="s">
        <v>4410</v>
      </c>
      <c r="C993" s="61" t="s">
        <v>4411</v>
      </c>
      <c r="D993" s="13" t="s">
        <v>116</v>
      </c>
      <c r="E993" s="43" t="s">
        <v>6811</v>
      </c>
      <c r="F993" s="17" t="s">
        <v>6815</v>
      </c>
      <c r="G993" s="17"/>
      <c r="H993" s="17" t="s">
        <v>35</v>
      </c>
      <c r="I993" s="6" t="s">
        <v>35</v>
      </c>
      <c r="J993" s="17" t="s">
        <v>36</v>
      </c>
      <c r="K993" s="17" t="s">
        <v>6815</v>
      </c>
      <c r="L993" s="18" t="str">
        <f t="shared" si="15"/>
        <v>0992</v>
      </c>
      <c r="M993" s="18" t="s">
        <v>38</v>
      </c>
      <c r="N993" s="19" t="s">
        <v>4416</v>
      </c>
      <c r="O993" s="20" t="s">
        <v>4417</v>
      </c>
    </row>
    <row r="994" spans="1:15" ht="15.75" customHeight="1">
      <c r="A994" s="10" t="s">
        <v>6816</v>
      </c>
      <c r="B994" s="10" t="s">
        <v>4410</v>
      </c>
      <c r="C994" s="61" t="s">
        <v>4411</v>
      </c>
      <c r="D994" s="13" t="s">
        <v>248</v>
      </c>
      <c r="E994" s="43" t="s">
        <v>249</v>
      </c>
      <c r="F994" s="17" t="s">
        <v>6821</v>
      </c>
      <c r="G994" s="17"/>
      <c r="H994" s="17" t="s">
        <v>978</v>
      </c>
      <c r="I994" s="6" t="s">
        <v>979</v>
      </c>
      <c r="J994" s="17" t="s">
        <v>36</v>
      </c>
      <c r="K994" s="17" t="s">
        <v>6821</v>
      </c>
      <c r="L994" s="18" t="str">
        <f t="shared" si="15"/>
        <v>0993</v>
      </c>
      <c r="M994" s="18" t="s">
        <v>38</v>
      </c>
      <c r="N994" s="19" t="s">
        <v>4416</v>
      </c>
      <c r="O994" s="20" t="s">
        <v>4417</v>
      </c>
    </row>
    <row r="995" spans="1:15" ht="15.75" customHeight="1">
      <c r="A995" s="10" t="s">
        <v>6822</v>
      </c>
      <c r="B995" s="10" t="s">
        <v>4410</v>
      </c>
      <c r="C995" s="61" t="s">
        <v>4411</v>
      </c>
      <c r="D995" s="13" t="s">
        <v>278</v>
      </c>
      <c r="E995" s="43" t="s">
        <v>278</v>
      </c>
      <c r="F995" s="17" t="s">
        <v>6827</v>
      </c>
      <c r="G995" s="17"/>
      <c r="H995" s="17" t="s">
        <v>35</v>
      </c>
      <c r="I995" s="6" t="s">
        <v>35</v>
      </c>
      <c r="J995" s="17" t="s">
        <v>36</v>
      </c>
      <c r="K995" s="17" t="s">
        <v>6827</v>
      </c>
      <c r="L995" s="18" t="str">
        <f t="shared" si="15"/>
        <v>0994</v>
      </c>
      <c r="M995" s="18" t="s">
        <v>38</v>
      </c>
      <c r="N995" s="19" t="s">
        <v>4416</v>
      </c>
      <c r="O995" s="20" t="s">
        <v>4417</v>
      </c>
    </row>
    <row r="996" spans="1:15" ht="15.75" customHeight="1">
      <c r="A996" s="10" t="s">
        <v>6828</v>
      </c>
      <c r="B996" s="10" t="s">
        <v>4410</v>
      </c>
      <c r="C996" s="61" t="s">
        <v>4411</v>
      </c>
      <c r="D996" s="13" t="s">
        <v>43</v>
      </c>
      <c r="E996" s="43" t="s">
        <v>2581</v>
      </c>
      <c r="F996" s="35" t="s">
        <v>6833</v>
      </c>
      <c r="G996" s="17"/>
      <c r="H996" s="17" t="s">
        <v>5237</v>
      </c>
      <c r="I996" s="6" t="s">
        <v>35</v>
      </c>
      <c r="J996" s="17" t="s">
        <v>36</v>
      </c>
      <c r="K996" s="35" t="s">
        <v>6833</v>
      </c>
      <c r="L996" s="18" t="str">
        <f t="shared" si="15"/>
        <v>0995</v>
      </c>
      <c r="M996" s="18" t="s">
        <v>38</v>
      </c>
      <c r="N996" s="19" t="s">
        <v>4416</v>
      </c>
      <c r="O996" s="20" t="s">
        <v>4417</v>
      </c>
    </row>
    <row r="997" spans="1:15" ht="15.75" customHeight="1">
      <c r="A997" s="10" t="s">
        <v>6835</v>
      </c>
      <c r="B997" s="20" t="s">
        <v>4410</v>
      </c>
      <c r="C997" s="61" t="s">
        <v>4411</v>
      </c>
      <c r="D997" s="13" t="s">
        <v>199</v>
      </c>
      <c r="E997" s="43" t="s">
        <v>6836</v>
      </c>
      <c r="F997" s="35" t="s">
        <v>85</v>
      </c>
      <c r="G997" s="17"/>
      <c r="H997" s="17" t="s">
        <v>682</v>
      </c>
      <c r="I997" s="6" t="s">
        <v>35</v>
      </c>
      <c r="J997" s="43" t="s">
        <v>6841</v>
      </c>
      <c r="K997" s="35" t="s">
        <v>85</v>
      </c>
      <c r="L997" s="18" t="str">
        <f t="shared" si="15"/>
        <v>0996</v>
      </c>
      <c r="M997" s="18" t="s">
        <v>38</v>
      </c>
      <c r="N997" s="19" t="s">
        <v>4416</v>
      </c>
      <c r="O997" s="20" t="s">
        <v>4417</v>
      </c>
    </row>
    <row r="998" spans="1:15" ht="15.75" customHeight="1">
      <c r="A998" s="10" t="s">
        <v>6842</v>
      </c>
      <c r="B998" s="10" t="s">
        <v>1469</v>
      </c>
      <c r="C998" s="61" t="s">
        <v>1470</v>
      </c>
      <c r="D998" s="13" t="s">
        <v>378</v>
      </c>
      <c r="E998" s="6" t="s">
        <v>379</v>
      </c>
      <c r="F998" s="10" t="s">
        <v>6846</v>
      </c>
      <c r="G998" s="17"/>
      <c r="H998" s="35" t="s">
        <v>6844</v>
      </c>
      <c r="I998" s="10" t="s">
        <v>6845</v>
      </c>
      <c r="J998" s="10" t="s">
        <v>36</v>
      </c>
      <c r="K998" s="10" t="s">
        <v>6846</v>
      </c>
      <c r="L998" s="18" t="str">
        <f t="shared" si="15"/>
        <v>0997</v>
      </c>
      <c r="M998" s="18" t="s">
        <v>38</v>
      </c>
      <c r="N998" s="19" t="s">
        <v>1548</v>
      </c>
      <c r="O998" s="20" t="s">
        <v>1736</v>
      </c>
    </row>
    <row r="999" spans="1:15" ht="15.75" customHeight="1">
      <c r="A999" s="10" t="s">
        <v>6847</v>
      </c>
      <c r="B999" s="10" t="s">
        <v>1469</v>
      </c>
      <c r="C999" s="61" t="s">
        <v>1470</v>
      </c>
      <c r="D999" s="13" t="s">
        <v>43</v>
      </c>
      <c r="E999" s="6" t="s">
        <v>6848</v>
      </c>
      <c r="F999" s="10" t="s">
        <v>7331</v>
      </c>
      <c r="G999" s="17"/>
      <c r="H999" s="35" t="s">
        <v>1913</v>
      </c>
      <c r="I999" s="10" t="s">
        <v>6850</v>
      </c>
      <c r="J999" s="10" t="s">
        <v>36</v>
      </c>
      <c r="K999" s="10" t="s">
        <v>7331</v>
      </c>
      <c r="L999" s="18" t="str">
        <f t="shared" si="15"/>
        <v>0998</v>
      </c>
      <c r="M999" s="18" t="s">
        <v>38</v>
      </c>
      <c r="N999" s="19" t="s">
        <v>3091</v>
      </c>
      <c r="O999" s="20" t="s">
        <v>3092</v>
      </c>
    </row>
    <row r="1000" spans="1:15" ht="15.75" customHeight="1">
      <c r="A1000" s="10" t="s">
        <v>6851</v>
      </c>
      <c r="B1000" s="10" t="s">
        <v>1469</v>
      </c>
      <c r="C1000" s="61" t="s">
        <v>1470</v>
      </c>
      <c r="D1000" s="13" t="s">
        <v>378</v>
      </c>
      <c r="E1000" s="6" t="s">
        <v>379</v>
      </c>
      <c r="F1000" s="10" t="s">
        <v>6853</v>
      </c>
      <c r="G1000" s="17"/>
      <c r="H1000" s="35" t="s">
        <v>35</v>
      </c>
      <c r="I1000" s="10" t="s">
        <v>35</v>
      </c>
      <c r="J1000" s="10" t="s">
        <v>36</v>
      </c>
      <c r="K1000" s="10" t="s">
        <v>6853</v>
      </c>
      <c r="L1000" s="18" t="str">
        <f t="shared" si="15"/>
        <v>0999</v>
      </c>
      <c r="M1000" s="18" t="s">
        <v>38</v>
      </c>
      <c r="N1000" s="61" t="s">
        <v>1483</v>
      </c>
      <c r="O1000" s="20" t="s">
        <v>2466</v>
      </c>
    </row>
    <row r="1001" spans="1:15" ht="15.75" customHeight="1">
      <c r="A1001" s="10" t="s">
        <v>6854</v>
      </c>
      <c r="B1001" s="10" t="s">
        <v>1469</v>
      </c>
      <c r="C1001" s="61" t="s">
        <v>1470</v>
      </c>
      <c r="D1001" s="13" t="s">
        <v>378</v>
      </c>
      <c r="E1001" s="6" t="s">
        <v>379</v>
      </c>
      <c r="F1001" s="10" t="s">
        <v>6856</v>
      </c>
      <c r="G1001" s="17"/>
      <c r="H1001" s="35" t="s">
        <v>35</v>
      </c>
      <c r="I1001" s="10" t="s">
        <v>35</v>
      </c>
      <c r="J1001" s="10" t="s">
        <v>36</v>
      </c>
      <c r="K1001" s="10" t="s">
        <v>6856</v>
      </c>
      <c r="L1001" s="18" t="str">
        <f t="shared" si="15"/>
        <v>1000</v>
      </c>
      <c r="M1001" s="18" t="s">
        <v>38</v>
      </c>
      <c r="N1001" s="61" t="s">
        <v>1483</v>
      </c>
      <c r="O1001" s="20" t="s">
        <v>1484</v>
      </c>
    </row>
    <row r="1002" spans="1:15" ht="15.75" customHeight="1">
      <c r="A1002" s="10" t="s">
        <v>6857</v>
      </c>
      <c r="B1002" s="10" t="s">
        <v>1469</v>
      </c>
      <c r="C1002" s="61" t="s">
        <v>1470</v>
      </c>
      <c r="D1002" s="13" t="s">
        <v>151</v>
      </c>
      <c r="E1002" s="6" t="s">
        <v>6858</v>
      </c>
      <c r="F1002" s="10" t="s">
        <v>6866</v>
      </c>
      <c r="G1002" s="17"/>
      <c r="H1002" s="35" t="s">
        <v>2317</v>
      </c>
      <c r="I1002" s="10" t="s">
        <v>6860</v>
      </c>
      <c r="J1002" s="10" t="s">
        <v>6861</v>
      </c>
      <c r="K1002" s="10" t="s">
        <v>6866</v>
      </c>
      <c r="L1002" s="18" t="str">
        <f t="shared" si="15"/>
        <v>1001</v>
      </c>
      <c r="M1002" s="18" t="s">
        <v>38</v>
      </c>
      <c r="N1002" s="61" t="s">
        <v>1483</v>
      </c>
      <c r="O1002" s="20" t="s">
        <v>2518</v>
      </c>
    </row>
    <row r="1003" spans="1:15" ht="15.75" customHeight="1">
      <c r="A1003" s="10" t="s">
        <v>6863</v>
      </c>
      <c r="B1003" s="10" t="s">
        <v>1469</v>
      </c>
      <c r="C1003" s="61" t="s">
        <v>1470</v>
      </c>
      <c r="D1003" s="13" t="s">
        <v>151</v>
      </c>
      <c r="E1003" s="6" t="s">
        <v>6858</v>
      </c>
      <c r="F1003" s="10" t="s">
        <v>6862</v>
      </c>
      <c r="G1003" s="17"/>
      <c r="H1003" s="35" t="s">
        <v>2317</v>
      </c>
      <c r="I1003" s="10" t="s">
        <v>6860</v>
      </c>
      <c r="J1003" s="10" t="s">
        <v>6865</v>
      </c>
      <c r="K1003" s="10" t="s">
        <v>6862</v>
      </c>
      <c r="L1003" s="18" t="str">
        <f t="shared" si="15"/>
        <v>1002</v>
      </c>
      <c r="M1003" s="18" t="s">
        <v>38</v>
      </c>
      <c r="N1003" s="61" t="s">
        <v>1483</v>
      </c>
      <c r="O1003" s="20" t="s">
        <v>2337</v>
      </c>
    </row>
    <row r="1004" spans="1:15" ht="15.75" customHeight="1">
      <c r="A1004" s="10" t="s">
        <v>6867</v>
      </c>
      <c r="B1004" s="10" t="s">
        <v>1469</v>
      </c>
      <c r="C1004" s="61" t="s">
        <v>1470</v>
      </c>
      <c r="D1004" s="13" t="s">
        <v>378</v>
      </c>
      <c r="E1004" s="6" t="s">
        <v>379</v>
      </c>
      <c r="F1004" s="10" t="s">
        <v>6869</v>
      </c>
      <c r="G1004" s="17"/>
      <c r="H1004" s="35" t="s">
        <v>6844</v>
      </c>
      <c r="I1004" s="10" t="s">
        <v>35</v>
      </c>
      <c r="J1004" s="10" t="s">
        <v>36</v>
      </c>
      <c r="K1004" s="10" t="s">
        <v>6869</v>
      </c>
      <c r="L1004" s="18" t="str">
        <f t="shared" si="15"/>
        <v>1003</v>
      </c>
      <c r="M1004" s="18" t="s">
        <v>38</v>
      </c>
      <c r="N1004" s="61" t="s">
        <v>1483</v>
      </c>
      <c r="O1004" s="20" t="s">
        <v>2518</v>
      </c>
    </row>
    <row r="1005" spans="1:15" ht="15.75" customHeight="1">
      <c r="A1005" s="10" t="s">
        <v>6870</v>
      </c>
      <c r="B1005" s="10" t="s">
        <v>4410</v>
      </c>
      <c r="C1005" s="61" t="s">
        <v>4411</v>
      </c>
      <c r="D1005" s="13" t="s">
        <v>184</v>
      </c>
      <c r="E1005" s="6" t="s">
        <v>6871</v>
      </c>
      <c r="F1005" s="10" t="s">
        <v>6873</v>
      </c>
      <c r="G1005" s="17"/>
      <c r="H1005" s="35" t="s">
        <v>35</v>
      </c>
      <c r="I1005" s="10" t="s">
        <v>35</v>
      </c>
      <c r="J1005" s="10" t="s">
        <v>36</v>
      </c>
      <c r="K1005" s="10" t="s">
        <v>6873</v>
      </c>
      <c r="L1005" s="18" t="str">
        <f t="shared" si="15"/>
        <v>1004</v>
      </c>
      <c r="M1005" s="18" t="s">
        <v>38</v>
      </c>
      <c r="N1005" s="85" t="s">
        <v>4411</v>
      </c>
      <c r="O1005" s="20" t="s">
        <v>4935</v>
      </c>
    </row>
    <row r="1006" spans="1:15" ht="15.75" customHeight="1">
      <c r="A1006" s="10" t="s">
        <v>6874</v>
      </c>
      <c r="B1006" s="10" t="s">
        <v>4410</v>
      </c>
      <c r="C1006" s="61" t="s">
        <v>4411</v>
      </c>
      <c r="D1006" s="13" t="s">
        <v>184</v>
      </c>
      <c r="E1006" s="6" t="s">
        <v>6871</v>
      </c>
      <c r="F1006" s="10" t="s">
        <v>6876</v>
      </c>
      <c r="G1006" s="17"/>
      <c r="H1006" s="35" t="s">
        <v>35</v>
      </c>
      <c r="I1006" s="10" t="s">
        <v>35</v>
      </c>
      <c r="J1006" s="10" t="s">
        <v>36</v>
      </c>
      <c r="K1006" s="10" t="s">
        <v>6876</v>
      </c>
      <c r="L1006" s="18" t="str">
        <f t="shared" si="15"/>
        <v>1005</v>
      </c>
      <c r="M1006" s="18" t="s">
        <v>38</v>
      </c>
      <c r="N1006" s="85" t="s">
        <v>4411</v>
      </c>
      <c r="O1006" s="20" t="s">
        <v>4935</v>
      </c>
    </row>
    <row r="1007" spans="1:15" ht="15.75" customHeight="1">
      <c r="A1007" s="10" t="s">
        <v>6877</v>
      </c>
      <c r="B1007" s="10" t="s">
        <v>4410</v>
      </c>
      <c r="C1007" s="61" t="s">
        <v>4411</v>
      </c>
      <c r="D1007" s="13" t="s">
        <v>43</v>
      </c>
      <c r="E1007" s="6" t="s">
        <v>6878</v>
      </c>
      <c r="F1007" s="10" t="s">
        <v>6880</v>
      </c>
      <c r="G1007" s="17"/>
      <c r="H1007" s="35" t="s">
        <v>49</v>
      </c>
      <c r="I1007" s="10">
        <v>3196</v>
      </c>
      <c r="J1007" s="10" t="s">
        <v>36</v>
      </c>
      <c r="K1007" s="10" t="s">
        <v>6880</v>
      </c>
      <c r="L1007" s="18" t="str">
        <f t="shared" si="15"/>
        <v>1006</v>
      </c>
      <c r="M1007" s="18" t="s">
        <v>38</v>
      </c>
      <c r="N1007" s="85" t="s">
        <v>4411</v>
      </c>
      <c r="O1007" s="20" t="s">
        <v>4935</v>
      </c>
    </row>
    <row r="1008" spans="1:15" ht="15.75" customHeight="1">
      <c r="A1008" s="10" t="s">
        <v>6881</v>
      </c>
      <c r="B1008" s="10" t="s">
        <v>4410</v>
      </c>
      <c r="C1008" s="61" t="s">
        <v>4411</v>
      </c>
      <c r="D1008" s="13" t="s">
        <v>321</v>
      </c>
      <c r="E1008" s="6" t="s">
        <v>6882</v>
      </c>
      <c r="F1008" s="10" t="s">
        <v>85</v>
      </c>
      <c r="G1008" s="17"/>
      <c r="H1008" s="35" t="s">
        <v>6884</v>
      </c>
      <c r="I1008" s="10" t="s">
        <v>6885</v>
      </c>
      <c r="J1008" s="10" t="s">
        <v>36</v>
      </c>
      <c r="K1008" s="10" t="s">
        <v>85</v>
      </c>
      <c r="L1008" s="18" t="str">
        <f t="shared" si="15"/>
        <v>1007</v>
      </c>
      <c r="M1008" s="18" t="s">
        <v>517</v>
      </c>
      <c r="N1008" s="85" t="s">
        <v>4411</v>
      </c>
      <c r="O1008" s="20" t="s">
        <v>5138</v>
      </c>
    </row>
    <row r="1009" spans="1:15" ht="15.75" customHeight="1">
      <c r="A1009" s="10" t="s">
        <v>6886</v>
      </c>
      <c r="B1009" s="10" t="s">
        <v>4410</v>
      </c>
      <c r="C1009" s="61" t="s">
        <v>4411</v>
      </c>
      <c r="D1009" s="13" t="s">
        <v>184</v>
      </c>
      <c r="E1009" s="6" t="s">
        <v>927</v>
      </c>
      <c r="F1009" s="10" t="s">
        <v>6888</v>
      </c>
      <c r="G1009" s="17"/>
      <c r="H1009" s="35" t="s">
        <v>35</v>
      </c>
      <c r="I1009" s="10" t="s">
        <v>35</v>
      </c>
      <c r="J1009" s="10" t="s">
        <v>36</v>
      </c>
      <c r="K1009" s="10" t="s">
        <v>6888</v>
      </c>
      <c r="L1009" s="18" t="str">
        <f t="shared" si="15"/>
        <v>1008</v>
      </c>
      <c r="M1009" s="18" t="s">
        <v>38</v>
      </c>
      <c r="N1009" s="85" t="s">
        <v>4411</v>
      </c>
      <c r="O1009" s="20" t="s">
        <v>5223</v>
      </c>
    </row>
    <row r="1010" spans="1:15" ht="15.75" customHeight="1">
      <c r="A1010" s="10" t="s">
        <v>6889</v>
      </c>
      <c r="B1010" s="10" t="s">
        <v>4410</v>
      </c>
      <c r="C1010" s="61" t="s">
        <v>4411</v>
      </c>
      <c r="D1010" s="13" t="s">
        <v>210</v>
      </c>
      <c r="E1010" s="6" t="s">
        <v>210</v>
      </c>
      <c r="F1010" s="10" t="s">
        <v>6893</v>
      </c>
      <c r="G1010" s="17"/>
      <c r="H1010" s="35" t="s">
        <v>216</v>
      </c>
      <c r="I1010" s="10" t="s">
        <v>6891</v>
      </c>
      <c r="J1010" s="10" t="s">
        <v>6892</v>
      </c>
      <c r="K1010" s="10" t="s">
        <v>6893</v>
      </c>
      <c r="L1010" s="18" t="str">
        <f t="shared" si="15"/>
        <v>1009</v>
      </c>
      <c r="M1010" s="18" t="s">
        <v>38</v>
      </c>
      <c r="N1010" s="61" t="s">
        <v>5695</v>
      </c>
      <c r="O1010" s="20" t="s">
        <v>5696</v>
      </c>
    </row>
    <row r="1011" spans="1:15" ht="15.75" customHeight="1">
      <c r="A1011" s="10" t="s">
        <v>6894</v>
      </c>
      <c r="B1011" s="10" t="s">
        <v>27</v>
      </c>
      <c r="C1011" s="61" t="s">
        <v>28</v>
      </c>
      <c r="D1011" s="13" t="s">
        <v>2311</v>
      </c>
      <c r="E1011" s="6" t="s">
        <v>6895</v>
      </c>
      <c r="F1011" s="10" t="s">
        <v>6899</v>
      </c>
      <c r="G1011" s="17"/>
      <c r="H1011" s="35" t="s">
        <v>682</v>
      </c>
      <c r="I1011" s="10" t="s">
        <v>6897</v>
      </c>
      <c r="J1011" s="10" t="s">
        <v>6898</v>
      </c>
      <c r="K1011" s="10" t="s">
        <v>6899</v>
      </c>
      <c r="L1011" s="18" t="str">
        <f t="shared" si="15"/>
        <v>1010</v>
      </c>
      <c r="M1011" s="18" t="s">
        <v>38</v>
      </c>
      <c r="N1011" s="61" t="s">
        <v>147</v>
      </c>
      <c r="O1011" s="20" t="s">
        <v>385</v>
      </c>
    </row>
    <row r="1012" spans="1:15" ht="15.75" customHeight="1">
      <c r="A1012" s="10" t="s">
        <v>6900</v>
      </c>
      <c r="B1012" s="10" t="s">
        <v>4410</v>
      </c>
      <c r="C1012" s="61" t="s">
        <v>4411</v>
      </c>
      <c r="D1012" s="13" t="s">
        <v>184</v>
      </c>
      <c r="E1012" s="6" t="s">
        <v>6901</v>
      </c>
      <c r="F1012" s="10" t="s">
        <v>6903</v>
      </c>
      <c r="G1012" s="17"/>
      <c r="H1012" s="35" t="s">
        <v>35</v>
      </c>
      <c r="I1012" s="10" t="s">
        <v>35</v>
      </c>
      <c r="J1012" s="10" t="s">
        <v>36</v>
      </c>
      <c r="K1012" s="10" t="s">
        <v>6903</v>
      </c>
      <c r="L1012" s="18" t="str">
        <f t="shared" si="15"/>
        <v>1011</v>
      </c>
      <c r="M1012" s="18" t="s">
        <v>38</v>
      </c>
      <c r="N1012" s="85" t="s">
        <v>4979</v>
      </c>
      <c r="O1012" s="20" t="s">
        <v>4980</v>
      </c>
    </row>
    <row r="1013" spans="1:15" ht="15.75" customHeight="1">
      <c r="A1013" s="10" t="s">
        <v>6904</v>
      </c>
      <c r="B1013" s="10" t="s">
        <v>1469</v>
      </c>
      <c r="C1013" s="61" t="s">
        <v>1470</v>
      </c>
      <c r="D1013" s="13" t="s">
        <v>2502</v>
      </c>
      <c r="E1013" s="6" t="s">
        <v>6905</v>
      </c>
      <c r="F1013" s="10" t="s">
        <v>6909</v>
      </c>
      <c r="G1013" s="17"/>
      <c r="H1013" s="35" t="s">
        <v>179</v>
      </c>
      <c r="I1013" s="10" t="s">
        <v>6907</v>
      </c>
      <c r="J1013" s="10" t="s">
        <v>6908</v>
      </c>
      <c r="K1013" s="10" t="s">
        <v>6909</v>
      </c>
      <c r="L1013" s="18" t="str">
        <f t="shared" si="15"/>
        <v>1012</v>
      </c>
      <c r="M1013" s="18" t="s">
        <v>38</v>
      </c>
      <c r="N1013" s="61" t="s">
        <v>1483</v>
      </c>
      <c r="O1013" s="20" t="s">
        <v>1484</v>
      </c>
    </row>
    <row r="1014" spans="1:15" ht="15.75" customHeight="1">
      <c r="A1014" s="10" t="s">
        <v>6910</v>
      </c>
      <c r="B1014" s="86" t="s">
        <v>474</v>
      </c>
      <c r="C1014" s="86" t="s">
        <v>28</v>
      </c>
      <c r="D1014" s="6" t="s">
        <v>378</v>
      </c>
      <c r="E1014" s="6" t="s">
        <v>535</v>
      </c>
      <c r="F1014" s="155" t="s">
        <v>1251</v>
      </c>
      <c r="H1014" s="35" t="s">
        <v>35</v>
      </c>
      <c r="I1014" s="35" t="s">
        <v>35</v>
      </c>
      <c r="J1014" s="35" t="s">
        <v>36</v>
      </c>
      <c r="K1014" s="155" t="s">
        <v>1251</v>
      </c>
      <c r="L1014" s="18" t="str">
        <f t="shared" si="15"/>
        <v>1013</v>
      </c>
      <c r="M1014" s="86" t="s">
        <v>517</v>
      </c>
      <c r="N1014" s="86" t="s">
        <v>28</v>
      </c>
      <c r="O1014" s="86" t="s">
        <v>40</v>
      </c>
    </row>
    <row r="1015" spans="1:15" ht="15.75" customHeight="1">
      <c r="A1015" s="10" t="s">
        <v>6912</v>
      </c>
      <c r="B1015" s="10" t="s">
        <v>27</v>
      </c>
      <c r="C1015" s="10" t="s">
        <v>28</v>
      </c>
      <c r="D1015" s="13" t="s">
        <v>62</v>
      </c>
      <c r="E1015" s="6" t="s">
        <v>6913</v>
      </c>
      <c r="F1015" s="155" t="s">
        <v>584</v>
      </c>
      <c r="G1015" s="17"/>
      <c r="H1015" s="35" t="s">
        <v>35</v>
      </c>
      <c r="I1015" s="10" t="s">
        <v>35</v>
      </c>
      <c r="J1015" s="10" t="s">
        <v>36</v>
      </c>
      <c r="K1015" s="155" t="s">
        <v>584</v>
      </c>
      <c r="L1015" s="18" t="str">
        <f t="shared" si="15"/>
        <v>1014</v>
      </c>
      <c r="M1015" s="18" t="s">
        <v>38</v>
      </c>
      <c r="N1015" s="85" t="s">
        <v>147</v>
      </c>
      <c r="O1015" s="20" t="s">
        <v>492</v>
      </c>
    </row>
    <row r="1016" spans="1:15" ht="15.75" customHeight="1">
      <c r="A1016" s="55" t="s">
        <v>6915</v>
      </c>
      <c r="B1016" s="10" t="s">
        <v>27</v>
      </c>
      <c r="C1016" s="10" t="s">
        <v>1470</v>
      </c>
      <c r="D1016" s="13" t="s">
        <v>6916</v>
      </c>
      <c r="E1016" s="88" t="s">
        <v>6917</v>
      </c>
      <c r="F1016" s="10" t="s">
        <v>6920</v>
      </c>
      <c r="G1016" s="17"/>
      <c r="H1016" s="35" t="s">
        <v>6918</v>
      </c>
      <c r="I1016" s="10" t="s">
        <v>6919</v>
      </c>
      <c r="J1016" s="10">
        <v>41480</v>
      </c>
      <c r="K1016" s="10" t="s">
        <v>6920</v>
      </c>
      <c r="L1016" s="18" t="str">
        <f t="shared" si="15"/>
        <v>1015</v>
      </c>
      <c r="M1016" s="89" t="s">
        <v>38</v>
      </c>
      <c r="N1016" s="85" t="s">
        <v>1548</v>
      </c>
      <c r="O1016" s="20" t="s">
        <v>1983</v>
      </c>
    </row>
    <row r="1017" spans="1:15" ht="15.75" customHeight="1">
      <c r="A1017" s="55" t="s">
        <v>6921</v>
      </c>
      <c r="B1017" s="10" t="s">
        <v>27</v>
      </c>
      <c r="C1017" s="10" t="s">
        <v>1470</v>
      </c>
      <c r="D1017" s="13" t="s">
        <v>6916</v>
      </c>
      <c r="E1017" s="88" t="s">
        <v>6922</v>
      </c>
      <c r="F1017" s="91" t="s">
        <v>7332</v>
      </c>
      <c r="G1017" s="17"/>
      <c r="H1017" s="35" t="s">
        <v>6923</v>
      </c>
      <c r="I1017" s="10" t="s">
        <v>6924</v>
      </c>
      <c r="J1017" s="10" t="s">
        <v>6925</v>
      </c>
      <c r="K1017" s="91" t="s">
        <v>6926</v>
      </c>
      <c r="L1017" s="18" t="str">
        <f t="shared" si="15"/>
        <v>1016</v>
      </c>
      <c r="M1017" s="89" t="s">
        <v>38</v>
      </c>
      <c r="N1017" s="85" t="s">
        <v>1548</v>
      </c>
      <c r="O1017" s="20" t="s">
        <v>1983</v>
      </c>
    </row>
    <row r="1018" spans="1:15" ht="15.75" customHeight="1">
      <c r="A1018" s="55" t="s">
        <v>6927</v>
      </c>
      <c r="B1018" s="10" t="s">
        <v>27</v>
      </c>
      <c r="C1018" s="10" t="s">
        <v>1470</v>
      </c>
      <c r="D1018" s="13" t="s">
        <v>6928</v>
      </c>
      <c r="E1018" s="88" t="s">
        <v>6929</v>
      </c>
      <c r="F1018" s="10" t="s">
        <v>6932</v>
      </c>
      <c r="G1018" s="17"/>
      <c r="H1018" s="35" t="s">
        <v>6930</v>
      </c>
      <c r="I1018" s="10" t="s">
        <v>6931</v>
      </c>
      <c r="J1018" s="10">
        <v>264105</v>
      </c>
      <c r="K1018" s="10" t="s">
        <v>6932</v>
      </c>
      <c r="L1018" s="18" t="str">
        <f t="shared" si="15"/>
        <v>1017</v>
      </c>
      <c r="M1018" s="89" t="s">
        <v>38</v>
      </c>
      <c r="N1018" s="85" t="s">
        <v>1548</v>
      </c>
      <c r="O1018" s="20" t="s">
        <v>1983</v>
      </c>
    </row>
    <row r="1019" spans="1:15" ht="15.75" customHeight="1">
      <c r="A1019" s="55" t="s">
        <v>6933</v>
      </c>
      <c r="B1019" s="10" t="s">
        <v>27</v>
      </c>
      <c r="C1019" s="10" t="s">
        <v>868</v>
      </c>
      <c r="D1019" s="13" t="s">
        <v>199</v>
      </c>
      <c r="E1019" s="88" t="s">
        <v>199</v>
      </c>
      <c r="F1019" s="10" t="s">
        <v>6936</v>
      </c>
      <c r="G1019" s="17"/>
      <c r="H1019" s="35" t="s">
        <v>2748</v>
      </c>
      <c r="I1019" s="10" t="s">
        <v>6934</v>
      </c>
      <c r="J1019" s="10" t="s">
        <v>6935</v>
      </c>
      <c r="K1019" s="10" t="s">
        <v>6936</v>
      </c>
      <c r="L1019" s="18" t="str">
        <f t="shared" si="15"/>
        <v>1018</v>
      </c>
      <c r="M1019" s="89" t="s">
        <v>38</v>
      </c>
      <c r="N1019" s="85" t="s">
        <v>875</v>
      </c>
      <c r="O1019" s="20" t="s">
        <v>1004</v>
      </c>
    </row>
    <row r="1020" spans="1:15" ht="15.75" customHeight="1">
      <c r="A1020" s="55" t="s">
        <v>6937</v>
      </c>
      <c r="B1020" s="10" t="s">
        <v>27</v>
      </c>
      <c r="C1020" s="10" t="s">
        <v>868</v>
      </c>
      <c r="D1020" s="13" t="s">
        <v>151</v>
      </c>
      <c r="E1020" s="88" t="s">
        <v>6938</v>
      </c>
      <c r="F1020" s="10" t="s">
        <v>6941</v>
      </c>
      <c r="G1020" s="17"/>
      <c r="H1020" s="35" t="s">
        <v>2748</v>
      </c>
      <c r="I1020" s="10" t="s">
        <v>7009</v>
      </c>
      <c r="J1020" s="10" t="s">
        <v>6940</v>
      </c>
      <c r="K1020" s="10" t="s">
        <v>6941</v>
      </c>
      <c r="L1020" s="18" t="str">
        <f t="shared" si="15"/>
        <v>1019</v>
      </c>
      <c r="M1020" s="89" t="s">
        <v>38</v>
      </c>
      <c r="N1020" s="85" t="s">
        <v>875</v>
      </c>
      <c r="O1020" s="20" t="s">
        <v>1004</v>
      </c>
    </row>
    <row r="1021" spans="1:15" ht="15.75" customHeight="1">
      <c r="A1021" s="55" t="s">
        <v>6942</v>
      </c>
      <c r="B1021" s="10" t="s">
        <v>27</v>
      </c>
      <c r="C1021" s="10" t="s">
        <v>868</v>
      </c>
      <c r="D1021" s="13" t="s">
        <v>199</v>
      </c>
      <c r="E1021" s="88" t="s">
        <v>199</v>
      </c>
      <c r="F1021" s="10" t="s">
        <v>6944</v>
      </c>
      <c r="G1021" s="17"/>
      <c r="H1021" s="35" t="s">
        <v>2748</v>
      </c>
      <c r="I1021" s="10" t="s">
        <v>6934</v>
      </c>
      <c r="J1021" s="10" t="s">
        <v>6943</v>
      </c>
      <c r="K1021" s="10" t="s">
        <v>6944</v>
      </c>
      <c r="L1021" s="18" t="str">
        <f t="shared" si="15"/>
        <v>1020</v>
      </c>
      <c r="M1021" s="89" t="s">
        <v>38</v>
      </c>
      <c r="N1021" s="85" t="s">
        <v>875</v>
      </c>
      <c r="O1021" s="20" t="s">
        <v>876</v>
      </c>
    </row>
    <row r="1022" spans="1:15" ht="15.75" customHeight="1">
      <c r="A1022" s="55" t="s">
        <v>6945</v>
      </c>
      <c r="B1022" s="10" t="s">
        <v>27</v>
      </c>
      <c r="C1022" s="10" t="s">
        <v>868</v>
      </c>
      <c r="D1022" s="13" t="s">
        <v>151</v>
      </c>
      <c r="E1022" s="88" t="s">
        <v>6938</v>
      </c>
      <c r="F1022" s="10" t="s">
        <v>6947</v>
      </c>
      <c r="G1022" s="17"/>
      <c r="H1022" s="35" t="s">
        <v>2748</v>
      </c>
      <c r="I1022" s="10" t="s">
        <v>7009</v>
      </c>
      <c r="J1022" s="10" t="s">
        <v>6946</v>
      </c>
      <c r="K1022" s="10" t="s">
        <v>6947</v>
      </c>
      <c r="L1022" s="18" t="str">
        <f t="shared" si="15"/>
        <v>1021</v>
      </c>
      <c r="M1022" s="89" t="s">
        <v>38</v>
      </c>
      <c r="N1022" s="85" t="s">
        <v>875</v>
      </c>
      <c r="O1022" s="20" t="s">
        <v>876</v>
      </c>
    </row>
    <row r="1023" spans="1:15" ht="15.75" customHeight="1">
      <c r="A1023" s="55" t="s">
        <v>6948</v>
      </c>
      <c r="B1023" s="10" t="s">
        <v>1469</v>
      </c>
      <c r="C1023" s="10" t="s">
        <v>868</v>
      </c>
      <c r="D1023" s="13" t="s">
        <v>199</v>
      </c>
      <c r="E1023" s="88" t="s">
        <v>199</v>
      </c>
      <c r="F1023" s="10" t="s">
        <v>6950</v>
      </c>
      <c r="G1023" s="17"/>
      <c r="H1023" s="35" t="s">
        <v>2748</v>
      </c>
      <c r="I1023" s="10" t="s">
        <v>6934</v>
      </c>
      <c r="J1023" s="10" t="s">
        <v>6949</v>
      </c>
      <c r="K1023" s="10" t="s">
        <v>6950</v>
      </c>
      <c r="L1023" s="18" t="str">
        <f t="shared" si="15"/>
        <v>1022</v>
      </c>
      <c r="M1023" s="89" t="s">
        <v>38</v>
      </c>
      <c r="N1023" s="85" t="s">
        <v>2328</v>
      </c>
      <c r="O1023" s="20" t="s">
        <v>3984</v>
      </c>
    </row>
    <row r="1024" spans="1:15" ht="15.75" customHeight="1">
      <c r="A1024" s="10" t="s">
        <v>6951</v>
      </c>
      <c r="B1024" s="10" t="s">
        <v>1469</v>
      </c>
      <c r="C1024" s="10" t="s">
        <v>868</v>
      </c>
      <c r="D1024" s="13" t="s">
        <v>151</v>
      </c>
      <c r="E1024" s="88" t="s">
        <v>6938</v>
      </c>
      <c r="F1024" s="10" t="s">
        <v>6953</v>
      </c>
      <c r="G1024" s="17"/>
      <c r="H1024" s="35" t="s">
        <v>2748</v>
      </c>
      <c r="I1024" s="10" t="s">
        <v>7009</v>
      </c>
      <c r="J1024" s="10" t="s">
        <v>6952</v>
      </c>
      <c r="K1024" s="10" t="s">
        <v>6953</v>
      </c>
      <c r="L1024" s="18" t="str">
        <f t="shared" si="15"/>
        <v>1023</v>
      </c>
      <c r="M1024" s="89" t="s">
        <v>38</v>
      </c>
      <c r="N1024" s="85" t="s">
        <v>2328</v>
      </c>
      <c r="O1024" s="20" t="s">
        <v>3984</v>
      </c>
    </row>
    <row r="1025" spans="1:15" ht="15.75" customHeight="1">
      <c r="A1025" s="10" t="s">
        <v>6954</v>
      </c>
      <c r="B1025" s="10" t="s">
        <v>4410</v>
      </c>
      <c r="C1025" s="10" t="s">
        <v>4411</v>
      </c>
      <c r="D1025" s="13" t="s">
        <v>199</v>
      </c>
      <c r="E1025" s="88" t="s">
        <v>199</v>
      </c>
      <c r="F1025" s="10" t="s">
        <v>6956</v>
      </c>
      <c r="G1025" s="17"/>
      <c r="H1025" s="35" t="s">
        <v>2748</v>
      </c>
      <c r="I1025" s="10" t="s">
        <v>6934</v>
      </c>
      <c r="J1025" s="10" t="s">
        <v>6955</v>
      </c>
      <c r="K1025" s="10" t="s">
        <v>6956</v>
      </c>
      <c r="L1025" s="18" t="str">
        <f t="shared" si="15"/>
        <v>1024</v>
      </c>
      <c r="M1025" s="89" t="s">
        <v>38</v>
      </c>
      <c r="N1025" s="85" t="s">
        <v>4411</v>
      </c>
      <c r="O1025" s="20" t="s">
        <v>5223</v>
      </c>
    </row>
    <row r="1026" spans="1:15" ht="15.75" customHeight="1">
      <c r="A1026" s="10" t="s">
        <v>6957</v>
      </c>
      <c r="B1026" s="10" t="s">
        <v>4410</v>
      </c>
      <c r="C1026" s="10" t="s">
        <v>4411</v>
      </c>
      <c r="D1026" s="13" t="s">
        <v>151</v>
      </c>
      <c r="E1026" s="88" t="s">
        <v>6938</v>
      </c>
      <c r="F1026" s="10" t="s">
        <v>6959</v>
      </c>
      <c r="G1026" s="17"/>
      <c r="H1026" s="35" t="s">
        <v>2748</v>
      </c>
      <c r="I1026" s="10" t="s">
        <v>7009</v>
      </c>
      <c r="J1026" s="10" t="s">
        <v>6958</v>
      </c>
      <c r="K1026" s="10" t="s">
        <v>6959</v>
      </c>
      <c r="L1026" s="18" t="str">
        <f t="shared" ref="L1026:L1089" si="16">A1026</f>
        <v>1025</v>
      </c>
      <c r="M1026" s="89" t="s">
        <v>38</v>
      </c>
      <c r="N1026" s="85" t="s">
        <v>4411</v>
      </c>
      <c r="O1026" s="20" t="s">
        <v>5223</v>
      </c>
    </row>
    <row r="1027" spans="1:15" ht="15.75" customHeight="1">
      <c r="A1027" s="10" t="s">
        <v>6960</v>
      </c>
      <c r="B1027" s="10" t="s">
        <v>1469</v>
      </c>
      <c r="C1027" s="10" t="s">
        <v>1470</v>
      </c>
      <c r="D1027" s="13" t="s">
        <v>2743</v>
      </c>
      <c r="E1027" s="6" t="s">
        <v>2743</v>
      </c>
      <c r="F1027" s="10" t="s">
        <v>85</v>
      </c>
      <c r="G1027" s="17"/>
      <c r="H1027" s="35" t="s">
        <v>205</v>
      </c>
      <c r="I1027" s="10" t="s">
        <v>6961</v>
      </c>
      <c r="J1027" s="10" t="s">
        <v>6962</v>
      </c>
      <c r="K1027" s="10" t="s">
        <v>85</v>
      </c>
      <c r="L1027" s="18" t="str">
        <f t="shared" si="16"/>
        <v>1026</v>
      </c>
      <c r="M1027" s="89" t="s">
        <v>38</v>
      </c>
      <c r="N1027" s="85" t="s">
        <v>1483</v>
      </c>
      <c r="O1027" s="20" t="s">
        <v>1484</v>
      </c>
    </row>
    <row r="1028" spans="1:15" ht="15.75" customHeight="1">
      <c r="A1028" s="10" t="s">
        <v>6963</v>
      </c>
      <c r="B1028" s="10" t="s">
        <v>27</v>
      </c>
      <c r="C1028" s="10" t="s">
        <v>6054</v>
      </c>
      <c r="D1028" s="13" t="s">
        <v>6964</v>
      </c>
      <c r="E1028" s="6" t="s">
        <v>6965</v>
      </c>
      <c r="F1028" s="10" t="s">
        <v>6971</v>
      </c>
      <c r="G1028" s="35" t="s">
        <v>6967</v>
      </c>
      <c r="H1028" s="35" t="s">
        <v>6968</v>
      </c>
      <c r="I1028" s="10" t="s">
        <v>6969</v>
      </c>
      <c r="J1028" s="10" t="s">
        <v>6970</v>
      </c>
      <c r="K1028" s="10" t="s">
        <v>6971</v>
      </c>
      <c r="L1028" s="18" t="str">
        <f t="shared" si="16"/>
        <v>1027</v>
      </c>
      <c r="M1028" s="89" t="s">
        <v>100</v>
      </c>
      <c r="N1028" s="85" t="s">
        <v>6054</v>
      </c>
      <c r="O1028" s="20" t="s">
        <v>6062</v>
      </c>
    </row>
    <row r="1029" spans="1:15" ht="15.75" customHeight="1">
      <c r="A1029" s="10" t="s">
        <v>6972</v>
      </c>
      <c r="B1029" s="10" t="s">
        <v>27</v>
      </c>
      <c r="C1029" s="10" t="s">
        <v>6054</v>
      </c>
      <c r="D1029" s="13" t="s">
        <v>6964</v>
      </c>
      <c r="E1029" s="6" t="s">
        <v>6973</v>
      </c>
      <c r="F1029" s="10" t="s">
        <v>6979</v>
      </c>
      <c r="G1029" s="35" t="s">
        <v>6975</v>
      </c>
      <c r="H1029" s="35" t="s">
        <v>6976</v>
      </c>
      <c r="I1029" s="10" t="s">
        <v>6977</v>
      </c>
      <c r="J1029" s="10" t="s">
        <v>6978</v>
      </c>
      <c r="K1029" s="10" t="s">
        <v>6979</v>
      </c>
      <c r="L1029" s="18" t="str">
        <f t="shared" si="16"/>
        <v>1028</v>
      </c>
      <c r="M1029" s="89" t="s">
        <v>6980</v>
      </c>
      <c r="N1029" s="85" t="s">
        <v>6054</v>
      </c>
      <c r="O1029" s="20" t="s">
        <v>6062</v>
      </c>
    </row>
    <row r="1030" spans="1:15" ht="15.75" customHeight="1">
      <c r="A1030" s="10" t="s">
        <v>6981</v>
      </c>
      <c r="B1030" s="10" t="s">
        <v>27</v>
      </c>
      <c r="C1030" s="10" t="s">
        <v>6054</v>
      </c>
      <c r="D1030" s="13" t="s">
        <v>6964</v>
      </c>
      <c r="E1030" s="6" t="s">
        <v>6982</v>
      </c>
      <c r="F1030" s="10" t="s">
        <v>6988</v>
      </c>
      <c r="G1030" s="35" t="s">
        <v>6984</v>
      </c>
      <c r="H1030" s="35" t="s">
        <v>6985</v>
      </c>
      <c r="I1030" s="10" t="s">
        <v>6986</v>
      </c>
      <c r="J1030" s="10" t="s">
        <v>6987</v>
      </c>
      <c r="K1030" s="10" t="s">
        <v>6988</v>
      </c>
      <c r="L1030" s="18" t="str">
        <f t="shared" si="16"/>
        <v>1029</v>
      </c>
      <c r="M1030" s="89" t="s">
        <v>6980</v>
      </c>
      <c r="N1030" s="85" t="s">
        <v>6054</v>
      </c>
      <c r="O1030" s="20" t="s">
        <v>6062</v>
      </c>
    </row>
    <row r="1031" spans="1:15" ht="15.75" customHeight="1">
      <c r="A1031" s="10" t="s">
        <v>6989</v>
      </c>
      <c r="B1031" s="10" t="s">
        <v>27</v>
      </c>
      <c r="C1031" s="10" t="s">
        <v>28</v>
      </c>
      <c r="D1031" s="13" t="s">
        <v>6964</v>
      </c>
      <c r="E1031" s="6" t="s">
        <v>6990</v>
      </c>
      <c r="F1031" s="10" t="s">
        <v>6996</v>
      </c>
      <c r="G1031" s="35" t="s">
        <v>6992</v>
      </c>
      <c r="H1031" s="35" t="s">
        <v>6993</v>
      </c>
      <c r="I1031" s="10" t="s">
        <v>6994</v>
      </c>
      <c r="J1031" s="10" t="s">
        <v>6995</v>
      </c>
      <c r="K1031" s="10" t="s">
        <v>6996</v>
      </c>
      <c r="L1031" s="18" t="str">
        <f t="shared" si="16"/>
        <v>1030</v>
      </c>
      <c r="M1031" s="89" t="s">
        <v>517</v>
      </c>
      <c r="N1031" s="85" t="s">
        <v>28</v>
      </c>
      <c r="O1031" s="20" t="s">
        <v>40</v>
      </c>
    </row>
    <row r="1032" spans="1:15" ht="15.75" customHeight="1">
      <c r="A1032" s="10" t="s">
        <v>6997</v>
      </c>
      <c r="B1032" s="10" t="s">
        <v>27</v>
      </c>
      <c r="C1032" s="10" t="s">
        <v>28</v>
      </c>
      <c r="D1032" s="13" t="s">
        <v>6964</v>
      </c>
      <c r="E1032" s="6" t="s">
        <v>6998</v>
      </c>
      <c r="F1032" s="10" t="s">
        <v>7004</v>
      </c>
      <c r="G1032" s="35" t="s">
        <v>7000</v>
      </c>
      <c r="H1032" s="35" t="s">
        <v>7001</v>
      </c>
      <c r="I1032" s="10" t="s">
        <v>7002</v>
      </c>
      <c r="J1032" s="10" t="s">
        <v>7003</v>
      </c>
      <c r="K1032" s="10" t="s">
        <v>7004</v>
      </c>
      <c r="L1032" s="18" t="str">
        <f t="shared" si="16"/>
        <v>1031</v>
      </c>
      <c r="M1032" s="89" t="s">
        <v>6980</v>
      </c>
      <c r="N1032" s="85" t="s">
        <v>28</v>
      </c>
      <c r="O1032" s="20" t="s">
        <v>40</v>
      </c>
    </row>
    <row r="1033" spans="1:15" ht="15.75" customHeight="1">
      <c r="A1033" s="93">
        <v>1032</v>
      </c>
      <c r="B1033" s="94" t="s">
        <v>1469</v>
      </c>
      <c r="C1033" s="94" t="s">
        <v>1470</v>
      </c>
      <c r="D1033" s="96" t="s">
        <v>7005</v>
      </c>
      <c r="E1033" s="97" t="s">
        <v>7006</v>
      </c>
      <c r="F1033" s="80" t="s">
        <v>85</v>
      </c>
      <c r="G1033" s="35"/>
      <c r="H1033" s="98" t="s">
        <v>2748</v>
      </c>
      <c r="I1033" s="94" t="s">
        <v>7007</v>
      </c>
      <c r="J1033" s="94" t="s">
        <v>36</v>
      </c>
      <c r="K1033" s="80" t="s">
        <v>85</v>
      </c>
      <c r="L1033" s="18">
        <f t="shared" si="16"/>
        <v>1032</v>
      </c>
      <c r="M1033" s="99" t="s">
        <v>38</v>
      </c>
      <c r="N1033" s="100" t="s">
        <v>3091</v>
      </c>
      <c r="O1033" s="101" t="s">
        <v>3151</v>
      </c>
    </row>
    <row r="1034" spans="1:15" ht="15.75" customHeight="1">
      <c r="A1034" s="93">
        <v>1033</v>
      </c>
      <c r="B1034" s="94" t="s">
        <v>4410</v>
      </c>
      <c r="C1034" s="94" t="s">
        <v>6054</v>
      </c>
      <c r="D1034" s="96" t="s">
        <v>151</v>
      </c>
      <c r="E1034" s="97" t="s">
        <v>7008</v>
      </c>
      <c r="F1034" s="103" t="s">
        <v>7011</v>
      </c>
      <c r="G1034" s="17"/>
      <c r="H1034" s="98" t="s">
        <v>2748</v>
      </c>
      <c r="I1034" s="94" t="s">
        <v>7009</v>
      </c>
      <c r="J1034" s="94" t="s">
        <v>7010</v>
      </c>
      <c r="K1034" s="103" t="s">
        <v>7011</v>
      </c>
      <c r="L1034" s="18">
        <f t="shared" si="16"/>
        <v>1033</v>
      </c>
      <c r="M1034" s="99" t="s">
        <v>38</v>
      </c>
      <c r="N1034" s="100" t="s">
        <v>6054</v>
      </c>
      <c r="O1034" s="101" t="s">
        <v>6062</v>
      </c>
    </row>
    <row r="1035" spans="1:15" ht="15.75" customHeight="1">
      <c r="A1035" s="93">
        <v>1034</v>
      </c>
      <c r="B1035" s="94" t="s">
        <v>27</v>
      </c>
      <c r="C1035" s="94" t="s">
        <v>28</v>
      </c>
      <c r="D1035" s="13" t="s">
        <v>5778</v>
      </c>
      <c r="E1035" s="97" t="s">
        <v>7012</v>
      </c>
      <c r="F1035" s="91" t="s">
        <v>7333</v>
      </c>
      <c r="G1035" s="17"/>
      <c r="H1035" s="98" t="s">
        <v>7013</v>
      </c>
      <c r="I1035" s="91" t="s">
        <v>7014</v>
      </c>
      <c r="J1035" s="91" t="s">
        <v>7015</v>
      </c>
      <c r="K1035" s="91" t="s">
        <v>7016</v>
      </c>
      <c r="L1035" s="18">
        <f t="shared" si="16"/>
        <v>1034</v>
      </c>
      <c r="M1035" s="99" t="s">
        <v>38</v>
      </c>
      <c r="N1035" s="100" t="s">
        <v>28</v>
      </c>
      <c r="O1035" s="101" t="s">
        <v>40</v>
      </c>
    </row>
    <row r="1036" spans="1:15" ht="15.75" customHeight="1">
      <c r="A1036" s="93">
        <v>1035</v>
      </c>
      <c r="B1036" s="94" t="s">
        <v>474</v>
      </c>
      <c r="C1036" s="94" t="s">
        <v>28</v>
      </c>
      <c r="D1036" s="13" t="s">
        <v>5778</v>
      </c>
      <c r="E1036" s="97" t="s">
        <v>7012</v>
      </c>
      <c r="F1036" s="91" t="s">
        <v>7334</v>
      </c>
      <c r="G1036" s="17"/>
      <c r="H1036" s="98" t="s">
        <v>7013</v>
      </c>
      <c r="I1036" s="91" t="s">
        <v>7014</v>
      </c>
      <c r="J1036" s="91" t="s">
        <v>7018</v>
      </c>
      <c r="K1036" s="91" t="s">
        <v>7019</v>
      </c>
      <c r="L1036" s="18">
        <f t="shared" si="16"/>
        <v>1035</v>
      </c>
      <c r="M1036" s="99" t="s">
        <v>38</v>
      </c>
      <c r="N1036" s="100" t="s">
        <v>28</v>
      </c>
      <c r="O1036" s="101" t="s">
        <v>40</v>
      </c>
    </row>
    <row r="1037" spans="1:15" ht="15.75" customHeight="1">
      <c r="A1037" s="93">
        <v>1036</v>
      </c>
      <c r="B1037" s="94" t="s">
        <v>27</v>
      </c>
      <c r="C1037" s="94" t="s">
        <v>28</v>
      </c>
      <c r="D1037" s="96" t="s">
        <v>7021</v>
      </c>
      <c r="E1037" s="97" t="s">
        <v>7022</v>
      </c>
      <c r="F1037" s="91" t="s">
        <v>7335</v>
      </c>
      <c r="G1037" s="35"/>
      <c r="H1037" s="98" t="s">
        <v>2403</v>
      </c>
      <c r="I1037" s="13" t="s">
        <v>7336</v>
      </c>
      <c r="J1037" s="91" t="s">
        <v>7337</v>
      </c>
      <c r="K1037" s="91" t="s">
        <v>7025</v>
      </c>
      <c r="L1037" s="18">
        <f t="shared" si="16"/>
        <v>1036</v>
      </c>
      <c r="M1037" s="99" t="s">
        <v>38</v>
      </c>
      <c r="N1037" s="100" t="s">
        <v>723</v>
      </c>
      <c r="O1037" s="101" t="s">
        <v>7026</v>
      </c>
    </row>
    <row r="1038" spans="1:15" ht="15.75" customHeight="1">
      <c r="A1038" s="93">
        <v>1037</v>
      </c>
      <c r="B1038" s="94" t="s">
        <v>27</v>
      </c>
      <c r="C1038" s="94" t="s">
        <v>28</v>
      </c>
      <c r="D1038" s="96" t="s">
        <v>7005</v>
      </c>
      <c r="E1038" s="97" t="s">
        <v>7028</v>
      </c>
      <c r="F1038" s="91" t="s">
        <v>7338</v>
      </c>
      <c r="G1038" s="17"/>
      <c r="H1038" s="98" t="s">
        <v>2748</v>
      </c>
      <c r="I1038" s="96" t="s">
        <v>7029</v>
      </c>
      <c r="J1038" s="91" t="s">
        <v>7030</v>
      </c>
      <c r="K1038" s="91" t="s">
        <v>7031</v>
      </c>
      <c r="L1038" s="18">
        <f t="shared" si="16"/>
        <v>1037</v>
      </c>
      <c r="M1038" s="99" t="s">
        <v>38</v>
      </c>
      <c r="N1038" s="100" t="s">
        <v>723</v>
      </c>
      <c r="O1038" s="101" t="s">
        <v>7026</v>
      </c>
    </row>
    <row r="1039" spans="1:15" ht="15.75" customHeight="1">
      <c r="A1039" s="93">
        <v>1038</v>
      </c>
      <c r="B1039" s="94" t="s">
        <v>1469</v>
      </c>
      <c r="C1039" s="94" t="s">
        <v>1470</v>
      </c>
      <c r="D1039" s="96" t="s">
        <v>7033</v>
      </c>
      <c r="E1039" s="97" t="s">
        <v>7034</v>
      </c>
      <c r="F1039" s="91" t="s">
        <v>7339</v>
      </c>
      <c r="G1039" s="35"/>
      <c r="H1039" s="98" t="s">
        <v>216</v>
      </c>
      <c r="I1039" s="91" t="s">
        <v>7035</v>
      </c>
      <c r="J1039" s="91" t="s">
        <v>7036</v>
      </c>
      <c r="K1039" s="91" t="s">
        <v>7037</v>
      </c>
      <c r="L1039" s="18">
        <f t="shared" si="16"/>
        <v>1038</v>
      </c>
      <c r="M1039" s="99" t="s">
        <v>38</v>
      </c>
      <c r="N1039" s="100" t="s">
        <v>1483</v>
      </c>
      <c r="O1039" s="101" t="s">
        <v>1484</v>
      </c>
    </row>
    <row r="1040" spans="1:15" ht="15.75" customHeight="1">
      <c r="A1040" s="93">
        <v>1039</v>
      </c>
      <c r="B1040" s="94" t="s">
        <v>1469</v>
      </c>
      <c r="C1040" s="94" t="s">
        <v>1470</v>
      </c>
      <c r="D1040" s="96" t="s">
        <v>248</v>
      </c>
      <c r="E1040" s="97" t="s">
        <v>7039</v>
      </c>
      <c r="F1040" s="91" t="s">
        <v>7340</v>
      </c>
      <c r="G1040" s="35"/>
      <c r="H1040" s="98" t="s">
        <v>7040</v>
      </c>
      <c r="I1040" s="94" t="s">
        <v>7041</v>
      </c>
      <c r="J1040" s="91" t="s">
        <v>7042</v>
      </c>
      <c r="K1040" s="91" t="s">
        <v>7340</v>
      </c>
      <c r="L1040" s="18">
        <f t="shared" si="16"/>
        <v>1039</v>
      </c>
      <c r="M1040" s="99" t="s">
        <v>38</v>
      </c>
      <c r="N1040" s="100" t="s">
        <v>1483</v>
      </c>
      <c r="O1040" s="101" t="s">
        <v>1484</v>
      </c>
    </row>
    <row r="1041" spans="1:15" ht="15.75" customHeight="1">
      <c r="A1041" s="93">
        <v>1040</v>
      </c>
      <c r="B1041" s="94" t="s">
        <v>4410</v>
      </c>
      <c r="C1041" s="94" t="s">
        <v>6054</v>
      </c>
      <c r="D1041" s="96" t="s">
        <v>7044</v>
      </c>
      <c r="E1041" s="97" t="s">
        <v>7045</v>
      </c>
      <c r="F1041" s="91" t="s">
        <v>7341</v>
      </c>
      <c r="G1041" s="35"/>
      <c r="H1041" s="98" t="s">
        <v>7046</v>
      </c>
      <c r="I1041" s="91" t="s">
        <v>7047</v>
      </c>
      <c r="J1041" s="91" t="s">
        <v>7048</v>
      </c>
      <c r="K1041" s="91" t="s">
        <v>7049</v>
      </c>
      <c r="L1041" s="18">
        <f t="shared" si="16"/>
        <v>1040</v>
      </c>
      <c r="M1041" s="99" t="s">
        <v>38</v>
      </c>
      <c r="N1041" s="100" t="s">
        <v>6054</v>
      </c>
      <c r="O1041" s="101" t="s">
        <v>6062</v>
      </c>
    </row>
    <row r="1042" spans="1:15" ht="15.75" customHeight="1">
      <c r="A1042" s="93">
        <v>1041</v>
      </c>
      <c r="B1042" s="94" t="s">
        <v>1469</v>
      </c>
      <c r="C1042" s="94" t="s">
        <v>1470</v>
      </c>
      <c r="D1042" s="96" t="s">
        <v>7342</v>
      </c>
      <c r="E1042" s="97" t="s">
        <v>7052</v>
      </c>
      <c r="F1042" s="91" t="s">
        <v>7343</v>
      </c>
      <c r="G1042" s="17"/>
      <c r="H1042" s="98" t="s">
        <v>3069</v>
      </c>
      <c r="I1042" s="94" t="s">
        <v>7053</v>
      </c>
      <c r="J1042" s="94" t="s">
        <v>7054</v>
      </c>
      <c r="K1042" s="103" t="s">
        <v>7055</v>
      </c>
      <c r="L1042" s="18">
        <f t="shared" si="16"/>
        <v>1041</v>
      </c>
      <c r="M1042" s="99" t="s">
        <v>38</v>
      </c>
      <c r="N1042" s="100" t="s">
        <v>1483</v>
      </c>
      <c r="O1042" s="101" t="s">
        <v>1484</v>
      </c>
    </row>
    <row r="1043" spans="1:15" ht="15.75" customHeight="1">
      <c r="A1043" s="93">
        <v>1042</v>
      </c>
      <c r="B1043" s="94" t="s">
        <v>27</v>
      </c>
      <c r="C1043" s="94" t="s">
        <v>28</v>
      </c>
      <c r="D1043" s="96" t="s">
        <v>2352</v>
      </c>
      <c r="E1043" s="97" t="s">
        <v>7057</v>
      </c>
      <c r="F1043" s="91" t="s">
        <v>7344</v>
      </c>
      <c r="G1043" s="108"/>
      <c r="H1043" s="109" t="s">
        <v>2599</v>
      </c>
      <c r="I1043" s="91" t="s">
        <v>7058</v>
      </c>
      <c r="J1043" s="91" t="s">
        <v>7059</v>
      </c>
      <c r="K1043" s="91" t="s">
        <v>7060</v>
      </c>
      <c r="L1043" s="18">
        <f t="shared" si="16"/>
        <v>1042</v>
      </c>
      <c r="M1043" s="99" t="s">
        <v>38</v>
      </c>
      <c r="N1043" s="110" t="s">
        <v>723</v>
      </c>
      <c r="O1043" s="101" t="s">
        <v>724</v>
      </c>
    </row>
    <row r="1044" spans="1:15" ht="15.75" customHeight="1">
      <c r="A1044" s="93">
        <v>1043</v>
      </c>
      <c r="B1044" s="94" t="s">
        <v>1469</v>
      </c>
      <c r="C1044" s="94" t="s">
        <v>868</v>
      </c>
      <c r="D1044" s="96" t="s">
        <v>7062</v>
      </c>
      <c r="E1044" s="97" t="s">
        <v>7063</v>
      </c>
      <c r="F1044" s="91" t="s">
        <v>7345</v>
      </c>
      <c r="G1044" s="108"/>
      <c r="H1044" s="98" t="s">
        <v>2748</v>
      </c>
      <c r="I1044" s="94" t="s">
        <v>7064</v>
      </c>
      <c r="J1044" s="111" t="s">
        <v>7065</v>
      </c>
      <c r="K1044" s="91" t="s">
        <v>7066</v>
      </c>
      <c r="L1044" s="18">
        <f t="shared" si="16"/>
        <v>1043</v>
      </c>
      <c r="M1044" s="99" t="s">
        <v>38</v>
      </c>
      <c r="N1044" s="110" t="s">
        <v>868</v>
      </c>
      <c r="O1044" s="20" t="s">
        <v>3450</v>
      </c>
    </row>
    <row r="1045" spans="1:15" ht="15.75" customHeight="1">
      <c r="A1045" s="113">
        <v>1044</v>
      </c>
      <c r="B1045" s="94" t="s">
        <v>1469</v>
      </c>
      <c r="C1045" s="94" t="s">
        <v>868</v>
      </c>
      <c r="D1045" s="96" t="s">
        <v>378</v>
      </c>
      <c r="E1045" s="114" t="s">
        <v>7068</v>
      </c>
      <c r="F1045" s="91" t="s">
        <v>7070</v>
      </c>
      <c r="G1045" s="108"/>
      <c r="H1045" s="98" t="s">
        <v>35</v>
      </c>
      <c r="I1045" s="94" t="s">
        <v>7069</v>
      </c>
      <c r="J1045" s="91" t="s">
        <v>36</v>
      </c>
      <c r="K1045" s="91" t="s">
        <v>7070</v>
      </c>
      <c r="L1045" s="18">
        <f t="shared" si="16"/>
        <v>1044</v>
      </c>
      <c r="M1045" s="99" t="s">
        <v>38</v>
      </c>
      <c r="N1045" s="110" t="s">
        <v>868</v>
      </c>
      <c r="O1045" s="101" t="s">
        <v>3450</v>
      </c>
    </row>
    <row r="1046" spans="1:15" ht="15.75" customHeight="1">
      <c r="A1046" s="113">
        <v>1045</v>
      </c>
      <c r="B1046" s="94" t="s">
        <v>1469</v>
      </c>
      <c r="C1046" s="94" t="s">
        <v>868</v>
      </c>
      <c r="D1046" s="96" t="s">
        <v>378</v>
      </c>
      <c r="E1046" s="114" t="s">
        <v>7068</v>
      </c>
      <c r="F1046" s="91" t="s">
        <v>7072</v>
      </c>
      <c r="G1046" s="108"/>
      <c r="H1046" s="98" t="s">
        <v>35</v>
      </c>
      <c r="I1046" s="91" t="s">
        <v>7069</v>
      </c>
      <c r="J1046" s="91" t="s">
        <v>36</v>
      </c>
      <c r="K1046" s="91" t="s">
        <v>7072</v>
      </c>
      <c r="L1046" s="18">
        <f t="shared" si="16"/>
        <v>1045</v>
      </c>
      <c r="M1046" s="99" t="s">
        <v>38</v>
      </c>
      <c r="N1046" s="110" t="s">
        <v>868</v>
      </c>
      <c r="O1046" s="101" t="s">
        <v>3450</v>
      </c>
    </row>
    <row r="1047" spans="1:15" ht="15.75" customHeight="1">
      <c r="A1047" s="93">
        <v>1046</v>
      </c>
      <c r="B1047" s="94" t="s">
        <v>4410</v>
      </c>
      <c r="C1047" s="94" t="s">
        <v>4411</v>
      </c>
      <c r="D1047" s="96" t="s">
        <v>151</v>
      </c>
      <c r="E1047" s="97" t="s">
        <v>7073</v>
      </c>
      <c r="F1047" s="91" t="s">
        <v>7346</v>
      </c>
      <c r="G1047" s="108"/>
      <c r="H1047" s="98" t="s">
        <v>2317</v>
      </c>
      <c r="I1047" s="94" t="s">
        <v>7074</v>
      </c>
      <c r="J1047" s="91" t="s">
        <v>7075</v>
      </c>
      <c r="K1047" s="91" t="s">
        <v>7076</v>
      </c>
      <c r="L1047" s="18">
        <f t="shared" si="16"/>
        <v>1046</v>
      </c>
      <c r="M1047" s="99" t="s">
        <v>38</v>
      </c>
      <c r="N1047" s="110" t="s">
        <v>4411</v>
      </c>
      <c r="O1047" s="101" t="s">
        <v>4935</v>
      </c>
    </row>
    <row r="1048" spans="1:15" ht="15.75" customHeight="1">
      <c r="A1048" s="93">
        <v>1047</v>
      </c>
      <c r="B1048" s="94" t="s">
        <v>1469</v>
      </c>
      <c r="C1048" s="94" t="s">
        <v>868</v>
      </c>
      <c r="D1048" s="96" t="s">
        <v>7005</v>
      </c>
      <c r="E1048" s="97" t="s">
        <v>7078</v>
      </c>
      <c r="F1048" s="91" t="s">
        <v>7347</v>
      </c>
      <c r="G1048" s="108"/>
      <c r="H1048" s="98" t="s">
        <v>2748</v>
      </c>
      <c r="I1048" s="91" t="s">
        <v>7348</v>
      </c>
      <c r="J1048" s="17" t="s">
        <v>36</v>
      </c>
      <c r="K1048" s="91" t="s">
        <v>7081</v>
      </c>
      <c r="L1048" s="18">
        <f t="shared" si="16"/>
        <v>1047</v>
      </c>
      <c r="M1048" s="99" t="s">
        <v>38</v>
      </c>
      <c r="N1048" s="110" t="s">
        <v>868</v>
      </c>
      <c r="O1048" s="20" t="s">
        <v>3840</v>
      </c>
    </row>
    <row r="1049" spans="1:15" ht="15.75" customHeight="1">
      <c r="A1049" s="93">
        <v>1048</v>
      </c>
      <c r="B1049" s="94" t="s">
        <v>1469</v>
      </c>
      <c r="C1049" s="94" t="s">
        <v>868</v>
      </c>
      <c r="D1049" s="96" t="s">
        <v>1275</v>
      </c>
      <c r="E1049" s="97" t="s">
        <v>7349</v>
      </c>
      <c r="F1049" s="91" t="s">
        <v>7350</v>
      </c>
      <c r="G1049" s="108"/>
      <c r="H1049" s="98" t="s">
        <v>2748</v>
      </c>
      <c r="I1049" s="91" t="s">
        <v>7084</v>
      </c>
      <c r="J1049" s="91" t="s">
        <v>7085</v>
      </c>
      <c r="K1049" s="91" t="s">
        <v>7086</v>
      </c>
      <c r="L1049" s="18">
        <f t="shared" si="16"/>
        <v>1048</v>
      </c>
      <c r="M1049" s="99" t="s">
        <v>38</v>
      </c>
      <c r="N1049" s="110" t="s">
        <v>868</v>
      </c>
      <c r="O1049" s="20" t="s">
        <v>3450</v>
      </c>
    </row>
    <row r="1050" spans="1:15" ht="15.75" customHeight="1">
      <c r="A1050" s="93">
        <v>1049</v>
      </c>
      <c r="B1050" s="94" t="s">
        <v>1469</v>
      </c>
      <c r="C1050" s="94" t="s">
        <v>1470</v>
      </c>
      <c r="D1050" s="96" t="s">
        <v>184</v>
      </c>
      <c r="E1050" s="97" t="s">
        <v>7087</v>
      </c>
      <c r="F1050" s="91" t="s">
        <v>7351</v>
      </c>
      <c r="G1050" s="108"/>
      <c r="H1050" s="98" t="s">
        <v>7088</v>
      </c>
      <c r="I1050" s="94" t="s">
        <v>7089</v>
      </c>
      <c r="J1050" s="17" t="s">
        <v>36</v>
      </c>
      <c r="K1050" s="91" t="s">
        <v>7090</v>
      </c>
      <c r="L1050" s="18">
        <f t="shared" si="16"/>
        <v>1049</v>
      </c>
      <c r="M1050" s="18" t="s">
        <v>38</v>
      </c>
      <c r="N1050" s="110" t="s">
        <v>1548</v>
      </c>
      <c r="O1050" s="20" t="s">
        <v>687</v>
      </c>
    </row>
    <row r="1051" spans="1:15" ht="15.75" customHeight="1">
      <c r="A1051" s="93">
        <v>1050</v>
      </c>
      <c r="B1051" s="94" t="s">
        <v>4410</v>
      </c>
      <c r="C1051" s="94" t="s">
        <v>4411</v>
      </c>
      <c r="D1051" s="96" t="s">
        <v>184</v>
      </c>
      <c r="E1051" s="97" t="s">
        <v>7087</v>
      </c>
      <c r="F1051" s="91" t="s">
        <v>7352</v>
      </c>
      <c r="G1051" s="108"/>
      <c r="H1051" s="98" t="s">
        <v>7088</v>
      </c>
      <c r="I1051" s="94" t="s">
        <v>7089</v>
      </c>
      <c r="J1051" s="94" t="s">
        <v>7093</v>
      </c>
      <c r="K1051" s="91" t="s">
        <v>7094</v>
      </c>
      <c r="L1051" s="18">
        <f t="shared" si="16"/>
        <v>1050</v>
      </c>
      <c r="M1051" s="18" t="s">
        <v>38</v>
      </c>
      <c r="N1051" s="110" t="s">
        <v>4416</v>
      </c>
      <c r="O1051" s="101" t="s">
        <v>5584</v>
      </c>
    </row>
    <row r="1052" spans="1:15" ht="15.75" customHeight="1">
      <c r="A1052" s="93">
        <v>1051</v>
      </c>
      <c r="B1052" s="94" t="s">
        <v>27</v>
      </c>
      <c r="C1052" s="94" t="s">
        <v>868</v>
      </c>
      <c r="D1052" s="96" t="s">
        <v>378</v>
      </c>
      <c r="E1052" s="97" t="s">
        <v>7095</v>
      </c>
      <c r="F1052" s="91" t="s">
        <v>7353</v>
      </c>
      <c r="G1052" s="108"/>
      <c r="H1052" s="98" t="s">
        <v>4684</v>
      </c>
      <c r="I1052" s="94" t="s">
        <v>7096</v>
      </c>
      <c r="J1052" s="94" t="s">
        <v>7093</v>
      </c>
      <c r="K1052" s="91" t="s">
        <v>7097</v>
      </c>
      <c r="L1052" s="18">
        <f t="shared" si="16"/>
        <v>1051</v>
      </c>
      <c r="M1052" s="99" t="s">
        <v>38</v>
      </c>
      <c r="N1052" s="110" t="s">
        <v>875</v>
      </c>
      <c r="O1052" s="20" t="s">
        <v>4629</v>
      </c>
    </row>
    <row r="1053" spans="1:15" ht="15.75" customHeight="1">
      <c r="A1053" s="93">
        <v>1052</v>
      </c>
      <c r="B1053" s="94" t="s">
        <v>1469</v>
      </c>
      <c r="C1053" s="94" t="s">
        <v>868</v>
      </c>
      <c r="D1053" s="96" t="s">
        <v>378</v>
      </c>
      <c r="E1053" s="97" t="s">
        <v>7095</v>
      </c>
      <c r="F1053" s="91" t="s">
        <v>7354</v>
      </c>
      <c r="G1053" s="108"/>
      <c r="H1053" s="98" t="s">
        <v>4684</v>
      </c>
      <c r="I1053" s="94" t="s">
        <v>7096</v>
      </c>
      <c r="J1053" s="94" t="s">
        <v>7093</v>
      </c>
      <c r="K1053" s="91" t="s">
        <v>7099</v>
      </c>
      <c r="L1053" s="18">
        <f t="shared" si="16"/>
        <v>1052</v>
      </c>
      <c r="M1053" s="99" t="s">
        <v>38</v>
      </c>
      <c r="N1053" s="110" t="s">
        <v>868</v>
      </c>
      <c r="O1053" s="20" t="s">
        <v>1665</v>
      </c>
    </row>
    <row r="1054" spans="1:15" ht="15.75" customHeight="1">
      <c r="A1054" s="93">
        <v>1053</v>
      </c>
      <c r="B1054" s="94" t="s">
        <v>1469</v>
      </c>
      <c r="C1054" s="94" t="s">
        <v>1470</v>
      </c>
      <c r="D1054" s="96" t="s">
        <v>378</v>
      </c>
      <c r="E1054" s="97" t="s">
        <v>7095</v>
      </c>
      <c r="F1054" s="91" t="s">
        <v>7355</v>
      </c>
      <c r="G1054" s="108"/>
      <c r="H1054" s="98" t="s">
        <v>4684</v>
      </c>
      <c r="I1054" s="94" t="s">
        <v>7096</v>
      </c>
      <c r="J1054" s="94" t="s">
        <v>7093</v>
      </c>
      <c r="K1054" s="91" t="s">
        <v>7100</v>
      </c>
      <c r="L1054" s="18">
        <f t="shared" si="16"/>
        <v>1053</v>
      </c>
      <c r="M1054" s="99" t="s">
        <v>38</v>
      </c>
      <c r="N1054" s="110" t="s">
        <v>1470</v>
      </c>
      <c r="O1054" s="101" t="s">
        <v>1477</v>
      </c>
    </row>
    <row r="1055" spans="1:15" ht="15.75" customHeight="1">
      <c r="A1055" s="93">
        <v>1054</v>
      </c>
      <c r="B1055" s="94" t="s">
        <v>1469</v>
      </c>
      <c r="C1055" s="94" t="s">
        <v>1470</v>
      </c>
      <c r="D1055" s="116" t="s">
        <v>378</v>
      </c>
      <c r="E1055" s="117" t="s">
        <v>7095</v>
      </c>
      <c r="F1055" s="91" t="s">
        <v>7356</v>
      </c>
      <c r="G1055" s="108"/>
      <c r="H1055" s="98" t="s">
        <v>4684</v>
      </c>
      <c r="I1055" s="94" t="s">
        <v>7096</v>
      </c>
      <c r="J1055" s="94" t="s">
        <v>7093</v>
      </c>
      <c r="K1055" s="91" t="s">
        <v>7102</v>
      </c>
      <c r="L1055" s="18">
        <f t="shared" si="16"/>
        <v>1054</v>
      </c>
      <c r="M1055" s="99" t="s">
        <v>38</v>
      </c>
      <c r="N1055" s="110" t="s">
        <v>1470</v>
      </c>
      <c r="O1055" s="101" t="s">
        <v>1477</v>
      </c>
    </row>
    <row r="1056" spans="1:15" ht="15.75" customHeight="1">
      <c r="A1056" s="93">
        <v>1055</v>
      </c>
      <c r="B1056" s="94" t="s">
        <v>27</v>
      </c>
      <c r="C1056" s="94" t="s">
        <v>28</v>
      </c>
      <c r="D1056" s="96" t="s">
        <v>184</v>
      </c>
      <c r="E1056" s="97" t="s">
        <v>7087</v>
      </c>
      <c r="F1056" s="118" t="s">
        <v>7103</v>
      </c>
      <c r="G1056" s="108"/>
      <c r="H1056" s="98" t="s">
        <v>7088</v>
      </c>
      <c r="I1056" s="94" t="s">
        <v>7089</v>
      </c>
      <c r="J1056" s="94" t="s">
        <v>7093</v>
      </c>
      <c r="K1056" s="118" t="s">
        <v>7103</v>
      </c>
      <c r="L1056" s="18">
        <f t="shared" si="16"/>
        <v>1055</v>
      </c>
      <c r="M1056" s="99" t="s">
        <v>38</v>
      </c>
      <c r="N1056" s="110" t="s">
        <v>28</v>
      </c>
      <c r="O1056" s="101" t="s">
        <v>332</v>
      </c>
    </row>
    <row r="1057" spans="1:15" ht="15.75" customHeight="1">
      <c r="A1057" s="93">
        <v>1056</v>
      </c>
      <c r="B1057" s="94" t="s">
        <v>27</v>
      </c>
      <c r="C1057" s="94" t="s">
        <v>1470</v>
      </c>
      <c r="D1057" s="96" t="s">
        <v>151</v>
      </c>
      <c r="E1057" s="97" t="s">
        <v>7105</v>
      </c>
      <c r="F1057" s="91" t="s">
        <v>7107</v>
      </c>
      <c r="G1057" s="108"/>
      <c r="H1057" s="98" t="s">
        <v>2748</v>
      </c>
      <c r="I1057" s="94" t="s">
        <v>7009</v>
      </c>
      <c r="J1057" s="94" t="s">
        <v>7106</v>
      </c>
      <c r="K1057" s="91" t="s">
        <v>7107</v>
      </c>
      <c r="L1057" s="18">
        <f t="shared" si="16"/>
        <v>1056</v>
      </c>
      <c r="M1057" s="99" t="s">
        <v>38</v>
      </c>
      <c r="N1057" s="110" t="s">
        <v>1548</v>
      </c>
      <c r="O1057" s="101" t="s">
        <v>2052</v>
      </c>
    </row>
    <row r="1058" spans="1:15" ht="15.75" customHeight="1">
      <c r="A1058" s="93">
        <v>1057</v>
      </c>
      <c r="B1058" s="94" t="s">
        <v>27</v>
      </c>
      <c r="C1058" s="94" t="s">
        <v>1470</v>
      </c>
      <c r="D1058" s="96" t="s">
        <v>199</v>
      </c>
      <c r="E1058" s="97" t="s">
        <v>199</v>
      </c>
      <c r="F1058" s="91" t="s">
        <v>7110</v>
      </c>
      <c r="G1058" s="108"/>
      <c r="H1058" s="98" t="s">
        <v>2748</v>
      </c>
      <c r="I1058" s="94" t="s">
        <v>7120</v>
      </c>
      <c r="J1058" s="94" t="s">
        <v>7109</v>
      </c>
      <c r="K1058" s="91" t="s">
        <v>7110</v>
      </c>
      <c r="L1058" s="18">
        <f t="shared" si="16"/>
        <v>1057</v>
      </c>
      <c r="M1058" s="99" t="s">
        <v>38</v>
      </c>
      <c r="N1058" s="110" t="s">
        <v>1548</v>
      </c>
      <c r="O1058" s="101" t="s">
        <v>2052</v>
      </c>
    </row>
    <row r="1059" spans="1:15" ht="15.75" customHeight="1">
      <c r="A1059" s="93">
        <v>1058</v>
      </c>
      <c r="B1059" s="94" t="s">
        <v>1469</v>
      </c>
      <c r="C1059" s="94" t="s">
        <v>868</v>
      </c>
      <c r="D1059" s="96" t="s">
        <v>378</v>
      </c>
      <c r="E1059" s="97" t="s">
        <v>7095</v>
      </c>
      <c r="F1059" s="91" t="s">
        <v>7111</v>
      </c>
      <c r="G1059" s="108"/>
      <c r="H1059" s="98" t="s">
        <v>4684</v>
      </c>
      <c r="I1059" s="94" t="s">
        <v>7096</v>
      </c>
      <c r="J1059" s="94" t="s">
        <v>36</v>
      </c>
      <c r="K1059" s="91" t="s">
        <v>7111</v>
      </c>
      <c r="L1059" s="18">
        <f t="shared" si="16"/>
        <v>1058</v>
      </c>
      <c r="M1059" s="99" t="s">
        <v>38</v>
      </c>
      <c r="N1059" s="110" t="s">
        <v>868</v>
      </c>
      <c r="O1059" s="101" t="s">
        <v>3450</v>
      </c>
    </row>
    <row r="1060" spans="1:15" ht="15.75" customHeight="1">
      <c r="A1060" s="93">
        <v>1059</v>
      </c>
      <c r="B1060" s="94" t="s">
        <v>27</v>
      </c>
      <c r="C1060" s="94" t="s">
        <v>1470</v>
      </c>
      <c r="D1060" s="96" t="s">
        <v>184</v>
      </c>
      <c r="E1060" s="97" t="s">
        <v>7112</v>
      </c>
      <c r="F1060" s="91" t="s">
        <v>7357</v>
      </c>
      <c r="G1060" s="108"/>
      <c r="H1060" s="98" t="s">
        <v>7088</v>
      </c>
      <c r="I1060" s="94" t="s">
        <v>7113</v>
      </c>
      <c r="J1060" s="94" t="s">
        <v>7093</v>
      </c>
      <c r="K1060" s="118" t="s">
        <v>7114</v>
      </c>
      <c r="L1060" s="18">
        <f t="shared" si="16"/>
        <v>1059</v>
      </c>
      <c r="M1060" s="99" t="s">
        <v>38</v>
      </c>
      <c r="N1060" s="110" t="s">
        <v>1548</v>
      </c>
      <c r="O1060" s="20" t="s">
        <v>1983</v>
      </c>
    </row>
    <row r="1061" spans="1:15" ht="15.75" customHeight="1">
      <c r="A1061" s="93">
        <v>1060</v>
      </c>
      <c r="B1061" s="94" t="s">
        <v>1469</v>
      </c>
      <c r="C1061" s="94" t="s">
        <v>868</v>
      </c>
      <c r="D1061" s="96" t="s">
        <v>151</v>
      </c>
      <c r="E1061" s="97" t="s">
        <v>7115</v>
      </c>
      <c r="F1061" s="91" t="s">
        <v>7358</v>
      </c>
      <c r="G1061" s="108"/>
      <c r="H1061" s="98" t="s">
        <v>2748</v>
      </c>
      <c r="I1061" s="94" t="s">
        <v>7009</v>
      </c>
      <c r="J1061" s="94" t="s">
        <v>7116</v>
      </c>
      <c r="K1061" s="91" t="s">
        <v>7117</v>
      </c>
      <c r="L1061" s="18">
        <f t="shared" si="16"/>
        <v>1060</v>
      </c>
      <c r="M1061" s="99" t="s">
        <v>38</v>
      </c>
      <c r="N1061" s="110" t="s">
        <v>2328</v>
      </c>
      <c r="O1061" s="101" t="s">
        <v>2329</v>
      </c>
    </row>
    <row r="1062" spans="1:15" ht="15.75" customHeight="1">
      <c r="A1062" s="94">
        <v>1061</v>
      </c>
      <c r="B1062" s="94" t="s">
        <v>1469</v>
      </c>
      <c r="C1062" s="94" t="s">
        <v>1470</v>
      </c>
      <c r="D1062" s="96" t="s">
        <v>199</v>
      </c>
      <c r="E1062" s="97" t="s">
        <v>199</v>
      </c>
      <c r="F1062" s="35" t="s">
        <v>7121</v>
      </c>
      <c r="G1062" s="108"/>
      <c r="H1062" s="98" t="s">
        <v>2748</v>
      </c>
      <c r="I1062" s="94" t="s">
        <v>7119</v>
      </c>
      <c r="J1062" s="94" t="s">
        <v>7120</v>
      </c>
      <c r="K1062" s="35" t="s">
        <v>7121</v>
      </c>
      <c r="L1062" s="18">
        <f t="shared" si="16"/>
        <v>1061</v>
      </c>
      <c r="M1062" s="99" t="s">
        <v>38</v>
      </c>
      <c r="N1062" s="110" t="s">
        <v>1548</v>
      </c>
      <c r="O1062" s="101" t="s">
        <v>1890</v>
      </c>
    </row>
    <row r="1063" spans="1:15" ht="15.75" customHeight="1">
      <c r="A1063" s="94">
        <v>1062</v>
      </c>
      <c r="B1063" s="94" t="s">
        <v>27</v>
      </c>
      <c r="C1063" s="94" t="s">
        <v>28</v>
      </c>
      <c r="D1063" s="96" t="s">
        <v>184</v>
      </c>
      <c r="E1063" s="97" t="s">
        <v>7122</v>
      </c>
      <c r="F1063" s="91" t="s">
        <v>7124</v>
      </c>
      <c r="G1063" s="108"/>
      <c r="H1063" s="35" t="s">
        <v>7088</v>
      </c>
      <c r="I1063" s="10" t="s">
        <v>7123</v>
      </c>
      <c r="J1063" s="10" t="s">
        <v>36</v>
      </c>
      <c r="K1063" s="91" t="s">
        <v>7124</v>
      </c>
      <c r="L1063" s="18">
        <f t="shared" si="16"/>
        <v>1062</v>
      </c>
      <c r="M1063" s="99" t="s">
        <v>38</v>
      </c>
      <c r="N1063" s="19" t="s">
        <v>28</v>
      </c>
      <c r="O1063" s="20" t="s">
        <v>39</v>
      </c>
    </row>
    <row r="1064" spans="1:15" ht="15.75" customHeight="1">
      <c r="A1064" s="94">
        <v>1063</v>
      </c>
      <c r="B1064" s="94" t="s">
        <v>27</v>
      </c>
      <c r="C1064" s="94" t="s">
        <v>868</v>
      </c>
      <c r="D1064" s="96" t="s">
        <v>184</v>
      </c>
      <c r="E1064" s="97" t="s">
        <v>7125</v>
      </c>
      <c r="F1064" s="91" t="s">
        <v>7359</v>
      </c>
      <c r="G1064" s="108"/>
      <c r="H1064" s="35" t="s">
        <v>7088</v>
      </c>
      <c r="I1064" s="10" t="s">
        <v>7123</v>
      </c>
      <c r="J1064" s="10" t="s">
        <v>36</v>
      </c>
      <c r="K1064" s="91" t="s">
        <v>7126</v>
      </c>
      <c r="L1064" s="18">
        <f t="shared" si="16"/>
        <v>1063</v>
      </c>
      <c r="M1064" s="99" t="s">
        <v>38</v>
      </c>
      <c r="N1064" s="19" t="s">
        <v>875</v>
      </c>
      <c r="O1064" s="20" t="s">
        <v>876</v>
      </c>
    </row>
    <row r="1065" spans="1:15" ht="15.75" customHeight="1">
      <c r="A1065" s="94">
        <v>1064</v>
      </c>
      <c r="B1065" s="94" t="s">
        <v>1469</v>
      </c>
      <c r="C1065" s="94" t="s">
        <v>868</v>
      </c>
      <c r="D1065" s="96" t="s">
        <v>378</v>
      </c>
      <c r="E1065" s="114" t="s">
        <v>7068</v>
      </c>
      <c r="F1065" s="91" t="s">
        <v>7128</v>
      </c>
      <c r="G1065" s="108"/>
      <c r="H1065" s="35" t="s">
        <v>35</v>
      </c>
      <c r="I1065" s="10" t="s">
        <v>7069</v>
      </c>
      <c r="J1065" s="10" t="s">
        <v>36</v>
      </c>
      <c r="K1065" s="91" t="s">
        <v>7128</v>
      </c>
      <c r="L1065" s="18">
        <f t="shared" si="16"/>
        <v>1064</v>
      </c>
      <c r="M1065" s="99" t="s">
        <v>38</v>
      </c>
      <c r="N1065" s="19" t="s">
        <v>868</v>
      </c>
      <c r="O1065" s="20" t="s">
        <v>3450</v>
      </c>
    </row>
    <row r="1066" spans="1:15" ht="15.75" customHeight="1">
      <c r="A1066" s="94">
        <v>1065</v>
      </c>
      <c r="B1066" s="94" t="s">
        <v>1469</v>
      </c>
      <c r="C1066" s="94" t="s">
        <v>868</v>
      </c>
      <c r="D1066" s="96" t="s">
        <v>378</v>
      </c>
      <c r="E1066" s="114" t="s">
        <v>7068</v>
      </c>
      <c r="F1066" s="91" t="s">
        <v>7129</v>
      </c>
      <c r="G1066" s="108"/>
      <c r="H1066" s="35" t="s">
        <v>35</v>
      </c>
      <c r="I1066" s="10" t="s">
        <v>7069</v>
      </c>
      <c r="J1066" s="10" t="s">
        <v>36</v>
      </c>
      <c r="K1066" s="91" t="s">
        <v>7129</v>
      </c>
      <c r="L1066" s="18">
        <f t="shared" si="16"/>
        <v>1065</v>
      </c>
      <c r="M1066" s="99" t="s">
        <v>38</v>
      </c>
      <c r="N1066" s="19" t="s">
        <v>868</v>
      </c>
      <c r="O1066" s="20" t="s">
        <v>3450</v>
      </c>
    </row>
    <row r="1067" spans="1:15" ht="15.75" customHeight="1">
      <c r="A1067" s="94">
        <v>1066</v>
      </c>
      <c r="B1067" s="94" t="s">
        <v>1469</v>
      </c>
      <c r="C1067" s="94" t="s">
        <v>1470</v>
      </c>
      <c r="D1067" s="96" t="s">
        <v>378</v>
      </c>
      <c r="E1067" s="97" t="s">
        <v>7112</v>
      </c>
      <c r="F1067" s="91" t="s">
        <v>7360</v>
      </c>
      <c r="G1067" s="108"/>
      <c r="H1067" s="35" t="s">
        <v>4684</v>
      </c>
      <c r="I1067" s="10" t="s">
        <v>7096</v>
      </c>
      <c r="J1067" s="10" t="s">
        <v>36</v>
      </c>
      <c r="K1067" s="91" t="s">
        <v>7130</v>
      </c>
      <c r="L1067" s="18">
        <f t="shared" si="16"/>
        <v>1066</v>
      </c>
      <c r="M1067" s="99" t="s">
        <v>38</v>
      </c>
      <c r="N1067" s="19" t="s">
        <v>1470</v>
      </c>
      <c r="O1067" s="20" t="s">
        <v>1477</v>
      </c>
    </row>
    <row r="1068" spans="1:15" ht="15.75" customHeight="1">
      <c r="A1068" s="94">
        <v>1067</v>
      </c>
      <c r="B1068" s="94" t="s">
        <v>1469</v>
      </c>
      <c r="C1068" s="94" t="s">
        <v>868</v>
      </c>
      <c r="D1068" s="96" t="s">
        <v>378</v>
      </c>
      <c r="E1068" s="114" t="s">
        <v>7068</v>
      </c>
      <c r="F1068" s="91" t="s">
        <v>7131</v>
      </c>
      <c r="G1068" s="108"/>
      <c r="H1068" s="35" t="s">
        <v>35</v>
      </c>
      <c r="I1068" s="10" t="s">
        <v>7069</v>
      </c>
      <c r="J1068" s="10" t="s">
        <v>36</v>
      </c>
      <c r="K1068" s="91" t="s">
        <v>7131</v>
      </c>
      <c r="L1068" s="18">
        <f t="shared" si="16"/>
        <v>1067</v>
      </c>
      <c r="M1068" s="99" t="s">
        <v>38</v>
      </c>
      <c r="N1068" s="19" t="s">
        <v>868</v>
      </c>
      <c r="O1068" s="20" t="s">
        <v>3450</v>
      </c>
    </row>
    <row r="1069" spans="1:15" ht="15.75" customHeight="1">
      <c r="A1069" s="94">
        <v>1068</v>
      </c>
      <c r="B1069" s="94" t="s">
        <v>1469</v>
      </c>
      <c r="C1069" s="94" t="s">
        <v>868</v>
      </c>
      <c r="D1069" s="96" t="s">
        <v>184</v>
      </c>
      <c r="E1069" s="114" t="s">
        <v>7133</v>
      </c>
      <c r="F1069" s="91" t="s">
        <v>7135</v>
      </c>
      <c r="G1069" s="108"/>
      <c r="H1069" s="35" t="s">
        <v>7088</v>
      </c>
      <c r="I1069" s="10" t="s">
        <v>7134</v>
      </c>
      <c r="J1069" s="10" t="s">
        <v>36</v>
      </c>
      <c r="K1069" s="91" t="s">
        <v>7135</v>
      </c>
      <c r="L1069" s="18">
        <f t="shared" si="16"/>
        <v>1068</v>
      </c>
      <c r="M1069" s="99" t="s">
        <v>38</v>
      </c>
      <c r="N1069" s="19" t="s">
        <v>2381</v>
      </c>
      <c r="O1069" s="20" t="s">
        <v>493</v>
      </c>
    </row>
    <row r="1070" spans="1:15" ht="15.75" customHeight="1">
      <c r="A1070" s="94">
        <v>1069</v>
      </c>
      <c r="B1070" s="94" t="s">
        <v>1469</v>
      </c>
      <c r="C1070" s="160" t="s">
        <v>1470</v>
      </c>
      <c r="D1070" s="96" t="s">
        <v>501</v>
      </c>
      <c r="E1070" s="114" t="s">
        <v>7137</v>
      </c>
      <c r="F1070" s="122" t="s">
        <v>7361</v>
      </c>
      <c r="G1070" s="35" t="s">
        <v>7362</v>
      </c>
      <c r="H1070" s="35" t="s">
        <v>35</v>
      </c>
      <c r="I1070" s="10" t="s">
        <v>35</v>
      </c>
      <c r="J1070" s="10" t="s">
        <v>36</v>
      </c>
      <c r="K1070" s="122" t="s">
        <v>7361</v>
      </c>
      <c r="L1070" s="18">
        <f t="shared" si="16"/>
        <v>1069</v>
      </c>
      <c r="M1070" s="161" t="s">
        <v>38</v>
      </c>
      <c r="N1070" s="19" t="s">
        <v>2884</v>
      </c>
      <c r="O1070" s="20" t="s">
        <v>3247</v>
      </c>
    </row>
    <row r="1071" spans="1:15" ht="15.75" customHeight="1">
      <c r="A1071" s="94">
        <v>1070</v>
      </c>
      <c r="B1071" s="10" t="s">
        <v>1469</v>
      </c>
      <c r="C1071" s="10" t="s">
        <v>868</v>
      </c>
      <c r="D1071" s="13" t="s">
        <v>501</v>
      </c>
      <c r="E1071" s="6" t="s">
        <v>7138</v>
      </c>
      <c r="F1071" s="122" t="s">
        <v>7363</v>
      </c>
      <c r="G1071" s="108"/>
      <c r="H1071" s="35" t="s">
        <v>35</v>
      </c>
      <c r="I1071" s="10" t="s">
        <v>35</v>
      </c>
      <c r="J1071" s="10" t="s">
        <v>36</v>
      </c>
      <c r="K1071" s="122" t="s">
        <v>85</v>
      </c>
      <c r="L1071" s="18">
        <f t="shared" si="16"/>
        <v>1070</v>
      </c>
      <c r="M1071" s="99" t="s">
        <v>38</v>
      </c>
      <c r="N1071" s="19" t="s">
        <v>868</v>
      </c>
      <c r="O1071" s="20" t="s">
        <v>3450</v>
      </c>
    </row>
    <row r="1072" spans="1:15" ht="15.75" customHeight="1">
      <c r="A1072" s="94">
        <v>1071</v>
      </c>
      <c r="B1072" s="10" t="s">
        <v>1469</v>
      </c>
      <c r="C1072" s="10" t="s">
        <v>868</v>
      </c>
      <c r="D1072" s="13" t="s">
        <v>501</v>
      </c>
      <c r="E1072" s="6" t="s">
        <v>7138</v>
      </c>
      <c r="F1072" s="122" t="s">
        <v>7364</v>
      </c>
      <c r="G1072" s="108"/>
      <c r="H1072" s="35" t="s">
        <v>35</v>
      </c>
      <c r="I1072" s="10" t="s">
        <v>35</v>
      </c>
      <c r="J1072" s="10" t="s">
        <v>36</v>
      </c>
      <c r="K1072" s="122" t="s">
        <v>85</v>
      </c>
      <c r="L1072" s="18">
        <f t="shared" si="16"/>
        <v>1071</v>
      </c>
      <c r="M1072" s="99" t="s">
        <v>38</v>
      </c>
      <c r="N1072" s="19" t="s">
        <v>868</v>
      </c>
      <c r="O1072" s="20" t="s">
        <v>3450</v>
      </c>
    </row>
    <row r="1073" spans="1:15" ht="15.75" customHeight="1">
      <c r="A1073" s="94">
        <v>1072</v>
      </c>
      <c r="B1073" s="10" t="s">
        <v>27</v>
      </c>
      <c r="C1073" s="10" t="s">
        <v>1470</v>
      </c>
      <c r="D1073" s="13" t="s">
        <v>43</v>
      </c>
      <c r="E1073" s="88" t="s">
        <v>7141</v>
      </c>
      <c r="F1073" s="91" t="s">
        <v>7365</v>
      </c>
      <c r="G1073" s="108"/>
      <c r="H1073" s="35" t="s">
        <v>5477</v>
      </c>
      <c r="I1073" s="10" t="s">
        <v>35</v>
      </c>
      <c r="J1073" s="10" t="s">
        <v>36</v>
      </c>
      <c r="K1073" s="122" t="s">
        <v>7142</v>
      </c>
      <c r="L1073" s="18">
        <f t="shared" si="16"/>
        <v>1072</v>
      </c>
      <c r="M1073" s="99" t="s">
        <v>38</v>
      </c>
      <c r="N1073" s="19" t="s">
        <v>1548</v>
      </c>
      <c r="O1073" s="20" t="s">
        <v>1983</v>
      </c>
    </row>
    <row r="1074" spans="1:15" ht="15.75" customHeight="1">
      <c r="A1074" s="94">
        <v>1073</v>
      </c>
      <c r="B1074" s="10" t="s">
        <v>1469</v>
      </c>
      <c r="C1074" s="10" t="s">
        <v>1470</v>
      </c>
      <c r="D1074" s="13" t="s">
        <v>7144</v>
      </c>
      <c r="E1074" s="88" t="s">
        <v>7145</v>
      </c>
      <c r="F1074" s="91" t="s">
        <v>7366</v>
      </c>
      <c r="G1074" s="108"/>
      <c r="H1074" s="35" t="s">
        <v>2866</v>
      </c>
      <c r="I1074" s="10" t="s">
        <v>7146</v>
      </c>
      <c r="J1074" s="10" t="s">
        <v>7147</v>
      </c>
      <c r="K1074" s="122" t="s">
        <v>7148</v>
      </c>
      <c r="L1074" s="18">
        <f t="shared" si="16"/>
        <v>1073</v>
      </c>
      <c r="M1074" s="99" t="s">
        <v>38</v>
      </c>
      <c r="N1074" s="19" t="s">
        <v>1483</v>
      </c>
      <c r="O1074" s="20" t="s">
        <v>1484</v>
      </c>
    </row>
    <row r="1075" spans="1:15" ht="15.75" customHeight="1">
      <c r="A1075" s="94">
        <v>1074</v>
      </c>
      <c r="B1075" s="10" t="s">
        <v>1469</v>
      </c>
      <c r="C1075" s="10" t="s">
        <v>1470</v>
      </c>
      <c r="D1075" s="13" t="s">
        <v>151</v>
      </c>
      <c r="E1075" s="88" t="s">
        <v>7149</v>
      </c>
      <c r="F1075" s="91" t="s">
        <v>7367</v>
      </c>
      <c r="G1075" s="108"/>
      <c r="H1075" s="35" t="s">
        <v>2748</v>
      </c>
      <c r="I1075" s="10" t="s">
        <v>7009</v>
      </c>
      <c r="J1075" s="32" t="s">
        <v>7150</v>
      </c>
      <c r="K1075" s="122" t="s">
        <v>7151</v>
      </c>
      <c r="L1075" s="18">
        <f t="shared" si="16"/>
        <v>1074</v>
      </c>
      <c r="M1075" s="99" t="s">
        <v>38</v>
      </c>
      <c r="N1075" s="19" t="s">
        <v>3091</v>
      </c>
      <c r="O1075" s="20" t="s">
        <v>3151</v>
      </c>
    </row>
    <row r="1076" spans="1:15" ht="15.75" customHeight="1">
      <c r="A1076" s="94">
        <v>1075</v>
      </c>
      <c r="B1076" s="10" t="s">
        <v>1469</v>
      </c>
      <c r="C1076" s="10" t="s">
        <v>1470</v>
      </c>
      <c r="D1076" s="13" t="s">
        <v>199</v>
      </c>
      <c r="E1076" s="88" t="s">
        <v>7153</v>
      </c>
      <c r="F1076" s="91" t="s">
        <v>7368</v>
      </c>
      <c r="G1076" s="108"/>
      <c r="H1076" s="35" t="s">
        <v>2748</v>
      </c>
      <c r="I1076" s="10" t="s">
        <v>7369</v>
      </c>
      <c r="J1076" s="32" t="s">
        <v>7155</v>
      </c>
      <c r="K1076" s="122" t="s">
        <v>7156</v>
      </c>
      <c r="L1076" s="18">
        <f t="shared" si="16"/>
        <v>1075</v>
      </c>
      <c r="M1076" s="99" t="s">
        <v>38</v>
      </c>
      <c r="N1076" s="19" t="s">
        <v>3091</v>
      </c>
      <c r="O1076" s="20" t="s">
        <v>3151</v>
      </c>
    </row>
    <row r="1077" spans="1:15" ht="15.75" customHeight="1">
      <c r="A1077" s="94">
        <v>1076</v>
      </c>
      <c r="B1077" s="10" t="s">
        <v>1469</v>
      </c>
      <c r="C1077" s="10" t="s">
        <v>1470</v>
      </c>
      <c r="D1077" s="13" t="s">
        <v>151</v>
      </c>
      <c r="E1077" s="88" t="s">
        <v>7149</v>
      </c>
      <c r="F1077" s="91" t="s">
        <v>7370</v>
      </c>
      <c r="G1077" s="108"/>
      <c r="H1077" s="35" t="s">
        <v>2748</v>
      </c>
      <c r="I1077" s="10" t="s">
        <v>7009</v>
      </c>
      <c r="J1077" s="10" t="s">
        <v>7157</v>
      </c>
      <c r="K1077" s="122" t="s">
        <v>7158</v>
      </c>
      <c r="L1077" s="18">
        <f t="shared" si="16"/>
        <v>1076</v>
      </c>
      <c r="M1077" s="99" t="s">
        <v>38</v>
      </c>
      <c r="N1077" s="19" t="s">
        <v>1470</v>
      </c>
      <c r="O1077" s="20" t="s">
        <v>1477</v>
      </c>
    </row>
    <row r="1078" spans="1:15" ht="15.75" customHeight="1">
      <c r="A1078" s="94">
        <v>1077</v>
      </c>
      <c r="B1078" s="10" t="s">
        <v>4410</v>
      </c>
      <c r="C1078" s="10" t="s">
        <v>6054</v>
      </c>
      <c r="D1078" s="13" t="s">
        <v>199</v>
      </c>
      <c r="E1078" s="88" t="s">
        <v>7371</v>
      </c>
      <c r="F1078" s="122" t="s">
        <v>7161</v>
      </c>
      <c r="G1078" s="108"/>
      <c r="H1078" s="35" t="s">
        <v>2748</v>
      </c>
      <c r="I1078" s="10" t="s">
        <v>7369</v>
      </c>
      <c r="J1078" s="10" t="s">
        <v>7160</v>
      </c>
      <c r="K1078" s="122" t="s">
        <v>7161</v>
      </c>
      <c r="L1078" s="18">
        <f t="shared" si="16"/>
        <v>1077</v>
      </c>
      <c r="M1078" s="20" t="s">
        <v>38</v>
      </c>
      <c r="N1078" s="19" t="s">
        <v>6054</v>
      </c>
      <c r="O1078" s="20" t="s">
        <v>6062</v>
      </c>
    </row>
    <row r="1079" spans="1:15" ht="15.75" customHeight="1">
      <c r="A1079" s="124">
        <v>1078</v>
      </c>
      <c r="B1079" s="10" t="s">
        <v>1469</v>
      </c>
      <c r="C1079" s="10" t="s">
        <v>868</v>
      </c>
      <c r="D1079" s="13" t="s">
        <v>501</v>
      </c>
      <c r="E1079" s="6" t="s">
        <v>7162</v>
      </c>
      <c r="F1079" s="10" t="s">
        <v>85</v>
      </c>
      <c r="G1079" s="108"/>
      <c r="H1079" s="35" t="s">
        <v>4684</v>
      </c>
      <c r="I1079" s="10" t="s">
        <v>35</v>
      </c>
      <c r="J1079" s="10" t="s">
        <v>36</v>
      </c>
      <c r="K1079" s="10" t="s">
        <v>85</v>
      </c>
      <c r="L1079" s="18">
        <f t="shared" si="16"/>
        <v>1078</v>
      </c>
      <c r="M1079" s="20" t="s">
        <v>38</v>
      </c>
      <c r="N1079" s="19" t="s">
        <v>868</v>
      </c>
      <c r="O1079" s="20" t="s">
        <v>3450</v>
      </c>
    </row>
    <row r="1080" spans="1:15" ht="15.75" customHeight="1">
      <c r="A1080" s="94">
        <v>1079</v>
      </c>
      <c r="B1080" s="10" t="s">
        <v>1469</v>
      </c>
      <c r="C1080" s="10" t="s">
        <v>1470</v>
      </c>
      <c r="D1080" s="13" t="s">
        <v>151</v>
      </c>
      <c r="E1080" s="88" t="s">
        <v>7105</v>
      </c>
      <c r="F1080" s="91" t="s">
        <v>7372</v>
      </c>
      <c r="G1080" s="108"/>
      <c r="H1080" s="35" t="s">
        <v>2748</v>
      </c>
      <c r="I1080" s="10" t="s">
        <v>7009</v>
      </c>
      <c r="J1080" s="10" t="s">
        <v>7165</v>
      </c>
      <c r="K1080" s="10" t="s">
        <v>7166</v>
      </c>
      <c r="L1080" s="18">
        <f t="shared" si="16"/>
        <v>1079</v>
      </c>
      <c r="M1080" s="20" t="s">
        <v>38</v>
      </c>
      <c r="N1080" s="19" t="s">
        <v>1548</v>
      </c>
      <c r="O1080" s="20" t="s">
        <v>1890</v>
      </c>
    </row>
    <row r="1081" spans="1:15" ht="15.75" customHeight="1">
      <c r="A1081" s="94">
        <v>1080</v>
      </c>
      <c r="B1081" s="10" t="s">
        <v>1469</v>
      </c>
      <c r="C1081" s="10" t="s">
        <v>1470</v>
      </c>
      <c r="D1081" s="13" t="s">
        <v>151</v>
      </c>
      <c r="E1081" s="88" t="s">
        <v>7167</v>
      </c>
      <c r="F1081" s="10" t="s">
        <v>7168</v>
      </c>
      <c r="G1081" s="108"/>
      <c r="H1081" s="35" t="s">
        <v>2748</v>
      </c>
      <c r="I1081" s="10" t="s">
        <v>7009</v>
      </c>
      <c r="J1081" s="10" t="s">
        <v>7106</v>
      </c>
      <c r="K1081" s="10" t="s">
        <v>7168</v>
      </c>
      <c r="L1081" s="18">
        <f t="shared" si="16"/>
        <v>1080</v>
      </c>
      <c r="M1081" s="20" t="s">
        <v>38</v>
      </c>
      <c r="N1081" s="19" t="s">
        <v>1483</v>
      </c>
      <c r="O1081" s="20" t="s">
        <v>2466</v>
      </c>
    </row>
    <row r="1082" spans="1:15" ht="15.75" customHeight="1">
      <c r="A1082" s="94">
        <v>1081</v>
      </c>
      <c r="B1082" s="10" t="s">
        <v>1469</v>
      </c>
      <c r="C1082" s="10" t="s">
        <v>1470</v>
      </c>
      <c r="D1082" s="126" t="s">
        <v>199</v>
      </c>
      <c r="E1082" s="127" t="s">
        <v>7108</v>
      </c>
      <c r="F1082" s="130" t="s">
        <v>7170</v>
      </c>
      <c r="G1082" s="129"/>
      <c r="H1082" s="128" t="s">
        <v>2748</v>
      </c>
      <c r="I1082" s="125" t="s">
        <v>7154</v>
      </c>
      <c r="J1082" s="125" t="s">
        <v>7169</v>
      </c>
      <c r="K1082" s="130" t="s">
        <v>7170</v>
      </c>
      <c r="L1082" s="18">
        <f t="shared" si="16"/>
        <v>1081</v>
      </c>
      <c r="M1082" s="125" t="s">
        <v>38</v>
      </c>
      <c r="N1082" s="19" t="s">
        <v>1483</v>
      </c>
      <c r="O1082" s="20" t="s">
        <v>2466</v>
      </c>
    </row>
    <row r="1083" spans="1:15" ht="15.75" customHeight="1">
      <c r="A1083" s="94">
        <v>1082</v>
      </c>
      <c r="B1083" s="10" t="s">
        <v>1469</v>
      </c>
      <c r="C1083" s="10" t="s">
        <v>868</v>
      </c>
      <c r="D1083" s="126" t="s">
        <v>501</v>
      </c>
      <c r="E1083" s="6" t="s">
        <v>7138</v>
      </c>
      <c r="F1083" s="122" t="s">
        <v>7373</v>
      </c>
      <c r="G1083" s="129"/>
      <c r="H1083" s="35" t="s">
        <v>35</v>
      </c>
      <c r="I1083" s="35" t="s">
        <v>35</v>
      </c>
      <c r="J1083" s="125" t="s">
        <v>36</v>
      </c>
      <c r="K1083" s="130" t="s">
        <v>85</v>
      </c>
      <c r="L1083" s="18">
        <f t="shared" si="16"/>
        <v>1082</v>
      </c>
      <c r="M1083" s="125" t="s">
        <v>38</v>
      </c>
      <c r="N1083" s="19" t="s">
        <v>868</v>
      </c>
      <c r="O1083" s="125" t="s">
        <v>3450</v>
      </c>
    </row>
    <row r="1084" spans="1:15" ht="15.75" customHeight="1">
      <c r="A1084" s="94">
        <v>1083</v>
      </c>
      <c r="B1084" s="10" t="s">
        <v>1469</v>
      </c>
      <c r="C1084" s="10" t="s">
        <v>868</v>
      </c>
      <c r="D1084" s="126" t="s">
        <v>501</v>
      </c>
      <c r="E1084" s="6" t="s">
        <v>7138</v>
      </c>
      <c r="F1084" s="122" t="s">
        <v>7374</v>
      </c>
      <c r="G1084" s="129"/>
      <c r="H1084" s="35" t="s">
        <v>35</v>
      </c>
      <c r="I1084" s="35" t="s">
        <v>35</v>
      </c>
      <c r="J1084" s="125" t="s">
        <v>36</v>
      </c>
      <c r="K1084" s="130" t="s">
        <v>85</v>
      </c>
      <c r="L1084" s="18">
        <f t="shared" si="16"/>
        <v>1083</v>
      </c>
      <c r="M1084" s="125" t="s">
        <v>38</v>
      </c>
      <c r="N1084" s="19" t="s">
        <v>868</v>
      </c>
      <c r="O1084" s="125" t="s">
        <v>3450</v>
      </c>
    </row>
    <row r="1085" spans="1:15" ht="15.75" customHeight="1">
      <c r="A1085" s="94">
        <v>1084</v>
      </c>
      <c r="B1085" s="10" t="s">
        <v>1469</v>
      </c>
      <c r="C1085" s="10" t="s">
        <v>868</v>
      </c>
      <c r="D1085" s="126" t="s">
        <v>501</v>
      </c>
      <c r="E1085" s="6" t="s">
        <v>7138</v>
      </c>
      <c r="F1085" s="130" t="s">
        <v>7375</v>
      </c>
      <c r="G1085" s="129"/>
      <c r="H1085" s="35" t="s">
        <v>35</v>
      </c>
      <c r="I1085" s="35" t="s">
        <v>35</v>
      </c>
      <c r="J1085" s="125" t="s">
        <v>36</v>
      </c>
      <c r="K1085" s="130" t="s">
        <v>85</v>
      </c>
      <c r="L1085" s="18">
        <f t="shared" si="16"/>
        <v>1084</v>
      </c>
      <c r="M1085" s="125" t="s">
        <v>38</v>
      </c>
      <c r="N1085" s="19" t="s">
        <v>868</v>
      </c>
      <c r="O1085" s="125" t="s">
        <v>3450</v>
      </c>
    </row>
    <row r="1086" spans="1:15" ht="15.75" customHeight="1">
      <c r="A1086" s="94">
        <v>1085</v>
      </c>
      <c r="B1086" s="10" t="s">
        <v>1469</v>
      </c>
      <c r="C1086" s="10" t="s">
        <v>868</v>
      </c>
      <c r="D1086" s="126" t="s">
        <v>501</v>
      </c>
      <c r="E1086" s="6" t="s">
        <v>7138</v>
      </c>
      <c r="F1086" s="130" t="s">
        <v>7376</v>
      </c>
      <c r="G1086" s="129"/>
      <c r="H1086" s="35" t="s">
        <v>35</v>
      </c>
      <c r="I1086" s="35" t="s">
        <v>35</v>
      </c>
      <c r="J1086" s="125" t="s">
        <v>36</v>
      </c>
      <c r="K1086" s="130" t="s">
        <v>85</v>
      </c>
      <c r="L1086" s="18">
        <f t="shared" si="16"/>
        <v>1085</v>
      </c>
      <c r="M1086" s="125" t="s">
        <v>38</v>
      </c>
      <c r="N1086" s="19" t="s">
        <v>868</v>
      </c>
      <c r="O1086" s="125" t="s">
        <v>3450</v>
      </c>
    </row>
    <row r="1087" spans="1:15" ht="15.75" customHeight="1">
      <c r="A1087" s="94">
        <v>1086</v>
      </c>
      <c r="B1087" s="10" t="s">
        <v>1469</v>
      </c>
      <c r="C1087" s="10" t="s">
        <v>868</v>
      </c>
      <c r="D1087" s="126" t="s">
        <v>501</v>
      </c>
      <c r="E1087" s="6" t="s">
        <v>7138</v>
      </c>
      <c r="F1087" s="130" t="s">
        <v>7377</v>
      </c>
      <c r="G1087" s="129"/>
      <c r="H1087" s="35" t="s">
        <v>35</v>
      </c>
      <c r="I1087" s="35" t="s">
        <v>35</v>
      </c>
      <c r="J1087" s="125" t="s">
        <v>36</v>
      </c>
      <c r="K1087" s="130" t="s">
        <v>85</v>
      </c>
      <c r="L1087" s="18">
        <f t="shared" si="16"/>
        <v>1086</v>
      </c>
      <c r="M1087" s="125" t="s">
        <v>38</v>
      </c>
      <c r="N1087" s="19" t="s">
        <v>868</v>
      </c>
      <c r="O1087" s="125" t="s">
        <v>3450</v>
      </c>
    </row>
    <row r="1088" spans="1:15" ht="15.75" customHeight="1">
      <c r="A1088" s="94">
        <v>1087</v>
      </c>
      <c r="B1088" s="10" t="s">
        <v>1469</v>
      </c>
      <c r="C1088" s="10" t="s">
        <v>868</v>
      </c>
      <c r="D1088" s="126" t="s">
        <v>2060</v>
      </c>
      <c r="E1088" s="128" t="s">
        <v>7171</v>
      </c>
      <c r="F1088" s="130" t="s">
        <v>7378</v>
      </c>
      <c r="G1088" s="129"/>
      <c r="H1088" s="35" t="s">
        <v>35</v>
      </c>
      <c r="I1088" s="35" t="s">
        <v>35</v>
      </c>
      <c r="J1088" s="125" t="s">
        <v>36</v>
      </c>
      <c r="K1088" s="130" t="s">
        <v>85</v>
      </c>
      <c r="L1088" s="18">
        <f t="shared" si="16"/>
        <v>1087</v>
      </c>
      <c r="M1088" s="125" t="s">
        <v>38</v>
      </c>
      <c r="N1088" s="19" t="s">
        <v>868</v>
      </c>
      <c r="O1088" s="125" t="s">
        <v>3450</v>
      </c>
    </row>
    <row r="1089" spans="1:15" ht="15.75" customHeight="1">
      <c r="A1089" s="94">
        <v>1088</v>
      </c>
      <c r="B1089" s="10" t="s">
        <v>1469</v>
      </c>
      <c r="C1089" s="10" t="s">
        <v>868</v>
      </c>
      <c r="D1089" s="126" t="s">
        <v>2060</v>
      </c>
      <c r="E1089" s="128" t="s">
        <v>7171</v>
      </c>
      <c r="F1089" s="130" t="s">
        <v>7379</v>
      </c>
      <c r="G1089" s="129"/>
      <c r="H1089" s="35" t="s">
        <v>35</v>
      </c>
      <c r="I1089" s="35" t="s">
        <v>35</v>
      </c>
      <c r="J1089" s="125" t="s">
        <v>36</v>
      </c>
      <c r="K1089" s="130" t="s">
        <v>85</v>
      </c>
      <c r="L1089" s="18">
        <f t="shared" si="16"/>
        <v>1088</v>
      </c>
      <c r="M1089" s="125" t="s">
        <v>38</v>
      </c>
      <c r="N1089" s="19" t="s">
        <v>868</v>
      </c>
      <c r="O1089" s="125" t="s">
        <v>3450</v>
      </c>
    </row>
    <row r="1090" spans="1:15" ht="15.75" customHeight="1">
      <c r="A1090" s="94">
        <v>1089</v>
      </c>
      <c r="B1090" s="10" t="s">
        <v>27</v>
      </c>
      <c r="C1090" s="10" t="s">
        <v>28</v>
      </c>
      <c r="D1090" s="126" t="s">
        <v>7172</v>
      </c>
      <c r="E1090" s="128" t="s">
        <v>7173</v>
      </c>
      <c r="F1090" s="130" t="s">
        <v>85</v>
      </c>
      <c r="G1090" s="129"/>
      <c r="H1090" s="128" t="s">
        <v>2599</v>
      </c>
      <c r="I1090" s="125" t="s">
        <v>7174</v>
      </c>
      <c r="J1090" s="125" t="s">
        <v>36</v>
      </c>
      <c r="K1090" s="130" t="s">
        <v>85</v>
      </c>
      <c r="L1090" s="18">
        <f t="shared" ref="L1090:L1140" si="17">A1090</f>
        <v>1089</v>
      </c>
      <c r="M1090" s="125" t="s">
        <v>38</v>
      </c>
      <c r="N1090" s="19" t="s">
        <v>28</v>
      </c>
      <c r="O1090" s="125" t="s">
        <v>392</v>
      </c>
    </row>
    <row r="1091" spans="1:15" ht="15.75" customHeight="1">
      <c r="A1091" s="94">
        <v>1090</v>
      </c>
      <c r="B1091" s="10" t="s">
        <v>1469</v>
      </c>
      <c r="C1091" s="10" t="s">
        <v>868</v>
      </c>
      <c r="D1091" s="126" t="s">
        <v>2311</v>
      </c>
      <c r="E1091" s="128" t="s">
        <v>7175</v>
      </c>
      <c r="F1091" s="130" t="s">
        <v>85</v>
      </c>
      <c r="G1091" s="129"/>
      <c r="H1091" s="128" t="s">
        <v>7176</v>
      </c>
      <c r="I1091" s="125" t="s">
        <v>7177</v>
      </c>
      <c r="J1091" s="125" t="s">
        <v>36</v>
      </c>
      <c r="K1091" s="130" t="s">
        <v>85</v>
      </c>
      <c r="L1091" s="18">
        <f t="shared" si="17"/>
        <v>1090</v>
      </c>
      <c r="M1091" s="125" t="s">
        <v>38</v>
      </c>
      <c r="N1091" s="19" t="s">
        <v>868</v>
      </c>
      <c r="O1091" s="125" t="s">
        <v>3450</v>
      </c>
    </row>
    <row r="1092" spans="1:15" ht="15.75" customHeight="1">
      <c r="A1092" s="94">
        <v>1091</v>
      </c>
      <c r="B1092" s="10" t="s">
        <v>4410</v>
      </c>
      <c r="C1092" s="10" t="s">
        <v>4411</v>
      </c>
      <c r="D1092" s="126" t="s">
        <v>43</v>
      </c>
      <c r="E1092" s="128" t="s">
        <v>5473</v>
      </c>
      <c r="F1092" s="130" t="s">
        <v>85</v>
      </c>
      <c r="G1092" s="129"/>
      <c r="H1092" s="128" t="s">
        <v>5477</v>
      </c>
      <c r="I1092" s="125" t="s">
        <v>35</v>
      </c>
      <c r="J1092" s="125" t="s">
        <v>36</v>
      </c>
      <c r="K1092" s="130" t="s">
        <v>85</v>
      </c>
      <c r="L1092" s="18">
        <f t="shared" si="17"/>
        <v>1091</v>
      </c>
      <c r="M1092" s="18" t="s">
        <v>38</v>
      </c>
      <c r="N1092" s="19" t="s">
        <v>4416</v>
      </c>
      <c r="O1092" s="131" t="s">
        <v>5584</v>
      </c>
    </row>
    <row r="1093" spans="1:15" ht="15.75" customHeight="1">
      <c r="A1093" s="94">
        <v>1092</v>
      </c>
      <c r="B1093" s="10" t="s">
        <v>4410</v>
      </c>
      <c r="C1093" s="10" t="s">
        <v>4411</v>
      </c>
      <c r="D1093" s="126" t="s">
        <v>43</v>
      </c>
      <c r="E1093" s="128" t="s">
        <v>5473</v>
      </c>
      <c r="F1093" s="130" t="s">
        <v>85</v>
      </c>
      <c r="G1093" s="129"/>
      <c r="H1093" s="128" t="s">
        <v>5477</v>
      </c>
      <c r="I1093" s="125" t="s">
        <v>35</v>
      </c>
      <c r="J1093" s="125" t="s">
        <v>36</v>
      </c>
      <c r="K1093" s="130" t="s">
        <v>85</v>
      </c>
      <c r="L1093" s="18">
        <f t="shared" si="17"/>
        <v>1092</v>
      </c>
      <c r="M1093" s="125" t="s">
        <v>38</v>
      </c>
      <c r="N1093" s="19" t="s">
        <v>4416</v>
      </c>
      <c r="O1093" s="125" t="s">
        <v>5310</v>
      </c>
    </row>
    <row r="1094" spans="1:15" ht="15.75" customHeight="1">
      <c r="A1094" s="94">
        <v>1093</v>
      </c>
      <c r="B1094" s="10" t="s">
        <v>1469</v>
      </c>
      <c r="C1094" s="10" t="s">
        <v>1470</v>
      </c>
      <c r="D1094" s="126" t="s">
        <v>378</v>
      </c>
      <c r="E1094" s="128" t="s">
        <v>7178</v>
      </c>
      <c r="F1094" s="130" t="s">
        <v>7380</v>
      </c>
      <c r="G1094" s="162">
        <v>2613.83</v>
      </c>
      <c r="H1094" s="128" t="s">
        <v>7088</v>
      </c>
      <c r="I1094" s="125" t="s">
        <v>7089</v>
      </c>
      <c r="J1094" s="125" t="s">
        <v>36</v>
      </c>
      <c r="K1094" s="130" t="s">
        <v>7380</v>
      </c>
      <c r="L1094" s="18">
        <f t="shared" si="17"/>
        <v>1093</v>
      </c>
      <c r="M1094" s="125" t="s">
        <v>38</v>
      </c>
      <c r="N1094" s="19" t="s">
        <v>2884</v>
      </c>
      <c r="O1094" s="131" t="s">
        <v>3247</v>
      </c>
    </row>
    <row r="1095" spans="1:15" ht="15.75" customHeight="1">
      <c r="A1095" s="94">
        <v>1094</v>
      </c>
      <c r="B1095" s="10" t="s">
        <v>4410</v>
      </c>
      <c r="C1095" s="10" t="s">
        <v>4411</v>
      </c>
      <c r="D1095" s="126" t="s">
        <v>378</v>
      </c>
      <c r="E1095" s="128" t="s">
        <v>7178</v>
      </c>
      <c r="F1095" s="135" t="s">
        <v>7381</v>
      </c>
      <c r="G1095" s="162">
        <v>2532.2800000000002</v>
      </c>
      <c r="H1095" s="128" t="s">
        <v>7088</v>
      </c>
      <c r="I1095" s="125" t="s">
        <v>7179</v>
      </c>
      <c r="J1095" s="125" t="s">
        <v>36</v>
      </c>
      <c r="K1095" s="135" t="s">
        <v>7381</v>
      </c>
      <c r="L1095" s="18">
        <f t="shared" si="17"/>
        <v>1094</v>
      </c>
      <c r="M1095" s="125" t="s">
        <v>38</v>
      </c>
      <c r="N1095" s="19" t="s">
        <v>4411</v>
      </c>
      <c r="O1095" s="131" t="s">
        <v>5138</v>
      </c>
    </row>
    <row r="1096" spans="1:15" ht="15.75" customHeight="1">
      <c r="A1096" s="94">
        <v>1095</v>
      </c>
      <c r="B1096" s="10" t="s">
        <v>27</v>
      </c>
      <c r="C1096" s="10" t="s">
        <v>6054</v>
      </c>
      <c r="D1096" s="126" t="s">
        <v>6964</v>
      </c>
      <c r="E1096" s="128" t="s">
        <v>7180</v>
      </c>
      <c r="F1096" s="130" t="s">
        <v>7183</v>
      </c>
      <c r="G1096" s="129"/>
      <c r="H1096" s="128" t="s">
        <v>6985</v>
      </c>
      <c r="I1096" s="125" t="s">
        <v>7181</v>
      </c>
      <c r="J1096" s="125" t="s">
        <v>7182</v>
      </c>
      <c r="K1096" s="130" t="s">
        <v>7183</v>
      </c>
      <c r="L1096" s="18">
        <f t="shared" si="17"/>
        <v>1095</v>
      </c>
      <c r="M1096" s="125" t="s">
        <v>517</v>
      </c>
      <c r="N1096" s="19" t="s">
        <v>6054</v>
      </c>
      <c r="O1096" s="125" t="s">
        <v>6062</v>
      </c>
    </row>
    <row r="1097" spans="1:15" ht="15.75" customHeight="1">
      <c r="A1097" s="94">
        <v>1096</v>
      </c>
      <c r="B1097" s="10" t="s">
        <v>27</v>
      </c>
      <c r="C1097" s="10" t="s">
        <v>28</v>
      </c>
      <c r="D1097" s="126" t="s">
        <v>6964</v>
      </c>
      <c r="E1097" s="128" t="s">
        <v>6982</v>
      </c>
      <c r="F1097" s="130" t="s">
        <v>7183</v>
      </c>
      <c r="G1097" s="129"/>
      <c r="H1097" s="128" t="s">
        <v>7184</v>
      </c>
      <c r="I1097" s="125" t="s">
        <v>7185</v>
      </c>
      <c r="J1097" s="125" t="s">
        <v>7186</v>
      </c>
      <c r="K1097" s="130" t="s">
        <v>7183</v>
      </c>
      <c r="L1097" s="18">
        <f t="shared" si="17"/>
        <v>1096</v>
      </c>
      <c r="M1097" s="125" t="s">
        <v>38</v>
      </c>
      <c r="N1097" s="19" t="s">
        <v>28</v>
      </c>
      <c r="O1097" s="125" t="s">
        <v>40</v>
      </c>
    </row>
    <row r="1098" spans="1:15" ht="15.75" customHeight="1">
      <c r="A1098" s="94">
        <v>1097</v>
      </c>
      <c r="B1098" s="10" t="s">
        <v>27</v>
      </c>
      <c r="C1098" s="10" t="s">
        <v>6054</v>
      </c>
      <c r="D1098" s="126" t="s">
        <v>6964</v>
      </c>
      <c r="E1098" s="128" t="s">
        <v>6982</v>
      </c>
      <c r="F1098" s="130" t="s">
        <v>7183</v>
      </c>
      <c r="G1098" s="129"/>
      <c r="H1098" s="128" t="s">
        <v>6985</v>
      </c>
      <c r="I1098" s="125" t="s">
        <v>7187</v>
      </c>
      <c r="J1098" s="125" t="s">
        <v>7188</v>
      </c>
      <c r="K1098" s="130" t="s">
        <v>7183</v>
      </c>
      <c r="L1098" s="18">
        <f t="shared" si="17"/>
        <v>1097</v>
      </c>
      <c r="M1098" s="125" t="s">
        <v>38</v>
      </c>
      <c r="N1098" s="19" t="s">
        <v>6054</v>
      </c>
      <c r="O1098" s="125" t="s">
        <v>6062</v>
      </c>
    </row>
    <row r="1099" spans="1:15" ht="15.75" customHeight="1">
      <c r="A1099" s="94">
        <v>1098</v>
      </c>
      <c r="B1099" s="10" t="s">
        <v>27</v>
      </c>
      <c r="C1099" s="10" t="s">
        <v>6054</v>
      </c>
      <c r="D1099" s="126" t="s">
        <v>6964</v>
      </c>
      <c r="E1099" s="128" t="s">
        <v>7189</v>
      </c>
      <c r="F1099" s="130" t="s">
        <v>7183</v>
      </c>
      <c r="G1099" s="129"/>
      <c r="H1099" s="128" t="s">
        <v>6985</v>
      </c>
      <c r="I1099" s="125" t="s">
        <v>7190</v>
      </c>
      <c r="J1099" s="125" t="s">
        <v>7191</v>
      </c>
      <c r="K1099" s="130" t="s">
        <v>7183</v>
      </c>
      <c r="L1099" s="18">
        <f t="shared" si="17"/>
        <v>1098</v>
      </c>
      <c r="M1099" s="125" t="s">
        <v>7192</v>
      </c>
      <c r="N1099" s="19" t="s">
        <v>6054</v>
      </c>
      <c r="O1099" s="125" t="s">
        <v>6062</v>
      </c>
    </row>
    <row r="1100" spans="1:15" ht="15.75" customHeight="1">
      <c r="A1100" s="94">
        <v>1099</v>
      </c>
      <c r="B1100" s="10" t="s">
        <v>27</v>
      </c>
      <c r="C1100" s="10" t="s">
        <v>6054</v>
      </c>
      <c r="D1100" s="126" t="s">
        <v>6964</v>
      </c>
      <c r="E1100" s="128" t="s">
        <v>6982</v>
      </c>
      <c r="F1100" s="130" t="s">
        <v>7183</v>
      </c>
      <c r="G1100" s="129"/>
      <c r="H1100" s="128" t="s">
        <v>6985</v>
      </c>
      <c r="I1100" s="125" t="s">
        <v>7193</v>
      </c>
      <c r="J1100" s="125" t="s">
        <v>7194</v>
      </c>
      <c r="K1100" s="130" t="s">
        <v>7183</v>
      </c>
      <c r="L1100" s="18">
        <f t="shared" si="17"/>
        <v>1099</v>
      </c>
      <c r="M1100" s="125" t="s">
        <v>38</v>
      </c>
      <c r="N1100" s="19" t="s">
        <v>6054</v>
      </c>
      <c r="O1100" s="125" t="s">
        <v>6062</v>
      </c>
    </row>
    <row r="1101" spans="1:15" ht="15.75" customHeight="1">
      <c r="A1101" s="94">
        <v>1100</v>
      </c>
      <c r="B1101" s="10" t="s">
        <v>27</v>
      </c>
      <c r="C1101" s="10" t="s">
        <v>28</v>
      </c>
      <c r="D1101" s="126" t="s">
        <v>6964</v>
      </c>
      <c r="E1101" s="128" t="s">
        <v>6982</v>
      </c>
      <c r="F1101" s="130" t="s">
        <v>7183</v>
      </c>
      <c r="G1101" s="129"/>
      <c r="H1101" s="128" t="s">
        <v>7195</v>
      </c>
      <c r="I1101" s="125" t="s">
        <v>7196</v>
      </c>
      <c r="J1101" s="125" t="s">
        <v>7197</v>
      </c>
      <c r="K1101" s="130" t="s">
        <v>7183</v>
      </c>
      <c r="L1101" s="18">
        <f t="shared" si="17"/>
        <v>1100</v>
      </c>
      <c r="M1101" s="125" t="s">
        <v>38</v>
      </c>
      <c r="N1101" s="19" t="s">
        <v>28</v>
      </c>
      <c r="O1101" s="125" t="s">
        <v>40</v>
      </c>
    </row>
    <row r="1102" spans="1:15" ht="15.75" customHeight="1">
      <c r="A1102" s="94">
        <v>1101</v>
      </c>
      <c r="B1102" s="10" t="s">
        <v>27</v>
      </c>
      <c r="C1102" s="10" t="s">
        <v>28</v>
      </c>
      <c r="D1102" s="126" t="s">
        <v>6964</v>
      </c>
      <c r="E1102" s="128" t="s">
        <v>7198</v>
      </c>
      <c r="F1102" s="130" t="s">
        <v>7183</v>
      </c>
      <c r="G1102" s="129"/>
      <c r="H1102" s="128" t="s">
        <v>7195</v>
      </c>
      <c r="I1102" s="125" t="s">
        <v>7196</v>
      </c>
      <c r="J1102" s="125" t="s">
        <v>7199</v>
      </c>
      <c r="K1102" s="130" t="s">
        <v>7183</v>
      </c>
      <c r="L1102" s="18">
        <f t="shared" si="17"/>
        <v>1101</v>
      </c>
      <c r="M1102" s="125" t="s">
        <v>38</v>
      </c>
      <c r="N1102" s="19" t="s">
        <v>28</v>
      </c>
      <c r="O1102" s="125" t="s">
        <v>40</v>
      </c>
    </row>
    <row r="1103" spans="1:15" ht="15.75" customHeight="1">
      <c r="A1103" s="94">
        <v>1102</v>
      </c>
      <c r="B1103" s="10" t="s">
        <v>1469</v>
      </c>
      <c r="C1103" s="10" t="s">
        <v>1470</v>
      </c>
      <c r="D1103" s="126" t="s">
        <v>7144</v>
      </c>
      <c r="E1103" s="128" t="s">
        <v>7144</v>
      </c>
      <c r="F1103" s="135" t="s">
        <v>85</v>
      </c>
      <c r="G1103" s="129"/>
      <c r="H1103" s="128" t="s">
        <v>5918</v>
      </c>
      <c r="I1103" s="125" t="s">
        <v>7200</v>
      </c>
      <c r="J1103" s="125" t="s">
        <v>7201</v>
      </c>
      <c r="K1103" s="135" t="s">
        <v>85</v>
      </c>
      <c r="L1103" s="18">
        <f t="shared" si="17"/>
        <v>1102</v>
      </c>
      <c r="M1103" s="125" t="s">
        <v>38</v>
      </c>
      <c r="N1103" s="11" t="s">
        <v>1483</v>
      </c>
      <c r="O1103" s="125" t="s">
        <v>1484</v>
      </c>
    </row>
    <row r="1104" spans="1:15" ht="15.75" customHeight="1">
      <c r="A1104" s="94">
        <v>1103</v>
      </c>
      <c r="B1104" s="10" t="s">
        <v>1469</v>
      </c>
      <c r="C1104" s="39" t="s">
        <v>1470</v>
      </c>
      <c r="D1104" s="126" t="s">
        <v>53</v>
      </c>
      <c r="E1104" s="128" t="s">
        <v>7207</v>
      </c>
      <c r="F1104" s="135" t="s">
        <v>7209</v>
      </c>
      <c r="G1104" s="162">
        <v>1083.03</v>
      </c>
      <c r="H1104" s="128" t="s">
        <v>7208</v>
      </c>
      <c r="I1104" s="125" t="s">
        <v>35</v>
      </c>
      <c r="J1104" s="125" t="s">
        <v>90</v>
      </c>
      <c r="K1104" s="135" t="s">
        <v>7209</v>
      </c>
      <c r="L1104" s="18">
        <f t="shared" si="17"/>
        <v>1103</v>
      </c>
      <c r="M1104" s="18" t="s">
        <v>38</v>
      </c>
      <c r="N1104" s="11" t="s">
        <v>1470</v>
      </c>
      <c r="O1104" s="131" t="s">
        <v>3247</v>
      </c>
    </row>
    <row r="1105" spans="1:15" ht="15.75" customHeight="1">
      <c r="A1105" s="94">
        <v>1104</v>
      </c>
      <c r="B1105" s="10" t="s">
        <v>1469</v>
      </c>
      <c r="C1105" s="10" t="s">
        <v>1470</v>
      </c>
      <c r="D1105" s="126" t="s">
        <v>2860</v>
      </c>
      <c r="E1105" s="128" t="s">
        <v>2861</v>
      </c>
      <c r="F1105" s="135" t="s">
        <v>7211</v>
      </c>
      <c r="G1105" s="162">
        <v>37700</v>
      </c>
      <c r="H1105" s="128" t="s">
        <v>5918</v>
      </c>
      <c r="I1105" s="125" t="s">
        <v>7210</v>
      </c>
      <c r="J1105" s="125" t="s">
        <v>90</v>
      </c>
      <c r="K1105" s="135" t="s">
        <v>7211</v>
      </c>
      <c r="L1105" s="18">
        <f t="shared" si="17"/>
        <v>1104</v>
      </c>
      <c r="M1105" s="125" t="s">
        <v>38</v>
      </c>
      <c r="N1105" s="11" t="s">
        <v>4411</v>
      </c>
      <c r="O1105" s="131" t="s">
        <v>1484</v>
      </c>
    </row>
    <row r="1106" spans="1:15" ht="15.75" customHeight="1">
      <c r="A1106" s="137">
        <v>1105</v>
      </c>
      <c r="B1106" s="138" t="s">
        <v>4410</v>
      </c>
      <c r="C1106" s="138" t="s">
        <v>4411</v>
      </c>
      <c r="D1106" s="140" t="s">
        <v>43</v>
      </c>
      <c r="E1106" s="141" t="s">
        <v>7382</v>
      </c>
      <c r="F1106" s="141" t="s">
        <v>7206</v>
      </c>
      <c r="G1106" s="139"/>
      <c r="H1106" s="144" t="s">
        <v>5477</v>
      </c>
      <c r="I1106" s="125" t="s">
        <v>7205</v>
      </c>
      <c r="J1106" s="86" t="s">
        <v>36</v>
      </c>
      <c r="K1106" s="141" t="s">
        <v>7206</v>
      </c>
      <c r="L1106" s="18">
        <f t="shared" si="17"/>
        <v>1105</v>
      </c>
      <c r="M1106" s="139" t="s">
        <v>38</v>
      </c>
      <c r="N1106" s="146" t="s">
        <v>4411</v>
      </c>
      <c r="O1106" s="163" t="s">
        <v>5584</v>
      </c>
    </row>
    <row r="1107" spans="1:15" ht="15.75" customHeight="1">
      <c r="A1107" s="94">
        <v>1106</v>
      </c>
      <c r="B1107" s="10" t="s">
        <v>4410</v>
      </c>
      <c r="C1107" s="10" t="s">
        <v>4411</v>
      </c>
      <c r="D1107" s="126" t="s">
        <v>43</v>
      </c>
      <c r="E1107" s="128" t="s">
        <v>1850</v>
      </c>
      <c r="F1107" s="135" t="s">
        <v>7212</v>
      </c>
      <c r="G1107" s="162">
        <v>2317.1</v>
      </c>
      <c r="H1107" s="128" t="s">
        <v>5477</v>
      </c>
      <c r="I1107" s="125" t="s">
        <v>7205</v>
      </c>
      <c r="J1107" s="125" t="s">
        <v>90</v>
      </c>
      <c r="K1107" s="135" t="s">
        <v>7212</v>
      </c>
      <c r="L1107" s="18">
        <f t="shared" si="17"/>
        <v>1106</v>
      </c>
      <c r="M1107" s="125" t="s">
        <v>38</v>
      </c>
      <c r="N1107" s="11" t="s">
        <v>4416</v>
      </c>
      <c r="O1107" s="125" t="s">
        <v>5310</v>
      </c>
    </row>
    <row r="1108" spans="1:15" ht="15.75" customHeight="1">
      <c r="A1108" s="94">
        <v>1107</v>
      </c>
      <c r="B1108" s="10" t="s">
        <v>27</v>
      </c>
      <c r="C1108" s="10" t="s">
        <v>868</v>
      </c>
      <c r="D1108" s="126" t="s">
        <v>184</v>
      </c>
      <c r="E1108" s="128" t="s">
        <v>3842</v>
      </c>
      <c r="F1108" s="135" t="s">
        <v>7213</v>
      </c>
      <c r="G1108" s="162">
        <v>2532</v>
      </c>
      <c r="H1108" s="128" t="s">
        <v>7088</v>
      </c>
      <c r="I1108" s="125" t="s">
        <v>7123</v>
      </c>
      <c r="J1108" s="125" t="s">
        <v>90</v>
      </c>
      <c r="K1108" s="135" t="s">
        <v>7213</v>
      </c>
      <c r="L1108" s="18">
        <f t="shared" si="17"/>
        <v>1107</v>
      </c>
      <c r="M1108" s="125" t="s">
        <v>38</v>
      </c>
      <c r="N1108" s="11" t="s">
        <v>875</v>
      </c>
      <c r="O1108" s="131" t="s">
        <v>4629</v>
      </c>
    </row>
    <row r="1109" spans="1:15" ht="15.75" customHeight="1">
      <c r="A1109" s="94">
        <v>1108</v>
      </c>
      <c r="B1109" s="10" t="s">
        <v>1469</v>
      </c>
      <c r="C1109" s="10" t="s">
        <v>1470</v>
      </c>
      <c r="D1109" s="126" t="s">
        <v>7383</v>
      </c>
      <c r="E1109" s="128" t="s">
        <v>7384</v>
      </c>
      <c r="F1109" s="135" t="s">
        <v>7214</v>
      </c>
      <c r="G1109" s="128">
        <v>880.44</v>
      </c>
      <c r="H1109" s="128" t="s">
        <v>2748</v>
      </c>
      <c r="I1109" s="125" t="s">
        <v>7064</v>
      </c>
      <c r="J1109" s="125" t="s">
        <v>7385</v>
      </c>
      <c r="K1109" s="135" t="s">
        <v>7214</v>
      </c>
      <c r="L1109" s="18">
        <f t="shared" si="17"/>
        <v>1108</v>
      </c>
      <c r="M1109" s="125" t="s">
        <v>38</v>
      </c>
      <c r="N1109" s="11" t="s">
        <v>3091</v>
      </c>
      <c r="O1109" s="125" t="s">
        <v>3151</v>
      </c>
    </row>
    <row r="1110" spans="1:15" ht="15.75" customHeight="1">
      <c r="A1110" s="94">
        <v>1109</v>
      </c>
      <c r="B1110" s="10" t="s">
        <v>27</v>
      </c>
      <c r="C1110" s="151" t="s">
        <v>28</v>
      </c>
      <c r="D1110" s="126" t="s">
        <v>7215</v>
      </c>
      <c r="E1110" s="128" t="s">
        <v>7216</v>
      </c>
      <c r="F1110" s="135" t="s">
        <v>7219</v>
      </c>
      <c r="G1110" s="128">
        <v>980</v>
      </c>
      <c r="H1110" s="128" t="s">
        <v>7217</v>
      </c>
      <c r="I1110" s="125" t="s">
        <v>7218</v>
      </c>
      <c r="J1110" s="125">
        <v>748107448</v>
      </c>
      <c r="K1110" s="135" t="s">
        <v>7219</v>
      </c>
      <c r="L1110" s="18">
        <f t="shared" si="17"/>
        <v>1109</v>
      </c>
      <c r="M1110" s="125" t="s">
        <v>100</v>
      </c>
      <c r="N1110" s="11" t="s">
        <v>147</v>
      </c>
      <c r="O1110" s="125" t="s">
        <v>385</v>
      </c>
    </row>
    <row r="1111" spans="1:15" ht="15.75" customHeight="1">
      <c r="A1111" s="94">
        <v>1110</v>
      </c>
      <c r="B1111" s="10" t="s">
        <v>27</v>
      </c>
      <c r="C1111" s="151" t="s">
        <v>28</v>
      </c>
      <c r="D1111" s="126" t="s">
        <v>7215</v>
      </c>
      <c r="E1111" s="128" t="s">
        <v>7216</v>
      </c>
      <c r="F1111" s="135" t="s">
        <v>7221</v>
      </c>
      <c r="G1111" s="129"/>
      <c r="H1111" s="128" t="s">
        <v>7217</v>
      </c>
      <c r="I1111" s="125" t="s">
        <v>7220</v>
      </c>
      <c r="J1111" s="125">
        <v>733247505</v>
      </c>
      <c r="K1111" s="135" t="s">
        <v>7221</v>
      </c>
      <c r="L1111" s="18">
        <f t="shared" si="17"/>
        <v>1110</v>
      </c>
      <c r="M1111" s="125" t="s">
        <v>100</v>
      </c>
      <c r="N1111" s="11" t="s">
        <v>147</v>
      </c>
      <c r="O1111" s="125" t="s">
        <v>385</v>
      </c>
    </row>
    <row r="1112" spans="1:15" ht="15.75" customHeight="1">
      <c r="A1112" s="94">
        <v>1111</v>
      </c>
      <c r="B1112" s="10" t="s">
        <v>27</v>
      </c>
      <c r="C1112" s="10" t="s">
        <v>28</v>
      </c>
      <c r="D1112" s="126" t="s">
        <v>7021</v>
      </c>
      <c r="E1112" s="128" t="s">
        <v>7022</v>
      </c>
      <c r="F1112" s="135" t="s">
        <v>7222</v>
      </c>
      <c r="G1112" s="129"/>
      <c r="H1112" s="129"/>
      <c r="I1112" s="132"/>
      <c r="J1112" s="132"/>
      <c r="K1112" s="135" t="s">
        <v>7222</v>
      </c>
      <c r="L1112" s="18">
        <f t="shared" si="17"/>
        <v>1111</v>
      </c>
      <c r="M1112" s="125" t="s">
        <v>517</v>
      </c>
      <c r="N1112" s="11" t="s">
        <v>147</v>
      </c>
      <c r="O1112" s="125" t="s">
        <v>385</v>
      </c>
    </row>
    <row r="1113" spans="1:15" ht="15.75" customHeight="1">
      <c r="A1113" s="94">
        <v>1112</v>
      </c>
      <c r="B1113" s="10" t="s">
        <v>27</v>
      </c>
      <c r="C1113" s="10" t="s">
        <v>28</v>
      </c>
      <c r="D1113" s="126" t="s">
        <v>7223</v>
      </c>
      <c r="E1113" s="128" t="s">
        <v>7224</v>
      </c>
      <c r="F1113" s="135" t="s">
        <v>7227</v>
      </c>
      <c r="G1113" s="129"/>
      <c r="H1113" s="128" t="s">
        <v>205</v>
      </c>
      <c r="I1113" s="125" t="s">
        <v>7225</v>
      </c>
      <c r="J1113" s="125" t="s">
        <v>7226</v>
      </c>
      <c r="K1113" s="135" t="s">
        <v>7227</v>
      </c>
      <c r="L1113" s="18">
        <f t="shared" si="17"/>
        <v>1112</v>
      </c>
      <c r="M1113" s="125" t="s">
        <v>38</v>
      </c>
      <c r="N1113" s="11" t="s">
        <v>28</v>
      </c>
      <c r="O1113" s="125" t="s">
        <v>40</v>
      </c>
    </row>
    <row r="1114" spans="1:15" ht="15.75" customHeight="1">
      <c r="A1114" s="94">
        <v>1113</v>
      </c>
      <c r="B1114" s="10" t="s">
        <v>474</v>
      </c>
      <c r="C1114" s="151" t="s">
        <v>4411</v>
      </c>
      <c r="D1114" s="126" t="s">
        <v>43</v>
      </c>
      <c r="E1114" s="128" t="s">
        <v>43</v>
      </c>
      <c r="F1114" s="135" t="s">
        <v>7228</v>
      </c>
      <c r="G1114" s="129"/>
      <c r="H1114" s="128" t="s">
        <v>2586</v>
      </c>
      <c r="I1114" s="125" t="s">
        <v>35</v>
      </c>
      <c r="J1114" s="125" t="s">
        <v>36</v>
      </c>
      <c r="K1114" s="135" t="s">
        <v>7228</v>
      </c>
      <c r="L1114" s="18">
        <f t="shared" si="17"/>
        <v>1113</v>
      </c>
      <c r="M1114" s="125" t="s">
        <v>38</v>
      </c>
      <c r="N1114" s="11" t="s">
        <v>5695</v>
      </c>
      <c r="O1114" s="20" t="s">
        <v>5696</v>
      </c>
    </row>
    <row r="1115" spans="1:15" ht="15.75" customHeight="1">
      <c r="A1115" s="94">
        <v>1114</v>
      </c>
      <c r="B1115" s="10" t="s">
        <v>474</v>
      </c>
      <c r="C1115" s="151" t="s">
        <v>4411</v>
      </c>
      <c r="D1115" s="126" t="s">
        <v>43</v>
      </c>
      <c r="E1115" s="128" t="s">
        <v>43</v>
      </c>
      <c r="F1115" s="135" t="s">
        <v>7231</v>
      </c>
      <c r="G1115" s="129"/>
      <c r="H1115" s="128" t="s">
        <v>7229</v>
      </c>
      <c r="I1115" s="125" t="s">
        <v>7230</v>
      </c>
      <c r="J1115" s="125" t="s">
        <v>36</v>
      </c>
      <c r="K1115" s="135" t="s">
        <v>7231</v>
      </c>
      <c r="L1115" s="18">
        <f t="shared" si="17"/>
        <v>1114</v>
      </c>
      <c r="M1115" s="18" t="s">
        <v>38</v>
      </c>
      <c r="N1115" s="11" t="s">
        <v>4416</v>
      </c>
      <c r="O1115" s="131" t="s">
        <v>5584</v>
      </c>
    </row>
    <row r="1116" spans="1:15" ht="15.75" customHeight="1">
      <c r="A1116" s="94">
        <v>1115</v>
      </c>
      <c r="B1116" s="10" t="s">
        <v>27</v>
      </c>
      <c r="C1116" s="151" t="s">
        <v>868</v>
      </c>
      <c r="D1116" s="126" t="s">
        <v>43</v>
      </c>
      <c r="E1116" s="128" t="s">
        <v>43</v>
      </c>
      <c r="F1116" s="135" t="s">
        <v>7232</v>
      </c>
      <c r="G1116" s="129"/>
      <c r="H1116" s="128" t="s">
        <v>2586</v>
      </c>
      <c r="I1116" s="125" t="s">
        <v>35</v>
      </c>
      <c r="J1116" s="125" t="s">
        <v>36</v>
      </c>
      <c r="K1116" s="135" t="s">
        <v>7232</v>
      </c>
      <c r="L1116" s="18">
        <f t="shared" si="17"/>
        <v>1115</v>
      </c>
      <c r="M1116" s="125" t="s">
        <v>38</v>
      </c>
      <c r="N1116" s="11" t="s">
        <v>875</v>
      </c>
      <c r="O1116" s="125" t="s">
        <v>1890</v>
      </c>
    </row>
    <row r="1117" spans="1:15" ht="15.75" customHeight="1">
      <c r="A1117" s="94">
        <v>1116</v>
      </c>
      <c r="B1117" s="125" t="s">
        <v>27</v>
      </c>
      <c r="C1117" s="12" t="s">
        <v>28</v>
      </c>
      <c r="D1117" s="126" t="s">
        <v>184</v>
      </c>
      <c r="E1117" s="128" t="s">
        <v>10328</v>
      </c>
      <c r="F1117" s="135" t="s">
        <v>10327</v>
      </c>
      <c r="G1117" s="247">
        <v>2531.9699999999998</v>
      </c>
      <c r="H1117" s="129" t="s">
        <v>7088</v>
      </c>
      <c r="I1117" s="132" t="s">
        <v>7123</v>
      </c>
      <c r="J1117" s="132" t="s">
        <v>90</v>
      </c>
      <c r="K1117" s="135" t="str">
        <f>F1117</f>
        <v>82DH0511010016000786738</v>
      </c>
      <c r="L1117" s="18">
        <f t="shared" si="17"/>
        <v>1116</v>
      </c>
      <c r="M1117" s="132" t="s">
        <v>38</v>
      </c>
      <c r="N1117" s="11" t="s">
        <v>28</v>
      </c>
      <c r="O1117" s="132" t="s">
        <v>40</v>
      </c>
    </row>
    <row r="1118" spans="1:15" ht="15.75" customHeight="1">
      <c r="A1118" s="94">
        <v>1117</v>
      </c>
      <c r="B1118" s="12" t="s">
        <v>27</v>
      </c>
      <c r="C1118" s="12" t="s">
        <v>28</v>
      </c>
      <c r="D1118" s="126" t="s">
        <v>1275</v>
      </c>
      <c r="E1118" s="128" t="s">
        <v>10329</v>
      </c>
      <c r="F1118" s="135" t="s">
        <v>10330</v>
      </c>
      <c r="G1118" s="247">
        <v>20570.419999999998</v>
      </c>
      <c r="H1118" s="129" t="s">
        <v>2748</v>
      </c>
      <c r="I1118" s="132" t="s">
        <v>10331</v>
      </c>
      <c r="J1118" s="132" t="s">
        <v>10332</v>
      </c>
      <c r="K1118" s="135" t="str">
        <f t="shared" ref="K1118:K1135" si="18">F1118</f>
        <v>82DK0515010002000786962</v>
      </c>
      <c r="L1118" s="18">
        <f t="shared" si="17"/>
        <v>1117</v>
      </c>
      <c r="M1118" s="132" t="s">
        <v>38</v>
      </c>
      <c r="N1118" s="11" t="s">
        <v>723</v>
      </c>
      <c r="O1118" s="132" t="s">
        <v>1164</v>
      </c>
    </row>
    <row r="1119" spans="1:15" ht="15.75" customHeight="1">
      <c r="A1119" s="94">
        <v>1118</v>
      </c>
      <c r="B1119" s="12" t="s">
        <v>1469</v>
      </c>
      <c r="C1119" s="12" t="s">
        <v>10333</v>
      </c>
      <c r="D1119" s="126" t="s">
        <v>501</v>
      </c>
      <c r="E1119" s="128" t="s">
        <v>10334</v>
      </c>
      <c r="F1119" s="135" t="s">
        <v>10335</v>
      </c>
      <c r="G1119" s="247">
        <v>1900</v>
      </c>
      <c r="H1119" s="129" t="s">
        <v>35</v>
      </c>
      <c r="I1119" s="132" t="s">
        <v>35</v>
      </c>
      <c r="J1119" s="132" t="s">
        <v>90</v>
      </c>
      <c r="K1119" s="135" t="str">
        <f t="shared" si="18"/>
        <v>82DJ0511010020000786735</v>
      </c>
      <c r="L1119" s="18">
        <f t="shared" si="17"/>
        <v>1118</v>
      </c>
      <c r="M1119" s="132" t="s">
        <v>38</v>
      </c>
      <c r="N1119" s="11" t="s">
        <v>2884</v>
      </c>
      <c r="O1119" s="132" t="s">
        <v>3247</v>
      </c>
    </row>
    <row r="1120" spans="1:15" ht="15.75" customHeight="1">
      <c r="A1120" s="94">
        <v>1119</v>
      </c>
      <c r="B1120" s="12" t="s">
        <v>27</v>
      </c>
      <c r="C1120" s="125" t="s">
        <v>10333</v>
      </c>
      <c r="D1120" s="126" t="s">
        <v>43</v>
      </c>
      <c r="E1120" s="128" t="s">
        <v>10336</v>
      </c>
      <c r="F1120" s="135" t="s">
        <v>10337</v>
      </c>
      <c r="G1120" s="247">
        <v>2300</v>
      </c>
      <c r="H1120" s="129" t="s">
        <v>2586</v>
      </c>
      <c r="I1120" s="132" t="s">
        <v>10338</v>
      </c>
      <c r="J1120" s="132" t="s">
        <v>90</v>
      </c>
      <c r="K1120" s="135" t="str">
        <f t="shared" si="18"/>
        <v>82DJ0519010043000786736</v>
      </c>
      <c r="L1120" s="18">
        <f t="shared" si="17"/>
        <v>1119</v>
      </c>
      <c r="M1120" s="132" t="s">
        <v>38</v>
      </c>
      <c r="N1120" s="11" t="s">
        <v>1548</v>
      </c>
      <c r="O1120" s="132" t="s">
        <v>1983</v>
      </c>
    </row>
    <row r="1121" spans="1:15" ht="15.75" customHeight="1">
      <c r="A1121" s="94">
        <v>1120</v>
      </c>
      <c r="B1121" s="12" t="s">
        <v>27</v>
      </c>
      <c r="C1121" s="125" t="s">
        <v>10333</v>
      </c>
      <c r="D1121" s="126" t="s">
        <v>2060</v>
      </c>
      <c r="E1121" s="128" t="s">
        <v>7171</v>
      </c>
      <c r="F1121" s="135" t="s">
        <v>10339</v>
      </c>
      <c r="G1121" s="247">
        <v>220</v>
      </c>
      <c r="H1121" s="129" t="s">
        <v>35</v>
      </c>
      <c r="I1121" s="132" t="s">
        <v>35</v>
      </c>
      <c r="J1121" s="132" t="s">
        <v>90</v>
      </c>
      <c r="K1121" s="135" t="str">
        <f t="shared" si="18"/>
        <v>82DJ0511010019000787332</v>
      </c>
      <c r="L1121" s="18">
        <f t="shared" si="17"/>
        <v>1120</v>
      </c>
      <c r="M1121" s="132" t="s">
        <v>38</v>
      </c>
      <c r="N1121" s="11" t="s">
        <v>1548</v>
      </c>
      <c r="O1121" s="132" t="s">
        <v>2052</v>
      </c>
    </row>
    <row r="1122" spans="1:15" ht="15.75" customHeight="1">
      <c r="A1122" s="94">
        <v>1121</v>
      </c>
      <c r="B1122" s="125" t="s">
        <v>27</v>
      </c>
      <c r="C1122" s="125" t="s">
        <v>10333</v>
      </c>
      <c r="D1122" s="205" t="s">
        <v>2060</v>
      </c>
      <c r="E1122" s="128" t="s">
        <v>7171</v>
      </c>
      <c r="F1122" s="135" t="s">
        <v>10340</v>
      </c>
      <c r="G1122" s="247">
        <v>220</v>
      </c>
      <c r="H1122" s="129" t="s">
        <v>35</v>
      </c>
      <c r="I1122" s="209" t="s">
        <v>35</v>
      </c>
      <c r="J1122" s="209" t="s">
        <v>90</v>
      </c>
      <c r="K1122" s="135" t="str">
        <f t="shared" si="18"/>
        <v>82DJ0511010019000787333</v>
      </c>
      <c r="L1122" s="18">
        <f t="shared" si="17"/>
        <v>1121</v>
      </c>
      <c r="M1122" s="132" t="s">
        <v>38</v>
      </c>
      <c r="N1122" s="136" t="s">
        <v>1548</v>
      </c>
      <c r="O1122" s="209" t="s">
        <v>2052</v>
      </c>
    </row>
    <row r="1123" spans="1:15" ht="15.75" customHeight="1">
      <c r="A1123" s="211">
        <v>1122</v>
      </c>
      <c r="B1123" s="125" t="s">
        <v>1469</v>
      </c>
      <c r="C1123" s="125" t="s">
        <v>10333</v>
      </c>
      <c r="D1123" s="126" t="s">
        <v>43</v>
      </c>
      <c r="E1123" s="128" t="s">
        <v>10341</v>
      </c>
      <c r="F1123" s="135" t="s">
        <v>10342</v>
      </c>
      <c r="G1123" s="247">
        <v>4034.48</v>
      </c>
      <c r="H1123" s="129" t="s">
        <v>2586</v>
      </c>
      <c r="I1123" s="132" t="s">
        <v>10343</v>
      </c>
      <c r="J1123" s="132" t="s">
        <v>90</v>
      </c>
      <c r="K1123" s="135" t="str">
        <f t="shared" si="18"/>
        <v>82DJ0519010043000786740</v>
      </c>
      <c r="L1123" s="18">
        <f t="shared" si="17"/>
        <v>1122</v>
      </c>
      <c r="M1123" s="209" t="s">
        <v>38</v>
      </c>
      <c r="N1123" s="136" t="s">
        <v>1548</v>
      </c>
      <c r="O1123" s="209" t="s">
        <v>1890</v>
      </c>
    </row>
    <row r="1124" spans="1:15" ht="15.75" customHeight="1">
      <c r="A1124" s="211">
        <v>1123</v>
      </c>
      <c r="B1124" s="125" t="s">
        <v>1469</v>
      </c>
      <c r="C1124" s="125" t="s">
        <v>10344</v>
      </c>
      <c r="D1124" s="126" t="s">
        <v>184</v>
      </c>
      <c r="E1124" s="128" t="s">
        <v>10328</v>
      </c>
      <c r="F1124" s="135" t="s">
        <v>10345</v>
      </c>
      <c r="G1124" s="247">
        <v>2531.9699999999998</v>
      </c>
      <c r="H1124" s="129" t="s">
        <v>7088</v>
      </c>
      <c r="I1124" s="132" t="s">
        <v>7123</v>
      </c>
      <c r="J1124" s="132" t="s">
        <v>90</v>
      </c>
      <c r="K1124" s="135" t="str">
        <f t="shared" si="18"/>
        <v>82DI0512010014000786963</v>
      </c>
      <c r="L1124" s="18">
        <f t="shared" si="17"/>
        <v>1123</v>
      </c>
      <c r="M1124" s="132" t="s">
        <v>38</v>
      </c>
      <c r="N1124" s="129" t="s">
        <v>2328</v>
      </c>
      <c r="O1124" s="132" t="s">
        <v>3716</v>
      </c>
    </row>
    <row r="1125" spans="1:15" ht="15.75" customHeight="1">
      <c r="A1125" s="211">
        <v>1124</v>
      </c>
      <c r="B1125" s="125" t="s">
        <v>1469</v>
      </c>
      <c r="C1125" s="125" t="s">
        <v>10344</v>
      </c>
      <c r="D1125" s="126" t="s">
        <v>173</v>
      </c>
      <c r="E1125" s="128" t="s">
        <v>10347</v>
      </c>
      <c r="F1125" s="125" t="s">
        <v>10346</v>
      </c>
      <c r="G1125" s="247">
        <v>6099.74</v>
      </c>
      <c r="H1125" s="129" t="s">
        <v>5918</v>
      </c>
      <c r="I1125" s="132" t="s">
        <v>10348</v>
      </c>
      <c r="J1125" s="132" t="s">
        <v>10349</v>
      </c>
      <c r="K1125" s="135" t="str">
        <f t="shared" si="18"/>
        <v>82DI0519010038000786734</v>
      </c>
      <c r="L1125" s="18">
        <f t="shared" si="17"/>
        <v>1124</v>
      </c>
      <c r="M1125" s="132" t="s">
        <v>38</v>
      </c>
      <c r="N1125" s="129" t="s">
        <v>10344</v>
      </c>
      <c r="O1125" s="132" t="s">
        <v>3450</v>
      </c>
    </row>
    <row r="1126" spans="1:15" ht="15.75" customHeight="1">
      <c r="A1126" s="211">
        <v>1125</v>
      </c>
      <c r="B1126" s="125" t="s">
        <v>1469</v>
      </c>
      <c r="C1126" s="125" t="s">
        <v>10344</v>
      </c>
      <c r="D1126" s="126" t="s">
        <v>1199</v>
      </c>
      <c r="E1126" s="128" t="s">
        <v>10350</v>
      </c>
      <c r="F1126" s="135" t="s">
        <v>10351</v>
      </c>
      <c r="G1126" s="247">
        <v>4634.2</v>
      </c>
      <c r="H1126" s="129" t="s">
        <v>205</v>
      </c>
      <c r="I1126" s="132" t="s">
        <v>10352</v>
      </c>
      <c r="J1126" s="132" t="s">
        <v>10353</v>
      </c>
      <c r="K1126" s="135" t="str">
        <f t="shared" si="18"/>
        <v>82DI0515010010000786986</v>
      </c>
      <c r="L1126" s="18">
        <f t="shared" si="17"/>
        <v>1125</v>
      </c>
      <c r="M1126" s="209" t="s">
        <v>38</v>
      </c>
      <c r="N1126" s="129" t="s">
        <v>10344</v>
      </c>
      <c r="O1126" s="209" t="s">
        <v>3450</v>
      </c>
    </row>
    <row r="1127" spans="1:15" ht="15.75" customHeight="1">
      <c r="A1127" s="211">
        <v>1126</v>
      </c>
      <c r="B1127" s="125" t="s">
        <v>4410</v>
      </c>
      <c r="C1127" s="125" t="s">
        <v>6054</v>
      </c>
      <c r="D1127" s="126" t="s">
        <v>43</v>
      </c>
      <c r="E1127" s="128" t="s">
        <v>10341</v>
      </c>
      <c r="F1127" s="135" t="s">
        <v>10354</v>
      </c>
      <c r="G1127" s="247">
        <v>4034.48</v>
      </c>
      <c r="H1127" s="129" t="s">
        <v>2586</v>
      </c>
      <c r="I1127" s="132" t="s">
        <v>10343</v>
      </c>
      <c r="J1127" s="132" t="s">
        <v>90</v>
      </c>
      <c r="K1127" s="135" t="str">
        <f t="shared" si="18"/>
        <v>82DH0519010043000786739</v>
      </c>
      <c r="L1127" s="18">
        <f t="shared" si="17"/>
        <v>1126</v>
      </c>
      <c r="M1127" s="132" t="s">
        <v>38</v>
      </c>
      <c r="N1127" s="129" t="s">
        <v>6054</v>
      </c>
      <c r="O1127" s="132" t="s">
        <v>6062</v>
      </c>
    </row>
    <row r="1128" spans="1:15" ht="15.75" customHeight="1">
      <c r="A1128" s="211">
        <v>1127</v>
      </c>
      <c r="B1128" s="125" t="s">
        <v>4410</v>
      </c>
      <c r="C1128" s="125" t="s">
        <v>6054</v>
      </c>
      <c r="D1128" s="126" t="s">
        <v>43</v>
      </c>
      <c r="E1128" s="128" t="s">
        <v>10336</v>
      </c>
      <c r="F1128" s="135" t="s">
        <v>10355</v>
      </c>
      <c r="G1128" s="247">
        <v>2300</v>
      </c>
      <c r="H1128" s="129" t="s">
        <v>2586</v>
      </c>
      <c r="I1128" s="132" t="s">
        <v>10338</v>
      </c>
      <c r="J1128" s="132" t="s">
        <v>90</v>
      </c>
      <c r="K1128" s="135" t="str">
        <f t="shared" si="18"/>
        <v>82DH0519010043000786737</v>
      </c>
      <c r="L1128" s="18">
        <f t="shared" si="17"/>
        <v>1127</v>
      </c>
      <c r="M1128" s="132" t="s">
        <v>38</v>
      </c>
      <c r="N1128" s="129" t="s">
        <v>6054</v>
      </c>
      <c r="O1128" s="132" t="s">
        <v>6684</v>
      </c>
    </row>
    <row r="1129" spans="1:15" ht="15.75" customHeight="1">
      <c r="A1129" s="211">
        <v>1128</v>
      </c>
      <c r="B1129" s="125" t="s">
        <v>27</v>
      </c>
      <c r="C1129" s="125" t="s">
        <v>10333</v>
      </c>
      <c r="D1129" s="205" t="s">
        <v>7005</v>
      </c>
      <c r="E1129" s="128" t="s">
        <v>10356</v>
      </c>
      <c r="F1129" s="135" t="s">
        <v>51</v>
      </c>
      <c r="G1129" s="247">
        <v>899</v>
      </c>
      <c r="H1129" s="129" t="s">
        <v>2748</v>
      </c>
      <c r="I1129" s="209" t="s">
        <v>10357</v>
      </c>
      <c r="J1129" s="209" t="s">
        <v>10358</v>
      </c>
      <c r="K1129" s="135" t="str">
        <f t="shared" si="18"/>
        <v>PENDIENTE</v>
      </c>
      <c r="L1129" s="18">
        <f t="shared" si="17"/>
        <v>1128</v>
      </c>
      <c r="M1129" s="209" t="s">
        <v>38</v>
      </c>
      <c r="N1129" s="129" t="s">
        <v>1548</v>
      </c>
      <c r="O1129" s="209" t="s">
        <v>332</v>
      </c>
    </row>
    <row r="1130" spans="1:15" ht="15.75" customHeight="1">
      <c r="A1130" s="211">
        <v>1129</v>
      </c>
      <c r="B1130" s="125" t="s">
        <v>27</v>
      </c>
      <c r="C1130" s="125" t="s">
        <v>10333</v>
      </c>
      <c r="D1130" s="205" t="s">
        <v>210</v>
      </c>
      <c r="E1130" s="128" t="s">
        <v>5051</v>
      </c>
      <c r="F1130" s="135" t="s">
        <v>51</v>
      </c>
      <c r="G1130" s="247">
        <v>3800</v>
      </c>
      <c r="H1130" s="129" t="s">
        <v>10359</v>
      </c>
      <c r="I1130" s="209" t="s">
        <v>35</v>
      </c>
      <c r="J1130" s="209" t="s">
        <v>10360</v>
      </c>
      <c r="K1130" s="135" t="str">
        <f t="shared" si="18"/>
        <v>PENDIENTE</v>
      </c>
      <c r="L1130" s="18">
        <f t="shared" si="17"/>
        <v>1129</v>
      </c>
      <c r="M1130" s="209" t="s">
        <v>38</v>
      </c>
      <c r="N1130" s="129" t="s">
        <v>1548</v>
      </c>
      <c r="O1130" s="209" t="s">
        <v>1983</v>
      </c>
    </row>
    <row r="1131" spans="1:15" ht="15.75" customHeight="1">
      <c r="A1131" s="211">
        <v>1130</v>
      </c>
      <c r="B1131" s="125" t="s">
        <v>1469</v>
      </c>
      <c r="C1131" s="125" t="s">
        <v>10333</v>
      </c>
      <c r="D1131" s="205" t="s">
        <v>248</v>
      </c>
      <c r="E1131" s="128" t="s">
        <v>249</v>
      </c>
      <c r="F1131" s="135" t="s">
        <v>51</v>
      </c>
      <c r="G1131" s="247">
        <v>2006.8</v>
      </c>
      <c r="H1131" s="129" t="s">
        <v>7040</v>
      </c>
      <c r="I1131" s="209" t="s">
        <v>304</v>
      </c>
      <c r="J1131" s="209" t="s">
        <v>10361</v>
      </c>
      <c r="K1131" s="135" t="str">
        <f t="shared" si="18"/>
        <v>PENDIENTE</v>
      </c>
      <c r="L1131" s="18">
        <f t="shared" si="17"/>
        <v>1130</v>
      </c>
      <c r="M1131" s="209" t="s">
        <v>38</v>
      </c>
      <c r="N1131" s="129" t="s">
        <v>10333</v>
      </c>
      <c r="O1131" s="209" t="s">
        <v>1477</v>
      </c>
    </row>
    <row r="1132" spans="1:15" ht="15.75" customHeight="1">
      <c r="A1132" s="211">
        <v>1131</v>
      </c>
      <c r="B1132" s="125" t="s">
        <v>1469</v>
      </c>
      <c r="C1132" s="125" t="s">
        <v>10333</v>
      </c>
      <c r="D1132" s="205" t="s">
        <v>248</v>
      </c>
      <c r="E1132" s="128" t="s">
        <v>249</v>
      </c>
      <c r="F1132" s="135" t="s">
        <v>51</v>
      </c>
      <c r="G1132" s="247">
        <v>2006.8</v>
      </c>
      <c r="H1132" s="129" t="s">
        <v>7040</v>
      </c>
      <c r="I1132" s="209" t="s">
        <v>304</v>
      </c>
      <c r="J1132" s="209" t="s">
        <v>10362</v>
      </c>
      <c r="K1132" s="135" t="str">
        <f t="shared" si="18"/>
        <v>PENDIENTE</v>
      </c>
      <c r="L1132" s="18">
        <f t="shared" si="17"/>
        <v>1131</v>
      </c>
      <c r="M1132" s="209" t="s">
        <v>38</v>
      </c>
      <c r="N1132" s="129" t="s">
        <v>3091</v>
      </c>
      <c r="O1132" s="209" t="s">
        <v>3092</v>
      </c>
    </row>
    <row r="1133" spans="1:15" ht="15.75" customHeight="1">
      <c r="A1133" s="211">
        <v>1132</v>
      </c>
      <c r="B1133" s="125" t="s">
        <v>1469</v>
      </c>
      <c r="C1133" s="125" t="s">
        <v>10333</v>
      </c>
      <c r="D1133" s="205" t="s">
        <v>248</v>
      </c>
      <c r="E1133" s="128" t="s">
        <v>249</v>
      </c>
      <c r="F1133" s="135" t="s">
        <v>51</v>
      </c>
      <c r="G1133" s="247">
        <v>2006.8</v>
      </c>
      <c r="H1133" s="129" t="s">
        <v>7040</v>
      </c>
      <c r="I1133" s="209" t="s">
        <v>304</v>
      </c>
      <c r="J1133" s="209" t="s">
        <v>10363</v>
      </c>
      <c r="K1133" s="135" t="str">
        <f t="shared" si="18"/>
        <v>PENDIENTE</v>
      </c>
      <c r="L1133" s="18">
        <f t="shared" si="17"/>
        <v>1132</v>
      </c>
      <c r="M1133" s="209" t="s">
        <v>38</v>
      </c>
      <c r="N1133" s="129" t="s">
        <v>1548</v>
      </c>
      <c r="O1133" s="209" t="s">
        <v>687</v>
      </c>
    </row>
    <row r="1134" spans="1:15" ht="15.75" customHeight="1">
      <c r="A1134" s="211">
        <v>1133</v>
      </c>
      <c r="B1134" s="125" t="s">
        <v>1469</v>
      </c>
      <c r="C1134" s="125" t="s">
        <v>10333</v>
      </c>
      <c r="D1134" s="205" t="s">
        <v>248</v>
      </c>
      <c r="E1134" s="128" t="s">
        <v>249</v>
      </c>
      <c r="F1134" s="135" t="s">
        <v>51</v>
      </c>
      <c r="G1134" s="247">
        <v>2006.8</v>
      </c>
      <c r="H1134" s="129" t="s">
        <v>7040</v>
      </c>
      <c r="I1134" s="209" t="s">
        <v>304</v>
      </c>
      <c r="J1134" s="209" t="s">
        <v>10366</v>
      </c>
      <c r="K1134" s="135" t="str">
        <f t="shared" si="18"/>
        <v>PENDIENTE</v>
      </c>
      <c r="L1134" s="18">
        <f t="shared" si="17"/>
        <v>1133</v>
      </c>
      <c r="M1134" s="209" t="s">
        <v>38</v>
      </c>
      <c r="N1134" s="129" t="s">
        <v>1548</v>
      </c>
      <c r="O1134" s="132" t="s">
        <v>1736</v>
      </c>
    </row>
    <row r="1135" spans="1:15" ht="15.75" customHeight="1">
      <c r="A1135" s="211">
        <v>1134</v>
      </c>
      <c r="B1135" s="125" t="s">
        <v>1469</v>
      </c>
      <c r="C1135" s="125" t="s">
        <v>10333</v>
      </c>
      <c r="D1135" s="205" t="s">
        <v>248</v>
      </c>
      <c r="E1135" s="128" t="s">
        <v>249</v>
      </c>
      <c r="F1135" s="135" t="s">
        <v>51</v>
      </c>
      <c r="G1135" s="247">
        <v>2006.8</v>
      </c>
      <c r="H1135" s="129" t="s">
        <v>7040</v>
      </c>
      <c r="I1135" s="209" t="s">
        <v>304</v>
      </c>
      <c r="J1135" s="209" t="s">
        <v>10367</v>
      </c>
      <c r="K1135" s="135" t="str">
        <f t="shared" si="18"/>
        <v>PENDIENTE</v>
      </c>
      <c r="L1135" s="18">
        <f t="shared" si="17"/>
        <v>1134</v>
      </c>
      <c r="M1135" s="209" t="s">
        <v>38</v>
      </c>
      <c r="N1135" s="129" t="s">
        <v>1483</v>
      </c>
      <c r="O1135" s="132" t="s">
        <v>1484</v>
      </c>
    </row>
    <row r="1136" spans="1:15" ht="15.75" customHeight="1">
      <c r="A1136" s="211">
        <v>1135</v>
      </c>
      <c r="B1136" s="125" t="s">
        <v>4410</v>
      </c>
      <c r="C1136" s="125" t="s">
        <v>6054</v>
      </c>
      <c r="D1136" s="126" t="s">
        <v>7144</v>
      </c>
      <c r="E1136" s="128" t="s">
        <v>10364</v>
      </c>
      <c r="F1136" s="135" t="s">
        <v>51</v>
      </c>
      <c r="G1136" s="247">
        <v>43152</v>
      </c>
      <c r="H1136" s="129" t="s">
        <v>2866</v>
      </c>
      <c r="I1136" s="132" t="s">
        <v>10365</v>
      </c>
      <c r="J1136" s="132" t="s">
        <v>10368</v>
      </c>
      <c r="K1136" s="135" t="s">
        <v>51</v>
      </c>
      <c r="L1136" s="18">
        <f t="shared" si="17"/>
        <v>1135</v>
      </c>
      <c r="M1136" s="209" t="s">
        <v>38</v>
      </c>
      <c r="N1136" s="129" t="s">
        <v>6054</v>
      </c>
      <c r="O1136" s="132" t="s">
        <v>6062</v>
      </c>
    </row>
    <row r="1137" spans="1:15" ht="15.75" customHeight="1">
      <c r="A1137" s="211">
        <v>1136</v>
      </c>
      <c r="B1137" s="125" t="s">
        <v>4410</v>
      </c>
      <c r="C1137" s="125" t="s">
        <v>6054</v>
      </c>
      <c r="D1137" s="126" t="s">
        <v>7144</v>
      </c>
      <c r="E1137" s="128" t="s">
        <v>10364</v>
      </c>
      <c r="F1137" s="135" t="s">
        <v>51</v>
      </c>
      <c r="G1137" s="247">
        <v>43152</v>
      </c>
      <c r="H1137" s="129" t="s">
        <v>2866</v>
      </c>
      <c r="I1137" s="132" t="s">
        <v>10365</v>
      </c>
      <c r="J1137" s="209" t="s">
        <v>10369</v>
      </c>
      <c r="K1137" s="135" t="s">
        <v>51</v>
      </c>
      <c r="L1137" s="18">
        <f t="shared" si="17"/>
        <v>1136</v>
      </c>
      <c r="M1137" s="209" t="s">
        <v>38</v>
      </c>
      <c r="N1137" s="129" t="s">
        <v>6054</v>
      </c>
      <c r="O1137" s="132" t="s">
        <v>6062</v>
      </c>
    </row>
    <row r="1138" spans="1:15" ht="15.75" customHeight="1">
      <c r="A1138" s="211">
        <v>1137</v>
      </c>
      <c r="B1138" s="125" t="s">
        <v>1469</v>
      </c>
      <c r="C1138" s="125" t="s">
        <v>10344</v>
      </c>
      <c r="D1138" s="126" t="s">
        <v>151</v>
      </c>
      <c r="E1138" s="128" t="s">
        <v>10370</v>
      </c>
      <c r="F1138" s="135" t="s">
        <v>51</v>
      </c>
      <c r="G1138" s="247">
        <v>4332.6000000000004</v>
      </c>
      <c r="H1138" s="129" t="s">
        <v>2317</v>
      </c>
      <c r="I1138" s="132" t="s">
        <v>10371</v>
      </c>
      <c r="J1138" s="132" t="s">
        <v>10372</v>
      </c>
      <c r="K1138" s="135" t="s">
        <v>51</v>
      </c>
      <c r="L1138" s="18">
        <f t="shared" si="17"/>
        <v>1137</v>
      </c>
      <c r="M1138" s="209" t="s">
        <v>38</v>
      </c>
      <c r="N1138" s="129" t="s">
        <v>10344</v>
      </c>
      <c r="O1138" s="132" t="s">
        <v>3450</v>
      </c>
    </row>
    <row r="1139" spans="1:15" ht="15.75" customHeight="1">
      <c r="A1139" s="211">
        <v>1138</v>
      </c>
      <c r="B1139" s="125" t="s">
        <v>1469</v>
      </c>
      <c r="C1139" s="125" t="s">
        <v>10344</v>
      </c>
      <c r="D1139" s="126" t="s">
        <v>43</v>
      </c>
      <c r="E1139" s="128" t="s">
        <v>10373</v>
      </c>
      <c r="F1139" s="135" t="s">
        <v>51</v>
      </c>
      <c r="G1139" s="247">
        <v>2200</v>
      </c>
      <c r="H1139" s="129" t="s">
        <v>2586</v>
      </c>
      <c r="I1139" s="132" t="s">
        <v>35</v>
      </c>
      <c r="J1139" s="132" t="s">
        <v>90</v>
      </c>
      <c r="K1139" s="135" t="s">
        <v>51</v>
      </c>
      <c r="L1139" s="18">
        <f t="shared" si="17"/>
        <v>1138</v>
      </c>
      <c r="M1139" s="209" t="s">
        <v>38</v>
      </c>
      <c r="N1139" s="129" t="s">
        <v>2328</v>
      </c>
      <c r="O1139" s="132" t="s">
        <v>2329</v>
      </c>
    </row>
    <row r="1140" spans="1:15" ht="15.75" customHeight="1">
      <c r="A1140" s="211">
        <v>1139</v>
      </c>
      <c r="B1140" s="125" t="s">
        <v>1469</v>
      </c>
      <c r="C1140" s="125" t="s">
        <v>10344</v>
      </c>
      <c r="D1140" s="126" t="s">
        <v>184</v>
      </c>
      <c r="E1140" s="128" t="s">
        <v>10374</v>
      </c>
      <c r="F1140" s="135" t="s">
        <v>51</v>
      </c>
      <c r="G1140" s="247">
        <v>2531.9699999999998</v>
      </c>
      <c r="H1140" s="129" t="s">
        <v>7123</v>
      </c>
      <c r="I1140" s="132" t="s">
        <v>35</v>
      </c>
      <c r="J1140" s="132" t="s">
        <v>90</v>
      </c>
      <c r="K1140" s="135" t="s">
        <v>51</v>
      </c>
      <c r="L1140" s="18">
        <f t="shared" si="17"/>
        <v>1139</v>
      </c>
      <c r="M1140" s="209" t="s">
        <v>38</v>
      </c>
      <c r="N1140" s="129" t="s">
        <v>2328</v>
      </c>
      <c r="O1140" s="132" t="s">
        <v>2329</v>
      </c>
    </row>
    <row r="1141" spans="1:15" ht="15.75" customHeight="1">
      <c r="A1141" s="211">
        <v>1140</v>
      </c>
      <c r="B1141" s="125" t="s">
        <v>1469</v>
      </c>
      <c r="C1141" s="125" t="s">
        <v>10344</v>
      </c>
      <c r="D1141" s="126" t="s">
        <v>248</v>
      </c>
      <c r="E1141" s="128" t="s">
        <v>249</v>
      </c>
      <c r="F1141" s="135" t="s">
        <v>51</v>
      </c>
      <c r="G1141" s="247">
        <v>2656.4</v>
      </c>
      <c r="H1141" s="129" t="s">
        <v>7040</v>
      </c>
      <c r="I1141" s="132" t="s">
        <v>10375</v>
      </c>
      <c r="J1141" s="132" t="s">
        <v>51</v>
      </c>
      <c r="K1141" s="135" t="s">
        <v>51</v>
      </c>
      <c r="L1141" s="132">
        <v>1140</v>
      </c>
      <c r="M1141" s="132" t="s">
        <v>38</v>
      </c>
      <c r="N1141" s="129" t="s">
        <v>10344</v>
      </c>
      <c r="O1141" s="132" t="s">
        <v>3450</v>
      </c>
    </row>
    <row r="1142" spans="1:15" ht="15.75" customHeight="1">
      <c r="A1142" s="125"/>
      <c r="B1142" s="125"/>
      <c r="C1142" s="125"/>
      <c r="D1142" s="126"/>
      <c r="E1142" s="128"/>
      <c r="F1142" s="135"/>
      <c r="G1142" s="129"/>
      <c r="H1142" s="129"/>
      <c r="I1142" s="132"/>
      <c r="J1142" s="132"/>
      <c r="K1142" s="135"/>
      <c r="L1142" s="132"/>
      <c r="M1142" s="132"/>
      <c r="N1142" s="129"/>
      <c r="O1142" s="132"/>
    </row>
    <row r="1143" spans="1:15" ht="15.75" customHeight="1">
      <c r="A1143" s="125"/>
      <c r="B1143" s="125"/>
      <c r="C1143" s="125"/>
      <c r="D1143" s="126"/>
      <c r="E1143" s="128"/>
      <c r="F1143" s="135"/>
      <c r="G1143" s="129"/>
      <c r="H1143" s="129"/>
      <c r="I1143" s="132"/>
      <c r="J1143" s="132"/>
      <c r="K1143" s="135"/>
      <c r="L1143" s="132"/>
      <c r="M1143" s="132"/>
      <c r="N1143" s="129"/>
      <c r="O1143" s="132"/>
    </row>
    <row r="1144" spans="1:15" ht="15.75" customHeight="1">
      <c r="A1144" s="125"/>
      <c r="B1144" s="125"/>
      <c r="C1144" s="125"/>
      <c r="D1144" s="126"/>
      <c r="E1144" s="128"/>
      <c r="F1144" s="135"/>
      <c r="G1144" s="129"/>
      <c r="H1144" s="129"/>
      <c r="I1144" s="132"/>
      <c r="J1144" s="132"/>
      <c r="K1144" s="135"/>
      <c r="L1144" s="132"/>
      <c r="M1144" s="132"/>
      <c r="N1144" s="129"/>
      <c r="O1144" s="132"/>
    </row>
    <row r="1145" spans="1:15" ht="15.75" customHeight="1">
      <c r="A1145" s="125"/>
      <c r="B1145" s="125"/>
      <c r="C1145" s="125"/>
      <c r="D1145" s="126"/>
      <c r="E1145" s="128"/>
      <c r="F1145" s="135"/>
      <c r="G1145" s="129"/>
      <c r="H1145" s="129"/>
      <c r="I1145" s="132"/>
      <c r="J1145" s="132"/>
      <c r="K1145" s="135"/>
      <c r="L1145" s="132"/>
      <c r="M1145" s="132"/>
      <c r="N1145" s="129"/>
      <c r="O1145" s="132"/>
    </row>
    <row r="1146" spans="1:15" ht="15.75" customHeight="1">
      <c r="A1146" s="125"/>
      <c r="B1146" s="125"/>
      <c r="C1146" s="125"/>
      <c r="D1146" s="126"/>
      <c r="E1146" s="128"/>
      <c r="F1146" s="135"/>
      <c r="G1146" s="129"/>
      <c r="H1146" s="129"/>
      <c r="I1146" s="132"/>
      <c r="J1146" s="132"/>
      <c r="K1146" s="135"/>
      <c r="L1146" s="132"/>
      <c r="M1146" s="132"/>
      <c r="N1146" s="129"/>
      <c r="O1146" s="132"/>
    </row>
    <row r="1147" spans="1:15" ht="15.75" hidden="1" customHeight="1">
      <c r="A1147" s="125"/>
      <c r="B1147" s="125"/>
      <c r="C1147" s="125"/>
      <c r="D1147" s="126"/>
      <c r="E1147" s="128"/>
      <c r="F1147" s="135"/>
      <c r="G1147" s="129"/>
      <c r="H1147" s="129"/>
      <c r="I1147" s="132"/>
      <c r="J1147" s="132"/>
      <c r="K1147" s="135"/>
      <c r="L1147" s="132"/>
      <c r="M1147" s="132"/>
      <c r="N1147" s="129"/>
      <c r="O1147" s="132"/>
    </row>
    <row r="1148" spans="1:15" ht="15.75" hidden="1" customHeight="1">
      <c r="A1148" s="125"/>
      <c r="B1148" s="125"/>
      <c r="C1148" s="125"/>
      <c r="D1148" s="126"/>
      <c r="E1148" s="128"/>
      <c r="F1148" s="135"/>
      <c r="G1148" s="129"/>
      <c r="H1148" s="129"/>
      <c r="I1148" s="132"/>
      <c r="J1148" s="132"/>
      <c r="K1148" s="135"/>
      <c r="L1148" s="132"/>
      <c r="M1148" s="132"/>
      <c r="N1148" s="129"/>
      <c r="O1148" s="132"/>
    </row>
    <row r="1149" spans="1:15" ht="15.75" hidden="1" customHeight="1">
      <c r="A1149" s="125"/>
      <c r="B1149" s="125"/>
      <c r="C1149" s="125"/>
      <c r="D1149" s="128"/>
      <c r="E1149" s="128"/>
      <c r="F1149" s="128"/>
      <c r="G1149" s="129"/>
      <c r="H1149" s="132"/>
      <c r="I1149" s="132"/>
      <c r="J1149" s="135"/>
      <c r="K1149" s="132"/>
      <c r="L1149" s="132"/>
      <c r="M1149" s="129"/>
      <c r="N1149" s="132"/>
      <c r="O1149" s="133"/>
    </row>
    <row r="1150" spans="1:15" ht="15.75" hidden="1" customHeight="1">
      <c r="A1150" s="125"/>
      <c r="B1150" s="164" t="s">
        <v>7386</v>
      </c>
      <c r="C1150" s="165" t="s">
        <v>7387</v>
      </c>
      <c r="D1150" s="128"/>
      <c r="E1150" s="128"/>
      <c r="F1150" s="128"/>
      <c r="G1150" s="129"/>
      <c r="H1150" s="132"/>
      <c r="I1150" s="132"/>
      <c r="J1150" s="135"/>
      <c r="K1150" s="132"/>
      <c r="L1150" s="132"/>
      <c r="M1150" s="129"/>
      <c r="N1150" s="132"/>
      <c r="O1150" s="133"/>
    </row>
    <row r="1151" spans="1:15" ht="15.75" hidden="1" customHeight="1">
      <c r="A1151" s="125"/>
      <c r="B1151" s="125"/>
      <c r="C1151" s="166" t="s">
        <v>5132</v>
      </c>
      <c r="D1151" s="128"/>
      <c r="E1151" s="128"/>
      <c r="F1151" s="128"/>
      <c r="G1151" s="129"/>
      <c r="H1151" s="132"/>
      <c r="I1151" s="132"/>
      <c r="J1151" s="135"/>
      <c r="K1151" s="132"/>
      <c r="L1151" s="132"/>
      <c r="M1151" s="129"/>
      <c r="N1151" s="132"/>
      <c r="O1151" s="133"/>
    </row>
    <row r="1152" spans="1:15" ht="15.75" hidden="1" customHeight="1">
      <c r="A1152" s="125"/>
      <c r="B1152" s="125"/>
      <c r="C1152" s="139" t="s">
        <v>7388</v>
      </c>
      <c r="D1152" s="128"/>
      <c r="E1152" s="128"/>
      <c r="F1152" s="128"/>
      <c r="G1152" s="129"/>
      <c r="H1152" s="132"/>
      <c r="I1152" s="132"/>
      <c r="J1152" s="135"/>
      <c r="K1152" s="132"/>
      <c r="L1152" s="132"/>
      <c r="M1152" s="129"/>
      <c r="N1152" s="132"/>
      <c r="O1152" s="133"/>
    </row>
    <row r="1153" spans="1:15" ht="15.75" hidden="1" customHeight="1">
      <c r="A1153" s="125"/>
      <c r="B1153" s="125"/>
      <c r="C1153" s="125"/>
      <c r="D1153" s="128"/>
      <c r="E1153" s="128"/>
      <c r="F1153" s="128"/>
      <c r="G1153" s="129"/>
      <c r="H1153" s="132"/>
      <c r="I1153" s="132"/>
      <c r="J1153" s="135"/>
      <c r="K1153" s="125"/>
      <c r="L1153" s="125" t="s">
        <v>7202</v>
      </c>
      <c r="M1153" s="129"/>
      <c r="N1153" s="132"/>
      <c r="O1153" s="133"/>
    </row>
    <row r="1154" spans="1:15" ht="15.75" hidden="1" customHeight="1">
      <c r="A1154" s="125"/>
      <c r="B1154" s="125"/>
      <c r="C1154" s="125"/>
      <c r="D1154" s="126"/>
      <c r="E1154" s="128"/>
      <c r="F1154" s="135"/>
      <c r="G1154" s="129"/>
      <c r="H1154" s="129"/>
      <c r="I1154" s="132"/>
      <c r="J1154" s="132"/>
      <c r="K1154" s="135"/>
      <c r="L1154" s="132"/>
      <c r="M1154" s="132"/>
      <c r="N1154" s="129"/>
      <c r="O1154" s="132"/>
    </row>
    <row r="1155" spans="1:15" ht="15.75" customHeight="1">
      <c r="A1155" s="125"/>
      <c r="B1155" s="125"/>
      <c r="C1155" s="125"/>
      <c r="D1155" s="126"/>
      <c r="E1155" s="128"/>
      <c r="F1155" s="135"/>
      <c r="G1155" s="129"/>
      <c r="H1155" s="129"/>
      <c r="I1155" s="132"/>
      <c r="J1155" s="132"/>
      <c r="K1155" s="135"/>
      <c r="L1155" s="132"/>
      <c r="M1155" s="132"/>
      <c r="N1155" s="129"/>
      <c r="O1155" s="132"/>
    </row>
    <row r="1156" spans="1:15" ht="15.75" customHeight="1">
      <c r="A1156" s="125"/>
      <c r="B1156" s="125"/>
      <c r="C1156" s="125"/>
      <c r="D1156" s="126"/>
      <c r="E1156" s="128"/>
      <c r="F1156" s="135"/>
      <c r="G1156" s="129"/>
      <c r="H1156" s="129"/>
      <c r="I1156" s="132"/>
      <c r="J1156" s="132"/>
      <c r="K1156" s="135"/>
      <c r="L1156" s="132"/>
      <c r="M1156" s="132"/>
      <c r="N1156" s="129"/>
      <c r="O1156" s="132"/>
    </row>
    <row r="1157" spans="1:15" ht="15.75" customHeight="1">
      <c r="A1157" s="125"/>
      <c r="B1157" s="125"/>
      <c r="C1157" s="125"/>
      <c r="D1157" s="126"/>
      <c r="E1157" s="128"/>
      <c r="F1157" s="135"/>
      <c r="G1157" s="129"/>
      <c r="H1157" s="129"/>
      <c r="I1157" s="132"/>
      <c r="J1157" s="132"/>
      <c r="K1157" s="135"/>
      <c r="L1157" s="132"/>
      <c r="M1157" s="132"/>
      <c r="N1157" s="129"/>
      <c r="O1157" s="132"/>
    </row>
    <row r="1158" spans="1:15" ht="15.75" customHeight="1">
      <c r="A1158" s="125"/>
      <c r="B1158" s="125"/>
      <c r="C1158" s="125"/>
      <c r="D1158" s="126"/>
      <c r="E1158" s="128"/>
      <c r="F1158" s="135"/>
      <c r="G1158" s="129"/>
      <c r="H1158" s="129"/>
      <c r="I1158" s="132"/>
      <c r="J1158" s="132"/>
      <c r="K1158" s="135"/>
      <c r="L1158" s="132"/>
      <c r="M1158" s="132"/>
      <c r="N1158" s="129"/>
      <c r="O1158" s="132"/>
    </row>
    <row r="1159" spans="1:15" ht="15.75" customHeight="1">
      <c r="A1159" s="125"/>
      <c r="B1159" s="125"/>
      <c r="C1159" s="125"/>
      <c r="D1159" s="126"/>
      <c r="E1159" s="128"/>
      <c r="F1159" s="135"/>
      <c r="G1159" s="129"/>
      <c r="H1159" s="129"/>
      <c r="I1159" s="132"/>
      <c r="J1159" s="132"/>
      <c r="K1159" s="135"/>
      <c r="L1159" s="132"/>
      <c r="M1159" s="132"/>
      <c r="N1159" s="129"/>
      <c r="O1159" s="132"/>
    </row>
    <row r="1160" spans="1:15" ht="15.75" customHeight="1">
      <c r="A1160" s="125"/>
      <c r="B1160" s="125"/>
      <c r="C1160" s="125"/>
      <c r="D1160" s="126"/>
      <c r="E1160" s="128"/>
      <c r="F1160" s="135"/>
      <c r="G1160" s="129"/>
      <c r="H1160" s="129"/>
      <c r="I1160" s="132"/>
      <c r="J1160" s="132"/>
      <c r="K1160" s="135"/>
      <c r="L1160" s="132"/>
      <c r="M1160" s="132"/>
      <c r="N1160" s="129"/>
      <c r="O1160" s="132"/>
    </row>
    <row r="1161" spans="1:15" ht="15.75" customHeight="1">
      <c r="A1161" s="125"/>
      <c r="B1161" s="125"/>
      <c r="C1161" s="125"/>
      <c r="D1161" s="126"/>
      <c r="E1161" s="128"/>
      <c r="F1161" s="135"/>
      <c r="G1161" s="129"/>
      <c r="H1161" s="129"/>
      <c r="I1161" s="132"/>
      <c r="J1161" s="132"/>
      <c r="K1161" s="135"/>
      <c r="L1161" s="132"/>
      <c r="M1161" s="132"/>
      <c r="N1161" s="129"/>
      <c r="O1161" s="132"/>
    </row>
    <row r="1162" spans="1:15" ht="15.75" customHeight="1">
      <c r="A1162" s="125"/>
      <c r="B1162" s="125"/>
      <c r="C1162" s="125"/>
      <c r="D1162" s="126"/>
      <c r="E1162" s="128"/>
      <c r="F1162" s="135"/>
      <c r="G1162" s="129"/>
      <c r="H1162" s="129"/>
      <c r="I1162" s="132"/>
      <c r="J1162" s="132"/>
      <c r="K1162" s="135"/>
      <c r="L1162" s="132"/>
      <c r="M1162" s="132"/>
      <c r="N1162" s="129"/>
      <c r="O1162" s="132"/>
    </row>
    <row r="1163" spans="1:15" ht="15.75" customHeight="1">
      <c r="A1163" s="125"/>
      <c r="B1163" s="125"/>
      <c r="C1163" s="125"/>
      <c r="D1163" s="126"/>
      <c r="E1163" s="128"/>
      <c r="F1163" s="135"/>
      <c r="G1163" s="129"/>
      <c r="H1163" s="129"/>
      <c r="I1163" s="132"/>
      <c r="J1163" s="132"/>
      <c r="K1163" s="135"/>
      <c r="L1163" s="132"/>
      <c r="M1163" s="132"/>
      <c r="N1163" s="129"/>
      <c r="O1163" s="132"/>
    </row>
    <row r="1164" spans="1:15" ht="15.75" customHeight="1">
      <c r="A1164" s="125"/>
      <c r="B1164" s="125"/>
      <c r="C1164" s="125"/>
      <c r="D1164" s="126"/>
      <c r="E1164" s="128"/>
      <c r="F1164" s="135"/>
      <c r="G1164" s="129"/>
      <c r="H1164" s="129"/>
      <c r="I1164" s="132"/>
      <c r="J1164" s="132"/>
      <c r="K1164" s="135"/>
      <c r="L1164" s="132"/>
      <c r="M1164" s="132"/>
      <c r="N1164" s="129"/>
      <c r="O1164" s="132"/>
    </row>
    <row r="1165" spans="1:15" ht="15.75" customHeight="1">
      <c r="A1165" s="125"/>
      <c r="B1165" s="125"/>
      <c r="C1165" s="125"/>
      <c r="D1165" s="126"/>
      <c r="E1165" s="128"/>
      <c r="F1165" s="135"/>
      <c r="G1165" s="129"/>
      <c r="H1165" s="129"/>
      <c r="I1165" s="132"/>
      <c r="J1165" s="132"/>
      <c r="K1165" s="135"/>
      <c r="L1165" s="132"/>
      <c r="M1165" s="132"/>
      <c r="N1165" s="129"/>
      <c r="O1165" s="132"/>
    </row>
    <row r="1166" spans="1:15" ht="15.75" customHeight="1">
      <c r="A1166" s="125"/>
      <c r="B1166" s="125"/>
      <c r="C1166" s="125"/>
      <c r="D1166" s="126"/>
      <c r="E1166" s="128"/>
      <c r="F1166" s="135"/>
      <c r="G1166" s="129"/>
      <c r="H1166" s="129"/>
      <c r="I1166" s="132"/>
      <c r="J1166" s="132"/>
      <c r="K1166" s="135"/>
      <c r="L1166" s="132"/>
      <c r="M1166" s="132"/>
      <c r="N1166" s="129"/>
      <c r="O1166" s="132"/>
    </row>
    <row r="1167" spans="1:15" ht="15.75" customHeight="1">
      <c r="A1167" s="125"/>
      <c r="B1167" s="125"/>
      <c r="C1167" s="125"/>
      <c r="D1167" s="126"/>
      <c r="E1167" s="128"/>
      <c r="F1167" s="135"/>
      <c r="G1167" s="129"/>
      <c r="H1167" s="129"/>
      <c r="I1167" s="132"/>
      <c r="J1167" s="132"/>
      <c r="K1167" s="135"/>
      <c r="L1167" s="132"/>
      <c r="M1167" s="132"/>
      <c r="N1167" s="129"/>
      <c r="O1167" s="132"/>
    </row>
    <row r="1168" spans="1:15" ht="15.75" customHeight="1">
      <c r="A1168" s="125"/>
      <c r="B1168" s="125"/>
      <c r="C1168" s="125"/>
      <c r="D1168" s="126"/>
      <c r="E1168" s="128"/>
      <c r="F1168" s="135"/>
      <c r="G1168" s="129"/>
      <c r="H1168" s="129"/>
      <c r="I1168" s="132"/>
      <c r="J1168" s="132"/>
      <c r="K1168" s="135"/>
      <c r="L1168" s="132"/>
      <c r="M1168" s="132"/>
      <c r="N1168" s="129"/>
      <c r="O1168" s="132"/>
    </row>
    <row r="1169" spans="1:15" ht="15.75" customHeight="1">
      <c r="A1169" s="125"/>
      <c r="B1169" s="125"/>
      <c r="C1169" s="125"/>
      <c r="D1169" s="126"/>
      <c r="E1169" s="128"/>
      <c r="F1169" s="135"/>
      <c r="G1169" s="129"/>
      <c r="H1169" s="129"/>
      <c r="I1169" s="132"/>
      <c r="J1169" s="132"/>
      <c r="K1169" s="135"/>
      <c r="L1169" s="132"/>
      <c r="M1169" s="132"/>
      <c r="N1169" s="129"/>
      <c r="O1169" s="132"/>
    </row>
    <row r="1170" spans="1:15" ht="15.75" customHeight="1">
      <c r="A1170" s="125"/>
      <c r="B1170" s="125"/>
      <c r="C1170" s="125"/>
      <c r="D1170" s="126"/>
      <c r="E1170" s="128"/>
      <c r="F1170" s="135"/>
      <c r="G1170" s="129"/>
      <c r="H1170" s="129"/>
      <c r="I1170" s="132"/>
      <c r="J1170" s="132"/>
      <c r="K1170" s="135"/>
      <c r="L1170" s="132"/>
      <c r="M1170" s="132"/>
      <c r="N1170" s="129"/>
      <c r="O1170" s="132"/>
    </row>
    <row r="1171" spans="1:15" ht="15.75" customHeight="1">
      <c r="A1171" s="125"/>
      <c r="B1171" s="125"/>
      <c r="C1171" s="125"/>
      <c r="D1171" s="126"/>
      <c r="E1171" s="128"/>
      <c r="F1171" s="135"/>
      <c r="G1171" s="129"/>
      <c r="H1171" s="129"/>
      <c r="I1171" s="132"/>
      <c r="J1171" s="132"/>
      <c r="K1171" s="135"/>
      <c r="L1171" s="132"/>
      <c r="M1171" s="132"/>
      <c r="N1171" s="129"/>
      <c r="O1171" s="132"/>
    </row>
    <row r="1172" spans="1:15" ht="15.75" customHeight="1">
      <c r="A1172" s="125"/>
      <c r="B1172" s="125"/>
      <c r="C1172" s="125"/>
      <c r="D1172" s="126"/>
      <c r="E1172" s="128"/>
      <c r="F1172" s="135"/>
      <c r="G1172" s="129"/>
      <c r="H1172" s="129"/>
      <c r="I1172" s="132"/>
      <c r="J1172" s="132"/>
      <c r="K1172" s="135"/>
      <c r="L1172" s="132"/>
      <c r="M1172" s="132"/>
      <c r="N1172" s="129"/>
      <c r="O1172" s="132"/>
    </row>
    <row r="1173" spans="1:15" ht="15.75" customHeight="1">
      <c r="A1173" s="125"/>
      <c r="B1173" s="125"/>
      <c r="C1173" s="125"/>
      <c r="D1173" s="126"/>
      <c r="E1173" s="128"/>
      <c r="F1173" s="135"/>
      <c r="G1173" s="129"/>
      <c r="H1173" s="129"/>
      <c r="I1173" s="132"/>
      <c r="J1173" s="132"/>
      <c r="K1173" s="135"/>
      <c r="L1173" s="132"/>
      <c r="M1173" s="132"/>
      <c r="N1173" s="129"/>
      <c r="O1173" s="132"/>
    </row>
    <row r="1174" spans="1:15" ht="15.75" customHeight="1">
      <c r="A1174" s="125"/>
      <c r="B1174" s="125"/>
      <c r="C1174" s="125"/>
      <c r="D1174" s="126"/>
      <c r="E1174" s="128"/>
      <c r="F1174" s="135"/>
      <c r="G1174" s="129"/>
      <c r="H1174" s="129"/>
      <c r="I1174" s="132"/>
      <c r="J1174" s="132"/>
      <c r="K1174" s="135"/>
      <c r="L1174" s="132"/>
      <c r="M1174" s="132"/>
      <c r="N1174" s="129"/>
      <c r="O1174" s="132"/>
    </row>
    <row r="1175" spans="1:15" ht="15.75" customHeight="1">
      <c r="A1175" s="125"/>
      <c r="B1175" s="125"/>
      <c r="C1175" s="125"/>
      <c r="D1175" s="126"/>
      <c r="E1175" s="128"/>
      <c r="F1175" s="135"/>
      <c r="G1175" s="129"/>
      <c r="H1175" s="129"/>
      <c r="I1175" s="132"/>
      <c r="J1175" s="132"/>
      <c r="K1175" s="135"/>
      <c r="L1175" s="132"/>
      <c r="M1175" s="132"/>
      <c r="N1175" s="129"/>
      <c r="O1175" s="132"/>
    </row>
    <row r="1176" spans="1:15" ht="15.75" customHeight="1">
      <c r="A1176" s="125"/>
      <c r="B1176" s="125"/>
      <c r="C1176" s="125"/>
      <c r="D1176" s="126"/>
      <c r="E1176" s="128"/>
      <c r="F1176" s="135"/>
      <c r="G1176" s="129"/>
      <c r="H1176" s="129"/>
      <c r="I1176" s="132"/>
      <c r="J1176" s="132"/>
      <c r="K1176" s="135"/>
      <c r="L1176" s="132"/>
      <c r="M1176" s="132"/>
      <c r="N1176" s="129"/>
      <c r="O1176" s="132"/>
    </row>
    <row r="1177" spans="1:15" ht="15.75" customHeight="1">
      <c r="A1177" s="125"/>
      <c r="B1177" s="125"/>
      <c r="C1177" s="125"/>
      <c r="D1177" s="126"/>
      <c r="E1177" s="128"/>
      <c r="F1177" s="135"/>
      <c r="G1177" s="129"/>
      <c r="H1177" s="129"/>
      <c r="I1177" s="132"/>
      <c r="J1177" s="132"/>
      <c r="K1177" s="135"/>
      <c r="L1177" s="132"/>
      <c r="M1177" s="132"/>
      <c r="N1177" s="129"/>
      <c r="O1177" s="132"/>
    </row>
    <row r="1178" spans="1:15" ht="15.75" customHeight="1">
      <c r="A1178" s="125"/>
      <c r="B1178" s="125"/>
      <c r="C1178" s="125"/>
      <c r="D1178" s="126"/>
      <c r="E1178" s="128"/>
      <c r="F1178" s="135"/>
      <c r="G1178" s="129"/>
      <c r="H1178" s="129"/>
      <c r="I1178" s="132"/>
      <c r="J1178" s="132"/>
      <c r="K1178" s="135"/>
      <c r="L1178" s="132"/>
      <c r="M1178" s="132"/>
      <c r="N1178" s="129"/>
      <c r="O1178" s="132"/>
    </row>
    <row r="1179" spans="1:15" ht="15.75" customHeight="1">
      <c r="A1179" s="125"/>
      <c r="B1179" s="125"/>
      <c r="C1179" s="125"/>
      <c r="D1179" s="126"/>
      <c r="E1179" s="128"/>
      <c r="F1179" s="135"/>
      <c r="G1179" s="129"/>
      <c r="H1179" s="129"/>
      <c r="I1179" s="132"/>
      <c r="J1179" s="132"/>
      <c r="K1179" s="135"/>
      <c r="L1179" s="132"/>
      <c r="M1179" s="132"/>
      <c r="N1179" s="129"/>
      <c r="O1179" s="132"/>
    </row>
    <row r="1180" spans="1:15" ht="15.75" customHeight="1">
      <c r="A1180" s="125"/>
      <c r="B1180" s="125"/>
      <c r="C1180" s="125"/>
      <c r="D1180" s="126"/>
      <c r="E1180" s="128"/>
      <c r="F1180" s="135"/>
      <c r="G1180" s="129"/>
      <c r="H1180" s="129"/>
      <c r="I1180" s="132"/>
      <c r="J1180" s="132"/>
      <c r="K1180" s="135"/>
      <c r="L1180" s="132"/>
      <c r="M1180" s="132"/>
      <c r="N1180" s="129"/>
      <c r="O1180" s="132"/>
    </row>
    <row r="1181" spans="1:15" ht="15.75" customHeight="1">
      <c r="A1181" s="125"/>
      <c r="B1181" s="125"/>
      <c r="C1181" s="125"/>
      <c r="D1181" s="126"/>
      <c r="E1181" s="128"/>
      <c r="F1181" s="135"/>
      <c r="G1181" s="129"/>
      <c r="H1181" s="129"/>
      <c r="I1181" s="132"/>
      <c r="J1181" s="132"/>
      <c r="K1181" s="135"/>
      <c r="L1181" s="132"/>
      <c r="M1181" s="132"/>
      <c r="N1181" s="129"/>
      <c r="O1181" s="132"/>
    </row>
    <row r="1182" spans="1:15" ht="15.75" customHeight="1">
      <c r="A1182" s="125"/>
      <c r="B1182" s="125"/>
      <c r="C1182" s="125"/>
      <c r="D1182" s="126"/>
      <c r="E1182" s="128"/>
      <c r="F1182" s="135"/>
      <c r="G1182" s="129"/>
      <c r="H1182" s="129"/>
      <c r="I1182" s="132"/>
      <c r="J1182" s="132"/>
      <c r="K1182" s="135"/>
      <c r="L1182" s="132"/>
      <c r="M1182" s="132"/>
      <c r="N1182" s="129"/>
      <c r="O1182" s="132"/>
    </row>
    <row r="1183" spans="1:15" ht="15.75" customHeight="1">
      <c r="A1183" s="125"/>
      <c r="B1183" s="125"/>
      <c r="C1183" s="125"/>
      <c r="D1183" s="126"/>
      <c r="E1183" s="128"/>
      <c r="F1183" s="135"/>
      <c r="G1183" s="129"/>
      <c r="H1183" s="129"/>
      <c r="I1183" s="132"/>
      <c r="J1183" s="132"/>
      <c r="K1183" s="135"/>
      <c r="L1183" s="132"/>
      <c r="M1183" s="132"/>
      <c r="N1183" s="129"/>
      <c r="O1183" s="132"/>
    </row>
    <row r="1184" spans="1:15" ht="15.75" customHeight="1">
      <c r="A1184" s="125"/>
      <c r="B1184" s="125"/>
      <c r="C1184" s="125"/>
      <c r="D1184" s="126"/>
      <c r="E1184" s="128"/>
      <c r="F1184" s="135"/>
      <c r="G1184" s="129"/>
      <c r="H1184" s="129"/>
      <c r="I1184" s="132"/>
      <c r="J1184" s="132"/>
      <c r="K1184" s="135"/>
      <c r="L1184" s="132"/>
      <c r="M1184" s="132"/>
      <c r="N1184" s="129"/>
      <c r="O1184" s="132"/>
    </row>
    <row r="1185" spans="1:15" ht="15.75" customHeight="1">
      <c r="A1185" s="125"/>
      <c r="B1185" s="125"/>
      <c r="C1185" s="125"/>
      <c r="D1185" s="126"/>
      <c r="E1185" s="128"/>
      <c r="F1185" s="135"/>
      <c r="G1185" s="129"/>
      <c r="H1185" s="129"/>
      <c r="I1185" s="132"/>
      <c r="J1185" s="132"/>
      <c r="K1185" s="135"/>
      <c r="L1185" s="132"/>
      <c r="M1185" s="132"/>
      <c r="N1185" s="129"/>
      <c r="O1185" s="132"/>
    </row>
    <row r="1186" spans="1:15" ht="15.75" customHeight="1">
      <c r="A1186" s="125"/>
      <c r="B1186" s="125"/>
      <c r="C1186" s="125"/>
      <c r="D1186" s="126"/>
      <c r="E1186" s="128"/>
      <c r="F1186" s="135"/>
      <c r="G1186" s="129"/>
      <c r="H1186" s="129"/>
      <c r="I1186" s="132"/>
      <c r="J1186" s="132"/>
      <c r="K1186" s="135"/>
      <c r="L1186" s="132"/>
      <c r="M1186" s="132"/>
      <c r="N1186" s="129"/>
      <c r="O1186" s="132"/>
    </row>
    <row r="1187" spans="1:15" ht="15.75" customHeight="1">
      <c r="A1187" s="125"/>
      <c r="B1187" s="125"/>
      <c r="C1187" s="125"/>
      <c r="D1187" s="126"/>
      <c r="E1187" s="128"/>
      <c r="F1187" s="135"/>
      <c r="G1187" s="129"/>
      <c r="H1187" s="129"/>
      <c r="I1187" s="132"/>
      <c r="J1187" s="132"/>
      <c r="K1187" s="135"/>
      <c r="L1187" s="132"/>
      <c r="M1187" s="132"/>
      <c r="N1187" s="129"/>
      <c r="O1187" s="132"/>
    </row>
    <row r="1188" spans="1:15" ht="15.75" customHeight="1">
      <c r="A1188" s="125"/>
      <c r="B1188" s="125"/>
      <c r="C1188" s="125"/>
      <c r="D1188" s="126"/>
      <c r="E1188" s="128"/>
      <c r="F1188" s="135"/>
      <c r="G1188" s="129"/>
      <c r="H1188" s="129"/>
      <c r="I1188" s="132"/>
      <c r="J1188" s="132"/>
      <c r="K1188" s="135"/>
      <c r="L1188" s="132"/>
      <c r="M1188" s="132"/>
      <c r="N1188" s="129"/>
      <c r="O1188" s="132"/>
    </row>
    <row r="1189" spans="1:15" ht="15.75" customHeight="1">
      <c r="A1189" s="125"/>
      <c r="B1189" s="125"/>
      <c r="C1189" s="125"/>
      <c r="D1189" s="126"/>
      <c r="E1189" s="128"/>
      <c r="F1189" s="135"/>
      <c r="G1189" s="129"/>
      <c r="H1189" s="129"/>
      <c r="I1189" s="132"/>
      <c r="J1189" s="132"/>
      <c r="K1189" s="135"/>
      <c r="L1189" s="132"/>
      <c r="M1189" s="132"/>
      <c r="N1189" s="129"/>
      <c r="O1189" s="132"/>
    </row>
    <row r="1190" spans="1:15" ht="15.75" customHeight="1">
      <c r="A1190" s="125"/>
      <c r="B1190" s="125"/>
      <c r="C1190" s="125"/>
      <c r="D1190" s="126"/>
      <c r="E1190" s="128"/>
      <c r="F1190" s="135"/>
      <c r="G1190" s="129"/>
      <c r="H1190" s="129"/>
      <c r="I1190" s="132"/>
      <c r="J1190" s="132"/>
      <c r="K1190" s="135"/>
      <c r="L1190" s="132"/>
      <c r="M1190" s="132"/>
      <c r="N1190" s="129"/>
      <c r="O1190" s="132"/>
    </row>
    <row r="1191" spans="1:15" ht="15.75" customHeight="1">
      <c r="A1191" s="125"/>
      <c r="B1191" s="125"/>
      <c r="C1191" s="125"/>
      <c r="D1191" s="126"/>
      <c r="E1191" s="128"/>
      <c r="F1191" s="135"/>
      <c r="G1191" s="129"/>
      <c r="H1191" s="129"/>
      <c r="I1191" s="132"/>
      <c r="J1191" s="132"/>
      <c r="K1191" s="135"/>
      <c r="L1191" s="132"/>
      <c r="M1191" s="132"/>
      <c r="N1191" s="129"/>
      <c r="O1191" s="132"/>
    </row>
    <row r="1192" spans="1:15" ht="15.75" customHeight="1">
      <c r="A1192" s="125"/>
      <c r="B1192" s="125"/>
      <c r="C1192" s="125"/>
      <c r="D1192" s="126"/>
      <c r="E1192" s="128"/>
      <c r="F1192" s="135"/>
      <c r="G1192" s="129"/>
      <c r="H1192" s="129"/>
      <c r="I1192" s="132"/>
      <c r="J1192" s="132"/>
      <c r="K1192" s="135"/>
      <c r="L1192" s="132"/>
      <c r="M1192" s="132"/>
      <c r="N1192" s="129"/>
      <c r="O1192" s="132"/>
    </row>
    <row r="1193" spans="1:15" ht="15.75" customHeight="1">
      <c r="A1193" s="125"/>
      <c r="B1193" s="125"/>
      <c r="C1193" s="125"/>
      <c r="D1193" s="126"/>
      <c r="E1193" s="128"/>
      <c r="F1193" s="135"/>
      <c r="G1193" s="129"/>
      <c r="H1193" s="129"/>
      <c r="I1193" s="132"/>
      <c r="J1193" s="132"/>
      <c r="K1193" s="135"/>
      <c r="L1193" s="132"/>
      <c r="M1193" s="132"/>
      <c r="N1193" s="129"/>
      <c r="O1193" s="132"/>
    </row>
    <row r="1194" spans="1:15" ht="15.75" customHeight="1">
      <c r="A1194" s="125"/>
      <c r="B1194" s="125"/>
      <c r="C1194" s="125"/>
      <c r="D1194" s="126"/>
      <c r="E1194" s="128"/>
      <c r="F1194" s="135"/>
      <c r="G1194" s="129"/>
      <c r="H1194" s="129"/>
      <c r="I1194" s="132"/>
      <c r="J1194" s="132"/>
      <c r="K1194" s="135"/>
      <c r="L1194" s="132"/>
      <c r="M1194" s="132"/>
      <c r="N1194" s="129"/>
      <c r="O1194" s="132"/>
    </row>
    <row r="1195" spans="1:15" ht="15.75" customHeight="1">
      <c r="A1195" s="125"/>
      <c r="B1195" s="125"/>
      <c r="C1195" s="125"/>
      <c r="D1195" s="126"/>
      <c r="E1195" s="128"/>
      <c r="F1195" s="135"/>
      <c r="G1195" s="129"/>
      <c r="H1195" s="129"/>
      <c r="I1195" s="132"/>
      <c r="J1195" s="132"/>
      <c r="K1195" s="135"/>
      <c r="L1195" s="132"/>
      <c r="M1195" s="132"/>
      <c r="N1195" s="129"/>
      <c r="O1195" s="132"/>
    </row>
    <row r="1196" spans="1:15" ht="15.75" customHeight="1">
      <c r="A1196" s="125"/>
      <c r="B1196" s="125"/>
      <c r="C1196" s="125"/>
      <c r="D1196" s="126"/>
      <c r="E1196" s="128"/>
      <c r="F1196" s="135"/>
      <c r="G1196" s="129"/>
      <c r="H1196" s="129"/>
      <c r="I1196" s="132"/>
      <c r="J1196" s="132"/>
      <c r="K1196" s="135"/>
      <c r="L1196" s="132"/>
      <c r="M1196" s="132"/>
      <c r="N1196" s="129"/>
      <c r="O1196" s="132"/>
    </row>
    <row r="1197" spans="1:15" ht="15.75" customHeight="1">
      <c r="A1197" s="125"/>
      <c r="B1197" s="125"/>
      <c r="C1197" s="125"/>
      <c r="D1197" s="126"/>
      <c r="E1197" s="128"/>
      <c r="F1197" s="135"/>
      <c r="G1197" s="129"/>
      <c r="H1197" s="129"/>
      <c r="I1197" s="132"/>
      <c r="J1197" s="132"/>
      <c r="K1197" s="135"/>
      <c r="L1197" s="132"/>
      <c r="M1197" s="132"/>
      <c r="N1197" s="129"/>
      <c r="O1197" s="132"/>
    </row>
    <row r="1198" spans="1:15" ht="15.75" customHeight="1">
      <c r="A1198" s="125"/>
      <c r="B1198" s="125"/>
      <c r="C1198" s="125"/>
      <c r="D1198" s="126"/>
      <c r="E1198" s="128"/>
      <c r="F1198" s="135"/>
      <c r="G1198" s="129"/>
      <c r="H1198" s="129"/>
      <c r="I1198" s="132"/>
      <c r="J1198" s="132"/>
      <c r="K1198" s="135"/>
      <c r="L1198" s="132"/>
      <c r="M1198" s="132"/>
      <c r="N1198" s="129"/>
      <c r="O1198" s="132"/>
    </row>
    <row r="1199" spans="1:15" ht="15.75" customHeight="1">
      <c r="A1199" s="125"/>
      <c r="B1199" s="125"/>
      <c r="C1199" s="125"/>
      <c r="D1199" s="126"/>
      <c r="E1199" s="128"/>
      <c r="F1199" s="135"/>
      <c r="G1199" s="129"/>
      <c r="H1199" s="129"/>
      <c r="I1199" s="132"/>
      <c r="J1199" s="132"/>
      <c r="K1199" s="135"/>
      <c r="L1199" s="132"/>
      <c r="M1199" s="132"/>
      <c r="N1199" s="129"/>
      <c r="O1199" s="132"/>
    </row>
    <row r="1200" spans="1:15" ht="15.75" customHeight="1">
      <c r="A1200" s="125"/>
      <c r="B1200" s="125"/>
      <c r="C1200" s="125"/>
      <c r="D1200" s="126"/>
      <c r="E1200" s="128"/>
      <c r="F1200" s="135"/>
      <c r="G1200" s="129"/>
      <c r="H1200" s="129"/>
      <c r="I1200" s="132"/>
      <c r="J1200" s="132"/>
      <c r="K1200" s="135"/>
      <c r="L1200" s="132"/>
      <c r="M1200" s="132"/>
      <c r="N1200" s="129"/>
      <c r="O1200" s="132"/>
    </row>
    <row r="1201" spans="1:15" ht="15.75" customHeight="1">
      <c r="A1201" s="125"/>
      <c r="B1201" s="125"/>
      <c r="C1201" s="125"/>
      <c r="D1201" s="126"/>
      <c r="E1201" s="128"/>
      <c r="F1201" s="135"/>
      <c r="G1201" s="129"/>
      <c r="H1201" s="129"/>
      <c r="I1201" s="132"/>
      <c r="J1201" s="132"/>
      <c r="K1201" s="135"/>
      <c r="L1201" s="132"/>
      <c r="M1201" s="132"/>
      <c r="N1201" s="129"/>
      <c r="O1201" s="132"/>
    </row>
    <row r="1202" spans="1:15" ht="15.75" customHeight="1">
      <c r="A1202" s="125"/>
      <c r="B1202" s="125"/>
      <c r="C1202" s="125"/>
      <c r="D1202" s="126"/>
      <c r="E1202" s="128"/>
      <c r="F1202" s="135"/>
      <c r="G1202" s="129"/>
      <c r="H1202" s="129"/>
      <c r="I1202" s="132"/>
      <c r="J1202" s="132"/>
      <c r="K1202" s="135"/>
      <c r="L1202" s="132"/>
      <c r="M1202" s="132"/>
      <c r="N1202" s="129"/>
      <c r="O1202" s="132"/>
    </row>
    <row r="1203" spans="1:15" ht="15.75" customHeight="1">
      <c r="A1203" s="125"/>
      <c r="B1203" s="125"/>
      <c r="C1203" s="125"/>
      <c r="D1203" s="126"/>
      <c r="E1203" s="128"/>
      <c r="F1203" s="135"/>
      <c r="G1203" s="129"/>
      <c r="H1203" s="129"/>
      <c r="I1203" s="132"/>
      <c r="J1203" s="132"/>
      <c r="K1203" s="135"/>
      <c r="L1203" s="132"/>
      <c r="M1203" s="132"/>
      <c r="N1203" s="129"/>
      <c r="O1203" s="132"/>
    </row>
    <row r="1204" spans="1:15" ht="15.75" customHeight="1">
      <c r="A1204" s="125"/>
      <c r="B1204" s="125"/>
      <c r="C1204" s="125"/>
      <c r="D1204" s="126"/>
      <c r="E1204" s="128"/>
      <c r="F1204" s="135"/>
      <c r="G1204" s="129"/>
      <c r="H1204" s="129"/>
      <c r="I1204" s="132"/>
      <c r="J1204" s="132"/>
      <c r="K1204" s="135"/>
      <c r="L1204" s="132"/>
      <c r="M1204" s="132"/>
      <c r="N1204" s="129"/>
      <c r="O1204" s="132"/>
    </row>
    <row r="1205" spans="1:15" ht="15.75" customHeight="1">
      <c r="A1205" s="125"/>
      <c r="B1205" s="125"/>
      <c r="C1205" s="125"/>
      <c r="D1205" s="126"/>
      <c r="E1205" s="128"/>
      <c r="F1205" s="135"/>
      <c r="G1205" s="129"/>
      <c r="H1205" s="129"/>
      <c r="I1205" s="132"/>
      <c r="J1205" s="132"/>
      <c r="K1205" s="135"/>
      <c r="L1205" s="132"/>
      <c r="M1205" s="132"/>
      <c r="N1205" s="129"/>
      <c r="O1205" s="132"/>
    </row>
    <row r="1206" spans="1:15" ht="15.75" customHeight="1">
      <c r="A1206" s="125"/>
      <c r="B1206" s="125"/>
      <c r="C1206" s="125"/>
      <c r="D1206" s="126"/>
      <c r="E1206" s="128"/>
      <c r="F1206" s="135"/>
      <c r="G1206" s="129"/>
      <c r="H1206" s="129"/>
      <c r="I1206" s="132"/>
      <c r="J1206" s="132"/>
      <c r="K1206" s="135"/>
      <c r="L1206" s="132"/>
      <c r="M1206" s="132"/>
      <c r="N1206" s="129"/>
      <c r="O1206" s="132"/>
    </row>
    <row r="1207" spans="1:15" ht="15.75" customHeight="1">
      <c r="A1207" s="125"/>
      <c r="B1207" s="125"/>
      <c r="C1207" s="125"/>
      <c r="D1207" s="126"/>
      <c r="E1207" s="128"/>
      <c r="F1207" s="135"/>
      <c r="G1207" s="129"/>
      <c r="H1207" s="129"/>
      <c r="I1207" s="132"/>
      <c r="J1207" s="132"/>
      <c r="K1207" s="135"/>
      <c r="L1207" s="132"/>
      <c r="M1207" s="132"/>
      <c r="N1207" s="129"/>
      <c r="O1207" s="132"/>
    </row>
    <row r="1208" spans="1:15" ht="15.75" customHeight="1">
      <c r="A1208" s="125"/>
      <c r="B1208" s="125"/>
      <c r="C1208" s="125"/>
      <c r="D1208" s="126"/>
      <c r="E1208" s="128"/>
      <c r="F1208" s="135"/>
      <c r="G1208" s="129"/>
      <c r="H1208" s="129"/>
      <c r="I1208" s="132"/>
      <c r="J1208" s="132"/>
      <c r="K1208" s="135"/>
      <c r="L1208" s="132"/>
      <c r="M1208" s="132"/>
      <c r="N1208" s="129"/>
      <c r="O1208" s="132"/>
    </row>
    <row r="1209" spans="1:15" ht="15.75" customHeight="1">
      <c r="A1209" s="125"/>
      <c r="B1209" s="125"/>
      <c r="C1209" s="125"/>
      <c r="D1209" s="126"/>
      <c r="E1209" s="128"/>
      <c r="F1209" s="135"/>
      <c r="G1209" s="129"/>
      <c r="H1209" s="129"/>
      <c r="I1209" s="132"/>
      <c r="J1209" s="132"/>
      <c r="K1209" s="135"/>
      <c r="L1209" s="132"/>
      <c r="M1209" s="132"/>
      <c r="N1209" s="129"/>
      <c r="O1209" s="132"/>
    </row>
    <row r="1210" spans="1:15" ht="15.75" customHeight="1">
      <c r="A1210" s="125"/>
      <c r="B1210" s="125"/>
      <c r="C1210" s="125"/>
      <c r="D1210" s="126"/>
      <c r="E1210" s="128"/>
      <c r="F1210" s="135"/>
      <c r="G1210" s="129"/>
      <c r="H1210" s="129"/>
      <c r="I1210" s="132"/>
      <c r="J1210" s="132"/>
      <c r="K1210" s="135"/>
      <c r="L1210" s="132"/>
      <c r="M1210" s="132"/>
      <c r="N1210" s="129"/>
      <c r="O1210" s="132"/>
    </row>
    <row r="1211" spans="1:15" ht="15.75" customHeight="1">
      <c r="A1211" s="125"/>
      <c r="B1211" s="125"/>
      <c r="C1211" s="125"/>
      <c r="D1211" s="126"/>
      <c r="E1211" s="128"/>
      <c r="F1211" s="135"/>
      <c r="G1211" s="129"/>
      <c r="H1211" s="129"/>
      <c r="I1211" s="132"/>
      <c r="J1211" s="132"/>
      <c r="K1211" s="135"/>
      <c r="L1211" s="132"/>
      <c r="M1211" s="132"/>
      <c r="N1211" s="129"/>
      <c r="O1211" s="132"/>
    </row>
    <row r="1212" spans="1:15" ht="15.75" customHeight="1">
      <c r="A1212" s="125"/>
      <c r="B1212" s="125"/>
      <c r="C1212" s="125"/>
      <c r="D1212" s="126"/>
      <c r="E1212" s="128"/>
      <c r="F1212" s="135"/>
      <c r="G1212" s="129"/>
      <c r="H1212" s="129"/>
      <c r="I1212" s="132"/>
      <c r="J1212" s="132"/>
      <c r="K1212" s="135"/>
      <c r="L1212" s="132"/>
      <c r="M1212" s="132"/>
      <c r="N1212" s="129"/>
      <c r="O1212" s="132"/>
    </row>
    <row r="1213" spans="1:15" ht="15.75" customHeight="1">
      <c r="A1213" s="125"/>
      <c r="B1213" s="125"/>
      <c r="C1213" s="125"/>
      <c r="D1213" s="126"/>
      <c r="E1213" s="128"/>
      <c r="F1213" s="135"/>
      <c r="G1213" s="129"/>
      <c r="H1213" s="129"/>
      <c r="I1213" s="132"/>
      <c r="J1213" s="132"/>
      <c r="K1213" s="135"/>
      <c r="L1213" s="132"/>
      <c r="M1213" s="132"/>
      <c r="N1213" s="129"/>
      <c r="O1213" s="132"/>
    </row>
    <row r="1214" spans="1:15" ht="15.75" customHeight="1">
      <c r="A1214" s="125"/>
      <c r="B1214" s="125"/>
      <c r="C1214" s="125"/>
      <c r="D1214" s="126"/>
      <c r="E1214" s="128"/>
      <c r="F1214" s="135"/>
      <c r="G1214" s="129"/>
      <c r="H1214" s="129"/>
      <c r="I1214" s="132"/>
      <c r="J1214" s="132"/>
      <c r="K1214" s="135"/>
      <c r="L1214" s="132"/>
      <c r="M1214" s="132"/>
      <c r="N1214" s="129"/>
      <c r="O1214" s="132"/>
    </row>
    <row r="1215" spans="1:15" ht="15.75" customHeight="1">
      <c r="A1215" s="125"/>
      <c r="B1215" s="125"/>
      <c r="C1215" s="125"/>
      <c r="D1215" s="126"/>
      <c r="E1215" s="128"/>
      <c r="F1215" s="135"/>
      <c r="G1215" s="129"/>
      <c r="H1215" s="129"/>
      <c r="I1215" s="132"/>
      <c r="J1215" s="132"/>
      <c r="K1215" s="135"/>
      <c r="L1215" s="132"/>
      <c r="M1215" s="132"/>
      <c r="N1215" s="129"/>
      <c r="O1215" s="132"/>
    </row>
    <row r="1216" spans="1:15" ht="15.75" customHeight="1">
      <c r="A1216" s="125"/>
      <c r="B1216" s="125"/>
      <c r="C1216" s="125"/>
      <c r="D1216" s="126"/>
      <c r="E1216" s="128"/>
      <c r="F1216" s="135"/>
      <c r="G1216" s="129"/>
      <c r="H1216" s="129"/>
      <c r="I1216" s="132"/>
      <c r="J1216" s="132"/>
      <c r="K1216" s="135"/>
      <c r="L1216" s="132"/>
      <c r="M1216" s="132"/>
      <c r="N1216" s="129"/>
      <c r="O1216" s="132"/>
    </row>
    <row r="1217" spans="1:15" ht="15.75" customHeight="1">
      <c r="A1217" s="125"/>
      <c r="B1217" s="125"/>
      <c r="C1217" s="125"/>
      <c r="D1217" s="126"/>
      <c r="E1217" s="128"/>
      <c r="F1217" s="135"/>
      <c r="G1217" s="129"/>
      <c r="H1217" s="129"/>
      <c r="I1217" s="132"/>
      <c r="J1217" s="132"/>
      <c r="K1217" s="135"/>
      <c r="L1217" s="132"/>
      <c r="M1217" s="132"/>
      <c r="N1217" s="129"/>
      <c r="O1217" s="132"/>
    </row>
    <row r="1218" spans="1:15" ht="15.75" customHeight="1">
      <c r="A1218" s="125"/>
      <c r="B1218" s="125"/>
      <c r="C1218" s="125"/>
      <c r="D1218" s="126"/>
      <c r="E1218" s="128"/>
      <c r="F1218" s="135"/>
      <c r="G1218" s="129"/>
      <c r="H1218" s="129"/>
      <c r="I1218" s="132"/>
      <c r="J1218" s="132"/>
      <c r="K1218" s="135"/>
      <c r="L1218" s="132"/>
      <c r="M1218" s="132"/>
      <c r="N1218" s="129"/>
      <c r="O1218" s="132"/>
    </row>
    <row r="1219" spans="1:15" ht="15.75" customHeight="1">
      <c r="A1219" s="125"/>
      <c r="B1219" s="125"/>
      <c r="C1219" s="125"/>
      <c r="D1219" s="126"/>
      <c r="E1219" s="128"/>
      <c r="F1219" s="135"/>
      <c r="G1219" s="129"/>
      <c r="H1219" s="129"/>
      <c r="I1219" s="132"/>
      <c r="J1219" s="132"/>
      <c r="K1219" s="135"/>
      <c r="L1219" s="132"/>
      <c r="M1219" s="132"/>
      <c r="N1219" s="129"/>
      <c r="O1219" s="132"/>
    </row>
    <row r="1220" spans="1:15" ht="15.75" customHeight="1">
      <c r="A1220" s="125"/>
      <c r="B1220" s="125"/>
      <c r="C1220" s="125"/>
      <c r="D1220" s="126"/>
      <c r="E1220" s="128"/>
      <c r="F1220" s="135"/>
      <c r="G1220" s="129"/>
      <c r="H1220" s="129"/>
      <c r="I1220" s="132"/>
      <c r="J1220" s="132"/>
      <c r="K1220" s="135"/>
      <c r="L1220" s="132"/>
      <c r="M1220" s="132"/>
      <c r="N1220" s="129"/>
      <c r="O1220" s="132"/>
    </row>
    <row r="1221" spans="1:15" ht="15.75" customHeight="1">
      <c r="A1221" s="125"/>
      <c r="B1221" s="125"/>
      <c r="C1221" s="125"/>
      <c r="D1221" s="126"/>
      <c r="E1221" s="128"/>
      <c r="F1221" s="135"/>
      <c r="G1221" s="129"/>
      <c r="H1221" s="129"/>
      <c r="I1221" s="132"/>
      <c r="J1221" s="132"/>
      <c r="K1221" s="135"/>
      <c r="L1221" s="132"/>
      <c r="M1221" s="132"/>
      <c r="N1221" s="129"/>
      <c r="O1221" s="132"/>
    </row>
    <row r="1222" spans="1:15" ht="15.75" customHeight="1">
      <c r="A1222" s="125"/>
      <c r="B1222" s="125"/>
      <c r="C1222" s="125"/>
      <c r="D1222" s="126"/>
      <c r="E1222" s="128"/>
      <c r="F1222" s="135"/>
      <c r="G1222" s="129"/>
      <c r="H1222" s="129"/>
      <c r="I1222" s="132"/>
      <c r="J1222" s="132"/>
      <c r="K1222" s="135"/>
      <c r="L1222" s="132"/>
      <c r="M1222" s="132"/>
      <c r="N1222" s="129"/>
      <c r="O1222" s="132"/>
    </row>
    <row r="1223" spans="1:15" ht="15.75" customHeight="1">
      <c r="A1223" s="125"/>
      <c r="B1223" s="125"/>
      <c r="C1223" s="125"/>
      <c r="D1223" s="126"/>
      <c r="E1223" s="128"/>
      <c r="F1223" s="135"/>
      <c r="G1223" s="129"/>
      <c r="H1223" s="129"/>
      <c r="I1223" s="132"/>
      <c r="J1223" s="132"/>
      <c r="K1223" s="135"/>
      <c r="L1223" s="132"/>
      <c r="M1223" s="132"/>
      <c r="N1223" s="129"/>
      <c r="O1223" s="132"/>
    </row>
    <row r="1224" spans="1:15" ht="15.75" customHeight="1">
      <c r="A1224" s="125"/>
      <c r="B1224" s="125"/>
      <c r="C1224" s="125"/>
      <c r="D1224" s="126"/>
      <c r="E1224" s="128"/>
      <c r="F1224" s="135"/>
      <c r="G1224" s="129"/>
      <c r="H1224" s="129"/>
      <c r="I1224" s="132"/>
      <c r="J1224" s="132"/>
      <c r="K1224" s="135"/>
      <c r="L1224" s="132"/>
      <c r="M1224" s="132"/>
      <c r="N1224" s="129"/>
      <c r="O1224" s="132"/>
    </row>
    <row r="1225" spans="1:15" ht="15.75" customHeight="1">
      <c r="A1225" s="125"/>
      <c r="B1225" s="125"/>
      <c r="C1225" s="125"/>
      <c r="D1225" s="126"/>
      <c r="E1225" s="128"/>
      <c r="F1225" s="135"/>
      <c r="G1225" s="129"/>
      <c r="H1225" s="129"/>
      <c r="I1225" s="132"/>
      <c r="J1225" s="132"/>
      <c r="K1225" s="135"/>
      <c r="L1225" s="132"/>
      <c r="M1225" s="132"/>
      <c r="N1225" s="129"/>
      <c r="O1225" s="132"/>
    </row>
    <row r="1226" spans="1:15" ht="15.75" customHeight="1">
      <c r="A1226" s="125"/>
      <c r="B1226" s="125"/>
      <c r="C1226" s="125"/>
      <c r="D1226" s="126"/>
      <c r="E1226" s="128"/>
      <c r="F1226" s="135"/>
      <c r="G1226" s="129"/>
      <c r="H1226" s="129"/>
      <c r="I1226" s="132"/>
      <c r="J1226" s="132"/>
      <c r="K1226" s="135"/>
      <c r="L1226" s="132"/>
      <c r="M1226" s="132"/>
      <c r="N1226" s="129"/>
      <c r="O1226" s="132"/>
    </row>
    <row r="1227" spans="1:15" ht="15.75" customHeight="1">
      <c r="A1227" s="125"/>
      <c r="B1227" s="125"/>
      <c r="C1227" s="125"/>
      <c r="D1227" s="126"/>
      <c r="E1227" s="128"/>
      <c r="F1227" s="135"/>
      <c r="G1227" s="129"/>
      <c r="H1227" s="129"/>
      <c r="I1227" s="132"/>
      <c r="J1227" s="132"/>
      <c r="K1227" s="135"/>
      <c r="L1227" s="132"/>
      <c r="M1227" s="132"/>
      <c r="N1227" s="129"/>
      <c r="O1227" s="132"/>
    </row>
    <row r="1228" spans="1:15" ht="15.75" customHeight="1">
      <c r="A1228" s="125"/>
      <c r="B1228" s="125"/>
      <c r="C1228" s="125"/>
      <c r="D1228" s="126"/>
      <c r="E1228" s="128"/>
      <c r="F1228" s="135"/>
      <c r="G1228" s="129"/>
      <c r="H1228" s="129"/>
      <c r="I1228" s="132"/>
      <c r="J1228" s="132"/>
      <c r="K1228" s="135"/>
      <c r="L1228" s="132"/>
      <c r="M1228" s="132"/>
      <c r="N1228" s="129"/>
      <c r="O1228" s="132"/>
    </row>
    <row r="1229" spans="1:15" ht="15.75" customHeight="1">
      <c r="A1229" s="125"/>
      <c r="B1229" s="125"/>
      <c r="C1229" s="125"/>
      <c r="D1229" s="126"/>
      <c r="E1229" s="128"/>
      <c r="F1229" s="135"/>
      <c r="G1229" s="129"/>
      <c r="H1229" s="129"/>
      <c r="I1229" s="132"/>
      <c r="J1229" s="132"/>
      <c r="K1229" s="135"/>
      <c r="L1229" s="132"/>
      <c r="M1229" s="132"/>
      <c r="N1229" s="129"/>
      <c r="O1229" s="132"/>
    </row>
    <row r="1230" spans="1:15" ht="15.75" customHeight="1">
      <c r="A1230" s="125"/>
      <c r="B1230" s="125"/>
      <c r="C1230" s="125"/>
      <c r="D1230" s="126"/>
      <c r="E1230" s="128"/>
      <c r="F1230" s="135"/>
      <c r="G1230" s="129"/>
      <c r="H1230" s="129"/>
      <c r="I1230" s="132"/>
      <c r="J1230" s="132"/>
      <c r="K1230" s="135"/>
      <c r="L1230" s="132"/>
      <c r="M1230" s="132"/>
      <c r="N1230" s="129"/>
      <c r="O1230" s="132"/>
    </row>
    <row r="1231" spans="1:15" ht="15.75" customHeight="1">
      <c r="A1231" s="125"/>
      <c r="B1231" s="125"/>
      <c r="C1231" s="125"/>
      <c r="D1231" s="126"/>
      <c r="E1231" s="128"/>
      <c r="F1231" s="135"/>
      <c r="G1231" s="129"/>
      <c r="H1231" s="129"/>
      <c r="I1231" s="132"/>
      <c r="J1231" s="132"/>
      <c r="K1231" s="135"/>
      <c r="L1231" s="132"/>
      <c r="M1231" s="132"/>
      <c r="N1231" s="129"/>
      <c r="O1231" s="132"/>
    </row>
    <row r="1232" spans="1:15" ht="15.75" customHeight="1">
      <c r="A1232" s="125"/>
      <c r="B1232" s="125"/>
      <c r="C1232" s="125"/>
      <c r="D1232" s="126"/>
      <c r="E1232" s="128"/>
      <c r="F1232" s="135"/>
      <c r="G1232" s="129"/>
      <c r="H1232" s="129"/>
      <c r="I1232" s="132"/>
      <c r="J1232" s="132"/>
      <c r="K1232" s="135"/>
      <c r="L1232" s="132"/>
      <c r="M1232" s="132"/>
      <c r="N1232" s="129"/>
      <c r="O1232" s="132"/>
    </row>
    <row r="1233" spans="1:15" ht="15.75" customHeight="1">
      <c r="A1233" s="125"/>
      <c r="B1233" s="125"/>
      <c r="C1233" s="125"/>
      <c r="D1233" s="126"/>
      <c r="E1233" s="128"/>
      <c r="F1233" s="135"/>
      <c r="G1233" s="129"/>
      <c r="H1233" s="129"/>
      <c r="I1233" s="132"/>
      <c r="J1233" s="132"/>
      <c r="K1233" s="135"/>
      <c r="L1233" s="132"/>
      <c r="M1233" s="132"/>
      <c r="N1233" s="129"/>
      <c r="O1233" s="132"/>
    </row>
    <row r="1234" spans="1:15" ht="15.75" customHeight="1">
      <c r="A1234" s="125"/>
      <c r="B1234" s="125"/>
      <c r="C1234" s="125"/>
      <c r="D1234" s="126"/>
      <c r="E1234" s="128"/>
      <c r="F1234" s="135"/>
      <c r="G1234" s="129"/>
      <c r="H1234" s="129"/>
      <c r="I1234" s="132"/>
      <c r="J1234" s="132"/>
      <c r="K1234" s="135"/>
      <c r="L1234" s="132"/>
      <c r="M1234" s="132"/>
      <c r="N1234" s="129"/>
      <c r="O1234" s="132"/>
    </row>
    <row r="1235" spans="1:15" ht="15.75" customHeight="1">
      <c r="A1235" s="125"/>
      <c r="B1235" s="125"/>
      <c r="C1235" s="125"/>
      <c r="D1235" s="126"/>
      <c r="E1235" s="128"/>
      <c r="F1235" s="135"/>
      <c r="G1235" s="129"/>
      <c r="H1235" s="129"/>
      <c r="I1235" s="132"/>
      <c r="J1235" s="132"/>
      <c r="K1235" s="135"/>
      <c r="L1235" s="132"/>
      <c r="M1235" s="132"/>
      <c r="N1235" s="129"/>
      <c r="O1235" s="132"/>
    </row>
    <row r="1236" spans="1:15" ht="15.75" customHeight="1">
      <c r="A1236" s="125"/>
      <c r="B1236" s="125"/>
      <c r="C1236" s="125"/>
      <c r="D1236" s="126"/>
      <c r="E1236" s="128"/>
      <c r="F1236" s="135"/>
      <c r="G1236" s="129"/>
      <c r="H1236" s="129"/>
      <c r="I1236" s="132"/>
      <c r="J1236" s="132"/>
      <c r="K1236" s="135"/>
      <c r="L1236" s="132"/>
      <c r="M1236" s="132"/>
      <c r="N1236" s="129"/>
      <c r="O1236" s="132"/>
    </row>
    <row r="1237" spans="1:15" ht="15.75" customHeight="1">
      <c r="A1237" s="125"/>
      <c r="B1237" s="125"/>
      <c r="C1237" s="125"/>
      <c r="D1237" s="126"/>
      <c r="E1237" s="128"/>
      <c r="F1237" s="135"/>
      <c r="G1237" s="129"/>
      <c r="H1237" s="129"/>
      <c r="I1237" s="132"/>
      <c r="J1237" s="132"/>
      <c r="K1237" s="135"/>
      <c r="L1237" s="132"/>
      <c r="M1237" s="132"/>
      <c r="N1237" s="129"/>
      <c r="O1237" s="132"/>
    </row>
    <row r="1238" spans="1:15" ht="15.75" customHeight="1">
      <c r="A1238" s="125"/>
      <c r="B1238" s="125"/>
      <c r="C1238" s="125"/>
      <c r="D1238" s="126"/>
      <c r="E1238" s="128"/>
      <c r="F1238" s="135"/>
      <c r="G1238" s="129"/>
      <c r="H1238" s="129"/>
      <c r="I1238" s="132"/>
      <c r="J1238" s="132"/>
      <c r="K1238" s="135"/>
      <c r="L1238" s="132"/>
      <c r="M1238" s="132"/>
      <c r="N1238" s="129"/>
      <c r="O1238" s="132"/>
    </row>
    <row r="1239" spans="1:15" ht="15.75" customHeight="1">
      <c r="A1239" s="125"/>
      <c r="B1239" s="125"/>
      <c r="C1239" s="125"/>
      <c r="D1239" s="126"/>
      <c r="E1239" s="128"/>
      <c r="F1239" s="135"/>
      <c r="G1239" s="129"/>
      <c r="H1239" s="129"/>
      <c r="I1239" s="132"/>
      <c r="J1239" s="132"/>
      <c r="K1239" s="135"/>
      <c r="L1239" s="132"/>
      <c r="M1239" s="132"/>
      <c r="N1239" s="129"/>
      <c r="O1239" s="132"/>
    </row>
    <row r="1240" spans="1:15" ht="15.75" customHeight="1">
      <c r="A1240" s="125"/>
      <c r="B1240" s="125"/>
      <c r="C1240" s="125"/>
      <c r="D1240" s="126"/>
      <c r="E1240" s="128"/>
      <c r="F1240" s="135"/>
      <c r="G1240" s="129"/>
      <c r="H1240" s="129"/>
      <c r="I1240" s="132"/>
      <c r="J1240" s="132"/>
      <c r="K1240" s="135"/>
      <c r="L1240" s="132"/>
      <c r="M1240" s="132"/>
      <c r="N1240" s="129"/>
      <c r="O1240" s="132"/>
    </row>
    <row r="1241" spans="1:15" ht="15.75" customHeight="1">
      <c r="A1241" s="125"/>
      <c r="B1241" s="125"/>
      <c r="C1241" s="125"/>
      <c r="D1241" s="126"/>
      <c r="E1241" s="128"/>
      <c r="F1241" s="135"/>
      <c r="G1241" s="129"/>
      <c r="H1241" s="129"/>
      <c r="I1241" s="132"/>
      <c r="J1241" s="132"/>
      <c r="K1241" s="135"/>
      <c r="L1241" s="132"/>
      <c r="M1241" s="132"/>
      <c r="N1241" s="129"/>
      <c r="O1241" s="132"/>
    </row>
    <row r="1242" spans="1:15" ht="15.75" customHeight="1">
      <c r="A1242" s="125"/>
      <c r="B1242" s="125"/>
      <c r="C1242" s="125"/>
      <c r="D1242" s="126"/>
      <c r="E1242" s="128"/>
      <c r="F1242" s="135"/>
      <c r="G1242" s="129"/>
      <c r="H1242" s="129"/>
      <c r="I1242" s="132"/>
      <c r="J1242" s="132"/>
      <c r="K1242" s="135"/>
      <c r="L1242" s="132"/>
      <c r="M1242" s="132"/>
      <c r="N1242" s="129"/>
      <c r="O1242" s="132"/>
    </row>
    <row r="1243" spans="1:15" ht="15.75" customHeight="1">
      <c r="A1243" s="125"/>
      <c r="B1243" s="125"/>
      <c r="C1243" s="125"/>
      <c r="D1243" s="126"/>
      <c r="E1243" s="128"/>
      <c r="F1243" s="135"/>
      <c r="G1243" s="129"/>
      <c r="H1243" s="129"/>
      <c r="I1243" s="132"/>
      <c r="J1243" s="132"/>
      <c r="K1243" s="135"/>
      <c r="L1243" s="132"/>
      <c r="M1243" s="132"/>
      <c r="N1243" s="129"/>
      <c r="O1243" s="132"/>
    </row>
    <row r="1244" spans="1:15" ht="15.75" customHeight="1">
      <c r="A1244" s="125"/>
      <c r="B1244" s="125"/>
      <c r="C1244" s="125"/>
      <c r="D1244" s="126"/>
      <c r="E1244" s="128"/>
      <c r="F1244" s="135"/>
      <c r="G1244" s="129"/>
      <c r="H1244" s="129"/>
      <c r="I1244" s="132"/>
      <c r="J1244" s="132"/>
      <c r="K1244" s="135"/>
      <c r="L1244" s="132"/>
      <c r="M1244" s="132"/>
      <c r="N1244" s="129"/>
      <c r="O1244" s="132"/>
    </row>
    <row r="1245" spans="1:15" ht="15.75" customHeight="1">
      <c r="A1245" s="125"/>
      <c r="B1245" s="125"/>
      <c r="C1245" s="125"/>
      <c r="D1245" s="126"/>
      <c r="E1245" s="128"/>
      <c r="F1245" s="135"/>
      <c r="G1245" s="129"/>
      <c r="H1245" s="129"/>
      <c r="I1245" s="132"/>
      <c r="J1245" s="132"/>
      <c r="K1245" s="135"/>
      <c r="L1245" s="132"/>
      <c r="M1245" s="132"/>
      <c r="N1245" s="129"/>
      <c r="O1245" s="132"/>
    </row>
    <row r="1246" spans="1:15" ht="15.75" customHeight="1">
      <c r="A1246" s="125"/>
      <c r="B1246" s="125"/>
      <c r="C1246" s="125"/>
      <c r="D1246" s="126"/>
      <c r="E1246" s="128"/>
      <c r="F1246" s="135"/>
      <c r="G1246" s="129"/>
      <c r="H1246" s="129"/>
      <c r="I1246" s="132"/>
      <c r="J1246" s="132"/>
      <c r="K1246" s="135"/>
      <c r="L1246" s="132"/>
      <c r="M1246" s="132"/>
      <c r="N1246" s="129"/>
      <c r="O1246" s="132"/>
    </row>
    <row r="1247" spans="1:15" ht="15.75" customHeight="1">
      <c r="A1247" s="125"/>
      <c r="B1247" s="125"/>
      <c r="C1247" s="125"/>
      <c r="D1247" s="126"/>
      <c r="E1247" s="128"/>
      <c r="F1247" s="135"/>
      <c r="G1247" s="129"/>
      <c r="H1247" s="129"/>
      <c r="I1247" s="132"/>
      <c r="J1247" s="132"/>
      <c r="K1247" s="135"/>
      <c r="L1247" s="132"/>
      <c r="M1247" s="132"/>
      <c r="N1247" s="129"/>
      <c r="O1247" s="132"/>
    </row>
    <row r="1248" spans="1:15" ht="15.75" customHeight="1">
      <c r="A1248" s="125"/>
      <c r="B1248" s="125"/>
      <c r="C1248" s="125"/>
      <c r="D1248" s="126"/>
      <c r="E1248" s="128"/>
      <c r="F1248" s="135"/>
      <c r="G1248" s="129"/>
      <c r="H1248" s="129"/>
      <c r="I1248" s="132"/>
      <c r="J1248" s="132"/>
      <c r="K1248" s="135"/>
      <c r="L1248" s="132"/>
      <c r="M1248" s="132"/>
      <c r="N1248" s="129"/>
      <c r="O1248" s="132"/>
    </row>
    <row r="1249" spans="1:15" ht="15.75" customHeight="1">
      <c r="A1249" s="125"/>
      <c r="B1249" s="125"/>
      <c r="C1249" s="125"/>
      <c r="D1249" s="126"/>
      <c r="E1249" s="128"/>
      <c r="F1249" s="135"/>
      <c r="G1249" s="129"/>
      <c r="H1249" s="129"/>
      <c r="I1249" s="132"/>
      <c r="J1249" s="132"/>
      <c r="K1249" s="135"/>
      <c r="L1249" s="132"/>
      <c r="M1249" s="132"/>
      <c r="N1249" s="129"/>
      <c r="O1249" s="132"/>
    </row>
    <row r="1250" spans="1:15" ht="15.75" customHeight="1">
      <c r="A1250" s="125"/>
      <c r="B1250" s="125"/>
      <c r="C1250" s="125"/>
      <c r="D1250" s="126"/>
      <c r="E1250" s="128"/>
      <c r="F1250" s="135"/>
      <c r="G1250" s="129"/>
      <c r="H1250" s="129"/>
      <c r="I1250" s="132"/>
      <c r="J1250" s="132"/>
      <c r="K1250" s="135"/>
      <c r="L1250" s="132"/>
      <c r="M1250" s="132"/>
      <c r="N1250" s="129"/>
      <c r="O1250" s="132"/>
    </row>
    <row r="1251" spans="1:15" ht="15.75" customHeight="1">
      <c r="A1251" s="125"/>
      <c r="B1251" s="125"/>
      <c r="C1251" s="125"/>
      <c r="D1251" s="126"/>
      <c r="E1251" s="128"/>
      <c r="F1251" s="135"/>
      <c r="G1251" s="129"/>
      <c r="H1251" s="129"/>
      <c r="I1251" s="132"/>
      <c r="J1251" s="132"/>
      <c r="K1251" s="135"/>
      <c r="L1251" s="132"/>
      <c r="M1251" s="132"/>
      <c r="N1251" s="129"/>
      <c r="O1251" s="132"/>
    </row>
    <row r="1252" spans="1:15" ht="15.75" customHeight="1">
      <c r="A1252" s="125"/>
      <c r="B1252" s="125"/>
      <c r="C1252" s="125"/>
      <c r="D1252" s="126"/>
      <c r="E1252" s="128"/>
      <c r="F1252" s="135"/>
      <c r="G1252" s="129"/>
      <c r="H1252" s="129"/>
      <c r="I1252" s="132"/>
      <c r="J1252" s="132"/>
      <c r="K1252" s="135"/>
      <c r="L1252" s="132"/>
      <c r="M1252" s="132"/>
      <c r="N1252" s="129"/>
      <c r="O1252" s="132"/>
    </row>
    <row r="1253" spans="1:15" ht="15.75" customHeight="1">
      <c r="A1253" s="125"/>
      <c r="B1253" s="125"/>
      <c r="C1253" s="125"/>
      <c r="D1253" s="126"/>
      <c r="E1253" s="128"/>
      <c r="F1253" s="135"/>
      <c r="G1253" s="129"/>
      <c r="H1253" s="129"/>
      <c r="I1253" s="132"/>
      <c r="J1253" s="132"/>
      <c r="K1253" s="135"/>
      <c r="L1253" s="132"/>
      <c r="M1253" s="132"/>
      <c r="N1253" s="129"/>
      <c r="O1253" s="132"/>
    </row>
    <row r="1254" spans="1:15" ht="15.75" customHeight="1">
      <c r="A1254" s="125"/>
      <c r="B1254" s="125"/>
      <c r="C1254" s="125"/>
      <c r="D1254" s="126"/>
      <c r="E1254" s="128"/>
      <c r="F1254" s="135"/>
      <c r="G1254" s="129"/>
      <c r="H1254" s="129"/>
      <c r="I1254" s="132"/>
      <c r="J1254" s="132"/>
      <c r="K1254" s="135"/>
      <c r="L1254" s="132"/>
      <c r="M1254" s="132"/>
      <c r="N1254" s="129"/>
      <c r="O1254" s="132"/>
    </row>
    <row r="1255" spans="1:15" ht="15.75" customHeight="1">
      <c r="A1255" s="125"/>
      <c r="B1255" s="125"/>
      <c r="C1255" s="125"/>
      <c r="D1255" s="126"/>
      <c r="E1255" s="128"/>
      <c r="F1255" s="135"/>
      <c r="G1255" s="129"/>
      <c r="H1255" s="129"/>
      <c r="I1255" s="132"/>
      <c r="J1255" s="132"/>
      <c r="K1255" s="135"/>
      <c r="L1255" s="132"/>
      <c r="M1255" s="132"/>
      <c r="N1255" s="129"/>
      <c r="O1255" s="132"/>
    </row>
    <row r="1256" spans="1:15" ht="15.75" customHeight="1">
      <c r="A1256" s="125"/>
      <c r="B1256" s="125"/>
      <c r="C1256" s="125"/>
      <c r="D1256" s="126"/>
      <c r="E1256" s="128"/>
      <c r="F1256" s="135"/>
      <c r="G1256" s="129"/>
      <c r="H1256" s="129"/>
      <c r="I1256" s="132"/>
      <c r="J1256" s="132"/>
      <c r="K1256" s="135"/>
      <c r="L1256" s="132"/>
      <c r="M1256" s="132"/>
      <c r="N1256" s="129"/>
      <c r="O1256" s="132"/>
    </row>
    <row r="1257" spans="1:15" ht="15.75" customHeight="1">
      <c r="A1257" s="125"/>
      <c r="B1257" s="125"/>
      <c r="C1257" s="125"/>
      <c r="D1257" s="126"/>
      <c r="E1257" s="128"/>
      <c r="F1257" s="135"/>
      <c r="G1257" s="129"/>
      <c r="H1257" s="129"/>
      <c r="I1257" s="132"/>
      <c r="J1257" s="132"/>
      <c r="K1257" s="135"/>
      <c r="L1257" s="132"/>
      <c r="M1257" s="132"/>
      <c r="N1257" s="129"/>
      <c r="O1257" s="132"/>
    </row>
    <row r="1258" spans="1:15" ht="15.75" customHeight="1">
      <c r="A1258" s="125"/>
      <c r="B1258" s="125"/>
      <c r="C1258" s="125"/>
      <c r="D1258" s="126"/>
      <c r="E1258" s="128"/>
      <c r="F1258" s="135"/>
      <c r="G1258" s="129"/>
      <c r="H1258" s="129"/>
      <c r="I1258" s="132"/>
      <c r="J1258" s="132"/>
      <c r="K1258" s="135"/>
      <c r="L1258" s="132"/>
      <c r="M1258" s="132"/>
      <c r="N1258" s="129"/>
      <c r="O1258" s="132"/>
    </row>
    <row r="1259" spans="1:15" ht="15.75" customHeight="1">
      <c r="A1259" s="125"/>
      <c r="B1259" s="125"/>
      <c r="C1259" s="125"/>
      <c r="D1259" s="126"/>
      <c r="E1259" s="128"/>
      <c r="F1259" s="135"/>
      <c r="G1259" s="129"/>
      <c r="H1259" s="129"/>
      <c r="I1259" s="132"/>
      <c r="J1259" s="132"/>
      <c r="K1259" s="135"/>
      <c r="L1259" s="132"/>
      <c r="M1259" s="132"/>
      <c r="N1259" s="129"/>
      <c r="O1259" s="132"/>
    </row>
    <row r="1260" spans="1:15" ht="15.75" customHeight="1">
      <c r="A1260" s="125"/>
      <c r="B1260" s="125"/>
      <c r="C1260" s="125"/>
      <c r="D1260" s="126"/>
      <c r="E1260" s="128"/>
      <c r="F1260" s="135"/>
      <c r="G1260" s="129"/>
      <c r="H1260" s="129"/>
      <c r="I1260" s="132"/>
      <c r="J1260" s="132"/>
      <c r="K1260" s="135"/>
      <c r="L1260" s="132"/>
      <c r="M1260" s="132"/>
      <c r="N1260" s="129"/>
      <c r="O1260" s="132"/>
    </row>
    <row r="1261" spans="1:15" ht="15.75" customHeight="1">
      <c r="A1261" s="125"/>
      <c r="B1261" s="125"/>
      <c r="C1261" s="125"/>
      <c r="D1261" s="126"/>
      <c r="E1261" s="128"/>
      <c r="F1261" s="135"/>
      <c r="G1261" s="129"/>
      <c r="H1261" s="129"/>
      <c r="I1261" s="132"/>
      <c r="J1261" s="132"/>
      <c r="K1261" s="135"/>
      <c r="L1261" s="132"/>
      <c r="M1261" s="132"/>
      <c r="N1261" s="129"/>
      <c r="O1261" s="132"/>
    </row>
    <row r="1262" spans="1:15" ht="15.75" customHeight="1">
      <c r="A1262" s="125"/>
      <c r="B1262" s="125"/>
      <c r="C1262" s="125"/>
      <c r="D1262" s="126"/>
      <c r="E1262" s="128"/>
      <c r="F1262" s="135"/>
      <c r="G1262" s="129"/>
      <c r="H1262" s="129"/>
      <c r="I1262" s="132"/>
      <c r="J1262" s="132"/>
      <c r="K1262" s="135"/>
      <c r="L1262" s="132"/>
      <c r="M1262" s="132"/>
      <c r="N1262" s="129"/>
      <c r="O1262" s="132"/>
    </row>
    <row r="1263" spans="1:15" ht="15.75" customHeight="1">
      <c r="A1263" s="125"/>
      <c r="B1263" s="125"/>
      <c r="C1263" s="125"/>
      <c r="D1263" s="126"/>
      <c r="E1263" s="128"/>
      <c r="F1263" s="135"/>
      <c r="G1263" s="129"/>
      <c r="H1263" s="129"/>
      <c r="I1263" s="132"/>
      <c r="J1263" s="132"/>
      <c r="K1263" s="135"/>
      <c r="L1263" s="132"/>
      <c r="M1263" s="132"/>
      <c r="N1263" s="129"/>
      <c r="O1263" s="132"/>
    </row>
    <row r="1264" spans="1:15" ht="15.75" customHeight="1">
      <c r="A1264" s="125"/>
      <c r="B1264" s="125"/>
      <c r="C1264" s="125"/>
      <c r="D1264" s="126"/>
      <c r="E1264" s="128"/>
      <c r="F1264" s="135"/>
      <c r="G1264" s="129"/>
      <c r="H1264" s="129"/>
      <c r="I1264" s="132"/>
      <c r="J1264" s="132"/>
      <c r="K1264" s="135"/>
      <c r="L1264" s="132"/>
      <c r="M1264" s="132"/>
      <c r="N1264" s="129"/>
      <c r="O1264" s="132"/>
    </row>
    <row r="1265" spans="1:15" ht="15.75" customHeight="1">
      <c r="A1265" s="125"/>
      <c r="B1265" s="125"/>
      <c r="C1265" s="125"/>
      <c r="D1265" s="126"/>
      <c r="E1265" s="128"/>
      <c r="F1265" s="135"/>
      <c r="G1265" s="129"/>
      <c r="H1265" s="129"/>
      <c r="I1265" s="132"/>
      <c r="J1265" s="132"/>
      <c r="K1265" s="135"/>
      <c r="L1265" s="132"/>
      <c r="M1265" s="132"/>
      <c r="N1265" s="129"/>
      <c r="O1265" s="132"/>
    </row>
    <row r="1266" spans="1:15" ht="15.75" customHeight="1">
      <c r="A1266" s="125"/>
      <c r="B1266" s="125"/>
      <c r="C1266" s="125"/>
      <c r="D1266" s="126"/>
      <c r="E1266" s="128"/>
      <c r="F1266" s="135"/>
      <c r="G1266" s="129"/>
      <c r="H1266" s="129"/>
      <c r="I1266" s="132"/>
      <c r="J1266" s="132"/>
      <c r="K1266" s="135"/>
      <c r="L1266" s="132"/>
      <c r="M1266" s="132"/>
      <c r="N1266" s="129"/>
      <c r="O1266" s="132"/>
    </row>
    <row r="1267" spans="1:15" ht="15.75" customHeight="1">
      <c r="A1267" s="125"/>
      <c r="B1267" s="125"/>
      <c r="C1267" s="125"/>
      <c r="D1267" s="126"/>
      <c r="E1267" s="128"/>
      <c r="F1267" s="135"/>
      <c r="G1267" s="129"/>
      <c r="H1267" s="129"/>
      <c r="I1267" s="132"/>
      <c r="J1267" s="132"/>
      <c r="K1267" s="135"/>
      <c r="L1267" s="132"/>
      <c r="M1267" s="132"/>
      <c r="N1267" s="129"/>
      <c r="O1267" s="132"/>
    </row>
    <row r="1268" spans="1:15" ht="15.75" customHeight="1">
      <c r="A1268" s="125"/>
      <c r="B1268" s="125"/>
      <c r="C1268" s="125"/>
      <c r="D1268" s="126"/>
      <c r="E1268" s="128"/>
      <c r="F1268" s="135"/>
      <c r="G1268" s="129"/>
      <c r="H1268" s="129"/>
      <c r="I1268" s="132"/>
      <c r="J1268" s="132"/>
      <c r="K1268" s="135"/>
      <c r="L1268" s="132"/>
      <c r="M1268" s="132"/>
      <c r="N1268" s="129"/>
      <c r="O1268" s="132"/>
    </row>
    <row r="1269" spans="1:15" ht="15.75" customHeight="1">
      <c r="A1269" s="125"/>
      <c r="B1269" s="125"/>
      <c r="C1269" s="125"/>
      <c r="D1269" s="126"/>
      <c r="E1269" s="128"/>
      <c r="F1269" s="135"/>
      <c r="G1269" s="129"/>
      <c r="H1269" s="129"/>
      <c r="I1269" s="132"/>
      <c r="J1269" s="132"/>
      <c r="K1269" s="135"/>
      <c r="L1269" s="132"/>
      <c r="M1269" s="132"/>
      <c r="N1269" s="129"/>
      <c r="O1269" s="132"/>
    </row>
    <row r="1270" spans="1:15" ht="15.75" customHeight="1">
      <c r="A1270" s="125"/>
      <c r="B1270" s="125"/>
      <c r="C1270" s="125"/>
      <c r="D1270" s="126"/>
      <c r="E1270" s="128"/>
      <c r="F1270" s="135"/>
      <c r="G1270" s="129"/>
      <c r="H1270" s="129"/>
      <c r="I1270" s="132"/>
      <c r="J1270" s="132"/>
      <c r="K1270" s="135"/>
      <c r="L1270" s="132"/>
      <c r="M1270" s="132"/>
      <c r="N1270" s="129"/>
      <c r="O1270" s="132"/>
    </row>
    <row r="1271" spans="1:15" ht="15.75" customHeight="1">
      <c r="A1271" s="125"/>
      <c r="B1271" s="125"/>
      <c r="C1271" s="125"/>
      <c r="D1271" s="126"/>
      <c r="E1271" s="128"/>
      <c r="F1271" s="135"/>
      <c r="G1271" s="129"/>
      <c r="H1271" s="129"/>
      <c r="I1271" s="132"/>
      <c r="J1271" s="132"/>
      <c r="K1271" s="135"/>
      <c r="L1271" s="132"/>
      <c r="M1271" s="132"/>
      <c r="N1271" s="129"/>
      <c r="O1271" s="132"/>
    </row>
    <row r="1272" spans="1:15" ht="15.75" customHeight="1">
      <c r="A1272" s="125"/>
      <c r="B1272" s="125"/>
      <c r="C1272" s="125"/>
      <c r="D1272" s="126"/>
      <c r="E1272" s="128"/>
      <c r="F1272" s="135"/>
      <c r="G1272" s="129"/>
      <c r="H1272" s="129"/>
      <c r="I1272" s="132"/>
      <c r="J1272" s="132"/>
      <c r="K1272" s="135"/>
      <c r="L1272" s="132"/>
      <c r="M1272" s="132"/>
      <c r="N1272" s="129"/>
      <c r="O1272" s="132"/>
    </row>
    <row r="1273" spans="1:15" ht="15.75" customHeight="1">
      <c r="A1273" s="125"/>
      <c r="B1273" s="125"/>
      <c r="C1273" s="125"/>
      <c r="D1273" s="126"/>
      <c r="E1273" s="128"/>
      <c r="F1273" s="135"/>
      <c r="G1273" s="129"/>
      <c r="H1273" s="129"/>
      <c r="I1273" s="132"/>
      <c r="J1273" s="132"/>
      <c r="K1273" s="135"/>
      <c r="L1273" s="132"/>
      <c r="M1273" s="132"/>
      <c r="N1273" s="129"/>
      <c r="O1273" s="132"/>
    </row>
    <row r="1274" spans="1:15" ht="15.75" customHeight="1">
      <c r="A1274" s="125"/>
      <c r="B1274" s="125"/>
      <c r="C1274" s="125"/>
      <c r="D1274" s="126"/>
      <c r="E1274" s="128"/>
      <c r="F1274" s="135"/>
      <c r="G1274" s="129"/>
      <c r="H1274" s="129"/>
      <c r="I1274" s="132"/>
      <c r="J1274" s="132"/>
      <c r="K1274" s="135"/>
      <c r="L1274" s="132"/>
      <c r="M1274" s="132"/>
      <c r="N1274" s="129"/>
      <c r="O1274" s="132"/>
    </row>
    <row r="1275" spans="1:15" ht="15.75" customHeight="1">
      <c r="A1275" s="125"/>
      <c r="B1275" s="125"/>
      <c r="C1275" s="125"/>
      <c r="D1275" s="126"/>
      <c r="E1275" s="128"/>
      <c r="F1275" s="135"/>
      <c r="G1275" s="129"/>
      <c r="H1275" s="129"/>
      <c r="I1275" s="132"/>
      <c r="J1275" s="132"/>
      <c r="K1275" s="135"/>
      <c r="L1275" s="132"/>
      <c r="M1275" s="132"/>
      <c r="N1275" s="129"/>
      <c r="O1275" s="132"/>
    </row>
    <row r="1276" spans="1:15" ht="15.75" customHeight="1">
      <c r="A1276" s="125"/>
      <c r="B1276" s="125"/>
      <c r="C1276" s="125"/>
      <c r="D1276" s="126"/>
      <c r="E1276" s="128"/>
      <c r="F1276" s="135"/>
      <c r="G1276" s="129"/>
      <c r="H1276" s="129"/>
      <c r="I1276" s="132"/>
      <c r="J1276" s="132"/>
      <c r="K1276" s="135"/>
      <c r="L1276" s="132"/>
      <c r="M1276" s="132"/>
      <c r="N1276" s="129"/>
      <c r="O1276" s="132"/>
    </row>
    <row r="1277" spans="1:15" ht="15.75" customHeight="1">
      <c r="A1277" s="125"/>
      <c r="B1277" s="125"/>
      <c r="C1277" s="125"/>
      <c r="D1277" s="126"/>
      <c r="E1277" s="128"/>
      <c r="F1277" s="135"/>
      <c r="G1277" s="129"/>
      <c r="H1277" s="129"/>
      <c r="I1277" s="132"/>
      <c r="J1277" s="132"/>
      <c r="K1277" s="135"/>
      <c r="L1277" s="132"/>
      <c r="M1277" s="132"/>
      <c r="N1277" s="129"/>
      <c r="O1277" s="132"/>
    </row>
    <row r="1278" spans="1:15" ht="15.75" customHeight="1">
      <c r="A1278" s="125"/>
      <c r="B1278" s="125"/>
      <c r="C1278" s="125"/>
      <c r="D1278" s="126"/>
      <c r="E1278" s="128"/>
      <c r="F1278" s="135"/>
      <c r="G1278" s="129"/>
      <c r="H1278" s="129"/>
      <c r="I1278" s="132"/>
      <c r="J1278" s="132"/>
      <c r="K1278" s="135"/>
      <c r="L1278" s="132"/>
      <c r="M1278" s="132"/>
      <c r="N1278" s="129"/>
      <c r="O1278" s="132"/>
    </row>
    <row r="1279" spans="1:15" ht="15.75" customHeight="1">
      <c r="A1279" s="125"/>
      <c r="B1279" s="125"/>
      <c r="C1279" s="125"/>
      <c r="D1279" s="126"/>
      <c r="E1279" s="128"/>
      <c r="F1279" s="135"/>
      <c r="G1279" s="129"/>
      <c r="H1279" s="129"/>
      <c r="I1279" s="132"/>
      <c r="J1279" s="132"/>
      <c r="K1279" s="135"/>
      <c r="L1279" s="132"/>
      <c r="M1279" s="132"/>
      <c r="N1279" s="129"/>
      <c r="O1279" s="132"/>
    </row>
    <row r="1280" spans="1:15" ht="15.75" customHeight="1">
      <c r="A1280" s="125"/>
      <c r="B1280" s="125"/>
      <c r="C1280" s="125"/>
      <c r="D1280" s="126"/>
      <c r="E1280" s="128"/>
      <c r="F1280" s="135"/>
      <c r="G1280" s="129"/>
      <c r="H1280" s="129"/>
      <c r="I1280" s="132"/>
      <c r="J1280" s="132"/>
      <c r="K1280" s="135"/>
      <c r="L1280" s="132"/>
      <c r="M1280" s="132"/>
      <c r="N1280" s="129"/>
      <c r="O1280" s="132"/>
    </row>
    <row r="1281" spans="1:15" ht="15.75" customHeight="1">
      <c r="A1281" s="125"/>
      <c r="B1281" s="125"/>
      <c r="C1281" s="125"/>
      <c r="D1281" s="126"/>
      <c r="E1281" s="128"/>
      <c r="F1281" s="135"/>
      <c r="G1281" s="129"/>
      <c r="H1281" s="129"/>
      <c r="I1281" s="132"/>
      <c r="J1281" s="132"/>
      <c r="K1281" s="135"/>
      <c r="L1281" s="132"/>
      <c r="M1281" s="132"/>
      <c r="N1281" s="129"/>
      <c r="O1281" s="132"/>
    </row>
    <row r="1282" spans="1:15" ht="15.75" customHeight="1">
      <c r="A1282" s="125"/>
      <c r="B1282" s="125"/>
      <c r="C1282" s="125"/>
      <c r="D1282" s="126"/>
      <c r="E1282" s="128"/>
      <c r="F1282" s="135"/>
      <c r="G1282" s="129"/>
      <c r="H1282" s="129"/>
      <c r="I1282" s="132"/>
      <c r="J1282" s="132"/>
      <c r="K1282" s="135"/>
      <c r="L1282" s="132"/>
      <c r="M1282" s="132"/>
      <c r="N1282" s="129"/>
      <c r="O1282" s="132"/>
    </row>
    <row r="1283" spans="1:15" ht="15.75" customHeight="1">
      <c r="A1283" s="125"/>
      <c r="B1283" s="125"/>
      <c r="C1283" s="125"/>
      <c r="D1283" s="126"/>
      <c r="E1283" s="128"/>
      <c r="F1283" s="135"/>
      <c r="G1283" s="129"/>
      <c r="H1283" s="129"/>
      <c r="I1283" s="132"/>
      <c r="J1283" s="132"/>
      <c r="K1283" s="135"/>
      <c r="L1283" s="132"/>
      <c r="M1283" s="132"/>
      <c r="N1283" s="129"/>
      <c r="O1283" s="132"/>
    </row>
    <row r="1284" spans="1:15" ht="15.75" customHeight="1">
      <c r="A1284" s="125"/>
      <c r="B1284" s="125"/>
      <c r="C1284" s="125"/>
      <c r="D1284" s="126"/>
      <c r="E1284" s="128"/>
      <c r="F1284" s="135"/>
      <c r="G1284" s="129"/>
      <c r="H1284" s="129"/>
      <c r="I1284" s="132"/>
      <c r="J1284" s="132"/>
      <c r="K1284" s="135"/>
      <c r="L1284" s="132"/>
      <c r="M1284" s="132"/>
      <c r="N1284" s="129"/>
      <c r="O1284" s="132"/>
    </row>
    <row r="1285" spans="1:15" ht="15.75" customHeight="1">
      <c r="A1285" s="125"/>
      <c r="B1285" s="125"/>
      <c r="C1285" s="125"/>
      <c r="D1285" s="126"/>
      <c r="E1285" s="128"/>
      <c r="F1285" s="135"/>
      <c r="G1285" s="129"/>
      <c r="H1285" s="129"/>
      <c r="I1285" s="132"/>
      <c r="J1285" s="132"/>
      <c r="K1285" s="135"/>
      <c r="L1285" s="132"/>
      <c r="M1285" s="132"/>
      <c r="N1285" s="129"/>
      <c r="O1285" s="132"/>
    </row>
    <row r="1286" spans="1:15" ht="15.75" customHeight="1">
      <c r="A1286" s="125"/>
      <c r="B1286" s="125"/>
      <c r="C1286" s="125"/>
      <c r="D1286" s="126"/>
      <c r="E1286" s="128"/>
      <c r="F1286" s="135"/>
      <c r="G1286" s="129"/>
      <c r="H1286" s="129"/>
      <c r="I1286" s="132"/>
      <c r="J1286" s="132"/>
      <c r="K1286" s="135"/>
      <c r="L1286" s="132"/>
      <c r="M1286" s="132"/>
      <c r="N1286" s="129"/>
      <c r="O1286" s="132"/>
    </row>
    <row r="1287" spans="1:15" ht="15.75" customHeight="1">
      <c r="A1287" s="125"/>
      <c r="B1287" s="125"/>
      <c r="C1287" s="125"/>
      <c r="D1287" s="126"/>
      <c r="E1287" s="128"/>
      <c r="F1287" s="135"/>
      <c r="G1287" s="129"/>
      <c r="H1287" s="129"/>
      <c r="I1287" s="132"/>
      <c r="J1287" s="132"/>
      <c r="K1287" s="135"/>
      <c r="L1287" s="132"/>
      <c r="M1287" s="132"/>
      <c r="N1287" s="129"/>
      <c r="O1287" s="132"/>
    </row>
    <row r="1288" spans="1:15" ht="15.75" customHeight="1">
      <c r="A1288" s="125"/>
      <c r="B1288" s="125"/>
      <c r="C1288" s="125"/>
      <c r="D1288" s="126"/>
      <c r="E1288" s="128"/>
      <c r="F1288" s="135"/>
      <c r="G1288" s="129"/>
      <c r="H1288" s="129"/>
      <c r="I1288" s="132"/>
      <c r="J1288" s="132"/>
      <c r="K1288" s="135"/>
      <c r="L1288" s="132"/>
      <c r="M1288" s="132"/>
      <c r="N1288" s="129"/>
      <c r="O1288" s="132"/>
    </row>
    <row r="1289" spans="1:15" ht="15.75" customHeight="1">
      <c r="A1289" s="125"/>
      <c r="B1289" s="125"/>
      <c r="C1289" s="125"/>
      <c r="D1289" s="126"/>
      <c r="E1289" s="128"/>
      <c r="F1289" s="135"/>
      <c r="G1289" s="129"/>
      <c r="H1289" s="129"/>
      <c r="I1289" s="132"/>
      <c r="J1289" s="132"/>
      <c r="K1289" s="135"/>
      <c r="L1289" s="132"/>
      <c r="M1289" s="132"/>
      <c r="N1289" s="129"/>
      <c r="O1289" s="132"/>
    </row>
    <row r="1290" spans="1:15" ht="15.75" customHeight="1">
      <c r="A1290" s="125"/>
      <c r="B1290" s="125"/>
      <c r="C1290" s="125"/>
      <c r="D1290" s="126"/>
      <c r="E1290" s="128"/>
      <c r="F1290" s="135"/>
      <c r="G1290" s="129"/>
      <c r="H1290" s="129"/>
      <c r="I1290" s="132"/>
      <c r="J1290" s="132"/>
      <c r="K1290" s="135"/>
      <c r="L1290" s="132"/>
      <c r="M1290" s="132"/>
      <c r="N1290" s="129"/>
      <c r="O1290" s="132"/>
    </row>
    <row r="1291" spans="1:15" ht="15.75" customHeight="1">
      <c r="A1291" s="125"/>
      <c r="B1291" s="125"/>
      <c r="C1291" s="125"/>
      <c r="D1291" s="126"/>
      <c r="E1291" s="128"/>
      <c r="F1291" s="135"/>
      <c r="G1291" s="129"/>
      <c r="H1291" s="129"/>
      <c r="I1291" s="132"/>
      <c r="J1291" s="132"/>
      <c r="K1291" s="135"/>
      <c r="L1291" s="132"/>
      <c r="M1291" s="132"/>
      <c r="N1291" s="129"/>
      <c r="O1291" s="132"/>
    </row>
    <row r="1292" spans="1:15" ht="15.75" customHeight="1">
      <c r="A1292" s="125"/>
      <c r="B1292" s="125"/>
      <c r="C1292" s="125"/>
      <c r="D1292" s="126"/>
      <c r="E1292" s="128"/>
      <c r="F1292" s="135"/>
      <c r="G1292" s="129"/>
      <c r="H1292" s="129"/>
      <c r="I1292" s="132"/>
      <c r="J1292" s="132"/>
      <c r="K1292" s="135"/>
      <c r="L1292" s="132"/>
      <c r="M1292" s="132"/>
      <c r="N1292" s="129"/>
      <c r="O1292" s="132"/>
    </row>
    <row r="1293" spans="1:15" ht="15.75" customHeight="1">
      <c r="A1293" s="125"/>
      <c r="B1293" s="125"/>
      <c r="C1293" s="125"/>
      <c r="D1293" s="126"/>
      <c r="E1293" s="128"/>
      <c r="F1293" s="135"/>
      <c r="G1293" s="129"/>
      <c r="H1293" s="129"/>
      <c r="I1293" s="132"/>
      <c r="J1293" s="132"/>
      <c r="K1293" s="135"/>
      <c r="L1293" s="132"/>
      <c r="M1293" s="132"/>
      <c r="N1293" s="129"/>
      <c r="O1293" s="132"/>
    </row>
    <row r="1294" spans="1:15" ht="15.75" customHeight="1">
      <c r="A1294" s="125"/>
      <c r="B1294" s="125"/>
      <c r="C1294" s="125"/>
      <c r="D1294" s="126"/>
      <c r="E1294" s="128"/>
      <c r="F1294" s="135"/>
      <c r="G1294" s="129"/>
      <c r="H1294" s="129"/>
      <c r="I1294" s="132"/>
      <c r="J1294" s="132"/>
      <c r="K1294" s="135"/>
      <c r="L1294" s="132"/>
      <c r="M1294" s="132"/>
      <c r="N1294" s="129"/>
      <c r="O1294" s="132"/>
    </row>
    <row r="1295" spans="1:15" ht="15.75" customHeight="1">
      <c r="A1295" s="125"/>
      <c r="B1295" s="125"/>
      <c r="C1295" s="125"/>
      <c r="D1295" s="126"/>
      <c r="E1295" s="128"/>
      <c r="F1295" s="135"/>
      <c r="G1295" s="129"/>
      <c r="H1295" s="129"/>
      <c r="I1295" s="132"/>
      <c r="J1295" s="132"/>
      <c r="K1295" s="135"/>
      <c r="L1295" s="132"/>
      <c r="M1295" s="132"/>
      <c r="N1295" s="129"/>
      <c r="O1295" s="132"/>
    </row>
    <row r="1296" spans="1:15" ht="15.75" customHeight="1">
      <c r="A1296" s="125"/>
      <c r="B1296" s="125"/>
      <c r="C1296" s="125"/>
      <c r="D1296" s="126"/>
      <c r="E1296" s="128"/>
      <c r="F1296" s="135"/>
      <c r="G1296" s="129"/>
      <c r="H1296" s="129"/>
      <c r="I1296" s="132"/>
      <c r="J1296" s="132"/>
      <c r="K1296" s="135"/>
      <c r="L1296" s="132"/>
      <c r="M1296" s="132"/>
      <c r="N1296" s="129"/>
      <c r="O1296" s="132"/>
    </row>
    <row r="1297" spans="1:15" ht="15.75" customHeight="1">
      <c r="A1297" s="125"/>
      <c r="B1297" s="125"/>
      <c r="C1297" s="125"/>
      <c r="D1297" s="126"/>
      <c r="E1297" s="128"/>
      <c r="F1297" s="135"/>
      <c r="G1297" s="129"/>
      <c r="H1297" s="129"/>
      <c r="I1297" s="132"/>
      <c r="J1297" s="132"/>
      <c r="K1297" s="135"/>
      <c r="L1297" s="132"/>
      <c r="M1297" s="132"/>
      <c r="N1297" s="129"/>
      <c r="O1297" s="132"/>
    </row>
    <row r="1298" spans="1:15" ht="15.75" customHeight="1">
      <c r="A1298" s="125"/>
      <c r="B1298" s="125"/>
      <c r="C1298" s="125"/>
      <c r="D1298" s="126"/>
      <c r="E1298" s="128"/>
      <c r="F1298" s="135"/>
      <c r="G1298" s="129"/>
      <c r="H1298" s="129"/>
      <c r="I1298" s="132"/>
      <c r="J1298" s="132"/>
      <c r="K1298" s="135"/>
      <c r="L1298" s="132"/>
      <c r="M1298" s="132"/>
      <c r="N1298" s="129"/>
      <c r="O1298" s="132"/>
    </row>
    <row r="1299" spans="1:15" ht="15.75" customHeight="1">
      <c r="A1299" s="125"/>
      <c r="B1299" s="125"/>
      <c r="C1299" s="125"/>
      <c r="D1299" s="126"/>
      <c r="E1299" s="128"/>
      <c r="F1299" s="135"/>
      <c r="G1299" s="129"/>
      <c r="H1299" s="129"/>
      <c r="I1299" s="132"/>
      <c r="J1299" s="132"/>
      <c r="K1299" s="135"/>
      <c r="L1299" s="132"/>
      <c r="M1299" s="132"/>
      <c r="N1299" s="129"/>
      <c r="O1299" s="132"/>
    </row>
    <row r="1300" spans="1:15" ht="15.75" customHeight="1">
      <c r="A1300" s="125"/>
      <c r="B1300" s="125"/>
      <c r="C1300" s="125"/>
      <c r="D1300" s="126"/>
      <c r="E1300" s="128"/>
      <c r="F1300" s="135"/>
      <c r="G1300" s="129"/>
      <c r="H1300" s="129"/>
      <c r="I1300" s="132"/>
      <c r="J1300" s="132"/>
      <c r="K1300" s="135"/>
      <c r="L1300" s="132"/>
      <c r="M1300" s="132"/>
      <c r="N1300" s="129"/>
      <c r="O1300" s="132"/>
    </row>
    <row r="1301" spans="1:15" ht="15.75" customHeight="1">
      <c r="A1301" s="125"/>
      <c r="B1301" s="125"/>
      <c r="C1301" s="125"/>
      <c r="D1301" s="126"/>
      <c r="E1301" s="128"/>
      <c r="F1301" s="135"/>
      <c r="G1301" s="129"/>
      <c r="H1301" s="129"/>
      <c r="I1301" s="132"/>
      <c r="J1301" s="132"/>
      <c r="K1301" s="135"/>
      <c r="L1301" s="132"/>
      <c r="M1301" s="132"/>
      <c r="N1301" s="129"/>
      <c r="O1301" s="132"/>
    </row>
    <row r="1302" spans="1:15" ht="15.75" customHeight="1">
      <c r="A1302" s="125"/>
      <c r="B1302" s="125"/>
      <c r="C1302" s="125"/>
      <c r="D1302" s="126"/>
      <c r="E1302" s="128"/>
      <c r="F1302" s="135"/>
      <c r="G1302" s="129"/>
      <c r="H1302" s="129"/>
      <c r="I1302" s="132"/>
      <c r="J1302" s="132"/>
      <c r="K1302" s="135"/>
      <c r="L1302" s="132"/>
      <c r="M1302" s="132"/>
      <c r="N1302" s="129"/>
      <c r="O1302" s="132"/>
    </row>
    <row r="1303" spans="1:15" ht="15.75" customHeight="1">
      <c r="A1303" s="125"/>
      <c r="B1303" s="125"/>
      <c r="C1303" s="125"/>
      <c r="D1303" s="126"/>
      <c r="E1303" s="128"/>
      <c r="F1303" s="135"/>
      <c r="G1303" s="129"/>
      <c r="H1303" s="129"/>
      <c r="I1303" s="132"/>
      <c r="J1303" s="132"/>
      <c r="K1303" s="135"/>
      <c r="L1303" s="132"/>
      <c r="M1303" s="132"/>
      <c r="N1303" s="129"/>
      <c r="O1303" s="132"/>
    </row>
    <row r="1304" spans="1:15" ht="15.75" customHeight="1">
      <c r="A1304" s="125"/>
      <c r="B1304" s="125"/>
      <c r="C1304" s="125"/>
      <c r="D1304" s="126"/>
      <c r="E1304" s="128"/>
      <c r="F1304" s="135"/>
      <c r="G1304" s="129"/>
      <c r="H1304" s="129"/>
      <c r="I1304" s="132"/>
      <c r="J1304" s="132"/>
      <c r="K1304" s="135"/>
      <c r="L1304" s="132"/>
      <c r="M1304" s="132"/>
      <c r="N1304" s="129"/>
      <c r="O1304" s="132"/>
    </row>
    <row r="1305" spans="1:15" ht="15.75" customHeight="1">
      <c r="A1305" s="125"/>
      <c r="B1305" s="125"/>
      <c r="C1305" s="125"/>
      <c r="D1305" s="126"/>
      <c r="E1305" s="128"/>
      <c r="F1305" s="135"/>
      <c r="G1305" s="129"/>
      <c r="H1305" s="129"/>
      <c r="I1305" s="132"/>
      <c r="J1305" s="132"/>
      <c r="K1305" s="135"/>
      <c r="L1305" s="132"/>
      <c r="M1305" s="132"/>
      <c r="N1305" s="129"/>
      <c r="O1305" s="132"/>
    </row>
    <row r="1306" spans="1:15" ht="15.75" customHeight="1">
      <c r="A1306" s="125"/>
      <c r="B1306" s="125"/>
      <c r="C1306" s="125"/>
      <c r="D1306" s="126"/>
      <c r="E1306" s="128"/>
      <c r="F1306" s="135"/>
      <c r="G1306" s="129"/>
      <c r="H1306" s="129"/>
      <c r="I1306" s="132"/>
      <c r="J1306" s="132"/>
      <c r="K1306" s="135"/>
      <c r="L1306" s="132"/>
      <c r="M1306" s="132"/>
      <c r="N1306" s="129"/>
      <c r="O1306" s="132"/>
    </row>
    <row r="1307" spans="1:15" ht="15.75" customHeight="1">
      <c r="A1307" s="125"/>
      <c r="B1307" s="125"/>
      <c r="C1307" s="125"/>
      <c r="D1307" s="126"/>
      <c r="E1307" s="128"/>
      <c r="F1307" s="135"/>
      <c r="G1307" s="129"/>
      <c r="H1307" s="129"/>
      <c r="I1307" s="132"/>
      <c r="J1307" s="132"/>
      <c r="K1307" s="135"/>
      <c r="L1307" s="132"/>
      <c r="M1307" s="132"/>
      <c r="N1307" s="129"/>
      <c r="O1307" s="132"/>
    </row>
    <row r="1308" spans="1:15" ht="15.75" customHeight="1">
      <c r="A1308" s="125"/>
      <c r="B1308" s="125"/>
      <c r="C1308" s="125"/>
      <c r="D1308" s="126"/>
      <c r="E1308" s="128"/>
      <c r="F1308" s="135"/>
      <c r="G1308" s="129"/>
      <c r="H1308" s="129"/>
      <c r="I1308" s="132"/>
      <c r="J1308" s="132"/>
      <c r="K1308" s="135"/>
      <c r="L1308" s="132"/>
      <c r="M1308" s="132"/>
      <c r="N1308" s="129"/>
      <c r="O1308" s="132"/>
    </row>
    <row r="1309" spans="1:15" ht="15.75" customHeight="1">
      <c r="A1309" s="125"/>
      <c r="B1309" s="125"/>
      <c r="C1309" s="125"/>
      <c r="D1309" s="126"/>
      <c r="E1309" s="128"/>
      <c r="F1309" s="135"/>
      <c r="G1309" s="129"/>
      <c r="H1309" s="129"/>
      <c r="I1309" s="132"/>
      <c r="J1309" s="132"/>
      <c r="K1309" s="135"/>
      <c r="L1309" s="132"/>
      <c r="M1309" s="132"/>
      <c r="N1309" s="129"/>
      <c r="O1309" s="132"/>
    </row>
    <row r="1310" spans="1:15" ht="15.75" customHeight="1">
      <c r="A1310" s="125"/>
      <c r="B1310" s="125"/>
      <c r="C1310" s="125"/>
      <c r="D1310" s="126"/>
      <c r="E1310" s="128"/>
      <c r="F1310" s="135"/>
      <c r="G1310" s="129"/>
      <c r="H1310" s="129"/>
      <c r="I1310" s="132"/>
      <c r="J1310" s="132"/>
      <c r="K1310" s="135"/>
      <c r="L1310" s="132"/>
      <c r="M1310" s="132"/>
      <c r="N1310" s="129"/>
      <c r="O1310" s="132"/>
    </row>
    <row r="1311" spans="1:15" ht="15.75" customHeight="1">
      <c r="A1311" s="125"/>
      <c r="B1311" s="125"/>
      <c r="C1311" s="125"/>
      <c r="D1311" s="126"/>
      <c r="E1311" s="128"/>
      <c r="F1311" s="135"/>
      <c r="G1311" s="129"/>
      <c r="H1311" s="129"/>
      <c r="I1311" s="132"/>
      <c r="J1311" s="132"/>
      <c r="K1311" s="135"/>
      <c r="L1311" s="132"/>
      <c r="M1311" s="132"/>
      <c r="N1311" s="129"/>
      <c r="O1311" s="132"/>
    </row>
    <row r="1312" spans="1:15" ht="15.75" customHeight="1">
      <c r="A1312" s="125"/>
      <c r="B1312" s="125"/>
      <c r="C1312" s="125"/>
      <c r="D1312" s="126"/>
      <c r="E1312" s="128"/>
      <c r="F1312" s="135"/>
      <c r="G1312" s="129"/>
      <c r="H1312" s="129"/>
      <c r="I1312" s="132"/>
      <c r="J1312" s="132"/>
      <c r="K1312" s="135"/>
      <c r="L1312" s="132"/>
      <c r="M1312" s="132"/>
      <c r="N1312" s="129"/>
      <c r="O1312" s="132"/>
    </row>
    <row r="1313" spans="1:15" ht="15.75" customHeight="1">
      <c r="A1313" s="125"/>
      <c r="B1313" s="125"/>
      <c r="C1313" s="125"/>
      <c r="D1313" s="126"/>
      <c r="E1313" s="128"/>
      <c r="F1313" s="135"/>
      <c r="G1313" s="129"/>
      <c r="H1313" s="129"/>
      <c r="I1313" s="132"/>
      <c r="J1313" s="132"/>
      <c r="K1313" s="135"/>
      <c r="L1313" s="132"/>
      <c r="M1313" s="132"/>
      <c r="N1313" s="129"/>
      <c r="O1313" s="132"/>
    </row>
    <row r="1314" spans="1:15" ht="15.75" customHeight="1">
      <c r="A1314" s="125"/>
      <c r="B1314" s="125"/>
      <c r="C1314" s="125"/>
      <c r="D1314" s="126"/>
      <c r="E1314" s="128"/>
      <c r="F1314" s="135"/>
      <c r="G1314" s="129"/>
      <c r="H1314" s="129"/>
      <c r="I1314" s="132"/>
      <c r="J1314" s="132"/>
      <c r="K1314" s="135"/>
      <c r="L1314" s="132"/>
      <c r="M1314" s="132"/>
      <c r="N1314" s="129"/>
      <c r="O1314" s="132"/>
    </row>
    <row r="1315" spans="1:15" ht="15.75" customHeight="1">
      <c r="A1315" s="125"/>
      <c r="B1315" s="125"/>
      <c r="C1315" s="125"/>
      <c r="D1315" s="126"/>
      <c r="E1315" s="128"/>
      <c r="F1315" s="135"/>
      <c r="G1315" s="129"/>
      <c r="H1315" s="129"/>
      <c r="I1315" s="132"/>
      <c r="J1315" s="132"/>
      <c r="K1315" s="135"/>
      <c r="L1315" s="132"/>
      <c r="M1315" s="132"/>
      <c r="N1315" s="129"/>
      <c r="O1315" s="132"/>
    </row>
    <row r="1316" spans="1:15" ht="15.75" customHeight="1">
      <c r="A1316" s="125"/>
      <c r="B1316" s="125"/>
      <c r="C1316" s="125"/>
      <c r="D1316" s="126"/>
      <c r="E1316" s="128"/>
      <c r="F1316" s="135"/>
      <c r="G1316" s="129"/>
      <c r="H1316" s="129"/>
      <c r="I1316" s="132"/>
      <c r="J1316" s="132"/>
      <c r="K1316" s="135"/>
      <c r="L1316" s="132"/>
      <c r="M1316" s="132"/>
      <c r="N1316" s="129"/>
      <c r="O1316" s="132"/>
    </row>
    <row r="1317" spans="1:15" ht="15.75" customHeight="1">
      <c r="A1317" s="125"/>
      <c r="B1317" s="125"/>
      <c r="C1317" s="125"/>
      <c r="D1317" s="126"/>
      <c r="E1317" s="128"/>
      <c r="F1317" s="135"/>
      <c r="G1317" s="129"/>
      <c r="H1317" s="129"/>
      <c r="I1317" s="132"/>
      <c r="J1317" s="132"/>
      <c r="K1317" s="135"/>
      <c r="L1317" s="132"/>
      <c r="M1317" s="132"/>
      <c r="N1317" s="129"/>
      <c r="O1317" s="132"/>
    </row>
    <row r="1318" spans="1:15" ht="15.75" customHeight="1">
      <c r="A1318" s="125"/>
      <c r="B1318" s="125"/>
      <c r="C1318" s="125"/>
      <c r="D1318" s="126"/>
      <c r="E1318" s="128"/>
      <c r="F1318" s="135"/>
      <c r="G1318" s="129"/>
      <c r="H1318" s="129"/>
      <c r="I1318" s="132"/>
      <c r="J1318" s="132"/>
      <c r="K1318" s="135"/>
      <c r="L1318" s="132"/>
      <c r="M1318" s="132"/>
      <c r="N1318" s="129"/>
      <c r="O1318" s="132"/>
    </row>
    <row r="1319" spans="1:15" ht="15.75" customHeight="1">
      <c r="A1319" s="125"/>
      <c r="B1319" s="125"/>
      <c r="C1319" s="125"/>
      <c r="D1319" s="126"/>
      <c r="E1319" s="128"/>
      <c r="F1319" s="135"/>
      <c r="G1319" s="129"/>
      <c r="H1319" s="129"/>
      <c r="I1319" s="132"/>
      <c r="J1319" s="132"/>
      <c r="K1319" s="135"/>
      <c r="L1319" s="132"/>
      <c r="M1319" s="132"/>
      <c r="N1319" s="129"/>
      <c r="O1319" s="132"/>
    </row>
    <row r="1320" spans="1:15" ht="15.75" customHeight="1">
      <c r="A1320" s="125"/>
      <c r="B1320" s="125"/>
      <c r="C1320" s="125"/>
      <c r="D1320" s="126"/>
      <c r="E1320" s="128"/>
      <c r="F1320" s="135"/>
      <c r="G1320" s="129"/>
      <c r="H1320" s="129"/>
      <c r="I1320" s="132"/>
      <c r="J1320" s="132"/>
      <c r="K1320" s="135"/>
      <c r="L1320" s="132"/>
      <c r="M1320" s="132"/>
      <c r="N1320" s="129"/>
      <c r="O1320" s="132"/>
    </row>
    <row r="1321" spans="1:15" ht="15.75" customHeight="1">
      <c r="A1321" s="125"/>
      <c r="B1321" s="125"/>
      <c r="C1321" s="125"/>
      <c r="D1321" s="126"/>
      <c r="E1321" s="128"/>
      <c r="F1321" s="135"/>
      <c r="G1321" s="129"/>
      <c r="H1321" s="129"/>
      <c r="I1321" s="132"/>
      <c r="J1321" s="132"/>
      <c r="K1321" s="135"/>
      <c r="L1321" s="132"/>
      <c r="M1321" s="132"/>
      <c r="N1321" s="129"/>
      <c r="O1321" s="132"/>
    </row>
    <row r="1322" spans="1:15" ht="15.75" customHeight="1">
      <c r="A1322" s="125"/>
      <c r="B1322" s="125"/>
      <c r="C1322" s="125"/>
      <c r="D1322" s="126"/>
      <c r="E1322" s="128"/>
      <c r="F1322" s="135"/>
      <c r="G1322" s="129"/>
      <c r="H1322" s="129"/>
      <c r="I1322" s="132"/>
      <c r="J1322" s="132"/>
      <c r="K1322" s="135"/>
      <c r="L1322" s="132"/>
      <c r="M1322" s="132"/>
      <c r="N1322" s="129"/>
      <c r="O1322" s="132"/>
    </row>
    <row r="1323" spans="1:15" ht="15.75" customHeight="1">
      <c r="A1323" s="125"/>
      <c r="B1323" s="125"/>
      <c r="C1323" s="125"/>
      <c r="D1323" s="126"/>
      <c r="E1323" s="128"/>
      <c r="F1323" s="135"/>
      <c r="G1323" s="129"/>
      <c r="H1323" s="129"/>
      <c r="I1323" s="132"/>
      <c r="J1323" s="132"/>
      <c r="K1323" s="135"/>
      <c r="L1323" s="132"/>
      <c r="M1323" s="132"/>
      <c r="N1323" s="129"/>
      <c r="O1323" s="132"/>
    </row>
    <row r="1324" spans="1:15" ht="15.75" customHeight="1">
      <c r="A1324" s="125"/>
      <c r="B1324" s="125"/>
      <c r="C1324" s="125"/>
      <c r="D1324" s="126"/>
      <c r="E1324" s="128"/>
      <c r="F1324" s="135"/>
      <c r="G1324" s="129"/>
      <c r="H1324" s="129"/>
      <c r="I1324" s="132"/>
      <c r="J1324" s="132"/>
      <c r="K1324" s="135"/>
      <c r="L1324" s="132"/>
      <c r="M1324" s="132"/>
      <c r="N1324" s="129"/>
      <c r="O1324" s="132"/>
    </row>
    <row r="1325" spans="1:15" ht="15.75" customHeight="1">
      <c r="A1325" s="125"/>
      <c r="B1325" s="125"/>
      <c r="C1325" s="125"/>
      <c r="D1325" s="126"/>
      <c r="E1325" s="128"/>
      <c r="F1325" s="135"/>
      <c r="G1325" s="129"/>
      <c r="H1325" s="129"/>
      <c r="I1325" s="132"/>
      <c r="J1325" s="132"/>
      <c r="K1325" s="135"/>
      <c r="L1325" s="132"/>
      <c r="M1325" s="132"/>
      <c r="N1325" s="129"/>
      <c r="O1325" s="132"/>
    </row>
    <row r="1326" spans="1:15" ht="15.75" customHeight="1">
      <c r="A1326" s="125"/>
      <c r="B1326" s="125"/>
      <c r="C1326" s="125"/>
      <c r="D1326" s="126"/>
      <c r="E1326" s="128"/>
      <c r="F1326" s="135"/>
      <c r="G1326" s="129"/>
      <c r="H1326" s="129"/>
      <c r="I1326" s="132"/>
      <c r="J1326" s="132"/>
      <c r="K1326" s="135"/>
      <c r="L1326" s="132"/>
      <c r="M1326" s="132"/>
      <c r="N1326" s="129"/>
      <c r="O1326" s="132"/>
    </row>
    <row r="1327" spans="1:15" ht="15.75" customHeight="1">
      <c r="A1327" s="125"/>
      <c r="B1327" s="125"/>
      <c r="C1327" s="125"/>
      <c r="D1327" s="126"/>
      <c r="E1327" s="128"/>
      <c r="F1327" s="135"/>
      <c r="G1327" s="129"/>
      <c r="H1327" s="129"/>
      <c r="I1327" s="132"/>
      <c r="J1327" s="132"/>
      <c r="K1327" s="135"/>
      <c r="L1327" s="132"/>
      <c r="M1327" s="132"/>
      <c r="N1327" s="129"/>
      <c r="O1327" s="132"/>
    </row>
    <row r="1328" spans="1:15" ht="15.75" customHeight="1">
      <c r="A1328" s="125"/>
      <c r="B1328" s="125"/>
      <c r="C1328" s="125"/>
      <c r="D1328" s="126"/>
      <c r="E1328" s="128"/>
      <c r="F1328" s="135"/>
      <c r="G1328" s="129"/>
      <c r="H1328" s="129"/>
      <c r="I1328" s="132"/>
      <c r="J1328" s="132"/>
      <c r="K1328" s="135"/>
      <c r="L1328" s="132"/>
      <c r="M1328" s="132"/>
      <c r="N1328" s="129"/>
      <c r="O1328" s="132"/>
    </row>
    <row r="1329" spans="1:15" ht="15.75" customHeight="1">
      <c r="A1329" s="125"/>
      <c r="B1329" s="125"/>
      <c r="C1329" s="125"/>
      <c r="D1329" s="126"/>
      <c r="E1329" s="128"/>
      <c r="F1329" s="135"/>
      <c r="G1329" s="129"/>
      <c r="H1329" s="129"/>
      <c r="I1329" s="132"/>
      <c r="J1329" s="132"/>
      <c r="K1329" s="135"/>
      <c r="L1329" s="132"/>
      <c r="M1329" s="132"/>
      <c r="N1329" s="129"/>
      <c r="O1329" s="132"/>
    </row>
    <row r="1330" spans="1:15" ht="15.75" customHeight="1">
      <c r="A1330" s="125"/>
      <c r="B1330" s="125"/>
      <c r="C1330" s="125"/>
      <c r="D1330" s="126"/>
      <c r="E1330" s="128"/>
      <c r="F1330" s="135"/>
      <c r="G1330" s="129"/>
      <c r="H1330" s="129"/>
      <c r="I1330" s="132"/>
      <c r="J1330" s="132"/>
      <c r="K1330" s="135"/>
      <c r="L1330" s="132"/>
      <c r="M1330" s="132"/>
      <c r="N1330" s="129"/>
      <c r="O1330" s="132"/>
    </row>
    <row r="1331" spans="1:15" ht="15.75" customHeight="1">
      <c r="A1331" s="125"/>
      <c r="B1331" s="125"/>
      <c r="C1331" s="125"/>
      <c r="D1331" s="126"/>
      <c r="E1331" s="128"/>
      <c r="F1331" s="135"/>
      <c r="G1331" s="129"/>
      <c r="H1331" s="129"/>
      <c r="I1331" s="132"/>
      <c r="J1331" s="132"/>
      <c r="K1331" s="135"/>
      <c r="L1331" s="132"/>
      <c r="M1331" s="132"/>
      <c r="N1331" s="129"/>
      <c r="O1331" s="132"/>
    </row>
    <row r="1332" spans="1:15" ht="15.75" customHeight="1">
      <c r="A1332" s="125"/>
      <c r="B1332" s="125"/>
      <c r="C1332" s="125"/>
      <c r="D1332" s="126"/>
      <c r="E1332" s="128"/>
      <c r="F1332" s="135"/>
      <c r="G1332" s="129"/>
      <c r="H1332" s="129"/>
      <c r="I1332" s="132"/>
      <c r="J1332" s="132"/>
      <c r="K1332" s="135"/>
      <c r="L1332" s="132"/>
      <c r="M1332" s="132"/>
      <c r="N1332" s="129"/>
      <c r="O1332" s="132"/>
    </row>
    <row r="1333" spans="1:15" ht="15.75" customHeight="1">
      <c r="A1333" s="125"/>
      <c r="B1333" s="125"/>
      <c r="C1333" s="125"/>
      <c r="D1333" s="126"/>
      <c r="E1333" s="128"/>
      <c r="F1333" s="135"/>
      <c r="G1333" s="129"/>
      <c r="H1333" s="129"/>
      <c r="I1333" s="132"/>
      <c r="J1333" s="132"/>
      <c r="K1333" s="135"/>
      <c r="L1333" s="132"/>
      <c r="M1333" s="132"/>
      <c r="N1333" s="129"/>
      <c r="O1333" s="132"/>
    </row>
    <row r="1334" spans="1:15" ht="15.75" customHeight="1">
      <c r="A1334" s="125"/>
      <c r="B1334" s="125"/>
      <c r="C1334" s="125"/>
      <c r="D1334" s="126"/>
      <c r="E1334" s="128"/>
      <c r="F1334" s="135"/>
      <c r="G1334" s="129"/>
      <c r="H1334" s="129"/>
      <c r="I1334" s="132"/>
      <c r="J1334" s="132"/>
      <c r="K1334" s="135"/>
      <c r="L1334" s="132"/>
      <c r="M1334" s="132"/>
      <c r="N1334" s="129"/>
      <c r="O1334" s="132"/>
    </row>
    <row r="1335" spans="1:15" ht="15.75" customHeight="1">
      <c r="A1335" s="125"/>
      <c r="B1335" s="125"/>
      <c r="C1335" s="125"/>
      <c r="D1335" s="126"/>
      <c r="E1335" s="128"/>
      <c r="F1335" s="135"/>
      <c r="G1335" s="129"/>
      <c r="H1335" s="129"/>
      <c r="I1335" s="132"/>
      <c r="J1335" s="132"/>
      <c r="K1335" s="135"/>
      <c r="L1335" s="132"/>
      <c r="M1335" s="132"/>
      <c r="N1335" s="129"/>
      <c r="O1335" s="132"/>
    </row>
    <row r="1336" spans="1:15" ht="15.75" customHeight="1">
      <c r="A1336" s="125"/>
      <c r="B1336" s="125"/>
      <c r="C1336" s="125"/>
      <c r="D1336" s="126"/>
      <c r="E1336" s="128"/>
      <c r="F1336" s="135"/>
      <c r="G1336" s="129"/>
      <c r="H1336" s="129"/>
      <c r="I1336" s="132"/>
      <c r="J1336" s="132"/>
      <c r="K1336" s="135"/>
      <c r="L1336" s="132"/>
      <c r="M1336" s="132"/>
      <c r="N1336" s="129"/>
      <c r="O1336" s="132"/>
    </row>
    <row r="1337" spans="1:15" ht="15.75" customHeight="1">
      <c r="A1337" s="125"/>
      <c r="B1337" s="125"/>
      <c r="C1337" s="125"/>
      <c r="D1337" s="126"/>
      <c r="E1337" s="128"/>
      <c r="F1337" s="135"/>
      <c r="G1337" s="129"/>
      <c r="H1337" s="129"/>
      <c r="I1337" s="132"/>
      <c r="J1337" s="132"/>
      <c r="K1337" s="135"/>
      <c r="L1337" s="132"/>
      <c r="M1337" s="132"/>
      <c r="N1337" s="129"/>
      <c r="O1337" s="132"/>
    </row>
    <row r="1338" spans="1:15" ht="15.75" customHeight="1">
      <c r="A1338" s="125"/>
      <c r="B1338" s="125"/>
      <c r="C1338" s="125"/>
      <c r="D1338" s="126"/>
      <c r="E1338" s="128"/>
      <c r="F1338" s="135"/>
      <c r="G1338" s="129"/>
      <c r="H1338" s="129"/>
      <c r="I1338" s="132"/>
      <c r="J1338" s="132"/>
      <c r="K1338" s="135"/>
      <c r="L1338" s="132"/>
      <c r="M1338" s="132"/>
      <c r="N1338" s="129"/>
      <c r="O1338" s="132"/>
    </row>
    <row r="1339" spans="1:15" ht="15.75" customHeight="1">
      <c r="A1339" s="125"/>
      <c r="B1339" s="125"/>
      <c r="C1339" s="125"/>
      <c r="D1339" s="126"/>
      <c r="E1339" s="128"/>
      <c r="F1339" s="135"/>
      <c r="G1339" s="129"/>
      <c r="H1339" s="129"/>
      <c r="I1339" s="132"/>
      <c r="J1339" s="132"/>
      <c r="K1339" s="135"/>
      <c r="L1339" s="132"/>
      <c r="M1339" s="132"/>
      <c r="N1339" s="129"/>
      <c r="O1339" s="132"/>
    </row>
    <row r="1340" spans="1:15" ht="15.75" customHeight="1">
      <c r="A1340" s="125"/>
      <c r="B1340" s="125"/>
      <c r="C1340" s="125"/>
      <c r="D1340" s="126"/>
      <c r="E1340" s="128"/>
      <c r="F1340" s="135"/>
      <c r="G1340" s="129"/>
      <c r="H1340" s="129"/>
      <c r="I1340" s="132"/>
      <c r="J1340" s="132"/>
      <c r="K1340" s="135"/>
      <c r="L1340" s="132"/>
      <c r="M1340" s="132"/>
      <c r="N1340" s="129"/>
      <c r="O1340" s="132"/>
    </row>
    <row r="1341" spans="1:15" ht="15.75" customHeight="1">
      <c r="A1341" s="125"/>
      <c r="B1341" s="125"/>
      <c r="C1341" s="125"/>
      <c r="D1341" s="126"/>
      <c r="E1341" s="128"/>
      <c r="F1341" s="135"/>
      <c r="G1341" s="129"/>
      <c r="H1341" s="129"/>
      <c r="I1341" s="132"/>
      <c r="J1341" s="132"/>
      <c r="K1341" s="135"/>
      <c r="L1341" s="132"/>
      <c r="M1341" s="132"/>
      <c r="N1341" s="129"/>
      <c r="O1341" s="132"/>
    </row>
    <row r="1342" spans="1:15" ht="15.75" customHeight="1">
      <c r="A1342" s="125"/>
      <c r="B1342" s="125"/>
      <c r="C1342" s="125"/>
      <c r="D1342" s="126"/>
      <c r="E1342" s="128"/>
      <c r="F1342" s="135"/>
      <c r="G1342" s="129"/>
      <c r="H1342" s="129"/>
      <c r="I1342" s="132"/>
      <c r="J1342" s="132"/>
      <c r="K1342" s="135"/>
      <c r="L1342" s="132"/>
      <c r="M1342" s="132"/>
      <c r="N1342" s="129"/>
      <c r="O1342" s="132"/>
    </row>
    <row r="1343" spans="1:15" ht="15.75" customHeight="1">
      <c r="A1343" s="125"/>
      <c r="B1343" s="125"/>
      <c r="C1343" s="125"/>
      <c r="D1343" s="126"/>
      <c r="E1343" s="128"/>
      <c r="F1343" s="135"/>
      <c r="G1343" s="129"/>
      <c r="H1343" s="129"/>
      <c r="I1343" s="132"/>
      <c r="J1343" s="132"/>
      <c r="K1343" s="135"/>
      <c r="L1343" s="132"/>
      <c r="M1343" s="132"/>
      <c r="N1343" s="129"/>
      <c r="O1343" s="132"/>
    </row>
    <row r="1344" spans="1:15" ht="15.75" customHeight="1">
      <c r="A1344" s="125"/>
      <c r="B1344" s="125"/>
      <c r="C1344" s="125"/>
      <c r="D1344" s="126"/>
      <c r="E1344" s="128"/>
      <c r="F1344" s="135"/>
      <c r="G1344" s="129"/>
      <c r="H1344" s="129"/>
      <c r="I1344" s="132"/>
      <c r="J1344" s="132"/>
      <c r="K1344" s="135"/>
      <c r="L1344" s="132"/>
      <c r="M1344" s="132"/>
      <c r="N1344" s="129"/>
      <c r="O1344" s="132"/>
    </row>
    <row r="1345" spans="1:15" ht="15.75" customHeight="1">
      <c r="A1345" s="125"/>
      <c r="B1345" s="125"/>
      <c r="C1345" s="125"/>
      <c r="D1345" s="126"/>
      <c r="E1345" s="128"/>
      <c r="F1345" s="135"/>
      <c r="G1345" s="129"/>
      <c r="H1345" s="129"/>
      <c r="I1345" s="132"/>
      <c r="J1345" s="132"/>
      <c r="K1345" s="135"/>
      <c r="L1345" s="132"/>
      <c r="M1345" s="132"/>
      <c r="N1345" s="129"/>
      <c r="O1345" s="132"/>
    </row>
    <row r="1346" spans="1:15" ht="15.75" customHeight="1">
      <c r="A1346" s="125"/>
      <c r="B1346" s="125"/>
      <c r="C1346" s="125"/>
      <c r="D1346" s="126"/>
      <c r="E1346" s="128"/>
      <c r="F1346" s="135"/>
      <c r="G1346" s="129"/>
      <c r="H1346" s="129"/>
      <c r="I1346" s="132"/>
      <c r="J1346" s="132"/>
      <c r="K1346" s="135"/>
      <c r="L1346" s="132"/>
      <c r="M1346" s="132"/>
      <c r="N1346" s="129"/>
      <c r="O1346" s="132"/>
    </row>
    <row r="1347" spans="1:15" ht="15.75" customHeight="1">
      <c r="A1347" s="125"/>
      <c r="B1347" s="125"/>
      <c r="C1347" s="125"/>
      <c r="D1347" s="126"/>
      <c r="E1347" s="128"/>
      <c r="F1347" s="135"/>
      <c r="G1347" s="129"/>
      <c r="H1347" s="129"/>
      <c r="I1347" s="132"/>
      <c r="J1347" s="132"/>
      <c r="K1347" s="135"/>
      <c r="L1347" s="132"/>
      <c r="M1347" s="132"/>
      <c r="N1347" s="129"/>
      <c r="O1347" s="132"/>
    </row>
    <row r="1348" spans="1:15" ht="15.75" customHeight="1">
      <c r="A1348" s="125"/>
      <c r="B1348" s="125"/>
      <c r="C1348" s="125"/>
      <c r="D1348" s="126"/>
      <c r="E1348" s="128"/>
      <c r="F1348" s="135"/>
      <c r="G1348" s="129"/>
      <c r="H1348" s="129"/>
      <c r="I1348" s="132"/>
      <c r="J1348" s="132"/>
      <c r="K1348" s="135"/>
      <c r="L1348" s="132"/>
      <c r="M1348" s="132"/>
      <c r="N1348" s="129"/>
      <c r="O1348" s="132"/>
    </row>
    <row r="1349" spans="1:15" ht="15.75" customHeight="1">
      <c r="A1349" s="125"/>
      <c r="B1349" s="125"/>
      <c r="C1349" s="125"/>
      <c r="D1349" s="126"/>
      <c r="E1349" s="128"/>
      <c r="F1349" s="135"/>
      <c r="G1349" s="129"/>
      <c r="H1349" s="129"/>
      <c r="I1349" s="132"/>
      <c r="J1349" s="132"/>
      <c r="K1349" s="135"/>
      <c r="L1349" s="132"/>
      <c r="M1349" s="132"/>
      <c r="N1349" s="129"/>
      <c r="O1349" s="132"/>
    </row>
    <row r="1350" spans="1:15" ht="15.75" customHeight="1">
      <c r="A1350" s="125"/>
      <c r="B1350" s="125"/>
      <c r="C1350" s="125"/>
      <c r="D1350" s="126"/>
      <c r="E1350" s="128"/>
      <c r="F1350" s="135"/>
      <c r="G1350" s="129"/>
      <c r="H1350" s="129"/>
      <c r="I1350" s="132"/>
      <c r="J1350" s="132"/>
      <c r="K1350" s="135"/>
      <c r="L1350" s="132"/>
      <c r="M1350" s="132"/>
      <c r="N1350" s="129"/>
      <c r="O1350" s="132"/>
    </row>
    <row r="1351" spans="1:15" ht="15.75" customHeight="1">
      <c r="A1351" s="125"/>
      <c r="B1351" s="125"/>
      <c r="C1351" s="125"/>
      <c r="D1351" s="126"/>
      <c r="E1351" s="128"/>
      <c r="F1351" s="135"/>
      <c r="G1351" s="129"/>
      <c r="H1351" s="129"/>
      <c r="I1351" s="132"/>
      <c r="J1351" s="132"/>
      <c r="K1351" s="135"/>
      <c r="L1351" s="132"/>
      <c r="M1351" s="132"/>
      <c r="N1351" s="129"/>
      <c r="O1351" s="132"/>
    </row>
    <row r="1352" spans="1:15" ht="15.75" customHeight="1">
      <c r="A1352" s="125"/>
      <c r="B1352" s="125"/>
      <c r="C1352" s="125"/>
      <c r="D1352" s="126"/>
      <c r="E1352" s="128"/>
      <c r="F1352" s="135"/>
      <c r="G1352" s="129"/>
      <c r="H1352" s="129"/>
      <c r="I1352" s="132"/>
      <c r="J1352" s="132"/>
      <c r="K1352" s="135"/>
      <c r="L1352" s="132"/>
      <c r="M1352" s="132"/>
      <c r="N1352" s="129"/>
      <c r="O1352" s="132"/>
    </row>
    <row r="1353" spans="1:15" ht="15.75" customHeight="1">
      <c r="A1353" s="125"/>
      <c r="B1353" s="125"/>
      <c r="C1353" s="125"/>
      <c r="D1353" s="126"/>
      <c r="E1353" s="128"/>
      <c r="F1353" s="135"/>
      <c r="G1353" s="129"/>
      <c r="H1353" s="129"/>
      <c r="I1353" s="132"/>
      <c r="J1353" s="132"/>
      <c r="K1353" s="135"/>
      <c r="L1353" s="132"/>
      <c r="M1353" s="132"/>
      <c r="N1353" s="129"/>
      <c r="O1353" s="132"/>
    </row>
    <row r="1354" spans="1:15" ht="15.75" customHeight="1">
      <c r="A1354" s="125"/>
      <c r="B1354" s="125"/>
      <c r="C1354" s="125"/>
      <c r="D1354" s="126"/>
      <c r="E1354" s="128"/>
      <c r="F1354" s="135"/>
      <c r="G1354" s="129"/>
      <c r="H1354" s="129"/>
      <c r="I1354" s="132"/>
      <c r="J1354" s="132"/>
      <c r="K1354" s="135"/>
      <c r="L1354" s="132"/>
      <c r="M1354" s="132"/>
      <c r="N1354" s="129"/>
      <c r="O1354" s="132"/>
    </row>
    <row r="1355" spans="1:15" ht="15.75" customHeight="1">
      <c r="A1355" s="125"/>
      <c r="B1355" s="125"/>
      <c r="C1355" s="125"/>
      <c r="D1355" s="126"/>
      <c r="E1355" s="128"/>
      <c r="F1355" s="135"/>
      <c r="G1355" s="129"/>
      <c r="H1355" s="129"/>
      <c r="I1355" s="132"/>
      <c r="J1355" s="132"/>
      <c r="K1355" s="135"/>
      <c r="L1355" s="132"/>
      <c r="M1355" s="132"/>
      <c r="N1355" s="129"/>
      <c r="O1355" s="132"/>
    </row>
    <row r="1356" spans="1:15" ht="15.75" customHeight="1">
      <c r="A1356" s="125"/>
      <c r="B1356" s="125"/>
      <c r="C1356" s="125"/>
      <c r="D1356" s="126"/>
      <c r="E1356" s="128"/>
      <c r="F1356" s="135"/>
      <c r="G1356" s="129"/>
      <c r="H1356" s="129"/>
      <c r="I1356" s="132"/>
      <c r="J1356" s="132"/>
      <c r="K1356" s="135"/>
      <c r="L1356" s="132"/>
      <c r="M1356" s="132"/>
      <c r="N1356" s="129"/>
      <c r="O1356" s="132"/>
    </row>
    <row r="1357" spans="1:15" ht="15.75" customHeight="1">
      <c r="A1357" s="125"/>
      <c r="B1357" s="125"/>
      <c r="C1357" s="125"/>
      <c r="D1357" s="126"/>
      <c r="E1357" s="128"/>
      <c r="F1357" s="135"/>
      <c r="G1357" s="129"/>
      <c r="H1357" s="129"/>
      <c r="I1357" s="132"/>
      <c r="J1357" s="132"/>
      <c r="K1357" s="135"/>
      <c r="L1357" s="132"/>
      <c r="M1357" s="132"/>
      <c r="N1357" s="129"/>
      <c r="O1357" s="132"/>
    </row>
    <row r="1358" spans="1:15" ht="15.75" customHeight="1">
      <c r="A1358" s="125"/>
      <c r="B1358" s="125"/>
      <c r="C1358" s="125"/>
      <c r="D1358" s="126"/>
      <c r="E1358" s="128"/>
      <c r="F1358" s="135"/>
      <c r="G1358" s="129"/>
      <c r="H1358" s="129"/>
      <c r="I1358" s="132"/>
      <c r="J1358" s="132"/>
      <c r="K1358" s="135"/>
      <c r="L1358" s="132"/>
      <c r="M1358" s="132"/>
      <c r="N1358" s="129"/>
      <c r="O1358" s="132"/>
    </row>
    <row r="1359" spans="1:15" ht="15.75" customHeight="1">
      <c r="A1359" s="125"/>
      <c r="B1359" s="125"/>
      <c r="C1359" s="125"/>
      <c r="D1359" s="126"/>
      <c r="E1359" s="128"/>
      <c r="F1359" s="135"/>
      <c r="G1359" s="129"/>
      <c r="H1359" s="129"/>
      <c r="I1359" s="132"/>
      <c r="J1359" s="132"/>
      <c r="K1359" s="135"/>
      <c r="L1359" s="132"/>
      <c r="M1359" s="132"/>
      <c r="N1359" s="129"/>
      <c r="O1359" s="132"/>
    </row>
    <row r="1360" spans="1:15" ht="15.75" customHeight="1">
      <c r="A1360" s="125"/>
      <c r="B1360" s="125"/>
      <c r="C1360" s="125"/>
      <c r="D1360" s="126"/>
      <c r="E1360" s="128"/>
      <c r="F1360" s="135"/>
      <c r="G1360" s="129"/>
      <c r="H1360" s="129"/>
      <c r="I1360" s="132"/>
      <c r="J1360" s="132"/>
      <c r="K1360" s="135"/>
      <c r="L1360" s="132"/>
      <c r="M1360" s="132"/>
      <c r="N1360" s="129"/>
      <c r="O1360" s="132"/>
    </row>
    <row r="1361" spans="1:15" ht="15.75" customHeight="1">
      <c r="A1361" s="125"/>
      <c r="B1361" s="125"/>
      <c r="C1361" s="125"/>
      <c r="D1361" s="126"/>
      <c r="E1361" s="128"/>
      <c r="F1361" s="135"/>
      <c r="G1361" s="129"/>
      <c r="H1361" s="129"/>
      <c r="I1361" s="132"/>
      <c r="J1361" s="132"/>
      <c r="K1361" s="135"/>
      <c r="L1361" s="132"/>
      <c r="M1361" s="132"/>
      <c r="N1361" s="129"/>
      <c r="O1361" s="132"/>
    </row>
    <row r="1362" spans="1:15" ht="15.75" customHeight="1">
      <c r="A1362" s="125"/>
      <c r="B1362" s="125"/>
      <c r="C1362" s="125"/>
      <c r="D1362" s="126"/>
      <c r="E1362" s="128"/>
      <c r="F1362" s="135"/>
      <c r="G1362" s="129"/>
      <c r="H1362" s="129"/>
      <c r="I1362" s="132"/>
      <c r="J1362" s="132"/>
      <c r="K1362" s="135"/>
      <c r="L1362" s="132"/>
      <c r="M1362" s="132"/>
      <c r="N1362" s="129"/>
      <c r="O1362" s="132"/>
    </row>
    <row r="1363" spans="1:15" ht="15.75" customHeight="1">
      <c r="A1363" s="125"/>
      <c r="B1363" s="125"/>
      <c r="C1363" s="125"/>
      <c r="D1363" s="126"/>
      <c r="E1363" s="128"/>
      <c r="F1363" s="135"/>
      <c r="G1363" s="129"/>
      <c r="H1363" s="129"/>
      <c r="I1363" s="132"/>
      <c r="J1363" s="132"/>
      <c r="K1363" s="135"/>
      <c r="L1363" s="132"/>
      <c r="M1363" s="132"/>
      <c r="N1363" s="129"/>
      <c r="O1363" s="132"/>
    </row>
    <row r="1364" spans="1:15" ht="15.75" customHeight="1">
      <c r="A1364" s="125"/>
      <c r="B1364" s="125"/>
      <c r="C1364" s="125"/>
      <c r="D1364" s="126"/>
      <c r="E1364" s="128"/>
      <c r="F1364" s="135"/>
      <c r="G1364" s="129"/>
      <c r="H1364" s="129"/>
      <c r="I1364" s="132"/>
      <c r="J1364" s="132"/>
      <c r="K1364" s="135"/>
      <c r="L1364" s="132"/>
      <c r="M1364" s="132"/>
      <c r="N1364" s="129"/>
      <c r="O1364" s="132"/>
    </row>
    <row r="1365" spans="1:15" ht="15.75" customHeight="1">
      <c r="A1365" s="125"/>
      <c r="B1365" s="125"/>
      <c r="C1365" s="125"/>
      <c r="D1365" s="126"/>
      <c r="E1365" s="128"/>
      <c r="F1365" s="135"/>
      <c r="G1365" s="129"/>
      <c r="H1365" s="129"/>
      <c r="I1365" s="132"/>
      <c r="J1365" s="132"/>
      <c r="K1365" s="135"/>
      <c r="L1365" s="132"/>
      <c r="M1365" s="132"/>
      <c r="N1365" s="129"/>
      <c r="O1365" s="132"/>
    </row>
    <row r="1366" spans="1:15" ht="15.75" customHeight="1">
      <c r="A1366" s="125"/>
      <c r="B1366" s="125"/>
      <c r="C1366" s="125"/>
      <c r="D1366" s="126"/>
      <c r="E1366" s="128"/>
      <c r="F1366" s="135"/>
      <c r="G1366" s="129"/>
      <c r="H1366" s="129"/>
      <c r="I1366" s="132"/>
      <c r="J1366" s="132"/>
      <c r="K1366" s="135"/>
      <c r="L1366" s="132"/>
      <c r="M1366" s="132"/>
      <c r="N1366" s="129"/>
      <c r="O1366" s="132"/>
    </row>
    <row r="1367" spans="1:15" ht="15.75" customHeight="1">
      <c r="A1367" s="125"/>
      <c r="B1367" s="125"/>
      <c r="C1367" s="125"/>
      <c r="D1367" s="126"/>
      <c r="E1367" s="128"/>
      <c r="F1367" s="135"/>
      <c r="G1367" s="129"/>
      <c r="H1367" s="129"/>
      <c r="I1367" s="132"/>
      <c r="J1367" s="132"/>
      <c r="K1367" s="135"/>
      <c r="L1367" s="132"/>
      <c r="M1367" s="132"/>
      <c r="N1367" s="129"/>
      <c r="O1367" s="132"/>
    </row>
    <row r="1368" spans="1:15" ht="15.75" customHeight="1">
      <c r="A1368" s="125"/>
      <c r="B1368" s="125"/>
      <c r="C1368" s="125"/>
      <c r="D1368" s="126"/>
      <c r="E1368" s="128"/>
      <c r="F1368" s="135"/>
      <c r="G1368" s="129"/>
      <c r="H1368" s="129"/>
      <c r="I1368" s="132"/>
      <c r="J1368" s="132"/>
      <c r="K1368" s="135"/>
      <c r="L1368" s="132"/>
      <c r="M1368" s="132"/>
      <c r="N1368" s="129"/>
      <c r="O1368" s="132"/>
    </row>
    <row r="1369" spans="1:15" ht="15.75" customHeight="1">
      <c r="A1369" s="125"/>
      <c r="B1369" s="125"/>
      <c r="C1369" s="125"/>
      <c r="D1369" s="126"/>
      <c r="E1369" s="128"/>
      <c r="F1369" s="135"/>
      <c r="G1369" s="129"/>
      <c r="H1369" s="129"/>
      <c r="I1369" s="132"/>
      <c r="J1369" s="132"/>
      <c r="K1369" s="135"/>
      <c r="L1369" s="132"/>
      <c r="M1369" s="132"/>
      <c r="N1369" s="129"/>
      <c r="O1369" s="132"/>
    </row>
    <row r="1370" spans="1:15" ht="15.75" customHeight="1">
      <c r="A1370" s="125"/>
      <c r="B1370" s="125"/>
      <c r="C1370" s="125"/>
      <c r="D1370" s="126"/>
      <c r="E1370" s="128"/>
      <c r="F1370" s="135"/>
      <c r="G1370" s="129"/>
      <c r="H1370" s="129"/>
      <c r="I1370" s="132"/>
      <c r="J1370" s="132"/>
      <c r="K1370" s="135"/>
      <c r="L1370" s="132"/>
      <c r="M1370" s="132"/>
      <c r="N1370" s="129"/>
      <c r="O1370" s="132"/>
    </row>
    <row r="1371" spans="1:15" ht="15.75" customHeight="1">
      <c r="A1371" s="125"/>
      <c r="B1371" s="125"/>
      <c r="C1371" s="125"/>
      <c r="D1371" s="126"/>
      <c r="E1371" s="128"/>
      <c r="F1371" s="135"/>
      <c r="G1371" s="129"/>
      <c r="H1371" s="129"/>
      <c r="I1371" s="132"/>
      <c r="J1371" s="132"/>
      <c r="K1371" s="135"/>
      <c r="L1371" s="132"/>
      <c r="M1371" s="132"/>
      <c r="N1371" s="129"/>
      <c r="O1371" s="132"/>
    </row>
    <row r="1372" spans="1:15" ht="15.75" customHeight="1">
      <c r="A1372" s="125"/>
      <c r="B1372" s="125"/>
      <c r="C1372" s="125"/>
      <c r="D1372" s="126"/>
      <c r="E1372" s="128"/>
      <c r="F1372" s="135"/>
      <c r="G1372" s="129"/>
      <c r="H1372" s="129"/>
      <c r="I1372" s="132"/>
      <c r="J1372" s="132"/>
      <c r="K1372" s="135"/>
      <c r="L1372" s="132"/>
      <c r="M1372" s="132"/>
      <c r="N1372" s="129"/>
      <c r="O1372" s="132"/>
    </row>
    <row r="1373" spans="1:15" ht="15.75" customHeight="1">
      <c r="A1373" s="125"/>
      <c r="B1373" s="125"/>
      <c r="C1373" s="125"/>
      <c r="D1373" s="126"/>
      <c r="E1373" s="128"/>
      <c r="F1373" s="135"/>
      <c r="G1373" s="129"/>
      <c r="H1373" s="129"/>
      <c r="I1373" s="132"/>
      <c r="J1373" s="132"/>
      <c r="K1373" s="135"/>
      <c r="L1373" s="132"/>
      <c r="M1373" s="132"/>
      <c r="N1373" s="129"/>
      <c r="O1373" s="132"/>
    </row>
    <row r="1374" spans="1:15" ht="15.75" customHeight="1">
      <c r="A1374" s="125"/>
      <c r="B1374" s="125"/>
      <c r="C1374" s="125"/>
      <c r="D1374" s="126"/>
      <c r="E1374" s="128"/>
      <c r="F1374" s="135"/>
      <c r="G1374" s="129"/>
      <c r="H1374" s="129"/>
      <c r="I1374" s="132"/>
      <c r="J1374" s="132"/>
      <c r="K1374" s="135"/>
      <c r="L1374" s="132"/>
      <c r="M1374" s="132"/>
      <c r="N1374" s="129"/>
      <c r="O1374" s="132"/>
    </row>
    <row r="1375" spans="1:15" ht="15.75" customHeight="1">
      <c r="A1375" s="125"/>
      <c r="B1375" s="125"/>
      <c r="C1375" s="125"/>
      <c r="D1375" s="126"/>
      <c r="E1375" s="128"/>
      <c r="F1375" s="135"/>
      <c r="G1375" s="129"/>
      <c r="H1375" s="129"/>
      <c r="I1375" s="132"/>
      <c r="J1375" s="132"/>
      <c r="K1375" s="135"/>
      <c r="L1375" s="132"/>
      <c r="M1375" s="132"/>
      <c r="N1375" s="129"/>
      <c r="O1375" s="132"/>
    </row>
    <row r="1376" spans="1:15" ht="15.75" customHeight="1">
      <c r="A1376" s="125"/>
      <c r="B1376" s="125"/>
      <c r="C1376" s="125"/>
      <c r="D1376" s="126"/>
      <c r="E1376" s="128"/>
      <c r="F1376" s="135"/>
      <c r="G1376" s="129"/>
      <c r="H1376" s="129"/>
      <c r="I1376" s="132"/>
      <c r="J1376" s="132"/>
      <c r="K1376" s="135"/>
      <c r="L1376" s="132"/>
      <c r="M1376" s="132"/>
      <c r="N1376" s="129"/>
      <c r="O1376" s="132"/>
    </row>
    <row r="1377" spans="1:15" ht="15.75" customHeight="1">
      <c r="A1377" s="125"/>
      <c r="B1377" s="125"/>
      <c r="C1377" s="125"/>
      <c r="D1377" s="126"/>
      <c r="E1377" s="128"/>
      <c r="F1377" s="135"/>
      <c r="G1377" s="129"/>
      <c r="H1377" s="129"/>
      <c r="I1377" s="132"/>
      <c r="J1377" s="132"/>
      <c r="K1377" s="135"/>
      <c r="L1377" s="132"/>
      <c r="M1377" s="132"/>
      <c r="N1377" s="129"/>
      <c r="O1377" s="132"/>
    </row>
    <row r="1378" spans="1:15" ht="15.75" customHeight="1">
      <c r="A1378" s="125"/>
      <c r="B1378" s="125"/>
      <c r="C1378" s="125"/>
      <c r="D1378" s="126"/>
      <c r="E1378" s="128"/>
      <c r="F1378" s="135"/>
      <c r="G1378" s="129"/>
      <c r="H1378" s="129"/>
      <c r="I1378" s="132"/>
      <c r="J1378" s="132"/>
      <c r="K1378" s="135"/>
      <c r="L1378" s="132"/>
      <c r="M1378" s="132"/>
      <c r="N1378" s="129"/>
      <c r="O1378" s="132"/>
    </row>
    <row r="1379" spans="1:15" ht="15.75" customHeight="1">
      <c r="A1379" s="125"/>
      <c r="B1379" s="125"/>
      <c r="C1379" s="125"/>
      <c r="D1379" s="126"/>
      <c r="E1379" s="128"/>
      <c r="F1379" s="135"/>
      <c r="G1379" s="129"/>
      <c r="H1379" s="129"/>
      <c r="I1379" s="132"/>
      <c r="J1379" s="132"/>
      <c r="K1379" s="135"/>
      <c r="L1379" s="132"/>
      <c r="M1379" s="132"/>
      <c r="N1379" s="129"/>
      <c r="O1379" s="132"/>
    </row>
    <row r="1380" spans="1:15" ht="15.75" customHeight="1">
      <c r="A1380" s="125"/>
      <c r="B1380" s="125"/>
      <c r="C1380" s="125"/>
      <c r="D1380" s="126"/>
      <c r="E1380" s="128"/>
      <c r="F1380" s="135"/>
      <c r="G1380" s="129"/>
      <c r="H1380" s="129"/>
      <c r="I1380" s="132"/>
      <c r="J1380" s="132"/>
      <c r="K1380" s="135"/>
      <c r="L1380" s="132"/>
      <c r="M1380" s="132"/>
      <c r="N1380" s="129"/>
      <c r="O1380" s="132"/>
    </row>
    <row r="1381" spans="1:15" ht="15.75" customHeight="1">
      <c r="A1381" s="125"/>
      <c r="B1381" s="125"/>
      <c r="C1381" s="125"/>
      <c r="D1381" s="126"/>
      <c r="E1381" s="128"/>
      <c r="F1381" s="135"/>
      <c r="G1381" s="129"/>
      <c r="H1381" s="129"/>
      <c r="I1381" s="132"/>
      <c r="J1381" s="132"/>
      <c r="K1381" s="135"/>
      <c r="L1381" s="132"/>
      <c r="M1381" s="132"/>
      <c r="N1381" s="129"/>
      <c r="O1381" s="132"/>
    </row>
    <row r="1382" spans="1:15" ht="15.75" customHeight="1">
      <c r="A1382" s="125"/>
      <c r="B1382" s="125"/>
      <c r="C1382" s="125"/>
      <c r="D1382" s="126"/>
      <c r="E1382" s="128"/>
      <c r="F1382" s="135"/>
      <c r="G1382" s="129"/>
      <c r="H1382" s="129"/>
      <c r="I1382" s="132"/>
      <c r="J1382" s="132"/>
      <c r="K1382" s="135"/>
      <c r="L1382" s="132"/>
      <c r="M1382" s="132"/>
      <c r="N1382" s="129"/>
      <c r="O1382" s="132"/>
    </row>
    <row r="1383" spans="1:15" ht="15.75" customHeight="1">
      <c r="A1383" s="125"/>
      <c r="B1383" s="125"/>
      <c r="C1383" s="125"/>
      <c r="D1383" s="126"/>
      <c r="E1383" s="128"/>
      <c r="F1383" s="135"/>
      <c r="G1383" s="129"/>
      <c r="H1383" s="129"/>
      <c r="I1383" s="132"/>
      <c r="J1383" s="132"/>
      <c r="K1383" s="135"/>
      <c r="L1383" s="132"/>
      <c r="M1383" s="132"/>
      <c r="N1383" s="129"/>
      <c r="O1383" s="132"/>
    </row>
    <row r="1384" spans="1:15" ht="15.75" customHeight="1">
      <c r="A1384" s="125"/>
      <c r="B1384" s="125"/>
      <c r="C1384" s="125"/>
      <c r="D1384" s="126"/>
      <c r="E1384" s="128"/>
      <c r="F1384" s="135"/>
      <c r="G1384" s="129"/>
      <c r="H1384" s="129"/>
      <c r="I1384" s="132"/>
      <c r="J1384" s="132"/>
      <c r="K1384" s="135"/>
      <c r="L1384" s="132"/>
      <c r="M1384" s="132"/>
      <c r="N1384" s="129"/>
      <c r="O1384" s="132"/>
    </row>
    <row r="1385" spans="1:15" ht="15.75" customHeight="1">
      <c r="A1385" s="125"/>
      <c r="B1385" s="125"/>
      <c r="C1385" s="125"/>
      <c r="D1385" s="126"/>
      <c r="E1385" s="128"/>
      <c r="F1385" s="135"/>
      <c r="G1385" s="129"/>
      <c r="H1385" s="129"/>
      <c r="I1385" s="132"/>
      <c r="J1385" s="132"/>
      <c r="K1385" s="135"/>
      <c r="L1385" s="132"/>
      <c r="M1385" s="132"/>
      <c r="N1385" s="129"/>
      <c r="O1385" s="132"/>
    </row>
    <row r="1386" spans="1:15" ht="15.75" customHeight="1">
      <c r="A1386" s="125"/>
      <c r="B1386" s="125"/>
      <c r="C1386" s="125"/>
      <c r="D1386" s="126"/>
      <c r="E1386" s="128"/>
      <c r="F1386" s="135"/>
      <c r="G1386" s="129"/>
      <c r="H1386" s="129"/>
      <c r="I1386" s="132"/>
      <c r="J1386" s="132"/>
      <c r="K1386" s="135"/>
      <c r="L1386" s="132"/>
      <c r="M1386" s="132"/>
      <c r="N1386" s="129"/>
      <c r="O1386" s="132"/>
    </row>
    <row r="1387" spans="1:15" ht="15.75" customHeight="1">
      <c r="A1387" s="125"/>
      <c r="B1387" s="125"/>
      <c r="C1387" s="125"/>
      <c r="D1387" s="126"/>
      <c r="E1387" s="128"/>
      <c r="F1387" s="135"/>
      <c r="G1387" s="129"/>
      <c r="H1387" s="129"/>
      <c r="I1387" s="132"/>
      <c r="J1387" s="132"/>
      <c r="K1387" s="135"/>
      <c r="L1387" s="132"/>
      <c r="M1387" s="132"/>
      <c r="N1387" s="129"/>
      <c r="O1387" s="132"/>
    </row>
    <row r="1388" spans="1:15" ht="15.75" customHeight="1">
      <c r="A1388" s="125"/>
      <c r="B1388" s="125"/>
      <c r="C1388" s="125"/>
      <c r="D1388" s="126"/>
      <c r="E1388" s="128"/>
      <c r="F1388" s="135"/>
      <c r="G1388" s="129"/>
      <c r="H1388" s="129"/>
      <c r="I1388" s="132"/>
      <c r="J1388" s="132"/>
      <c r="K1388" s="135"/>
      <c r="L1388" s="132"/>
      <c r="M1388" s="132"/>
      <c r="N1388" s="129"/>
      <c r="O1388" s="132"/>
    </row>
    <row r="1389" spans="1:15" ht="15.75" customHeight="1">
      <c r="A1389" s="125"/>
      <c r="B1389" s="125"/>
      <c r="C1389" s="125"/>
      <c r="D1389" s="126"/>
      <c r="E1389" s="128"/>
      <c r="F1389" s="135"/>
      <c r="G1389" s="129"/>
      <c r="H1389" s="129"/>
      <c r="I1389" s="132"/>
      <c r="J1389" s="132"/>
      <c r="K1389" s="135"/>
      <c r="L1389" s="132"/>
      <c r="M1389" s="132"/>
      <c r="N1389" s="129"/>
      <c r="O1389" s="132"/>
    </row>
    <row r="1390" spans="1:15" ht="15.75" customHeight="1">
      <c r="A1390" s="125"/>
      <c r="B1390" s="125"/>
      <c r="C1390" s="125"/>
      <c r="D1390" s="126"/>
      <c r="E1390" s="128"/>
      <c r="F1390" s="135"/>
      <c r="G1390" s="129"/>
      <c r="H1390" s="129"/>
      <c r="I1390" s="132"/>
      <c r="J1390" s="132"/>
      <c r="K1390" s="135"/>
      <c r="L1390" s="132"/>
      <c r="M1390" s="132"/>
      <c r="N1390" s="129"/>
      <c r="O1390" s="132"/>
    </row>
    <row r="1391" spans="1:15" ht="15.75" customHeight="1">
      <c r="A1391" s="125"/>
      <c r="B1391" s="125"/>
      <c r="C1391" s="125"/>
      <c r="D1391" s="126"/>
      <c r="E1391" s="128"/>
      <c r="F1391" s="135"/>
      <c r="G1391" s="129"/>
      <c r="H1391" s="129"/>
      <c r="I1391" s="132"/>
      <c r="J1391" s="132"/>
      <c r="K1391" s="135"/>
      <c r="L1391" s="132"/>
      <c r="M1391" s="132"/>
      <c r="N1391" s="129"/>
      <c r="O1391" s="132"/>
    </row>
    <row r="1392" spans="1:15" ht="15.75" customHeight="1">
      <c r="A1392" s="125"/>
      <c r="B1392" s="125"/>
      <c r="C1392" s="125"/>
      <c r="D1392" s="126"/>
      <c r="E1392" s="128"/>
      <c r="F1392" s="135"/>
      <c r="G1392" s="129"/>
      <c r="H1392" s="129"/>
      <c r="I1392" s="132"/>
      <c r="J1392" s="132"/>
      <c r="K1392" s="135"/>
      <c r="L1392" s="132"/>
      <c r="M1392" s="132"/>
      <c r="N1392" s="129"/>
      <c r="O1392" s="132"/>
    </row>
    <row r="1393" spans="1:15" ht="15.75" customHeight="1">
      <c r="A1393" s="125"/>
      <c r="B1393" s="125"/>
      <c r="C1393" s="125"/>
      <c r="D1393" s="126"/>
      <c r="E1393" s="128"/>
      <c r="F1393" s="135"/>
      <c r="G1393" s="129"/>
      <c r="H1393" s="129"/>
      <c r="I1393" s="132"/>
      <c r="J1393" s="132"/>
      <c r="K1393" s="135"/>
      <c r="L1393" s="132"/>
      <c r="M1393" s="132"/>
      <c r="N1393" s="129"/>
      <c r="O1393" s="132"/>
    </row>
    <row r="1394" spans="1:15" ht="15.75" customHeight="1">
      <c r="A1394" s="125"/>
      <c r="B1394" s="125"/>
      <c r="C1394" s="125"/>
      <c r="D1394" s="126"/>
      <c r="E1394" s="128"/>
      <c r="F1394" s="135"/>
      <c r="G1394" s="129"/>
      <c r="H1394" s="129"/>
      <c r="I1394" s="132"/>
      <c r="J1394" s="132"/>
      <c r="K1394" s="135"/>
      <c r="L1394" s="132"/>
      <c r="M1394" s="132"/>
      <c r="N1394" s="129"/>
      <c r="O1394" s="132"/>
    </row>
    <row r="1395" spans="1:15" ht="15.75" customHeight="1">
      <c r="A1395" s="125"/>
      <c r="B1395" s="125"/>
      <c r="C1395" s="125"/>
      <c r="D1395" s="126"/>
      <c r="E1395" s="128"/>
      <c r="F1395" s="135"/>
      <c r="G1395" s="129"/>
      <c r="H1395" s="129"/>
      <c r="I1395" s="132"/>
      <c r="J1395" s="132"/>
      <c r="K1395" s="135"/>
      <c r="L1395" s="132"/>
      <c r="M1395" s="132"/>
      <c r="N1395" s="129"/>
      <c r="O1395" s="132"/>
    </row>
    <row r="1396" spans="1:15" ht="15.75" customHeight="1">
      <c r="A1396" s="125"/>
      <c r="B1396" s="125"/>
      <c r="C1396" s="125"/>
      <c r="D1396" s="126"/>
      <c r="E1396" s="128"/>
      <c r="F1396" s="135"/>
      <c r="G1396" s="129"/>
      <c r="H1396" s="129"/>
      <c r="I1396" s="132"/>
      <c r="J1396" s="132"/>
      <c r="K1396" s="135"/>
      <c r="L1396" s="132"/>
      <c r="M1396" s="132"/>
      <c r="N1396" s="129"/>
      <c r="O1396" s="132"/>
    </row>
    <row r="1397" spans="1:15" ht="15.75" customHeight="1">
      <c r="A1397" s="125"/>
      <c r="B1397" s="125"/>
      <c r="C1397" s="125"/>
      <c r="D1397" s="126"/>
      <c r="E1397" s="128"/>
      <c r="F1397" s="135"/>
      <c r="G1397" s="129"/>
      <c r="H1397" s="129"/>
      <c r="I1397" s="132"/>
      <c r="J1397" s="132"/>
      <c r="K1397" s="135"/>
      <c r="L1397" s="132"/>
      <c r="M1397" s="132"/>
      <c r="N1397" s="129"/>
      <c r="O1397" s="132"/>
    </row>
    <row r="1398" spans="1:15" ht="15.75" customHeight="1">
      <c r="A1398" s="125"/>
      <c r="B1398" s="125"/>
      <c r="C1398" s="125"/>
      <c r="D1398" s="126"/>
      <c r="E1398" s="128"/>
      <c r="F1398" s="135"/>
      <c r="G1398" s="129"/>
      <c r="H1398" s="129"/>
      <c r="I1398" s="132"/>
      <c r="J1398" s="132"/>
      <c r="K1398" s="135"/>
      <c r="L1398" s="132"/>
      <c r="M1398" s="132"/>
      <c r="N1398" s="129"/>
      <c r="O1398" s="132"/>
    </row>
    <row r="1399" spans="1:15" ht="15.75" customHeight="1">
      <c r="A1399" s="125"/>
      <c r="B1399" s="125"/>
      <c r="C1399" s="125"/>
      <c r="D1399" s="126"/>
      <c r="E1399" s="128"/>
      <c r="F1399" s="135"/>
      <c r="G1399" s="129"/>
      <c r="H1399" s="129"/>
      <c r="I1399" s="132"/>
      <c r="J1399" s="132"/>
      <c r="K1399" s="135"/>
      <c r="L1399" s="132"/>
      <c r="M1399" s="132"/>
      <c r="N1399" s="129"/>
      <c r="O1399" s="132"/>
    </row>
    <row r="1400" spans="1:15" ht="15.75" customHeight="1">
      <c r="A1400" s="125"/>
      <c r="B1400" s="125"/>
      <c r="C1400" s="125"/>
      <c r="D1400" s="126"/>
      <c r="E1400" s="128"/>
      <c r="F1400" s="135"/>
      <c r="G1400" s="129"/>
      <c r="H1400" s="129"/>
      <c r="I1400" s="132"/>
      <c r="J1400" s="132"/>
      <c r="K1400" s="135"/>
      <c r="L1400" s="132"/>
      <c r="M1400" s="132"/>
      <c r="N1400" s="129"/>
      <c r="O1400" s="132"/>
    </row>
    <row r="1401" spans="1:15" ht="15.75" customHeight="1">
      <c r="A1401" s="125"/>
      <c r="B1401" s="125"/>
      <c r="C1401" s="125"/>
      <c r="D1401" s="126"/>
      <c r="E1401" s="128"/>
      <c r="F1401" s="135"/>
      <c r="G1401" s="129"/>
      <c r="H1401" s="129"/>
      <c r="I1401" s="132"/>
      <c r="J1401" s="132"/>
      <c r="K1401" s="135"/>
      <c r="L1401" s="132"/>
      <c r="M1401" s="132"/>
      <c r="N1401" s="129"/>
      <c r="O1401" s="132"/>
    </row>
    <row r="1402" spans="1:15" ht="15.75" customHeight="1">
      <c r="A1402" s="125"/>
      <c r="B1402" s="125"/>
      <c r="C1402" s="125"/>
      <c r="D1402" s="126"/>
      <c r="E1402" s="128"/>
      <c r="F1402" s="135"/>
      <c r="G1402" s="129"/>
      <c r="H1402" s="129"/>
      <c r="I1402" s="132"/>
      <c r="J1402" s="132"/>
      <c r="K1402" s="135"/>
      <c r="L1402" s="132"/>
      <c r="M1402" s="132"/>
      <c r="N1402" s="129"/>
      <c r="O1402" s="132"/>
    </row>
    <row r="1403" spans="1:15" ht="15.75" customHeight="1">
      <c r="A1403" s="125"/>
      <c r="B1403" s="125"/>
      <c r="C1403" s="125"/>
      <c r="D1403" s="126"/>
      <c r="E1403" s="128"/>
      <c r="F1403" s="135"/>
      <c r="G1403" s="129"/>
      <c r="H1403" s="129"/>
      <c r="I1403" s="132"/>
      <c r="J1403" s="132"/>
      <c r="K1403" s="135"/>
      <c r="L1403" s="132"/>
      <c r="M1403" s="132"/>
      <c r="N1403" s="129"/>
      <c r="O1403" s="132"/>
    </row>
    <row r="1404" spans="1:15" ht="15.75" customHeight="1">
      <c r="A1404" s="125"/>
      <c r="B1404" s="125"/>
      <c r="C1404" s="125"/>
      <c r="D1404" s="126"/>
      <c r="E1404" s="128"/>
      <c r="F1404" s="135"/>
      <c r="G1404" s="129"/>
      <c r="H1404" s="129"/>
      <c r="I1404" s="132"/>
      <c r="J1404" s="132"/>
      <c r="K1404" s="135"/>
      <c r="L1404" s="132"/>
      <c r="M1404" s="132"/>
      <c r="N1404" s="129"/>
      <c r="O1404" s="132"/>
    </row>
    <row r="1405" spans="1:15" ht="15.75" customHeight="1">
      <c r="A1405" s="125"/>
      <c r="B1405" s="125"/>
      <c r="C1405" s="125"/>
      <c r="D1405" s="126"/>
      <c r="E1405" s="128"/>
      <c r="F1405" s="135"/>
      <c r="G1405" s="129"/>
      <c r="H1405" s="129"/>
      <c r="I1405" s="132"/>
      <c r="J1405" s="132"/>
      <c r="K1405" s="135"/>
      <c r="L1405" s="132"/>
      <c r="M1405" s="132"/>
      <c r="N1405" s="129"/>
      <c r="O1405" s="132"/>
    </row>
    <row r="1406" spans="1:15" ht="15.75" customHeight="1">
      <c r="A1406" s="125"/>
      <c r="B1406" s="125"/>
      <c r="C1406" s="125"/>
      <c r="D1406" s="126"/>
      <c r="E1406" s="128"/>
      <c r="F1406" s="135"/>
      <c r="G1406" s="129"/>
      <c r="H1406" s="129"/>
      <c r="I1406" s="132"/>
      <c r="J1406" s="132"/>
      <c r="K1406" s="135"/>
      <c r="L1406" s="132"/>
      <c r="M1406" s="132"/>
      <c r="N1406" s="129"/>
      <c r="O1406" s="132"/>
    </row>
    <row r="1407" spans="1:15" ht="15.75" customHeight="1">
      <c r="A1407" s="125"/>
      <c r="B1407" s="125"/>
      <c r="C1407" s="125"/>
      <c r="D1407" s="126"/>
      <c r="E1407" s="128"/>
      <c r="F1407" s="135"/>
      <c r="G1407" s="129"/>
      <c r="H1407" s="129"/>
      <c r="I1407" s="132"/>
      <c r="J1407" s="132"/>
      <c r="K1407" s="135"/>
      <c r="L1407" s="132"/>
      <c r="M1407" s="132"/>
      <c r="N1407" s="129"/>
      <c r="O1407" s="132"/>
    </row>
    <row r="1408" spans="1:15" ht="15.75" customHeight="1">
      <c r="A1408" s="125"/>
      <c r="B1408" s="125"/>
      <c r="C1408" s="125"/>
      <c r="D1408" s="126"/>
      <c r="E1408" s="128"/>
      <c r="F1408" s="135"/>
      <c r="G1408" s="129"/>
      <c r="H1408" s="129"/>
      <c r="I1408" s="132"/>
      <c r="J1408" s="132"/>
      <c r="K1408" s="135"/>
      <c r="L1408" s="132"/>
      <c r="M1408" s="132"/>
      <c r="N1408" s="129"/>
      <c r="O1408" s="132"/>
    </row>
    <row r="1409" spans="1:15" ht="15.75" customHeight="1">
      <c r="A1409" s="125"/>
      <c r="B1409" s="125"/>
      <c r="C1409" s="125"/>
      <c r="D1409" s="126"/>
      <c r="E1409" s="128"/>
      <c r="F1409" s="135"/>
      <c r="G1409" s="129"/>
      <c r="H1409" s="129"/>
      <c r="I1409" s="132"/>
      <c r="J1409" s="132"/>
      <c r="K1409" s="135"/>
      <c r="L1409" s="132"/>
      <c r="M1409" s="132"/>
      <c r="N1409" s="129"/>
      <c r="O1409" s="132"/>
    </row>
    <row r="1410" spans="1:15" ht="15.75" customHeight="1">
      <c r="A1410" s="125"/>
      <c r="B1410" s="125"/>
      <c r="C1410" s="125"/>
      <c r="D1410" s="126"/>
      <c r="E1410" s="128"/>
      <c r="F1410" s="135"/>
      <c r="G1410" s="129"/>
      <c r="H1410" s="129"/>
      <c r="I1410" s="132"/>
      <c r="J1410" s="132"/>
      <c r="K1410" s="135"/>
      <c r="L1410" s="132"/>
      <c r="M1410" s="132"/>
      <c r="N1410" s="129"/>
      <c r="O1410" s="132"/>
    </row>
    <row r="1411" spans="1:15" ht="15.75" customHeight="1">
      <c r="A1411" s="125"/>
      <c r="B1411" s="125"/>
      <c r="C1411" s="125"/>
      <c r="D1411" s="126"/>
      <c r="E1411" s="128"/>
      <c r="F1411" s="135"/>
      <c r="G1411" s="129"/>
      <c r="H1411" s="129"/>
      <c r="I1411" s="132"/>
      <c r="J1411" s="132"/>
      <c r="K1411" s="135"/>
      <c r="L1411" s="132"/>
      <c r="M1411" s="132"/>
      <c r="N1411" s="129"/>
      <c r="O1411" s="132"/>
    </row>
    <row r="1412" spans="1:15" ht="15.75" customHeight="1">
      <c r="A1412" s="125"/>
      <c r="B1412" s="125"/>
      <c r="C1412" s="125"/>
      <c r="D1412" s="126"/>
      <c r="E1412" s="128"/>
      <c r="F1412" s="135"/>
      <c r="G1412" s="129"/>
      <c r="H1412" s="129"/>
      <c r="I1412" s="132"/>
      <c r="J1412" s="132"/>
      <c r="K1412" s="135"/>
      <c r="L1412" s="132"/>
      <c r="M1412" s="132"/>
      <c r="N1412" s="129"/>
      <c r="O1412" s="132"/>
    </row>
    <row r="1413" spans="1:15" ht="15.75" customHeight="1">
      <c r="A1413" s="125"/>
      <c r="B1413" s="125"/>
      <c r="C1413" s="125"/>
      <c r="D1413" s="126"/>
      <c r="E1413" s="128"/>
      <c r="F1413" s="135"/>
      <c r="G1413" s="129"/>
      <c r="H1413" s="129"/>
      <c r="I1413" s="132"/>
      <c r="J1413" s="132"/>
      <c r="K1413" s="135"/>
      <c r="L1413" s="132"/>
      <c r="M1413" s="132"/>
      <c r="N1413" s="129"/>
      <c r="O1413" s="132"/>
    </row>
    <row r="1414" spans="1:15" ht="15.75" customHeight="1">
      <c r="A1414" s="125"/>
      <c r="B1414" s="125"/>
      <c r="C1414" s="125"/>
      <c r="D1414" s="126"/>
      <c r="E1414" s="128"/>
      <c r="F1414" s="135"/>
      <c r="G1414" s="129"/>
      <c r="H1414" s="129"/>
      <c r="I1414" s="132"/>
      <c r="J1414" s="132"/>
      <c r="K1414" s="135"/>
      <c r="L1414" s="132"/>
      <c r="M1414" s="132"/>
      <c r="N1414" s="129"/>
      <c r="O1414" s="132"/>
    </row>
    <row r="1415" spans="1:15" ht="15.75" customHeight="1">
      <c r="A1415" s="125"/>
      <c r="B1415" s="125"/>
      <c r="C1415" s="125"/>
      <c r="D1415" s="126"/>
      <c r="E1415" s="128"/>
      <c r="F1415" s="135"/>
      <c r="G1415" s="129"/>
      <c r="H1415" s="129"/>
      <c r="I1415" s="132"/>
      <c r="J1415" s="132"/>
      <c r="K1415" s="135"/>
      <c r="L1415" s="132"/>
      <c r="M1415" s="132"/>
      <c r="N1415" s="129"/>
      <c r="O1415" s="132"/>
    </row>
    <row r="1416" spans="1:15" ht="15.75" customHeight="1">
      <c r="A1416" s="125"/>
      <c r="B1416" s="125"/>
      <c r="C1416" s="125"/>
      <c r="D1416" s="126"/>
      <c r="E1416" s="128"/>
      <c r="F1416" s="135"/>
      <c r="G1416" s="129"/>
      <c r="H1416" s="129"/>
      <c r="I1416" s="132"/>
      <c r="J1416" s="132"/>
      <c r="K1416" s="135"/>
      <c r="L1416" s="132"/>
      <c r="M1416" s="132"/>
      <c r="N1416" s="129"/>
      <c r="O1416" s="132"/>
    </row>
    <row r="1417" spans="1:15" ht="15.75" customHeight="1">
      <c r="A1417" s="125"/>
      <c r="B1417" s="125"/>
      <c r="C1417" s="125"/>
      <c r="D1417" s="126"/>
      <c r="E1417" s="128"/>
      <c r="F1417" s="135"/>
      <c r="G1417" s="129"/>
      <c r="H1417" s="129"/>
      <c r="I1417" s="132"/>
      <c r="J1417" s="132"/>
      <c r="K1417" s="135"/>
      <c r="L1417" s="132"/>
      <c r="M1417" s="132"/>
      <c r="N1417" s="129"/>
      <c r="O1417" s="132"/>
    </row>
    <row r="1418" spans="1:15" ht="15.75" customHeight="1">
      <c r="A1418" s="125"/>
      <c r="B1418" s="125"/>
      <c r="C1418" s="125"/>
      <c r="D1418" s="126"/>
      <c r="E1418" s="128"/>
      <c r="F1418" s="135"/>
      <c r="G1418" s="129"/>
      <c r="H1418" s="129"/>
      <c r="I1418" s="132"/>
      <c r="J1418" s="132"/>
      <c r="K1418" s="135"/>
      <c r="L1418" s="132"/>
      <c r="M1418" s="132"/>
      <c r="N1418" s="129"/>
      <c r="O1418" s="132"/>
    </row>
    <row r="1419" spans="1:15" ht="15.75" customHeight="1">
      <c r="A1419" s="125"/>
      <c r="B1419" s="125"/>
      <c r="C1419" s="125"/>
      <c r="D1419" s="126"/>
      <c r="E1419" s="128"/>
      <c r="F1419" s="135"/>
      <c r="G1419" s="129"/>
      <c r="H1419" s="129"/>
      <c r="I1419" s="132"/>
      <c r="J1419" s="132"/>
      <c r="K1419" s="135"/>
      <c r="L1419" s="132"/>
      <c r="M1419" s="132"/>
      <c r="N1419" s="129"/>
      <c r="O1419" s="132"/>
    </row>
    <row r="1420" spans="1:15" ht="15.75" customHeight="1">
      <c r="A1420" s="125"/>
      <c r="B1420" s="125"/>
      <c r="C1420" s="125"/>
      <c r="D1420" s="126"/>
      <c r="E1420" s="128"/>
      <c r="F1420" s="135"/>
      <c r="G1420" s="129"/>
      <c r="H1420" s="129"/>
      <c r="I1420" s="132"/>
      <c r="J1420" s="132"/>
      <c r="K1420" s="135"/>
      <c r="L1420" s="132"/>
      <c r="M1420" s="132"/>
      <c r="N1420" s="129"/>
      <c r="O1420" s="132"/>
    </row>
    <row r="1421" spans="1:15" ht="15.75" customHeight="1">
      <c r="A1421" s="125"/>
      <c r="B1421" s="125"/>
      <c r="C1421" s="125"/>
      <c r="D1421" s="126"/>
      <c r="E1421" s="128"/>
      <c r="F1421" s="135"/>
      <c r="G1421" s="129"/>
      <c r="H1421" s="129"/>
      <c r="I1421" s="132"/>
      <c r="J1421" s="132"/>
      <c r="K1421" s="135"/>
      <c r="L1421" s="132"/>
      <c r="M1421" s="132"/>
      <c r="N1421" s="129"/>
      <c r="O1421" s="132"/>
    </row>
    <row r="1422" spans="1:15" ht="15.75" customHeight="1">
      <c r="A1422" s="125"/>
      <c r="B1422" s="125"/>
      <c r="C1422" s="125"/>
      <c r="D1422" s="126"/>
      <c r="E1422" s="128"/>
      <c r="F1422" s="135"/>
      <c r="G1422" s="129"/>
      <c r="H1422" s="129"/>
      <c r="I1422" s="132"/>
      <c r="J1422" s="132"/>
      <c r="K1422" s="135"/>
      <c r="L1422" s="132"/>
      <c r="M1422" s="132"/>
      <c r="N1422" s="129"/>
      <c r="O1422" s="132"/>
    </row>
    <row r="1423" spans="1:15" ht="15.75" customHeight="1">
      <c r="A1423" s="125"/>
      <c r="B1423" s="125"/>
      <c r="C1423" s="125"/>
      <c r="D1423" s="126"/>
      <c r="E1423" s="128"/>
      <c r="F1423" s="135"/>
      <c r="G1423" s="129"/>
      <c r="H1423" s="129"/>
      <c r="I1423" s="132"/>
      <c r="J1423" s="132"/>
      <c r="K1423" s="135"/>
      <c r="L1423" s="132"/>
      <c r="M1423" s="132"/>
      <c r="N1423" s="129"/>
      <c r="O1423" s="132"/>
    </row>
    <row r="1424" spans="1:15" ht="15.75" customHeight="1">
      <c r="A1424" s="125"/>
      <c r="B1424" s="125"/>
      <c r="C1424" s="125"/>
      <c r="D1424" s="126"/>
      <c r="E1424" s="128"/>
      <c r="F1424" s="135"/>
      <c r="G1424" s="129"/>
      <c r="H1424" s="129"/>
      <c r="I1424" s="132"/>
      <c r="J1424" s="132"/>
      <c r="K1424" s="135"/>
      <c r="L1424" s="132"/>
      <c r="M1424" s="132"/>
      <c r="N1424" s="129"/>
      <c r="O1424" s="132"/>
    </row>
    <row r="1425" spans="1:15" ht="15.75" customHeight="1">
      <c r="A1425" s="125"/>
      <c r="B1425" s="125"/>
      <c r="C1425" s="125"/>
      <c r="D1425" s="126"/>
      <c r="E1425" s="128"/>
      <c r="F1425" s="135"/>
      <c r="G1425" s="129"/>
      <c r="H1425" s="129"/>
      <c r="I1425" s="132"/>
      <c r="J1425" s="132"/>
      <c r="K1425" s="135"/>
      <c r="L1425" s="132"/>
      <c r="M1425" s="132"/>
      <c r="N1425" s="129"/>
      <c r="O1425" s="132"/>
    </row>
    <row r="1426" spans="1:15" ht="15.75" customHeight="1">
      <c r="A1426" s="125"/>
      <c r="B1426" s="125"/>
      <c r="C1426" s="125"/>
      <c r="D1426" s="126"/>
      <c r="E1426" s="128"/>
      <c r="F1426" s="135"/>
      <c r="G1426" s="129"/>
      <c r="H1426" s="129"/>
      <c r="I1426" s="132"/>
      <c r="J1426" s="132"/>
      <c r="K1426" s="135"/>
      <c r="L1426" s="132"/>
      <c r="M1426" s="132"/>
      <c r="N1426" s="129"/>
      <c r="O1426" s="132"/>
    </row>
    <row r="1427" spans="1:15" ht="15.75" customHeight="1">
      <c r="A1427" s="125"/>
      <c r="B1427" s="125"/>
      <c r="C1427" s="125"/>
      <c r="D1427" s="126"/>
      <c r="E1427" s="128"/>
      <c r="F1427" s="135"/>
      <c r="G1427" s="129"/>
      <c r="H1427" s="129"/>
      <c r="I1427" s="132"/>
      <c r="J1427" s="132"/>
      <c r="K1427" s="135"/>
      <c r="L1427" s="132"/>
      <c r="M1427" s="132"/>
      <c r="N1427" s="129"/>
      <c r="O1427" s="132"/>
    </row>
    <row r="1428" spans="1:15" ht="15.75" customHeight="1">
      <c r="A1428" s="125"/>
      <c r="B1428" s="125"/>
      <c r="C1428" s="125"/>
      <c r="D1428" s="126"/>
      <c r="E1428" s="128"/>
      <c r="F1428" s="135"/>
      <c r="G1428" s="129"/>
      <c r="H1428" s="129"/>
      <c r="I1428" s="132"/>
      <c r="J1428" s="132"/>
      <c r="K1428" s="135"/>
      <c r="L1428" s="132"/>
      <c r="M1428" s="132"/>
      <c r="N1428" s="129"/>
      <c r="O1428" s="132"/>
    </row>
    <row r="1429" spans="1:15" ht="15.75" customHeight="1">
      <c r="A1429" s="125"/>
      <c r="B1429" s="125"/>
      <c r="C1429" s="125"/>
      <c r="D1429" s="126"/>
      <c r="E1429" s="128"/>
      <c r="F1429" s="135"/>
      <c r="G1429" s="129"/>
      <c r="H1429" s="129"/>
      <c r="I1429" s="132"/>
      <c r="J1429" s="132"/>
      <c r="K1429" s="135"/>
      <c r="L1429" s="132"/>
      <c r="M1429" s="132"/>
      <c r="N1429" s="129"/>
      <c r="O1429" s="132"/>
    </row>
    <row r="1430" spans="1:15" ht="15.75" customHeight="1">
      <c r="A1430" s="125"/>
      <c r="B1430" s="125"/>
      <c r="C1430" s="125"/>
      <c r="D1430" s="126"/>
      <c r="E1430" s="128"/>
      <c r="F1430" s="135"/>
      <c r="G1430" s="129"/>
      <c r="H1430" s="129"/>
      <c r="I1430" s="132"/>
      <c r="J1430" s="132"/>
      <c r="K1430" s="135"/>
      <c r="L1430" s="132"/>
      <c r="M1430" s="132"/>
      <c r="N1430" s="129"/>
      <c r="O1430" s="132"/>
    </row>
    <row r="1431" spans="1:15" ht="15.75" customHeight="1">
      <c r="A1431" s="125"/>
      <c r="B1431" s="125"/>
      <c r="C1431" s="125"/>
      <c r="D1431" s="126"/>
      <c r="E1431" s="128"/>
      <c r="F1431" s="135"/>
      <c r="G1431" s="129"/>
      <c r="H1431" s="129"/>
      <c r="I1431" s="132"/>
      <c r="J1431" s="132"/>
      <c r="K1431" s="135"/>
      <c r="L1431" s="132"/>
      <c r="M1431" s="132"/>
      <c r="N1431" s="129"/>
      <c r="O1431" s="132"/>
    </row>
    <row r="1432" spans="1:15" ht="15.75" customHeight="1">
      <c r="A1432" s="125"/>
      <c r="B1432" s="125"/>
      <c r="C1432" s="125"/>
      <c r="D1432" s="126"/>
      <c r="E1432" s="128"/>
      <c r="F1432" s="135"/>
      <c r="G1432" s="129"/>
      <c r="H1432" s="129"/>
      <c r="I1432" s="132"/>
      <c r="J1432" s="132"/>
      <c r="K1432" s="135"/>
      <c r="L1432" s="132"/>
      <c r="M1432" s="132"/>
      <c r="N1432" s="129"/>
      <c r="O1432" s="132"/>
    </row>
    <row r="1433" spans="1:15" ht="15.75" customHeight="1">
      <c r="A1433" s="125"/>
      <c r="B1433" s="125"/>
      <c r="C1433" s="125"/>
      <c r="D1433" s="126"/>
      <c r="E1433" s="128"/>
      <c r="F1433" s="135"/>
      <c r="G1433" s="129"/>
      <c r="H1433" s="129"/>
      <c r="I1433" s="132"/>
      <c r="J1433" s="132"/>
      <c r="K1433" s="135"/>
      <c r="L1433" s="132"/>
      <c r="M1433" s="132"/>
      <c r="N1433" s="129"/>
      <c r="O1433" s="132"/>
    </row>
    <row r="1434" spans="1:15" ht="15.75" customHeight="1">
      <c r="A1434" s="125"/>
      <c r="B1434" s="125"/>
      <c r="C1434" s="125"/>
      <c r="D1434" s="126"/>
      <c r="E1434" s="128"/>
      <c r="F1434" s="135"/>
      <c r="G1434" s="129"/>
      <c r="H1434" s="129"/>
      <c r="I1434" s="132"/>
      <c r="J1434" s="132"/>
      <c r="K1434" s="135"/>
      <c r="L1434" s="132"/>
      <c r="M1434" s="132"/>
      <c r="N1434" s="129"/>
      <c r="O1434" s="132"/>
    </row>
    <row r="1435" spans="1:15" ht="15.75" customHeight="1">
      <c r="A1435" s="125"/>
      <c r="B1435" s="125"/>
      <c r="C1435" s="125"/>
      <c r="D1435" s="126"/>
      <c r="E1435" s="128"/>
      <c r="F1435" s="135"/>
      <c r="G1435" s="129"/>
      <c r="H1435" s="129"/>
      <c r="I1435" s="132"/>
      <c r="J1435" s="132"/>
      <c r="K1435" s="135"/>
      <c r="L1435" s="132"/>
      <c r="M1435" s="132"/>
      <c r="N1435" s="129"/>
      <c r="O1435" s="132"/>
    </row>
    <row r="1436" spans="1:15" ht="15.75" customHeight="1">
      <c r="A1436" s="125"/>
      <c r="B1436" s="125"/>
      <c r="C1436" s="125"/>
      <c r="D1436" s="126"/>
      <c r="E1436" s="128"/>
      <c r="F1436" s="135"/>
      <c r="G1436" s="129"/>
      <c r="H1436" s="129"/>
      <c r="I1436" s="132"/>
      <c r="J1436" s="132"/>
      <c r="K1436" s="135"/>
      <c r="L1436" s="132"/>
      <c r="M1436" s="132"/>
      <c r="N1436" s="129"/>
      <c r="O1436" s="132"/>
    </row>
    <row r="1437" spans="1:15" ht="15.75" customHeight="1">
      <c r="A1437" s="125"/>
      <c r="B1437" s="125"/>
      <c r="C1437" s="125"/>
      <c r="D1437" s="126"/>
      <c r="E1437" s="128"/>
      <c r="F1437" s="135"/>
      <c r="G1437" s="129"/>
      <c r="H1437" s="129"/>
      <c r="I1437" s="132"/>
      <c r="J1437" s="132"/>
      <c r="K1437" s="135"/>
      <c r="L1437" s="132"/>
      <c r="M1437" s="132"/>
      <c r="N1437" s="129"/>
      <c r="O1437" s="132"/>
    </row>
    <row r="1438" spans="1:15" ht="15.75" customHeight="1">
      <c r="A1438" s="125"/>
      <c r="B1438" s="125"/>
      <c r="C1438" s="125"/>
      <c r="D1438" s="126"/>
      <c r="E1438" s="128"/>
      <c r="F1438" s="135"/>
      <c r="G1438" s="129"/>
      <c r="H1438" s="129"/>
      <c r="I1438" s="132"/>
      <c r="J1438" s="132"/>
      <c r="K1438" s="135"/>
      <c r="L1438" s="132"/>
      <c r="M1438" s="132"/>
      <c r="N1438" s="129"/>
      <c r="O1438" s="132"/>
    </row>
    <row r="1439" spans="1:15" ht="15.75" customHeight="1">
      <c r="A1439" s="125"/>
      <c r="B1439" s="125"/>
      <c r="C1439" s="125"/>
      <c r="D1439" s="126"/>
      <c r="E1439" s="128"/>
      <c r="F1439" s="135"/>
      <c r="G1439" s="129"/>
      <c r="H1439" s="129"/>
      <c r="I1439" s="132"/>
      <c r="J1439" s="132"/>
      <c r="K1439" s="135"/>
      <c r="L1439" s="132"/>
      <c r="M1439" s="132"/>
      <c r="N1439" s="129"/>
      <c r="O1439" s="132"/>
    </row>
    <row r="1440" spans="1:15" ht="15.75" customHeight="1">
      <c r="A1440" s="125"/>
      <c r="B1440" s="125"/>
      <c r="C1440" s="125"/>
      <c r="D1440" s="126"/>
      <c r="E1440" s="128"/>
      <c r="F1440" s="135"/>
      <c r="G1440" s="129"/>
      <c r="H1440" s="129"/>
      <c r="I1440" s="132"/>
      <c r="J1440" s="132"/>
      <c r="K1440" s="135"/>
      <c r="L1440" s="132"/>
      <c r="M1440" s="132"/>
      <c r="N1440" s="129"/>
      <c r="O1440" s="132"/>
    </row>
    <row r="1441" spans="1:15" ht="15.75" customHeight="1">
      <c r="A1441" s="125"/>
      <c r="B1441" s="125"/>
      <c r="C1441" s="125"/>
      <c r="D1441" s="126"/>
      <c r="E1441" s="128"/>
      <c r="F1441" s="135"/>
      <c r="G1441" s="129"/>
      <c r="H1441" s="129"/>
      <c r="I1441" s="132"/>
      <c r="J1441" s="132"/>
      <c r="K1441" s="135"/>
      <c r="L1441" s="132"/>
      <c r="M1441" s="132"/>
      <c r="N1441" s="129"/>
      <c r="O1441" s="132"/>
    </row>
    <row r="1442" spans="1:15" ht="15.75" customHeight="1">
      <c r="A1442" s="125"/>
      <c r="B1442" s="125"/>
      <c r="C1442" s="125"/>
      <c r="D1442" s="126"/>
      <c r="E1442" s="128"/>
      <c r="F1442" s="135"/>
      <c r="G1442" s="129"/>
      <c r="H1442" s="129"/>
      <c r="I1442" s="132"/>
      <c r="J1442" s="132"/>
      <c r="K1442" s="135"/>
      <c r="L1442" s="132"/>
      <c r="M1442" s="132"/>
      <c r="N1442" s="129"/>
      <c r="O1442" s="132"/>
    </row>
    <row r="1443" spans="1:15" ht="15.75" customHeight="1">
      <c r="A1443" s="125"/>
      <c r="B1443" s="125"/>
      <c r="C1443" s="125"/>
      <c r="D1443" s="126"/>
      <c r="E1443" s="128"/>
      <c r="F1443" s="135"/>
      <c r="G1443" s="129"/>
      <c r="H1443" s="129"/>
      <c r="I1443" s="132"/>
      <c r="J1443" s="132"/>
      <c r="K1443" s="135"/>
      <c r="L1443" s="132"/>
      <c r="M1443" s="132"/>
      <c r="N1443" s="129"/>
      <c r="O1443" s="132"/>
    </row>
    <row r="1444" spans="1:15" ht="15.75" customHeight="1">
      <c r="A1444" s="125"/>
      <c r="B1444" s="125"/>
      <c r="C1444" s="125"/>
      <c r="D1444" s="126"/>
      <c r="E1444" s="128"/>
      <c r="F1444" s="135"/>
      <c r="G1444" s="129"/>
      <c r="H1444" s="129"/>
      <c r="I1444" s="132"/>
      <c r="J1444" s="132"/>
      <c r="K1444" s="135"/>
      <c r="L1444" s="132"/>
      <c r="M1444" s="132"/>
      <c r="N1444" s="129"/>
      <c r="O1444" s="132"/>
    </row>
    <row r="1445" spans="1:15" ht="15.75" customHeight="1">
      <c r="A1445" s="125"/>
      <c r="B1445" s="125"/>
      <c r="C1445" s="125"/>
      <c r="D1445" s="126"/>
      <c r="E1445" s="128"/>
      <c r="F1445" s="135"/>
      <c r="G1445" s="129"/>
      <c r="H1445" s="129"/>
      <c r="I1445" s="132"/>
      <c r="J1445" s="132"/>
      <c r="K1445" s="135"/>
      <c r="L1445" s="132"/>
      <c r="M1445" s="132"/>
      <c r="N1445" s="129"/>
      <c r="O1445" s="132"/>
    </row>
    <row r="1446" spans="1:15" ht="15.75" customHeight="1">
      <c r="A1446" s="125"/>
      <c r="B1446" s="125"/>
      <c r="C1446" s="125"/>
      <c r="D1446" s="126"/>
      <c r="E1446" s="128"/>
      <c r="F1446" s="135"/>
      <c r="G1446" s="129"/>
      <c r="H1446" s="129"/>
      <c r="I1446" s="132"/>
      <c r="J1446" s="132"/>
      <c r="K1446" s="135"/>
      <c r="L1446" s="132"/>
      <c r="M1446" s="132"/>
      <c r="N1446" s="129"/>
      <c r="O1446" s="132"/>
    </row>
    <row r="1447" spans="1:15" ht="15.75" customHeight="1">
      <c r="A1447" s="125"/>
      <c r="B1447" s="125"/>
      <c r="C1447" s="125"/>
      <c r="D1447" s="126"/>
      <c r="E1447" s="128"/>
      <c r="F1447" s="135"/>
      <c r="G1447" s="129"/>
      <c r="H1447" s="129"/>
      <c r="I1447" s="132"/>
      <c r="J1447" s="132"/>
      <c r="K1447" s="135"/>
      <c r="L1447" s="132"/>
      <c r="M1447" s="132"/>
      <c r="N1447" s="129"/>
      <c r="O1447" s="132"/>
    </row>
    <row r="1448" spans="1:15" ht="15.75" customHeight="1">
      <c r="A1448" s="125"/>
      <c r="B1448" s="125"/>
      <c r="C1448" s="125"/>
      <c r="D1448" s="126"/>
      <c r="E1448" s="128"/>
      <c r="F1448" s="135"/>
      <c r="G1448" s="129"/>
      <c r="H1448" s="129"/>
      <c r="I1448" s="132"/>
      <c r="J1448" s="132"/>
      <c r="K1448" s="135"/>
      <c r="L1448" s="132"/>
      <c r="M1448" s="132"/>
      <c r="N1448" s="129"/>
      <c r="O1448" s="132"/>
    </row>
    <row r="1449" spans="1:15" ht="15.75" customHeight="1">
      <c r="A1449" s="125"/>
      <c r="B1449" s="125"/>
      <c r="C1449" s="125"/>
      <c r="D1449" s="126"/>
      <c r="E1449" s="128"/>
      <c r="F1449" s="135"/>
      <c r="G1449" s="129"/>
      <c r="H1449" s="129"/>
      <c r="I1449" s="132"/>
      <c r="J1449" s="132"/>
      <c r="K1449" s="135"/>
      <c r="L1449" s="132"/>
      <c r="M1449" s="132"/>
      <c r="N1449" s="129"/>
      <c r="O1449" s="132"/>
    </row>
    <row r="1450" spans="1:15" ht="15.75" customHeight="1">
      <c r="A1450" s="125"/>
      <c r="B1450" s="125"/>
      <c r="C1450" s="125"/>
      <c r="D1450" s="126"/>
      <c r="E1450" s="128"/>
      <c r="F1450" s="135"/>
      <c r="G1450" s="129"/>
      <c r="H1450" s="129"/>
      <c r="I1450" s="132"/>
      <c r="J1450" s="132"/>
      <c r="K1450" s="135"/>
      <c r="L1450" s="132"/>
      <c r="M1450" s="132"/>
      <c r="N1450" s="129"/>
      <c r="O1450" s="132"/>
    </row>
    <row r="1451" spans="1:15" ht="15.75" customHeight="1">
      <c r="A1451" s="125"/>
      <c r="B1451" s="125"/>
      <c r="C1451" s="125"/>
      <c r="D1451" s="126"/>
      <c r="E1451" s="128"/>
      <c r="F1451" s="135"/>
      <c r="G1451" s="129"/>
      <c r="H1451" s="129"/>
      <c r="I1451" s="132"/>
      <c r="J1451" s="132"/>
      <c r="K1451" s="135"/>
      <c r="L1451" s="132"/>
      <c r="M1451" s="132"/>
      <c r="N1451" s="129"/>
      <c r="O1451" s="132"/>
    </row>
    <row r="1452" spans="1:15" ht="15.75" customHeight="1">
      <c r="A1452" s="125"/>
      <c r="B1452" s="125"/>
      <c r="C1452" s="125"/>
      <c r="D1452" s="126"/>
      <c r="E1452" s="128"/>
      <c r="F1452" s="135"/>
      <c r="G1452" s="129"/>
      <c r="H1452" s="129"/>
      <c r="I1452" s="132"/>
      <c r="J1452" s="132"/>
      <c r="K1452" s="135"/>
      <c r="L1452" s="132"/>
      <c r="M1452" s="132"/>
      <c r="N1452" s="129"/>
      <c r="O1452" s="132"/>
    </row>
    <row r="1453" spans="1:15" ht="15.75" customHeight="1">
      <c r="A1453" s="125"/>
      <c r="B1453" s="125"/>
      <c r="C1453" s="125"/>
      <c r="D1453" s="126"/>
      <c r="E1453" s="128"/>
      <c r="F1453" s="135"/>
      <c r="G1453" s="129"/>
      <c r="H1453" s="129"/>
      <c r="I1453" s="132"/>
      <c r="J1453" s="132"/>
      <c r="K1453" s="135"/>
      <c r="L1453" s="132"/>
      <c r="M1453" s="132"/>
      <c r="N1453" s="129"/>
      <c r="O1453" s="132"/>
    </row>
    <row r="1454" spans="1:15" ht="15.75" customHeight="1">
      <c r="A1454" s="125"/>
      <c r="B1454" s="125"/>
      <c r="C1454" s="125"/>
      <c r="D1454" s="126"/>
      <c r="E1454" s="128"/>
      <c r="F1454" s="135"/>
      <c r="G1454" s="129"/>
      <c r="H1454" s="129"/>
      <c r="I1454" s="132"/>
      <c r="J1454" s="132"/>
      <c r="K1454" s="135"/>
      <c r="L1454" s="132"/>
      <c r="M1454" s="132"/>
      <c r="N1454" s="129"/>
      <c r="O1454" s="132"/>
    </row>
    <row r="1455" spans="1:15" ht="15.75" customHeight="1">
      <c r="A1455" s="125"/>
      <c r="B1455" s="125"/>
      <c r="C1455" s="125"/>
      <c r="D1455" s="126"/>
      <c r="E1455" s="128"/>
      <c r="F1455" s="135"/>
      <c r="G1455" s="129"/>
      <c r="H1455" s="129"/>
      <c r="I1455" s="132"/>
      <c r="J1455" s="132"/>
      <c r="K1455" s="135"/>
      <c r="L1455" s="132"/>
      <c r="M1455" s="132"/>
      <c r="N1455" s="129"/>
      <c r="O1455" s="132"/>
    </row>
    <row r="1456" spans="1:15" ht="15.75" customHeight="1">
      <c r="A1456" s="125"/>
      <c r="B1456" s="125"/>
      <c r="C1456" s="125"/>
      <c r="D1456" s="126"/>
      <c r="E1456" s="128"/>
      <c r="F1456" s="135"/>
      <c r="G1456" s="129"/>
      <c r="H1456" s="129"/>
      <c r="I1456" s="132"/>
      <c r="J1456" s="132"/>
      <c r="K1456" s="135"/>
      <c r="L1456" s="132"/>
      <c r="M1456" s="132"/>
      <c r="N1456" s="129"/>
      <c r="O1456" s="132"/>
    </row>
    <row r="1457" spans="1:15" ht="15.75" customHeight="1">
      <c r="A1457" s="125"/>
      <c r="B1457" s="125"/>
      <c r="C1457" s="125"/>
      <c r="D1457" s="126"/>
      <c r="E1457" s="128"/>
      <c r="F1457" s="135"/>
      <c r="G1457" s="129"/>
      <c r="H1457" s="129"/>
      <c r="I1457" s="132"/>
      <c r="J1457" s="132"/>
      <c r="K1457" s="135"/>
      <c r="L1457" s="132"/>
      <c r="M1457" s="132"/>
      <c r="N1457" s="129"/>
      <c r="O1457" s="132"/>
    </row>
    <row r="1458" spans="1:15" ht="15.75" customHeight="1">
      <c r="A1458" s="125"/>
      <c r="B1458" s="125"/>
      <c r="C1458" s="125"/>
      <c r="D1458" s="126"/>
      <c r="E1458" s="128"/>
      <c r="F1458" s="135"/>
      <c r="G1458" s="129"/>
      <c r="H1458" s="129"/>
      <c r="I1458" s="132"/>
      <c r="J1458" s="132"/>
      <c r="K1458" s="135"/>
      <c r="L1458" s="132"/>
      <c r="M1458" s="132"/>
      <c r="N1458" s="129"/>
      <c r="O1458" s="132"/>
    </row>
    <row r="1459" spans="1:15" ht="15.75" customHeight="1">
      <c r="A1459" s="125"/>
      <c r="B1459" s="125"/>
      <c r="C1459" s="125"/>
      <c r="D1459" s="126"/>
      <c r="E1459" s="128"/>
      <c r="F1459" s="135"/>
      <c r="G1459" s="129"/>
      <c r="H1459" s="129"/>
      <c r="I1459" s="132"/>
      <c r="J1459" s="132"/>
      <c r="K1459" s="135"/>
      <c r="L1459" s="132"/>
      <c r="M1459" s="132"/>
      <c r="N1459" s="129"/>
      <c r="O1459" s="132"/>
    </row>
    <row r="1460" spans="1:15" ht="15.75" customHeight="1">
      <c r="A1460" s="125"/>
      <c r="B1460" s="125"/>
      <c r="C1460" s="125"/>
      <c r="D1460" s="126"/>
      <c r="E1460" s="128"/>
      <c r="F1460" s="135"/>
      <c r="G1460" s="129"/>
      <c r="H1460" s="129"/>
      <c r="I1460" s="132"/>
      <c r="J1460" s="132"/>
      <c r="K1460" s="135"/>
      <c r="L1460" s="132"/>
      <c r="M1460" s="132"/>
      <c r="N1460" s="129"/>
      <c r="O1460" s="132"/>
    </row>
    <row r="1461" spans="1:15" ht="15.75" customHeight="1">
      <c r="A1461" s="125"/>
      <c r="B1461" s="125"/>
      <c r="C1461" s="125"/>
      <c r="D1461" s="126"/>
      <c r="E1461" s="128"/>
      <c r="F1461" s="135"/>
      <c r="G1461" s="129"/>
      <c r="H1461" s="129"/>
      <c r="I1461" s="132"/>
      <c r="J1461" s="132"/>
      <c r="K1461" s="135"/>
      <c r="L1461" s="132"/>
      <c r="M1461" s="132"/>
      <c r="N1461" s="129"/>
      <c r="O1461" s="132"/>
    </row>
    <row r="1462" spans="1:15" ht="15.75" customHeight="1">
      <c r="A1462" s="125"/>
      <c r="B1462" s="125"/>
      <c r="C1462" s="125"/>
      <c r="D1462" s="126"/>
      <c r="E1462" s="128"/>
      <c r="F1462" s="135"/>
      <c r="G1462" s="129"/>
      <c r="H1462" s="129"/>
      <c r="I1462" s="132"/>
      <c r="J1462" s="132"/>
      <c r="K1462" s="135"/>
      <c r="L1462" s="132"/>
      <c r="M1462" s="132"/>
      <c r="N1462" s="129"/>
      <c r="O1462" s="132"/>
    </row>
    <row r="1463" spans="1:15" ht="15.75" customHeight="1">
      <c r="A1463" s="125"/>
      <c r="B1463" s="125"/>
      <c r="C1463" s="125"/>
      <c r="D1463" s="126"/>
      <c r="E1463" s="128"/>
      <c r="F1463" s="135"/>
      <c r="G1463" s="129"/>
      <c r="H1463" s="129"/>
      <c r="I1463" s="132"/>
      <c r="J1463" s="132"/>
      <c r="K1463" s="135"/>
      <c r="L1463" s="132"/>
      <c r="M1463" s="132"/>
      <c r="N1463" s="129"/>
      <c r="O1463" s="132"/>
    </row>
    <row r="1464" spans="1:15" ht="15.75" customHeight="1">
      <c r="A1464" s="125"/>
      <c r="B1464" s="125"/>
      <c r="C1464" s="125"/>
      <c r="D1464" s="126"/>
      <c r="E1464" s="128"/>
      <c r="F1464" s="135"/>
      <c r="G1464" s="129"/>
      <c r="H1464" s="129"/>
      <c r="I1464" s="132"/>
      <c r="J1464" s="132"/>
      <c r="K1464" s="135"/>
      <c r="L1464" s="132"/>
      <c r="M1464" s="132"/>
      <c r="N1464" s="129"/>
      <c r="O1464" s="132"/>
    </row>
    <row r="1465" spans="1:15" ht="15.75" customHeight="1">
      <c r="A1465" s="125"/>
      <c r="B1465" s="125"/>
      <c r="C1465" s="125"/>
      <c r="D1465" s="126"/>
      <c r="E1465" s="128"/>
      <c r="F1465" s="135"/>
      <c r="G1465" s="129"/>
      <c r="H1465" s="129"/>
      <c r="I1465" s="132"/>
      <c r="J1465" s="132"/>
      <c r="K1465" s="135"/>
      <c r="L1465" s="132"/>
      <c r="M1465" s="132"/>
      <c r="N1465" s="129"/>
      <c r="O1465" s="132"/>
    </row>
    <row r="1466" spans="1:15" ht="15.75" customHeight="1">
      <c r="A1466" s="125"/>
      <c r="B1466" s="125"/>
      <c r="C1466" s="125"/>
      <c r="D1466" s="126"/>
      <c r="E1466" s="128"/>
      <c r="F1466" s="135"/>
      <c r="G1466" s="129"/>
      <c r="H1466" s="129"/>
      <c r="I1466" s="132"/>
      <c r="J1466" s="132"/>
      <c r="K1466" s="135"/>
      <c r="L1466" s="132"/>
      <c r="M1466" s="132"/>
      <c r="N1466" s="129"/>
      <c r="O1466" s="132"/>
    </row>
    <row r="1467" spans="1:15" ht="15.75" customHeight="1">
      <c r="A1467" s="125"/>
      <c r="B1467" s="125"/>
      <c r="C1467" s="125"/>
      <c r="D1467" s="126"/>
      <c r="E1467" s="128"/>
      <c r="F1467" s="135"/>
      <c r="G1467" s="129"/>
      <c r="H1467" s="129"/>
      <c r="I1467" s="132"/>
      <c r="J1467" s="132"/>
      <c r="K1467" s="135"/>
      <c r="L1467" s="132"/>
      <c r="M1467" s="132"/>
      <c r="N1467" s="129"/>
      <c r="O1467" s="132"/>
    </row>
    <row r="1468" spans="1:15" ht="15.75" customHeight="1">
      <c r="A1468" s="125"/>
      <c r="B1468" s="125"/>
      <c r="C1468" s="125"/>
      <c r="D1468" s="126"/>
      <c r="E1468" s="128"/>
      <c r="F1468" s="135"/>
      <c r="G1468" s="129"/>
      <c r="H1468" s="129"/>
      <c r="I1468" s="132"/>
      <c r="J1468" s="132"/>
      <c r="K1468" s="135"/>
      <c r="L1468" s="132"/>
      <c r="M1468" s="132"/>
      <c r="N1468" s="129"/>
      <c r="O1468" s="132"/>
    </row>
    <row r="1469" spans="1:15" ht="15.75" customHeight="1">
      <c r="A1469" s="125"/>
      <c r="B1469" s="125"/>
      <c r="C1469" s="125"/>
      <c r="D1469" s="126"/>
      <c r="E1469" s="128"/>
      <c r="F1469" s="135"/>
      <c r="G1469" s="129"/>
      <c r="H1469" s="129"/>
      <c r="I1469" s="132"/>
      <c r="J1469" s="132"/>
      <c r="K1469" s="135"/>
      <c r="L1469" s="132"/>
      <c r="M1469" s="132"/>
      <c r="N1469" s="129"/>
      <c r="O1469" s="132"/>
    </row>
    <row r="1470" spans="1:15" ht="15.75" customHeight="1">
      <c r="A1470" s="125"/>
      <c r="B1470" s="125"/>
      <c r="C1470" s="125"/>
      <c r="D1470" s="126"/>
      <c r="E1470" s="128"/>
      <c r="F1470" s="135"/>
      <c r="G1470" s="129"/>
      <c r="H1470" s="129"/>
      <c r="I1470" s="132"/>
      <c r="J1470" s="132"/>
      <c r="K1470" s="135"/>
      <c r="L1470" s="132"/>
      <c r="M1470" s="132"/>
      <c r="N1470" s="129"/>
      <c r="O1470" s="132"/>
    </row>
    <row r="1471" spans="1:15" ht="15.75" customHeight="1">
      <c r="A1471" s="125"/>
      <c r="B1471" s="125"/>
      <c r="C1471" s="125"/>
      <c r="D1471" s="126"/>
      <c r="E1471" s="128"/>
      <c r="F1471" s="135"/>
      <c r="G1471" s="129"/>
      <c r="H1471" s="129"/>
      <c r="I1471" s="132"/>
      <c r="J1471" s="132"/>
      <c r="K1471" s="135"/>
      <c r="L1471" s="132"/>
      <c r="M1471" s="132"/>
      <c r="N1471" s="129"/>
      <c r="O1471" s="132"/>
    </row>
    <row r="1472" spans="1:15" ht="15.75" customHeight="1">
      <c r="A1472" s="125"/>
      <c r="B1472" s="125"/>
      <c r="C1472" s="125"/>
      <c r="D1472" s="126"/>
      <c r="E1472" s="128"/>
      <c r="F1472" s="135"/>
      <c r="G1472" s="129"/>
      <c r="H1472" s="129"/>
      <c r="I1472" s="132"/>
      <c r="J1472" s="132"/>
      <c r="K1472" s="135"/>
      <c r="L1472" s="132"/>
      <c r="M1472" s="132"/>
      <c r="N1472" s="129"/>
      <c r="O1472" s="132"/>
    </row>
    <row r="1473" spans="1:15" ht="15.75" customHeight="1">
      <c r="A1473" s="125"/>
      <c r="B1473" s="125"/>
      <c r="C1473" s="125"/>
      <c r="D1473" s="126"/>
      <c r="E1473" s="128"/>
      <c r="F1473" s="135"/>
      <c r="G1473" s="129"/>
      <c r="H1473" s="129"/>
      <c r="I1473" s="132"/>
      <c r="J1473" s="132"/>
      <c r="K1473" s="135"/>
      <c r="L1473" s="132"/>
      <c r="M1473" s="132"/>
      <c r="N1473" s="129"/>
      <c r="O1473" s="132"/>
    </row>
    <row r="1474" spans="1:15" ht="15.75" customHeight="1">
      <c r="A1474" s="125"/>
      <c r="B1474" s="125"/>
      <c r="C1474" s="125"/>
      <c r="D1474" s="126"/>
      <c r="E1474" s="128"/>
      <c r="F1474" s="135"/>
      <c r="G1474" s="129"/>
      <c r="H1474" s="129"/>
      <c r="I1474" s="132"/>
      <c r="J1474" s="132"/>
      <c r="K1474" s="135"/>
      <c r="L1474" s="132"/>
      <c r="M1474" s="132"/>
      <c r="N1474" s="129"/>
      <c r="O1474" s="132"/>
    </row>
    <row r="1475" spans="1:15" ht="15.75" customHeight="1">
      <c r="A1475" s="125"/>
      <c r="B1475" s="125"/>
      <c r="C1475" s="125"/>
      <c r="D1475" s="126"/>
      <c r="E1475" s="128"/>
      <c r="F1475" s="135"/>
      <c r="G1475" s="129"/>
      <c r="H1475" s="129"/>
      <c r="I1475" s="132"/>
      <c r="J1475" s="132"/>
      <c r="K1475" s="135"/>
      <c r="L1475" s="132"/>
      <c r="M1475" s="132"/>
      <c r="N1475" s="129"/>
      <c r="O1475" s="132"/>
    </row>
    <row r="1476" spans="1:15" ht="15.75" customHeight="1">
      <c r="A1476" s="125"/>
      <c r="B1476" s="125"/>
      <c r="C1476" s="125"/>
      <c r="D1476" s="126"/>
      <c r="E1476" s="128"/>
      <c r="F1476" s="135"/>
      <c r="G1476" s="129"/>
      <c r="H1476" s="129"/>
      <c r="I1476" s="132"/>
      <c r="J1476" s="132"/>
      <c r="K1476" s="135"/>
      <c r="L1476" s="132"/>
      <c r="M1476" s="132"/>
      <c r="N1476" s="129"/>
      <c r="O1476" s="132"/>
    </row>
    <row r="1477" spans="1:15" ht="15.75" customHeight="1">
      <c r="A1477" s="125"/>
      <c r="B1477" s="125"/>
      <c r="C1477" s="125"/>
      <c r="D1477" s="126"/>
      <c r="E1477" s="128"/>
      <c r="F1477" s="135"/>
      <c r="G1477" s="129"/>
      <c r="H1477" s="129"/>
      <c r="I1477" s="132"/>
      <c r="J1477" s="132"/>
      <c r="K1477" s="135"/>
      <c r="L1477" s="132"/>
      <c r="M1477" s="132"/>
      <c r="N1477" s="129"/>
      <c r="O1477" s="132"/>
    </row>
    <row r="1478" spans="1:15" ht="15.75" customHeight="1">
      <c r="A1478" s="125"/>
      <c r="B1478" s="125"/>
      <c r="C1478" s="125"/>
      <c r="D1478" s="126"/>
      <c r="E1478" s="128"/>
      <c r="F1478" s="135"/>
      <c r="G1478" s="129"/>
      <c r="H1478" s="129"/>
      <c r="I1478" s="132"/>
      <c r="J1478" s="132"/>
      <c r="K1478" s="135"/>
      <c r="L1478" s="132"/>
      <c r="M1478" s="132"/>
      <c r="N1478" s="129"/>
      <c r="O1478" s="132"/>
    </row>
    <row r="1479" spans="1:15" ht="15.75" customHeight="1">
      <c r="A1479" s="125"/>
      <c r="B1479" s="125"/>
      <c r="C1479" s="125"/>
      <c r="D1479" s="126"/>
      <c r="E1479" s="128"/>
      <c r="F1479" s="135"/>
      <c r="G1479" s="129"/>
      <c r="H1479" s="129"/>
      <c r="I1479" s="132"/>
      <c r="J1479" s="132"/>
      <c r="K1479" s="135"/>
      <c r="L1479" s="132"/>
      <c r="M1479" s="132"/>
      <c r="N1479" s="129"/>
      <c r="O1479" s="132"/>
    </row>
    <row r="1480" spans="1:15" ht="15.75" customHeight="1">
      <c r="A1480" s="125"/>
      <c r="B1480" s="125"/>
      <c r="C1480" s="125"/>
      <c r="D1480" s="126"/>
      <c r="E1480" s="128"/>
      <c r="F1480" s="135"/>
      <c r="G1480" s="129"/>
      <c r="H1480" s="129"/>
      <c r="I1480" s="132"/>
      <c r="J1480" s="132"/>
      <c r="K1480" s="135"/>
      <c r="L1480" s="132"/>
      <c r="M1480" s="132"/>
      <c r="N1480" s="129"/>
      <c r="O1480" s="132"/>
    </row>
    <row r="1481" spans="1:15" ht="15.75" customHeight="1">
      <c r="A1481" s="125"/>
      <c r="B1481" s="125"/>
      <c r="C1481" s="125"/>
      <c r="D1481" s="126"/>
      <c r="E1481" s="128"/>
      <c r="F1481" s="135"/>
      <c r="G1481" s="129"/>
      <c r="H1481" s="129"/>
      <c r="I1481" s="132"/>
      <c r="J1481" s="132"/>
      <c r="K1481" s="135"/>
      <c r="L1481" s="132"/>
      <c r="M1481" s="132"/>
      <c r="N1481" s="129"/>
      <c r="O1481" s="132"/>
    </row>
  </sheetData>
  <customSheetViews>
    <customSheetView guid="{647C8B18-C7F0-4707-B0C0-38457E97BAD2}" filter="1" showAutoFilter="1">
      <pageMargins left="0.7" right="0.7" top="0.75" bottom="0.75" header="0.3" footer="0.3"/>
      <autoFilter ref="A1:AJ1122"/>
    </customSheetView>
    <customSheetView guid="{448E872C-185B-42E9-9393-93457B29FC18}" filter="1" showAutoFilter="1">
      <pageMargins left="0.7" right="0.7" top="0.75" bottom="0.75" header="0.3" footer="0.3"/>
      <autoFilter ref="A1:AJ1122"/>
    </customSheetView>
  </customSheetViews>
  <dataValidations count="2">
    <dataValidation type="list" allowBlank="1" sqref="C2:C1123 C1129:C1135">
      <formula1>#REF!</formula1>
    </dataValidation>
    <dataValidation type="list" allowBlank="1" sqref="N2:N1123 B2:B1122">
      <formula1>#REF!</formula1>
    </dataValidation>
  </dataValidations>
  <pageMargins left="0.25" right="0.25" top="0.75" bottom="0.75" header="0" footer="0"/>
  <pageSetup paperSize="5"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pageSetUpPr fitToPage="1"/>
  </sheetPr>
  <dimension ref="A1:AE1481"/>
  <sheetViews>
    <sheetView workbookViewId="0">
      <pane ySplit="1" topLeftCell="A2" activePane="bottomLeft" state="frozen"/>
      <selection pane="bottomLeft" activeCell="B3" sqref="B3"/>
    </sheetView>
  </sheetViews>
  <sheetFormatPr baseColWidth="10" defaultColWidth="12.5703125" defaultRowHeight="15.75" customHeight="1"/>
  <cols>
    <col min="1" max="1" width="9.28515625" customWidth="1"/>
    <col min="2" max="2" width="4.85546875" customWidth="1"/>
    <col min="3" max="3" width="10.42578125" customWidth="1"/>
    <col min="4" max="4" width="3.5703125" customWidth="1"/>
    <col min="5" max="5" width="13.7109375" customWidth="1"/>
    <col min="6" max="6" width="34.42578125" customWidth="1"/>
    <col min="7" max="7" width="15.42578125" customWidth="1"/>
    <col min="8" max="8" width="19" customWidth="1"/>
    <col min="9" max="9" width="9.7109375" customWidth="1"/>
    <col min="10" max="10" width="15.7109375" customWidth="1"/>
    <col min="11" max="11" width="11.5703125" customWidth="1"/>
    <col min="12" max="12" width="9.5703125" customWidth="1"/>
    <col min="13" max="13" width="13.85546875" customWidth="1"/>
    <col min="14" max="14" width="12" customWidth="1"/>
    <col min="15" max="16" width="12.42578125" customWidth="1"/>
    <col min="17" max="19" width="15.42578125" customWidth="1"/>
    <col min="20" max="20" width="26.7109375" customWidth="1"/>
    <col min="21" max="21" width="14.140625" customWidth="1"/>
    <col min="22" max="22" width="24.28515625" customWidth="1"/>
    <col min="23" max="23" width="49.7109375" customWidth="1"/>
    <col min="24" max="24" width="27.42578125" customWidth="1"/>
    <col min="25" max="25" width="32.28515625" customWidth="1"/>
    <col min="26" max="29" width="8.42578125" customWidth="1"/>
    <col min="30" max="30" width="9.140625" customWidth="1"/>
    <col min="31" max="31" width="23.140625" customWidth="1"/>
  </cols>
  <sheetData>
    <row r="1" spans="1:31" ht="71.25">
      <c r="A1" s="1" t="s">
        <v>0</v>
      </c>
      <c r="B1" s="1" t="s">
        <v>1</v>
      </c>
      <c r="C1" s="1" t="s">
        <v>2</v>
      </c>
      <c r="D1" s="1" t="s">
        <v>3</v>
      </c>
      <c r="E1" s="2" t="s">
        <v>4</v>
      </c>
      <c r="F1" s="2" t="s">
        <v>5</v>
      </c>
      <c r="G1" s="2" t="s">
        <v>6</v>
      </c>
      <c r="H1" s="2" t="s">
        <v>7</v>
      </c>
      <c r="I1" s="2"/>
      <c r="J1" s="2" t="s">
        <v>8</v>
      </c>
      <c r="K1" s="172" t="s">
        <v>9</v>
      </c>
      <c r="L1" s="2" t="s">
        <v>10</v>
      </c>
      <c r="M1" s="2" t="s">
        <v>11</v>
      </c>
      <c r="N1" s="2" t="s">
        <v>12</v>
      </c>
      <c r="O1" s="2" t="s">
        <v>13</v>
      </c>
      <c r="P1" s="2"/>
      <c r="Q1" s="2" t="s">
        <v>14</v>
      </c>
      <c r="R1" s="4" t="s">
        <v>15</v>
      </c>
      <c r="S1" s="4" t="s">
        <v>16</v>
      </c>
      <c r="T1" s="1" t="s">
        <v>17</v>
      </c>
      <c r="U1" s="4" t="s">
        <v>18</v>
      </c>
      <c r="V1" s="2" t="s">
        <v>19</v>
      </c>
      <c r="W1" s="4" t="s">
        <v>20</v>
      </c>
      <c r="X1" s="4" t="s">
        <v>21</v>
      </c>
      <c r="Y1" s="4" t="s">
        <v>8428</v>
      </c>
      <c r="Z1" s="6" t="s">
        <v>23</v>
      </c>
      <c r="AA1" s="7"/>
      <c r="AB1" s="8" t="s">
        <v>24</v>
      </c>
      <c r="AC1" s="8" t="s">
        <v>25</v>
      </c>
      <c r="AD1" s="8" t="s">
        <v>13</v>
      </c>
    </row>
    <row r="2" spans="1:31" ht="15.75" customHeight="1">
      <c r="A2" s="9" t="s">
        <v>26</v>
      </c>
      <c r="B2" s="10" t="s">
        <v>27</v>
      </c>
      <c r="C2" s="11" t="s">
        <v>28</v>
      </c>
      <c r="D2" s="12"/>
      <c r="E2" s="13" t="s">
        <v>29</v>
      </c>
      <c r="F2" s="6" t="s">
        <v>30</v>
      </c>
      <c r="G2" s="15" t="str">
        <f ca="1">IFERROR(__xludf.DUMMYFUNCTION("CONCATENATE($B2,(VLOOKUP($C2,CATALOGOS!$F$2:$H$6,3,FALSE)),(VLOOKUP($V2,CATALOGOS!$J$2:$K$18,2,FALSE)),""-"",TO_TEXT(A2))"),"P05DA-0001")</f>
        <v>P05DA-0001</v>
      </c>
      <c r="H2" s="6" t="str">
        <f ca="1">IFERROR(__xludf.DUMMYFUNCTION("CONCATENATE($B2,(VLOOKUP($C2,CATALOGOS!$F$2:$H$6,3,FALSE)),(VLOOKUP($V2,CATALOGOS!$J$2:$K$18,2,FALSE)),""-"",TO_TEXT($A2))"),"P05DA-0001")</f>
        <v>P05DA-0001</v>
      </c>
      <c r="I2" s="16" t="str">
        <f t="shared" ref="I2:I19" ca="1" si="0">H2</f>
        <v>P05DA-0001</v>
      </c>
      <c r="J2" s="6" t="s">
        <v>31</v>
      </c>
      <c r="K2" s="6" t="s">
        <v>32</v>
      </c>
      <c r="L2" s="6" t="s">
        <v>33</v>
      </c>
      <c r="M2" s="6" t="s">
        <v>34</v>
      </c>
      <c r="N2" s="17"/>
      <c r="O2" s="17"/>
      <c r="P2" s="17" t="str">
        <f t="shared" ref="P2:P14" si="1">IF(COUNTIF($M$2:$M$997,M2)&gt;1,"REPETIDO","OK")</f>
        <v>OK</v>
      </c>
      <c r="Q2" s="17" t="s">
        <v>35</v>
      </c>
      <c r="R2" s="6" t="s">
        <v>35</v>
      </c>
      <c r="S2" s="6" t="s">
        <v>36</v>
      </c>
      <c r="T2" s="10" t="s">
        <v>37</v>
      </c>
      <c r="U2" s="173" t="s">
        <v>38</v>
      </c>
      <c r="V2" s="11" t="s">
        <v>28</v>
      </c>
      <c r="W2" s="20" t="s">
        <v>39</v>
      </c>
      <c r="X2" s="22" t="s">
        <v>40</v>
      </c>
      <c r="Y2" s="22"/>
      <c r="Z2" s="6"/>
      <c r="AA2" s="6"/>
      <c r="AB2" s="23"/>
      <c r="AC2" s="24"/>
      <c r="AE2" s="25" t="s">
        <v>41</v>
      </c>
    </row>
    <row r="3" spans="1:31" ht="15.75" customHeight="1">
      <c r="A3" s="9" t="s">
        <v>42</v>
      </c>
      <c r="B3" s="10" t="s">
        <v>27</v>
      </c>
      <c r="C3" s="11" t="s">
        <v>28</v>
      </c>
      <c r="D3" s="12"/>
      <c r="E3" s="13" t="s">
        <v>43</v>
      </c>
      <c r="F3" s="6" t="s">
        <v>44</v>
      </c>
      <c r="G3" s="15" t="str">
        <f ca="1">IFERROR(__xludf.DUMMYFUNCTION("CONCATENATE(B3,(VLOOKUP(C3,CATALOGOS!$F$2:$H$6,3,FALSE)),(VLOOKUP($V3,CATALOGOS!$J$2:$K$18,2,FALSE)),""-"",TO_TEXT(A3))"),"P05DA-0002")</f>
        <v>P05DA-0002</v>
      </c>
      <c r="H3" s="6" t="str">
        <f ca="1">IFERROR(__xludf.DUMMYFUNCTION("CONCATENATE($B3,(VLOOKUP($C3,CATALOGOS!$F$2:$H$6,3,FALSE)),(VLOOKUP($V3,CATALOGOS!$J$2:$K$18,2,FALSE)),""-"",TO_TEXT($A3))"),"P05DA-0002")</f>
        <v>P05DA-0002</v>
      </c>
      <c r="I3" s="16" t="str">
        <f t="shared" ca="1" si="0"/>
        <v>P05DA-0002</v>
      </c>
      <c r="J3" s="6" t="s">
        <v>45</v>
      </c>
      <c r="K3" s="6" t="s">
        <v>46</v>
      </c>
      <c r="L3" s="6" t="s">
        <v>47</v>
      </c>
      <c r="M3" s="6" t="s">
        <v>48</v>
      </c>
      <c r="N3" s="17"/>
      <c r="O3" s="17"/>
      <c r="P3" s="17" t="str">
        <f t="shared" si="1"/>
        <v>OK</v>
      </c>
      <c r="Q3" s="17" t="s">
        <v>49</v>
      </c>
      <c r="R3" s="6">
        <v>3358</v>
      </c>
      <c r="S3" s="6" t="s">
        <v>36</v>
      </c>
      <c r="T3" s="10" t="s">
        <v>50</v>
      </c>
      <c r="U3" s="173" t="s">
        <v>38</v>
      </c>
      <c r="V3" s="11" t="s">
        <v>28</v>
      </c>
      <c r="W3" s="22" t="s">
        <v>40</v>
      </c>
      <c r="X3" s="22" t="s">
        <v>40</v>
      </c>
      <c r="Y3" s="22"/>
      <c r="AB3" s="23"/>
      <c r="AC3" s="26"/>
      <c r="AE3" s="27" t="s">
        <v>51</v>
      </c>
    </row>
    <row r="4" spans="1:31" ht="15.75" customHeight="1">
      <c r="A4" s="9" t="s">
        <v>52</v>
      </c>
      <c r="B4" s="10" t="s">
        <v>27</v>
      </c>
      <c r="C4" s="11" t="s">
        <v>28</v>
      </c>
      <c r="D4" s="12"/>
      <c r="E4" s="13" t="s">
        <v>53</v>
      </c>
      <c r="F4" s="6" t="s">
        <v>54</v>
      </c>
      <c r="G4" s="15" t="str">
        <f ca="1">IFERROR(__xludf.DUMMYFUNCTION("CONCATENATE(B4,(VLOOKUP(C4,CATALOGOS!$F$2:$H$6,3,FALSE)),(VLOOKUP($V4,CATALOGOS!$J$2:$K$18,2,FALSE)),""-"",TO_TEXT(A4))"),"P05DA-0003")</f>
        <v>P05DA-0003</v>
      </c>
      <c r="H4" s="6" t="str">
        <f ca="1">IFERROR(__xludf.DUMMYFUNCTION("CONCATENATE($B4,(VLOOKUP($C4,CATALOGOS!$F$2:$H$6,3,FALSE)),(VLOOKUP($V4,CATALOGOS!$J$2:$K$18,2,FALSE)),""-"",TO_TEXT($A4))"),"P05DA-0003")</f>
        <v>P05DA-0003</v>
      </c>
      <c r="I4" s="16" t="str">
        <f t="shared" ca="1" si="0"/>
        <v>P05DA-0003</v>
      </c>
      <c r="J4" s="6" t="s">
        <v>55</v>
      </c>
      <c r="K4" s="6" t="s">
        <v>56</v>
      </c>
      <c r="L4" s="6" t="s">
        <v>57</v>
      </c>
      <c r="M4" s="6" t="s">
        <v>58</v>
      </c>
      <c r="N4" s="17"/>
      <c r="O4" s="17"/>
      <c r="P4" s="17" t="str">
        <f t="shared" si="1"/>
        <v>OK</v>
      </c>
      <c r="Q4" s="17" t="s">
        <v>35</v>
      </c>
      <c r="R4" s="6" t="s">
        <v>35</v>
      </c>
      <c r="S4" s="6" t="s">
        <v>36</v>
      </c>
      <c r="T4" s="10" t="s">
        <v>59</v>
      </c>
      <c r="U4" s="173" t="s">
        <v>38</v>
      </c>
      <c r="V4" s="174" t="s">
        <v>28</v>
      </c>
      <c r="W4" s="22" t="s">
        <v>40</v>
      </c>
      <c r="X4" s="22" t="s">
        <v>40</v>
      </c>
      <c r="Y4" s="22"/>
      <c r="Z4" s="6"/>
      <c r="AA4" s="6"/>
      <c r="AB4" s="23"/>
      <c r="AC4" s="24"/>
      <c r="AE4" s="29" t="s">
        <v>60</v>
      </c>
    </row>
    <row r="5" spans="1:31" ht="15.75" customHeight="1">
      <c r="A5" s="10" t="s">
        <v>61</v>
      </c>
      <c r="B5" s="10" t="s">
        <v>27</v>
      </c>
      <c r="C5" s="11" t="s">
        <v>28</v>
      </c>
      <c r="D5" s="12"/>
      <c r="E5" s="13" t="s">
        <v>62</v>
      </c>
      <c r="F5" s="6" t="s">
        <v>63</v>
      </c>
      <c r="G5" s="15" t="str">
        <f ca="1">IFERROR(__xludf.DUMMYFUNCTION("CONCATENATE(B5,(VLOOKUP(C5,CATALOGOS!$F$2:$H$6,3,FALSE)),(VLOOKUP($V5,CATALOGOS!$J$2:$K$18,2,FALSE)),""-"",TO_TEXT(A5))"),"P05DA-0004")</f>
        <v>P05DA-0004</v>
      </c>
      <c r="H5" s="6" t="str">
        <f ca="1">IFERROR(__xludf.DUMMYFUNCTION("CONCATENATE($B5,(VLOOKUP($C5,CATALOGOS!$F$2:$H$6,3,FALSE)),(VLOOKUP($V5,CATALOGOS!$J$2:$K$18,2,FALSE)),""-"",TO_TEXT($A5))"),"P05DA-0004")</f>
        <v>P05DA-0004</v>
      </c>
      <c r="I5" s="16" t="str">
        <f t="shared" ca="1" si="0"/>
        <v>P05DA-0004</v>
      </c>
      <c r="J5" s="6" t="s">
        <v>64</v>
      </c>
      <c r="K5" s="6" t="s">
        <v>65</v>
      </c>
      <c r="L5" s="6" t="s">
        <v>66</v>
      </c>
      <c r="M5" s="6" t="s">
        <v>67</v>
      </c>
      <c r="N5" s="17"/>
      <c r="O5" s="17"/>
      <c r="P5" s="17" t="str">
        <f t="shared" si="1"/>
        <v>OK</v>
      </c>
      <c r="Q5" s="17" t="s">
        <v>35</v>
      </c>
      <c r="R5" s="6" t="s">
        <v>35</v>
      </c>
      <c r="S5" s="6" t="s">
        <v>36</v>
      </c>
      <c r="T5" s="10" t="s">
        <v>68</v>
      </c>
      <c r="U5" s="173" t="s">
        <v>38</v>
      </c>
      <c r="V5" s="11" t="s">
        <v>28</v>
      </c>
      <c r="W5" s="20" t="s">
        <v>39</v>
      </c>
      <c r="X5" s="22" t="s">
        <v>40</v>
      </c>
      <c r="Y5" s="22"/>
      <c r="Z5" s="7"/>
      <c r="AA5" s="7"/>
      <c r="AB5" s="23"/>
      <c r="AC5" s="26"/>
      <c r="AE5" s="30" t="s">
        <v>69</v>
      </c>
    </row>
    <row r="6" spans="1:31" ht="15.75" customHeight="1">
      <c r="A6" s="10" t="s">
        <v>70</v>
      </c>
      <c r="B6" s="10" t="s">
        <v>27</v>
      </c>
      <c r="C6" s="11" t="s">
        <v>28</v>
      </c>
      <c r="D6" s="12"/>
      <c r="E6" s="13" t="s">
        <v>71</v>
      </c>
      <c r="F6" s="6" t="s">
        <v>72</v>
      </c>
      <c r="G6" s="15" t="str">
        <f ca="1">IFERROR(__xludf.DUMMYFUNCTION("CONCATENATE(B6,(VLOOKUP(C6,CATALOGOS!$F$2:$H$6,3,FALSE)),(VLOOKUP(V6,CATALOGOS!$J$2:$K$18,2,FALSE)),""-"",TO_TEXT(A6))"),"P05DA-0005")</f>
        <v>P05DA-0005</v>
      </c>
      <c r="H6" s="6" t="str">
        <f ca="1">IFERROR(__xludf.DUMMYFUNCTION("CONCATENATE($B6,(VLOOKUP($C6,CATALOGOS!$F$2:$H$6,3,FALSE)),(VLOOKUP($V6,CATALOGOS!$J$2:$K$18,2,FALSE)),""-"",TO_TEXT($A6))"),"P05DA-0005")</f>
        <v>P05DA-0005</v>
      </c>
      <c r="I6" s="16" t="str">
        <f t="shared" ca="1" si="0"/>
        <v>P05DA-0005</v>
      </c>
      <c r="J6" s="6" t="s">
        <v>73</v>
      </c>
      <c r="K6" s="6" t="s">
        <v>74</v>
      </c>
      <c r="L6" s="6" t="s">
        <v>75</v>
      </c>
      <c r="M6" s="6" t="s">
        <v>76</v>
      </c>
      <c r="N6" s="17"/>
      <c r="O6" s="17"/>
      <c r="P6" s="17" t="str">
        <f t="shared" si="1"/>
        <v>OK</v>
      </c>
      <c r="Q6" s="17" t="s">
        <v>35</v>
      </c>
      <c r="R6" s="6" t="s">
        <v>35</v>
      </c>
      <c r="S6" s="6" t="s">
        <v>36</v>
      </c>
      <c r="T6" s="10" t="s">
        <v>77</v>
      </c>
      <c r="U6" s="173" t="s">
        <v>38</v>
      </c>
      <c r="V6" s="11" t="s">
        <v>28</v>
      </c>
      <c r="W6" s="22" t="s">
        <v>40</v>
      </c>
      <c r="X6" s="22" t="s">
        <v>40</v>
      </c>
      <c r="Y6" s="22"/>
      <c r="Z6" s="7"/>
      <c r="AA6" s="7"/>
      <c r="AB6" s="23"/>
      <c r="AC6" s="26"/>
      <c r="AE6" s="31" t="s">
        <v>78</v>
      </c>
    </row>
    <row r="7" spans="1:31" ht="15.75" customHeight="1">
      <c r="A7" s="10" t="s">
        <v>79</v>
      </c>
      <c r="B7" s="10" t="s">
        <v>27</v>
      </c>
      <c r="C7" s="11" t="s">
        <v>28</v>
      </c>
      <c r="D7" s="12"/>
      <c r="E7" s="13" t="s">
        <v>80</v>
      </c>
      <c r="F7" s="6" t="s">
        <v>81</v>
      </c>
      <c r="G7" s="15" t="str">
        <f ca="1">IFERROR(__xludf.DUMMYFUNCTION("CONCATENATE(B7,(VLOOKUP(C7,CATALOGOS!$F$2:$H$6,3,FALSE)),(VLOOKUP(V7,CATALOGOS!$J$2:$K$18,2,FALSE)),""-"",TO_TEXT(A7))"),"P05DA-0006")</f>
        <v>P05DA-0006</v>
      </c>
      <c r="H7" s="6" t="str">
        <f ca="1">IFERROR(__xludf.DUMMYFUNCTION("CONCATENATE($B7,(VLOOKUP($C7,CATALOGOS!$F$2:$H$6,3,FALSE)),(VLOOKUP($V7,CATALOGOS!$J$2:$K$18,2,FALSE)),""-"",TO_TEXT($A7))"),"P05DA-0006")</f>
        <v>P05DA-0006</v>
      </c>
      <c r="I7" s="16" t="str">
        <f t="shared" ca="1" si="0"/>
        <v>P05DA-0006</v>
      </c>
      <c r="J7" s="6" t="s">
        <v>82</v>
      </c>
      <c r="K7" s="6" t="s">
        <v>83</v>
      </c>
      <c r="L7" s="6">
        <v>0</v>
      </c>
      <c r="M7" s="32" t="s">
        <v>84</v>
      </c>
      <c r="N7" s="17"/>
      <c r="O7" s="17"/>
      <c r="P7" s="17" t="str">
        <f t="shared" si="1"/>
        <v>OK</v>
      </c>
      <c r="Q7" s="17" t="s">
        <v>35</v>
      </c>
      <c r="R7" s="6" t="s">
        <v>35</v>
      </c>
      <c r="S7" s="6" t="s">
        <v>36</v>
      </c>
      <c r="T7" s="10" t="s">
        <v>85</v>
      </c>
      <c r="U7" s="173" t="s">
        <v>38</v>
      </c>
      <c r="V7" s="11" t="s">
        <v>28</v>
      </c>
      <c r="W7" s="22" t="s">
        <v>40</v>
      </c>
      <c r="X7" s="22" t="s">
        <v>40</v>
      </c>
      <c r="Y7" s="22"/>
      <c r="Z7" s="6"/>
      <c r="AA7" s="6"/>
      <c r="AB7" s="23"/>
      <c r="AC7" s="33"/>
      <c r="AE7" s="34" t="s">
        <v>86</v>
      </c>
    </row>
    <row r="8" spans="1:31" ht="15.75" customHeight="1">
      <c r="A8" s="10" t="s">
        <v>87</v>
      </c>
      <c r="B8" s="10" t="s">
        <v>27</v>
      </c>
      <c r="C8" s="11" t="s">
        <v>28</v>
      </c>
      <c r="D8" s="12"/>
      <c r="E8" s="13" t="s">
        <v>80</v>
      </c>
      <c r="F8" s="6" t="s">
        <v>8429</v>
      </c>
      <c r="G8" s="15" t="str">
        <f ca="1">IFERROR(__xludf.DUMMYFUNCTION("CONCATENATE(B8,(VLOOKUP(C8,CATALOGOS!$F$2:$H$6,3,FALSE)),(VLOOKUP(V8,CATALOGOS!$J$2:$K$18,2,FALSE)),""-"",TO_TEXT(A8))"),"P05DA-0007")</f>
        <v>P05DA-0007</v>
      </c>
      <c r="H8" s="6" t="str">
        <f ca="1">IFERROR(__xludf.DUMMYFUNCTION("CONCATENATE($B8,(VLOOKUP($C8,CATALOGOS!$F$2:$H$6,3,FALSE)),(VLOOKUP($V8,CATALOGOS!$J$2:$K$18,2,FALSE)),""-"",TO_TEXT($A8))"),"P05DA-0007")</f>
        <v>P05DA-0007</v>
      </c>
      <c r="I8" s="16" t="str">
        <f t="shared" ca="1" si="0"/>
        <v>P05DA-0007</v>
      </c>
      <c r="J8" s="6" t="s">
        <v>7389</v>
      </c>
      <c r="K8" s="6" t="s">
        <v>88</v>
      </c>
      <c r="L8" s="6" t="s">
        <v>89</v>
      </c>
      <c r="M8" s="6" t="s">
        <v>8430</v>
      </c>
      <c r="N8" s="17"/>
      <c r="O8" s="17"/>
      <c r="P8" s="17" t="str">
        <f t="shared" si="1"/>
        <v>OK</v>
      </c>
      <c r="Q8" s="17" t="s">
        <v>35</v>
      </c>
      <c r="R8" s="6" t="s">
        <v>35</v>
      </c>
      <c r="S8" s="6" t="s">
        <v>36</v>
      </c>
      <c r="T8" s="10" t="s">
        <v>91</v>
      </c>
      <c r="U8" s="173" t="s">
        <v>38</v>
      </c>
      <c r="V8" s="11" t="s">
        <v>28</v>
      </c>
      <c r="W8" s="20" t="s">
        <v>39</v>
      </c>
      <c r="X8" s="22" t="s">
        <v>40</v>
      </c>
      <c r="Y8" s="22"/>
      <c r="Z8" s="7"/>
      <c r="AA8" s="7"/>
      <c r="AB8" s="23"/>
      <c r="AC8" s="26"/>
      <c r="AE8" s="175" t="s">
        <v>8431</v>
      </c>
    </row>
    <row r="9" spans="1:31" ht="15.75" customHeight="1">
      <c r="A9" s="10" t="s">
        <v>92</v>
      </c>
      <c r="B9" s="10" t="s">
        <v>27</v>
      </c>
      <c r="C9" s="11" t="s">
        <v>28</v>
      </c>
      <c r="D9" s="12"/>
      <c r="E9" s="13" t="s">
        <v>93</v>
      </c>
      <c r="F9" s="6" t="s">
        <v>94</v>
      </c>
      <c r="G9" s="15" t="str">
        <f ca="1">IFERROR(__xludf.DUMMYFUNCTION("CONCATENATE(B9,(VLOOKUP(C9,CATALOGOS!$F$2:$H$6,3,FALSE)),(VLOOKUP(V9,CATALOGOS!$J$2:$K$18,2,FALSE)),""-"",TO_TEXT(A9))"),"P05DA-0008")</f>
        <v>P05DA-0008</v>
      </c>
      <c r="H9" s="6" t="str">
        <f ca="1">IFERROR(__xludf.DUMMYFUNCTION("CONCATENATE($B9,(VLOOKUP($C9,CATALOGOS!$F$2:$H$6,3,FALSE)),(VLOOKUP($V9,CATALOGOS!$J$2:$K$18,2,FALSE)),""-"",TO_TEXT($A9))"),"P05DA-0008")</f>
        <v>P05DA-0008</v>
      </c>
      <c r="I9" s="16" t="str">
        <f t="shared" ca="1" si="0"/>
        <v>P05DA-0008</v>
      </c>
      <c r="J9" s="6" t="s">
        <v>95</v>
      </c>
      <c r="K9" s="6" t="s">
        <v>96</v>
      </c>
      <c r="L9" s="6" t="s">
        <v>97</v>
      </c>
      <c r="M9" s="6" t="s">
        <v>98</v>
      </c>
      <c r="N9" s="17"/>
      <c r="O9" s="17"/>
      <c r="P9" s="17" t="str">
        <f t="shared" si="1"/>
        <v>OK</v>
      </c>
      <c r="Q9" s="17" t="s">
        <v>35</v>
      </c>
      <c r="R9" s="6" t="s">
        <v>35</v>
      </c>
      <c r="S9" s="6" t="s">
        <v>36</v>
      </c>
      <c r="T9" s="10" t="s">
        <v>99</v>
      </c>
      <c r="U9" s="173" t="s">
        <v>100</v>
      </c>
      <c r="V9" s="11" t="s">
        <v>28</v>
      </c>
      <c r="W9" s="22" t="s">
        <v>40</v>
      </c>
      <c r="X9" s="22" t="s">
        <v>40</v>
      </c>
      <c r="Y9" s="22"/>
      <c r="Z9" s="6" t="s">
        <v>101</v>
      </c>
      <c r="AA9" s="6"/>
      <c r="AB9" s="23"/>
      <c r="AC9" s="24"/>
    </row>
    <row r="10" spans="1:31" ht="15.75" customHeight="1">
      <c r="A10" s="10" t="s">
        <v>102</v>
      </c>
      <c r="B10" s="10" t="s">
        <v>27</v>
      </c>
      <c r="C10" s="11" t="s">
        <v>28</v>
      </c>
      <c r="D10" s="12"/>
      <c r="E10" s="13" t="s">
        <v>62</v>
      </c>
      <c r="F10" s="6" t="s">
        <v>103</v>
      </c>
      <c r="G10" s="15" t="str">
        <f ca="1">IFERROR(__xludf.DUMMYFUNCTION("CONCATENATE(B10,(VLOOKUP(C10,CATALOGOS!$F$2:$H$6,3,FALSE)),(VLOOKUP(V10,CATALOGOS!$J$2:$K$18,2,FALSE)),""-"",TO_TEXT(A10))"),"P05DA-0009")</f>
        <v>P05DA-0009</v>
      </c>
      <c r="H10" s="6" t="str">
        <f ca="1">IFERROR(__xludf.DUMMYFUNCTION("CONCATENATE($B10,(VLOOKUP($C10,CATALOGOS!$F$2:$H$6,3,FALSE)),(VLOOKUP($V10,CATALOGOS!$J$2:$K$18,2,FALSE)),""-"",TO_TEXT($A10))"),"P05DA-0009")</f>
        <v>P05DA-0009</v>
      </c>
      <c r="I10" s="16" t="str">
        <f t="shared" ca="1" si="0"/>
        <v>P05DA-0009</v>
      </c>
      <c r="J10" s="6" t="s">
        <v>104</v>
      </c>
      <c r="K10" s="6" t="s">
        <v>105</v>
      </c>
      <c r="L10" s="6" t="s">
        <v>106</v>
      </c>
      <c r="M10" s="6" t="s">
        <v>107</v>
      </c>
      <c r="N10" s="17"/>
      <c r="O10" s="17"/>
      <c r="P10" s="17" t="str">
        <f t="shared" si="1"/>
        <v>OK</v>
      </c>
      <c r="Q10" s="17" t="s">
        <v>35</v>
      </c>
      <c r="R10" s="6" t="s">
        <v>35</v>
      </c>
      <c r="S10" s="6" t="s">
        <v>36</v>
      </c>
      <c r="T10" s="10" t="s">
        <v>108</v>
      </c>
      <c r="U10" s="173" t="s">
        <v>38</v>
      </c>
      <c r="V10" s="11" t="s">
        <v>28</v>
      </c>
      <c r="W10" s="22" t="s">
        <v>40</v>
      </c>
      <c r="X10" s="22" t="s">
        <v>40</v>
      </c>
      <c r="Y10" s="22"/>
      <c r="Z10" s="6"/>
      <c r="AA10" s="6"/>
      <c r="AB10" s="23"/>
      <c r="AC10" s="24"/>
    </row>
    <row r="11" spans="1:31" ht="15.75" customHeight="1">
      <c r="A11" s="10" t="s">
        <v>109</v>
      </c>
      <c r="B11" s="10" t="s">
        <v>27</v>
      </c>
      <c r="C11" s="11" t="s">
        <v>28</v>
      </c>
      <c r="D11" s="12"/>
      <c r="E11" s="13" t="s">
        <v>29</v>
      </c>
      <c r="F11" s="6" t="s">
        <v>110</v>
      </c>
      <c r="G11" s="15" t="str">
        <f ca="1">IFERROR(__xludf.DUMMYFUNCTION("CONCATENATE(B11,(VLOOKUP(C11,CATALOGOS!$F$2:$H$6,3,FALSE)),(VLOOKUP(V11,CATALOGOS!$J$2:$K$18,2,FALSE)),""-"",TO_TEXT(A11))"),"P05DA-0010")</f>
        <v>P05DA-0010</v>
      </c>
      <c r="H11" s="6" t="str">
        <f ca="1">IFERROR(__xludf.DUMMYFUNCTION("CONCATENATE($B11,(VLOOKUP($C11,CATALOGOS!$F$2:$H$6,3,FALSE)),(VLOOKUP($V11,CATALOGOS!$J$2:$K$18,2,FALSE)),""-"",TO_TEXT($A11))"),"P05DA-0010")</f>
        <v>P05DA-0010</v>
      </c>
      <c r="I11" s="16" t="str">
        <f t="shared" ca="1" si="0"/>
        <v>P05DA-0010</v>
      </c>
      <c r="J11" s="6" t="s">
        <v>111</v>
      </c>
      <c r="K11" s="36"/>
      <c r="L11" s="6" t="s">
        <v>112</v>
      </c>
      <c r="M11" s="6" t="s">
        <v>113</v>
      </c>
      <c r="N11" s="17"/>
      <c r="O11" s="35"/>
      <c r="P11" s="17" t="str">
        <f t="shared" si="1"/>
        <v>OK</v>
      </c>
      <c r="Q11" s="17" t="s">
        <v>35</v>
      </c>
      <c r="R11" s="6" t="s">
        <v>35</v>
      </c>
      <c r="S11" s="6" t="s">
        <v>36</v>
      </c>
      <c r="T11" s="10" t="s">
        <v>114</v>
      </c>
      <c r="U11" s="173" t="s">
        <v>38</v>
      </c>
      <c r="V11" s="11" t="s">
        <v>28</v>
      </c>
      <c r="W11" s="22" t="s">
        <v>40</v>
      </c>
      <c r="X11" s="22" t="s">
        <v>40</v>
      </c>
      <c r="Y11" s="22"/>
      <c r="Z11" s="6"/>
      <c r="AA11" s="6"/>
      <c r="AB11" s="23"/>
      <c r="AC11" s="33"/>
    </row>
    <row r="12" spans="1:31" ht="15.75" customHeight="1">
      <c r="A12" s="10" t="s">
        <v>115</v>
      </c>
      <c r="B12" s="10" t="s">
        <v>27</v>
      </c>
      <c r="C12" s="11" t="s">
        <v>28</v>
      </c>
      <c r="D12" s="12"/>
      <c r="E12" s="13" t="s">
        <v>116</v>
      </c>
      <c r="F12" s="6" t="s">
        <v>117</v>
      </c>
      <c r="G12" s="15" t="str">
        <f ca="1">IFERROR(__xludf.DUMMYFUNCTION("CONCATENATE(B12,(VLOOKUP(C12,CATALOGOS!$F$2:$H$6,3,FALSE)),(VLOOKUP(V12,CATALOGOS!$J$2:$K$18,2,FALSE)),""-"",TO_TEXT(A12))"),"P05DA-0011")</f>
        <v>P05DA-0011</v>
      </c>
      <c r="H12" s="6" t="str">
        <f ca="1">IFERROR(__xludf.DUMMYFUNCTION("CONCATENATE($B12,(VLOOKUP($C12,CATALOGOS!$F$2:$H$6,3,FALSE)),(VLOOKUP($V12,CATALOGOS!$J$2:$K$18,2,FALSE)),""-"",TO_TEXT($A12))"),"P05DA-0011")</f>
        <v>P05DA-0011</v>
      </c>
      <c r="I12" s="16" t="str">
        <f t="shared" ca="1" si="0"/>
        <v>P05DA-0011</v>
      </c>
      <c r="J12" s="6" t="s">
        <v>118</v>
      </c>
      <c r="K12" s="37"/>
      <c r="L12" s="6" t="s">
        <v>119</v>
      </c>
      <c r="M12" s="6" t="s">
        <v>120</v>
      </c>
      <c r="N12" s="17"/>
      <c r="O12" s="17"/>
      <c r="P12" s="17" t="str">
        <f t="shared" si="1"/>
        <v>OK</v>
      </c>
      <c r="Q12" s="17" t="s">
        <v>35</v>
      </c>
      <c r="R12" s="6" t="s">
        <v>35</v>
      </c>
      <c r="S12" s="6" t="s">
        <v>36</v>
      </c>
      <c r="T12" s="10" t="s">
        <v>121</v>
      </c>
      <c r="U12" s="173" t="s">
        <v>38</v>
      </c>
      <c r="V12" s="11" t="s">
        <v>28</v>
      </c>
      <c r="W12" s="22" t="s">
        <v>40</v>
      </c>
      <c r="X12" s="22" t="s">
        <v>40</v>
      </c>
      <c r="Y12" s="22"/>
      <c r="Z12" s="6"/>
      <c r="AA12" s="6"/>
      <c r="AB12" s="23"/>
      <c r="AC12" s="33"/>
    </row>
    <row r="13" spans="1:31" ht="15.75" customHeight="1">
      <c r="A13" s="10" t="s">
        <v>122</v>
      </c>
      <c r="B13" s="10" t="s">
        <v>27</v>
      </c>
      <c r="C13" s="11" t="s">
        <v>28</v>
      </c>
      <c r="D13" s="12"/>
      <c r="E13" s="13" t="s">
        <v>116</v>
      </c>
      <c r="F13" s="6" t="s">
        <v>123</v>
      </c>
      <c r="G13" s="15" t="str">
        <f ca="1">IFERROR(__xludf.DUMMYFUNCTION("CONCATENATE(B13,(VLOOKUP(C13,CATALOGOS!$F$2:$H$6,3,FALSE)),(VLOOKUP(V13,CATALOGOS!$J$2:$K$18,2,FALSE)),""-"",TO_TEXT(A13))"),"P05DA-0012")</f>
        <v>P05DA-0012</v>
      </c>
      <c r="H13" s="6" t="str">
        <f ca="1">IFERROR(__xludf.DUMMYFUNCTION("CONCATENATE($B13,(VLOOKUP($C13,CATALOGOS!$F$2:$H$6,3,FALSE)),(VLOOKUP($V13,CATALOGOS!$J$2:$K$18,2,FALSE)),""-"",TO_TEXT($A13))"),"P05DA-0012")</f>
        <v>P05DA-0012</v>
      </c>
      <c r="I13" s="16" t="str">
        <f t="shared" ca="1" si="0"/>
        <v>P05DA-0012</v>
      </c>
      <c r="J13" s="6" t="s">
        <v>124</v>
      </c>
      <c r="K13" s="36"/>
      <c r="L13" s="6" t="s">
        <v>125</v>
      </c>
      <c r="M13" s="6" t="s">
        <v>126</v>
      </c>
      <c r="N13" s="17"/>
      <c r="O13" s="17"/>
      <c r="P13" s="17" t="str">
        <f t="shared" si="1"/>
        <v>OK</v>
      </c>
      <c r="Q13" s="17" t="s">
        <v>35</v>
      </c>
      <c r="R13" s="6" t="s">
        <v>35</v>
      </c>
      <c r="S13" s="6" t="s">
        <v>36</v>
      </c>
      <c r="T13" s="10" t="s">
        <v>127</v>
      </c>
      <c r="U13" s="173" t="s">
        <v>38</v>
      </c>
      <c r="V13" s="11" t="s">
        <v>28</v>
      </c>
      <c r="W13" s="22" t="s">
        <v>40</v>
      </c>
      <c r="X13" s="22" t="s">
        <v>40</v>
      </c>
      <c r="Y13" s="22"/>
      <c r="Z13" s="36"/>
      <c r="AA13" s="36"/>
      <c r="AB13" s="23"/>
      <c r="AC13" s="33"/>
    </row>
    <row r="14" spans="1:31" ht="15.75" customHeight="1">
      <c r="A14" s="10" t="s">
        <v>128</v>
      </c>
      <c r="B14" s="10" t="s">
        <v>27</v>
      </c>
      <c r="C14" s="11" t="s">
        <v>28</v>
      </c>
      <c r="D14" s="12"/>
      <c r="E14" s="13" t="s">
        <v>116</v>
      </c>
      <c r="F14" s="6" t="s">
        <v>129</v>
      </c>
      <c r="G14" s="15" t="str">
        <f ca="1">IFERROR(__xludf.DUMMYFUNCTION("CONCATENATE(B14,(VLOOKUP(C14,CATALOGOS!$F$2:$H$6,3,FALSE)),(VLOOKUP(V14,CATALOGOS!$J$2:$K$18,2,FALSE)),""-"",TO_TEXT(A14))"),"P05DA-0013")</f>
        <v>P05DA-0013</v>
      </c>
      <c r="H14" s="6" t="str">
        <f ca="1">IFERROR(__xludf.DUMMYFUNCTION("CONCATENATE($B14,(VLOOKUP($C14,CATALOGOS!$F$2:$H$6,3,FALSE)),(VLOOKUP($V14,CATALOGOS!$J$2:$K$18,2,FALSE)),""-"",TO_TEXT($A14))"),"P05DA-0013")</f>
        <v>P05DA-0013</v>
      </c>
      <c r="I14" s="16" t="str">
        <f t="shared" ca="1" si="0"/>
        <v>P05DA-0013</v>
      </c>
      <c r="J14" s="6" t="s">
        <v>130</v>
      </c>
      <c r="K14" s="6" t="s">
        <v>131</v>
      </c>
      <c r="L14" s="6" t="s">
        <v>132</v>
      </c>
      <c r="M14" s="6" t="s">
        <v>133</v>
      </c>
      <c r="N14" s="17"/>
      <c r="O14" s="17"/>
      <c r="P14" s="17" t="str">
        <f t="shared" si="1"/>
        <v>OK</v>
      </c>
      <c r="Q14" s="17" t="s">
        <v>35</v>
      </c>
      <c r="R14" s="6" t="s">
        <v>35</v>
      </c>
      <c r="S14" s="6" t="s">
        <v>36</v>
      </c>
      <c r="T14" s="10" t="s">
        <v>134</v>
      </c>
      <c r="U14" s="173" t="s">
        <v>38</v>
      </c>
      <c r="V14" s="11" t="s">
        <v>28</v>
      </c>
      <c r="W14" s="22" t="s">
        <v>40</v>
      </c>
      <c r="X14" s="22" t="s">
        <v>40</v>
      </c>
      <c r="Y14" s="22"/>
      <c r="Z14" s="6"/>
      <c r="AA14" s="6"/>
      <c r="AB14" s="23"/>
      <c r="AC14" s="33"/>
    </row>
    <row r="15" spans="1:31" ht="15.75" customHeight="1">
      <c r="A15" s="10" t="s">
        <v>135</v>
      </c>
      <c r="B15" s="10" t="s">
        <v>27</v>
      </c>
      <c r="C15" s="11" t="s">
        <v>28</v>
      </c>
      <c r="D15" s="12"/>
      <c r="E15" s="13" t="s">
        <v>136</v>
      </c>
      <c r="F15" s="6" t="s">
        <v>137</v>
      </c>
      <c r="G15" s="15" t="str">
        <f ca="1">IFERROR(__xludf.DUMMYFUNCTION("CONCATENATE(B15,(VLOOKUP(C15,CATALOGOS!$F$2:$H$6,3,FALSE)),(VLOOKUP(V15,CATALOGOS!$J$2:$K$18,2,FALSE)),""-"",TO_TEXT(A15))"),"P05DA-0014")</f>
        <v>P05DA-0014</v>
      </c>
      <c r="H15" s="6" t="str">
        <f ca="1">IFERROR(__xludf.DUMMYFUNCTION("CONCATENATE($B15,(VLOOKUP($C15,CATALOGOS!$F$2:$H$6,3,FALSE)),(VLOOKUP($V15,CATALOGOS!$J$2:$K$18,2,FALSE)),""-"",TO_TEXT($A15))"),"P05DA-0014")</f>
        <v>P05DA-0014</v>
      </c>
      <c r="I15" s="16" t="str">
        <f t="shared" ca="1" si="0"/>
        <v>P05DA-0014</v>
      </c>
      <c r="J15" s="6" t="s">
        <v>138</v>
      </c>
      <c r="K15" s="6" t="s">
        <v>139</v>
      </c>
      <c r="L15" s="6" t="s">
        <v>140</v>
      </c>
      <c r="M15" s="6" t="s">
        <v>141</v>
      </c>
      <c r="N15" s="17"/>
      <c r="O15" s="17"/>
      <c r="P15" s="35" t="s">
        <v>142</v>
      </c>
      <c r="Q15" s="17" t="s">
        <v>143</v>
      </c>
      <c r="R15" s="6" t="s">
        <v>144</v>
      </c>
      <c r="S15" s="6" t="s">
        <v>145</v>
      </c>
      <c r="T15" s="10" t="s">
        <v>146</v>
      </c>
      <c r="U15" s="173" t="s">
        <v>100</v>
      </c>
      <c r="V15" s="11" t="s">
        <v>28</v>
      </c>
      <c r="W15" s="22" t="s">
        <v>40</v>
      </c>
      <c r="X15" s="22" t="s">
        <v>40</v>
      </c>
      <c r="Y15" s="22"/>
      <c r="Z15" s="6"/>
      <c r="AA15" s="6" t="s">
        <v>149</v>
      </c>
      <c r="AB15" s="23"/>
      <c r="AC15" s="24"/>
    </row>
    <row r="16" spans="1:31" ht="15.75" customHeight="1">
      <c r="A16" s="10" t="s">
        <v>150</v>
      </c>
      <c r="B16" s="10" t="s">
        <v>27</v>
      </c>
      <c r="C16" s="11" t="s">
        <v>28</v>
      </c>
      <c r="D16" s="12"/>
      <c r="E16" s="13" t="s">
        <v>151</v>
      </c>
      <c r="F16" s="6" t="s">
        <v>152</v>
      </c>
      <c r="G16" s="15" t="str">
        <f ca="1">IFERROR(__xludf.DUMMYFUNCTION("CONCATENATE(B16,(VLOOKUP(C16,CATALOGOS!$F$2:$H$6,3,FALSE)),(VLOOKUP(V16,CATALOGOS!$J$2:$K$18,2,FALSE)),""-"",TO_TEXT(A16))"),"P05DA-0015")</f>
        <v>P05DA-0015</v>
      </c>
      <c r="H16" s="6" t="str">
        <f ca="1">IFERROR(__xludf.DUMMYFUNCTION("CONCATENATE($B16,(VLOOKUP($C16,CATALOGOS!$F$2:$H$6,3,FALSE)),(VLOOKUP($V16,CATALOGOS!$J$2:$K$18,2,FALSE)),""-"",TO_TEXT($A16))"),"P05DA-0015")</f>
        <v>P05DA-0015</v>
      </c>
      <c r="I16" s="16" t="str">
        <f t="shared" ca="1" si="0"/>
        <v>P05DA-0015</v>
      </c>
      <c r="J16" s="6" t="s">
        <v>153</v>
      </c>
      <c r="K16" s="6" t="s">
        <v>154</v>
      </c>
      <c r="L16" s="6" t="s">
        <v>155</v>
      </c>
      <c r="M16" s="6" t="s">
        <v>156</v>
      </c>
      <c r="N16" s="17"/>
      <c r="O16" s="17"/>
      <c r="P16" s="17" t="str">
        <f t="shared" ref="P16:P26" si="2">IF(COUNTIF($M$2:$M$997,M16)&gt;1,"REPETIDO","OK")</f>
        <v>OK</v>
      </c>
      <c r="Q16" s="17" t="s">
        <v>157</v>
      </c>
      <c r="R16" s="6" t="s">
        <v>158</v>
      </c>
      <c r="S16" s="6" t="s">
        <v>159</v>
      </c>
      <c r="T16" s="10" t="s">
        <v>160</v>
      </c>
      <c r="U16" s="173" t="s">
        <v>100</v>
      </c>
      <c r="V16" s="11" t="s">
        <v>28</v>
      </c>
      <c r="W16" s="22" t="s">
        <v>40</v>
      </c>
      <c r="X16" s="22" t="s">
        <v>40</v>
      </c>
      <c r="Y16" s="22"/>
      <c r="Z16" s="6"/>
      <c r="AA16" s="6"/>
      <c r="AB16" s="23"/>
      <c r="AC16" s="24"/>
    </row>
    <row r="17" spans="1:30" ht="15.75" customHeight="1">
      <c r="A17" s="10" t="s">
        <v>161</v>
      </c>
      <c r="B17" s="10" t="s">
        <v>27</v>
      </c>
      <c r="C17" s="11" t="s">
        <v>28</v>
      </c>
      <c r="D17" s="12"/>
      <c r="E17" s="13" t="s">
        <v>162</v>
      </c>
      <c r="F17" s="6" t="s">
        <v>163</v>
      </c>
      <c r="G17" s="15" t="str">
        <f ca="1">IFERROR(__xludf.DUMMYFUNCTION("CONCATENATE(B17,(VLOOKUP(C17,CATALOGOS!$F$2:$H$6,3,FALSE)),(VLOOKUP(V17,CATALOGOS!$J$2:$K$18,2,FALSE)),""-"",TO_TEXT(A17))"),"P05DA-0016")</f>
        <v>P05DA-0016</v>
      </c>
      <c r="H17" s="6" t="str">
        <f ca="1">IFERROR(__xludf.DUMMYFUNCTION("CONCATENATE($B17,(VLOOKUP($C17,CATALOGOS!$F$2:$H$6,3,FALSE)),(VLOOKUP($V17,CATALOGOS!$J$2:$K$18,2,FALSE)),""-"",TO_TEXT($A17))"),"P05DA-0016")</f>
        <v>P05DA-0016</v>
      </c>
      <c r="I17" s="16" t="str">
        <f t="shared" ca="1" si="0"/>
        <v>P05DA-0016</v>
      </c>
      <c r="J17" s="6" t="s">
        <v>164</v>
      </c>
      <c r="K17" s="6" t="s">
        <v>165</v>
      </c>
      <c r="L17" s="6" t="s">
        <v>166</v>
      </c>
      <c r="M17" s="32" t="s">
        <v>167</v>
      </c>
      <c r="N17" s="17"/>
      <c r="O17" s="17"/>
      <c r="P17" s="17" t="str">
        <f t="shared" si="2"/>
        <v>OK</v>
      </c>
      <c r="Q17" s="17" t="s">
        <v>168</v>
      </c>
      <c r="R17" s="6" t="s">
        <v>169</v>
      </c>
      <c r="S17" s="6" t="s">
        <v>170</v>
      </c>
      <c r="T17" s="10" t="s">
        <v>171</v>
      </c>
      <c r="U17" s="173" t="s">
        <v>100</v>
      </c>
      <c r="V17" s="11" t="s">
        <v>28</v>
      </c>
      <c r="W17" s="22" t="s">
        <v>40</v>
      </c>
      <c r="X17" s="22" t="s">
        <v>40</v>
      </c>
      <c r="Y17" s="22"/>
      <c r="Z17" s="7"/>
      <c r="AA17" s="7"/>
      <c r="AB17" s="23"/>
      <c r="AC17" s="26"/>
    </row>
    <row r="18" spans="1:30" ht="15.75" customHeight="1">
      <c r="A18" s="10" t="s">
        <v>172</v>
      </c>
      <c r="B18" s="10" t="s">
        <v>27</v>
      </c>
      <c r="C18" s="11" t="s">
        <v>28</v>
      </c>
      <c r="D18" s="12"/>
      <c r="E18" s="13" t="s">
        <v>173</v>
      </c>
      <c r="F18" s="6" t="s">
        <v>174</v>
      </c>
      <c r="G18" s="15" t="str">
        <f ca="1">IFERROR(__xludf.DUMMYFUNCTION("CONCATENATE(B18,(VLOOKUP(C18,CATALOGOS!$F$2:$H$6,3,FALSE)),(VLOOKUP(V18,CATALOGOS!$J$2:$K$18,2,FALSE)),""-"",TO_TEXT(A18))"),"P05DA-0017")</f>
        <v>P05DA-0017</v>
      </c>
      <c r="H18" s="6" t="str">
        <f ca="1">IFERROR(__xludf.DUMMYFUNCTION("CONCATENATE($B18,(VLOOKUP($C18,CATALOGOS!$F$2:$H$6,3,FALSE)),(VLOOKUP($V18,CATALOGOS!$J$2:$K$18,2,FALSE)),""-"",TO_TEXT($A18))"),"P05DA-0017")</f>
        <v>P05DA-0017</v>
      </c>
      <c r="I18" s="16" t="str">
        <f t="shared" ca="1" si="0"/>
        <v>P05DA-0017</v>
      </c>
      <c r="J18" s="6" t="s">
        <v>175</v>
      </c>
      <c r="K18" s="6" t="s">
        <v>176</v>
      </c>
      <c r="L18" s="6" t="s">
        <v>177</v>
      </c>
      <c r="M18" s="6" t="s">
        <v>178</v>
      </c>
      <c r="N18" s="17"/>
      <c r="O18" s="17"/>
      <c r="P18" s="17" t="str">
        <f t="shared" si="2"/>
        <v>OK</v>
      </c>
      <c r="Q18" s="17" t="s">
        <v>179</v>
      </c>
      <c r="R18" s="6" t="s">
        <v>180</v>
      </c>
      <c r="S18" s="6" t="s">
        <v>181</v>
      </c>
      <c r="T18" s="10" t="s">
        <v>182</v>
      </c>
      <c r="U18" s="173" t="s">
        <v>38</v>
      </c>
      <c r="V18" s="11" t="s">
        <v>28</v>
      </c>
      <c r="W18" s="22" t="s">
        <v>40</v>
      </c>
      <c r="X18" s="22" t="s">
        <v>40</v>
      </c>
      <c r="Y18" s="22"/>
      <c r="Z18" s="7"/>
      <c r="AA18" s="7"/>
      <c r="AB18" s="23"/>
      <c r="AC18" s="26"/>
    </row>
    <row r="19" spans="1:30" ht="15.75" customHeight="1">
      <c r="A19" s="10" t="s">
        <v>183</v>
      </c>
      <c r="B19" s="10" t="s">
        <v>27</v>
      </c>
      <c r="C19" s="11" t="s">
        <v>28</v>
      </c>
      <c r="D19" s="12"/>
      <c r="E19" s="13" t="s">
        <v>184</v>
      </c>
      <c r="F19" s="6" t="s">
        <v>185</v>
      </c>
      <c r="G19" s="15" t="str">
        <f ca="1">IFERROR(__xludf.DUMMYFUNCTION("CONCATENATE(B19,(VLOOKUP(C19,CATALOGOS!$F$2:$H$6,3,FALSE)),(VLOOKUP(V19,CATALOGOS!$J$2:$K$18,2,FALSE)),""-"",TO_TEXT(A19))"),"P05DA-0018")</f>
        <v>P05DA-0018</v>
      </c>
      <c r="H19" s="6" t="str">
        <f ca="1">IFERROR(__xludf.DUMMYFUNCTION("CONCATENATE($B19,(VLOOKUP($C19,CATALOGOS!$F$2:$H$6,3,FALSE)),(VLOOKUP($V19,CATALOGOS!$J$2:$K$18,2,FALSE)),""-"",TO_TEXT($A19))"),"P05DA-0018")</f>
        <v>P05DA-0018</v>
      </c>
      <c r="I19" s="16" t="str">
        <f t="shared" ca="1" si="0"/>
        <v>P05DA-0018</v>
      </c>
      <c r="J19" s="6" t="s">
        <v>186</v>
      </c>
      <c r="K19" s="6" t="s">
        <v>187</v>
      </c>
      <c r="L19" s="6" t="s">
        <v>188</v>
      </c>
      <c r="M19" s="6" t="s">
        <v>189</v>
      </c>
      <c r="N19" s="17"/>
      <c r="O19" s="17"/>
      <c r="P19" s="17" t="str">
        <f t="shared" si="2"/>
        <v>OK</v>
      </c>
      <c r="Q19" s="35" t="s">
        <v>35</v>
      </c>
      <c r="R19" s="6" t="s">
        <v>35</v>
      </c>
      <c r="S19" s="10" t="s">
        <v>36</v>
      </c>
      <c r="T19" s="10" t="s">
        <v>190</v>
      </c>
      <c r="U19" s="173" t="s">
        <v>38</v>
      </c>
      <c r="V19" s="11" t="s">
        <v>28</v>
      </c>
      <c r="W19" s="22" t="s">
        <v>40</v>
      </c>
      <c r="X19" s="22" t="s">
        <v>40</v>
      </c>
      <c r="Y19" s="22"/>
      <c r="Z19" s="6"/>
      <c r="AA19" s="6"/>
      <c r="AB19" s="23"/>
      <c r="AC19" s="24"/>
    </row>
    <row r="20" spans="1:30" ht="15.75" customHeight="1">
      <c r="A20" s="10" t="s">
        <v>191</v>
      </c>
      <c r="B20" s="10" t="s">
        <v>27</v>
      </c>
      <c r="C20" s="11" t="s">
        <v>28</v>
      </c>
      <c r="D20" s="12"/>
      <c r="E20" s="13" t="s">
        <v>53</v>
      </c>
      <c r="F20" s="6" t="s">
        <v>192</v>
      </c>
      <c r="G20" s="15" t="str">
        <f ca="1">IFERROR(__xludf.DUMMYFUNCTION("CONCATENATE(B20,(VLOOKUP(C20,CATALOGOS!$F$2:$H$6,3,FALSE)),(VLOOKUP(V20,CATALOGOS!$J$2:$K$18,2,FALSE)),""-"",TO_TEXT(A20))"),"P05DA-0019")</f>
        <v>P05DA-0019</v>
      </c>
      <c r="H20" s="6" t="str">
        <f ca="1">IFERROR(__xludf.DUMMYFUNCTION("CONCATENATE($B20,(VLOOKUP($C20,CATALOGOS!$F$2:$H$6,3,FALSE)),(VLOOKUP($V20,CATALOGOS!$J$2:$K$18,2,FALSE)),""-"",TO_TEXT($A20))"),"P05DA-0019")</f>
        <v>P05DA-0019</v>
      </c>
      <c r="I20" s="6"/>
      <c r="J20" s="6" t="s">
        <v>193</v>
      </c>
      <c r="K20" s="6" t="s">
        <v>194</v>
      </c>
      <c r="L20" s="6" t="s">
        <v>195</v>
      </c>
      <c r="M20" s="6" t="s">
        <v>196</v>
      </c>
      <c r="N20" s="17"/>
      <c r="O20" s="17"/>
      <c r="P20" s="17" t="str">
        <f t="shared" si="2"/>
        <v>OK</v>
      </c>
      <c r="Q20" s="35" t="s">
        <v>35</v>
      </c>
      <c r="R20" s="6" t="s">
        <v>35</v>
      </c>
      <c r="S20" s="10" t="s">
        <v>36</v>
      </c>
      <c r="T20" s="10" t="s">
        <v>197</v>
      </c>
      <c r="U20" s="173" t="s">
        <v>38</v>
      </c>
      <c r="V20" s="11" t="s">
        <v>28</v>
      </c>
      <c r="W20" s="22" t="s">
        <v>40</v>
      </c>
      <c r="X20" s="22" t="s">
        <v>40</v>
      </c>
      <c r="Y20" s="22"/>
      <c r="Z20" s="7"/>
      <c r="AA20" s="7"/>
      <c r="AB20" s="23"/>
      <c r="AC20" s="26"/>
    </row>
    <row r="21" spans="1:30" ht="15.75" customHeight="1">
      <c r="A21" s="10" t="s">
        <v>198</v>
      </c>
      <c r="B21" s="10" t="s">
        <v>27</v>
      </c>
      <c r="C21" s="11" t="s">
        <v>28</v>
      </c>
      <c r="D21" s="12"/>
      <c r="E21" s="13" t="s">
        <v>199</v>
      </c>
      <c r="F21" s="6" t="s">
        <v>200</v>
      </c>
      <c r="G21" s="15" t="str">
        <f ca="1">IFERROR(__xludf.DUMMYFUNCTION("CONCATENATE(B21,(VLOOKUP(C21,CATALOGOS!$F$2:$H$6,3,FALSE)),(VLOOKUP(V21,CATALOGOS!$J$2:$K$18,2,FALSE)),""-"",TO_TEXT(A21))"),"P05DA-0020")</f>
        <v>P05DA-0020</v>
      </c>
      <c r="H21" s="6" t="str">
        <f ca="1">IFERROR(__xludf.DUMMYFUNCTION("CONCATENATE($B21,(VLOOKUP($C21,CATALOGOS!$F$2:$H$6,3,FALSE)),(VLOOKUP($V21,CATALOGOS!$J$2:$K$18,2,FALSE)),""-"",TO_TEXT($A21))"),"P05DA-0020")</f>
        <v>P05DA-0020</v>
      </c>
      <c r="I21" s="6"/>
      <c r="J21" s="6" t="s">
        <v>201</v>
      </c>
      <c r="K21" s="6" t="s">
        <v>202</v>
      </c>
      <c r="L21" s="6" t="s">
        <v>203</v>
      </c>
      <c r="M21" s="6" t="s">
        <v>204</v>
      </c>
      <c r="N21" s="17"/>
      <c r="O21" s="17"/>
      <c r="P21" s="17" t="str">
        <f t="shared" si="2"/>
        <v>OK</v>
      </c>
      <c r="Q21" s="17" t="s">
        <v>205</v>
      </c>
      <c r="R21" s="6" t="s">
        <v>206</v>
      </c>
      <c r="S21" s="6" t="s">
        <v>207</v>
      </c>
      <c r="T21" s="10" t="s">
        <v>208</v>
      </c>
      <c r="U21" s="173" t="s">
        <v>38</v>
      </c>
      <c r="V21" s="11" t="s">
        <v>28</v>
      </c>
      <c r="W21" s="22" t="s">
        <v>40</v>
      </c>
      <c r="X21" s="22" t="s">
        <v>40</v>
      </c>
      <c r="Y21" s="22"/>
      <c r="Z21" s="7"/>
      <c r="AA21" s="7"/>
      <c r="AB21" s="23"/>
      <c r="AC21" s="26"/>
    </row>
    <row r="22" spans="1:30" ht="15.75" customHeight="1">
      <c r="A22" s="10" t="s">
        <v>209</v>
      </c>
      <c r="B22" s="10" t="s">
        <v>27</v>
      </c>
      <c r="C22" s="11" t="s">
        <v>28</v>
      </c>
      <c r="D22" s="12"/>
      <c r="E22" s="13" t="s">
        <v>210</v>
      </c>
      <c r="F22" s="6" t="s">
        <v>211</v>
      </c>
      <c r="G22" s="15" t="str">
        <f ca="1">IFERROR(__xludf.DUMMYFUNCTION("CONCATENATE(B22,(VLOOKUP(C22,CATALOGOS!$F$2:$H$6,3,FALSE)),(VLOOKUP(V22,CATALOGOS!$J$2:$K$18,2,FALSE)),""-"",TO_TEXT(A22))"),"P05DA-0021")</f>
        <v>P05DA-0021</v>
      </c>
      <c r="H22" s="6" t="str">
        <f ca="1">IFERROR(__xludf.DUMMYFUNCTION("CONCATENATE($B22,(VLOOKUP($C22,CATALOGOS!$F$2:$H$6,3,FALSE)),(VLOOKUP($V22,CATALOGOS!$J$2:$K$18,2,FALSE)),""-"",TO_TEXT($A22))"),"P05DA-0021")</f>
        <v>P05DA-0021</v>
      </c>
      <c r="I22" s="6"/>
      <c r="J22" s="6" t="s">
        <v>212</v>
      </c>
      <c r="K22" s="6" t="s">
        <v>213</v>
      </c>
      <c r="L22" s="6" t="s">
        <v>214</v>
      </c>
      <c r="M22" s="6" t="s">
        <v>215</v>
      </c>
      <c r="N22" s="17"/>
      <c r="O22" s="17"/>
      <c r="P22" s="17" t="str">
        <f t="shared" si="2"/>
        <v>OK</v>
      </c>
      <c r="Q22" s="17" t="s">
        <v>216</v>
      </c>
      <c r="R22" s="6" t="s">
        <v>217</v>
      </c>
      <c r="S22" s="6" t="s">
        <v>218</v>
      </c>
      <c r="T22" s="10" t="s">
        <v>219</v>
      </c>
      <c r="U22" s="173" t="s">
        <v>38</v>
      </c>
      <c r="V22" s="11" t="s">
        <v>28</v>
      </c>
      <c r="W22" s="22" t="s">
        <v>40</v>
      </c>
      <c r="X22" s="22" t="s">
        <v>40</v>
      </c>
      <c r="Y22" s="22"/>
      <c r="Z22" s="7"/>
      <c r="AA22" s="7"/>
      <c r="AB22" s="23"/>
      <c r="AC22" s="26"/>
    </row>
    <row r="23" spans="1:30" ht="15.75" customHeight="1">
      <c r="A23" s="10" t="s">
        <v>220</v>
      </c>
      <c r="B23" s="10" t="s">
        <v>27</v>
      </c>
      <c r="C23" s="11" t="s">
        <v>28</v>
      </c>
      <c r="D23" s="12"/>
      <c r="E23" s="13" t="s">
        <v>184</v>
      </c>
      <c r="F23" s="6" t="s">
        <v>221</v>
      </c>
      <c r="G23" s="15" t="str">
        <f ca="1">IFERROR(__xludf.DUMMYFUNCTION("CONCATENATE(B23,(VLOOKUP(C23,CATALOGOS!$F$2:$H$6,3,FALSE)),(VLOOKUP(V23,CATALOGOS!$J$2:$K$18,2,FALSE)),""-"",TO_TEXT(A23))"),"P05DA-0022")</f>
        <v>P05DA-0022</v>
      </c>
      <c r="H23" s="6" t="str">
        <f ca="1">IFERROR(__xludf.DUMMYFUNCTION("CONCATENATE($B23,(VLOOKUP($C23,CATALOGOS!$F$2:$H$6,3,FALSE)),(VLOOKUP($V23,CATALOGOS!$J$2:$K$18,2,FALSE)),""-"",TO_TEXT($A23))"),"P05DA-0022")</f>
        <v>P05DA-0022</v>
      </c>
      <c r="I23" s="6"/>
      <c r="J23" s="6" t="s">
        <v>222</v>
      </c>
      <c r="K23" s="6" t="s">
        <v>223</v>
      </c>
      <c r="L23" s="6" t="s">
        <v>224</v>
      </c>
      <c r="M23" s="6" t="s">
        <v>225</v>
      </c>
      <c r="N23" s="17"/>
      <c r="O23" s="17"/>
      <c r="P23" s="17" t="str">
        <f t="shared" si="2"/>
        <v>OK</v>
      </c>
      <c r="Q23" s="17" t="s">
        <v>35</v>
      </c>
      <c r="R23" s="6" t="s">
        <v>35</v>
      </c>
      <c r="S23" s="6" t="s">
        <v>36</v>
      </c>
      <c r="T23" s="10" t="s">
        <v>226</v>
      </c>
      <c r="U23" s="173" t="s">
        <v>38</v>
      </c>
      <c r="V23" s="11" t="s">
        <v>28</v>
      </c>
      <c r="W23" s="22" t="s">
        <v>40</v>
      </c>
      <c r="X23" s="22" t="s">
        <v>40</v>
      </c>
      <c r="Y23" s="22"/>
      <c r="Z23" s="7"/>
      <c r="AA23" s="7"/>
      <c r="AB23" s="23"/>
      <c r="AC23" s="26"/>
    </row>
    <row r="24" spans="1:30" ht="15.75" customHeight="1">
      <c r="A24" s="10" t="s">
        <v>227</v>
      </c>
      <c r="B24" s="10" t="s">
        <v>27</v>
      </c>
      <c r="C24" s="11" t="s">
        <v>28</v>
      </c>
      <c r="D24" s="12"/>
      <c r="E24" s="13" t="s">
        <v>184</v>
      </c>
      <c r="F24" s="6" t="s">
        <v>221</v>
      </c>
      <c r="G24" s="15" t="str">
        <f ca="1">IFERROR(__xludf.DUMMYFUNCTION("CONCATENATE(B24,(VLOOKUP(C24,CATALOGOS!$F$2:$H$6,3,FALSE)),(VLOOKUP(V24,CATALOGOS!$J$2:$K$18,2,FALSE)),""-"",TO_TEXT(A24))"),"P05DA-0023")</f>
        <v>P05DA-0023</v>
      </c>
      <c r="H24" s="6" t="str">
        <f ca="1">IFERROR(__xludf.DUMMYFUNCTION("CONCATENATE($B24,(VLOOKUP($C24,CATALOGOS!$F$2:$H$6,3,FALSE)),(VLOOKUP($V24,CATALOGOS!$J$2:$K$18,2,FALSE)),""-"",TO_TEXT($A24))"),"P05DA-0023")</f>
        <v>P05DA-0023</v>
      </c>
      <c r="I24" s="6"/>
      <c r="J24" s="6" t="s">
        <v>228</v>
      </c>
      <c r="K24" s="6" t="s">
        <v>229</v>
      </c>
      <c r="L24" s="6" t="s">
        <v>230</v>
      </c>
      <c r="M24" s="6" t="s">
        <v>231</v>
      </c>
      <c r="N24" s="17"/>
      <c r="O24" s="17"/>
      <c r="P24" s="17" t="str">
        <f t="shared" si="2"/>
        <v>OK</v>
      </c>
      <c r="Q24" s="17" t="s">
        <v>35</v>
      </c>
      <c r="R24" s="6" t="s">
        <v>35</v>
      </c>
      <c r="S24" s="17" t="s">
        <v>36</v>
      </c>
      <c r="T24" s="35" t="s">
        <v>232</v>
      </c>
      <c r="U24" s="173" t="s">
        <v>38</v>
      </c>
      <c r="V24" s="11" t="s">
        <v>28</v>
      </c>
      <c r="W24" s="22" t="s">
        <v>40</v>
      </c>
      <c r="X24" s="22" t="s">
        <v>40</v>
      </c>
      <c r="Y24" s="22"/>
      <c r="Z24" s="7"/>
      <c r="AA24" s="7"/>
      <c r="AB24" s="23"/>
      <c r="AC24" s="26"/>
    </row>
    <row r="25" spans="1:30" ht="15.75" customHeight="1">
      <c r="A25" s="10" t="s">
        <v>233</v>
      </c>
      <c r="B25" s="10" t="s">
        <v>27</v>
      </c>
      <c r="C25" s="11" t="s">
        <v>28</v>
      </c>
      <c r="D25" s="12"/>
      <c r="E25" s="13" t="s">
        <v>234</v>
      </c>
      <c r="F25" s="6" t="s">
        <v>235</v>
      </c>
      <c r="G25" s="15" t="str">
        <f ca="1">IFERROR(__xludf.DUMMYFUNCTION("CONCATENATE(B25,(VLOOKUP(C25,CATALOGOS!$F$2:$H$6,3,FALSE)),(VLOOKUP(V25,CATALOGOS!$J$2:$K$18,2,FALSE)),""-"",TO_TEXT(A25))"),"P05DA-0024")</f>
        <v>P05DA-0024</v>
      </c>
      <c r="H25" s="6" t="str">
        <f ca="1">IFERROR(__xludf.DUMMYFUNCTION("CONCATENATE($B25,(VLOOKUP($C25,CATALOGOS!$F$2:$H$6,3,FALSE)),(VLOOKUP($V25,CATALOGOS!$J$2:$K$18,2,FALSE)),""-"",TO_TEXT($A25))"),"P05DA-0024")</f>
        <v>P05DA-0024</v>
      </c>
      <c r="I25" s="6"/>
      <c r="J25" s="6" t="s">
        <v>236</v>
      </c>
      <c r="K25" s="6" t="s">
        <v>237</v>
      </c>
      <c r="L25" s="6" t="s">
        <v>238</v>
      </c>
      <c r="M25" s="6" t="s">
        <v>239</v>
      </c>
      <c r="N25" s="17"/>
      <c r="O25" s="17"/>
      <c r="P25" s="17" t="str">
        <f t="shared" si="2"/>
        <v>OK</v>
      </c>
      <c r="Q25" s="17" t="s">
        <v>35</v>
      </c>
      <c r="R25" s="6" t="s">
        <v>35</v>
      </c>
      <c r="S25" s="17" t="s">
        <v>36</v>
      </c>
      <c r="T25" s="35" t="s">
        <v>240</v>
      </c>
      <c r="U25" s="173" t="s">
        <v>38</v>
      </c>
      <c r="V25" s="174" t="s">
        <v>28</v>
      </c>
      <c r="W25" s="22" t="s">
        <v>40</v>
      </c>
      <c r="X25" s="22" t="s">
        <v>40</v>
      </c>
      <c r="Y25" s="22"/>
      <c r="Z25" s="7"/>
      <c r="AA25" s="7"/>
      <c r="AB25" s="23"/>
      <c r="AC25" s="26"/>
    </row>
    <row r="26" spans="1:30" ht="15.75" customHeight="1">
      <c r="A26" s="10" t="s">
        <v>241</v>
      </c>
      <c r="B26" s="10" t="s">
        <v>27</v>
      </c>
      <c r="C26" s="11" t="s">
        <v>28</v>
      </c>
      <c r="D26" s="38"/>
      <c r="E26" s="13" t="s">
        <v>242</v>
      </c>
      <c r="F26" s="6" t="s">
        <v>242</v>
      </c>
      <c r="G26" s="15" t="str">
        <f ca="1">IFERROR(__xludf.DUMMYFUNCTION("CONCATENATE(B26,(VLOOKUP(C26,CATALOGOS!$F$2:$H$6,3,FALSE)),(VLOOKUP(V26,CATALOGOS!$J$2:$K$18,2,FALSE)),""-"",TO_TEXT(A26))"),"P05DA-0025")</f>
        <v>P05DA-0025</v>
      </c>
      <c r="H26" s="6" t="str">
        <f ca="1">IFERROR(__xludf.DUMMYFUNCTION("CONCATENATE($B26,(VLOOKUP($C26,CATALOGOS!$F$2:$H$6,3,FALSE)),(VLOOKUP($V26,CATALOGOS!$J$2:$K$18,2,FALSE)),""-"",TO_TEXT($A26))"),"P05DA-0025")</f>
        <v>P05DA-0025</v>
      </c>
      <c r="I26" s="6"/>
      <c r="J26" s="6" t="s">
        <v>243</v>
      </c>
      <c r="K26" s="6" t="s">
        <v>244</v>
      </c>
      <c r="L26" s="36"/>
      <c r="M26" s="6" t="s">
        <v>141</v>
      </c>
      <c r="N26" s="17"/>
      <c r="O26" s="17"/>
      <c r="P26" s="17" t="str">
        <f t="shared" si="2"/>
        <v>REPETIDO</v>
      </c>
      <c r="Q26" s="17" t="s">
        <v>245</v>
      </c>
      <c r="R26" s="6" t="s">
        <v>246</v>
      </c>
      <c r="S26" s="6" t="s">
        <v>36</v>
      </c>
      <c r="T26" s="10" t="s">
        <v>85</v>
      </c>
      <c r="U26" s="173" t="s">
        <v>38</v>
      </c>
      <c r="V26" s="11" t="s">
        <v>28</v>
      </c>
      <c r="W26" s="22" t="s">
        <v>40</v>
      </c>
      <c r="X26" s="22" t="s">
        <v>40</v>
      </c>
      <c r="Y26" s="22"/>
      <c r="Z26" s="7"/>
      <c r="AA26" s="7"/>
      <c r="AB26" s="26"/>
      <c r="AC26" s="26"/>
    </row>
    <row r="27" spans="1:30" ht="15.75" customHeight="1">
      <c r="A27" s="10" t="s">
        <v>247</v>
      </c>
      <c r="B27" s="10" t="s">
        <v>27</v>
      </c>
      <c r="C27" s="11" t="s">
        <v>28</v>
      </c>
      <c r="D27" s="38"/>
      <c r="E27" s="13" t="s">
        <v>248</v>
      </c>
      <c r="F27" s="6" t="s">
        <v>249</v>
      </c>
      <c r="G27" s="15" t="str">
        <f ca="1">IFERROR(__xludf.DUMMYFUNCTION("CONCATENATE(B27,(VLOOKUP(C27,CATALOGOS!$F$2:$H$6,3,FALSE)),(VLOOKUP(V27,CATALOGOS!$J$2:$K$18,2,FALSE)),""-"",TO_TEXT(A27))"),"P05DA-0026")</f>
        <v>P05DA-0026</v>
      </c>
      <c r="H27" s="6" t="str">
        <f ca="1">IFERROR(__xludf.DUMMYFUNCTION("CONCATENATE($B27,(VLOOKUP($C27,CATALOGOS!$F$2:$H$6,3,FALSE)),(VLOOKUP($V27,CATALOGOS!$J$2:$K$18,2,FALSE)),""-"",TO_TEXT($A27))"),"P05DA-0026")</f>
        <v>P05DA-0026</v>
      </c>
      <c r="I27" s="6"/>
      <c r="J27" s="6"/>
      <c r="K27" s="6"/>
      <c r="L27" s="36"/>
      <c r="M27" s="6" t="s">
        <v>141</v>
      </c>
      <c r="N27" s="17"/>
      <c r="O27" s="17"/>
      <c r="P27" s="17"/>
      <c r="Q27" s="35" t="s">
        <v>250</v>
      </c>
      <c r="R27" s="6" t="s">
        <v>251</v>
      </c>
      <c r="S27" s="6">
        <v>5827700022</v>
      </c>
      <c r="T27" s="10" t="s">
        <v>252</v>
      </c>
      <c r="U27" s="173" t="s">
        <v>38</v>
      </c>
      <c r="V27" s="11" t="s">
        <v>28</v>
      </c>
      <c r="W27" s="20" t="s">
        <v>40</v>
      </c>
      <c r="X27" s="20" t="s">
        <v>40</v>
      </c>
      <c r="Y27" s="20"/>
      <c r="Z27" s="7"/>
      <c r="AA27" s="7"/>
      <c r="AB27" s="26"/>
      <c r="AC27" s="26"/>
    </row>
    <row r="28" spans="1:30" ht="15.75" customHeight="1">
      <c r="A28" s="10" t="s">
        <v>253</v>
      </c>
      <c r="B28" s="10" t="s">
        <v>27</v>
      </c>
      <c r="C28" s="11" t="s">
        <v>28</v>
      </c>
      <c r="D28" s="12"/>
      <c r="E28" s="13" t="s">
        <v>184</v>
      </c>
      <c r="F28" s="6" t="s">
        <v>254</v>
      </c>
      <c r="G28" s="6" t="str">
        <f ca="1">IFERROR(__xludf.DUMMYFUNCTION("CONCATENATE(B28,(VLOOKUP(C28,CATALOGOS!$F$2:$H$6,3,FALSE)),(VLOOKUP(V28,CATALOGOS!$J$2:$K$18,2,FALSE)),""-"",TO_TEXT(A28))"),"P05RM-0027")</f>
        <v>P05RM-0027</v>
      </c>
      <c r="H28" s="6" t="str">
        <f ca="1">IFERROR(__xludf.DUMMYFUNCTION("CONCATENATE($B28,(VLOOKUP($C28,CATALOGOS!$F$2:$H$6,3,FALSE)),(VLOOKUP($V28,CATALOGOS!$J$2:$K$18,2,FALSE)),""-"",TO_TEXT($A28))"),"P05RM-0027")</f>
        <v>P05RM-0027</v>
      </c>
      <c r="I28" s="6"/>
      <c r="J28" s="6" t="s">
        <v>255</v>
      </c>
      <c r="K28" s="6" t="s">
        <v>256</v>
      </c>
      <c r="L28" s="6" t="s">
        <v>257</v>
      </c>
      <c r="M28" s="6" t="s">
        <v>258</v>
      </c>
      <c r="N28" s="17"/>
      <c r="O28" s="17"/>
      <c r="P28" s="17" t="str">
        <f t="shared" ref="P28:P45" si="3">IF(COUNTIF($M$2:$M$997,M28)&gt;1,"REPETIDO","OK")</f>
        <v>OK</v>
      </c>
      <c r="Q28" s="17" t="s">
        <v>35</v>
      </c>
      <c r="R28" s="6" t="s">
        <v>35</v>
      </c>
      <c r="S28" s="17" t="s">
        <v>36</v>
      </c>
      <c r="T28" s="176" t="s">
        <v>259</v>
      </c>
      <c r="U28" s="173" t="s">
        <v>38</v>
      </c>
      <c r="V28" s="11" t="s">
        <v>147</v>
      </c>
      <c r="W28" s="20" t="s">
        <v>260</v>
      </c>
      <c r="X28" s="20" t="s">
        <v>260</v>
      </c>
      <c r="Y28" s="20"/>
      <c r="Z28" s="7"/>
      <c r="AA28" s="7"/>
      <c r="AB28" s="23"/>
      <c r="AC28" s="26"/>
    </row>
    <row r="29" spans="1:30" ht="15.75" customHeight="1">
      <c r="A29" s="10" t="s">
        <v>262</v>
      </c>
      <c r="B29" s="10" t="s">
        <v>27</v>
      </c>
      <c r="C29" s="11" t="s">
        <v>28</v>
      </c>
      <c r="D29" s="12"/>
      <c r="E29" s="13" t="s">
        <v>116</v>
      </c>
      <c r="F29" s="6" t="s">
        <v>263</v>
      </c>
      <c r="G29" s="15" t="str">
        <f ca="1">IFERROR(__xludf.DUMMYFUNCTION("CONCATENATE(B29,(VLOOKUP(C29,CATALOGOS!$F$2:$H$6,3,FALSE)),(VLOOKUP(V29,CATALOGOS!$J$2:$K$18,2,FALSE)),""-"",TO_TEXT(A29))"),"P05DA-0028")</f>
        <v>P05DA-0028</v>
      </c>
      <c r="H29" s="6" t="str">
        <f ca="1">IFERROR(__xludf.DUMMYFUNCTION("CONCATENATE($B29,(VLOOKUP($C29,CATALOGOS!$F$2:$H$6,3,FALSE)),(VLOOKUP($V29,CATALOGOS!$J$2:$K$18,2,FALSE)),""-"",TO_TEXT($A29))"),"P05DA-0028")</f>
        <v>P05DA-0028</v>
      </c>
      <c r="I29" s="6"/>
      <c r="J29" s="6" t="s">
        <v>264</v>
      </c>
      <c r="K29" s="6" t="s">
        <v>265</v>
      </c>
      <c r="L29" s="6" t="s">
        <v>266</v>
      </c>
      <c r="M29" s="6" t="s">
        <v>267</v>
      </c>
      <c r="N29" s="17"/>
      <c r="O29" s="17"/>
      <c r="P29" s="17" t="str">
        <f t="shared" si="3"/>
        <v>OK</v>
      </c>
      <c r="Q29" s="17" t="s">
        <v>35</v>
      </c>
      <c r="R29" s="6" t="s">
        <v>35</v>
      </c>
      <c r="S29" s="17" t="s">
        <v>36</v>
      </c>
      <c r="T29" s="35" t="s">
        <v>268</v>
      </c>
      <c r="U29" s="173" t="s">
        <v>38</v>
      </c>
      <c r="V29" s="11" t="s">
        <v>28</v>
      </c>
      <c r="W29" s="22" t="s">
        <v>39</v>
      </c>
      <c r="X29" s="22" t="s">
        <v>39</v>
      </c>
      <c r="Y29" s="22"/>
      <c r="Z29" s="7"/>
      <c r="AA29" s="7"/>
      <c r="AB29" s="23"/>
      <c r="AC29" s="26"/>
    </row>
    <row r="30" spans="1:30" ht="15.75" customHeight="1">
      <c r="A30" s="10" t="s">
        <v>269</v>
      </c>
      <c r="B30" s="10" t="s">
        <v>27</v>
      </c>
      <c r="C30" s="11" t="s">
        <v>28</v>
      </c>
      <c r="D30" s="12"/>
      <c r="E30" s="13" t="s">
        <v>199</v>
      </c>
      <c r="F30" s="6" t="s">
        <v>199</v>
      </c>
      <c r="G30" s="15" t="str">
        <f ca="1">IFERROR(__xludf.DUMMYFUNCTION("CONCATENATE(B30,(VLOOKUP(C30,CATALOGOS!$F$2:$H$6,3,FALSE)),(VLOOKUP(V30,CATALOGOS!$J$2:$K$18,2,FALSE)),""-"",TO_TEXT(A30))"),"P05DA-0029")</f>
        <v>P05DA-0029</v>
      </c>
      <c r="H30" s="6" t="str">
        <f ca="1">IFERROR(__xludf.DUMMYFUNCTION("CONCATENATE($B30,(VLOOKUP($C30,CATALOGOS!$F$2:$H$6,3,FALSE)),(VLOOKUP($V30,CATALOGOS!$J$2:$K$18,2,FALSE)),""-"",TO_TEXT($A30))"),"P05DA-0029")</f>
        <v>P05DA-0029</v>
      </c>
      <c r="I30" s="6"/>
      <c r="J30" s="6" t="s">
        <v>270</v>
      </c>
      <c r="K30" s="6" t="s">
        <v>271</v>
      </c>
      <c r="L30" s="36"/>
      <c r="M30" s="6" t="s">
        <v>272</v>
      </c>
      <c r="N30" s="17"/>
      <c r="O30" s="17"/>
      <c r="P30" s="17" t="str">
        <f t="shared" si="3"/>
        <v>OK</v>
      </c>
      <c r="Q30" s="17" t="s">
        <v>273</v>
      </c>
      <c r="R30" s="6" t="s">
        <v>274</v>
      </c>
      <c r="S30" s="6">
        <v>11392903015651</v>
      </c>
      <c r="T30" s="10" t="s">
        <v>85</v>
      </c>
      <c r="U30" s="173" t="s">
        <v>38</v>
      </c>
      <c r="V30" s="11" t="s">
        <v>28</v>
      </c>
      <c r="W30" s="22" t="s">
        <v>39</v>
      </c>
      <c r="X30" s="22" t="s">
        <v>39</v>
      </c>
      <c r="Y30" s="22"/>
      <c r="Z30" s="6"/>
      <c r="AA30" s="6"/>
      <c r="AB30" s="41" t="s">
        <v>275</v>
      </c>
      <c r="AC30" s="42">
        <v>44403</v>
      </c>
      <c r="AD30" s="8" t="s">
        <v>276</v>
      </c>
    </row>
    <row r="31" spans="1:30" ht="15.75" customHeight="1">
      <c r="A31" s="10" t="s">
        <v>277</v>
      </c>
      <c r="B31" s="10" t="s">
        <v>27</v>
      </c>
      <c r="C31" s="11" t="s">
        <v>28</v>
      </c>
      <c r="D31" s="12"/>
      <c r="E31" s="13" t="s">
        <v>278</v>
      </c>
      <c r="F31" s="43" t="s">
        <v>278</v>
      </c>
      <c r="G31" s="15" t="str">
        <f ca="1">IFERROR(__xludf.DUMMYFUNCTION("CONCATENATE(B31,(VLOOKUP(C31,CATALOGOS!$F$2:$H$6,3,FALSE)),(VLOOKUP(V31,CATALOGOS!$J$2:$K$18,2,FALSE)),""-"",TO_TEXT(A31))"),"P05DA-0030")</f>
        <v>P05DA-0030</v>
      </c>
      <c r="H31" s="6" t="str">
        <f ca="1">IFERROR(__xludf.DUMMYFUNCTION("CONCATENATE($B31,(VLOOKUP($C31,CATALOGOS!$F$2:$H$6,3,FALSE)),(VLOOKUP($V31,CATALOGOS!$J$2:$K$18,2,FALSE)),""-"",TO_TEXT($A31))"),"P05DA-0030")</f>
        <v>P05DA-0030</v>
      </c>
      <c r="I31" s="6"/>
      <c r="J31" s="6" t="s">
        <v>279</v>
      </c>
      <c r="K31" s="6" t="s">
        <v>280</v>
      </c>
      <c r="L31" s="6" t="s">
        <v>8432</v>
      </c>
      <c r="M31" s="6" t="s">
        <v>282</v>
      </c>
      <c r="N31" s="17"/>
      <c r="O31" s="17"/>
      <c r="P31" s="17" t="str">
        <f t="shared" si="3"/>
        <v>OK</v>
      </c>
      <c r="Q31" s="17" t="s">
        <v>35</v>
      </c>
      <c r="R31" s="6" t="s">
        <v>35</v>
      </c>
      <c r="S31" s="17" t="s">
        <v>36</v>
      </c>
      <c r="T31" s="35" t="s">
        <v>283</v>
      </c>
      <c r="U31" s="173" t="s">
        <v>38</v>
      </c>
      <c r="V31" s="11" t="s">
        <v>28</v>
      </c>
      <c r="W31" s="22" t="s">
        <v>39</v>
      </c>
      <c r="X31" s="22" t="s">
        <v>39</v>
      </c>
      <c r="Y31" s="22"/>
      <c r="Z31" s="7"/>
      <c r="AA31" s="7"/>
      <c r="AB31" s="23"/>
      <c r="AC31" s="26"/>
    </row>
    <row r="32" spans="1:30" ht="15.75" customHeight="1">
      <c r="A32" s="10" t="s">
        <v>284</v>
      </c>
      <c r="B32" s="10" t="s">
        <v>27</v>
      </c>
      <c r="C32" s="11" t="s">
        <v>28</v>
      </c>
      <c r="D32" s="12"/>
      <c r="E32" s="13" t="s">
        <v>162</v>
      </c>
      <c r="F32" s="6" t="s">
        <v>285</v>
      </c>
      <c r="G32" s="15" t="str">
        <f ca="1">IFERROR(__xludf.DUMMYFUNCTION("CONCATENATE(B32,(VLOOKUP(C32,CATALOGOS!$F$2:$H$6,3,FALSE)),(VLOOKUP(V32,CATALOGOS!$J$2:$K$18,2,FALSE)),""-"",TO_TEXT(A32))"),"P05DA-0031")</f>
        <v>P05DA-0031</v>
      </c>
      <c r="H32" s="6" t="str">
        <f ca="1">IFERROR(__xludf.DUMMYFUNCTION("CONCATENATE($B32,(VLOOKUP($C32,CATALOGOS!$F$2:$H$6,3,FALSE)),(VLOOKUP($V32,CATALOGOS!$J$2:$K$18,2,FALSE)),""-"",TO_TEXT($A32))"),"P05DA-0031")</f>
        <v>P05DA-0031</v>
      </c>
      <c r="I32" s="6"/>
      <c r="J32" s="6" t="s">
        <v>286</v>
      </c>
      <c r="K32" s="6" t="s">
        <v>287</v>
      </c>
      <c r="L32" s="6" t="s">
        <v>288</v>
      </c>
      <c r="M32" s="6" t="s">
        <v>289</v>
      </c>
      <c r="N32" s="17"/>
      <c r="O32" s="17"/>
      <c r="P32" s="17" t="str">
        <f t="shared" si="3"/>
        <v>OK</v>
      </c>
      <c r="Q32" s="17" t="s">
        <v>168</v>
      </c>
      <c r="R32" s="6" t="s">
        <v>169</v>
      </c>
      <c r="S32" s="17" t="s">
        <v>290</v>
      </c>
      <c r="T32" s="35" t="s">
        <v>291</v>
      </c>
      <c r="U32" s="173" t="s">
        <v>38</v>
      </c>
      <c r="V32" s="11" t="s">
        <v>28</v>
      </c>
      <c r="W32" s="22" t="s">
        <v>39</v>
      </c>
      <c r="X32" s="22" t="s">
        <v>39</v>
      </c>
      <c r="Y32" s="22"/>
      <c r="Z32" s="7"/>
      <c r="AA32" s="7"/>
      <c r="AB32" s="23"/>
      <c r="AC32" s="26"/>
    </row>
    <row r="33" spans="1:30" ht="15.75" customHeight="1">
      <c r="A33" s="10" t="s">
        <v>292</v>
      </c>
      <c r="B33" s="10" t="s">
        <v>27</v>
      </c>
      <c r="C33" s="11" t="s">
        <v>28</v>
      </c>
      <c r="D33" s="12"/>
      <c r="E33" s="13" t="s">
        <v>151</v>
      </c>
      <c r="F33" s="6" t="s">
        <v>293</v>
      </c>
      <c r="G33" s="15" t="str">
        <f ca="1">IFERROR(__xludf.DUMMYFUNCTION("CONCATENATE(B33,(VLOOKUP(C33,CATALOGOS!$F$2:$H$6,3,FALSE)),(VLOOKUP(V33,CATALOGOS!$J$2:$K$18,2,FALSE)),""-"",TO_TEXT(A33))"),"P05DA-0032")</f>
        <v>P05DA-0032</v>
      </c>
      <c r="H33" s="6" t="str">
        <f ca="1">IFERROR(__xludf.DUMMYFUNCTION("CONCATENATE($B33,(VLOOKUP($C33,CATALOGOS!$F$2:$H$6,3,FALSE)),(VLOOKUP($V33,CATALOGOS!$J$2:$K$18,2,FALSE)),""-"",TO_TEXT($A33))"),"P05DA-0032")</f>
        <v>P05DA-0032</v>
      </c>
      <c r="I33" s="6"/>
      <c r="J33" s="6" t="s">
        <v>294</v>
      </c>
      <c r="K33" s="6" t="s">
        <v>295</v>
      </c>
      <c r="L33" s="36"/>
      <c r="M33" s="6" t="s">
        <v>296</v>
      </c>
      <c r="N33" s="17"/>
      <c r="O33" s="17"/>
      <c r="P33" s="17" t="str">
        <f t="shared" si="3"/>
        <v>OK</v>
      </c>
      <c r="Q33" s="17" t="s">
        <v>297</v>
      </c>
      <c r="R33" s="6" t="s">
        <v>298</v>
      </c>
      <c r="S33" s="6" t="s">
        <v>299</v>
      </c>
      <c r="T33" s="10" t="s">
        <v>85</v>
      </c>
      <c r="U33" s="173" t="s">
        <v>100</v>
      </c>
      <c r="V33" s="11" t="s">
        <v>28</v>
      </c>
      <c r="W33" s="22" t="s">
        <v>39</v>
      </c>
      <c r="X33" s="22" t="s">
        <v>39</v>
      </c>
      <c r="Y33" s="22"/>
      <c r="Z33" s="6"/>
      <c r="AA33" s="6"/>
      <c r="AB33" s="41" t="s">
        <v>275</v>
      </c>
      <c r="AC33" s="42">
        <v>44403</v>
      </c>
      <c r="AD33" s="8">
        <v>0</v>
      </c>
    </row>
    <row r="34" spans="1:30" ht="15.75" customHeight="1">
      <c r="A34" s="10" t="s">
        <v>300</v>
      </c>
      <c r="B34" s="10" t="s">
        <v>27</v>
      </c>
      <c r="C34" s="11" t="s">
        <v>28</v>
      </c>
      <c r="D34" s="12"/>
      <c r="E34" s="13" t="s">
        <v>248</v>
      </c>
      <c r="F34" s="6" t="s">
        <v>248</v>
      </c>
      <c r="G34" s="15" t="str">
        <f ca="1">IFERROR(__xludf.DUMMYFUNCTION("CONCATENATE(B34,(VLOOKUP(C34,CATALOGOS!$F$2:$H$6,3,FALSE)),(VLOOKUP(V34,CATALOGOS!$J$2:$K$18,2,FALSE)),""-"",TO_TEXT(A34))"),"P05DA-0033")</f>
        <v>P05DA-0033</v>
      </c>
      <c r="H34" s="6" t="str">
        <f ca="1">IFERROR(__xludf.DUMMYFUNCTION("CONCATENATE($B34,(VLOOKUP($C34,CATALOGOS!$F$2:$H$6,3,FALSE)),(VLOOKUP($V34,CATALOGOS!$J$2:$K$18,2,FALSE)),""-"",TO_TEXT($A34))"),"P05DA-0033")</f>
        <v>P05DA-0033</v>
      </c>
      <c r="I34" s="6"/>
      <c r="J34" s="6" t="s">
        <v>301</v>
      </c>
      <c r="K34" s="6" t="s">
        <v>302</v>
      </c>
      <c r="L34" s="36"/>
      <c r="M34" s="6" t="s">
        <v>141</v>
      </c>
      <c r="N34" s="44"/>
      <c r="O34" s="17"/>
      <c r="P34" s="17" t="str">
        <f t="shared" si="3"/>
        <v>REPETIDO</v>
      </c>
      <c r="Q34" s="17" t="s">
        <v>303</v>
      </c>
      <c r="R34" s="6" t="s">
        <v>304</v>
      </c>
      <c r="S34" s="6" t="s">
        <v>305</v>
      </c>
      <c r="T34" s="10" t="s">
        <v>306</v>
      </c>
      <c r="U34" s="173" t="s">
        <v>38</v>
      </c>
      <c r="V34" s="11" t="s">
        <v>28</v>
      </c>
      <c r="W34" s="22" t="s">
        <v>39</v>
      </c>
      <c r="X34" s="22" t="s">
        <v>39</v>
      </c>
      <c r="Y34" s="22"/>
      <c r="Z34" s="7"/>
      <c r="AA34" s="7"/>
      <c r="AB34" s="23"/>
      <c r="AC34" s="26"/>
    </row>
    <row r="35" spans="1:30" ht="15.75" customHeight="1">
      <c r="A35" s="10" t="s">
        <v>307</v>
      </c>
      <c r="B35" s="10" t="s">
        <v>27</v>
      </c>
      <c r="C35" s="11" t="s">
        <v>28</v>
      </c>
      <c r="D35" s="12"/>
      <c r="E35" s="13" t="s">
        <v>93</v>
      </c>
      <c r="F35" s="6" t="s">
        <v>308</v>
      </c>
      <c r="G35" s="15" t="str">
        <f ca="1">IFERROR(__xludf.DUMMYFUNCTION("CONCATENATE(B35,(VLOOKUP(C35,CATALOGOS!$F$2:$H$6,3,FALSE)),(VLOOKUP(V35,CATALOGOS!$J$2:$K$18,2,FALSE)),""-"",TO_TEXT(A35))"),"P05DA-0034")</f>
        <v>P05DA-0034</v>
      </c>
      <c r="H35" s="6" t="str">
        <f ca="1">IFERROR(__xludf.DUMMYFUNCTION("CONCATENATE($B35,(VLOOKUP($C35,CATALOGOS!$F$2:$H$6,3,FALSE)),(VLOOKUP($V35,CATALOGOS!$J$2:$K$18,2,FALSE)),""-"",TO_TEXT($A35))"),"P05DA-0034")</f>
        <v>P05DA-0034</v>
      </c>
      <c r="I35" s="6"/>
      <c r="J35" s="6" t="s">
        <v>309</v>
      </c>
      <c r="K35" s="6" t="s">
        <v>310</v>
      </c>
      <c r="L35" s="6" t="s">
        <v>311</v>
      </c>
      <c r="M35" s="6" t="s">
        <v>312</v>
      </c>
      <c r="N35" s="17"/>
      <c r="O35" s="17"/>
      <c r="P35" s="17" t="str">
        <f t="shared" si="3"/>
        <v>OK</v>
      </c>
      <c r="Q35" s="17" t="s">
        <v>35</v>
      </c>
      <c r="R35" s="6" t="s">
        <v>35</v>
      </c>
      <c r="S35" s="17" t="s">
        <v>36</v>
      </c>
      <c r="T35" s="35" t="s">
        <v>313</v>
      </c>
      <c r="U35" s="173" t="s">
        <v>38</v>
      </c>
      <c r="V35" s="11" t="s">
        <v>28</v>
      </c>
      <c r="W35" s="22" t="s">
        <v>39</v>
      </c>
      <c r="X35" s="22" t="s">
        <v>39</v>
      </c>
      <c r="Y35" s="22"/>
      <c r="Z35" s="7"/>
      <c r="AA35" s="7"/>
      <c r="AB35" s="23"/>
      <c r="AC35" s="26"/>
    </row>
    <row r="36" spans="1:30" ht="15.75" customHeight="1">
      <c r="A36" s="10" t="s">
        <v>314</v>
      </c>
      <c r="B36" s="10" t="s">
        <v>27</v>
      </c>
      <c r="C36" s="11" t="s">
        <v>28</v>
      </c>
      <c r="D36" s="12"/>
      <c r="E36" s="13" t="s">
        <v>43</v>
      </c>
      <c r="F36" s="6" t="s">
        <v>315</v>
      </c>
      <c r="G36" s="15" t="str">
        <f ca="1">IFERROR(__xludf.DUMMYFUNCTION("CONCATENATE(B36,(VLOOKUP(C36,CATALOGOS!$F$2:$H$6,3,FALSE)),(VLOOKUP(V36,CATALOGOS!$J$2:$K$18,2,FALSE)),""-"",TO_TEXT(A36))"),"P05DA-0035")</f>
        <v>P05DA-0035</v>
      </c>
      <c r="H36" s="6" t="str">
        <f ca="1">IFERROR(__xludf.DUMMYFUNCTION("CONCATENATE($B36,(VLOOKUP($C36,CATALOGOS!$F$2:$H$6,3,FALSE)),(VLOOKUP($V36,CATALOGOS!$J$2:$K$18,2,FALSE)),""-"",TO_TEXT($A36))"),"P05DA-0035")</f>
        <v>P05DA-0035</v>
      </c>
      <c r="I36" s="6"/>
      <c r="J36" s="6" t="s">
        <v>316</v>
      </c>
      <c r="K36" s="6" t="s">
        <v>317</v>
      </c>
      <c r="L36" s="36"/>
      <c r="M36" s="6" t="s">
        <v>141</v>
      </c>
      <c r="N36" s="17"/>
      <c r="O36" s="17"/>
      <c r="P36" s="17" t="str">
        <f t="shared" si="3"/>
        <v>REPETIDO</v>
      </c>
      <c r="Q36" s="17" t="s">
        <v>318</v>
      </c>
      <c r="R36" s="6">
        <v>10188</v>
      </c>
      <c r="S36" s="6" t="s">
        <v>36</v>
      </c>
      <c r="T36" s="10" t="s">
        <v>319</v>
      </c>
      <c r="U36" s="173" t="s">
        <v>38</v>
      </c>
      <c r="V36" s="11" t="s">
        <v>28</v>
      </c>
      <c r="W36" s="22" t="s">
        <v>39</v>
      </c>
      <c r="X36" s="22" t="s">
        <v>39</v>
      </c>
      <c r="Y36" s="22"/>
      <c r="Z36" s="7"/>
      <c r="AA36" s="7"/>
      <c r="AB36" s="23"/>
      <c r="AC36" s="26"/>
    </row>
    <row r="37" spans="1:30" ht="15.75" customHeight="1">
      <c r="A37" s="10" t="s">
        <v>320</v>
      </c>
      <c r="B37" s="10" t="s">
        <v>27</v>
      </c>
      <c r="C37" s="11" t="s">
        <v>28</v>
      </c>
      <c r="D37" s="38"/>
      <c r="E37" s="13" t="s">
        <v>321</v>
      </c>
      <c r="F37" s="6" t="s">
        <v>322</v>
      </c>
      <c r="G37" s="15" t="str">
        <f ca="1">IFERROR(__xludf.DUMMYFUNCTION("CONCATENATE(B37,(VLOOKUP(C37,CATALOGOS!$F$2:$H$6,3,FALSE)),(VLOOKUP(V37,CATALOGOS!$J$2:$K$18,2,FALSE)),""-"",TO_TEXT(A37))"),"P05DA-0036")</f>
        <v>P05DA-0036</v>
      </c>
      <c r="H37" s="6" t="str">
        <f ca="1">IFERROR(__xludf.DUMMYFUNCTION("CONCATENATE($B37,(VLOOKUP($C37,CATALOGOS!$F$2:$H$6,3,FALSE)),(VLOOKUP($V37,CATALOGOS!$J$2:$K$18,2,FALSE)),""-"",TO_TEXT($A37))"),"P05DA-0036")</f>
        <v>P05DA-0036</v>
      </c>
      <c r="I37" s="6"/>
      <c r="J37" s="6" t="s">
        <v>323</v>
      </c>
      <c r="K37" s="6" t="s">
        <v>324</v>
      </c>
      <c r="L37" s="36"/>
      <c r="M37" s="6" t="s">
        <v>141</v>
      </c>
      <c r="N37" s="17"/>
      <c r="O37" s="17"/>
      <c r="P37" s="17" t="str">
        <f t="shared" si="3"/>
        <v>REPETIDO</v>
      </c>
      <c r="Q37" s="17" t="s">
        <v>325</v>
      </c>
      <c r="R37" s="6" t="s">
        <v>326</v>
      </c>
      <c r="S37" s="6" t="s">
        <v>36</v>
      </c>
      <c r="T37" s="32" t="s">
        <v>85</v>
      </c>
      <c r="U37" s="173" t="s">
        <v>100</v>
      </c>
      <c r="V37" s="11" t="s">
        <v>28</v>
      </c>
      <c r="W37" s="22" t="s">
        <v>39</v>
      </c>
      <c r="X37" s="22" t="s">
        <v>39</v>
      </c>
      <c r="Y37" s="22"/>
      <c r="Z37" s="7"/>
      <c r="AA37" s="7"/>
      <c r="AB37" s="26"/>
      <c r="AC37" s="26"/>
    </row>
    <row r="38" spans="1:30" ht="15.75" customHeight="1">
      <c r="A38" s="10" t="s">
        <v>327</v>
      </c>
      <c r="B38" s="10" t="s">
        <v>27</v>
      </c>
      <c r="C38" s="11" t="s">
        <v>28</v>
      </c>
      <c r="D38" s="12"/>
      <c r="E38" s="13" t="s">
        <v>151</v>
      </c>
      <c r="F38" s="6" t="s">
        <v>293</v>
      </c>
      <c r="G38" s="15" t="str">
        <f ca="1">IFERROR(__xludf.DUMMYFUNCTION("CONCATENATE(B38,(VLOOKUP(C38,CATALOGOS!$F$2:$H$6,3,FALSE)),(VLOOKUP(V38,CATALOGOS!$J$2:$K$18,2,FALSE)),""-"",TO_TEXT(A38))"),"P05DA-0037")</f>
        <v>P05DA-0037</v>
      </c>
      <c r="H38" s="6" t="str">
        <f ca="1">IFERROR(__xludf.DUMMYFUNCTION("CONCATENATE($B38,(VLOOKUP($C38,CATALOGOS!$F$2:$H$6,3,FALSE)),(VLOOKUP($V38,CATALOGOS!$J$2:$K$18,2,FALSE)),""-"",TO_TEXT($A38))"),"P05DA-0037")</f>
        <v>P05DA-0037</v>
      </c>
      <c r="I38" s="6"/>
      <c r="J38" s="6" t="s">
        <v>328</v>
      </c>
      <c r="K38" s="6" t="s">
        <v>329</v>
      </c>
      <c r="L38" s="36"/>
      <c r="M38" s="6" t="s">
        <v>330</v>
      </c>
      <c r="N38" s="17"/>
      <c r="O38" s="17"/>
      <c r="P38" s="17" t="str">
        <f t="shared" si="3"/>
        <v>OK</v>
      </c>
      <c r="Q38" s="17" t="s">
        <v>297</v>
      </c>
      <c r="R38" s="6" t="s">
        <v>298</v>
      </c>
      <c r="S38" s="6" t="s">
        <v>331</v>
      </c>
      <c r="T38" s="10" t="s">
        <v>85</v>
      </c>
      <c r="U38" s="173" t="s">
        <v>38</v>
      </c>
      <c r="V38" s="11" t="s">
        <v>28</v>
      </c>
      <c r="W38" s="22" t="s">
        <v>332</v>
      </c>
      <c r="X38" s="22" t="s">
        <v>332</v>
      </c>
      <c r="Y38" s="22"/>
      <c r="Z38" s="6"/>
      <c r="AA38" s="6"/>
      <c r="AB38" s="41" t="s">
        <v>92</v>
      </c>
      <c r="AC38" s="42">
        <v>44348</v>
      </c>
      <c r="AD38" s="45">
        <v>0</v>
      </c>
    </row>
    <row r="39" spans="1:30" ht="15.75" customHeight="1">
      <c r="A39" s="10" t="s">
        <v>333</v>
      </c>
      <c r="B39" s="10" t="s">
        <v>27</v>
      </c>
      <c r="C39" s="11" t="s">
        <v>28</v>
      </c>
      <c r="D39" s="12"/>
      <c r="E39" s="13" t="s">
        <v>162</v>
      </c>
      <c r="F39" s="6" t="s">
        <v>285</v>
      </c>
      <c r="G39" s="15" t="str">
        <f ca="1">IFERROR(__xludf.DUMMYFUNCTION("CONCATENATE(B39,(VLOOKUP(C39,CATALOGOS!$F$2:$H$6,3,FALSE)),(VLOOKUP(V39,CATALOGOS!$J$2:$K$18,2,FALSE)),""-"",TO_TEXT(A39))"),"P05DA-0038")</f>
        <v>P05DA-0038</v>
      </c>
      <c r="H39" s="6" t="str">
        <f ca="1">IFERROR(__xludf.DUMMYFUNCTION("CONCATENATE($B39,(VLOOKUP($C39,CATALOGOS!$F$2:$H$6,3,FALSE)),(VLOOKUP($V39,CATALOGOS!$J$2:$K$18,2,FALSE)),""-"",TO_TEXT($A39))"),"P05DA-0038")</f>
        <v>P05DA-0038</v>
      </c>
      <c r="I39" s="6"/>
      <c r="J39" s="6" t="s">
        <v>334</v>
      </c>
      <c r="K39" s="6" t="s">
        <v>335</v>
      </c>
      <c r="L39" s="6" t="s">
        <v>336</v>
      </c>
      <c r="M39" s="6" t="s">
        <v>337</v>
      </c>
      <c r="N39" s="17"/>
      <c r="O39" s="17"/>
      <c r="P39" s="17" t="str">
        <f t="shared" si="3"/>
        <v>OK</v>
      </c>
      <c r="Q39" s="17" t="s">
        <v>168</v>
      </c>
      <c r="R39" s="6" t="s">
        <v>169</v>
      </c>
      <c r="S39" s="17" t="s">
        <v>338</v>
      </c>
      <c r="T39" s="35" t="s">
        <v>339</v>
      </c>
      <c r="U39" s="173" t="s">
        <v>38</v>
      </c>
      <c r="V39" s="11" t="s">
        <v>28</v>
      </c>
      <c r="W39" s="22" t="s">
        <v>332</v>
      </c>
      <c r="X39" s="22" t="s">
        <v>332</v>
      </c>
      <c r="Y39" s="22"/>
      <c r="Z39" s="7"/>
      <c r="AA39" s="7"/>
      <c r="AB39" s="23"/>
      <c r="AC39" s="26"/>
    </row>
    <row r="40" spans="1:30" ht="15.75" customHeight="1">
      <c r="A40" s="10" t="s">
        <v>341</v>
      </c>
      <c r="B40" s="10" t="s">
        <v>27</v>
      </c>
      <c r="C40" s="11" t="s">
        <v>28</v>
      </c>
      <c r="D40" s="12"/>
      <c r="E40" s="13" t="s">
        <v>199</v>
      </c>
      <c r="F40" s="6" t="s">
        <v>199</v>
      </c>
      <c r="G40" s="15" t="str">
        <f ca="1">IFERROR(__xludf.DUMMYFUNCTION("CONCATENATE(B40,(VLOOKUP(C40,CATALOGOS!$F$2:$H$6,3,FALSE)),(VLOOKUP(V40,CATALOGOS!$J$2:$K$18,2,FALSE)),""-"",TO_TEXT(A40))"),"P05DA-0039")</f>
        <v>P05DA-0039</v>
      </c>
      <c r="H40" s="6" t="str">
        <f ca="1">IFERROR(__xludf.DUMMYFUNCTION("CONCATENATE($B40,(VLOOKUP($C40,CATALOGOS!$F$2:$H$6,3,FALSE)),(VLOOKUP($V40,CATALOGOS!$J$2:$K$18,2,FALSE)),""-"",TO_TEXT($A40))"),"P05DA-0039")</f>
        <v>P05DA-0039</v>
      </c>
      <c r="I40" s="6"/>
      <c r="J40" s="6" t="s">
        <v>342</v>
      </c>
      <c r="K40" s="6" t="s">
        <v>343</v>
      </c>
      <c r="L40" s="36"/>
      <c r="M40" s="6" t="s">
        <v>344</v>
      </c>
      <c r="N40" s="17"/>
      <c r="O40" s="17"/>
      <c r="P40" s="17" t="str">
        <f t="shared" si="3"/>
        <v>OK</v>
      </c>
      <c r="Q40" s="17" t="s">
        <v>273</v>
      </c>
      <c r="R40" s="6" t="s">
        <v>274</v>
      </c>
      <c r="S40" s="6">
        <v>11392903011586</v>
      </c>
      <c r="T40" s="10" t="s">
        <v>85</v>
      </c>
      <c r="U40" s="173" t="s">
        <v>38</v>
      </c>
      <c r="V40" s="11" t="s">
        <v>28</v>
      </c>
      <c r="W40" s="22" t="s">
        <v>332</v>
      </c>
      <c r="X40" s="22" t="s">
        <v>332</v>
      </c>
      <c r="Y40" s="22"/>
      <c r="Z40" s="6"/>
      <c r="AA40" s="6"/>
      <c r="AB40" s="41" t="s">
        <v>92</v>
      </c>
      <c r="AC40" s="42">
        <v>44348</v>
      </c>
      <c r="AD40" s="8" t="s">
        <v>276</v>
      </c>
    </row>
    <row r="41" spans="1:30" ht="15.75" customHeight="1">
      <c r="A41" s="10" t="s">
        <v>345</v>
      </c>
      <c r="B41" s="10" t="s">
        <v>27</v>
      </c>
      <c r="C41" s="11" t="s">
        <v>28</v>
      </c>
      <c r="D41" s="12"/>
      <c r="E41" s="13" t="s">
        <v>62</v>
      </c>
      <c r="F41" s="6" t="s">
        <v>346</v>
      </c>
      <c r="G41" s="15" t="str">
        <f ca="1">IFERROR(__xludf.DUMMYFUNCTION("CONCATENATE(B41,(VLOOKUP(C41,CATALOGOS!$F$2:$H$6,3,FALSE)),(VLOOKUP(V41,CATALOGOS!$J$2:$K$18,2,FALSE)),""-"",TO_TEXT(A41))"),"P05DA-0040")</f>
        <v>P05DA-0040</v>
      </c>
      <c r="H41" s="6" t="str">
        <f ca="1">IFERROR(__xludf.DUMMYFUNCTION("CONCATENATE($B41,(VLOOKUP($C41,CATALOGOS!$F$2:$H$6,3,FALSE)),(VLOOKUP($V41,CATALOGOS!$J$2:$K$18,2,FALSE)),""-"",TO_TEXT($A41))"),"P05DA-0040")</f>
        <v>P05DA-0040</v>
      </c>
      <c r="I41" s="6"/>
      <c r="J41" s="6" t="s">
        <v>347</v>
      </c>
      <c r="K41" s="6" t="s">
        <v>348</v>
      </c>
      <c r="L41" s="6" t="s">
        <v>349</v>
      </c>
      <c r="M41" s="6" t="s">
        <v>350</v>
      </c>
      <c r="N41" s="17"/>
      <c r="O41" s="17"/>
      <c r="P41" s="17" t="str">
        <f t="shared" si="3"/>
        <v>OK</v>
      </c>
      <c r="Q41" s="17" t="s">
        <v>35</v>
      </c>
      <c r="R41" s="6" t="s">
        <v>35</v>
      </c>
      <c r="S41" s="35" t="s">
        <v>36</v>
      </c>
      <c r="T41" s="35" t="s">
        <v>351</v>
      </c>
      <c r="U41" s="173" t="s">
        <v>38</v>
      </c>
      <c r="V41" s="11" t="s">
        <v>28</v>
      </c>
      <c r="W41" s="22" t="s">
        <v>332</v>
      </c>
      <c r="X41" s="22" t="s">
        <v>332</v>
      </c>
      <c r="Y41" s="22"/>
      <c r="Z41" s="7"/>
      <c r="AA41" s="7"/>
      <c r="AB41" s="23"/>
      <c r="AC41" s="26"/>
    </row>
    <row r="42" spans="1:30" ht="15.75" customHeight="1">
      <c r="A42" s="10" t="s">
        <v>352</v>
      </c>
      <c r="B42" s="10" t="s">
        <v>27</v>
      </c>
      <c r="C42" s="11" t="s">
        <v>28</v>
      </c>
      <c r="D42" s="12"/>
      <c r="E42" s="13" t="s">
        <v>353</v>
      </c>
      <c r="F42" s="6" t="s">
        <v>354</v>
      </c>
      <c r="G42" s="15" t="str">
        <f ca="1">IFERROR(__xludf.DUMMYFUNCTION("CONCATENATE(B42,(VLOOKUP(C42,CATALOGOS!$F$2:$H$6,3,FALSE)),(VLOOKUP(V42,CATALOGOS!$J$2:$K$18,2,FALSE)),""-"",TO_TEXT(A42))"),"P05DA-0041")</f>
        <v>P05DA-0041</v>
      </c>
      <c r="H42" s="6" t="str">
        <f ca="1">IFERROR(__xludf.DUMMYFUNCTION("CONCATENATE($B42,(VLOOKUP($C42,CATALOGOS!$F$2:$H$6,3,FALSE)),(VLOOKUP($V42,CATALOGOS!$J$2:$K$18,2,FALSE)),""-"",TO_TEXT($A42))"),"P05DA-0041")</f>
        <v>P05DA-0041</v>
      </c>
      <c r="I42" s="6"/>
      <c r="J42" s="6" t="s">
        <v>355</v>
      </c>
      <c r="K42" s="6" t="s">
        <v>356</v>
      </c>
      <c r="L42" s="6" t="s">
        <v>357</v>
      </c>
      <c r="M42" s="6" t="s">
        <v>358</v>
      </c>
      <c r="N42" s="17"/>
      <c r="O42" s="17"/>
      <c r="P42" s="17" t="str">
        <f t="shared" si="3"/>
        <v>OK</v>
      </c>
      <c r="Q42" s="17" t="s">
        <v>359</v>
      </c>
      <c r="R42" s="6" t="s">
        <v>360</v>
      </c>
      <c r="S42" s="17" t="s">
        <v>361</v>
      </c>
      <c r="T42" s="35" t="s">
        <v>362</v>
      </c>
      <c r="U42" s="173" t="s">
        <v>38</v>
      </c>
      <c r="V42" s="11" t="s">
        <v>28</v>
      </c>
      <c r="W42" s="22" t="s">
        <v>332</v>
      </c>
      <c r="X42" s="22" t="s">
        <v>332</v>
      </c>
      <c r="Y42" s="22"/>
      <c r="Z42" s="7"/>
      <c r="AA42" s="7"/>
      <c r="AB42" s="23"/>
      <c r="AC42" s="26"/>
    </row>
    <row r="43" spans="1:30" ht="15.75" customHeight="1">
      <c r="A43" s="10" t="s">
        <v>363</v>
      </c>
      <c r="B43" s="10" t="s">
        <v>27</v>
      </c>
      <c r="C43" s="11" t="s">
        <v>28</v>
      </c>
      <c r="D43" s="12"/>
      <c r="E43" s="13" t="s">
        <v>116</v>
      </c>
      <c r="F43" s="6" t="s">
        <v>364</v>
      </c>
      <c r="G43" s="15" t="str">
        <f ca="1">IFERROR(__xludf.DUMMYFUNCTION("CONCATENATE(B43,(VLOOKUP(C43,CATALOGOS!$F$2:$H$6,3,FALSE)),(VLOOKUP(V43,CATALOGOS!$J$2:$K$18,2,FALSE)),""-"",TO_TEXT(A43))"),"P05DA-0042")</f>
        <v>P05DA-0042</v>
      </c>
      <c r="H43" s="6" t="str">
        <f ca="1">IFERROR(__xludf.DUMMYFUNCTION("CONCATENATE($B43,(VLOOKUP($C43,CATALOGOS!$F$2:$H$6,3,FALSE)),(VLOOKUP($V43,CATALOGOS!$J$2:$K$18,2,FALSE)),""-"",TO_TEXT($A43))"),"P05DA-0042")</f>
        <v>P05DA-0042</v>
      </c>
      <c r="I43" s="6"/>
      <c r="J43" s="6" t="s">
        <v>365</v>
      </c>
      <c r="K43" s="6" t="s">
        <v>366</v>
      </c>
      <c r="L43" s="6" t="s">
        <v>367</v>
      </c>
      <c r="M43" s="6" t="s">
        <v>368</v>
      </c>
      <c r="N43" s="17"/>
      <c r="O43" s="17"/>
      <c r="P43" s="17" t="str">
        <f t="shared" si="3"/>
        <v>OK</v>
      </c>
      <c r="Q43" s="17" t="s">
        <v>35</v>
      </c>
      <c r="R43" s="6" t="s">
        <v>35</v>
      </c>
      <c r="S43" s="17" t="s">
        <v>36</v>
      </c>
      <c r="T43" s="35" t="s">
        <v>369</v>
      </c>
      <c r="U43" s="173" t="s">
        <v>100</v>
      </c>
      <c r="V43" s="11" t="s">
        <v>28</v>
      </c>
      <c r="W43" s="22" t="s">
        <v>332</v>
      </c>
      <c r="X43" s="22" t="s">
        <v>332</v>
      </c>
      <c r="Y43" s="22"/>
      <c r="Z43" s="7"/>
      <c r="AA43" s="7"/>
      <c r="AB43" s="23"/>
      <c r="AC43" s="26"/>
    </row>
    <row r="44" spans="1:30" ht="15.75" customHeight="1">
      <c r="A44" s="10" t="s">
        <v>370</v>
      </c>
      <c r="B44" s="10" t="s">
        <v>27</v>
      </c>
      <c r="C44" s="11" t="s">
        <v>28</v>
      </c>
      <c r="D44" s="12"/>
      <c r="E44" s="13" t="s">
        <v>93</v>
      </c>
      <c r="F44" s="6" t="s">
        <v>371</v>
      </c>
      <c r="G44" s="15" t="str">
        <f ca="1">IFERROR(__xludf.DUMMYFUNCTION("CONCATENATE(B44,(VLOOKUP(C44,CATALOGOS!$F$2:$H$6,3,FALSE)),(VLOOKUP(V44,CATALOGOS!$J$2:$K$18,2,FALSE)),""-"",TO_TEXT(A44))"),"P05DA-0043")</f>
        <v>P05DA-0043</v>
      </c>
      <c r="H44" s="6" t="str">
        <f ca="1">IFERROR(__xludf.DUMMYFUNCTION("CONCATENATE($B44,(VLOOKUP($C44,CATALOGOS!$F$2:$H$6,3,FALSE)),(VLOOKUP($V44,CATALOGOS!$J$2:$K$18,2,FALSE)),""-"",TO_TEXT($A44))"),"P05DA-0043")</f>
        <v>P05DA-0043</v>
      </c>
      <c r="I44" s="6"/>
      <c r="J44" s="6" t="s">
        <v>372</v>
      </c>
      <c r="K44" s="6" t="s">
        <v>373</v>
      </c>
      <c r="L44" s="6" t="s">
        <v>374</v>
      </c>
      <c r="M44" s="6" t="s">
        <v>375</v>
      </c>
      <c r="N44" s="17"/>
      <c r="O44" s="17"/>
      <c r="P44" s="17" t="str">
        <f t="shared" si="3"/>
        <v>OK</v>
      </c>
      <c r="Q44" s="17" t="s">
        <v>35</v>
      </c>
      <c r="R44" s="6" t="s">
        <v>35</v>
      </c>
      <c r="S44" s="17" t="s">
        <v>36</v>
      </c>
      <c r="T44" s="35" t="s">
        <v>376</v>
      </c>
      <c r="U44" s="173" t="s">
        <v>38</v>
      </c>
      <c r="V44" s="11" t="s">
        <v>28</v>
      </c>
      <c r="W44" s="22" t="s">
        <v>332</v>
      </c>
      <c r="X44" s="22" t="s">
        <v>332</v>
      </c>
      <c r="Y44" s="22"/>
      <c r="Z44" s="7"/>
      <c r="AA44" s="7"/>
      <c r="AB44" s="23"/>
      <c r="AC44" s="26"/>
    </row>
    <row r="45" spans="1:30" ht="15.75" customHeight="1">
      <c r="A45" s="10" t="s">
        <v>377</v>
      </c>
      <c r="B45" s="10" t="s">
        <v>27</v>
      </c>
      <c r="C45" s="11" t="s">
        <v>28</v>
      </c>
      <c r="D45" s="38"/>
      <c r="E45" s="13" t="s">
        <v>378</v>
      </c>
      <c r="F45" s="6" t="s">
        <v>379</v>
      </c>
      <c r="G45" s="15" t="str">
        <f ca="1">IFERROR(__xludf.DUMMYFUNCTION("CONCATENATE(B45,(VLOOKUP(C45,CATALOGOS!$F$2:$H$6,3,FALSE)),(VLOOKUP(V45,CATALOGOS!$J$2:$K$18,2,FALSE)),""-"",TO_TEXT(A45))"),"P05DA-0044")</f>
        <v>P05DA-0044</v>
      </c>
      <c r="H45" s="6" t="str">
        <f ca="1">IFERROR(__xludf.DUMMYFUNCTION("CONCATENATE($B45,(VLOOKUP($C45,CATALOGOS!$F$2:$H$6,3,FALSE)),(VLOOKUP($V45,CATALOGOS!$J$2:$K$18,2,FALSE)),""-"",TO_TEXT($A45))"),"P05DA-0044")</f>
        <v>P05DA-0044</v>
      </c>
      <c r="I45" s="6"/>
      <c r="J45" s="6" t="s">
        <v>380</v>
      </c>
      <c r="K45" s="6" t="s">
        <v>381</v>
      </c>
      <c r="L45" s="6" t="s">
        <v>382</v>
      </c>
      <c r="M45" s="6" t="s">
        <v>383</v>
      </c>
      <c r="N45" s="17"/>
      <c r="O45" s="17"/>
      <c r="P45" s="17" t="str">
        <f t="shared" si="3"/>
        <v>OK</v>
      </c>
      <c r="Q45" s="17" t="s">
        <v>35</v>
      </c>
      <c r="R45" s="6" t="s">
        <v>35</v>
      </c>
      <c r="S45" s="46" t="s">
        <v>36</v>
      </c>
      <c r="T45" s="35" t="s">
        <v>384</v>
      </c>
      <c r="U45" s="173" t="s">
        <v>517</v>
      </c>
      <c r="V45" s="11" t="s">
        <v>28</v>
      </c>
      <c r="W45" s="22" t="s">
        <v>332</v>
      </c>
      <c r="X45" s="22" t="s">
        <v>332</v>
      </c>
      <c r="Y45" s="22"/>
      <c r="Z45" s="7"/>
      <c r="AA45" s="7"/>
      <c r="AB45" s="26"/>
      <c r="AC45" s="26"/>
    </row>
    <row r="46" spans="1:30" ht="15.75" customHeight="1">
      <c r="A46" s="10" t="s">
        <v>386</v>
      </c>
      <c r="B46" s="10" t="s">
        <v>27</v>
      </c>
      <c r="C46" s="11" t="s">
        <v>28</v>
      </c>
      <c r="D46" s="12"/>
      <c r="E46" s="13" t="s">
        <v>387</v>
      </c>
      <c r="F46" s="6" t="s">
        <v>387</v>
      </c>
      <c r="G46" s="15" t="str">
        <f ca="1">IFERROR(__xludf.DUMMYFUNCTION("CONCATENATE(B46,(VLOOKUP(C46,CATALOGOS!$F$2:$H$6,3,FALSE)),(VLOOKUP(V46,CATALOGOS!$J$2:$K$18,2,FALSE)),""-"",TO_TEXT(A46))"),"P05DA-0045")</f>
        <v>P05DA-0045</v>
      </c>
      <c r="H46" s="6" t="str">
        <f ca="1">IFERROR(__xludf.DUMMYFUNCTION("CONCATENATE($B46,(VLOOKUP($C46,CATALOGOS!$F$2:$H$6,3,FALSE)),(VLOOKUP($V46,CATALOGOS!$J$2:$K$18,2,FALSE)),""-"",TO_TEXT($A46))"),"P05DA-0045")</f>
        <v>P05DA-0045</v>
      </c>
      <c r="I46" s="6"/>
      <c r="J46" s="6" t="s">
        <v>388</v>
      </c>
      <c r="K46" s="6" t="s">
        <v>389</v>
      </c>
      <c r="L46" s="36"/>
      <c r="M46" s="6" t="s">
        <v>141</v>
      </c>
      <c r="N46" s="17"/>
      <c r="O46" s="17"/>
      <c r="P46" s="35" t="s">
        <v>142</v>
      </c>
      <c r="Q46" s="17" t="s">
        <v>390</v>
      </c>
      <c r="R46" s="6">
        <v>40514</v>
      </c>
      <c r="S46" s="6" t="s">
        <v>391</v>
      </c>
      <c r="T46" s="10" t="s">
        <v>85</v>
      </c>
      <c r="U46" s="173" t="s">
        <v>38</v>
      </c>
      <c r="V46" s="11" t="s">
        <v>28</v>
      </c>
      <c r="W46" s="22" t="s">
        <v>392</v>
      </c>
      <c r="X46" s="22" t="s">
        <v>392</v>
      </c>
      <c r="Y46" s="22"/>
      <c r="Z46" s="7"/>
      <c r="AA46" s="7"/>
      <c r="AB46" s="23"/>
      <c r="AC46" s="26"/>
    </row>
    <row r="47" spans="1:30" ht="15.75" customHeight="1">
      <c r="A47" s="10" t="s">
        <v>393</v>
      </c>
      <c r="B47" s="10" t="s">
        <v>27</v>
      </c>
      <c r="C47" s="11" t="s">
        <v>28</v>
      </c>
      <c r="D47" s="12"/>
      <c r="E47" s="13" t="s">
        <v>93</v>
      </c>
      <c r="F47" s="6" t="s">
        <v>394</v>
      </c>
      <c r="G47" s="15" t="str">
        <f ca="1">IFERROR(__xludf.DUMMYFUNCTION("CONCATENATE(B47,(VLOOKUP(C47,CATALOGOS!$F$2:$H$6,3,FALSE)),(VLOOKUP(V47,CATALOGOS!$J$2:$K$18,2,FALSE)),""-"",TO_TEXT(A47))"),"P05DA-0046")</f>
        <v>P05DA-0046</v>
      </c>
      <c r="H47" s="6" t="str">
        <f ca="1">IFERROR(__xludf.DUMMYFUNCTION("CONCATENATE($B47,(VLOOKUP($C47,CATALOGOS!$F$2:$H$6,3,FALSE)),(VLOOKUP($V47,CATALOGOS!$J$2:$K$18,2,FALSE)),""-"",TO_TEXT($A47))"),"P05DA-0046")</f>
        <v>P05DA-0046</v>
      </c>
      <c r="I47" s="6"/>
      <c r="J47" s="6" t="s">
        <v>395</v>
      </c>
      <c r="K47" s="6" t="s">
        <v>396</v>
      </c>
      <c r="L47" s="6" t="s">
        <v>397</v>
      </c>
      <c r="M47" s="43" t="s">
        <v>398</v>
      </c>
      <c r="N47" s="17"/>
      <c r="O47" s="17"/>
      <c r="P47" s="17" t="str">
        <f t="shared" ref="P47:P430" si="4">IF(COUNTIF($M$2:$M$997,M47)&gt;1,"REPETIDO","OK")</f>
        <v>OK</v>
      </c>
      <c r="Q47" s="17" t="s">
        <v>35</v>
      </c>
      <c r="R47" s="6" t="s">
        <v>35</v>
      </c>
      <c r="S47" s="6" t="s">
        <v>36</v>
      </c>
      <c r="T47" s="10" t="s">
        <v>399</v>
      </c>
      <c r="U47" s="173" t="s">
        <v>38</v>
      </c>
      <c r="V47" s="11" t="s">
        <v>28</v>
      </c>
      <c r="W47" s="22" t="s">
        <v>392</v>
      </c>
      <c r="X47" s="22" t="s">
        <v>392</v>
      </c>
      <c r="Y47" s="22"/>
      <c r="Z47" s="7"/>
      <c r="AA47" s="7"/>
      <c r="AB47" s="23"/>
      <c r="AC47" s="26"/>
    </row>
    <row r="48" spans="1:30" ht="15.75" customHeight="1">
      <c r="A48" s="10" t="s">
        <v>400</v>
      </c>
      <c r="B48" s="10" t="s">
        <v>27</v>
      </c>
      <c r="C48" s="11" t="s">
        <v>28</v>
      </c>
      <c r="D48" s="12"/>
      <c r="E48" s="13" t="s">
        <v>43</v>
      </c>
      <c r="F48" s="6" t="s">
        <v>401</v>
      </c>
      <c r="G48" s="15" t="str">
        <f ca="1">IFERROR(__xludf.DUMMYFUNCTION("CONCATENATE(B48,(VLOOKUP(C48,CATALOGOS!$F$2:$H$6,3,FALSE)),(VLOOKUP(V48,CATALOGOS!$J$2:$K$18,2,FALSE)),""-"",TO_TEXT(A48))"),"P05DA-0047")</f>
        <v>P05DA-0047</v>
      </c>
      <c r="H48" s="6" t="str">
        <f ca="1">IFERROR(__xludf.DUMMYFUNCTION("CONCATENATE($B48,(VLOOKUP($C48,CATALOGOS!$F$2:$H$6,3,FALSE)),(VLOOKUP($V48,CATALOGOS!$J$2:$K$18,2,FALSE)),""-"",TO_TEXT($A48))"),"P05DA-0047")</f>
        <v>P05DA-0047</v>
      </c>
      <c r="I48" s="6"/>
      <c r="J48" s="6" t="s">
        <v>402</v>
      </c>
      <c r="K48" s="6" t="s">
        <v>403</v>
      </c>
      <c r="L48" s="6" t="s">
        <v>404</v>
      </c>
      <c r="M48" s="6" t="s">
        <v>405</v>
      </c>
      <c r="N48" s="17"/>
      <c r="O48" s="17"/>
      <c r="P48" s="17" t="str">
        <f t="shared" si="4"/>
        <v>OK</v>
      </c>
      <c r="Q48" s="17" t="s">
        <v>406</v>
      </c>
      <c r="R48" s="10" t="s">
        <v>407</v>
      </c>
      <c r="S48" s="17" t="s">
        <v>408</v>
      </c>
      <c r="T48" s="35" t="s">
        <v>409</v>
      </c>
      <c r="U48" s="173" t="s">
        <v>38</v>
      </c>
      <c r="V48" s="11" t="s">
        <v>28</v>
      </c>
      <c r="W48" s="22" t="s">
        <v>392</v>
      </c>
      <c r="X48" s="22" t="s">
        <v>392</v>
      </c>
      <c r="Y48" s="22"/>
      <c r="Z48" s="7"/>
      <c r="AA48" s="7"/>
      <c r="AB48" s="23"/>
      <c r="AC48" s="26"/>
    </row>
    <row r="49" spans="1:29" ht="15.75" customHeight="1">
      <c r="A49" s="10" t="s">
        <v>410</v>
      </c>
      <c r="B49" s="10" t="s">
        <v>27</v>
      </c>
      <c r="C49" s="11" t="s">
        <v>28</v>
      </c>
      <c r="D49" s="12"/>
      <c r="E49" s="13" t="s">
        <v>43</v>
      </c>
      <c r="F49" s="6" t="s">
        <v>401</v>
      </c>
      <c r="G49" s="15" t="str">
        <f ca="1">IFERROR(__xludf.DUMMYFUNCTION("CONCATENATE(B49,(VLOOKUP(C49,CATALOGOS!$F$2:$H$6,3,FALSE)),(VLOOKUP(V49,CATALOGOS!$J$2:$K$18,2,FALSE)),""-"",TO_TEXT(A49))"),"P05DA-0048")</f>
        <v>P05DA-0048</v>
      </c>
      <c r="H49" s="6" t="str">
        <f ca="1">IFERROR(__xludf.DUMMYFUNCTION("CONCATENATE($B49,(VLOOKUP($C49,CATALOGOS!$F$2:$H$6,3,FALSE)),(VLOOKUP($V49,CATALOGOS!$J$2:$K$18,2,FALSE)),""-"",TO_TEXT($A49))"),"P05DA-0048")</f>
        <v>P05DA-0048</v>
      </c>
      <c r="I49" s="6"/>
      <c r="J49" s="6" t="s">
        <v>411</v>
      </c>
      <c r="K49" s="6" t="s">
        <v>412</v>
      </c>
      <c r="L49" s="6" t="s">
        <v>413</v>
      </c>
      <c r="M49" s="6" t="s">
        <v>414</v>
      </c>
      <c r="N49" s="17"/>
      <c r="O49" s="17"/>
      <c r="P49" s="17" t="str">
        <f t="shared" si="4"/>
        <v>OK</v>
      </c>
      <c r="Q49" s="17" t="s">
        <v>406</v>
      </c>
      <c r="R49" s="6" t="s">
        <v>407</v>
      </c>
      <c r="S49" s="17" t="s">
        <v>415</v>
      </c>
      <c r="T49" s="35" t="s">
        <v>416</v>
      </c>
      <c r="U49" s="173" t="s">
        <v>38</v>
      </c>
      <c r="V49" s="11" t="s">
        <v>28</v>
      </c>
      <c r="W49" s="22" t="s">
        <v>392</v>
      </c>
      <c r="X49" s="22" t="s">
        <v>392</v>
      </c>
      <c r="Y49" s="22"/>
      <c r="Z49" s="7"/>
      <c r="AA49" s="7"/>
      <c r="AB49" s="23"/>
      <c r="AC49" s="26"/>
    </row>
    <row r="50" spans="1:29" ht="15.75" customHeight="1">
      <c r="A50" s="10" t="s">
        <v>417</v>
      </c>
      <c r="B50" s="10" t="s">
        <v>27</v>
      </c>
      <c r="C50" s="11" t="s">
        <v>28</v>
      </c>
      <c r="D50" s="12"/>
      <c r="E50" s="13" t="s">
        <v>43</v>
      </c>
      <c r="F50" s="6" t="s">
        <v>401</v>
      </c>
      <c r="G50" s="15" t="str">
        <f ca="1">IFERROR(__xludf.DUMMYFUNCTION("CONCATENATE(B50,(VLOOKUP(C50,CATALOGOS!$F$2:$H$6,3,FALSE)),(VLOOKUP(V50,CATALOGOS!$J$2:$K$18,2,FALSE)),""-"",TO_TEXT(A50))"),"P05DA-0049")</f>
        <v>P05DA-0049</v>
      </c>
      <c r="H50" s="6" t="str">
        <f ca="1">IFERROR(__xludf.DUMMYFUNCTION("CONCATENATE($B50,(VLOOKUP($C50,CATALOGOS!$F$2:$H$6,3,FALSE)),(VLOOKUP($V50,CATALOGOS!$J$2:$K$18,2,FALSE)),""-"",TO_TEXT($A50))"),"P05DA-0049")</f>
        <v>P05DA-0049</v>
      </c>
      <c r="I50" s="6"/>
      <c r="J50" s="6" t="s">
        <v>418</v>
      </c>
      <c r="K50" s="6" t="s">
        <v>419</v>
      </c>
      <c r="L50" s="6" t="s">
        <v>420</v>
      </c>
      <c r="M50" s="6" t="s">
        <v>421</v>
      </c>
      <c r="N50" s="17"/>
      <c r="O50" s="17"/>
      <c r="P50" s="17" t="str">
        <f t="shared" si="4"/>
        <v>OK</v>
      </c>
      <c r="Q50" s="17" t="s">
        <v>406</v>
      </c>
      <c r="R50" s="6" t="s">
        <v>407</v>
      </c>
      <c r="S50" s="17" t="s">
        <v>422</v>
      </c>
      <c r="T50" s="35" t="s">
        <v>423</v>
      </c>
      <c r="U50" s="173" t="s">
        <v>38</v>
      </c>
      <c r="V50" s="11" t="s">
        <v>28</v>
      </c>
      <c r="W50" s="22" t="s">
        <v>392</v>
      </c>
      <c r="X50" s="22" t="s">
        <v>392</v>
      </c>
      <c r="Y50" s="22"/>
      <c r="Z50" s="7"/>
      <c r="AA50" s="7"/>
      <c r="AB50" s="23"/>
      <c r="AC50" s="26"/>
    </row>
    <row r="51" spans="1:29" ht="15.75" customHeight="1">
      <c r="A51" s="10" t="s">
        <v>424</v>
      </c>
      <c r="B51" s="10" t="s">
        <v>27</v>
      </c>
      <c r="C51" s="11" t="s">
        <v>28</v>
      </c>
      <c r="D51" s="12"/>
      <c r="E51" s="13" t="s">
        <v>425</v>
      </c>
      <c r="F51" s="43" t="s">
        <v>426</v>
      </c>
      <c r="G51" s="15" t="str">
        <f ca="1">IFERROR(__xludf.DUMMYFUNCTION("CONCATENATE(B51,(VLOOKUP(C51,CATALOGOS!$F$2:$H$6,3,FALSE)),(VLOOKUP(V51,CATALOGOS!$J$2:$K$18,2,FALSE)),""-"",TO_TEXT(A51))"),"P05DA-0050")</f>
        <v>P05DA-0050</v>
      </c>
      <c r="H51" s="6" t="str">
        <f ca="1">IFERROR(__xludf.DUMMYFUNCTION("CONCATENATE($B51,(VLOOKUP($C51,CATALOGOS!$F$2:$H$6,3,FALSE)),(VLOOKUP($V51,CATALOGOS!$J$2:$K$18,2,FALSE)),""-"",TO_TEXT($A51))"),"P05DA-0050")</f>
        <v>P05DA-0050</v>
      </c>
      <c r="I51" s="6"/>
      <c r="J51" s="6" t="s">
        <v>427</v>
      </c>
      <c r="K51" s="6" t="s">
        <v>428</v>
      </c>
      <c r="L51" s="6" t="s">
        <v>429</v>
      </c>
      <c r="M51" s="6" t="s">
        <v>430</v>
      </c>
      <c r="N51" s="17"/>
      <c r="O51" s="17"/>
      <c r="P51" s="17" t="str">
        <f t="shared" si="4"/>
        <v>OK</v>
      </c>
      <c r="Q51" s="17" t="s">
        <v>35</v>
      </c>
      <c r="R51" s="6" t="s">
        <v>35</v>
      </c>
      <c r="S51" s="17" t="s">
        <v>36</v>
      </c>
      <c r="T51" s="35" t="s">
        <v>431</v>
      </c>
      <c r="U51" s="173" t="s">
        <v>38</v>
      </c>
      <c r="V51" s="11" t="s">
        <v>28</v>
      </c>
      <c r="W51" s="22" t="s">
        <v>392</v>
      </c>
      <c r="X51" s="22" t="s">
        <v>392</v>
      </c>
      <c r="Y51" s="22"/>
      <c r="Z51" s="6"/>
      <c r="AA51" s="6" t="s">
        <v>432</v>
      </c>
      <c r="AB51" s="23"/>
      <c r="AC51" s="26"/>
    </row>
    <row r="52" spans="1:29" ht="15.75" customHeight="1">
      <c r="A52" s="10" t="s">
        <v>433</v>
      </c>
      <c r="B52" s="10" t="s">
        <v>27</v>
      </c>
      <c r="C52" s="11" t="s">
        <v>28</v>
      </c>
      <c r="D52" s="12"/>
      <c r="E52" s="13" t="s">
        <v>378</v>
      </c>
      <c r="F52" s="43" t="s">
        <v>434</v>
      </c>
      <c r="G52" s="64" t="str">
        <f ca="1">IFERROR(__xludf.DUMMYFUNCTION("CONCATENATE(B52,(VLOOKUP(C52,CATALOGOS!$F$2:$H$6,3,FALSE)),(VLOOKUP(V52,CATALOGOS!$J$2:$K$18,2,FALSE)),""-"",TO_TEXT(A52))"),"P05DA-0051")</f>
        <v>P05DA-0051</v>
      </c>
      <c r="H52" s="6" t="str">
        <f ca="1">IFERROR(__xludf.DUMMYFUNCTION("CONCATENATE($B52,(VLOOKUP($C52,CATALOGOS!$F$2:$H$6,3,FALSE)),(VLOOKUP($V52,CATALOGOS!$J$2:$K$18,2,FALSE)),""-"",TO_TEXT($A52))"),"P05DA-0051")</f>
        <v>P05DA-0051</v>
      </c>
      <c r="I52" s="6"/>
      <c r="J52" s="6" t="s">
        <v>435</v>
      </c>
      <c r="K52" s="6" t="s">
        <v>436</v>
      </c>
      <c r="L52" s="6" t="s">
        <v>437</v>
      </c>
      <c r="M52" s="6" t="s">
        <v>438</v>
      </c>
      <c r="N52" s="17"/>
      <c r="O52" s="17"/>
      <c r="P52" s="17" t="str">
        <f t="shared" si="4"/>
        <v>OK</v>
      </c>
      <c r="Q52" s="35" t="s">
        <v>35</v>
      </c>
      <c r="R52" s="6" t="s">
        <v>35</v>
      </c>
      <c r="S52" s="17" t="s">
        <v>36</v>
      </c>
      <c r="T52" s="35" t="s">
        <v>439</v>
      </c>
      <c r="U52" s="173" t="s">
        <v>100</v>
      </c>
      <c r="V52" s="11" t="s">
        <v>28</v>
      </c>
      <c r="W52" s="22" t="s">
        <v>392</v>
      </c>
      <c r="X52" s="22" t="s">
        <v>392</v>
      </c>
      <c r="Y52" s="22"/>
      <c r="Z52" s="6"/>
      <c r="AA52" s="6" t="s">
        <v>440</v>
      </c>
      <c r="AB52" s="23"/>
      <c r="AC52" s="26"/>
    </row>
    <row r="53" spans="1:29" ht="15.75" customHeight="1">
      <c r="A53" s="10" t="s">
        <v>441</v>
      </c>
      <c r="B53" s="10" t="s">
        <v>27</v>
      </c>
      <c r="C53" s="11" t="s">
        <v>28</v>
      </c>
      <c r="D53" s="12"/>
      <c r="E53" s="13" t="s">
        <v>93</v>
      </c>
      <c r="F53" s="43" t="s">
        <v>442</v>
      </c>
      <c r="G53" s="15" t="str">
        <f ca="1">IFERROR(__xludf.DUMMYFUNCTION("CONCATENATE(B53,(VLOOKUP(C53,CATALOGOS!$F$2:$H$6,3,FALSE)),(VLOOKUP(V53,CATALOGOS!$J$2:$K$18,2,FALSE)),""-"",TO_TEXT(A53))"),"P05DA-0052")</f>
        <v>P05DA-0052</v>
      </c>
      <c r="H53" s="6" t="str">
        <f ca="1">IFERROR(__xludf.DUMMYFUNCTION("CONCATENATE($B53,(VLOOKUP($C53,CATALOGOS!$F$2:$H$6,3,FALSE)),(VLOOKUP($V53,CATALOGOS!$J$2:$K$18,2,FALSE)),""-"",TO_TEXT($A53))"),"P05DA-0052")</f>
        <v>P05DA-0052</v>
      </c>
      <c r="I53" s="6"/>
      <c r="J53" s="6" t="s">
        <v>443</v>
      </c>
      <c r="K53" s="6" t="s">
        <v>444</v>
      </c>
      <c r="L53" s="6" t="s">
        <v>445</v>
      </c>
      <c r="M53" s="6" t="s">
        <v>446</v>
      </c>
      <c r="N53" s="17"/>
      <c r="O53" s="17"/>
      <c r="P53" s="17" t="str">
        <f t="shared" si="4"/>
        <v>OK</v>
      </c>
      <c r="Q53" s="17" t="s">
        <v>35</v>
      </c>
      <c r="R53" s="6" t="s">
        <v>35</v>
      </c>
      <c r="S53" s="17" t="s">
        <v>36</v>
      </c>
      <c r="T53" s="35" t="s">
        <v>447</v>
      </c>
      <c r="U53" s="173" t="s">
        <v>38</v>
      </c>
      <c r="V53" s="11" t="s">
        <v>28</v>
      </c>
      <c r="W53" s="22" t="s">
        <v>392</v>
      </c>
      <c r="X53" s="22" t="s">
        <v>392</v>
      </c>
      <c r="Y53" s="22"/>
      <c r="Z53" s="6"/>
      <c r="AA53" s="6" t="s">
        <v>432</v>
      </c>
      <c r="AB53" s="23"/>
      <c r="AC53" s="26"/>
    </row>
    <row r="54" spans="1:29" ht="15.75" customHeight="1">
      <c r="A54" s="10" t="s">
        <v>448</v>
      </c>
      <c r="B54" s="10" t="s">
        <v>27</v>
      </c>
      <c r="C54" s="11" t="s">
        <v>28</v>
      </c>
      <c r="D54" s="12"/>
      <c r="E54" s="13" t="s">
        <v>184</v>
      </c>
      <c r="F54" s="6" t="s">
        <v>449</v>
      </c>
      <c r="G54" s="15" t="str">
        <f ca="1">IFERROR(__xludf.DUMMYFUNCTION("CONCATENATE(B54,(VLOOKUP(C54,CATALOGOS!$F$2:$H$6,3,FALSE)),(VLOOKUP(V54,CATALOGOS!$J$2:$K$18,2,FALSE)),""-"",TO_TEXT(A54))"),"P05DA-0053")</f>
        <v>P05DA-0053</v>
      </c>
      <c r="H54" s="6" t="str">
        <f ca="1">IFERROR(__xludf.DUMMYFUNCTION("CONCATENATE($B54,(VLOOKUP($C54,CATALOGOS!$F$2:$H$6,3,FALSE)),(VLOOKUP($V54,CATALOGOS!$J$2:$K$18,2,FALSE)),""-"",TO_TEXT($A54))"),"P05DA-0053")</f>
        <v>P05DA-0053</v>
      </c>
      <c r="I54" s="6"/>
      <c r="J54" s="6" t="s">
        <v>450</v>
      </c>
      <c r="K54" s="6" t="s">
        <v>451</v>
      </c>
      <c r="L54" s="6" t="s">
        <v>452</v>
      </c>
      <c r="M54" s="6" t="s">
        <v>453</v>
      </c>
      <c r="N54" s="17"/>
      <c r="O54" s="17"/>
      <c r="P54" s="17" t="str">
        <f t="shared" si="4"/>
        <v>OK</v>
      </c>
      <c r="Q54" s="17" t="s">
        <v>35</v>
      </c>
      <c r="R54" s="6" t="s">
        <v>35</v>
      </c>
      <c r="S54" s="17" t="s">
        <v>36</v>
      </c>
      <c r="T54" s="35" t="s">
        <v>454</v>
      </c>
      <c r="U54" s="173" t="s">
        <v>38</v>
      </c>
      <c r="V54" s="11" t="s">
        <v>28</v>
      </c>
      <c r="W54" s="22" t="s">
        <v>392</v>
      </c>
      <c r="X54" s="22" t="s">
        <v>392</v>
      </c>
      <c r="Y54" s="20" t="s">
        <v>455</v>
      </c>
      <c r="Z54" s="7"/>
      <c r="AA54" s="7"/>
      <c r="AB54" s="23"/>
      <c r="AC54" s="26"/>
    </row>
    <row r="55" spans="1:29" ht="15.75" customHeight="1">
      <c r="A55" s="10" t="s">
        <v>456</v>
      </c>
      <c r="B55" s="10" t="s">
        <v>27</v>
      </c>
      <c r="C55" s="11" t="s">
        <v>28</v>
      </c>
      <c r="D55" s="12"/>
      <c r="E55" s="13" t="s">
        <v>43</v>
      </c>
      <c r="F55" s="43" t="s">
        <v>457</v>
      </c>
      <c r="G55" s="15" t="str">
        <f ca="1">IFERROR(__xludf.DUMMYFUNCTION("CONCATENATE(B55,(VLOOKUP(C55,CATALOGOS!$F$2:$H$6,3,FALSE)),(VLOOKUP(V55,CATALOGOS!$J$2:$K$18,2,FALSE)),""-"",TO_TEXT(A55))"),"P05DA-0054")</f>
        <v>P05DA-0054</v>
      </c>
      <c r="H55" s="6" t="str">
        <f ca="1">IFERROR(__xludf.DUMMYFUNCTION("CONCATENATE($B55,(VLOOKUP($C55,CATALOGOS!$F$2:$H$6,3,FALSE)),(VLOOKUP($V55,CATALOGOS!$J$2:$K$18,2,FALSE)),""-"",TO_TEXT($A55))"),"P05DA-0054")</f>
        <v>P05DA-0054</v>
      </c>
      <c r="I55" s="6"/>
      <c r="J55" s="6" t="s">
        <v>458</v>
      </c>
      <c r="K55" s="6" t="s">
        <v>459</v>
      </c>
      <c r="L55" s="6" t="s">
        <v>460</v>
      </c>
      <c r="M55" s="6" t="s">
        <v>461</v>
      </c>
      <c r="N55" s="17"/>
      <c r="O55" s="17"/>
      <c r="P55" s="17" t="str">
        <f t="shared" si="4"/>
        <v>OK</v>
      </c>
      <c r="Q55" s="17" t="s">
        <v>462</v>
      </c>
      <c r="R55" s="6" t="s">
        <v>35</v>
      </c>
      <c r="S55" s="17" t="s">
        <v>463</v>
      </c>
      <c r="T55" s="35" t="s">
        <v>464</v>
      </c>
      <c r="U55" s="173" t="s">
        <v>38</v>
      </c>
      <c r="V55" s="11" t="s">
        <v>28</v>
      </c>
      <c r="W55" s="22" t="s">
        <v>392</v>
      </c>
      <c r="X55" s="22" t="s">
        <v>392</v>
      </c>
      <c r="Y55" s="22"/>
      <c r="Z55" s="6"/>
      <c r="AA55" s="6" t="s">
        <v>432</v>
      </c>
      <c r="AB55" s="23"/>
      <c r="AC55" s="26"/>
    </row>
    <row r="56" spans="1:29" ht="15.75" customHeight="1">
      <c r="A56" s="10" t="s">
        <v>465</v>
      </c>
      <c r="B56" s="10" t="s">
        <v>27</v>
      </c>
      <c r="C56" s="11" t="s">
        <v>28</v>
      </c>
      <c r="D56" s="12"/>
      <c r="E56" s="13" t="s">
        <v>466</v>
      </c>
      <c r="F56" s="6" t="s">
        <v>467</v>
      </c>
      <c r="G56" s="15" t="str">
        <f ca="1">IFERROR(__xludf.DUMMYFUNCTION("CONCATENATE(B56,(VLOOKUP(C56,CATALOGOS!$F$2:$H$6,3,FALSE)),(VLOOKUP(V56,CATALOGOS!$J$2:$K$18,2,FALSE)),""-"",TO_TEXT(A56))"),"P05DA-0055")</f>
        <v>P05DA-0055</v>
      </c>
      <c r="H56" s="6" t="str">
        <f ca="1">IFERROR(__xludf.DUMMYFUNCTION("CONCATENATE($B56,(VLOOKUP($C56,CATALOGOS!$F$2:$H$6,3,FALSE)),(VLOOKUP($V56,CATALOGOS!$J$2:$K$18,2,FALSE)),""-"",TO_TEXT($A56))"),"P05DA-0055")</f>
        <v>P05DA-0055</v>
      </c>
      <c r="I56" s="6"/>
      <c r="J56" s="6" t="s">
        <v>468</v>
      </c>
      <c r="K56" s="6" t="s">
        <v>469</v>
      </c>
      <c r="L56" s="6" t="s">
        <v>470</v>
      </c>
      <c r="M56" s="6" t="s">
        <v>471</v>
      </c>
      <c r="N56" s="17"/>
      <c r="O56" s="17"/>
      <c r="P56" s="17" t="str">
        <f t="shared" si="4"/>
        <v>OK</v>
      </c>
      <c r="Q56" s="17" t="s">
        <v>35</v>
      </c>
      <c r="R56" s="6" t="s">
        <v>35</v>
      </c>
      <c r="S56" s="17" t="s">
        <v>36</v>
      </c>
      <c r="T56" s="35" t="s">
        <v>472</v>
      </c>
      <c r="U56" s="173" t="s">
        <v>38</v>
      </c>
      <c r="V56" s="11" t="s">
        <v>28</v>
      </c>
      <c r="W56" s="22" t="s">
        <v>392</v>
      </c>
      <c r="X56" s="22" t="s">
        <v>392</v>
      </c>
      <c r="Y56" s="22"/>
      <c r="Z56" s="7"/>
      <c r="AA56" s="7"/>
      <c r="AB56" s="23"/>
      <c r="AC56" s="26"/>
    </row>
    <row r="57" spans="1:29" ht="15.75" customHeight="1">
      <c r="A57" s="10" t="s">
        <v>473</v>
      </c>
      <c r="B57" s="10" t="s">
        <v>27</v>
      </c>
      <c r="C57" s="11" t="s">
        <v>28</v>
      </c>
      <c r="D57" s="12"/>
      <c r="E57" s="13" t="s">
        <v>353</v>
      </c>
      <c r="F57" s="43" t="s">
        <v>475</v>
      </c>
      <c r="G57" s="6" t="str">
        <f ca="1">IFERROR(__xludf.DUMMYFUNCTION("CONCATENATE(B57,(VLOOKUP(C57,CATALOGOS!$F$2:$H$6,3,FALSE)),(VLOOKUP(V57,CATALOGOS!$J$2:$K$18,2,FALSE)),""-"",TO_TEXT(A57))"),"P05RM-0056")</f>
        <v>P05RM-0056</v>
      </c>
      <c r="H57" s="6" t="str">
        <f ca="1">IFERROR(__xludf.DUMMYFUNCTION("CONCATENATE($B57,(VLOOKUP($C57,CATALOGOS!$F$2:$H$6,3,FALSE)),(VLOOKUP($V57,CATALOGOS!$J$2:$K$18,2,FALSE)),""-"",TO_TEXT($A57))"),"P05RM-0056")</f>
        <v>P05RM-0056</v>
      </c>
      <c r="I57" s="6"/>
      <c r="J57" s="6" t="s">
        <v>476</v>
      </c>
      <c r="K57" s="6" t="s">
        <v>477</v>
      </c>
      <c r="L57" s="6" t="s">
        <v>478</v>
      </c>
      <c r="M57" s="43" t="s">
        <v>479</v>
      </c>
      <c r="N57" s="17"/>
      <c r="O57" s="17"/>
      <c r="P57" s="17" t="str">
        <f t="shared" si="4"/>
        <v>OK</v>
      </c>
      <c r="Q57" s="17" t="s">
        <v>480</v>
      </c>
      <c r="R57" s="6">
        <v>1300</v>
      </c>
      <c r="S57" s="17" t="s">
        <v>481</v>
      </c>
      <c r="T57" s="176" t="s">
        <v>482</v>
      </c>
      <c r="U57" s="173" t="s">
        <v>38</v>
      </c>
      <c r="V57" s="11" t="s">
        <v>147</v>
      </c>
      <c r="W57" s="20" t="s">
        <v>483</v>
      </c>
      <c r="X57" s="20" t="s">
        <v>484</v>
      </c>
      <c r="Y57" s="20"/>
      <c r="Z57" s="7"/>
      <c r="AA57" s="7"/>
      <c r="AB57" s="23"/>
      <c r="AC57" s="26"/>
    </row>
    <row r="58" spans="1:29" ht="15.75" customHeight="1">
      <c r="A58" s="10" t="s">
        <v>485</v>
      </c>
      <c r="B58" s="10" t="s">
        <v>27</v>
      </c>
      <c r="C58" s="11" t="s">
        <v>28</v>
      </c>
      <c r="D58" s="12"/>
      <c r="E58" s="13" t="s">
        <v>93</v>
      </c>
      <c r="F58" s="48" t="s">
        <v>486</v>
      </c>
      <c r="G58" s="6" t="str">
        <f ca="1">IFERROR(__xludf.DUMMYFUNCTION("CONCATENATE(B58,(VLOOKUP(C58,CATALOGOS!$F$2:$H$6,3,FALSE)),(VLOOKUP(V58,CATALOGOS!$J$2:$K$18,2,FALSE)),""-"",TO_TEXT(A58))"),"P05RM-0057")</f>
        <v>P05RM-0057</v>
      </c>
      <c r="H58" s="6" t="str">
        <f ca="1">IFERROR(__xludf.DUMMYFUNCTION("CONCATENATE($B58,(VLOOKUP($C58,CATALOGOS!$F$2:$H$6,3,FALSE)),(VLOOKUP($V58,CATALOGOS!$J$2:$K$18,2,FALSE)),""-"",TO_TEXT($A58))"),"P05RM-0057")</f>
        <v>P05RM-0057</v>
      </c>
      <c r="I58" s="6"/>
      <c r="J58" s="6" t="s">
        <v>487</v>
      </c>
      <c r="K58" s="6" t="s">
        <v>488</v>
      </c>
      <c r="L58" s="6" t="s">
        <v>489</v>
      </c>
      <c r="M58" s="6" t="s">
        <v>490</v>
      </c>
      <c r="N58" s="17"/>
      <c r="O58" s="17"/>
      <c r="P58" s="17" t="str">
        <f t="shared" si="4"/>
        <v>OK</v>
      </c>
      <c r="Q58" s="17" t="s">
        <v>35</v>
      </c>
      <c r="R58" s="6" t="s">
        <v>35</v>
      </c>
      <c r="S58" s="17" t="s">
        <v>36</v>
      </c>
      <c r="T58" s="177" t="s">
        <v>491</v>
      </c>
      <c r="U58" s="173" t="s">
        <v>38</v>
      </c>
      <c r="V58" s="11" t="s">
        <v>147</v>
      </c>
      <c r="W58" s="20" t="s">
        <v>492</v>
      </c>
      <c r="X58" s="20" t="s">
        <v>493</v>
      </c>
      <c r="Y58" s="20"/>
      <c r="Z58" s="7"/>
      <c r="AA58" s="7"/>
      <c r="AB58" s="23"/>
      <c r="AC58" s="26"/>
    </row>
    <row r="59" spans="1:29" ht="15.75" customHeight="1">
      <c r="A59" s="10" t="s">
        <v>494</v>
      </c>
      <c r="B59" s="10" t="s">
        <v>27</v>
      </c>
      <c r="C59" s="11" t="s">
        <v>28</v>
      </c>
      <c r="D59" s="12"/>
      <c r="E59" s="13" t="s">
        <v>425</v>
      </c>
      <c r="F59" s="43" t="s">
        <v>426</v>
      </c>
      <c r="G59" s="15" t="str">
        <f ca="1">IFERROR(__xludf.DUMMYFUNCTION("CONCATENATE(B59,(VLOOKUP(C59,CATALOGOS!$F$2:$H$6,3,FALSE)),(VLOOKUP(V59,CATALOGOS!$J$2:$K$18,2,FALSE)),""-"",TO_TEXT(A59))"),"P05DA-0058")</f>
        <v>P05DA-0058</v>
      </c>
      <c r="H59" s="6" t="str">
        <f ca="1">IFERROR(__xludf.DUMMYFUNCTION("CONCATENATE($B59,(VLOOKUP($C59,CATALOGOS!$F$2:$H$6,3,FALSE)),(VLOOKUP($V59,CATALOGOS!$J$2:$K$18,2,FALSE)),""-"",TO_TEXT($A59))"),"P05DA-0058")</f>
        <v>P05DA-0058</v>
      </c>
      <c r="I59" s="6"/>
      <c r="J59" s="6" t="s">
        <v>495</v>
      </c>
      <c r="K59" s="6" t="s">
        <v>496</v>
      </c>
      <c r="L59" s="6" t="s">
        <v>497</v>
      </c>
      <c r="M59" s="6" t="s">
        <v>498</v>
      </c>
      <c r="N59" s="17"/>
      <c r="O59" s="17"/>
      <c r="P59" s="17" t="str">
        <f t="shared" si="4"/>
        <v>OK</v>
      </c>
      <c r="Q59" s="17" t="s">
        <v>35</v>
      </c>
      <c r="R59" s="6" t="s">
        <v>35</v>
      </c>
      <c r="S59" s="17" t="s">
        <v>36</v>
      </c>
      <c r="T59" s="35" t="s">
        <v>499</v>
      </c>
      <c r="U59" s="173" t="s">
        <v>38</v>
      </c>
      <c r="V59" s="11" t="s">
        <v>28</v>
      </c>
      <c r="W59" s="22" t="s">
        <v>392</v>
      </c>
      <c r="X59" s="22" t="s">
        <v>392</v>
      </c>
      <c r="Y59" s="22"/>
      <c r="Z59" s="7"/>
      <c r="AA59" s="7"/>
      <c r="AB59" s="23"/>
      <c r="AC59" s="26"/>
    </row>
    <row r="60" spans="1:29" ht="15.75" customHeight="1">
      <c r="A60" s="10" t="s">
        <v>500</v>
      </c>
      <c r="B60" s="10" t="s">
        <v>27</v>
      </c>
      <c r="C60" s="11" t="s">
        <v>28</v>
      </c>
      <c r="D60" s="12"/>
      <c r="E60" s="13" t="s">
        <v>501</v>
      </c>
      <c r="F60" s="6" t="s">
        <v>502</v>
      </c>
      <c r="G60" s="15" t="str">
        <f ca="1">IFERROR(__xludf.DUMMYFUNCTION("CONCATENATE(B60,(VLOOKUP(C60,CATALOGOS!$F$2:$H$6,3,FALSE)),(VLOOKUP(V60,CATALOGOS!$J$2:$K$18,2,FALSE)),""-"",TO_TEXT(A60))"),"P05RM-0059")</f>
        <v>P05RM-0059</v>
      </c>
      <c r="H60" s="6" t="str">
        <f ca="1">IFERROR(__xludf.DUMMYFUNCTION("CONCATENATE($B60,(VLOOKUP($C60,CATALOGOS!$F$2:$H$6,3,FALSE)),(VLOOKUP($V60,CATALOGOS!$J$2:$K$18,2,FALSE)),""-"",TO_TEXT($A60))"),"P05RM-0059")</f>
        <v>P05RM-0059</v>
      </c>
      <c r="I60" s="6"/>
      <c r="J60" s="6" t="s">
        <v>503</v>
      </c>
      <c r="K60" s="6" t="s">
        <v>504</v>
      </c>
      <c r="L60" s="6" t="s">
        <v>505</v>
      </c>
      <c r="M60" s="6" t="s">
        <v>506</v>
      </c>
      <c r="N60" s="17"/>
      <c r="O60" s="17"/>
      <c r="P60" s="17" t="str">
        <f t="shared" si="4"/>
        <v>OK</v>
      </c>
      <c r="Q60" s="17" t="s">
        <v>35</v>
      </c>
      <c r="R60" s="6" t="s">
        <v>35</v>
      </c>
      <c r="S60" s="17" t="s">
        <v>36</v>
      </c>
      <c r="T60" s="177" t="s">
        <v>507</v>
      </c>
      <c r="U60" s="173" t="s">
        <v>38</v>
      </c>
      <c r="V60" s="11" t="s">
        <v>147</v>
      </c>
      <c r="W60" s="20" t="s">
        <v>492</v>
      </c>
      <c r="X60" s="20" t="s">
        <v>508</v>
      </c>
      <c r="Y60" s="20"/>
      <c r="Z60" s="6"/>
      <c r="AA60" s="6" t="s">
        <v>509</v>
      </c>
      <c r="AB60" s="23"/>
      <c r="AC60" s="26"/>
    </row>
    <row r="61" spans="1:29" ht="15.75" customHeight="1">
      <c r="A61" s="10" t="s">
        <v>510</v>
      </c>
      <c r="B61" s="10" t="s">
        <v>474</v>
      </c>
      <c r="C61" s="11" t="s">
        <v>28</v>
      </c>
      <c r="D61" s="12"/>
      <c r="E61" s="13" t="s">
        <v>378</v>
      </c>
      <c r="F61" s="43" t="s">
        <v>511</v>
      </c>
      <c r="G61" s="6" t="str">
        <f ca="1">IFERROR(__xludf.DUMMYFUNCTION("CONCATENATE(B61,(VLOOKUP(C61,CATALOGOS!$F$2:$H$6,3,FALSE)),(VLOOKUP(V61,CATALOGOS!$J$2:$K$18,2,FALSE)),""-"",TO_TEXT(A61))"),"P35DA-0060")</f>
        <v>P35DA-0060</v>
      </c>
      <c r="H61" s="6" t="str">
        <f ca="1">IFERROR(__xludf.DUMMYFUNCTION("CONCATENATE($B61,(VLOOKUP($C61,CATALOGOS!$F$2:$H$6,3,FALSE)),(VLOOKUP($V61,CATALOGOS!$J$2:$K$18,2,FALSE)),""-"",TO_TEXT($A61))"),"P35DA-0060")</f>
        <v>P35DA-0060</v>
      </c>
      <c r="I61" s="6"/>
      <c r="J61" s="6" t="s">
        <v>512</v>
      </c>
      <c r="K61" s="6" t="s">
        <v>513</v>
      </c>
      <c r="L61" s="6" t="s">
        <v>514</v>
      </c>
      <c r="M61" s="6" t="s">
        <v>515</v>
      </c>
      <c r="N61" s="17"/>
      <c r="O61" s="17"/>
      <c r="P61" s="17" t="str">
        <f t="shared" si="4"/>
        <v>OK</v>
      </c>
      <c r="Q61" s="17" t="s">
        <v>35</v>
      </c>
      <c r="R61" s="6" t="s">
        <v>35</v>
      </c>
      <c r="S61" s="17" t="s">
        <v>36</v>
      </c>
      <c r="T61" s="17" t="s">
        <v>516</v>
      </c>
      <c r="U61" s="173" t="s">
        <v>517</v>
      </c>
      <c r="V61" s="11" t="s">
        <v>28</v>
      </c>
      <c r="W61" s="22" t="s">
        <v>392</v>
      </c>
      <c r="X61" s="22" t="s">
        <v>392</v>
      </c>
      <c r="Y61" s="22"/>
      <c r="Z61" s="6"/>
      <c r="AA61" s="6" t="s">
        <v>518</v>
      </c>
      <c r="AB61" s="23"/>
      <c r="AC61" s="26"/>
    </row>
    <row r="62" spans="1:29" ht="15.75" customHeight="1">
      <c r="A62" s="10" t="s">
        <v>519</v>
      </c>
      <c r="B62" s="10" t="s">
        <v>27</v>
      </c>
      <c r="C62" s="11" t="s">
        <v>28</v>
      </c>
      <c r="D62" s="12"/>
      <c r="E62" s="13" t="s">
        <v>378</v>
      </c>
      <c r="F62" s="6" t="s">
        <v>520</v>
      </c>
      <c r="G62" s="6" t="str">
        <f ca="1">IFERROR(__xludf.DUMMYFUNCTION("CONCATENATE(B62,(VLOOKUP(C62,CATALOGOS!$F$2:$H$6,3,FALSE)),(VLOOKUP(V62,CATALOGOS!$J$2:$K$18,2,FALSE)),""-"",TO_TEXT(A62))"),"P05DA-0061")</f>
        <v>P05DA-0061</v>
      </c>
      <c r="H62" s="6" t="str">
        <f ca="1">IFERROR(__xludf.DUMMYFUNCTION("CONCATENATE($B62,(VLOOKUP($C62,CATALOGOS!$F$2:$H$6,3,FALSE)),(VLOOKUP($V62,CATALOGOS!$J$2:$K$18,2,FALSE)),""-"",TO_TEXT($A62))"),"P05DA-0061")</f>
        <v>P05DA-0061</v>
      </c>
      <c r="I62" s="6"/>
      <c r="J62" s="6" t="s">
        <v>521</v>
      </c>
      <c r="K62" s="6" t="s">
        <v>522</v>
      </c>
      <c r="L62" s="6" t="s">
        <v>523</v>
      </c>
      <c r="M62" s="6" t="s">
        <v>524</v>
      </c>
      <c r="N62" s="17"/>
      <c r="O62" s="17"/>
      <c r="P62" s="17" t="str">
        <f t="shared" si="4"/>
        <v>OK</v>
      </c>
      <c r="Q62" s="17" t="s">
        <v>35</v>
      </c>
      <c r="R62" s="6" t="s">
        <v>35</v>
      </c>
      <c r="S62" s="17" t="s">
        <v>36</v>
      </c>
      <c r="T62" s="17" t="s">
        <v>525</v>
      </c>
      <c r="U62" s="173" t="s">
        <v>38</v>
      </c>
      <c r="V62" s="11" t="s">
        <v>28</v>
      </c>
      <c r="W62" s="22" t="s">
        <v>392</v>
      </c>
      <c r="X62" s="22" t="s">
        <v>392</v>
      </c>
      <c r="Y62" s="22"/>
      <c r="Z62" s="6"/>
      <c r="AA62" s="6" t="s">
        <v>526</v>
      </c>
      <c r="AB62" s="23"/>
      <c r="AC62" s="26"/>
    </row>
    <row r="63" spans="1:29" ht="15.75" customHeight="1">
      <c r="A63" s="10" t="s">
        <v>527</v>
      </c>
      <c r="B63" s="10" t="s">
        <v>27</v>
      </c>
      <c r="C63" s="11" t="s">
        <v>28</v>
      </c>
      <c r="D63" s="12"/>
      <c r="E63" s="13" t="s">
        <v>93</v>
      </c>
      <c r="F63" s="6" t="s">
        <v>528</v>
      </c>
      <c r="G63" s="15" t="str">
        <f ca="1">IFERROR(__xludf.DUMMYFUNCTION("CONCATENATE(B63,(VLOOKUP(C63,CATALOGOS!$F$2:$H$6,3,FALSE)),(VLOOKUP(V63,CATALOGOS!$J$2:$K$18,2,FALSE)),""-"",TO_TEXT(A63))"),"P05DA-0062")</f>
        <v>P05DA-0062</v>
      </c>
      <c r="H63" s="6" t="str">
        <f ca="1">IFERROR(__xludf.DUMMYFUNCTION("CONCATENATE($B63,(VLOOKUP($C63,CATALOGOS!$F$2:$H$6,3,FALSE)),(VLOOKUP($V63,CATALOGOS!$J$2:$K$18,2,FALSE)),""-"",TO_TEXT($A63))"),"P05DA-0062")</f>
        <v>P05DA-0062</v>
      </c>
      <c r="I63" s="6"/>
      <c r="J63" s="6" t="s">
        <v>529</v>
      </c>
      <c r="K63" s="6" t="s">
        <v>530</v>
      </c>
      <c r="L63" s="6" t="s">
        <v>531</v>
      </c>
      <c r="M63" s="6" t="s">
        <v>532</v>
      </c>
      <c r="N63" s="17"/>
      <c r="O63" s="17"/>
      <c r="P63" s="17" t="str">
        <f t="shared" si="4"/>
        <v>OK</v>
      </c>
      <c r="Q63" s="17" t="s">
        <v>35</v>
      </c>
      <c r="R63" s="6" t="s">
        <v>35</v>
      </c>
      <c r="S63" s="17" t="s">
        <v>36</v>
      </c>
      <c r="T63" s="17" t="s">
        <v>533</v>
      </c>
      <c r="U63" s="173" t="s">
        <v>38</v>
      </c>
      <c r="V63" s="11" t="s">
        <v>28</v>
      </c>
      <c r="W63" s="22" t="s">
        <v>392</v>
      </c>
      <c r="X63" s="22" t="s">
        <v>392</v>
      </c>
      <c r="Y63" s="22"/>
      <c r="Z63" s="6"/>
      <c r="AA63" s="6"/>
      <c r="AB63" s="23"/>
      <c r="AC63" s="26"/>
    </row>
    <row r="64" spans="1:29" ht="15.75" customHeight="1">
      <c r="A64" s="10" t="s">
        <v>534</v>
      </c>
      <c r="B64" s="10" t="s">
        <v>474</v>
      </c>
      <c r="C64" s="11" t="s">
        <v>28</v>
      </c>
      <c r="D64" s="12"/>
      <c r="E64" s="13" t="s">
        <v>378</v>
      </c>
      <c r="F64" s="6" t="s">
        <v>535</v>
      </c>
      <c r="G64" s="15" t="str">
        <f ca="1">IFERROR(__xludf.DUMMYFUNCTION("CONCATENATE(B64,(VLOOKUP(C64,CATALOGOS!$F$2:$H$6,3,FALSE)),(VLOOKUP(V64,CATALOGOS!$J$2:$K$18,2,FALSE)),""-"",TO_TEXT(A64))"),"P35DA-0063")</f>
        <v>P35DA-0063</v>
      </c>
      <c r="H64" s="6" t="str">
        <f ca="1">IFERROR(__xludf.DUMMYFUNCTION("CONCATENATE($B64,(VLOOKUP($C64,CATALOGOS!$F$2:$H$6,3,FALSE)),(VLOOKUP($V64,CATALOGOS!$J$2:$K$18,2,FALSE)),""-"",TO_TEXT($A64))"),"P35DA-0063")</f>
        <v>P35DA-0063</v>
      </c>
      <c r="I64" s="6"/>
      <c r="J64" s="6" t="s">
        <v>536</v>
      </c>
      <c r="K64" s="6" t="s">
        <v>537</v>
      </c>
      <c r="L64" s="6" t="s">
        <v>538</v>
      </c>
      <c r="M64" s="6" t="s">
        <v>539</v>
      </c>
      <c r="N64" s="17"/>
      <c r="O64" s="17"/>
      <c r="P64" s="17" t="str">
        <f t="shared" si="4"/>
        <v>OK</v>
      </c>
      <c r="Q64" s="17" t="s">
        <v>35</v>
      </c>
      <c r="R64" s="6" t="s">
        <v>35</v>
      </c>
      <c r="S64" s="17" t="s">
        <v>36</v>
      </c>
      <c r="T64" s="17" t="s">
        <v>540</v>
      </c>
      <c r="U64" s="173" t="s">
        <v>38</v>
      </c>
      <c r="V64" s="11" t="s">
        <v>28</v>
      </c>
      <c r="W64" s="22" t="s">
        <v>392</v>
      </c>
      <c r="X64" s="22" t="s">
        <v>392</v>
      </c>
      <c r="Y64" s="22"/>
      <c r="Z64" s="6"/>
      <c r="AA64" s="6" t="s">
        <v>541</v>
      </c>
      <c r="AB64" s="23"/>
      <c r="AC64" s="26"/>
    </row>
    <row r="65" spans="1:29" ht="15.75" customHeight="1">
      <c r="A65" s="10" t="s">
        <v>542</v>
      </c>
      <c r="B65" s="10" t="s">
        <v>27</v>
      </c>
      <c r="C65" s="11" t="s">
        <v>28</v>
      </c>
      <c r="D65" s="12"/>
      <c r="E65" s="13" t="s">
        <v>93</v>
      </c>
      <c r="F65" s="6" t="s">
        <v>543</v>
      </c>
      <c r="G65" s="15" t="str">
        <f ca="1">IFERROR(__xludf.DUMMYFUNCTION("CONCATENATE(B65,(VLOOKUP(C65,CATALOGOS!$F$2:$H$6,3,FALSE)),(VLOOKUP(V65,CATALOGOS!$J$2:$K$18,2,FALSE)),""-"",TO_TEXT(A65))"),"P05DA-0064")</f>
        <v>P05DA-0064</v>
      </c>
      <c r="H65" s="6" t="str">
        <f ca="1">IFERROR(__xludf.DUMMYFUNCTION("CONCATENATE($B65,(VLOOKUP($C65,CATALOGOS!$F$2:$H$6,3,FALSE)),(VLOOKUP($V65,CATALOGOS!$J$2:$K$18,2,FALSE)),""-"",TO_TEXT($A65))"),"P05DA-0064")</f>
        <v>P05DA-0064</v>
      </c>
      <c r="I65" s="6"/>
      <c r="J65" s="6" t="s">
        <v>544</v>
      </c>
      <c r="K65" s="6" t="s">
        <v>545</v>
      </c>
      <c r="L65" s="6" t="s">
        <v>546</v>
      </c>
      <c r="M65" s="6" t="s">
        <v>547</v>
      </c>
      <c r="N65" s="17"/>
      <c r="O65" s="17"/>
      <c r="P65" s="17" t="str">
        <f t="shared" si="4"/>
        <v>OK</v>
      </c>
      <c r="Q65" s="17" t="s">
        <v>35</v>
      </c>
      <c r="R65" s="6" t="s">
        <v>35</v>
      </c>
      <c r="S65" s="17" t="s">
        <v>36</v>
      </c>
      <c r="T65" s="17" t="s">
        <v>548</v>
      </c>
      <c r="U65" s="173" t="s">
        <v>549</v>
      </c>
      <c r="V65" s="11" t="s">
        <v>28</v>
      </c>
      <c r="W65" s="22" t="s">
        <v>392</v>
      </c>
      <c r="X65" s="22" t="s">
        <v>392</v>
      </c>
      <c r="Y65" s="22"/>
      <c r="Z65" s="6"/>
      <c r="AA65" s="6" t="s">
        <v>541</v>
      </c>
      <c r="AB65" s="23"/>
      <c r="AC65" s="26"/>
    </row>
    <row r="66" spans="1:29" ht="15.75" customHeight="1">
      <c r="A66" s="10" t="s">
        <v>550</v>
      </c>
      <c r="B66" s="10" t="s">
        <v>27</v>
      </c>
      <c r="C66" s="11" t="s">
        <v>28</v>
      </c>
      <c r="D66" s="12"/>
      <c r="E66" s="13" t="s">
        <v>466</v>
      </c>
      <c r="F66" s="6" t="s">
        <v>551</v>
      </c>
      <c r="G66" s="15" t="str">
        <f ca="1">IFERROR(__xludf.DUMMYFUNCTION("CONCATENATE(B66,(VLOOKUP(C66,CATALOGOS!$F$2:$H$6,3,FALSE)),(VLOOKUP(V66,CATALOGOS!$J$2:$K$18,2,FALSE)),""-"",TO_TEXT(A66))"),"P05DA-0065")</f>
        <v>P05DA-0065</v>
      </c>
      <c r="H66" s="6" t="str">
        <f ca="1">IFERROR(__xludf.DUMMYFUNCTION("CONCATENATE($B66,(VLOOKUP($C66,CATALOGOS!$F$2:$H$6,3,FALSE)),(VLOOKUP($V66,CATALOGOS!$J$2:$K$18,2,FALSE)),""-"",TO_TEXT($A66))"),"P05DA-0065")</f>
        <v>P05DA-0065</v>
      </c>
      <c r="I66" s="6"/>
      <c r="J66" s="6" t="s">
        <v>552</v>
      </c>
      <c r="K66" s="6" t="s">
        <v>553</v>
      </c>
      <c r="L66" s="6" t="s">
        <v>554</v>
      </c>
      <c r="M66" s="6" t="s">
        <v>555</v>
      </c>
      <c r="N66" s="17"/>
      <c r="O66" s="17"/>
      <c r="P66" s="17" t="str">
        <f t="shared" si="4"/>
        <v>OK</v>
      </c>
      <c r="Q66" s="17" t="s">
        <v>35</v>
      </c>
      <c r="R66" s="6" t="s">
        <v>35</v>
      </c>
      <c r="S66" s="17" t="s">
        <v>36</v>
      </c>
      <c r="T66" s="17" t="s">
        <v>556</v>
      </c>
      <c r="U66" s="173" t="s">
        <v>38</v>
      </c>
      <c r="V66" s="11" t="s">
        <v>28</v>
      </c>
      <c r="W66" s="22" t="s">
        <v>392</v>
      </c>
      <c r="X66" s="22" t="s">
        <v>392</v>
      </c>
      <c r="Y66" s="22"/>
      <c r="Z66" s="7"/>
      <c r="AA66" s="7"/>
      <c r="AB66" s="23"/>
      <c r="AC66" s="26"/>
    </row>
    <row r="67" spans="1:29" ht="15.75" customHeight="1">
      <c r="A67" s="10" t="s">
        <v>557</v>
      </c>
      <c r="B67" s="10" t="s">
        <v>27</v>
      </c>
      <c r="C67" s="11" t="s">
        <v>28</v>
      </c>
      <c r="D67" s="12"/>
      <c r="E67" s="13" t="s">
        <v>53</v>
      </c>
      <c r="F67" s="6" t="s">
        <v>558</v>
      </c>
      <c r="G67" s="15" t="str">
        <f ca="1">IFERROR(__xludf.DUMMYFUNCTION("CONCATENATE(B67,(VLOOKUP(C67,CATALOGOS!$F$2:$H$6,3,FALSE)),(VLOOKUP(V67,CATALOGOS!$J$2:$K$18,2,FALSE)),""-"",TO_TEXT(A67))"),"P05DA-0066")</f>
        <v>P05DA-0066</v>
      </c>
      <c r="H67" s="6" t="str">
        <f ca="1">IFERROR(__xludf.DUMMYFUNCTION("CONCATENATE($B67,(VLOOKUP($C67,CATALOGOS!$F$2:$H$6,3,FALSE)),(VLOOKUP($V67,CATALOGOS!$J$2:$K$18,2,FALSE)),""-"",TO_TEXT($A67))"),"P05DA-0066")</f>
        <v>P05DA-0066</v>
      </c>
      <c r="I67" s="6"/>
      <c r="J67" s="6" t="s">
        <v>559</v>
      </c>
      <c r="K67" s="6" t="s">
        <v>560</v>
      </c>
      <c r="L67" s="6" t="s">
        <v>561</v>
      </c>
      <c r="M67" s="6" t="s">
        <v>562</v>
      </c>
      <c r="N67" s="17"/>
      <c r="O67" s="17"/>
      <c r="P67" s="17" t="str">
        <f t="shared" si="4"/>
        <v>OK</v>
      </c>
      <c r="Q67" s="17" t="s">
        <v>35</v>
      </c>
      <c r="R67" s="6" t="s">
        <v>35</v>
      </c>
      <c r="S67" s="17" t="s">
        <v>36</v>
      </c>
      <c r="T67" s="17" t="s">
        <v>563</v>
      </c>
      <c r="U67" s="173" t="s">
        <v>38</v>
      </c>
      <c r="V67" s="11" t="s">
        <v>28</v>
      </c>
      <c r="W67" s="22" t="s">
        <v>392</v>
      </c>
      <c r="X67" s="22" t="s">
        <v>392</v>
      </c>
      <c r="Y67" s="22"/>
      <c r="Z67" s="7"/>
      <c r="AA67" s="7"/>
      <c r="AB67" s="23"/>
      <c r="AC67" s="26"/>
    </row>
    <row r="68" spans="1:29" ht="15.75" customHeight="1">
      <c r="A68" s="10" t="s">
        <v>564</v>
      </c>
      <c r="B68" s="10" t="s">
        <v>27</v>
      </c>
      <c r="C68" s="11" t="s">
        <v>28</v>
      </c>
      <c r="D68" s="38"/>
      <c r="E68" s="13" t="s">
        <v>565</v>
      </c>
      <c r="F68" s="6" t="s">
        <v>566</v>
      </c>
      <c r="G68" s="15" t="str">
        <f ca="1">IFERROR(__xludf.DUMMYFUNCTION("CONCATENATE(B68,(VLOOKUP(C68,CATALOGOS!$F$2:$H$6,3,FALSE)),(VLOOKUP(V68,CATALOGOS!$J$2:$K$18,2,FALSE)),""-"",TO_TEXT(A68))"),"P05DA-0067")</f>
        <v>P05DA-0067</v>
      </c>
      <c r="H68" s="6" t="str">
        <f ca="1">IFERROR(__xludf.DUMMYFUNCTION("CONCATENATE($B68,(VLOOKUP($C68,CATALOGOS!$F$2:$H$6,3,FALSE)),(VLOOKUP($V68,CATALOGOS!$J$2:$K$18,2,FALSE)),""-"",TO_TEXT($A68))"),"P05DA-0067")</f>
        <v>P05DA-0067</v>
      </c>
      <c r="I68" s="6"/>
      <c r="J68" s="6" t="s">
        <v>567</v>
      </c>
      <c r="K68" s="6" t="s">
        <v>568</v>
      </c>
      <c r="L68" s="6" t="s">
        <v>569</v>
      </c>
      <c r="M68" s="6" t="s">
        <v>570</v>
      </c>
      <c r="N68" s="17"/>
      <c r="O68" s="17"/>
      <c r="P68" s="17" t="str">
        <f t="shared" si="4"/>
        <v>OK</v>
      </c>
      <c r="Q68" s="17" t="s">
        <v>35</v>
      </c>
      <c r="R68" s="6" t="s">
        <v>35</v>
      </c>
      <c r="S68" s="46" t="s">
        <v>36</v>
      </c>
      <c r="T68" s="17" t="s">
        <v>85</v>
      </c>
      <c r="U68" s="173" t="s">
        <v>38</v>
      </c>
      <c r="V68" s="11" t="s">
        <v>28</v>
      </c>
      <c r="W68" s="22" t="s">
        <v>392</v>
      </c>
      <c r="X68" s="22" t="s">
        <v>392</v>
      </c>
      <c r="Y68" s="22"/>
      <c r="Z68" s="7"/>
      <c r="AA68" s="7"/>
      <c r="AB68" s="26"/>
      <c r="AC68" s="26"/>
    </row>
    <row r="69" spans="1:29" ht="15.75" customHeight="1">
      <c r="A69" s="10" t="s">
        <v>571</v>
      </c>
      <c r="B69" s="10" t="s">
        <v>27</v>
      </c>
      <c r="C69" s="11" t="s">
        <v>28</v>
      </c>
      <c r="D69" s="12"/>
      <c r="E69" s="13" t="s">
        <v>501</v>
      </c>
      <c r="F69" s="6" t="s">
        <v>572</v>
      </c>
      <c r="G69" s="6" t="str">
        <f ca="1">IFERROR(__xludf.DUMMYFUNCTION("CONCATENATE(B69,(VLOOKUP(C69,CATALOGOS!$F$2:$H$6,3,FALSE)),(VLOOKUP(V69,CATALOGOS!$J$2:$K$18,2,FALSE)),""-"",TO_TEXT(A69))"),"P05RM-0068")</f>
        <v>P05RM-0068</v>
      </c>
      <c r="H69" s="6" t="str">
        <f ca="1">IFERROR(__xludf.DUMMYFUNCTION("CONCATENATE($B69,(VLOOKUP($C69,CATALOGOS!$F$2:$H$6,3,FALSE)),(VLOOKUP($V69,CATALOGOS!$J$2:$K$18,2,FALSE)),""-"",TO_TEXT($A69))"),"P05RM-0068")</f>
        <v>P05RM-0068</v>
      </c>
      <c r="I69" s="6"/>
      <c r="J69" s="6" t="s">
        <v>573</v>
      </c>
      <c r="K69" s="6" t="s">
        <v>574</v>
      </c>
      <c r="L69" s="6" t="s">
        <v>575</v>
      </c>
      <c r="M69" s="6" t="s">
        <v>576</v>
      </c>
      <c r="N69" s="17"/>
      <c r="O69" s="17"/>
      <c r="P69" s="17" t="str">
        <f t="shared" si="4"/>
        <v>OK</v>
      </c>
      <c r="Q69" s="17" t="s">
        <v>35</v>
      </c>
      <c r="R69" s="6" t="s">
        <v>35</v>
      </c>
      <c r="S69" s="17" t="s">
        <v>36</v>
      </c>
      <c r="T69" s="17" t="s">
        <v>577</v>
      </c>
      <c r="U69" s="173" t="s">
        <v>38</v>
      </c>
      <c r="V69" s="11" t="s">
        <v>147</v>
      </c>
      <c r="W69" s="20" t="s">
        <v>492</v>
      </c>
      <c r="X69" s="22" t="s">
        <v>493</v>
      </c>
      <c r="Y69" s="22"/>
      <c r="Z69" s="7"/>
      <c r="AA69" s="7"/>
      <c r="AB69" s="23"/>
      <c r="AC69" s="26"/>
    </row>
    <row r="70" spans="1:29" ht="15.75" customHeight="1">
      <c r="A70" s="10" t="s">
        <v>578</v>
      </c>
      <c r="B70" s="10" t="s">
        <v>27</v>
      </c>
      <c r="C70" s="11" t="s">
        <v>28</v>
      </c>
      <c r="D70" s="12"/>
      <c r="E70" s="13" t="s">
        <v>501</v>
      </c>
      <c r="F70" s="6" t="s">
        <v>579</v>
      </c>
      <c r="G70" s="6" t="str">
        <f ca="1">IFERROR(__xludf.DUMMYFUNCTION("CONCATENATE(B70,(VLOOKUP(C70,CATALOGOS!$F$2:$H$6,3,FALSE)),(VLOOKUP(V70,CATALOGOS!$J$2:$K$18,2,FALSE)),""-"",TO_TEXT(A70))"),"P05RM-0069")</f>
        <v>P05RM-0069</v>
      </c>
      <c r="H70" s="6" t="str">
        <f ca="1">IFERROR(__xludf.DUMMYFUNCTION("CONCATENATE($B70,(VLOOKUP($C70,CATALOGOS!$F$2:$H$6,3,FALSE)),(VLOOKUP($V70,CATALOGOS!$J$2:$K$18,2,FALSE)),""-"",TO_TEXT($A70))"),"P05RM-0069")</f>
        <v>P05RM-0069</v>
      </c>
      <c r="I70" s="6"/>
      <c r="J70" s="6" t="s">
        <v>580</v>
      </c>
      <c r="K70" s="6" t="s">
        <v>581</v>
      </c>
      <c r="L70" s="6" t="s">
        <v>582</v>
      </c>
      <c r="M70" s="6" t="s">
        <v>583</v>
      </c>
      <c r="N70" s="17"/>
      <c r="O70" s="17"/>
      <c r="P70" s="17" t="str">
        <f t="shared" si="4"/>
        <v>OK</v>
      </c>
      <c r="Q70" s="17" t="s">
        <v>35</v>
      </c>
      <c r="R70" s="6" t="s">
        <v>35</v>
      </c>
      <c r="S70" s="17" t="s">
        <v>36</v>
      </c>
      <c r="T70" s="17" t="s">
        <v>584</v>
      </c>
      <c r="U70" s="173" t="s">
        <v>38</v>
      </c>
      <c r="V70" s="11" t="s">
        <v>147</v>
      </c>
      <c r="W70" s="20" t="s">
        <v>492</v>
      </c>
      <c r="X70" s="22" t="s">
        <v>493</v>
      </c>
      <c r="Y70" s="22"/>
      <c r="Z70" s="7"/>
      <c r="AA70" s="7"/>
      <c r="AB70" s="23"/>
      <c r="AC70" s="26"/>
    </row>
    <row r="71" spans="1:29" ht="15.75" customHeight="1">
      <c r="A71" s="10" t="s">
        <v>275</v>
      </c>
      <c r="B71" s="10" t="s">
        <v>27</v>
      </c>
      <c r="C71" s="11" t="s">
        <v>28</v>
      </c>
      <c r="D71" s="12"/>
      <c r="E71" s="13" t="s">
        <v>62</v>
      </c>
      <c r="F71" s="6" t="s">
        <v>585</v>
      </c>
      <c r="G71" s="6" t="str">
        <f ca="1">IFERROR(__xludf.DUMMYFUNCTION("CONCATENATE(B71,(VLOOKUP(C71,CATALOGOS!$F$2:$H$6,3,FALSE)),(VLOOKUP(V71,CATALOGOS!$J$2:$K$18,2,FALSE)),""-"",TO_TEXT(A71))"),"P05RM-0070")</f>
        <v>P05RM-0070</v>
      </c>
      <c r="H71" s="6" t="str">
        <f ca="1">IFERROR(__xludf.DUMMYFUNCTION("CONCATENATE($B71,(VLOOKUP($C71,CATALOGOS!$F$2:$H$6,3,FALSE)),(VLOOKUP($V71,CATALOGOS!$J$2:$K$18,2,FALSE)),""-"",TO_TEXT($A71))"),"P05RM-0070")</f>
        <v>P05RM-0070</v>
      </c>
      <c r="I71" s="6"/>
      <c r="J71" s="6" t="s">
        <v>586</v>
      </c>
      <c r="K71" s="6" t="s">
        <v>587</v>
      </c>
      <c r="L71" s="6" t="s">
        <v>588</v>
      </c>
      <c r="M71" s="6" t="s">
        <v>589</v>
      </c>
      <c r="N71" s="17"/>
      <c r="O71" s="17"/>
      <c r="P71" s="17" t="str">
        <f t="shared" si="4"/>
        <v>OK</v>
      </c>
      <c r="Q71" s="17" t="s">
        <v>35</v>
      </c>
      <c r="R71" s="6" t="s">
        <v>35</v>
      </c>
      <c r="S71" s="17" t="s">
        <v>36</v>
      </c>
      <c r="T71" s="17" t="s">
        <v>590</v>
      </c>
      <c r="U71" s="173" t="s">
        <v>38</v>
      </c>
      <c r="V71" s="11" t="s">
        <v>147</v>
      </c>
      <c r="W71" s="20" t="s">
        <v>492</v>
      </c>
      <c r="X71" s="22" t="s">
        <v>493</v>
      </c>
      <c r="Y71" s="22"/>
      <c r="Z71" s="7"/>
      <c r="AA71" s="7"/>
      <c r="AB71" s="23"/>
      <c r="AC71" s="26"/>
    </row>
    <row r="72" spans="1:29" ht="15.75" customHeight="1">
      <c r="A72" s="10" t="s">
        <v>591</v>
      </c>
      <c r="B72" s="10" t="s">
        <v>27</v>
      </c>
      <c r="C72" s="11" t="s">
        <v>28</v>
      </c>
      <c r="D72" s="12"/>
      <c r="E72" s="13" t="s">
        <v>93</v>
      </c>
      <c r="F72" s="6" t="s">
        <v>592</v>
      </c>
      <c r="G72" s="6" t="str">
        <f ca="1">IFERROR(__xludf.DUMMYFUNCTION("CONCATENATE(B72,(VLOOKUP(C72,CATALOGOS!$F$2:$H$6,3,FALSE)),(VLOOKUP(V72,CATALOGOS!$J$2:$K$18,2,FALSE)),""-"",TO_TEXT(A72))"),"P05RM-0071")</f>
        <v>P05RM-0071</v>
      </c>
      <c r="H72" s="6" t="str">
        <f ca="1">IFERROR(__xludf.DUMMYFUNCTION("CONCATENATE($B72,(VLOOKUP($C72,CATALOGOS!$F$2:$H$6,3,FALSE)),(VLOOKUP($V72,CATALOGOS!$J$2:$K$18,2,FALSE)),""-"",TO_TEXT($A72))"),"P05RM-0071")</f>
        <v>P05RM-0071</v>
      </c>
      <c r="I72" s="6"/>
      <c r="J72" s="6" t="s">
        <v>593</v>
      </c>
      <c r="K72" s="6" t="s">
        <v>594</v>
      </c>
      <c r="L72" s="6" t="s">
        <v>595</v>
      </c>
      <c r="M72" s="6" t="s">
        <v>596</v>
      </c>
      <c r="N72" s="17"/>
      <c r="O72" s="17"/>
      <c r="P72" s="17" t="str">
        <f t="shared" si="4"/>
        <v>OK</v>
      </c>
      <c r="Q72" s="17" t="s">
        <v>35</v>
      </c>
      <c r="R72" s="49" t="s">
        <v>35</v>
      </c>
      <c r="S72" s="17" t="s">
        <v>36</v>
      </c>
      <c r="T72" s="17" t="s">
        <v>597</v>
      </c>
      <c r="U72" s="173" t="s">
        <v>38</v>
      </c>
      <c r="V72" s="11" t="s">
        <v>147</v>
      </c>
      <c r="W72" s="20" t="s">
        <v>492</v>
      </c>
      <c r="X72" s="22" t="s">
        <v>493</v>
      </c>
      <c r="Y72" s="22"/>
      <c r="Z72" s="7"/>
      <c r="AA72" s="7"/>
      <c r="AB72" s="23"/>
      <c r="AC72" s="26"/>
    </row>
    <row r="73" spans="1:29" ht="15.75" customHeight="1">
      <c r="A73" s="10" t="s">
        <v>598</v>
      </c>
      <c r="B73" s="10" t="s">
        <v>27</v>
      </c>
      <c r="C73" s="11" t="s">
        <v>28</v>
      </c>
      <c r="D73" s="12"/>
      <c r="E73" s="13" t="s">
        <v>116</v>
      </c>
      <c r="F73" s="6" t="s">
        <v>599</v>
      </c>
      <c r="G73" s="6" t="str">
        <f ca="1">IFERROR(__xludf.DUMMYFUNCTION("CONCATENATE(B73,(VLOOKUP(C73,CATALOGOS!$F$2:$H$6,3,FALSE)),(VLOOKUP(V73,CATALOGOS!$J$2:$K$18,2,FALSE)),""-"",TO_TEXT(A73))"),"P05RM-0072")</f>
        <v>P05RM-0072</v>
      </c>
      <c r="H73" s="6" t="str">
        <f ca="1">IFERROR(__xludf.DUMMYFUNCTION("CONCATENATE($B73,(VLOOKUP($C73,CATALOGOS!$F$2:$H$6,3,FALSE)),(VLOOKUP($V73,CATALOGOS!$J$2:$K$18,2,FALSE)),""-"",TO_TEXT($A73))"),"P05RM-0072")</f>
        <v>P05RM-0072</v>
      </c>
      <c r="I73" s="6"/>
      <c r="J73" s="6" t="s">
        <v>600</v>
      </c>
      <c r="K73" s="6" t="s">
        <v>601</v>
      </c>
      <c r="L73" s="6" t="s">
        <v>602</v>
      </c>
      <c r="M73" s="6" t="s">
        <v>603</v>
      </c>
      <c r="N73" s="17"/>
      <c r="O73" s="17"/>
      <c r="P73" s="17" t="str">
        <f t="shared" si="4"/>
        <v>OK</v>
      </c>
      <c r="Q73" s="17" t="s">
        <v>35</v>
      </c>
      <c r="R73" s="6" t="s">
        <v>35</v>
      </c>
      <c r="S73" s="17" t="s">
        <v>36</v>
      </c>
      <c r="T73" s="17" t="s">
        <v>604</v>
      </c>
      <c r="U73" s="173" t="s">
        <v>38</v>
      </c>
      <c r="V73" s="11" t="s">
        <v>147</v>
      </c>
      <c r="W73" s="20" t="s">
        <v>492</v>
      </c>
      <c r="X73" s="22" t="s">
        <v>493</v>
      </c>
      <c r="Y73" s="22"/>
      <c r="Z73" s="7"/>
      <c r="AA73" s="7"/>
      <c r="AB73" s="23"/>
      <c r="AC73" s="26"/>
    </row>
    <row r="74" spans="1:29" ht="15.75" customHeight="1">
      <c r="A74" s="10" t="s">
        <v>605</v>
      </c>
      <c r="B74" s="10" t="s">
        <v>27</v>
      </c>
      <c r="C74" s="11" t="s">
        <v>28</v>
      </c>
      <c r="D74" s="12"/>
      <c r="E74" s="13" t="s">
        <v>378</v>
      </c>
      <c r="F74" s="6" t="s">
        <v>606</v>
      </c>
      <c r="G74" s="6" t="str">
        <f ca="1">IFERROR(__xludf.DUMMYFUNCTION("CONCATENATE(B74,(VLOOKUP(C74,CATALOGOS!$F$2:$H$6,3,FALSE)),(VLOOKUP(V74,CATALOGOS!$J$2:$K$18,2,FALSE)),""-"",TO_TEXT(A74))"),"P05RM-0073")</f>
        <v>P05RM-0073</v>
      </c>
      <c r="H74" s="6" t="str">
        <f ca="1">IFERROR(__xludf.DUMMYFUNCTION("CONCATENATE($B74,(VLOOKUP($C74,CATALOGOS!$F$2:$H$6,3,FALSE)),(VLOOKUP($V74,CATALOGOS!$J$2:$K$18,2,FALSE)),""-"",TO_TEXT($A74))"),"P05RM-0073")</f>
        <v>P05RM-0073</v>
      </c>
      <c r="I74" s="6"/>
      <c r="J74" s="6" t="s">
        <v>607</v>
      </c>
      <c r="K74" s="6" t="s">
        <v>608</v>
      </c>
      <c r="L74" s="6" t="s">
        <v>609</v>
      </c>
      <c r="M74" s="6" t="s">
        <v>610</v>
      </c>
      <c r="N74" s="17"/>
      <c r="O74" s="17"/>
      <c r="P74" s="17" t="str">
        <f t="shared" si="4"/>
        <v>OK</v>
      </c>
      <c r="Q74" s="17" t="s">
        <v>35</v>
      </c>
      <c r="R74" s="6" t="s">
        <v>35</v>
      </c>
      <c r="S74" s="17" t="s">
        <v>36</v>
      </c>
      <c r="T74" s="17" t="s">
        <v>611</v>
      </c>
      <c r="U74" s="173" t="s">
        <v>38</v>
      </c>
      <c r="V74" s="11" t="s">
        <v>147</v>
      </c>
      <c r="W74" s="20" t="s">
        <v>492</v>
      </c>
      <c r="X74" s="22" t="s">
        <v>493</v>
      </c>
      <c r="Y74" s="22"/>
      <c r="Z74" s="7"/>
      <c r="AA74" s="7"/>
      <c r="AB74" s="23"/>
      <c r="AC74" s="26"/>
    </row>
    <row r="75" spans="1:29" ht="15.75" customHeight="1">
      <c r="A75" s="10" t="s">
        <v>612</v>
      </c>
      <c r="B75" s="10" t="s">
        <v>27</v>
      </c>
      <c r="C75" s="11" t="s">
        <v>28</v>
      </c>
      <c r="D75" s="12"/>
      <c r="E75" s="13" t="s">
        <v>378</v>
      </c>
      <c r="F75" s="6" t="s">
        <v>606</v>
      </c>
      <c r="G75" s="6" t="str">
        <f ca="1">IFERROR(__xludf.DUMMYFUNCTION("CONCATENATE(B75,(VLOOKUP(C75,CATALOGOS!$F$2:$H$6,3,FALSE)),(VLOOKUP(V75,CATALOGOS!$J$2:$K$18,2,FALSE)),""-"",TO_TEXT(A75))"),"P05RM-0074")</f>
        <v>P05RM-0074</v>
      </c>
      <c r="H75" s="6" t="str">
        <f ca="1">IFERROR(__xludf.DUMMYFUNCTION("CONCATENATE($B75,(VLOOKUP($C75,CATALOGOS!$F$2:$H$6,3,FALSE)),(VLOOKUP($V75,CATALOGOS!$J$2:$K$18,2,FALSE)),""-"",TO_TEXT($A75))"),"P05RM-0074")</f>
        <v>P05RM-0074</v>
      </c>
      <c r="I75" s="6"/>
      <c r="J75" s="6" t="s">
        <v>613</v>
      </c>
      <c r="K75" s="6" t="s">
        <v>614</v>
      </c>
      <c r="L75" s="6" t="s">
        <v>615</v>
      </c>
      <c r="M75" s="6" t="s">
        <v>616</v>
      </c>
      <c r="N75" s="17"/>
      <c r="O75" s="17"/>
      <c r="P75" s="17" t="str">
        <f t="shared" si="4"/>
        <v>OK</v>
      </c>
      <c r="Q75" s="17" t="s">
        <v>35</v>
      </c>
      <c r="R75" s="6" t="s">
        <v>35</v>
      </c>
      <c r="S75" s="17" t="s">
        <v>36</v>
      </c>
      <c r="T75" s="17" t="s">
        <v>617</v>
      </c>
      <c r="U75" s="173" t="s">
        <v>38</v>
      </c>
      <c r="V75" s="11" t="s">
        <v>147</v>
      </c>
      <c r="W75" s="20" t="s">
        <v>492</v>
      </c>
      <c r="X75" s="22" t="s">
        <v>493</v>
      </c>
      <c r="Y75" s="22"/>
      <c r="Z75" s="7"/>
      <c r="AA75" s="7"/>
      <c r="AB75" s="23"/>
      <c r="AC75" s="26"/>
    </row>
    <row r="76" spans="1:29" ht="15.75" customHeight="1">
      <c r="A76" s="10" t="s">
        <v>618</v>
      </c>
      <c r="B76" s="10" t="s">
        <v>27</v>
      </c>
      <c r="C76" s="11" t="s">
        <v>28</v>
      </c>
      <c r="D76" s="12"/>
      <c r="E76" s="13" t="s">
        <v>151</v>
      </c>
      <c r="F76" s="6" t="s">
        <v>152</v>
      </c>
      <c r="G76" s="6" t="str">
        <f ca="1">IFERROR(__xludf.DUMMYFUNCTION("CONCATENATE(B76,(VLOOKUP(C76,CATALOGOS!$F$2:$H$6,3,FALSE)),(VLOOKUP(V76,CATALOGOS!$J$2:$K$18,2,FALSE)),""-"",TO_TEXT(A76))"),"P05RM-0075")</f>
        <v>P05RM-0075</v>
      </c>
      <c r="H76" s="6" t="str">
        <f ca="1">IFERROR(__xludf.DUMMYFUNCTION("CONCATENATE($B76,(VLOOKUP($C76,CATALOGOS!$F$2:$H$6,3,FALSE)),(VLOOKUP($V76,CATALOGOS!$J$2:$K$18,2,FALSE)),""-"",TO_TEXT($A76))"),"P05RM-0075")</f>
        <v>P05RM-0075</v>
      </c>
      <c r="I76" s="6"/>
      <c r="J76" s="6" t="s">
        <v>619</v>
      </c>
      <c r="K76" s="6" t="s">
        <v>620</v>
      </c>
      <c r="L76" s="6" t="s">
        <v>621</v>
      </c>
      <c r="M76" s="6" t="s">
        <v>141</v>
      </c>
      <c r="N76" s="17"/>
      <c r="O76" s="17"/>
      <c r="P76" s="17" t="str">
        <f t="shared" si="4"/>
        <v>REPETIDO</v>
      </c>
      <c r="Q76" s="17" t="s">
        <v>157</v>
      </c>
      <c r="R76" s="6" t="s">
        <v>158</v>
      </c>
      <c r="S76" s="17" t="s">
        <v>36</v>
      </c>
      <c r="T76" s="10" t="s">
        <v>622</v>
      </c>
      <c r="U76" s="173" t="s">
        <v>38</v>
      </c>
      <c r="V76" s="11" t="s">
        <v>147</v>
      </c>
      <c r="W76" s="20" t="s">
        <v>492</v>
      </c>
      <c r="X76" s="22" t="s">
        <v>493</v>
      </c>
      <c r="Y76" s="22"/>
      <c r="Z76" s="7"/>
      <c r="AA76" s="7"/>
      <c r="AB76" s="23"/>
      <c r="AC76" s="26"/>
    </row>
    <row r="77" spans="1:29" ht="15.75" customHeight="1">
      <c r="A77" s="10" t="s">
        <v>623</v>
      </c>
      <c r="B77" s="10" t="s">
        <v>27</v>
      </c>
      <c r="C77" s="11" t="s">
        <v>28</v>
      </c>
      <c r="D77" s="12"/>
      <c r="E77" s="13" t="s">
        <v>199</v>
      </c>
      <c r="F77" s="6" t="s">
        <v>199</v>
      </c>
      <c r="G77" s="6" t="str">
        <f ca="1">IFERROR(__xludf.DUMMYFUNCTION("CONCATENATE(B77,(VLOOKUP(C77,CATALOGOS!$F$2:$H$6,3,FALSE)),(VLOOKUP(V77,CATALOGOS!$J$2:$K$18,2,FALSE)),""-"",TO_TEXT(A77))"),"P05RM-0076")</f>
        <v>P05RM-0076</v>
      </c>
      <c r="H77" s="6" t="str">
        <f ca="1">IFERROR(__xludf.DUMMYFUNCTION("CONCATENATE($B77,(VLOOKUP($C77,CATALOGOS!$F$2:$H$6,3,FALSE)),(VLOOKUP($V77,CATALOGOS!$J$2:$K$18,2,FALSE)),""-"",TO_TEXT($A77))"),"P05RM-0076")</f>
        <v>P05RM-0076</v>
      </c>
      <c r="I77" s="6"/>
      <c r="J77" s="6" t="s">
        <v>624</v>
      </c>
      <c r="K77" s="6" t="s">
        <v>625</v>
      </c>
      <c r="L77" s="6" t="s">
        <v>626</v>
      </c>
      <c r="M77" s="6" t="s">
        <v>627</v>
      </c>
      <c r="N77" s="17"/>
      <c r="O77" s="17"/>
      <c r="P77" s="17" t="str">
        <f t="shared" si="4"/>
        <v>OK</v>
      </c>
      <c r="Q77" s="17" t="s">
        <v>157</v>
      </c>
      <c r="R77" s="6">
        <v>2378</v>
      </c>
      <c r="S77" s="17" t="s">
        <v>628</v>
      </c>
      <c r="T77" s="17" t="s">
        <v>629</v>
      </c>
      <c r="U77" s="173" t="s">
        <v>38</v>
      </c>
      <c r="V77" s="11" t="s">
        <v>147</v>
      </c>
      <c r="W77" s="20" t="s">
        <v>492</v>
      </c>
      <c r="X77" s="22" t="s">
        <v>493</v>
      </c>
      <c r="Y77" s="22"/>
      <c r="Z77" s="7"/>
      <c r="AA77" s="7"/>
      <c r="AB77" s="23"/>
      <c r="AC77" s="26"/>
    </row>
    <row r="78" spans="1:29" ht="15.75" customHeight="1">
      <c r="A78" s="10" t="s">
        <v>630</v>
      </c>
      <c r="B78" s="10" t="s">
        <v>27</v>
      </c>
      <c r="C78" s="11" t="s">
        <v>28</v>
      </c>
      <c r="D78" s="12"/>
      <c r="E78" s="13" t="s">
        <v>151</v>
      </c>
      <c r="F78" s="6" t="s">
        <v>152</v>
      </c>
      <c r="G78" s="6" t="str">
        <f ca="1">IFERROR(__xludf.DUMMYFUNCTION("CONCATENATE(B78,(VLOOKUP(C78,CATALOGOS!$F$2:$H$6,3,FALSE)),(VLOOKUP(V78,CATALOGOS!$J$2:$K$18,2,FALSE)),""-"",TO_TEXT(A78))"),"P05RM-0077")</f>
        <v>P05RM-0077</v>
      </c>
      <c r="H78" s="6" t="str">
        <f ca="1">IFERROR(__xludf.DUMMYFUNCTION("CONCATENATE($B78,(VLOOKUP($C78,CATALOGOS!$F$2:$H$6,3,FALSE)),(VLOOKUP($V78,CATALOGOS!$J$2:$K$18,2,FALSE)),""-"",TO_TEXT($A78))"),"P05RM-0077")</f>
        <v>P05RM-0077</v>
      </c>
      <c r="I78" s="6"/>
      <c r="J78" s="6" t="s">
        <v>631</v>
      </c>
      <c r="K78" s="6" t="s">
        <v>632</v>
      </c>
      <c r="L78" s="6" t="s">
        <v>633</v>
      </c>
      <c r="M78" s="6" t="s">
        <v>634</v>
      </c>
      <c r="N78" s="17"/>
      <c r="O78" s="17"/>
      <c r="P78" s="17" t="str">
        <f t="shared" si="4"/>
        <v>OK</v>
      </c>
      <c r="Q78" s="17" t="s">
        <v>157</v>
      </c>
      <c r="R78" s="6" t="s">
        <v>158</v>
      </c>
      <c r="S78" s="17" t="s">
        <v>635</v>
      </c>
      <c r="T78" s="10" t="s">
        <v>636</v>
      </c>
      <c r="U78" s="173" t="s">
        <v>38</v>
      </c>
      <c r="V78" s="11" t="s">
        <v>147</v>
      </c>
      <c r="W78" s="20" t="s">
        <v>492</v>
      </c>
      <c r="X78" s="22" t="s">
        <v>493</v>
      </c>
      <c r="Y78" s="22"/>
      <c r="Z78" s="7"/>
      <c r="AA78" s="7"/>
      <c r="AB78" s="23"/>
      <c r="AC78" s="26"/>
    </row>
    <row r="79" spans="1:29" ht="15.75" customHeight="1">
      <c r="A79" s="10" t="s">
        <v>637</v>
      </c>
      <c r="B79" s="10" t="s">
        <v>27</v>
      </c>
      <c r="C79" s="11" t="s">
        <v>28</v>
      </c>
      <c r="D79" s="12"/>
      <c r="E79" s="13" t="s">
        <v>353</v>
      </c>
      <c r="F79" s="43" t="s">
        <v>638</v>
      </c>
      <c r="G79" s="6" t="str">
        <f ca="1">IFERROR(__xludf.DUMMYFUNCTION("CONCATENATE(B79,(VLOOKUP(C79,CATALOGOS!$F$2:$H$6,3,FALSE)),(VLOOKUP(V79,CATALOGOS!$J$2:$K$18,2,FALSE)),""-"",TO_TEXT(A79))"),"P05RM-0078")</f>
        <v>P05RM-0078</v>
      </c>
      <c r="H79" s="6" t="str">
        <f ca="1">IFERROR(__xludf.DUMMYFUNCTION("CONCATENATE($B79,(VLOOKUP($C79,CATALOGOS!$F$2:$H$6,3,FALSE)),(VLOOKUP($V79,CATALOGOS!$J$2:$K$18,2,FALSE)),""-"",TO_TEXT($A79))"),"P05RM-0078")</f>
        <v>P05RM-0078</v>
      </c>
      <c r="I79" s="6"/>
      <c r="J79" s="6" t="s">
        <v>639</v>
      </c>
      <c r="K79" s="6" t="s">
        <v>640</v>
      </c>
      <c r="L79" s="6" t="s">
        <v>641</v>
      </c>
      <c r="M79" s="6" t="s">
        <v>642</v>
      </c>
      <c r="N79" s="17"/>
      <c r="O79" s="17"/>
      <c r="P79" s="17" t="str">
        <f t="shared" si="4"/>
        <v>OK</v>
      </c>
      <c r="Q79" s="17" t="s">
        <v>359</v>
      </c>
      <c r="R79" s="6" t="s">
        <v>360</v>
      </c>
      <c r="S79" s="17" t="s">
        <v>643</v>
      </c>
      <c r="T79" s="17" t="s">
        <v>644</v>
      </c>
      <c r="U79" s="173" t="s">
        <v>38</v>
      </c>
      <c r="V79" s="11" t="s">
        <v>147</v>
      </c>
      <c r="W79" s="20" t="s">
        <v>492</v>
      </c>
      <c r="X79" s="22" t="s">
        <v>493</v>
      </c>
      <c r="Y79" s="22"/>
      <c r="Z79" s="7"/>
      <c r="AA79" s="7"/>
      <c r="AB79" s="23"/>
      <c r="AC79" s="26"/>
    </row>
    <row r="80" spans="1:29" ht="15.75" customHeight="1">
      <c r="A80" s="10" t="s">
        <v>645</v>
      </c>
      <c r="B80" s="10" t="s">
        <v>27</v>
      </c>
      <c r="C80" s="11" t="s">
        <v>28</v>
      </c>
      <c r="D80" s="12"/>
      <c r="E80" s="13" t="s">
        <v>93</v>
      </c>
      <c r="F80" s="6" t="s">
        <v>646</v>
      </c>
      <c r="G80" s="6" t="str">
        <f ca="1">IFERROR(__xludf.DUMMYFUNCTION("CONCATENATE(B80,(VLOOKUP(C80,CATALOGOS!$F$2:$H$6,3,FALSE)),(VLOOKUP(V80,CATALOGOS!$J$2:$K$18,2,FALSE)),""-"",TO_TEXT(A80))"),"P05RM-0079")</f>
        <v>P05RM-0079</v>
      </c>
      <c r="H80" s="6" t="str">
        <f ca="1">IFERROR(__xludf.DUMMYFUNCTION("CONCATENATE($B80,(VLOOKUP($C80,CATALOGOS!$F$2:$H$6,3,FALSE)),(VLOOKUP($V80,CATALOGOS!$J$2:$K$18,2,FALSE)),""-"",TO_TEXT($A80))"),"P05RM-0079")</f>
        <v>P05RM-0079</v>
      </c>
      <c r="I80" s="6"/>
      <c r="J80" s="6" t="s">
        <v>647</v>
      </c>
      <c r="K80" s="6" t="s">
        <v>648</v>
      </c>
      <c r="L80" s="6" t="s">
        <v>649</v>
      </c>
      <c r="M80" s="6" t="s">
        <v>650</v>
      </c>
      <c r="N80" s="17"/>
      <c r="O80" s="17"/>
      <c r="P80" s="17" t="str">
        <f t="shared" si="4"/>
        <v>OK</v>
      </c>
      <c r="Q80" s="17" t="s">
        <v>35</v>
      </c>
      <c r="R80" s="6" t="s">
        <v>35</v>
      </c>
      <c r="S80" s="17" t="s">
        <v>36</v>
      </c>
      <c r="T80" s="17" t="s">
        <v>651</v>
      </c>
      <c r="U80" s="173" t="s">
        <v>38</v>
      </c>
      <c r="V80" s="11" t="s">
        <v>147</v>
      </c>
      <c r="W80" s="20" t="s">
        <v>492</v>
      </c>
      <c r="X80" s="22" t="s">
        <v>493</v>
      </c>
      <c r="Y80" s="22"/>
      <c r="Z80" s="7"/>
      <c r="AA80" s="7"/>
      <c r="AB80" s="23"/>
      <c r="AC80" s="26"/>
    </row>
    <row r="81" spans="1:30" ht="15.75" customHeight="1">
      <c r="A81" s="10" t="s">
        <v>652</v>
      </c>
      <c r="B81" s="10" t="s">
        <v>27</v>
      </c>
      <c r="C81" s="11" t="s">
        <v>28</v>
      </c>
      <c r="D81" s="12"/>
      <c r="E81" s="13" t="s">
        <v>184</v>
      </c>
      <c r="F81" s="6" t="s">
        <v>653</v>
      </c>
      <c r="G81" s="6" t="str">
        <f ca="1">IFERROR(__xludf.DUMMYFUNCTION("CONCATENATE(B81,(VLOOKUP(C81,CATALOGOS!$F$2:$H$6,3,FALSE)),(VLOOKUP(V81,CATALOGOS!$J$2:$K$18,2,FALSE)),""-"",TO_TEXT(A81))"),"P05RM-0080")</f>
        <v>P05RM-0080</v>
      </c>
      <c r="H81" s="6" t="str">
        <f ca="1">IFERROR(__xludf.DUMMYFUNCTION("CONCATENATE($B81,(VLOOKUP($C81,CATALOGOS!$F$2:$H$6,3,FALSE)),(VLOOKUP($V81,CATALOGOS!$J$2:$K$18,2,FALSE)),""-"",TO_TEXT($A81))"),"P05RM-0080")</f>
        <v>P05RM-0080</v>
      </c>
      <c r="I81" s="6"/>
      <c r="J81" s="6" t="s">
        <v>654</v>
      </c>
      <c r="K81" s="6" t="s">
        <v>655</v>
      </c>
      <c r="L81" s="6" t="s">
        <v>656</v>
      </c>
      <c r="M81" s="6" t="s">
        <v>657</v>
      </c>
      <c r="N81" s="17"/>
      <c r="O81" s="17"/>
      <c r="P81" s="17" t="str">
        <f t="shared" si="4"/>
        <v>OK</v>
      </c>
      <c r="Q81" s="17" t="s">
        <v>35</v>
      </c>
      <c r="R81" s="6" t="s">
        <v>35</v>
      </c>
      <c r="S81" s="17" t="s">
        <v>36</v>
      </c>
      <c r="T81" s="17" t="s">
        <v>658</v>
      </c>
      <c r="U81" s="173" t="s">
        <v>38</v>
      </c>
      <c r="V81" s="11" t="s">
        <v>147</v>
      </c>
      <c r="W81" s="20" t="s">
        <v>492</v>
      </c>
      <c r="X81" s="22" t="s">
        <v>493</v>
      </c>
      <c r="Y81" s="22"/>
      <c r="Z81" s="7"/>
      <c r="AA81" s="7"/>
      <c r="AB81" s="23"/>
      <c r="AC81" s="26"/>
    </row>
    <row r="82" spans="1:30" ht="15.75" customHeight="1">
      <c r="A82" s="10" t="s">
        <v>659</v>
      </c>
      <c r="B82" s="10" t="s">
        <v>27</v>
      </c>
      <c r="C82" s="11" t="s">
        <v>28</v>
      </c>
      <c r="D82" s="12"/>
      <c r="E82" s="13" t="s">
        <v>162</v>
      </c>
      <c r="F82" s="6" t="s">
        <v>162</v>
      </c>
      <c r="G82" s="6" t="str">
        <f ca="1">IFERROR(__xludf.DUMMYFUNCTION("CONCATENATE(B82,(VLOOKUP(C82,CATALOGOS!$F$2:$H$6,3,FALSE)),(VLOOKUP(V82,CATALOGOS!$J$2:$K$18,2,FALSE)),""-"",TO_TEXT(A82))"),"P05RM-0081")</f>
        <v>P05RM-0081</v>
      </c>
      <c r="H82" s="6" t="str">
        <f ca="1">IFERROR(__xludf.DUMMYFUNCTION("CONCATENATE($B82,(VLOOKUP($C82,CATALOGOS!$F$2:$H$6,3,FALSE)),(VLOOKUP($V82,CATALOGOS!$J$2:$K$18,2,FALSE)),""-"",TO_TEXT($A82))"),"P05RM-0081")</f>
        <v>P05RM-0081</v>
      </c>
      <c r="I82" s="6"/>
      <c r="J82" s="6" t="s">
        <v>660</v>
      </c>
      <c r="K82" s="6" t="s">
        <v>661</v>
      </c>
      <c r="L82" s="6" t="s">
        <v>662</v>
      </c>
      <c r="M82" s="6" t="s">
        <v>141</v>
      </c>
      <c r="N82" s="17"/>
      <c r="O82" s="17"/>
      <c r="P82" s="17" t="str">
        <f t="shared" si="4"/>
        <v>REPETIDO</v>
      </c>
      <c r="Q82" s="17" t="s">
        <v>663</v>
      </c>
      <c r="R82" s="6" t="s">
        <v>664</v>
      </c>
      <c r="S82" s="17" t="s">
        <v>665</v>
      </c>
      <c r="T82" s="17" t="s">
        <v>85</v>
      </c>
      <c r="U82" s="173" t="s">
        <v>38</v>
      </c>
      <c r="V82" s="11" t="s">
        <v>147</v>
      </c>
      <c r="W82" s="20" t="s">
        <v>492</v>
      </c>
      <c r="X82" s="22" t="s">
        <v>493</v>
      </c>
      <c r="Y82" s="22"/>
      <c r="Z82" s="7"/>
      <c r="AA82" s="7"/>
      <c r="AB82" s="23"/>
      <c r="AC82" s="26"/>
    </row>
    <row r="83" spans="1:30" ht="15.75" customHeight="1">
      <c r="A83" s="10" t="s">
        <v>666</v>
      </c>
      <c r="B83" s="10" t="s">
        <v>27</v>
      </c>
      <c r="C83" s="11" t="s">
        <v>28</v>
      </c>
      <c r="D83" s="38"/>
      <c r="E83" s="13" t="s">
        <v>43</v>
      </c>
      <c r="F83" s="6" t="s">
        <v>667</v>
      </c>
      <c r="G83" s="6" t="str">
        <f ca="1">IFERROR(__xludf.DUMMYFUNCTION("CONCATENATE(B83,(VLOOKUP(C83,CATALOGOS!$F$2:$H$6,3,FALSE)),(VLOOKUP(V83,CATALOGOS!$J$2:$K$18,2,FALSE)),""-"",TO_TEXT(A83))"),"P05RM-0082")</f>
        <v>P05RM-0082</v>
      </c>
      <c r="H83" s="6" t="str">
        <f ca="1">IFERROR(__xludf.DUMMYFUNCTION("CONCATENATE($B83,(VLOOKUP($C83,CATALOGOS!$F$2:$H$6,3,FALSE)),(VLOOKUP($V83,CATALOGOS!$J$2:$K$18,2,FALSE)),""-"",TO_TEXT($A83))"),"P05RM-0082")</f>
        <v>P05RM-0082</v>
      </c>
      <c r="I83" s="6"/>
      <c r="J83" s="6" t="s">
        <v>668</v>
      </c>
      <c r="K83" s="6" t="s">
        <v>669</v>
      </c>
      <c r="L83" s="6" t="s">
        <v>670</v>
      </c>
      <c r="M83" s="6" t="s">
        <v>671</v>
      </c>
      <c r="N83" s="17"/>
      <c r="O83" s="17"/>
      <c r="P83" s="17" t="str">
        <f t="shared" si="4"/>
        <v>OK</v>
      </c>
      <c r="Q83" s="17" t="s">
        <v>672</v>
      </c>
      <c r="R83" s="6" t="s">
        <v>673</v>
      </c>
      <c r="S83" s="46" t="s">
        <v>674</v>
      </c>
      <c r="T83" s="17" t="s">
        <v>675</v>
      </c>
      <c r="U83" s="173" t="s">
        <v>38</v>
      </c>
      <c r="V83" s="11" t="s">
        <v>147</v>
      </c>
      <c r="W83" s="20" t="s">
        <v>492</v>
      </c>
      <c r="X83" s="22" t="s">
        <v>493</v>
      </c>
      <c r="Y83" s="22"/>
      <c r="Z83" s="7"/>
      <c r="AA83" s="7"/>
      <c r="AB83" s="38" t="s">
        <v>675</v>
      </c>
      <c r="AC83" s="38"/>
      <c r="AD83" s="8"/>
    </row>
    <row r="84" spans="1:30" ht="15.75" customHeight="1">
      <c r="A84" s="10" t="s">
        <v>676</v>
      </c>
      <c r="B84" s="10" t="s">
        <v>27</v>
      </c>
      <c r="C84" s="11" t="s">
        <v>28</v>
      </c>
      <c r="D84" s="12"/>
      <c r="E84" s="13" t="s">
        <v>199</v>
      </c>
      <c r="F84" s="6" t="s">
        <v>677</v>
      </c>
      <c r="G84" s="6" t="str">
        <f ca="1">IFERROR(__xludf.DUMMYFUNCTION("CONCATENATE(B84,(VLOOKUP(C84,CATALOGOS!$F$2:$H$6,3,FALSE)),(VLOOKUP(V84,CATALOGOS!$J$2:$K$18,2,FALSE)),""-"",TO_TEXT(A84))"),"P05RM-0083")</f>
        <v>P05RM-0083</v>
      </c>
      <c r="H84" s="6" t="str">
        <f ca="1">IFERROR(__xludf.DUMMYFUNCTION("CONCATENATE($B84,(VLOOKUP($C84,CATALOGOS!$F$2:$H$6,3,FALSE)),(VLOOKUP($V84,CATALOGOS!$J$2:$K$18,2,FALSE)),""-"",TO_TEXT($A84))"),"P05RM-0083")</f>
        <v>P05RM-0083</v>
      </c>
      <c r="I84" s="6"/>
      <c r="J84" s="6" t="s">
        <v>678</v>
      </c>
      <c r="K84" s="6" t="s">
        <v>679</v>
      </c>
      <c r="L84" s="6" t="s">
        <v>680</v>
      </c>
      <c r="M84" s="6" t="s">
        <v>681</v>
      </c>
      <c r="N84" s="17"/>
      <c r="O84" s="17"/>
      <c r="P84" s="17" t="str">
        <f t="shared" si="4"/>
        <v>OK</v>
      </c>
      <c r="Q84" s="17" t="s">
        <v>682</v>
      </c>
      <c r="R84" s="6" t="s">
        <v>683</v>
      </c>
      <c r="S84" s="6" t="s">
        <v>684</v>
      </c>
      <c r="T84" s="10" t="s">
        <v>685</v>
      </c>
      <c r="U84" s="173" t="s">
        <v>38</v>
      </c>
      <c r="V84" s="11" t="s">
        <v>147</v>
      </c>
      <c r="W84" s="20" t="s">
        <v>686</v>
      </c>
      <c r="X84" s="20" t="s">
        <v>687</v>
      </c>
      <c r="Y84" s="20"/>
      <c r="Z84" s="7"/>
      <c r="AA84" s="7"/>
      <c r="AB84" s="23"/>
      <c r="AC84" s="26"/>
    </row>
    <row r="85" spans="1:30" ht="15.75" customHeight="1">
      <c r="A85" s="10" t="s">
        <v>688</v>
      </c>
      <c r="B85" s="10" t="s">
        <v>27</v>
      </c>
      <c r="C85" s="11" t="s">
        <v>28</v>
      </c>
      <c r="D85" s="12"/>
      <c r="E85" s="13" t="s">
        <v>136</v>
      </c>
      <c r="F85" s="6" t="s">
        <v>689</v>
      </c>
      <c r="G85" s="6" t="str">
        <f ca="1">IFERROR(__xludf.DUMMYFUNCTION("CONCATENATE(B85,(VLOOKUP(C85,CATALOGOS!$F$2:$H$6,3,FALSE)),(VLOOKUP(V85,CATALOGOS!$J$2:$K$18,2,FALSE)),""-"",TO_TEXT(A85))"),"P05RM-0084")</f>
        <v>P05RM-0084</v>
      </c>
      <c r="H85" s="6" t="str">
        <f ca="1">IFERROR(__xludf.DUMMYFUNCTION("CONCATENATE($B85,(VLOOKUP($C85,CATALOGOS!$F$2:$H$6,3,FALSE)),(VLOOKUP($V85,CATALOGOS!$J$2:$K$18,2,FALSE)),""-"",TO_TEXT($A85))"),"P05RM-0084")</f>
        <v>P05RM-0084</v>
      </c>
      <c r="I85" s="6"/>
      <c r="J85" s="6" t="s">
        <v>690</v>
      </c>
      <c r="K85" s="6" t="s">
        <v>691</v>
      </c>
      <c r="L85" s="6" t="s">
        <v>692</v>
      </c>
      <c r="M85" s="6" t="s">
        <v>693</v>
      </c>
      <c r="N85" s="17"/>
      <c r="O85" s="17"/>
      <c r="P85" s="17" t="str">
        <f t="shared" si="4"/>
        <v>OK</v>
      </c>
      <c r="Q85" s="17" t="s">
        <v>205</v>
      </c>
      <c r="R85" s="6" t="s">
        <v>694</v>
      </c>
      <c r="S85" s="17" t="s">
        <v>695</v>
      </c>
      <c r="T85" s="17" t="s">
        <v>696</v>
      </c>
      <c r="U85" s="173" t="s">
        <v>8433</v>
      </c>
      <c r="V85" s="11" t="s">
        <v>147</v>
      </c>
      <c r="W85" s="20" t="s">
        <v>483</v>
      </c>
      <c r="X85" s="20" t="s">
        <v>484</v>
      </c>
      <c r="Y85" s="22"/>
      <c r="Z85" s="7"/>
      <c r="AA85" s="7"/>
      <c r="AB85" s="23"/>
      <c r="AC85" s="26"/>
    </row>
    <row r="86" spans="1:30" ht="15.75" customHeight="1">
      <c r="A86" s="10" t="s">
        <v>697</v>
      </c>
      <c r="B86" s="10" t="s">
        <v>27</v>
      </c>
      <c r="C86" s="11" t="s">
        <v>28</v>
      </c>
      <c r="D86" s="12"/>
      <c r="E86" s="13" t="s">
        <v>151</v>
      </c>
      <c r="F86" s="6" t="s">
        <v>698</v>
      </c>
      <c r="G86" s="6" t="str">
        <f ca="1">IFERROR(__xludf.DUMMYFUNCTION("CONCATENATE(B86,(VLOOKUP(C86,CATALOGOS!$F$2:$H$6,3,FALSE)),(VLOOKUP(V86,CATALOGOS!$J$2:$K$18,2,FALSE)),""-"",TO_TEXT(A86))"),"P05RM-0085")</f>
        <v>P05RM-0085</v>
      </c>
      <c r="H86" s="6" t="str">
        <f ca="1">IFERROR(__xludf.DUMMYFUNCTION("CONCATENATE($B86,(VLOOKUP($C86,CATALOGOS!$F$2:$H$6,3,FALSE)),(VLOOKUP($V86,CATALOGOS!$J$2:$K$18,2,FALSE)),""-"",TO_TEXT($A86))"),"P05RM-0085")</f>
        <v>P05RM-0085</v>
      </c>
      <c r="I86" s="6"/>
      <c r="J86" s="6" t="s">
        <v>699</v>
      </c>
      <c r="K86" s="6" t="s">
        <v>700</v>
      </c>
      <c r="L86" s="6" t="s">
        <v>701</v>
      </c>
      <c r="M86" s="43" t="s">
        <v>702</v>
      </c>
      <c r="N86" s="17"/>
      <c r="O86" s="17"/>
      <c r="P86" s="17" t="str">
        <f t="shared" si="4"/>
        <v>OK</v>
      </c>
      <c r="Q86" s="17" t="s">
        <v>703</v>
      </c>
      <c r="R86" s="6" t="s">
        <v>704</v>
      </c>
      <c r="S86" s="32" t="s">
        <v>705</v>
      </c>
      <c r="T86" s="32" t="s">
        <v>8373</v>
      </c>
      <c r="U86" s="173" t="s">
        <v>38</v>
      </c>
      <c r="V86" s="11" t="s">
        <v>147</v>
      </c>
      <c r="W86" s="20" t="s">
        <v>483</v>
      </c>
      <c r="X86" s="20" t="s">
        <v>484</v>
      </c>
      <c r="Y86" s="22"/>
      <c r="Z86" s="7"/>
      <c r="AA86" s="7"/>
      <c r="AB86" s="23"/>
      <c r="AC86" s="26"/>
    </row>
    <row r="87" spans="1:30" ht="15.75" customHeight="1">
      <c r="A87" s="10" t="s">
        <v>706</v>
      </c>
      <c r="B87" s="10" t="s">
        <v>27</v>
      </c>
      <c r="C87" s="11" t="s">
        <v>28</v>
      </c>
      <c r="D87" s="12"/>
      <c r="E87" s="13" t="s">
        <v>151</v>
      </c>
      <c r="F87" s="6" t="s">
        <v>698</v>
      </c>
      <c r="G87" s="6" t="str">
        <f ca="1">IFERROR(__xludf.DUMMYFUNCTION("CONCATENATE(B87,(VLOOKUP(C87,CATALOGOS!$F$2:$H$6,3,FALSE)),(VLOOKUP(V87,CATALOGOS!$J$2:$K$18,2,FALSE)),""-"",TO_TEXT(A87))"),"P05RM-0086")</f>
        <v>P05RM-0086</v>
      </c>
      <c r="H87" s="6" t="str">
        <f ca="1">IFERROR(__xludf.DUMMYFUNCTION("CONCATENATE($B87,(VLOOKUP($C87,CATALOGOS!$F$2:$H$6,3,FALSE)),(VLOOKUP($V87,CATALOGOS!$J$2:$K$18,2,FALSE)),""-"",TO_TEXT($A87))"),"P05RM-0086")</f>
        <v>P05RM-0086</v>
      </c>
      <c r="I87" s="6"/>
      <c r="J87" s="6" t="s">
        <v>707</v>
      </c>
      <c r="K87" s="6" t="s">
        <v>708</v>
      </c>
      <c r="L87" s="6" t="s">
        <v>709</v>
      </c>
      <c r="M87" s="6" t="s">
        <v>710</v>
      </c>
      <c r="N87" s="17"/>
      <c r="O87" s="17"/>
      <c r="P87" s="17" t="str">
        <f t="shared" si="4"/>
        <v>OK</v>
      </c>
      <c r="Q87" s="17" t="s">
        <v>703</v>
      </c>
      <c r="R87" s="6" t="s">
        <v>704</v>
      </c>
      <c r="S87" s="32" t="s">
        <v>711</v>
      </c>
      <c r="T87" s="32" t="s">
        <v>712</v>
      </c>
      <c r="U87" s="173" t="s">
        <v>38</v>
      </c>
      <c r="V87" s="11" t="s">
        <v>147</v>
      </c>
      <c r="W87" s="20" t="s">
        <v>483</v>
      </c>
      <c r="X87" s="20" t="s">
        <v>484</v>
      </c>
      <c r="Y87" s="22"/>
      <c r="Z87" s="7"/>
      <c r="AA87" s="7"/>
      <c r="AB87" s="23"/>
      <c r="AC87" s="26"/>
    </row>
    <row r="88" spans="1:30" ht="15.75" customHeight="1">
      <c r="A88" s="10" t="s">
        <v>713</v>
      </c>
      <c r="B88" s="10" t="s">
        <v>27</v>
      </c>
      <c r="C88" s="11" t="s">
        <v>28</v>
      </c>
      <c r="D88" s="12"/>
      <c r="E88" s="13" t="s">
        <v>151</v>
      </c>
      <c r="F88" s="6" t="s">
        <v>714</v>
      </c>
      <c r="G88" s="15" t="str">
        <f ca="1">IFERROR(__xludf.DUMMYFUNCTION("CONCATENATE(B88,(VLOOKUP(C88,CATALOGOS!$F$2:$H$6,3,FALSE)),(VLOOKUP(V88,CATALOGOS!$J$2:$K$18,2,FALSE)),""-"",TO_TEXT(A88))"),"P05RH-0087")</f>
        <v>P05RH-0087</v>
      </c>
      <c r="H88" s="6" t="str">
        <f ca="1">IFERROR(__xludf.DUMMYFUNCTION("CONCATENATE($B88,(VLOOKUP($C88,CATALOGOS!$F$2:$H$6,3,FALSE)),(VLOOKUP($V88,CATALOGOS!$J$2:$K$18,2,FALSE)),""-"",TO_TEXT($A88))"),"P05RH-0087")</f>
        <v>P05RH-0087</v>
      </c>
      <c r="I88" s="6"/>
      <c r="J88" s="6" t="s">
        <v>715</v>
      </c>
      <c r="K88" s="6" t="s">
        <v>716</v>
      </c>
      <c r="L88" s="6" t="s">
        <v>717</v>
      </c>
      <c r="M88" s="6" t="s">
        <v>718</v>
      </c>
      <c r="N88" s="17"/>
      <c r="O88" s="17"/>
      <c r="P88" s="17" t="str">
        <f t="shared" si="4"/>
        <v>OK</v>
      </c>
      <c r="Q88" s="17" t="s">
        <v>719</v>
      </c>
      <c r="R88" s="6" t="s">
        <v>720</v>
      </c>
      <c r="S88" s="17" t="s">
        <v>721</v>
      </c>
      <c r="T88" s="17" t="s">
        <v>722</v>
      </c>
      <c r="U88" s="173" t="s">
        <v>38</v>
      </c>
      <c r="V88" s="11" t="s">
        <v>723</v>
      </c>
      <c r="W88" s="20" t="s">
        <v>724</v>
      </c>
      <c r="X88" s="20" t="s">
        <v>724</v>
      </c>
      <c r="Y88" s="20"/>
      <c r="Z88" s="7"/>
      <c r="AA88" s="7"/>
      <c r="AB88" s="23"/>
      <c r="AC88" s="26"/>
    </row>
    <row r="89" spans="1:30" ht="15.75" customHeight="1">
      <c r="A89" s="10" t="s">
        <v>725</v>
      </c>
      <c r="B89" s="10" t="s">
        <v>27</v>
      </c>
      <c r="C89" s="11" t="s">
        <v>28</v>
      </c>
      <c r="D89" s="12"/>
      <c r="E89" s="13" t="s">
        <v>501</v>
      </c>
      <c r="F89" s="6" t="s">
        <v>726</v>
      </c>
      <c r="G89" s="6" t="str">
        <f ca="1">IFERROR(__xludf.DUMMYFUNCTION("CONCATENATE(B89,(VLOOKUP(C89,CATALOGOS!$F$2:$H$6,3,FALSE)),(VLOOKUP(V89,CATALOGOS!$J$2:$K$18,2,FALSE)),""-"",TO_TEXT(A89))"),"P05RM-0088")</f>
        <v>P05RM-0088</v>
      </c>
      <c r="H89" s="6" t="str">
        <f ca="1">IFERROR(__xludf.DUMMYFUNCTION("CONCATENATE($B89,(VLOOKUP($C89,CATALOGOS!$F$2:$H$6,3,FALSE)),(VLOOKUP($V89,CATALOGOS!$J$2:$K$18,2,FALSE)),""-"",TO_TEXT($A89))"),"P05RM-0088")</f>
        <v>P05RM-0088</v>
      </c>
      <c r="I89" s="6"/>
      <c r="J89" s="6" t="s">
        <v>727</v>
      </c>
      <c r="K89" s="6" t="s">
        <v>728</v>
      </c>
      <c r="L89" s="6" t="s">
        <v>729</v>
      </c>
      <c r="M89" s="6" t="s">
        <v>730</v>
      </c>
      <c r="N89" s="17"/>
      <c r="O89" s="17"/>
      <c r="P89" s="17" t="str">
        <f t="shared" si="4"/>
        <v>OK</v>
      </c>
      <c r="Q89" s="17" t="s">
        <v>35</v>
      </c>
      <c r="R89" s="6" t="s">
        <v>35</v>
      </c>
      <c r="S89" s="17" t="s">
        <v>36</v>
      </c>
      <c r="T89" s="17" t="s">
        <v>731</v>
      </c>
      <c r="U89" s="173" t="s">
        <v>38</v>
      </c>
      <c r="V89" s="11" t="s">
        <v>147</v>
      </c>
      <c r="W89" s="20" t="s">
        <v>483</v>
      </c>
      <c r="X89" s="20" t="s">
        <v>484</v>
      </c>
      <c r="Y89" s="22"/>
      <c r="Z89" s="7"/>
      <c r="AA89" s="7"/>
      <c r="AB89" s="23"/>
      <c r="AC89" s="26"/>
    </row>
    <row r="90" spans="1:30" ht="15.75" customHeight="1">
      <c r="A90" s="10" t="s">
        <v>732</v>
      </c>
      <c r="B90" s="10" t="s">
        <v>27</v>
      </c>
      <c r="C90" s="11" t="s">
        <v>28</v>
      </c>
      <c r="D90" s="12"/>
      <c r="E90" s="13" t="s">
        <v>210</v>
      </c>
      <c r="F90" s="6" t="s">
        <v>733</v>
      </c>
      <c r="G90" s="6" t="str">
        <f ca="1">IFERROR(__xludf.DUMMYFUNCTION("CONCATENATE(B90,(VLOOKUP(C90,CATALOGOS!$F$2:$H$6,3,FALSE)),(VLOOKUP(V90,CATALOGOS!$J$2:$K$18,2,FALSE)),""-"",TO_TEXT(A90))"),"P05RM-0089")</f>
        <v>P05RM-0089</v>
      </c>
      <c r="H90" s="6" t="str">
        <f ca="1">IFERROR(__xludf.DUMMYFUNCTION("CONCATENATE($B90,(VLOOKUP($C90,CATALOGOS!$F$2:$H$6,3,FALSE)),(VLOOKUP($V90,CATALOGOS!$J$2:$K$18,2,FALSE)),""-"",TO_TEXT($A90))"),"P05RM-0089")</f>
        <v>P05RM-0089</v>
      </c>
      <c r="I90" s="6"/>
      <c r="J90" s="6" t="s">
        <v>734</v>
      </c>
      <c r="K90" s="6" t="s">
        <v>735</v>
      </c>
      <c r="L90" s="36"/>
      <c r="M90" s="6" t="s">
        <v>736</v>
      </c>
      <c r="N90" s="17"/>
      <c r="O90" s="17"/>
      <c r="P90" s="17" t="str">
        <f t="shared" si="4"/>
        <v>OK</v>
      </c>
      <c r="Q90" s="17" t="s">
        <v>216</v>
      </c>
      <c r="R90" s="6" t="s">
        <v>737</v>
      </c>
      <c r="S90" s="6">
        <v>194708563</v>
      </c>
      <c r="T90" s="10" t="s">
        <v>85</v>
      </c>
      <c r="U90" s="173" t="s">
        <v>38</v>
      </c>
      <c r="V90" s="11" t="s">
        <v>147</v>
      </c>
      <c r="W90" s="20" t="s">
        <v>483</v>
      </c>
      <c r="X90" s="20" t="s">
        <v>484</v>
      </c>
      <c r="Y90" s="22"/>
      <c r="Z90" s="7"/>
      <c r="AA90" s="7"/>
      <c r="AB90" s="23"/>
      <c r="AC90" s="26"/>
    </row>
    <row r="91" spans="1:30" ht="15.75" customHeight="1">
      <c r="A91" s="10" t="s">
        <v>738</v>
      </c>
      <c r="B91" s="10" t="s">
        <v>27</v>
      </c>
      <c r="C91" s="11" t="s">
        <v>28</v>
      </c>
      <c r="D91" s="12"/>
      <c r="E91" s="13" t="s">
        <v>53</v>
      </c>
      <c r="F91" s="6" t="s">
        <v>739</v>
      </c>
      <c r="G91" s="6" t="str">
        <f ca="1">IFERROR(__xludf.DUMMYFUNCTION("CONCATENATE(B91,(VLOOKUP(C91,CATALOGOS!$F$2:$H$6,3,FALSE)),(VLOOKUP(V91,CATALOGOS!$J$2:$K$18,2,FALSE)),""-"",TO_TEXT(A91))"),"P05RM-0090")</f>
        <v>P05RM-0090</v>
      </c>
      <c r="H91" s="6" t="str">
        <f ca="1">IFERROR(__xludf.DUMMYFUNCTION("CONCATENATE($B91,(VLOOKUP($C91,CATALOGOS!$F$2:$H$6,3,FALSE)),(VLOOKUP($V91,CATALOGOS!$J$2:$K$18,2,FALSE)),""-"",TO_TEXT($A91))"),"P05RM-0090")</f>
        <v>P05RM-0090</v>
      </c>
      <c r="I91" s="6"/>
      <c r="J91" s="6" t="s">
        <v>740</v>
      </c>
      <c r="K91" s="6" t="s">
        <v>741</v>
      </c>
      <c r="L91" s="36"/>
      <c r="M91" s="6" t="s">
        <v>141</v>
      </c>
      <c r="N91" s="17"/>
      <c r="O91" s="17"/>
      <c r="P91" s="17" t="str">
        <f t="shared" si="4"/>
        <v>REPETIDO</v>
      </c>
      <c r="Q91" s="35" t="s">
        <v>35</v>
      </c>
      <c r="R91" s="6" t="s">
        <v>35</v>
      </c>
      <c r="S91" s="10" t="s">
        <v>36</v>
      </c>
      <c r="T91" s="32" t="s">
        <v>85</v>
      </c>
      <c r="U91" s="173" t="s">
        <v>38</v>
      </c>
      <c r="V91" s="11" t="s">
        <v>147</v>
      </c>
      <c r="W91" s="20" t="s">
        <v>483</v>
      </c>
      <c r="X91" s="20" t="s">
        <v>484</v>
      </c>
      <c r="Y91" s="22"/>
      <c r="Z91" s="7"/>
      <c r="AA91" s="7"/>
      <c r="AB91" s="23"/>
      <c r="AC91" s="26"/>
    </row>
    <row r="92" spans="1:30" ht="15.75" customHeight="1">
      <c r="A92" s="10" t="s">
        <v>742</v>
      </c>
      <c r="B92" s="10" t="s">
        <v>27</v>
      </c>
      <c r="C92" s="11" t="s">
        <v>28</v>
      </c>
      <c r="D92" s="12"/>
      <c r="E92" s="13" t="s">
        <v>93</v>
      </c>
      <c r="F92" s="6" t="s">
        <v>743</v>
      </c>
      <c r="G92" s="6" t="str">
        <f ca="1">IFERROR(__xludf.DUMMYFUNCTION("CONCATENATE(B92,(VLOOKUP(C92,CATALOGOS!$F$2:$H$6,3,FALSE)),(VLOOKUP(V92,CATALOGOS!$J$2:$K$18,2,FALSE)),""-"",TO_TEXT(A92))"),"P05RM-0091")</f>
        <v>P05RM-0091</v>
      </c>
      <c r="H92" s="6" t="str">
        <f ca="1">IFERROR(__xludf.DUMMYFUNCTION("CONCATENATE($B92,(VLOOKUP($C92,CATALOGOS!$F$2:$H$6,3,FALSE)),(VLOOKUP($V92,CATALOGOS!$J$2:$K$18,2,FALSE)),""-"",TO_TEXT($A92))"),"P05RM-0091")</f>
        <v>P05RM-0091</v>
      </c>
      <c r="I92" s="6"/>
      <c r="J92" s="6" t="s">
        <v>744</v>
      </c>
      <c r="K92" s="6" t="s">
        <v>745</v>
      </c>
      <c r="L92" s="6" t="s">
        <v>746</v>
      </c>
      <c r="M92" s="6" t="s">
        <v>747</v>
      </c>
      <c r="N92" s="17"/>
      <c r="O92" s="17"/>
      <c r="P92" s="17" t="str">
        <f t="shared" si="4"/>
        <v>OK</v>
      </c>
      <c r="Q92" s="17" t="s">
        <v>35</v>
      </c>
      <c r="R92" s="6" t="s">
        <v>35</v>
      </c>
      <c r="S92" s="17" t="s">
        <v>36</v>
      </c>
      <c r="T92" s="17" t="s">
        <v>748</v>
      </c>
      <c r="U92" s="173" t="s">
        <v>38</v>
      </c>
      <c r="V92" s="11" t="s">
        <v>147</v>
      </c>
      <c r="W92" s="20" t="s">
        <v>483</v>
      </c>
      <c r="X92" s="20" t="s">
        <v>484</v>
      </c>
      <c r="Y92" s="22"/>
      <c r="Z92" s="6"/>
      <c r="AA92" s="6" t="s">
        <v>749</v>
      </c>
      <c r="AB92" s="23"/>
      <c r="AC92" s="26"/>
    </row>
    <row r="93" spans="1:30" ht="15.75" customHeight="1">
      <c r="A93" s="10" t="s">
        <v>750</v>
      </c>
      <c r="B93" s="10" t="s">
        <v>27</v>
      </c>
      <c r="C93" s="11" t="s">
        <v>28</v>
      </c>
      <c r="D93" s="12"/>
      <c r="E93" s="13" t="s">
        <v>93</v>
      </c>
      <c r="F93" s="6" t="s">
        <v>751</v>
      </c>
      <c r="G93" s="6" t="str">
        <f ca="1">IFERROR(__xludf.DUMMYFUNCTION("CONCATENATE(B93,(VLOOKUP(C93,CATALOGOS!$F$2:$H$6,3,FALSE)),(VLOOKUP(V93,CATALOGOS!$J$2:$K$18,2,FALSE)),""-"",TO_TEXT(A93))"),"P05RM-0092")</f>
        <v>P05RM-0092</v>
      </c>
      <c r="H93" s="6" t="str">
        <f ca="1">IFERROR(__xludf.DUMMYFUNCTION("CONCATENATE($B93,(VLOOKUP($C93,CATALOGOS!$F$2:$H$6,3,FALSE)),(VLOOKUP($V93,CATALOGOS!$J$2:$K$18,2,FALSE)),""-"",TO_TEXT($A93))"),"P05RM-0092")</f>
        <v>P05RM-0092</v>
      </c>
      <c r="I93" s="6"/>
      <c r="J93" s="6" t="s">
        <v>752</v>
      </c>
      <c r="K93" s="6" t="s">
        <v>753</v>
      </c>
      <c r="L93" s="6" t="s">
        <v>754</v>
      </c>
      <c r="M93" s="43" t="s">
        <v>755</v>
      </c>
      <c r="N93" s="17"/>
      <c r="O93" s="17"/>
      <c r="P93" s="17" t="str">
        <f t="shared" si="4"/>
        <v>OK</v>
      </c>
      <c r="Q93" s="17" t="s">
        <v>35</v>
      </c>
      <c r="R93" s="6" t="s">
        <v>35</v>
      </c>
      <c r="S93" s="17" t="s">
        <v>36</v>
      </c>
      <c r="T93" s="17" t="s">
        <v>756</v>
      </c>
      <c r="U93" s="173" t="s">
        <v>38</v>
      </c>
      <c r="V93" s="11" t="s">
        <v>147</v>
      </c>
      <c r="W93" s="20" t="s">
        <v>483</v>
      </c>
      <c r="X93" s="20" t="s">
        <v>484</v>
      </c>
      <c r="Y93" s="22"/>
      <c r="Z93" s="7"/>
      <c r="AA93" s="7"/>
      <c r="AB93" s="23"/>
      <c r="AC93" s="26"/>
    </row>
    <row r="94" spans="1:30" ht="15.75" customHeight="1">
      <c r="A94" s="10" t="s">
        <v>757</v>
      </c>
      <c r="B94" s="10" t="s">
        <v>27</v>
      </c>
      <c r="C94" s="11" t="s">
        <v>28</v>
      </c>
      <c r="D94" s="12"/>
      <c r="E94" s="13" t="s">
        <v>93</v>
      </c>
      <c r="F94" s="6" t="s">
        <v>758</v>
      </c>
      <c r="G94" s="6" t="str">
        <f ca="1">IFERROR(__xludf.DUMMYFUNCTION("CONCATENATE(B94,(VLOOKUP(C94,CATALOGOS!$F$2:$H$6,3,FALSE)),(VLOOKUP(V94,CATALOGOS!$J$2:$K$18,2,FALSE)),""-"",TO_TEXT(A94))"),"P05RM-0093")</f>
        <v>P05RM-0093</v>
      </c>
      <c r="H94" s="6" t="str">
        <f ca="1">IFERROR(__xludf.DUMMYFUNCTION("CONCATENATE($B94,(VLOOKUP($C94,CATALOGOS!$F$2:$H$6,3,FALSE)),(VLOOKUP($V94,CATALOGOS!$J$2:$K$18,2,FALSE)),""-"",TO_TEXT($A94))"),"P05RM-0093")</f>
        <v>P05RM-0093</v>
      </c>
      <c r="I94" s="6"/>
      <c r="J94" s="6" t="s">
        <v>759</v>
      </c>
      <c r="K94" s="6" t="s">
        <v>760</v>
      </c>
      <c r="L94" s="6" t="s">
        <v>761</v>
      </c>
      <c r="M94" s="6" t="s">
        <v>762</v>
      </c>
      <c r="N94" s="17"/>
      <c r="O94" s="17"/>
      <c r="P94" s="17" t="str">
        <f t="shared" si="4"/>
        <v>OK</v>
      </c>
      <c r="Q94" s="17" t="s">
        <v>35</v>
      </c>
      <c r="R94" s="6" t="s">
        <v>35</v>
      </c>
      <c r="S94" s="17" t="s">
        <v>36</v>
      </c>
      <c r="T94" s="17" t="s">
        <v>763</v>
      </c>
      <c r="U94" s="173" t="s">
        <v>38</v>
      </c>
      <c r="V94" s="11" t="s">
        <v>147</v>
      </c>
      <c r="W94" s="20" t="s">
        <v>483</v>
      </c>
      <c r="X94" s="20" t="s">
        <v>484</v>
      </c>
      <c r="Y94" s="22"/>
      <c r="Z94" s="6"/>
      <c r="AA94" s="6" t="s">
        <v>749</v>
      </c>
      <c r="AB94" s="23"/>
      <c r="AC94" s="26"/>
    </row>
    <row r="95" spans="1:30" ht="15.75" customHeight="1">
      <c r="A95" s="10" t="s">
        <v>764</v>
      </c>
      <c r="B95" s="10" t="s">
        <v>27</v>
      </c>
      <c r="C95" s="11" t="s">
        <v>28</v>
      </c>
      <c r="D95" s="12"/>
      <c r="E95" s="13" t="s">
        <v>93</v>
      </c>
      <c r="F95" s="6" t="s">
        <v>765</v>
      </c>
      <c r="G95" s="15" t="str">
        <f ca="1">IFERROR(__xludf.DUMMYFUNCTION("CONCATENATE(B95,(VLOOKUP(C95,CATALOGOS!$F$2:$H$6,3,FALSE)),(VLOOKUP(V95,CATALOGOS!$J$2:$K$18,2,FALSE)),""-"",TO_TEXT(A95))"),"P05DA-0094")</f>
        <v>P05DA-0094</v>
      </c>
      <c r="H95" s="6" t="str">
        <f ca="1">IFERROR(__xludf.DUMMYFUNCTION("CONCATENATE($B95,(VLOOKUP($C95,CATALOGOS!$F$2:$H$6,3,FALSE)),(VLOOKUP($V95,CATALOGOS!$J$2:$K$18,2,FALSE)),""-"",TO_TEXT($A95))"),"P05DA-0094")</f>
        <v>P05DA-0094</v>
      </c>
      <c r="I95" s="6"/>
      <c r="J95" s="6" t="s">
        <v>766</v>
      </c>
      <c r="K95" s="6" t="s">
        <v>767</v>
      </c>
      <c r="L95" s="6" t="s">
        <v>768</v>
      </c>
      <c r="M95" s="6" t="s">
        <v>769</v>
      </c>
      <c r="N95" s="17"/>
      <c r="O95" s="17"/>
      <c r="P95" s="17" t="str">
        <f t="shared" si="4"/>
        <v>OK</v>
      </c>
      <c r="Q95" s="17" t="s">
        <v>35</v>
      </c>
      <c r="R95" s="6" t="s">
        <v>35</v>
      </c>
      <c r="S95" s="17" t="s">
        <v>36</v>
      </c>
      <c r="T95" s="17" t="s">
        <v>770</v>
      </c>
      <c r="U95" s="173" t="s">
        <v>38</v>
      </c>
      <c r="V95" s="11" t="s">
        <v>28</v>
      </c>
      <c r="W95" s="20" t="s">
        <v>392</v>
      </c>
      <c r="X95" s="20" t="s">
        <v>392</v>
      </c>
      <c r="Y95" s="20"/>
      <c r="Z95" s="6"/>
      <c r="AA95" s="6" t="s">
        <v>432</v>
      </c>
      <c r="AB95" s="23"/>
      <c r="AC95" s="26"/>
    </row>
    <row r="96" spans="1:30" ht="15.75" customHeight="1">
      <c r="A96" s="10" t="s">
        <v>771</v>
      </c>
      <c r="B96" s="10" t="s">
        <v>27</v>
      </c>
      <c r="C96" s="11" t="s">
        <v>28</v>
      </c>
      <c r="D96" s="12"/>
      <c r="E96" s="13" t="s">
        <v>93</v>
      </c>
      <c r="F96" s="6" t="s">
        <v>772</v>
      </c>
      <c r="G96" s="6" t="str">
        <f ca="1">IFERROR(__xludf.DUMMYFUNCTION("CONCATENATE(B96,(VLOOKUP(C96,CATALOGOS!$F$2:$H$6,3,FALSE)),(VLOOKUP(V96,CATALOGOS!$J$2:$K$18,2,FALSE)),""-"",TO_TEXT(A96))"),"P05RM-0095")</f>
        <v>P05RM-0095</v>
      </c>
      <c r="H96" s="6" t="str">
        <f ca="1">IFERROR(__xludf.DUMMYFUNCTION("CONCATENATE($B96,(VLOOKUP($C96,CATALOGOS!$F$2:$H$6,3,FALSE)),(VLOOKUP($V96,CATALOGOS!$J$2:$K$18,2,FALSE)),""-"",TO_TEXT($A96))"),"P05RM-0095")</f>
        <v>P05RM-0095</v>
      </c>
      <c r="I96" s="6"/>
      <c r="J96" s="6" t="s">
        <v>773</v>
      </c>
      <c r="K96" s="6" t="s">
        <v>774</v>
      </c>
      <c r="L96" s="6" t="s">
        <v>775</v>
      </c>
      <c r="M96" s="6" t="s">
        <v>776</v>
      </c>
      <c r="N96" s="17"/>
      <c r="O96" s="17"/>
      <c r="P96" s="17" t="str">
        <f t="shared" si="4"/>
        <v>OK</v>
      </c>
      <c r="Q96" s="17" t="s">
        <v>35</v>
      </c>
      <c r="R96" s="6" t="s">
        <v>35</v>
      </c>
      <c r="S96" s="17" t="s">
        <v>36</v>
      </c>
      <c r="T96" s="17" t="s">
        <v>777</v>
      </c>
      <c r="U96" s="173" t="s">
        <v>38</v>
      </c>
      <c r="V96" s="11" t="s">
        <v>147</v>
      </c>
      <c r="W96" s="20" t="s">
        <v>483</v>
      </c>
      <c r="X96" s="20" t="s">
        <v>484</v>
      </c>
      <c r="Y96" s="22"/>
      <c r="Z96" s="7"/>
      <c r="AA96" s="7"/>
      <c r="AB96" s="23"/>
      <c r="AC96" s="26"/>
    </row>
    <row r="97" spans="1:29" ht="15.75" customHeight="1">
      <c r="A97" s="10" t="s">
        <v>778</v>
      </c>
      <c r="B97" s="10" t="s">
        <v>27</v>
      </c>
      <c r="C97" s="11" t="s">
        <v>28</v>
      </c>
      <c r="D97" s="12"/>
      <c r="E97" s="13" t="s">
        <v>93</v>
      </c>
      <c r="F97" s="6" t="s">
        <v>779</v>
      </c>
      <c r="G97" s="6" t="str">
        <f ca="1">IFERROR(__xludf.DUMMYFUNCTION("CONCATENATE(B97,(VLOOKUP(C97,CATALOGOS!$F$2:$H$6,3,FALSE)),(VLOOKUP(V97,CATALOGOS!$J$2:$K$18,2,FALSE)),""-"",TO_TEXT(A97))"),"P05RM-0096")</f>
        <v>P05RM-0096</v>
      </c>
      <c r="H97" s="6" t="str">
        <f ca="1">IFERROR(__xludf.DUMMYFUNCTION("CONCATENATE($B97,(VLOOKUP($C97,CATALOGOS!$F$2:$H$6,3,FALSE)),(VLOOKUP($V97,CATALOGOS!$J$2:$K$18,2,FALSE)),""-"",TO_TEXT($A97))"),"P05RM-0096")</f>
        <v>P05RM-0096</v>
      </c>
      <c r="I97" s="6"/>
      <c r="J97" s="6" t="s">
        <v>780</v>
      </c>
      <c r="K97" s="6" t="s">
        <v>781</v>
      </c>
      <c r="L97" s="36"/>
      <c r="M97" s="6" t="s">
        <v>141</v>
      </c>
      <c r="N97" s="17"/>
      <c r="O97" s="17"/>
      <c r="P97" s="17" t="str">
        <f t="shared" si="4"/>
        <v>REPETIDO</v>
      </c>
      <c r="Q97" s="35" t="s">
        <v>35</v>
      </c>
      <c r="R97" s="6" t="s">
        <v>35</v>
      </c>
      <c r="S97" s="10" t="s">
        <v>36</v>
      </c>
      <c r="T97" s="32" t="s">
        <v>85</v>
      </c>
      <c r="U97" s="173" t="s">
        <v>38</v>
      </c>
      <c r="V97" s="11" t="s">
        <v>147</v>
      </c>
      <c r="W97" s="20" t="s">
        <v>483</v>
      </c>
      <c r="X97" s="20" t="s">
        <v>484</v>
      </c>
      <c r="Y97" s="22"/>
      <c r="Z97" s="7"/>
      <c r="AA97" s="7"/>
      <c r="AB97" s="23"/>
      <c r="AC97" s="26"/>
    </row>
    <row r="98" spans="1:29" ht="15.75" customHeight="1">
      <c r="A98" s="10" t="s">
        <v>782</v>
      </c>
      <c r="B98" s="10" t="s">
        <v>27</v>
      </c>
      <c r="C98" s="11" t="s">
        <v>28</v>
      </c>
      <c r="D98" s="12"/>
      <c r="E98" s="13" t="s">
        <v>501</v>
      </c>
      <c r="F98" s="6" t="s">
        <v>783</v>
      </c>
      <c r="G98" s="6" t="str">
        <f ca="1">IFERROR(__xludf.DUMMYFUNCTION("CONCATENATE(B98,(VLOOKUP(C98,CATALOGOS!$F$2:$H$6,3,FALSE)),(VLOOKUP(V98,CATALOGOS!$J$2:$K$18,2,FALSE)),""-"",TO_TEXT(A98))"),"P05RM-0097")</f>
        <v>P05RM-0097</v>
      </c>
      <c r="H98" s="6" t="str">
        <f ca="1">IFERROR(__xludf.DUMMYFUNCTION("CONCATENATE($B98,(VLOOKUP($C98,CATALOGOS!$F$2:$H$6,3,FALSE)),(VLOOKUP($V98,CATALOGOS!$J$2:$K$18,2,FALSE)),""-"",TO_TEXT($A98))"),"P05RM-0097")</f>
        <v>P05RM-0097</v>
      </c>
      <c r="I98" s="6"/>
      <c r="J98" s="6" t="s">
        <v>784</v>
      </c>
      <c r="K98" s="6" t="s">
        <v>785</v>
      </c>
      <c r="L98" s="6" t="s">
        <v>786</v>
      </c>
      <c r="M98" s="6" t="s">
        <v>787</v>
      </c>
      <c r="N98" s="17"/>
      <c r="O98" s="17"/>
      <c r="P98" s="17" t="str">
        <f t="shared" si="4"/>
        <v>OK</v>
      </c>
      <c r="Q98" s="17" t="s">
        <v>35</v>
      </c>
      <c r="R98" s="6" t="s">
        <v>35</v>
      </c>
      <c r="S98" s="17" t="s">
        <v>36</v>
      </c>
      <c r="T98" s="17" t="s">
        <v>788</v>
      </c>
      <c r="U98" s="173" t="s">
        <v>38</v>
      </c>
      <c r="V98" s="11" t="s">
        <v>147</v>
      </c>
      <c r="W98" s="20" t="s">
        <v>483</v>
      </c>
      <c r="X98" s="20" t="s">
        <v>484</v>
      </c>
      <c r="Y98" s="22"/>
      <c r="Z98" s="6"/>
      <c r="AA98" s="6" t="s">
        <v>749</v>
      </c>
      <c r="AB98" s="23"/>
      <c r="AC98" s="26"/>
    </row>
    <row r="99" spans="1:29" ht="15.75" customHeight="1">
      <c r="A99" s="10" t="s">
        <v>789</v>
      </c>
      <c r="B99" s="10" t="s">
        <v>27</v>
      </c>
      <c r="C99" s="11" t="s">
        <v>28</v>
      </c>
      <c r="D99" s="12"/>
      <c r="E99" s="13" t="s">
        <v>199</v>
      </c>
      <c r="F99" s="6" t="s">
        <v>199</v>
      </c>
      <c r="G99" s="6" t="str">
        <f ca="1">IFERROR(__xludf.DUMMYFUNCTION("CONCATENATE(B99,(VLOOKUP(C99,CATALOGOS!$F$2:$H$6,3,FALSE)),(VLOOKUP(V99,CATALOGOS!$J$2:$K$18,2,FALSE)),""-"",TO_TEXT(A99))"),"P05RM-0098")</f>
        <v>P05RM-0098</v>
      </c>
      <c r="H99" s="6" t="str">
        <f ca="1">IFERROR(__xludf.DUMMYFUNCTION("CONCATENATE($B99,(VLOOKUP($C99,CATALOGOS!$F$2:$H$6,3,FALSE)),(VLOOKUP($V99,CATALOGOS!$J$2:$K$18,2,FALSE)),""-"",TO_TEXT($A99))"),"P05RM-0098")</f>
        <v>P05RM-0098</v>
      </c>
      <c r="I99" s="6"/>
      <c r="J99" s="6" t="s">
        <v>790</v>
      </c>
      <c r="K99" s="6" t="s">
        <v>791</v>
      </c>
      <c r="L99" s="6" t="s">
        <v>792</v>
      </c>
      <c r="M99" s="6" t="s">
        <v>793</v>
      </c>
      <c r="N99" s="17"/>
      <c r="O99" s="17"/>
      <c r="P99" s="17" t="str">
        <f t="shared" si="4"/>
        <v>OK</v>
      </c>
      <c r="Q99" s="17" t="s">
        <v>205</v>
      </c>
      <c r="R99" s="6" t="s">
        <v>794</v>
      </c>
      <c r="S99" s="17" t="s">
        <v>795</v>
      </c>
      <c r="T99" s="17" t="s">
        <v>796</v>
      </c>
      <c r="U99" s="173" t="s">
        <v>38</v>
      </c>
      <c r="V99" s="11" t="s">
        <v>147</v>
      </c>
      <c r="W99" s="20" t="s">
        <v>483</v>
      </c>
      <c r="X99" s="20" t="s">
        <v>484</v>
      </c>
      <c r="Y99" s="22"/>
      <c r="Z99" s="7"/>
      <c r="AA99" s="7"/>
      <c r="AB99" s="23"/>
      <c r="AC99" s="26"/>
    </row>
    <row r="100" spans="1:29" ht="15.75" customHeight="1">
      <c r="A100" s="10" t="s">
        <v>797</v>
      </c>
      <c r="B100" s="10" t="s">
        <v>27</v>
      </c>
      <c r="C100" s="11" t="s">
        <v>28</v>
      </c>
      <c r="D100" s="12"/>
      <c r="E100" s="13" t="s">
        <v>199</v>
      </c>
      <c r="F100" s="6" t="s">
        <v>798</v>
      </c>
      <c r="G100" s="6" t="str">
        <f ca="1">IFERROR(__xludf.DUMMYFUNCTION("CONCATENATE(B100,(VLOOKUP(C100,CATALOGOS!$F$2:$H$6,3,FALSE)),(VLOOKUP(V100,CATALOGOS!$J$2:$K$18,2,FALSE)),""-"",TO_TEXT(A100))"),"P05RM-0099")</f>
        <v>P05RM-0099</v>
      </c>
      <c r="H100" s="6" t="str">
        <f ca="1">IFERROR(__xludf.DUMMYFUNCTION("CONCATENATE($B100,(VLOOKUP($C100,CATALOGOS!$F$2:$H$6,3,FALSE)),(VLOOKUP($V100,CATALOGOS!$J$2:$K$18,2,FALSE)),""-"",TO_TEXT($A100))"),"P05RM-0099")</f>
        <v>P05RM-0099</v>
      </c>
      <c r="I100" s="6"/>
      <c r="J100" s="6" t="s">
        <v>799</v>
      </c>
      <c r="K100" s="6" t="s">
        <v>800</v>
      </c>
      <c r="L100" s="6" t="s">
        <v>801</v>
      </c>
      <c r="M100" s="43" t="s">
        <v>141</v>
      </c>
      <c r="N100" s="17"/>
      <c r="O100" s="17"/>
      <c r="P100" s="17" t="str">
        <f t="shared" si="4"/>
        <v>REPETIDO</v>
      </c>
      <c r="Q100" s="17" t="s">
        <v>205</v>
      </c>
      <c r="R100" s="6" t="s">
        <v>802</v>
      </c>
      <c r="S100" s="17" t="s">
        <v>803</v>
      </c>
      <c r="T100" s="10" t="s">
        <v>804</v>
      </c>
      <c r="U100" s="178" t="s">
        <v>549</v>
      </c>
      <c r="V100" s="11" t="s">
        <v>147</v>
      </c>
      <c r="W100" s="20" t="s">
        <v>483</v>
      </c>
      <c r="X100" s="20" t="s">
        <v>484</v>
      </c>
      <c r="Y100" s="22"/>
      <c r="Z100" s="7"/>
      <c r="AA100" s="7"/>
      <c r="AB100" s="23"/>
      <c r="AC100" s="26"/>
    </row>
    <row r="101" spans="1:29" ht="15.75" customHeight="1">
      <c r="A101" s="10" t="s">
        <v>805</v>
      </c>
      <c r="B101" s="10" t="s">
        <v>27</v>
      </c>
      <c r="C101" s="11" t="s">
        <v>28</v>
      </c>
      <c r="D101" s="12"/>
      <c r="E101" s="13" t="s">
        <v>199</v>
      </c>
      <c r="F101" s="6" t="s">
        <v>199</v>
      </c>
      <c r="G101" s="6" t="str">
        <f ca="1">IFERROR(__xludf.DUMMYFUNCTION("CONCATENATE(B101,(VLOOKUP(C101,CATALOGOS!$F$2:$H$6,3,FALSE)),(VLOOKUP(V101,CATALOGOS!$J$2:$K$18,2,FALSE)),""-"",TO_TEXT(A101))"),"P05RM-0100")</f>
        <v>P05RM-0100</v>
      </c>
      <c r="H101" s="6" t="str">
        <f ca="1">IFERROR(__xludf.DUMMYFUNCTION("CONCATENATE($B101,(VLOOKUP($C101,CATALOGOS!$F$2:$H$6,3,FALSE)),(VLOOKUP($V101,CATALOGOS!$J$2:$K$18,2,FALSE)),""-"",TO_TEXT($A101))"),"P05RM-0100")</f>
        <v>P05RM-0100</v>
      </c>
      <c r="I101" s="6"/>
      <c r="J101" s="6" t="s">
        <v>806</v>
      </c>
      <c r="K101" s="6" t="s">
        <v>807</v>
      </c>
      <c r="L101" s="6" t="s">
        <v>808</v>
      </c>
      <c r="M101" s="43" t="s">
        <v>141</v>
      </c>
      <c r="N101" s="17"/>
      <c r="O101" s="17"/>
      <c r="P101" s="17" t="str">
        <f t="shared" si="4"/>
        <v>REPETIDO</v>
      </c>
      <c r="Q101" s="17" t="s">
        <v>205</v>
      </c>
      <c r="R101" s="6" t="s">
        <v>794</v>
      </c>
      <c r="S101" s="17" t="s">
        <v>809</v>
      </c>
      <c r="T101" s="17" t="s">
        <v>810</v>
      </c>
      <c r="U101" s="173" t="s">
        <v>38</v>
      </c>
      <c r="V101" s="11" t="s">
        <v>147</v>
      </c>
      <c r="W101" s="20" t="s">
        <v>483</v>
      </c>
      <c r="X101" s="20" t="s">
        <v>484</v>
      </c>
      <c r="Y101" s="22"/>
      <c r="Z101" s="7"/>
      <c r="AA101" s="7"/>
      <c r="AB101" s="23"/>
      <c r="AC101" s="26"/>
    </row>
    <row r="102" spans="1:29" ht="15.75" customHeight="1">
      <c r="A102" s="10" t="s">
        <v>811</v>
      </c>
      <c r="B102" s="10" t="s">
        <v>27</v>
      </c>
      <c r="C102" s="11" t="s">
        <v>28</v>
      </c>
      <c r="D102" s="12"/>
      <c r="E102" s="13" t="s">
        <v>199</v>
      </c>
      <c r="F102" s="6" t="s">
        <v>199</v>
      </c>
      <c r="G102" s="6" t="str">
        <f ca="1">IFERROR(__xludf.DUMMYFUNCTION("CONCATENATE(B102,(VLOOKUP(C102,CATALOGOS!$F$2:$H$6,3,FALSE)),(VLOOKUP(V102,CATALOGOS!$J$2:$K$18,2,FALSE)),""-"",TO_TEXT(A102))"),"P05RM-0101")</f>
        <v>P05RM-0101</v>
      </c>
      <c r="H102" s="6" t="str">
        <f ca="1">IFERROR(__xludf.DUMMYFUNCTION("CONCATENATE($B102,(VLOOKUP($C102,CATALOGOS!$F$2:$H$6,3,FALSE)),(VLOOKUP($V102,CATALOGOS!$J$2:$K$18,2,FALSE)),""-"",TO_TEXT($A102))"),"P05RM-0101")</f>
        <v>P05RM-0101</v>
      </c>
      <c r="I102" s="6"/>
      <c r="J102" s="6" t="s">
        <v>812</v>
      </c>
      <c r="K102" s="6" t="s">
        <v>813</v>
      </c>
      <c r="L102" s="36"/>
      <c r="M102" s="6" t="s">
        <v>814</v>
      </c>
      <c r="N102" s="17"/>
      <c r="O102" s="17"/>
      <c r="P102" s="17" t="str">
        <f t="shared" si="4"/>
        <v>OK</v>
      </c>
      <c r="Q102" s="17" t="s">
        <v>205</v>
      </c>
      <c r="R102" s="6" t="s">
        <v>794</v>
      </c>
      <c r="S102" s="6" t="s">
        <v>815</v>
      </c>
      <c r="T102" s="10" t="s">
        <v>816</v>
      </c>
      <c r="U102" s="178" t="s">
        <v>817</v>
      </c>
      <c r="V102" s="20" t="s">
        <v>147</v>
      </c>
      <c r="W102" s="20" t="s">
        <v>483</v>
      </c>
      <c r="X102" s="20" t="s">
        <v>484</v>
      </c>
      <c r="Y102" s="22"/>
      <c r="Z102" s="6"/>
      <c r="AA102" s="6" t="s">
        <v>749</v>
      </c>
      <c r="AB102" s="23"/>
      <c r="AC102" s="26"/>
    </row>
    <row r="103" spans="1:29" ht="15.75" customHeight="1">
      <c r="A103" s="10" t="s">
        <v>818</v>
      </c>
      <c r="B103" s="10" t="s">
        <v>27</v>
      </c>
      <c r="C103" s="11" t="s">
        <v>28</v>
      </c>
      <c r="D103" s="12"/>
      <c r="E103" s="13" t="s">
        <v>199</v>
      </c>
      <c r="F103" s="6" t="s">
        <v>199</v>
      </c>
      <c r="G103" s="6" t="str">
        <f ca="1">IFERROR(__xludf.DUMMYFUNCTION("CONCATENATE(B103,(VLOOKUP(C103,CATALOGOS!$F$2:$H$6,3,FALSE)),(VLOOKUP(V103,CATALOGOS!$J$2:$K$18,2,FALSE)),""-"",TO_TEXT(A103))"),"P05RM-0102")</f>
        <v>P05RM-0102</v>
      </c>
      <c r="H103" s="6" t="str">
        <f ca="1">IFERROR(__xludf.DUMMYFUNCTION("CONCATENATE($B103,(VLOOKUP($C103,CATALOGOS!$F$2:$H$6,3,FALSE)),(VLOOKUP($V103,CATALOGOS!$J$2:$K$18,2,FALSE)),""-"",TO_TEXT($A103))"),"P05RM-0102")</f>
        <v>P05RM-0102</v>
      </c>
      <c r="I103" s="6"/>
      <c r="J103" s="6" t="s">
        <v>819</v>
      </c>
      <c r="K103" s="6" t="s">
        <v>820</v>
      </c>
      <c r="L103" s="6" t="s">
        <v>821</v>
      </c>
      <c r="M103" s="43" t="s">
        <v>141</v>
      </c>
      <c r="N103" s="17"/>
      <c r="O103" s="17"/>
      <c r="P103" s="17" t="str">
        <f t="shared" si="4"/>
        <v>REPETIDO</v>
      </c>
      <c r="Q103" s="17" t="s">
        <v>205</v>
      </c>
      <c r="R103" s="6" t="s">
        <v>794</v>
      </c>
      <c r="S103" s="17" t="s">
        <v>822</v>
      </c>
      <c r="T103" s="17" t="s">
        <v>823</v>
      </c>
      <c r="U103" s="173" t="s">
        <v>38</v>
      </c>
      <c r="V103" s="11" t="s">
        <v>147</v>
      </c>
      <c r="W103" s="20" t="s">
        <v>483</v>
      </c>
      <c r="X103" s="20" t="s">
        <v>484</v>
      </c>
      <c r="Y103" s="22"/>
      <c r="Z103" s="7"/>
      <c r="AA103" s="7"/>
      <c r="AB103" s="23"/>
      <c r="AC103" s="26"/>
    </row>
    <row r="104" spans="1:29" ht="15.75" customHeight="1">
      <c r="A104" s="10" t="s">
        <v>824</v>
      </c>
      <c r="B104" s="10" t="s">
        <v>27</v>
      </c>
      <c r="C104" s="11" t="s">
        <v>28</v>
      </c>
      <c r="D104" s="12"/>
      <c r="E104" s="13" t="s">
        <v>353</v>
      </c>
      <c r="F104" s="6" t="s">
        <v>354</v>
      </c>
      <c r="G104" s="6" t="str">
        <f ca="1">IFERROR(__xludf.DUMMYFUNCTION("CONCATENATE(B104,(VLOOKUP(C104,CATALOGOS!$F$2:$H$6,3,FALSE)),(VLOOKUP(V104,CATALOGOS!$J$2:$K$18,2,FALSE)),""-"",TO_TEXT(A104))"),"P05RM-0103")</f>
        <v>P05RM-0103</v>
      </c>
      <c r="H104" s="6" t="str">
        <f ca="1">IFERROR(__xludf.DUMMYFUNCTION("CONCATENATE($B104,(VLOOKUP($C104,CATALOGOS!$F$2:$H$6,3,FALSE)),(VLOOKUP($V104,CATALOGOS!$J$2:$K$18,2,FALSE)),""-"",TO_TEXT($A104))"),"P05RM-0103")</f>
        <v>P05RM-0103</v>
      </c>
      <c r="I104" s="6"/>
      <c r="J104" s="6" t="s">
        <v>825</v>
      </c>
      <c r="K104" s="6" t="s">
        <v>826</v>
      </c>
      <c r="L104" s="36"/>
      <c r="M104" s="6" t="s">
        <v>141</v>
      </c>
      <c r="N104" s="17"/>
      <c r="O104" s="17"/>
      <c r="P104" s="17" t="str">
        <f t="shared" si="4"/>
        <v>REPETIDO</v>
      </c>
      <c r="Q104" s="17" t="s">
        <v>827</v>
      </c>
      <c r="R104" s="6" t="s">
        <v>828</v>
      </c>
      <c r="S104" s="6" t="s">
        <v>829</v>
      </c>
      <c r="T104" s="10" t="s">
        <v>85</v>
      </c>
      <c r="U104" s="173" t="s">
        <v>38</v>
      </c>
      <c r="V104" s="11" t="s">
        <v>147</v>
      </c>
      <c r="W104" s="20" t="s">
        <v>483</v>
      </c>
      <c r="X104" s="20" t="s">
        <v>484</v>
      </c>
      <c r="Y104" s="22"/>
      <c r="Z104" s="6"/>
      <c r="AA104" s="6" t="s">
        <v>749</v>
      </c>
      <c r="AB104" s="23"/>
      <c r="AC104" s="26"/>
    </row>
    <row r="105" spans="1:29" ht="15.75" customHeight="1">
      <c r="A105" s="10" t="s">
        <v>830</v>
      </c>
      <c r="B105" s="10" t="s">
        <v>27</v>
      </c>
      <c r="C105" s="11" t="s">
        <v>28</v>
      </c>
      <c r="D105" s="12"/>
      <c r="E105" s="13" t="s">
        <v>378</v>
      </c>
      <c r="F105" s="6" t="s">
        <v>831</v>
      </c>
      <c r="G105" s="6" t="str">
        <f ca="1">IFERROR(__xludf.DUMMYFUNCTION("CONCATENATE(B105,(VLOOKUP(C105,CATALOGOS!$F$2:$H$6,3,FALSE)),(VLOOKUP(V105,CATALOGOS!$J$2:$K$18,2,FALSE)),""-"",TO_TEXT(A105))"),"P05RM-0104")</f>
        <v>P05RM-0104</v>
      </c>
      <c r="H105" s="6" t="str">
        <f ca="1">IFERROR(__xludf.DUMMYFUNCTION("CONCATENATE($B105,(VLOOKUP($C105,CATALOGOS!$F$2:$H$6,3,FALSE)),(VLOOKUP($V105,CATALOGOS!$J$2:$K$18,2,FALSE)),""-"",TO_TEXT($A105))"),"P05RM-0104")</f>
        <v>P05RM-0104</v>
      </c>
      <c r="I105" s="6"/>
      <c r="J105" s="6" t="s">
        <v>832</v>
      </c>
      <c r="K105" s="6" t="s">
        <v>833</v>
      </c>
      <c r="L105" s="36"/>
      <c r="M105" s="6" t="s">
        <v>141</v>
      </c>
      <c r="N105" s="17"/>
      <c r="O105" s="17"/>
      <c r="P105" s="17" t="str">
        <f t="shared" si="4"/>
        <v>REPETIDO</v>
      </c>
      <c r="Q105" s="35" t="s">
        <v>35</v>
      </c>
      <c r="R105" s="6" t="s">
        <v>35</v>
      </c>
      <c r="S105" s="10" t="s">
        <v>36</v>
      </c>
      <c r="T105" s="32" t="s">
        <v>85</v>
      </c>
      <c r="U105" s="173" t="s">
        <v>38</v>
      </c>
      <c r="V105" s="11" t="s">
        <v>147</v>
      </c>
      <c r="W105" s="20" t="s">
        <v>483</v>
      </c>
      <c r="X105" s="20" t="s">
        <v>484</v>
      </c>
      <c r="Y105" s="22"/>
      <c r="Z105" s="7"/>
      <c r="AA105" s="7"/>
      <c r="AB105" s="23"/>
      <c r="AC105" s="26"/>
    </row>
    <row r="106" spans="1:29" ht="15.75" customHeight="1">
      <c r="A106" s="10" t="s">
        <v>834</v>
      </c>
      <c r="B106" s="10" t="s">
        <v>27</v>
      </c>
      <c r="C106" s="11" t="s">
        <v>28</v>
      </c>
      <c r="D106" s="38"/>
      <c r="E106" s="13" t="s">
        <v>835</v>
      </c>
      <c r="F106" s="43" t="s">
        <v>836</v>
      </c>
      <c r="G106" s="6" t="str">
        <f ca="1">IFERROR(__xludf.DUMMYFUNCTION("CONCATENATE(B106,(VLOOKUP(C106,CATALOGOS!$F$2:$H$6,3,FALSE)),(VLOOKUP(V106,CATALOGOS!$J$2:$K$18,2,FALSE)),""-"",TO_TEXT(A106))"),"P05RM-0105")</f>
        <v>P05RM-0105</v>
      </c>
      <c r="H106" s="6" t="str">
        <f ca="1">IFERROR(__xludf.DUMMYFUNCTION("CONCATENATE($B106,(VLOOKUP($C106,CATALOGOS!$F$2:$H$6,3,FALSE)),(VLOOKUP($V106,CATALOGOS!$J$2:$K$18,2,FALSE)),""-"",TO_TEXT($A106))"),"P05RM-0105")</f>
        <v>P05RM-0105</v>
      </c>
      <c r="I106" s="6"/>
      <c r="J106" s="6" t="s">
        <v>837</v>
      </c>
      <c r="K106" s="6" t="s">
        <v>838</v>
      </c>
      <c r="L106" s="6" t="s">
        <v>839</v>
      </c>
      <c r="M106" s="6" t="s">
        <v>141</v>
      </c>
      <c r="N106" s="17"/>
      <c r="O106" s="17"/>
      <c r="P106" s="17" t="str">
        <f t="shared" si="4"/>
        <v>REPETIDO</v>
      </c>
      <c r="Q106" s="17" t="s">
        <v>840</v>
      </c>
      <c r="R106" s="6" t="s">
        <v>35</v>
      </c>
      <c r="S106" s="6" t="s">
        <v>36</v>
      </c>
      <c r="T106" s="17" t="s">
        <v>841</v>
      </c>
      <c r="U106" s="173" t="s">
        <v>38</v>
      </c>
      <c r="V106" s="11" t="s">
        <v>147</v>
      </c>
      <c r="W106" s="20" t="s">
        <v>483</v>
      </c>
      <c r="X106" s="20" t="s">
        <v>484</v>
      </c>
      <c r="Y106" s="22"/>
      <c r="Z106" s="7"/>
      <c r="AA106" s="7"/>
      <c r="AB106" s="26"/>
      <c r="AC106" s="26"/>
    </row>
    <row r="107" spans="1:29" ht="15.75" customHeight="1">
      <c r="A107" s="10" t="s">
        <v>842</v>
      </c>
      <c r="B107" s="10" t="s">
        <v>27</v>
      </c>
      <c r="C107" s="11" t="s">
        <v>28</v>
      </c>
      <c r="D107" s="12"/>
      <c r="E107" s="13" t="s">
        <v>843</v>
      </c>
      <c r="F107" s="6" t="s">
        <v>843</v>
      </c>
      <c r="G107" s="6" t="str">
        <f ca="1">IFERROR(__xludf.DUMMYFUNCTION("CONCATENATE(B107,(VLOOKUP(C107,CATALOGOS!$F$2:$H$6,3,FALSE)),(VLOOKUP(V107,CATALOGOS!$J$2:$K$18,2,FALSE)),""-"",TO_TEXT(A107))"),"P05DA-0106")</f>
        <v>P05DA-0106</v>
      </c>
      <c r="H107" s="6" t="str">
        <f ca="1">IFERROR(__xludf.DUMMYFUNCTION("CONCATENATE($B107,(VLOOKUP($C107,CATALOGOS!$F$2:$H$6,3,FALSE)),(VLOOKUP($V107,CATALOGOS!$J$2:$K$18,2,FALSE)),""-"",TO_TEXT($A107))"),"P05DA-0106")</f>
        <v>P05DA-0106</v>
      </c>
      <c r="I107" s="6"/>
      <c r="J107" s="6" t="s">
        <v>844</v>
      </c>
      <c r="K107" s="6" t="s">
        <v>845</v>
      </c>
      <c r="L107" s="6" t="s">
        <v>846</v>
      </c>
      <c r="M107" s="43" t="s">
        <v>141</v>
      </c>
      <c r="N107" s="17"/>
      <c r="O107" s="17"/>
      <c r="P107" s="17" t="str">
        <f t="shared" si="4"/>
        <v>REPETIDO</v>
      </c>
      <c r="Q107" s="51" t="s">
        <v>35</v>
      </c>
      <c r="R107" s="6" t="s">
        <v>35</v>
      </c>
      <c r="S107" s="17" t="s">
        <v>36</v>
      </c>
      <c r="T107" s="17" t="s">
        <v>847</v>
      </c>
      <c r="U107" s="173" t="s">
        <v>38</v>
      </c>
      <c r="V107" s="11" t="s">
        <v>28</v>
      </c>
      <c r="W107" s="20" t="s">
        <v>848</v>
      </c>
      <c r="X107" s="20" t="s">
        <v>848</v>
      </c>
      <c r="Y107" s="20"/>
      <c r="Z107" s="7"/>
      <c r="AA107" s="7"/>
      <c r="AB107" s="23"/>
      <c r="AC107" s="26"/>
    </row>
    <row r="108" spans="1:29" ht="15.75" customHeight="1">
      <c r="A108" s="10" t="s">
        <v>849</v>
      </c>
      <c r="B108" s="10" t="s">
        <v>27</v>
      </c>
      <c r="C108" s="11" t="s">
        <v>28</v>
      </c>
      <c r="D108" s="12"/>
      <c r="E108" s="13" t="s">
        <v>850</v>
      </c>
      <c r="F108" s="43" t="s">
        <v>851</v>
      </c>
      <c r="G108" s="6" t="str">
        <f ca="1">IFERROR(__xludf.DUMMYFUNCTION("CONCATENATE(B108,(VLOOKUP(C108,CATALOGOS!$F$2:$H$6,3,FALSE)),(VLOOKUP(V108,CATALOGOS!$J$2:$K$18,2,FALSE)),""-"",TO_TEXT(A108))"),"P05DA-0107")</f>
        <v>P05DA-0107</v>
      </c>
      <c r="H108" s="6" t="str">
        <f ca="1">IFERROR(__xludf.DUMMYFUNCTION("CONCATENATE($B108,(VLOOKUP($C108,CATALOGOS!$F$2:$H$6,3,FALSE)),(VLOOKUP($V108,CATALOGOS!$J$2:$K$18,2,FALSE)),""-"",TO_TEXT($A108))"),"P05DA-0107")</f>
        <v>P05DA-0107</v>
      </c>
      <c r="I108" s="6"/>
      <c r="J108" s="6" t="s">
        <v>852</v>
      </c>
      <c r="K108" s="6" t="s">
        <v>853</v>
      </c>
      <c r="L108" s="6" t="s">
        <v>854</v>
      </c>
      <c r="M108" s="6" t="s">
        <v>855</v>
      </c>
      <c r="N108" s="17"/>
      <c r="O108" s="17"/>
      <c r="P108" s="17" t="str">
        <f t="shared" si="4"/>
        <v>OK</v>
      </c>
      <c r="Q108" s="17" t="s">
        <v>856</v>
      </c>
      <c r="R108" s="6" t="s">
        <v>857</v>
      </c>
      <c r="S108" s="6" t="s">
        <v>858</v>
      </c>
      <c r="T108" s="10" t="s">
        <v>859</v>
      </c>
      <c r="U108" s="173" t="s">
        <v>38</v>
      </c>
      <c r="V108" s="11" t="s">
        <v>28</v>
      </c>
      <c r="W108" s="20" t="s">
        <v>848</v>
      </c>
      <c r="X108" s="20" t="s">
        <v>848</v>
      </c>
      <c r="Y108" s="20"/>
      <c r="Z108" s="7"/>
      <c r="AA108" s="7"/>
      <c r="AB108" s="23"/>
      <c r="AC108" s="26"/>
    </row>
    <row r="109" spans="1:29" ht="15.75" customHeight="1">
      <c r="A109" s="10" t="s">
        <v>860</v>
      </c>
      <c r="B109" s="10" t="s">
        <v>27</v>
      </c>
      <c r="C109" s="11" t="s">
        <v>28</v>
      </c>
      <c r="D109" s="12"/>
      <c r="E109" s="13" t="s">
        <v>93</v>
      </c>
      <c r="F109" s="6" t="s">
        <v>861</v>
      </c>
      <c r="G109" s="6" t="str">
        <f ca="1">IFERROR(__xludf.DUMMYFUNCTION("CONCATENATE(B109,(VLOOKUP(C109,CATALOGOS!$F$2:$H$6,3,FALSE)),(VLOOKUP(V109,CATALOGOS!$J$2:$K$18,2,FALSE)),""-"",TO_TEXT(A109))"),"P05DA-0108")</f>
        <v>P05DA-0108</v>
      </c>
      <c r="H109" s="6" t="str">
        <f ca="1">IFERROR(__xludf.DUMMYFUNCTION("CONCATENATE($B109,(VLOOKUP($C109,CATALOGOS!$F$2:$H$6,3,FALSE)),(VLOOKUP($V109,CATALOGOS!$J$2:$K$18,2,FALSE)),""-"",TO_TEXT($A109))"),"P05DA-0108")</f>
        <v>P05DA-0108</v>
      </c>
      <c r="I109" s="6"/>
      <c r="J109" s="6" t="s">
        <v>862</v>
      </c>
      <c r="K109" s="6" t="s">
        <v>863</v>
      </c>
      <c r="L109" s="6" t="s">
        <v>864</v>
      </c>
      <c r="M109" s="6" t="s">
        <v>865</v>
      </c>
      <c r="N109" s="17"/>
      <c r="O109" s="17"/>
      <c r="P109" s="17" t="str">
        <f t="shared" si="4"/>
        <v>OK</v>
      </c>
      <c r="Q109" s="17" t="s">
        <v>35</v>
      </c>
      <c r="R109" s="6" t="s">
        <v>35</v>
      </c>
      <c r="S109" s="17" t="s">
        <v>36</v>
      </c>
      <c r="T109" s="17" t="s">
        <v>866</v>
      </c>
      <c r="U109" s="173" t="s">
        <v>38</v>
      </c>
      <c r="V109" s="11" t="s">
        <v>28</v>
      </c>
      <c r="W109" s="20" t="s">
        <v>848</v>
      </c>
      <c r="X109" s="20" t="s">
        <v>848</v>
      </c>
      <c r="Y109" s="20"/>
      <c r="Z109" s="7"/>
      <c r="AA109" s="7"/>
      <c r="AB109" s="23"/>
      <c r="AC109" s="26"/>
    </row>
    <row r="110" spans="1:29" ht="15.75" customHeight="1">
      <c r="A110" s="10" t="s">
        <v>867</v>
      </c>
      <c r="B110" s="10" t="s">
        <v>27</v>
      </c>
      <c r="C110" s="11" t="s">
        <v>28</v>
      </c>
      <c r="D110" s="12"/>
      <c r="E110" s="13" t="s">
        <v>93</v>
      </c>
      <c r="F110" s="6" t="s">
        <v>869</v>
      </c>
      <c r="G110" s="6" t="str">
        <f ca="1">IFERROR(__xludf.DUMMYFUNCTION("CONCATENATE(B110,(VLOOKUP(C110,CATALOGOS!$F$2:$H$6,3,FALSE)),(VLOOKUP(V110,CATALOGOS!$J$2:$K$18,2,FALSE)),""-"",TO_TEXT(A110))"),"P05CV-0109")</f>
        <v>P05CV-0109</v>
      </c>
      <c r="H110" s="6" t="str">
        <f ca="1">IFERROR(__xludf.DUMMYFUNCTION("CONCATENATE($B110,(VLOOKUP($C110,CATALOGOS!$F$2:$H$6,3,FALSE)),(VLOOKUP($V110,CATALOGOS!$J$2:$K$18,2,FALSE)),""-"",TO_TEXT($A110))"),"P05CV-0109")</f>
        <v>P05CV-0109</v>
      </c>
      <c r="I110" s="6"/>
      <c r="J110" s="6" t="s">
        <v>870</v>
      </c>
      <c r="K110" s="6" t="s">
        <v>871</v>
      </c>
      <c r="L110" s="6" t="s">
        <v>872</v>
      </c>
      <c r="M110" s="6" t="s">
        <v>873</v>
      </c>
      <c r="N110" s="17"/>
      <c r="O110" s="17"/>
      <c r="P110" s="17" t="str">
        <f t="shared" si="4"/>
        <v>OK</v>
      </c>
      <c r="Q110" s="17" t="s">
        <v>35</v>
      </c>
      <c r="R110" s="6" t="s">
        <v>35</v>
      </c>
      <c r="S110" s="17" t="s">
        <v>36</v>
      </c>
      <c r="T110" s="17" t="s">
        <v>874</v>
      </c>
      <c r="U110" s="173" t="s">
        <v>38</v>
      </c>
      <c r="V110" s="11" t="s">
        <v>875</v>
      </c>
      <c r="W110" s="20" t="s">
        <v>8434</v>
      </c>
      <c r="X110" s="20" t="s">
        <v>848</v>
      </c>
      <c r="Y110" s="20"/>
      <c r="Z110" s="7"/>
      <c r="AA110" s="7"/>
      <c r="AB110" s="23"/>
      <c r="AC110" s="26"/>
    </row>
    <row r="111" spans="1:29" ht="15.75" customHeight="1">
      <c r="A111" s="10" t="s">
        <v>877</v>
      </c>
      <c r="B111" s="10" t="s">
        <v>27</v>
      </c>
      <c r="C111" s="11" t="s">
        <v>28</v>
      </c>
      <c r="D111" s="12"/>
      <c r="E111" s="13" t="s">
        <v>378</v>
      </c>
      <c r="F111" s="6" t="s">
        <v>878</v>
      </c>
      <c r="G111" s="15" t="str">
        <f ca="1">IFERROR(__xludf.DUMMYFUNCTION("CONCATENATE(B111,(VLOOKUP(C111,CATALOGOS!$F$2:$H$6,3,FALSE)),(VLOOKUP(V111,CATALOGOS!$J$2:$K$18,2,FALSE)),""-"",TO_TEXT(A111))"),"P05DA-0110")</f>
        <v>P05DA-0110</v>
      </c>
      <c r="H111" s="6" t="str">
        <f ca="1">IFERROR(__xludf.DUMMYFUNCTION("CONCATENATE($B111,(VLOOKUP($C111,CATALOGOS!$F$2:$H$6,3,FALSE)),(VLOOKUP($V111,CATALOGOS!$J$2:$K$18,2,FALSE)),""-"",TO_TEXT($A111))"),"P05DA-0110")</f>
        <v>P05DA-0110</v>
      </c>
      <c r="I111" s="6"/>
      <c r="J111" s="6" t="s">
        <v>879</v>
      </c>
      <c r="K111" s="6" t="s">
        <v>880</v>
      </c>
      <c r="L111" s="6" t="s">
        <v>881</v>
      </c>
      <c r="M111" s="6" t="s">
        <v>882</v>
      </c>
      <c r="N111" s="17"/>
      <c r="O111" s="17"/>
      <c r="P111" s="17" t="str">
        <f t="shared" si="4"/>
        <v>OK</v>
      </c>
      <c r="Q111" s="17" t="s">
        <v>35</v>
      </c>
      <c r="R111" s="6" t="s">
        <v>35</v>
      </c>
      <c r="S111" s="17" t="s">
        <v>36</v>
      </c>
      <c r="T111" s="17" t="s">
        <v>883</v>
      </c>
      <c r="U111" s="173" t="s">
        <v>38</v>
      </c>
      <c r="V111" s="11" t="s">
        <v>28</v>
      </c>
      <c r="W111" s="20" t="s">
        <v>848</v>
      </c>
      <c r="X111" s="20" t="s">
        <v>848</v>
      </c>
      <c r="Y111" s="20"/>
      <c r="Z111" s="7"/>
      <c r="AA111" s="7"/>
      <c r="AB111" s="23"/>
      <c r="AC111" s="26"/>
    </row>
    <row r="112" spans="1:29" ht="15.75" customHeight="1">
      <c r="A112" s="10" t="s">
        <v>884</v>
      </c>
      <c r="B112" s="10" t="s">
        <v>27</v>
      </c>
      <c r="C112" s="11" t="s">
        <v>28</v>
      </c>
      <c r="D112" s="12"/>
      <c r="E112" s="13" t="s">
        <v>43</v>
      </c>
      <c r="F112" s="6" t="s">
        <v>885</v>
      </c>
      <c r="G112" s="6" t="str">
        <f ca="1">IFERROR(__xludf.DUMMYFUNCTION("CONCATENATE(B112,(VLOOKUP(C112,CATALOGOS!$F$2:$H$6,3,FALSE)),(VLOOKUP(V112,CATALOGOS!$J$2:$K$18,2,FALSE)),""-"",TO_TEXT(A112))"),"P05DA-0111")</f>
        <v>P05DA-0111</v>
      </c>
      <c r="H112" s="6" t="str">
        <f ca="1">IFERROR(__xludf.DUMMYFUNCTION("CONCATENATE($B112,(VLOOKUP($C112,CATALOGOS!$F$2:$H$6,3,FALSE)),(VLOOKUP($V112,CATALOGOS!$J$2:$K$18,2,FALSE)),""-"",TO_TEXT($A112))"),"P05DA-0111")</f>
        <v>P05DA-0111</v>
      </c>
      <c r="I112" s="6"/>
      <c r="J112" s="6" t="s">
        <v>886</v>
      </c>
      <c r="K112" s="6" t="s">
        <v>887</v>
      </c>
      <c r="L112" s="6" t="s">
        <v>888</v>
      </c>
      <c r="M112" s="43" t="s">
        <v>889</v>
      </c>
      <c r="N112" s="17"/>
      <c r="O112" s="17"/>
      <c r="P112" s="17" t="str">
        <f t="shared" si="4"/>
        <v>OK</v>
      </c>
      <c r="Q112" s="17" t="s">
        <v>890</v>
      </c>
      <c r="R112" s="6" t="s">
        <v>35</v>
      </c>
      <c r="S112" s="17" t="s">
        <v>36</v>
      </c>
      <c r="T112" s="17" t="s">
        <v>891</v>
      </c>
      <c r="U112" s="173" t="s">
        <v>38</v>
      </c>
      <c r="V112" s="11" t="s">
        <v>28</v>
      </c>
      <c r="W112" s="20" t="s">
        <v>848</v>
      </c>
      <c r="X112" s="20" t="s">
        <v>848</v>
      </c>
      <c r="Y112" s="20"/>
      <c r="Z112" s="7"/>
      <c r="AA112" s="7"/>
      <c r="AB112" s="23"/>
      <c r="AC112" s="26"/>
    </row>
    <row r="113" spans="1:29" ht="15.75" customHeight="1">
      <c r="A113" s="10" t="s">
        <v>892</v>
      </c>
      <c r="B113" s="10" t="s">
        <v>27</v>
      </c>
      <c r="C113" s="11" t="s">
        <v>28</v>
      </c>
      <c r="D113" s="12"/>
      <c r="E113" s="13" t="s">
        <v>43</v>
      </c>
      <c r="F113" s="6" t="s">
        <v>893</v>
      </c>
      <c r="G113" s="6" t="str">
        <f ca="1">IFERROR(__xludf.DUMMYFUNCTION("CONCATENATE(B113,(VLOOKUP(C113,CATALOGOS!$F$2:$H$6,3,FALSE)),(VLOOKUP(V113,CATALOGOS!$J$2:$K$18,2,FALSE)),""-"",TO_TEXT(A113))"),"P05DA-0112")</f>
        <v>P05DA-0112</v>
      </c>
      <c r="H113" s="6" t="str">
        <f ca="1">IFERROR(__xludf.DUMMYFUNCTION("CONCATENATE($B113,(VLOOKUP($C113,CATALOGOS!$F$2:$H$6,3,FALSE)),(VLOOKUP($V113,CATALOGOS!$J$2:$K$18,2,FALSE)),""-"",TO_TEXT($A113))"),"P05DA-0112")</f>
        <v>P05DA-0112</v>
      </c>
      <c r="I113" s="6"/>
      <c r="J113" s="6" t="s">
        <v>894</v>
      </c>
      <c r="K113" s="6" t="s">
        <v>895</v>
      </c>
      <c r="L113" s="6" t="s">
        <v>896</v>
      </c>
      <c r="M113" s="6" t="s">
        <v>897</v>
      </c>
      <c r="N113" s="17"/>
      <c r="O113" s="17"/>
      <c r="P113" s="17" t="str">
        <f t="shared" si="4"/>
        <v>OK</v>
      </c>
      <c r="Q113" s="17" t="s">
        <v>898</v>
      </c>
      <c r="R113" s="6" t="s">
        <v>899</v>
      </c>
      <c r="S113" s="6" t="s">
        <v>36</v>
      </c>
      <c r="T113" s="17" t="s">
        <v>85</v>
      </c>
      <c r="U113" s="173" t="s">
        <v>38</v>
      </c>
      <c r="V113" s="11" t="s">
        <v>28</v>
      </c>
      <c r="W113" s="20" t="s">
        <v>848</v>
      </c>
      <c r="X113" s="20" t="s">
        <v>848</v>
      </c>
      <c r="Y113" s="20"/>
      <c r="Z113" s="6"/>
      <c r="AA113" s="6"/>
      <c r="AB113" s="23"/>
      <c r="AC113" s="33"/>
    </row>
    <row r="114" spans="1:29" ht="15.75" customHeight="1">
      <c r="A114" s="10" t="s">
        <v>900</v>
      </c>
      <c r="B114" s="10" t="s">
        <v>27</v>
      </c>
      <c r="C114" s="11" t="s">
        <v>28</v>
      </c>
      <c r="D114" s="12"/>
      <c r="E114" s="13" t="s">
        <v>53</v>
      </c>
      <c r="F114" s="6" t="s">
        <v>901</v>
      </c>
      <c r="G114" s="6" t="str">
        <f ca="1">IFERROR(__xludf.DUMMYFUNCTION("CONCATENATE(B114,(VLOOKUP(C114,CATALOGOS!$F$2:$H$6,3,FALSE)),(VLOOKUP(V114,CATALOGOS!$J$2:$K$18,2,FALSE)),""-"",TO_TEXT(A114))"),"P05DA-0113")</f>
        <v>P05DA-0113</v>
      </c>
      <c r="H114" s="6" t="str">
        <f ca="1">IFERROR(__xludf.DUMMYFUNCTION("CONCATENATE($B114,(VLOOKUP($C114,CATALOGOS!$F$2:$H$6,3,FALSE)),(VLOOKUP($V114,CATALOGOS!$J$2:$K$18,2,FALSE)),""-"",TO_TEXT($A114))"),"P05DA-0113")</f>
        <v>P05DA-0113</v>
      </c>
      <c r="I114" s="6"/>
      <c r="J114" s="6" t="s">
        <v>902</v>
      </c>
      <c r="K114" s="6" t="s">
        <v>903</v>
      </c>
      <c r="L114" s="36"/>
      <c r="M114" s="6" t="s">
        <v>141</v>
      </c>
      <c r="N114" s="17"/>
      <c r="O114" s="17"/>
      <c r="P114" s="17" t="str">
        <f t="shared" si="4"/>
        <v>REPETIDO</v>
      </c>
      <c r="Q114" s="35" t="s">
        <v>35</v>
      </c>
      <c r="R114" s="6" t="s">
        <v>35</v>
      </c>
      <c r="S114" s="10" t="s">
        <v>36</v>
      </c>
      <c r="T114" s="32" t="s">
        <v>85</v>
      </c>
      <c r="U114" s="173" t="s">
        <v>38</v>
      </c>
      <c r="V114" s="11" t="s">
        <v>28</v>
      </c>
      <c r="W114" s="20" t="s">
        <v>848</v>
      </c>
      <c r="X114" s="20" t="s">
        <v>848</v>
      </c>
      <c r="Y114" s="20"/>
      <c r="Z114" s="6"/>
      <c r="AA114" s="6"/>
      <c r="AB114" s="23"/>
      <c r="AC114" s="33"/>
    </row>
    <row r="115" spans="1:29" ht="15.75" customHeight="1">
      <c r="A115" s="10" t="s">
        <v>904</v>
      </c>
      <c r="B115" s="10" t="s">
        <v>27</v>
      </c>
      <c r="C115" s="11" t="s">
        <v>28</v>
      </c>
      <c r="D115" s="12"/>
      <c r="E115" s="13" t="s">
        <v>151</v>
      </c>
      <c r="F115" s="6" t="s">
        <v>152</v>
      </c>
      <c r="G115" s="6" t="str">
        <f ca="1">IFERROR(__xludf.DUMMYFUNCTION("CONCATENATE(B115,(VLOOKUP(C115,CATALOGOS!$F$2:$H$6,3,FALSE)),(VLOOKUP(V115,CATALOGOS!$J$2:$K$18,2,FALSE)),""-"",TO_TEXT(A115))"),"P05DA-0114")</f>
        <v>P05DA-0114</v>
      </c>
      <c r="H115" s="6" t="str">
        <f ca="1">IFERROR(__xludf.DUMMYFUNCTION("CONCATENATE($B115,(VLOOKUP($C115,CATALOGOS!$F$2:$H$6,3,FALSE)),(VLOOKUP($V115,CATALOGOS!$J$2:$K$18,2,FALSE)),""-"",TO_TEXT($A115))"),"P05DA-0114")</f>
        <v>P05DA-0114</v>
      </c>
      <c r="I115" s="6"/>
      <c r="J115" s="6" t="s">
        <v>905</v>
      </c>
      <c r="K115" s="6" t="s">
        <v>906</v>
      </c>
      <c r="L115" s="6" t="s">
        <v>907</v>
      </c>
      <c r="M115" s="6" t="s">
        <v>908</v>
      </c>
      <c r="N115" s="17"/>
      <c r="O115" s="17"/>
      <c r="P115" s="17" t="str">
        <f t="shared" si="4"/>
        <v>OK</v>
      </c>
      <c r="Q115" s="17" t="s">
        <v>157</v>
      </c>
      <c r="R115" s="6" t="s">
        <v>158</v>
      </c>
      <c r="S115" s="17" t="s">
        <v>909</v>
      </c>
      <c r="T115" s="10" t="s">
        <v>910</v>
      </c>
      <c r="U115" s="173" t="s">
        <v>38</v>
      </c>
      <c r="V115" s="11" t="s">
        <v>28</v>
      </c>
      <c r="W115" s="20" t="s">
        <v>848</v>
      </c>
      <c r="X115" s="20" t="s">
        <v>848</v>
      </c>
      <c r="Y115" s="20"/>
      <c r="Z115" s="7"/>
      <c r="AA115" s="7"/>
      <c r="AB115" s="23"/>
      <c r="AC115" s="26"/>
    </row>
    <row r="116" spans="1:29" ht="15.75" customHeight="1">
      <c r="A116" s="10" t="s">
        <v>911</v>
      </c>
      <c r="B116" s="10" t="s">
        <v>27</v>
      </c>
      <c r="C116" s="11" t="s">
        <v>28</v>
      </c>
      <c r="D116" s="12"/>
      <c r="E116" s="13" t="s">
        <v>151</v>
      </c>
      <c r="F116" s="6" t="s">
        <v>714</v>
      </c>
      <c r="G116" s="6" t="str">
        <f ca="1">IFERROR(__xludf.DUMMYFUNCTION("CONCATENATE(B116,(VLOOKUP(C116,CATALOGOS!$F$2:$H$6,3,FALSE)),(VLOOKUP(V116,CATALOGOS!$J$2:$K$18,2,FALSE)),""-"",TO_TEXT(A116))"),"P05DA-0115")</f>
        <v>P05DA-0115</v>
      </c>
      <c r="H116" s="6" t="str">
        <f ca="1">IFERROR(__xludf.DUMMYFUNCTION("CONCATENATE($B116,(VLOOKUP($C116,CATALOGOS!$F$2:$H$6,3,FALSE)),(VLOOKUP($V116,CATALOGOS!$J$2:$K$18,2,FALSE)),""-"",TO_TEXT($A116))"),"P05DA-0115")</f>
        <v>P05DA-0115</v>
      </c>
      <c r="I116" s="6"/>
      <c r="J116" s="6" t="s">
        <v>912</v>
      </c>
      <c r="K116" s="6" t="s">
        <v>913</v>
      </c>
      <c r="L116" s="6" t="s">
        <v>914</v>
      </c>
      <c r="M116" s="6" t="s">
        <v>915</v>
      </c>
      <c r="N116" s="17"/>
      <c r="O116" s="17"/>
      <c r="P116" s="17" t="str">
        <f t="shared" si="4"/>
        <v>OK</v>
      </c>
      <c r="Q116" s="17" t="s">
        <v>205</v>
      </c>
      <c r="R116" s="6" t="s">
        <v>916</v>
      </c>
      <c r="S116" s="17" t="s">
        <v>917</v>
      </c>
      <c r="T116" s="17" t="s">
        <v>918</v>
      </c>
      <c r="U116" s="173" t="s">
        <v>38</v>
      </c>
      <c r="V116" s="11" t="s">
        <v>28</v>
      </c>
      <c r="W116" s="20" t="s">
        <v>848</v>
      </c>
      <c r="X116" s="20" t="s">
        <v>848</v>
      </c>
      <c r="Y116" s="20"/>
      <c r="Z116" s="7"/>
      <c r="AA116" s="7"/>
      <c r="AB116" s="23"/>
      <c r="AC116" s="26"/>
    </row>
    <row r="117" spans="1:29" ht="15.75" customHeight="1">
      <c r="A117" s="10" t="s">
        <v>919</v>
      </c>
      <c r="B117" s="10" t="s">
        <v>27</v>
      </c>
      <c r="C117" s="11" t="s">
        <v>28</v>
      </c>
      <c r="D117" s="12"/>
      <c r="E117" s="13" t="s">
        <v>116</v>
      </c>
      <c r="F117" s="6" t="s">
        <v>920</v>
      </c>
      <c r="G117" s="6" t="str">
        <f ca="1">IFERROR(__xludf.DUMMYFUNCTION("CONCATENATE(B117,(VLOOKUP(C117,CATALOGOS!$F$2:$H$6,3,FALSE)),(VLOOKUP(V117,CATALOGOS!$J$2:$K$18,2,FALSE)),""-"",TO_TEXT(A117))"),"P05DA-0116")</f>
        <v>P05DA-0116</v>
      </c>
      <c r="H117" s="6" t="str">
        <f ca="1">IFERROR(__xludf.DUMMYFUNCTION("CONCATENATE($B117,(VLOOKUP($C117,CATALOGOS!$F$2:$H$6,3,FALSE)),(VLOOKUP($V117,CATALOGOS!$J$2:$K$18,2,FALSE)),""-"",TO_TEXT($A117))"),"P05DA-0116")</f>
        <v>P05DA-0116</v>
      </c>
      <c r="I117" s="6"/>
      <c r="J117" s="6" t="s">
        <v>921</v>
      </c>
      <c r="K117" s="6" t="s">
        <v>922</v>
      </c>
      <c r="L117" s="6" t="s">
        <v>923</v>
      </c>
      <c r="M117" s="43" t="s">
        <v>924</v>
      </c>
      <c r="N117" s="17"/>
      <c r="O117" s="17"/>
      <c r="P117" s="17" t="str">
        <f t="shared" si="4"/>
        <v>OK</v>
      </c>
      <c r="Q117" s="17" t="s">
        <v>35</v>
      </c>
      <c r="R117" s="6" t="s">
        <v>35</v>
      </c>
      <c r="S117" s="17" t="s">
        <v>36</v>
      </c>
      <c r="T117" s="17" t="s">
        <v>925</v>
      </c>
      <c r="U117" s="173" t="s">
        <v>38</v>
      </c>
      <c r="V117" s="11" t="s">
        <v>28</v>
      </c>
      <c r="W117" s="20" t="s">
        <v>848</v>
      </c>
      <c r="X117" s="20" t="s">
        <v>848</v>
      </c>
      <c r="Y117" s="20"/>
      <c r="Z117" s="7"/>
      <c r="AA117" s="7"/>
      <c r="AB117" s="23"/>
      <c r="AC117" s="26"/>
    </row>
    <row r="118" spans="1:29" ht="15.75" customHeight="1">
      <c r="A118" s="10" t="s">
        <v>926</v>
      </c>
      <c r="B118" s="10" t="s">
        <v>27</v>
      </c>
      <c r="C118" s="11" t="s">
        <v>28</v>
      </c>
      <c r="D118" s="12"/>
      <c r="E118" s="13" t="s">
        <v>184</v>
      </c>
      <c r="F118" s="6" t="s">
        <v>927</v>
      </c>
      <c r="G118" s="6" t="str">
        <f ca="1">IFERROR(__xludf.DUMMYFUNCTION("CONCATENATE(B118,(VLOOKUP(C118,CATALOGOS!$F$2:$H$6,3,FALSE)),(VLOOKUP(V118,CATALOGOS!$J$2:$K$18,2,FALSE)),""-"",TO_TEXT(A118))"),"P05DA-0117")</f>
        <v>P05DA-0117</v>
      </c>
      <c r="H118" s="6" t="str">
        <f ca="1">IFERROR(__xludf.DUMMYFUNCTION("CONCATENATE($B118,(VLOOKUP($C118,CATALOGOS!$F$2:$H$6,3,FALSE)),(VLOOKUP($V118,CATALOGOS!$J$2:$K$18,2,FALSE)),""-"",TO_TEXT($A118))"),"P05DA-0117")</f>
        <v>P05DA-0117</v>
      </c>
      <c r="I118" s="6"/>
      <c r="J118" s="6" t="s">
        <v>928</v>
      </c>
      <c r="K118" s="6" t="s">
        <v>929</v>
      </c>
      <c r="L118" s="6" t="s">
        <v>930</v>
      </c>
      <c r="M118" s="6" t="s">
        <v>931</v>
      </c>
      <c r="N118" s="17"/>
      <c r="O118" s="17"/>
      <c r="P118" s="17" t="str">
        <f t="shared" si="4"/>
        <v>OK</v>
      </c>
      <c r="Q118" s="17" t="s">
        <v>35</v>
      </c>
      <c r="R118" s="6" t="s">
        <v>35</v>
      </c>
      <c r="S118" s="17" t="s">
        <v>36</v>
      </c>
      <c r="T118" s="17" t="s">
        <v>932</v>
      </c>
      <c r="U118" s="173" t="s">
        <v>38</v>
      </c>
      <c r="V118" s="11" t="s">
        <v>28</v>
      </c>
      <c r="W118" s="20" t="s">
        <v>848</v>
      </c>
      <c r="X118" s="20" t="s">
        <v>848</v>
      </c>
      <c r="Y118" s="20"/>
      <c r="Z118" s="7"/>
      <c r="AA118" s="7"/>
      <c r="AB118" s="23"/>
      <c r="AC118" s="26"/>
    </row>
    <row r="119" spans="1:29" ht="15.75" customHeight="1">
      <c r="A119" s="10" t="s">
        <v>933</v>
      </c>
      <c r="B119" s="10" t="s">
        <v>27</v>
      </c>
      <c r="C119" s="11" t="s">
        <v>28</v>
      </c>
      <c r="D119" s="12"/>
      <c r="E119" s="13" t="s">
        <v>353</v>
      </c>
      <c r="F119" s="6" t="s">
        <v>638</v>
      </c>
      <c r="G119" s="6" t="str">
        <f ca="1">IFERROR(__xludf.DUMMYFUNCTION("CONCATENATE(B119,(VLOOKUP(C119,CATALOGOS!$F$2:$H$6,3,FALSE)),(VLOOKUP(V119,CATALOGOS!$J$2:$K$18,2,FALSE)),""-"",TO_TEXT(A119))"),"P05DA-0118")</f>
        <v>P05DA-0118</v>
      </c>
      <c r="H119" s="6" t="str">
        <f ca="1">IFERROR(__xludf.DUMMYFUNCTION("CONCATENATE($B119,(VLOOKUP($C119,CATALOGOS!$F$2:$H$6,3,FALSE)),(VLOOKUP($V119,CATALOGOS!$J$2:$K$18,2,FALSE)),""-"",TO_TEXT($A119))"),"P05DA-0118")</f>
        <v>P05DA-0118</v>
      </c>
      <c r="I119" s="6"/>
      <c r="J119" s="6" t="s">
        <v>934</v>
      </c>
      <c r="K119" s="6" t="s">
        <v>935</v>
      </c>
      <c r="L119" s="6" t="s">
        <v>936</v>
      </c>
      <c r="M119" s="6" t="s">
        <v>937</v>
      </c>
      <c r="N119" s="17"/>
      <c r="O119" s="17"/>
      <c r="P119" s="17" t="str">
        <f t="shared" si="4"/>
        <v>OK</v>
      </c>
      <c r="Q119" s="17" t="s">
        <v>359</v>
      </c>
      <c r="R119" s="6" t="s">
        <v>938</v>
      </c>
      <c r="S119" s="17" t="s">
        <v>939</v>
      </c>
      <c r="T119" s="10" t="s">
        <v>940</v>
      </c>
      <c r="U119" s="173" t="s">
        <v>38</v>
      </c>
      <c r="V119" s="11" t="s">
        <v>28</v>
      </c>
      <c r="W119" s="20" t="s">
        <v>848</v>
      </c>
      <c r="X119" s="20" t="s">
        <v>848</v>
      </c>
      <c r="Y119" s="20"/>
      <c r="Z119" s="7"/>
      <c r="AA119" s="7"/>
      <c r="AB119" s="23"/>
      <c r="AC119" s="26"/>
    </row>
    <row r="120" spans="1:29" ht="15.75" customHeight="1">
      <c r="A120" s="10" t="s">
        <v>941</v>
      </c>
      <c r="B120" s="10" t="s">
        <v>27</v>
      </c>
      <c r="C120" s="11" t="s">
        <v>28</v>
      </c>
      <c r="D120" s="12"/>
      <c r="E120" s="13" t="s">
        <v>199</v>
      </c>
      <c r="F120" s="6" t="s">
        <v>199</v>
      </c>
      <c r="G120" s="6" t="str">
        <f ca="1">IFERROR(__xludf.DUMMYFUNCTION("CONCATENATE(B120,(VLOOKUP(C120,CATALOGOS!$F$2:$H$6,3,FALSE)),(VLOOKUP(V120,CATALOGOS!$J$2:$K$18,2,FALSE)),""-"",TO_TEXT(A120))"),"P05DA-0119")</f>
        <v>P05DA-0119</v>
      </c>
      <c r="H120" s="6" t="str">
        <f ca="1">IFERROR(__xludf.DUMMYFUNCTION("CONCATENATE($B120,(VLOOKUP($C120,CATALOGOS!$F$2:$H$6,3,FALSE)),(VLOOKUP($V120,CATALOGOS!$J$2:$K$18,2,FALSE)),""-"",TO_TEXT($A120))"),"P05DA-0119")</f>
        <v>P05DA-0119</v>
      </c>
      <c r="I120" s="6"/>
      <c r="J120" s="6" t="s">
        <v>942</v>
      </c>
      <c r="K120" s="6" t="s">
        <v>943</v>
      </c>
      <c r="L120" s="6" t="s">
        <v>944</v>
      </c>
      <c r="M120" s="6" t="s">
        <v>945</v>
      </c>
      <c r="N120" s="17"/>
      <c r="O120" s="17"/>
      <c r="P120" s="17" t="str">
        <f t="shared" si="4"/>
        <v>OK</v>
      </c>
      <c r="Q120" s="17" t="s">
        <v>157</v>
      </c>
      <c r="R120" s="6">
        <v>2378</v>
      </c>
      <c r="S120" s="17" t="s">
        <v>946</v>
      </c>
      <c r="T120" s="17" t="s">
        <v>947</v>
      </c>
      <c r="U120" s="173" t="s">
        <v>38</v>
      </c>
      <c r="V120" s="11" t="s">
        <v>28</v>
      </c>
      <c r="W120" s="20" t="s">
        <v>848</v>
      </c>
      <c r="X120" s="20" t="s">
        <v>848</v>
      </c>
      <c r="Y120" s="20"/>
      <c r="Z120" s="7"/>
      <c r="AA120" s="7"/>
      <c r="AB120" s="23"/>
      <c r="AC120" s="26"/>
    </row>
    <row r="121" spans="1:29" ht="15.75" customHeight="1">
      <c r="A121" s="10" t="s">
        <v>948</v>
      </c>
      <c r="B121" s="10" t="s">
        <v>27</v>
      </c>
      <c r="C121" s="11" t="s">
        <v>28</v>
      </c>
      <c r="D121" s="12"/>
      <c r="E121" s="13" t="s">
        <v>210</v>
      </c>
      <c r="F121" s="6" t="s">
        <v>949</v>
      </c>
      <c r="G121" s="6" t="str">
        <f ca="1">IFERROR(__xludf.DUMMYFUNCTION("CONCATENATE(B121,(VLOOKUP(C121,CATALOGOS!$F$2:$H$6,3,FALSE)),(VLOOKUP(V121,CATALOGOS!$J$2:$K$18,2,FALSE)),""-"",TO_TEXT(A121))"),"P05DA-0120")</f>
        <v>P05DA-0120</v>
      </c>
      <c r="H121" s="6" t="str">
        <f ca="1">IFERROR(__xludf.DUMMYFUNCTION("CONCATENATE($B121,(VLOOKUP($C121,CATALOGOS!$F$2:$H$6,3,FALSE)),(VLOOKUP($V121,CATALOGOS!$J$2:$K$18,2,FALSE)),""-"",TO_TEXT($A121))"),"P05DA-0120")</f>
        <v>P05DA-0120</v>
      </c>
      <c r="I121" s="6"/>
      <c r="J121" s="6" t="s">
        <v>950</v>
      </c>
      <c r="K121" s="6" t="s">
        <v>951</v>
      </c>
      <c r="L121" s="6" t="s">
        <v>952</v>
      </c>
      <c r="M121" s="6" t="s">
        <v>953</v>
      </c>
      <c r="N121" s="17"/>
      <c r="O121" s="17"/>
      <c r="P121" s="17" t="str">
        <f t="shared" si="4"/>
        <v>OK</v>
      </c>
      <c r="Q121" s="17" t="s">
        <v>216</v>
      </c>
      <c r="R121" s="6" t="s">
        <v>737</v>
      </c>
      <c r="S121" s="17" t="s">
        <v>954</v>
      </c>
      <c r="T121" s="17" t="s">
        <v>85</v>
      </c>
      <c r="U121" s="173" t="s">
        <v>38</v>
      </c>
      <c r="V121" s="11" t="s">
        <v>28</v>
      </c>
      <c r="W121" s="20" t="s">
        <v>848</v>
      </c>
      <c r="X121" s="20" t="s">
        <v>848</v>
      </c>
      <c r="Y121" s="20"/>
      <c r="Z121" s="7"/>
      <c r="AA121" s="7"/>
      <c r="AB121" s="23"/>
      <c r="AC121" s="26"/>
    </row>
    <row r="122" spans="1:29" ht="15.75" customHeight="1">
      <c r="A122" s="10" t="s">
        <v>955</v>
      </c>
      <c r="B122" s="10" t="s">
        <v>27</v>
      </c>
      <c r="C122" s="11" t="s">
        <v>28</v>
      </c>
      <c r="D122" s="38"/>
      <c r="E122" s="13" t="s">
        <v>378</v>
      </c>
      <c r="F122" s="6" t="s">
        <v>956</v>
      </c>
      <c r="G122" s="6" t="str">
        <f ca="1">IFERROR(__xludf.DUMMYFUNCTION("CONCATENATE(B122,(VLOOKUP(C122,CATALOGOS!$F$2:$H$6,3,FALSE)),(VLOOKUP(V122,CATALOGOS!$J$2:$K$18,2,FALSE)),""-"",TO_TEXT(A122))"),"P05DA-0121")</f>
        <v>P05DA-0121</v>
      </c>
      <c r="H122" s="6" t="str">
        <f ca="1">IFERROR(__xludf.DUMMYFUNCTION("CONCATENATE($B122,(VLOOKUP($C122,CATALOGOS!$F$2:$H$6,3,FALSE)),(VLOOKUP($V122,CATALOGOS!$J$2:$K$18,2,FALSE)),""-"",TO_TEXT($A122))"),"P05DA-0121")</f>
        <v>P05DA-0121</v>
      </c>
      <c r="I122" s="6"/>
      <c r="J122" s="6" t="s">
        <v>957</v>
      </c>
      <c r="K122" s="6" t="s">
        <v>958</v>
      </c>
      <c r="L122" s="6" t="s">
        <v>959</v>
      </c>
      <c r="M122" s="6" t="s">
        <v>960</v>
      </c>
      <c r="N122" s="17"/>
      <c r="O122" s="17"/>
      <c r="P122" s="17" t="str">
        <f t="shared" si="4"/>
        <v>OK</v>
      </c>
      <c r="Q122" s="17" t="s">
        <v>35</v>
      </c>
      <c r="R122" s="6" t="s">
        <v>35</v>
      </c>
      <c r="S122" s="46" t="s">
        <v>36</v>
      </c>
      <c r="T122" s="17" t="s">
        <v>961</v>
      </c>
      <c r="U122" s="173" t="s">
        <v>38</v>
      </c>
      <c r="V122" s="11" t="s">
        <v>28</v>
      </c>
      <c r="W122" s="20" t="s">
        <v>848</v>
      </c>
      <c r="X122" s="20" t="s">
        <v>848</v>
      </c>
      <c r="Y122" s="20"/>
      <c r="Z122" s="7"/>
      <c r="AA122" s="7"/>
      <c r="AB122" s="26"/>
      <c r="AC122" s="26"/>
    </row>
    <row r="123" spans="1:29" ht="15.75" customHeight="1">
      <c r="A123" s="10" t="s">
        <v>962</v>
      </c>
      <c r="B123" s="10" t="s">
        <v>27</v>
      </c>
      <c r="C123" s="11" t="s">
        <v>28</v>
      </c>
      <c r="D123" s="12"/>
      <c r="E123" s="13" t="s">
        <v>151</v>
      </c>
      <c r="F123" s="6" t="s">
        <v>963</v>
      </c>
      <c r="G123" s="6" t="str">
        <f ca="1">IFERROR(__xludf.DUMMYFUNCTION("CONCATENATE(B123,(VLOOKUP(C123,CATALOGOS!$F$2:$H$6,3,FALSE)),(VLOOKUP(V123,CATALOGOS!$J$2:$K$18,2,FALSE)),""-"",TO_TEXT(A123))"),"P05RM-0122")</f>
        <v>P05RM-0122</v>
      </c>
      <c r="H123" s="6" t="str">
        <f ca="1">IFERROR(__xludf.DUMMYFUNCTION("CONCATENATE($B123,(VLOOKUP($C123,CATALOGOS!$F$2:$H$6,3,FALSE)),(VLOOKUP($V123,CATALOGOS!$J$2:$K$18,2,FALSE)),""-"",TO_TEXT($A123))"),"P05RM-0122")</f>
        <v>P05RM-0122</v>
      </c>
      <c r="I123" s="6"/>
      <c r="J123" s="6" t="s">
        <v>964</v>
      </c>
      <c r="K123" s="6" t="s">
        <v>965</v>
      </c>
      <c r="L123" s="6" t="s">
        <v>966</v>
      </c>
      <c r="M123" s="43" t="s">
        <v>967</v>
      </c>
      <c r="N123" s="17"/>
      <c r="O123" s="17"/>
      <c r="P123" s="17" t="str">
        <f t="shared" si="4"/>
        <v>OK</v>
      </c>
      <c r="Q123" s="17" t="s">
        <v>703</v>
      </c>
      <c r="R123" s="6" t="s">
        <v>968</v>
      </c>
      <c r="S123" s="17" t="s">
        <v>969</v>
      </c>
      <c r="T123" s="10" t="s">
        <v>970</v>
      </c>
      <c r="U123" s="173" t="s">
        <v>971</v>
      </c>
      <c r="V123" s="11" t="s">
        <v>147</v>
      </c>
      <c r="W123" s="22" t="s">
        <v>686</v>
      </c>
      <c r="X123" s="22" t="s">
        <v>686</v>
      </c>
      <c r="Y123" s="22"/>
      <c r="Z123" s="7"/>
      <c r="AA123" s="7"/>
      <c r="AB123" s="23"/>
      <c r="AC123" s="26"/>
    </row>
    <row r="124" spans="1:29" ht="15.75" customHeight="1">
      <c r="A124" s="10" t="s">
        <v>972</v>
      </c>
      <c r="B124" s="10" t="s">
        <v>27</v>
      </c>
      <c r="C124" s="11" t="s">
        <v>28</v>
      </c>
      <c r="D124" s="12"/>
      <c r="E124" s="13" t="s">
        <v>248</v>
      </c>
      <c r="F124" s="6" t="s">
        <v>973</v>
      </c>
      <c r="G124" s="6" t="str">
        <f ca="1">IFERROR(__xludf.DUMMYFUNCTION("CONCATENATE(B124,(VLOOKUP(C124,CATALOGOS!$F$2:$H$6,3,FALSE)),(VLOOKUP(V124,CATALOGOS!$J$2:$K$18,2,FALSE)),""-"",TO_TEXT(A124))"),"P05RM-0123")</f>
        <v>P05RM-0123</v>
      </c>
      <c r="H124" s="6" t="str">
        <f ca="1">IFERROR(__xludf.DUMMYFUNCTION("CONCATENATE($B124,(VLOOKUP($C124,CATALOGOS!$F$2:$H$6,3,FALSE)),(VLOOKUP($V124,CATALOGOS!$J$2:$K$18,2,FALSE)),""-"",TO_TEXT($A124))"),"P05RM-0123")</f>
        <v>P05RM-0123</v>
      </c>
      <c r="I124" s="6"/>
      <c r="J124" s="6" t="s">
        <v>974</v>
      </c>
      <c r="K124" s="6" t="s">
        <v>975</v>
      </c>
      <c r="L124" s="6" t="s">
        <v>976</v>
      </c>
      <c r="M124" s="6" t="s">
        <v>977</v>
      </c>
      <c r="N124" s="17"/>
      <c r="O124" s="17"/>
      <c r="P124" s="17" t="str">
        <f t="shared" si="4"/>
        <v>OK</v>
      </c>
      <c r="Q124" s="17" t="s">
        <v>978</v>
      </c>
      <c r="R124" s="6" t="s">
        <v>979</v>
      </c>
      <c r="S124" s="17" t="s">
        <v>980</v>
      </c>
      <c r="T124" s="17" t="s">
        <v>981</v>
      </c>
      <c r="U124" s="173" t="s">
        <v>38</v>
      </c>
      <c r="V124" s="11" t="s">
        <v>147</v>
      </c>
      <c r="W124" s="22" t="s">
        <v>686</v>
      </c>
      <c r="X124" s="22" t="s">
        <v>686</v>
      </c>
      <c r="Y124" s="22"/>
      <c r="Z124" s="7"/>
      <c r="AA124" s="7"/>
      <c r="AB124" s="23"/>
      <c r="AC124" s="26"/>
    </row>
    <row r="125" spans="1:29" ht="15.75" customHeight="1">
      <c r="A125" s="10" t="s">
        <v>982</v>
      </c>
      <c r="B125" s="10" t="s">
        <v>27</v>
      </c>
      <c r="C125" s="11" t="s">
        <v>28</v>
      </c>
      <c r="D125" s="12"/>
      <c r="E125" s="13" t="s">
        <v>93</v>
      </c>
      <c r="F125" s="6" t="s">
        <v>869</v>
      </c>
      <c r="G125" s="6" t="str">
        <f ca="1">IFERROR(__xludf.DUMMYFUNCTION("CONCATENATE(B125,(VLOOKUP(C125,CATALOGOS!$F$2:$H$6,3,FALSE)),(VLOOKUP(V125,CATALOGOS!$J$2:$K$18,2,FALSE)),""-"",TO_TEXT(A125))"),"P05RM-0124")</f>
        <v>P05RM-0124</v>
      </c>
      <c r="H125" s="6" t="str">
        <f ca="1">IFERROR(__xludf.DUMMYFUNCTION("CONCATENATE($B125,(VLOOKUP($C125,CATALOGOS!$F$2:$H$6,3,FALSE)),(VLOOKUP($V125,CATALOGOS!$J$2:$K$18,2,FALSE)),""-"",TO_TEXT($A125))"),"P05RM-0124")</f>
        <v>P05RM-0124</v>
      </c>
      <c r="I125" s="6"/>
      <c r="J125" s="6" t="s">
        <v>983</v>
      </c>
      <c r="K125" s="6" t="s">
        <v>984</v>
      </c>
      <c r="L125" s="6" t="s">
        <v>985</v>
      </c>
      <c r="M125" s="43" t="s">
        <v>986</v>
      </c>
      <c r="N125" s="17"/>
      <c r="O125" s="17"/>
      <c r="P125" s="17" t="str">
        <f t="shared" si="4"/>
        <v>OK</v>
      </c>
      <c r="Q125" s="17" t="s">
        <v>35</v>
      </c>
      <c r="R125" s="6" t="s">
        <v>35</v>
      </c>
      <c r="S125" s="17" t="s">
        <v>36</v>
      </c>
      <c r="T125" s="17" t="s">
        <v>987</v>
      </c>
      <c r="U125" s="173" t="s">
        <v>38</v>
      </c>
      <c r="V125" s="11" t="s">
        <v>147</v>
      </c>
      <c r="W125" s="20" t="s">
        <v>686</v>
      </c>
      <c r="X125" s="20" t="s">
        <v>687</v>
      </c>
      <c r="Y125" s="20"/>
      <c r="Z125" s="7"/>
      <c r="AA125" s="7"/>
      <c r="AB125" s="23"/>
      <c r="AC125" s="26"/>
    </row>
    <row r="126" spans="1:29" ht="15.75" customHeight="1">
      <c r="A126" s="10" t="s">
        <v>988</v>
      </c>
      <c r="B126" s="10" t="s">
        <v>27</v>
      </c>
      <c r="C126" s="11" t="s">
        <v>28</v>
      </c>
      <c r="D126" s="12"/>
      <c r="E126" s="13" t="s">
        <v>199</v>
      </c>
      <c r="F126" s="6" t="s">
        <v>199</v>
      </c>
      <c r="G126" s="6" t="str">
        <f ca="1">IFERROR(__xludf.DUMMYFUNCTION("CONCATENATE(B126,(VLOOKUP(C126,CATALOGOS!$F$2:$H$6,3,FALSE)),(VLOOKUP(V126,CATALOGOS!$J$2:$K$18,2,FALSE)),""-"",TO_TEXT(A126))"),"P05RM-0125")</f>
        <v>P05RM-0125</v>
      </c>
      <c r="H126" s="6" t="str">
        <f ca="1">IFERROR(__xludf.DUMMYFUNCTION("CONCATENATE($B126,(VLOOKUP($C126,CATALOGOS!$F$2:$H$6,3,FALSE)),(VLOOKUP($V126,CATALOGOS!$J$2:$K$18,2,FALSE)),""-"",TO_TEXT($A126))"),"P05RM-0125")</f>
        <v>P05RM-0125</v>
      </c>
      <c r="I126" s="6"/>
      <c r="J126" s="6" t="s">
        <v>989</v>
      </c>
      <c r="K126" s="6" t="s">
        <v>990</v>
      </c>
      <c r="L126" s="6" t="s">
        <v>991</v>
      </c>
      <c r="M126" s="6" t="s">
        <v>992</v>
      </c>
      <c r="N126" s="17"/>
      <c r="O126" s="17"/>
      <c r="P126" s="17" t="str">
        <f t="shared" si="4"/>
        <v>OK</v>
      </c>
      <c r="Q126" s="17" t="s">
        <v>205</v>
      </c>
      <c r="R126" s="6" t="s">
        <v>993</v>
      </c>
      <c r="S126" s="17" t="s">
        <v>994</v>
      </c>
      <c r="T126" s="17" t="s">
        <v>995</v>
      </c>
      <c r="U126" s="173" t="s">
        <v>38</v>
      </c>
      <c r="V126" s="11" t="s">
        <v>147</v>
      </c>
      <c r="W126" s="22" t="s">
        <v>686</v>
      </c>
      <c r="X126" s="22" t="s">
        <v>686</v>
      </c>
      <c r="Y126" s="22"/>
      <c r="Z126" s="7"/>
      <c r="AA126" s="7"/>
      <c r="AB126" s="23"/>
      <c r="AC126" s="26"/>
    </row>
    <row r="127" spans="1:29" ht="15.75" customHeight="1">
      <c r="A127" s="10" t="s">
        <v>996</v>
      </c>
      <c r="B127" s="10" t="s">
        <v>27</v>
      </c>
      <c r="C127" s="52" t="s">
        <v>868</v>
      </c>
      <c r="D127" s="12"/>
      <c r="E127" s="13" t="s">
        <v>151</v>
      </c>
      <c r="F127" s="6" t="s">
        <v>963</v>
      </c>
      <c r="G127" s="15" t="str">
        <f ca="1">IFERROR(__xludf.DUMMYFUNCTION("CONCATENATE(B127,(VLOOKUP(C127,CATALOGOS!$F$2:$H$6,3,FALSE)),(VLOOKUP(V127,CATALOGOS!$J$2:$K$18,2,FALSE)),""-"",TO_TEXT(A127))"),"P03CV-0126")</f>
        <v>P03CV-0126</v>
      </c>
      <c r="H127" s="6" t="str">
        <f ca="1">IFERROR(__xludf.DUMMYFUNCTION("CONCATENATE($B127,(VLOOKUP($C127,CATALOGOS!$F$2:$H$6,3,FALSE)),(VLOOKUP($V127,CATALOGOS!$J$2:$K$18,2,FALSE)),""-"",TO_TEXT($A127))"),"P03CV-0126")</f>
        <v>P03CV-0126</v>
      </c>
      <c r="I127" s="6"/>
      <c r="J127" s="6" t="s">
        <v>997</v>
      </c>
      <c r="K127" s="6" t="s">
        <v>998</v>
      </c>
      <c r="L127" s="6" t="s">
        <v>999</v>
      </c>
      <c r="M127" s="6" t="s">
        <v>1000</v>
      </c>
      <c r="N127" s="17"/>
      <c r="O127" s="17"/>
      <c r="P127" s="17" t="str">
        <f t="shared" si="4"/>
        <v>OK</v>
      </c>
      <c r="Q127" s="17" t="s">
        <v>297</v>
      </c>
      <c r="R127" s="6" t="s">
        <v>1001</v>
      </c>
      <c r="S127" s="17" t="s">
        <v>1002</v>
      </c>
      <c r="T127" s="17" t="s">
        <v>1003</v>
      </c>
      <c r="U127" s="179" t="s">
        <v>517</v>
      </c>
      <c r="V127" s="11" t="s">
        <v>875</v>
      </c>
      <c r="W127" s="20" t="s">
        <v>1004</v>
      </c>
      <c r="X127" s="20" t="s">
        <v>1004</v>
      </c>
      <c r="Y127" s="20"/>
      <c r="Z127" s="7"/>
      <c r="AA127" s="7"/>
      <c r="AB127" s="23"/>
      <c r="AC127" s="26"/>
    </row>
    <row r="128" spans="1:29" ht="15.75" customHeight="1">
      <c r="A128" s="10" t="s">
        <v>1005</v>
      </c>
      <c r="B128" s="10" t="s">
        <v>27</v>
      </c>
      <c r="C128" s="11" t="s">
        <v>28</v>
      </c>
      <c r="D128" s="38"/>
      <c r="E128" s="13" t="s">
        <v>378</v>
      </c>
      <c r="F128" s="6" t="s">
        <v>1006</v>
      </c>
      <c r="G128" s="6" t="str">
        <f ca="1">IFERROR(__xludf.DUMMYFUNCTION("CONCATENATE(B128,(VLOOKUP(C128,CATALOGOS!$F$2:$H$6,3,FALSE)),(VLOOKUP(V128,CATALOGOS!$J$2:$K$18,2,FALSE)),""-"",TO_TEXT(A128))"),"P05DA-0127")</f>
        <v>P05DA-0127</v>
      </c>
      <c r="H128" s="6" t="str">
        <f ca="1">IFERROR(__xludf.DUMMYFUNCTION("CONCATENATE($B128,(VLOOKUP($C128,CATALOGOS!$F$2:$H$6,3,FALSE)),(VLOOKUP($V128,CATALOGOS!$J$2:$K$18,2,FALSE)),""-"",TO_TEXT($A128))"),"P05DA-0127")</f>
        <v>P05DA-0127</v>
      </c>
      <c r="I128" s="6"/>
      <c r="J128" s="6" t="s">
        <v>1007</v>
      </c>
      <c r="K128" s="6" t="s">
        <v>1008</v>
      </c>
      <c r="L128" s="6" t="s">
        <v>1009</v>
      </c>
      <c r="M128" s="6" t="s">
        <v>1010</v>
      </c>
      <c r="N128" s="17"/>
      <c r="O128" s="17"/>
      <c r="P128" s="17" t="str">
        <f t="shared" si="4"/>
        <v>OK</v>
      </c>
      <c r="Q128" s="17" t="s">
        <v>35</v>
      </c>
      <c r="R128" s="6" t="s">
        <v>35</v>
      </c>
      <c r="S128" s="46" t="s">
        <v>36</v>
      </c>
      <c r="T128" s="17" t="s">
        <v>1011</v>
      </c>
      <c r="U128" s="173" t="s">
        <v>38</v>
      </c>
      <c r="V128" s="11" t="s">
        <v>28</v>
      </c>
      <c r="W128" s="20" t="s">
        <v>39</v>
      </c>
      <c r="X128" s="20" t="s">
        <v>39</v>
      </c>
      <c r="Y128" s="20"/>
      <c r="Z128" s="7"/>
      <c r="AA128" s="7"/>
      <c r="AB128" s="26"/>
      <c r="AC128" s="26"/>
    </row>
    <row r="129" spans="1:29" ht="15.75" customHeight="1">
      <c r="A129" s="10" t="s">
        <v>1012</v>
      </c>
      <c r="B129" s="10" t="s">
        <v>27</v>
      </c>
      <c r="C129" s="11" t="s">
        <v>28</v>
      </c>
      <c r="D129" s="12"/>
      <c r="E129" s="13" t="s">
        <v>116</v>
      </c>
      <c r="F129" s="6" t="s">
        <v>1013</v>
      </c>
      <c r="G129" s="6" t="str">
        <f ca="1">IFERROR(__xludf.DUMMYFUNCTION("CONCATENATE(B129,(VLOOKUP(C129,CATALOGOS!$F$2:$H$6,3,FALSE)),(VLOOKUP(V129,CATALOGOS!$J$2:$K$18,2,FALSE)),""-"",TO_TEXT(A129))"),"P05RM-0128")</f>
        <v>P05RM-0128</v>
      </c>
      <c r="H129" s="6" t="str">
        <f ca="1">IFERROR(__xludf.DUMMYFUNCTION("CONCATENATE($B129,(VLOOKUP($C129,CATALOGOS!$F$2:$H$6,3,FALSE)),(VLOOKUP($V129,CATALOGOS!$J$2:$K$18,2,FALSE)),""-"",TO_TEXT($A129))"),"P05RM-0128")</f>
        <v>P05RM-0128</v>
      </c>
      <c r="I129" s="6"/>
      <c r="J129" s="6" t="s">
        <v>1014</v>
      </c>
      <c r="K129" s="6" t="s">
        <v>1015</v>
      </c>
      <c r="L129" s="36"/>
      <c r="M129" s="6" t="s">
        <v>1016</v>
      </c>
      <c r="N129" s="17"/>
      <c r="O129" s="17"/>
      <c r="P129" s="17" t="str">
        <f t="shared" si="4"/>
        <v>OK</v>
      </c>
      <c r="Q129" s="35" t="s">
        <v>35</v>
      </c>
      <c r="R129" s="6" t="s">
        <v>35</v>
      </c>
      <c r="S129" s="10" t="s">
        <v>36</v>
      </c>
      <c r="T129" s="32" t="s">
        <v>85</v>
      </c>
      <c r="U129" s="173" t="s">
        <v>38</v>
      </c>
      <c r="V129" s="11" t="s">
        <v>147</v>
      </c>
      <c r="W129" s="22" t="s">
        <v>260</v>
      </c>
      <c r="X129" s="22" t="s">
        <v>260</v>
      </c>
      <c r="Y129" s="22"/>
      <c r="Z129" s="7"/>
      <c r="AA129" s="7"/>
      <c r="AB129" s="23"/>
      <c r="AC129" s="26"/>
    </row>
    <row r="130" spans="1:29" ht="15.75" customHeight="1">
      <c r="A130" s="10" t="s">
        <v>1017</v>
      </c>
      <c r="B130" s="10" t="s">
        <v>27</v>
      </c>
      <c r="C130" s="11" t="s">
        <v>28</v>
      </c>
      <c r="D130" s="12"/>
      <c r="E130" s="13" t="s">
        <v>184</v>
      </c>
      <c r="F130" s="6" t="s">
        <v>1018</v>
      </c>
      <c r="G130" s="6" t="str">
        <f ca="1">IFERROR(__xludf.DUMMYFUNCTION("CONCATENATE(B130,(VLOOKUP(C130,CATALOGOS!$F$2:$H$6,3,FALSE)),(VLOOKUP(V130,CATALOGOS!$J$2:$K$18,2,FALSE)),""-"",TO_TEXT(A130))"),"P05RM-0129")</f>
        <v>P05RM-0129</v>
      </c>
      <c r="H130" s="6" t="str">
        <f ca="1">IFERROR(__xludf.DUMMYFUNCTION("CONCATENATE($B130,(VLOOKUP($C130,CATALOGOS!$F$2:$H$6,3,FALSE)),(VLOOKUP($V130,CATALOGOS!$J$2:$K$18,2,FALSE)),""-"",TO_TEXT($A130))"),"P05RM-0129")</f>
        <v>P05RM-0129</v>
      </c>
      <c r="I130" s="6"/>
      <c r="J130" s="6" t="s">
        <v>1019</v>
      </c>
      <c r="K130" s="6" t="s">
        <v>1020</v>
      </c>
      <c r="L130" s="6" t="s">
        <v>1021</v>
      </c>
      <c r="M130" s="6" t="s">
        <v>1022</v>
      </c>
      <c r="N130" s="17"/>
      <c r="O130" s="17"/>
      <c r="P130" s="17" t="str">
        <f t="shared" si="4"/>
        <v>OK</v>
      </c>
      <c r="Q130" s="17" t="s">
        <v>35</v>
      </c>
      <c r="R130" s="6" t="s">
        <v>35</v>
      </c>
      <c r="S130" s="17" t="s">
        <v>36</v>
      </c>
      <c r="T130" s="17" t="s">
        <v>1023</v>
      </c>
      <c r="U130" s="173" t="s">
        <v>38</v>
      </c>
      <c r="V130" s="11" t="s">
        <v>147</v>
      </c>
      <c r="W130" s="20" t="s">
        <v>686</v>
      </c>
      <c r="X130" s="20" t="s">
        <v>687</v>
      </c>
      <c r="Y130" s="20"/>
      <c r="Z130" s="7"/>
      <c r="AA130" s="7"/>
      <c r="AB130" s="23"/>
      <c r="AC130" s="26"/>
    </row>
    <row r="131" spans="1:29" ht="15.75" customHeight="1">
      <c r="A131" s="10" t="s">
        <v>1024</v>
      </c>
      <c r="B131" s="10" t="s">
        <v>27</v>
      </c>
      <c r="C131" s="11" t="s">
        <v>28</v>
      </c>
      <c r="D131" s="12"/>
      <c r="E131" s="13" t="s">
        <v>199</v>
      </c>
      <c r="F131" s="6" t="s">
        <v>199</v>
      </c>
      <c r="G131" s="6" t="str">
        <f ca="1">IFERROR(__xludf.DUMMYFUNCTION("CONCATENATE(B131,(VLOOKUP(C131,CATALOGOS!$F$2:$H$6,3,FALSE)),(VLOOKUP(V131,CATALOGOS!$J$2:$K$18,2,FALSE)),""-"",TO_TEXT(A131))"),"P05RM-0130")</f>
        <v>P05RM-0130</v>
      </c>
      <c r="H131" s="6" t="str">
        <f ca="1">IFERROR(__xludf.DUMMYFUNCTION("CONCATENATE($B131,(VLOOKUP($C131,CATALOGOS!$F$2:$H$6,3,FALSE)),(VLOOKUP($V131,CATALOGOS!$J$2:$K$18,2,FALSE)),""-"",TO_TEXT($A131))"),"P05RM-0130")</f>
        <v>P05RM-0130</v>
      </c>
      <c r="I131" s="6"/>
      <c r="J131" s="6" t="s">
        <v>1025</v>
      </c>
      <c r="K131" s="6" t="s">
        <v>1026</v>
      </c>
      <c r="L131" s="6" t="s">
        <v>1027</v>
      </c>
      <c r="M131" s="6" t="s">
        <v>1028</v>
      </c>
      <c r="N131" s="17"/>
      <c r="O131" s="17"/>
      <c r="P131" s="17" t="str">
        <f t="shared" si="4"/>
        <v>OK</v>
      </c>
      <c r="Q131" s="17" t="s">
        <v>297</v>
      </c>
      <c r="R131" s="6" t="s">
        <v>1029</v>
      </c>
      <c r="S131" s="17" t="s">
        <v>1030</v>
      </c>
      <c r="T131" s="17" t="s">
        <v>1031</v>
      </c>
      <c r="U131" s="173" t="s">
        <v>38</v>
      </c>
      <c r="V131" s="11" t="s">
        <v>147</v>
      </c>
      <c r="W131" s="22" t="s">
        <v>260</v>
      </c>
      <c r="X131" s="22" t="s">
        <v>260</v>
      </c>
      <c r="Y131" s="22"/>
      <c r="Z131" s="7"/>
      <c r="AA131" s="7"/>
      <c r="AB131" s="23"/>
      <c r="AC131" s="26"/>
    </row>
    <row r="132" spans="1:29" ht="15.75" customHeight="1">
      <c r="A132" s="10" t="s">
        <v>1032</v>
      </c>
      <c r="B132" s="10" t="s">
        <v>27</v>
      </c>
      <c r="C132" s="11" t="s">
        <v>28</v>
      </c>
      <c r="D132" s="12"/>
      <c r="E132" s="13" t="s">
        <v>151</v>
      </c>
      <c r="F132" s="6" t="s">
        <v>963</v>
      </c>
      <c r="G132" s="6" t="str">
        <f ca="1">IFERROR(__xludf.DUMMYFUNCTION("CONCATENATE(B132,(VLOOKUP(C132,CATALOGOS!$F$2:$H$6,3,FALSE)),(VLOOKUP(V132,CATALOGOS!$J$2:$K$18,2,FALSE)),""-"",TO_TEXT(A132))"),"P05RM-0131")</f>
        <v>P05RM-0131</v>
      </c>
      <c r="H132" s="6" t="str">
        <f ca="1">IFERROR(__xludf.DUMMYFUNCTION("CONCATENATE($B132,(VLOOKUP($C132,CATALOGOS!$F$2:$H$6,3,FALSE)),(VLOOKUP($V132,CATALOGOS!$J$2:$K$18,2,FALSE)),""-"",TO_TEXT($A132))"),"P05RM-0131")</f>
        <v>P05RM-0131</v>
      </c>
      <c r="I132" s="6"/>
      <c r="J132" s="6" t="s">
        <v>1033</v>
      </c>
      <c r="K132" s="6" t="s">
        <v>1034</v>
      </c>
      <c r="L132" s="6" t="s">
        <v>1035</v>
      </c>
      <c r="M132" s="6" t="s">
        <v>1036</v>
      </c>
      <c r="N132" s="17"/>
      <c r="O132" s="17"/>
      <c r="P132" s="17" t="str">
        <f t="shared" si="4"/>
        <v>OK</v>
      </c>
      <c r="Q132" s="17" t="s">
        <v>297</v>
      </c>
      <c r="R132" s="6" t="s">
        <v>1037</v>
      </c>
      <c r="S132" s="17" t="s">
        <v>1038</v>
      </c>
      <c r="T132" s="17" t="s">
        <v>1039</v>
      </c>
      <c r="U132" s="173" t="s">
        <v>38</v>
      </c>
      <c r="V132" s="11" t="s">
        <v>147</v>
      </c>
      <c r="W132" s="22" t="s">
        <v>260</v>
      </c>
      <c r="X132" s="22" t="s">
        <v>260</v>
      </c>
      <c r="Y132" s="22"/>
      <c r="Z132" s="7"/>
      <c r="AA132" s="7"/>
      <c r="AB132" s="23"/>
      <c r="AC132" s="26"/>
    </row>
    <row r="133" spans="1:29" ht="15.75" customHeight="1">
      <c r="A133" s="10" t="s">
        <v>1040</v>
      </c>
      <c r="B133" s="10" t="s">
        <v>27</v>
      </c>
      <c r="C133" s="52" t="s">
        <v>868</v>
      </c>
      <c r="D133" s="38"/>
      <c r="E133" s="13" t="s">
        <v>353</v>
      </c>
      <c r="F133" s="43" t="s">
        <v>354</v>
      </c>
      <c r="G133" s="6" t="str">
        <f ca="1">IFERROR(__xludf.DUMMYFUNCTION("CONCATENATE(B133,(VLOOKUP(C133,CATALOGOS!$F$2:$H$6,3,FALSE)),(VLOOKUP(V133,CATALOGOS!$J$2:$K$18,2,FALSE)),""-"",TO_TEXT(A133))"),"P03CV-0132")</f>
        <v>P03CV-0132</v>
      </c>
      <c r="H133" s="6" t="str">
        <f ca="1">IFERROR(__xludf.DUMMYFUNCTION("CONCATENATE($B133,(VLOOKUP($C133,CATALOGOS!$F$2:$H$6,3,FALSE)),(VLOOKUP($V133,CATALOGOS!$J$2:$K$18,2,FALSE)),""-"",TO_TEXT($A133))"),"P03CV-0132")</f>
        <v>P03CV-0132</v>
      </c>
      <c r="I133" s="6"/>
      <c r="J133" s="6" t="s">
        <v>1041</v>
      </c>
      <c r="K133" s="6" t="s">
        <v>1042</v>
      </c>
      <c r="L133" s="6" t="s">
        <v>1043</v>
      </c>
      <c r="M133" s="6" t="s">
        <v>1044</v>
      </c>
      <c r="N133" s="17"/>
      <c r="O133" s="17"/>
      <c r="P133" s="17" t="str">
        <f t="shared" si="4"/>
        <v>OK</v>
      </c>
      <c r="Q133" s="17" t="s">
        <v>359</v>
      </c>
      <c r="R133" s="6">
        <v>1350</v>
      </c>
      <c r="S133" s="46" t="s">
        <v>1045</v>
      </c>
      <c r="T133" s="17" t="s">
        <v>1046</v>
      </c>
      <c r="U133" s="173" t="s">
        <v>38</v>
      </c>
      <c r="V133" s="11" t="s">
        <v>875</v>
      </c>
      <c r="W133" s="20" t="s">
        <v>876</v>
      </c>
      <c r="X133" s="20" t="s">
        <v>876</v>
      </c>
      <c r="Y133" s="20"/>
      <c r="Z133" s="7"/>
      <c r="AA133" s="7"/>
      <c r="AB133" s="26"/>
      <c r="AC133" s="26"/>
    </row>
    <row r="134" spans="1:29" ht="15.75" customHeight="1">
      <c r="A134" s="10" t="s">
        <v>1047</v>
      </c>
      <c r="B134" s="10" t="s">
        <v>27</v>
      </c>
      <c r="C134" s="11" t="s">
        <v>28</v>
      </c>
      <c r="D134" s="12"/>
      <c r="E134" s="13" t="s">
        <v>501</v>
      </c>
      <c r="F134" s="6" t="s">
        <v>1048</v>
      </c>
      <c r="G134" s="6" t="str">
        <f ca="1">IFERROR(__xludf.DUMMYFUNCTION("CONCATENATE(B134,(VLOOKUP(C134,CATALOGOS!$F$2:$H$6,3,FALSE)),(VLOOKUP(V134,CATALOGOS!$J$2:$K$18,2,FALSE)),""-"",TO_TEXT(A134))"),"P05DA-0133")</f>
        <v>P05DA-0133</v>
      </c>
      <c r="H134" s="6" t="str">
        <f ca="1">IFERROR(__xludf.DUMMYFUNCTION("CONCATENATE($B134,(VLOOKUP($C134,CATALOGOS!$F$2:$H$6,3,FALSE)),(VLOOKUP($V134,CATALOGOS!$J$2:$K$18,2,FALSE)),""-"",TO_TEXT($A134))"),"P05DA-0133")</f>
        <v>P05DA-0133</v>
      </c>
      <c r="I134" s="6"/>
      <c r="J134" s="6" t="s">
        <v>1049</v>
      </c>
      <c r="K134" s="6" t="s">
        <v>1050</v>
      </c>
      <c r="L134" s="6" t="s">
        <v>1051</v>
      </c>
      <c r="M134" s="6" t="s">
        <v>1052</v>
      </c>
      <c r="N134" s="17"/>
      <c r="O134" s="17"/>
      <c r="P134" s="17" t="str">
        <f t="shared" si="4"/>
        <v>OK</v>
      </c>
      <c r="Q134" s="17" t="s">
        <v>35</v>
      </c>
      <c r="R134" s="6" t="s">
        <v>35</v>
      </c>
      <c r="S134" s="17" t="s">
        <v>36</v>
      </c>
      <c r="T134" s="17" t="s">
        <v>1053</v>
      </c>
      <c r="U134" s="173" t="s">
        <v>38</v>
      </c>
      <c r="V134" s="11" t="s">
        <v>28</v>
      </c>
      <c r="W134" s="20" t="s">
        <v>848</v>
      </c>
      <c r="X134" s="20" t="s">
        <v>848</v>
      </c>
      <c r="Y134" s="20"/>
      <c r="Z134" s="7"/>
      <c r="AA134" s="7"/>
      <c r="AB134" s="23"/>
      <c r="AC134" s="26"/>
    </row>
    <row r="135" spans="1:29" ht="15.75" customHeight="1">
      <c r="A135" s="10" t="s">
        <v>1054</v>
      </c>
      <c r="B135" s="10" t="s">
        <v>27</v>
      </c>
      <c r="C135" s="11" t="s">
        <v>28</v>
      </c>
      <c r="D135" s="12"/>
      <c r="E135" s="13" t="s">
        <v>501</v>
      </c>
      <c r="F135" s="6" t="s">
        <v>1048</v>
      </c>
      <c r="G135" s="6" t="str">
        <f ca="1">IFERROR(__xludf.DUMMYFUNCTION("CONCATENATE(B135,(VLOOKUP(C135,CATALOGOS!$F$2:$H$6,3,FALSE)),(VLOOKUP(V135,CATALOGOS!$J$2:$K$18,2,FALSE)),""-"",TO_TEXT(A135))"),"P05DA-0134")</f>
        <v>P05DA-0134</v>
      </c>
      <c r="H135" s="6" t="str">
        <f ca="1">IFERROR(__xludf.DUMMYFUNCTION("CONCATENATE($B135,(VLOOKUP($C135,CATALOGOS!$F$2:$H$6,3,FALSE)),(VLOOKUP($V135,CATALOGOS!$J$2:$K$18,2,FALSE)),""-"",TO_TEXT($A135))"),"P05DA-0134")</f>
        <v>P05DA-0134</v>
      </c>
      <c r="I135" s="6"/>
      <c r="J135" s="6" t="s">
        <v>1055</v>
      </c>
      <c r="K135" s="6" t="s">
        <v>1056</v>
      </c>
      <c r="L135" s="6" t="s">
        <v>1057</v>
      </c>
      <c r="M135" s="6" t="s">
        <v>1058</v>
      </c>
      <c r="N135" s="17"/>
      <c r="O135" s="17"/>
      <c r="P135" s="17" t="str">
        <f t="shared" si="4"/>
        <v>OK</v>
      </c>
      <c r="Q135" s="17" t="s">
        <v>35</v>
      </c>
      <c r="R135" s="6" t="s">
        <v>35</v>
      </c>
      <c r="S135" s="17" t="s">
        <v>36</v>
      </c>
      <c r="T135" s="17" t="s">
        <v>1059</v>
      </c>
      <c r="U135" s="173" t="s">
        <v>38</v>
      </c>
      <c r="V135" s="11" t="s">
        <v>28</v>
      </c>
      <c r="W135" s="20" t="s">
        <v>848</v>
      </c>
      <c r="X135" s="20" t="s">
        <v>848</v>
      </c>
      <c r="Y135" s="20"/>
      <c r="Z135" s="7"/>
      <c r="AA135" s="7"/>
      <c r="AB135" s="23"/>
      <c r="AC135" s="26"/>
    </row>
    <row r="136" spans="1:29" ht="15.75" customHeight="1">
      <c r="A136" s="10" t="s">
        <v>1060</v>
      </c>
      <c r="B136" s="10" t="s">
        <v>27</v>
      </c>
      <c r="C136" s="11" t="s">
        <v>28</v>
      </c>
      <c r="D136" s="12"/>
      <c r="E136" s="13" t="s">
        <v>501</v>
      </c>
      <c r="F136" s="6" t="s">
        <v>1061</v>
      </c>
      <c r="G136" s="6" t="str">
        <f ca="1">IFERROR(__xludf.DUMMYFUNCTION("CONCATENATE(B136,(VLOOKUP(C136,CATALOGOS!$F$2:$H$6,3,FALSE)),(VLOOKUP(V136,CATALOGOS!$J$2:$K$18,2,FALSE)),""-"",TO_TEXT(A136))"),"P05DA-0135")</f>
        <v>P05DA-0135</v>
      </c>
      <c r="H136" s="6" t="str">
        <f ca="1">IFERROR(__xludf.DUMMYFUNCTION("CONCATENATE($B136,(VLOOKUP($C136,CATALOGOS!$F$2:$H$6,3,FALSE)),(VLOOKUP($V136,CATALOGOS!$J$2:$K$18,2,FALSE)),""-"",TO_TEXT($A136))"),"P05DA-0135")</f>
        <v>P05DA-0135</v>
      </c>
      <c r="I136" s="6"/>
      <c r="J136" s="6" t="s">
        <v>1062</v>
      </c>
      <c r="K136" s="6" t="s">
        <v>1063</v>
      </c>
      <c r="L136" s="6" t="s">
        <v>1064</v>
      </c>
      <c r="M136" s="6" t="s">
        <v>141</v>
      </c>
      <c r="N136" s="17"/>
      <c r="O136" s="17"/>
      <c r="P136" s="17" t="str">
        <f t="shared" si="4"/>
        <v>REPETIDO</v>
      </c>
      <c r="Q136" s="17" t="s">
        <v>35</v>
      </c>
      <c r="R136" s="6" t="s">
        <v>35</v>
      </c>
      <c r="S136" s="17" t="s">
        <v>36</v>
      </c>
      <c r="T136" s="17" t="s">
        <v>1065</v>
      </c>
      <c r="U136" s="173" t="s">
        <v>38</v>
      </c>
      <c r="V136" s="11" t="s">
        <v>28</v>
      </c>
      <c r="W136" s="20" t="s">
        <v>848</v>
      </c>
      <c r="X136" s="20" t="s">
        <v>848</v>
      </c>
      <c r="Y136" s="20"/>
      <c r="Z136" s="7"/>
      <c r="AA136" s="7"/>
      <c r="AB136" s="23"/>
      <c r="AC136" s="26"/>
    </row>
    <row r="137" spans="1:29" ht="15.75" customHeight="1">
      <c r="A137" s="10" t="s">
        <v>1066</v>
      </c>
      <c r="B137" s="10" t="s">
        <v>27</v>
      </c>
      <c r="C137" s="11" t="s">
        <v>28</v>
      </c>
      <c r="D137" s="12"/>
      <c r="E137" s="13" t="s">
        <v>501</v>
      </c>
      <c r="F137" s="6" t="s">
        <v>1048</v>
      </c>
      <c r="G137" s="6" t="str">
        <f ca="1">IFERROR(__xludf.DUMMYFUNCTION("CONCATENATE(B137,(VLOOKUP(C137,CATALOGOS!$F$2:$H$6,3,FALSE)),(VLOOKUP(V137,CATALOGOS!$J$2:$K$18,2,FALSE)),""-"",TO_TEXT(A137))"),"P05DA-0136")</f>
        <v>P05DA-0136</v>
      </c>
      <c r="H137" s="6" t="str">
        <f ca="1">IFERROR(__xludf.DUMMYFUNCTION("CONCATENATE($B137,(VLOOKUP($C137,CATALOGOS!$F$2:$H$6,3,FALSE)),(VLOOKUP($V137,CATALOGOS!$J$2:$K$18,2,FALSE)),""-"",TO_TEXT($A137))"),"P05DA-0136")</f>
        <v>P05DA-0136</v>
      </c>
      <c r="I137" s="6"/>
      <c r="J137" s="6" t="s">
        <v>1067</v>
      </c>
      <c r="K137" s="6" t="s">
        <v>1068</v>
      </c>
      <c r="L137" s="6" t="s">
        <v>1069</v>
      </c>
      <c r="M137" s="6" t="s">
        <v>1070</v>
      </c>
      <c r="N137" s="17"/>
      <c r="O137" s="17"/>
      <c r="P137" s="17" t="str">
        <f t="shared" si="4"/>
        <v>OK</v>
      </c>
      <c r="Q137" s="17" t="s">
        <v>35</v>
      </c>
      <c r="R137" s="6" t="s">
        <v>35</v>
      </c>
      <c r="S137" s="17" t="s">
        <v>36</v>
      </c>
      <c r="T137" s="17" t="s">
        <v>1071</v>
      </c>
      <c r="U137" s="173" t="s">
        <v>38</v>
      </c>
      <c r="V137" s="11" t="s">
        <v>28</v>
      </c>
      <c r="W137" s="20" t="s">
        <v>848</v>
      </c>
      <c r="X137" s="20" t="s">
        <v>848</v>
      </c>
      <c r="Y137" s="20"/>
      <c r="Z137" s="7"/>
      <c r="AA137" s="7"/>
      <c r="AB137" s="23"/>
      <c r="AC137" s="26"/>
    </row>
    <row r="138" spans="1:29" ht="15.75" customHeight="1">
      <c r="A138" s="10" t="s">
        <v>1072</v>
      </c>
      <c r="B138" s="10" t="s">
        <v>27</v>
      </c>
      <c r="C138" s="11" t="s">
        <v>28</v>
      </c>
      <c r="D138" s="12"/>
      <c r="E138" s="13" t="s">
        <v>501</v>
      </c>
      <c r="F138" s="6" t="s">
        <v>1048</v>
      </c>
      <c r="G138" s="6" t="str">
        <f ca="1">IFERROR(__xludf.DUMMYFUNCTION("CONCATENATE(B138,(VLOOKUP(C138,CATALOGOS!$F$2:$H$6,3,FALSE)),(VLOOKUP(V138,CATALOGOS!$J$2:$K$18,2,FALSE)),""-"",TO_TEXT(A138))"),"P05DA-0137")</f>
        <v>P05DA-0137</v>
      </c>
      <c r="H138" s="6" t="str">
        <f ca="1">IFERROR(__xludf.DUMMYFUNCTION("CONCATENATE($B138,(VLOOKUP($C138,CATALOGOS!$F$2:$H$6,3,FALSE)),(VLOOKUP($V138,CATALOGOS!$J$2:$K$18,2,FALSE)),""-"",TO_TEXT($A138))"),"P05DA-0137")</f>
        <v>P05DA-0137</v>
      </c>
      <c r="I138" s="6"/>
      <c r="J138" s="6" t="s">
        <v>1073</v>
      </c>
      <c r="K138" s="6" t="s">
        <v>1074</v>
      </c>
      <c r="L138" s="6" t="s">
        <v>1075</v>
      </c>
      <c r="M138" s="6" t="s">
        <v>1076</v>
      </c>
      <c r="N138" s="17"/>
      <c r="O138" s="17"/>
      <c r="P138" s="17" t="str">
        <f t="shared" si="4"/>
        <v>OK</v>
      </c>
      <c r="Q138" s="17" t="s">
        <v>35</v>
      </c>
      <c r="R138" s="6" t="s">
        <v>35</v>
      </c>
      <c r="S138" s="17" t="s">
        <v>36</v>
      </c>
      <c r="T138" s="17" t="s">
        <v>1077</v>
      </c>
      <c r="U138" s="173" t="s">
        <v>38</v>
      </c>
      <c r="V138" s="11" t="s">
        <v>28</v>
      </c>
      <c r="W138" s="20" t="s">
        <v>848</v>
      </c>
      <c r="X138" s="20" t="s">
        <v>848</v>
      </c>
      <c r="Y138" s="20"/>
      <c r="Z138" s="7"/>
      <c r="AA138" s="7"/>
      <c r="AB138" s="23"/>
      <c r="AC138" s="26"/>
    </row>
    <row r="139" spans="1:29" ht="15.75" customHeight="1">
      <c r="A139" s="10" t="s">
        <v>1078</v>
      </c>
      <c r="B139" s="10" t="s">
        <v>27</v>
      </c>
      <c r="C139" s="11" t="s">
        <v>28</v>
      </c>
      <c r="D139" s="12"/>
      <c r="E139" s="13" t="s">
        <v>501</v>
      </c>
      <c r="F139" s="6" t="s">
        <v>1048</v>
      </c>
      <c r="G139" s="6" t="str">
        <f ca="1">IFERROR(__xludf.DUMMYFUNCTION("CONCATENATE(B139,(VLOOKUP(C139,CATALOGOS!$F$2:$H$6,3,FALSE)),(VLOOKUP(V139,CATALOGOS!$J$2:$K$18,2,FALSE)),""-"",TO_TEXT(A139))"),"P05DA-0138")</f>
        <v>P05DA-0138</v>
      </c>
      <c r="H139" s="6" t="str">
        <f ca="1">IFERROR(__xludf.DUMMYFUNCTION("CONCATENATE($B139,(VLOOKUP($C139,CATALOGOS!$F$2:$H$6,3,FALSE)),(VLOOKUP($V139,CATALOGOS!$J$2:$K$18,2,FALSE)),""-"",TO_TEXT($A139))"),"P05DA-0138")</f>
        <v>P05DA-0138</v>
      </c>
      <c r="I139" s="6"/>
      <c r="J139" s="6" t="s">
        <v>1079</v>
      </c>
      <c r="K139" s="6" t="s">
        <v>1080</v>
      </c>
      <c r="L139" s="6" t="s">
        <v>1081</v>
      </c>
      <c r="M139" s="6" t="s">
        <v>1082</v>
      </c>
      <c r="N139" s="17"/>
      <c r="O139" s="17"/>
      <c r="P139" s="17" t="str">
        <f t="shared" si="4"/>
        <v>OK</v>
      </c>
      <c r="Q139" s="17" t="s">
        <v>35</v>
      </c>
      <c r="R139" s="6" t="s">
        <v>35</v>
      </c>
      <c r="S139" s="17" t="s">
        <v>36</v>
      </c>
      <c r="T139" s="17" t="s">
        <v>1083</v>
      </c>
      <c r="U139" s="173" t="s">
        <v>38</v>
      </c>
      <c r="V139" s="11" t="s">
        <v>28</v>
      </c>
      <c r="W139" s="20" t="s">
        <v>848</v>
      </c>
      <c r="X139" s="20" t="s">
        <v>848</v>
      </c>
      <c r="Y139" s="20"/>
      <c r="Z139" s="7"/>
      <c r="AA139" s="7"/>
      <c r="AB139" s="23"/>
      <c r="AC139" s="26"/>
    </row>
    <row r="140" spans="1:29" ht="15.75" customHeight="1">
      <c r="A140" s="10" t="s">
        <v>1084</v>
      </c>
      <c r="B140" s="10" t="s">
        <v>27</v>
      </c>
      <c r="C140" s="11" t="s">
        <v>28</v>
      </c>
      <c r="D140" s="12"/>
      <c r="E140" s="13" t="s">
        <v>501</v>
      </c>
      <c r="F140" s="6" t="s">
        <v>1048</v>
      </c>
      <c r="G140" s="6" t="str">
        <f ca="1">IFERROR(__xludf.DUMMYFUNCTION("CONCATENATE(B140,(VLOOKUP(C140,CATALOGOS!$F$2:$H$6,3,FALSE)),(VLOOKUP(V140,CATALOGOS!$J$2:$K$18,2,FALSE)),""-"",TO_TEXT(A140))"),"P05DA-0139")</f>
        <v>P05DA-0139</v>
      </c>
      <c r="H140" s="6" t="str">
        <f ca="1">IFERROR(__xludf.DUMMYFUNCTION("CONCATENATE($B140,(VLOOKUP($C140,CATALOGOS!$F$2:$H$6,3,FALSE)),(VLOOKUP($V140,CATALOGOS!$J$2:$K$18,2,FALSE)),""-"",TO_TEXT($A140))"),"P05DA-0139")</f>
        <v>P05DA-0139</v>
      </c>
      <c r="I140" s="6"/>
      <c r="J140" s="6" t="s">
        <v>1085</v>
      </c>
      <c r="K140" s="6" t="s">
        <v>1086</v>
      </c>
      <c r="L140" s="6" t="s">
        <v>1087</v>
      </c>
      <c r="M140" s="6" t="s">
        <v>1088</v>
      </c>
      <c r="N140" s="17"/>
      <c r="O140" s="17"/>
      <c r="P140" s="17" t="str">
        <f t="shared" si="4"/>
        <v>OK</v>
      </c>
      <c r="Q140" s="17" t="s">
        <v>35</v>
      </c>
      <c r="R140" s="6" t="s">
        <v>35</v>
      </c>
      <c r="S140" s="17" t="s">
        <v>36</v>
      </c>
      <c r="T140" s="17" t="s">
        <v>1089</v>
      </c>
      <c r="U140" s="173" t="s">
        <v>38</v>
      </c>
      <c r="V140" s="11" t="s">
        <v>28</v>
      </c>
      <c r="W140" s="20" t="s">
        <v>848</v>
      </c>
      <c r="X140" s="20" t="s">
        <v>848</v>
      </c>
      <c r="Y140" s="20"/>
      <c r="Z140" s="7"/>
      <c r="AA140" s="7"/>
      <c r="AB140" s="23"/>
      <c r="AC140" s="26"/>
    </row>
    <row r="141" spans="1:29" ht="15.75" customHeight="1">
      <c r="A141" s="10" t="s">
        <v>1090</v>
      </c>
      <c r="B141" s="10" t="s">
        <v>27</v>
      </c>
      <c r="C141" s="11" t="s">
        <v>28</v>
      </c>
      <c r="D141" s="12"/>
      <c r="E141" s="13" t="s">
        <v>501</v>
      </c>
      <c r="F141" s="6" t="s">
        <v>1091</v>
      </c>
      <c r="G141" s="6" t="str">
        <f ca="1">IFERROR(__xludf.DUMMYFUNCTION("CONCATENATE(B141,(VLOOKUP(C141,CATALOGOS!$F$2:$H$6,3,FALSE)),(VLOOKUP(V141,CATALOGOS!$J$2:$K$18,2,FALSE)),""-"",TO_TEXT(A141))"),"P05DA-0140")</f>
        <v>P05DA-0140</v>
      </c>
      <c r="H141" s="6" t="str">
        <f ca="1">IFERROR(__xludf.DUMMYFUNCTION("CONCATENATE($B141,(VLOOKUP($C141,CATALOGOS!$F$2:$H$6,3,FALSE)),(VLOOKUP($V141,CATALOGOS!$J$2:$K$18,2,FALSE)),""-"",TO_TEXT($A141))"),"P05DA-0140")</f>
        <v>P05DA-0140</v>
      </c>
      <c r="I141" s="6"/>
      <c r="J141" s="6" t="s">
        <v>1092</v>
      </c>
      <c r="K141" s="6" t="s">
        <v>1093</v>
      </c>
      <c r="L141" s="36"/>
      <c r="M141" s="6" t="s">
        <v>141</v>
      </c>
      <c r="N141" s="17"/>
      <c r="O141" s="17"/>
      <c r="P141" s="17" t="str">
        <f t="shared" si="4"/>
        <v>REPETIDO</v>
      </c>
      <c r="Q141" s="17" t="s">
        <v>35</v>
      </c>
      <c r="R141" s="6" t="s">
        <v>35</v>
      </c>
      <c r="S141" s="6" t="s">
        <v>36</v>
      </c>
      <c r="T141" s="10" t="s">
        <v>1094</v>
      </c>
      <c r="U141" s="173" t="s">
        <v>38</v>
      </c>
      <c r="V141" s="11" t="s">
        <v>28</v>
      </c>
      <c r="W141" s="20" t="s">
        <v>848</v>
      </c>
      <c r="X141" s="20" t="s">
        <v>848</v>
      </c>
      <c r="Y141" s="20"/>
      <c r="Z141" s="7"/>
      <c r="AA141" s="7"/>
      <c r="AB141" s="23"/>
      <c r="AC141" s="26"/>
    </row>
    <row r="142" spans="1:29" ht="15.75" customHeight="1">
      <c r="A142" s="10" t="s">
        <v>1095</v>
      </c>
      <c r="B142" s="10" t="s">
        <v>27</v>
      </c>
      <c r="C142" s="11" t="s">
        <v>28</v>
      </c>
      <c r="D142" s="12"/>
      <c r="E142" s="13" t="s">
        <v>501</v>
      </c>
      <c r="F142" s="6" t="s">
        <v>1091</v>
      </c>
      <c r="G142" s="6" t="str">
        <f ca="1">IFERROR(__xludf.DUMMYFUNCTION("CONCATENATE(B142,(VLOOKUP(C142,CATALOGOS!$F$2:$H$6,3,FALSE)),(VLOOKUP(V142,CATALOGOS!$J$2:$K$18,2,FALSE)),""-"",TO_TEXT(A142))"),"P05DA-0141")</f>
        <v>P05DA-0141</v>
      </c>
      <c r="H142" s="6" t="str">
        <f ca="1">IFERROR(__xludf.DUMMYFUNCTION("CONCATENATE($B142,(VLOOKUP($C142,CATALOGOS!$F$2:$H$6,3,FALSE)),(VLOOKUP($V142,CATALOGOS!$J$2:$K$18,2,FALSE)),""-"",TO_TEXT($A142))"),"P05DA-0141")</f>
        <v>P05DA-0141</v>
      </c>
      <c r="I142" s="6"/>
      <c r="J142" s="6" t="s">
        <v>1096</v>
      </c>
      <c r="K142" s="6" t="s">
        <v>1097</v>
      </c>
      <c r="L142" s="36"/>
      <c r="M142" s="6" t="s">
        <v>141</v>
      </c>
      <c r="N142" s="17"/>
      <c r="O142" s="17"/>
      <c r="P142" s="17" t="str">
        <f t="shared" si="4"/>
        <v>REPETIDO</v>
      </c>
      <c r="Q142" s="17" t="s">
        <v>35</v>
      </c>
      <c r="R142" s="6" t="s">
        <v>35</v>
      </c>
      <c r="S142" s="6" t="s">
        <v>36</v>
      </c>
      <c r="T142" s="10" t="s">
        <v>1098</v>
      </c>
      <c r="U142" s="173" t="s">
        <v>38</v>
      </c>
      <c r="V142" s="11" t="s">
        <v>28</v>
      </c>
      <c r="W142" s="20" t="s">
        <v>848</v>
      </c>
      <c r="X142" s="20" t="s">
        <v>848</v>
      </c>
      <c r="Y142" s="20"/>
      <c r="Z142" s="7"/>
      <c r="AA142" s="7"/>
      <c r="AB142" s="23"/>
      <c r="AC142" s="26"/>
    </row>
    <row r="143" spans="1:29" ht="15.75" customHeight="1">
      <c r="A143" s="10" t="s">
        <v>1099</v>
      </c>
      <c r="B143" s="10" t="s">
        <v>27</v>
      </c>
      <c r="C143" s="11" t="s">
        <v>28</v>
      </c>
      <c r="D143" s="12"/>
      <c r="E143" s="13" t="s">
        <v>501</v>
      </c>
      <c r="F143" s="6" t="s">
        <v>1091</v>
      </c>
      <c r="G143" s="6" t="str">
        <f ca="1">IFERROR(__xludf.DUMMYFUNCTION("CONCATENATE(B143,(VLOOKUP(C143,CATALOGOS!$F$2:$H$6,3,FALSE)),(VLOOKUP(V143,CATALOGOS!$J$2:$K$18,2,FALSE)),""-"",TO_TEXT(A143))"),"P05DA-0142")</f>
        <v>P05DA-0142</v>
      </c>
      <c r="H143" s="6" t="str">
        <f ca="1">IFERROR(__xludf.DUMMYFUNCTION("CONCATENATE($B143,(VLOOKUP($C143,CATALOGOS!$F$2:$H$6,3,FALSE)),(VLOOKUP($V143,CATALOGOS!$J$2:$K$18,2,FALSE)),""-"",TO_TEXT($A143))"),"P05DA-0142")</f>
        <v>P05DA-0142</v>
      </c>
      <c r="I143" s="6"/>
      <c r="J143" s="6" t="s">
        <v>1100</v>
      </c>
      <c r="K143" s="6" t="s">
        <v>1101</v>
      </c>
      <c r="L143" s="36"/>
      <c r="M143" s="6" t="s">
        <v>141</v>
      </c>
      <c r="N143" s="17"/>
      <c r="O143" s="17"/>
      <c r="P143" s="17" t="str">
        <f t="shared" si="4"/>
        <v>REPETIDO</v>
      </c>
      <c r="Q143" s="17" t="s">
        <v>35</v>
      </c>
      <c r="R143" s="6" t="s">
        <v>35</v>
      </c>
      <c r="S143" s="6" t="s">
        <v>36</v>
      </c>
      <c r="T143" s="6" t="s">
        <v>1102</v>
      </c>
      <c r="U143" s="173" t="s">
        <v>38</v>
      </c>
      <c r="V143" s="11" t="s">
        <v>28</v>
      </c>
      <c r="W143" s="20" t="s">
        <v>848</v>
      </c>
      <c r="X143" s="20" t="s">
        <v>848</v>
      </c>
      <c r="Y143" s="20"/>
      <c r="Z143" s="7"/>
      <c r="AA143" s="7"/>
      <c r="AB143" s="23"/>
      <c r="AC143" s="26"/>
    </row>
    <row r="144" spans="1:29" ht="15.75" customHeight="1">
      <c r="A144" s="10" t="s">
        <v>1103</v>
      </c>
      <c r="B144" s="10" t="s">
        <v>27</v>
      </c>
      <c r="C144" s="11" t="s">
        <v>28</v>
      </c>
      <c r="D144" s="12"/>
      <c r="E144" s="13" t="s">
        <v>501</v>
      </c>
      <c r="F144" s="6" t="s">
        <v>1091</v>
      </c>
      <c r="G144" s="6" t="str">
        <f ca="1">IFERROR(__xludf.DUMMYFUNCTION("CONCATENATE(B144,(VLOOKUP(C144,CATALOGOS!$F$2:$H$6,3,FALSE)),(VLOOKUP(V144,CATALOGOS!$J$2:$K$18,2,FALSE)),""-"",TO_TEXT(A144))"),"P05DA-0143")</f>
        <v>P05DA-0143</v>
      </c>
      <c r="H144" s="6" t="str">
        <f ca="1">IFERROR(__xludf.DUMMYFUNCTION("CONCATENATE($B144,(VLOOKUP($C144,CATALOGOS!$F$2:$H$6,3,FALSE)),(VLOOKUP($V144,CATALOGOS!$J$2:$K$18,2,FALSE)),""-"",TO_TEXT($A144))"),"P05DA-0143")</f>
        <v>P05DA-0143</v>
      </c>
      <c r="I144" s="6"/>
      <c r="J144" s="6" t="s">
        <v>1104</v>
      </c>
      <c r="K144" s="6" t="s">
        <v>1105</v>
      </c>
      <c r="L144" s="36"/>
      <c r="M144" s="6" t="s">
        <v>141</v>
      </c>
      <c r="N144" s="17"/>
      <c r="O144" s="17"/>
      <c r="P144" s="17" t="str">
        <f t="shared" si="4"/>
        <v>REPETIDO</v>
      </c>
      <c r="Q144" s="17" t="s">
        <v>35</v>
      </c>
      <c r="R144" s="6" t="s">
        <v>35</v>
      </c>
      <c r="S144" s="6" t="s">
        <v>36</v>
      </c>
      <c r="T144" s="6" t="s">
        <v>1106</v>
      </c>
      <c r="U144" s="173" t="s">
        <v>38</v>
      </c>
      <c r="V144" s="11" t="s">
        <v>28</v>
      </c>
      <c r="W144" s="20" t="s">
        <v>848</v>
      </c>
      <c r="X144" s="20" t="s">
        <v>848</v>
      </c>
      <c r="Y144" s="20"/>
      <c r="Z144" s="7"/>
      <c r="AA144" s="7"/>
      <c r="AB144" s="23"/>
      <c r="AC144" s="26"/>
    </row>
    <row r="145" spans="1:29" ht="15.75" customHeight="1">
      <c r="A145" s="10" t="s">
        <v>1107</v>
      </c>
      <c r="B145" s="10" t="s">
        <v>27</v>
      </c>
      <c r="C145" s="11" t="s">
        <v>28</v>
      </c>
      <c r="D145" s="12"/>
      <c r="E145" s="13" t="s">
        <v>501</v>
      </c>
      <c r="F145" s="6" t="s">
        <v>1091</v>
      </c>
      <c r="G145" s="6" t="str">
        <f ca="1">IFERROR(__xludf.DUMMYFUNCTION("CONCATENATE(B145,(VLOOKUP(C145,CATALOGOS!$F$2:$H$6,3,FALSE)),(VLOOKUP(V145,CATALOGOS!$J$2:$K$18,2,FALSE)),""-"",TO_TEXT(A145))"),"P05DA-0144")</f>
        <v>P05DA-0144</v>
      </c>
      <c r="H145" s="6" t="str">
        <f ca="1">IFERROR(__xludf.DUMMYFUNCTION("CONCATENATE($B145,(VLOOKUP($C145,CATALOGOS!$F$2:$H$6,3,FALSE)),(VLOOKUP($V145,CATALOGOS!$J$2:$K$18,2,FALSE)),""-"",TO_TEXT($A145))"),"P05DA-0144")</f>
        <v>P05DA-0144</v>
      </c>
      <c r="I145" s="6"/>
      <c r="J145" s="6" t="s">
        <v>1108</v>
      </c>
      <c r="K145" s="6" t="s">
        <v>1109</v>
      </c>
      <c r="L145" s="36"/>
      <c r="M145" s="6" t="s">
        <v>141</v>
      </c>
      <c r="N145" s="17"/>
      <c r="O145" s="17"/>
      <c r="P145" s="17" t="str">
        <f t="shared" si="4"/>
        <v>REPETIDO</v>
      </c>
      <c r="Q145" s="17" t="s">
        <v>35</v>
      </c>
      <c r="R145" s="6" t="s">
        <v>35</v>
      </c>
      <c r="S145" s="6" t="s">
        <v>36</v>
      </c>
      <c r="T145" s="6" t="s">
        <v>1110</v>
      </c>
      <c r="U145" s="173" t="s">
        <v>38</v>
      </c>
      <c r="V145" s="11" t="s">
        <v>28</v>
      </c>
      <c r="W145" s="20" t="s">
        <v>848</v>
      </c>
      <c r="X145" s="20" t="s">
        <v>848</v>
      </c>
      <c r="Y145" s="20"/>
      <c r="Z145" s="7"/>
      <c r="AA145" s="7"/>
      <c r="AB145" s="23"/>
      <c r="AC145" s="26"/>
    </row>
    <row r="146" spans="1:29" ht="15.75" customHeight="1">
      <c r="A146" s="10" t="s">
        <v>1111</v>
      </c>
      <c r="B146" s="10" t="s">
        <v>27</v>
      </c>
      <c r="C146" s="11" t="s">
        <v>28</v>
      </c>
      <c r="D146" s="12"/>
      <c r="E146" s="13" t="s">
        <v>501</v>
      </c>
      <c r="F146" s="6" t="s">
        <v>1091</v>
      </c>
      <c r="G146" s="6" t="str">
        <f ca="1">IFERROR(__xludf.DUMMYFUNCTION("CONCATENATE(B146,(VLOOKUP(C146,CATALOGOS!$F$2:$H$6,3,FALSE)),(VLOOKUP(V146,CATALOGOS!$J$2:$K$18,2,FALSE)),""-"",TO_TEXT(A146))"),"P05DA-0145")</f>
        <v>P05DA-0145</v>
      </c>
      <c r="H146" s="6" t="str">
        <f ca="1">IFERROR(__xludf.DUMMYFUNCTION("CONCATENATE($B146,(VLOOKUP($C146,CATALOGOS!$F$2:$H$6,3,FALSE)),(VLOOKUP($V146,CATALOGOS!$J$2:$K$18,2,FALSE)),""-"",TO_TEXT($A146))"),"P05DA-0145")</f>
        <v>P05DA-0145</v>
      </c>
      <c r="I146" s="6"/>
      <c r="J146" s="6" t="s">
        <v>1112</v>
      </c>
      <c r="K146" s="6" t="s">
        <v>1113</v>
      </c>
      <c r="L146" s="36"/>
      <c r="M146" s="6" t="s">
        <v>141</v>
      </c>
      <c r="N146" s="17"/>
      <c r="O146" s="17"/>
      <c r="P146" s="17" t="str">
        <f t="shared" si="4"/>
        <v>REPETIDO</v>
      </c>
      <c r="Q146" s="17" t="s">
        <v>35</v>
      </c>
      <c r="R146" s="6" t="s">
        <v>35</v>
      </c>
      <c r="S146" s="6" t="s">
        <v>36</v>
      </c>
      <c r="T146" s="6" t="s">
        <v>1114</v>
      </c>
      <c r="U146" s="173" t="s">
        <v>38</v>
      </c>
      <c r="V146" s="11" t="s">
        <v>28</v>
      </c>
      <c r="W146" s="20" t="s">
        <v>848</v>
      </c>
      <c r="X146" s="20" t="s">
        <v>848</v>
      </c>
      <c r="Y146" s="20"/>
      <c r="Z146" s="7"/>
      <c r="AA146" s="7"/>
      <c r="AB146" s="23"/>
      <c r="AC146" s="26"/>
    </row>
    <row r="147" spans="1:29" ht="15.75" customHeight="1">
      <c r="A147" s="10" t="s">
        <v>1115</v>
      </c>
      <c r="B147" s="10" t="s">
        <v>27</v>
      </c>
      <c r="C147" s="11" t="s">
        <v>28</v>
      </c>
      <c r="D147" s="12"/>
      <c r="E147" s="13" t="s">
        <v>501</v>
      </c>
      <c r="F147" s="6" t="s">
        <v>1091</v>
      </c>
      <c r="G147" s="6" t="str">
        <f ca="1">IFERROR(__xludf.DUMMYFUNCTION("CONCATENATE(B147,(VLOOKUP(C147,CATALOGOS!$F$2:$H$6,3,FALSE)),(VLOOKUP(V147,CATALOGOS!$J$2:$K$18,2,FALSE)),""-"",TO_TEXT(A147))"),"P05DA-0146")</f>
        <v>P05DA-0146</v>
      </c>
      <c r="H147" s="6" t="str">
        <f ca="1">IFERROR(__xludf.DUMMYFUNCTION("CONCATENATE($B147,(VLOOKUP($C147,CATALOGOS!$F$2:$H$6,3,FALSE)),(VLOOKUP($V147,CATALOGOS!$J$2:$K$18,2,FALSE)),""-"",TO_TEXT($A147))"),"P05DA-0146")</f>
        <v>P05DA-0146</v>
      </c>
      <c r="I147" s="6"/>
      <c r="J147" s="6" t="s">
        <v>1116</v>
      </c>
      <c r="K147" s="6" t="s">
        <v>1117</v>
      </c>
      <c r="L147" s="36"/>
      <c r="M147" s="6" t="s">
        <v>141</v>
      </c>
      <c r="N147" s="17"/>
      <c r="O147" s="17"/>
      <c r="P147" s="17" t="str">
        <f t="shared" si="4"/>
        <v>REPETIDO</v>
      </c>
      <c r="Q147" s="35" t="s">
        <v>35</v>
      </c>
      <c r="R147" s="6" t="s">
        <v>35</v>
      </c>
      <c r="S147" s="6" t="s">
        <v>36</v>
      </c>
      <c r="T147" s="6" t="s">
        <v>1118</v>
      </c>
      <c r="U147" s="173" t="s">
        <v>38</v>
      </c>
      <c r="V147" s="11" t="s">
        <v>28</v>
      </c>
      <c r="W147" s="20" t="s">
        <v>848</v>
      </c>
      <c r="X147" s="20" t="s">
        <v>848</v>
      </c>
      <c r="Y147" s="20"/>
      <c r="Z147" s="7"/>
      <c r="AA147" s="7"/>
      <c r="AB147" s="23"/>
      <c r="AC147" s="26"/>
    </row>
    <row r="148" spans="1:29" ht="15.75" customHeight="1">
      <c r="A148" s="10" t="s">
        <v>1119</v>
      </c>
      <c r="B148" s="10" t="s">
        <v>27</v>
      </c>
      <c r="C148" s="11" t="s">
        <v>28</v>
      </c>
      <c r="D148" s="12"/>
      <c r="E148" s="13" t="s">
        <v>501</v>
      </c>
      <c r="F148" s="6" t="s">
        <v>1091</v>
      </c>
      <c r="G148" s="6" t="str">
        <f ca="1">IFERROR(__xludf.DUMMYFUNCTION("CONCATENATE(B148,(VLOOKUP(C148,CATALOGOS!$F$2:$H$6,3,FALSE)),(VLOOKUP(V148,CATALOGOS!$J$2:$K$18,2,FALSE)),""-"",TO_TEXT(A148))"),"P05DA-0147")</f>
        <v>P05DA-0147</v>
      </c>
      <c r="H148" s="6" t="str">
        <f ca="1">IFERROR(__xludf.DUMMYFUNCTION("CONCATENATE($B148,(VLOOKUP($C148,CATALOGOS!$F$2:$H$6,3,FALSE)),(VLOOKUP($V148,CATALOGOS!$J$2:$K$18,2,FALSE)),""-"",TO_TEXT($A148))"),"P05DA-0147")</f>
        <v>P05DA-0147</v>
      </c>
      <c r="I148" s="6"/>
      <c r="J148" s="6" t="s">
        <v>1120</v>
      </c>
      <c r="K148" s="6" t="s">
        <v>1121</v>
      </c>
      <c r="L148" s="36"/>
      <c r="M148" s="6" t="s">
        <v>141</v>
      </c>
      <c r="N148" s="17"/>
      <c r="O148" s="17"/>
      <c r="P148" s="17" t="str">
        <f t="shared" si="4"/>
        <v>REPETIDO</v>
      </c>
      <c r="Q148" s="17" t="s">
        <v>35</v>
      </c>
      <c r="R148" s="6" t="s">
        <v>35</v>
      </c>
      <c r="S148" s="6" t="s">
        <v>36</v>
      </c>
      <c r="T148" s="6" t="s">
        <v>1122</v>
      </c>
      <c r="U148" s="173" t="s">
        <v>38</v>
      </c>
      <c r="V148" s="11" t="s">
        <v>28</v>
      </c>
      <c r="W148" s="20" t="s">
        <v>848</v>
      </c>
      <c r="X148" s="20" t="s">
        <v>848</v>
      </c>
      <c r="Y148" s="20"/>
      <c r="Z148" s="7"/>
      <c r="AA148" s="7"/>
      <c r="AB148" s="23"/>
      <c r="AC148" s="26"/>
    </row>
    <row r="149" spans="1:29" ht="15.75" customHeight="1">
      <c r="A149" s="10" t="s">
        <v>1123</v>
      </c>
      <c r="B149" s="10" t="s">
        <v>27</v>
      </c>
      <c r="C149" s="11" t="s">
        <v>28</v>
      </c>
      <c r="D149" s="12"/>
      <c r="E149" s="13" t="s">
        <v>501</v>
      </c>
      <c r="F149" s="6" t="s">
        <v>1091</v>
      </c>
      <c r="G149" s="6" t="str">
        <f ca="1">IFERROR(__xludf.DUMMYFUNCTION("CONCATENATE(B149,(VLOOKUP(C149,CATALOGOS!$F$2:$H$6,3,FALSE)),(VLOOKUP(V149,CATALOGOS!$J$2:$K$18,2,FALSE)),""-"",TO_TEXT(A149))"),"P05DA-0148")</f>
        <v>P05DA-0148</v>
      </c>
      <c r="H149" s="6" t="str">
        <f ca="1">IFERROR(__xludf.DUMMYFUNCTION("CONCATENATE($B149,(VLOOKUP($C149,CATALOGOS!$F$2:$H$6,3,FALSE)),(VLOOKUP($V149,CATALOGOS!$J$2:$K$18,2,FALSE)),""-"",TO_TEXT($A149))"),"P05DA-0148")</f>
        <v>P05DA-0148</v>
      </c>
      <c r="I149" s="6"/>
      <c r="J149" s="6" t="s">
        <v>1124</v>
      </c>
      <c r="K149" s="6" t="s">
        <v>1125</v>
      </c>
      <c r="L149" s="36"/>
      <c r="M149" s="6" t="s">
        <v>141</v>
      </c>
      <c r="N149" s="17"/>
      <c r="O149" s="17"/>
      <c r="P149" s="17" t="str">
        <f t="shared" si="4"/>
        <v>REPETIDO</v>
      </c>
      <c r="Q149" s="17" t="s">
        <v>35</v>
      </c>
      <c r="R149" s="6" t="s">
        <v>35</v>
      </c>
      <c r="S149" s="6" t="s">
        <v>36</v>
      </c>
      <c r="T149" s="6" t="s">
        <v>85</v>
      </c>
      <c r="U149" s="173" t="s">
        <v>38</v>
      </c>
      <c r="V149" s="11" t="s">
        <v>28</v>
      </c>
      <c r="W149" s="20" t="s">
        <v>848</v>
      </c>
      <c r="X149" s="20" t="s">
        <v>848</v>
      </c>
      <c r="Y149" s="20"/>
      <c r="Z149" s="7"/>
      <c r="AA149" s="7"/>
      <c r="AB149" s="23"/>
      <c r="AC149" s="26"/>
    </row>
    <row r="150" spans="1:29" ht="15.75" customHeight="1">
      <c r="A150" s="10" t="s">
        <v>1126</v>
      </c>
      <c r="B150" s="10" t="s">
        <v>27</v>
      </c>
      <c r="C150" s="11" t="s">
        <v>28</v>
      </c>
      <c r="D150" s="38"/>
      <c r="E150" s="13" t="s">
        <v>151</v>
      </c>
      <c r="F150" s="6" t="s">
        <v>698</v>
      </c>
      <c r="G150" s="6" t="str">
        <f ca="1">IFERROR(__xludf.DUMMYFUNCTION("CONCATENATE(B150,(VLOOKUP(C150,CATALOGOS!$F$2:$H$6,3,FALSE)),(VLOOKUP(V150,CATALOGOS!$J$2:$K$18,2,FALSE)),""-"",TO_TEXT(A150))"),"P05RM-0149")</f>
        <v>P05RM-0149</v>
      </c>
      <c r="H150" s="6" t="str">
        <f ca="1">IFERROR(__xludf.DUMMYFUNCTION("CONCATENATE($B150,(VLOOKUP($C150,CATALOGOS!$F$2:$H$6,3,FALSE)),(VLOOKUP($V150,CATALOGOS!$J$2:$K$18,2,FALSE)),""-"",TO_TEXT($A150))"),"P05RM-0149")</f>
        <v>P05RM-0149</v>
      </c>
      <c r="I150" s="6"/>
      <c r="J150" s="6" t="s">
        <v>1127</v>
      </c>
      <c r="K150" s="6" t="s">
        <v>1128</v>
      </c>
      <c r="L150" s="6" t="s">
        <v>1129</v>
      </c>
      <c r="M150" s="6" t="s">
        <v>1130</v>
      </c>
      <c r="N150" s="17"/>
      <c r="O150" s="17"/>
      <c r="P150" s="17" t="str">
        <f t="shared" si="4"/>
        <v>OK</v>
      </c>
      <c r="Q150" s="17" t="s">
        <v>297</v>
      </c>
      <c r="R150" s="6" t="s">
        <v>1131</v>
      </c>
      <c r="S150" s="46" t="s">
        <v>1132</v>
      </c>
      <c r="T150" s="35" t="s">
        <v>1133</v>
      </c>
      <c r="U150" s="173" t="s">
        <v>38</v>
      </c>
      <c r="V150" s="11" t="s">
        <v>147</v>
      </c>
      <c r="W150" s="20" t="s">
        <v>483</v>
      </c>
      <c r="X150" s="20" t="s">
        <v>484</v>
      </c>
      <c r="Y150" s="32"/>
      <c r="Z150" s="7"/>
      <c r="AA150" s="7"/>
      <c r="AB150" s="26"/>
      <c r="AC150" s="26"/>
    </row>
    <row r="151" spans="1:29" ht="15.75" customHeight="1">
      <c r="A151" s="10" t="s">
        <v>1134</v>
      </c>
      <c r="B151" s="10" t="s">
        <v>27</v>
      </c>
      <c r="C151" s="11" t="s">
        <v>28</v>
      </c>
      <c r="D151" s="38"/>
      <c r="E151" s="13" t="s">
        <v>151</v>
      </c>
      <c r="F151" s="6" t="s">
        <v>698</v>
      </c>
      <c r="G151" s="6" t="str">
        <f ca="1">IFERROR(__xludf.DUMMYFUNCTION("CONCATENATE(B151,(VLOOKUP(C151,CATALOGOS!$F$2:$H$6,3,FALSE)),(VLOOKUP(V151,CATALOGOS!$J$2:$K$18,2,FALSE)),""-"",TO_TEXT(A151))"),"P05RM-0150")</f>
        <v>P05RM-0150</v>
      </c>
      <c r="H151" s="6" t="str">
        <f ca="1">IFERROR(__xludf.DUMMYFUNCTION("CONCATENATE($B151,(VLOOKUP($C151,CATALOGOS!$F$2:$H$6,3,FALSE)),(VLOOKUP($V151,CATALOGOS!$J$2:$K$18,2,FALSE)),""-"",TO_TEXT($A151))"),"P05RM-0150")</f>
        <v>P05RM-0150</v>
      </c>
      <c r="I151" s="6"/>
      <c r="J151" s="6" t="s">
        <v>1135</v>
      </c>
      <c r="K151" s="6" t="s">
        <v>1136</v>
      </c>
      <c r="L151" s="6" t="s">
        <v>1137</v>
      </c>
      <c r="M151" s="6" t="s">
        <v>1138</v>
      </c>
      <c r="N151" s="17"/>
      <c r="O151" s="17"/>
      <c r="P151" s="17" t="str">
        <f t="shared" si="4"/>
        <v>OK</v>
      </c>
      <c r="Q151" s="17" t="s">
        <v>297</v>
      </c>
      <c r="R151" s="6" t="s">
        <v>1131</v>
      </c>
      <c r="S151" s="46" t="s">
        <v>1139</v>
      </c>
      <c r="T151" s="56" t="s">
        <v>1140</v>
      </c>
      <c r="U151" s="173" t="s">
        <v>38</v>
      </c>
      <c r="V151" s="11" t="s">
        <v>147</v>
      </c>
      <c r="W151" s="20" t="s">
        <v>483</v>
      </c>
      <c r="X151" s="20" t="s">
        <v>484</v>
      </c>
      <c r="Y151" s="22"/>
      <c r="Z151" s="7"/>
      <c r="AA151" s="7"/>
      <c r="AB151" s="26"/>
      <c r="AC151" s="26"/>
    </row>
    <row r="152" spans="1:29" ht="15.75" customHeight="1">
      <c r="A152" s="10" t="s">
        <v>1141</v>
      </c>
      <c r="B152" s="10" t="s">
        <v>27</v>
      </c>
      <c r="C152" s="11" t="s">
        <v>28</v>
      </c>
      <c r="D152" s="12"/>
      <c r="E152" s="13" t="s">
        <v>1142</v>
      </c>
      <c r="F152" s="6" t="s">
        <v>1143</v>
      </c>
      <c r="G152" s="6" t="str">
        <f ca="1">IFERROR(__xludf.DUMMYFUNCTION("CONCATENATE(B152,(VLOOKUP(C152,CATALOGOS!$F$2:$H$6,3,FALSE)),(VLOOKUP(V152,CATALOGOS!$J$2:$K$18,2,FALSE)),""-"",TO_TEXT(A152))"),"P05RM-0151")</f>
        <v>P05RM-0151</v>
      </c>
      <c r="H152" s="6" t="str">
        <f ca="1">IFERROR(__xludf.DUMMYFUNCTION("CONCATENATE($B152,(VLOOKUP($C152,CATALOGOS!$F$2:$H$6,3,FALSE)),(VLOOKUP($V152,CATALOGOS!$J$2:$K$18,2,FALSE)),""-"",TO_TEXT($A152))"),"P05RM-0151")</f>
        <v>P05RM-0151</v>
      </c>
      <c r="I152" s="6"/>
      <c r="J152" s="6" t="s">
        <v>1144</v>
      </c>
      <c r="K152" s="6" t="s">
        <v>1145</v>
      </c>
      <c r="L152" s="6" t="s">
        <v>1146</v>
      </c>
      <c r="M152" s="6" t="s">
        <v>1147</v>
      </c>
      <c r="N152" s="17"/>
      <c r="O152" s="17"/>
      <c r="P152" s="17" t="str">
        <f t="shared" si="4"/>
        <v>OK</v>
      </c>
      <c r="Q152" s="17" t="s">
        <v>359</v>
      </c>
      <c r="R152" s="6" t="s">
        <v>1148</v>
      </c>
      <c r="S152" s="46" t="s">
        <v>36</v>
      </c>
      <c r="T152" s="17" t="s">
        <v>1149</v>
      </c>
      <c r="U152" s="173" t="s">
        <v>38</v>
      </c>
      <c r="V152" s="11" t="s">
        <v>147</v>
      </c>
      <c r="W152" s="20" t="s">
        <v>483</v>
      </c>
      <c r="X152" s="20" t="s">
        <v>484</v>
      </c>
      <c r="Y152" s="22"/>
      <c r="Z152" s="7"/>
      <c r="AA152" s="7"/>
      <c r="AB152" s="26"/>
      <c r="AC152" s="26"/>
    </row>
    <row r="153" spans="1:29" ht="15.75" customHeight="1">
      <c r="A153" s="10" t="s">
        <v>1150</v>
      </c>
      <c r="B153" s="10" t="s">
        <v>27</v>
      </c>
      <c r="C153" s="11" t="s">
        <v>28</v>
      </c>
      <c r="D153" s="12"/>
      <c r="E153" s="13" t="s">
        <v>151</v>
      </c>
      <c r="F153" s="6" t="s">
        <v>963</v>
      </c>
      <c r="G153" s="6" t="str">
        <f ca="1">IFERROR(__xludf.DUMMYFUNCTION("CONCATENATE(B153,(VLOOKUP(C153,CATALOGOS!$F$2:$H$6,3,FALSE)),(VLOOKUP(V153,CATALOGOS!$J$2:$K$18,2,FALSE)),""-"",TO_TEXT(A153))"),"P05RM-0152")</f>
        <v>P05RM-0152</v>
      </c>
      <c r="H153" s="6" t="str">
        <f ca="1">IFERROR(__xludf.DUMMYFUNCTION("CONCATENATE($B153,(VLOOKUP($C153,CATALOGOS!$F$2:$H$6,3,FALSE)),(VLOOKUP($V153,CATALOGOS!$J$2:$K$18,2,FALSE)),""-"",TO_TEXT($A153))"),"P05RM-0152")</f>
        <v>P05RM-0152</v>
      </c>
      <c r="I153" s="6"/>
      <c r="J153" s="6" t="s">
        <v>1151</v>
      </c>
      <c r="K153" s="6" t="s">
        <v>1034</v>
      </c>
      <c r="L153" s="6" t="s">
        <v>1152</v>
      </c>
      <c r="M153" s="6" t="s">
        <v>1153</v>
      </c>
      <c r="N153" s="17"/>
      <c r="O153" s="17"/>
      <c r="P153" s="17" t="str">
        <f t="shared" si="4"/>
        <v>OK</v>
      </c>
      <c r="Q153" s="17" t="s">
        <v>205</v>
      </c>
      <c r="R153" s="6" t="s">
        <v>1154</v>
      </c>
      <c r="S153" s="17" t="s">
        <v>1038</v>
      </c>
      <c r="T153" s="17" t="s">
        <v>1156</v>
      </c>
      <c r="U153" s="173" t="s">
        <v>38</v>
      </c>
      <c r="V153" s="11" t="s">
        <v>147</v>
      </c>
      <c r="W153" s="20" t="s">
        <v>483</v>
      </c>
      <c r="X153" s="20" t="s">
        <v>484</v>
      </c>
      <c r="Y153" s="22"/>
      <c r="Z153" s="7"/>
      <c r="AA153" s="7"/>
      <c r="AB153" s="26"/>
      <c r="AC153" s="26"/>
    </row>
    <row r="154" spans="1:29" ht="15.75" customHeight="1">
      <c r="A154" s="10" t="s">
        <v>1157</v>
      </c>
      <c r="B154" s="10" t="s">
        <v>27</v>
      </c>
      <c r="C154" s="11" t="s">
        <v>28</v>
      </c>
      <c r="D154" s="38"/>
      <c r="E154" s="13" t="s">
        <v>62</v>
      </c>
      <c r="F154" s="6" t="s">
        <v>1158</v>
      </c>
      <c r="G154" s="15" t="str">
        <f ca="1">IFERROR(__xludf.DUMMYFUNCTION("CONCATENATE(B154,(VLOOKUP(C154,CATALOGOS!$F$2:$H$6,3,FALSE)),(VLOOKUP(V154,CATALOGOS!$J$2:$K$18,2,FALSE)),""-"",TO_TEXT(A154))"),"P05RH-0153")</f>
        <v>P05RH-0153</v>
      </c>
      <c r="H154" s="6" t="str">
        <f ca="1">IFERROR(__xludf.DUMMYFUNCTION("CONCATENATE($B154,(VLOOKUP($C154,CATALOGOS!$F$2:$H$6,3,FALSE)),(VLOOKUP($V154,CATALOGOS!$J$2:$K$18,2,FALSE)),""-"",TO_TEXT($A154))"),"P05RH-0153")</f>
        <v>P05RH-0153</v>
      </c>
      <c r="I154" s="6"/>
      <c r="J154" s="6" t="s">
        <v>1159</v>
      </c>
      <c r="K154" s="6" t="s">
        <v>1160</v>
      </c>
      <c r="L154" s="6" t="s">
        <v>1161</v>
      </c>
      <c r="M154" s="6" t="s">
        <v>1162</v>
      </c>
      <c r="N154" s="17"/>
      <c r="O154" s="17"/>
      <c r="P154" s="17" t="str">
        <f t="shared" si="4"/>
        <v>OK</v>
      </c>
      <c r="Q154" s="17" t="s">
        <v>35</v>
      </c>
      <c r="R154" s="6" t="s">
        <v>35</v>
      </c>
      <c r="S154" s="17" t="s">
        <v>36</v>
      </c>
      <c r="T154" s="17" t="s">
        <v>1163</v>
      </c>
      <c r="U154" s="173" t="s">
        <v>38</v>
      </c>
      <c r="V154" s="11" t="s">
        <v>723</v>
      </c>
      <c r="W154" s="22" t="s">
        <v>1164</v>
      </c>
      <c r="X154" s="22" t="s">
        <v>1164</v>
      </c>
      <c r="Y154" s="22"/>
      <c r="Z154" s="7"/>
      <c r="AA154" s="7"/>
      <c r="AB154" s="26"/>
      <c r="AC154" s="26"/>
    </row>
    <row r="155" spans="1:29" ht="15.75" customHeight="1">
      <c r="A155" s="10" t="s">
        <v>1165</v>
      </c>
      <c r="B155" s="10" t="s">
        <v>27</v>
      </c>
      <c r="C155" s="11" t="s">
        <v>28</v>
      </c>
      <c r="D155" s="12"/>
      <c r="E155" s="13" t="s">
        <v>29</v>
      </c>
      <c r="F155" s="43" t="s">
        <v>1166</v>
      </c>
      <c r="G155" s="15" t="str">
        <f ca="1">IFERROR(__xludf.DUMMYFUNCTION("CONCATENATE(B155,(VLOOKUP(C155,CATALOGOS!$F$2:$H$6,3,FALSE)),(VLOOKUP(V155,CATALOGOS!$J$2:$K$18,2,FALSE)),""-"",TO_TEXT(A155))"),"P05RH-0154")</f>
        <v>P05RH-0154</v>
      </c>
      <c r="H155" s="6" t="str">
        <f ca="1">IFERROR(__xludf.DUMMYFUNCTION("CONCATENATE($B155,(VLOOKUP($C155,CATALOGOS!$F$2:$H$6,3,FALSE)),(VLOOKUP($V155,CATALOGOS!$J$2:$K$18,2,FALSE)),""-"",TO_TEXT($A155))"),"P05RH-0154")</f>
        <v>P05RH-0154</v>
      </c>
      <c r="I155" s="6"/>
      <c r="J155" s="6" t="s">
        <v>1167</v>
      </c>
      <c r="K155" s="6" t="s">
        <v>1168</v>
      </c>
      <c r="L155" s="6" t="s">
        <v>1169</v>
      </c>
      <c r="M155" s="43" t="s">
        <v>1170</v>
      </c>
      <c r="N155" s="17"/>
      <c r="O155" s="17"/>
      <c r="P155" s="17" t="str">
        <f t="shared" si="4"/>
        <v>OK</v>
      </c>
      <c r="Q155" s="53" t="s">
        <v>35</v>
      </c>
      <c r="R155" s="49" t="s">
        <v>35</v>
      </c>
      <c r="S155" s="17" t="s">
        <v>36</v>
      </c>
      <c r="T155" s="17" t="s">
        <v>1171</v>
      </c>
      <c r="U155" s="173" t="s">
        <v>38</v>
      </c>
      <c r="V155" s="11" t="s">
        <v>723</v>
      </c>
      <c r="W155" s="22" t="s">
        <v>1164</v>
      </c>
      <c r="X155" s="22" t="s">
        <v>1164</v>
      </c>
      <c r="Y155" s="22"/>
      <c r="Z155" s="7"/>
      <c r="AA155" s="7"/>
      <c r="AB155" s="23"/>
      <c r="AC155" s="26"/>
    </row>
    <row r="156" spans="1:29" ht="15.75" customHeight="1">
      <c r="A156" s="10" t="s">
        <v>1172</v>
      </c>
      <c r="B156" s="10" t="s">
        <v>27</v>
      </c>
      <c r="C156" s="11" t="s">
        <v>28</v>
      </c>
      <c r="D156" s="12"/>
      <c r="E156" s="13" t="s">
        <v>93</v>
      </c>
      <c r="F156" s="6" t="s">
        <v>1173</v>
      </c>
      <c r="G156" s="15" t="str">
        <f ca="1">IFERROR(__xludf.DUMMYFUNCTION("CONCATENATE(B156,(VLOOKUP(C156,CATALOGOS!$F$2:$H$6,3,FALSE)),(VLOOKUP(V156,CATALOGOS!$J$2:$K$18,2,FALSE)),""-"",TO_TEXT(A156))"),"P05RH-0155")</f>
        <v>P05RH-0155</v>
      </c>
      <c r="H156" s="6" t="str">
        <f ca="1">IFERROR(__xludf.DUMMYFUNCTION("CONCATENATE($B156,(VLOOKUP($C156,CATALOGOS!$F$2:$H$6,3,FALSE)),(VLOOKUP($V156,CATALOGOS!$J$2:$K$18,2,FALSE)),""-"",TO_TEXT($A156))"),"P05RH-0155")</f>
        <v>P05RH-0155</v>
      </c>
      <c r="I156" s="6"/>
      <c r="J156" s="6" t="s">
        <v>1174</v>
      </c>
      <c r="K156" s="54"/>
      <c r="L156" s="6" t="s">
        <v>1175</v>
      </c>
      <c r="M156" s="6" t="s">
        <v>1176</v>
      </c>
      <c r="N156" s="17"/>
      <c r="O156" s="17"/>
      <c r="P156" s="17" t="str">
        <f t="shared" si="4"/>
        <v>OK</v>
      </c>
      <c r="Q156" s="53" t="s">
        <v>35</v>
      </c>
      <c r="R156" s="6" t="s">
        <v>35</v>
      </c>
      <c r="S156" s="17" t="s">
        <v>36</v>
      </c>
      <c r="T156" s="17" t="s">
        <v>1177</v>
      </c>
      <c r="U156" s="173" t="s">
        <v>38</v>
      </c>
      <c r="V156" s="11" t="s">
        <v>723</v>
      </c>
      <c r="W156" s="22" t="s">
        <v>1164</v>
      </c>
      <c r="X156" s="22" t="s">
        <v>1164</v>
      </c>
      <c r="Y156" s="22"/>
      <c r="Z156" s="7"/>
      <c r="AA156" s="7"/>
      <c r="AB156" s="23"/>
      <c r="AC156" s="26"/>
    </row>
    <row r="157" spans="1:29" ht="15.75" customHeight="1">
      <c r="A157" s="10" t="s">
        <v>1178</v>
      </c>
      <c r="B157" s="10" t="s">
        <v>27</v>
      </c>
      <c r="C157" s="11" t="s">
        <v>28</v>
      </c>
      <c r="D157" s="12"/>
      <c r="E157" s="13" t="s">
        <v>116</v>
      </c>
      <c r="F157" s="6" t="s">
        <v>1179</v>
      </c>
      <c r="G157" s="15" t="str">
        <f ca="1">IFERROR(__xludf.DUMMYFUNCTION("CONCATENATE(B157,(VLOOKUP(C157,CATALOGOS!$F$2:$H$6,3,FALSE)),(VLOOKUP(V157,CATALOGOS!$J$2:$K$18,2,FALSE)),""-"",TO_TEXT(A157))"),"P05RH-0156")</f>
        <v>P05RH-0156</v>
      </c>
      <c r="H157" s="6" t="str">
        <f ca="1">IFERROR(__xludf.DUMMYFUNCTION("CONCATENATE($B157,(VLOOKUP($C157,CATALOGOS!$F$2:$H$6,3,FALSE)),(VLOOKUP($V157,CATALOGOS!$J$2:$K$18,2,FALSE)),""-"",TO_TEXT($A157))"),"P05RH-0156")</f>
        <v>P05RH-0156</v>
      </c>
      <c r="I157" s="6"/>
      <c r="J157" s="6" t="s">
        <v>1180</v>
      </c>
      <c r="K157" s="6" t="s">
        <v>1181</v>
      </c>
      <c r="L157" s="6" t="s">
        <v>1182</v>
      </c>
      <c r="M157" s="6" t="s">
        <v>1183</v>
      </c>
      <c r="N157" s="17"/>
      <c r="O157" s="17"/>
      <c r="P157" s="17" t="str">
        <f t="shared" si="4"/>
        <v>OK</v>
      </c>
      <c r="Q157" s="17" t="s">
        <v>35</v>
      </c>
      <c r="R157" s="6" t="s">
        <v>35</v>
      </c>
      <c r="S157" s="17" t="s">
        <v>36</v>
      </c>
      <c r="T157" s="35" t="s">
        <v>1184</v>
      </c>
      <c r="U157" s="173" t="s">
        <v>38</v>
      </c>
      <c r="V157" s="11" t="s">
        <v>723</v>
      </c>
      <c r="W157" s="20" t="s">
        <v>1185</v>
      </c>
      <c r="X157" s="22" t="s">
        <v>1164</v>
      </c>
      <c r="Y157" s="22"/>
      <c r="Z157" s="7"/>
      <c r="AA157" s="7"/>
      <c r="AB157" s="23"/>
      <c r="AC157" s="26"/>
    </row>
    <row r="158" spans="1:29" ht="15.75" customHeight="1">
      <c r="A158" s="10" t="s">
        <v>1186</v>
      </c>
      <c r="B158" s="10" t="s">
        <v>27</v>
      </c>
      <c r="C158" s="11" t="s">
        <v>28</v>
      </c>
      <c r="D158" s="12"/>
      <c r="E158" s="13" t="s">
        <v>378</v>
      </c>
      <c r="F158" s="6" t="s">
        <v>878</v>
      </c>
      <c r="G158" s="15" t="str">
        <f ca="1">IFERROR(__xludf.DUMMYFUNCTION("CONCATENATE(B158,(VLOOKUP(C158,CATALOGOS!$F$2:$H$6,3,FALSE)),(VLOOKUP(V158,CATALOGOS!$J$2:$K$18,2,FALSE)),""-"",TO_TEXT(A158))"),"P05RH-0157")</f>
        <v>P05RH-0157</v>
      </c>
      <c r="H158" s="6" t="str">
        <f ca="1">IFERROR(__xludf.DUMMYFUNCTION("CONCATENATE($B158,(VLOOKUP($C158,CATALOGOS!$F$2:$H$6,3,FALSE)),(VLOOKUP($V158,CATALOGOS!$J$2:$K$18,2,FALSE)),""-"",TO_TEXT($A158))"),"P05RH-0157")</f>
        <v>P05RH-0157</v>
      </c>
      <c r="I158" s="6"/>
      <c r="J158" s="6" t="s">
        <v>1187</v>
      </c>
      <c r="K158" s="6" t="s">
        <v>1188</v>
      </c>
      <c r="L158" s="6" t="s">
        <v>1189</v>
      </c>
      <c r="M158" s="6" t="s">
        <v>1190</v>
      </c>
      <c r="N158" s="17"/>
      <c r="O158" s="17"/>
      <c r="P158" s="17" t="str">
        <f t="shared" si="4"/>
        <v>OK</v>
      </c>
      <c r="Q158" s="17" t="s">
        <v>35</v>
      </c>
      <c r="R158" s="6" t="s">
        <v>35</v>
      </c>
      <c r="S158" s="17" t="s">
        <v>36</v>
      </c>
      <c r="T158" s="17" t="s">
        <v>1191</v>
      </c>
      <c r="U158" s="173" t="s">
        <v>38</v>
      </c>
      <c r="V158" s="11" t="s">
        <v>723</v>
      </c>
      <c r="W158" s="22" t="s">
        <v>1164</v>
      </c>
      <c r="X158" s="22" t="s">
        <v>1164</v>
      </c>
      <c r="Y158" s="22"/>
      <c r="Z158" s="7"/>
      <c r="AA158" s="7"/>
      <c r="AB158" s="23"/>
      <c r="AC158" s="26"/>
    </row>
    <row r="159" spans="1:29" ht="15.75" customHeight="1">
      <c r="A159" s="10" t="s">
        <v>1192</v>
      </c>
      <c r="B159" s="10" t="s">
        <v>27</v>
      </c>
      <c r="C159" s="11" t="s">
        <v>28</v>
      </c>
      <c r="D159" s="12"/>
      <c r="E159" s="13" t="s">
        <v>378</v>
      </c>
      <c r="F159" s="55" t="s">
        <v>878</v>
      </c>
      <c r="G159" s="15" t="str">
        <f ca="1">IFERROR(__xludf.DUMMYFUNCTION("CONCATENATE(B159,(VLOOKUP(C159,CATALOGOS!$F$2:$H$6,3,FALSE)),(VLOOKUP(V159,CATALOGOS!$J$2:$K$18,2,FALSE)),""-"",TO_TEXT(A159))"),"P05RH-0158")</f>
        <v>P05RH-0158</v>
      </c>
      <c r="H159" s="6" t="str">
        <f ca="1">IFERROR(__xludf.DUMMYFUNCTION("CONCATENATE($B159,(VLOOKUP($C159,CATALOGOS!$F$2:$H$6,3,FALSE)),(VLOOKUP($V159,CATALOGOS!$J$2:$K$18,2,FALSE)),""-"",TO_TEXT($A159))"),"P05RH-0158")</f>
        <v>P05RH-0158</v>
      </c>
      <c r="I159" s="6"/>
      <c r="J159" s="6" t="s">
        <v>1193</v>
      </c>
      <c r="K159" s="6" t="s">
        <v>1194</v>
      </c>
      <c r="L159" s="6" t="s">
        <v>1195</v>
      </c>
      <c r="M159" s="6" t="s">
        <v>1196</v>
      </c>
      <c r="N159" s="17"/>
      <c r="O159" s="17"/>
      <c r="P159" s="17" t="str">
        <f t="shared" si="4"/>
        <v>OK</v>
      </c>
      <c r="Q159" s="32" t="s">
        <v>35</v>
      </c>
      <c r="R159" s="6" t="s">
        <v>35</v>
      </c>
      <c r="S159" s="17" t="s">
        <v>36</v>
      </c>
      <c r="T159" s="17" t="s">
        <v>1197</v>
      </c>
      <c r="U159" s="173" t="s">
        <v>38</v>
      </c>
      <c r="V159" s="11" t="s">
        <v>723</v>
      </c>
      <c r="W159" s="22" t="s">
        <v>1164</v>
      </c>
      <c r="X159" s="22" t="s">
        <v>1164</v>
      </c>
      <c r="Y159" s="22"/>
      <c r="Z159" s="7"/>
      <c r="AA159" s="7"/>
      <c r="AB159" s="23"/>
      <c r="AC159" s="26"/>
    </row>
    <row r="160" spans="1:29" ht="15.75" customHeight="1">
      <c r="A160" s="10" t="s">
        <v>1198</v>
      </c>
      <c r="B160" s="10" t="s">
        <v>27</v>
      </c>
      <c r="C160" s="11" t="s">
        <v>28</v>
      </c>
      <c r="D160" s="12"/>
      <c r="E160" s="13" t="s">
        <v>1199</v>
      </c>
      <c r="F160" s="6" t="s">
        <v>1200</v>
      </c>
      <c r="G160" s="15" t="str">
        <f ca="1">IFERROR(__xludf.DUMMYFUNCTION("CONCATENATE(B160,(VLOOKUP(C160,CATALOGOS!$F$2:$H$6,3,FALSE)),(VLOOKUP(V160,CATALOGOS!$J$2:$K$18,2,FALSE)),""-"",TO_TEXT(A160))"),"P05RH-0159")</f>
        <v>P05RH-0159</v>
      </c>
      <c r="H160" s="6" t="str">
        <f ca="1">IFERROR(__xludf.DUMMYFUNCTION("CONCATENATE($B160,(VLOOKUP($C160,CATALOGOS!$F$2:$H$6,3,FALSE)),(VLOOKUP($V160,CATALOGOS!$J$2:$K$18,2,FALSE)),""-"",TO_TEXT($A160))"),"P05RH-0159")</f>
        <v>P05RH-0159</v>
      </c>
      <c r="I160" s="6"/>
      <c r="J160" s="6" t="s">
        <v>1201</v>
      </c>
      <c r="K160" s="6" t="s">
        <v>1202</v>
      </c>
      <c r="L160" s="6" t="s">
        <v>1203</v>
      </c>
      <c r="M160" s="6" t="s">
        <v>1204</v>
      </c>
      <c r="N160" s="17"/>
      <c r="O160" s="17"/>
      <c r="P160" s="17" t="str">
        <f t="shared" si="4"/>
        <v>OK</v>
      </c>
      <c r="Q160" s="17" t="s">
        <v>205</v>
      </c>
      <c r="R160" s="6" t="s">
        <v>1205</v>
      </c>
      <c r="S160" s="17" t="s">
        <v>1206</v>
      </c>
      <c r="T160" s="17" t="s">
        <v>1207</v>
      </c>
      <c r="U160" s="173" t="s">
        <v>38</v>
      </c>
      <c r="V160" s="11" t="s">
        <v>723</v>
      </c>
      <c r="W160" s="22" t="s">
        <v>1164</v>
      </c>
      <c r="X160" s="22" t="s">
        <v>1164</v>
      </c>
      <c r="Y160" s="22"/>
      <c r="Z160" s="7"/>
      <c r="AA160" s="7"/>
      <c r="AB160" s="23"/>
      <c r="AC160" s="26"/>
    </row>
    <row r="161" spans="1:30" ht="15.75" customHeight="1">
      <c r="A161" s="10" t="s">
        <v>1208</v>
      </c>
      <c r="B161" s="10" t="s">
        <v>27</v>
      </c>
      <c r="C161" s="11" t="s">
        <v>28</v>
      </c>
      <c r="D161" s="12"/>
      <c r="E161" s="13" t="s">
        <v>162</v>
      </c>
      <c r="F161" s="6" t="s">
        <v>285</v>
      </c>
      <c r="G161" s="15" t="str">
        <f ca="1">IFERROR(__xludf.DUMMYFUNCTION("CONCATENATE(B161,(VLOOKUP(C161,CATALOGOS!$F$2:$H$6,3,FALSE)),(VLOOKUP(V161,CATALOGOS!$J$2:$K$18,2,FALSE)),""-"",TO_TEXT(A161))"),"P05RH-0160")</f>
        <v>P05RH-0160</v>
      </c>
      <c r="H161" s="6" t="str">
        <f ca="1">IFERROR(__xludf.DUMMYFUNCTION("CONCATENATE($B161,(VLOOKUP($C161,CATALOGOS!$F$2:$H$6,3,FALSE)),(VLOOKUP($V161,CATALOGOS!$J$2:$K$18,2,FALSE)),""-"",TO_TEXT($A161))"),"P05RH-0160")</f>
        <v>P05RH-0160</v>
      </c>
      <c r="I161" s="6"/>
      <c r="J161" s="6" t="s">
        <v>1209</v>
      </c>
      <c r="K161" s="6" t="s">
        <v>1210</v>
      </c>
      <c r="L161" s="6" t="s">
        <v>1211</v>
      </c>
      <c r="M161" s="6" t="s">
        <v>1212</v>
      </c>
      <c r="N161" s="17"/>
      <c r="O161" s="17"/>
      <c r="P161" s="17" t="str">
        <f t="shared" si="4"/>
        <v>OK</v>
      </c>
      <c r="Q161" s="17" t="s">
        <v>663</v>
      </c>
      <c r="R161" s="6" t="s">
        <v>664</v>
      </c>
      <c r="S161" s="56" t="s">
        <v>1213</v>
      </c>
      <c r="T161" s="17" t="s">
        <v>1214</v>
      </c>
      <c r="U161" s="173" t="s">
        <v>38</v>
      </c>
      <c r="V161" s="11" t="s">
        <v>723</v>
      </c>
      <c r="W161" s="22" t="s">
        <v>1164</v>
      </c>
      <c r="X161" s="22" t="s">
        <v>1164</v>
      </c>
      <c r="Y161" s="22"/>
      <c r="Z161" s="7"/>
      <c r="AA161" s="7"/>
      <c r="AB161" s="23"/>
      <c r="AC161" s="26"/>
    </row>
    <row r="162" spans="1:30" ht="15.75" customHeight="1">
      <c r="A162" s="10" t="s">
        <v>1215</v>
      </c>
      <c r="B162" s="10" t="s">
        <v>27</v>
      </c>
      <c r="C162" s="11" t="s">
        <v>28</v>
      </c>
      <c r="D162" s="12"/>
      <c r="E162" s="13" t="s">
        <v>151</v>
      </c>
      <c r="F162" s="6" t="s">
        <v>714</v>
      </c>
      <c r="G162" s="15" t="str">
        <f ca="1">IFERROR(__xludf.DUMMYFUNCTION("CONCATENATE(B162,(VLOOKUP(C162,CATALOGOS!$F$2:$H$6,3,FALSE)),(VLOOKUP(V162,CATALOGOS!$J$2:$K$18,2,FALSE)),""-"",TO_TEXT(A162))"),"P05RH-0161")</f>
        <v>P05RH-0161</v>
      </c>
      <c r="H162" s="6" t="str">
        <f ca="1">IFERROR(__xludf.DUMMYFUNCTION("CONCATENATE($B162,(VLOOKUP($C162,CATALOGOS!$F$2:$H$6,3,FALSE)),(VLOOKUP($V162,CATALOGOS!$J$2:$K$18,2,FALSE)),""-"",TO_TEXT($A162))"),"P05RH-0161")</f>
        <v>P05RH-0161</v>
      </c>
      <c r="I162" s="6"/>
      <c r="J162" s="6" t="s">
        <v>1216</v>
      </c>
      <c r="K162" s="6" t="s">
        <v>1217</v>
      </c>
      <c r="L162" s="6" t="s">
        <v>1218</v>
      </c>
      <c r="M162" s="6" t="s">
        <v>1219</v>
      </c>
      <c r="N162" s="17"/>
      <c r="O162" s="17"/>
      <c r="P162" s="17" t="str">
        <f t="shared" si="4"/>
        <v>OK</v>
      </c>
      <c r="Q162" s="17" t="s">
        <v>1220</v>
      </c>
      <c r="R162" s="6" t="s">
        <v>720</v>
      </c>
      <c r="S162" s="17" t="s">
        <v>1221</v>
      </c>
      <c r="T162" s="32" t="s">
        <v>1222</v>
      </c>
      <c r="U162" s="173" t="s">
        <v>38</v>
      </c>
      <c r="V162" s="11" t="s">
        <v>723</v>
      </c>
      <c r="W162" s="22" t="s">
        <v>1164</v>
      </c>
      <c r="X162" s="22" t="s">
        <v>1164</v>
      </c>
      <c r="Y162" s="22"/>
      <c r="Z162" s="7"/>
      <c r="AA162" s="7"/>
      <c r="AB162" s="23"/>
      <c r="AC162" s="26"/>
    </row>
    <row r="163" spans="1:30" ht="15.75" customHeight="1">
      <c r="A163" s="10" t="s">
        <v>1223</v>
      </c>
      <c r="B163" s="10" t="s">
        <v>27</v>
      </c>
      <c r="C163" s="11" t="s">
        <v>28</v>
      </c>
      <c r="D163" s="12"/>
      <c r="E163" s="13" t="s">
        <v>151</v>
      </c>
      <c r="F163" s="6" t="s">
        <v>293</v>
      </c>
      <c r="G163" s="15" t="str">
        <f ca="1">IFERROR(__xludf.DUMMYFUNCTION("CONCATENATE(B163,(VLOOKUP(C163,CATALOGOS!$F$2:$H$6,3,FALSE)),(VLOOKUP(V163,CATALOGOS!$J$2:$K$18,2,FALSE)),""-"",TO_TEXT(A163))"),"P05RH-0162")</f>
        <v>P05RH-0162</v>
      </c>
      <c r="H163" s="6" t="str">
        <f ca="1">IFERROR(__xludf.DUMMYFUNCTION("CONCATENATE($B163,(VLOOKUP($C163,CATALOGOS!$F$2:$H$6,3,FALSE)),(VLOOKUP($V163,CATALOGOS!$J$2:$K$18,2,FALSE)),""-"",TO_TEXT($A163))"),"P05RH-0162")</f>
        <v>P05RH-0162</v>
      </c>
      <c r="I163" s="6"/>
      <c r="J163" s="6" t="s">
        <v>1224</v>
      </c>
      <c r="K163" s="6" t="s">
        <v>1225</v>
      </c>
      <c r="L163" s="36"/>
      <c r="M163" s="6" t="s">
        <v>1226</v>
      </c>
      <c r="N163" s="17"/>
      <c r="O163" s="17"/>
      <c r="P163" s="17" t="str">
        <f t="shared" si="4"/>
        <v>OK</v>
      </c>
      <c r="Q163" s="17" t="s">
        <v>297</v>
      </c>
      <c r="R163" s="6" t="s">
        <v>298</v>
      </c>
      <c r="S163" s="6" t="s">
        <v>1227</v>
      </c>
      <c r="T163" s="10" t="s">
        <v>85</v>
      </c>
      <c r="U163" s="173" t="s">
        <v>38</v>
      </c>
      <c r="V163" s="11" t="s">
        <v>723</v>
      </c>
      <c r="W163" s="22" t="s">
        <v>1164</v>
      </c>
      <c r="X163" s="22" t="s">
        <v>1164</v>
      </c>
      <c r="Y163" s="22"/>
      <c r="Z163" s="6"/>
      <c r="AA163" s="6"/>
      <c r="AB163" s="41" t="s">
        <v>92</v>
      </c>
      <c r="AC163" s="42">
        <v>44348</v>
      </c>
      <c r="AD163" s="57">
        <v>0</v>
      </c>
    </row>
    <row r="164" spans="1:30" ht="15.75" customHeight="1">
      <c r="A164" s="10" t="s">
        <v>1228</v>
      </c>
      <c r="B164" s="10" t="s">
        <v>27</v>
      </c>
      <c r="C164" s="11" t="s">
        <v>28</v>
      </c>
      <c r="D164" s="12"/>
      <c r="E164" s="13" t="s">
        <v>248</v>
      </c>
      <c r="F164" s="6" t="s">
        <v>249</v>
      </c>
      <c r="G164" s="15" t="str">
        <f ca="1">IFERROR(__xludf.DUMMYFUNCTION("CONCATENATE(B164,(VLOOKUP(C164,CATALOGOS!$F$2:$H$6,3,FALSE)),(VLOOKUP(V164,CATALOGOS!$J$2:$K$18,2,FALSE)),""-"",TO_TEXT(A164))"),"P05RH-0163")</f>
        <v>P05RH-0163</v>
      </c>
      <c r="H164" s="6" t="str">
        <f ca="1">IFERROR(__xludf.DUMMYFUNCTION("CONCATENATE($B164,(VLOOKUP($C164,CATALOGOS!$F$2:$H$6,3,FALSE)),(VLOOKUP($V164,CATALOGOS!$J$2:$K$18,2,FALSE)),""-"",TO_TEXT($A164))"),"P05RH-0163")</f>
        <v>P05RH-0163</v>
      </c>
      <c r="I164" s="6"/>
      <c r="J164" s="6" t="s">
        <v>1229</v>
      </c>
      <c r="K164" s="6" t="s">
        <v>1230</v>
      </c>
      <c r="L164" s="6" t="s">
        <v>1231</v>
      </c>
      <c r="M164" s="43" t="s">
        <v>1232</v>
      </c>
      <c r="N164" s="17"/>
      <c r="O164" s="17"/>
      <c r="P164" s="17" t="str">
        <f t="shared" si="4"/>
        <v>OK</v>
      </c>
      <c r="Q164" s="17" t="s">
        <v>978</v>
      </c>
      <c r="R164" s="6" t="s">
        <v>979</v>
      </c>
      <c r="S164" s="17" t="s">
        <v>1233</v>
      </c>
      <c r="T164" s="17" t="s">
        <v>1234</v>
      </c>
      <c r="U164" s="173" t="s">
        <v>38</v>
      </c>
      <c r="V164" s="11" t="s">
        <v>723</v>
      </c>
      <c r="W164" s="22" t="s">
        <v>1164</v>
      </c>
      <c r="X164" s="22" t="s">
        <v>1164</v>
      </c>
      <c r="Y164" s="22"/>
      <c r="Z164" s="7"/>
      <c r="AA164" s="7"/>
      <c r="AB164" s="23"/>
      <c r="AC164" s="26"/>
    </row>
    <row r="165" spans="1:30" ht="15.75" customHeight="1">
      <c r="A165" s="10" t="s">
        <v>1235</v>
      </c>
      <c r="B165" s="10" t="s">
        <v>27</v>
      </c>
      <c r="C165" s="11" t="s">
        <v>28</v>
      </c>
      <c r="D165" s="12"/>
      <c r="E165" s="13" t="s">
        <v>199</v>
      </c>
      <c r="F165" s="6" t="s">
        <v>199</v>
      </c>
      <c r="G165" s="15" t="str">
        <f ca="1">IFERROR(__xludf.DUMMYFUNCTION("CONCATENATE(B165,(VLOOKUP(C165,CATALOGOS!$F$2:$H$6,3,FALSE)),(VLOOKUP(V165,CATALOGOS!$J$2:$K$18,2,FALSE)),""-"",TO_TEXT(A165))"),"P05RH-0164")</f>
        <v>P05RH-0164</v>
      </c>
      <c r="H165" s="6" t="str">
        <f ca="1">IFERROR(__xludf.DUMMYFUNCTION("CONCATENATE($B165,(VLOOKUP($C165,CATALOGOS!$F$2:$H$6,3,FALSE)),(VLOOKUP($V165,CATALOGOS!$J$2:$K$18,2,FALSE)),""-"",TO_TEXT($A165))"),"P05RH-0164")</f>
        <v>P05RH-0164</v>
      </c>
      <c r="I165" s="6"/>
      <c r="J165" s="6" t="s">
        <v>1236</v>
      </c>
      <c r="K165" s="6" t="s">
        <v>1237</v>
      </c>
      <c r="L165" s="36"/>
      <c r="M165" s="6" t="s">
        <v>1238</v>
      </c>
      <c r="N165" s="17"/>
      <c r="O165" s="17"/>
      <c r="P165" s="17" t="str">
        <f t="shared" si="4"/>
        <v>OK</v>
      </c>
      <c r="Q165" s="17" t="s">
        <v>273</v>
      </c>
      <c r="R165" s="6" t="s">
        <v>274</v>
      </c>
      <c r="S165" s="6">
        <v>11392903014316</v>
      </c>
      <c r="T165" s="10" t="s">
        <v>85</v>
      </c>
      <c r="U165" s="173" t="s">
        <v>38</v>
      </c>
      <c r="V165" s="11" t="s">
        <v>723</v>
      </c>
      <c r="W165" s="22" t="s">
        <v>1164</v>
      </c>
      <c r="X165" s="22" t="s">
        <v>1164</v>
      </c>
      <c r="Y165" s="22"/>
      <c r="Z165" s="6"/>
      <c r="AA165" s="6"/>
      <c r="AB165" s="41" t="s">
        <v>92</v>
      </c>
      <c r="AC165" s="42">
        <v>44348</v>
      </c>
      <c r="AD165" s="58" t="s">
        <v>276</v>
      </c>
    </row>
    <row r="166" spans="1:30" ht="15.75" customHeight="1">
      <c r="A166" s="10" t="s">
        <v>1239</v>
      </c>
      <c r="B166" s="10" t="s">
        <v>27</v>
      </c>
      <c r="C166" s="11" t="s">
        <v>28</v>
      </c>
      <c r="D166" s="12"/>
      <c r="E166" s="13" t="s">
        <v>1240</v>
      </c>
      <c r="F166" s="43" t="s">
        <v>278</v>
      </c>
      <c r="G166" s="15" t="str">
        <f ca="1">IFERROR(__xludf.DUMMYFUNCTION("CONCATENATE(B166,(VLOOKUP(C166,CATALOGOS!$F$2:$H$6,3,FALSE)),(VLOOKUP(V166,CATALOGOS!$J$2:$K$18,2,FALSE)),""-"",TO_TEXT(A166))"),"P05RH-0165")</f>
        <v>P05RH-0165</v>
      </c>
      <c r="H166" s="6" t="str">
        <f ca="1">IFERROR(__xludf.DUMMYFUNCTION("CONCATENATE($B166,(VLOOKUP($C166,CATALOGOS!$F$2:$H$6,3,FALSE)),(VLOOKUP($V166,CATALOGOS!$J$2:$K$18,2,FALSE)),""-"",TO_TEXT($A166))"),"P05RH-0165")</f>
        <v>P05RH-0165</v>
      </c>
      <c r="I166" s="6"/>
      <c r="J166" s="6" t="s">
        <v>1241</v>
      </c>
      <c r="K166" s="6" t="s">
        <v>1242</v>
      </c>
      <c r="L166" s="6" t="s">
        <v>1243</v>
      </c>
      <c r="M166" s="6" t="s">
        <v>1244</v>
      </c>
      <c r="N166" s="17"/>
      <c r="O166" s="17"/>
      <c r="P166" s="17" t="str">
        <f t="shared" si="4"/>
        <v>OK</v>
      </c>
      <c r="Q166" s="17" t="s">
        <v>35</v>
      </c>
      <c r="R166" s="6" t="s">
        <v>35</v>
      </c>
      <c r="S166" s="17" t="s">
        <v>36</v>
      </c>
      <c r="T166" s="17" t="s">
        <v>1245</v>
      </c>
      <c r="U166" s="173" t="s">
        <v>38</v>
      </c>
      <c r="V166" s="11" t="s">
        <v>723</v>
      </c>
      <c r="W166" s="22" t="s">
        <v>1164</v>
      </c>
      <c r="X166" s="22" t="s">
        <v>1164</v>
      </c>
      <c r="Y166" s="22"/>
      <c r="Z166" s="7"/>
      <c r="AA166" s="7"/>
      <c r="AB166" s="23"/>
      <c r="AC166" s="26"/>
    </row>
    <row r="167" spans="1:30" ht="15.75" customHeight="1">
      <c r="A167" s="10" t="s">
        <v>1246</v>
      </c>
      <c r="B167" s="10" t="s">
        <v>27</v>
      </c>
      <c r="C167" s="11" t="s">
        <v>28</v>
      </c>
      <c r="D167" s="12"/>
      <c r="E167" s="13" t="s">
        <v>378</v>
      </c>
      <c r="F167" s="6" t="s">
        <v>379</v>
      </c>
      <c r="G167" s="15" t="str">
        <f ca="1">IFERROR(__xludf.DUMMYFUNCTION("CONCATENATE(B167,(VLOOKUP(C167,CATALOGOS!$F$2:$H$6,3,FALSE)),(VLOOKUP(V167,CATALOGOS!$J$2:$K$18,2,FALSE)),""-"",TO_TEXT(A167))"),"P05RH-0166")</f>
        <v>P05RH-0166</v>
      </c>
      <c r="H167" s="6" t="str">
        <f ca="1">IFERROR(__xludf.DUMMYFUNCTION("CONCATENATE($B167,(VLOOKUP($C167,CATALOGOS!$F$2:$H$6,3,FALSE)),(VLOOKUP($V167,CATALOGOS!$J$2:$K$18,2,FALSE)),""-"",TO_TEXT($A167))"),"P05RH-0166")</f>
        <v>P05RH-0166</v>
      </c>
      <c r="I167" s="6"/>
      <c r="J167" s="6" t="s">
        <v>1247</v>
      </c>
      <c r="K167" s="6" t="s">
        <v>1248</v>
      </c>
      <c r="L167" s="6" t="s">
        <v>1249</v>
      </c>
      <c r="M167" s="6" t="s">
        <v>1250</v>
      </c>
      <c r="N167" s="17"/>
      <c r="O167" s="17"/>
      <c r="P167" s="17" t="str">
        <f t="shared" si="4"/>
        <v>OK</v>
      </c>
      <c r="Q167" s="17" t="s">
        <v>35</v>
      </c>
      <c r="R167" s="6" t="s">
        <v>35</v>
      </c>
      <c r="S167" s="17" t="s">
        <v>36</v>
      </c>
      <c r="T167" s="17" t="s">
        <v>1251</v>
      </c>
      <c r="U167" s="173" t="s">
        <v>38</v>
      </c>
      <c r="V167" s="11" t="s">
        <v>723</v>
      </c>
      <c r="W167" s="22" t="s">
        <v>1164</v>
      </c>
      <c r="X167" s="22" t="s">
        <v>1164</v>
      </c>
      <c r="Y167" s="22"/>
      <c r="Z167" s="7"/>
      <c r="AA167" s="7"/>
      <c r="AB167" s="23"/>
      <c r="AC167" s="26"/>
    </row>
    <row r="168" spans="1:30" ht="15.75" customHeight="1">
      <c r="A168" s="10" t="s">
        <v>1252</v>
      </c>
      <c r="B168" s="10" t="s">
        <v>27</v>
      </c>
      <c r="C168" s="11" t="s">
        <v>28</v>
      </c>
      <c r="D168" s="12"/>
      <c r="E168" s="13" t="s">
        <v>62</v>
      </c>
      <c r="F168" s="6" t="s">
        <v>1253</v>
      </c>
      <c r="G168" s="15" t="str">
        <f ca="1">IFERROR(__xludf.DUMMYFUNCTION("CONCATENATE(B168,(VLOOKUP(C168,CATALOGOS!$F$2:$H$6,3,FALSE)),(VLOOKUP(V168,CATALOGOS!$J$2:$K$18,2,FALSE)),""-"",TO_TEXT(A168))"),"P05RH-0167")</f>
        <v>P05RH-0167</v>
      </c>
      <c r="H168" s="6" t="str">
        <f ca="1">IFERROR(__xludf.DUMMYFUNCTION("CONCATENATE($B168,(VLOOKUP($C168,CATALOGOS!$F$2:$H$6,3,FALSE)),(VLOOKUP($V168,CATALOGOS!$J$2:$K$18,2,FALSE)),""-"",TO_TEXT($A168))"),"P05RH-0167")</f>
        <v>P05RH-0167</v>
      </c>
      <c r="I168" s="6"/>
      <c r="J168" s="6" t="s">
        <v>1254</v>
      </c>
      <c r="K168" s="6" t="s">
        <v>1255</v>
      </c>
      <c r="L168" s="6" t="s">
        <v>1256</v>
      </c>
      <c r="M168" s="6" t="s">
        <v>1257</v>
      </c>
      <c r="N168" s="17"/>
      <c r="O168" s="17"/>
      <c r="P168" s="17" t="str">
        <f t="shared" si="4"/>
        <v>OK</v>
      </c>
      <c r="Q168" s="17" t="s">
        <v>35</v>
      </c>
      <c r="R168" s="6" t="s">
        <v>35</v>
      </c>
      <c r="S168" s="17" t="s">
        <v>36</v>
      </c>
      <c r="T168" s="17" t="s">
        <v>1258</v>
      </c>
      <c r="U168" s="173" t="s">
        <v>38</v>
      </c>
      <c r="V168" s="11" t="s">
        <v>723</v>
      </c>
      <c r="W168" s="22" t="s">
        <v>1164</v>
      </c>
      <c r="X168" s="22" t="s">
        <v>1164</v>
      </c>
      <c r="Y168" s="22"/>
      <c r="Z168" s="7"/>
      <c r="AA168" s="7"/>
      <c r="AB168" s="23"/>
      <c r="AC168" s="26"/>
    </row>
    <row r="169" spans="1:30" ht="15.75" customHeight="1">
      <c r="A169" s="10" t="s">
        <v>1259</v>
      </c>
      <c r="B169" s="10" t="s">
        <v>27</v>
      </c>
      <c r="C169" s="11" t="s">
        <v>28</v>
      </c>
      <c r="D169" s="12"/>
      <c r="E169" s="13" t="s">
        <v>62</v>
      </c>
      <c r="F169" s="6" t="s">
        <v>1260</v>
      </c>
      <c r="G169" s="15" t="str">
        <f ca="1">IFERROR(__xludf.DUMMYFUNCTION("CONCATENATE(B169,(VLOOKUP(C169,CATALOGOS!$F$2:$H$6,3,FALSE)),(VLOOKUP(V169,CATALOGOS!$J$2:$K$18,2,FALSE)),""-"",TO_TEXT(A169))"),"P05RH-0168")</f>
        <v>P05RH-0168</v>
      </c>
      <c r="H169" s="6" t="str">
        <f ca="1">IFERROR(__xludf.DUMMYFUNCTION("CONCATENATE($B169,(VLOOKUP($C169,CATALOGOS!$F$2:$H$6,3,FALSE)),(VLOOKUP($V169,CATALOGOS!$J$2:$K$18,2,FALSE)),""-"",TO_TEXT($A169))"),"P05RH-0168")</f>
        <v>P05RH-0168</v>
      </c>
      <c r="I169" s="6"/>
      <c r="J169" s="6" t="s">
        <v>1261</v>
      </c>
      <c r="K169" s="6" t="s">
        <v>1262</v>
      </c>
      <c r="L169" s="6" t="s">
        <v>1263</v>
      </c>
      <c r="M169" s="6" t="s">
        <v>1264</v>
      </c>
      <c r="N169" s="17"/>
      <c r="O169" s="17"/>
      <c r="P169" s="17" t="str">
        <f t="shared" si="4"/>
        <v>OK</v>
      </c>
      <c r="Q169" s="17" t="s">
        <v>35</v>
      </c>
      <c r="R169" s="6" t="s">
        <v>35</v>
      </c>
      <c r="S169" s="17" t="s">
        <v>36</v>
      </c>
      <c r="T169" s="17" t="s">
        <v>1265</v>
      </c>
      <c r="U169" s="173" t="s">
        <v>38</v>
      </c>
      <c r="V169" s="11" t="s">
        <v>723</v>
      </c>
      <c r="W169" s="22" t="s">
        <v>1164</v>
      </c>
      <c r="X169" s="22" t="s">
        <v>1164</v>
      </c>
      <c r="Y169" s="22"/>
      <c r="Z169" s="7"/>
      <c r="AA169" s="7"/>
      <c r="AB169" s="23"/>
      <c r="AC169" s="26"/>
    </row>
    <row r="170" spans="1:30" ht="15.75" customHeight="1">
      <c r="A170" s="10" t="s">
        <v>1266</v>
      </c>
      <c r="B170" s="10" t="s">
        <v>27</v>
      </c>
      <c r="C170" s="11" t="s">
        <v>28</v>
      </c>
      <c r="D170" s="12"/>
      <c r="E170" s="13" t="s">
        <v>43</v>
      </c>
      <c r="F170" s="6" t="s">
        <v>885</v>
      </c>
      <c r="G170" s="15" t="str">
        <f ca="1">IFERROR(__xludf.DUMMYFUNCTION("CONCATENATE(B170,(VLOOKUP(C170,CATALOGOS!$F$2:$H$6,3,FALSE)),(VLOOKUP(V170,CATALOGOS!$J$2:$K$18,2,FALSE)),""-"",TO_TEXT(A170))"),"P05RH-0169")</f>
        <v>P05RH-0169</v>
      </c>
      <c r="H170" s="6" t="str">
        <f ca="1">IFERROR(__xludf.DUMMYFUNCTION("CONCATENATE($B170,(VLOOKUP($C170,CATALOGOS!$F$2:$H$6,3,FALSE)),(VLOOKUP($V170,CATALOGOS!$J$2:$K$18,2,FALSE)),""-"",TO_TEXT($A170))"),"P05RH-0169")</f>
        <v>P05RH-0169</v>
      </c>
      <c r="I170" s="6"/>
      <c r="J170" s="6" t="s">
        <v>1267</v>
      </c>
      <c r="K170" s="6" t="s">
        <v>1268</v>
      </c>
      <c r="L170" s="10" t="s">
        <v>1269</v>
      </c>
      <c r="M170" s="43" t="s">
        <v>1270</v>
      </c>
      <c r="N170" s="17"/>
      <c r="O170" s="17"/>
      <c r="P170" s="17" t="str">
        <f t="shared" si="4"/>
        <v>OK</v>
      </c>
      <c r="Q170" s="17" t="s">
        <v>406</v>
      </c>
      <c r="R170" s="6" t="s">
        <v>1271</v>
      </c>
      <c r="S170" s="17" t="s">
        <v>1272</v>
      </c>
      <c r="T170" s="17" t="s">
        <v>1273</v>
      </c>
      <c r="U170" s="173" t="s">
        <v>38</v>
      </c>
      <c r="V170" s="11" t="s">
        <v>723</v>
      </c>
      <c r="W170" s="22" t="s">
        <v>1164</v>
      </c>
      <c r="X170" s="22" t="s">
        <v>1164</v>
      </c>
      <c r="Y170" s="22"/>
      <c r="Z170" s="7"/>
      <c r="AA170" s="7"/>
      <c r="AB170" s="23"/>
      <c r="AC170" s="26"/>
    </row>
    <row r="171" spans="1:30" ht="15.75" customHeight="1">
      <c r="A171" s="10" t="s">
        <v>1274</v>
      </c>
      <c r="B171" s="10" t="s">
        <v>27</v>
      </c>
      <c r="C171" s="11" t="s">
        <v>28</v>
      </c>
      <c r="D171" s="38"/>
      <c r="E171" s="13" t="s">
        <v>1275</v>
      </c>
      <c r="F171" s="6" t="s">
        <v>1276</v>
      </c>
      <c r="G171" s="15" t="str">
        <f ca="1">IFERROR(__xludf.DUMMYFUNCTION("CONCATENATE(B171,(VLOOKUP(C171,CATALOGOS!$F$2:$H$6,3,FALSE)),(VLOOKUP(V171,CATALOGOS!$J$2:$K$18,2,FALSE)),""-"",TO_TEXT(A171))"),"P05RH-0170")</f>
        <v>P05RH-0170</v>
      </c>
      <c r="H171" s="6" t="str">
        <f ca="1">IFERROR(__xludf.DUMMYFUNCTION("CONCATENATE($B171,(VLOOKUP($C171,CATALOGOS!$F$2:$H$6,3,FALSE)),(VLOOKUP($V171,CATALOGOS!$J$2:$K$18,2,FALSE)),""-"",TO_TEXT($A171))"),"P05RH-0170")</f>
        <v>P05RH-0170</v>
      </c>
      <c r="I171" s="6"/>
      <c r="J171" s="6" t="s">
        <v>1277</v>
      </c>
      <c r="K171" s="6" t="s">
        <v>1278</v>
      </c>
      <c r="L171" s="10" t="s">
        <v>1279</v>
      </c>
      <c r="M171" s="6" t="s">
        <v>1280</v>
      </c>
      <c r="N171" s="17"/>
      <c r="O171" s="17"/>
      <c r="P171" s="17" t="str">
        <f t="shared" si="4"/>
        <v>OK</v>
      </c>
      <c r="Q171" s="17" t="s">
        <v>682</v>
      </c>
      <c r="R171" s="6" t="s">
        <v>1281</v>
      </c>
      <c r="S171" s="46" t="s">
        <v>1282</v>
      </c>
      <c r="T171" s="17" t="s">
        <v>1283</v>
      </c>
      <c r="U171" s="173" t="s">
        <v>38</v>
      </c>
      <c r="V171" s="11" t="s">
        <v>723</v>
      </c>
      <c r="W171" s="22" t="s">
        <v>1164</v>
      </c>
      <c r="X171" s="22" t="s">
        <v>1164</v>
      </c>
      <c r="Y171" s="22"/>
      <c r="Z171" s="7"/>
      <c r="AA171" s="7"/>
      <c r="AB171" s="26"/>
      <c r="AC171" s="26"/>
    </row>
    <row r="172" spans="1:30" ht="15.75" customHeight="1">
      <c r="A172" s="10" t="s">
        <v>1284</v>
      </c>
      <c r="B172" s="10" t="s">
        <v>27</v>
      </c>
      <c r="C172" s="11" t="s">
        <v>28</v>
      </c>
      <c r="D172" s="12"/>
      <c r="E172" s="13" t="s">
        <v>93</v>
      </c>
      <c r="F172" s="6" t="s">
        <v>1285</v>
      </c>
      <c r="G172" s="15" t="str">
        <f ca="1">IFERROR(__xludf.DUMMYFUNCTION("CONCATENATE(B172,(VLOOKUP(C172,CATALOGOS!$F$2:$H$6,3,FALSE)),(VLOOKUP(V172,CATALOGOS!$J$2:$K$18,2,FALSE)),""-"",TO_TEXT(A172))"),"P05RH-0171")</f>
        <v>P05RH-0171</v>
      </c>
      <c r="H172" s="6" t="str">
        <f ca="1">IFERROR(__xludf.DUMMYFUNCTION("CONCATENATE($B172,(VLOOKUP($C172,CATALOGOS!$F$2:$H$6,3,FALSE)),(VLOOKUP($V172,CATALOGOS!$J$2:$K$18,2,FALSE)),""-"",TO_TEXT($A172))"),"P05RH-0171")</f>
        <v>P05RH-0171</v>
      </c>
      <c r="I172" s="6"/>
      <c r="J172" s="6" t="s">
        <v>1286</v>
      </c>
      <c r="K172" s="6" t="s">
        <v>1287</v>
      </c>
      <c r="L172" s="6" t="s">
        <v>1288</v>
      </c>
      <c r="M172" s="6" t="s">
        <v>1289</v>
      </c>
      <c r="N172" s="17"/>
      <c r="O172" s="17"/>
      <c r="P172" s="17" t="str">
        <f t="shared" si="4"/>
        <v>OK</v>
      </c>
      <c r="Q172" s="17" t="s">
        <v>35</v>
      </c>
      <c r="R172" s="6" t="s">
        <v>35</v>
      </c>
      <c r="S172" s="17" t="s">
        <v>36</v>
      </c>
      <c r="T172" s="17" t="s">
        <v>1290</v>
      </c>
      <c r="U172" s="173" t="s">
        <v>38</v>
      </c>
      <c r="V172" s="11" t="s">
        <v>723</v>
      </c>
      <c r="W172" s="22" t="s">
        <v>724</v>
      </c>
      <c r="X172" s="22" t="s">
        <v>724</v>
      </c>
      <c r="Y172" s="22"/>
      <c r="Z172" s="7"/>
      <c r="AA172" s="7"/>
      <c r="AB172" s="23"/>
      <c r="AC172" s="26"/>
    </row>
    <row r="173" spans="1:30" ht="15.75" customHeight="1">
      <c r="A173" s="10" t="s">
        <v>1291</v>
      </c>
      <c r="B173" s="10" t="s">
        <v>27</v>
      </c>
      <c r="C173" s="11" t="s">
        <v>28</v>
      </c>
      <c r="D173" s="12"/>
      <c r="E173" s="13" t="s">
        <v>378</v>
      </c>
      <c r="F173" s="6" t="s">
        <v>1292</v>
      </c>
      <c r="G173" s="15" t="str">
        <f ca="1">IFERROR(__xludf.DUMMYFUNCTION("CONCATENATE(B173,(VLOOKUP(C173,CATALOGOS!$F$2:$H$6,3,FALSE)),(VLOOKUP(V173,CATALOGOS!$J$2:$K$18,2,FALSE)),""-"",TO_TEXT(A173))"),"P05RH-0172")</f>
        <v>P05RH-0172</v>
      </c>
      <c r="H173" s="6" t="str">
        <f ca="1">IFERROR(__xludf.DUMMYFUNCTION("CONCATENATE($B173,(VLOOKUP($C173,CATALOGOS!$F$2:$H$6,3,FALSE)),(VLOOKUP($V173,CATALOGOS!$J$2:$K$18,2,FALSE)),""-"",TO_TEXT($A173))"),"P05RH-0172")</f>
        <v>P05RH-0172</v>
      </c>
      <c r="I173" s="6"/>
      <c r="J173" s="6" t="s">
        <v>1293</v>
      </c>
      <c r="K173" s="6" t="s">
        <v>1294</v>
      </c>
      <c r="L173" s="36"/>
      <c r="M173" s="6" t="s">
        <v>1295</v>
      </c>
      <c r="N173" s="17"/>
      <c r="O173" s="17"/>
      <c r="P173" s="17" t="str">
        <f t="shared" si="4"/>
        <v>OK</v>
      </c>
      <c r="Q173" s="35" t="s">
        <v>35</v>
      </c>
      <c r="R173" s="6" t="s">
        <v>35</v>
      </c>
      <c r="S173" s="10" t="s">
        <v>36</v>
      </c>
      <c r="T173" s="10" t="s">
        <v>1296</v>
      </c>
      <c r="U173" s="173" t="s">
        <v>38</v>
      </c>
      <c r="V173" s="11" t="s">
        <v>723</v>
      </c>
      <c r="W173" s="22" t="s">
        <v>724</v>
      </c>
      <c r="X173" s="22" t="s">
        <v>724</v>
      </c>
      <c r="Y173" s="22"/>
      <c r="Z173" s="7"/>
      <c r="AA173" s="7"/>
      <c r="AB173" s="23"/>
      <c r="AC173" s="26"/>
    </row>
    <row r="174" spans="1:30" ht="15.75" customHeight="1">
      <c r="A174" s="10" t="s">
        <v>1297</v>
      </c>
      <c r="B174" s="10" t="s">
        <v>27</v>
      </c>
      <c r="C174" s="11" t="s">
        <v>28</v>
      </c>
      <c r="D174" s="12"/>
      <c r="E174" s="13" t="s">
        <v>151</v>
      </c>
      <c r="F174" s="6" t="s">
        <v>152</v>
      </c>
      <c r="G174" s="64" t="str">
        <f ca="1">IFERROR(__xludf.DUMMYFUNCTION("CONCATENATE(B174,(VLOOKUP(C174,CATALOGOS!$F$2:$H$6,3,FALSE)),(VLOOKUP(V174,CATALOGOS!$J$2:$K$18,2,FALSE)),""-"",TO_TEXT(A174))"),"P05RM-0175")</f>
        <v>P05RM-0175</v>
      </c>
      <c r="H174" s="6" t="str">
        <f ca="1">IFERROR(__xludf.DUMMYFUNCTION("CONCATENATE($B174,(VLOOKUP($C174,CATALOGOS!$F$2:$H$6,3,FALSE)),(VLOOKUP($V174,CATALOGOS!$J$2:$K$18,2,FALSE)),""-"",TO_TEXT($A174))"),"P05RM-0175")</f>
        <v>P05RM-0175</v>
      </c>
      <c r="I174" s="6"/>
      <c r="J174" s="6" t="s">
        <v>1298</v>
      </c>
      <c r="K174" s="6" t="s">
        <v>1299</v>
      </c>
      <c r="L174" s="6" t="s">
        <v>1300</v>
      </c>
      <c r="M174" s="6" t="s">
        <v>1301</v>
      </c>
      <c r="N174" s="17"/>
      <c r="O174" s="17"/>
      <c r="P174" s="17" t="str">
        <f t="shared" si="4"/>
        <v>OK</v>
      </c>
      <c r="Q174" s="17" t="s">
        <v>157</v>
      </c>
      <c r="R174" s="6" t="s">
        <v>1302</v>
      </c>
      <c r="S174" s="17" t="s">
        <v>36</v>
      </c>
      <c r="T174" s="17" t="s">
        <v>1303</v>
      </c>
      <c r="U174" s="173" t="s">
        <v>1304</v>
      </c>
      <c r="V174" s="180" t="s">
        <v>147</v>
      </c>
      <c r="W174" s="20" t="s">
        <v>483</v>
      </c>
      <c r="X174" s="20" t="s">
        <v>484</v>
      </c>
      <c r="Y174" s="22"/>
      <c r="Z174" s="7"/>
      <c r="AA174" s="7"/>
      <c r="AB174" s="23"/>
      <c r="AC174" s="26"/>
    </row>
    <row r="175" spans="1:30" ht="15.75" customHeight="1">
      <c r="A175" s="55" t="s">
        <v>1305</v>
      </c>
      <c r="B175" s="10" t="s">
        <v>27</v>
      </c>
      <c r="C175" s="11" t="s">
        <v>28</v>
      </c>
      <c r="D175" s="12"/>
      <c r="E175" s="13" t="s">
        <v>378</v>
      </c>
      <c r="F175" s="6" t="s">
        <v>1306</v>
      </c>
      <c r="G175" s="15" t="str">
        <f ca="1">IFERROR(__xludf.DUMMYFUNCTION("CONCATENATE(B175,(VLOOKUP(C175,CATALOGOS!$F$2:$H$6,3,FALSE)),(VLOOKUP(V175,CATALOGOS!$J$2:$K$18,2,FALSE)),""-"",TO_TEXT(A175))"),"P05RH-0173")</f>
        <v>P05RH-0173</v>
      </c>
      <c r="H175" s="6" t="str">
        <f ca="1">IFERROR(__xludf.DUMMYFUNCTION("CONCATENATE($B175,(VLOOKUP($C175,CATALOGOS!$F$2:$H$6,3,FALSE)),(VLOOKUP($V175,CATALOGOS!$J$2:$K$18,2,FALSE)),""-"",TO_TEXT($A175))"),"P05RH-0173")</f>
        <v>P05RH-0173</v>
      </c>
      <c r="I175" s="6"/>
      <c r="J175" s="6" t="s">
        <v>1307</v>
      </c>
      <c r="K175" s="6" t="s">
        <v>1308</v>
      </c>
      <c r="L175" s="6" t="s">
        <v>1309</v>
      </c>
      <c r="M175" s="43" t="s">
        <v>1310</v>
      </c>
      <c r="N175" s="17"/>
      <c r="O175" s="17"/>
      <c r="P175" s="17" t="str">
        <f t="shared" si="4"/>
        <v>OK</v>
      </c>
      <c r="Q175" s="46" t="s">
        <v>35</v>
      </c>
      <c r="R175" s="6" t="s">
        <v>35</v>
      </c>
      <c r="S175" s="17" t="s">
        <v>36</v>
      </c>
      <c r="T175" s="17" t="s">
        <v>1311</v>
      </c>
      <c r="U175" s="173" t="s">
        <v>38</v>
      </c>
      <c r="V175" s="11" t="s">
        <v>723</v>
      </c>
      <c r="W175" s="22" t="s">
        <v>724</v>
      </c>
      <c r="X175" s="22" t="s">
        <v>724</v>
      </c>
      <c r="Y175" s="22"/>
      <c r="Z175" s="7"/>
      <c r="AA175" s="7"/>
      <c r="AB175" s="23"/>
      <c r="AC175" s="26"/>
    </row>
    <row r="176" spans="1:30" ht="15.75" customHeight="1">
      <c r="A176" s="10" t="s">
        <v>1312</v>
      </c>
      <c r="B176" s="10" t="s">
        <v>27</v>
      </c>
      <c r="C176" s="11" t="s">
        <v>28</v>
      </c>
      <c r="D176" s="12"/>
      <c r="E176" s="13" t="s">
        <v>116</v>
      </c>
      <c r="F176" s="6" t="s">
        <v>364</v>
      </c>
      <c r="G176" s="15" t="str">
        <f ca="1">IFERROR(__xludf.DUMMYFUNCTION("CONCATENATE(B176,(VLOOKUP(C176,CATALOGOS!$F$2:$H$6,3,FALSE)),(VLOOKUP(V176,CATALOGOS!$J$2:$K$18,2,FALSE)),""-"",TO_TEXT(A176))"),"P05RH-0174")</f>
        <v>P05RH-0174</v>
      </c>
      <c r="H176" s="6" t="str">
        <f ca="1">IFERROR(__xludf.DUMMYFUNCTION("CONCATENATE($B176,(VLOOKUP($C176,CATALOGOS!$F$2:$H$6,3,FALSE)),(VLOOKUP($V176,CATALOGOS!$J$2:$K$18,2,FALSE)),""-"",TO_TEXT($A176))"),"P05RH-0174")</f>
        <v>P05RH-0174</v>
      </c>
      <c r="I176" s="6"/>
      <c r="J176" s="6" t="s">
        <v>1313</v>
      </c>
      <c r="K176" s="6" t="s">
        <v>1314</v>
      </c>
      <c r="L176" s="6" t="s">
        <v>1315</v>
      </c>
      <c r="M176" s="6" t="s">
        <v>1316</v>
      </c>
      <c r="N176" s="17"/>
      <c r="O176" s="17"/>
      <c r="P176" s="17" t="str">
        <f t="shared" si="4"/>
        <v>OK</v>
      </c>
      <c r="Q176" s="17" t="s">
        <v>35</v>
      </c>
      <c r="R176" s="49" t="s">
        <v>35</v>
      </c>
      <c r="S176" s="17" t="s">
        <v>36</v>
      </c>
      <c r="T176" s="17" t="s">
        <v>1317</v>
      </c>
      <c r="U176" s="173" t="s">
        <v>38</v>
      </c>
      <c r="V176" s="11" t="s">
        <v>723</v>
      </c>
      <c r="W176" s="22" t="s">
        <v>724</v>
      </c>
      <c r="X176" s="22" t="s">
        <v>724</v>
      </c>
      <c r="Y176" s="22"/>
      <c r="Z176" s="7"/>
      <c r="AA176" s="7"/>
      <c r="AB176" s="23"/>
      <c r="AC176" s="26"/>
    </row>
    <row r="177" spans="1:30" ht="15.75" customHeight="1">
      <c r="A177" s="10" t="s">
        <v>1318</v>
      </c>
      <c r="B177" s="10" t="s">
        <v>27</v>
      </c>
      <c r="C177" s="11" t="s">
        <v>28</v>
      </c>
      <c r="D177" s="12"/>
      <c r="E177" s="13" t="s">
        <v>199</v>
      </c>
      <c r="F177" s="6" t="s">
        <v>199</v>
      </c>
      <c r="G177" s="15" t="str">
        <f ca="1">IFERROR(__xludf.DUMMYFUNCTION("CONCATENATE(B177,(VLOOKUP(C177,CATALOGOS!$F$2:$H$6,3,FALSE)),(VLOOKUP(V177,CATALOGOS!$J$2:$K$18,2,FALSE)),""-"",TO_TEXT(A177))"),"P05RH-0176")</f>
        <v>P05RH-0176</v>
      </c>
      <c r="H177" s="6" t="str">
        <f ca="1">IFERROR(__xludf.DUMMYFUNCTION("CONCATENATE($B177,(VLOOKUP($C177,CATALOGOS!$F$2:$H$6,3,FALSE)),(VLOOKUP($V177,CATALOGOS!$J$2:$K$18,2,FALSE)),""-"",TO_TEXT($A177))"),"P05RH-0176")</f>
        <v>P05RH-0176</v>
      </c>
      <c r="I177" s="6"/>
      <c r="J177" s="6" t="s">
        <v>1319</v>
      </c>
      <c r="K177" s="6" t="s">
        <v>1320</v>
      </c>
      <c r="L177" s="6" t="s">
        <v>1321</v>
      </c>
      <c r="M177" s="6" t="s">
        <v>1322</v>
      </c>
      <c r="N177" s="17"/>
      <c r="O177" s="17"/>
      <c r="P177" s="17" t="str">
        <f t="shared" si="4"/>
        <v>OK</v>
      </c>
      <c r="Q177" s="17" t="s">
        <v>157</v>
      </c>
      <c r="R177" s="6">
        <v>2378</v>
      </c>
      <c r="S177" s="17" t="s">
        <v>1323</v>
      </c>
      <c r="T177" s="17" t="s">
        <v>1324</v>
      </c>
      <c r="U177" s="173" t="s">
        <v>38</v>
      </c>
      <c r="V177" s="11" t="s">
        <v>723</v>
      </c>
      <c r="W177" s="22" t="s">
        <v>724</v>
      </c>
      <c r="X177" s="22" t="s">
        <v>724</v>
      </c>
      <c r="Y177" s="22"/>
      <c r="Z177" s="7"/>
      <c r="AA177" s="7"/>
      <c r="AB177" s="23"/>
      <c r="AC177" s="26"/>
    </row>
    <row r="178" spans="1:30" ht="15.75" customHeight="1">
      <c r="A178" s="10" t="s">
        <v>1325</v>
      </c>
      <c r="B178" s="10" t="s">
        <v>27</v>
      </c>
      <c r="C178" s="11" t="s">
        <v>28</v>
      </c>
      <c r="D178" s="12"/>
      <c r="E178" s="13" t="s">
        <v>136</v>
      </c>
      <c r="F178" s="6" t="s">
        <v>689</v>
      </c>
      <c r="G178" s="15" t="str">
        <f ca="1">IFERROR(__xludf.DUMMYFUNCTION("CONCATENATE(B178,(VLOOKUP(C178,CATALOGOS!$F$2:$H$6,3,FALSE)),(VLOOKUP(V178,CATALOGOS!$J$2:$K$18,2,FALSE)),""-"",TO_TEXT(A178))"),"P05RH-0177")</f>
        <v>P05RH-0177</v>
      </c>
      <c r="H178" s="6" t="str">
        <f ca="1">IFERROR(__xludf.DUMMYFUNCTION("CONCATENATE($B178,(VLOOKUP($C178,CATALOGOS!$F$2:$H$6,3,FALSE)),(VLOOKUP($V178,CATALOGOS!$J$2:$K$18,2,FALSE)),""-"",TO_TEXT($A178))"),"P05RH-0177")</f>
        <v>P05RH-0177</v>
      </c>
      <c r="I178" s="6"/>
      <c r="J178" s="6" t="s">
        <v>1326</v>
      </c>
      <c r="K178" s="6" t="s">
        <v>1327</v>
      </c>
      <c r="L178" s="6" t="s">
        <v>1328</v>
      </c>
      <c r="M178" s="6" t="s">
        <v>1329</v>
      </c>
      <c r="N178" s="17"/>
      <c r="O178" s="17"/>
      <c r="P178" s="17" t="str">
        <f t="shared" si="4"/>
        <v>OK</v>
      </c>
      <c r="Q178" s="17" t="s">
        <v>143</v>
      </c>
      <c r="R178" s="6" t="s">
        <v>1330</v>
      </c>
      <c r="S178" s="32" t="s">
        <v>1331</v>
      </c>
      <c r="T178" s="17" t="s">
        <v>1332</v>
      </c>
      <c r="U178" s="173" t="s">
        <v>38</v>
      </c>
      <c r="V178" s="11" t="s">
        <v>723</v>
      </c>
      <c r="W178" s="22" t="s">
        <v>724</v>
      </c>
      <c r="X178" s="22" t="s">
        <v>724</v>
      </c>
      <c r="Y178" s="22"/>
      <c r="Z178" s="7"/>
      <c r="AA178" s="7"/>
      <c r="AB178" s="23"/>
      <c r="AC178" s="26"/>
    </row>
    <row r="179" spans="1:30" ht="15.75" customHeight="1">
      <c r="A179" s="10" t="s">
        <v>1333</v>
      </c>
      <c r="B179" s="10" t="s">
        <v>27</v>
      </c>
      <c r="C179" s="11" t="s">
        <v>28</v>
      </c>
      <c r="D179" s="12"/>
      <c r="E179" s="13" t="s">
        <v>353</v>
      </c>
      <c r="F179" s="43" t="s">
        <v>638</v>
      </c>
      <c r="G179" s="15" t="str">
        <f ca="1">IFERROR(__xludf.DUMMYFUNCTION("CONCATENATE(B179,(VLOOKUP(C179,CATALOGOS!$F$2:$H$6,3,FALSE)),(VLOOKUP(V179,CATALOGOS!$J$2:$K$18,2,FALSE)),""-"",TO_TEXT(A179))"),"P05RH-0178")</f>
        <v>P05RH-0178</v>
      </c>
      <c r="H179" s="6" t="str">
        <f ca="1">IFERROR(__xludf.DUMMYFUNCTION("CONCATENATE($B179,(VLOOKUP($C179,CATALOGOS!$F$2:$H$6,3,FALSE)),(VLOOKUP($V179,CATALOGOS!$J$2:$K$18,2,FALSE)),""-"",TO_TEXT($A179))"),"P05RH-0178")</f>
        <v>P05RH-0178</v>
      </c>
      <c r="I179" s="6"/>
      <c r="J179" s="6" t="s">
        <v>1334</v>
      </c>
      <c r="K179" s="6" t="s">
        <v>1335</v>
      </c>
      <c r="L179" s="6" t="s">
        <v>1336</v>
      </c>
      <c r="M179" s="6" t="s">
        <v>1337</v>
      </c>
      <c r="N179" s="17"/>
      <c r="O179" s="17"/>
      <c r="P179" s="17" t="str">
        <f t="shared" si="4"/>
        <v>OK</v>
      </c>
      <c r="Q179" s="17" t="s">
        <v>359</v>
      </c>
      <c r="R179" s="6" t="s">
        <v>360</v>
      </c>
      <c r="S179" s="17" t="s">
        <v>1338</v>
      </c>
      <c r="T179" s="17" t="s">
        <v>1339</v>
      </c>
      <c r="U179" s="173" t="s">
        <v>38</v>
      </c>
      <c r="V179" s="11" t="s">
        <v>723</v>
      </c>
      <c r="W179" s="22" t="s">
        <v>724</v>
      </c>
      <c r="X179" s="22" t="s">
        <v>724</v>
      </c>
      <c r="Y179" s="22"/>
      <c r="Z179" s="7"/>
      <c r="AA179" s="7"/>
      <c r="AB179" s="23"/>
      <c r="AC179" s="26"/>
    </row>
    <row r="180" spans="1:30" ht="15.75" customHeight="1">
      <c r="A180" s="10" t="s">
        <v>1340</v>
      </c>
      <c r="B180" s="10" t="s">
        <v>27</v>
      </c>
      <c r="C180" s="11" t="s">
        <v>28</v>
      </c>
      <c r="D180" s="38"/>
      <c r="E180" s="13" t="s">
        <v>1240</v>
      </c>
      <c r="F180" s="6" t="s">
        <v>278</v>
      </c>
      <c r="G180" s="15" t="str">
        <f ca="1">IFERROR(__xludf.DUMMYFUNCTION("CONCATENATE(B180,(VLOOKUP(C180,CATALOGOS!$F$2:$H$6,3,FALSE)),(VLOOKUP(V180,CATALOGOS!$J$2:$K$18,2,FALSE)),""-"",TO_TEXT(A180))"),"P05RH-0179")</f>
        <v>P05RH-0179</v>
      </c>
      <c r="H180" s="6" t="str">
        <f ca="1">IFERROR(__xludf.DUMMYFUNCTION("CONCATENATE($B180,(VLOOKUP($C180,CATALOGOS!$F$2:$H$6,3,FALSE)),(VLOOKUP($V180,CATALOGOS!$J$2:$K$18,2,FALSE)),""-"",TO_TEXT($A180))"),"P05RH-0179")</f>
        <v>P05RH-0179</v>
      </c>
      <c r="I180" s="6"/>
      <c r="J180" s="6" t="s">
        <v>1341</v>
      </c>
      <c r="K180" s="6" t="s">
        <v>1342</v>
      </c>
      <c r="L180" s="6" t="s">
        <v>1343</v>
      </c>
      <c r="M180" s="6" t="s">
        <v>1344</v>
      </c>
      <c r="N180" s="17"/>
      <c r="O180" s="17"/>
      <c r="P180" s="17" t="str">
        <f t="shared" si="4"/>
        <v>OK</v>
      </c>
      <c r="Q180" s="17" t="s">
        <v>35</v>
      </c>
      <c r="R180" s="6" t="s">
        <v>35</v>
      </c>
      <c r="S180" s="46" t="s">
        <v>36</v>
      </c>
      <c r="T180" s="17" t="s">
        <v>1345</v>
      </c>
      <c r="U180" s="173" t="s">
        <v>38</v>
      </c>
      <c r="V180" s="11" t="s">
        <v>723</v>
      </c>
      <c r="W180" s="22" t="s">
        <v>724</v>
      </c>
      <c r="X180" s="22" t="s">
        <v>724</v>
      </c>
      <c r="Y180" s="22"/>
      <c r="Z180" s="7"/>
      <c r="AA180" s="7"/>
      <c r="AB180" s="26"/>
      <c r="AC180" s="26"/>
    </row>
    <row r="181" spans="1:30" ht="15.75" customHeight="1">
      <c r="A181" s="10" t="s">
        <v>1346</v>
      </c>
      <c r="B181" s="10" t="s">
        <v>27</v>
      </c>
      <c r="C181" s="11" t="s">
        <v>28</v>
      </c>
      <c r="D181" s="12"/>
      <c r="E181" s="13" t="s">
        <v>116</v>
      </c>
      <c r="F181" s="6" t="s">
        <v>1347</v>
      </c>
      <c r="G181" s="15" t="str">
        <f ca="1">IFERROR(__xludf.DUMMYFUNCTION("CONCATENATE(B181,(VLOOKUP(C181,CATALOGOS!$F$2:$H$6,3,FALSE)),(VLOOKUP(V181,CATALOGOS!$J$2:$K$18,2,FALSE)),""-"",TO_TEXT(A181))"),"P05RH-0180")</f>
        <v>P05RH-0180</v>
      </c>
      <c r="H181" s="6" t="str">
        <f ca="1">IFERROR(__xludf.DUMMYFUNCTION("CONCATENATE($B181,(VLOOKUP($C181,CATALOGOS!$F$2:$H$6,3,FALSE)),(VLOOKUP($V181,CATALOGOS!$J$2:$K$18,2,FALSE)),""-"",TO_TEXT($A181))"),"P05RH-0180")</f>
        <v>P05RH-0180</v>
      </c>
      <c r="I181" s="6"/>
      <c r="J181" s="6" t="s">
        <v>1348</v>
      </c>
      <c r="K181" s="6" t="s">
        <v>1349</v>
      </c>
      <c r="L181" s="36"/>
      <c r="M181" s="6" t="s">
        <v>141</v>
      </c>
      <c r="N181" s="17"/>
      <c r="O181" s="17"/>
      <c r="P181" s="17" t="str">
        <f t="shared" si="4"/>
        <v>REPETIDO</v>
      </c>
      <c r="Q181" s="17" t="s">
        <v>35</v>
      </c>
      <c r="R181" s="6" t="s">
        <v>35</v>
      </c>
      <c r="S181" s="6" t="s">
        <v>36</v>
      </c>
      <c r="T181" s="10" t="s">
        <v>85</v>
      </c>
      <c r="U181" s="173" t="s">
        <v>38</v>
      </c>
      <c r="V181" s="11" t="s">
        <v>723</v>
      </c>
      <c r="W181" s="20" t="s">
        <v>1350</v>
      </c>
      <c r="X181" s="22" t="s">
        <v>1350</v>
      </c>
      <c r="Y181" s="22"/>
      <c r="Z181" s="6"/>
      <c r="AA181" s="6"/>
      <c r="AB181" s="23"/>
      <c r="AC181" s="33"/>
    </row>
    <row r="182" spans="1:30" ht="15.75" customHeight="1">
      <c r="A182" s="10" t="s">
        <v>1351</v>
      </c>
      <c r="B182" s="10" t="s">
        <v>27</v>
      </c>
      <c r="C182" s="11" t="s">
        <v>28</v>
      </c>
      <c r="D182" s="12"/>
      <c r="E182" s="13" t="s">
        <v>151</v>
      </c>
      <c r="F182" s="6" t="s">
        <v>293</v>
      </c>
      <c r="G182" s="15" t="str">
        <f ca="1">IFERROR(__xludf.DUMMYFUNCTION("CONCATENATE(B182,(VLOOKUP(C182,CATALOGOS!$F$2:$H$6,3,FALSE)),(VLOOKUP(V182,CATALOGOS!$J$2:$K$18,2,FALSE)),""-"",TO_TEXT(A182))"),"P05RH-0181")</f>
        <v>P05RH-0181</v>
      </c>
      <c r="H182" s="6" t="str">
        <f ca="1">IFERROR(__xludf.DUMMYFUNCTION("CONCATENATE($B182,(VLOOKUP($C182,CATALOGOS!$F$2:$H$6,3,FALSE)),(VLOOKUP($V182,CATALOGOS!$J$2:$K$18,2,FALSE)),""-"",TO_TEXT($A182))"),"P05RH-0181")</f>
        <v>P05RH-0181</v>
      </c>
      <c r="I182" s="6"/>
      <c r="J182" s="6" t="s">
        <v>1352</v>
      </c>
      <c r="K182" s="6" t="s">
        <v>1353</v>
      </c>
      <c r="L182" s="36"/>
      <c r="M182" s="6" t="s">
        <v>1354</v>
      </c>
      <c r="N182" s="17"/>
      <c r="O182" s="17"/>
      <c r="P182" s="17" t="str">
        <f t="shared" si="4"/>
        <v>OK</v>
      </c>
      <c r="Q182" s="17" t="s">
        <v>297</v>
      </c>
      <c r="R182" s="6" t="s">
        <v>298</v>
      </c>
      <c r="S182" s="6" t="s">
        <v>1355</v>
      </c>
      <c r="T182" s="10" t="s">
        <v>85</v>
      </c>
      <c r="U182" s="173" t="s">
        <v>38</v>
      </c>
      <c r="V182" s="11" t="s">
        <v>723</v>
      </c>
      <c r="W182" s="22" t="s">
        <v>1350</v>
      </c>
      <c r="X182" s="22" t="s">
        <v>1350</v>
      </c>
      <c r="Y182" s="22"/>
      <c r="Z182" s="6"/>
      <c r="AA182" s="6"/>
      <c r="AB182" s="41" t="s">
        <v>275</v>
      </c>
      <c r="AC182" s="42">
        <v>44403</v>
      </c>
      <c r="AD182" s="58" t="s">
        <v>276</v>
      </c>
    </row>
    <row r="183" spans="1:30" ht="15.75" customHeight="1">
      <c r="A183" s="10" t="s">
        <v>1356</v>
      </c>
      <c r="B183" s="10" t="s">
        <v>27</v>
      </c>
      <c r="C183" s="11" t="s">
        <v>28</v>
      </c>
      <c r="D183" s="12"/>
      <c r="E183" s="13" t="s">
        <v>199</v>
      </c>
      <c r="F183" s="6" t="s">
        <v>199</v>
      </c>
      <c r="G183" s="15" t="str">
        <f ca="1">IFERROR(__xludf.DUMMYFUNCTION("CONCATENATE(B183,(VLOOKUP(C183,CATALOGOS!$F$2:$H$6,3,FALSE)),(VLOOKUP(V183,CATALOGOS!$J$2:$K$18,2,FALSE)),""-"",TO_TEXT(A183))"),"P05RH-0182")</f>
        <v>P05RH-0182</v>
      </c>
      <c r="H183" s="6" t="str">
        <f ca="1">IFERROR(__xludf.DUMMYFUNCTION("CONCATENATE($B183,(VLOOKUP($C183,CATALOGOS!$F$2:$H$6,3,FALSE)),(VLOOKUP($V183,CATALOGOS!$J$2:$K$18,2,FALSE)),""-"",TO_TEXT($A183))"),"P05RH-0182")</f>
        <v>P05RH-0182</v>
      </c>
      <c r="I183" s="6"/>
      <c r="J183" s="6" t="s">
        <v>1357</v>
      </c>
      <c r="K183" s="6" t="s">
        <v>1358</v>
      </c>
      <c r="L183" s="36"/>
      <c r="M183" s="6" t="s">
        <v>1359</v>
      </c>
      <c r="N183" s="17"/>
      <c r="O183" s="17"/>
      <c r="P183" s="17" t="str">
        <f t="shared" si="4"/>
        <v>OK</v>
      </c>
      <c r="Q183" s="17" t="s">
        <v>273</v>
      </c>
      <c r="R183" s="6" t="s">
        <v>274</v>
      </c>
      <c r="S183" s="6">
        <v>11392903015062</v>
      </c>
      <c r="T183" s="10" t="s">
        <v>85</v>
      </c>
      <c r="U183" s="173" t="s">
        <v>38</v>
      </c>
      <c r="V183" s="11" t="s">
        <v>723</v>
      </c>
      <c r="W183" s="22" t="s">
        <v>1350</v>
      </c>
      <c r="X183" s="22" t="s">
        <v>1350</v>
      </c>
      <c r="Y183" s="22"/>
      <c r="Z183" s="6"/>
      <c r="AA183" s="6"/>
      <c r="AB183" s="41" t="s">
        <v>275</v>
      </c>
      <c r="AC183" s="42">
        <v>44403</v>
      </c>
      <c r="AD183" s="58">
        <v>0</v>
      </c>
    </row>
    <row r="184" spans="1:30" ht="15.75" customHeight="1">
      <c r="A184" s="10" t="s">
        <v>1360</v>
      </c>
      <c r="B184" s="10" t="s">
        <v>27</v>
      </c>
      <c r="C184" s="11" t="s">
        <v>28</v>
      </c>
      <c r="D184" s="12"/>
      <c r="E184" s="13" t="s">
        <v>378</v>
      </c>
      <c r="F184" s="6" t="s">
        <v>379</v>
      </c>
      <c r="G184" s="15" t="str">
        <f ca="1">IFERROR(__xludf.DUMMYFUNCTION("CONCATENATE(B184,(VLOOKUP(C184,CATALOGOS!$F$2:$H$6,3,FALSE)),(VLOOKUP(V184,CATALOGOS!$J$2:$K$18,2,FALSE)),""-"",TO_TEXT(A184))"),"P05RH-0183")</f>
        <v>P05RH-0183</v>
      </c>
      <c r="H184" s="6" t="str">
        <f ca="1">IFERROR(__xludf.DUMMYFUNCTION("CONCATENATE($B184,(VLOOKUP($C184,CATALOGOS!$F$2:$H$6,3,FALSE)),(VLOOKUP($V184,CATALOGOS!$J$2:$K$18,2,FALSE)),""-"",TO_TEXT($A184))"),"P05RH-0183")</f>
        <v>P05RH-0183</v>
      </c>
      <c r="I184" s="6"/>
      <c r="J184" s="6" t="s">
        <v>1361</v>
      </c>
      <c r="K184" s="6" t="s">
        <v>1362</v>
      </c>
      <c r="L184" s="6" t="s">
        <v>1363</v>
      </c>
      <c r="M184" s="6" t="s">
        <v>1364</v>
      </c>
      <c r="N184" s="17"/>
      <c r="O184" s="17"/>
      <c r="P184" s="17" t="str">
        <f t="shared" si="4"/>
        <v>OK</v>
      </c>
      <c r="Q184" s="17" t="s">
        <v>35</v>
      </c>
      <c r="R184" s="6" t="s">
        <v>35</v>
      </c>
      <c r="S184" s="17" t="s">
        <v>36</v>
      </c>
      <c r="T184" s="17" t="s">
        <v>1365</v>
      </c>
      <c r="U184" s="173" t="s">
        <v>38</v>
      </c>
      <c r="V184" s="11" t="s">
        <v>723</v>
      </c>
      <c r="W184" s="22" t="s">
        <v>1350</v>
      </c>
      <c r="X184" s="22" t="s">
        <v>1350</v>
      </c>
      <c r="Y184" s="22"/>
      <c r="Z184" s="7"/>
      <c r="AA184" s="7"/>
      <c r="AB184" s="23"/>
      <c r="AC184" s="26"/>
    </row>
    <row r="185" spans="1:30" ht="15.75" customHeight="1">
      <c r="A185" s="10" t="s">
        <v>1366</v>
      </c>
      <c r="B185" s="10" t="s">
        <v>27</v>
      </c>
      <c r="C185" s="11" t="s">
        <v>28</v>
      </c>
      <c r="D185" s="38"/>
      <c r="E185" s="13" t="s">
        <v>353</v>
      </c>
      <c r="F185" s="6" t="s">
        <v>354</v>
      </c>
      <c r="G185" s="15" t="str">
        <f ca="1">IFERROR(__xludf.DUMMYFUNCTION("CONCATENATE(B185,(VLOOKUP(C185,CATALOGOS!$F$2:$H$6,3,FALSE)),(VLOOKUP(V185,CATALOGOS!$J$2:$K$18,2,FALSE)),""-"",TO_TEXT(A185))"),"P05RH-0184")</f>
        <v>P05RH-0184</v>
      </c>
      <c r="H185" s="6" t="str">
        <f ca="1">IFERROR(__xludf.DUMMYFUNCTION("CONCATENATE($B185,(VLOOKUP($C185,CATALOGOS!$F$2:$H$6,3,FALSE)),(VLOOKUP($V185,CATALOGOS!$J$2:$K$18,2,FALSE)),""-"",TO_TEXT($A185))"),"P05RH-0184")</f>
        <v>P05RH-0184</v>
      </c>
      <c r="I185" s="6"/>
      <c r="J185" s="6" t="s">
        <v>1367</v>
      </c>
      <c r="K185" s="6" t="s">
        <v>1368</v>
      </c>
      <c r="L185" s="36"/>
      <c r="M185" s="6" t="s">
        <v>1369</v>
      </c>
      <c r="N185" s="17"/>
      <c r="O185" s="17"/>
      <c r="P185" s="17" t="str">
        <f t="shared" si="4"/>
        <v>OK</v>
      </c>
      <c r="Q185" s="17" t="s">
        <v>1370</v>
      </c>
      <c r="R185" s="6" t="s">
        <v>304</v>
      </c>
      <c r="S185" s="6" t="s">
        <v>1371</v>
      </c>
      <c r="T185" s="32" t="s">
        <v>1372</v>
      </c>
      <c r="U185" s="173" t="s">
        <v>38</v>
      </c>
      <c r="V185" s="11" t="s">
        <v>723</v>
      </c>
      <c r="W185" s="22" t="s">
        <v>1350</v>
      </c>
      <c r="X185" s="22" t="s">
        <v>1350</v>
      </c>
      <c r="Y185" s="22"/>
      <c r="Z185" s="7"/>
      <c r="AA185" s="7"/>
      <c r="AB185" s="26"/>
      <c r="AC185" s="26"/>
    </row>
    <row r="186" spans="1:30" ht="15.75" customHeight="1">
      <c r="A186" s="10" t="s">
        <v>1373</v>
      </c>
      <c r="B186" s="10" t="s">
        <v>27</v>
      </c>
      <c r="C186" s="11" t="s">
        <v>28</v>
      </c>
      <c r="D186" s="12"/>
      <c r="E186" s="13" t="s">
        <v>1240</v>
      </c>
      <c r="F186" s="43" t="s">
        <v>278</v>
      </c>
      <c r="G186" s="15" t="str">
        <f ca="1">IFERROR(__xludf.DUMMYFUNCTION("CONCATENATE(B186,(VLOOKUP(C186,CATALOGOS!$F$2:$H$6,3,FALSE)),(VLOOKUP(V186,CATALOGOS!$J$2:$K$18,2,FALSE)),""-"",TO_TEXT(A186))"),"P05RH-0185")</f>
        <v>P05RH-0185</v>
      </c>
      <c r="H186" s="6" t="str">
        <f ca="1">IFERROR(__xludf.DUMMYFUNCTION("CONCATENATE($B186,(VLOOKUP($C186,CATALOGOS!$F$2:$H$6,3,FALSE)),(VLOOKUP($V186,CATALOGOS!$J$2:$K$18,2,FALSE)),""-"",TO_TEXT($A186))"),"P05RH-0185")</f>
        <v>P05RH-0185</v>
      </c>
      <c r="I186" s="6"/>
      <c r="J186" s="6" t="s">
        <v>1374</v>
      </c>
      <c r="K186" s="6" t="s">
        <v>1375</v>
      </c>
      <c r="L186" s="6" t="s">
        <v>1376</v>
      </c>
      <c r="M186" s="6" t="s">
        <v>1377</v>
      </c>
      <c r="N186" s="17"/>
      <c r="O186" s="17"/>
      <c r="P186" s="17" t="str">
        <f t="shared" si="4"/>
        <v>OK</v>
      </c>
      <c r="Q186" s="17" t="s">
        <v>35</v>
      </c>
      <c r="R186" s="6" t="s">
        <v>35</v>
      </c>
      <c r="S186" s="17" t="s">
        <v>36</v>
      </c>
      <c r="T186" s="17" t="s">
        <v>1378</v>
      </c>
      <c r="U186" s="173" t="s">
        <v>38</v>
      </c>
      <c r="V186" s="11" t="s">
        <v>723</v>
      </c>
      <c r="W186" s="20" t="s">
        <v>1350</v>
      </c>
      <c r="X186" s="20" t="s">
        <v>1350</v>
      </c>
      <c r="Y186" s="20"/>
      <c r="Z186" s="7"/>
      <c r="AA186" s="7"/>
      <c r="AB186" s="23"/>
      <c r="AC186" s="26"/>
    </row>
    <row r="187" spans="1:30" ht="15.75" customHeight="1">
      <c r="A187" s="10" t="s">
        <v>1379</v>
      </c>
      <c r="B187" s="10" t="s">
        <v>27</v>
      </c>
      <c r="C187" s="11" t="s">
        <v>28</v>
      </c>
      <c r="D187" s="12"/>
      <c r="E187" s="13" t="s">
        <v>93</v>
      </c>
      <c r="F187" s="6" t="s">
        <v>1380</v>
      </c>
      <c r="G187" s="15" t="str">
        <f ca="1">IFERROR(__xludf.DUMMYFUNCTION("CONCATENATE(B187,(VLOOKUP(C187,CATALOGOS!$F$2:$H$6,3,FALSE)),(VLOOKUP(V187,CATALOGOS!$J$2:$K$18,2,FALSE)),""-"",TO_TEXT(A187))"),"P05RH-0186")</f>
        <v>P05RH-0186</v>
      </c>
      <c r="H187" s="6" t="str">
        <f ca="1">IFERROR(__xludf.DUMMYFUNCTION("CONCATENATE($B187,(VLOOKUP($C187,CATALOGOS!$F$2:$H$6,3,FALSE)),(VLOOKUP($V187,CATALOGOS!$J$2:$K$18,2,FALSE)),""-"",TO_TEXT($A187))"),"P05RH-0186")</f>
        <v>P05RH-0186</v>
      </c>
      <c r="I187" s="6"/>
      <c r="J187" s="6" t="s">
        <v>1381</v>
      </c>
      <c r="K187" s="6" t="s">
        <v>1382</v>
      </c>
      <c r="L187" s="6" t="s">
        <v>1383</v>
      </c>
      <c r="M187" s="6" t="s">
        <v>1384</v>
      </c>
      <c r="N187" s="17"/>
      <c r="O187" s="17"/>
      <c r="P187" s="17" t="str">
        <f t="shared" si="4"/>
        <v>OK</v>
      </c>
      <c r="Q187" s="17" t="s">
        <v>35</v>
      </c>
      <c r="R187" s="6" t="s">
        <v>35</v>
      </c>
      <c r="S187" s="17" t="s">
        <v>36</v>
      </c>
      <c r="T187" s="17" t="s">
        <v>1385</v>
      </c>
      <c r="U187" s="173" t="s">
        <v>38</v>
      </c>
      <c r="V187" s="11" t="s">
        <v>723</v>
      </c>
      <c r="W187" s="22" t="s">
        <v>1386</v>
      </c>
      <c r="X187" s="22" t="s">
        <v>1386</v>
      </c>
      <c r="Y187" s="22"/>
      <c r="Z187" s="7"/>
      <c r="AA187" s="7"/>
      <c r="AB187" s="23"/>
      <c r="AC187" s="26"/>
    </row>
    <row r="188" spans="1:30" ht="15.75" customHeight="1">
      <c r="A188" s="10" t="s">
        <v>1387</v>
      </c>
      <c r="B188" s="10" t="s">
        <v>27</v>
      </c>
      <c r="C188" s="11" t="s">
        <v>28</v>
      </c>
      <c r="D188" s="12"/>
      <c r="E188" s="13" t="s">
        <v>116</v>
      </c>
      <c r="F188" s="6" t="s">
        <v>364</v>
      </c>
      <c r="G188" s="70" t="str">
        <f ca="1">IFERROR(__xludf.DUMMYFUNCTION("CONCATENATE(B188,(VLOOKUP(C188,CATALOGOS!$F$2:$H$6,3,FALSE)),(VLOOKUP(V188,CATALOGOS!$J$2:$K$18,2,FALSE)),""-"",TO_TEXT(A188))"),"P05RH-0187")</f>
        <v>P05RH-0187</v>
      </c>
      <c r="H188" s="6" t="str">
        <f ca="1">IFERROR(__xludf.DUMMYFUNCTION("CONCATENATE($B188,(VLOOKUP($C188,CATALOGOS!$F$2:$H$6,3,FALSE)),(VLOOKUP($V188,CATALOGOS!$J$2:$K$18,2,FALSE)),""-"",TO_TEXT($A188))"),"P05RH-0187")</f>
        <v>P05RH-0187</v>
      </c>
      <c r="I188" s="6"/>
      <c r="J188" s="6" t="s">
        <v>1388</v>
      </c>
      <c r="K188" s="6" t="s">
        <v>1389</v>
      </c>
      <c r="L188" s="6" t="s">
        <v>1390</v>
      </c>
      <c r="M188" s="6" t="s">
        <v>1391</v>
      </c>
      <c r="N188" s="17"/>
      <c r="O188" s="17"/>
      <c r="P188" s="17" t="str">
        <f t="shared" si="4"/>
        <v>OK</v>
      </c>
      <c r="Q188" s="17" t="s">
        <v>35</v>
      </c>
      <c r="R188" s="6" t="s">
        <v>35</v>
      </c>
      <c r="S188" s="17" t="s">
        <v>36</v>
      </c>
      <c r="T188" s="17" t="s">
        <v>1392</v>
      </c>
      <c r="U188" s="173" t="s">
        <v>38</v>
      </c>
      <c r="V188" s="11" t="s">
        <v>723</v>
      </c>
      <c r="W188" s="22" t="s">
        <v>1386</v>
      </c>
      <c r="X188" s="22" t="s">
        <v>1386</v>
      </c>
      <c r="Y188" s="22"/>
      <c r="Z188" s="7"/>
      <c r="AA188" s="7"/>
      <c r="AB188" s="23"/>
      <c r="AC188" s="26"/>
    </row>
    <row r="189" spans="1:30" ht="15.75" customHeight="1">
      <c r="A189" s="10" t="s">
        <v>1393</v>
      </c>
      <c r="B189" s="10" t="s">
        <v>27</v>
      </c>
      <c r="C189" s="11" t="s">
        <v>28</v>
      </c>
      <c r="D189" s="12"/>
      <c r="E189" s="13" t="s">
        <v>199</v>
      </c>
      <c r="F189" s="43" t="s">
        <v>1394</v>
      </c>
      <c r="G189" s="15" t="str">
        <f ca="1">IFERROR(__xludf.DUMMYFUNCTION("CONCATENATE(B189,(VLOOKUP(C189,CATALOGOS!$F$2:$H$6,3,FALSE)),(VLOOKUP(V189,CATALOGOS!$J$2:$K$18,2,FALSE)),""-"",TO_TEXT(A189))"),"P05RH-0188")</f>
        <v>P05RH-0188</v>
      </c>
      <c r="H189" s="6" t="str">
        <f ca="1">IFERROR(__xludf.DUMMYFUNCTION("CONCATENATE($B189,(VLOOKUP($C189,CATALOGOS!$F$2:$H$6,3,FALSE)),(VLOOKUP($V189,CATALOGOS!$J$2:$K$18,2,FALSE)),""-"",TO_TEXT($A189))"),"P05RH-0188")</f>
        <v>P05RH-0188</v>
      </c>
      <c r="I189" s="6"/>
      <c r="J189" s="6" t="s">
        <v>1395</v>
      </c>
      <c r="K189" s="6" t="s">
        <v>1396</v>
      </c>
      <c r="L189" s="6" t="s">
        <v>1397</v>
      </c>
      <c r="M189" s="43" t="s">
        <v>1398</v>
      </c>
      <c r="N189" s="17"/>
      <c r="O189" s="17"/>
      <c r="P189" s="17" t="str">
        <f t="shared" si="4"/>
        <v>OK</v>
      </c>
      <c r="Q189" s="17" t="s">
        <v>297</v>
      </c>
      <c r="R189" s="6" t="s">
        <v>1399</v>
      </c>
      <c r="S189" s="17" t="s">
        <v>1400</v>
      </c>
      <c r="T189" s="17" t="s">
        <v>1401</v>
      </c>
      <c r="U189" s="173" t="s">
        <v>517</v>
      </c>
      <c r="V189" s="11" t="s">
        <v>723</v>
      </c>
      <c r="W189" s="22" t="s">
        <v>1386</v>
      </c>
      <c r="X189" s="22" t="s">
        <v>1386</v>
      </c>
      <c r="Y189" s="22"/>
      <c r="Z189" s="7"/>
      <c r="AA189" s="7"/>
      <c r="AB189" s="23"/>
      <c r="AC189" s="26"/>
    </row>
    <row r="190" spans="1:30" ht="15.75" customHeight="1">
      <c r="A190" s="10" t="s">
        <v>1402</v>
      </c>
      <c r="B190" s="10" t="s">
        <v>27</v>
      </c>
      <c r="C190" s="11" t="s">
        <v>28</v>
      </c>
      <c r="D190" s="12"/>
      <c r="E190" s="13" t="s">
        <v>151</v>
      </c>
      <c r="F190" s="6" t="s">
        <v>963</v>
      </c>
      <c r="G190" s="15" t="str">
        <f ca="1">IFERROR(__xludf.DUMMYFUNCTION("CONCATENATE(B190,(VLOOKUP(C190,CATALOGOS!$F$2:$H$6,3,FALSE)),(VLOOKUP(V190,CATALOGOS!$J$2:$K$18,2,FALSE)),""-"",TO_TEXT(A190))"),"P05RH-0189")</f>
        <v>P05RH-0189</v>
      </c>
      <c r="H190" s="6" t="str">
        <f ca="1">IFERROR(__xludf.DUMMYFUNCTION("CONCATENATE($B190,(VLOOKUP($C190,CATALOGOS!$F$2:$H$6,3,FALSE)),(VLOOKUP($V190,CATALOGOS!$J$2:$K$18,2,FALSE)),""-"",TO_TEXT($A190))"),"P05RH-0189")</f>
        <v>P05RH-0189</v>
      </c>
      <c r="I190" s="6"/>
      <c r="J190" s="6" t="s">
        <v>1403</v>
      </c>
      <c r="K190" s="6" t="s">
        <v>1404</v>
      </c>
      <c r="L190" s="6" t="s">
        <v>1405</v>
      </c>
      <c r="M190" s="6" t="s">
        <v>1406</v>
      </c>
      <c r="N190" s="17"/>
      <c r="O190" s="17"/>
      <c r="P190" s="17" t="str">
        <f t="shared" si="4"/>
        <v>OK</v>
      </c>
      <c r="Q190" s="17" t="s">
        <v>297</v>
      </c>
      <c r="R190" s="6" t="s">
        <v>1407</v>
      </c>
      <c r="S190" s="17" t="s">
        <v>1408</v>
      </c>
      <c r="T190" s="17" t="s">
        <v>1409</v>
      </c>
      <c r="U190" s="173" t="s">
        <v>517</v>
      </c>
      <c r="V190" s="11" t="s">
        <v>723</v>
      </c>
      <c r="W190" s="22" t="s">
        <v>1386</v>
      </c>
      <c r="X190" s="22" t="s">
        <v>1386</v>
      </c>
      <c r="Y190" s="22"/>
      <c r="Z190" s="7"/>
      <c r="AA190" s="7"/>
      <c r="AB190" s="23"/>
      <c r="AC190" s="26"/>
    </row>
    <row r="191" spans="1:30" ht="15.75" customHeight="1">
      <c r="A191" s="10" t="s">
        <v>1410</v>
      </c>
      <c r="B191" s="10" t="s">
        <v>27</v>
      </c>
      <c r="C191" s="11" t="s">
        <v>28</v>
      </c>
      <c r="D191" s="12"/>
      <c r="E191" s="13" t="s">
        <v>353</v>
      </c>
      <c r="F191" s="6" t="s">
        <v>638</v>
      </c>
      <c r="G191" s="15" t="str">
        <f ca="1">IFERROR(__xludf.DUMMYFUNCTION("CONCATENATE(B191,(VLOOKUP(C191,CATALOGOS!$F$2:$H$6,3,FALSE)),(VLOOKUP(V191,CATALOGOS!$J$2:$K$18,2,FALSE)),""-"",TO_TEXT(A191))"),"P05RH-0190")</f>
        <v>P05RH-0190</v>
      </c>
      <c r="H191" s="6" t="str">
        <f ca="1">IFERROR(__xludf.DUMMYFUNCTION("CONCATENATE($B191,(VLOOKUP($C191,CATALOGOS!$F$2:$H$6,3,FALSE)),(VLOOKUP($V191,CATALOGOS!$J$2:$K$18,2,FALSE)),""-"",TO_TEXT($A191))"),"P05RH-0190")</f>
        <v>P05RH-0190</v>
      </c>
      <c r="I191" s="6"/>
      <c r="J191" s="6" t="s">
        <v>1411</v>
      </c>
      <c r="K191" s="6" t="s">
        <v>1412</v>
      </c>
      <c r="L191" s="36"/>
      <c r="M191" s="6" t="s">
        <v>1413</v>
      </c>
      <c r="N191" s="17"/>
      <c r="O191" s="17"/>
      <c r="P191" s="17" t="str">
        <f t="shared" si="4"/>
        <v>OK</v>
      </c>
      <c r="Q191" s="17" t="s">
        <v>359</v>
      </c>
      <c r="R191" s="6" t="s">
        <v>1414</v>
      </c>
      <c r="S191" s="6">
        <v>161139013</v>
      </c>
      <c r="T191" s="10" t="s">
        <v>1415</v>
      </c>
      <c r="U191" s="173" t="s">
        <v>38</v>
      </c>
      <c r="V191" s="11" t="s">
        <v>723</v>
      </c>
      <c r="W191" s="22" t="s">
        <v>1386</v>
      </c>
      <c r="X191" s="22" t="s">
        <v>1386</v>
      </c>
      <c r="Y191" s="22"/>
      <c r="Z191" s="7"/>
      <c r="AA191" s="7"/>
      <c r="AB191" s="23"/>
      <c r="AC191" s="26"/>
    </row>
    <row r="192" spans="1:30" ht="15.75" customHeight="1">
      <c r="A192" s="10" t="s">
        <v>1416</v>
      </c>
      <c r="B192" s="10" t="s">
        <v>27</v>
      </c>
      <c r="C192" s="11" t="s">
        <v>28</v>
      </c>
      <c r="D192" s="38"/>
      <c r="E192" s="13" t="s">
        <v>378</v>
      </c>
      <c r="F192" s="6" t="s">
        <v>1006</v>
      </c>
      <c r="G192" s="15" t="str">
        <f ca="1">IFERROR(__xludf.DUMMYFUNCTION("CONCATENATE(B192,(VLOOKUP(C192,CATALOGOS!$F$2:$H$6,3,FALSE)),(VLOOKUP(V192,CATALOGOS!$J$2:$K$18,2,FALSE)),""-"",TO_TEXT(A192))"),"P05RH-0191")</f>
        <v>P05RH-0191</v>
      </c>
      <c r="H192" s="6" t="str">
        <f ca="1">IFERROR(__xludf.DUMMYFUNCTION("CONCATENATE($B192,(VLOOKUP($C192,CATALOGOS!$F$2:$H$6,3,FALSE)),(VLOOKUP($V192,CATALOGOS!$J$2:$K$18,2,FALSE)),""-"",TO_TEXT($A192))"),"P05RH-0191")</f>
        <v>P05RH-0191</v>
      </c>
      <c r="I192" s="6"/>
      <c r="J192" s="6" t="s">
        <v>1417</v>
      </c>
      <c r="K192" s="6" t="s">
        <v>1418</v>
      </c>
      <c r="L192" s="6" t="s">
        <v>1419</v>
      </c>
      <c r="M192" s="43" t="s">
        <v>1420</v>
      </c>
      <c r="N192" s="17"/>
      <c r="O192" s="17"/>
      <c r="P192" s="17" t="str">
        <f t="shared" si="4"/>
        <v>OK</v>
      </c>
      <c r="Q192" s="17" t="s">
        <v>35</v>
      </c>
      <c r="R192" s="6" t="s">
        <v>35</v>
      </c>
      <c r="S192" s="46" t="s">
        <v>36</v>
      </c>
      <c r="T192" s="17" t="s">
        <v>1421</v>
      </c>
      <c r="U192" s="179" t="s">
        <v>517</v>
      </c>
      <c r="V192" s="11" t="s">
        <v>723</v>
      </c>
      <c r="W192" s="22" t="s">
        <v>1386</v>
      </c>
      <c r="X192" s="22" t="s">
        <v>1386</v>
      </c>
      <c r="Y192" s="22"/>
      <c r="Z192" s="7"/>
      <c r="AA192" s="7"/>
      <c r="AB192" s="26"/>
      <c r="AC192" s="26"/>
    </row>
    <row r="193" spans="1:29" ht="15.75" customHeight="1">
      <c r="A193" s="10" t="s">
        <v>1422</v>
      </c>
      <c r="B193" s="10" t="s">
        <v>27</v>
      </c>
      <c r="C193" s="11" t="s">
        <v>28</v>
      </c>
      <c r="D193" s="12"/>
      <c r="E193" s="13" t="s">
        <v>116</v>
      </c>
      <c r="F193" s="6" t="s">
        <v>364</v>
      </c>
      <c r="G193" s="15" t="str">
        <f ca="1">IFERROR(__xludf.DUMMYFUNCTION("CONCATENATE(B193,(VLOOKUP(C193,CATALOGOS!$F$2:$H$6,3,FALSE)),(VLOOKUP(V193,CATALOGOS!$J$2:$K$18,2,FALSE)),""-"",TO_TEXT(A193))"),"P05RH-0192")</f>
        <v>P05RH-0192</v>
      </c>
      <c r="H193" s="6" t="str">
        <f ca="1">IFERROR(__xludf.DUMMYFUNCTION("CONCATENATE($B193,(VLOOKUP($C193,CATALOGOS!$F$2:$H$6,3,FALSE)),(VLOOKUP($V193,CATALOGOS!$J$2:$K$18,2,FALSE)),""-"",TO_TEXT($A193))"),"P05RH-0192")</f>
        <v>P05RH-0192</v>
      </c>
      <c r="I193" s="6"/>
      <c r="J193" s="6" t="s">
        <v>1423</v>
      </c>
      <c r="K193" s="6" t="s">
        <v>1424</v>
      </c>
      <c r="L193" s="6" t="s">
        <v>1425</v>
      </c>
      <c r="M193" s="6" t="s">
        <v>141</v>
      </c>
      <c r="N193" s="17"/>
      <c r="O193" s="17"/>
      <c r="P193" s="17" t="str">
        <f t="shared" si="4"/>
        <v>REPETIDO</v>
      </c>
      <c r="Q193" s="17" t="s">
        <v>35</v>
      </c>
      <c r="R193" s="6" t="s">
        <v>35</v>
      </c>
      <c r="S193" s="17" t="s">
        <v>36</v>
      </c>
      <c r="T193" s="17" t="s">
        <v>1426</v>
      </c>
      <c r="U193" s="173" t="s">
        <v>38</v>
      </c>
      <c r="V193" s="11" t="s">
        <v>723</v>
      </c>
      <c r="W193" s="20" t="s">
        <v>1427</v>
      </c>
      <c r="X193" s="20" t="s">
        <v>1427</v>
      </c>
      <c r="Y193" s="20"/>
      <c r="Z193" s="7"/>
      <c r="AA193" s="7"/>
      <c r="AB193" s="23"/>
      <c r="AC193" s="26"/>
    </row>
    <row r="194" spans="1:29" ht="15.75" customHeight="1">
      <c r="A194" s="10" t="s">
        <v>1428</v>
      </c>
      <c r="B194" s="10" t="s">
        <v>27</v>
      </c>
      <c r="C194" s="11" t="s">
        <v>28</v>
      </c>
      <c r="D194" s="12"/>
      <c r="E194" s="13" t="s">
        <v>199</v>
      </c>
      <c r="F194" s="6" t="s">
        <v>677</v>
      </c>
      <c r="G194" s="15" t="str">
        <f ca="1">IFERROR(__xludf.DUMMYFUNCTION("CONCATENATE(B194,(VLOOKUP(C194,CATALOGOS!$F$2:$H$6,3,FALSE)),(VLOOKUP(V194,CATALOGOS!$J$2:$K$18,2,FALSE)),""-"",TO_TEXT(A194))"),"P05RH-0193")</f>
        <v>P05RH-0193</v>
      </c>
      <c r="H194" s="6" t="str">
        <f ca="1">IFERROR(__xludf.DUMMYFUNCTION("CONCATENATE($B194,(VLOOKUP($C194,CATALOGOS!$F$2:$H$6,3,FALSE)),(VLOOKUP($V194,CATALOGOS!$J$2:$K$18,2,FALSE)),""-"",TO_TEXT($A194))"),"P05RH-0193")</f>
        <v>P05RH-0193</v>
      </c>
      <c r="I194" s="6"/>
      <c r="J194" s="6" t="s">
        <v>1429</v>
      </c>
      <c r="K194" s="6" t="s">
        <v>1430</v>
      </c>
      <c r="L194" s="6" t="s">
        <v>1431</v>
      </c>
      <c r="M194" s="6" t="s">
        <v>141</v>
      </c>
      <c r="N194" s="17"/>
      <c r="O194" s="17"/>
      <c r="P194" s="17" t="str">
        <f t="shared" si="4"/>
        <v>REPETIDO</v>
      </c>
      <c r="Q194" s="17" t="s">
        <v>682</v>
      </c>
      <c r="R194" s="6" t="s">
        <v>1432</v>
      </c>
      <c r="S194" s="17" t="s">
        <v>1433</v>
      </c>
      <c r="T194" s="10" t="s">
        <v>1434</v>
      </c>
      <c r="U194" s="173" t="s">
        <v>38</v>
      </c>
      <c r="V194" s="11" t="s">
        <v>723</v>
      </c>
      <c r="W194" s="68" t="s">
        <v>1427</v>
      </c>
      <c r="X194" s="20" t="s">
        <v>1185</v>
      </c>
      <c r="Y194" s="20"/>
      <c r="Z194" s="7"/>
      <c r="AA194" s="7"/>
      <c r="AB194" s="23"/>
      <c r="AC194" s="26"/>
    </row>
    <row r="195" spans="1:29" ht="15.75" customHeight="1">
      <c r="A195" s="10" t="s">
        <v>1435</v>
      </c>
      <c r="B195" s="10" t="s">
        <v>27</v>
      </c>
      <c r="C195" s="11" t="s">
        <v>28</v>
      </c>
      <c r="D195" s="12"/>
      <c r="E195" s="13" t="s">
        <v>248</v>
      </c>
      <c r="F195" s="6" t="s">
        <v>248</v>
      </c>
      <c r="G195" s="15" t="str">
        <f ca="1">IFERROR(__xludf.DUMMYFUNCTION("CONCATENATE(B195,(VLOOKUP(C195,CATALOGOS!$F$2:$H$6,3,FALSE)),(VLOOKUP(V195,CATALOGOS!$J$2:$K$18,2,FALSE)),""-"",TO_TEXT(A195))"),"P05RH-0194")</f>
        <v>P05RH-0194</v>
      </c>
      <c r="H195" s="6" t="str">
        <f ca="1">IFERROR(__xludf.DUMMYFUNCTION("CONCATENATE($B195,(VLOOKUP($C195,CATALOGOS!$F$2:$H$6,3,FALSE)),(VLOOKUP($V195,CATALOGOS!$J$2:$K$18,2,FALSE)),""-"",TO_TEXT($A195))"),"P05RH-0194")</f>
        <v>P05RH-0194</v>
      </c>
      <c r="I195" s="6"/>
      <c r="J195" s="6" t="s">
        <v>1436</v>
      </c>
      <c r="K195" s="6" t="s">
        <v>1437</v>
      </c>
      <c r="L195" s="6" t="s">
        <v>1438</v>
      </c>
      <c r="M195" s="6" t="s">
        <v>1439</v>
      </c>
      <c r="N195" s="17"/>
      <c r="O195" s="17"/>
      <c r="P195" s="17" t="str">
        <f t="shared" si="4"/>
        <v>OK</v>
      </c>
      <c r="Q195" s="17" t="s">
        <v>303</v>
      </c>
      <c r="R195" s="6" t="s">
        <v>304</v>
      </c>
      <c r="S195" s="17" t="s">
        <v>1440</v>
      </c>
      <c r="T195" s="10" t="s">
        <v>1441</v>
      </c>
      <c r="U195" s="173" t="s">
        <v>38</v>
      </c>
      <c r="V195" s="11" t="s">
        <v>723</v>
      </c>
      <c r="W195" s="20" t="s">
        <v>1185</v>
      </c>
      <c r="X195" s="20" t="s">
        <v>1185</v>
      </c>
      <c r="Y195" s="20"/>
      <c r="Z195" s="7"/>
      <c r="AA195" s="7"/>
      <c r="AB195" s="23"/>
      <c r="AC195" s="26"/>
    </row>
    <row r="196" spans="1:29" ht="15.75" customHeight="1">
      <c r="A196" s="10" t="s">
        <v>1442</v>
      </c>
      <c r="B196" s="10" t="s">
        <v>27</v>
      </c>
      <c r="C196" s="11" t="s">
        <v>28</v>
      </c>
      <c r="D196" s="12"/>
      <c r="E196" s="13" t="s">
        <v>116</v>
      </c>
      <c r="F196" s="6" t="s">
        <v>1443</v>
      </c>
      <c r="G196" s="15" t="str">
        <f ca="1">IFERROR(__xludf.DUMMYFUNCTION("CONCATENATE(B196,(VLOOKUP(C196,CATALOGOS!$F$2:$H$6,3,FALSE)),(VLOOKUP(V196,CATALOGOS!$J$2:$K$18,2,FALSE)),""-"",TO_TEXT(A196))"),"P05RH-0195")</f>
        <v>P05RH-0195</v>
      </c>
      <c r="H196" s="6" t="str">
        <f ca="1">IFERROR(__xludf.DUMMYFUNCTION("CONCATENATE($B196,(VLOOKUP($C196,CATALOGOS!$F$2:$H$6,3,FALSE)),(VLOOKUP($V196,CATALOGOS!$J$2:$K$18,2,FALSE)),""-"",TO_TEXT($A196))"),"P05RH-0195")</f>
        <v>P05RH-0195</v>
      </c>
      <c r="I196" s="6"/>
      <c r="J196" s="6" t="s">
        <v>1444</v>
      </c>
      <c r="K196" s="6" t="s">
        <v>1445</v>
      </c>
      <c r="L196" s="6" t="s">
        <v>1446</v>
      </c>
      <c r="M196" s="6" t="s">
        <v>1447</v>
      </c>
      <c r="N196" s="17"/>
      <c r="O196" s="17"/>
      <c r="P196" s="17" t="str">
        <f t="shared" si="4"/>
        <v>OK</v>
      </c>
      <c r="Q196" s="17" t="s">
        <v>35</v>
      </c>
      <c r="R196" s="6" t="s">
        <v>35</v>
      </c>
      <c r="S196" s="17" t="s">
        <v>36</v>
      </c>
      <c r="T196" s="17" t="s">
        <v>1448</v>
      </c>
      <c r="U196" s="173" t="s">
        <v>38</v>
      </c>
      <c r="V196" s="11" t="s">
        <v>723</v>
      </c>
      <c r="W196" s="20" t="s">
        <v>5132</v>
      </c>
      <c r="X196" s="20" t="s">
        <v>1185</v>
      </c>
      <c r="Y196" s="20"/>
      <c r="Z196" s="7"/>
      <c r="AA196" s="7"/>
      <c r="AB196" s="23"/>
      <c r="AC196" s="26"/>
    </row>
    <row r="197" spans="1:29" ht="15.75" customHeight="1">
      <c r="A197" s="10" t="s">
        <v>1449</v>
      </c>
      <c r="B197" s="10" t="s">
        <v>27</v>
      </c>
      <c r="C197" s="11" t="s">
        <v>28</v>
      </c>
      <c r="D197" s="12"/>
      <c r="E197" s="13" t="s">
        <v>378</v>
      </c>
      <c r="F197" s="6" t="s">
        <v>1450</v>
      </c>
      <c r="G197" s="15" t="str">
        <f ca="1">IFERROR(__xludf.DUMMYFUNCTION("CONCATENATE(B197,(VLOOKUP(C197,CATALOGOS!$F$2:$H$6,3,FALSE)),(VLOOKUP(V197,CATALOGOS!$J$2:$K$18,2,FALSE)),""-"",TO_TEXT(A197))"),"P05RH-0196")</f>
        <v>P05RH-0196</v>
      </c>
      <c r="H197" s="6" t="str">
        <f ca="1">IFERROR(__xludf.DUMMYFUNCTION("CONCATENATE($B197,(VLOOKUP($C197,CATALOGOS!$F$2:$H$6,3,FALSE)),(VLOOKUP($V197,CATALOGOS!$J$2:$K$18,2,FALSE)),""-"",TO_TEXT($A197))"),"P05RH-0196")</f>
        <v>P05RH-0196</v>
      </c>
      <c r="I197" s="6"/>
      <c r="J197" s="6" t="s">
        <v>1451</v>
      </c>
      <c r="K197" s="6" t="s">
        <v>1452</v>
      </c>
      <c r="L197" s="6" t="s">
        <v>1453</v>
      </c>
      <c r="M197" s="6" t="s">
        <v>1454</v>
      </c>
      <c r="N197" s="17"/>
      <c r="O197" s="17"/>
      <c r="P197" s="17" t="str">
        <f t="shared" si="4"/>
        <v>OK</v>
      </c>
      <c r="Q197" s="17" t="s">
        <v>35</v>
      </c>
      <c r="R197" s="6" t="s">
        <v>35</v>
      </c>
      <c r="S197" s="17" t="s">
        <v>36</v>
      </c>
      <c r="T197" s="17" t="s">
        <v>1455</v>
      </c>
      <c r="U197" s="173" t="s">
        <v>38</v>
      </c>
      <c r="V197" s="11" t="s">
        <v>723</v>
      </c>
      <c r="W197" s="20" t="s">
        <v>1185</v>
      </c>
      <c r="X197" s="20" t="s">
        <v>1185</v>
      </c>
      <c r="Y197" s="20"/>
      <c r="Z197" s="7"/>
      <c r="AA197" s="7"/>
      <c r="AB197" s="23"/>
      <c r="AC197" s="26"/>
    </row>
    <row r="198" spans="1:29" ht="15.75" customHeight="1">
      <c r="A198" s="10" t="s">
        <v>1456</v>
      </c>
      <c r="B198" s="10" t="s">
        <v>27</v>
      </c>
      <c r="C198" s="11" t="s">
        <v>28</v>
      </c>
      <c r="D198" s="12"/>
      <c r="E198" s="13" t="s">
        <v>378</v>
      </c>
      <c r="F198" s="6" t="s">
        <v>1306</v>
      </c>
      <c r="G198" s="15" t="str">
        <f ca="1">IFERROR(__xludf.DUMMYFUNCTION("CONCATENATE(B198,(VLOOKUP(C198,CATALOGOS!$F$2:$H$6,3,FALSE)),(VLOOKUP(V198,CATALOGOS!$J$2:$K$18,2,FALSE)),""-"",TO_TEXT(A198))"),"P05RH-0197")</f>
        <v>P05RH-0197</v>
      </c>
      <c r="H198" s="6" t="str">
        <f ca="1">IFERROR(__xludf.DUMMYFUNCTION("CONCATENATE($B198,(VLOOKUP($C198,CATALOGOS!$F$2:$H$6,3,FALSE)),(VLOOKUP($V198,CATALOGOS!$J$2:$K$18,2,FALSE)),""-"",TO_TEXT($A198))"),"P05RH-0197")</f>
        <v>P05RH-0197</v>
      </c>
      <c r="I198" s="6"/>
      <c r="J198" s="6" t="s">
        <v>1457</v>
      </c>
      <c r="K198" s="6" t="s">
        <v>1458</v>
      </c>
      <c r="L198" s="6" t="s">
        <v>1459</v>
      </c>
      <c r="M198" s="6" t="s">
        <v>1460</v>
      </c>
      <c r="N198" s="17"/>
      <c r="O198" s="17"/>
      <c r="P198" s="17" t="str">
        <f t="shared" si="4"/>
        <v>OK</v>
      </c>
      <c r="Q198" s="17" t="s">
        <v>35</v>
      </c>
      <c r="R198" s="6" t="s">
        <v>35</v>
      </c>
      <c r="S198" s="17" t="s">
        <v>36</v>
      </c>
      <c r="T198" s="17" t="s">
        <v>1461</v>
      </c>
      <c r="U198" s="173" t="s">
        <v>38</v>
      </c>
      <c r="V198" s="11" t="s">
        <v>723</v>
      </c>
      <c r="W198" s="22" t="s">
        <v>1462</v>
      </c>
      <c r="X198" s="22" t="s">
        <v>1462</v>
      </c>
      <c r="Y198" s="22"/>
      <c r="Z198" s="7"/>
      <c r="AA198" s="7"/>
      <c r="AB198" s="23"/>
      <c r="AC198" s="26"/>
    </row>
    <row r="199" spans="1:29" ht="15.75" customHeight="1">
      <c r="A199" s="10" t="s">
        <v>1463</v>
      </c>
      <c r="B199" s="10" t="s">
        <v>27</v>
      </c>
      <c r="C199" s="11" t="s">
        <v>28</v>
      </c>
      <c r="D199" s="38"/>
      <c r="E199" s="13" t="s">
        <v>378</v>
      </c>
      <c r="F199" s="6" t="s">
        <v>1464</v>
      </c>
      <c r="G199" s="6" t="str">
        <f ca="1">IFERROR(__xludf.DUMMYFUNCTION("CONCATENATE(B199,(VLOOKUP(C199,CATALOGOS!$F$2:$H$6,3,FALSE)),(VLOOKUP(V199,CATALOGOS!$J$2:$K$18,2,FALSE)),""-"",TO_TEXT(A199))"),"P05DA-0198")</f>
        <v>P05DA-0198</v>
      </c>
      <c r="H199" s="6" t="str">
        <f ca="1">IFERROR(__xludf.DUMMYFUNCTION("CONCATENATE($B199,(VLOOKUP($C199,CATALOGOS!$F$2:$H$6,3,FALSE)),(VLOOKUP($V199,CATALOGOS!$J$2:$K$18,2,FALSE)),""-"",TO_TEXT($A199))"),"P05DA-0198")</f>
        <v>P05DA-0198</v>
      </c>
      <c r="I199" s="6"/>
      <c r="J199" s="6" t="s">
        <v>1465</v>
      </c>
      <c r="K199" s="6" t="s">
        <v>1466</v>
      </c>
      <c r="L199" s="36"/>
      <c r="M199" s="6" t="s">
        <v>141</v>
      </c>
      <c r="N199" s="17"/>
      <c r="O199" s="17"/>
      <c r="P199" s="17" t="str">
        <f t="shared" si="4"/>
        <v>REPETIDO</v>
      </c>
      <c r="Q199" s="17" t="s">
        <v>35</v>
      </c>
      <c r="R199" s="6" t="s">
        <v>35</v>
      </c>
      <c r="S199" s="6" t="s">
        <v>36</v>
      </c>
      <c r="T199" s="32" t="s">
        <v>1467</v>
      </c>
      <c r="U199" s="173" t="s">
        <v>38</v>
      </c>
      <c r="V199" s="11" t="s">
        <v>28</v>
      </c>
      <c r="W199" s="20" t="s">
        <v>848</v>
      </c>
      <c r="X199" s="20" t="s">
        <v>848</v>
      </c>
      <c r="Y199" s="20"/>
      <c r="Z199" s="7"/>
      <c r="AA199" s="7"/>
      <c r="AB199" s="26"/>
      <c r="AC199" s="26"/>
    </row>
    <row r="200" spans="1:29" ht="15.75" customHeight="1">
      <c r="A200" s="10" t="s">
        <v>1468</v>
      </c>
      <c r="B200" s="10" t="s">
        <v>1469</v>
      </c>
      <c r="C200" s="60" t="s">
        <v>1470</v>
      </c>
      <c r="D200" s="38"/>
      <c r="E200" s="13" t="s">
        <v>29</v>
      </c>
      <c r="F200" s="6" t="s">
        <v>1471</v>
      </c>
      <c r="G200" s="6" t="str">
        <f ca="1">IFERROR(__xludf.DUMMYFUNCTION("CONCATENATE(B200,(VLOOKUP(C200,CATALOGOS!$F$2:$H$6,3,FALSE)),(VLOOKUP(V200,CATALOGOS!$J$2:$K$18,2,FALSE)),""-"",TO_TEXT(A200))"),"P12ST-0199")</f>
        <v>P12ST-0199</v>
      </c>
      <c r="H200" s="6" t="str">
        <f ca="1">IFERROR(__xludf.DUMMYFUNCTION("CONCATENATE($B200,(VLOOKUP($C200,CATALOGOS!$F$2:$H$6,3,FALSE)),(VLOOKUP($V200,CATALOGOS!$J$2:$K$18,2,FALSE)),""-"",TO_TEXT($A200))"),"P12ST-0199")</f>
        <v>P12ST-0199</v>
      </c>
      <c r="I200" s="6"/>
      <c r="J200" s="6" t="s">
        <v>1472</v>
      </c>
      <c r="K200" s="6" t="s">
        <v>1473</v>
      </c>
      <c r="L200" s="6" t="s">
        <v>1474</v>
      </c>
      <c r="M200" s="6" t="s">
        <v>1475</v>
      </c>
      <c r="N200" s="17"/>
      <c r="O200" s="17"/>
      <c r="P200" s="17" t="str">
        <f t="shared" si="4"/>
        <v>OK</v>
      </c>
      <c r="Q200" s="17" t="s">
        <v>35</v>
      </c>
      <c r="R200" s="49" t="s">
        <v>35</v>
      </c>
      <c r="S200" s="46" t="s">
        <v>36</v>
      </c>
      <c r="T200" s="17" t="s">
        <v>1476</v>
      </c>
      <c r="U200" s="173" t="s">
        <v>38</v>
      </c>
      <c r="V200" s="11" t="s">
        <v>1470</v>
      </c>
      <c r="W200" s="20" t="s">
        <v>1477</v>
      </c>
      <c r="X200" s="20" t="s">
        <v>1477</v>
      </c>
      <c r="Y200" s="20"/>
      <c r="Z200" s="6"/>
      <c r="AA200" s="6"/>
      <c r="AB200" s="26"/>
      <c r="AC200" s="24"/>
    </row>
    <row r="201" spans="1:29" ht="15.75" customHeight="1">
      <c r="A201" s="10" t="s">
        <v>1478</v>
      </c>
      <c r="B201" s="10" t="s">
        <v>1469</v>
      </c>
      <c r="C201" s="60" t="s">
        <v>1470</v>
      </c>
      <c r="D201" s="12"/>
      <c r="E201" s="13" t="s">
        <v>378</v>
      </c>
      <c r="F201" s="6" t="s">
        <v>878</v>
      </c>
      <c r="G201" s="6" t="str">
        <f ca="1">IFERROR(__xludf.DUMMYFUNCTION("CONCATENATE(B201,(VLOOKUP(C201,CATALOGOS!$F$2:$H$6,3,FALSE)),(VLOOKUP(V201,CATALOGOS!$J$2:$K$18,2,FALSE)),""-"",TO_TEXT(A201))"),"P12SI-0200")</f>
        <v>P12SI-0200</v>
      </c>
      <c r="H201" s="6" t="str">
        <f ca="1">IFERROR(__xludf.DUMMYFUNCTION("CONCATENATE($B201,(VLOOKUP($C201,CATALOGOS!$F$2:$H$6,3,FALSE)),(VLOOKUP($V201,CATALOGOS!$J$2:$K$18,2,FALSE)),""-"",TO_TEXT($A201))"),"P12SI-0200")</f>
        <v>P12SI-0200</v>
      </c>
      <c r="I201" s="6"/>
      <c r="J201" s="6" t="s">
        <v>1479</v>
      </c>
      <c r="K201" s="6" t="s">
        <v>1480</v>
      </c>
      <c r="L201" s="6" t="s">
        <v>1481</v>
      </c>
      <c r="M201" s="6" t="s">
        <v>1482</v>
      </c>
      <c r="N201" s="17"/>
      <c r="O201" s="17"/>
      <c r="P201" s="17" t="str">
        <f t="shared" si="4"/>
        <v>OK</v>
      </c>
      <c r="Q201" s="17" t="s">
        <v>35</v>
      </c>
      <c r="R201" s="6" t="s">
        <v>35</v>
      </c>
      <c r="S201" s="17" t="s">
        <v>36</v>
      </c>
      <c r="T201" s="17" t="s">
        <v>85</v>
      </c>
      <c r="U201" s="173" t="s">
        <v>38</v>
      </c>
      <c r="V201" s="181" t="s">
        <v>1483</v>
      </c>
      <c r="W201" s="20" t="s">
        <v>1484</v>
      </c>
      <c r="X201" s="20" t="s">
        <v>1484</v>
      </c>
      <c r="Y201" s="20"/>
      <c r="Z201" s="6"/>
      <c r="AA201" s="6"/>
      <c r="AB201" s="23"/>
      <c r="AC201" s="24"/>
    </row>
    <row r="202" spans="1:29" ht="15.75" customHeight="1">
      <c r="A202" s="10" t="s">
        <v>1485</v>
      </c>
      <c r="B202" s="10" t="s">
        <v>1469</v>
      </c>
      <c r="C202" s="60" t="s">
        <v>1470</v>
      </c>
      <c r="D202" s="12"/>
      <c r="E202" s="13" t="s">
        <v>53</v>
      </c>
      <c r="F202" s="6" t="s">
        <v>1486</v>
      </c>
      <c r="G202" s="6" t="str">
        <f ca="1">IFERROR(__xludf.DUMMYFUNCTION("CONCATENATE(B202,(VLOOKUP(C202,CATALOGOS!$F$2:$H$6,3,FALSE)),(VLOOKUP(V202,CATALOGOS!$J$2:$K$18,2,FALSE)),""-"",TO_TEXT(A202))"),"P12ST-0201")</f>
        <v>P12ST-0201</v>
      </c>
      <c r="H202" s="6" t="str">
        <f ca="1">IFERROR(__xludf.DUMMYFUNCTION("CONCATENATE($B202,(VLOOKUP($C202,CATALOGOS!$F$2:$H$6,3,FALSE)),(VLOOKUP($V202,CATALOGOS!$J$2:$K$18,2,FALSE)),""-"",TO_TEXT($A202))"),"P12ST-0201")</f>
        <v>P12ST-0201</v>
      </c>
      <c r="I202" s="6"/>
      <c r="J202" s="6" t="s">
        <v>1487</v>
      </c>
      <c r="K202" s="6" t="s">
        <v>1488</v>
      </c>
      <c r="L202" s="6" t="s">
        <v>1489</v>
      </c>
      <c r="M202" s="6" t="s">
        <v>1490</v>
      </c>
      <c r="N202" s="17"/>
      <c r="O202" s="17"/>
      <c r="P202" s="17" t="str">
        <f t="shared" si="4"/>
        <v>OK</v>
      </c>
      <c r="Q202" s="17" t="s">
        <v>35</v>
      </c>
      <c r="R202" s="6" t="s">
        <v>35</v>
      </c>
      <c r="S202" s="17" t="s">
        <v>36</v>
      </c>
      <c r="T202" s="17" t="s">
        <v>85</v>
      </c>
      <c r="U202" s="173" t="s">
        <v>38</v>
      </c>
      <c r="V202" s="11" t="s">
        <v>1470</v>
      </c>
      <c r="W202" s="20" t="s">
        <v>1477</v>
      </c>
      <c r="X202" s="20" t="s">
        <v>1477</v>
      </c>
      <c r="Y202" s="20"/>
      <c r="Z202" s="6"/>
      <c r="AA202" s="6"/>
      <c r="AB202" s="23"/>
      <c r="AC202" s="24"/>
    </row>
    <row r="203" spans="1:29" ht="15.75" customHeight="1">
      <c r="A203" s="10" t="s">
        <v>1491</v>
      </c>
      <c r="B203" s="10" t="s">
        <v>1469</v>
      </c>
      <c r="C203" s="60" t="s">
        <v>1470</v>
      </c>
      <c r="D203" s="12"/>
      <c r="E203" s="13" t="s">
        <v>43</v>
      </c>
      <c r="F203" s="6" t="s">
        <v>1492</v>
      </c>
      <c r="G203" s="6" t="str">
        <f ca="1">IFERROR(__xludf.DUMMYFUNCTION("CONCATENATE(B203,(VLOOKUP(C203,CATALOGOS!$F$2:$H$6,3,FALSE)),(VLOOKUP(V203,CATALOGOS!$J$2:$K$18,2,FALSE)),""-"",TO_TEXT(A203))"),"P12ST-0202")</f>
        <v>P12ST-0202</v>
      </c>
      <c r="H203" s="6" t="str">
        <f ca="1">IFERROR(__xludf.DUMMYFUNCTION("CONCATENATE($B203,(VLOOKUP($C203,CATALOGOS!$F$2:$H$6,3,FALSE)),(VLOOKUP($V203,CATALOGOS!$J$2:$K$18,2,FALSE)),""-"",TO_TEXT($A203))"),"P12ST-0202")</f>
        <v>P12ST-0202</v>
      </c>
      <c r="I203" s="6"/>
      <c r="J203" s="6" t="s">
        <v>1493</v>
      </c>
      <c r="K203" s="6" t="s">
        <v>1494</v>
      </c>
      <c r="L203" s="6" t="s">
        <v>1495</v>
      </c>
      <c r="M203" s="6" t="s">
        <v>1496</v>
      </c>
      <c r="N203" s="17"/>
      <c r="O203" s="17"/>
      <c r="P203" s="17" t="str">
        <f t="shared" si="4"/>
        <v>OK</v>
      </c>
      <c r="Q203" s="17" t="s">
        <v>406</v>
      </c>
      <c r="R203" s="6" t="s">
        <v>407</v>
      </c>
      <c r="S203" s="17" t="s">
        <v>36</v>
      </c>
      <c r="T203" s="17" t="s">
        <v>1497</v>
      </c>
      <c r="U203" s="173" t="s">
        <v>38</v>
      </c>
      <c r="V203" s="11" t="s">
        <v>1470</v>
      </c>
      <c r="W203" s="20" t="s">
        <v>1477</v>
      </c>
      <c r="X203" s="20" t="s">
        <v>1477</v>
      </c>
      <c r="Y203" s="20"/>
      <c r="Z203" s="7"/>
      <c r="AA203" s="7"/>
      <c r="AB203" s="23"/>
      <c r="AC203" s="26"/>
    </row>
    <row r="204" spans="1:29" ht="15.75" customHeight="1">
      <c r="A204" s="10" t="s">
        <v>1498</v>
      </c>
      <c r="B204" s="10" t="s">
        <v>1469</v>
      </c>
      <c r="C204" s="60" t="s">
        <v>1470</v>
      </c>
      <c r="D204" s="12"/>
      <c r="E204" s="13" t="s">
        <v>116</v>
      </c>
      <c r="F204" s="6" t="s">
        <v>129</v>
      </c>
      <c r="G204" s="6" t="str">
        <f ca="1">IFERROR(__xludf.DUMMYFUNCTION("CONCATENATE(B204,(VLOOKUP(C204,CATALOGOS!$F$2:$H$6,3,FALSE)),(VLOOKUP(V204,CATALOGOS!$J$2:$K$18,2,FALSE)),""-"",TO_TEXT(A204))"),"P12ST-0203")</f>
        <v>P12ST-0203</v>
      </c>
      <c r="H204" s="6" t="str">
        <f ca="1">IFERROR(__xludf.DUMMYFUNCTION("CONCATENATE($B204,(VLOOKUP($C204,CATALOGOS!$F$2:$H$6,3,FALSE)),(VLOOKUP($V204,CATALOGOS!$J$2:$K$18,2,FALSE)),""-"",TO_TEXT($A204))"),"P12ST-0203")</f>
        <v>P12ST-0203</v>
      </c>
      <c r="I204" s="6"/>
      <c r="J204" s="6" t="s">
        <v>1499</v>
      </c>
      <c r="K204" s="6" t="s">
        <v>1500</v>
      </c>
      <c r="L204" s="6" t="s">
        <v>1501</v>
      </c>
      <c r="M204" s="6" t="s">
        <v>1502</v>
      </c>
      <c r="N204" s="17"/>
      <c r="O204" s="17"/>
      <c r="P204" s="17" t="str">
        <f t="shared" si="4"/>
        <v>OK</v>
      </c>
      <c r="Q204" s="17" t="s">
        <v>35</v>
      </c>
      <c r="R204" s="6" t="s">
        <v>35</v>
      </c>
      <c r="S204" s="17" t="s">
        <v>36</v>
      </c>
      <c r="T204" s="17" t="s">
        <v>1503</v>
      </c>
      <c r="U204" s="173" t="s">
        <v>38</v>
      </c>
      <c r="V204" s="11" t="s">
        <v>1470</v>
      </c>
      <c r="W204" s="20" t="s">
        <v>1477</v>
      </c>
      <c r="X204" s="20" t="s">
        <v>1477</v>
      </c>
      <c r="Y204" s="20"/>
      <c r="Z204" s="7"/>
      <c r="AA204" s="7"/>
      <c r="AB204" s="23"/>
      <c r="AC204" s="26"/>
    </row>
    <row r="205" spans="1:29" ht="15.75" customHeight="1">
      <c r="A205" s="10" t="s">
        <v>1504</v>
      </c>
      <c r="B205" s="10" t="s">
        <v>1469</v>
      </c>
      <c r="C205" s="60" t="s">
        <v>1470</v>
      </c>
      <c r="D205" s="12"/>
      <c r="E205" s="13" t="s">
        <v>71</v>
      </c>
      <c r="F205" s="6" t="s">
        <v>72</v>
      </c>
      <c r="G205" s="6" t="str">
        <f ca="1">IFERROR(__xludf.DUMMYFUNCTION("CONCATENATE(B205,(VLOOKUP(C205,CATALOGOS!$F$2:$H$6,3,FALSE)),(VLOOKUP(V205,CATALOGOS!$J$2:$K$18,2,FALSE)),""-"",TO_TEXT(A205))"),"P12ST-0204")</f>
        <v>P12ST-0204</v>
      </c>
      <c r="H205" s="6" t="str">
        <f ca="1">IFERROR(__xludf.DUMMYFUNCTION("CONCATENATE($B205,(VLOOKUP($C205,CATALOGOS!$F$2:$H$6,3,FALSE)),(VLOOKUP($V205,CATALOGOS!$J$2:$K$18,2,FALSE)),""-"",TO_TEXT($A205))"),"P12ST-0204")</f>
        <v>P12ST-0204</v>
      </c>
      <c r="I205" s="6"/>
      <c r="J205" s="6" t="s">
        <v>1505</v>
      </c>
      <c r="K205" s="62"/>
      <c r="L205" s="6" t="s">
        <v>1506</v>
      </c>
      <c r="M205" s="6" t="s">
        <v>1507</v>
      </c>
      <c r="N205" s="17"/>
      <c r="O205" s="17"/>
      <c r="P205" s="17" t="str">
        <f t="shared" si="4"/>
        <v>OK</v>
      </c>
      <c r="Q205" s="17" t="s">
        <v>35</v>
      </c>
      <c r="R205" s="6" t="s">
        <v>35</v>
      </c>
      <c r="S205" s="17" t="s">
        <v>36</v>
      </c>
      <c r="T205" s="17" t="s">
        <v>1508</v>
      </c>
      <c r="U205" s="173" t="s">
        <v>38</v>
      </c>
      <c r="V205" s="11" t="s">
        <v>1470</v>
      </c>
      <c r="W205" s="20" t="s">
        <v>1477</v>
      </c>
      <c r="X205" s="20" t="s">
        <v>1477</v>
      </c>
      <c r="Y205" s="20"/>
      <c r="Z205" s="6"/>
      <c r="AA205" s="6"/>
      <c r="AB205" s="23"/>
      <c r="AC205" s="33"/>
    </row>
    <row r="206" spans="1:29" ht="15.75" customHeight="1">
      <c r="A206" s="10" t="s">
        <v>1509</v>
      </c>
      <c r="B206" s="10" t="s">
        <v>1469</v>
      </c>
      <c r="C206" s="60" t="s">
        <v>1470</v>
      </c>
      <c r="D206" s="12"/>
      <c r="E206" s="13" t="s">
        <v>116</v>
      </c>
      <c r="F206" s="6" t="s">
        <v>1510</v>
      </c>
      <c r="G206" s="6" t="str">
        <f ca="1">IFERROR(__xludf.DUMMYFUNCTION("CONCATENATE(B206,(VLOOKUP(C206,CATALOGOS!$F$2:$H$6,3,FALSE)),(VLOOKUP(V206,CATALOGOS!$J$2:$K$18,2,FALSE)),""-"",TO_TEXT(A206))"),"P12ST-0205")</f>
        <v>P12ST-0205</v>
      </c>
      <c r="H206" s="6" t="str">
        <f ca="1">IFERROR(__xludf.DUMMYFUNCTION("CONCATENATE($B206,(VLOOKUP($C206,CATALOGOS!$F$2:$H$6,3,FALSE)),(VLOOKUP($V206,CATALOGOS!$J$2:$K$18,2,FALSE)),""-"",TO_TEXT($A206))"),"P12ST-0205")</f>
        <v>P12ST-0205</v>
      </c>
      <c r="I206" s="6"/>
      <c r="J206" s="6" t="s">
        <v>1511</v>
      </c>
      <c r="K206" s="62"/>
      <c r="L206" s="6" t="s">
        <v>1512</v>
      </c>
      <c r="M206" s="6" t="s">
        <v>1513</v>
      </c>
      <c r="N206" s="17"/>
      <c r="O206" s="17"/>
      <c r="P206" s="17" t="str">
        <f t="shared" si="4"/>
        <v>OK</v>
      </c>
      <c r="Q206" s="17" t="s">
        <v>35</v>
      </c>
      <c r="R206" s="6" t="s">
        <v>35</v>
      </c>
      <c r="S206" s="17" t="s">
        <v>36</v>
      </c>
      <c r="T206" s="17" t="s">
        <v>1514</v>
      </c>
      <c r="U206" s="173" t="s">
        <v>38</v>
      </c>
      <c r="V206" s="11" t="s">
        <v>1470</v>
      </c>
      <c r="W206" s="20" t="s">
        <v>1477</v>
      </c>
      <c r="X206" s="20" t="s">
        <v>1477</v>
      </c>
      <c r="Y206" s="20"/>
      <c r="Z206" s="6"/>
      <c r="AA206" s="6"/>
      <c r="AB206" s="23"/>
      <c r="AC206" s="33"/>
    </row>
    <row r="207" spans="1:29" ht="15.75" customHeight="1">
      <c r="A207" s="10" t="s">
        <v>1515</v>
      </c>
      <c r="B207" s="10" t="s">
        <v>1469</v>
      </c>
      <c r="C207" s="60" t="s">
        <v>1470</v>
      </c>
      <c r="D207" s="12"/>
      <c r="E207" s="13" t="s">
        <v>116</v>
      </c>
      <c r="F207" s="6" t="s">
        <v>117</v>
      </c>
      <c r="G207" s="6" t="str">
        <f ca="1">IFERROR(__xludf.DUMMYFUNCTION("CONCATENATE(B207,(VLOOKUP(C207,CATALOGOS!$F$2:$H$6,3,FALSE)),(VLOOKUP(V207,CATALOGOS!$J$2:$K$18,2,FALSE)),""-"",TO_TEXT(A207))"),"P12ST-0206")</f>
        <v>P12ST-0206</v>
      </c>
      <c r="H207" s="6" t="str">
        <f ca="1">IFERROR(__xludf.DUMMYFUNCTION("CONCATENATE($B207,(VLOOKUP($C207,CATALOGOS!$F$2:$H$6,3,FALSE)),(VLOOKUP($V207,CATALOGOS!$J$2:$K$18,2,FALSE)),""-"",TO_TEXT($A207))"),"P12ST-0206")</f>
        <v>P12ST-0206</v>
      </c>
      <c r="I207" s="6"/>
      <c r="J207" s="6" t="s">
        <v>1516</v>
      </c>
      <c r="K207" s="62"/>
      <c r="L207" s="6" t="s">
        <v>1517</v>
      </c>
      <c r="M207" s="6" t="s">
        <v>1518</v>
      </c>
      <c r="N207" s="17"/>
      <c r="O207" s="17"/>
      <c r="P207" s="17" t="str">
        <f t="shared" si="4"/>
        <v>OK</v>
      </c>
      <c r="Q207" s="17" t="s">
        <v>35</v>
      </c>
      <c r="R207" s="6" t="s">
        <v>35</v>
      </c>
      <c r="S207" s="17" t="s">
        <v>36</v>
      </c>
      <c r="T207" s="17" t="s">
        <v>1519</v>
      </c>
      <c r="U207" s="173" t="s">
        <v>38</v>
      </c>
      <c r="V207" s="11" t="s">
        <v>1470</v>
      </c>
      <c r="W207" s="20" t="s">
        <v>1477</v>
      </c>
      <c r="X207" s="20" t="s">
        <v>1477</v>
      </c>
      <c r="Y207" s="20"/>
      <c r="Z207" s="6"/>
      <c r="AA207" s="6"/>
      <c r="AB207" s="23"/>
      <c r="AC207" s="33"/>
    </row>
    <row r="208" spans="1:29" ht="15.75" customHeight="1">
      <c r="A208" s="10" t="s">
        <v>1520</v>
      </c>
      <c r="B208" s="10" t="s">
        <v>1469</v>
      </c>
      <c r="C208" s="60" t="s">
        <v>1470</v>
      </c>
      <c r="D208" s="12"/>
      <c r="E208" s="13" t="s">
        <v>184</v>
      </c>
      <c r="F208" s="43" t="s">
        <v>1521</v>
      </c>
      <c r="G208" s="6" t="str">
        <f ca="1">IFERROR(__xludf.DUMMYFUNCTION("CONCATENATE(B208,(VLOOKUP(C208,CATALOGOS!$F$2:$H$6,3,FALSE)),(VLOOKUP(V208,CATALOGOS!$J$2:$K$18,2,FALSE)),""-"",TO_TEXT(A208))"),"P12ST-0207")</f>
        <v>P12ST-0207</v>
      </c>
      <c r="H208" s="6" t="str">
        <f ca="1">IFERROR(__xludf.DUMMYFUNCTION("CONCATENATE($B208,(VLOOKUP($C208,CATALOGOS!$F$2:$H$6,3,FALSE)),(VLOOKUP($V208,CATALOGOS!$J$2:$K$18,2,FALSE)),""-"",TO_TEXT($A208))"),"P12ST-0207")</f>
        <v>P12ST-0207</v>
      </c>
      <c r="I208" s="6"/>
      <c r="J208" s="6" t="s">
        <v>1522</v>
      </c>
      <c r="K208" s="6" t="s">
        <v>1523</v>
      </c>
      <c r="L208" s="6" t="s">
        <v>1524</v>
      </c>
      <c r="M208" s="6" t="s">
        <v>1525</v>
      </c>
      <c r="N208" s="17"/>
      <c r="O208" s="17"/>
      <c r="P208" s="17" t="str">
        <f t="shared" si="4"/>
        <v>OK</v>
      </c>
      <c r="Q208" s="17" t="s">
        <v>35</v>
      </c>
      <c r="R208" s="6" t="s">
        <v>35</v>
      </c>
      <c r="S208" s="17" t="s">
        <v>36</v>
      </c>
      <c r="T208" s="17" t="s">
        <v>1526</v>
      </c>
      <c r="U208" s="173" t="s">
        <v>38</v>
      </c>
      <c r="V208" s="11" t="s">
        <v>1470</v>
      </c>
      <c r="W208" s="20" t="s">
        <v>1477</v>
      </c>
      <c r="X208" s="20" t="s">
        <v>1477</v>
      </c>
      <c r="Y208" s="20"/>
      <c r="Z208" s="6"/>
      <c r="AA208" s="6"/>
      <c r="AB208" s="23"/>
      <c r="AC208" s="24"/>
    </row>
    <row r="209" spans="1:30" ht="15.75" customHeight="1">
      <c r="A209" s="10" t="s">
        <v>1527</v>
      </c>
      <c r="B209" s="10" t="s">
        <v>1469</v>
      </c>
      <c r="C209" s="60" t="s">
        <v>1470</v>
      </c>
      <c r="D209" s="12"/>
      <c r="E209" s="13" t="s">
        <v>199</v>
      </c>
      <c r="F209" s="6" t="s">
        <v>199</v>
      </c>
      <c r="G209" s="6" t="str">
        <f ca="1">IFERROR(__xludf.DUMMYFUNCTION("CONCATENATE(B209,(VLOOKUP(C209,CATALOGOS!$F$2:$H$6,3,FALSE)),(VLOOKUP(V209,CATALOGOS!$J$2:$K$18,2,FALSE)),""-"",TO_TEXT(A209))"),"P12ST-0208")</f>
        <v>P12ST-0208</v>
      </c>
      <c r="H209" s="6" t="str">
        <f ca="1">IFERROR(__xludf.DUMMYFUNCTION("CONCATENATE($B209,(VLOOKUP($C209,CATALOGOS!$F$2:$H$6,3,FALSE)),(VLOOKUP($V209,CATALOGOS!$J$2:$K$18,2,FALSE)),""-"",TO_TEXT($A209))"),"P12ST-0208")</f>
        <v>P12ST-0208</v>
      </c>
      <c r="I209" s="6"/>
      <c r="J209" s="6" t="s">
        <v>1528</v>
      </c>
      <c r="K209" s="6" t="s">
        <v>1529</v>
      </c>
      <c r="L209" s="6" t="s">
        <v>1530</v>
      </c>
      <c r="M209" s="6" t="s">
        <v>1531</v>
      </c>
      <c r="N209" s="17"/>
      <c r="O209" s="17"/>
      <c r="P209" s="17" t="str">
        <f t="shared" si="4"/>
        <v>OK</v>
      </c>
      <c r="Q209" s="17" t="s">
        <v>205</v>
      </c>
      <c r="R209" s="6" t="s">
        <v>1532</v>
      </c>
      <c r="S209" s="17" t="s">
        <v>1533</v>
      </c>
      <c r="T209" s="17" t="s">
        <v>1534</v>
      </c>
      <c r="U209" s="173" t="s">
        <v>38</v>
      </c>
      <c r="V209" s="11" t="s">
        <v>1470</v>
      </c>
      <c r="W209" s="20" t="s">
        <v>1477</v>
      </c>
      <c r="X209" s="20" t="s">
        <v>1477</v>
      </c>
      <c r="Y209" s="20"/>
      <c r="Z209" s="6"/>
      <c r="AA209" s="6"/>
      <c r="AB209" s="23"/>
      <c r="AC209" s="24"/>
    </row>
    <row r="210" spans="1:30" ht="15.75" customHeight="1">
      <c r="A210" s="10" t="s">
        <v>1535</v>
      </c>
      <c r="B210" s="10" t="s">
        <v>1469</v>
      </c>
      <c r="C210" s="60" t="s">
        <v>1470</v>
      </c>
      <c r="D210" s="12"/>
      <c r="E210" s="13" t="s">
        <v>151</v>
      </c>
      <c r="F210" s="6" t="s">
        <v>714</v>
      </c>
      <c r="G210" s="6" t="str">
        <f ca="1">IFERROR(__xludf.DUMMYFUNCTION("CONCATENATE(B210,(VLOOKUP(C210,CATALOGOS!$F$2:$H$6,3,FALSE)),(VLOOKUP(V210,CATALOGOS!$J$2:$K$18,2,FALSE)),""-"",TO_TEXT(A210))"),"P12ST-0209")</f>
        <v>P12ST-0209</v>
      </c>
      <c r="H210" s="6" t="str">
        <f ca="1">IFERROR(__xludf.DUMMYFUNCTION("CONCATENATE($B210,(VLOOKUP($C210,CATALOGOS!$F$2:$H$6,3,FALSE)),(VLOOKUP($V210,CATALOGOS!$J$2:$K$18,2,FALSE)),""-"",TO_TEXT($A210))"),"P12ST-0209")</f>
        <v>P12ST-0209</v>
      </c>
      <c r="I210" s="6"/>
      <c r="J210" s="6" t="s">
        <v>1536</v>
      </c>
      <c r="K210" s="6" t="s">
        <v>1537</v>
      </c>
      <c r="L210" s="6" t="s">
        <v>1538</v>
      </c>
      <c r="M210" s="6" t="s">
        <v>1539</v>
      </c>
      <c r="N210" s="17"/>
      <c r="O210" s="17"/>
      <c r="P210" s="17" t="str">
        <f t="shared" si="4"/>
        <v>OK</v>
      </c>
      <c r="Q210" s="17" t="s">
        <v>719</v>
      </c>
      <c r="R210" s="6" t="s">
        <v>720</v>
      </c>
      <c r="S210" s="17" t="s">
        <v>1540</v>
      </c>
      <c r="T210" s="17" t="s">
        <v>1541</v>
      </c>
      <c r="U210" s="173" t="s">
        <v>38</v>
      </c>
      <c r="V210" s="11" t="s">
        <v>1470</v>
      </c>
      <c r="W210" s="20" t="s">
        <v>1477</v>
      </c>
      <c r="X210" s="20" t="s">
        <v>1477</v>
      </c>
      <c r="Y210" s="20"/>
      <c r="Z210" s="6"/>
      <c r="AA210" s="6"/>
      <c r="AB210" s="23"/>
      <c r="AC210" s="24"/>
    </row>
    <row r="211" spans="1:30" ht="15.75" customHeight="1">
      <c r="A211" s="10" t="s">
        <v>1542</v>
      </c>
      <c r="B211" s="10" t="s">
        <v>1469</v>
      </c>
      <c r="C211" s="60" t="s">
        <v>1470</v>
      </c>
      <c r="D211" s="12"/>
      <c r="E211" s="13" t="s">
        <v>162</v>
      </c>
      <c r="F211" s="6" t="s">
        <v>285</v>
      </c>
      <c r="G211" s="6" t="str">
        <f ca="1">IFERROR(__xludf.DUMMYFUNCTION("CONCATENATE(B211,(VLOOKUP(C211,CATALOGOS!$F$2:$H$6,3,FALSE)),(VLOOKUP(V211,CATALOGOS!$J$2:$K$18,2,FALSE)),""-"",TO_TEXT(A211))"),"P12PP-0210")</f>
        <v>P12PP-0210</v>
      </c>
      <c r="H211" s="6" t="str">
        <f ca="1">IFERROR(__xludf.DUMMYFUNCTION("CONCATENATE($B211,(VLOOKUP($C211,CATALOGOS!$F$2:$H$6,3,FALSE)),(VLOOKUP($V211,CATALOGOS!$J$2:$K$18,2,FALSE)),""-"",TO_TEXT($A211))"),"P12PP-0210")</f>
        <v>P12PP-0210</v>
      </c>
      <c r="I211" s="6"/>
      <c r="J211" s="6" t="s">
        <v>1543</v>
      </c>
      <c r="K211" s="6" t="s">
        <v>1544</v>
      </c>
      <c r="L211" s="6" t="s">
        <v>1545</v>
      </c>
      <c r="M211" s="6" t="s">
        <v>141</v>
      </c>
      <c r="N211" s="17"/>
      <c r="O211" s="17"/>
      <c r="P211" s="17" t="str">
        <f t="shared" si="4"/>
        <v>REPETIDO</v>
      </c>
      <c r="Q211" s="17" t="s">
        <v>663</v>
      </c>
      <c r="R211" s="6" t="s">
        <v>664</v>
      </c>
      <c r="S211" s="17" t="s">
        <v>1546</v>
      </c>
      <c r="T211" s="17" t="s">
        <v>1547</v>
      </c>
      <c r="U211" s="173" t="s">
        <v>38</v>
      </c>
      <c r="V211" s="11" t="s">
        <v>1548</v>
      </c>
      <c r="W211" s="20" t="s">
        <v>1550</v>
      </c>
      <c r="X211" s="20" t="s">
        <v>1550</v>
      </c>
      <c r="Y211" s="20"/>
      <c r="Z211" s="6"/>
      <c r="AA211" s="6"/>
      <c r="AB211" s="23"/>
      <c r="AC211" s="24"/>
    </row>
    <row r="212" spans="1:30" ht="15.75" customHeight="1">
      <c r="A212" s="10" t="s">
        <v>1551</v>
      </c>
      <c r="B212" s="10" t="s">
        <v>1469</v>
      </c>
      <c r="C212" s="60" t="s">
        <v>1470</v>
      </c>
      <c r="D212" s="12"/>
      <c r="E212" s="13" t="s">
        <v>1275</v>
      </c>
      <c r="F212" s="43" t="s">
        <v>1552</v>
      </c>
      <c r="G212" s="6" t="str">
        <f ca="1">IFERROR(__xludf.DUMMYFUNCTION("CONCATENATE(B212,(VLOOKUP(C212,CATALOGOS!$F$2:$H$6,3,FALSE)),(VLOOKUP(V212,CATALOGOS!$J$2:$K$18,2,FALSE)),""-"",TO_TEXT(A212))"),"P12SI-0211")</f>
        <v>P12SI-0211</v>
      </c>
      <c r="H212" s="6" t="str">
        <f ca="1">IFERROR(__xludf.DUMMYFUNCTION("CONCATENATE($B212,(VLOOKUP($C212,CATALOGOS!$F$2:$H$6,3,FALSE)),(VLOOKUP($V212,CATALOGOS!$J$2:$K$18,2,FALSE)),""-"",TO_TEXT($A212))"),"P12SI-0211")</f>
        <v>P12SI-0211</v>
      </c>
      <c r="I212" s="6"/>
      <c r="J212" s="6" t="s">
        <v>1553</v>
      </c>
      <c r="K212" s="6" t="s">
        <v>7</v>
      </c>
      <c r="L212" s="6" t="s">
        <v>1555</v>
      </c>
      <c r="M212" s="6" t="s">
        <v>1556</v>
      </c>
      <c r="N212" s="17"/>
      <c r="O212" s="17"/>
      <c r="P212" s="17" t="str">
        <f t="shared" si="4"/>
        <v>OK</v>
      </c>
      <c r="Q212" s="17" t="s">
        <v>205</v>
      </c>
      <c r="R212" s="6" t="s">
        <v>1557</v>
      </c>
      <c r="S212" s="17" t="s">
        <v>1558</v>
      </c>
      <c r="T212" s="17" t="s">
        <v>1559</v>
      </c>
      <c r="U212" s="173" t="s">
        <v>38</v>
      </c>
      <c r="V212" s="181" t="s">
        <v>1483</v>
      </c>
      <c r="W212" s="20" t="s">
        <v>1484</v>
      </c>
      <c r="X212" s="20" t="s">
        <v>1484</v>
      </c>
      <c r="Y212" s="20"/>
      <c r="Z212" s="7"/>
      <c r="AA212" s="7"/>
      <c r="AB212" s="23"/>
      <c r="AC212" s="26"/>
    </row>
    <row r="213" spans="1:30" ht="15.75" customHeight="1">
      <c r="A213" s="10" t="s">
        <v>1560</v>
      </c>
      <c r="B213" s="10" t="s">
        <v>1469</v>
      </c>
      <c r="C213" s="60" t="s">
        <v>1470</v>
      </c>
      <c r="D213" s="12"/>
      <c r="E213" s="13" t="s">
        <v>184</v>
      </c>
      <c r="F213" s="43" t="s">
        <v>1561</v>
      </c>
      <c r="G213" s="70" t="str">
        <f ca="1">IFERROR(__xludf.DUMMYFUNCTION("CONCATENATE(B213,(VLOOKUP(C213,CATALOGOS!$F$2:$H$6,3,FALSE)),(VLOOKUP(V213,CATALOGOS!$J$2:$K$18,2,FALSE)),""-"",TO_TEXT(A213))"),"P12ST-0212")</f>
        <v>P12ST-0212</v>
      </c>
      <c r="H213" s="6" t="str">
        <f ca="1">IFERROR(__xludf.DUMMYFUNCTION("CONCATENATE($B213,(VLOOKUP($C213,CATALOGOS!$F$2:$H$6,3,FALSE)),(VLOOKUP($V213,CATALOGOS!$J$2:$K$18,2,FALSE)),""-"",TO_TEXT($A213))"),"P12ST-0212")</f>
        <v>P12ST-0212</v>
      </c>
      <c r="I213" s="6"/>
      <c r="J213" s="6" t="s">
        <v>1562</v>
      </c>
      <c r="K213" s="6" t="s">
        <v>1563</v>
      </c>
      <c r="L213" s="6" t="s">
        <v>1564</v>
      </c>
      <c r="M213" s="6" t="s">
        <v>1565</v>
      </c>
      <c r="N213" s="17"/>
      <c r="O213" s="17"/>
      <c r="P213" s="17" t="str">
        <f t="shared" si="4"/>
        <v>OK</v>
      </c>
      <c r="Q213" s="17" t="s">
        <v>35</v>
      </c>
      <c r="R213" s="6" t="s">
        <v>35</v>
      </c>
      <c r="S213" s="17" t="s">
        <v>1558</v>
      </c>
      <c r="T213" s="17" t="s">
        <v>1566</v>
      </c>
      <c r="U213" s="173" t="s">
        <v>38</v>
      </c>
      <c r="V213" s="11" t="s">
        <v>1470</v>
      </c>
      <c r="W213" s="20" t="s">
        <v>1477</v>
      </c>
      <c r="X213" s="20" t="s">
        <v>1477</v>
      </c>
      <c r="Y213" s="20"/>
      <c r="Z213" s="7"/>
      <c r="AA213" s="7"/>
      <c r="AB213" s="23"/>
      <c r="AC213" s="26"/>
    </row>
    <row r="214" spans="1:30" ht="15.75" customHeight="1">
      <c r="A214" s="10" t="s">
        <v>1567</v>
      </c>
      <c r="B214" s="10" t="s">
        <v>1469</v>
      </c>
      <c r="C214" s="60" t="s">
        <v>1470</v>
      </c>
      <c r="D214" s="12"/>
      <c r="E214" s="13" t="s">
        <v>184</v>
      </c>
      <c r="F214" s="43" t="s">
        <v>1561</v>
      </c>
      <c r="G214" s="15" t="str">
        <f ca="1">IFERROR(__xludf.DUMMYFUNCTION("CONCATENATE(B214,(VLOOKUP(C214,CATALOGOS!$F$2:$H$6,3,FALSE)),(VLOOKUP(V214,CATALOGOS!$J$2:$K$18,2,FALSE)),""-"",TO_TEXT(A214))"),"P12ST-0213")</f>
        <v>P12ST-0213</v>
      </c>
      <c r="H214" s="6" t="str">
        <f ca="1">IFERROR(__xludf.DUMMYFUNCTION("CONCATENATE($B214,(VLOOKUP($C214,CATALOGOS!$F$2:$H$6,3,FALSE)),(VLOOKUP($V214,CATALOGOS!$J$2:$K$18,2,FALSE)),""-"",TO_TEXT($A214))"),"P12ST-0213")</f>
        <v>P12ST-0213</v>
      </c>
      <c r="I214" s="6"/>
      <c r="J214" s="6" t="s">
        <v>1568</v>
      </c>
      <c r="K214" s="6" t="s">
        <v>1569</v>
      </c>
      <c r="L214" s="6" t="s">
        <v>1570</v>
      </c>
      <c r="M214" s="6" t="s">
        <v>1571</v>
      </c>
      <c r="N214" s="17"/>
      <c r="O214" s="17"/>
      <c r="P214" s="17" t="str">
        <f t="shared" si="4"/>
        <v>OK</v>
      </c>
      <c r="Q214" s="17" t="s">
        <v>35</v>
      </c>
      <c r="R214" s="6" t="s">
        <v>35</v>
      </c>
      <c r="S214" s="17" t="s">
        <v>1558</v>
      </c>
      <c r="T214" s="17" t="s">
        <v>1572</v>
      </c>
      <c r="U214" s="173" t="s">
        <v>38</v>
      </c>
      <c r="V214" s="11" t="s">
        <v>1470</v>
      </c>
      <c r="W214" s="20" t="s">
        <v>1477</v>
      </c>
      <c r="X214" s="20" t="s">
        <v>1477</v>
      </c>
      <c r="Y214" s="20"/>
      <c r="Z214" s="7"/>
      <c r="AA214" s="7"/>
      <c r="AB214" s="23"/>
      <c r="AC214" s="26"/>
    </row>
    <row r="215" spans="1:30" ht="15.75" customHeight="1">
      <c r="A215" s="10" t="s">
        <v>1573</v>
      </c>
      <c r="B215" s="10" t="s">
        <v>1469</v>
      </c>
      <c r="C215" s="60" t="s">
        <v>1470</v>
      </c>
      <c r="D215" s="12"/>
      <c r="E215" s="13" t="s">
        <v>387</v>
      </c>
      <c r="F215" s="6" t="s">
        <v>387</v>
      </c>
      <c r="G215" s="6" t="str">
        <f ca="1">IFERROR(__xludf.DUMMYFUNCTION("CONCATENATE(B215,(VLOOKUP(C215,CATALOGOS!$F$2:$H$6,3,FALSE)),(VLOOKUP(V215,CATALOGOS!$J$2:$K$18,2,FALSE)),""-"",TO_TEXT(A215))"),"P12ST-0214")</f>
        <v>P12ST-0214</v>
      </c>
      <c r="H215" s="6" t="str">
        <f ca="1">IFERROR(__xludf.DUMMYFUNCTION("CONCATENATE($B215,(VLOOKUP($C215,CATALOGOS!$F$2:$H$6,3,FALSE)),(VLOOKUP($V215,CATALOGOS!$J$2:$K$18,2,FALSE)),""-"",TO_TEXT($A215))"),"P12ST-0214")</f>
        <v>P12ST-0214</v>
      </c>
      <c r="I215" s="6"/>
      <c r="J215" s="6" t="s">
        <v>1574</v>
      </c>
      <c r="K215" s="6" t="s">
        <v>1575</v>
      </c>
      <c r="L215" s="6" t="s">
        <v>1576</v>
      </c>
      <c r="M215" s="6" t="s">
        <v>141</v>
      </c>
      <c r="N215" s="17"/>
      <c r="O215" s="17"/>
      <c r="P215" s="17" t="str">
        <f t="shared" si="4"/>
        <v>REPETIDO</v>
      </c>
      <c r="Q215" s="17" t="s">
        <v>390</v>
      </c>
      <c r="R215" s="6">
        <v>40514</v>
      </c>
      <c r="S215" s="6" t="s">
        <v>1577</v>
      </c>
      <c r="T215" s="10" t="s">
        <v>85</v>
      </c>
      <c r="U215" s="173" t="s">
        <v>38</v>
      </c>
      <c r="V215" s="11" t="s">
        <v>1470</v>
      </c>
      <c r="W215" s="20" t="s">
        <v>1477</v>
      </c>
      <c r="X215" s="20" t="s">
        <v>1477</v>
      </c>
      <c r="Y215" s="20"/>
      <c r="Z215" s="7"/>
      <c r="AA215" s="7"/>
      <c r="AB215" s="23"/>
      <c r="AC215" s="26"/>
    </row>
    <row r="216" spans="1:30" ht="15.75" customHeight="1">
      <c r="A216" s="10" t="s">
        <v>1578</v>
      </c>
      <c r="B216" s="10" t="s">
        <v>1469</v>
      </c>
      <c r="C216" s="60" t="s">
        <v>1470</v>
      </c>
      <c r="D216" s="12"/>
      <c r="E216" s="13" t="s">
        <v>93</v>
      </c>
      <c r="F216" s="6" t="s">
        <v>1579</v>
      </c>
      <c r="G216" s="6" t="str">
        <f ca="1">IFERROR(__xludf.DUMMYFUNCTION("CONCATENATE(B216,(VLOOKUP(C216,CATALOGOS!$F$2:$H$6,3,FALSE)),(VLOOKUP(V216,CATALOGOS!$J$2:$K$18,2,FALSE)),""-"",TO_TEXT(A216))"),"P12ST-0215")</f>
        <v>P12ST-0215</v>
      </c>
      <c r="H216" s="6" t="str">
        <f ca="1">IFERROR(__xludf.DUMMYFUNCTION("CONCATENATE($B216,(VLOOKUP($C216,CATALOGOS!$F$2:$H$6,3,FALSE)),(VLOOKUP($V216,CATALOGOS!$J$2:$K$18,2,FALSE)),""-"",TO_TEXT($A216))"),"P12ST-0215")</f>
        <v>P12ST-0215</v>
      </c>
      <c r="I216" s="6"/>
      <c r="J216" s="6" t="s">
        <v>1580</v>
      </c>
      <c r="K216" s="6" t="s">
        <v>1581</v>
      </c>
      <c r="L216" s="6" t="s">
        <v>1582</v>
      </c>
      <c r="M216" s="6" t="s">
        <v>1583</v>
      </c>
      <c r="N216" s="17"/>
      <c r="O216" s="17"/>
      <c r="P216" s="17" t="str">
        <f t="shared" si="4"/>
        <v>OK</v>
      </c>
      <c r="Q216" s="17" t="s">
        <v>35</v>
      </c>
      <c r="R216" s="6" t="s">
        <v>35</v>
      </c>
      <c r="S216" s="17" t="s">
        <v>36</v>
      </c>
      <c r="T216" s="17" t="s">
        <v>85</v>
      </c>
      <c r="U216" s="173" t="s">
        <v>38</v>
      </c>
      <c r="V216" s="11" t="s">
        <v>1470</v>
      </c>
      <c r="W216" s="20" t="s">
        <v>1477</v>
      </c>
      <c r="X216" s="20" t="s">
        <v>1477</v>
      </c>
      <c r="Y216" s="20"/>
      <c r="Z216" s="7"/>
      <c r="AA216" s="7"/>
      <c r="AB216" s="23"/>
      <c r="AC216" s="26"/>
    </row>
    <row r="217" spans="1:30" ht="15.75" customHeight="1">
      <c r="A217" s="10" t="s">
        <v>1584</v>
      </c>
      <c r="B217" s="10" t="s">
        <v>1469</v>
      </c>
      <c r="C217" s="60" t="s">
        <v>1470</v>
      </c>
      <c r="D217" s="12"/>
      <c r="E217" s="20" t="s">
        <v>43</v>
      </c>
      <c r="F217" s="43" t="s">
        <v>1492</v>
      </c>
      <c r="G217" s="6" t="str">
        <f ca="1">IFERROR(__xludf.DUMMYFUNCTION("CONCATENATE(B217,(VLOOKUP(C217,CATALOGOS!$F$2:$H$6,3,FALSE)),(VLOOKUP(V217,CATALOGOS!$J$2:$K$18,2,FALSE)),""-"",TO_TEXT(A217))"),"P12ST-0216")</f>
        <v>P12ST-0216</v>
      </c>
      <c r="H217" s="6" t="str">
        <f ca="1">IFERROR(__xludf.DUMMYFUNCTION("CONCATENATE($B217,(VLOOKUP($C217,CATALOGOS!$F$2:$H$6,3,FALSE)),(VLOOKUP($V217,CATALOGOS!$J$2:$K$18,2,FALSE)),""-"",TO_TEXT($A217))"),"P12ST-0216")</f>
        <v>P12ST-0216</v>
      </c>
      <c r="I217" s="6"/>
      <c r="J217" s="6" t="s">
        <v>1585</v>
      </c>
      <c r="K217" s="6" t="s">
        <v>1586</v>
      </c>
      <c r="L217" s="6" t="s">
        <v>1587</v>
      </c>
      <c r="M217" s="6" t="s">
        <v>1588</v>
      </c>
      <c r="N217" s="17"/>
      <c r="O217" s="17"/>
      <c r="P217" s="17" t="str">
        <f t="shared" si="4"/>
        <v>OK</v>
      </c>
      <c r="Q217" s="17" t="s">
        <v>406</v>
      </c>
      <c r="R217" s="6" t="s">
        <v>407</v>
      </c>
      <c r="S217" s="17" t="s">
        <v>36</v>
      </c>
      <c r="T217" s="35" t="s">
        <v>1589</v>
      </c>
      <c r="U217" s="173" t="s">
        <v>38</v>
      </c>
      <c r="V217" s="11" t="s">
        <v>1470</v>
      </c>
      <c r="W217" s="20" t="s">
        <v>1477</v>
      </c>
      <c r="X217" s="20" t="s">
        <v>1477</v>
      </c>
      <c r="Y217" s="20"/>
      <c r="Z217" s="7"/>
      <c r="AA217" s="7"/>
      <c r="AB217" s="23"/>
      <c r="AC217" s="26"/>
    </row>
    <row r="218" spans="1:30" ht="15.75" customHeight="1">
      <c r="A218" s="10" t="s">
        <v>1590</v>
      </c>
      <c r="B218" s="10" t="s">
        <v>1469</v>
      </c>
      <c r="C218" s="60" t="s">
        <v>1470</v>
      </c>
      <c r="D218" s="38"/>
      <c r="E218" s="13" t="s">
        <v>501</v>
      </c>
      <c r="F218" s="6" t="s">
        <v>1591</v>
      </c>
      <c r="G218" s="6" t="str">
        <f ca="1">IFERROR(__xludf.DUMMYFUNCTION("CONCATENATE(B218,(VLOOKUP(C218,CATALOGOS!$F$2:$H$6,3,FALSE)),(VLOOKUP(V218,CATALOGOS!$J$2:$K$18,2,FALSE)),""-"",TO_TEXT(A218))"),"P12PP-0217")</f>
        <v>P12PP-0217</v>
      </c>
      <c r="H218" s="6" t="str">
        <f ca="1">IFERROR(__xludf.DUMMYFUNCTION("CONCATENATE($B218,(VLOOKUP($C218,CATALOGOS!$F$2:$H$6,3,FALSE)),(VLOOKUP($V218,CATALOGOS!$J$2:$K$18,2,FALSE)),""-"",TO_TEXT($A218))"),"P12PP-0217")</f>
        <v>P12PP-0217</v>
      </c>
      <c r="I218" s="6"/>
      <c r="J218" s="6" t="s">
        <v>1592</v>
      </c>
      <c r="K218" s="6" t="s">
        <v>1593</v>
      </c>
      <c r="L218" s="6" t="s">
        <v>1594</v>
      </c>
      <c r="M218" s="6" t="s">
        <v>1595</v>
      </c>
      <c r="N218" s="17"/>
      <c r="O218" s="17"/>
      <c r="P218" s="17" t="str">
        <f t="shared" si="4"/>
        <v>OK</v>
      </c>
      <c r="Q218" s="17" t="s">
        <v>35</v>
      </c>
      <c r="R218" s="6" t="s">
        <v>35</v>
      </c>
      <c r="S218" s="46" t="s">
        <v>36</v>
      </c>
      <c r="T218" s="17" t="s">
        <v>1596</v>
      </c>
      <c r="U218" s="173" t="s">
        <v>38</v>
      </c>
      <c r="V218" s="11" t="s">
        <v>1548</v>
      </c>
      <c r="W218" s="20" t="s">
        <v>1597</v>
      </c>
      <c r="X218" s="20" t="s">
        <v>1597</v>
      </c>
      <c r="Y218" s="20"/>
      <c r="Z218" s="7"/>
      <c r="AA218" s="7"/>
      <c r="AB218" s="20" t="s">
        <v>1598</v>
      </c>
      <c r="AC218" s="26"/>
    </row>
    <row r="219" spans="1:30" ht="15.75" customHeight="1">
      <c r="A219" s="10" t="s">
        <v>1599</v>
      </c>
      <c r="B219" s="10" t="s">
        <v>1469</v>
      </c>
      <c r="C219" s="60" t="s">
        <v>1470</v>
      </c>
      <c r="D219" s="12"/>
      <c r="E219" s="13" t="s">
        <v>136</v>
      </c>
      <c r="F219" s="6" t="s">
        <v>137</v>
      </c>
      <c r="G219" s="6" t="str">
        <f ca="1">IFERROR(__xludf.DUMMYFUNCTION("CONCATENATE(B219,(VLOOKUP(C219,CATALOGOS!$F$2:$H$6,3,FALSE)),(VLOOKUP(V219,CATALOGOS!$J$2:$K$18,2,FALSE)),""-"",TO_TEXT(A219))"),"P12PP-0218")</f>
        <v>P12PP-0218</v>
      </c>
      <c r="H219" s="6" t="str">
        <f ca="1">IFERROR(__xludf.DUMMYFUNCTION("CONCATENATE($B219,(VLOOKUP($C219,CATALOGOS!$F$2:$H$6,3,FALSE)),(VLOOKUP($V219,CATALOGOS!$J$2:$K$18,2,FALSE)),""-"",TO_TEXT($A219))"),"P12PP-0218")</f>
        <v>P12PP-0218</v>
      </c>
      <c r="I219" s="6"/>
      <c r="J219" s="6" t="s">
        <v>1600</v>
      </c>
      <c r="K219" s="6" t="s">
        <v>1601</v>
      </c>
      <c r="L219" s="6" t="s">
        <v>1602</v>
      </c>
      <c r="M219" s="6" t="s">
        <v>1603</v>
      </c>
      <c r="N219" s="17"/>
      <c r="O219" s="17"/>
      <c r="P219" s="17" t="str">
        <f t="shared" si="4"/>
        <v>OK</v>
      </c>
      <c r="Q219" s="17" t="s">
        <v>1604</v>
      </c>
      <c r="R219" s="6" t="s">
        <v>1605</v>
      </c>
      <c r="S219" s="17" t="s">
        <v>1606</v>
      </c>
      <c r="T219" s="17" t="s">
        <v>1607</v>
      </c>
      <c r="U219" s="173" t="s">
        <v>38</v>
      </c>
      <c r="V219" s="11" t="s">
        <v>1548</v>
      </c>
      <c r="W219" s="20" t="s">
        <v>1597</v>
      </c>
      <c r="X219" s="20" t="s">
        <v>1597</v>
      </c>
      <c r="Y219" s="20"/>
      <c r="Z219" s="6"/>
      <c r="AA219" s="6"/>
      <c r="AB219" s="23"/>
      <c r="AC219" s="24"/>
    </row>
    <row r="220" spans="1:30" ht="15.75" customHeight="1">
      <c r="A220" s="10" t="s">
        <v>1608</v>
      </c>
      <c r="B220" s="10" t="s">
        <v>1469</v>
      </c>
      <c r="C220" s="60" t="s">
        <v>1470</v>
      </c>
      <c r="D220" s="12"/>
      <c r="E220" s="13" t="s">
        <v>162</v>
      </c>
      <c r="F220" s="43" t="s">
        <v>285</v>
      </c>
      <c r="G220" s="6" t="str">
        <f ca="1">IFERROR(__xludf.DUMMYFUNCTION("CONCATENATE(B220,(VLOOKUP(C220,CATALOGOS!$F$2:$H$6,3,FALSE)),(VLOOKUP(V220,CATALOGOS!$J$2:$K$18,2,FALSE)),""-"",TO_TEXT(A220))"),"P12PP-0219")</f>
        <v>P12PP-0219</v>
      </c>
      <c r="H220" s="6" t="str">
        <f ca="1">IFERROR(__xludf.DUMMYFUNCTION("CONCATENATE($B220,(VLOOKUP($C220,CATALOGOS!$F$2:$H$6,3,FALSE)),(VLOOKUP($V220,CATALOGOS!$J$2:$K$18,2,FALSE)),""-"",TO_TEXT($A220))"),"P12PP-0219")</f>
        <v>P12PP-0219</v>
      </c>
      <c r="I220" s="6"/>
      <c r="J220" s="6" t="s">
        <v>1609</v>
      </c>
      <c r="K220" s="6" t="s">
        <v>1610</v>
      </c>
      <c r="L220" s="6" t="s">
        <v>1611</v>
      </c>
      <c r="M220" s="6" t="s">
        <v>1612</v>
      </c>
      <c r="N220" s="17"/>
      <c r="O220" s="17"/>
      <c r="P220" s="17" t="str">
        <f t="shared" si="4"/>
        <v>OK</v>
      </c>
      <c r="Q220" s="17" t="s">
        <v>168</v>
      </c>
      <c r="R220" s="6" t="s">
        <v>169</v>
      </c>
      <c r="S220" s="17" t="s">
        <v>1613</v>
      </c>
      <c r="T220" s="17" t="s">
        <v>1614</v>
      </c>
      <c r="U220" s="173" t="s">
        <v>38</v>
      </c>
      <c r="V220" s="11" t="s">
        <v>1548</v>
      </c>
      <c r="W220" s="20" t="s">
        <v>1597</v>
      </c>
      <c r="X220" s="20" t="s">
        <v>1597</v>
      </c>
      <c r="Y220" s="20"/>
      <c r="Z220" s="6"/>
      <c r="AA220" s="6"/>
      <c r="AB220" s="23"/>
      <c r="AC220" s="24"/>
    </row>
    <row r="221" spans="1:30" ht="15.75" customHeight="1">
      <c r="A221" s="10" t="s">
        <v>1615</v>
      </c>
      <c r="B221" s="10" t="s">
        <v>1469</v>
      </c>
      <c r="C221" s="60" t="s">
        <v>1470</v>
      </c>
      <c r="D221" s="12"/>
      <c r="E221" s="13" t="s">
        <v>151</v>
      </c>
      <c r="F221" s="6" t="s">
        <v>152</v>
      </c>
      <c r="G221" s="6" t="str">
        <f ca="1">IFERROR(__xludf.DUMMYFUNCTION("CONCATENATE(B221,(VLOOKUP(C221,CATALOGOS!$F$2:$H$6,3,FALSE)),(VLOOKUP(V221,CATALOGOS!$J$2:$K$18,2,FALSE)),""-"",TO_TEXT(A221))"),"P12PP-0220")</f>
        <v>P12PP-0220</v>
      </c>
      <c r="H221" s="6" t="str">
        <f ca="1">IFERROR(__xludf.DUMMYFUNCTION("CONCATENATE($B221,(VLOOKUP($C221,CATALOGOS!$F$2:$H$6,3,FALSE)),(VLOOKUP($V221,CATALOGOS!$J$2:$K$18,2,FALSE)),""-"",TO_TEXT($A221))"),"P12PP-0220")</f>
        <v>P12PP-0220</v>
      </c>
      <c r="I221" s="6"/>
      <c r="J221" s="6" t="s">
        <v>1616</v>
      </c>
      <c r="K221" s="6" t="s">
        <v>1617</v>
      </c>
      <c r="L221" s="6" t="s">
        <v>1618</v>
      </c>
      <c r="M221" s="6" t="s">
        <v>1619</v>
      </c>
      <c r="N221" s="17"/>
      <c r="O221" s="17"/>
      <c r="P221" s="17" t="str">
        <f t="shared" si="4"/>
        <v>OK</v>
      </c>
      <c r="Q221" s="17" t="s">
        <v>297</v>
      </c>
      <c r="R221" s="6" t="s">
        <v>1620</v>
      </c>
      <c r="S221" s="17" t="s">
        <v>1621</v>
      </c>
      <c r="T221" s="17" t="s">
        <v>1622</v>
      </c>
      <c r="U221" s="173" t="s">
        <v>38</v>
      </c>
      <c r="V221" s="11" t="s">
        <v>1548</v>
      </c>
      <c r="W221" s="20" t="s">
        <v>1597</v>
      </c>
      <c r="X221" s="20" t="s">
        <v>1597</v>
      </c>
      <c r="Y221" s="20"/>
      <c r="Z221" s="7"/>
      <c r="AA221" s="7"/>
      <c r="AB221" s="23"/>
      <c r="AC221" s="26"/>
    </row>
    <row r="222" spans="1:30" ht="15.75" customHeight="1">
      <c r="A222" s="10" t="s">
        <v>1623</v>
      </c>
      <c r="B222" s="10" t="s">
        <v>1469</v>
      </c>
      <c r="C222" s="60" t="s">
        <v>1470</v>
      </c>
      <c r="D222" s="12"/>
      <c r="E222" s="13" t="s">
        <v>151</v>
      </c>
      <c r="F222" s="6" t="s">
        <v>293</v>
      </c>
      <c r="G222" s="6" t="str">
        <f ca="1">IFERROR(__xludf.DUMMYFUNCTION("CONCATENATE(B222,(VLOOKUP(C222,CATALOGOS!$F$2:$H$6,3,FALSE)),(VLOOKUP(V222,CATALOGOS!$J$2:$K$18,2,FALSE)),""-"",TO_TEXT(A222))"),"P12PP-0221")</f>
        <v>P12PP-0221</v>
      </c>
      <c r="H222" s="6" t="str">
        <f ca="1">IFERROR(__xludf.DUMMYFUNCTION("CONCATENATE($B222,(VLOOKUP($C222,CATALOGOS!$F$2:$H$6,3,FALSE)),(VLOOKUP($V222,CATALOGOS!$J$2:$K$18,2,FALSE)),""-"",TO_TEXT($A222))"),"P12PP-0221")</f>
        <v>P12PP-0221</v>
      </c>
      <c r="I222" s="6"/>
      <c r="J222" s="6" t="s">
        <v>1624</v>
      </c>
      <c r="K222" s="6" t="s">
        <v>1625</v>
      </c>
      <c r="L222" s="6" t="s">
        <v>1626</v>
      </c>
      <c r="M222" s="6" t="s">
        <v>1627</v>
      </c>
      <c r="N222" s="17"/>
      <c r="O222" s="17"/>
      <c r="P222" s="17" t="str">
        <f t="shared" si="4"/>
        <v>OK</v>
      </c>
      <c r="Q222" s="17" t="s">
        <v>297</v>
      </c>
      <c r="R222" s="6" t="s">
        <v>298</v>
      </c>
      <c r="S222" s="17" t="s">
        <v>1628</v>
      </c>
      <c r="T222" s="17" t="s">
        <v>85</v>
      </c>
      <c r="U222" s="173" t="s">
        <v>38</v>
      </c>
      <c r="V222" s="11" t="s">
        <v>1548</v>
      </c>
      <c r="W222" s="20" t="s">
        <v>1597</v>
      </c>
      <c r="X222" s="20" t="s">
        <v>1597</v>
      </c>
      <c r="Y222" s="20"/>
      <c r="Z222" s="6"/>
      <c r="AA222" s="6"/>
      <c r="AB222" s="41" t="s">
        <v>92</v>
      </c>
      <c r="AC222" s="42">
        <v>44348</v>
      </c>
      <c r="AD222" s="45">
        <v>0</v>
      </c>
    </row>
    <row r="223" spans="1:30" ht="15.75" customHeight="1">
      <c r="A223" s="10" t="s">
        <v>1629</v>
      </c>
      <c r="B223" s="10" t="s">
        <v>1469</v>
      </c>
      <c r="C223" s="60" t="s">
        <v>1470</v>
      </c>
      <c r="D223" s="12"/>
      <c r="E223" s="13" t="s">
        <v>199</v>
      </c>
      <c r="F223" s="6" t="s">
        <v>199</v>
      </c>
      <c r="G223" s="6" t="str">
        <f ca="1">IFERROR(__xludf.DUMMYFUNCTION("CONCATENATE(B223,(VLOOKUP(C223,CATALOGOS!$F$2:$H$6,3,FALSE)),(VLOOKUP(V223,CATALOGOS!$J$2:$K$18,2,FALSE)),""-"",TO_TEXT(A223))"),"P12PP-0222")</f>
        <v>P12PP-0222</v>
      </c>
      <c r="H223" s="6" t="str">
        <f ca="1">IFERROR(__xludf.DUMMYFUNCTION("CONCATENATE($B223,(VLOOKUP($C223,CATALOGOS!$F$2:$H$6,3,FALSE)),(VLOOKUP($V223,CATALOGOS!$J$2:$K$18,2,FALSE)),""-"",TO_TEXT($A223))"),"P12PP-0222")</f>
        <v>P12PP-0222</v>
      </c>
      <c r="I223" s="6"/>
      <c r="J223" s="6" t="s">
        <v>1630</v>
      </c>
      <c r="K223" s="6" t="s">
        <v>1631</v>
      </c>
      <c r="L223" s="6" t="s">
        <v>1632</v>
      </c>
      <c r="M223" s="6" t="s">
        <v>1633</v>
      </c>
      <c r="N223" s="17"/>
      <c r="O223" s="17"/>
      <c r="P223" s="17" t="str">
        <f t="shared" si="4"/>
        <v>OK</v>
      </c>
      <c r="Q223" s="17" t="s">
        <v>273</v>
      </c>
      <c r="R223" s="6" t="s">
        <v>274</v>
      </c>
      <c r="S223" s="17" t="s">
        <v>1634</v>
      </c>
      <c r="T223" s="10" t="s">
        <v>85</v>
      </c>
      <c r="U223" s="173" t="s">
        <v>38</v>
      </c>
      <c r="V223" s="11" t="s">
        <v>1548</v>
      </c>
      <c r="W223" s="20" t="s">
        <v>1597</v>
      </c>
      <c r="X223" s="20" t="s">
        <v>1597</v>
      </c>
      <c r="Y223" s="20"/>
      <c r="Z223" s="6"/>
      <c r="AA223" s="6"/>
      <c r="AB223" s="41" t="s">
        <v>92</v>
      </c>
      <c r="AC223" s="42">
        <v>44348</v>
      </c>
      <c r="AD223" s="8" t="s">
        <v>276</v>
      </c>
    </row>
    <row r="224" spans="1:30" ht="15.75" customHeight="1">
      <c r="A224" s="10" t="s">
        <v>1635</v>
      </c>
      <c r="B224" s="10" t="s">
        <v>1469</v>
      </c>
      <c r="C224" s="60" t="s">
        <v>1470</v>
      </c>
      <c r="D224" s="12"/>
      <c r="E224" s="13" t="s">
        <v>1636</v>
      </c>
      <c r="F224" s="43" t="s">
        <v>278</v>
      </c>
      <c r="G224" s="6" t="str">
        <f ca="1">IFERROR(__xludf.DUMMYFUNCTION("CONCATENATE(B224,(VLOOKUP(C224,CATALOGOS!$F$2:$H$6,3,FALSE)),(VLOOKUP(V224,CATALOGOS!$J$2:$K$18,2,FALSE)),""-"",TO_TEXT(A224))"),"P12PP-0223")</f>
        <v>P12PP-0223</v>
      </c>
      <c r="H224" s="6" t="str">
        <f ca="1">IFERROR(__xludf.DUMMYFUNCTION("CONCATENATE($B224,(VLOOKUP($C224,CATALOGOS!$F$2:$H$6,3,FALSE)),(VLOOKUP($V224,CATALOGOS!$J$2:$K$18,2,FALSE)),""-"",TO_TEXT($A224))"),"P12PP-0223")</f>
        <v>P12PP-0223</v>
      </c>
      <c r="I224" s="6"/>
      <c r="J224" s="6" t="s">
        <v>1637</v>
      </c>
      <c r="K224" s="6" t="s">
        <v>1638</v>
      </c>
      <c r="L224" s="6" t="s">
        <v>1639</v>
      </c>
      <c r="M224" s="6" t="s">
        <v>1640</v>
      </c>
      <c r="N224" s="17"/>
      <c r="O224" s="17"/>
      <c r="P224" s="17" t="str">
        <f t="shared" si="4"/>
        <v>OK</v>
      </c>
      <c r="Q224" s="17" t="s">
        <v>35</v>
      </c>
      <c r="R224" s="6" t="s">
        <v>35</v>
      </c>
      <c r="S224" s="17" t="s">
        <v>36</v>
      </c>
      <c r="T224" s="17" t="s">
        <v>1641</v>
      </c>
      <c r="U224" s="173" t="s">
        <v>38</v>
      </c>
      <c r="V224" s="11" t="s">
        <v>1548</v>
      </c>
      <c r="W224" s="20" t="s">
        <v>1597</v>
      </c>
      <c r="X224" s="20" t="s">
        <v>1597</v>
      </c>
      <c r="Y224" s="20"/>
      <c r="Z224" s="7"/>
      <c r="AA224" s="7"/>
      <c r="AB224" s="23"/>
      <c r="AC224" s="26"/>
    </row>
    <row r="225" spans="1:29" ht="15.75" customHeight="1">
      <c r="A225" s="10" t="s">
        <v>1642</v>
      </c>
      <c r="B225" s="10" t="s">
        <v>1469</v>
      </c>
      <c r="C225" s="60" t="s">
        <v>1470</v>
      </c>
      <c r="D225" s="12"/>
      <c r="E225" s="13" t="s">
        <v>116</v>
      </c>
      <c r="F225" s="6" t="s">
        <v>129</v>
      </c>
      <c r="G225" s="6" t="str">
        <f ca="1">IFERROR(__xludf.DUMMYFUNCTION("CONCATENATE(B225,(VLOOKUP(C225,CATALOGOS!$F$2:$H$6,3,FALSE)),(VLOOKUP(V225,CATALOGOS!$J$2:$K$18,2,FALSE)),""-"",TO_TEXT(A225))"),"P12PP-0224")</f>
        <v>P12PP-0224</v>
      </c>
      <c r="H225" s="6" t="str">
        <f ca="1">IFERROR(__xludf.DUMMYFUNCTION("CONCATENATE($B225,(VLOOKUP($C225,CATALOGOS!$F$2:$H$6,3,FALSE)),(VLOOKUP($V225,CATALOGOS!$J$2:$K$18,2,FALSE)),""-"",TO_TEXT($A225))"),"P12PP-0224")</f>
        <v>P12PP-0224</v>
      </c>
      <c r="I225" s="6"/>
      <c r="J225" s="6" t="s">
        <v>1643</v>
      </c>
      <c r="K225" s="6" t="s">
        <v>1644</v>
      </c>
      <c r="L225" s="6" t="s">
        <v>1645</v>
      </c>
      <c r="M225" s="6" t="s">
        <v>1646</v>
      </c>
      <c r="N225" s="17"/>
      <c r="O225" s="17"/>
      <c r="P225" s="17" t="str">
        <f t="shared" si="4"/>
        <v>OK</v>
      </c>
      <c r="Q225" s="17" t="s">
        <v>35</v>
      </c>
      <c r="R225" s="6" t="s">
        <v>35</v>
      </c>
      <c r="S225" s="17" t="s">
        <v>36</v>
      </c>
      <c r="T225" s="17" t="s">
        <v>1647</v>
      </c>
      <c r="U225" s="173" t="s">
        <v>38</v>
      </c>
      <c r="V225" s="11" t="s">
        <v>1548</v>
      </c>
      <c r="W225" s="20" t="s">
        <v>1597</v>
      </c>
      <c r="X225" s="20" t="s">
        <v>1597</v>
      </c>
      <c r="Y225" s="20"/>
      <c r="Z225" s="6"/>
      <c r="AA225" s="6"/>
      <c r="AB225" s="23"/>
      <c r="AC225" s="24"/>
    </row>
    <row r="226" spans="1:29" ht="15.75" customHeight="1">
      <c r="A226" s="10" t="s">
        <v>1648</v>
      </c>
      <c r="B226" s="10" t="s">
        <v>1469</v>
      </c>
      <c r="C226" s="60" t="s">
        <v>1470</v>
      </c>
      <c r="D226" s="12"/>
      <c r="E226" s="13" t="s">
        <v>93</v>
      </c>
      <c r="F226" s="6" t="s">
        <v>1173</v>
      </c>
      <c r="G226" s="6" t="str">
        <f ca="1">IFERROR(__xludf.DUMMYFUNCTION("CONCATENATE(B226,(VLOOKUP(C226,CATALOGOS!$F$2:$H$6,3,FALSE)),(VLOOKUP(V226,CATALOGOS!$J$2:$K$18,2,FALSE)),""-"",TO_TEXT(A226))"),"P12PP-0225")</f>
        <v>P12PP-0225</v>
      </c>
      <c r="H226" s="6" t="str">
        <f ca="1">IFERROR(__xludf.DUMMYFUNCTION("CONCATENATE($B226,(VLOOKUP($C226,CATALOGOS!$F$2:$H$6,3,FALSE)),(VLOOKUP($V226,CATALOGOS!$J$2:$K$18,2,FALSE)),""-"",TO_TEXT($A226))"),"P12PP-0225")</f>
        <v>P12PP-0225</v>
      </c>
      <c r="I226" s="6"/>
      <c r="J226" s="6" t="s">
        <v>1649</v>
      </c>
      <c r="K226" s="6" t="s">
        <v>1650</v>
      </c>
      <c r="L226" s="36"/>
      <c r="M226" s="6" t="s">
        <v>1651</v>
      </c>
      <c r="N226" s="17"/>
      <c r="O226" s="17"/>
      <c r="P226" s="17" t="str">
        <f t="shared" si="4"/>
        <v>OK</v>
      </c>
      <c r="Q226" s="35" t="s">
        <v>35</v>
      </c>
      <c r="R226" s="6" t="s">
        <v>35</v>
      </c>
      <c r="S226" s="10" t="s">
        <v>36</v>
      </c>
      <c r="T226" s="32" t="s">
        <v>85</v>
      </c>
      <c r="U226" s="173" t="s">
        <v>38</v>
      </c>
      <c r="V226" s="11" t="s">
        <v>1548</v>
      </c>
      <c r="W226" s="20" t="s">
        <v>1597</v>
      </c>
      <c r="X226" s="20" t="s">
        <v>1597</v>
      </c>
      <c r="Y226" s="20"/>
      <c r="Z226" s="7"/>
      <c r="AA226" s="7"/>
      <c r="AB226" s="23"/>
      <c r="AC226" s="26"/>
    </row>
    <row r="227" spans="1:29" ht="15.75" customHeight="1">
      <c r="A227" s="10" t="s">
        <v>1652</v>
      </c>
      <c r="B227" s="10" t="s">
        <v>1469</v>
      </c>
      <c r="C227" s="60" t="s">
        <v>1470</v>
      </c>
      <c r="D227" s="12"/>
      <c r="E227" s="13" t="s">
        <v>29</v>
      </c>
      <c r="F227" s="43" t="s">
        <v>1166</v>
      </c>
      <c r="G227" s="6" t="str">
        <f ca="1">IFERROR(__xludf.DUMMYFUNCTION("CONCATENATE(B227,(VLOOKUP(C227,CATALOGOS!$F$2:$H$6,3,FALSE)),(VLOOKUP(V227,CATALOGOS!$J$2:$K$18,2,FALSE)),""-"",TO_TEXT(A227))"),"P12PP-0226")</f>
        <v>P12PP-0226</v>
      </c>
      <c r="H227" s="6" t="str">
        <f ca="1">IFERROR(__xludf.DUMMYFUNCTION("CONCATENATE($B227,(VLOOKUP($C227,CATALOGOS!$F$2:$H$6,3,FALSE)),(VLOOKUP($V227,CATALOGOS!$J$2:$K$18,2,FALSE)),""-"",TO_TEXT($A227))"),"P12PP-0226")</f>
        <v>P12PP-0226</v>
      </c>
      <c r="I227" s="6"/>
      <c r="J227" s="6" t="s">
        <v>1653</v>
      </c>
      <c r="K227" s="62"/>
      <c r="L227" s="6" t="s">
        <v>1654</v>
      </c>
      <c r="M227" s="6" t="s">
        <v>1655</v>
      </c>
      <c r="N227" s="17"/>
      <c r="O227" s="17"/>
      <c r="P227" s="17" t="str">
        <f t="shared" si="4"/>
        <v>OK</v>
      </c>
      <c r="Q227" s="17" t="s">
        <v>35</v>
      </c>
      <c r="R227" s="6" t="s">
        <v>35</v>
      </c>
      <c r="S227" s="17" t="s">
        <v>36</v>
      </c>
      <c r="T227" s="17" t="s">
        <v>1656</v>
      </c>
      <c r="U227" s="173" t="s">
        <v>38</v>
      </c>
      <c r="V227" s="11" t="s">
        <v>1548</v>
      </c>
      <c r="W227" s="20" t="s">
        <v>1597</v>
      </c>
      <c r="X227" s="20" t="s">
        <v>1597</v>
      </c>
      <c r="Y227" s="20"/>
      <c r="Z227" s="7"/>
      <c r="AA227" s="7"/>
      <c r="AB227" s="23"/>
      <c r="AC227" s="26"/>
    </row>
    <row r="228" spans="1:29" ht="15.75" customHeight="1">
      <c r="A228" s="10" t="s">
        <v>1657</v>
      </c>
      <c r="B228" s="10" t="s">
        <v>1469</v>
      </c>
      <c r="C228" s="60" t="s">
        <v>1470</v>
      </c>
      <c r="D228" s="12"/>
      <c r="E228" s="13" t="s">
        <v>116</v>
      </c>
      <c r="F228" s="6" t="s">
        <v>117</v>
      </c>
      <c r="G228" s="6" t="str">
        <f ca="1">IFERROR(__xludf.DUMMYFUNCTION("CONCATENATE(B228,(VLOOKUP(C228,CATALOGOS!$F$2:$H$6,3,FALSE)),(VLOOKUP(V228,CATALOGOS!$J$2:$K$18,2,FALSE)),""-"",TO_TEXT(A228))"),"P12PP-0227")</f>
        <v>P12PP-0227</v>
      </c>
      <c r="H228" s="6" t="str">
        <f ca="1">IFERROR(__xludf.DUMMYFUNCTION("CONCATENATE($B228,(VLOOKUP($C228,CATALOGOS!$F$2:$H$6,3,FALSE)),(VLOOKUP($V228,CATALOGOS!$J$2:$K$18,2,FALSE)),""-"",TO_TEXT($A228))"),"P12PP-0227")</f>
        <v>P12PP-0227</v>
      </c>
      <c r="I228" s="6"/>
      <c r="J228" s="6" t="s">
        <v>1658</v>
      </c>
      <c r="K228" s="62"/>
      <c r="L228" s="36"/>
      <c r="M228" s="6" t="s">
        <v>141</v>
      </c>
      <c r="N228" s="17"/>
      <c r="O228" s="17"/>
      <c r="P228" s="17" t="str">
        <f t="shared" si="4"/>
        <v>REPETIDO</v>
      </c>
      <c r="Q228" s="35" t="s">
        <v>35</v>
      </c>
      <c r="R228" s="6" t="s">
        <v>35</v>
      </c>
      <c r="S228" s="10" t="s">
        <v>36</v>
      </c>
      <c r="T228" s="32" t="s">
        <v>85</v>
      </c>
      <c r="U228" s="173" t="s">
        <v>38</v>
      </c>
      <c r="V228" s="11" t="s">
        <v>1548</v>
      </c>
      <c r="W228" s="20" t="s">
        <v>1597</v>
      </c>
      <c r="X228" s="20" t="s">
        <v>1597</v>
      </c>
      <c r="Y228" s="20"/>
      <c r="Z228" s="7"/>
      <c r="AA228" s="7"/>
      <c r="AB228" s="23"/>
      <c r="AC228" s="26"/>
    </row>
    <row r="229" spans="1:29" ht="15.75" customHeight="1">
      <c r="A229" s="10" t="s">
        <v>1659</v>
      </c>
      <c r="B229" s="10" t="s">
        <v>1469</v>
      </c>
      <c r="C229" s="60" t="s">
        <v>1470</v>
      </c>
      <c r="D229" s="12"/>
      <c r="E229" s="13" t="s">
        <v>184</v>
      </c>
      <c r="F229" s="43" t="s">
        <v>927</v>
      </c>
      <c r="G229" s="15" t="str">
        <f ca="1">IFERROR(__xludf.DUMMYFUNCTION("CONCATENATE(B229,(VLOOKUP(C229,CATALOGOS!$F$2:$H$6,3,FALSE)),(VLOOKUP(V229,CATALOGOS!$J$2:$K$18,2,FALSE)),""-"",TO_TEXT(A229))"),"P12SO-0228")</f>
        <v>P12SO-0228</v>
      </c>
      <c r="H229" s="6" t="str">
        <f ca="1">IFERROR(__xludf.DUMMYFUNCTION("CONCATENATE($B229,(VLOOKUP($C229,CATALOGOS!$F$2:$H$6,3,FALSE)),(VLOOKUP($V229,CATALOGOS!$J$2:$K$18,2,FALSE)),""-"",TO_TEXT($A229))"),"P12SO-0228")</f>
        <v>P12SO-0228</v>
      </c>
      <c r="I229" s="6"/>
      <c r="J229" s="6" t="s">
        <v>1660</v>
      </c>
      <c r="K229" s="6" t="s">
        <v>1661</v>
      </c>
      <c r="L229" s="6" t="s">
        <v>1662</v>
      </c>
      <c r="M229" s="6" t="s">
        <v>1663</v>
      </c>
      <c r="N229" s="17"/>
      <c r="O229" s="17"/>
      <c r="P229" s="17" t="str">
        <f t="shared" si="4"/>
        <v>OK</v>
      </c>
      <c r="Q229" s="17" t="s">
        <v>35</v>
      </c>
      <c r="R229" s="6" t="s">
        <v>35</v>
      </c>
      <c r="S229" s="17" t="s">
        <v>36</v>
      </c>
      <c r="T229" s="17" t="s">
        <v>1664</v>
      </c>
      <c r="U229" s="173" t="s">
        <v>38</v>
      </c>
      <c r="V229" s="11" t="s">
        <v>868</v>
      </c>
      <c r="W229" s="20" t="s">
        <v>1665</v>
      </c>
      <c r="X229" s="20" t="s">
        <v>1665</v>
      </c>
      <c r="Y229" s="20"/>
      <c r="Z229" s="7"/>
      <c r="AA229" s="7"/>
      <c r="AB229" s="23"/>
      <c r="AC229" s="26"/>
    </row>
    <row r="230" spans="1:29" ht="15.75" customHeight="1">
      <c r="A230" s="10" t="s">
        <v>1666</v>
      </c>
      <c r="B230" s="10" t="s">
        <v>1469</v>
      </c>
      <c r="C230" s="60" t="s">
        <v>1470</v>
      </c>
      <c r="D230" s="12"/>
      <c r="E230" s="13" t="s">
        <v>378</v>
      </c>
      <c r="F230" s="43" t="s">
        <v>831</v>
      </c>
      <c r="G230" s="6" t="str">
        <f ca="1">IFERROR(__xludf.DUMMYFUNCTION("CONCATENATE(B230,(VLOOKUP(C230,CATALOGOS!$F$2:$H$6,3,FALSE)),(VLOOKUP(V230,CATALOGOS!$J$2:$K$18,2,FALSE)),""-"",TO_TEXT(A230))"),"P12PP-0229")</f>
        <v>P12PP-0229</v>
      </c>
      <c r="H230" s="6" t="str">
        <f ca="1">IFERROR(__xludf.DUMMYFUNCTION("CONCATENATE($B230,(VLOOKUP($C230,CATALOGOS!$F$2:$H$6,3,FALSE)),(VLOOKUP($V230,CATALOGOS!$J$2:$K$18,2,FALSE)),""-"",TO_TEXT($A230))"),"P12PP-0229")</f>
        <v>P12PP-0229</v>
      </c>
      <c r="I230" s="6"/>
      <c r="J230" s="6" t="s">
        <v>1667</v>
      </c>
      <c r="K230" s="6" t="s">
        <v>1668</v>
      </c>
      <c r="L230" s="6" t="s">
        <v>1669</v>
      </c>
      <c r="M230" s="6" t="s">
        <v>1670</v>
      </c>
      <c r="N230" s="17"/>
      <c r="O230" s="17"/>
      <c r="P230" s="17" t="str">
        <f t="shared" si="4"/>
        <v>OK</v>
      </c>
      <c r="Q230" s="17" t="s">
        <v>35</v>
      </c>
      <c r="R230" s="6" t="s">
        <v>35</v>
      </c>
      <c r="S230" s="17" t="s">
        <v>36</v>
      </c>
      <c r="T230" s="17" t="s">
        <v>1671</v>
      </c>
      <c r="U230" s="173" t="s">
        <v>38</v>
      </c>
      <c r="V230" s="11" t="s">
        <v>1548</v>
      </c>
      <c r="W230" s="20" t="s">
        <v>687</v>
      </c>
      <c r="X230" s="20" t="s">
        <v>1672</v>
      </c>
      <c r="Y230" s="20"/>
      <c r="Z230" s="7"/>
      <c r="AA230" s="7"/>
      <c r="AB230" s="23"/>
      <c r="AC230" s="26"/>
    </row>
    <row r="231" spans="1:29" ht="15.75" customHeight="1">
      <c r="A231" s="10" t="s">
        <v>1673</v>
      </c>
      <c r="B231" s="10" t="s">
        <v>1469</v>
      </c>
      <c r="C231" s="60" t="s">
        <v>1470</v>
      </c>
      <c r="D231" s="12"/>
      <c r="E231" s="13" t="s">
        <v>378</v>
      </c>
      <c r="F231" s="43" t="s">
        <v>1674</v>
      </c>
      <c r="G231" s="6" t="str">
        <f ca="1">IFERROR(__xludf.DUMMYFUNCTION("CONCATENATE(B231,(VLOOKUP(C231,CATALOGOS!$F$2:$H$6,3,FALSE)),(VLOOKUP(V231,CATALOGOS!$J$2:$K$18,2,FALSE)),""-"",TO_TEXT(A231))"),"P12PP-0230")</f>
        <v>P12PP-0230</v>
      </c>
      <c r="H231" s="6" t="str">
        <f ca="1">IFERROR(__xludf.DUMMYFUNCTION("CONCATENATE($B231,(VLOOKUP($C231,CATALOGOS!$F$2:$H$6,3,FALSE)),(VLOOKUP($V231,CATALOGOS!$J$2:$K$18,2,FALSE)),""-"",TO_TEXT($A231))"),"P12PP-0230")</f>
        <v>P12PP-0230</v>
      </c>
      <c r="I231" s="6"/>
      <c r="J231" s="6" t="s">
        <v>1675</v>
      </c>
      <c r="K231" s="6" t="s">
        <v>1676</v>
      </c>
      <c r="L231" s="6" t="s">
        <v>1677</v>
      </c>
      <c r="M231" s="6" t="s">
        <v>1678</v>
      </c>
      <c r="N231" s="17"/>
      <c r="O231" s="17"/>
      <c r="P231" s="17" t="str">
        <f t="shared" si="4"/>
        <v>OK</v>
      </c>
      <c r="Q231" s="17" t="s">
        <v>35</v>
      </c>
      <c r="R231" s="6" t="s">
        <v>35</v>
      </c>
      <c r="S231" s="17" t="s">
        <v>36</v>
      </c>
      <c r="T231" s="17" t="s">
        <v>1679</v>
      </c>
      <c r="U231" s="173" t="s">
        <v>38</v>
      </c>
      <c r="V231" s="11" t="s">
        <v>1548</v>
      </c>
      <c r="W231" s="20" t="s">
        <v>1597</v>
      </c>
      <c r="X231" s="20" t="s">
        <v>1597</v>
      </c>
      <c r="Y231" s="20"/>
      <c r="Z231" s="7"/>
      <c r="AA231" s="7"/>
      <c r="AB231" s="23"/>
      <c r="AC231" s="26"/>
    </row>
    <row r="232" spans="1:29" ht="15.75" customHeight="1">
      <c r="A232" s="10" t="s">
        <v>1680</v>
      </c>
      <c r="B232" s="10" t="s">
        <v>1469</v>
      </c>
      <c r="C232" s="60" t="s">
        <v>1470</v>
      </c>
      <c r="D232" s="12"/>
      <c r="E232" s="13" t="s">
        <v>53</v>
      </c>
      <c r="F232" s="6" t="s">
        <v>1681</v>
      </c>
      <c r="G232" s="6" t="str">
        <f ca="1">IFERROR(__xludf.DUMMYFUNCTION("CONCATENATE(B232,(VLOOKUP(C232,CATALOGOS!$F$2:$H$6,3,FALSE)),(VLOOKUP(V232,CATALOGOS!$J$2:$K$18,2,FALSE)),""-"",TO_TEXT(A232))"),"P12PP-0231")</f>
        <v>P12PP-0231</v>
      </c>
      <c r="H232" s="6" t="str">
        <f ca="1">IFERROR(__xludf.DUMMYFUNCTION("CONCATENATE($B232,(VLOOKUP($C232,CATALOGOS!$F$2:$H$6,3,FALSE)),(VLOOKUP($V232,CATALOGOS!$J$2:$K$18,2,FALSE)),""-"",TO_TEXT($A232))"),"P12PP-0231")</f>
        <v>P12PP-0231</v>
      </c>
      <c r="I232" s="6"/>
      <c r="J232" s="6" t="s">
        <v>1682</v>
      </c>
      <c r="K232" s="6" t="s">
        <v>1683</v>
      </c>
      <c r="L232" s="6" t="s">
        <v>1684</v>
      </c>
      <c r="M232" s="6" t="s">
        <v>1685</v>
      </c>
      <c r="N232" s="17"/>
      <c r="O232" s="17"/>
      <c r="P232" s="17" t="str">
        <f t="shared" si="4"/>
        <v>OK</v>
      </c>
      <c r="Q232" s="17" t="s">
        <v>35</v>
      </c>
      <c r="R232" s="6" t="s">
        <v>35</v>
      </c>
      <c r="S232" s="17" t="s">
        <v>36</v>
      </c>
      <c r="T232" s="17" t="s">
        <v>1686</v>
      </c>
      <c r="U232" s="173" t="s">
        <v>38</v>
      </c>
      <c r="V232" s="11" t="s">
        <v>1548</v>
      </c>
      <c r="W232" s="20" t="s">
        <v>1597</v>
      </c>
      <c r="X232" s="20" t="s">
        <v>1597</v>
      </c>
      <c r="Y232" s="20"/>
      <c r="Z232" s="6"/>
      <c r="AA232" s="6"/>
      <c r="AB232" s="23"/>
      <c r="AC232" s="24"/>
    </row>
    <row r="233" spans="1:29" ht="15.75" customHeight="1">
      <c r="A233" s="10" t="s">
        <v>1687</v>
      </c>
      <c r="B233" s="10" t="s">
        <v>1469</v>
      </c>
      <c r="C233" s="60" t="s">
        <v>1470</v>
      </c>
      <c r="D233" s="12"/>
      <c r="E233" s="13" t="s">
        <v>43</v>
      </c>
      <c r="F233" s="43" t="s">
        <v>1688</v>
      </c>
      <c r="G233" s="6" t="str">
        <f ca="1">IFERROR(__xludf.DUMMYFUNCTION("CONCATENATE(B233,(VLOOKUP(C233,CATALOGOS!$F$2:$H$6,3,FALSE)),(VLOOKUP(V233,CATALOGOS!$J$2:$K$18,2,FALSE)),""-"",TO_TEXT(A233))"),"P12PP-0232")</f>
        <v>P12PP-0232</v>
      </c>
      <c r="H233" s="6" t="str">
        <f ca="1">IFERROR(__xludf.DUMMYFUNCTION("CONCATENATE($B233,(VLOOKUP($C233,CATALOGOS!$F$2:$H$6,3,FALSE)),(VLOOKUP($V233,CATALOGOS!$J$2:$K$18,2,FALSE)),""-"",TO_TEXT($A233))"),"P12PP-0232")</f>
        <v>P12PP-0232</v>
      </c>
      <c r="I233" s="6"/>
      <c r="J233" s="6" t="s">
        <v>1689</v>
      </c>
      <c r="K233" s="6" t="s">
        <v>1690</v>
      </c>
      <c r="L233" s="6" t="s">
        <v>1691</v>
      </c>
      <c r="M233" s="6" t="s">
        <v>1692</v>
      </c>
      <c r="N233" s="17"/>
      <c r="O233" s="17"/>
      <c r="P233" s="17" t="str">
        <f t="shared" si="4"/>
        <v>OK</v>
      </c>
      <c r="Q233" s="17" t="s">
        <v>1693</v>
      </c>
      <c r="R233" s="6">
        <v>3141</v>
      </c>
      <c r="S233" s="17" t="s">
        <v>36</v>
      </c>
      <c r="T233" s="17" t="s">
        <v>1694</v>
      </c>
      <c r="U233" s="173" t="s">
        <v>38</v>
      </c>
      <c r="V233" s="11" t="s">
        <v>1548</v>
      </c>
      <c r="W233" s="20" t="s">
        <v>1597</v>
      </c>
      <c r="X233" s="20" t="s">
        <v>1597</v>
      </c>
      <c r="Y233" s="20"/>
      <c r="Z233" s="7"/>
      <c r="AA233" s="7"/>
      <c r="AB233" s="23"/>
      <c r="AC233" s="26"/>
    </row>
    <row r="234" spans="1:29" ht="15.75" customHeight="1">
      <c r="A234" s="10" t="s">
        <v>1695</v>
      </c>
      <c r="B234" s="10" t="s">
        <v>1469</v>
      </c>
      <c r="C234" s="60" t="s">
        <v>1470</v>
      </c>
      <c r="D234" s="12"/>
      <c r="E234" s="13" t="s">
        <v>93</v>
      </c>
      <c r="F234" s="43" t="s">
        <v>1696</v>
      </c>
      <c r="G234" s="6" t="str">
        <f ca="1">IFERROR(__xludf.DUMMYFUNCTION("CONCATENATE(B234,(VLOOKUP(C234,CATALOGOS!$F$2:$H$6,3,FALSE)),(VLOOKUP(V234,CATALOGOS!$J$2:$K$18,2,FALSE)),""-"",TO_TEXT(A234))"),"P12PP-0233")</f>
        <v>P12PP-0233</v>
      </c>
      <c r="H234" s="6" t="str">
        <f ca="1">IFERROR(__xludf.DUMMYFUNCTION("CONCATENATE($B234,(VLOOKUP($C234,CATALOGOS!$F$2:$H$6,3,FALSE)),(VLOOKUP($V234,CATALOGOS!$J$2:$K$18,2,FALSE)),""-"",TO_TEXT($A234))"),"P12PP-0233")</f>
        <v>P12PP-0233</v>
      </c>
      <c r="I234" s="6"/>
      <c r="J234" s="6" t="s">
        <v>1697</v>
      </c>
      <c r="K234" s="6" t="s">
        <v>1698</v>
      </c>
      <c r="L234" s="6" t="s">
        <v>1699</v>
      </c>
      <c r="M234" s="6" t="s">
        <v>1700</v>
      </c>
      <c r="N234" s="17"/>
      <c r="O234" s="17"/>
      <c r="P234" s="17" t="str">
        <f t="shared" si="4"/>
        <v>OK</v>
      </c>
      <c r="Q234" s="17" t="s">
        <v>35</v>
      </c>
      <c r="R234" s="6" t="s">
        <v>35</v>
      </c>
      <c r="S234" s="17" t="s">
        <v>36</v>
      </c>
      <c r="T234" s="17" t="s">
        <v>1701</v>
      </c>
      <c r="U234" s="173" t="s">
        <v>38</v>
      </c>
      <c r="V234" s="11" t="s">
        <v>1548</v>
      </c>
      <c r="W234" s="20" t="s">
        <v>1550</v>
      </c>
      <c r="X234" s="20" t="s">
        <v>1550</v>
      </c>
      <c r="Y234" s="20"/>
      <c r="Z234" s="7"/>
      <c r="AA234" s="7"/>
      <c r="AB234" s="23"/>
      <c r="AC234" s="26"/>
    </row>
    <row r="235" spans="1:29" ht="15.75" customHeight="1">
      <c r="A235" s="10" t="s">
        <v>1702</v>
      </c>
      <c r="B235" s="10" t="s">
        <v>1469</v>
      </c>
      <c r="C235" s="60" t="s">
        <v>1470</v>
      </c>
      <c r="D235" s="12"/>
      <c r="E235" s="13" t="s">
        <v>378</v>
      </c>
      <c r="F235" s="43" t="s">
        <v>1703</v>
      </c>
      <c r="G235" s="6" t="str">
        <f ca="1">IFERROR(__xludf.DUMMYFUNCTION("CONCATENATE(B235,(VLOOKUP(C235,CATALOGOS!$F$2:$H$6,3,FALSE)),(VLOOKUP(V235,CATALOGOS!$J$2:$K$18,2,FALSE)),""-"",TO_TEXT(A235))"),"P12PP-0234")</f>
        <v>P12PP-0234</v>
      </c>
      <c r="H235" s="6" t="str">
        <f ca="1">IFERROR(__xludf.DUMMYFUNCTION("CONCATENATE($B235,(VLOOKUP($C235,CATALOGOS!$F$2:$H$6,3,FALSE)),(VLOOKUP($V235,CATALOGOS!$J$2:$K$18,2,FALSE)),""-"",TO_TEXT($A235))"),"P12PP-0234")</f>
        <v>P12PP-0234</v>
      </c>
      <c r="I235" s="6"/>
      <c r="J235" s="6" t="s">
        <v>1704</v>
      </c>
      <c r="K235" s="6" t="s">
        <v>1705</v>
      </c>
      <c r="L235" s="6" t="s">
        <v>1706</v>
      </c>
      <c r="M235" s="6" t="s">
        <v>1707</v>
      </c>
      <c r="N235" s="17"/>
      <c r="O235" s="17"/>
      <c r="P235" s="17" t="str">
        <f t="shared" si="4"/>
        <v>OK</v>
      </c>
      <c r="Q235" s="17" t="s">
        <v>35</v>
      </c>
      <c r="R235" s="6" t="s">
        <v>35</v>
      </c>
      <c r="S235" s="17" t="s">
        <v>36</v>
      </c>
      <c r="T235" s="17" t="s">
        <v>1708</v>
      </c>
      <c r="U235" s="173" t="s">
        <v>38</v>
      </c>
      <c r="V235" s="11" t="s">
        <v>1548</v>
      </c>
      <c r="W235" s="20" t="s">
        <v>1597</v>
      </c>
      <c r="X235" s="20" t="s">
        <v>1597</v>
      </c>
      <c r="Y235" s="20"/>
      <c r="Z235" s="7"/>
      <c r="AA235" s="7"/>
      <c r="AB235" s="23"/>
      <c r="AC235" s="26"/>
    </row>
    <row r="236" spans="1:29" ht="15.75" customHeight="1">
      <c r="A236" s="10" t="s">
        <v>1709</v>
      </c>
      <c r="B236" s="10" t="s">
        <v>1469</v>
      </c>
      <c r="C236" s="60" t="s">
        <v>1470</v>
      </c>
      <c r="D236" s="12"/>
      <c r="E236" s="13" t="s">
        <v>378</v>
      </c>
      <c r="F236" s="43" t="s">
        <v>1703</v>
      </c>
      <c r="G236" s="6" t="str">
        <f ca="1">IFERROR(__xludf.DUMMYFUNCTION("CONCATENATE(B236,(VLOOKUP(C236,CATALOGOS!$F$2:$H$6,3,FALSE)),(VLOOKUP(V236,CATALOGOS!$J$2:$K$18,2,FALSE)),""-"",TO_TEXT(A236))"),"P12PP-0235")</f>
        <v>P12PP-0235</v>
      </c>
      <c r="H236" s="6" t="str">
        <f ca="1">IFERROR(__xludf.DUMMYFUNCTION("CONCATENATE($B236,(VLOOKUP($C236,CATALOGOS!$F$2:$H$6,3,FALSE)),(VLOOKUP($V236,CATALOGOS!$J$2:$K$18,2,FALSE)),""-"",TO_TEXT($A236))"),"P12PP-0235")</f>
        <v>P12PP-0235</v>
      </c>
      <c r="I236" s="6"/>
      <c r="J236" s="6" t="s">
        <v>1710</v>
      </c>
      <c r="K236" s="6" t="s">
        <v>1711</v>
      </c>
      <c r="L236" s="6" t="s">
        <v>1712</v>
      </c>
      <c r="M236" s="6" t="s">
        <v>1713</v>
      </c>
      <c r="N236" s="17"/>
      <c r="O236" s="17"/>
      <c r="P236" s="17" t="str">
        <f t="shared" si="4"/>
        <v>OK</v>
      </c>
      <c r="Q236" s="17" t="s">
        <v>35</v>
      </c>
      <c r="R236" s="6" t="s">
        <v>35</v>
      </c>
      <c r="S236" s="17" t="s">
        <v>36</v>
      </c>
      <c r="T236" s="17" t="s">
        <v>1714</v>
      </c>
      <c r="U236" s="173" t="s">
        <v>38</v>
      </c>
      <c r="V236" s="11" t="s">
        <v>1548</v>
      </c>
      <c r="W236" s="20" t="s">
        <v>1597</v>
      </c>
      <c r="X236" s="20" t="s">
        <v>1597</v>
      </c>
      <c r="Y236" s="20"/>
      <c r="Z236" s="7"/>
      <c r="AA236" s="7"/>
      <c r="AB236" s="23"/>
      <c r="AC236" s="26"/>
    </row>
    <row r="237" spans="1:29" ht="15.75" customHeight="1">
      <c r="A237" s="10" t="s">
        <v>1715</v>
      </c>
      <c r="B237" s="10" t="s">
        <v>1469</v>
      </c>
      <c r="C237" s="60" t="s">
        <v>1470</v>
      </c>
      <c r="D237" s="12"/>
      <c r="E237" s="13" t="s">
        <v>62</v>
      </c>
      <c r="F237" s="43" t="s">
        <v>1716</v>
      </c>
      <c r="G237" s="6" t="str">
        <f ca="1">IFERROR(__xludf.DUMMYFUNCTION("CONCATENATE(B237,(VLOOKUP(C237,CATALOGOS!$F$2:$H$6,3,FALSE)),(VLOOKUP(V237,CATALOGOS!$J$2:$K$18,2,FALSE)),""-"",TO_TEXT(A237))"),"P12PP-0236")</f>
        <v>P12PP-0236</v>
      </c>
      <c r="H237" s="6" t="str">
        <f ca="1">IFERROR(__xludf.DUMMYFUNCTION("CONCATENATE($B237,(VLOOKUP($C237,CATALOGOS!$F$2:$H$6,3,FALSE)),(VLOOKUP($V237,CATALOGOS!$J$2:$K$18,2,FALSE)),""-"",TO_TEXT($A237))"),"P12PP-0236")</f>
        <v>P12PP-0236</v>
      </c>
      <c r="I237" s="6"/>
      <c r="J237" s="6" t="s">
        <v>1717</v>
      </c>
      <c r="K237" s="6" t="s">
        <v>1718</v>
      </c>
      <c r="L237" s="6" t="s">
        <v>1719</v>
      </c>
      <c r="M237" s="6" t="s">
        <v>1720</v>
      </c>
      <c r="N237" s="17"/>
      <c r="O237" s="17"/>
      <c r="P237" s="17" t="str">
        <f t="shared" si="4"/>
        <v>OK</v>
      </c>
      <c r="Q237" s="17" t="s">
        <v>35</v>
      </c>
      <c r="R237" s="6" t="s">
        <v>35</v>
      </c>
      <c r="S237" s="17" t="s">
        <v>36</v>
      </c>
      <c r="T237" s="17" t="s">
        <v>85</v>
      </c>
      <c r="U237" s="173" t="s">
        <v>38</v>
      </c>
      <c r="V237" s="11" t="s">
        <v>1548</v>
      </c>
      <c r="W237" s="20" t="s">
        <v>1597</v>
      </c>
      <c r="X237" s="20" t="s">
        <v>1597</v>
      </c>
      <c r="Y237" s="20"/>
      <c r="Z237" s="6"/>
      <c r="AA237" s="6"/>
      <c r="AB237" s="23"/>
      <c r="AC237" s="24"/>
    </row>
    <row r="238" spans="1:29" ht="15.75" customHeight="1">
      <c r="A238" s="10" t="s">
        <v>1721</v>
      </c>
      <c r="B238" s="10" t="s">
        <v>1469</v>
      </c>
      <c r="C238" s="60" t="s">
        <v>1470</v>
      </c>
      <c r="D238" s="38"/>
      <c r="E238" s="13" t="s">
        <v>248</v>
      </c>
      <c r="F238" s="43" t="s">
        <v>249</v>
      </c>
      <c r="G238" s="6" t="str">
        <f ca="1">IFERROR(__xludf.DUMMYFUNCTION("CONCATENATE(B238,(VLOOKUP(C238,CATALOGOS!$F$2:$H$6,3,FALSE)),(VLOOKUP(V238,CATALOGOS!$J$2:$K$18,2,FALSE)),""-"",TO_TEXT(A238))"),"P12PP-0237")</f>
        <v>P12PP-0237</v>
      </c>
      <c r="H238" s="6" t="str">
        <f ca="1">IFERROR(__xludf.DUMMYFUNCTION("CONCATENATE($B238,(VLOOKUP($C238,CATALOGOS!$F$2:$H$6,3,FALSE)),(VLOOKUP($V238,CATALOGOS!$J$2:$K$18,2,FALSE)),""-"",TO_TEXT($A238))"),"P12PP-0237")</f>
        <v>P12PP-0237</v>
      </c>
      <c r="I238" s="6"/>
      <c r="J238" s="6" t="s">
        <v>1722</v>
      </c>
      <c r="K238" s="17" t="s">
        <v>1723</v>
      </c>
      <c r="L238" s="17" t="s">
        <v>1724</v>
      </c>
      <c r="M238" s="17" t="s">
        <v>1725</v>
      </c>
      <c r="N238" s="17"/>
      <c r="O238" s="17"/>
      <c r="P238" s="17" t="str">
        <f t="shared" si="4"/>
        <v>OK</v>
      </c>
      <c r="Q238" s="17" t="s">
        <v>303</v>
      </c>
      <c r="R238" s="6" t="s">
        <v>1726</v>
      </c>
      <c r="S238" s="46" t="s">
        <v>1727</v>
      </c>
      <c r="T238" s="17" t="s">
        <v>1728</v>
      </c>
      <c r="U238" s="173" t="s">
        <v>38</v>
      </c>
      <c r="V238" s="11" t="s">
        <v>1548</v>
      </c>
      <c r="W238" s="20" t="s">
        <v>1597</v>
      </c>
      <c r="X238" s="20" t="s">
        <v>1597</v>
      </c>
      <c r="Y238" s="20"/>
      <c r="Z238" s="7"/>
      <c r="AA238" s="7"/>
      <c r="AB238" s="26"/>
      <c r="AC238" s="26"/>
    </row>
    <row r="239" spans="1:29" ht="15.75" customHeight="1">
      <c r="A239" s="10" t="s">
        <v>1729</v>
      </c>
      <c r="B239" s="10" t="s">
        <v>1469</v>
      </c>
      <c r="C239" s="60" t="s">
        <v>1470</v>
      </c>
      <c r="D239" s="12"/>
      <c r="E239" s="13" t="s">
        <v>116</v>
      </c>
      <c r="F239" s="6" t="s">
        <v>1730</v>
      </c>
      <c r="G239" s="6" t="str">
        <f ca="1">IFERROR(__xludf.DUMMYFUNCTION("CONCATENATE(B239,(VLOOKUP(C239,CATALOGOS!$F$2:$H$6,3,FALSE)),(VLOOKUP(V239,CATALOGOS!$J$2:$K$18,2,FALSE)),""-"",TO_TEXT(A239))"),"P12PP-0238")</f>
        <v>P12PP-0238</v>
      </c>
      <c r="H239" s="6" t="str">
        <f ca="1">IFERROR(__xludf.DUMMYFUNCTION("CONCATENATE($B239,(VLOOKUP($C239,CATALOGOS!$F$2:$H$6,3,FALSE)),(VLOOKUP($V239,CATALOGOS!$J$2:$K$18,2,FALSE)),""-"",TO_TEXT($A239))"),"P12PP-0238")</f>
        <v>P12PP-0238</v>
      </c>
      <c r="I239" s="6"/>
      <c r="J239" s="6" t="s">
        <v>1731</v>
      </c>
      <c r="K239" s="6" t="s">
        <v>1732</v>
      </c>
      <c r="L239" s="6" t="s">
        <v>1733</v>
      </c>
      <c r="M239" s="6" t="s">
        <v>1734</v>
      </c>
      <c r="N239" s="17"/>
      <c r="O239" s="17"/>
      <c r="P239" s="17" t="str">
        <f t="shared" si="4"/>
        <v>OK</v>
      </c>
      <c r="Q239" s="17" t="s">
        <v>35</v>
      </c>
      <c r="R239" s="6" t="s">
        <v>35</v>
      </c>
      <c r="S239" s="17" t="s">
        <v>36</v>
      </c>
      <c r="T239" s="17" t="s">
        <v>1735</v>
      </c>
      <c r="U239" s="173" t="s">
        <v>38</v>
      </c>
      <c r="V239" s="11" t="s">
        <v>1548</v>
      </c>
      <c r="W239" s="20" t="s">
        <v>1737</v>
      </c>
      <c r="X239" s="20" t="s">
        <v>1737</v>
      </c>
      <c r="Y239" s="20"/>
      <c r="Z239" s="7"/>
      <c r="AA239" s="7"/>
      <c r="AB239" s="23"/>
      <c r="AC239" s="26"/>
    </row>
    <row r="240" spans="1:29" ht="15.75" customHeight="1">
      <c r="A240" s="10" t="s">
        <v>1738</v>
      </c>
      <c r="B240" s="10" t="s">
        <v>1469</v>
      </c>
      <c r="C240" s="60" t="s">
        <v>1470</v>
      </c>
      <c r="D240" s="12"/>
      <c r="E240" s="13" t="s">
        <v>93</v>
      </c>
      <c r="F240" s="6" t="s">
        <v>1739</v>
      </c>
      <c r="G240" s="6" t="str">
        <f ca="1">IFERROR(__xludf.DUMMYFUNCTION("CONCATENATE(B240,(VLOOKUP(C240,CATALOGOS!$F$2:$H$6,3,FALSE)),(VLOOKUP(V240,CATALOGOS!$J$2:$K$18,2,FALSE)),""-"",TO_TEXT(A240))"),"P12PP-0239")</f>
        <v>P12PP-0239</v>
      </c>
      <c r="H240" s="6" t="str">
        <f ca="1">IFERROR(__xludf.DUMMYFUNCTION("CONCATENATE($B240,(VLOOKUP($C240,CATALOGOS!$F$2:$H$6,3,FALSE)),(VLOOKUP($V240,CATALOGOS!$J$2:$K$18,2,FALSE)),""-"",TO_TEXT($A240))"),"P12PP-0239")</f>
        <v>P12PP-0239</v>
      </c>
      <c r="I240" s="6"/>
      <c r="J240" s="6" t="s">
        <v>1740</v>
      </c>
      <c r="K240" s="6" t="s">
        <v>1741</v>
      </c>
      <c r="L240" s="6" t="s">
        <v>1742</v>
      </c>
      <c r="M240" s="6" t="s">
        <v>1743</v>
      </c>
      <c r="N240" s="17"/>
      <c r="O240" s="17"/>
      <c r="P240" s="17" t="str">
        <f t="shared" si="4"/>
        <v>OK</v>
      </c>
      <c r="Q240" s="17" t="s">
        <v>35</v>
      </c>
      <c r="R240" s="6" t="s">
        <v>35</v>
      </c>
      <c r="S240" s="17" t="s">
        <v>36</v>
      </c>
      <c r="T240" s="17" t="s">
        <v>1744</v>
      </c>
      <c r="U240" s="173" t="s">
        <v>38</v>
      </c>
      <c r="V240" s="11" t="s">
        <v>1548</v>
      </c>
      <c r="W240" s="20" t="s">
        <v>1737</v>
      </c>
      <c r="X240" s="20" t="s">
        <v>1737</v>
      </c>
      <c r="Y240" s="20"/>
      <c r="Z240" s="7"/>
      <c r="AA240" s="7"/>
      <c r="AB240" s="23"/>
      <c r="AC240" s="26"/>
    </row>
    <row r="241" spans="1:30" ht="15.75" customHeight="1">
      <c r="A241" s="10" t="s">
        <v>1745</v>
      </c>
      <c r="B241" s="10" t="s">
        <v>1469</v>
      </c>
      <c r="C241" s="60" t="s">
        <v>1470</v>
      </c>
      <c r="D241" s="12"/>
      <c r="E241" s="13" t="s">
        <v>199</v>
      </c>
      <c r="F241" s="6" t="s">
        <v>1746</v>
      </c>
      <c r="G241" s="6" t="str">
        <f ca="1">IFERROR(__xludf.DUMMYFUNCTION("CONCATENATE(B241,(VLOOKUP(C241,CATALOGOS!$F$2:$H$6,3,FALSE)),(VLOOKUP(V241,CATALOGOS!$J$2:$K$18,2,FALSE)),""-"",TO_TEXT(A241))"),"P12PP-0240")</f>
        <v>P12PP-0240</v>
      </c>
      <c r="H241" s="6" t="str">
        <f ca="1">IFERROR(__xludf.DUMMYFUNCTION("CONCATENATE($B241,(VLOOKUP($C241,CATALOGOS!$F$2:$H$6,3,FALSE)),(VLOOKUP($V241,CATALOGOS!$J$2:$K$18,2,FALSE)),""-"",TO_TEXT($A241))"),"P12PP-0240")</f>
        <v>P12PP-0240</v>
      </c>
      <c r="I241" s="6"/>
      <c r="J241" s="6" t="s">
        <v>1747</v>
      </c>
      <c r="K241" s="6" t="s">
        <v>1748</v>
      </c>
      <c r="L241" s="6" t="s">
        <v>1749</v>
      </c>
      <c r="M241" s="6" t="s">
        <v>141</v>
      </c>
      <c r="N241" s="17"/>
      <c r="O241" s="17"/>
      <c r="P241" s="17" t="str">
        <f t="shared" si="4"/>
        <v>REPETIDO</v>
      </c>
      <c r="Q241" s="17" t="s">
        <v>682</v>
      </c>
      <c r="R241" s="6" t="s">
        <v>1750</v>
      </c>
      <c r="S241" s="17" t="s">
        <v>1751</v>
      </c>
      <c r="T241" s="17" t="s">
        <v>1752</v>
      </c>
      <c r="U241" s="173" t="s">
        <v>38</v>
      </c>
      <c r="V241" s="11" t="s">
        <v>1548</v>
      </c>
      <c r="W241" s="20" t="s">
        <v>1737</v>
      </c>
      <c r="X241" s="20" t="s">
        <v>1737</v>
      </c>
      <c r="Y241" s="20"/>
      <c r="Z241" s="7"/>
      <c r="AA241" s="7"/>
      <c r="AB241" s="23"/>
      <c r="AC241" s="26"/>
    </row>
    <row r="242" spans="1:30" ht="15.75" customHeight="1">
      <c r="A242" s="10" t="s">
        <v>1753</v>
      </c>
      <c r="B242" s="10" t="s">
        <v>1469</v>
      </c>
      <c r="C242" s="60" t="s">
        <v>1470</v>
      </c>
      <c r="D242" s="38"/>
      <c r="E242" s="13" t="s">
        <v>248</v>
      </c>
      <c r="F242" s="6" t="s">
        <v>249</v>
      </c>
      <c r="G242" s="6" t="str">
        <f ca="1">IFERROR(__xludf.DUMMYFUNCTION("CONCATENATE(B242,(VLOOKUP(C242,CATALOGOS!$F$2:$H$6,3,FALSE)),(VLOOKUP(V242,CATALOGOS!$J$2:$K$18,2,FALSE)),""-"",TO_TEXT(A242))"),"P12PP-0241")</f>
        <v>P12PP-0241</v>
      </c>
      <c r="H242" s="6" t="str">
        <f ca="1">IFERROR(__xludf.DUMMYFUNCTION("CONCATENATE($B242,(VLOOKUP($C242,CATALOGOS!$F$2:$H$6,3,FALSE)),(VLOOKUP($V242,CATALOGOS!$J$2:$K$18,2,FALSE)),""-"",TO_TEXT($A242))"),"P12PP-0241")</f>
        <v>P12PP-0241</v>
      </c>
      <c r="I242" s="6"/>
      <c r="J242" s="6" t="s">
        <v>1754</v>
      </c>
      <c r="K242" s="6" t="s">
        <v>1755</v>
      </c>
      <c r="L242" s="6" t="s">
        <v>1756</v>
      </c>
      <c r="M242" s="6" t="s">
        <v>1757</v>
      </c>
      <c r="N242" s="17"/>
      <c r="O242" s="17"/>
      <c r="P242" s="17" t="str">
        <f t="shared" si="4"/>
        <v>OK</v>
      </c>
      <c r="Q242" s="6" t="s">
        <v>303</v>
      </c>
      <c r="R242" s="6" t="s">
        <v>304</v>
      </c>
      <c r="S242" s="46" t="s">
        <v>1758</v>
      </c>
      <c r="T242" s="17" t="s">
        <v>1759</v>
      </c>
      <c r="U242" s="173" t="s">
        <v>38</v>
      </c>
      <c r="V242" s="11" t="s">
        <v>1548</v>
      </c>
      <c r="W242" s="20" t="s">
        <v>687</v>
      </c>
      <c r="X242" s="20" t="s">
        <v>1672</v>
      </c>
      <c r="Y242" s="20"/>
      <c r="Z242" s="7"/>
      <c r="AA242" s="7"/>
      <c r="AB242" s="26"/>
      <c r="AC242" s="26"/>
    </row>
    <row r="243" spans="1:30" ht="15.75" customHeight="1">
      <c r="A243" s="10" t="s">
        <v>1760</v>
      </c>
      <c r="B243" s="10" t="s">
        <v>1469</v>
      </c>
      <c r="C243" s="60" t="s">
        <v>1470</v>
      </c>
      <c r="D243" s="12"/>
      <c r="E243" s="13" t="s">
        <v>116</v>
      </c>
      <c r="F243" s="6" t="s">
        <v>1730</v>
      </c>
      <c r="G243" s="6" t="str">
        <f ca="1">IFERROR(__xludf.DUMMYFUNCTION("CONCATENATE(B243,(VLOOKUP(C243,CATALOGOS!$F$2:$H$6,3,FALSE)),(VLOOKUP(V243,CATALOGOS!$J$2:$K$18,2,FALSE)),""-"",TO_TEXT(A243))"),"P12PP-0242")</f>
        <v>P12PP-0242</v>
      </c>
      <c r="H243" s="6" t="str">
        <f ca="1">IFERROR(__xludf.DUMMYFUNCTION("CONCATENATE($B243,(VLOOKUP($C243,CATALOGOS!$F$2:$H$6,3,FALSE)),(VLOOKUP($V243,CATALOGOS!$J$2:$K$18,2,FALSE)),""-"",TO_TEXT($A243))"),"P12PP-0242")</f>
        <v>P12PP-0242</v>
      </c>
      <c r="I243" s="6"/>
      <c r="J243" s="6" t="s">
        <v>1761</v>
      </c>
      <c r="K243" s="6" t="s">
        <v>1762</v>
      </c>
      <c r="L243" s="6" t="s">
        <v>1763</v>
      </c>
      <c r="M243" s="6" t="s">
        <v>1764</v>
      </c>
      <c r="N243" s="17"/>
      <c r="O243" s="17"/>
      <c r="P243" s="17" t="str">
        <f t="shared" si="4"/>
        <v>OK</v>
      </c>
      <c r="Q243" s="17" t="s">
        <v>35</v>
      </c>
      <c r="R243" s="6" t="s">
        <v>35</v>
      </c>
      <c r="S243" s="17" t="s">
        <v>36</v>
      </c>
      <c r="T243" s="17" t="s">
        <v>1765</v>
      </c>
      <c r="U243" s="173" t="s">
        <v>38</v>
      </c>
      <c r="V243" s="11" t="s">
        <v>1548</v>
      </c>
      <c r="W243" s="20" t="s">
        <v>687</v>
      </c>
      <c r="X243" s="22" t="s">
        <v>1672</v>
      </c>
      <c r="Y243" s="22"/>
      <c r="Z243" s="36"/>
      <c r="AA243" s="36"/>
      <c r="AB243" s="23"/>
      <c r="AC243" s="33"/>
    </row>
    <row r="244" spans="1:30" ht="15.75" customHeight="1">
      <c r="A244" s="10" t="s">
        <v>1766</v>
      </c>
      <c r="B244" s="10" t="s">
        <v>1469</v>
      </c>
      <c r="C244" s="60" t="s">
        <v>1470</v>
      </c>
      <c r="D244" s="12"/>
      <c r="E244" s="13" t="s">
        <v>93</v>
      </c>
      <c r="F244" s="6" t="s">
        <v>1739</v>
      </c>
      <c r="G244" s="6" t="str">
        <f ca="1">IFERROR(__xludf.DUMMYFUNCTION("CONCATENATE(B244,(VLOOKUP(C244,CATALOGOS!$F$2:$H$6,3,FALSE)),(VLOOKUP(V244,CATALOGOS!$J$2:$K$18,2,FALSE)),""-"",TO_TEXT(A244))"),"P12PP-0243")</f>
        <v>P12PP-0243</v>
      </c>
      <c r="H244" s="6" t="str">
        <f ca="1">IFERROR(__xludf.DUMMYFUNCTION("CONCATENATE($B244,(VLOOKUP($C244,CATALOGOS!$F$2:$H$6,3,FALSE)),(VLOOKUP($V244,CATALOGOS!$J$2:$K$18,2,FALSE)),""-"",TO_TEXT($A244))"),"P12PP-0243")</f>
        <v>P12PP-0243</v>
      </c>
      <c r="I244" s="6"/>
      <c r="J244" s="6" t="s">
        <v>1767</v>
      </c>
      <c r="K244" s="6" t="s">
        <v>1768</v>
      </c>
      <c r="L244" s="6" t="s">
        <v>1769</v>
      </c>
      <c r="M244" s="6" t="s">
        <v>1770</v>
      </c>
      <c r="N244" s="17"/>
      <c r="O244" s="17"/>
      <c r="P244" s="17" t="str">
        <f t="shared" si="4"/>
        <v>OK</v>
      </c>
      <c r="Q244" s="17" t="s">
        <v>35</v>
      </c>
      <c r="R244" s="6" t="s">
        <v>35</v>
      </c>
      <c r="S244" s="17" t="s">
        <v>36</v>
      </c>
      <c r="T244" s="17" t="s">
        <v>1771</v>
      </c>
      <c r="U244" s="173" t="s">
        <v>38</v>
      </c>
      <c r="V244" s="11" t="s">
        <v>1548</v>
      </c>
      <c r="W244" s="20" t="s">
        <v>687</v>
      </c>
      <c r="X244" s="22" t="s">
        <v>1672</v>
      </c>
      <c r="Y244" s="22"/>
      <c r="Z244" s="36"/>
      <c r="AA244" s="36"/>
      <c r="AB244" s="23"/>
      <c r="AC244" s="33"/>
    </row>
    <row r="245" spans="1:30" ht="15.75" customHeight="1">
      <c r="A245" s="10" t="s">
        <v>1772</v>
      </c>
      <c r="B245" s="10" t="s">
        <v>1469</v>
      </c>
      <c r="C245" s="60" t="s">
        <v>1470</v>
      </c>
      <c r="D245" s="12"/>
      <c r="E245" s="13" t="s">
        <v>1240</v>
      </c>
      <c r="F245" s="43" t="s">
        <v>278</v>
      </c>
      <c r="G245" s="6" t="str">
        <f ca="1">IFERROR(__xludf.DUMMYFUNCTION("CONCATENATE(B245,(VLOOKUP(C245,CATALOGOS!$F$2:$H$6,3,FALSE)),(VLOOKUP(V245,CATALOGOS!$J$2:$K$18,2,FALSE)),""-"",TO_TEXT(A245))"),"P12PP-0244")</f>
        <v>P12PP-0244</v>
      </c>
      <c r="H245" s="6" t="str">
        <f ca="1">IFERROR(__xludf.DUMMYFUNCTION("CONCATENATE($B245,(VLOOKUP($C245,CATALOGOS!$F$2:$H$6,3,FALSE)),(VLOOKUP($V245,CATALOGOS!$J$2:$K$18,2,FALSE)),""-"",TO_TEXT($A245))"),"P12PP-0244")</f>
        <v>P12PP-0244</v>
      </c>
      <c r="I245" s="6"/>
      <c r="J245" s="6" t="s">
        <v>1773</v>
      </c>
      <c r="K245" s="6" t="s">
        <v>1774</v>
      </c>
      <c r="L245" s="6" t="s">
        <v>1775</v>
      </c>
      <c r="M245" s="6" t="s">
        <v>1776</v>
      </c>
      <c r="N245" s="17"/>
      <c r="O245" s="17"/>
      <c r="P245" s="17" t="str">
        <f t="shared" si="4"/>
        <v>OK</v>
      </c>
      <c r="Q245" s="17" t="s">
        <v>35</v>
      </c>
      <c r="R245" s="6" t="s">
        <v>35</v>
      </c>
      <c r="S245" s="17" t="s">
        <v>36</v>
      </c>
      <c r="T245" s="17" t="s">
        <v>1777</v>
      </c>
      <c r="U245" s="173" t="s">
        <v>38</v>
      </c>
      <c r="V245" s="11" t="s">
        <v>1548</v>
      </c>
      <c r="W245" s="20" t="s">
        <v>687</v>
      </c>
      <c r="X245" s="22" t="s">
        <v>1672</v>
      </c>
      <c r="Y245" s="22"/>
      <c r="Z245" s="7"/>
      <c r="AA245" s="7"/>
      <c r="AB245" s="23"/>
      <c r="AC245" s="26"/>
    </row>
    <row r="246" spans="1:30" ht="15.75" customHeight="1">
      <c r="A246" s="10" t="s">
        <v>1778</v>
      </c>
      <c r="B246" s="10" t="s">
        <v>1469</v>
      </c>
      <c r="C246" s="60" t="s">
        <v>1470</v>
      </c>
      <c r="D246" s="12"/>
      <c r="E246" s="13" t="s">
        <v>199</v>
      </c>
      <c r="F246" s="6" t="s">
        <v>199</v>
      </c>
      <c r="G246" s="6" t="str">
        <f ca="1">IFERROR(__xludf.DUMMYFUNCTION("CONCATENATE(B246,(VLOOKUP(C246,CATALOGOS!$F$2:$H$6,3,FALSE)),(VLOOKUP(V246,CATALOGOS!$J$2:$K$18,2,FALSE)),""-"",TO_TEXT(A246))"),"P12PP-0245")</f>
        <v>P12PP-0245</v>
      </c>
      <c r="H246" s="6" t="str">
        <f ca="1">IFERROR(__xludf.DUMMYFUNCTION("CONCATENATE($B246,(VLOOKUP($C246,CATALOGOS!$F$2:$H$6,3,FALSE)),(VLOOKUP($V246,CATALOGOS!$J$2:$K$18,2,FALSE)),""-"",TO_TEXT($A246))"),"P12PP-0245")</f>
        <v>P12PP-0245</v>
      </c>
      <c r="I246" s="6"/>
      <c r="J246" s="6" t="s">
        <v>1779</v>
      </c>
      <c r="K246" s="6" t="s">
        <v>1780</v>
      </c>
      <c r="L246" s="6" t="s">
        <v>1781</v>
      </c>
      <c r="M246" s="6" t="s">
        <v>1782</v>
      </c>
      <c r="N246" s="17"/>
      <c r="O246" s="17"/>
      <c r="P246" s="17" t="str">
        <f t="shared" si="4"/>
        <v>OK</v>
      </c>
      <c r="Q246" s="17" t="s">
        <v>273</v>
      </c>
      <c r="R246" s="6" t="s">
        <v>274</v>
      </c>
      <c r="S246" s="17" t="s">
        <v>1783</v>
      </c>
      <c r="T246" s="10" t="s">
        <v>85</v>
      </c>
      <c r="U246" s="173" t="s">
        <v>38</v>
      </c>
      <c r="V246" s="11" t="s">
        <v>1548</v>
      </c>
      <c r="W246" s="20" t="s">
        <v>687</v>
      </c>
      <c r="X246" s="22" t="s">
        <v>1672</v>
      </c>
      <c r="Y246" s="22"/>
      <c r="Z246" s="6"/>
      <c r="AA246" s="6"/>
      <c r="AB246" s="41" t="s">
        <v>275</v>
      </c>
      <c r="AC246" s="42">
        <v>44403</v>
      </c>
      <c r="AD246" s="45" t="s">
        <v>276</v>
      </c>
    </row>
    <row r="247" spans="1:30" ht="15.75" customHeight="1">
      <c r="A247" s="10" t="s">
        <v>1784</v>
      </c>
      <c r="B247" s="10" t="s">
        <v>1469</v>
      </c>
      <c r="C247" s="60" t="s">
        <v>1470</v>
      </c>
      <c r="D247" s="12"/>
      <c r="E247" s="13" t="s">
        <v>151</v>
      </c>
      <c r="F247" s="6" t="s">
        <v>293</v>
      </c>
      <c r="G247" s="6" t="str">
        <f ca="1">IFERROR(__xludf.DUMMYFUNCTION("CONCATENATE(B247,(VLOOKUP(C247,CATALOGOS!$F$2:$H$6,3,FALSE)),(VLOOKUP(V247,CATALOGOS!$J$2:$K$18,2,FALSE)),""-"",TO_TEXT(A247))"),"P12PP-0246")</f>
        <v>P12PP-0246</v>
      </c>
      <c r="H247" s="6" t="str">
        <f ca="1">IFERROR(__xludf.DUMMYFUNCTION("CONCATENATE($B247,(VLOOKUP($C247,CATALOGOS!$F$2:$H$6,3,FALSE)),(VLOOKUP($V247,CATALOGOS!$J$2:$K$18,2,FALSE)),""-"",TO_TEXT($A247))"),"P12PP-0246")</f>
        <v>P12PP-0246</v>
      </c>
      <c r="I247" s="6"/>
      <c r="J247" s="6" t="s">
        <v>1785</v>
      </c>
      <c r="K247" s="6" t="s">
        <v>1786</v>
      </c>
      <c r="L247" s="6" t="s">
        <v>1787</v>
      </c>
      <c r="M247" s="6" t="s">
        <v>1788</v>
      </c>
      <c r="N247" s="17"/>
      <c r="O247" s="17"/>
      <c r="P247" s="17" t="str">
        <f t="shared" si="4"/>
        <v>OK</v>
      </c>
      <c r="Q247" s="17" t="s">
        <v>297</v>
      </c>
      <c r="R247" s="6" t="s">
        <v>298</v>
      </c>
      <c r="S247" s="17" t="s">
        <v>1789</v>
      </c>
      <c r="T247" s="17" t="s">
        <v>85</v>
      </c>
      <c r="U247" s="173" t="s">
        <v>38</v>
      </c>
      <c r="V247" s="11" t="s">
        <v>1548</v>
      </c>
      <c r="W247" s="20" t="s">
        <v>687</v>
      </c>
      <c r="X247" s="22" t="s">
        <v>1672</v>
      </c>
      <c r="Y247" s="22"/>
      <c r="Z247" s="6"/>
      <c r="AA247" s="6"/>
      <c r="AB247" s="41" t="s">
        <v>275</v>
      </c>
      <c r="AC247" s="42">
        <v>44403</v>
      </c>
      <c r="AD247" s="45">
        <v>0</v>
      </c>
    </row>
    <row r="248" spans="1:30" ht="15.75" customHeight="1">
      <c r="A248" s="10" t="s">
        <v>1790</v>
      </c>
      <c r="B248" s="10" t="s">
        <v>1469</v>
      </c>
      <c r="C248" s="60" t="s">
        <v>1470</v>
      </c>
      <c r="D248" s="38"/>
      <c r="E248" s="13" t="s">
        <v>248</v>
      </c>
      <c r="F248" s="43" t="s">
        <v>248</v>
      </c>
      <c r="G248" s="6" t="str">
        <f ca="1">IFERROR(__xludf.DUMMYFUNCTION("CONCATENATE(B248,(VLOOKUP(C248,CATALOGOS!$F$2:$H$6,3,FALSE)),(VLOOKUP(V248,CATALOGOS!$J$2:$K$18,2,FALSE)),""-"",TO_TEXT(A248))"),"P12PP-0247")</f>
        <v>P12PP-0247</v>
      </c>
      <c r="H248" s="6" t="str">
        <f ca="1">IFERROR(__xludf.DUMMYFUNCTION("CONCATENATE($B248,(VLOOKUP($C248,CATALOGOS!$F$2:$H$6,3,FALSE)),(VLOOKUP($V248,CATALOGOS!$J$2:$K$18,2,FALSE)),""-"",TO_TEXT($A248))"),"P12PP-0247")</f>
        <v>P12PP-0247</v>
      </c>
      <c r="I248" s="6"/>
      <c r="J248" s="6" t="s">
        <v>1791</v>
      </c>
      <c r="K248" s="6" t="s">
        <v>1792</v>
      </c>
      <c r="L248" s="6" t="s">
        <v>1793</v>
      </c>
      <c r="M248" s="6" t="s">
        <v>1794</v>
      </c>
      <c r="N248" s="17"/>
      <c r="O248" s="17"/>
      <c r="P248" s="17" t="str">
        <f t="shared" si="4"/>
        <v>OK</v>
      </c>
      <c r="Q248" s="17" t="s">
        <v>978</v>
      </c>
      <c r="R248" s="6" t="s">
        <v>979</v>
      </c>
      <c r="S248" s="46" t="s">
        <v>1795</v>
      </c>
      <c r="T248" s="17" t="s">
        <v>1796</v>
      </c>
      <c r="U248" s="173" t="s">
        <v>38</v>
      </c>
      <c r="V248" s="11" t="s">
        <v>1548</v>
      </c>
      <c r="W248" s="20" t="s">
        <v>1737</v>
      </c>
      <c r="X248" s="20" t="s">
        <v>1737</v>
      </c>
      <c r="Y248" s="20"/>
      <c r="Z248" s="36"/>
      <c r="AA248" s="36"/>
      <c r="AB248" s="26"/>
      <c r="AC248" s="33"/>
    </row>
    <row r="249" spans="1:30" ht="15.75" customHeight="1">
      <c r="A249" s="10" t="s">
        <v>1797</v>
      </c>
      <c r="B249" s="10" t="s">
        <v>1469</v>
      </c>
      <c r="C249" s="60" t="s">
        <v>1470</v>
      </c>
      <c r="D249" s="12"/>
      <c r="E249" s="13" t="s">
        <v>378</v>
      </c>
      <c r="F249" s="6" t="s">
        <v>1450</v>
      </c>
      <c r="G249" s="6" t="str">
        <f ca="1">IFERROR(__xludf.DUMMYFUNCTION("CONCATENATE(B249,(VLOOKUP(C249,CATALOGOS!$F$2:$H$6,3,FALSE)),(VLOOKUP(V249,CATALOGOS!$J$2:$K$18,2,FALSE)),""-"",TO_TEXT(A249))"),"P12PP-0248")</f>
        <v>P12PP-0248</v>
      </c>
      <c r="H249" s="6" t="str">
        <f ca="1">IFERROR(__xludf.DUMMYFUNCTION("CONCATENATE($B249,(VLOOKUP($C249,CATALOGOS!$F$2:$H$6,3,FALSE)),(VLOOKUP($V249,CATALOGOS!$J$2:$K$18,2,FALSE)),""-"",TO_TEXT($A249))"),"P12PP-0248")</f>
        <v>P12PP-0248</v>
      </c>
      <c r="I249" s="6"/>
      <c r="J249" s="6" t="s">
        <v>1798</v>
      </c>
      <c r="K249" s="6" t="s">
        <v>1799</v>
      </c>
      <c r="L249" s="36"/>
      <c r="M249" s="6" t="s">
        <v>1800</v>
      </c>
      <c r="N249" s="17"/>
      <c r="O249" s="17"/>
      <c r="P249" s="17" t="str">
        <f t="shared" si="4"/>
        <v>OK</v>
      </c>
      <c r="Q249" s="35" t="s">
        <v>35</v>
      </c>
      <c r="R249" s="6" t="s">
        <v>35</v>
      </c>
      <c r="S249" s="10" t="s">
        <v>36</v>
      </c>
      <c r="T249" s="32" t="s">
        <v>85</v>
      </c>
      <c r="U249" s="173" t="s">
        <v>38</v>
      </c>
      <c r="V249" s="11" t="s">
        <v>1548</v>
      </c>
      <c r="W249" s="20" t="s">
        <v>1597</v>
      </c>
      <c r="X249" s="20" t="s">
        <v>1597</v>
      </c>
      <c r="Y249" s="20"/>
      <c r="Z249" s="6"/>
      <c r="AA249" s="6"/>
      <c r="AB249" s="23"/>
      <c r="AC249" s="33"/>
    </row>
    <row r="250" spans="1:30" ht="15.75" customHeight="1">
      <c r="A250" s="10" t="s">
        <v>1801</v>
      </c>
      <c r="B250" s="10" t="s">
        <v>1469</v>
      </c>
      <c r="C250" s="60" t="s">
        <v>1470</v>
      </c>
      <c r="D250" s="12"/>
      <c r="E250" s="13" t="s">
        <v>378</v>
      </c>
      <c r="F250" s="6" t="s">
        <v>878</v>
      </c>
      <c r="G250" s="6" t="str">
        <f ca="1">IFERROR(__xludf.DUMMYFUNCTION("CONCATENATE(B250,(VLOOKUP(C250,CATALOGOS!$F$2:$H$6,3,FALSE)),(VLOOKUP(V250,CATALOGOS!$J$2:$K$18,2,FALSE)),""-"",TO_TEXT(A250))"),"P12PP-0249")</f>
        <v>P12PP-0249</v>
      </c>
      <c r="H250" s="6" t="str">
        <f ca="1">IFERROR(__xludf.DUMMYFUNCTION("CONCATENATE($B250,(VLOOKUP($C250,CATALOGOS!$F$2:$H$6,3,FALSE)),(VLOOKUP($V250,CATALOGOS!$J$2:$K$18,2,FALSE)),""-"",TO_TEXT($A250))"),"P12PP-0249")</f>
        <v>P12PP-0249</v>
      </c>
      <c r="I250" s="6"/>
      <c r="J250" s="6" t="s">
        <v>1802</v>
      </c>
      <c r="K250" s="6" t="s">
        <v>1803</v>
      </c>
      <c r="L250" s="6" t="s">
        <v>1804</v>
      </c>
      <c r="M250" s="6" t="s">
        <v>1805</v>
      </c>
      <c r="N250" s="17"/>
      <c r="O250" s="17"/>
      <c r="P250" s="17" t="str">
        <f t="shared" si="4"/>
        <v>OK</v>
      </c>
      <c r="Q250" s="17" t="s">
        <v>35</v>
      </c>
      <c r="R250" s="6" t="s">
        <v>35</v>
      </c>
      <c r="S250" s="17" t="s">
        <v>36</v>
      </c>
      <c r="T250" s="17" t="s">
        <v>1806</v>
      </c>
      <c r="U250" s="173" t="s">
        <v>38</v>
      </c>
      <c r="V250" s="11" t="s">
        <v>1548</v>
      </c>
      <c r="W250" s="20" t="s">
        <v>1737</v>
      </c>
      <c r="X250" s="20" t="s">
        <v>1737</v>
      </c>
      <c r="Y250" s="20"/>
      <c r="Z250" s="7"/>
      <c r="AA250" s="7"/>
      <c r="AB250" s="23"/>
      <c r="AC250" s="26"/>
    </row>
    <row r="251" spans="1:30" ht="15.75" customHeight="1">
      <c r="A251" s="10" t="s">
        <v>1807</v>
      </c>
      <c r="B251" s="10" t="s">
        <v>1469</v>
      </c>
      <c r="C251" s="60" t="s">
        <v>1470</v>
      </c>
      <c r="D251" s="38"/>
      <c r="E251" s="13" t="s">
        <v>378</v>
      </c>
      <c r="F251" s="6" t="s">
        <v>878</v>
      </c>
      <c r="G251" s="6" t="str">
        <f ca="1">IFERROR(__xludf.DUMMYFUNCTION("CONCATENATE(B251,(VLOOKUP(C251,CATALOGOS!$F$2:$H$6,3,FALSE)),(VLOOKUP(V251,CATALOGOS!$J$2:$K$18,2,FALSE)),""-"",TO_TEXT(A251))"),"P12PP-0250")</f>
        <v>P12PP-0250</v>
      </c>
      <c r="H251" s="6" t="str">
        <f ca="1">IFERROR(__xludf.DUMMYFUNCTION("CONCATENATE($B251,(VLOOKUP($C251,CATALOGOS!$F$2:$H$6,3,FALSE)),(VLOOKUP($V251,CATALOGOS!$J$2:$K$18,2,FALSE)),""-"",TO_TEXT($A251))"),"P12PP-0250")</f>
        <v>P12PP-0250</v>
      </c>
      <c r="I251" s="6"/>
      <c r="J251" s="6" t="s">
        <v>1808</v>
      </c>
      <c r="K251" s="6" t="s">
        <v>1809</v>
      </c>
      <c r="L251" s="6" t="s">
        <v>1810</v>
      </c>
      <c r="M251" s="6" t="s">
        <v>1811</v>
      </c>
      <c r="N251" s="17"/>
      <c r="O251" s="17"/>
      <c r="P251" s="17" t="str">
        <f t="shared" si="4"/>
        <v>OK</v>
      </c>
      <c r="Q251" s="17" t="s">
        <v>35</v>
      </c>
      <c r="R251" s="6" t="s">
        <v>35</v>
      </c>
      <c r="S251" s="46" t="s">
        <v>36</v>
      </c>
      <c r="T251" s="17" t="s">
        <v>1812</v>
      </c>
      <c r="U251" s="173" t="s">
        <v>38</v>
      </c>
      <c r="V251" s="11" t="s">
        <v>1548</v>
      </c>
      <c r="W251" s="20" t="s">
        <v>687</v>
      </c>
      <c r="X251" s="32" t="s">
        <v>1672</v>
      </c>
      <c r="Y251" s="32"/>
      <c r="Z251" s="7"/>
      <c r="AA251" s="7"/>
      <c r="AB251" s="26"/>
      <c r="AC251" s="26"/>
    </row>
    <row r="252" spans="1:30" ht="15.75" customHeight="1">
      <c r="A252" s="10" t="s">
        <v>1813</v>
      </c>
      <c r="B252" s="10" t="s">
        <v>1469</v>
      </c>
      <c r="C252" s="60" t="s">
        <v>1470</v>
      </c>
      <c r="D252" s="38"/>
      <c r="E252" s="13" t="s">
        <v>378</v>
      </c>
      <c r="F252" s="6" t="s">
        <v>878</v>
      </c>
      <c r="G252" s="6" t="str">
        <f ca="1">IFERROR(__xludf.DUMMYFUNCTION("CONCATENATE(B252,(VLOOKUP(C252,CATALOGOS!$F$2:$H$6,3,FALSE)),(VLOOKUP(V252,CATALOGOS!$J$2:$K$18,2,FALSE)),""-"",TO_TEXT(A252))"),"P12PP-0251")</f>
        <v>P12PP-0251</v>
      </c>
      <c r="H252" s="6" t="str">
        <f ca="1">IFERROR(__xludf.DUMMYFUNCTION("CONCATENATE($B252,(VLOOKUP($C252,CATALOGOS!$F$2:$H$6,3,FALSE)),(VLOOKUP($V252,CATALOGOS!$J$2:$K$18,2,FALSE)),""-"",TO_TEXT($A252))"),"P12PP-0251")</f>
        <v>P12PP-0251</v>
      </c>
      <c r="I252" s="6"/>
      <c r="J252" s="6" t="s">
        <v>1814</v>
      </c>
      <c r="K252" s="6" t="s">
        <v>1815</v>
      </c>
      <c r="L252" s="6" t="s">
        <v>1816</v>
      </c>
      <c r="M252" s="6" t="s">
        <v>1817</v>
      </c>
      <c r="N252" s="17"/>
      <c r="O252" s="17"/>
      <c r="P252" s="17" t="str">
        <f t="shared" si="4"/>
        <v>OK</v>
      </c>
      <c r="Q252" s="17" t="s">
        <v>35</v>
      </c>
      <c r="R252" s="6" t="s">
        <v>35</v>
      </c>
      <c r="S252" s="46" t="s">
        <v>36</v>
      </c>
      <c r="T252" s="17" t="s">
        <v>1818</v>
      </c>
      <c r="U252" s="173" t="s">
        <v>38</v>
      </c>
      <c r="V252" s="11" t="s">
        <v>1548</v>
      </c>
      <c r="W252" s="20" t="s">
        <v>687</v>
      </c>
      <c r="X252" s="32" t="s">
        <v>1672</v>
      </c>
      <c r="Y252" s="32"/>
      <c r="Z252" s="7"/>
      <c r="AA252" s="7"/>
      <c r="AB252" s="26"/>
      <c r="AC252" s="26"/>
    </row>
    <row r="253" spans="1:30" ht="15.75" customHeight="1">
      <c r="A253" s="10" t="s">
        <v>1819</v>
      </c>
      <c r="B253" s="10" t="s">
        <v>1469</v>
      </c>
      <c r="C253" s="60" t="s">
        <v>1470</v>
      </c>
      <c r="D253" s="12"/>
      <c r="E253" s="13" t="s">
        <v>378</v>
      </c>
      <c r="F253" s="6" t="s">
        <v>878</v>
      </c>
      <c r="G253" s="6" t="str">
        <f ca="1">IFERROR(__xludf.DUMMYFUNCTION("CONCATENATE(B253,(VLOOKUP(C253,CATALOGOS!$F$2:$H$6,3,FALSE)),(VLOOKUP(V253,CATALOGOS!$J$2:$K$18,2,FALSE)),""-"",TO_TEXT(A253))"),"P12PP-0252")</f>
        <v>P12PP-0252</v>
      </c>
      <c r="H253" s="6" t="str">
        <f ca="1">IFERROR(__xludf.DUMMYFUNCTION("CONCATENATE($B253,(VLOOKUP($C253,CATALOGOS!$F$2:$H$6,3,FALSE)),(VLOOKUP($V253,CATALOGOS!$J$2:$K$18,2,FALSE)),""-"",TO_TEXT($A253))"),"P12PP-0252")</f>
        <v>P12PP-0252</v>
      </c>
      <c r="I253" s="6"/>
      <c r="J253" s="6" t="s">
        <v>1820</v>
      </c>
      <c r="K253" s="6" t="s">
        <v>1821</v>
      </c>
      <c r="L253" s="6" t="s">
        <v>1822</v>
      </c>
      <c r="M253" s="43" t="s">
        <v>1823</v>
      </c>
      <c r="N253" s="17"/>
      <c r="O253" s="17"/>
      <c r="P253" s="17" t="str">
        <f t="shared" si="4"/>
        <v>OK</v>
      </c>
      <c r="Q253" s="17" t="s">
        <v>35</v>
      </c>
      <c r="R253" s="6" t="s">
        <v>35</v>
      </c>
      <c r="S253" s="17" t="s">
        <v>36</v>
      </c>
      <c r="T253" s="17" t="s">
        <v>1824</v>
      </c>
      <c r="U253" s="173" t="s">
        <v>38</v>
      </c>
      <c r="V253" s="11" t="s">
        <v>1548</v>
      </c>
      <c r="W253" s="22" t="s">
        <v>1550</v>
      </c>
      <c r="X253" s="22" t="s">
        <v>1550</v>
      </c>
      <c r="Y253" s="22"/>
      <c r="Z253" s="7"/>
      <c r="AA253" s="7"/>
      <c r="AB253" s="23"/>
      <c r="AC253" s="26"/>
    </row>
    <row r="254" spans="1:30" ht="15.75" customHeight="1">
      <c r="A254" s="10" t="s">
        <v>1825</v>
      </c>
      <c r="B254" s="10" t="s">
        <v>1469</v>
      </c>
      <c r="C254" s="60" t="s">
        <v>1470</v>
      </c>
      <c r="D254" s="12"/>
      <c r="E254" s="13" t="s">
        <v>378</v>
      </c>
      <c r="F254" s="6" t="s">
        <v>878</v>
      </c>
      <c r="G254" s="6" t="str">
        <f ca="1">IFERROR(__xludf.DUMMYFUNCTION("CONCATENATE(B254,(VLOOKUP(C254,CATALOGOS!$F$2:$H$6,3,FALSE)),(VLOOKUP(V254,CATALOGOS!$J$2:$K$18,2,FALSE)),""-"",TO_TEXT(A254))"),"P12PP-0253")</f>
        <v>P12PP-0253</v>
      </c>
      <c r="H254" s="6" t="str">
        <f ca="1">IFERROR(__xludf.DUMMYFUNCTION("CONCATENATE($B254,(VLOOKUP($C254,CATALOGOS!$F$2:$H$6,3,FALSE)),(VLOOKUP($V254,CATALOGOS!$J$2:$K$18,2,FALSE)),""-"",TO_TEXT($A254))"),"P12PP-0253")</f>
        <v>P12PP-0253</v>
      </c>
      <c r="I254" s="6"/>
      <c r="J254" s="6" t="s">
        <v>1826</v>
      </c>
      <c r="K254" s="6" t="s">
        <v>1827</v>
      </c>
      <c r="L254" s="6" t="s">
        <v>1828</v>
      </c>
      <c r="M254" s="6" t="s">
        <v>1829</v>
      </c>
      <c r="N254" s="17"/>
      <c r="O254" s="17"/>
      <c r="P254" s="17" t="str">
        <f t="shared" si="4"/>
        <v>OK</v>
      </c>
      <c r="Q254" s="17" t="s">
        <v>35</v>
      </c>
      <c r="R254" s="6" t="s">
        <v>35</v>
      </c>
      <c r="S254" s="17" t="s">
        <v>36</v>
      </c>
      <c r="T254" s="17" t="s">
        <v>1830</v>
      </c>
      <c r="U254" s="173" t="s">
        <v>38</v>
      </c>
      <c r="V254" s="11" t="s">
        <v>1548</v>
      </c>
      <c r="W254" s="22" t="s">
        <v>1550</v>
      </c>
      <c r="X254" s="22" t="s">
        <v>1550</v>
      </c>
      <c r="Y254" s="22"/>
      <c r="Z254" s="7"/>
      <c r="AA254" s="7"/>
      <c r="AB254" s="23"/>
      <c r="AC254" s="26"/>
    </row>
    <row r="255" spans="1:30" ht="15.75" customHeight="1">
      <c r="A255" s="10" t="s">
        <v>1831</v>
      </c>
      <c r="B255" s="10" t="s">
        <v>1469</v>
      </c>
      <c r="C255" s="60" t="s">
        <v>1470</v>
      </c>
      <c r="D255" s="12"/>
      <c r="E255" s="13" t="s">
        <v>93</v>
      </c>
      <c r="F255" s="6" t="s">
        <v>1739</v>
      </c>
      <c r="G255" s="6" t="str">
        <f ca="1">IFERROR(__xludf.DUMMYFUNCTION("CONCATENATE(B255,(VLOOKUP(C255,CATALOGOS!$F$2:$H$6,3,FALSE)),(VLOOKUP(V255,CATALOGOS!$J$2:$K$18,2,FALSE)),""-"",TO_TEXT(A255))"),"P12PP-0254")</f>
        <v>P12PP-0254</v>
      </c>
      <c r="H255" s="6" t="str">
        <f ca="1">IFERROR(__xludf.DUMMYFUNCTION("CONCATENATE($B255,(VLOOKUP($C255,CATALOGOS!$F$2:$H$6,3,FALSE)),(VLOOKUP($V255,CATALOGOS!$J$2:$K$18,2,FALSE)),""-"",TO_TEXT($A255))"),"P12PP-0254")</f>
        <v>P12PP-0254</v>
      </c>
      <c r="I255" s="6"/>
      <c r="J255" s="6" t="s">
        <v>1832</v>
      </c>
      <c r="K255" s="6" t="s">
        <v>1833</v>
      </c>
      <c r="L255" s="6" t="s">
        <v>1834</v>
      </c>
      <c r="M255" s="6" t="s">
        <v>1835</v>
      </c>
      <c r="N255" s="17"/>
      <c r="O255" s="17"/>
      <c r="P255" s="17" t="str">
        <f t="shared" si="4"/>
        <v>OK</v>
      </c>
      <c r="Q255" s="17" t="s">
        <v>35</v>
      </c>
      <c r="R255" s="6" t="s">
        <v>35</v>
      </c>
      <c r="S255" s="17" t="s">
        <v>36</v>
      </c>
      <c r="T255" s="17" t="s">
        <v>1836</v>
      </c>
      <c r="U255" s="173" t="s">
        <v>38</v>
      </c>
      <c r="V255" s="11" t="s">
        <v>1548</v>
      </c>
      <c r="W255" s="22" t="s">
        <v>1550</v>
      </c>
      <c r="X255" s="22" t="s">
        <v>1550</v>
      </c>
      <c r="Y255" s="22"/>
      <c r="Z255" s="6"/>
      <c r="AA255" s="6"/>
      <c r="AB255" s="23"/>
      <c r="AC255" s="24"/>
    </row>
    <row r="256" spans="1:30" ht="15.75" customHeight="1">
      <c r="A256" s="10" t="s">
        <v>1837</v>
      </c>
      <c r="B256" s="10" t="s">
        <v>1469</v>
      </c>
      <c r="C256" s="60" t="s">
        <v>1470</v>
      </c>
      <c r="D256" s="12"/>
      <c r="E256" s="13" t="s">
        <v>116</v>
      </c>
      <c r="F256" s="6" t="s">
        <v>1730</v>
      </c>
      <c r="G256" s="6" t="str">
        <f ca="1">IFERROR(__xludf.DUMMYFUNCTION("CONCATENATE(B256,(VLOOKUP(C256,CATALOGOS!$F$2:$H$6,3,FALSE)),(VLOOKUP(V256,CATALOGOS!$J$2:$K$18,2,FALSE)),""-"",TO_TEXT(A256))"),"P12PP-0255")</f>
        <v>P12PP-0255</v>
      </c>
      <c r="H256" s="6" t="str">
        <f ca="1">IFERROR(__xludf.DUMMYFUNCTION("CONCATENATE($B256,(VLOOKUP($C256,CATALOGOS!$F$2:$H$6,3,FALSE)),(VLOOKUP($V256,CATALOGOS!$J$2:$K$18,2,FALSE)),""-"",TO_TEXT($A256))"),"P12PP-0255")</f>
        <v>P12PP-0255</v>
      </c>
      <c r="I256" s="6"/>
      <c r="J256" s="6" t="s">
        <v>1838</v>
      </c>
      <c r="K256" s="6" t="s">
        <v>1839</v>
      </c>
      <c r="L256" s="6" t="s">
        <v>1840</v>
      </c>
      <c r="M256" s="6" t="s">
        <v>1841</v>
      </c>
      <c r="N256" s="17"/>
      <c r="O256" s="17"/>
      <c r="P256" s="17" t="str">
        <f t="shared" si="4"/>
        <v>OK</v>
      </c>
      <c r="Q256" s="17" t="s">
        <v>35</v>
      </c>
      <c r="R256" s="6" t="s">
        <v>35</v>
      </c>
      <c r="S256" s="17" t="s">
        <v>36</v>
      </c>
      <c r="T256" s="17" t="s">
        <v>1842</v>
      </c>
      <c r="U256" s="173" t="s">
        <v>38</v>
      </c>
      <c r="V256" s="11" t="s">
        <v>1548</v>
      </c>
      <c r="W256" s="22" t="s">
        <v>1550</v>
      </c>
      <c r="X256" s="22" t="s">
        <v>1550</v>
      </c>
      <c r="Y256" s="22"/>
      <c r="Z256" s="7"/>
      <c r="AA256" s="7"/>
      <c r="AB256" s="23"/>
      <c r="AC256" s="26"/>
    </row>
    <row r="257" spans="1:29" ht="15.75" customHeight="1">
      <c r="A257" s="10" t="s">
        <v>1843</v>
      </c>
      <c r="B257" s="10" t="s">
        <v>1469</v>
      </c>
      <c r="C257" s="60" t="s">
        <v>1470</v>
      </c>
      <c r="D257" s="12"/>
      <c r="E257" s="13" t="s">
        <v>93</v>
      </c>
      <c r="F257" s="43" t="s">
        <v>528</v>
      </c>
      <c r="G257" s="6" t="str">
        <f ca="1">IFERROR(__xludf.DUMMYFUNCTION("CONCATENATE(B257,(VLOOKUP(C257,CATALOGOS!$F$2:$H$6,3,FALSE)),(VLOOKUP(V257,CATALOGOS!$J$2:$K$18,2,FALSE)),""-"",TO_TEXT(A257))"),"P12PP-0256")</f>
        <v>P12PP-0256</v>
      </c>
      <c r="H257" s="6" t="str">
        <f ca="1">IFERROR(__xludf.DUMMYFUNCTION("CONCATENATE($B257,(VLOOKUP($C257,CATALOGOS!$F$2:$H$6,3,FALSE)),(VLOOKUP($V257,CATALOGOS!$J$2:$K$18,2,FALSE)),""-"",TO_TEXT($A257))"),"P12PP-0256")</f>
        <v>P12PP-0256</v>
      </c>
      <c r="I257" s="6"/>
      <c r="J257" s="6" t="s">
        <v>1844</v>
      </c>
      <c r="K257" s="6" t="s">
        <v>1845</v>
      </c>
      <c r="L257" s="6" t="s">
        <v>1846</v>
      </c>
      <c r="M257" s="6" t="s">
        <v>1847</v>
      </c>
      <c r="N257" s="17"/>
      <c r="O257" s="17"/>
      <c r="P257" s="17" t="str">
        <f t="shared" si="4"/>
        <v>OK</v>
      </c>
      <c r="Q257" s="17" t="s">
        <v>35</v>
      </c>
      <c r="R257" s="6" t="s">
        <v>35</v>
      </c>
      <c r="S257" s="17" t="s">
        <v>36</v>
      </c>
      <c r="T257" s="17" t="s">
        <v>1848</v>
      </c>
      <c r="U257" s="173" t="s">
        <v>38</v>
      </c>
      <c r="V257" s="11" t="s">
        <v>1548</v>
      </c>
      <c r="W257" s="20" t="s">
        <v>1597</v>
      </c>
      <c r="X257" s="20" t="s">
        <v>1597</v>
      </c>
      <c r="Y257" s="20"/>
      <c r="Z257" s="7"/>
      <c r="AA257" s="7"/>
      <c r="AB257" s="23"/>
      <c r="AC257" s="26"/>
    </row>
    <row r="258" spans="1:29" ht="15.75" customHeight="1">
      <c r="A258" s="10" t="s">
        <v>1849</v>
      </c>
      <c r="B258" s="10" t="s">
        <v>1469</v>
      </c>
      <c r="C258" s="60" t="s">
        <v>1470</v>
      </c>
      <c r="D258" s="12"/>
      <c r="E258" s="13" t="s">
        <v>43</v>
      </c>
      <c r="F258" s="43" t="s">
        <v>1850</v>
      </c>
      <c r="G258" s="6" t="str">
        <f ca="1">IFERROR(__xludf.DUMMYFUNCTION("CONCATENATE(B258,(VLOOKUP(C258,CATALOGOS!$F$2:$H$6,3,FALSE)),(VLOOKUP(V258,CATALOGOS!$J$2:$K$18,2,FALSE)),""-"",TO_TEXT(A258))"),"P12PP-0257")</f>
        <v>P12PP-0257</v>
      </c>
      <c r="H258" s="6" t="str">
        <f ca="1">IFERROR(__xludf.DUMMYFUNCTION("CONCATENATE($B258,(VLOOKUP($C258,CATALOGOS!$F$2:$H$6,3,FALSE)),(VLOOKUP($V258,CATALOGOS!$J$2:$K$18,2,FALSE)),""-"",TO_TEXT($A258))"),"P12PP-0257")</f>
        <v>P12PP-0257</v>
      </c>
      <c r="I258" s="6"/>
      <c r="J258" s="6" t="s">
        <v>1851</v>
      </c>
      <c r="K258" s="6" t="s">
        <v>1852</v>
      </c>
      <c r="L258" s="6" t="s">
        <v>1853</v>
      </c>
      <c r="M258" s="6" t="s">
        <v>1854</v>
      </c>
      <c r="N258" s="17"/>
      <c r="O258" s="17"/>
      <c r="P258" s="17" t="str">
        <f t="shared" si="4"/>
        <v>OK</v>
      </c>
      <c r="Q258" s="17" t="s">
        <v>49</v>
      </c>
      <c r="R258" s="6">
        <v>3352</v>
      </c>
      <c r="S258" s="17" t="s">
        <v>1855</v>
      </c>
      <c r="T258" s="17" t="s">
        <v>1856</v>
      </c>
      <c r="U258" s="173" t="s">
        <v>38</v>
      </c>
      <c r="V258" s="11" t="s">
        <v>1548</v>
      </c>
      <c r="W258" s="22" t="s">
        <v>1550</v>
      </c>
      <c r="X258" s="22" t="s">
        <v>1550</v>
      </c>
      <c r="Y258" s="22"/>
      <c r="Z258" s="7"/>
      <c r="AA258" s="7"/>
      <c r="AB258" s="23"/>
      <c r="AC258" s="26"/>
    </row>
    <row r="259" spans="1:29" ht="15.75" customHeight="1">
      <c r="A259" s="10" t="s">
        <v>1857</v>
      </c>
      <c r="B259" s="10" t="s">
        <v>1469</v>
      </c>
      <c r="C259" s="60" t="s">
        <v>1470</v>
      </c>
      <c r="D259" s="12"/>
      <c r="E259" s="13" t="s">
        <v>353</v>
      </c>
      <c r="F259" s="43" t="s">
        <v>354</v>
      </c>
      <c r="G259" s="6" t="str">
        <f ca="1">IFERROR(__xludf.DUMMYFUNCTION("CONCATENATE(B259,(VLOOKUP(C259,CATALOGOS!$F$2:$H$6,3,FALSE)),(VLOOKUP(V259,CATALOGOS!$J$2:$K$18,2,FALSE)),""-"",TO_TEXT(A259))"),"P12PP-0258")</f>
        <v>P12PP-0258</v>
      </c>
      <c r="H259" s="6" t="str">
        <f ca="1">IFERROR(__xludf.DUMMYFUNCTION("CONCATENATE($B259,(VLOOKUP($C259,CATALOGOS!$F$2:$H$6,3,FALSE)),(VLOOKUP($V259,CATALOGOS!$J$2:$K$18,2,FALSE)),""-"",TO_TEXT($A259))"),"P12PP-0258")</f>
        <v>P12PP-0258</v>
      </c>
      <c r="I259" s="6"/>
      <c r="J259" s="6" t="s">
        <v>1858</v>
      </c>
      <c r="K259" s="6" t="s">
        <v>1859</v>
      </c>
      <c r="L259" s="6" t="s">
        <v>1860</v>
      </c>
      <c r="M259" s="6" t="s">
        <v>1861</v>
      </c>
      <c r="N259" s="17"/>
      <c r="O259" s="17"/>
      <c r="P259" s="17" t="str">
        <f t="shared" si="4"/>
        <v>OK</v>
      </c>
      <c r="Q259" s="17" t="s">
        <v>359</v>
      </c>
      <c r="R259" s="6" t="s">
        <v>360</v>
      </c>
      <c r="S259" s="17" t="s">
        <v>36</v>
      </c>
      <c r="T259" s="17" t="s">
        <v>1862</v>
      </c>
      <c r="U259" s="173" t="s">
        <v>38</v>
      </c>
      <c r="V259" s="11" t="s">
        <v>1548</v>
      </c>
      <c r="W259" s="22" t="s">
        <v>1550</v>
      </c>
      <c r="X259" s="22" t="s">
        <v>1550</v>
      </c>
      <c r="Y259" s="22"/>
      <c r="Z259" s="6"/>
      <c r="AA259" s="6"/>
      <c r="AB259" s="23"/>
      <c r="AC259" s="24"/>
    </row>
    <row r="260" spans="1:29" ht="15.75" customHeight="1">
      <c r="A260" s="10" t="s">
        <v>1863</v>
      </c>
      <c r="B260" s="10" t="s">
        <v>1469</v>
      </c>
      <c r="C260" s="60" t="s">
        <v>1470</v>
      </c>
      <c r="D260" s="12"/>
      <c r="E260" s="13" t="s">
        <v>199</v>
      </c>
      <c r="F260" s="6" t="s">
        <v>199</v>
      </c>
      <c r="G260" s="6" t="str">
        <f ca="1">IFERROR(__xludf.DUMMYFUNCTION("CONCATENATE(B260,(VLOOKUP(C260,CATALOGOS!$F$2:$H$6,3,FALSE)),(VLOOKUP(V260,CATALOGOS!$J$2:$K$18,2,FALSE)),""-"",TO_TEXT(A260))"),"P12PP-0259")</f>
        <v>P12PP-0259</v>
      </c>
      <c r="H260" s="6" t="str">
        <f ca="1">IFERROR(__xludf.DUMMYFUNCTION("CONCATENATE($B260,(VLOOKUP($C260,CATALOGOS!$F$2:$H$6,3,FALSE)),(VLOOKUP($V260,CATALOGOS!$J$2:$K$18,2,FALSE)),""-"",TO_TEXT($A260))"),"P12PP-0259")</f>
        <v>P12PP-0259</v>
      </c>
      <c r="I260" s="6"/>
      <c r="J260" s="6" t="s">
        <v>1864</v>
      </c>
      <c r="K260" s="6" t="s">
        <v>1865</v>
      </c>
      <c r="L260" s="6" t="s">
        <v>1866</v>
      </c>
      <c r="M260" s="6" t="s">
        <v>1867</v>
      </c>
      <c r="N260" s="17"/>
      <c r="O260" s="17"/>
      <c r="P260" s="17" t="str">
        <f t="shared" si="4"/>
        <v>OK</v>
      </c>
      <c r="Q260" s="17" t="s">
        <v>157</v>
      </c>
      <c r="R260" s="6">
        <v>2378</v>
      </c>
      <c r="S260" s="17" t="s">
        <v>1868</v>
      </c>
      <c r="T260" s="17" t="s">
        <v>1869</v>
      </c>
      <c r="U260" s="173" t="s">
        <v>38</v>
      </c>
      <c r="V260" s="11" t="s">
        <v>1548</v>
      </c>
      <c r="W260" s="22" t="s">
        <v>1550</v>
      </c>
      <c r="X260" s="22" t="s">
        <v>1550</v>
      </c>
      <c r="Y260" s="22"/>
      <c r="Z260" s="6"/>
      <c r="AA260" s="6"/>
      <c r="AB260" s="23"/>
      <c r="AC260" s="33"/>
    </row>
    <row r="261" spans="1:29" ht="15.75" customHeight="1">
      <c r="A261" s="10" t="s">
        <v>1870</v>
      </c>
      <c r="B261" s="10" t="s">
        <v>1469</v>
      </c>
      <c r="C261" s="60" t="s">
        <v>1470</v>
      </c>
      <c r="D261" s="12"/>
      <c r="E261" s="13" t="s">
        <v>151</v>
      </c>
      <c r="F261" s="6" t="s">
        <v>152</v>
      </c>
      <c r="G261" s="6" t="str">
        <f ca="1">IFERROR(__xludf.DUMMYFUNCTION("CONCATENATE(B261,(VLOOKUP(C261,CATALOGOS!$F$2:$H$6,3,FALSE)),(VLOOKUP(V261,CATALOGOS!$J$2:$K$18,2,FALSE)),""-"",TO_TEXT(A261))"),"P12PP-0260")</f>
        <v>P12PP-0260</v>
      </c>
      <c r="H261" s="6" t="str">
        <f ca="1">IFERROR(__xludf.DUMMYFUNCTION("CONCATENATE($B261,(VLOOKUP($C261,CATALOGOS!$F$2:$H$6,3,FALSE)),(VLOOKUP($V261,CATALOGOS!$J$2:$K$18,2,FALSE)),""-"",TO_TEXT($A261))"),"P12PP-0260")</f>
        <v>P12PP-0260</v>
      </c>
      <c r="I261" s="6"/>
      <c r="J261" s="6" t="s">
        <v>1871</v>
      </c>
      <c r="K261" s="6" t="s">
        <v>1872</v>
      </c>
      <c r="L261" s="6" t="s">
        <v>1873</v>
      </c>
      <c r="M261" s="6" t="s">
        <v>1874</v>
      </c>
      <c r="N261" s="17"/>
      <c r="O261" s="17"/>
      <c r="P261" s="17" t="str">
        <f t="shared" si="4"/>
        <v>OK</v>
      </c>
      <c r="Q261" s="17" t="s">
        <v>1875</v>
      </c>
      <c r="R261" s="6" t="s">
        <v>1876</v>
      </c>
      <c r="S261" s="17" t="s">
        <v>1877</v>
      </c>
      <c r="T261" s="17" t="s">
        <v>1878</v>
      </c>
      <c r="U261" s="173" t="s">
        <v>38</v>
      </c>
      <c r="V261" s="11" t="s">
        <v>1548</v>
      </c>
      <c r="W261" s="22" t="s">
        <v>1550</v>
      </c>
      <c r="X261" s="22" t="s">
        <v>1550</v>
      </c>
      <c r="Y261" s="22"/>
      <c r="Z261" s="7"/>
      <c r="AA261" s="7"/>
      <c r="AB261" s="23"/>
      <c r="AC261" s="26"/>
    </row>
    <row r="262" spans="1:29" ht="15.75" customHeight="1">
      <c r="A262" s="10" t="s">
        <v>1879</v>
      </c>
      <c r="B262" s="10" t="s">
        <v>1469</v>
      </c>
      <c r="C262" s="60" t="s">
        <v>1470</v>
      </c>
      <c r="D262" s="38"/>
      <c r="E262" s="13" t="s">
        <v>378</v>
      </c>
      <c r="F262" s="43" t="s">
        <v>379</v>
      </c>
      <c r="G262" s="6" t="str">
        <f ca="1">IFERROR(__xludf.DUMMYFUNCTION("CONCATENATE(B262,(VLOOKUP(C262,CATALOGOS!$F$2:$H$6,3,FALSE)),(VLOOKUP(V262,CATALOGOS!$J$2:$K$18,2,FALSE)),""-"",TO_TEXT(A262))"),"P12PP-0261")</f>
        <v>P12PP-0261</v>
      </c>
      <c r="H262" s="6" t="str">
        <f ca="1">IFERROR(__xludf.DUMMYFUNCTION("CONCATENATE($B262,(VLOOKUP($C262,CATALOGOS!$F$2:$H$6,3,FALSE)),(VLOOKUP($V262,CATALOGOS!$J$2:$K$18,2,FALSE)),""-"",TO_TEXT($A262))"),"P12PP-0261")</f>
        <v>P12PP-0261</v>
      </c>
      <c r="I262" s="6"/>
      <c r="J262" s="6" t="s">
        <v>1880</v>
      </c>
      <c r="K262" s="6" t="s">
        <v>1881</v>
      </c>
      <c r="L262" s="6" t="s">
        <v>1882</v>
      </c>
      <c r="M262" s="6" t="s">
        <v>1883</v>
      </c>
      <c r="N262" s="17"/>
      <c r="O262" s="17"/>
      <c r="P262" s="17" t="str">
        <f t="shared" si="4"/>
        <v>OK</v>
      </c>
      <c r="Q262" s="17" t="s">
        <v>35</v>
      </c>
      <c r="R262" s="6" t="s">
        <v>35</v>
      </c>
      <c r="S262" s="46" t="s">
        <v>36</v>
      </c>
      <c r="T262" s="17" t="s">
        <v>1884</v>
      </c>
      <c r="U262" s="173" t="s">
        <v>38</v>
      </c>
      <c r="V262" s="11" t="s">
        <v>1548</v>
      </c>
      <c r="W262" s="32" t="s">
        <v>1550</v>
      </c>
      <c r="X262" s="32" t="s">
        <v>1550</v>
      </c>
      <c r="Y262" s="32"/>
      <c r="Z262" s="7"/>
      <c r="AA262" s="7"/>
      <c r="AB262" s="26"/>
      <c r="AC262" s="26"/>
    </row>
    <row r="263" spans="1:29" ht="15.75" customHeight="1">
      <c r="A263" s="10" t="s">
        <v>1885</v>
      </c>
      <c r="B263" s="10" t="s">
        <v>1469</v>
      </c>
      <c r="C263" s="60" t="s">
        <v>1470</v>
      </c>
      <c r="D263" s="12"/>
      <c r="E263" s="13" t="s">
        <v>378</v>
      </c>
      <c r="F263" s="6" t="s">
        <v>878</v>
      </c>
      <c r="G263" s="6" t="str">
        <f ca="1">IFERROR(__xludf.DUMMYFUNCTION("CONCATENATE(B263,(VLOOKUP(C263,CATALOGOS!$F$2:$H$6,3,FALSE)),(VLOOKUP(V263,CATALOGOS!$J$2:$K$18,2,FALSE)),""-"",TO_TEXT(A263))"),"P12PP-0262")</f>
        <v>P12PP-0262</v>
      </c>
      <c r="H263" s="6" t="str">
        <f ca="1">IFERROR(__xludf.DUMMYFUNCTION("CONCATENATE($B263,(VLOOKUP($C263,CATALOGOS!$F$2:$H$6,3,FALSE)),(VLOOKUP($V263,CATALOGOS!$J$2:$K$18,2,FALSE)),""-"",TO_TEXT($A263))"),"P12PP-0262")</f>
        <v>P12PP-0262</v>
      </c>
      <c r="I263" s="6"/>
      <c r="J263" s="6" t="s">
        <v>1886</v>
      </c>
      <c r="K263" s="6" t="s">
        <v>1887</v>
      </c>
      <c r="L263" s="6" t="s">
        <v>1888</v>
      </c>
      <c r="M263" s="6" t="s">
        <v>1889</v>
      </c>
      <c r="N263" s="17"/>
      <c r="O263" s="17"/>
      <c r="P263" s="17" t="str">
        <f t="shared" si="4"/>
        <v>OK</v>
      </c>
      <c r="Q263" s="17" t="s">
        <v>35</v>
      </c>
      <c r="R263" s="6" t="s">
        <v>35</v>
      </c>
      <c r="S263" s="17" t="s">
        <v>36</v>
      </c>
      <c r="T263" s="17" t="s">
        <v>85</v>
      </c>
      <c r="U263" s="173" t="s">
        <v>38</v>
      </c>
      <c r="V263" s="11" t="s">
        <v>1548</v>
      </c>
      <c r="W263" s="22" t="s">
        <v>1890</v>
      </c>
      <c r="X263" s="22" t="s">
        <v>1890</v>
      </c>
      <c r="Y263" s="22"/>
      <c r="Z263" s="6"/>
      <c r="AA263" s="6"/>
      <c r="AB263" s="23"/>
      <c r="AC263" s="33"/>
    </row>
    <row r="264" spans="1:29" ht="15.75" customHeight="1">
      <c r="A264" s="10" t="s">
        <v>1891</v>
      </c>
      <c r="B264" s="10" t="s">
        <v>1469</v>
      </c>
      <c r="C264" s="60" t="s">
        <v>1470</v>
      </c>
      <c r="D264" s="12"/>
      <c r="E264" s="13" t="s">
        <v>378</v>
      </c>
      <c r="F264" s="6" t="s">
        <v>878</v>
      </c>
      <c r="G264" s="6" t="str">
        <f ca="1">IFERROR(__xludf.DUMMYFUNCTION("CONCATENATE(B264,(VLOOKUP(C264,CATALOGOS!$F$2:$H$6,3,FALSE)),(VLOOKUP(V264,CATALOGOS!$J$2:$K$18,2,FALSE)),""-"",TO_TEXT(A264))"),"P12PP-0263")</f>
        <v>P12PP-0263</v>
      </c>
      <c r="H264" s="6" t="str">
        <f ca="1">IFERROR(__xludf.DUMMYFUNCTION("CONCATENATE($B264,(VLOOKUP($C264,CATALOGOS!$F$2:$H$6,3,FALSE)),(VLOOKUP($V264,CATALOGOS!$J$2:$K$18,2,FALSE)),""-"",TO_TEXT($A264))"),"P12PP-0263")</f>
        <v>P12PP-0263</v>
      </c>
      <c r="I264" s="6"/>
      <c r="J264" s="6" t="s">
        <v>1892</v>
      </c>
      <c r="K264" s="6" t="s">
        <v>1893</v>
      </c>
      <c r="L264" s="6" t="s">
        <v>1894</v>
      </c>
      <c r="M264" s="6" t="s">
        <v>1895</v>
      </c>
      <c r="N264" s="17"/>
      <c r="O264" s="17"/>
      <c r="P264" s="17" t="str">
        <f t="shared" si="4"/>
        <v>OK</v>
      </c>
      <c r="Q264" s="17" t="s">
        <v>35</v>
      </c>
      <c r="R264" s="6" t="s">
        <v>35</v>
      </c>
      <c r="S264" s="17" t="s">
        <v>36</v>
      </c>
      <c r="T264" s="17" t="s">
        <v>85</v>
      </c>
      <c r="U264" s="173" t="s">
        <v>38</v>
      </c>
      <c r="V264" s="11" t="s">
        <v>1548</v>
      </c>
      <c r="W264" s="22" t="s">
        <v>1890</v>
      </c>
      <c r="X264" s="22" t="s">
        <v>1890</v>
      </c>
      <c r="Y264" s="22"/>
      <c r="Z264" s="6"/>
      <c r="AA264" s="6"/>
      <c r="AB264" s="23"/>
      <c r="AC264" s="33"/>
    </row>
    <row r="265" spans="1:29" ht="15.75" customHeight="1">
      <c r="A265" s="10" t="s">
        <v>1896</v>
      </c>
      <c r="B265" s="10" t="s">
        <v>1469</v>
      </c>
      <c r="C265" s="60" t="s">
        <v>1470</v>
      </c>
      <c r="D265" s="12"/>
      <c r="E265" s="13" t="s">
        <v>93</v>
      </c>
      <c r="F265" s="6" t="s">
        <v>1739</v>
      </c>
      <c r="G265" s="6" t="str">
        <f ca="1">IFERROR(__xludf.DUMMYFUNCTION("CONCATENATE(B265,(VLOOKUP(C265,CATALOGOS!$F$2:$H$6,3,FALSE)),(VLOOKUP(V265,CATALOGOS!$J$2:$K$18,2,FALSE)),""-"",TO_TEXT(A265))"),"P12PP-0264")</f>
        <v>P12PP-0264</v>
      </c>
      <c r="H265" s="6" t="str">
        <f ca="1">IFERROR(__xludf.DUMMYFUNCTION("CONCATENATE($B265,(VLOOKUP($C265,CATALOGOS!$F$2:$H$6,3,FALSE)),(VLOOKUP($V265,CATALOGOS!$J$2:$K$18,2,FALSE)),""-"",TO_TEXT($A265))"),"P12PP-0264")</f>
        <v>P12PP-0264</v>
      </c>
      <c r="I265" s="6"/>
      <c r="J265" s="6" t="s">
        <v>1897</v>
      </c>
      <c r="K265" s="6" t="s">
        <v>1898</v>
      </c>
      <c r="L265" s="6" t="s">
        <v>1899</v>
      </c>
      <c r="M265" s="6" t="s">
        <v>1900</v>
      </c>
      <c r="N265" s="17"/>
      <c r="O265" s="17"/>
      <c r="P265" s="17" t="str">
        <f t="shared" si="4"/>
        <v>OK</v>
      </c>
      <c r="Q265" s="17" t="s">
        <v>35</v>
      </c>
      <c r="R265" s="6" t="s">
        <v>35</v>
      </c>
      <c r="S265" s="17" t="s">
        <v>36</v>
      </c>
      <c r="T265" s="17" t="s">
        <v>1901</v>
      </c>
      <c r="U265" s="173" t="s">
        <v>38</v>
      </c>
      <c r="V265" s="11" t="s">
        <v>1548</v>
      </c>
      <c r="W265" s="22" t="s">
        <v>1890</v>
      </c>
      <c r="X265" s="22" t="s">
        <v>1890</v>
      </c>
      <c r="Y265" s="22"/>
      <c r="Z265" s="7"/>
      <c r="AA265" s="7"/>
      <c r="AB265" s="23"/>
      <c r="AC265" s="26"/>
    </row>
    <row r="266" spans="1:29" ht="15.75" customHeight="1">
      <c r="A266" s="10" t="s">
        <v>1902</v>
      </c>
      <c r="B266" s="10" t="s">
        <v>1469</v>
      </c>
      <c r="C266" s="60" t="s">
        <v>1470</v>
      </c>
      <c r="D266" s="12"/>
      <c r="E266" s="13" t="s">
        <v>116</v>
      </c>
      <c r="F266" s="6" t="s">
        <v>1730</v>
      </c>
      <c r="G266" s="6" t="str">
        <f ca="1">IFERROR(__xludf.DUMMYFUNCTION("CONCATENATE(B266,(VLOOKUP(C266,CATALOGOS!$F$2:$H$6,3,FALSE)),(VLOOKUP(V266,CATALOGOS!$J$2:$K$18,2,FALSE)),""-"",TO_TEXT(A266))"),"P12PP-0265")</f>
        <v>P12PP-0265</v>
      </c>
      <c r="H266" s="6" t="str">
        <f ca="1">IFERROR(__xludf.DUMMYFUNCTION("CONCATENATE($B266,(VLOOKUP($C266,CATALOGOS!$F$2:$H$6,3,FALSE)),(VLOOKUP($V266,CATALOGOS!$J$2:$K$18,2,FALSE)),""-"",TO_TEXT($A266))"),"P12PP-0265")</f>
        <v>P12PP-0265</v>
      </c>
      <c r="I266" s="6"/>
      <c r="J266" s="6" t="s">
        <v>1903</v>
      </c>
      <c r="K266" s="6" t="s">
        <v>1904</v>
      </c>
      <c r="L266" s="6" t="s">
        <v>1905</v>
      </c>
      <c r="M266" s="6" t="s">
        <v>1906</v>
      </c>
      <c r="N266" s="17"/>
      <c r="O266" s="17"/>
      <c r="P266" s="17" t="str">
        <f t="shared" si="4"/>
        <v>OK</v>
      </c>
      <c r="Q266" s="17" t="s">
        <v>35</v>
      </c>
      <c r="R266" s="6" t="s">
        <v>35</v>
      </c>
      <c r="S266" s="17" t="s">
        <v>36</v>
      </c>
      <c r="T266" s="17" t="s">
        <v>1907</v>
      </c>
      <c r="U266" s="173" t="s">
        <v>38</v>
      </c>
      <c r="V266" s="11" t="s">
        <v>1548</v>
      </c>
      <c r="W266" s="22" t="s">
        <v>1890</v>
      </c>
      <c r="X266" s="22" t="s">
        <v>1890</v>
      </c>
      <c r="Y266" s="22"/>
      <c r="Z266" s="7"/>
      <c r="AA266" s="7"/>
      <c r="AB266" s="23"/>
      <c r="AC266" s="26"/>
    </row>
    <row r="267" spans="1:29" ht="15.75" customHeight="1">
      <c r="A267" s="10" t="s">
        <v>1908</v>
      </c>
      <c r="B267" s="10" t="s">
        <v>1469</v>
      </c>
      <c r="C267" s="60" t="s">
        <v>1470</v>
      </c>
      <c r="D267" s="12"/>
      <c r="E267" s="13" t="s">
        <v>43</v>
      </c>
      <c r="F267" s="6" t="s">
        <v>885</v>
      </c>
      <c r="G267" s="6" t="str">
        <f ca="1">IFERROR(__xludf.DUMMYFUNCTION("CONCATENATE(B267,(VLOOKUP(C267,CATALOGOS!$F$2:$H$6,3,FALSE)),(VLOOKUP(V267,CATALOGOS!$J$2:$K$18,2,FALSE)),""-"",TO_TEXT(A267))"),"P12PP-0266")</f>
        <v>P12PP-0266</v>
      </c>
      <c r="H267" s="6" t="str">
        <f ca="1">IFERROR(__xludf.DUMMYFUNCTION("CONCATENATE($B267,(VLOOKUP($C267,CATALOGOS!$F$2:$H$6,3,FALSE)),(VLOOKUP($V267,CATALOGOS!$J$2:$K$18,2,FALSE)),""-"",TO_TEXT($A267))"),"P12PP-0266")</f>
        <v>P12PP-0266</v>
      </c>
      <c r="I267" s="6"/>
      <c r="J267" s="6" t="s">
        <v>1909</v>
      </c>
      <c r="K267" s="6" t="s">
        <v>1910</v>
      </c>
      <c r="L267" s="6" t="s">
        <v>1911</v>
      </c>
      <c r="M267" s="6" t="s">
        <v>1912</v>
      </c>
      <c r="N267" s="17"/>
      <c r="O267" s="17"/>
      <c r="P267" s="17" t="str">
        <f t="shared" si="4"/>
        <v>OK</v>
      </c>
      <c r="Q267" s="17" t="s">
        <v>1913</v>
      </c>
      <c r="R267" s="6" t="s">
        <v>1914</v>
      </c>
      <c r="S267" s="17" t="s">
        <v>36</v>
      </c>
      <c r="T267" s="17" t="s">
        <v>1915</v>
      </c>
      <c r="U267" s="173" t="s">
        <v>38</v>
      </c>
      <c r="V267" s="11" t="s">
        <v>1548</v>
      </c>
      <c r="W267" s="22" t="s">
        <v>1890</v>
      </c>
      <c r="X267" s="22" t="s">
        <v>1890</v>
      </c>
      <c r="Y267" s="22"/>
      <c r="Z267" s="7"/>
      <c r="AA267" s="7"/>
      <c r="AB267" s="23"/>
      <c r="AC267" s="26"/>
    </row>
    <row r="268" spans="1:29" ht="15.75" customHeight="1">
      <c r="A268" s="10" t="s">
        <v>1916</v>
      </c>
      <c r="B268" s="10" t="s">
        <v>1469</v>
      </c>
      <c r="C268" s="60" t="s">
        <v>1470</v>
      </c>
      <c r="D268" s="12"/>
      <c r="E268" s="13" t="s">
        <v>162</v>
      </c>
      <c r="F268" s="43" t="s">
        <v>285</v>
      </c>
      <c r="G268" s="6" t="str">
        <f ca="1">IFERROR(__xludf.DUMMYFUNCTION("CONCATENATE(B268,(VLOOKUP(C268,CATALOGOS!$F$2:$H$6,3,FALSE)),(VLOOKUP(V268,CATALOGOS!$J$2:$K$18,2,FALSE)),""-"",TO_TEXT(A268))"),"P12PP-0267")</f>
        <v>P12PP-0267</v>
      </c>
      <c r="H268" s="6" t="str">
        <f ca="1">IFERROR(__xludf.DUMMYFUNCTION("CONCATENATE($B268,(VLOOKUP($C268,CATALOGOS!$F$2:$H$6,3,FALSE)),(VLOOKUP($V268,CATALOGOS!$J$2:$K$18,2,FALSE)),""-"",TO_TEXT($A268))"),"P12PP-0267")</f>
        <v>P12PP-0267</v>
      </c>
      <c r="I268" s="6"/>
      <c r="J268" s="6" t="s">
        <v>1917</v>
      </c>
      <c r="K268" s="6" t="s">
        <v>1918</v>
      </c>
      <c r="L268" s="6" t="s">
        <v>1919</v>
      </c>
      <c r="M268" s="6" t="s">
        <v>1920</v>
      </c>
      <c r="N268" s="17"/>
      <c r="O268" s="17"/>
      <c r="P268" s="17" t="str">
        <f t="shared" si="4"/>
        <v>OK</v>
      </c>
      <c r="Q268" s="17" t="s">
        <v>168</v>
      </c>
      <c r="R268" s="6" t="s">
        <v>169</v>
      </c>
      <c r="S268" s="17" t="s">
        <v>1921</v>
      </c>
      <c r="T268" s="17" t="s">
        <v>1922</v>
      </c>
      <c r="U268" s="173" t="s">
        <v>38</v>
      </c>
      <c r="V268" s="11" t="s">
        <v>1548</v>
      </c>
      <c r="W268" s="22" t="s">
        <v>1890</v>
      </c>
      <c r="X268" s="22" t="s">
        <v>1890</v>
      </c>
      <c r="Y268" s="22"/>
      <c r="Z268" s="7"/>
      <c r="AA268" s="7"/>
      <c r="AB268" s="23"/>
      <c r="AC268" s="26"/>
    </row>
    <row r="269" spans="1:29" ht="15.75" customHeight="1">
      <c r="A269" s="10" t="s">
        <v>1923</v>
      </c>
      <c r="B269" s="10" t="s">
        <v>1469</v>
      </c>
      <c r="C269" s="60" t="s">
        <v>1470</v>
      </c>
      <c r="D269" s="12"/>
      <c r="E269" s="13" t="s">
        <v>151</v>
      </c>
      <c r="F269" s="6" t="s">
        <v>698</v>
      </c>
      <c r="G269" s="6" t="str">
        <f ca="1">IFERROR(__xludf.DUMMYFUNCTION("CONCATENATE(B269,(VLOOKUP(C269,CATALOGOS!$F$2:$H$6,3,FALSE)),(VLOOKUP(V269,CATALOGOS!$J$2:$K$18,2,FALSE)),""-"",TO_TEXT(A269))"),"P12PP-0268")</f>
        <v>P12PP-0268</v>
      </c>
      <c r="H269" s="6" t="str">
        <f ca="1">IFERROR(__xludf.DUMMYFUNCTION("CONCATENATE($B269,(VLOOKUP($C269,CATALOGOS!$F$2:$H$6,3,FALSE)),(VLOOKUP($V269,CATALOGOS!$J$2:$K$18,2,FALSE)),""-"",TO_TEXT($A269))"),"P12PP-0268")</f>
        <v>P12PP-0268</v>
      </c>
      <c r="I269" s="6"/>
      <c r="J269" s="6" t="s">
        <v>1924</v>
      </c>
      <c r="K269" s="6" t="s">
        <v>1925</v>
      </c>
      <c r="L269" s="6" t="s">
        <v>1926</v>
      </c>
      <c r="M269" s="6" t="s">
        <v>1927</v>
      </c>
      <c r="N269" s="17"/>
      <c r="O269" s="17"/>
      <c r="P269" s="17" t="str">
        <f t="shared" si="4"/>
        <v>OK</v>
      </c>
      <c r="Q269" s="17" t="s">
        <v>297</v>
      </c>
      <c r="R269" s="6" t="s">
        <v>1131</v>
      </c>
      <c r="S269" s="17" t="s">
        <v>1928</v>
      </c>
      <c r="T269" s="17" t="s">
        <v>1929</v>
      </c>
      <c r="U269" s="173" t="s">
        <v>38</v>
      </c>
      <c r="V269" s="11" t="s">
        <v>1548</v>
      </c>
      <c r="W269" s="22" t="s">
        <v>1890</v>
      </c>
      <c r="X269" s="22" t="s">
        <v>1890</v>
      </c>
      <c r="Y269" s="22"/>
      <c r="Z269" s="7"/>
      <c r="AA269" s="7"/>
      <c r="AB269" s="23"/>
      <c r="AC269" s="26"/>
    </row>
    <row r="270" spans="1:29" ht="15.75" customHeight="1">
      <c r="A270" s="10" t="s">
        <v>1930</v>
      </c>
      <c r="B270" s="10" t="s">
        <v>1469</v>
      </c>
      <c r="C270" s="60" t="s">
        <v>1470</v>
      </c>
      <c r="D270" s="12"/>
      <c r="E270" s="13" t="s">
        <v>151</v>
      </c>
      <c r="F270" s="6" t="s">
        <v>152</v>
      </c>
      <c r="G270" s="6" t="str">
        <f ca="1">IFERROR(__xludf.DUMMYFUNCTION("CONCATENATE(B270,(VLOOKUP(C270,CATALOGOS!$F$2:$H$6,3,FALSE)),(VLOOKUP(V270,CATALOGOS!$J$2:$K$18,2,FALSE)),""-"",TO_TEXT(A270))"),"P12PP-0269")</f>
        <v>P12PP-0269</v>
      </c>
      <c r="H270" s="6" t="str">
        <f ca="1">IFERROR(__xludf.DUMMYFUNCTION("CONCATENATE($B270,(VLOOKUP($C270,CATALOGOS!$F$2:$H$6,3,FALSE)),(VLOOKUP($V270,CATALOGOS!$J$2:$K$18,2,FALSE)),""-"",TO_TEXT($A270))"),"P12PP-0269")</f>
        <v>P12PP-0269</v>
      </c>
      <c r="I270" s="6"/>
      <c r="J270" s="6" t="s">
        <v>1931</v>
      </c>
      <c r="K270" s="6" t="s">
        <v>1932</v>
      </c>
      <c r="L270" s="6" t="s">
        <v>1933</v>
      </c>
      <c r="M270" s="6" t="s">
        <v>141</v>
      </c>
      <c r="N270" s="17"/>
      <c r="O270" s="17"/>
      <c r="P270" s="17" t="str">
        <f t="shared" si="4"/>
        <v>REPETIDO</v>
      </c>
      <c r="Q270" s="17" t="s">
        <v>1220</v>
      </c>
      <c r="R270" s="6" t="s">
        <v>720</v>
      </c>
      <c r="S270" s="17" t="s">
        <v>1934</v>
      </c>
      <c r="T270" s="17" t="s">
        <v>1935</v>
      </c>
      <c r="U270" s="173" t="s">
        <v>38</v>
      </c>
      <c r="V270" s="11" t="s">
        <v>1548</v>
      </c>
      <c r="W270" s="22" t="s">
        <v>1890</v>
      </c>
      <c r="X270" s="22" t="s">
        <v>1890</v>
      </c>
      <c r="Y270" s="22"/>
      <c r="Z270" s="7"/>
      <c r="AA270" s="7"/>
      <c r="AB270" s="23"/>
      <c r="AC270" s="26"/>
    </row>
    <row r="271" spans="1:29" ht="15.75" customHeight="1">
      <c r="A271" s="10" t="s">
        <v>1936</v>
      </c>
      <c r="B271" s="10" t="s">
        <v>1469</v>
      </c>
      <c r="C271" s="60" t="s">
        <v>1470</v>
      </c>
      <c r="D271" s="12"/>
      <c r="E271" s="13" t="s">
        <v>199</v>
      </c>
      <c r="F271" s="6" t="s">
        <v>199</v>
      </c>
      <c r="G271" s="6" t="str">
        <f ca="1">IFERROR(__xludf.DUMMYFUNCTION("CONCATENATE(B271,(VLOOKUP(C271,CATALOGOS!$F$2:$H$6,3,FALSE)),(VLOOKUP(V271,CATALOGOS!$J$2:$K$18,2,FALSE)),""-"",TO_TEXT(A271))"),"P12PP-0270")</f>
        <v>P12PP-0270</v>
      </c>
      <c r="H271" s="6" t="str">
        <f ca="1">IFERROR(__xludf.DUMMYFUNCTION("CONCATENATE($B271,(VLOOKUP($C271,CATALOGOS!$F$2:$H$6,3,FALSE)),(VLOOKUP($V271,CATALOGOS!$J$2:$K$18,2,FALSE)),""-"",TO_TEXT($A271))"),"P12PP-0270")</f>
        <v>P12PP-0270</v>
      </c>
      <c r="I271" s="6"/>
      <c r="J271" s="6" t="s">
        <v>1937</v>
      </c>
      <c r="K271" s="6" t="s">
        <v>1938</v>
      </c>
      <c r="L271" s="6" t="s">
        <v>1939</v>
      </c>
      <c r="M271" s="6" t="s">
        <v>1940</v>
      </c>
      <c r="N271" s="17"/>
      <c r="O271" s="17"/>
      <c r="P271" s="17" t="str">
        <f t="shared" si="4"/>
        <v>OK</v>
      </c>
      <c r="Q271" s="17" t="s">
        <v>205</v>
      </c>
      <c r="R271" s="6" t="s">
        <v>993</v>
      </c>
      <c r="S271" s="17" t="s">
        <v>1941</v>
      </c>
      <c r="T271" s="17" t="s">
        <v>1942</v>
      </c>
      <c r="U271" s="173" t="s">
        <v>38</v>
      </c>
      <c r="V271" s="11" t="s">
        <v>1548</v>
      </c>
      <c r="W271" s="22" t="s">
        <v>1890</v>
      </c>
      <c r="X271" s="22" t="s">
        <v>1890</v>
      </c>
      <c r="Y271" s="22"/>
      <c r="Z271" s="6"/>
      <c r="AA271" s="6"/>
      <c r="AB271" s="23"/>
      <c r="AC271" s="24"/>
    </row>
    <row r="272" spans="1:29" ht="15.75" customHeight="1">
      <c r="A272" s="10" t="s">
        <v>1943</v>
      </c>
      <c r="B272" s="10" t="s">
        <v>1469</v>
      </c>
      <c r="C272" s="60" t="s">
        <v>1470</v>
      </c>
      <c r="D272" s="12"/>
      <c r="E272" s="13" t="s">
        <v>1240</v>
      </c>
      <c r="F272" s="43" t="s">
        <v>278</v>
      </c>
      <c r="G272" s="6" t="str">
        <f ca="1">IFERROR(__xludf.DUMMYFUNCTION("CONCATENATE(B272,(VLOOKUP(C272,CATALOGOS!$F$2:$H$6,3,FALSE)),(VLOOKUP(V272,CATALOGOS!$J$2:$K$18,2,FALSE)),""-"",TO_TEXT(A272))"),"P12PP-0271")</f>
        <v>P12PP-0271</v>
      </c>
      <c r="H272" s="6" t="str">
        <f ca="1">IFERROR(__xludf.DUMMYFUNCTION("CONCATENATE($B272,(VLOOKUP($C272,CATALOGOS!$F$2:$H$6,3,FALSE)),(VLOOKUP($V272,CATALOGOS!$J$2:$K$18,2,FALSE)),""-"",TO_TEXT($A272))"),"P12PP-0271")</f>
        <v>P12PP-0271</v>
      </c>
      <c r="I272" s="6"/>
      <c r="J272" s="6" t="s">
        <v>1944</v>
      </c>
      <c r="K272" s="6" t="s">
        <v>1945</v>
      </c>
      <c r="L272" s="6" t="s">
        <v>1946</v>
      </c>
      <c r="M272" s="6" t="s">
        <v>1947</v>
      </c>
      <c r="N272" s="17"/>
      <c r="O272" s="17"/>
      <c r="P272" s="17" t="str">
        <f t="shared" si="4"/>
        <v>OK</v>
      </c>
      <c r="Q272" s="17" t="s">
        <v>35</v>
      </c>
      <c r="R272" s="6" t="s">
        <v>35</v>
      </c>
      <c r="S272" s="17" t="s">
        <v>36</v>
      </c>
      <c r="T272" s="17" t="s">
        <v>1948</v>
      </c>
      <c r="U272" s="173" t="s">
        <v>38</v>
      </c>
      <c r="V272" s="11" t="s">
        <v>1548</v>
      </c>
      <c r="W272" s="22" t="s">
        <v>1890</v>
      </c>
      <c r="X272" s="22" t="s">
        <v>1890</v>
      </c>
      <c r="Y272" s="22"/>
      <c r="Z272" s="7"/>
      <c r="AA272" s="7"/>
      <c r="AB272" s="23"/>
      <c r="AC272" s="26"/>
    </row>
    <row r="273" spans="1:29" ht="15.75" customHeight="1">
      <c r="A273" s="10" t="s">
        <v>1949</v>
      </c>
      <c r="B273" s="10" t="s">
        <v>1469</v>
      </c>
      <c r="C273" s="60" t="s">
        <v>1470</v>
      </c>
      <c r="D273" s="12"/>
      <c r="E273" s="13" t="s">
        <v>248</v>
      </c>
      <c r="F273" s="43" t="s">
        <v>249</v>
      </c>
      <c r="G273" s="6" t="str">
        <f ca="1">IFERROR(__xludf.DUMMYFUNCTION("CONCATENATE(B273,(VLOOKUP(C273,CATALOGOS!$F$2:$H$6,3,FALSE)),(VLOOKUP(V273,CATALOGOS!$J$2:$K$18,2,FALSE)),""-"",TO_TEXT(A273))"),"P12PP-0272")</f>
        <v>P12PP-0272</v>
      </c>
      <c r="H273" s="6" t="str">
        <f ca="1">IFERROR(__xludf.DUMMYFUNCTION("CONCATENATE($B273,(VLOOKUP($C273,CATALOGOS!$F$2:$H$6,3,FALSE)),(VLOOKUP($V273,CATALOGOS!$J$2:$K$18,2,FALSE)),""-"",TO_TEXT($A273))"),"P12PP-0272")</f>
        <v>P12PP-0272</v>
      </c>
      <c r="I273" s="6"/>
      <c r="J273" s="6" t="s">
        <v>1950</v>
      </c>
      <c r="K273" s="6" t="s">
        <v>1951</v>
      </c>
      <c r="L273" s="6" t="s">
        <v>1952</v>
      </c>
      <c r="M273" s="6" t="s">
        <v>1953</v>
      </c>
      <c r="N273" s="17"/>
      <c r="O273" s="17"/>
      <c r="P273" s="17" t="str">
        <f t="shared" si="4"/>
        <v>OK</v>
      </c>
      <c r="Q273" s="17" t="s">
        <v>250</v>
      </c>
      <c r="R273" s="6" t="s">
        <v>1954</v>
      </c>
      <c r="S273" s="17" t="s">
        <v>1955</v>
      </c>
      <c r="T273" s="17" t="s">
        <v>1956</v>
      </c>
      <c r="U273" s="173" t="s">
        <v>38</v>
      </c>
      <c r="V273" s="11" t="s">
        <v>1548</v>
      </c>
      <c r="W273" s="22" t="s">
        <v>1890</v>
      </c>
      <c r="X273" s="22" t="s">
        <v>1890</v>
      </c>
      <c r="Y273" s="22"/>
      <c r="Z273" s="7"/>
      <c r="AA273" s="7"/>
      <c r="AB273" s="23"/>
      <c r="AC273" s="26"/>
    </row>
    <row r="274" spans="1:29" ht="15.75" customHeight="1">
      <c r="A274" s="10" t="s">
        <v>1957</v>
      </c>
      <c r="B274" s="10" t="s">
        <v>1469</v>
      </c>
      <c r="C274" s="60" t="s">
        <v>1470</v>
      </c>
      <c r="D274" s="12"/>
      <c r="E274" s="13" t="s">
        <v>378</v>
      </c>
      <c r="F274" s="43" t="s">
        <v>1958</v>
      </c>
      <c r="G274" s="6" t="str">
        <f ca="1">IFERROR(__xludf.DUMMYFUNCTION("CONCATENATE(B274,(VLOOKUP(C274,CATALOGOS!$F$2:$H$6,3,FALSE)),(VLOOKUP(V274,CATALOGOS!$J$2:$K$18,2,FALSE)),""-"",TO_TEXT(A274))"),"P12CT-0273")</f>
        <v>P12CT-0273</v>
      </c>
      <c r="H274" s="6" t="str">
        <f ca="1">IFERROR(__xludf.DUMMYFUNCTION("CONCATENATE($B274,(VLOOKUP($C274,CATALOGOS!$F$2:$H$6,3,FALSE)),(VLOOKUP($V274,CATALOGOS!$J$2:$K$18,2,FALSE)),""-"",TO_TEXT($A274))"),"P12CT-0273")</f>
        <v>P12CT-0273</v>
      </c>
      <c r="I274" s="6"/>
      <c r="J274" s="6" t="s">
        <v>1959</v>
      </c>
      <c r="K274" s="6" t="s">
        <v>1960</v>
      </c>
      <c r="L274" s="6" t="s">
        <v>1961</v>
      </c>
      <c r="M274" s="6" t="s">
        <v>1962</v>
      </c>
      <c r="N274" s="17"/>
      <c r="O274" s="17"/>
      <c r="P274" s="17" t="str">
        <f t="shared" si="4"/>
        <v>OK</v>
      </c>
      <c r="Q274" s="17" t="s">
        <v>35</v>
      </c>
      <c r="R274" s="6" t="s">
        <v>35</v>
      </c>
      <c r="S274" s="17" t="s">
        <v>36</v>
      </c>
      <c r="T274" s="17" t="s">
        <v>1963</v>
      </c>
      <c r="U274" s="173" t="s">
        <v>38</v>
      </c>
      <c r="V274" s="11" t="s">
        <v>2884</v>
      </c>
      <c r="W274" s="20" t="s">
        <v>385</v>
      </c>
      <c r="X274" s="20" t="s">
        <v>385</v>
      </c>
      <c r="Y274" s="20"/>
      <c r="Z274" s="7"/>
      <c r="AA274" s="7"/>
      <c r="AB274" s="23"/>
      <c r="AC274" s="26"/>
    </row>
    <row r="275" spans="1:29" ht="15.75" customHeight="1">
      <c r="A275" s="10" t="s">
        <v>1964</v>
      </c>
      <c r="B275" s="10" t="s">
        <v>1469</v>
      </c>
      <c r="C275" s="60" t="s">
        <v>1470</v>
      </c>
      <c r="D275" s="38"/>
      <c r="E275" s="13" t="s">
        <v>184</v>
      </c>
      <c r="F275" s="43" t="s">
        <v>927</v>
      </c>
      <c r="G275" s="6" t="str">
        <f ca="1">IFERROR(__xludf.DUMMYFUNCTION("CONCATENATE(B275,(VLOOKUP(C275,CATALOGOS!$F$2:$H$6,3,FALSE)),(VLOOKUP(V275,CATALOGOS!$J$2:$K$18,2,FALSE)),""-"",TO_TEXT(A275))"),"P12PP-0274")</f>
        <v>P12PP-0274</v>
      </c>
      <c r="H275" s="6" t="str">
        <f ca="1">IFERROR(__xludf.DUMMYFUNCTION("CONCATENATE($B275,(VLOOKUP($C275,CATALOGOS!$F$2:$H$6,3,FALSE)),(VLOOKUP($V275,CATALOGOS!$J$2:$K$18,2,FALSE)),""-"",TO_TEXT($A275))"),"P12PP-0274")</f>
        <v>P12PP-0274</v>
      </c>
      <c r="I275" s="6"/>
      <c r="J275" s="6" t="s">
        <v>1965</v>
      </c>
      <c r="K275" s="6" t="s">
        <v>1966</v>
      </c>
      <c r="L275" s="6" t="s">
        <v>1967</v>
      </c>
      <c r="M275" s="43" t="s">
        <v>1968</v>
      </c>
      <c r="N275" s="17"/>
      <c r="O275" s="17"/>
      <c r="P275" s="17" t="str">
        <f t="shared" si="4"/>
        <v>OK</v>
      </c>
      <c r="Q275" s="43" t="s">
        <v>35</v>
      </c>
      <c r="R275" s="6" t="s">
        <v>35</v>
      </c>
      <c r="S275" s="46" t="s">
        <v>36</v>
      </c>
      <c r="T275" s="17" t="s">
        <v>1969</v>
      </c>
      <c r="U275" s="173" t="s">
        <v>38</v>
      </c>
      <c r="V275" s="11" t="s">
        <v>1548</v>
      </c>
      <c r="W275" s="20" t="s">
        <v>687</v>
      </c>
      <c r="X275" s="32" t="s">
        <v>1672</v>
      </c>
      <c r="Y275" s="32"/>
      <c r="Z275" s="7"/>
      <c r="AA275" s="7"/>
      <c r="AB275" s="26"/>
      <c r="AC275" s="26"/>
    </row>
    <row r="276" spans="1:29" ht="15.75" customHeight="1">
      <c r="A276" s="10" t="s">
        <v>1970</v>
      </c>
      <c r="B276" s="10" t="s">
        <v>1469</v>
      </c>
      <c r="C276" s="60" t="s">
        <v>1470</v>
      </c>
      <c r="D276" s="12"/>
      <c r="E276" s="13" t="s">
        <v>210</v>
      </c>
      <c r="F276" s="6" t="s">
        <v>210</v>
      </c>
      <c r="G276" s="6" t="str">
        <f ca="1">IFERROR(__xludf.DUMMYFUNCTION("CONCATENATE(B276,(VLOOKUP(C276,CATALOGOS!$F$2:$H$6,3,FALSE)),(VLOOKUP(V276,CATALOGOS!$J$2:$K$18,2,FALSE)),""-"",TO_TEXT(A276))"),"P12PP-0275")</f>
        <v>P12PP-0275</v>
      </c>
      <c r="H276" s="6" t="str">
        <f ca="1">IFERROR(__xludf.DUMMYFUNCTION("CONCATENATE($B276,(VLOOKUP($C276,CATALOGOS!$F$2:$H$6,3,FALSE)),(VLOOKUP($V276,CATALOGOS!$J$2:$K$18,2,FALSE)),""-"",TO_TEXT($A276))"),"P12PP-0275")</f>
        <v>P12PP-0275</v>
      </c>
      <c r="I276" s="6"/>
      <c r="J276" s="6" t="s">
        <v>1971</v>
      </c>
      <c r="K276" s="6" t="s">
        <v>1972</v>
      </c>
      <c r="L276" s="36"/>
      <c r="M276" s="6" t="s">
        <v>1973</v>
      </c>
      <c r="N276" s="17"/>
      <c r="O276" s="17"/>
      <c r="P276" s="17" t="str">
        <f t="shared" si="4"/>
        <v>OK</v>
      </c>
      <c r="Q276" s="17" t="s">
        <v>216</v>
      </c>
      <c r="R276" s="6" t="s">
        <v>1974</v>
      </c>
      <c r="S276" s="6" t="s">
        <v>36</v>
      </c>
      <c r="T276" s="10" t="s">
        <v>1975</v>
      </c>
      <c r="U276" s="173" t="s">
        <v>38</v>
      </c>
      <c r="V276" s="11" t="s">
        <v>1548</v>
      </c>
      <c r="W276" s="20" t="s">
        <v>1597</v>
      </c>
      <c r="X276" s="20" t="s">
        <v>1597</v>
      </c>
      <c r="Y276" s="20"/>
      <c r="Z276" s="7"/>
      <c r="AA276" s="7"/>
      <c r="AB276" s="23"/>
      <c r="AC276" s="26"/>
    </row>
    <row r="277" spans="1:29" ht="15.75" customHeight="1">
      <c r="A277" s="10" t="s">
        <v>1976</v>
      </c>
      <c r="B277" s="10" t="s">
        <v>27</v>
      </c>
      <c r="C277" s="60" t="s">
        <v>1470</v>
      </c>
      <c r="D277" s="12"/>
      <c r="E277" s="13" t="s">
        <v>501</v>
      </c>
      <c r="F277" s="6" t="s">
        <v>1977</v>
      </c>
      <c r="G277" s="15" t="str">
        <f ca="1">IFERROR(__xludf.DUMMYFUNCTION("CONCATENATE(B277,(VLOOKUP(C277,CATALOGOS!$F$2:$H$6,3,FALSE)),(VLOOKUP(V277,CATALOGOS!$J$2:$K$18,2,FALSE)),""-"",TO_TEXT(A277))"),"P02PP-0276")</f>
        <v>P02PP-0276</v>
      </c>
      <c r="H277" s="6" t="str">
        <f ca="1">IFERROR(__xludf.DUMMYFUNCTION("CONCATENATE($B277,(VLOOKUP($C277,CATALOGOS!$F$2:$H$6,3,FALSE)),(VLOOKUP($V277,CATALOGOS!$J$2:$K$18,2,FALSE)),""-"",TO_TEXT($A277))"),"P02PP-0276")</f>
        <v>P02PP-0276</v>
      </c>
      <c r="I277" s="6"/>
      <c r="J277" s="6" t="s">
        <v>1978</v>
      </c>
      <c r="K277" s="6" t="s">
        <v>1979</v>
      </c>
      <c r="L277" s="6" t="s">
        <v>1980</v>
      </c>
      <c r="M277" s="6" t="s">
        <v>1981</v>
      </c>
      <c r="N277" s="17"/>
      <c r="O277" s="17"/>
      <c r="P277" s="17" t="str">
        <f t="shared" si="4"/>
        <v>OK</v>
      </c>
      <c r="Q277" s="17" t="s">
        <v>35</v>
      </c>
      <c r="R277" s="6" t="s">
        <v>35</v>
      </c>
      <c r="S277" s="17" t="s">
        <v>36</v>
      </c>
      <c r="T277" s="182" t="s">
        <v>1982</v>
      </c>
      <c r="U277" s="173" t="s">
        <v>38</v>
      </c>
      <c r="V277" s="11" t="s">
        <v>1548</v>
      </c>
      <c r="W277" s="22" t="s">
        <v>1983</v>
      </c>
      <c r="X277" s="22" t="s">
        <v>1983</v>
      </c>
      <c r="Y277" s="22"/>
      <c r="Z277" s="7"/>
      <c r="AA277" s="7"/>
      <c r="AB277" s="23"/>
      <c r="AC277" s="26"/>
    </row>
    <row r="278" spans="1:29" ht="15.75" customHeight="1">
      <c r="A278" s="10" t="s">
        <v>1984</v>
      </c>
      <c r="B278" s="10" t="s">
        <v>27</v>
      </c>
      <c r="C278" s="60" t="s">
        <v>1470</v>
      </c>
      <c r="D278" s="12"/>
      <c r="E278" s="13" t="s">
        <v>43</v>
      </c>
      <c r="F278" s="6" t="s">
        <v>1688</v>
      </c>
      <c r="G278" s="15" t="str">
        <f ca="1">IFERROR(__xludf.DUMMYFUNCTION("CONCATENATE(B278,(VLOOKUP(C278,CATALOGOS!$F$2:$H$6,3,FALSE)),(VLOOKUP(V278,CATALOGOS!$J$2:$K$18,2,FALSE)),""-"",TO_TEXT(A278))"),"P02PP-0277")</f>
        <v>P02PP-0277</v>
      </c>
      <c r="H278" s="6" t="str">
        <f ca="1">IFERROR(__xludf.DUMMYFUNCTION("CONCATENATE($B278,(VLOOKUP($C278,CATALOGOS!$F$2:$H$6,3,FALSE)),(VLOOKUP($V278,CATALOGOS!$J$2:$K$18,2,FALSE)),""-"",TO_TEXT($A278))"),"P02PP-0277")</f>
        <v>P02PP-0277</v>
      </c>
      <c r="I278" s="6"/>
      <c r="J278" s="6" t="s">
        <v>1985</v>
      </c>
      <c r="K278" s="6" t="s">
        <v>1986</v>
      </c>
      <c r="L278" s="6" t="s">
        <v>1987</v>
      </c>
      <c r="M278" s="6" t="s">
        <v>1988</v>
      </c>
      <c r="N278" s="17"/>
      <c r="O278" s="17"/>
      <c r="P278" s="17" t="str">
        <f t="shared" si="4"/>
        <v>OK</v>
      </c>
      <c r="Q278" s="17" t="s">
        <v>49</v>
      </c>
      <c r="R278" s="6" t="s">
        <v>1989</v>
      </c>
      <c r="S278" s="17" t="s">
        <v>36</v>
      </c>
      <c r="T278" s="138" t="s">
        <v>1990</v>
      </c>
      <c r="U278" s="179" t="s">
        <v>100</v>
      </c>
      <c r="V278" s="11" t="s">
        <v>1548</v>
      </c>
      <c r="W278" s="22" t="s">
        <v>1983</v>
      </c>
      <c r="X278" s="22" t="s">
        <v>1983</v>
      </c>
      <c r="Y278" s="22"/>
      <c r="Z278" s="7"/>
      <c r="AA278" s="7"/>
      <c r="AB278" s="23"/>
      <c r="AC278" s="26"/>
    </row>
    <row r="279" spans="1:29" ht="15.75" customHeight="1">
      <c r="A279" s="10" t="s">
        <v>1991</v>
      </c>
      <c r="B279" s="10" t="s">
        <v>27</v>
      </c>
      <c r="C279" s="60" t="s">
        <v>1470</v>
      </c>
      <c r="D279" s="12"/>
      <c r="E279" s="13" t="s">
        <v>184</v>
      </c>
      <c r="F279" s="6" t="s">
        <v>1992</v>
      </c>
      <c r="G279" s="15" t="str">
        <f ca="1">IFERROR(__xludf.DUMMYFUNCTION("CONCATENATE(B279,(VLOOKUP(C279,CATALOGOS!$F$2:$H$6,3,FALSE)),(VLOOKUP(V279,CATALOGOS!$J$2:$K$18,2,FALSE)),""-"",TO_TEXT(A279))"),"P02PP-0278")</f>
        <v>P02PP-0278</v>
      </c>
      <c r="H279" s="6" t="str">
        <f ca="1">IFERROR(__xludf.DUMMYFUNCTION("CONCATENATE($B279,(VLOOKUP($C279,CATALOGOS!$F$2:$H$6,3,FALSE)),(VLOOKUP($V279,CATALOGOS!$J$2:$K$18,2,FALSE)),""-"",TO_TEXT($A279))"),"P02PP-0278")</f>
        <v>P02PP-0278</v>
      </c>
      <c r="I279" s="6"/>
      <c r="J279" s="6" t="s">
        <v>1993</v>
      </c>
      <c r="K279" s="6" t="s">
        <v>1994</v>
      </c>
      <c r="L279" s="6" t="s">
        <v>1995</v>
      </c>
      <c r="M279" s="43" t="s">
        <v>1996</v>
      </c>
      <c r="N279" s="17"/>
      <c r="O279" s="17"/>
      <c r="P279" s="17" t="str">
        <f t="shared" si="4"/>
        <v>OK</v>
      </c>
      <c r="Q279" s="17" t="s">
        <v>35</v>
      </c>
      <c r="R279" s="6" t="s">
        <v>35</v>
      </c>
      <c r="S279" s="17" t="s">
        <v>36</v>
      </c>
      <c r="T279" s="182" t="s">
        <v>1997</v>
      </c>
      <c r="U279" s="173" t="s">
        <v>38</v>
      </c>
      <c r="V279" s="11" t="s">
        <v>1548</v>
      </c>
      <c r="W279" s="22" t="s">
        <v>1983</v>
      </c>
      <c r="X279" s="22" t="s">
        <v>1983</v>
      </c>
      <c r="Y279" s="22"/>
      <c r="Z279" s="7"/>
      <c r="AA279" s="7"/>
      <c r="AB279" s="23"/>
      <c r="AC279" s="26"/>
    </row>
    <row r="280" spans="1:29" ht="15.75" customHeight="1">
      <c r="A280" s="10" t="s">
        <v>1998</v>
      </c>
      <c r="B280" s="10" t="s">
        <v>27</v>
      </c>
      <c r="C280" s="60" t="s">
        <v>1470</v>
      </c>
      <c r="D280" s="12"/>
      <c r="E280" s="13" t="s">
        <v>116</v>
      </c>
      <c r="F280" s="6" t="s">
        <v>599</v>
      </c>
      <c r="G280" s="15" t="str">
        <f ca="1">IFERROR(__xludf.DUMMYFUNCTION("CONCATENATE(B280,(VLOOKUP(C280,CATALOGOS!$F$2:$H$6,3,FALSE)),(VLOOKUP(V280,CATALOGOS!$J$2:$K$18,2,FALSE)),""-"",TO_TEXT(A280))"),"P02PP-0279")</f>
        <v>P02PP-0279</v>
      </c>
      <c r="H280" s="6" t="str">
        <f ca="1">IFERROR(__xludf.DUMMYFUNCTION("CONCATENATE($B280,(VLOOKUP($C280,CATALOGOS!$F$2:$H$6,3,FALSE)),(VLOOKUP($V280,CATALOGOS!$J$2:$K$18,2,FALSE)),""-"",TO_TEXT($A280))"),"P02PP-0279")</f>
        <v>P02PP-0279</v>
      </c>
      <c r="I280" s="6"/>
      <c r="J280" s="6" t="s">
        <v>1999</v>
      </c>
      <c r="K280" s="6" t="s">
        <v>2000</v>
      </c>
      <c r="L280" s="6" t="s">
        <v>2001</v>
      </c>
      <c r="M280" s="6" t="s">
        <v>2002</v>
      </c>
      <c r="N280" s="17"/>
      <c r="O280" s="17"/>
      <c r="P280" s="17" t="str">
        <f t="shared" si="4"/>
        <v>OK</v>
      </c>
      <c r="Q280" s="17" t="s">
        <v>35</v>
      </c>
      <c r="R280" s="6" t="s">
        <v>35</v>
      </c>
      <c r="S280" s="17" t="s">
        <v>36</v>
      </c>
      <c r="T280" s="182" t="s">
        <v>2003</v>
      </c>
      <c r="U280" s="173" t="s">
        <v>38</v>
      </c>
      <c r="V280" s="11" t="s">
        <v>1548</v>
      </c>
      <c r="W280" s="22" t="s">
        <v>1983</v>
      </c>
      <c r="X280" s="22" t="s">
        <v>1983</v>
      </c>
      <c r="Y280" s="22"/>
      <c r="Z280" s="7"/>
      <c r="AA280" s="7"/>
      <c r="AB280" s="23"/>
      <c r="AC280" s="26"/>
    </row>
    <row r="281" spans="1:29" ht="15.75" customHeight="1">
      <c r="A281" s="10" t="s">
        <v>2004</v>
      </c>
      <c r="B281" s="10" t="s">
        <v>27</v>
      </c>
      <c r="C281" s="60" t="s">
        <v>1470</v>
      </c>
      <c r="D281" s="12"/>
      <c r="E281" s="13" t="s">
        <v>199</v>
      </c>
      <c r="F281" s="6" t="s">
        <v>199</v>
      </c>
      <c r="G281" s="15" t="str">
        <f ca="1">IFERROR(__xludf.DUMMYFUNCTION("CONCATENATE(B281,(VLOOKUP(C281,CATALOGOS!$F$2:$H$6,3,FALSE)),(VLOOKUP(V281,CATALOGOS!$J$2:$K$18,2,FALSE)),""-"",TO_TEXT(A281))"),"P02PP-0280")</f>
        <v>P02PP-0280</v>
      </c>
      <c r="H281" s="6" t="str">
        <f ca="1">IFERROR(__xludf.DUMMYFUNCTION("CONCATENATE($B281,(VLOOKUP($C281,CATALOGOS!$F$2:$H$6,3,FALSE)),(VLOOKUP($V281,CATALOGOS!$J$2:$K$18,2,FALSE)),""-"",TO_TEXT($A281))"),"P02PP-0280")</f>
        <v>P02PP-0280</v>
      </c>
      <c r="I281" s="6"/>
      <c r="J281" s="6" t="s">
        <v>2005</v>
      </c>
      <c r="K281" s="6" t="s">
        <v>2006</v>
      </c>
      <c r="L281" s="6" t="s">
        <v>2007</v>
      </c>
      <c r="M281" s="6" t="s">
        <v>2008</v>
      </c>
      <c r="N281" s="17"/>
      <c r="O281" s="17"/>
      <c r="P281" s="17" t="str">
        <f t="shared" si="4"/>
        <v>OK</v>
      </c>
      <c r="Q281" s="17" t="s">
        <v>297</v>
      </c>
      <c r="R281" s="6" t="s">
        <v>2009</v>
      </c>
      <c r="S281" s="17" t="s">
        <v>2010</v>
      </c>
      <c r="T281" s="182" t="s">
        <v>2011</v>
      </c>
      <c r="U281" s="179" t="s">
        <v>517</v>
      </c>
      <c r="V281" s="11" t="s">
        <v>1548</v>
      </c>
      <c r="W281" s="22" t="s">
        <v>1983</v>
      </c>
      <c r="X281" s="22" t="s">
        <v>1983</v>
      </c>
      <c r="Y281" s="22"/>
      <c r="Z281" s="7"/>
      <c r="AA281" s="7"/>
      <c r="AB281" s="23"/>
      <c r="AC281" s="26"/>
    </row>
    <row r="282" spans="1:29" ht="15.75" customHeight="1">
      <c r="A282" s="10" t="s">
        <v>2012</v>
      </c>
      <c r="B282" s="10" t="s">
        <v>27</v>
      </c>
      <c r="C282" s="60" t="s">
        <v>1470</v>
      </c>
      <c r="D282" s="12"/>
      <c r="E282" s="13" t="s">
        <v>151</v>
      </c>
      <c r="F282" s="6" t="s">
        <v>152</v>
      </c>
      <c r="G282" s="15" t="str">
        <f ca="1">IFERROR(__xludf.DUMMYFUNCTION("CONCATENATE(B282,(VLOOKUP(C282,CATALOGOS!$F$2:$H$6,3,FALSE)),(VLOOKUP(V282,CATALOGOS!$J$2:$K$18,2,FALSE)),""-"",TO_TEXT(A282))"),"P02PP-0281")</f>
        <v>P02PP-0281</v>
      </c>
      <c r="H282" s="6" t="str">
        <f ca="1">IFERROR(__xludf.DUMMYFUNCTION("CONCATENATE($B282,(VLOOKUP($C282,CATALOGOS!$F$2:$H$6,3,FALSE)),(VLOOKUP($V282,CATALOGOS!$J$2:$K$18,2,FALSE)),""-"",TO_TEXT($A282))"),"P02PP-0281")</f>
        <v>P02PP-0281</v>
      </c>
      <c r="I282" s="6"/>
      <c r="J282" s="6" t="s">
        <v>2013</v>
      </c>
      <c r="K282" s="6" t="s">
        <v>2014</v>
      </c>
      <c r="L282" s="6" t="s">
        <v>2015</v>
      </c>
      <c r="M282" s="6" t="s">
        <v>2016</v>
      </c>
      <c r="N282" s="17"/>
      <c r="O282" s="17"/>
      <c r="P282" s="17" t="str">
        <f t="shared" si="4"/>
        <v>OK</v>
      </c>
      <c r="Q282" s="17" t="s">
        <v>1220</v>
      </c>
      <c r="R282" s="6" t="s">
        <v>720</v>
      </c>
      <c r="S282" s="17" t="s">
        <v>2017</v>
      </c>
      <c r="T282" s="182" t="s">
        <v>2018</v>
      </c>
      <c r="U282" s="173" t="s">
        <v>38</v>
      </c>
      <c r="V282" s="11" t="s">
        <v>1548</v>
      </c>
      <c r="W282" s="22" t="s">
        <v>1983</v>
      </c>
      <c r="X282" s="22" t="s">
        <v>1983</v>
      </c>
      <c r="Y282" s="22"/>
      <c r="Z282" s="7"/>
      <c r="AA282" s="7"/>
      <c r="AB282" s="23"/>
      <c r="AC282" s="26"/>
    </row>
    <row r="283" spans="1:29" ht="15.75" customHeight="1">
      <c r="A283" s="10" t="s">
        <v>2019</v>
      </c>
      <c r="B283" s="10" t="s">
        <v>27</v>
      </c>
      <c r="C283" s="60" t="s">
        <v>1470</v>
      </c>
      <c r="D283" s="12"/>
      <c r="E283" s="13" t="s">
        <v>248</v>
      </c>
      <c r="F283" s="6" t="s">
        <v>248</v>
      </c>
      <c r="G283" s="15" t="str">
        <f ca="1">IFERROR(__xludf.DUMMYFUNCTION("CONCATENATE(B283,(VLOOKUP(C283,CATALOGOS!$F$2:$H$6,3,FALSE)),(VLOOKUP(V283,CATALOGOS!$J$2:$K$18,2,FALSE)),""-"",TO_TEXT(A283))"),"P02PP-0282")</f>
        <v>P02PP-0282</v>
      </c>
      <c r="H283" s="6" t="str">
        <f ca="1">IFERROR(__xludf.DUMMYFUNCTION("CONCATENATE($B283,(VLOOKUP($C283,CATALOGOS!$F$2:$H$6,3,FALSE)),(VLOOKUP($V283,CATALOGOS!$J$2:$K$18,2,FALSE)),""-"",TO_TEXT($A283))"),"P02PP-0282")</f>
        <v>P02PP-0282</v>
      </c>
      <c r="I283" s="6"/>
      <c r="J283" s="6" t="s">
        <v>2020</v>
      </c>
      <c r="K283" s="6" t="s">
        <v>2021</v>
      </c>
      <c r="L283" s="36"/>
      <c r="M283" s="6" t="s">
        <v>141</v>
      </c>
      <c r="N283" s="17"/>
      <c r="O283" s="17"/>
      <c r="P283" s="17" t="str">
        <f t="shared" si="4"/>
        <v>REPETIDO</v>
      </c>
      <c r="Q283" s="17" t="s">
        <v>2022</v>
      </c>
      <c r="R283" s="6" t="s">
        <v>35</v>
      </c>
      <c r="S283" s="6" t="s">
        <v>2023</v>
      </c>
      <c r="T283" s="32" t="s">
        <v>2024</v>
      </c>
      <c r="U283" s="179" t="s">
        <v>100</v>
      </c>
      <c r="V283" s="11" t="s">
        <v>1548</v>
      </c>
      <c r="W283" s="22" t="s">
        <v>1983</v>
      </c>
      <c r="X283" s="22" t="s">
        <v>1983</v>
      </c>
      <c r="Y283" s="22"/>
      <c r="Z283" s="6"/>
      <c r="AA283" s="6"/>
      <c r="AB283" s="23"/>
      <c r="AC283" s="33"/>
    </row>
    <row r="284" spans="1:29" ht="15.75" customHeight="1">
      <c r="A284" s="10" t="s">
        <v>2025</v>
      </c>
      <c r="B284" s="10" t="s">
        <v>27</v>
      </c>
      <c r="C284" s="60" t="s">
        <v>1470</v>
      </c>
      <c r="D284" s="12"/>
      <c r="E284" s="13" t="s">
        <v>53</v>
      </c>
      <c r="F284" s="6" t="s">
        <v>2026</v>
      </c>
      <c r="G284" s="15" t="str">
        <f ca="1">IFERROR(__xludf.DUMMYFUNCTION("CONCATENATE(B284,(VLOOKUP(C284,CATALOGOS!$F$2:$H$6,3,FALSE)),(VLOOKUP(V284,CATALOGOS!$J$2:$K$18,2,FALSE)),""-"",TO_TEXT(A284))"),"P02PP-0283")</f>
        <v>P02PP-0283</v>
      </c>
      <c r="H284" s="6" t="str">
        <f ca="1">IFERROR(__xludf.DUMMYFUNCTION("CONCATENATE($B284,(VLOOKUP($C284,CATALOGOS!$F$2:$H$6,3,FALSE)),(VLOOKUP($V284,CATALOGOS!$J$2:$K$18,2,FALSE)),""-"",TO_TEXT($A284))"),"P02PP-0283")</f>
        <v>P02PP-0283</v>
      </c>
      <c r="I284" s="6"/>
      <c r="J284" s="6" t="s">
        <v>2027</v>
      </c>
      <c r="K284" s="6" t="s">
        <v>2028</v>
      </c>
      <c r="L284" s="36"/>
      <c r="M284" s="6" t="s">
        <v>141</v>
      </c>
      <c r="N284" s="17"/>
      <c r="O284" s="17"/>
      <c r="P284" s="17" t="str">
        <f t="shared" si="4"/>
        <v>REPETIDO</v>
      </c>
      <c r="Q284" s="17" t="s">
        <v>35</v>
      </c>
      <c r="R284" s="6" t="s">
        <v>35</v>
      </c>
      <c r="S284" s="6" t="s">
        <v>36</v>
      </c>
      <c r="T284" s="10" t="s">
        <v>85</v>
      </c>
      <c r="U284" s="173" t="s">
        <v>38</v>
      </c>
      <c r="V284" s="11" t="s">
        <v>1548</v>
      </c>
      <c r="W284" s="22" t="s">
        <v>1983</v>
      </c>
      <c r="X284" s="22" t="s">
        <v>1983</v>
      </c>
      <c r="Y284" s="22"/>
      <c r="Z284" s="6"/>
      <c r="AA284" s="6"/>
      <c r="AB284" s="23"/>
      <c r="AC284" s="33"/>
    </row>
    <row r="285" spans="1:29" ht="15.75" customHeight="1">
      <c r="A285" s="10" t="s">
        <v>2029</v>
      </c>
      <c r="B285" s="10" t="s">
        <v>27</v>
      </c>
      <c r="C285" s="60" t="s">
        <v>1470</v>
      </c>
      <c r="D285" s="12"/>
      <c r="E285" s="13" t="s">
        <v>2030</v>
      </c>
      <c r="F285" s="6" t="s">
        <v>2030</v>
      </c>
      <c r="G285" s="15" t="str">
        <f ca="1">IFERROR(__xludf.DUMMYFUNCTION("CONCATENATE(B285,(VLOOKUP(C285,CATALOGOS!$F$2:$H$6,3,FALSE)),(VLOOKUP(V285,CATALOGOS!$J$2:$K$18,2,FALSE)),""-"",TO_TEXT(A285))"),"P02PP-0284")</f>
        <v>P02PP-0284</v>
      </c>
      <c r="H285" s="6" t="str">
        <f ca="1">IFERROR(__xludf.DUMMYFUNCTION("CONCATENATE($B285,(VLOOKUP($C285,CATALOGOS!$F$2:$H$6,3,FALSE)),(VLOOKUP($V285,CATALOGOS!$J$2:$K$18,2,FALSE)),""-"",TO_TEXT($A285))"),"P02PP-0284")</f>
        <v>P02PP-0284</v>
      </c>
      <c r="I285" s="6"/>
      <c r="J285" s="6" t="s">
        <v>2031</v>
      </c>
      <c r="K285" s="6" t="s">
        <v>2032</v>
      </c>
      <c r="L285" s="36"/>
      <c r="M285" s="6" t="s">
        <v>141</v>
      </c>
      <c r="N285" s="17"/>
      <c r="O285" s="17"/>
      <c r="P285" s="17" t="str">
        <f t="shared" si="4"/>
        <v>REPETIDO</v>
      </c>
      <c r="Q285" s="17" t="s">
        <v>2033</v>
      </c>
      <c r="R285" s="6" t="s">
        <v>2034</v>
      </c>
      <c r="S285" s="6" t="s">
        <v>36</v>
      </c>
      <c r="T285" s="10" t="s">
        <v>85</v>
      </c>
      <c r="U285" s="173" t="s">
        <v>38</v>
      </c>
      <c r="V285" s="11" t="s">
        <v>1548</v>
      </c>
      <c r="W285" s="22" t="s">
        <v>1983</v>
      </c>
      <c r="X285" s="22" t="s">
        <v>1983</v>
      </c>
      <c r="Y285" s="22"/>
      <c r="Z285" s="6"/>
      <c r="AA285" s="6"/>
      <c r="AB285" s="23"/>
      <c r="AC285" s="33"/>
    </row>
    <row r="286" spans="1:29" ht="15.75" customHeight="1">
      <c r="A286" s="10" t="s">
        <v>2035</v>
      </c>
      <c r="B286" s="10" t="s">
        <v>27</v>
      </c>
      <c r="C286" s="60" t="s">
        <v>1470</v>
      </c>
      <c r="D286" s="38"/>
      <c r="E286" s="13" t="s">
        <v>321</v>
      </c>
      <c r="F286" s="6" t="s">
        <v>322</v>
      </c>
      <c r="G286" s="15" t="str">
        <f ca="1">IFERROR(__xludf.DUMMYFUNCTION("CONCATENATE(B286,(VLOOKUP(C286,CATALOGOS!$F$2:$H$6,3,FALSE)),(VLOOKUP(V286,CATALOGOS!$J$2:$K$18,2,FALSE)),""-"",TO_TEXT(A286))"),"P02PP-0285")</f>
        <v>P02PP-0285</v>
      </c>
      <c r="H286" s="6" t="str">
        <f ca="1">IFERROR(__xludf.DUMMYFUNCTION("CONCATENATE($B286,(VLOOKUP($C286,CATALOGOS!$F$2:$H$6,3,FALSE)),(VLOOKUP($V286,CATALOGOS!$J$2:$K$18,2,FALSE)),""-"",TO_TEXT($A286))"),"P02PP-0285")</f>
        <v>P02PP-0285</v>
      </c>
      <c r="I286" s="6"/>
      <c r="J286" s="6" t="s">
        <v>2036</v>
      </c>
      <c r="K286" s="6" t="s">
        <v>2037</v>
      </c>
      <c r="L286" s="36"/>
      <c r="M286" s="6" t="s">
        <v>141</v>
      </c>
      <c r="N286" s="17"/>
      <c r="O286" s="17"/>
      <c r="P286" s="17" t="str">
        <f t="shared" si="4"/>
        <v>REPETIDO</v>
      </c>
      <c r="Q286" s="35" t="s">
        <v>2038</v>
      </c>
      <c r="R286" s="6">
        <v>29965</v>
      </c>
      <c r="S286" s="6" t="s">
        <v>36</v>
      </c>
      <c r="T286" s="32" t="s">
        <v>85</v>
      </c>
      <c r="U286" s="173" t="s">
        <v>38</v>
      </c>
      <c r="V286" s="11" t="s">
        <v>1548</v>
      </c>
      <c r="W286" s="32" t="s">
        <v>1983</v>
      </c>
      <c r="X286" s="32" t="s">
        <v>1983</v>
      </c>
      <c r="Y286" s="32"/>
      <c r="Z286" s="6"/>
      <c r="AA286" s="6"/>
      <c r="AB286" s="26"/>
      <c r="AC286" s="33"/>
    </row>
    <row r="287" spans="1:29" ht="15.75" customHeight="1">
      <c r="A287" s="10" t="s">
        <v>2039</v>
      </c>
      <c r="B287" s="10" t="s">
        <v>27</v>
      </c>
      <c r="C287" s="60" t="s">
        <v>1470</v>
      </c>
      <c r="D287" s="38"/>
      <c r="E287" s="13" t="s">
        <v>378</v>
      </c>
      <c r="F287" s="43" t="s">
        <v>2040</v>
      </c>
      <c r="G287" s="15" t="str">
        <f ca="1">IFERROR(__xludf.DUMMYFUNCTION("CONCATENATE(B287,(VLOOKUP(C287,CATALOGOS!$F$2:$H$6,3,FALSE)),(VLOOKUP(V287,CATALOGOS!$J$2:$K$18,2,FALSE)),""-"",TO_TEXT(A287))"),"P02PP-0286")</f>
        <v>P02PP-0286</v>
      </c>
      <c r="H287" s="6" t="str">
        <f ca="1">IFERROR(__xludf.DUMMYFUNCTION("CONCATENATE($B287,(VLOOKUP($C287,CATALOGOS!$F$2:$H$6,3,FALSE)),(VLOOKUP($V287,CATALOGOS!$J$2:$K$18,2,FALSE)),""-"",TO_TEXT($A287))"),"P02PP-0286")</f>
        <v>P02PP-0286</v>
      </c>
      <c r="I287" s="6"/>
      <c r="J287" s="6" t="s">
        <v>2041</v>
      </c>
      <c r="K287" s="6" t="s">
        <v>2042</v>
      </c>
      <c r="L287" s="6" t="s">
        <v>2043</v>
      </c>
      <c r="M287" s="6" t="s">
        <v>2044</v>
      </c>
      <c r="N287" s="17"/>
      <c r="O287" s="17"/>
      <c r="P287" s="17" t="str">
        <f t="shared" si="4"/>
        <v>OK</v>
      </c>
      <c r="Q287" s="17" t="s">
        <v>35</v>
      </c>
      <c r="R287" s="6" t="s">
        <v>35</v>
      </c>
      <c r="S287" s="46" t="s">
        <v>36</v>
      </c>
      <c r="T287" s="17" t="s">
        <v>85</v>
      </c>
      <c r="U287" s="173" t="s">
        <v>38</v>
      </c>
      <c r="V287" s="11" t="s">
        <v>1548</v>
      </c>
      <c r="W287" s="32" t="s">
        <v>1983</v>
      </c>
      <c r="X287" s="32" t="s">
        <v>1983</v>
      </c>
      <c r="Y287" s="32"/>
      <c r="Z287" s="6"/>
      <c r="AA287" s="6"/>
      <c r="AB287" s="23"/>
      <c r="AC287" s="24"/>
    </row>
    <row r="288" spans="1:29" ht="15.75" customHeight="1">
      <c r="A288" s="10" t="s">
        <v>2045</v>
      </c>
      <c r="B288" s="10" t="s">
        <v>27</v>
      </c>
      <c r="C288" s="60" t="s">
        <v>1470</v>
      </c>
      <c r="D288" s="12"/>
      <c r="E288" s="13" t="s">
        <v>501</v>
      </c>
      <c r="F288" s="6" t="s">
        <v>2046</v>
      </c>
      <c r="G288" s="15" t="str">
        <f ca="1">IFERROR(__xludf.DUMMYFUNCTION("CONCATENATE(B288,(VLOOKUP(C288,CATALOGOS!$F$2:$H$6,3,FALSE)),(VLOOKUP(V288,CATALOGOS!$J$2:$K$18,2,FALSE)),""-"",TO_TEXT(A288))"),"P02PP-0287")</f>
        <v>P02PP-0287</v>
      </c>
      <c r="H288" s="6" t="str">
        <f ca="1">IFERROR(__xludf.DUMMYFUNCTION("CONCATENATE($B288,(VLOOKUP($C288,CATALOGOS!$F$2:$H$6,3,FALSE)),(VLOOKUP($V288,CATALOGOS!$J$2:$K$18,2,FALSE)),""-"",TO_TEXT($A288))"),"P02PP-0287")</f>
        <v>P02PP-0287</v>
      </c>
      <c r="I288" s="6"/>
      <c r="J288" s="6" t="s">
        <v>2047</v>
      </c>
      <c r="K288" s="6" t="s">
        <v>2048</v>
      </c>
      <c r="L288" s="6" t="s">
        <v>2049</v>
      </c>
      <c r="M288" s="43" t="s">
        <v>2050</v>
      </c>
      <c r="N288" s="17"/>
      <c r="O288" s="17"/>
      <c r="P288" s="17" t="str">
        <f t="shared" si="4"/>
        <v>OK</v>
      </c>
      <c r="Q288" s="17" t="s">
        <v>35</v>
      </c>
      <c r="R288" s="6" t="s">
        <v>35</v>
      </c>
      <c r="S288" s="17" t="s">
        <v>36</v>
      </c>
      <c r="T288" s="17" t="s">
        <v>2051</v>
      </c>
      <c r="U288" s="173" t="s">
        <v>38</v>
      </c>
      <c r="V288" s="11" t="s">
        <v>1548</v>
      </c>
      <c r="W288" s="20" t="s">
        <v>2052</v>
      </c>
      <c r="X288" s="20" t="s">
        <v>2052</v>
      </c>
      <c r="Y288" s="20"/>
      <c r="Z288" s="7"/>
      <c r="AA288" s="7"/>
      <c r="AB288" s="23"/>
      <c r="AC288" s="26"/>
    </row>
    <row r="289" spans="1:29" ht="15.75" customHeight="1">
      <c r="A289" s="10" t="s">
        <v>2053</v>
      </c>
      <c r="B289" s="10" t="s">
        <v>27</v>
      </c>
      <c r="C289" s="60" t="s">
        <v>1470</v>
      </c>
      <c r="D289" s="12"/>
      <c r="E289" s="13" t="s">
        <v>501</v>
      </c>
      <c r="F289" s="6" t="s">
        <v>2046</v>
      </c>
      <c r="G289" s="15" t="str">
        <f ca="1">IFERROR(__xludf.DUMMYFUNCTION("CONCATENATE(B289,(VLOOKUP(C289,CATALOGOS!$F$2:$H$6,3,FALSE)),(VLOOKUP(V289,CATALOGOS!$J$2:$K$18,2,FALSE)),""-"",TO_TEXT(A289))"),"P02PP-0288")</f>
        <v>P02PP-0288</v>
      </c>
      <c r="H289" s="6" t="str">
        <f ca="1">IFERROR(__xludf.DUMMYFUNCTION("CONCATENATE($B289,(VLOOKUP($C289,CATALOGOS!$F$2:$H$6,3,FALSE)),(VLOOKUP($V289,CATALOGOS!$J$2:$K$18,2,FALSE)),""-"",TO_TEXT($A289))"),"P02PP-0288")</f>
        <v>P02PP-0288</v>
      </c>
      <c r="I289" s="6"/>
      <c r="J289" s="6" t="s">
        <v>2054</v>
      </c>
      <c r="K289" s="6" t="s">
        <v>2055</v>
      </c>
      <c r="L289" s="6" t="s">
        <v>2056</v>
      </c>
      <c r="M289" s="43" t="s">
        <v>2057</v>
      </c>
      <c r="N289" s="17"/>
      <c r="O289" s="17"/>
      <c r="P289" s="17" t="str">
        <f t="shared" si="4"/>
        <v>OK</v>
      </c>
      <c r="Q289" s="17" t="s">
        <v>35</v>
      </c>
      <c r="R289" s="6" t="s">
        <v>35</v>
      </c>
      <c r="S289" s="17" t="s">
        <v>36</v>
      </c>
      <c r="T289" s="17" t="s">
        <v>2058</v>
      </c>
      <c r="U289" s="173" t="s">
        <v>38</v>
      </c>
      <c r="V289" s="11" t="s">
        <v>1548</v>
      </c>
      <c r="W289" s="20" t="s">
        <v>2052</v>
      </c>
      <c r="X289" s="20" t="s">
        <v>2052</v>
      </c>
      <c r="Y289" s="20"/>
      <c r="Z289" s="7"/>
      <c r="AA289" s="7"/>
      <c r="AB289" s="23"/>
      <c r="AC289" s="26"/>
    </row>
    <row r="290" spans="1:29" ht="15.75" customHeight="1">
      <c r="A290" s="10" t="s">
        <v>2059</v>
      </c>
      <c r="B290" s="10" t="s">
        <v>27</v>
      </c>
      <c r="C290" s="60" t="s">
        <v>1470</v>
      </c>
      <c r="D290" s="12"/>
      <c r="E290" s="13" t="s">
        <v>2060</v>
      </c>
      <c r="F290" s="6" t="s">
        <v>2061</v>
      </c>
      <c r="G290" s="15" t="str">
        <f ca="1">IFERROR(__xludf.DUMMYFUNCTION("CONCATENATE(B290,(VLOOKUP(C290,CATALOGOS!$F$2:$H$6,3,FALSE)),(VLOOKUP(V290,CATALOGOS!$J$2:$K$18,2,FALSE)),""-"",TO_TEXT(A290))"),"P02PP-0289")</f>
        <v>P02PP-0289</v>
      </c>
      <c r="H290" s="6" t="str">
        <f ca="1">IFERROR(__xludf.DUMMYFUNCTION("CONCATENATE($B290,(VLOOKUP($C290,CATALOGOS!$F$2:$H$6,3,FALSE)),(VLOOKUP($V290,CATALOGOS!$J$2:$K$18,2,FALSE)),""-"",TO_TEXT($A290))"),"P02PP-0289")</f>
        <v>P02PP-0289</v>
      </c>
      <c r="I290" s="6"/>
      <c r="J290" s="6" t="s">
        <v>2062</v>
      </c>
      <c r="K290" s="6" t="s">
        <v>2063</v>
      </c>
      <c r="L290" s="6" t="s">
        <v>2064</v>
      </c>
      <c r="M290" s="43" t="s">
        <v>2065</v>
      </c>
      <c r="N290" s="17"/>
      <c r="O290" s="17"/>
      <c r="P290" s="17" t="str">
        <f t="shared" si="4"/>
        <v>OK</v>
      </c>
      <c r="Q290" s="17" t="s">
        <v>35</v>
      </c>
      <c r="R290" s="6" t="s">
        <v>35</v>
      </c>
      <c r="S290" s="17" t="s">
        <v>36</v>
      </c>
      <c r="T290" s="17" t="s">
        <v>2066</v>
      </c>
      <c r="U290" s="173" t="s">
        <v>38</v>
      </c>
      <c r="V290" s="11" t="s">
        <v>1548</v>
      </c>
      <c r="W290" s="20" t="s">
        <v>2052</v>
      </c>
      <c r="X290" s="20" t="s">
        <v>2052</v>
      </c>
      <c r="Y290" s="20"/>
      <c r="Z290" s="7"/>
      <c r="AA290" s="7"/>
      <c r="AB290" s="23"/>
      <c r="AC290" s="26"/>
    </row>
    <row r="291" spans="1:29" ht="15.75" customHeight="1">
      <c r="A291" s="10" t="s">
        <v>2067</v>
      </c>
      <c r="B291" s="10" t="s">
        <v>27</v>
      </c>
      <c r="C291" s="60" t="s">
        <v>1470</v>
      </c>
      <c r="D291" s="12"/>
      <c r="E291" s="13" t="s">
        <v>2060</v>
      </c>
      <c r="F291" s="6" t="s">
        <v>2061</v>
      </c>
      <c r="G291" s="15" t="str">
        <f ca="1">IFERROR(__xludf.DUMMYFUNCTION("CONCATENATE(B291,(VLOOKUP(C291,CATALOGOS!$F$2:$H$6,3,FALSE)),(VLOOKUP(V291,CATALOGOS!$J$2:$K$18,2,FALSE)),""-"",TO_TEXT(A291))"),"P02PP-0290")</f>
        <v>P02PP-0290</v>
      </c>
      <c r="H291" s="6" t="str">
        <f ca="1">IFERROR(__xludf.DUMMYFUNCTION("CONCATENATE($B291,(VLOOKUP($C291,CATALOGOS!$F$2:$H$6,3,FALSE)),(VLOOKUP($V291,CATALOGOS!$J$2:$K$18,2,FALSE)),""-"",TO_TEXT($A291))"),"P02PP-0290")</f>
        <v>P02PP-0290</v>
      </c>
      <c r="I291" s="6"/>
      <c r="J291" s="6" t="s">
        <v>2068</v>
      </c>
      <c r="K291" s="6" t="s">
        <v>2069</v>
      </c>
      <c r="L291" s="6" t="s">
        <v>2070</v>
      </c>
      <c r="M291" s="43" t="s">
        <v>2071</v>
      </c>
      <c r="N291" s="17"/>
      <c r="O291" s="17"/>
      <c r="P291" s="17" t="str">
        <f t="shared" si="4"/>
        <v>OK</v>
      </c>
      <c r="Q291" s="17" t="s">
        <v>35</v>
      </c>
      <c r="R291" s="6" t="s">
        <v>35</v>
      </c>
      <c r="S291" s="17" t="s">
        <v>36</v>
      </c>
      <c r="T291" s="17" t="s">
        <v>2072</v>
      </c>
      <c r="U291" s="173" t="s">
        <v>38</v>
      </c>
      <c r="V291" s="11" t="s">
        <v>1548</v>
      </c>
      <c r="W291" s="20" t="s">
        <v>2052</v>
      </c>
      <c r="X291" s="20" t="s">
        <v>2052</v>
      </c>
      <c r="Y291" s="20"/>
      <c r="Z291" s="7"/>
      <c r="AA291" s="7"/>
      <c r="AB291" s="23"/>
      <c r="AC291" s="26"/>
    </row>
    <row r="292" spans="1:29" ht="15.75" customHeight="1">
      <c r="A292" s="10" t="s">
        <v>2073</v>
      </c>
      <c r="B292" s="10" t="s">
        <v>27</v>
      </c>
      <c r="C292" s="60" t="s">
        <v>1470</v>
      </c>
      <c r="D292" s="12"/>
      <c r="E292" s="13" t="s">
        <v>501</v>
      </c>
      <c r="F292" s="6" t="s">
        <v>2046</v>
      </c>
      <c r="G292" s="15" t="str">
        <f ca="1">IFERROR(__xludf.DUMMYFUNCTION("CONCATENATE(B292,(VLOOKUP(C292,CATALOGOS!$F$2:$H$6,3,FALSE)),(VLOOKUP(V292,CATALOGOS!$J$2:$K$18,2,FALSE)),""-"",TO_TEXT(A292))"),"P02PP-0291")</f>
        <v>P02PP-0291</v>
      </c>
      <c r="H292" s="6" t="str">
        <f ca="1">IFERROR(__xludf.DUMMYFUNCTION("CONCATENATE($B292,(VLOOKUP($C292,CATALOGOS!$F$2:$H$6,3,FALSE)),(VLOOKUP($V292,CATALOGOS!$J$2:$K$18,2,FALSE)),""-"",TO_TEXT($A292))"),"P02PP-0291")</f>
        <v>P02PP-0291</v>
      </c>
      <c r="I292" s="6"/>
      <c r="J292" s="6" t="s">
        <v>2074</v>
      </c>
      <c r="K292" s="6" t="s">
        <v>2075</v>
      </c>
      <c r="L292" s="6" t="s">
        <v>2076</v>
      </c>
      <c r="M292" s="43" t="s">
        <v>2077</v>
      </c>
      <c r="N292" s="17"/>
      <c r="O292" s="17"/>
      <c r="P292" s="17" t="str">
        <f t="shared" si="4"/>
        <v>OK</v>
      </c>
      <c r="Q292" s="17" t="s">
        <v>35</v>
      </c>
      <c r="R292" s="6" t="s">
        <v>35</v>
      </c>
      <c r="S292" s="17" t="s">
        <v>36</v>
      </c>
      <c r="T292" s="17" t="s">
        <v>2078</v>
      </c>
      <c r="U292" s="173" t="s">
        <v>38</v>
      </c>
      <c r="V292" s="11" t="s">
        <v>1548</v>
      </c>
      <c r="W292" s="20" t="s">
        <v>2052</v>
      </c>
      <c r="X292" s="20" t="s">
        <v>2052</v>
      </c>
      <c r="Y292" s="20"/>
      <c r="Z292" s="7"/>
      <c r="AA292" s="7"/>
      <c r="AB292" s="23"/>
      <c r="AC292" s="26"/>
    </row>
    <row r="293" spans="1:29" ht="15.75" customHeight="1">
      <c r="A293" s="10" t="s">
        <v>2079</v>
      </c>
      <c r="B293" s="10" t="s">
        <v>27</v>
      </c>
      <c r="C293" s="60" t="s">
        <v>1470</v>
      </c>
      <c r="D293" s="12"/>
      <c r="E293" s="13" t="s">
        <v>2060</v>
      </c>
      <c r="F293" s="6" t="s">
        <v>2061</v>
      </c>
      <c r="G293" s="15" t="str">
        <f ca="1">IFERROR(__xludf.DUMMYFUNCTION("CONCATENATE(B293,(VLOOKUP(C293,CATALOGOS!$F$2:$H$6,3,FALSE)),(VLOOKUP(V293,CATALOGOS!$J$2:$K$18,2,FALSE)),""-"",TO_TEXT(A293))"),"P02PP-0292")</f>
        <v>P02PP-0292</v>
      </c>
      <c r="H293" s="6" t="str">
        <f ca="1">IFERROR(__xludf.DUMMYFUNCTION("CONCATENATE($B293,(VLOOKUP($C293,CATALOGOS!$F$2:$H$6,3,FALSE)),(VLOOKUP($V293,CATALOGOS!$J$2:$K$18,2,FALSE)),""-"",TO_TEXT($A293))"),"P02PP-0292")</f>
        <v>P02PP-0292</v>
      </c>
      <c r="I293" s="6"/>
      <c r="J293" s="6" t="s">
        <v>2080</v>
      </c>
      <c r="K293" s="6" t="s">
        <v>2081</v>
      </c>
      <c r="L293" s="6" t="s">
        <v>2082</v>
      </c>
      <c r="M293" s="6" t="s">
        <v>2083</v>
      </c>
      <c r="N293" s="17"/>
      <c r="O293" s="17"/>
      <c r="P293" s="17" t="str">
        <f t="shared" si="4"/>
        <v>OK</v>
      </c>
      <c r="Q293" s="17" t="s">
        <v>35</v>
      </c>
      <c r="R293" s="6" t="s">
        <v>35</v>
      </c>
      <c r="S293" s="17" t="s">
        <v>36</v>
      </c>
      <c r="T293" s="17" t="s">
        <v>2084</v>
      </c>
      <c r="U293" s="173" t="s">
        <v>38</v>
      </c>
      <c r="V293" s="11" t="s">
        <v>1548</v>
      </c>
      <c r="W293" s="20" t="s">
        <v>2052</v>
      </c>
      <c r="X293" s="20" t="s">
        <v>2052</v>
      </c>
      <c r="Y293" s="20"/>
      <c r="Z293" s="7"/>
      <c r="AA293" s="7"/>
      <c r="AB293" s="23"/>
      <c r="AC293" s="26"/>
    </row>
    <row r="294" spans="1:29" ht="15.75" customHeight="1">
      <c r="A294" s="10" t="s">
        <v>2085</v>
      </c>
      <c r="B294" s="10" t="s">
        <v>27</v>
      </c>
      <c r="C294" s="60" t="s">
        <v>1470</v>
      </c>
      <c r="D294" s="12"/>
      <c r="E294" s="13" t="s">
        <v>2060</v>
      </c>
      <c r="F294" s="6" t="s">
        <v>2061</v>
      </c>
      <c r="G294" s="15" t="str">
        <f ca="1">IFERROR(__xludf.DUMMYFUNCTION("CONCATENATE(B294,(VLOOKUP(C294,CATALOGOS!$F$2:$H$6,3,FALSE)),(VLOOKUP(V294,CATALOGOS!$J$2:$K$18,2,FALSE)),""-"",TO_TEXT(A294))"),"P02PP-0293")</f>
        <v>P02PP-0293</v>
      </c>
      <c r="H294" s="6" t="str">
        <f ca="1">IFERROR(__xludf.DUMMYFUNCTION("CONCATENATE($B294,(VLOOKUP($C294,CATALOGOS!$F$2:$H$6,3,FALSE)),(VLOOKUP($V294,CATALOGOS!$J$2:$K$18,2,FALSE)),""-"",TO_TEXT($A294))"),"P02PP-0293")</f>
        <v>P02PP-0293</v>
      </c>
      <c r="I294" s="6"/>
      <c r="J294" s="6" t="s">
        <v>2086</v>
      </c>
      <c r="K294" s="6" t="s">
        <v>2087</v>
      </c>
      <c r="L294" s="6" t="s">
        <v>2088</v>
      </c>
      <c r="M294" s="6" t="s">
        <v>2089</v>
      </c>
      <c r="N294" s="17"/>
      <c r="O294" s="17"/>
      <c r="P294" s="17" t="str">
        <f t="shared" si="4"/>
        <v>OK</v>
      </c>
      <c r="Q294" s="17" t="s">
        <v>35</v>
      </c>
      <c r="R294" s="6" t="s">
        <v>35</v>
      </c>
      <c r="S294" s="17" t="s">
        <v>36</v>
      </c>
      <c r="T294" s="17" t="s">
        <v>2090</v>
      </c>
      <c r="U294" s="173" t="s">
        <v>38</v>
      </c>
      <c r="V294" s="11" t="s">
        <v>1548</v>
      </c>
      <c r="W294" s="20" t="s">
        <v>2052</v>
      </c>
      <c r="X294" s="20" t="s">
        <v>2052</v>
      </c>
      <c r="Y294" s="20"/>
      <c r="Z294" s="7"/>
      <c r="AA294" s="7"/>
      <c r="AB294" s="23"/>
      <c r="AC294" s="26"/>
    </row>
    <row r="295" spans="1:29" ht="15.75" customHeight="1">
      <c r="A295" s="10" t="s">
        <v>2091</v>
      </c>
      <c r="B295" s="10" t="s">
        <v>27</v>
      </c>
      <c r="C295" s="60" t="s">
        <v>1470</v>
      </c>
      <c r="D295" s="12"/>
      <c r="E295" s="13" t="s">
        <v>501</v>
      </c>
      <c r="F295" s="6" t="s">
        <v>2092</v>
      </c>
      <c r="G295" s="15" t="str">
        <f ca="1">IFERROR(__xludf.DUMMYFUNCTION("CONCATENATE(B295,(VLOOKUP(C295,CATALOGOS!$F$2:$H$6,3,FALSE)),(VLOOKUP(V295,CATALOGOS!$J$2:$K$18,2,FALSE)),""-"",TO_TEXT(A295))"),"P02PP-0294")</f>
        <v>P02PP-0294</v>
      </c>
      <c r="H295" s="6" t="str">
        <f ca="1">IFERROR(__xludf.DUMMYFUNCTION("CONCATENATE($B295,(VLOOKUP($C295,CATALOGOS!$F$2:$H$6,3,FALSE)),(VLOOKUP($V295,CATALOGOS!$J$2:$K$18,2,FALSE)),""-"",TO_TEXT($A295))"),"P02PP-0294")</f>
        <v>P02PP-0294</v>
      </c>
      <c r="I295" s="6"/>
      <c r="J295" s="6" t="s">
        <v>2093</v>
      </c>
      <c r="K295" s="6" t="s">
        <v>2094</v>
      </c>
      <c r="L295" s="6" t="s">
        <v>2095</v>
      </c>
      <c r="M295" s="6" t="s">
        <v>2096</v>
      </c>
      <c r="N295" s="17"/>
      <c r="O295" s="17"/>
      <c r="P295" s="17" t="str">
        <f t="shared" si="4"/>
        <v>OK</v>
      </c>
      <c r="Q295" s="17" t="s">
        <v>35</v>
      </c>
      <c r="R295" s="6" t="s">
        <v>35</v>
      </c>
      <c r="S295" s="17" t="s">
        <v>36</v>
      </c>
      <c r="T295" s="17" t="s">
        <v>2097</v>
      </c>
      <c r="U295" s="173" t="s">
        <v>38</v>
      </c>
      <c r="V295" s="11" t="s">
        <v>1548</v>
      </c>
      <c r="W295" s="20" t="s">
        <v>2052</v>
      </c>
      <c r="X295" s="20" t="s">
        <v>2052</v>
      </c>
      <c r="Y295" s="20"/>
      <c r="Z295" s="7"/>
      <c r="AA295" s="7"/>
      <c r="AB295" s="23"/>
      <c r="AC295" s="26"/>
    </row>
    <row r="296" spans="1:29" ht="15.75" customHeight="1">
      <c r="A296" s="10" t="s">
        <v>2098</v>
      </c>
      <c r="B296" s="10" t="s">
        <v>27</v>
      </c>
      <c r="C296" s="60" t="s">
        <v>1470</v>
      </c>
      <c r="D296" s="12"/>
      <c r="E296" s="13" t="s">
        <v>501</v>
      </c>
      <c r="F296" s="6" t="s">
        <v>2046</v>
      </c>
      <c r="G296" s="15" t="str">
        <f ca="1">IFERROR(__xludf.DUMMYFUNCTION("CONCATENATE(B296,(VLOOKUP(C296,CATALOGOS!$F$2:$H$6,3,FALSE)),(VLOOKUP(V296,CATALOGOS!$J$2:$K$18,2,FALSE)),""-"",TO_TEXT(A296))"),"P02PP-0295")</f>
        <v>P02PP-0295</v>
      </c>
      <c r="H296" s="6" t="str">
        <f ca="1">IFERROR(__xludf.DUMMYFUNCTION("CONCATENATE($B296,(VLOOKUP($C296,CATALOGOS!$F$2:$H$6,3,FALSE)),(VLOOKUP($V296,CATALOGOS!$J$2:$K$18,2,FALSE)),""-"",TO_TEXT($A296))"),"P02PP-0295")</f>
        <v>P02PP-0295</v>
      </c>
      <c r="I296" s="6"/>
      <c r="J296" s="6" t="s">
        <v>2099</v>
      </c>
      <c r="K296" s="6" t="s">
        <v>2100</v>
      </c>
      <c r="L296" s="6" t="s">
        <v>2101</v>
      </c>
      <c r="M296" s="6" t="s">
        <v>2102</v>
      </c>
      <c r="N296" s="17"/>
      <c r="O296" s="17"/>
      <c r="P296" s="17" t="str">
        <f t="shared" si="4"/>
        <v>OK</v>
      </c>
      <c r="Q296" s="17" t="s">
        <v>35</v>
      </c>
      <c r="R296" s="6" t="s">
        <v>35</v>
      </c>
      <c r="S296" s="17" t="s">
        <v>36</v>
      </c>
      <c r="T296" s="17" t="s">
        <v>2103</v>
      </c>
      <c r="U296" s="173" t="s">
        <v>38</v>
      </c>
      <c r="V296" s="174" t="s">
        <v>1548</v>
      </c>
      <c r="W296" s="20" t="s">
        <v>2052</v>
      </c>
      <c r="X296" s="20" t="s">
        <v>2052</v>
      </c>
      <c r="Y296" s="20"/>
      <c r="Z296" s="7"/>
      <c r="AA296" s="7"/>
      <c r="AB296" s="23"/>
      <c r="AC296" s="26"/>
    </row>
    <row r="297" spans="1:29" ht="15.75" customHeight="1">
      <c r="A297" s="10" t="s">
        <v>2104</v>
      </c>
      <c r="B297" s="10" t="s">
        <v>27</v>
      </c>
      <c r="C297" s="60" t="s">
        <v>1470</v>
      </c>
      <c r="D297" s="12"/>
      <c r="E297" s="13" t="s">
        <v>2060</v>
      </c>
      <c r="F297" s="6" t="s">
        <v>2061</v>
      </c>
      <c r="G297" s="15" t="str">
        <f ca="1">IFERROR(__xludf.DUMMYFUNCTION("CONCATENATE(B297,(VLOOKUP(C297,CATALOGOS!$F$2:$H$6,3,FALSE)),(VLOOKUP(V297,CATALOGOS!$J$2:$K$18,2,FALSE)),""-"",TO_TEXT(A297))"),"P02PP-0296")</f>
        <v>P02PP-0296</v>
      </c>
      <c r="H297" s="6" t="str">
        <f ca="1">IFERROR(__xludf.DUMMYFUNCTION("CONCATENATE($B297,(VLOOKUP($C297,CATALOGOS!$F$2:$H$6,3,FALSE)),(VLOOKUP($V297,CATALOGOS!$J$2:$K$18,2,FALSE)),""-"",TO_TEXT($A297))"),"P02PP-0296")</f>
        <v>P02PP-0296</v>
      </c>
      <c r="I297" s="6"/>
      <c r="J297" s="6" t="s">
        <v>2105</v>
      </c>
      <c r="K297" s="6" t="s">
        <v>2106</v>
      </c>
      <c r="L297" s="6" t="s">
        <v>2107</v>
      </c>
      <c r="M297" s="6" t="s">
        <v>2108</v>
      </c>
      <c r="N297" s="17"/>
      <c r="O297" s="17"/>
      <c r="P297" s="17" t="str">
        <f t="shared" si="4"/>
        <v>OK</v>
      </c>
      <c r="Q297" s="17" t="s">
        <v>35</v>
      </c>
      <c r="R297" s="6" t="s">
        <v>35</v>
      </c>
      <c r="S297" s="17" t="s">
        <v>36</v>
      </c>
      <c r="T297" s="17" t="s">
        <v>2109</v>
      </c>
      <c r="U297" s="173" t="s">
        <v>38</v>
      </c>
      <c r="V297" s="11" t="s">
        <v>1548</v>
      </c>
      <c r="W297" s="20" t="s">
        <v>2052</v>
      </c>
      <c r="X297" s="20" t="s">
        <v>2052</v>
      </c>
      <c r="Y297" s="20"/>
      <c r="Z297" s="7"/>
      <c r="AA297" s="7"/>
      <c r="AB297" s="23"/>
      <c r="AC297" s="26"/>
    </row>
    <row r="298" spans="1:29" ht="15.75" customHeight="1">
      <c r="A298" s="10" t="s">
        <v>2110</v>
      </c>
      <c r="B298" s="10" t="s">
        <v>27</v>
      </c>
      <c r="C298" s="60" t="s">
        <v>1470</v>
      </c>
      <c r="D298" s="12"/>
      <c r="E298" s="13" t="s">
        <v>2060</v>
      </c>
      <c r="F298" s="6" t="s">
        <v>2061</v>
      </c>
      <c r="G298" s="15" t="str">
        <f ca="1">IFERROR(__xludf.DUMMYFUNCTION("CONCATENATE(B298,(VLOOKUP(C298,CATALOGOS!$F$2:$H$6,3,FALSE)),(VLOOKUP(V298,CATALOGOS!$J$2:$K$18,2,FALSE)),""-"",TO_TEXT(A298))"),"P02PP-0297")</f>
        <v>P02PP-0297</v>
      </c>
      <c r="H298" s="6" t="str">
        <f ca="1">IFERROR(__xludf.DUMMYFUNCTION("CONCATENATE($B298,(VLOOKUP($C298,CATALOGOS!$F$2:$H$6,3,FALSE)),(VLOOKUP($V298,CATALOGOS!$J$2:$K$18,2,FALSE)),""-"",TO_TEXT($A298))"),"P02PP-0297")</f>
        <v>P02PP-0297</v>
      </c>
      <c r="I298" s="6"/>
      <c r="J298" s="6" t="s">
        <v>2111</v>
      </c>
      <c r="K298" s="6" t="s">
        <v>2112</v>
      </c>
      <c r="L298" s="6" t="s">
        <v>2113</v>
      </c>
      <c r="M298" s="43" t="s">
        <v>2114</v>
      </c>
      <c r="N298" s="17"/>
      <c r="O298" s="17"/>
      <c r="P298" s="17" t="str">
        <f t="shared" si="4"/>
        <v>OK</v>
      </c>
      <c r="Q298" s="17" t="s">
        <v>35</v>
      </c>
      <c r="R298" s="6" t="s">
        <v>35</v>
      </c>
      <c r="S298" s="17" t="s">
        <v>36</v>
      </c>
      <c r="T298" s="17" t="s">
        <v>2115</v>
      </c>
      <c r="U298" s="173" t="s">
        <v>38</v>
      </c>
      <c r="V298" s="11" t="s">
        <v>1548</v>
      </c>
      <c r="W298" s="20" t="s">
        <v>2052</v>
      </c>
      <c r="X298" s="20" t="s">
        <v>2052</v>
      </c>
      <c r="Y298" s="20"/>
      <c r="Z298" s="7"/>
      <c r="AA298" s="7"/>
      <c r="AB298" s="23"/>
      <c r="AC298" s="26"/>
    </row>
    <row r="299" spans="1:29" ht="15.75" customHeight="1">
      <c r="A299" s="10" t="s">
        <v>2116</v>
      </c>
      <c r="B299" s="10" t="s">
        <v>27</v>
      </c>
      <c r="C299" s="60" t="s">
        <v>1470</v>
      </c>
      <c r="D299" s="12"/>
      <c r="E299" s="13" t="s">
        <v>501</v>
      </c>
      <c r="F299" s="6" t="s">
        <v>2092</v>
      </c>
      <c r="G299" s="15" t="str">
        <f ca="1">IFERROR(__xludf.DUMMYFUNCTION("CONCATENATE(B299,(VLOOKUP(C299,CATALOGOS!$F$2:$H$6,3,FALSE)),(VLOOKUP(V299,CATALOGOS!$J$2:$K$18,2,FALSE)),""-"",TO_TEXT(A299))"),"P02PP-0298")</f>
        <v>P02PP-0298</v>
      </c>
      <c r="H299" s="6" t="str">
        <f ca="1">IFERROR(__xludf.DUMMYFUNCTION("CONCATENATE($B299,(VLOOKUP($C299,CATALOGOS!$F$2:$H$6,3,FALSE)),(VLOOKUP($V299,CATALOGOS!$J$2:$K$18,2,FALSE)),""-"",TO_TEXT($A299))"),"P02PP-0298")</f>
        <v>P02PP-0298</v>
      </c>
      <c r="I299" s="6"/>
      <c r="J299" s="6" t="s">
        <v>2117</v>
      </c>
      <c r="K299" s="6" t="s">
        <v>2118</v>
      </c>
      <c r="L299" s="6" t="s">
        <v>2119</v>
      </c>
      <c r="M299" s="6" t="s">
        <v>2120</v>
      </c>
      <c r="N299" s="17"/>
      <c r="O299" s="17"/>
      <c r="P299" s="17" t="str">
        <f t="shared" si="4"/>
        <v>OK</v>
      </c>
      <c r="Q299" s="17" t="s">
        <v>35</v>
      </c>
      <c r="R299" s="6" t="s">
        <v>35</v>
      </c>
      <c r="S299" s="17" t="s">
        <v>36</v>
      </c>
      <c r="T299" s="17" t="s">
        <v>2121</v>
      </c>
      <c r="U299" s="173" t="s">
        <v>38</v>
      </c>
      <c r="V299" s="11" t="s">
        <v>1548</v>
      </c>
      <c r="W299" s="20" t="s">
        <v>2052</v>
      </c>
      <c r="X299" s="20" t="s">
        <v>2052</v>
      </c>
      <c r="Y299" s="20"/>
      <c r="Z299" s="7"/>
      <c r="AA299" s="7"/>
      <c r="AB299" s="23"/>
      <c r="AC299" s="26"/>
    </row>
    <row r="300" spans="1:29" ht="15.75" customHeight="1">
      <c r="A300" s="10" t="s">
        <v>2122</v>
      </c>
      <c r="B300" s="10" t="s">
        <v>27</v>
      </c>
      <c r="C300" s="60" t="s">
        <v>1470</v>
      </c>
      <c r="D300" s="12"/>
      <c r="E300" s="13" t="s">
        <v>2060</v>
      </c>
      <c r="F300" s="6" t="s">
        <v>2061</v>
      </c>
      <c r="G300" s="15" t="str">
        <f ca="1">IFERROR(__xludf.DUMMYFUNCTION("CONCATENATE(B300,(VLOOKUP(C300,CATALOGOS!$F$2:$H$6,3,FALSE)),(VLOOKUP(V300,CATALOGOS!$J$2:$K$18,2,FALSE)),""-"",TO_TEXT(A300))"),"P02PP-0299")</f>
        <v>P02PP-0299</v>
      </c>
      <c r="H300" s="6" t="str">
        <f ca="1">IFERROR(__xludf.DUMMYFUNCTION("CONCATENATE($B300,(VLOOKUP($C300,CATALOGOS!$F$2:$H$6,3,FALSE)),(VLOOKUP($V300,CATALOGOS!$J$2:$K$18,2,FALSE)),""-"",TO_TEXT($A300))"),"P02PP-0299")</f>
        <v>P02PP-0299</v>
      </c>
      <c r="I300" s="6"/>
      <c r="J300" s="6" t="s">
        <v>2123</v>
      </c>
      <c r="K300" s="6" t="s">
        <v>2124</v>
      </c>
      <c r="L300" s="6" t="s">
        <v>2125</v>
      </c>
      <c r="M300" s="6" t="s">
        <v>2126</v>
      </c>
      <c r="N300" s="17"/>
      <c r="O300" s="17"/>
      <c r="P300" s="17" t="str">
        <f t="shared" si="4"/>
        <v>OK</v>
      </c>
      <c r="Q300" s="17" t="s">
        <v>35</v>
      </c>
      <c r="R300" s="6" t="s">
        <v>35</v>
      </c>
      <c r="S300" s="17" t="s">
        <v>36</v>
      </c>
      <c r="T300" s="17" t="s">
        <v>2127</v>
      </c>
      <c r="U300" s="173" t="s">
        <v>38</v>
      </c>
      <c r="V300" s="11" t="s">
        <v>1548</v>
      </c>
      <c r="W300" s="20" t="s">
        <v>2052</v>
      </c>
      <c r="X300" s="20" t="s">
        <v>2052</v>
      </c>
      <c r="Y300" s="20"/>
      <c r="Z300" s="7"/>
      <c r="AA300" s="7"/>
      <c r="AB300" s="23"/>
      <c r="AC300" s="26"/>
    </row>
    <row r="301" spans="1:29" ht="15.75" customHeight="1">
      <c r="A301" s="10" t="s">
        <v>2128</v>
      </c>
      <c r="B301" s="10" t="s">
        <v>27</v>
      </c>
      <c r="C301" s="60" t="s">
        <v>1470</v>
      </c>
      <c r="D301" s="12"/>
      <c r="E301" s="13" t="s">
        <v>501</v>
      </c>
      <c r="F301" s="6" t="s">
        <v>2046</v>
      </c>
      <c r="G301" s="15" t="str">
        <f ca="1">IFERROR(__xludf.DUMMYFUNCTION("CONCATENATE(B301,(VLOOKUP(C301,CATALOGOS!$F$2:$H$6,3,FALSE)),(VLOOKUP(V301,CATALOGOS!$J$2:$K$18,2,FALSE)),""-"",TO_TEXT(A301))"),"P02PP-0300")</f>
        <v>P02PP-0300</v>
      </c>
      <c r="H301" s="6" t="str">
        <f ca="1">IFERROR(__xludf.DUMMYFUNCTION("CONCATENATE($B301,(VLOOKUP($C301,CATALOGOS!$F$2:$H$6,3,FALSE)),(VLOOKUP($V301,CATALOGOS!$J$2:$K$18,2,FALSE)),""-"",TO_TEXT($A301))"),"P02PP-0300")</f>
        <v>P02PP-0300</v>
      </c>
      <c r="I301" s="6"/>
      <c r="J301" s="6" t="s">
        <v>2129</v>
      </c>
      <c r="K301" s="6" t="s">
        <v>2130</v>
      </c>
      <c r="L301" s="6" t="s">
        <v>2131</v>
      </c>
      <c r="M301" s="6" t="s">
        <v>2132</v>
      </c>
      <c r="N301" s="17"/>
      <c r="O301" s="17"/>
      <c r="P301" s="17" t="str">
        <f t="shared" si="4"/>
        <v>OK</v>
      </c>
      <c r="Q301" s="17" t="s">
        <v>35</v>
      </c>
      <c r="R301" s="6" t="s">
        <v>35</v>
      </c>
      <c r="S301" s="17" t="s">
        <v>36</v>
      </c>
      <c r="T301" s="17" t="s">
        <v>2133</v>
      </c>
      <c r="U301" s="173" t="s">
        <v>38</v>
      </c>
      <c r="V301" s="11" t="s">
        <v>1548</v>
      </c>
      <c r="W301" s="20" t="s">
        <v>2052</v>
      </c>
      <c r="X301" s="20" t="s">
        <v>2052</v>
      </c>
      <c r="Y301" s="20"/>
      <c r="Z301" s="7"/>
      <c r="AA301" s="7"/>
      <c r="AB301" s="23"/>
      <c r="AC301" s="26"/>
    </row>
    <row r="302" spans="1:29" ht="15.75" customHeight="1">
      <c r="A302" s="10" t="s">
        <v>2134</v>
      </c>
      <c r="B302" s="10" t="s">
        <v>27</v>
      </c>
      <c r="C302" s="60" t="s">
        <v>1470</v>
      </c>
      <c r="D302" s="12"/>
      <c r="E302" s="13" t="s">
        <v>501</v>
      </c>
      <c r="F302" s="6" t="s">
        <v>2046</v>
      </c>
      <c r="G302" s="15" t="str">
        <f ca="1">IFERROR(__xludf.DUMMYFUNCTION("CONCATENATE(B302,(VLOOKUP(C302,CATALOGOS!$F$2:$H$6,3,FALSE)),(VLOOKUP(V302,CATALOGOS!$J$2:$K$18,2,FALSE)),""-"",TO_TEXT(A302))"),"P02PP-0301")</f>
        <v>P02PP-0301</v>
      </c>
      <c r="H302" s="6" t="str">
        <f ca="1">IFERROR(__xludf.DUMMYFUNCTION("CONCATENATE($B302,(VLOOKUP($C302,CATALOGOS!$F$2:$H$6,3,FALSE)),(VLOOKUP($V302,CATALOGOS!$J$2:$K$18,2,FALSE)),""-"",TO_TEXT($A302))"),"P02PP-0301")</f>
        <v>P02PP-0301</v>
      </c>
      <c r="I302" s="6"/>
      <c r="J302" s="6" t="s">
        <v>2135</v>
      </c>
      <c r="K302" s="6" t="s">
        <v>2136</v>
      </c>
      <c r="L302" s="6" t="s">
        <v>2137</v>
      </c>
      <c r="M302" s="6" t="s">
        <v>2138</v>
      </c>
      <c r="N302" s="17"/>
      <c r="O302" s="17"/>
      <c r="P302" s="17" t="str">
        <f t="shared" si="4"/>
        <v>OK</v>
      </c>
      <c r="Q302" s="17" t="s">
        <v>35</v>
      </c>
      <c r="R302" s="6" t="s">
        <v>35</v>
      </c>
      <c r="S302" s="17" t="s">
        <v>36</v>
      </c>
      <c r="T302" s="17" t="s">
        <v>2139</v>
      </c>
      <c r="U302" s="173" t="s">
        <v>38</v>
      </c>
      <c r="V302" s="11" t="s">
        <v>1548</v>
      </c>
      <c r="W302" s="20" t="s">
        <v>2052</v>
      </c>
      <c r="X302" s="20" t="s">
        <v>2052</v>
      </c>
      <c r="Y302" s="20"/>
      <c r="Z302" s="7"/>
      <c r="AA302" s="7"/>
      <c r="AB302" s="23"/>
      <c r="AC302" s="26"/>
    </row>
    <row r="303" spans="1:29" ht="15.75" customHeight="1">
      <c r="A303" s="10" t="s">
        <v>2140</v>
      </c>
      <c r="B303" s="10" t="s">
        <v>27</v>
      </c>
      <c r="C303" s="60" t="s">
        <v>1470</v>
      </c>
      <c r="D303" s="12"/>
      <c r="E303" s="13" t="s">
        <v>2060</v>
      </c>
      <c r="F303" s="6" t="s">
        <v>2061</v>
      </c>
      <c r="G303" s="15" t="str">
        <f ca="1">IFERROR(__xludf.DUMMYFUNCTION("CONCATENATE(B303,(VLOOKUP(C303,CATALOGOS!$F$2:$H$6,3,FALSE)),(VLOOKUP(V303,CATALOGOS!$J$2:$K$18,2,FALSE)),""-"",TO_TEXT(A303))"),"P02PP-0302")</f>
        <v>P02PP-0302</v>
      </c>
      <c r="H303" s="6" t="str">
        <f ca="1">IFERROR(__xludf.DUMMYFUNCTION("CONCATENATE($B303,(VLOOKUP($C303,CATALOGOS!$F$2:$H$6,3,FALSE)),(VLOOKUP($V303,CATALOGOS!$J$2:$K$18,2,FALSE)),""-"",TO_TEXT($A303))"),"P02PP-0302")</f>
        <v>P02PP-0302</v>
      </c>
      <c r="I303" s="6"/>
      <c r="J303" s="6" t="s">
        <v>2141</v>
      </c>
      <c r="K303" s="6" t="s">
        <v>2142</v>
      </c>
      <c r="L303" s="6" t="s">
        <v>2143</v>
      </c>
      <c r="M303" s="6" t="s">
        <v>2144</v>
      </c>
      <c r="N303" s="17"/>
      <c r="O303" s="17"/>
      <c r="P303" s="17" t="str">
        <f t="shared" si="4"/>
        <v>OK</v>
      </c>
      <c r="Q303" s="17" t="s">
        <v>35</v>
      </c>
      <c r="R303" s="6" t="s">
        <v>35</v>
      </c>
      <c r="S303" s="17" t="s">
        <v>36</v>
      </c>
      <c r="T303" s="17" t="s">
        <v>2145</v>
      </c>
      <c r="U303" s="173" t="s">
        <v>38</v>
      </c>
      <c r="V303" s="11" t="s">
        <v>1548</v>
      </c>
      <c r="W303" s="20" t="s">
        <v>2052</v>
      </c>
      <c r="X303" s="20" t="s">
        <v>2052</v>
      </c>
      <c r="Y303" s="20"/>
      <c r="Z303" s="7"/>
      <c r="AA303" s="7"/>
      <c r="AB303" s="23"/>
      <c r="AC303" s="26"/>
    </row>
    <row r="304" spans="1:29" ht="15.75" customHeight="1">
      <c r="A304" s="10" t="s">
        <v>2146</v>
      </c>
      <c r="B304" s="10" t="s">
        <v>27</v>
      </c>
      <c r="C304" s="60" t="s">
        <v>1470</v>
      </c>
      <c r="D304" s="12"/>
      <c r="E304" s="13" t="s">
        <v>2060</v>
      </c>
      <c r="F304" s="6" t="s">
        <v>2061</v>
      </c>
      <c r="G304" s="15" t="str">
        <f ca="1">IFERROR(__xludf.DUMMYFUNCTION("CONCATENATE(B304,(VLOOKUP(C304,CATALOGOS!$F$2:$H$6,3,FALSE)),(VLOOKUP(V304,CATALOGOS!$J$2:$K$18,2,FALSE)),""-"",TO_TEXT(A304))"),"P02PP-0303")</f>
        <v>P02PP-0303</v>
      </c>
      <c r="H304" s="6" t="str">
        <f ca="1">IFERROR(__xludf.DUMMYFUNCTION("CONCATENATE($B304,(VLOOKUP($C304,CATALOGOS!$F$2:$H$6,3,FALSE)),(VLOOKUP($V304,CATALOGOS!$J$2:$K$18,2,FALSE)),""-"",TO_TEXT($A304))"),"P02PP-0303")</f>
        <v>P02PP-0303</v>
      </c>
      <c r="I304" s="6"/>
      <c r="J304" s="6" t="s">
        <v>2147</v>
      </c>
      <c r="K304" s="6" t="s">
        <v>2148</v>
      </c>
      <c r="L304" s="6" t="s">
        <v>2149</v>
      </c>
      <c r="M304" s="6" t="s">
        <v>2150</v>
      </c>
      <c r="N304" s="17"/>
      <c r="O304" s="17"/>
      <c r="P304" s="17" t="str">
        <f t="shared" si="4"/>
        <v>OK</v>
      </c>
      <c r="Q304" s="17" t="s">
        <v>35</v>
      </c>
      <c r="R304" s="6" t="s">
        <v>35</v>
      </c>
      <c r="S304" s="17" t="s">
        <v>36</v>
      </c>
      <c r="T304" s="17" t="s">
        <v>2151</v>
      </c>
      <c r="U304" s="173" t="s">
        <v>38</v>
      </c>
      <c r="V304" s="11" t="s">
        <v>1548</v>
      </c>
      <c r="W304" s="20" t="s">
        <v>2052</v>
      </c>
      <c r="X304" s="20" t="s">
        <v>2052</v>
      </c>
      <c r="Y304" s="20"/>
      <c r="Z304" s="7"/>
      <c r="AA304" s="7"/>
      <c r="AB304" s="23"/>
      <c r="AC304" s="26"/>
    </row>
    <row r="305" spans="1:29" ht="15.75" customHeight="1">
      <c r="A305" s="10" t="s">
        <v>2152</v>
      </c>
      <c r="B305" s="10" t="s">
        <v>27</v>
      </c>
      <c r="C305" s="60" t="s">
        <v>1470</v>
      </c>
      <c r="D305" s="12"/>
      <c r="E305" s="13" t="s">
        <v>501</v>
      </c>
      <c r="F305" s="6" t="s">
        <v>2046</v>
      </c>
      <c r="G305" s="15" t="str">
        <f ca="1">IFERROR(__xludf.DUMMYFUNCTION("CONCATENATE(B305,(VLOOKUP(C305,CATALOGOS!$F$2:$H$6,3,FALSE)),(VLOOKUP(V305,CATALOGOS!$J$2:$K$18,2,FALSE)),""-"",TO_TEXT(A305))"),"P02PP-0304")</f>
        <v>P02PP-0304</v>
      </c>
      <c r="H305" s="6" t="str">
        <f ca="1">IFERROR(__xludf.DUMMYFUNCTION("CONCATENATE($B305,(VLOOKUP($C305,CATALOGOS!$F$2:$H$6,3,FALSE)),(VLOOKUP($V305,CATALOGOS!$J$2:$K$18,2,FALSE)),""-"",TO_TEXT($A305))"),"P02PP-0304")</f>
        <v>P02PP-0304</v>
      </c>
      <c r="I305" s="6"/>
      <c r="J305" s="6" t="s">
        <v>2153</v>
      </c>
      <c r="K305" s="6" t="s">
        <v>2154</v>
      </c>
      <c r="L305" s="6" t="s">
        <v>2155</v>
      </c>
      <c r="M305" s="6" t="s">
        <v>2156</v>
      </c>
      <c r="N305" s="17"/>
      <c r="O305" s="17"/>
      <c r="P305" s="17" t="str">
        <f t="shared" si="4"/>
        <v>OK</v>
      </c>
      <c r="Q305" s="17" t="s">
        <v>35</v>
      </c>
      <c r="R305" s="6" t="s">
        <v>35</v>
      </c>
      <c r="S305" s="17" t="s">
        <v>36</v>
      </c>
      <c r="T305" s="17" t="s">
        <v>2157</v>
      </c>
      <c r="U305" s="173" t="s">
        <v>38</v>
      </c>
      <c r="V305" s="11" t="s">
        <v>1548</v>
      </c>
      <c r="W305" s="20" t="s">
        <v>2052</v>
      </c>
      <c r="X305" s="20" t="s">
        <v>2052</v>
      </c>
      <c r="Y305" s="20"/>
      <c r="Z305" s="7"/>
      <c r="AA305" s="7"/>
      <c r="AB305" s="23"/>
      <c r="AC305" s="26"/>
    </row>
    <row r="306" spans="1:29" ht="15.75" customHeight="1">
      <c r="A306" s="10" t="s">
        <v>2158</v>
      </c>
      <c r="B306" s="10" t="s">
        <v>27</v>
      </c>
      <c r="C306" s="60" t="s">
        <v>1470</v>
      </c>
      <c r="D306" s="12"/>
      <c r="E306" s="13" t="s">
        <v>2060</v>
      </c>
      <c r="F306" s="6" t="s">
        <v>2061</v>
      </c>
      <c r="G306" s="15" t="str">
        <f ca="1">IFERROR(__xludf.DUMMYFUNCTION("CONCATENATE(B306,(VLOOKUP(C306,CATALOGOS!$F$2:$H$6,3,FALSE)),(VLOOKUP(V306,CATALOGOS!$J$2:$K$18,2,FALSE)),""-"",TO_TEXT(A306))"),"P02PP-0305")</f>
        <v>P02PP-0305</v>
      </c>
      <c r="H306" s="6" t="str">
        <f ca="1">IFERROR(__xludf.DUMMYFUNCTION("CONCATENATE($B306,(VLOOKUP($C306,CATALOGOS!$F$2:$H$6,3,FALSE)),(VLOOKUP($V306,CATALOGOS!$J$2:$K$18,2,FALSE)),""-"",TO_TEXT($A306))"),"P02PP-0305")</f>
        <v>P02PP-0305</v>
      </c>
      <c r="I306" s="6"/>
      <c r="J306" s="6" t="s">
        <v>2159</v>
      </c>
      <c r="K306" s="6" t="s">
        <v>2160</v>
      </c>
      <c r="L306" s="6" t="s">
        <v>2161</v>
      </c>
      <c r="M306" s="6" t="s">
        <v>2162</v>
      </c>
      <c r="N306" s="17"/>
      <c r="O306" s="17"/>
      <c r="P306" s="17" t="str">
        <f t="shared" si="4"/>
        <v>OK</v>
      </c>
      <c r="Q306" s="17" t="s">
        <v>35</v>
      </c>
      <c r="R306" s="6" t="s">
        <v>35</v>
      </c>
      <c r="S306" s="17" t="s">
        <v>36</v>
      </c>
      <c r="T306" s="17" t="s">
        <v>2163</v>
      </c>
      <c r="U306" s="173" t="s">
        <v>38</v>
      </c>
      <c r="V306" s="11" t="s">
        <v>1548</v>
      </c>
      <c r="W306" s="20" t="s">
        <v>2052</v>
      </c>
      <c r="X306" s="20" t="s">
        <v>2052</v>
      </c>
      <c r="Y306" s="20"/>
      <c r="Z306" s="7"/>
      <c r="AA306" s="7"/>
      <c r="AB306" s="23"/>
      <c r="AC306" s="26"/>
    </row>
    <row r="307" spans="1:29" ht="15.75" customHeight="1">
      <c r="A307" s="10" t="s">
        <v>2164</v>
      </c>
      <c r="B307" s="10" t="s">
        <v>27</v>
      </c>
      <c r="C307" s="60" t="s">
        <v>1470</v>
      </c>
      <c r="D307" s="12"/>
      <c r="E307" s="13" t="s">
        <v>2060</v>
      </c>
      <c r="F307" s="6" t="s">
        <v>2061</v>
      </c>
      <c r="G307" s="15" t="str">
        <f ca="1">IFERROR(__xludf.DUMMYFUNCTION("CONCATENATE(B307,(VLOOKUP(C307,CATALOGOS!$F$2:$H$6,3,FALSE)),(VLOOKUP(V307,CATALOGOS!$J$2:$K$18,2,FALSE)),""-"",TO_TEXT(A307))"),"P02PP-0306")</f>
        <v>P02PP-0306</v>
      </c>
      <c r="H307" s="6" t="str">
        <f ca="1">IFERROR(__xludf.DUMMYFUNCTION("CONCATENATE($B307,(VLOOKUP($C307,CATALOGOS!$F$2:$H$6,3,FALSE)),(VLOOKUP($V307,CATALOGOS!$J$2:$K$18,2,FALSE)),""-"",TO_TEXT($A307))"),"P02PP-0306")</f>
        <v>P02PP-0306</v>
      </c>
      <c r="I307" s="6"/>
      <c r="J307" s="6" t="s">
        <v>2165</v>
      </c>
      <c r="K307" s="6" t="s">
        <v>2166</v>
      </c>
      <c r="L307" s="6" t="s">
        <v>2167</v>
      </c>
      <c r="M307" s="6" t="s">
        <v>2168</v>
      </c>
      <c r="N307" s="17"/>
      <c r="O307" s="17"/>
      <c r="P307" s="17" t="str">
        <f t="shared" si="4"/>
        <v>OK</v>
      </c>
      <c r="Q307" s="17" t="s">
        <v>35</v>
      </c>
      <c r="R307" s="6" t="s">
        <v>35</v>
      </c>
      <c r="S307" s="17" t="s">
        <v>36</v>
      </c>
      <c r="T307" s="17" t="s">
        <v>2169</v>
      </c>
      <c r="U307" s="173" t="s">
        <v>38</v>
      </c>
      <c r="V307" s="11" t="s">
        <v>1548</v>
      </c>
      <c r="W307" s="20" t="s">
        <v>2052</v>
      </c>
      <c r="X307" s="20" t="s">
        <v>2052</v>
      </c>
      <c r="Y307" s="20"/>
      <c r="Z307" s="7"/>
      <c r="AA307" s="7"/>
      <c r="AB307" s="23"/>
      <c r="AC307" s="26"/>
    </row>
    <row r="308" spans="1:29" ht="15.75" customHeight="1">
      <c r="A308" s="10" t="s">
        <v>2170</v>
      </c>
      <c r="B308" s="10" t="s">
        <v>27</v>
      </c>
      <c r="C308" s="60" t="s">
        <v>1470</v>
      </c>
      <c r="D308" s="12"/>
      <c r="E308" s="13" t="s">
        <v>501</v>
      </c>
      <c r="F308" s="6" t="s">
        <v>2046</v>
      </c>
      <c r="G308" s="15" t="str">
        <f ca="1">IFERROR(__xludf.DUMMYFUNCTION("CONCATENATE(B308,(VLOOKUP(C308,CATALOGOS!$F$2:$H$6,3,FALSE)),(VLOOKUP(V308,CATALOGOS!$J$2:$K$18,2,FALSE)),""-"",TO_TEXT(A308))"),"P02PP-0307")</f>
        <v>P02PP-0307</v>
      </c>
      <c r="H308" s="6" t="str">
        <f ca="1">IFERROR(__xludf.DUMMYFUNCTION("CONCATENATE($B308,(VLOOKUP($C308,CATALOGOS!$F$2:$H$6,3,FALSE)),(VLOOKUP($V308,CATALOGOS!$J$2:$K$18,2,FALSE)),""-"",TO_TEXT($A308))"),"P02PP-0307")</f>
        <v>P02PP-0307</v>
      </c>
      <c r="I308" s="6"/>
      <c r="J308" s="6" t="s">
        <v>2171</v>
      </c>
      <c r="K308" s="6" t="s">
        <v>2172</v>
      </c>
      <c r="L308" s="6" t="s">
        <v>2173</v>
      </c>
      <c r="M308" s="6" t="s">
        <v>2174</v>
      </c>
      <c r="N308" s="17"/>
      <c r="O308" s="17"/>
      <c r="P308" s="17" t="str">
        <f t="shared" si="4"/>
        <v>OK</v>
      </c>
      <c r="Q308" s="17" t="s">
        <v>35</v>
      </c>
      <c r="R308" s="6" t="s">
        <v>35</v>
      </c>
      <c r="S308" s="17" t="s">
        <v>36</v>
      </c>
      <c r="T308" s="17" t="s">
        <v>2175</v>
      </c>
      <c r="U308" s="173" t="s">
        <v>38</v>
      </c>
      <c r="V308" s="11" t="s">
        <v>1548</v>
      </c>
      <c r="W308" s="20" t="s">
        <v>2052</v>
      </c>
      <c r="X308" s="20" t="s">
        <v>2052</v>
      </c>
      <c r="Y308" s="20"/>
      <c r="Z308" s="7"/>
      <c r="AA308" s="7"/>
      <c r="AB308" s="23"/>
      <c r="AC308" s="26"/>
    </row>
    <row r="309" spans="1:29" ht="15.75" customHeight="1">
      <c r="A309" s="10" t="s">
        <v>2176</v>
      </c>
      <c r="B309" s="10" t="s">
        <v>27</v>
      </c>
      <c r="C309" s="60" t="s">
        <v>1470</v>
      </c>
      <c r="D309" s="12"/>
      <c r="E309" s="13" t="s">
        <v>2060</v>
      </c>
      <c r="F309" s="6" t="s">
        <v>2061</v>
      </c>
      <c r="G309" s="15" t="str">
        <f ca="1">IFERROR(__xludf.DUMMYFUNCTION("CONCATENATE(B309,(VLOOKUP(C309,CATALOGOS!$F$2:$H$6,3,FALSE)),(VLOOKUP(V309,CATALOGOS!$J$2:$K$18,2,FALSE)),""-"",TO_TEXT(A309))"),"P02PP-0308")</f>
        <v>P02PP-0308</v>
      </c>
      <c r="H309" s="6" t="str">
        <f ca="1">IFERROR(__xludf.DUMMYFUNCTION("CONCATENATE($B309,(VLOOKUP($C309,CATALOGOS!$F$2:$H$6,3,FALSE)),(VLOOKUP($V309,CATALOGOS!$J$2:$K$18,2,FALSE)),""-"",TO_TEXT($A309))"),"P02PP-0308")</f>
        <v>P02PP-0308</v>
      </c>
      <c r="I309" s="6"/>
      <c r="J309" s="6" t="s">
        <v>2177</v>
      </c>
      <c r="K309" s="6" t="s">
        <v>2178</v>
      </c>
      <c r="L309" s="6" t="s">
        <v>2179</v>
      </c>
      <c r="M309" s="6" t="s">
        <v>2180</v>
      </c>
      <c r="N309" s="17"/>
      <c r="O309" s="17"/>
      <c r="P309" s="17" t="str">
        <f t="shared" si="4"/>
        <v>OK</v>
      </c>
      <c r="Q309" s="17" t="s">
        <v>35</v>
      </c>
      <c r="R309" s="6" t="s">
        <v>35</v>
      </c>
      <c r="S309" s="17" t="s">
        <v>36</v>
      </c>
      <c r="T309" s="17" t="s">
        <v>2181</v>
      </c>
      <c r="U309" s="173" t="s">
        <v>38</v>
      </c>
      <c r="V309" s="11" t="s">
        <v>1548</v>
      </c>
      <c r="W309" s="20" t="s">
        <v>2052</v>
      </c>
      <c r="X309" s="20" t="s">
        <v>2052</v>
      </c>
      <c r="Y309" s="20"/>
      <c r="Z309" s="7"/>
      <c r="AA309" s="7"/>
      <c r="AB309" s="23"/>
      <c r="AC309" s="26"/>
    </row>
    <row r="310" spans="1:29" ht="15.75" customHeight="1">
      <c r="A310" s="10" t="s">
        <v>2182</v>
      </c>
      <c r="B310" s="10" t="s">
        <v>27</v>
      </c>
      <c r="C310" s="60" t="s">
        <v>1470</v>
      </c>
      <c r="D310" s="12"/>
      <c r="E310" s="13" t="s">
        <v>2060</v>
      </c>
      <c r="F310" s="6" t="s">
        <v>2061</v>
      </c>
      <c r="G310" s="15" t="str">
        <f ca="1">IFERROR(__xludf.DUMMYFUNCTION("CONCATENATE(B310,(VLOOKUP(C310,CATALOGOS!$F$2:$H$6,3,FALSE)),(VLOOKUP(V310,CATALOGOS!$J$2:$K$18,2,FALSE)),""-"",TO_TEXT(A310))"),"P02PP-0309")</f>
        <v>P02PP-0309</v>
      </c>
      <c r="H310" s="6" t="str">
        <f ca="1">IFERROR(__xludf.DUMMYFUNCTION("CONCATENATE($B310,(VLOOKUP($C310,CATALOGOS!$F$2:$H$6,3,FALSE)),(VLOOKUP($V310,CATALOGOS!$J$2:$K$18,2,FALSE)),""-"",TO_TEXT($A310))"),"P02PP-0309")</f>
        <v>P02PP-0309</v>
      </c>
      <c r="I310" s="6"/>
      <c r="J310" s="6" t="s">
        <v>2183</v>
      </c>
      <c r="K310" s="6" t="s">
        <v>2184</v>
      </c>
      <c r="L310" s="6" t="s">
        <v>2185</v>
      </c>
      <c r="M310" s="6" t="s">
        <v>2186</v>
      </c>
      <c r="N310" s="17"/>
      <c r="O310" s="17"/>
      <c r="P310" s="17" t="str">
        <f t="shared" si="4"/>
        <v>OK</v>
      </c>
      <c r="Q310" s="17" t="s">
        <v>35</v>
      </c>
      <c r="R310" s="6" t="s">
        <v>35</v>
      </c>
      <c r="S310" s="17" t="s">
        <v>36</v>
      </c>
      <c r="T310" s="17" t="s">
        <v>2187</v>
      </c>
      <c r="U310" s="173" t="s">
        <v>38</v>
      </c>
      <c r="V310" s="11" t="s">
        <v>1548</v>
      </c>
      <c r="W310" s="20" t="s">
        <v>2052</v>
      </c>
      <c r="X310" s="20" t="s">
        <v>2052</v>
      </c>
      <c r="Y310" s="20"/>
      <c r="Z310" s="7"/>
      <c r="AA310" s="7"/>
      <c r="AB310" s="23"/>
      <c r="AC310" s="26"/>
    </row>
    <row r="311" spans="1:29" ht="15.75" customHeight="1">
      <c r="A311" s="10" t="s">
        <v>2188</v>
      </c>
      <c r="B311" s="10" t="s">
        <v>27</v>
      </c>
      <c r="C311" s="60" t="s">
        <v>1470</v>
      </c>
      <c r="D311" s="12"/>
      <c r="E311" s="13" t="s">
        <v>501</v>
      </c>
      <c r="F311" s="6" t="s">
        <v>2046</v>
      </c>
      <c r="G311" s="15" t="str">
        <f ca="1">IFERROR(__xludf.DUMMYFUNCTION("CONCATENATE(B311,(VLOOKUP(C311,CATALOGOS!$F$2:$H$6,3,FALSE)),(VLOOKUP(V311,CATALOGOS!$J$2:$K$18,2,FALSE)),""-"",TO_TEXT(A311))"),"P02PP-0310")</f>
        <v>P02PP-0310</v>
      </c>
      <c r="H311" s="6" t="str">
        <f ca="1">IFERROR(__xludf.DUMMYFUNCTION("CONCATENATE($B311,(VLOOKUP($C311,CATALOGOS!$F$2:$H$6,3,FALSE)),(VLOOKUP($V311,CATALOGOS!$J$2:$K$18,2,FALSE)),""-"",TO_TEXT($A311))"),"P02PP-0310")</f>
        <v>P02PP-0310</v>
      </c>
      <c r="I311" s="6"/>
      <c r="J311" s="6" t="s">
        <v>2189</v>
      </c>
      <c r="K311" s="6" t="s">
        <v>2190</v>
      </c>
      <c r="L311" s="6" t="s">
        <v>2191</v>
      </c>
      <c r="M311" s="6" t="s">
        <v>2192</v>
      </c>
      <c r="N311" s="17"/>
      <c r="O311" s="17"/>
      <c r="P311" s="17" t="str">
        <f t="shared" si="4"/>
        <v>OK</v>
      </c>
      <c r="Q311" s="17" t="s">
        <v>35</v>
      </c>
      <c r="R311" s="6" t="s">
        <v>35</v>
      </c>
      <c r="S311" s="17" t="s">
        <v>36</v>
      </c>
      <c r="T311" s="17" t="s">
        <v>2193</v>
      </c>
      <c r="U311" s="173" t="s">
        <v>38</v>
      </c>
      <c r="V311" s="11" t="s">
        <v>1548</v>
      </c>
      <c r="W311" s="20" t="s">
        <v>2052</v>
      </c>
      <c r="X311" s="20" t="s">
        <v>2052</v>
      </c>
      <c r="Y311" s="20"/>
      <c r="Z311" s="7"/>
      <c r="AA311" s="7"/>
      <c r="AB311" s="23"/>
      <c r="AC311" s="26"/>
    </row>
    <row r="312" spans="1:29" ht="15.75" customHeight="1">
      <c r="A312" s="10" t="s">
        <v>2194</v>
      </c>
      <c r="B312" s="10" t="s">
        <v>27</v>
      </c>
      <c r="C312" s="60" t="s">
        <v>1470</v>
      </c>
      <c r="D312" s="12"/>
      <c r="E312" s="13" t="s">
        <v>2060</v>
      </c>
      <c r="F312" s="6" t="s">
        <v>2061</v>
      </c>
      <c r="G312" s="15" t="str">
        <f ca="1">IFERROR(__xludf.DUMMYFUNCTION("CONCATENATE(B312,(VLOOKUP(C312,CATALOGOS!$F$2:$H$6,3,FALSE)),(VLOOKUP(V312,CATALOGOS!$J$2:$K$18,2,FALSE)),""-"",TO_TEXT(A312))"),"P02PP-0311")</f>
        <v>P02PP-0311</v>
      </c>
      <c r="H312" s="6" t="str">
        <f ca="1">IFERROR(__xludf.DUMMYFUNCTION("CONCATENATE($B312,(VLOOKUP($C312,CATALOGOS!$F$2:$H$6,3,FALSE)),(VLOOKUP($V312,CATALOGOS!$J$2:$K$18,2,FALSE)),""-"",TO_TEXT($A312))"),"P02PP-0311")</f>
        <v>P02PP-0311</v>
      </c>
      <c r="I312" s="6"/>
      <c r="J312" s="6" t="s">
        <v>2195</v>
      </c>
      <c r="K312" s="6" t="s">
        <v>2196</v>
      </c>
      <c r="L312" s="6" t="s">
        <v>2197</v>
      </c>
      <c r="M312" s="6" t="s">
        <v>2198</v>
      </c>
      <c r="N312" s="17"/>
      <c r="O312" s="17"/>
      <c r="P312" s="17" t="str">
        <f t="shared" si="4"/>
        <v>OK</v>
      </c>
      <c r="Q312" s="17" t="s">
        <v>35</v>
      </c>
      <c r="R312" s="6" t="s">
        <v>35</v>
      </c>
      <c r="S312" s="17" t="s">
        <v>36</v>
      </c>
      <c r="T312" s="17" t="s">
        <v>2199</v>
      </c>
      <c r="U312" s="173" t="s">
        <v>38</v>
      </c>
      <c r="V312" s="11" t="s">
        <v>1548</v>
      </c>
      <c r="W312" s="20" t="s">
        <v>2052</v>
      </c>
      <c r="X312" s="20" t="s">
        <v>2052</v>
      </c>
      <c r="Y312" s="20"/>
      <c r="Z312" s="7"/>
      <c r="AA312" s="7"/>
      <c r="AB312" s="23"/>
      <c r="AC312" s="26"/>
    </row>
    <row r="313" spans="1:29" ht="15.75" customHeight="1">
      <c r="A313" s="10" t="s">
        <v>2200</v>
      </c>
      <c r="B313" s="10" t="s">
        <v>27</v>
      </c>
      <c r="C313" s="60" t="s">
        <v>1470</v>
      </c>
      <c r="D313" s="12"/>
      <c r="E313" s="13" t="s">
        <v>378</v>
      </c>
      <c r="F313" s="6" t="s">
        <v>2201</v>
      </c>
      <c r="G313" s="15" t="str">
        <f ca="1">IFERROR(__xludf.DUMMYFUNCTION("CONCATENATE(B313,(VLOOKUP(C313,CATALOGOS!$F$2:$H$6,3,FALSE)),(VLOOKUP(V313,CATALOGOS!$J$2:$K$18,2,FALSE)),""-"",TO_TEXT(A313))"),"P02PP-0312")</f>
        <v>P02PP-0312</v>
      </c>
      <c r="H313" s="6" t="str">
        <f ca="1">IFERROR(__xludf.DUMMYFUNCTION("CONCATENATE($B313,(VLOOKUP($C313,CATALOGOS!$F$2:$H$6,3,FALSE)),(VLOOKUP($V313,CATALOGOS!$J$2:$K$18,2,FALSE)),""-"",TO_TEXT($A313))"),"P02PP-0312")</f>
        <v>P02PP-0312</v>
      </c>
      <c r="I313" s="6"/>
      <c r="J313" s="6" t="s">
        <v>2202</v>
      </c>
      <c r="K313" s="6" t="s">
        <v>2203</v>
      </c>
      <c r="L313" s="6" t="s">
        <v>2204</v>
      </c>
      <c r="M313" s="6" t="s">
        <v>2205</v>
      </c>
      <c r="N313" s="17"/>
      <c r="O313" s="17"/>
      <c r="P313" s="17" t="str">
        <f t="shared" si="4"/>
        <v>OK</v>
      </c>
      <c r="Q313" s="17" t="s">
        <v>35</v>
      </c>
      <c r="R313" s="6" t="s">
        <v>35</v>
      </c>
      <c r="S313" s="17" t="s">
        <v>36</v>
      </c>
      <c r="T313" s="17" t="s">
        <v>2206</v>
      </c>
      <c r="U313" s="173" t="s">
        <v>38</v>
      </c>
      <c r="V313" s="11" t="s">
        <v>1548</v>
      </c>
      <c r="W313" s="20" t="s">
        <v>2052</v>
      </c>
      <c r="X313" s="20" t="s">
        <v>2052</v>
      </c>
      <c r="Y313" s="20"/>
      <c r="Z313" s="7"/>
      <c r="AA313" s="7"/>
      <c r="AB313" s="23"/>
      <c r="AC313" s="26"/>
    </row>
    <row r="314" spans="1:29" ht="15.75" customHeight="1">
      <c r="A314" s="10" t="s">
        <v>2207</v>
      </c>
      <c r="B314" s="10" t="s">
        <v>27</v>
      </c>
      <c r="C314" s="60" t="s">
        <v>1470</v>
      </c>
      <c r="D314" s="12"/>
      <c r="E314" s="13" t="s">
        <v>62</v>
      </c>
      <c r="F314" s="6" t="s">
        <v>2208</v>
      </c>
      <c r="G314" s="15" t="str">
        <f ca="1">IFERROR(__xludf.DUMMYFUNCTION("CONCATENATE(B314,(VLOOKUP(C314,CATALOGOS!$F$2:$H$6,3,FALSE)),(VLOOKUP(V314,CATALOGOS!$J$2:$K$18,2,FALSE)),""-"",TO_TEXT(A314))"),"P02PP-0313")</f>
        <v>P02PP-0313</v>
      </c>
      <c r="H314" s="6" t="str">
        <f ca="1">IFERROR(__xludf.DUMMYFUNCTION("CONCATENATE($B314,(VLOOKUP($C314,CATALOGOS!$F$2:$H$6,3,FALSE)),(VLOOKUP($V314,CATALOGOS!$J$2:$K$18,2,FALSE)),""-"",TO_TEXT($A314))"),"P02PP-0313")</f>
        <v>P02PP-0313</v>
      </c>
      <c r="I314" s="6"/>
      <c r="J314" s="6" t="s">
        <v>2209</v>
      </c>
      <c r="K314" s="6" t="s">
        <v>2210</v>
      </c>
      <c r="L314" s="6" t="s">
        <v>2211</v>
      </c>
      <c r="M314" s="6" t="s">
        <v>2212</v>
      </c>
      <c r="N314" s="17"/>
      <c r="O314" s="17"/>
      <c r="P314" s="17" t="str">
        <f t="shared" si="4"/>
        <v>OK</v>
      </c>
      <c r="Q314" s="17" t="s">
        <v>35</v>
      </c>
      <c r="R314" s="6" t="s">
        <v>35</v>
      </c>
      <c r="S314" s="17" t="s">
        <v>36</v>
      </c>
      <c r="T314" s="17" t="s">
        <v>2213</v>
      </c>
      <c r="U314" s="173" t="s">
        <v>38</v>
      </c>
      <c r="V314" s="11" t="s">
        <v>1548</v>
      </c>
      <c r="W314" s="20" t="s">
        <v>2052</v>
      </c>
      <c r="X314" s="20" t="s">
        <v>2052</v>
      </c>
      <c r="Y314" s="20"/>
      <c r="Z314" s="7"/>
      <c r="AA314" s="7"/>
      <c r="AB314" s="23"/>
      <c r="AC314" s="26"/>
    </row>
    <row r="315" spans="1:29" ht="15.75" customHeight="1">
      <c r="A315" s="10" t="s">
        <v>2214</v>
      </c>
      <c r="B315" s="10" t="s">
        <v>27</v>
      </c>
      <c r="C315" s="60" t="s">
        <v>1470</v>
      </c>
      <c r="D315" s="12"/>
      <c r="E315" s="13" t="s">
        <v>93</v>
      </c>
      <c r="F315" s="6" t="s">
        <v>2215</v>
      </c>
      <c r="G315" s="15" t="str">
        <f ca="1">IFERROR(__xludf.DUMMYFUNCTION("CONCATENATE(B315,(VLOOKUP(C315,CATALOGOS!$F$2:$H$6,3,FALSE)),(VLOOKUP(V315,CATALOGOS!$J$2:$K$18,2,FALSE)),""-"",TO_TEXT(A315))"),"P02PP-0314")</f>
        <v>P02PP-0314</v>
      </c>
      <c r="H315" s="6" t="str">
        <f ca="1">IFERROR(__xludf.DUMMYFUNCTION("CONCATENATE($B315,(VLOOKUP($C315,CATALOGOS!$F$2:$H$6,3,FALSE)),(VLOOKUP($V315,CATALOGOS!$J$2:$K$18,2,FALSE)),""-"",TO_TEXT($A315))"),"P02PP-0314")</f>
        <v>P02PP-0314</v>
      </c>
      <c r="I315" s="6"/>
      <c r="J315" s="6" t="s">
        <v>2216</v>
      </c>
      <c r="K315" s="6" t="s">
        <v>2217</v>
      </c>
      <c r="L315" s="6" t="s">
        <v>2218</v>
      </c>
      <c r="M315" s="6" t="s">
        <v>2219</v>
      </c>
      <c r="N315" s="17"/>
      <c r="O315" s="17"/>
      <c r="P315" s="17" t="str">
        <f t="shared" si="4"/>
        <v>OK</v>
      </c>
      <c r="Q315" s="17" t="s">
        <v>35</v>
      </c>
      <c r="R315" s="6" t="s">
        <v>35</v>
      </c>
      <c r="S315" s="17" t="s">
        <v>36</v>
      </c>
      <c r="T315" s="17" t="s">
        <v>2220</v>
      </c>
      <c r="U315" s="173" t="s">
        <v>38</v>
      </c>
      <c r="V315" s="11" t="s">
        <v>1548</v>
      </c>
      <c r="W315" s="20" t="s">
        <v>2052</v>
      </c>
      <c r="X315" s="20" t="s">
        <v>2052</v>
      </c>
      <c r="Y315" s="20"/>
      <c r="Z315" s="7"/>
      <c r="AA315" s="7"/>
      <c r="AB315" s="23"/>
      <c r="AC315" s="26"/>
    </row>
    <row r="316" spans="1:29" ht="15.75" customHeight="1">
      <c r="A316" s="10" t="s">
        <v>2221</v>
      </c>
      <c r="B316" s="10" t="s">
        <v>27</v>
      </c>
      <c r="C316" s="60" t="s">
        <v>1470</v>
      </c>
      <c r="D316" s="12"/>
      <c r="E316" s="13" t="s">
        <v>93</v>
      </c>
      <c r="F316" s="6" t="s">
        <v>2222</v>
      </c>
      <c r="G316" s="15" t="str">
        <f ca="1">IFERROR(__xludf.DUMMYFUNCTION("CONCATENATE(B316,(VLOOKUP(C316,CATALOGOS!$F$2:$H$6,3,FALSE)),(VLOOKUP(V316,CATALOGOS!$J$2:$K$18,2,FALSE)),""-"",TO_TEXT(A316))"),"P02PP-0315")</f>
        <v>P02PP-0315</v>
      </c>
      <c r="H316" s="6" t="str">
        <f ca="1">IFERROR(__xludf.DUMMYFUNCTION("CONCATENATE($B316,(VLOOKUP($C316,CATALOGOS!$F$2:$H$6,3,FALSE)),(VLOOKUP($V316,CATALOGOS!$J$2:$K$18,2,FALSE)),""-"",TO_TEXT($A316))"),"P02PP-0315")</f>
        <v>P02PP-0315</v>
      </c>
      <c r="I316" s="6"/>
      <c r="J316" s="6" t="s">
        <v>2223</v>
      </c>
      <c r="K316" s="6" t="s">
        <v>2224</v>
      </c>
      <c r="L316" s="6" t="s">
        <v>2225</v>
      </c>
      <c r="M316" s="6" t="s">
        <v>2226</v>
      </c>
      <c r="N316" s="17"/>
      <c r="O316" s="17"/>
      <c r="P316" s="17" t="str">
        <f t="shared" si="4"/>
        <v>OK</v>
      </c>
      <c r="Q316" s="17" t="s">
        <v>35</v>
      </c>
      <c r="R316" s="6" t="s">
        <v>35</v>
      </c>
      <c r="S316" s="17" t="s">
        <v>36</v>
      </c>
      <c r="T316" s="17" t="s">
        <v>2227</v>
      </c>
      <c r="U316" s="173" t="s">
        <v>38</v>
      </c>
      <c r="V316" s="11" t="s">
        <v>1548</v>
      </c>
      <c r="W316" s="20" t="s">
        <v>2052</v>
      </c>
      <c r="X316" s="20" t="s">
        <v>2052</v>
      </c>
      <c r="Y316" s="20"/>
      <c r="Z316" s="7"/>
      <c r="AA316" s="7"/>
      <c r="AB316" s="23"/>
      <c r="AC316" s="26"/>
    </row>
    <row r="317" spans="1:29" ht="15.75" customHeight="1">
      <c r="A317" s="10" t="s">
        <v>2228</v>
      </c>
      <c r="B317" s="10" t="s">
        <v>27</v>
      </c>
      <c r="C317" s="60" t="s">
        <v>1470</v>
      </c>
      <c r="D317" s="12"/>
      <c r="E317" s="13" t="s">
        <v>184</v>
      </c>
      <c r="F317" s="6" t="s">
        <v>2229</v>
      </c>
      <c r="G317" s="15" t="str">
        <f ca="1">IFERROR(__xludf.DUMMYFUNCTION("CONCATENATE(B317,(VLOOKUP(C317,CATALOGOS!$F$2:$H$6,3,FALSE)),(VLOOKUP(V317,CATALOGOS!$J$2:$K$18,2,FALSE)),""-"",TO_TEXT(A317))"),"P02PP-0316")</f>
        <v>P02PP-0316</v>
      </c>
      <c r="H317" s="6" t="str">
        <f ca="1">IFERROR(__xludf.DUMMYFUNCTION("CONCATENATE($B317,(VLOOKUP($C317,CATALOGOS!$F$2:$H$6,3,FALSE)),(VLOOKUP($V317,CATALOGOS!$J$2:$K$18,2,FALSE)),""-"",TO_TEXT($A317))"),"P02PP-0316")</f>
        <v>P02PP-0316</v>
      </c>
      <c r="I317" s="6"/>
      <c r="J317" s="6" t="s">
        <v>2230</v>
      </c>
      <c r="K317" s="6" t="s">
        <v>2231</v>
      </c>
      <c r="L317" s="6" t="s">
        <v>2232</v>
      </c>
      <c r="M317" s="6" t="s">
        <v>2233</v>
      </c>
      <c r="N317" s="17"/>
      <c r="O317" s="17"/>
      <c r="P317" s="17" t="str">
        <f t="shared" si="4"/>
        <v>OK</v>
      </c>
      <c r="Q317" s="17" t="s">
        <v>35</v>
      </c>
      <c r="R317" s="6" t="s">
        <v>35</v>
      </c>
      <c r="S317" s="17" t="s">
        <v>36</v>
      </c>
      <c r="T317" s="17" t="s">
        <v>2234</v>
      </c>
      <c r="U317" s="173" t="s">
        <v>38</v>
      </c>
      <c r="V317" s="11" t="s">
        <v>1548</v>
      </c>
      <c r="W317" s="20" t="s">
        <v>2052</v>
      </c>
      <c r="X317" s="20" t="s">
        <v>2052</v>
      </c>
      <c r="Y317" s="20"/>
      <c r="Z317" s="7"/>
      <c r="AA317" s="7"/>
      <c r="AB317" s="23"/>
      <c r="AC317" s="26"/>
    </row>
    <row r="318" spans="1:29" ht="15.75" customHeight="1">
      <c r="A318" s="10" t="s">
        <v>2235</v>
      </c>
      <c r="B318" s="10" t="s">
        <v>27</v>
      </c>
      <c r="C318" s="60" t="s">
        <v>1470</v>
      </c>
      <c r="D318" s="12"/>
      <c r="E318" s="13" t="s">
        <v>151</v>
      </c>
      <c r="F318" s="6" t="s">
        <v>2236</v>
      </c>
      <c r="G318" s="15" t="str">
        <f ca="1">IFERROR(__xludf.DUMMYFUNCTION("CONCATENATE(B318,(VLOOKUP(C318,CATALOGOS!$F$2:$H$6,3,FALSE)),(VLOOKUP(V318,CATALOGOS!$J$2:$K$18,2,FALSE)),""-"",TO_TEXT(A318))"),"P02PP-0317")</f>
        <v>P02PP-0317</v>
      </c>
      <c r="H318" s="6" t="str">
        <f ca="1">IFERROR(__xludf.DUMMYFUNCTION("CONCATENATE($B318,(VLOOKUP($C318,CATALOGOS!$F$2:$H$6,3,FALSE)),(VLOOKUP($V318,CATALOGOS!$J$2:$K$18,2,FALSE)),""-"",TO_TEXT($A318))"),"P02PP-0317")</f>
        <v>P02PP-0317</v>
      </c>
      <c r="I318" s="6"/>
      <c r="J318" s="6" t="s">
        <v>2237</v>
      </c>
      <c r="K318" s="6" t="s">
        <v>2238</v>
      </c>
      <c r="L318" s="6" t="s">
        <v>2239</v>
      </c>
      <c r="M318" s="6" t="s">
        <v>2240</v>
      </c>
      <c r="N318" s="17"/>
      <c r="O318" s="17"/>
      <c r="P318" s="17" t="str">
        <f t="shared" si="4"/>
        <v>OK</v>
      </c>
      <c r="Q318" s="17" t="s">
        <v>703</v>
      </c>
      <c r="R318" s="6" t="s">
        <v>2241</v>
      </c>
      <c r="S318" s="17" t="s">
        <v>2242</v>
      </c>
      <c r="T318" s="10" t="s">
        <v>2243</v>
      </c>
      <c r="U318" s="18" t="s">
        <v>38</v>
      </c>
      <c r="V318" s="11" t="s">
        <v>1548</v>
      </c>
      <c r="W318" s="20" t="s">
        <v>2052</v>
      </c>
      <c r="X318" s="20" t="s">
        <v>2052</v>
      </c>
      <c r="Y318" s="20"/>
      <c r="Z318" s="7"/>
      <c r="AA318" s="7"/>
      <c r="AB318" s="23"/>
      <c r="AC318" s="26"/>
    </row>
    <row r="319" spans="1:29" ht="15.75" customHeight="1">
      <c r="A319" s="10" t="s">
        <v>2244</v>
      </c>
      <c r="B319" s="10" t="s">
        <v>27</v>
      </c>
      <c r="C319" s="60" t="s">
        <v>1470</v>
      </c>
      <c r="D319" s="12"/>
      <c r="E319" s="13" t="s">
        <v>199</v>
      </c>
      <c r="F319" s="6" t="s">
        <v>199</v>
      </c>
      <c r="G319" s="15" t="str">
        <f ca="1">IFERROR(__xludf.DUMMYFUNCTION("CONCATENATE(B319,(VLOOKUP(C319,CATALOGOS!$F$2:$H$6,3,FALSE)),(VLOOKUP(V319,CATALOGOS!$J$2:$K$18,2,FALSE)),""-"",TO_TEXT(A319))"),"P02PP-0318")</f>
        <v>P02PP-0318</v>
      </c>
      <c r="H319" s="6" t="str">
        <f ca="1">IFERROR(__xludf.DUMMYFUNCTION("CONCATENATE($B319,(VLOOKUP($C319,CATALOGOS!$F$2:$H$6,3,FALSE)),(VLOOKUP($V319,CATALOGOS!$J$2:$K$18,2,FALSE)),""-"",TO_TEXT($A319))"),"P02PP-0318")</f>
        <v>P02PP-0318</v>
      </c>
      <c r="I319" s="6"/>
      <c r="J319" s="6" t="s">
        <v>2245</v>
      </c>
      <c r="K319" s="6" t="s">
        <v>2246</v>
      </c>
      <c r="L319" s="6" t="s">
        <v>2247</v>
      </c>
      <c r="M319" s="6" t="s">
        <v>2248</v>
      </c>
      <c r="N319" s="17"/>
      <c r="O319" s="17"/>
      <c r="P319" s="17" t="str">
        <f t="shared" si="4"/>
        <v>OK</v>
      </c>
      <c r="Q319" s="17" t="s">
        <v>205</v>
      </c>
      <c r="R319" s="6" t="s">
        <v>794</v>
      </c>
      <c r="S319" s="17" t="s">
        <v>2249</v>
      </c>
      <c r="T319" s="17" t="s">
        <v>2250</v>
      </c>
      <c r="U319" s="179" t="s">
        <v>517</v>
      </c>
      <c r="V319" s="11" t="s">
        <v>1548</v>
      </c>
      <c r="W319" s="20" t="s">
        <v>2052</v>
      </c>
      <c r="X319" s="20" t="s">
        <v>2052</v>
      </c>
      <c r="Y319" s="20"/>
      <c r="Z319" s="7"/>
      <c r="AA319" s="7"/>
      <c r="AB319" s="23"/>
      <c r="AC319" s="26"/>
    </row>
    <row r="320" spans="1:29" ht="15.75" customHeight="1">
      <c r="A320" s="10" t="s">
        <v>2251</v>
      </c>
      <c r="B320" s="10" t="s">
        <v>27</v>
      </c>
      <c r="C320" s="60" t="s">
        <v>1470</v>
      </c>
      <c r="D320" s="12"/>
      <c r="E320" s="13" t="s">
        <v>43</v>
      </c>
      <c r="F320" s="6" t="s">
        <v>1688</v>
      </c>
      <c r="G320" s="15" t="str">
        <f ca="1">IFERROR(__xludf.DUMMYFUNCTION("CONCATENATE(B320,(VLOOKUP(C320,CATALOGOS!$F$2:$H$6,3,FALSE)),(VLOOKUP(V320,CATALOGOS!$J$2:$K$18,2,FALSE)),""-"",TO_TEXT(A320))"),"P02PP-0319")</f>
        <v>P02PP-0319</v>
      </c>
      <c r="H320" s="6" t="str">
        <f ca="1">IFERROR(__xludf.DUMMYFUNCTION("CONCATENATE($B320,(VLOOKUP($C320,CATALOGOS!$F$2:$H$6,3,FALSE)),(VLOOKUP($V320,CATALOGOS!$J$2:$K$18,2,FALSE)),""-"",TO_TEXT($A320))"),"P02PP-0319")</f>
        <v>P02PP-0319</v>
      </c>
      <c r="I320" s="6"/>
      <c r="J320" s="6" t="s">
        <v>2252</v>
      </c>
      <c r="K320" s="6" t="s">
        <v>2253</v>
      </c>
      <c r="L320" s="6" t="s">
        <v>2254</v>
      </c>
      <c r="M320" s="6" t="s">
        <v>2255</v>
      </c>
      <c r="N320" s="17"/>
      <c r="O320" s="17"/>
      <c r="P320" s="17" t="str">
        <f t="shared" si="4"/>
        <v>OK</v>
      </c>
      <c r="Q320" s="17" t="s">
        <v>49</v>
      </c>
      <c r="R320" s="6" t="s">
        <v>1989</v>
      </c>
      <c r="S320" s="17" t="s">
        <v>36</v>
      </c>
      <c r="T320" s="10" t="s">
        <v>2256</v>
      </c>
      <c r="U320" s="179" t="s">
        <v>517</v>
      </c>
      <c r="V320" s="11" t="s">
        <v>1548</v>
      </c>
      <c r="W320" s="20" t="s">
        <v>2052</v>
      </c>
      <c r="X320" s="20" t="s">
        <v>2052</v>
      </c>
      <c r="Y320" s="20"/>
      <c r="Z320" s="7"/>
      <c r="AA320" s="7"/>
      <c r="AB320" s="23"/>
      <c r="AC320" s="26"/>
    </row>
    <row r="321" spans="1:29" ht="15.75" customHeight="1">
      <c r="A321" s="10" t="s">
        <v>2257</v>
      </c>
      <c r="B321" s="10" t="s">
        <v>27</v>
      </c>
      <c r="C321" s="60" t="s">
        <v>1470</v>
      </c>
      <c r="D321" s="12"/>
      <c r="E321" s="13" t="s">
        <v>378</v>
      </c>
      <c r="F321" s="6" t="s">
        <v>2258</v>
      </c>
      <c r="G321" s="15" t="str">
        <f ca="1">IFERROR(__xludf.DUMMYFUNCTION("CONCATENATE(B321,(VLOOKUP(C321,CATALOGOS!$F$2:$H$6,3,FALSE)),(VLOOKUP(V321,CATALOGOS!$J$2:$K$18,2,FALSE)),""-"",TO_TEXT(A321))"),"P02PP-0320")</f>
        <v>P02PP-0320</v>
      </c>
      <c r="H321" s="6" t="str">
        <f ca="1">IFERROR(__xludf.DUMMYFUNCTION("CONCATENATE($B321,(VLOOKUP($C321,CATALOGOS!$F$2:$H$6,3,FALSE)),(VLOOKUP($V321,CATALOGOS!$J$2:$K$18,2,FALSE)),""-"",TO_TEXT($A321))"),"P02PP-0320")</f>
        <v>P02PP-0320</v>
      </c>
      <c r="I321" s="6"/>
      <c r="J321" s="6" t="s">
        <v>2259</v>
      </c>
      <c r="K321" s="6" t="s">
        <v>2260</v>
      </c>
      <c r="L321" s="36"/>
      <c r="M321" s="6" t="s">
        <v>141</v>
      </c>
      <c r="N321" s="17"/>
      <c r="O321" s="17"/>
      <c r="P321" s="17" t="str">
        <f t="shared" si="4"/>
        <v>REPETIDO</v>
      </c>
      <c r="Q321" s="17" t="s">
        <v>35</v>
      </c>
      <c r="R321" s="6" t="s">
        <v>35</v>
      </c>
      <c r="S321" s="6" t="s">
        <v>36</v>
      </c>
      <c r="T321" s="10" t="s">
        <v>85</v>
      </c>
      <c r="U321" s="173" t="s">
        <v>38</v>
      </c>
      <c r="V321" s="11" t="s">
        <v>1548</v>
      </c>
      <c r="W321" s="20" t="s">
        <v>2052</v>
      </c>
      <c r="X321" s="20" t="s">
        <v>2052</v>
      </c>
      <c r="Y321" s="20"/>
      <c r="Z321" s="6"/>
      <c r="AA321" s="6"/>
      <c r="AB321" s="23"/>
      <c r="AC321" s="33"/>
    </row>
    <row r="322" spans="1:29" ht="15.75" customHeight="1">
      <c r="A322" s="10" t="s">
        <v>2261</v>
      </c>
      <c r="B322" s="10" t="s">
        <v>27</v>
      </c>
      <c r="C322" s="60" t="s">
        <v>1470</v>
      </c>
      <c r="D322" s="12"/>
      <c r="E322" s="13" t="s">
        <v>378</v>
      </c>
      <c r="F322" s="6" t="s">
        <v>2262</v>
      </c>
      <c r="G322" s="15" t="str">
        <f ca="1">IFERROR(__xludf.DUMMYFUNCTION("CONCATENATE(B322,(VLOOKUP(C322,CATALOGOS!$F$2:$H$6,3,FALSE)),(VLOOKUP(V322,CATALOGOS!$J$2:$K$18,2,FALSE)),""-"",TO_TEXT(A322))"),"P02PP-0321")</f>
        <v>P02PP-0321</v>
      </c>
      <c r="H322" s="6" t="str">
        <f ca="1">IFERROR(__xludf.DUMMYFUNCTION("CONCATENATE($B322,(VLOOKUP($C322,CATALOGOS!$F$2:$H$6,3,FALSE)),(VLOOKUP($V322,CATALOGOS!$J$2:$K$18,2,FALSE)),""-"",TO_TEXT($A322))"),"P02PP-0321")</f>
        <v>P02PP-0321</v>
      </c>
      <c r="I322" s="6"/>
      <c r="J322" s="6" t="s">
        <v>2263</v>
      </c>
      <c r="K322" s="6" t="s">
        <v>2264</v>
      </c>
      <c r="L322" s="36"/>
      <c r="M322" s="6" t="s">
        <v>141</v>
      </c>
      <c r="N322" s="17"/>
      <c r="O322" s="17"/>
      <c r="P322" s="17" t="str">
        <f t="shared" si="4"/>
        <v>REPETIDO</v>
      </c>
      <c r="Q322" s="17" t="s">
        <v>35</v>
      </c>
      <c r="R322" s="6" t="s">
        <v>35</v>
      </c>
      <c r="S322" s="6" t="s">
        <v>36</v>
      </c>
      <c r="T322" s="10" t="s">
        <v>85</v>
      </c>
      <c r="U322" s="173" t="s">
        <v>38</v>
      </c>
      <c r="V322" s="11" t="s">
        <v>1548</v>
      </c>
      <c r="W322" s="20" t="s">
        <v>2052</v>
      </c>
      <c r="X322" s="20" t="s">
        <v>2052</v>
      </c>
      <c r="Y322" s="20"/>
      <c r="Z322" s="6"/>
      <c r="AA322" s="6"/>
      <c r="AB322" s="23"/>
      <c r="AC322" s="33"/>
    </row>
    <row r="323" spans="1:29" ht="15.75" customHeight="1">
      <c r="A323" s="10" t="s">
        <v>2265</v>
      </c>
      <c r="B323" s="10" t="s">
        <v>27</v>
      </c>
      <c r="C323" s="60" t="s">
        <v>1470</v>
      </c>
      <c r="D323" s="38"/>
      <c r="E323" s="13" t="s">
        <v>353</v>
      </c>
      <c r="F323" s="6" t="s">
        <v>638</v>
      </c>
      <c r="G323" s="15" t="str">
        <f ca="1">IFERROR(__xludf.DUMMYFUNCTION("CONCATENATE(B323,(VLOOKUP(C323,CATALOGOS!$F$2:$H$6,3,FALSE)),(VLOOKUP(V323,CATALOGOS!$J$2:$K$18,2,FALSE)),""-"",TO_TEXT(A323))"),"P02PP-0322")</f>
        <v>P02PP-0322</v>
      </c>
      <c r="H323" s="6" t="str">
        <f ca="1">IFERROR(__xludf.DUMMYFUNCTION("CONCATENATE($B323,(VLOOKUP($C323,CATALOGOS!$F$2:$H$6,3,FALSE)),(VLOOKUP($V323,CATALOGOS!$J$2:$K$18,2,FALSE)),""-"",TO_TEXT($A323))"),"P02PP-0322")</f>
        <v>P02PP-0322</v>
      </c>
      <c r="I323" s="6"/>
      <c r="J323" s="6" t="s">
        <v>2266</v>
      </c>
      <c r="K323" s="6" t="s">
        <v>2267</v>
      </c>
      <c r="L323" s="6" t="s">
        <v>2268</v>
      </c>
      <c r="M323" s="6" t="s">
        <v>2269</v>
      </c>
      <c r="N323" s="17"/>
      <c r="O323" s="17"/>
      <c r="P323" s="17" t="str">
        <f t="shared" si="4"/>
        <v>OK</v>
      </c>
      <c r="Q323" s="17" t="s">
        <v>359</v>
      </c>
      <c r="R323" s="6" t="s">
        <v>938</v>
      </c>
      <c r="S323" s="46" t="s">
        <v>2270</v>
      </c>
      <c r="T323" s="32" t="s">
        <v>2271</v>
      </c>
      <c r="U323" s="173" t="s">
        <v>38</v>
      </c>
      <c r="V323" s="11" t="s">
        <v>1548</v>
      </c>
      <c r="W323" s="20" t="s">
        <v>2052</v>
      </c>
      <c r="X323" s="20" t="s">
        <v>2052</v>
      </c>
      <c r="Y323" s="20"/>
      <c r="Z323" s="7"/>
      <c r="AA323" s="7"/>
      <c r="AB323" s="26"/>
      <c r="AC323" s="26"/>
    </row>
    <row r="324" spans="1:29" ht="15.75" customHeight="1">
      <c r="A324" s="10" t="s">
        <v>2272</v>
      </c>
      <c r="B324" s="10" t="s">
        <v>27</v>
      </c>
      <c r="C324" s="60" t="s">
        <v>1470</v>
      </c>
      <c r="D324" s="12"/>
      <c r="E324" s="13" t="s">
        <v>501</v>
      </c>
      <c r="F324" s="6" t="s">
        <v>2273</v>
      </c>
      <c r="G324" s="15" t="str">
        <f ca="1">IFERROR(__xludf.DUMMYFUNCTION("CONCATENATE(B324,(VLOOKUP(C324,CATALOGOS!$F$2:$H$6,3,FALSE)),(VLOOKUP(V324,CATALOGOS!$J$2:$K$18,2,FALSE)),""-"",TO_TEXT(A324))"),"P02PP-0323")</f>
        <v>P02PP-0323</v>
      </c>
      <c r="H324" s="6" t="str">
        <f ca="1">IFERROR(__xludf.DUMMYFUNCTION("CONCATENATE($B324,(VLOOKUP($C324,CATALOGOS!$F$2:$H$6,3,FALSE)),(VLOOKUP($V324,CATALOGOS!$J$2:$K$18,2,FALSE)),""-"",TO_TEXT($A324))"),"P02PP-0323")</f>
        <v>P02PP-0323</v>
      </c>
      <c r="I324" s="6"/>
      <c r="J324" s="6" t="s">
        <v>2274</v>
      </c>
      <c r="K324" s="6" t="s">
        <v>2275</v>
      </c>
      <c r="L324" s="36"/>
      <c r="M324" s="6" t="s">
        <v>141</v>
      </c>
      <c r="N324" s="17"/>
      <c r="O324" s="17"/>
      <c r="P324" s="17" t="str">
        <f t="shared" si="4"/>
        <v>REPETIDO</v>
      </c>
      <c r="Q324" s="17" t="s">
        <v>35</v>
      </c>
      <c r="R324" s="6" t="s">
        <v>35</v>
      </c>
      <c r="S324" s="6" t="s">
        <v>36</v>
      </c>
      <c r="T324" s="10" t="s">
        <v>85</v>
      </c>
      <c r="U324" s="173" t="s">
        <v>38</v>
      </c>
      <c r="V324" s="11" t="s">
        <v>1548</v>
      </c>
      <c r="W324" s="22" t="s">
        <v>1983</v>
      </c>
      <c r="X324" s="22" t="s">
        <v>1983</v>
      </c>
      <c r="Y324" s="22"/>
      <c r="Z324" s="7"/>
      <c r="AA324" s="7"/>
      <c r="AB324" s="23"/>
      <c r="AC324" s="26"/>
    </row>
    <row r="325" spans="1:29" ht="15.75" customHeight="1">
      <c r="A325" s="10" t="s">
        <v>2276</v>
      </c>
      <c r="B325" s="10" t="s">
        <v>27</v>
      </c>
      <c r="C325" s="60" t="s">
        <v>1470</v>
      </c>
      <c r="D325" s="12"/>
      <c r="E325" s="13" t="s">
        <v>501</v>
      </c>
      <c r="F325" s="6" t="s">
        <v>2277</v>
      </c>
      <c r="G325" s="15" t="str">
        <f ca="1">IFERROR(__xludf.DUMMYFUNCTION("CONCATENATE(B325,(VLOOKUP(C325,CATALOGOS!$F$2:$H$6,3,FALSE)),(VLOOKUP(V325,CATALOGOS!$J$2:$K$18,2,FALSE)),""-"",TO_TEXT(A325))"),"P02PP-0324")</f>
        <v>P02PP-0324</v>
      </c>
      <c r="H325" s="6" t="str">
        <f ca="1">IFERROR(__xludf.DUMMYFUNCTION("CONCATENATE($B325,(VLOOKUP($C325,CATALOGOS!$F$2:$H$6,3,FALSE)),(VLOOKUP($V325,CATALOGOS!$J$2:$K$18,2,FALSE)),""-"",TO_TEXT($A325))"),"P02PP-0324")</f>
        <v>P02PP-0324</v>
      </c>
      <c r="I325" s="6"/>
      <c r="J325" s="6" t="s">
        <v>2278</v>
      </c>
      <c r="K325" s="6" t="s">
        <v>2279</v>
      </c>
      <c r="L325" s="36"/>
      <c r="M325" s="6" t="s">
        <v>141</v>
      </c>
      <c r="N325" s="17"/>
      <c r="O325" s="17"/>
      <c r="P325" s="17" t="str">
        <f t="shared" si="4"/>
        <v>REPETIDO</v>
      </c>
      <c r="Q325" s="17" t="s">
        <v>35</v>
      </c>
      <c r="R325" s="6" t="s">
        <v>35</v>
      </c>
      <c r="S325" s="6" t="s">
        <v>36</v>
      </c>
      <c r="T325" s="10" t="s">
        <v>85</v>
      </c>
      <c r="U325" s="173" t="s">
        <v>38</v>
      </c>
      <c r="V325" s="11" t="s">
        <v>1548</v>
      </c>
      <c r="W325" s="22" t="s">
        <v>1983</v>
      </c>
      <c r="X325" s="22" t="s">
        <v>1983</v>
      </c>
      <c r="Y325" s="22"/>
      <c r="Z325" s="7"/>
      <c r="AA325" s="7"/>
      <c r="AB325" s="23"/>
      <c r="AC325" s="26"/>
    </row>
    <row r="326" spans="1:29" ht="15.75" customHeight="1">
      <c r="A326" s="10" t="s">
        <v>2280</v>
      </c>
      <c r="B326" s="10" t="s">
        <v>27</v>
      </c>
      <c r="C326" s="60" t="s">
        <v>1470</v>
      </c>
      <c r="D326" s="38"/>
      <c r="E326" s="13" t="s">
        <v>501</v>
      </c>
      <c r="F326" s="6" t="s">
        <v>2281</v>
      </c>
      <c r="G326" s="15" t="str">
        <f ca="1">IFERROR(__xludf.DUMMYFUNCTION("CONCATENATE(B326,(VLOOKUP(C326,CATALOGOS!$F$2:$H$6,3,FALSE)),(VLOOKUP(V326,CATALOGOS!$J$2:$K$18,2,FALSE)),""-"",TO_TEXT(A326))"),"P02PP-0325")</f>
        <v>P02PP-0325</v>
      </c>
      <c r="H326" s="6" t="str">
        <f ca="1">IFERROR(__xludf.DUMMYFUNCTION("CONCATENATE($B326,(VLOOKUP($C326,CATALOGOS!$F$2:$H$6,3,FALSE)),(VLOOKUP($V326,CATALOGOS!$J$2:$K$18,2,FALSE)),""-"",TO_TEXT($A326))"),"P02PP-0325")</f>
        <v>P02PP-0325</v>
      </c>
      <c r="I326" s="6"/>
      <c r="J326" s="6" t="s">
        <v>2282</v>
      </c>
      <c r="K326" s="6" t="s">
        <v>2283</v>
      </c>
      <c r="L326" s="36"/>
      <c r="M326" s="6" t="s">
        <v>141</v>
      </c>
      <c r="N326" s="17"/>
      <c r="O326" s="17"/>
      <c r="P326" s="17" t="str">
        <f t="shared" si="4"/>
        <v>REPETIDO</v>
      </c>
      <c r="Q326" s="17" t="s">
        <v>35</v>
      </c>
      <c r="R326" s="6" t="s">
        <v>35</v>
      </c>
      <c r="S326" s="6" t="s">
        <v>36</v>
      </c>
      <c r="T326" s="32" t="s">
        <v>85</v>
      </c>
      <c r="U326" s="173" t="s">
        <v>38</v>
      </c>
      <c r="V326" s="11" t="s">
        <v>1548</v>
      </c>
      <c r="W326" s="20" t="s">
        <v>2052</v>
      </c>
      <c r="X326" s="20" t="s">
        <v>2052</v>
      </c>
      <c r="Y326" s="20"/>
      <c r="Z326" s="7"/>
      <c r="AA326" s="7"/>
      <c r="AB326" s="26"/>
      <c r="AC326" s="26"/>
    </row>
    <row r="327" spans="1:29" ht="15.75" customHeight="1">
      <c r="A327" s="10" t="s">
        <v>2284</v>
      </c>
      <c r="B327" s="10" t="s">
        <v>1469</v>
      </c>
      <c r="C327" s="60" t="s">
        <v>1470</v>
      </c>
      <c r="D327" s="12"/>
      <c r="E327" s="13" t="s">
        <v>501</v>
      </c>
      <c r="F327" s="6" t="s">
        <v>2285</v>
      </c>
      <c r="G327" s="6" t="str">
        <f ca="1">IFERROR(__xludf.DUMMYFUNCTION("CONCATENATE(B327,(VLOOKUP(C327,CATALOGOS!$F$2:$H$6,3,FALSE)),(VLOOKUP(V327,CATALOGOS!$J$2:$K$18,2,FALSE)),""-"",TO_TEXT(A327))"),"P12SI-0326")</f>
        <v>P12SI-0326</v>
      </c>
      <c r="H327" s="6" t="str">
        <f ca="1">IFERROR(__xludf.DUMMYFUNCTION("CONCATENATE($B327,(VLOOKUP($C327,CATALOGOS!$F$2:$H$6,3,FALSE)),(VLOOKUP($V327,CATALOGOS!$J$2:$K$18,2,FALSE)),""-"",TO_TEXT($A327))"),"P12SI-0326")</f>
        <v>P12SI-0326</v>
      </c>
      <c r="I327" s="6"/>
      <c r="J327" s="6" t="s">
        <v>2286</v>
      </c>
      <c r="K327" s="6" t="s">
        <v>2287</v>
      </c>
      <c r="L327" s="6" t="s">
        <v>2288</v>
      </c>
      <c r="M327" s="6" t="s">
        <v>2289</v>
      </c>
      <c r="N327" s="17"/>
      <c r="O327" s="17"/>
      <c r="P327" s="17" t="str">
        <f t="shared" si="4"/>
        <v>OK</v>
      </c>
      <c r="Q327" s="17" t="s">
        <v>35</v>
      </c>
      <c r="R327" s="6" t="s">
        <v>35</v>
      </c>
      <c r="S327" s="17" t="s">
        <v>36</v>
      </c>
      <c r="T327" s="17" t="s">
        <v>2290</v>
      </c>
      <c r="U327" s="173" t="s">
        <v>38</v>
      </c>
      <c r="V327" s="181" t="s">
        <v>1483</v>
      </c>
      <c r="W327" s="20" t="s">
        <v>1484</v>
      </c>
      <c r="X327" s="20" t="s">
        <v>1484</v>
      </c>
      <c r="Y327" s="20"/>
      <c r="Z327" s="7"/>
      <c r="AA327" s="7"/>
      <c r="AB327" s="23"/>
      <c r="AC327" s="26"/>
    </row>
    <row r="328" spans="1:29" ht="15.75" customHeight="1">
      <c r="A328" s="10" t="s">
        <v>2291</v>
      </c>
      <c r="B328" s="10" t="s">
        <v>1469</v>
      </c>
      <c r="C328" s="60" t="s">
        <v>1470</v>
      </c>
      <c r="D328" s="12"/>
      <c r="E328" s="13" t="s">
        <v>116</v>
      </c>
      <c r="F328" s="43" t="s">
        <v>2292</v>
      </c>
      <c r="G328" s="6" t="str">
        <f ca="1">IFERROR(__xludf.DUMMYFUNCTION("CONCATENATE(B328,(VLOOKUP(C328,CATALOGOS!$F$2:$H$6,3,FALSE)),(VLOOKUP(V328,CATALOGOS!$J$2:$K$18,2,FALSE)),""-"",TO_TEXT(A328))"),"P12SI-0327")</f>
        <v>P12SI-0327</v>
      </c>
      <c r="H328" s="6" t="str">
        <f ca="1">IFERROR(__xludf.DUMMYFUNCTION("CONCATENATE($B328,(VLOOKUP($C328,CATALOGOS!$F$2:$H$6,3,FALSE)),(VLOOKUP($V328,CATALOGOS!$J$2:$K$18,2,FALSE)),""-"",TO_TEXT($A328))"),"P12SI-0327")</f>
        <v>P12SI-0327</v>
      </c>
      <c r="I328" s="6"/>
      <c r="J328" s="6" t="s">
        <v>2293</v>
      </c>
      <c r="K328" s="6" t="s">
        <v>2294</v>
      </c>
      <c r="L328" s="6" t="s">
        <v>2295</v>
      </c>
      <c r="M328" s="6" t="s">
        <v>2296</v>
      </c>
      <c r="N328" s="17"/>
      <c r="O328" s="17"/>
      <c r="P328" s="17" t="str">
        <f t="shared" si="4"/>
        <v>OK</v>
      </c>
      <c r="Q328" s="17" t="s">
        <v>35</v>
      </c>
      <c r="R328" s="6" t="s">
        <v>35</v>
      </c>
      <c r="S328" s="17" t="s">
        <v>36</v>
      </c>
      <c r="T328" s="17" t="s">
        <v>2297</v>
      </c>
      <c r="U328" s="173" t="s">
        <v>38</v>
      </c>
      <c r="V328" s="181" t="s">
        <v>1483</v>
      </c>
      <c r="W328" s="20" t="s">
        <v>1484</v>
      </c>
      <c r="X328" s="20" t="s">
        <v>1484</v>
      </c>
      <c r="Y328" s="20"/>
      <c r="Z328" s="6"/>
      <c r="AA328" s="6"/>
      <c r="AB328" s="23"/>
      <c r="AC328" s="24"/>
    </row>
    <row r="329" spans="1:29" ht="15.75" customHeight="1">
      <c r="A329" s="10" t="s">
        <v>2298</v>
      </c>
      <c r="B329" s="10" t="s">
        <v>1469</v>
      </c>
      <c r="C329" s="60" t="s">
        <v>1470</v>
      </c>
      <c r="D329" s="12"/>
      <c r="E329" s="13" t="s">
        <v>2299</v>
      </c>
      <c r="F329" s="43" t="s">
        <v>2300</v>
      </c>
      <c r="G329" s="6" t="str">
        <f ca="1">IFERROR(__xludf.DUMMYFUNCTION("CONCATENATE(B329,(VLOOKUP(C329,CATALOGOS!$F$2:$H$6,3,FALSE)),(VLOOKUP(V329,CATALOGOS!$J$2:$K$18,2,FALSE)),""-"",TO_TEXT(A329))"),"P12SI-0328")</f>
        <v>P12SI-0328</v>
      </c>
      <c r="H329" s="6" t="str">
        <f ca="1">IFERROR(__xludf.DUMMYFUNCTION("CONCATENATE($B329,(VLOOKUP($C329,CATALOGOS!$F$2:$H$6,3,FALSE)),(VLOOKUP($V329,CATALOGOS!$J$2:$K$18,2,FALSE)),""-"",TO_TEXT($A329))"),"P12SI-0328")</f>
        <v>P12SI-0328</v>
      </c>
      <c r="I329" s="6"/>
      <c r="J329" s="6" t="s">
        <v>2301</v>
      </c>
      <c r="K329" s="6" t="s">
        <v>2302</v>
      </c>
      <c r="L329" s="6" t="s">
        <v>2303</v>
      </c>
      <c r="M329" s="6" t="s">
        <v>2304</v>
      </c>
      <c r="N329" s="17"/>
      <c r="O329" s="17"/>
      <c r="P329" s="17" t="str">
        <f t="shared" si="4"/>
        <v>OK</v>
      </c>
      <c r="Q329" s="17" t="s">
        <v>2305</v>
      </c>
      <c r="R329" s="6" t="s">
        <v>2306</v>
      </c>
      <c r="S329" s="17" t="s">
        <v>2307</v>
      </c>
      <c r="T329" s="17" t="s">
        <v>2308</v>
      </c>
      <c r="U329" s="173" t="s">
        <v>38</v>
      </c>
      <c r="V329" s="181" t="s">
        <v>1483</v>
      </c>
      <c r="W329" s="20" t="s">
        <v>1484</v>
      </c>
      <c r="X329" s="20" t="s">
        <v>1484</v>
      </c>
      <c r="Y329" s="20"/>
      <c r="Z329" s="6"/>
      <c r="AA329" s="6"/>
      <c r="AB329" s="23"/>
      <c r="AC329" s="24"/>
    </row>
    <row r="330" spans="1:29" ht="15.75" customHeight="1">
      <c r="A330" s="10" t="s">
        <v>2310</v>
      </c>
      <c r="B330" s="10" t="s">
        <v>1469</v>
      </c>
      <c r="C330" s="60" t="s">
        <v>1470</v>
      </c>
      <c r="D330" s="12"/>
      <c r="E330" s="13" t="s">
        <v>2311</v>
      </c>
      <c r="F330" s="43" t="s">
        <v>2312</v>
      </c>
      <c r="G330" s="6" t="str">
        <f ca="1">IFERROR(__xludf.DUMMYFUNCTION("CONCATENATE(B330,(VLOOKUP(C330,CATALOGOS!$F$2:$H$6,3,FALSE)),(VLOOKUP(V330,CATALOGOS!$J$2:$K$18,2,FALSE)),""-"",TO_TEXT(A330))"),"P12SI-0329")</f>
        <v>P12SI-0329</v>
      </c>
      <c r="H330" s="6" t="str">
        <f ca="1">IFERROR(__xludf.DUMMYFUNCTION("CONCATENATE($B330,(VLOOKUP($C330,CATALOGOS!$F$2:$H$6,3,FALSE)),(VLOOKUP($V330,CATALOGOS!$J$2:$K$18,2,FALSE)),""-"",TO_TEXT($A330))"),"P12SI-0329")</f>
        <v>P12SI-0329</v>
      </c>
      <c r="I330" s="6"/>
      <c r="J330" s="6" t="s">
        <v>2313</v>
      </c>
      <c r="K330" s="6" t="s">
        <v>2314</v>
      </c>
      <c r="L330" s="6" t="s">
        <v>2315</v>
      </c>
      <c r="M330" s="6" t="s">
        <v>2316</v>
      </c>
      <c r="N330" s="17"/>
      <c r="O330" s="17"/>
      <c r="P330" s="17" t="str">
        <f t="shared" si="4"/>
        <v>OK</v>
      </c>
      <c r="Q330" s="17" t="s">
        <v>2317</v>
      </c>
      <c r="R330" s="6" t="s">
        <v>2318</v>
      </c>
      <c r="S330" s="17" t="s">
        <v>2319</v>
      </c>
      <c r="T330" s="17" t="s">
        <v>2320</v>
      </c>
      <c r="U330" s="173" t="s">
        <v>38</v>
      </c>
      <c r="V330" s="181" t="s">
        <v>1483</v>
      </c>
      <c r="W330" s="20" t="s">
        <v>1484</v>
      </c>
      <c r="X330" s="20" t="s">
        <v>1484</v>
      </c>
      <c r="Y330" s="20"/>
      <c r="Z330" s="6"/>
      <c r="AA330" s="6"/>
      <c r="AB330" s="23"/>
      <c r="AC330" s="24"/>
    </row>
    <row r="331" spans="1:29" ht="15.75" customHeight="1">
      <c r="A331" s="10" t="s">
        <v>2321</v>
      </c>
      <c r="B331" s="10" t="s">
        <v>1469</v>
      </c>
      <c r="C331" s="60" t="s">
        <v>1470</v>
      </c>
      <c r="D331" s="12"/>
      <c r="E331" s="13" t="s">
        <v>93</v>
      </c>
      <c r="F331" s="6" t="s">
        <v>2322</v>
      </c>
      <c r="G331" s="6" t="str">
        <f ca="1">IFERROR(__xludf.DUMMYFUNCTION("CONCATENATE(B331,(VLOOKUP(C331,CATALOGOS!$F$2:$H$6,3,FALSE)),(VLOOKUP(V331,CATALOGOS!$J$2:$K$18,2,FALSE)),""-"",TO_TEXT(A331))"),"P12SI-0330")</f>
        <v>P12SI-0330</v>
      </c>
      <c r="H331" s="6" t="str">
        <f ca="1">IFERROR(__xludf.DUMMYFUNCTION("CONCATENATE($B331,(VLOOKUP($C331,CATALOGOS!$F$2:$H$6,3,FALSE)),(VLOOKUP($V331,CATALOGOS!$J$2:$K$18,2,FALSE)),""-"",TO_TEXT($A331))"),"P12SI-0330")</f>
        <v>P12SI-0330</v>
      </c>
      <c r="I331" s="6"/>
      <c r="J331" s="6" t="s">
        <v>2323</v>
      </c>
      <c r="K331" s="6" t="s">
        <v>2324</v>
      </c>
      <c r="L331" s="6" t="s">
        <v>2325</v>
      </c>
      <c r="M331" s="6" t="s">
        <v>2326</v>
      </c>
      <c r="N331" s="17"/>
      <c r="O331" s="17"/>
      <c r="P331" s="17" t="str">
        <f t="shared" si="4"/>
        <v>OK</v>
      </c>
      <c r="Q331" s="17" t="s">
        <v>35</v>
      </c>
      <c r="R331" s="6" t="s">
        <v>35</v>
      </c>
      <c r="S331" s="17" t="s">
        <v>36</v>
      </c>
      <c r="T331" s="17" t="s">
        <v>2327</v>
      </c>
      <c r="U331" s="173" t="s">
        <v>38</v>
      </c>
      <c r="V331" s="181" t="s">
        <v>1483</v>
      </c>
      <c r="W331" s="20" t="s">
        <v>1484</v>
      </c>
      <c r="X331" s="20" t="s">
        <v>1484</v>
      </c>
      <c r="Y331" s="20"/>
      <c r="Z331" s="6"/>
      <c r="AA331" s="6"/>
      <c r="AB331" s="23"/>
      <c r="AC331" s="24"/>
    </row>
    <row r="332" spans="1:29" ht="15.75" customHeight="1">
      <c r="A332" s="10" t="s">
        <v>2330</v>
      </c>
      <c r="B332" s="10" t="s">
        <v>1469</v>
      </c>
      <c r="C332" s="60" t="s">
        <v>1470</v>
      </c>
      <c r="D332" s="12"/>
      <c r="E332" s="13" t="s">
        <v>93</v>
      </c>
      <c r="F332" s="6" t="s">
        <v>2331</v>
      </c>
      <c r="G332" s="6" t="str">
        <f ca="1">IFERROR(__xludf.DUMMYFUNCTION("CONCATENATE(B332,(VLOOKUP(C332,CATALOGOS!$F$2:$H$6,3,FALSE)),(VLOOKUP(V332,CATALOGOS!$J$2:$K$18,2,FALSE)),""-"",TO_TEXT(A332))"),"P12SI-0331")</f>
        <v>P12SI-0331</v>
      </c>
      <c r="H332" s="6" t="str">
        <f ca="1">IFERROR(__xludf.DUMMYFUNCTION("CONCATENATE($B332,(VLOOKUP($C332,CATALOGOS!$F$2:$H$6,3,FALSE)),(VLOOKUP($V332,CATALOGOS!$J$2:$K$18,2,FALSE)),""-"",TO_TEXT($A332))"),"P12SI-0331")</f>
        <v>P12SI-0331</v>
      </c>
      <c r="I332" s="6"/>
      <c r="J332" s="6" t="s">
        <v>2332</v>
      </c>
      <c r="K332" s="6" t="s">
        <v>2333</v>
      </c>
      <c r="L332" s="6" t="s">
        <v>2334</v>
      </c>
      <c r="M332" s="6" t="s">
        <v>2335</v>
      </c>
      <c r="N332" s="17"/>
      <c r="O332" s="17"/>
      <c r="P332" s="17" t="str">
        <f t="shared" si="4"/>
        <v>OK</v>
      </c>
      <c r="Q332" s="17" t="s">
        <v>35</v>
      </c>
      <c r="R332" s="6" t="s">
        <v>35</v>
      </c>
      <c r="S332" s="17" t="s">
        <v>36</v>
      </c>
      <c r="T332" s="17" t="s">
        <v>2336</v>
      </c>
      <c r="U332" s="173" t="s">
        <v>38</v>
      </c>
      <c r="V332" s="181" t="s">
        <v>1483</v>
      </c>
      <c r="W332" s="20" t="s">
        <v>1484</v>
      </c>
      <c r="X332" s="20" t="s">
        <v>1484</v>
      </c>
      <c r="Y332" s="20"/>
      <c r="Z332" s="7"/>
      <c r="AA332" s="7"/>
      <c r="AB332" s="23"/>
      <c r="AC332" s="26"/>
    </row>
    <row r="333" spans="1:29" ht="15.75" customHeight="1">
      <c r="A333" s="10" t="s">
        <v>2338</v>
      </c>
      <c r="B333" s="10" t="s">
        <v>1469</v>
      </c>
      <c r="C333" s="60" t="s">
        <v>1470</v>
      </c>
      <c r="D333" s="12"/>
      <c r="E333" s="13" t="s">
        <v>248</v>
      </c>
      <c r="F333" s="6" t="s">
        <v>249</v>
      </c>
      <c r="G333" s="6" t="str">
        <f ca="1">IFERROR(__xludf.DUMMYFUNCTION("CONCATENATE(B333,(VLOOKUP(C333,CATALOGOS!$F$2:$H$6,3,FALSE)),(VLOOKUP(V333,CATALOGOS!$J$2:$K$18,2,FALSE)),""-"",TO_TEXT(A333))"),"P12SI-0332")</f>
        <v>P12SI-0332</v>
      </c>
      <c r="H333" s="6" t="str">
        <f ca="1">IFERROR(__xludf.DUMMYFUNCTION("CONCATENATE($B333,(VLOOKUP($C333,CATALOGOS!$F$2:$H$6,3,FALSE)),(VLOOKUP($V333,CATALOGOS!$J$2:$K$18,2,FALSE)),""-"",TO_TEXT($A333))"),"P12SI-0332")</f>
        <v>P12SI-0332</v>
      </c>
      <c r="I333" s="6"/>
      <c r="J333" s="6" t="s">
        <v>2339</v>
      </c>
      <c r="K333" s="6" t="s">
        <v>2340</v>
      </c>
      <c r="L333" s="36"/>
      <c r="M333" s="6" t="s">
        <v>141</v>
      </c>
      <c r="N333" s="17"/>
      <c r="O333" s="17"/>
      <c r="P333" s="17" t="str">
        <f t="shared" si="4"/>
        <v>REPETIDO</v>
      </c>
      <c r="Q333" s="17" t="s">
        <v>827</v>
      </c>
      <c r="R333" s="6" t="s">
        <v>828</v>
      </c>
      <c r="S333" s="6" t="s">
        <v>2341</v>
      </c>
      <c r="T333" s="10" t="s">
        <v>85</v>
      </c>
      <c r="U333" s="173" t="s">
        <v>38</v>
      </c>
      <c r="V333" s="181" t="s">
        <v>1483</v>
      </c>
      <c r="W333" s="20" t="s">
        <v>1484</v>
      </c>
      <c r="X333" s="20" t="s">
        <v>1484</v>
      </c>
      <c r="Y333" s="20"/>
      <c r="Z333" s="6"/>
      <c r="AA333" s="6"/>
      <c r="AB333" s="23"/>
      <c r="AC333" s="33"/>
    </row>
    <row r="334" spans="1:29" ht="15.75" customHeight="1">
      <c r="A334" s="10" t="s">
        <v>2342</v>
      </c>
      <c r="B334" s="10" t="s">
        <v>1469</v>
      </c>
      <c r="C334" s="60" t="s">
        <v>1470</v>
      </c>
      <c r="D334" s="12"/>
      <c r="E334" s="13" t="s">
        <v>248</v>
      </c>
      <c r="F334" s="43" t="s">
        <v>248</v>
      </c>
      <c r="G334" s="6" t="str">
        <f ca="1">IFERROR(__xludf.DUMMYFUNCTION("CONCATENATE(B334,(VLOOKUP(C334,CATALOGOS!$F$2:$H$6,3,FALSE)),(VLOOKUP(V334,CATALOGOS!$J$2:$K$18,2,FALSE)),""-"",TO_TEXT(A334))"),"P12SI-0333")</f>
        <v>P12SI-0333</v>
      </c>
      <c r="H334" s="6" t="str">
        <f ca="1">IFERROR(__xludf.DUMMYFUNCTION("CONCATENATE($B334,(VLOOKUP($C334,CATALOGOS!$F$2:$H$6,3,FALSE)),(VLOOKUP($V334,CATALOGOS!$J$2:$K$18,2,FALSE)),""-"",TO_TEXT($A334))"),"P12SI-0333")</f>
        <v>P12SI-0333</v>
      </c>
      <c r="I334" s="6"/>
      <c r="J334" s="6" t="s">
        <v>2343</v>
      </c>
      <c r="K334" s="6" t="s">
        <v>2344</v>
      </c>
      <c r="L334" s="6" t="s">
        <v>2345</v>
      </c>
      <c r="M334" s="6" t="s">
        <v>2346</v>
      </c>
      <c r="N334" s="17"/>
      <c r="O334" s="17"/>
      <c r="P334" s="17" t="str">
        <f t="shared" si="4"/>
        <v>OK</v>
      </c>
      <c r="Q334" s="17" t="s">
        <v>250</v>
      </c>
      <c r="R334" s="6" t="s">
        <v>2347</v>
      </c>
      <c r="S334" s="17" t="s">
        <v>2348</v>
      </c>
      <c r="T334" s="17" t="s">
        <v>2349</v>
      </c>
      <c r="U334" s="173" t="s">
        <v>38</v>
      </c>
      <c r="V334" s="181" t="s">
        <v>1483</v>
      </c>
      <c r="W334" s="20" t="s">
        <v>1484</v>
      </c>
      <c r="X334" s="20" t="s">
        <v>1484</v>
      </c>
      <c r="Y334" s="20"/>
      <c r="Z334" s="7"/>
      <c r="AA334" s="7"/>
      <c r="AB334" s="23"/>
      <c r="AC334" s="26"/>
    </row>
    <row r="335" spans="1:29" ht="15.75" customHeight="1">
      <c r="A335" s="10" t="s">
        <v>2350</v>
      </c>
      <c r="B335" s="10" t="s">
        <v>1469</v>
      </c>
      <c r="C335" s="60" t="s">
        <v>1470</v>
      </c>
      <c r="D335" s="12"/>
      <c r="E335" s="13" t="s">
        <v>2351</v>
      </c>
      <c r="F335" s="43" t="s">
        <v>2352</v>
      </c>
      <c r="G335" s="6" t="str">
        <f ca="1">IFERROR(__xludf.DUMMYFUNCTION("CONCATENATE(B335,(VLOOKUP(C335,CATALOGOS!$F$2:$H$6,3,FALSE)),(VLOOKUP(V335,CATALOGOS!$J$2:$K$18,2,FALSE)),""-"",TO_TEXT(A335))"),"P12SI-0334")</f>
        <v>P12SI-0334</v>
      </c>
      <c r="H335" s="6" t="str">
        <f ca="1">IFERROR(__xludf.DUMMYFUNCTION("CONCATENATE($B335,(VLOOKUP($C335,CATALOGOS!$F$2:$H$6,3,FALSE)),(VLOOKUP($V335,CATALOGOS!$J$2:$K$18,2,FALSE)),""-"",TO_TEXT($A335))"),"P12SI-0334")</f>
        <v>P12SI-0334</v>
      </c>
      <c r="I335" s="6"/>
      <c r="J335" s="6" t="s">
        <v>2353</v>
      </c>
      <c r="K335" s="6" t="s">
        <v>2354</v>
      </c>
      <c r="L335" s="6" t="s">
        <v>8435</v>
      </c>
      <c r="M335" s="6" t="s">
        <v>2356</v>
      </c>
      <c r="N335" s="17"/>
      <c r="O335" s="17"/>
      <c r="P335" s="17" t="str">
        <f t="shared" si="4"/>
        <v>OK</v>
      </c>
      <c r="Q335" s="17" t="s">
        <v>2357</v>
      </c>
      <c r="R335" s="6" t="s">
        <v>2358</v>
      </c>
      <c r="S335" s="17" t="s">
        <v>2359</v>
      </c>
      <c r="T335" s="17" t="s">
        <v>2360</v>
      </c>
      <c r="U335" s="173" t="s">
        <v>38</v>
      </c>
      <c r="V335" s="181" t="s">
        <v>1483</v>
      </c>
      <c r="W335" s="20" t="s">
        <v>1484</v>
      </c>
      <c r="X335" s="20" t="s">
        <v>1484</v>
      </c>
      <c r="Y335" s="20"/>
      <c r="Z335" s="7"/>
      <c r="AA335" s="7"/>
      <c r="AB335" s="23"/>
      <c r="AC335" s="26"/>
    </row>
    <row r="336" spans="1:29" ht="15.75" customHeight="1">
      <c r="A336" s="10" t="s">
        <v>2361</v>
      </c>
      <c r="B336" s="10" t="s">
        <v>1469</v>
      </c>
      <c r="C336" s="60" t="s">
        <v>1470</v>
      </c>
      <c r="D336" s="12"/>
      <c r="E336" s="13" t="s">
        <v>53</v>
      </c>
      <c r="F336" s="6" t="s">
        <v>2362</v>
      </c>
      <c r="G336" s="6" t="str">
        <f ca="1">IFERROR(__xludf.DUMMYFUNCTION("CONCATENATE(B336,(VLOOKUP(C336,CATALOGOS!$F$2:$H$6,3,FALSE)),(VLOOKUP(V336,CATALOGOS!$J$2:$K$18,2,FALSE)),""-"",TO_TEXT(A336))"),"P12SI-0335")</f>
        <v>P12SI-0335</v>
      </c>
      <c r="H336" s="6" t="str">
        <f ca="1">IFERROR(__xludf.DUMMYFUNCTION("CONCATENATE($B336,(VLOOKUP($C336,CATALOGOS!$F$2:$H$6,3,FALSE)),(VLOOKUP($V336,CATALOGOS!$J$2:$K$18,2,FALSE)),""-"",TO_TEXT($A336))"),"P12SI-0335")</f>
        <v>P12SI-0335</v>
      </c>
      <c r="I336" s="6"/>
      <c r="J336" s="6" t="s">
        <v>2363</v>
      </c>
      <c r="K336" s="6" t="s">
        <v>2364</v>
      </c>
      <c r="L336" s="6" t="s">
        <v>2365</v>
      </c>
      <c r="M336" s="6" t="s">
        <v>2366</v>
      </c>
      <c r="N336" s="17"/>
      <c r="O336" s="17"/>
      <c r="P336" s="17" t="str">
        <f t="shared" si="4"/>
        <v>OK</v>
      </c>
      <c r="Q336" s="17" t="s">
        <v>35</v>
      </c>
      <c r="R336" s="6" t="s">
        <v>35</v>
      </c>
      <c r="S336" s="17" t="s">
        <v>36</v>
      </c>
      <c r="T336" s="17" t="s">
        <v>2367</v>
      </c>
      <c r="U336" s="173" t="s">
        <v>38</v>
      </c>
      <c r="V336" s="181" t="s">
        <v>1483</v>
      </c>
      <c r="W336" s="20" t="s">
        <v>1484</v>
      </c>
      <c r="X336" s="20" t="s">
        <v>1484</v>
      </c>
      <c r="Y336" s="20"/>
      <c r="Z336" s="7"/>
      <c r="AA336" s="7"/>
      <c r="AB336" s="23"/>
      <c r="AC336" s="26"/>
    </row>
    <row r="337" spans="1:29" ht="15.75" customHeight="1">
      <c r="A337" s="10" t="s">
        <v>2368</v>
      </c>
      <c r="B337" s="10" t="s">
        <v>1469</v>
      </c>
      <c r="C337" s="60" t="s">
        <v>1470</v>
      </c>
      <c r="D337" s="12"/>
      <c r="E337" s="13" t="s">
        <v>199</v>
      </c>
      <c r="F337" s="6" t="s">
        <v>199</v>
      </c>
      <c r="G337" s="6" t="str">
        <f ca="1">IFERROR(__xludf.DUMMYFUNCTION("CONCATENATE(B337,(VLOOKUP(C337,CATALOGOS!$F$2:$H$6,3,FALSE)),(VLOOKUP(V337,CATALOGOS!$J$2:$K$18,2,FALSE)),""-"",TO_TEXT(A337))"),"P12SI-0336")</f>
        <v>P12SI-0336</v>
      </c>
      <c r="H337" s="6" t="str">
        <f ca="1">IFERROR(__xludf.DUMMYFUNCTION("CONCATENATE($B337,(VLOOKUP($C337,CATALOGOS!$F$2:$H$6,3,FALSE)),(VLOOKUP($V337,CATALOGOS!$J$2:$K$18,2,FALSE)),""-"",TO_TEXT($A337))"),"P12SI-0336")</f>
        <v>P12SI-0336</v>
      </c>
      <c r="I337" s="6"/>
      <c r="J337" s="6" t="s">
        <v>2369</v>
      </c>
      <c r="K337" s="6" t="s">
        <v>2370</v>
      </c>
      <c r="L337" s="6" t="s">
        <v>2371</v>
      </c>
      <c r="M337" s="43" t="s">
        <v>141</v>
      </c>
      <c r="N337" s="17"/>
      <c r="O337" s="17"/>
      <c r="P337" s="17" t="str">
        <f t="shared" si="4"/>
        <v>REPETIDO</v>
      </c>
      <c r="Q337" s="17" t="s">
        <v>205</v>
      </c>
      <c r="R337" s="32" t="s">
        <v>993</v>
      </c>
      <c r="S337" s="17" t="s">
        <v>2372</v>
      </c>
      <c r="T337" s="17" t="s">
        <v>2373</v>
      </c>
      <c r="U337" s="173" t="s">
        <v>38</v>
      </c>
      <c r="V337" s="181" t="s">
        <v>1483</v>
      </c>
      <c r="W337" s="20" t="s">
        <v>1484</v>
      </c>
      <c r="X337" s="20" t="s">
        <v>1484</v>
      </c>
      <c r="Y337" s="20"/>
      <c r="Z337" s="7"/>
      <c r="AA337" s="7"/>
      <c r="AB337" s="23"/>
      <c r="AC337" s="26"/>
    </row>
    <row r="338" spans="1:29" ht="15.75" customHeight="1">
      <c r="A338" s="10" t="s">
        <v>2374</v>
      </c>
      <c r="B338" s="10" t="s">
        <v>1469</v>
      </c>
      <c r="C338" s="60" t="s">
        <v>1470</v>
      </c>
      <c r="D338" s="12"/>
      <c r="E338" s="13" t="s">
        <v>151</v>
      </c>
      <c r="F338" s="6" t="s">
        <v>963</v>
      </c>
      <c r="G338" s="6" t="str">
        <f ca="1">IFERROR(__xludf.DUMMYFUNCTION("CONCATENATE(B338,(VLOOKUP(C338,CATALOGOS!$F$2:$H$6,3,FALSE)),(VLOOKUP(V338,CATALOGOS!$J$2:$K$18,2,FALSE)),""-"",TO_TEXT(A338))"),"P12SI-0337")</f>
        <v>P12SI-0337</v>
      </c>
      <c r="H338" s="6" t="str">
        <f ca="1">IFERROR(__xludf.DUMMYFUNCTION("CONCATENATE($B338,(VLOOKUP($C338,CATALOGOS!$F$2:$H$6,3,FALSE)),(VLOOKUP($V338,CATALOGOS!$J$2:$K$18,2,FALSE)),""-"",TO_TEXT($A338))"),"P12SI-0337")</f>
        <v>P12SI-0337</v>
      </c>
      <c r="I338" s="6"/>
      <c r="J338" s="6" t="s">
        <v>2375</v>
      </c>
      <c r="K338" s="6" t="s">
        <v>2376</v>
      </c>
      <c r="L338" s="6" t="s">
        <v>2377</v>
      </c>
      <c r="M338" s="6" t="s">
        <v>2378</v>
      </c>
      <c r="N338" s="17"/>
      <c r="O338" s="17"/>
      <c r="P338" s="17" t="str">
        <f t="shared" si="4"/>
        <v>OK</v>
      </c>
      <c r="Q338" s="17" t="s">
        <v>297</v>
      </c>
      <c r="R338" s="6" t="s">
        <v>1037</v>
      </c>
      <c r="S338" s="17" t="s">
        <v>2379</v>
      </c>
      <c r="T338" s="17" t="s">
        <v>2380</v>
      </c>
      <c r="U338" s="173" t="s">
        <v>38</v>
      </c>
      <c r="V338" s="181" t="s">
        <v>1483</v>
      </c>
      <c r="W338" s="20" t="s">
        <v>1484</v>
      </c>
      <c r="X338" s="20" t="s">
        <v>1484</v>
      </c>
      <c r="Y338" s="20"/>
      <c r="Z338" s="7"/>
      <c r="AA338" s="7"/>
      <c r="AB338" s="23"/>
      <c r="AC338" s="26"/>
    </row>
    <row r="339" spans="1:29" ht="15.75" customHeight="1">
      <c r="A339" s="10" t="s">
        <v>2382</v>
      </c>
      <c r="B339" s="10" t="s">
        <v>1469</v>
      </c>
      <c r="C339" s="60" t="s">
        <v>1470</v>
      </c>
      <c r="D339" s="12"/>
      <c r="E339" s="13" t="s">
        <v>93</v>
      </c>
      <c r="F339" s="6" t="s">
        <v>2383</v>
      </c>
      <c r="G339" s="6" t="str">
        <f ca="1">IFERROR(__xludf.DUMMYFUNCTION("CONCATENATE(B339,(VLOOKUP(C339,CATALOGOS!$F$2:$H$6,3,FALSE)),(VLOOKUP(V339,CATALOGOS!$J$2:$K$18,2,FALSE)),""-"",TO_TEXT(A339))"),"P12SI-0338")</f>
        <v>P12SI-0338</v>
      </c>
      <c r="H339" s="6" t="str">
        <f ca="1">IFERROR(__xludf.DUMMYFUNCTION("CONCATENATE($B339,(VLOOKUP($C339,CATALOGOS!$F$2:$H$6,3,FALSE)),(VLOOKUP($V339,CATALOGOS!$J$2:$K$18,2,FALSE)),""-"",TO_TEXT($A339))"),"P12SI-0338")</f>
        <v>P12SI-0338</v>
      </c>
      <c r="I339" s="6"/>
      <c r="J339" s="6" t="s">
        <v>2384</v>
      </c>
      <c r="K339" s="6" t="s">
        <v>2385</v>
      </c>
      <c r="L339" s="6" t="s">
        <v>2386</v>
      </c>
      <c r="M339" s="43" t="s">
        <v>2387</v>
      </c>
      <c r="N339" s="17"/>
      <c r="O339" s="17"/>
      <c r="P339" s="17" t="str">
        <f t="shared" si="4"/>
        <v>OK</v>
      </c>
      <c r="Q339" s="17" t="s">
        <v>35</v>
      </c>
      <c r="R339" s="6" t="s">
        <v>35</v>
      </c>
      <c r="S339" s="17" t="s">
        <v>36</v>
      </c>
      <c r="T339" s="17" t="s">
        <v>2388</v>
      </c>
      <c r="U339" s="173" t="s">
        <v>38</v>
      </c>
      <c r="V339" s="181" t="s">
        <v>1483</v>
      </c>
      <c r="W339" s="20" t="s">
        <v>1484</v>
      </c>
      <c r="X339" s="20" t="s">
        <v>1484</v>
      </c>
      <c r="Y339" s="20"/>
      <c r="Z339" s="7"/>
      <c r="AA339" s="7"/>
      <c r="AB339" s="23"/>
      <c r="AC339" s="26"/>
    </row>
    <row r="340" spans="1:29" ht="15.75" customHeight="1">
      <c r="A340" s="10" t="s">
        <v>2389</v>
      </c>
      <c r="B340" s="10" t="s">
        <v>1469</v>
      </c>
      <c r="C340" s="60" t="s">
        <v>1470</v>
      </c>
      <c r="D340" s="12"/>
      <c r="E340" s="13" t="s">
        <v>151</v>
      </c>
      <c r="F340" s="6" t="s">
        <v>698</v>
      </c>
      <c r="G340" s="6" t="str">
        <f ca="1">IFERROR(__xludf.DUMMYFUNCTION("CONCATENATE(B340,(VLOOKUP(C340,CATALOGOS!$F$2:$H$6,3,FALSE)),(VLOOKUP(V340,CATALOGOS!$J$2:$K$18,2,FALSE)),""-"",TO_TEXT(A340))"),"P12SI-0339")</f>
        <v>P12SI-0339</v>
      </c>
      <c r="H340" s="6" t="str">
        <f ca="1">IFERROR(__xludf.DUMMYFUNCTION("CONCATENATE($B340,(VLOOKUP($C340,CATALOGOS!$F$2:$H$6,3,FALSE)),(VLOOKUP($V340,CATALOGOS!$J$2:$K$18,2,FALSE)),""-"",TO_TEXT($A340))"),"P12SI-0339")</f>
        <v>P12SI-0339</v>
      </c>
      <c r="I340" s="6"/>
      <c r="J340" s="6" t="s">
        <v>2390</v>
      </c>
      <c r="K340" s="6" t="s">
        <v>2391</v>
      </c>
      <c r="L340" s="6" t="s">
        <v>2392</v>
      </c>
      <c r="M340" s="6" t="s">
        <v>2393</v>
      </c>
      <c r="N340" s="17"/>
      <c r="O340" s="17"/>
      <c r="P340" s="17" t="str">
        <f t="shared" si="4"/>
        <v>OK</v>
      </c>
      <c r="Q340" s="17" t="s">
        <v>297</v>
      </c>
      <c r="R340" s="6" t="s">
        <v>1131</v>
      </c>
      <c r="S340" s="17" t="s">
        <v>2394</v>
      </c>
      <c r="T340" s="17" t="s">
        <v>2395</v>
      </c>
      <c r="U340" s="173" t="s">
        <v>38</v>
      </c>
      <c r="V340" s="181" t="s">
        <v>1483</v>
      </c>
      <c r="W340" s="20" t="s">
        <v>1484</v>
      </c>
      <c r="X340" s="20" t="s">
        <v>1484</v>
      </c>
      <c r="Y340" s="20"/>
      <c r="Z340" s="7"/>
      <c r="AA340" s="7"/>
      <c r="AB340" s="23"/>
      <c r="AC340" s="26"/>
    </row>
    <row r="341" spans="1:29" ht="15.75" customHeight="1">
      <c r="A341" s="10" t="s">
        <v>2396</v>
      </c>
      <c r="B341" s="10" t="s">
        <v>1469</v>
      </c>
      <c r="C341" s="60" t="s">
        <v>1470</v>
      </c>
      <c r="D341" s="12"/>
      <c r="E341" s="13" t="s">
        <v>2397</v>
      </c>
      <c r="F341" s="6" t="s">
        <v>2398</v>
      </c>
      <c r="G341" s="6" t="str">
        <f ca="1">IFERROR(__xludf.DUMMYFUNCTION("CONCATENATE(B341,(VLOOKUP(C341,CATALOGOS!$F$2:$H$6,3,FALSE)),(VLOOKUP(V341,CATALOGOS!$J$2:$K$18,2,FALSE)),""-"",TO_TEXT(A341))"),"P12SI-0340")</f>
        <v>P12SI-0340</v>
      </c>
      <c r="H341" s="6" t="str">
        <f ca="1">IFERROR(__xludf.DUMMYFUNCTION("CONCATENATE($B341,(VLOOKUP($C341,CATALOGOS!$F$2:$H$6,3,FALSE)),(VLOOKUP($V341,CATALOGOS!$J$2:$K$18,2,FALSE)),""-"",TO_TEXT($A341))"),"P12SI-0340")</f>
        <v>P12SI-0340</v>
      </c>
      <c r="I341" s="6"/>
      <c r="J341" s="6" t="s">
        <v>2399</v>
      </c>
      <c r="K341" s="6" t="s">
        <v>2400</v>
      </c>
      <c r="L341" s="6" t="s">
        <v>2401</v>
      </c>
      <c r="M341" s="6" t="s">
        <v>2402</v>
      </c>
      <c r="N341" s="17"/>
      <c r="O341" s="17"/>
      <c r="P341" s="17" t="str">
        <f t="shared" si="4"/>
        <v>OK</v>
      </c>
      <c r="Q341" s="17" t="s">
        <v>2403</v>
      </c>
      <c r="R341" s="6" t="s">
        <v>2404</v>
      </c>
      <c r="S341" s="17" t="s">
        <v>2405</v>
      </c>
      <c r="T341" s="17" t="s">
        <v>2406</v>
      </c>
      <c r="U341" s="173" t="s">
        <v>38</v>
      </c>
      <c r="V341" s="181" t="s">
        <v>1483</v>
      </c>
      <c r="W341" s="20" t="s">
        <v>1484</v>
      </c>
      <c r="X341" s="20" t="s">
        <v>1484</v>
      </c>
      <c r="Y341" s="20"/>
      <c r="Z341" s="6"/>
      <c r="AA341" s="6"/>
      <c r="AB341" s="23"/>
      <c r="AC341" s="24"/>
    </row>
    <row r="342" spans="1:29" ht="15.75" customHeight="1">
      <c r="A342" s="10" t="s">
        <v>2407</v>
      </c>
      <c r="B342" s="10" t="s">
        <v>1469</v>
      </c>
      <c r="C342" s="60" t="s">
        <v>1470</v>
      </c>
      <c r="D342" s="12"/>
      <c r="E342" s="13" t="s">
        <v>248</v>
      </c>
      <c r="F342" s="43" t="s">
        <v>248</v>
      </c>
      <c r="G342" s="6" t="str">
        <f ca="1">IFERROR(__xludf.DUMMYFUNCTION("CONCATENATE(B342,(VLOOKUP(C342,CATALOGOS!$F$2:$H$6,3,FALSE)),(VLOOKUP(V342,CATALOGOS!$J$2:$K$18,2,FALSE)),""-"",TO_TEXT(A342))"),"P12SI-0341")</f>
        <v>P12SI-0341</v>
      </c>
      <c r="H342" s="6" t="str">
        <f ca="1">IFERROR(__xludf.DUMMYFUNCTION("CONCATENATE($B342,(VLOOKUP($C342,CATALOGOS!$F$2:$H$6,3,FALSE)),(VLOOKUP($V342,CATALOGOS!$J$2:$K$18,2,FALSE)),""-"",TO_TEXT($A342))"),"P12SI-0341")</f>
        <v>P12SI-0341</v>
      </c>
      <c r="I342" s="6"/>
      <c r="J342" s="6" t="s">
        <v>2408</v>
      </c>
      <c r="K342" s="6" t="s">
        <v>2409</v>
      </c>
      <c r="L342" s="6" t="s">
        <v>2410</v>
      </c>
      <c r="M342" s="6" t="s">
        <v>2411</v>
      </c>
      <c r="N342" s="17"/>
      <c r="O342" s="17"/>
      <c r="P342" s="17" t="str">
        <f t="shared" si="4"/>
        <v>OK</v>
      </c>
      <c r="Q342" s="17" t="s">
        <v>303</v>
      </c>
      <c r="R342" s="6" t="s">
        <v>1726</v>
      </c>
      <c r="S342" s="17" t="s">
        <v>2412</v>
      </c>
      <c r="T342" s="17" t="s">
        <v>2413</v>
      </c>
      <c r="U342" s="173" t="s">
        <v>38</v>
      </c>
      <c r="V342" s="181" t="s">
        <v>1483</v>
      </c>
      <c r="W342" s="20" t="s">
        <v>1484</v>
      </c>
      <c r="X342" s="20" t="s">
        <v>1484</v>
      </c>
      <c r="Y342" s="20"/>
      <c r="Z342" s="7"/>
      <c r="AA342" s="7"/>
      <c r="AB342" s="23"/>
      <c r="AC342" s="26"/>
    </row>
    <row r="343" spans="1:29" ht="15.75" customHeight="1">
      <c r="A343" s="10" t="s">
        <v>2414</v>
      </c>
      <c r="B343" s="10" t="s">
        <v>1469</v>
      </c>
      <c r="C343" s="60" t="s">
        <v>1470</v>
      </c>
      <c r="D343" s="12"/>
      <c r="E343" s="13" t="s">
        <v>199</v>
      </c>
      <c r="F343" s="6" t="s">
        <v>199</v>
      </c>
      <c r="G343" s="6" t="str">
        <f ca="1">IFERROR(__xludf.DUMMYFUNCTION("CONCATENATE(B343,(VLOOKUP(C343,CATALOGOS!$F$2:$H$6,3,FALSE)),(VLOOKUP(V343,CATALOGOS!$J$2:$K$18,2,FALSE)),""-"",TO_TEXT(A343))"),"P12SI-0342")</f>
        <v>P12SI-0342</v>
      </c>
      <c r="H343" s="6" t="str">
        <f ca="1">IFERROR(__xludf.DUMMYFUNCTION("CONCATENATE($B343,(VLOOKUP($C343,CATALOGOS!$F$2:$H$6,3,FALSE)),(VLOOKUP($V343,CATALOGOS!$J$2:$K$18,2,FALSE)),""-"",TO_TEXT($A343))"),"P12SI-0342")</f>
        <v>P12SI-0342</v>
      </c>
      <c r="I343" s="6"/>
      <c r="J343" s="6" t="s">
        <v>2415</v>
      </c>
      <c r="K343" s="6" t="s">
        <v>2416</v>
      </c>
      <c r="L343" s="6" t="s">
        <v>2417</v>
      </c>
      <c r="M343" s="6" t="s">
        <v>2418</v>
      </c>
      <c r="N343" s="17"/>
      <c r="O343" s="17"/>
      <c r="P343" s="17" t="str">
        <f t="shared" si="4"/>
        <v>OK</v>
      </c>
      <c r="Q343" s="17" t="s">
        <v>2419</v>
      </c>
      <c r="R343" s="6" t="s">
        <v>2420</v>
      </c>
      <c r="S343" s="17" t="s">
        <v>2421</v>
      </c>
      <c r="T343" s="17" t="s">
        <v>2422</v>
      </c>
      <c r="U343" s="173" t="s">
        <v>38</v>
      </c>
      <c r="V343" s="181" t="s">
        <v>1483</v>
      </c>
      <c r="W343" s="20" t="s">
        <v>1484</v>
      </c>
      <c r="X343" s="20" t="s">
        <v>1484</v>
      </c>
      <c r="Y343" s="20"/>
      <c r="Z343" s="6"/>
      <c r="AA343" s="6"/>
      <c r="AB343" s="23"/>
      <c r="AC343" s="24"/>
    </row>
    <row r="344" spans="1:29" ht="15.75" customHeight="1">
      <c r="A344" s="10" t="s">
        <v>2423</v>
      </c>
      <c r="B344" s="10" t="s">
        <v>1469</v>
      </c>
      <c r="C344" s="60" t="s">
        <v>1470</v>
      </c>
      <c r="D344" s="12"/>
      <c r="E344" s="13" t="s">
        <v>162</v>
      </c>
      <c r="F344" s="43" t="s">
        <v>285</v>
      </c>
      <c r="G344" s="6" t="str">
        <f ca="1">IFERROR(__xludf.DUMMYFUNCTION("CONCATENATE(B344,(VLOOKUP(C344,CATALOGOS!$F$2:$H$6,3,FALSE)),(VLOOKUP(V344,CATALOGOS!$J$2:$K$18,2,FALSE)),""-"",TO_TEXT(A344))"),"P12SI-0343")</f>
        <v>P12SI-0343</v>
      </c>
      <c r="H344" s="6" t="str">
        <f ca="1">IFERROR(__xludf.DUMMYFUNCTION("CONCATENATE($B344,(VLOOKUP($C344,CATALOGOS!$F$2:$H$6,3,FALSE)),(VLOOKUP($V344,CATALOGOS!$J$2:$K$18,2,FALSE)),""-"",TO_TEXT($A344))"),"P12SI-0343")</f>
        <v>P12SI-0343</v>
      </c>
      <c r="I344" s="6"/>
      <c r="J344" s="6" t="s">
        <v>2424</v>
      </c>
      <c r="K344" s="6" t="s">
        <v>2425</v>
      </c>
      <c r="L344" s="6" t="s">
        <v>2426</v>
      </c>
      <c r="M344" s="6" t="s">
        <v>141</v>
      </c>
      <c r="N344" s="17"/>
      <c r="O344" s="17"/>
      <c r="P344" s="17" t="str">
        <f t="shared" si="4"/>
        <v>REPETIDO</v>
      </c>
      <c r="Q344" s="17" t="s">
        <v>663</v>
      </c>
      <c r="R344" s="32" t="s">
        <v>664</v>
      </c>
      <c r="S344" s="17" t="s">
        <v>2427</v>
      </c>
      <c r="T344" s="17" t="s">
        <v>2428</v>
      </c>
      <c r="U344" s="173" t="s">
        <v>38</v>
      </c>
      <c r="V344" s="181" t="s">
        <v>1483</v>
      </c>
      <c r="W344" s="20" t="s">
        <v>1484</v>
      </c>
      <c r="X344" s="20" t="s">
        <v>1484</v>
      </c>
      <c r="Y344" s="20"/>
      <c r="Z344" s="7"/>
      <c r="AA344" s="7"/>
      <c r="AB344" s="23"/>
      <c r="AC344" s="26"/>
    </row>
    <row r="345" spans="1:29" ht="15.75" customHeight="1">
      <c r="A345" s="10" t="s">
        <v>2429</v>
      </c>
      <c r="B345" s="10" t="s">
        <v>1469</v>
      </c>
      <c r="C345" s="60" t="s">
        <v>1470</v>
      </c>
      <c r="D345" s="12"/>
      <c r="E345" s="13" t="s">
        <v>2311</v>
      </c>
      <c r="F345" s="6" t="s">
        <v>2430</v>
      </c>
      <c r="G345" s="6" t="str">
        <f ca="1">IFERROR(__xludf.DUMMYFUNCTION("CONCATENATE(B345,(VLOOKUP(C345,CATALOGOS!$F$2:$H$6,3,FALSE)),(VLOOKUP(V345,CATALOGOS!$J$2:$K$18,2,FALSE)),""-"",TO_TEXT(A345))"),"P12SI-0344")</f>
        <v>P12SI-0344</v>
      </c>
      <c r="H345" s="6" t="str">
        <f ca="1">IFERROR(__xludf.DUMMYFUNCTION("CONCATENATE($B345,(VLOOKUP($C345,CATALOGOS!$F$2:$H$6,3,FALSE)),(VLOOKUP($V345,CATALOGOS!$J$2:$K$18,2,FALSE)),""-"",TO_TEXT($A345))"),"P12SI-0344")</f>
        <v>P12SI-0344</v>
      </c>
      <c r="I345" s="6"/>
      <c r="J345" s="6" t="s">
        <v>2431</v>
      </c>
      <c r="K345" s="6" t="s">
        <v>2432</v>
      </c>
      <c r="L345" s="6" t="s">
        <v>2433</v>
      </c>
      <c r="M345" s="6" t="s">
        <v>2434</v>
      </c>
      <c r="N345" s="17"/>
      <c r="O345" s="17"/>
      <c r="P345" s="17" t="str">
        <f t="shared" si="4"/>
        <v>OK</v>
      </c>
      <c r="Q345" s="17" t="s">
        <v>2317</v>
      </c>
      <c r="R345" s="6" t="s">
        <v>2435</v>
      </c>
      <c r="S345" s="17" t="s">
        <v>2436</v>
      </c>
      <c r="T345" s="17" t="s">
        <v>2437</v>
      </c>
      <c r="U345" s="173" t="s">
        <v>38</v>
      </c>
      <c r="V345" s="181" t="s">
        <v>1483</v>
      </c>
      <c r="W345" s="20" t="s">
        <v>1484</v>
      </c>
      <c r="X345" s="20" t="s">
        <v>1484</v>
      </c>
      <c r="Y345" s="20"/>
      <c r="Z345" s="7"/>
      <c r="AA345" s="7"/>
      <c r="AB345" s="23"/>
      <c r="AC345" s="26"/>
    </row>
    <row r="346" spans="1:29" ht="15.75" customHeight="1">
      <c r="A346" s="10" t="s">
        <v>2438</v>
      </c>
      <c r="B346" s="10" t="s">
        <v>1469</v>
      </c>
      <c r="C346" s="60" t="s">
        <v>1470</v>
      </c>
      <c r="D346" s="12"/>
      <c r="E346" s="13" t="s">
        <v>151</v>
      </c>
      <c r="F346" s="6" t="s">
        <v>2439</v>
      </c>
      <c r="G346" s="6" t="str">
        <f ca="1">IFERROR(__xludf.DUMMYFUNCTION("CONCATENATE(B346,(VLOOKUP(C346,CATALOGOS!$F$2:$H$6,3,FALSE)),(VLOOKUP(V346,CATALOGOS!$J$2:$K$18,2,FALSE)),""-"",TO_TEXT(A346))"),"P12SI-0345")</f>
        <v>P12SI-0345</v>
      </c>
      <c r="H346" s="6" t="str">
        <f ca="1">IFERROR(__xludf.DUMMYFUNCTION("CONCATENATE($B346,(VLOOKUP($C346,CATALOGOS!$F$2:$H$6,3,FALSE)),(VLOOKUP($V346,CATALOGOS!$J$2:$K$18,2,FALSE)),""-"",TO_TEXT($A346))"),"P12SI-0345")</f>
        <v>P12SI-0345</v>
      </c>
      <c r="I346" s="6"/>
      <c r="J346" s="6" t="s">
        <v>2440</v>
      </c>
      <c r="K346" s="6" t="s">
        <v>2441</v>
      </c>
      <c r="L346" s="6" t="s">
        <v>2442</v>
      </c>
      <c r="M346" s="6" t="s">
        <v>2443</v>
      </c>
      <c r="N346" s="17"/>
      <c r="O346" s="17"/>
      <c r="P346" s="17" t="str">
        <f t="shared" si="4"/>
        <v>OK</v>
      </c>
      <c r="Q346" s="17" t="s">
        <v>703</v>
      </c>
      <c r="R346" s="6" t="s">
        <v>2444</v>
      </c>
      <c r="S346" s="17" t="s">
        <v>8436</v>
      </c>
      <c r="T346" s="17" t="s">
        <v>2446</v>
      </c>
      <c r="U346" s="173" t="s">
        <v>38</v>
      </c>
      <c r="V346" s="181" t="s">
        <v>1483</v>
      </c>
      <c r="W346" s="20" t="s">
        <v>1484</v>
      </c>
      <c r="X346" s="20" t="s">
        <v>1484</v>
      </c>
      <c r="Y346" s="20"/>
      <c r="Z346" s="7"/>
      <c r="AA346" s="7"/>
      <c r="AB346" s="23"/>
      <c r="AC346" s="26"/>
    </row>
    <row r="347" spans="1:29" ht="15.75" customHeight="1">
      <c r="A347" s="10" t="s">
        <v>2447</v>
      </c>
      <c r="B347" s="10" t="s">
        <v>1469</v>
      </c>
      <c r="C347" s="60" t="s">
        <v>1470</v>
      </c>
      <c r="D347" s="12"/>
      <c r="E347" s="13" t="s">
        <v>93</v>
      </c>
      <c r="F347" s="6" t="s">
        <v>1380</v>
      </c>
      <c r="G347" s="6" t="str">
        <f ca="1">IFERROR(__xludf.DUMMYFUNCTION("CONCATENATE(B347,(VLOOKUP(C347,CATALOGOS!$F$2:$H$6,3,FALSE)),(VLOOKUP(V347,CATALOGOS!$J$2:$K$18,2,FALSE)),""-"",TO_TEXT(A347))"),"P12SI-0346")</f>
        <v>P12SI-0346</v>
      </c>
      <c r="H347" s="6" t="str">
        <f ca="1">IFERROR(__xludf.DUMMYFUNCTION("CONCATENATE($B347,(VLOOKUP($C347,CATALOGOS!$F$2:$H$6,3,FALSE)),(VLOOKUP($V347,CATALOGOS!$J$2:$K$18,2,FALSE)),""-"",TO_TEXT($A347))"),"P12SI-0346")</f>
        <v>P12SI-0346</v>
      </c>
      <c r="I347" s="6"/>
      <c r="J347" s="6" t="s">
        <v>2448</v>
      </c>
      <c r="K347" s="62"/>
      <c r="L347" s="6" t="s">
        <v>2449</v>
      </c>
      <c r="M347" s="6" t="s">
        <v>2450</v>
      </c>
      <c r="N347" s="17"/>
      <c r="O347" s="17"/>
      <c r="P347" s="17" t="str">
        <f t="shared" si="4"/>
        <v>OK</v>
      </c>
      <c r="Q347" s="17" t="s">
        <v>35</v>
      </c>
      <c r="R347" s="49" t="s">
        <v>35</v>
      </c>
      <c r="S347" s="17" t="s">
        <v>36</v>
      </c>
      <c r="T347" s="17" t="s">
        <v>2451</v>
      </c>
      <c r="U347" s="173" t="s">
        <v>38</v>
      </c>
      <c r="V347" s="181" t="s">
        <v>1483</v>
      </c>
      <c r="W347" s="20" t="s">
        <v>1484</v>
      </c>
      <c r="X347" s="20" t="s">
        <v>1484</v>
      </c>
      <c r="Y347" s="20"/>
      <c r="Z347" s="7"/>
      <c r="AA347" s="7"/>
      <c r="AB347" s="23"/>
      <c r="AC347" s="26"/>
    </row>
    <row r="348" spans="1:29" ht="15.75" customHeight="1">
      <c r="A348" s="10" t="s">
        <v>2452</v>
      </c>
      <c r="B348" s="10" t="s">
        <v>1469</v>
      </c>
      <c r="C348" s="60" t="s">
        <v>1470</v>
      </c>
      <c r="D348" s="12"/>
      <c r="E348" s="13" t="s">
        <v>116</v>
      </c>
      <c r="F348" s="43" t="s">
        <v>8437</v>
      </c>
      <c r="G348" s="6" t="str">
        <f ca="1">IFERROR(__xludf.DUMMYFUNCTION("CONCATENATE(B348,(VLOOKUP(C348,CATALOGOS!$F$2:$H$6,3,FALSE)),(VLOOKUP(V348,CATALOGOS!$J$2:$K$18,2,FALSE)),""-"",TO_TEXT(A348))"),"P12SI-0347")</f>
        <v>P12SI-0347</v>
      </c>
      <c r="H348" s="6" t="str">
        <f ca="1">IFERROR(__xludf.DUMMYFUNCTION("CONCATENATE($B348,(VLOOKUP($C348,CATALOGOS!$F$2:$H$6,3,FALSE)),(VLOOKUP($V348,CATALOGOS!$J$2:$K$18,2,FALSE)),""-"",TO_TEXT($A348))"),"P12SI-0347")</f>
        <v>P12SI-0347</v>
      </c>
      <c r="I348" s="6"/>
      <c r="J348" s="6" t="s">
        <v>2454</v>
      </c>
      <c r="K348" s="6" t="s">
        <v>2455</v>
      </c>
      <c r="L348" s="6" t="s">
        <v>2456</v>
      </c>
      <c r="M348" s="6" t="s">
        <v>2457</v>
      </c>
      <c r="N348" s="17"/>
      <c r="O348" s="17"/>
      <c r="P348" s="17" t="str">
        <f t="shared" si="4"/>
        <v>OK</v>
      </c>
      <c r="Q348" s="17" t="s">
        <v>35</v>
      </c>
      <c r="R348" s="49" t="s">
        <v>35</v>
      </c>
      <c r="S348" s="17" t="s">
        <v>36</v>
      </c>
      <c r="T348" s="17" t="s">
        <v>2458</v>
      </c>
      <c r="U348" s="173" t="s">
        <v>38</v>
      </c>
      <c r="V348" s="181" t="s">
        <v>1483</v>
      </c>
      <c r="W348" s="20" t="s">
        <v>1484</v>
      </c>
      <c r="X348" s="20" t="s">
        <v>1484</v>
      </c>
      <c r="Y348" s="20"/>
      <c r="Z348" s="7"/>
      <c r="AA348" s="7"/>
      <c r="AB348" s="23"/>
      <c r="AC348" s="26"/>
    </row>
    <row r="349" spans="1:29" ht="15.75" customHeight="1">
      <c r="A349" s="10" t="s">
        <v>2459</v>
      </c>
      <c r="B349" s="10" t="s">
        <v>1469</v>
      </c>
      <c r="C349" s="60" t="s">
        <v>1470</v>
      </c>
      <c r="D349" s="12"/>
      <c r="E349" s="13" t="s">
        <v>93</v>
      </c>
      <c r="F349" s="6" t="s">
        <v>2460</v>
      </c>
      <c r="G349" s="6" t="str">
        <f ca="1">IFERROR(__xludf.DUMMYFUNCTION("CONCATENATE(B349,(VLOOKUP(C349,CATALOGOS!$F$2:$H$6,3,FALSE)),(VLOOKUP(V349,CATALOGOS!$J$2:$K$18,2,FALSE)),""-"",TO_TEXT(A349))"),"P12SI-0348")</f>
        <v>P12SI-0348</v>
      </c>
      <c r="H349" s="6" t="str">
        <f ca="1">IFERROR(__xludf.DUMMYFUNCTION("CONCATENATE($B349,(VLOOKUP($C349,CATALOGOS!$F$2:$H$6,3,FALSE)),(VLOOKUP($V349,CATALOGOS!$J$2:$K$18,2,FALSE)),""-"",TO_TEXT($A349))"),"P12SI-0348")</f>
        <v>P12SI-0348</v>
      </c>
      <c r="I349" s="6"/>
      <c r="J349" s="6" t="s">
        <v>2461</v>
      </c>
      <c r="K349" s="6" t="s">
        <v>2462</v>
      </c>
      <c r="L349" s="6" t="s">
        <v>2463</v>
      </c>
      <c r="M349" s="6" t="s">
        <v>2464</v>
      </c>
      <c r="N349" s="17"/>
      <c r="O349" s="17"/>
      <c r="P349" s="17" t="str">
        <f t="shared" si="4"/>
        <v>OK</v>
      </c>
      <c r="Q349" s="17" t="s">
        <v>35</v>
      </c>
      <c r="R349" s="6" t="s">
        <v>35</v>
      </c>
      <c r="S349" s="17" t="s">
        <v>36</v>
      </c>
      <c r="T349" s="17" t="s">
        <v>2465</v>
      </c>
      <c r="U349" s="173" t="s">
        <v>38</v>
      </c>
      <c r="V349" s="181" t="s">
        <v>1483</v>
      </c>
      <c r="W349" s="20" t="s">
        <v>1484</v>
      </c>
      <c r="X349" s="20" t="s">
        <v>1484</v>
      </c>
      <c r="Y349" s="20"/>
      <c r="Z349" s="7"/>
      <c r="AA349" s="7"/>
      <c r="AB349" s="23"/>
      <c r="AC349" s="26"/>
    </row>
    <row r="350" spans="1:29" ht="15.75" customHeight="1">
      <c r="A350" s="10" t="s">
        <v>2467</v>
      </c>
      <c r="B350" s="10" t="s">
        <v>1469</v>
      </c>
      <c r="C350" s="60" t="s">
        <v>1470</v>
      </c>
      <c r="D350" s="12"/>
      <c r="E350" s="13" t="s">
        <v>378</v>
      </c>
      <c r="F350" s="6" t="s">
        <v>878</v>
      </c>
      <c r="G350" s="6" t="str">
        <f ca="1">IFERROR(__xludf.DUMMYFUNCTION("CONCATENATE(B350,(VLOOKUP(C350,CATALOGOS!$F$2:$H$6,3,FALSE)),(VLOOKUP(V350,CATALOGOS!$J$2:$K$18,2,FALSE)),""-"",TO_TEXT(A350))"),"P12SI-0349")</f>
        <v>P12SI-0349</v>
      </c>
      <c r="H350" s="6" t="str">
        <f ca="1">IFERROR(__xludf.DUMMYFUNCTION("CONCATENATE($B350,(VLOOKUP($C350,CATALOGOS!$F$2:$H$6,3,FALSE)),(VLOOKUP($V350,CATALOGOS!$J$2:$K$18,2,FALSE)),""-"",TO_TEXT($A350))"),"P12SI-0349")</f>
        <v>P12SI-0349</v>
      </c>
      <c r="I350" s="6"/>
      <c r="J350" s="6" t="s">
        <v>2468</v>
      </c>
      <c r="K350" s="6" t="s">
        <v>2469</v>
      </c>
      <c r="L350" s="6" t="s">
        <v>2470</v>
      </c>
      <c r="M350" s="6" t="s">
        <v>2471</v>
      </c>
      <c r="N350" s="17"/>
      <c r="O350" s="17"/>
      <c r="P350" s="17" t="str">
        <f t="shared" si="4"/>
        <v>OK</v>
      </c>
      <c r="Q350" s="17" t="s">
        <v>35</v>
      </c>
      <c r="R350" s="6" t="s">
        <v>35</v>
      </c>
      <c r="S350" s="17" t="s">
        <v>36</v>
      </c>
      <c r="T350" s="17" t="s">
        <v>2472</v>
      </c>
      <c r="U350" s="173" t="s">
        <v>38</v>
      </c>
      <c r="V350" s="181" t="s">
        <v>1483</v>
      </c>
      <c r="W350" s="20" t="s">
        <v>1484</v>
      </c>
      <c r="X350" s="20" t="s">
        <v>1484</v>
      </c>
      <c r="Y350" s="20"/>
      <c r="Z350" s="6"/>
      <c r="AA350" s="6"/>
      <c r="AB350" s="23"/>
      <c r="AC350" s="24"/>
    </row>
    <row r="351" spans="1:29" ht="15.75" customHeight="1">
      <c r="A351" s="10" t="s">
        <v>2473</v>
      </c>
      <c r="B351" s="10" t="s">
        <v>1469</v>
      </c>
      <c r="C351" s="60" t="s">
        <v>1470</v>
      </c>
      <c r="D351" s="12"/>
      <c r="E351" s="13" t="s">
        <v>378</v>
      </c>
      <c r="F351" s="6" t="s">
        <v>878</v>
      </c>
      <c r="G351" s="6" t="str">
        <f ca="1">IFERROR(__xludf.DUMMYFUNCTION("CONCATENATE(B351,(VLOOKUP(C351,CATALOGOS!$F$2:$H$6,3,FALSE)),(VLOOKUP(V351,CATALOGOS!$J$2:$K$18,2,FALSE)),""-"",TO_TEXT(A351))"),"P12SI-0350")</f>
        <v>P12SI-0350</v>
      </c>
      <c r="H351" s="6" t="str">
        <f ca="1">IFERROR(__xludf.DUMMYFUNCTION("CONCATENATE($B351,(VLOOKUP($C351,CATALOGOS!$F$2:$H$6,3,FALSE)),(VLOOKUP($V351,CATALOGOS!$J$2:$K$18,2,FALSE)),""-"",TO_TEXT($A351))"),"P12SI-0350")</f>
        <v>P12SI-0350</v>
      </c>
      <c r="I351" s="6"/>
      <c r="J351" s="6" t="s">
        <v>2474</v>
      </c>
      <c r="K351" s="6" t="s">
        <v>2475</v>
      </c>
      <c r="L351" s="6" t="s">
        <v>2476</v>
      </c>
      <c r="M351" s="6" t="s">
        <v>2477</v>
      </c>
      <c r="N351" s="17"/>
      <c r="O351" s="17"/>
      <c r="P351" s="17" t="str">
        <f t="shared" si="4"/>
        <v>OK</v>
      </c>
      <c r="Q351" s="17" t="s">
        <v>35</v>
      </c>
      <c r="R351" s="6" t="s">
        <v>35</v>
      </c>
      <c r="S351" s="17" t="s">
        <v>36</v>
      </c>
      <c r="T351" s="17" t="s">
        <v>2478</v>
      </c>
      <c r="U351" s="173" t="s">
        <v>38</v>
      </c>
      <c r="V351" s="181" t="s">
        <v>1483</v>
      </c>
      <c r="W351" s="20" t="s">
        <v>1484</v>
      </c>
      <c r="X351" s="20" t="s">
        <v>1484</v>
      </c>
      <c r="Y351" s="20"/>
      <c r="Z351" s="7"/>
      <c r="AA351" s="7"/>
      <c r="AB351" s="23"/>
      <c r="AC351" s="26"/>
    </row>
    <row r="352" spans="1:29" ht="15.75" customHeight="1">
      <c r="A352" s="10" t="s">
        <v>2479</v>
      </c>
      <c r="B352" s="10" t="s">
        <v>1469</v>
      </c>
      <c r="C352" s="60" t="s">
        <v>1470</v>
      </c>
      <c r="D352" s="12"/>
      <c r="E352" s="13" t="s">
        <v>378</v>
      </c>
      <c r="F352" s="43" t="s">
        <v>2480</v>
      </c>
      <c r="G352" s="6" t="str">
        <f ca="1">IFERROR(__xludf.DUMMYFUNCTION("CONCATENATE(B352,(VLOOKUP(C352,CATALOGOS!$F$2:$H$6,3,FALSE)),(VLOOKUP(V352,CATALOGOS!$J$2:$K$18,2,FALSE)),""-"",TO_TEXT(A352))"),"P12SI-0351")</f>
        <v>P12SI-0351</v>
      </c>
      <c r="H352" s="6" t="str">
        <f ca="1">IFERROR(__xludf.DUMMYFUNCTION("CONCATENATE($B352,(VLOOKUP($C352,CATALOGOS!$F$2:$H$6,3,FALSE)),(VLOOKUP($V352,CATALOGOS!$J$2:$K$18,2,FALSE)),""-"",TO_TEXT($A352))"),"P12SI-0351")</f>
        <v>P12SI-0351</v>
      </c>
      <c r="I352" s="6"/>
      <c r="J352" s="6" t="s">
        <v>2481</v>
      </c>
      <c r="K352" s="6" t="s">
        <v>2482</v>
      </c>
      <c r="L352" s="6" t="s">
        <v>2483</v>
      </c>
      <c r="M352" s="6" t="s">
        <v>2484</v>
      </c>
      <c r="N352" s="17"/>
      <c r="O352" s="17"/>
      <c r="P352" s="17" t="str">
        <f t="shared" si="4"/>
        <v>OK</v>
      </c>
      <c r="Q352" s="17" t="s">
        <v>35</v>
      </c>
      <c r="R352" s="6" t="s">
        <v>35</v>
      </c>
      <c r="S352" s="17" t="s">
        <v>36</v>
      </c>
      <c r="T352" s="17" t="s">
        <v>2485</v>
      </c>
      <c r="U352" s="173" t="s">
        <v>38</v>
      </c>
      <c r="V352" s="181" t="s">
        <v>1483</v>
      </c>
      <c r="W352" s="20" t="s">
        <v>1484</v>
      </c>
      <c r="X352" s="20" t="s">
        <v>1484</v>
      </c>
      <c r="Y352" s="20"/>
      <c r="Z352" s="6"/>
      <c r="AA352" s="6"/>
      <c r="AB352" s="23"/>
      <c r="AC352" s="24"/>
    </row>
    <row r="353" spans="1:29" ht="15.75" customHeight="1">
      <c r="A353" s="10" t="s">
        <v>2486</v>
      </c>
      <c r="B353" s="10" t="s">
        <v>1469</v>
      </c>
      <c r="C353" s="60" t="s">
        <v>1470</v>
      </c>
      <c r="D353" s="12"/>
      <c r="E353" s="13" t="s">
        <v>184</v>
      </c>
      <c r="F353" s="43" t="s">
        <v>2487</v>
      </c>
      <c r="G353" s="6" t="str">
        <f ca="1">IFERROR(__xludf.DUMMYFUNCTION("CONCATENATE(B353,(VLOOKUP(C353,CATALOGOS!$F$2:$H$6,3,FALSE)),(VLOOKUP(V353,CATALOGOS!$J$2:$K$18,2,FALSE)),""-"",TO_TEXT(A353))"),"P12SI-0352")</f>
        <v>P12SI-0352</v>
      </c>
      <c r="H353" s="6" t="str">
        <f ca="1">IFERROR(__xludf.DUMMYFUNCTION("CONCATENATE($B353,(VLOOKUP($C353,CATALOGOS!$F$2:$H$6,3,FALSE)),(VLOOKUP($V353,CATALOGOS!$J$2:$K$18,2,FALSE)),""-"",TO_TEXT($A353))"),"P12SI-0352")</f>
        <v>P12SI-0352</v>
      </c>
      <c r="I353" s="6"/>
      <c r="J353" s="6" t="s">
        <v>2488</v>
      </c>
      <c r="K353" s="6" t="s">
        <v>2489</v>
      </c>
      <c r="L353" s="6" t="s">
        <v>2490</v>
      </c>
      <c r="M353" s="6" t="s">
        <v>2491</v>
      </c>
      <c r="N353" s="17"/>
      <c r="O353" s="17"/>
      <c r="P353" s="17" t="str">
        <f t="shared" si="4"/>
        <v>OK</v>
      </c>
      <c r="Q353" s="17" t="s">
        <v>35</v>
      </c>
      <c r="R353" s="6" t="s">
        <v>35</v>
      </c>
      <c r="S353" s="17" t="s">
        <v>36</v>
      </c>
      <c r="T353" s="17" t="s">
        <v>2492</v>
      </c>
      <c r="U353" s="173" t="s">
        <v>549</v>
      </c>
      <c r="V353" s="181" t="s">
        <v>1483</v>
      </c>
      <c r="W353" s="20" t="s">
        <v>1484</v>
      </c>
      <c r="X353" s="20" t="s">
        <v>1484</v>
      </c>
      <c r="Y353" s="20"/>
      <c r="Z353" s="6"/>
      <c r="AA353" s="6" t="s">
        <v>440</v>
      </c>
      <c r="AB353" s="23"/>
      <c r="AC353" s="24"/>
    </row>
    <row r="354" spans="1:29" ht="15.75" customHeight="1">
      <c r="A354" s="10" t="s">
        <v>2493</v>
      </c>
      <c r="B354" s="10" t="s">
        <v>1469</v>
      </c>
      <c r="C354" s="60" t="s">
        <v>1470</v>
      </c>
      <c r="D354" s="12"/>
      <c r="E354" s="13" t="s">
        <v>199</v>
      </c>
      <c r="F354" s="6" t="s">
        <v>677</v>
      </c>
      <c r="G354" s="6" t="str">
        <f ca="1">IFERROR(__xludf.DUMMYFUNCTION("CONCATENATE(B354,(VLOOKUP(C354,CATALOGOS!$F$2:$H$6,3,FALSE)),(VLOOKUP(V354,CATALOGOS!$J$2:$K$18,2,FALSE)),""-"",TO_TEXT(A354))"),"P12SI-0353")</f>
        <v>P12SI-0353</v>
      </c>
      <c r="H354" s="6" t="str">
        <f ca="1">IFERROR(__xludf.DUMMYFUNCTION("CONCATENATE($B354,(VLOOKUP($C354,CATALOGOS!$F$2:$H$6,3,FALSE)),(VLOOKUP($V354,CATALOGOS!$J$2:$K$18,2,FALSE)),""-"",TO_TEXT($A354))"),"P12SI-0353")</f>
        <v>P12SI-0353</v>
      </c>
      <c r="I354" s="6"/>
      <c r="J354" s="6" t="s">
        <v>2494</v>
      </c>
      <c r="K354" s="6" t="s">
        <v>2495</v>
      </c>
      <c r="L354" s="6" t="s">
        <v>2496</v>
      </c>
      <c r="M354" s="6" t="s">
        <v>141</v>
      </c>
      <c r="N354" s="17"/>
      <c r="O354" s="17"/>
      <c r="P354" s="17" t="str">
        <f t="shared" si="4"/>
        <v>REPETIDO</v>
      </c>
      <c r="Q354" s="17" t="s">
        <v>682</v>
      </c>
      <c r="R354" s="32" t="s">
        <v>2497</v>
      </c>
      <c r="S354" s="17" t="s">
        <v>2498</v>
      </c>
      <c r="T354" s="17" t="s">
        <v>2499</v>
      </c>
      <c r="U354" s="173" t="s">
        <v>38</v>
      </c>
      <c r="V354" s="181" t="s">
        <v>1483</v>
      </c>
      <c r="W354" s="20" t="s">
        <v>1484</v>
      </c>
      <c r="X354" s="20" t="s">
        <v>1484</v>
      </c>
      <c r="Y354" s="20"/>
      <c r="Z354" s="36"/>
      <c r="AA354" s="36"/>
      <c r="AB354" s="23"/>
      <c r="AC354" s="33"/>
    </row>
    <row r="355" spans="1:29" ht="15.75" customHeight="1">
      <c r="A355" s="10" t="s">
        <v>2501</v>
      </c>
      <c r="B355" s="10" t="s">
        <v>1469</v>
      </c>
      <c r="C355" s="60" t="s">
        <v>1470</v>
      </c>
      <c r="D355" s="12"/>
      <c r="E355" s="13" t="s">
        <v>2502</v>
      </c>
      <c r="F355" s="43" t="s">
        <v>2503</v>
      </c>
      <c r="G355" s="6" t="str">
        <f ca="1">IFERROR(__xludf.DUMMYFUNCTION("CONCATENATE(B355,(VLOOKUP(C355,CATALOGOS!$F$2:$H$6,3,FALSE)),(VLOOKUP(V355,CATALOGOS!$J$2:$K$18,2,FALSE)),""-"",TO_TEXT(A355))"),"P12SI-0354")</f>
        <v>P12SI-0354</v>
      </c>
      <c r="H355" s="6" t="str">
        <f ca="1">IFERROR(__xludf.DUMMYFUNCTION("CONCATENATE($B355,(VLOOKUP($C355,CATALOGOS!$F$2:$H$6,3,FALSE)),(VLOOKUP($V355,CATALOGOS!$J$2:$K$18,2,FALSE)),""-"",TO_TEXT($A355))"),"P12SI-0354")</f>
        <v>P12SI-0354</v>
      </c>
      <c r="I355" s="6"/>
      <c r="J355" s="6" t="s">
        <v>2504</v>
      </c>
      <c r="K355" s="6" t="s">
        <v>2505</v>
      </c>
      <c r="L355" s="6" t="s">
        <v>2506</v>
      </c>
      <c r="M355" s="6" t="s">
        <v>2507</v>
      </c>
      <c r="N355" s="17"/>
      <c r="O355" s="17"/>
      <c r="P355" s="17" t="str">
        <f t="shared" si="4"/>
        <v>OK</v>
      </c>
      <c r="Q355" s="17" t="s">
        <v>2508</v>
      </c>
      <c r="R355" s="6" t="s">
        <v>2509</v>
      </c>
      <c r="S355" s="17" t="s">
        <v>2510</v>
      </c>
      <c r="T355" s="17" t="s">
        <v>85</v>
      </c>
      <c r="U355" s="178" t="s">
        <v>2511</v>
      </c>
      <c r="V355" s="181" t="s">
        <v>1483</v>
      </c>
      <c r="W355" s="20" t="s">
        <v>1484</v>
      </c>
      <c r="X355" s="20" t="s">
        <v>1484</v>
      </c>
      <c r="Y355" s="20"/>
      <c r="Z355" s="6"/>
      <c r="AA355" s="6"/>
      <c r="AB355" s="23"/>
      <c r="AC355" s="33"/>
    </row>
    <row r="356" spans="1:29" ht="15.75" customHeight="1">
      <c r="A356" s="10" t="s">
        <v>2512</v>
      </c>
      <c r="B356" s="10" t="s">
        <v>1469</v>
      </c>
      <c r="C356" s="60" t="s">
        <v>1470</v>
      </c>
      <c r="D356" s="12"/>
      <c r="E356" s="13" t="s">
        <v>151</v>
      </c>
      <c r="F356" s="6" t="s">
        <v>152</v>
      </c>
      <c r="G356" s="6" t="str">
        <f ca="1">IFERROR(__xludf.DUMMYFUNCTION("CONCATENATE(B356,(VLOOKUP(C356,CATALOGOS!$F$2:$H$6,3,FALSE)),(VLOOKUP(V356,CATALOGOS!$J$2:$K$18,2,FALSE)),""-"",TO_TEXT(A356))"),"P12SI-0355")</f>
        <v>P12SI-0355</v>
      </c>
      <c r="H356" s="6" t="str">
        <f ca="1">IFERROR(__xludf.DUMMYFUNCTION("CONCATENATE($B356,(VLOOKUP($C356,CATALOGOS!$F$2:$H$6,3,FALSE)),(VLOOKUP($V356,CATALOGOS!$J$2:$K$18,2,FALSE)),""-"",TO_TEXT($A356))"),"P12SI-0355")</f>
        <v>P12SI-0355</v>
      </c>
      <c r="I356" s="6"/>
      <c r="J356" s="6" t="s">
        <v>2513</v>
      </c>
      <c r="K356" s="6" t="s">
        <v>2514</v>
      </c>
      <c r="L356" s="6" t="s">
        <v>2515</v>
      </c>
      <c r="M356" s="6" t="s">
        <v>2516</v>
      </c>
      <c r="N356" s="17"/>
      <c r="O356" s="17"/>
      <c r="P356" s="17" t="str">
        <f t="shared" si="4"/>
        <v>OK</v>
      </c>
      <c r="Q356" s="17" t="s">
        <v>297</v>
      </c>
      <c r="R356" s="6" t="s">
        <v>1620</v>
      </c>
      <c r="S356" s="17" t="s">
        <v>2517</v>
      </c>
      <c r="T356" s="17" t="s">
        <v>85</v>
      </c>
      <c r="U356" s="173" t="s">
        <v>38</v>
      </c>
      <c r="V356" s="181" t="s">
        <v>1483</v>
      </c>
      <c r="W356" s="20" t="s">
        <v>1484</v>
      </c>
      <c r="X356" s="20" t="s">
        <v>1484</v>
      </c>
      <c r="Y356" s="20"/>
      <c r="Z356" s="6"/>
      <c r="AA356" s="6"/>
      <c r="AB356" s="23"/>
      <c r="AC356" s="24"/>
    </row>
    <row r="357" spans="1:29" ht="15.75" customHeight="1">
      <c r="A357" s="10" t="s">
        <v>2519</v>
      </c>
      <c r="B357" s="10" t="s">
        <v>1469</v>
      </c>
      <c r="C357" s="60" t="s">
        <v>1470</v>
      </c>
      <c r="D357" s="12"/>
      <c r="E357" s="13" t="s">
        <v>162</v>
      </c>
      <c r="F357" s="43" t="s">
        <v>285</v>
      </c>
      <c r="G357" s="6" t="str">
        <f ca="1">IFERROR(__xludf.DUMMYFUNCTION("CONCATENATE(B357,(VLOOKUP(C357,CATALOGOS!$F$2:$H$6,3,FALSE)),(VLOOKUP(V357,CATALOGOS!$J$2:$K$18,2,FALSE)),""-"",TO_TEXT(A357))"),"P12SI-0356")</f>
        <v>P12SI-0356</v>
      </c>
      <c r="H357" s="6" t="str">
        <f ca="1">IFERROR(__xludf.DUMMYFUNCTION("CONCATENATE($B357,(VLOOKUP($C357,CATALOGOS!$F$2:$H$6,3,FALSE)),(VLOOKUP($V357,CATALOGOS!$J$2:$K$18,2,FALSE)),""-"",TO_TEXT($A357))"),"P12SI-0356")</f>
        <v>P12SI-0356</v>
      </c>
      <c r="I357" s="6"/>
      <c r="J357" s="6" t="s">
        <v>2520</v>
      </c>
      <c r="K357" s="6" t="s">
        <v>2521</v>
      </c>
      <c r="L357" s="6" t="s">
        <v>2522</v>
      </c>
      <c r="M357" s="6" t="s">
        <v>2523</v>
      </c>
      <c r="N357" s="17"/>
      <c r="O357" s="17"/>
      <c r="P357" s="17" t="str">
        <f t="shared" si="4"/>
        <v>OK</v>
      </c>
      <c r="Q357" s="17" t="s">
        <v>168</v>
      </c>
      <c r="R357" s="6" t="s">
        <v>169</v>
      </c>
      <c r="S357" s="17" t="s">
        <v>2524</v>
      </c>
      <c r="T357" s="17" t="s">
        <v>2525</v>
      </c>
      <c r="U357" s="173" t="s">
        <v>38</v>
      </c>
      <c r="V357" s="181" t="s">
        <v>1483</v>
      </c>
      <c r="W357" s="20" t="s">
        <v>1484</v>
      </c>
      <c r="X357" s="20" t="s">
        <v>1484</v>
      </c>
      <c r="Y357" s="20"/>
      <c r="Z357" s="7"/>
      <c r="AA357" s="7"/>
      <c r="AB357" s="23"/>
      <c r="AC357" s="26"/>
    </row>
    <row r="358" spans="1:29" ht="15.75" customHeight="1">
      <c r="A358" s="10" t="s">
        <v>2526</v>
      </c>
      <c r="B358" s="10" t="s">
        <v>1469</v>
      </c>
      <c r="C358" s="60" t="s">
        <v>1470</v>
      </c>
      <c r="D358" s="12"/>
      <c r="E358" s="13" t="s">
        <v>93</v>
      </c>
      <c r="F358" s="6" t="s">
        <v>2527</v>
      </c>
      <c r="G358" s="6" t="str">
        <f ca="1">IFERROR(__xludf.DUMMYFUNCTION("CONCATENATE(B358,(VLOOKUP(C358,CATALOGOS!$F$2:$H$6,3,FALSE)),(VLOOKUP(V358,CATALOGOS!$J$2:$K$18,2,FALSE)),""-"",TO_TEXT(A358))"),"P12SI-0357")</f>
        <v>P12SI-0357</v>
      </c>
      <c r="H358" s="6" t="str">
        <f ca="1">IFERROR(__xludf.DUMMYFUNCTION("CONCATENATE($B358,(VLOOKUP($C358,CATALOGOS!$F$2:$H$6,3,FALSE)),(VLOOKUP($V358,CATALOGOS!$J$2:$K$18,2,FALSE)),""-"",TO_TEXT($A358))"),"P12SI-0357")</f>
        <v>P12SI-0357</v>
      </c>
      <c r="I358" s="6"/>
      <c r="J358" s="6" t="s">
        <v>2528</v>
      </c>
      <c r="K358" s="6" t="s">
        <v>2529</v>
      </c>
      <c r="L358" s="6" t="s">
        <v>2530</v>
      </c>
      <c r="M358" s="6" t="s">
        <v>2531</v>
      </c>
      <c r="N358" s="17"/>
      <c r="O358" s="17"/>
      <c r="P358" s="17" t="str">
        <f t="shared" si="4"/>
        <v>OK</v>
      </c>
      <c r="Q358" s="17" t="s">
        <v>35</v>
      </c>
      <c r="R358" s="6" t="s">
        <v>35</v>
      </c>
      <c r="S358" s="17" t="s">
        <v>36</v>
      </c>
      <c r="T358" s="17" t="s">
        <v>2532</v>
      </c>
      <c r="U358" s="173" t="s">
        <v>38</v>
      </c>
      <c r="V358" s="181" t="s">
        <v>1483</v>
      </c>
      <c r="W358" s="20" t="s">
        <v>2533</v>
      </c>
      <c r="X358" s="20" t="s">
        <v>2533</v>
      </c>
      <c r="Y358" s="20"/>
      <c r="Z358" s="7"/>
      <c r="AA358" s="7"/>
      <c r="AB358" s="23"/>
      <c r="AC358" s="26"/>
    </row>
    <row r="359" spans="1:29" ht="15.75" customHeight="1">
      <c r="A359" s="10" t="s">
        <v>2534</v>
      </c>
      <c r="B359" s="10" t="s">
        <v>1469</v>
      </c>
      <c r="C359" s="60" t="s">
        <v>1470</v>
      </c>
      <c r="D359" s="38"/>
      <c r="E359" s="13" t="s">
        <v>248</v>
      </c>
      <c r="F359" s="6" t="s">
        <v>2535</v>
      </c>
      <c r="G359" s="6" t="str">
        <f ca="1">IFERROR(__xludf.DUMMYFUNCTION("CONCATENATE(B359,(VLOOKUP(C359,CATALOGOS!$F$2:$H$6,3,FALSE)),(VLOOKUP(V359,CATALOGOS!$J$2:$K$18,2,FALSE)),""-"",TO_TEXT(A359))"),"P12SI-0358")</f>
        <v>P12SI-0358</v>
      </c>
      <c r="H359" s="6" t="str">
        <f ca="1">IFERROR(__xludf.DUMMYFUNCTION("CONCATENATE($B359,(VLOOKUP($C359,CATALOGOS!$F$2:$H$6,3,FALSE)),(VLOOKUP($V359,CATALOGOS!$J$2:$K$18,2,FALSE)),""-"",TO_TEXT($A359))"),"P12SI-0358")</f>
        <v>P12SI-0358</v>
      </c>
      <c r="I359" s="6"/>
      <c r="J359" s="6" t="s">
        <v>2536</v>
      </c>
      <c r="K359" s="6" t="s">
        <v>2537</v>
      </c>
      <c r="L359" s="6" t="s">
        <v>2538</v>
      </c>
      <c r="M359" s="6" t="s">
        <v>2539</v>
      </c>
      <c r="N359" s="17"/>
      <c r="O359" s="17"/>
      <c r="P359" s="17" t="str">
        <f t="shared" si="4"/>
        <v>OK</v>
      </c>
      <c r="Q359" s="17" t="s">
        <v>2540</v>
      </c>
      <c r="R359" s="6" t="s">
        <v>2541</v>
      </c>
      <c r="S359" s="46" t="s">
        <v>2542</v>
      </c>
      <c r="T359" s="17" t="s">
        <v>2543</v>
      </c>
      <c r="U359" s="173" t="s">
        <v>38</v>
      </c>
      <c r="V359" s="181" t="s">
        <v>1483</v>
      </c>
      <c r="W359" s="10" t="s">
        <v>2533</v>
      </c>
      <c r="X359" s="10" t="s">
        <v>2533</v>
      </c>
      <c r="Y359" s="10"/>
      <c r="Z359" s="7"/>
      <c r="AA359" s="7"/>
      <c r="AB359" s="26"/>
      <c r="AC359" s="26"/>
    </row>
    <row r="360" spans="1:29" ht="15.75" customHeight="1">
      <c r="A360" s="10" t="s">
        <v>2545</v>
      </c>
      <c r="B360" s="10" t="s">
        <v>1469</v>
      </c>
      <c r="C360" s="60" t="s">
        <v>1470</v>
      </c>
      <c r="D360" s="12"/>
      <c r="E360" s="13" t="s">
        <v>116</v>
      </c>
      <c r="F360" s="43" t="s">
        <v>2546</v>
      </c>
      <c r="G360" s="6" t="str">
        <f ca="1">IFERROR(__xludf.DUMMYFUNCTION("CONCATENATE(B360,(VLOOKUP(C360,CATALOGOS!$F$2:$H$6,3,FALSE)),(VLOOKUP(V360,CATALOGOS!$J$2:$K$18,2,FALSE)),""-"",TO_TEXT(A360))"),"P12SI-0359")</f>
        <v>P12SI-0359</v>
      </c>
      <c r="H360" s="6" t="str">
        <f ca="1">IFERROR(__xludf.DUMMYFUNCTION("CONCATENATE($B360,(VLOOKUP($C360,CATALOGOS!$F$2:$H$6,3,FALSE)),(VLOOKUP($V360,CATALOGOS!$J$2:$K$18,2,FALSE)),""-"",TO_TEXT($A360))"),"P12SI-0359")</f>
        <v>P12SI-0359</v>
      </c>
      <c r="I360" s="6"/>
      <c r="J360" s="6" t="s">
        <v>2547</v>
      </c>
      <c r="K360" s="6" t="s">
        <v>2548</v>
      </c>
      <c r="L360" s="6" t="s">
        <v>2549</v>
      </c>
      <c r="M360" s="6" t="s">
        <v>2550</v>
      </c>
      <c r="N360" s="17"/>
      <c r="O360" s="17"/>
      <c r="P360" s="17" t="str">
        <f t="shared" si="4"/>
        <v>OK</v>
      </c>
      <c r="Q360" s="17" t="s">
        <v>35</v>
      </c>
      <c r="R360" s="49" t="s">
        <v>35</v>
      </c>
      <c r="S360" s="17" t="s">
        <v>36</v>
      </c>
      <c r="T360" s="17" t="s">
        <v>2551</v>
      </c>
      <c r="U360" s="173" t="s">
        <v>38</v>
      </c>
      <c r="V360" s="181" t="s">
        <v>1483</v>
      </c>
      <c r="W360" s="22" t="s">
        <v>2552</v>
      </c>
      <c r="X360" s="22" t="s">
        <v>2552</v>
      </c>
      <c r="Y360" s="22"/>
      <c r="Z360" s="6"/>
      <c r="AA360" s="6"/>
      <c r="AB360" s="23"/>
      <c r="AC360" s="24"/>
    </row>
    <row r="361" spans="1:29" ht="15.75" customHeight="1">
      <c r="A361" s="10" t="s">
        <v>2553</v>
      </c>
      <c r="B361" s="10" t="s">
        <v>1469</v>
      </c>
      <c r="C361" s="60" t="s">
        <v>1470</v>
      </c>
      <c r="D361" s="12"/>
      <c r="E361" s="13" t="s">
        <v>151</v>
      </c>
      <c r="F361" s="6" t="s">
        <v>152</v>
      </c>
      <c r="G361" s="6" t="str">
        <f ca="1">IFERROR(__xludf.DUMMYFUNCTION("CONCATENATE(B361,(VLOOKUP(C361,CATALOGOS!$F$2:$H$6,3,FALSE)),(VLOOKUP(V361,CATALOGOS!$J$2:$K$18,2,FALSE)),""-"",TO_TEXT(A361))"),"P12SI-0360")</f>
        <v>P12SI-0360</v>
      </c>
      <c r="H361" s="6" t="str">
        <f ca="1">IFERROR(__xludf.DUMMYFUNCTION("CONCATENATE($B361,(VLOOKUP($C361,CATALOGOS!$F$2:$H$6,3,FALSE)),(VLOOKUP($V361,CATALOGOS!$J$2:$K$18,2,FALSE)),""-"",TO_TEXT($A361))"),"P12SI-0360")</f>
        <v>P12SI-0360</v>
      </c>
      <c r="I361" s="6"/>
      <c r="J361" s="6" t="s">
        <v>2554</v>
      </c>
      <c r="K361" s="6" t="s">
        <v>2555</v>
      </c>
      <c r="L361" s="6" t="s">
        <v>2556</v>
      </c>
      <c r="M361" s="6" t="s">
        <v>2557</v>
      </c>
      <c r="N361" s="17"/>
      <c r="O361" s="17"/>
      <c r="P361" s="17" t="str">
        <f t="shared" si="4"/>
        <v>OK</v>
      </c>
      <c r="Q361" s="17" t="s">
        <v>205</v>
      </c>
      <c r="R361" s="6" t="s">
        <v>916</v>
      </c>
      <c r="S361" s="17" t="s">
        <v>2558</v>
      </c>
      <c r="T361" s="17" t="s">
        <v>2559</v>
      </c>
      <c r="U361" s="173" t="s">
        <v>38</v>
      </c>
      <c r="V361" s="181" t="s">
        <v>1483</v>
      </c>
      <c r="W361" s="22" t="s">
        <v>2552</v>
      </c>
      <c r="X361" s="22" t="s">
        <v>2552</v>
      </c>
      <c r="Y361" s="22"/>
      <c r="Z361" s="7"/>
      <c r="AA361" s="7"/>
      <c r="AB361" s="23"/>
      <c r="AC361" s="26"/>
    </row>
    <row r="362" spans="1:29" ht="15.75" customHeight="1">
      <c r="A362" s="10" t="s">
        <v>2560</v>
      </c>
      <c r="B362" s="10" t="s">
        <v>1469</v>
      </c>
      <c r="C362" s="60" t="s">
        <v>1470</v>
      </c>
      <c r="D362" s="12"/>
      <c r="E362" s="13" t="s">
        <v>1240</v>
      </c>
      <c r="F362" s="43" t="s">
        <v>278</v>
      </c>
      <c r="G362" s="6" t="str">
        <f ca="1">IFERROR(__xludf.DUMMYFUNCTION("CONCATENATE(B362,(VLOOKUP(C362,CATALOGOS!$F$2:$H$6,3,FALSE)),(VLOOKUP(V362,CATALOGOS!$J$2:$K$18,2,FALSE)),""-"",TO_TEXT(A362))"),"P12SI-0361")</f>
        <v>P12SI-0361</v>
      </c>
      <c r="H362" s="6" t="str">
        <f ca="1">IFERROR(__xludf.DUMMYFUNCTION("CONCATENATE($B362,(VLOOKUP($C362,CATALOGOS!$F$2:$H$6,3,FALSE)),(VLOOKUP($V362,CATALOGOS!$J$2:$K$18,2,FALSE)),""-"",TO_TEXT($A362))"),"P12SI-0361")</f>
        <v>P12SI-0361</v>
      </c>
      <c r="I362" s="6"/>
      <c r="J362" s="6" t="s">
        <v>2561</v>
      </c>
      <c r="K362" s="6" t="s">
        <v>2562</v>
      </c>
      <c r="L362" s="6" t="s">
        <v>2563</v>
      </c>
      <c r="M362" s="6" t="s">
        <v>2564</v>
      </c>
      <c r="N362" s="17"/>
      <c r="O362" s="17"/>
      <c r="P362" s="17" t="str">
        <f t="shared" si="4"/>
        <v>OK</v>
      </c>
      <c r="Q362" s="17" t="s">
        <v>35</v>
      </c>
      <c r="R362" s="6" t="s">
        <v>35</v>
      </c>
      <c r="S362" s="17" t="s">
        <v>36</v>
      </c>
      <c r="T362" s="17" t="s">
        <v>2565</v>
      </c>
      <c r="U362" s="173" t="s">
        <v>38</v>
      </c>
      <c r="V362" s="181" t="s">
        <v>1483</v>
      </c>
      <c r="W362" s="22" t="s">
        <v>2552</v>
      </c>
      <c r="X362" s="22" t="s">
        <v>2552</v>
      </c>
      <c r="Y362" s="22"/>
      <c r="Z362" s="6"/>
      <c r="AA362" s="6"/>
      <c r="AB362" s="23"/>
      <c r="AC362" s="24"/>
    </row>
    <row r="363" spans="1:29" ht="15.75" customHeight="1">
      <c r="A363" s="10" t="s">
        <v>2566</v>
      </c>
      <c r="B363" s="10" t="s">
        <v>1469</v>
      </c>
      <c r="C363" s="60" t="s">
        <v>1470</v>
      </c>
      <c r="D363" s="12"/>
      <c r="E363" s="13" t="s">
        <v>248</v>
      </c>
      <c r="F363" s="43" t="s">
        <v>248</v>
      </c>
      <c r="G363" s="6" t="str">
        <f ca="1">IFERROR(__xludf.DUMMYFUNCTION("CONCATENATE(B363,(VLOOKUP(C363,CATALOGOS!$F$2:$H$6,3,FALSE)),(VLOOKUP(V363,CATALOGOS!$J$2:$K$18,2,FALSE)),""-"",TO_TEXT(A363))"),"P12SI-0362")</f>
        <v>P12SI-0362</v>
      </c>
      <c r="H363" s="6" t="str">
        <f ca="1">IFERROR(__xludf.DUMMYFUNCTION("CONCATENATE($B363,(VLOOKUP($C363,CATALOGOS!$F$2:$H$6,3,FALSE)),(VLOOKUP($V363,CATALOGOS!$J$2:$K$18,2,FALSE)),""-"",TO_TEXT($A363))"),"P12SI-0362")</f>
        <v>P12SI-0362</v>
      </c>
      <c r="I363" s="6"/>
      <c r="J363" s="6" t="s">
        <v>2567</v>
      </c>
      <c r="K363" s="6" t="s">
        <v>2568</v>
      </c>
      <c r="L363" s="6" t="s">
        <v>2569</v>
      </c>
      <c r="M363" s="6" t="s">
        <v>2570</v>
      </c>
      <c r="N363" s="17"/>
      <c r="O363" s="17"/>
      <c r="P363" s="17" t="str">
        <f t="shared" si="4"/>
        <v>OK</v>
      </c>
      <c r="Q363" s="17" t="s">
        <v>250</v>
      </c>
      <c r="R363" s="6" t="s">
        <v>35</v>
      </c>
      <c r="S363" s="17" t="s">
        <v>2571</v>
      </c>
      <c r="T363" s="17" t="s">
        <v>2572</v>
      </c>
      <c r="U363" s="173" t="s">
        <v>38</v>
      </c>
      <c r="V363" s="181" t="s">
        <v>1483</v>
      </c>
      <c r="W363" s="22" t="s">
        <v>2552</v>
      </c>
      <c r="X363" s="22" t="s">
        <v>2552</v>
      </c>
      <c r="Y363" s="22"/>
      <c r="Z363" s="7"/>
      <c r="AA363" s="7"/>
      <c r="AB363" s="23"/>
      <c r="AC363" s="26"/>
    </row>
    <row r="364" spans="1:29" ht="15.75" customHeight="1">
      <c r="A364" s="10" t="s">
        <v>2573</v>
      </c>
      <c r="B364" s="10" t="s">
        <v>1469</v>
      </c>
      <c r="C364" s="60" t="s">
        <v>1470</v>
      </c>
      <c r="D364" s="12"/>
      <c r="E364" s="13" t="s">
        <v>199</v>
      </c>
      <c r="F364" s="43" t="s">
        <v>1394</v>
      </c>
      <c r="G364" s="6" t="str">
        <f ca="1">IFERROR(__xludf.DUMMYFUNCTION("CONCATENATE(B364,(VLOOKUP(C364,CATALOGOS!$F$2:$H$6,3,FALSE)),(VLOOKUP(V364,CATALOGOS!$J$2:$K$18,2,FALSE)),""-"",TO_TEXT(A364))"),"P12SI-0363")</f>
        <v>P12SI-0363</v>
      </c>
      <c r="H364" s="6" t="str">
        <f ca="1">IFERROR(__xludf.DUMMYFUNCTION("CONCATENATE($B364,(VLOOKUP($C364,CATALOGOS!$F$2:$H$6,3,FALSE)),(VLOOKUP($V364,CATALOGOS!$J$2:$K$18,2,FALSE)),""-"",TO_TEXT($A364))"),"P12SI-0363")</f>
        <v>P12SI-0363</v>
      </c>
      <c r="I364" s="6"/>
      <c r="J364" s="6" t="s">
        <v>2574</v>
      </c>
      <c r="K364" s="6" t="s">
        <v>2575</v>
      </c>
      <c r="L364" s="6" t="s">
        <v>2576</v>
      </c>
      <c r="M364" s="6" t="s">
        <v>2577</v>
      </c>
      <c r="N364" s="17"/>
      <c r="O364" s="17"/>
      <c r="P364" s="17" t="str">
        <f t="shared" si="4"/>
        <v>OK</v>
      </c>
      <c r="Q364" s="17" t="s">
        <v>297</v>
      </c>
      <c r="R364" s="6" t="s">
        <v>2009</v>
      </c>
      <c r="S364" s="17" t="s">
        <v>2578</v>
      </c>
      <c r="T364" s="17" t="s">
        <v>2579</v>
      </c>
      <c r="U364" s="173" t="s">
        <v>38</v>
      </c>
      <c r="V364" s="181" t="s">
        <v>1483</v>
      </c>
      <c r="W364" s="22" t="s">
        <v>2552</v>
      </c>
      <c r="X364" s="22" t="s">
        <v>2552</v>
      </c>
      <c r="Y364" s="22"/>
      <c r="Z364" s="6"/>
      <c r="AA364" s="6"/>
      <c r="AB364" s="23"/>
      <c r="AC364" s="24"/>
    </row>
    <row r="365" spans="1:29" ht="15.75" customHeight="1">
      <c r="A365" s="10" t="s">
        <v>2580</v>
      </c>
      <c r="B365" s="10" t="s">
        <v>1469</v>
      </c>
      <c r="C365" s="60" t="s">
        <v>1470</v>
      </c>
      <c r="D365" s="12"/>
      <c r="E365" s="13" t="s">
        <v>43</v>
      </c>
      <c r="F365" s="6" t="s">
        <v>2581</v>
      </c>
      <c r="G365" s="6" t="str">
        <f ca="1">IFERROR(__xludf.DUMMYFUNCTION("CONCATENATE(B365,(VLOOKUP(C365,CATALOGOS!$F$2:$H$6,3,FALSE)),(VLOOKUP(V365,CATALOGOS!$J$2:$K$18,2,FALSE)),""-"",TO_TEXT(A365))"),"P12SI-0364")</f>
        <v>P12SI-0364</v>
      </c>
      <c r="H365" s="6" t="str">
        <f ca="1">IFERROR(__xludf.DUMMYFUNCTION("CONCATENATE($B365,(VLOOKUP($C365,CATALOGOS!$F$2:$H$6,3,FALSE)),(VLOOKUP($V365,CATALOGOS!$J$2:$K$18,2,FALSE)),""-"",TO_TEXT($A365))"),"P12SI-0364")</f>
        <v>P12SI-0364</v>
      </c>
      <c r="I365" s="6"/>
      <c r="J365" s="6" t="s">
        <v>2582</v>
      </c>
      <c r="K365" s="6" t="s">
        <v>2583</v>
      </c>
      <c r="L365" s="6" t="s">
        <v>2584</v>
      </c>
      <c r="M365" s="6" t="s">
        <v>2585</v>
      </c>
      <c r="N365" s="17"/>
      <c r="O365" s="17"/>
      <c r="P365" s="17" t="str">
        <f t="shared" si="4"/>
        <v>OK</v>
      </c>
      <c r="Q365" s="17" t="s">
        <v>2586</v>
      </c>
      <c r="R365" s="6" t="s">
        <v>2587</v>
      </c>
      <c r="S365" s="17" t="s">
        <v>36</v>
      </c>
      <c r="T365" s="10" t="s">
        <v>2588</v>
      </c>
      <c r="U365" s="173" t="s">
        <v>100</v>
      </c>
      <c r="V365" s="181" t="s">
        <v>1483</v>
      </c>
      <c r="W365" s="22" t="s">
        <v>2552</v>
      </c>
      <c r="X365" s="22" t="s">
        <v>2552</v>
      </c>
      <c r="Y365" s="22"/>
      <c r="Z365" s="7"/>
      <c r="AA365" s="7"/>
      <c r="AB365" s="23"/>
      <c r="AC365" s="26"/>
    </row>
    <row r="366" spans="1:29" ht="15.75" customHeight="1">
      <c r="A366" s="10" t="s">
        <v>2589</v>
      </c>
      <c r="B366" s="10" t="s">
        <v>1469</v>
      </c>
      <c r="C366" s="60" t="s">
        <v>1470</v>
      </c>
      <c r="D366" s="12"/>
      <c r="E366" s="13" t="s">
        <v>184</v>
      </c>
      <c r="F366" s="6" t="s">
        <v>927</v>
      </c>
      <c r="G366" s="6" t="str">
        <f ca="1">IFERROR(__xludf.DUMMYFUNCTION("CONCATENATE(B366,(VLOOKUP(C366,CATALOGOS!$F$2:$H$6,3,FALSE)),(VLOOKUP(V366,CATALOGOS!$J$2:$K$18,2,FALSE)),""-"",TO_TEXT(A366))"),"P12SI-0365")</f>
        <v>P12SI-0365</v>
      </c>
      <c r="H366" s="6" t="str">
        <f ca="1">IFERROR(__xludf.DUMMYFUNCTION("CONCATENATE($B366,(VLOOKUP($C366,CATALOGOS!$F$2:$H$6,3,FALSE)),(VLOOKUP($V366,CATALOGOS!$J$2:$K$18,2,FALSE)),""-"",TO_TEXT($A366))"),"P12SI-0365")</f>
        <v>P12SI-0365</v>
      </c>
      <c r="I366" s="6"/>
      <c r="J366" s="6" t="s">
        <v>2590</v>
      </c>
      <c r="K366" s="6" t="s">
        <v>2591</v>
      </c>
      <c r="L366" s="6" t="s">
        <v>2592</v>
      </c>
      <c r="M366" s="6" t="s">
        <v>2593</v>
      </c>
      <c r="N366" s="17"/>
      <c r="O366" s="17"/>
      <c r="P366" s="17" t="str">
        <f t="shared" si="4"/>
        <v>OK</v>
      </c>
      <c r="Q366" s="17" t="s">
        <v>35</v>
      </c>
      <c r="R366" s="6" t="s">
        <v>35</v>
      </c>
      <c r="S366" s="17" t="s">
        <v>36</v>
      </c>
      <c r="T366" s="17" t="s">
        <v>2594</v>
      </c>
      <c r="U366" s="173" t="s">
        <v>38</v>
      </c>
      <c r="V366" s="181" t="s">
        <v>1483</v>
      </c>
      <c r="W366" s="22" t="s">
        <v>2552</v>
      </c>
      <c r="X366" s="22" t="s">
        <v>2552</v>
      </c>
      <c r="Y366" s="22"/>
      <c r="Z366" s="7"/>
      <c r="AA366" s="7"/>
      <c r="AB366" s="23"/>
      <c r="AC366" s="26"/>
    </row>
    <row r="367" spans="1:29" ht="15.75" customHeight="1">
      <c r="A367" s="10" t="s">
        <v>2595</v>
      </c>
      <c r="B367" s="10" t="s">
        <v>1469</v>
      </c>
      <c r="C367" s="60" t="s">
        <v>1470</v>
      </c>
      <c r="D367" s="38"/>
      <c r="E367" s="13" t="s">
        <v>2311</v>
      </c>
      <c r="F367" s="6" t="s">
        <v>2596</v>
      </c>
      <c r="G367" s="6" t="str">
        <f ca="1">IFERROR(__xludf.DUMMYFUNCTION("CONCATENATE(B367,(VLOOKUP(C367,CATALOGOS!$F$2:$H$6,3,FALSE)),(VLOOKUP(V367,CATALOGOS!$J$2:$K$18,2,FALSE)),""-"",TO_TEXT(A367))"),"P12SI-0366")</f>
        <v>P12SI-0366</v>
      </c>
      <c r="H367" s="6" t="str">
        <f ca="1">IFERROR(__xludf.DUMMYFUNCTION("CONCATENATE($B367,(VLOOKUP($C367,CATALOGOS!$F$2:$H$6,3,FALSE)),(VLOOKUP($V367,CATALOGOS!$J$2:$K$18,2,FALSE)),""-"",TO_TEXT($A367))"),"P12SI-0366")</f>
        <v>P12SI-0366</v>
      </c>
      <c r="I367" s="6"/>
      <c r="J367" s="6" t="s">
        <v>2597</v>
      </c>
      <c r="K367" s="6" t="s">
        <v>2598</v>
      </c>
      <c r="L367" s="36"/>
      <c r="M367" s="6" t="s">
        <v>141</v>
      </c>
      <c r="N367" s="17"/>
      <c r="O367" s="17"/>
      <c r="P367" s="17" t="str">
        <f t="shared" si="4"/>
        <v>REPETIDO</v>
      </c>
      <c r="Q367" s="17" t="s">
        <v>2599</v>
      </c>
      <c r="R367" s="6" t="s">
        <v>2600</v>
      </c>
      <c r="S367" s="6" t="s">
        <v>2601</v>
      </c>
      <c r="T367" s="32" t="s">
        <v>85</v>
      </c>
      <c r="U367" s="173" t="s">
        <v>38</v>
      </c>
      <c r="V367" s="181" t="s">
        <v>1483</v>
      </c>
      <c r="W367" s="32" t="s">
        <v>2552</v>
      </c>
      <c r="X367" s="32" t="s">
        <v>2552</v>
      </c>
      <c r="Y367" s="32"/>
      <c r="Z367" s="6"/>
      <c r="AA367" s="6"/>
      <c r="AB367" s="26"/>
      <c r="AC367" s="33"/>
    </row>
    <row r="368" spans="1:29" ht="15.75" customHeight="1">
      <c r="A368" s="10" t="s">
        <v>2602</v>
      </c>
      <c r="B368" s="10" t="s">
        <v>1469</v>
      </c>
      <c r="C368" s="60" t="s">
        <v>1470</v>
      </c>
      <c r="D368" s="12"/>
      <c r="E368" s="13" t="s">
        <v>151</v>
      </c>
      <c r="F368" s="6" t="s">
        <v>151</v>
      </c>
      <c r="G368" s="6" t="str">
        <f ca="1">IFERROR(__xludf.DUMMYFUNCTION("CONCATENATE(B368,(VLOOKUP(C368,CATALOGOS!$F$2:$H$6,3,FALSE)),(VLOOKUP(V368,CATALOGOS!$J$2:$K$18,2,FALSE)),""-"",TO_TEXT(A368))"),"P12SI-0367")</f>
        <v>P12SI-0367</v>
      </c>
      <c r="H368" s="6" t="str">
        <f ca="1">IFERROR(__xludf.DUMMYFUNCTION("CONCATENATE($B368,(VLOOKUP($C368,CATALOGOS!$F$2:$H$6,3,FALSE)),(VLOOKUP($V368,CATALOGOS!$J$2:$K$18,2,FALSE)),""-"",TO_TEXT($A368))"),"P12SI-0367")</f>
        <v>P12SI-0367</v>
      </c>
      <c r="I368" s="6"/>
      <c r="J368" s="6" t="s">
        <v>2603</v>
      </c>
      <c r="K368" s="6" t="s">
        <v>2604</v>
      </c>
      <c r="L368" s="6" t="s">
        <v>2605</v>
      </c>
      <c r="M368" s="6" t="s">
        <v>2606</v>
      </c>
      <c r="N368" s="17"/>
      <c r="O368" s="17"/>
      <c r="P368" s="17" t="str">
        <f t="shared" si="4"/>
        <v>OK</v>
      </c>
      <c r="Q368" s="17" t="s">
        <v>297</v>
      </c>
      <c r="R368" s="6" t="s">
        <v>1407</v>
      </c>
      <c r="S368" s="17" t="s">
        <v>2607</v>
      </c>
      <c r="T368" s="10" t="s">
        <v>2608</v>
      </c>
      <c r="U368" s="173" t="s">
        <v>38</v>
      </c>
      <c r="V368" s="181" t="s">
        <v>1483</v>
      </c>
      <c r="W368" s="22" t="s">
        <v>2500</v>
      </c>
      <c r="X368" s="22" t="s">
        <v>2500</v>
      </c>
      <c r="Y368" s="22"/>
      <c r="Z368" s="7"/>
      <c r="AA368" s="7"/>
      <c r="AB368" s="23"/>
      <c r="AC368" s="26"/>
    </row>
    <row r="369" spans="1:29" ht="15.75" customHeight="1">
      <c r="A369" s="10" t="s">
        <v>2609</v>
      </c>
      <c r="B369" s="10" t="s">
        <v>1469</v>
      </c>
      <c r="C369" s="60" t="s">
        <v>1470</v>
      </c>
      <c r="D369" s="12"/>
      <c r="E369" s="13" t="s">
        <v>151</v>
      </c>
      <c r="F369" s="6" t="s">
        <v>151</v>
      </c>
      <c r="G369" s="6" t="str">
        <f ca="1">IFERROR(__xludf.DUMMYFUNCTION("CONCATENATE(B369,(VLOOKUP(C369,CATALOGOS!$F$2:$H$6,3,FALSE)),(VLOOKUP(V369,CATALOGOS!$J$2:$K$18,2,FALSE)),""-"",TO_TEXT(A369))"),"P12SI-0368")</f>
        <v>P12SI-0368</v>
      </c>
      <c r="H369" s="6" t="str">
        <f ca="1">IFERROR(__xludf.DUMMYFUNCTION("CONCATENATE($B369,(VLOOKUP($C369,CATALOGOS!$F$2:$H$6,3,FALSE)),(VLOOKUP($V369,CATALOGOS!$J$2:$K$18,2,FALSE)),""-"",TO_TEXT($A369))"),"P12SI-0368")</f>
        <v>P12SI-0368</v>
      </c>
      <c r="I369" s="6"/>
      <c r="J369" s="6" t="s">
        <v>2610</v>
      </c>
      <c r="K369" s="6" t="s">
        <v>2611</v>
      </c>
      <c r="L369" s="6" t="s">
        <v>2612</v>
      </c>
      <c r="M369" s="6" t="s">
        <v>2613</v>
      </c>
      <c r="N369" s="17"/>
      <c r="O369" s="17"/>
      <c r="P369" s="17" t="str">
        <f t="shared" si="4"/>
        <v>OK</v>
      </c>
      <c r="Q369" s="17" t="s">
        <v>297</v>
      </c>
      <c r="R369" s="6" t="s">
        <v>1407</v>
      </c>
      <c r="S369" s="17" t="s">
        <v>2614</v>
      </c>
      <c r="T369" s="10" t="s">
        <v>2615</v>
      </c>
      <c r="U369" s="173" t="s">
        <v>38</v>
      </c>
      <c r="V369" s="181" t="s">
        <v>1483</v>
      </c>
      <c r="W369" s="22" t="s">
        <v>2500</v>
      </c>
      <c r="X369" s="22" t="s">
        <v>2500</v>
      </c>
      <c r="Y369" s="22"/>
      <c r="Z369" s="6"/>
      <c r="AA369" s="6"/>
      <c r="AB369" s="23"/>
      <c r="AC369" s="24"/>
    </row>
    <row r="370" spans="1:29" ht="15.75" customHeight="1">
      <c r="A370" s="10" t="s">
        <v>2616</v>
      </c>
      <c r="B370" s="10" t="s">
        <v>1469</v>
      </c>
      <c r="C370" s="60" t="s">
        <v>1470</v>
      </c>
      <c r="D370" s="12"/>
      <c r="E370" s="13" t="s">
        <v>199</v>
      </c>
      <c r="F370" s="43" t="s">
        <v>1394</v>
      </c>
      <c r="G370" s="6" t="str">
        <f ca="1">IFERROR(__xludf.DUMMYFUNCTION("CONCATENATE(B370,(VLOOKUP(C370,CATALOGOS!$F$2:$H$6,3,FALSE)),(VLOOKUP(V370,CATALOGOS!$J$2:$K$18,2,FALSE)),""-"",TO_TEXT(A370))"),"P12SI-0369")</f>
        <v>P12SI-0369</v>
      </c>
      <c r="H370" s="6" t="str">
        <f ca="1">IFERROR(__xludf.DUMMYFUNCTION("CONCATENATE($B370,(VLOOKUP($C370,CATALOGOS!$F$2:$H$6,3,FALSE)),(VLOOKUP($V370,CATALOGOS!$J$2:$K$18,2,FALSE)),""-"",TO_TEXT($A370))"),"P12SI-0369")</f>
        <v>P12SI-0369</v>
      </c>
      <c r="I370" s="6"/>
      <c r="J370" s="6" t="s">
        <v>2617</v>
      </c>
      <c r="K370" s="6" t="s">
        <v>2618</v>
      </c>
      <c r="L370" s="6" t="s">
        <v>2619</v>
      </c>
      <c r="M370" s="6" t="s">
        <v>141</v>
      </c>
      <c r="N370" s="17"/>
      <c r="O370" s="17"/>
      <c r="P370" s="17" t="str">
        <f t="shared" si="4"/>
        <v>REPETIDO</v>
      </c>
      <c r="Q370" s="17" t="s">
        <v>297</v>
      </c>
      <c r="R370" s="32" t="s">
        <v>2620</v>
      </c>
      <c r="S370" s="17" t="s">
        <v>2621</v>
      </c>
      <c r="T370" s="17" t="s">
        <v>2622</v>
      </c>
      <c r="U370" s="173" t="s">
        <v>38</v>
      </c>
      <c r="V370" s="181" t="s">
        <v>1483</v>
      </c>
      <c r="W370" s="22" t="s">
        <v>2500</v>
      </c>
      <c r="X370" s="22" t="s">
        <v>2500</v>
      </c>
      <c r="Y370" s="22"/>
      <c r="Z370" s="7"/>
      <c r="AA370" s="7"/>
      <c r="AB370" s="23"/>
      <c r="AC370" s="26"/>
    </row>
    <row r="371" spans="1:29" ht="15.75" customHeight="1">
      <c r="A371" s="10" t="s">
        <v>2623</v>
      </c>
      <c r="B371" s="10" t="s">
        <v>1469</v>
      </c>
      <c r="C371" s="60" t="s">
        <v>1470</v>
      </c>
      <c r="D371" s="12"/>
      <c r="E371" s="13" t="s">
        <v>2311</v>
      </c>
      <c r="F371" s="6" t="s">
        <v>2624</v>
      </c>
      <c r="G371" s="6" t="str">
        <f ca="1">IFERROR(__xludf.DUMMYFUNCTION("CONCATENATE(B371,(VLOOKUP(C371,CATALOGOS!$F$2:$H$6,3,FALSE)),(VLOOKUP(V371,CATALOGOS!$J$2:$K$18,2,FALSE)),""-"",TO_TEXT(A371))"),"P12SI-0370")</f>
        <v>P12SI-0370</v>
      </c>
      <c r="H371" s="6" t="str">
        <f ca="1">IFERROR(__xludf.DUMMYFUNCTION("CONCATENATE($B371,(VLOOKUP($C371,CATALOGOS!$F$2:$H$6,3,FALSE)),(VLOOKUP($V371,CATALOGOS!$J$2:$K$18,2,FALSE)),""-"",TO_TEXT($A371))"),"P12SI-0370")</f>
        <v>P12SI-0370</v>
      </c>
      <c r="I371" s="6"/>
      <c r="J371" s="6" t="s">
        <v>2625</v>
      </c>
      <c r="K371" s="6" t="s">
        <v>2626</v>
      </c>
      <c r="L371" s="6" t="s">
        <v>2627</v>
      </c>
      <c r="M371" s="6" t="s">
        <v>2628</v>
      </c>
      <c r="N371" s="17"/>
      <c r="O371" s="17"/>
      <c r="P371" s="17" t="str">
        <f t="shared" si="4"/>
        <v>OK</v>
      </c>
      <c r="Q371" s="17" t="s">
        <v>2629</v>
      </c>
      <c r="R371" s="6" t="s">
        <v>2630</v>
      </c>
      <c r="S371" s="17" t="s">
        <v>2631</v>
      </c>
      <c r="T371" s="10" t="s">
        <v>2632</v>
      </c>
      <c r="U371" s="173" t="s">
        <v>38</v>
      </c>
      <c r="V371" s="181" t="s">
        <v>1483</v>
      </c>
      <c r="W371" s="22" t="s">
        <v>2500</v>
      </c>
      <c r="X371" s="22" t="s">
        <v>2500</v>
      </c>
      <c r="Y371" s="22"/>
      <c r="Z371" s="7"/>
      <c r="AA371" s="7"/>
      <c r="AB371" s="23"/>
      <c r="AC371" s="26"/>
    </row>
    <row r="372" spans="1:29" ht="15.75" customHeight="1">
      <c r="A372" s="10" t="s">
        <v>2633</v>
      </c>
      <c r="B372" s="10" t="s">
        <v>1469</v>
      </c>
      <c r="C372" s="60" t="s">
        <v>1470</v>
      </c>
      <c r="D372" s="12"/>
      <c r="E372" s="13" t="s">
        <v>136</v>
      </c>
      <c r="F372" s="43" t="s">
        <v>136</v>
      </c>
      <c r="G372" s="6" t="str">
        <f ca="1">IFERROR(__xludf.DUMMYFUNCTION("CONCATENATE(B372,(VLOOKUP(C372,CATALOGOS!$F$2:$H$6,3,FALSE)),(VLOOKUP(V372,CATALOGOS!$J$2:$K$18,2,FALSE)),""-"",TO_TEXT(A372))"),"P12SI-0371")</f>
        <v>P12SI-0371</v>
      </c>
      <c r="H372" s="6" t="str">
        <f ca="1">IFERROR(__xludf.DUMMYFUNCTION("CONCATENATE($B372,(VLOOKUP($C372,CATALOGOS!$F$2:$H$6,3,FALSE)),(VLOOKUP($V372,CATALOGOS!$J$2:$K$18,2,FALSE)),""-"",TO_TEXT($A372))"),"P12SI-0371")</f>
        <v>P12SI-0371</v>
      </c>
      <c r="I372" s="6"/>
      <c r="J372" s="6" t="s">
        <v>2634</v>
      </c>
      <c r="K372" s="6" t="s">
        <v>2635</v>
      </c>
      <c r="L372" s="6" t="s">
        <v>2636</v>
      </c>
      <c r="M372" s="6" t="s">
        <v>2637</v>
      </c>
      <c r="N372" s="17"/>
      <c r="O372" s="17"/>
      <c r="P372" s="17" t="str">
        <f t="shared" si="4"/>
        <v>OK</v>
      </c>
      <c r="Q372" s="17" t="s">
        <v>143</v>
      </c>
      <c r="R372" s="6" t="s">
        <v>1330</v>
      </c>
      <c r="S372" s="17" t="s">
        <v>2638</v>
      </c>
      <c r="T372" s="10" t="s">
        <v>2639</v>
      </c>
      <c r="U372" s="178" t="s">
        <v>142</v>
      </c>
      <c r="V372" s="181" t="s">
        <v>1483</v>
      </c>
      <c r="W372" s="22" t="s">
        <v>2500</v>
      </c>
      <c r="X372" s="22" t="s">
        <v>2500</v>
      </c>
      <c r="Y372" s="22"/>
      <c r="Z372" s="7"/>
      <c r="AA372" s="7"/>
      <c r="AB372" s="23"/>
      <c r="AC372" s="26"/>
    </row>
    <row r="373" spans="1:29" ht="15.75" customHeight="1">
      <c r="A373" s="10" t="s">
        <v>2640</v>
      </c>
      <c r="B373" s="10" t="s">
        <v>1469</v>
      </c>
      <c r="C373" s="60" t="s">
        <v>1470</v>
      </c>
      <c r="D373" s="12"/>
      <c r="E373" s="13" t="s">
        <v>43</v>
      </c>
      <c r="F373" s="6" t="s">
        <v>2641</v>
      </c>
      <c r="G373" s="6" t="str">
        <f ca="1">IFERROR(__xludf.DUMMYFUNCTION("CONCATENATE(B373,(VLOOKUP(C373,CATALOGOS!$F$2:$H$6,3,FALSE)),(VLOOKUP(V373,CATALOGOS!$J$2:$K$18,2,FALSE)),""-"",TO_TEXT(A373))"),"P12SI-0372")</f>
        <v>P12SI-0372</v>
      </c>
      <c r="H373" s="6" t="str">
        <f ca="1">IFERROR(__xludf.DUMMYFUNCTION("CONCATENATE($B373,(VLOOKUP($C373,CATALOGOS!$F$2:$H$6,3,FALSE)),(VLOOKUP($V373,CATALOGOS!$J$2:$K$18,2,FALSE)),""-"",TO_TEXT($A373))"),"P12SI-0372")</f>
        <v>P12SI-0372</v>
      </c>
      <c r="I373" s="6"/>
      <c r="J373" s="6" t="s">
        <v>2642</v>
      </c>
      <c r="K373" s="6" t="s">
        <v>2643</v>
      </c>
      <c r="L373" s="6" t="s">
        <v>2644</v>
      </c>
      <c r="M373" s="6" t="s">
        <v>2645</v>
      </c>
      <c r="N373" s="17"/>
      <c r="O373" s="17"/>
      <c r="P373" s="17" t="str">
        <f t="shared" si="4"/>
        <v>OK</v>
      </c>
      <c r="Q373" s="17" t="s">
        <v>406</v>
      </c>
      <c r="R373" s="6" t="s">
        <v>1271</v>
      </c>
      <c r="S373" s="17" t="s">
        <v>2646</v>
      </c>
      <c r="T373" s="17" t="s">
        <v>2647</v>
      </c>
      <c r="U373" s="173" t="s">
        <v>38</v>
      </c>
      <c r="V373" s="181" t="s">
        <v>1483</v>
      </c>
      <c r="W373" s="22" t="s">
        <v>2500</v>
      </c>
      <c r="X373" s="22" t="s">
        <v>2500</v>
      </c>
      <c r="Y373" s="22"/>
      <c r="Z373" s="6"/>
      <c r="AA373" s="6"/>
      <c r="AB373" s="23"/>
      <c r="AC373" s="24"/>
    </row>
    <row r="374" spans="1:29" ht="15.75" customHeight="1">
      <c r="A374" s="10" t="s">
        <v>2648</v>
      </c>
      <c r="B374" s="10" t="s">
        <v>1469</v>
      </c>
      <c r="C374" s="60" t="s">
        <v>1470</v>
      </c>
      <c r="D374" s="12"/>
      <c r="E374" s="13" t="s">
        <v>248</v>
      </c>
      <c r="F374" s="6" t="s">
        <v>248</v>
      </c>
      <c r="G374" s="6" t="str">
        <f ca="1">IFERROR(__xludf.DUMMYFUNCTION("CONCATENATE(B374,(VLOOKUP(C374,CATALOGOS!$F$2:$H$6,3,FALSE)),(VLOOKUP(V374,CATALOGOS!$J$2:$K$18,2,FALSE)),""-"",TO_TEXT(A374))"),"P12SI-0373")</f>
        <v>P12SI-0373</v>
      </c>
      <c r="H374" s="6" t="str">
        <f ca="1">IFERROR(__xludf.DUMMYFUNCTION("CONCATENATE($B374,(VLOOKUP($C374,CATALOGOS!$F$2:$H$6,3,FALSE)),(VLOOKUP($V374,CATALOGOS!$J$2:$K$18,2,FALSE)),""-"",TO_TEXT($A374))"),"P12SI-0373")</f>
        <v>P12SI-0373</v>
      </c>
      <c r="I374" s="6"/>
      <c r="J374" s="6" t="s">
        <v>2649</v>
      </c>
      <c r="K374" s="6" t="s">
        <v>2650</v>
      </c>
      <c r="L374" s="6" t="s">
        <v>2651</v>
      </c>
      <c r="M374" s="6" t="s">
        <v>2652</v>
      </c>
      <c r="N374" s="17"/>
      <c r="O374" s="17"/>
      <c r="P374" s="17" t="str">
        <f t="shared" si="4"/>
        <v>OK</v>
      </c>
      <c r="Q374" s="17" t="s">
        <v>303</v>
      </c>
      <c r="R374" s="6" t="s">
        <v>304</v>
      </c>
      <c r="S374" s="17" t="s">
        <v>2653</v>
      </c>
      <c r="T374" s="10" t="s">
        <v>2654</v>
      </c>
      <c r="U374" s="173" t="s">
        <v>38</v>
      </c>
      <c r="V374" s="181" t="s">
        <v>1483</v>
      </c>
      <c r="W374" s="22" t="s">
        <v>2500</v>
      </c>
      <c r="X374" s="22" t="s">
        <v>2500</v>
      </c>
      <c r="Y374" s="22"/>
      <c r="Z374" s="6"/>
      <c r="AA374" s="6"/>
      <c r="AB374" s="23"/>
      <c r="AC374" s="24"/>
    </row>
    <row r="375" spans="1:29" ht="15.75" customHeight="1">
      <c r="A375" s="10" t="s">
        <v>2655</v>
      </c>
      <c r="B375" s="10" t="s">
        <v>1469</v>
      </c>
      <c r="C375" s="60" t="s">
        <v>1470</v>
      </c>
      <c r="D375" s="12"/>
      <c r="E375" s="13" t="s">
        <v>184</v>
      </c>
      <c r="F375" s="6" t="s">
        <v>927</v>
      </c>
      <c r="G375" s="6" t="str">
        <f ca="1">IFERROR(__xludf.DUMMYFUNCTION("CONCATENATE(B375,(VLOOKUP(C375,CATALOGOS!$F$2:$H$6,3,FALSE)),(VLOOKUP(V375,CATALOGOS!$J$2:$K$18,2,FALSE)),""-"",TO_TEXT(A375))"),"P12SI-0374")</f>
        <v>P12SI-0374</v>
      </c>
      <c r="H375" s="6" t="str">
        <f ca="1">IFERROR(__xludf.DUMMYFUNCTION("CONCATENATE($B375,(VLOOKUP($C375,CATALOGOS!$F$2:$H$6,3,FALSE)),(VLOOKUP($V375,CATALOGOS!$J$2:$K$18,2,FALSE)),""-"",TO_TEXT($A375))"),"P12SI-0374")</f>
        <v>P12SI-0374</v>
      </c>
      <c r="I375" s="6"/>
      <c r="J375" s="6" t="s">
        <v>2656</v>
      </c>
      <c r="K375" s="6" t="s">
        <v>2657</v>
      </c>
      <c r="L375" s="6" t="s">
        <v>2658</v>
      </c>
      <c r="M375" s="6" t="s">
        <v>2659</v>
      </c>
      <c r="N375" s="17"/>
      <c r="O375" s="17"/>
      <c r="P375" s="17" t="str">
        <f t="shared" si="4"/>
        <v>OK</v>
      </c>
      <c r="Q375" s="17" t="s">
        <v>35</v>
      </c>
      <c r="R375" s="6" t="s">
        <v>35</v>
      </c>
      <c r="S375" s="17" t="s">
        <v>36</v>
      </c>
      <c r="T375" s="17" t="s">
        <v>2660</v>
      </c>
      <c r="U375" s="173" t="s">
        <v>38</v>
      </c>
      <c r="V375" s="181" t="s">
        <v>1483</v>
      </c>
      <c r="W375" s="22" t="s">
        <v>2500</v>
      </c>
      <c r="X375" s="22" t="s">
        <v>2500</v>
      </c>
      <c r="Y375" s="22"/>
      <c r="Z375" s="6"/>
      <c r="AA375" s="6"/>
      <c r="AB375" s="23"/>
      <c r="AC375" s="24"/>
    </row>
    <row r="376" spans="1:29" ht="15.75" customHeight="1">
      <c r="A376" s="10" t="s">
        <v>2661</v>
      </c>
      <c r="B376" s="10" t="s">
        <v>1469</v>
      </c>
      <c r="C376" s="60" t="s">
        <v>1470</v>
      </c>
      <c r="D376" s="38"/>
      <c r="E376" s="13" t="s">
        <v>116</v>
      </c>
      <c r="F376" s="6" t="s">
        <v>2662</v>
      </c>
      <c r="G376" s="6" t="str">
        <f ca="1">IFERROR(__xludf.DUMMYFUNCTION("CONCATENATE(B376,(VLOOKUP(C376,CATALOGOS!$F$2:$H$6,3,FALSE)),(VLOOKUP(V376,CATALOGOS!$J$2:$K$18,2,FALSE)),""-"",TO_TEXT(A376))"),"P12SI-0375")</f>
        <v>P12SI-0375</v>
      </c>
      <c r="H376" s="6" t="str">
        <f ca="1">IFERROR(__xludf.DUMMYFUNCTION("CONCATENATE($B376,(VLOOKUP($C376,CATALOGOS!$F$2:$H$6,3,FALSE)),(VLOOKUP($V376,CATALOGOS!$J$2:$K$18,2,FALSE)),""-"",TO_TEXT($A376))"),"P12SI-0375")</f>
        <v>P12SI-0375</v>
      </c>
      <c r="I376" s="6"/>
      <c r="J376" s="6" t="s">
        <v>2663</v>
      </c>
      <c r="K376" s="6" t="s">
        <v>2664</v>
      </c>
      <c r="L376" s="6" t="s">
        <v>2665</v>
      </c>
      <c r="M376" s="6" t="s">
        <v>2666</v>
      </c>
      <c r="N376" s="17"/>
      <c r="O376" s="17"/>
      <c r="P376" s="17" t="str">
        <f t="shared" si="4"/>
        <v>OK</v>
      </c>
      <c r="Q376" s="17" t="s">
        <v>35</v>
      </c>
      <c r="R376" s="6" t="s">
        <v>35</v>
      </c>
      <c r="S376" s="46" t="s">
        <v>36</v>
      </c>
      <c r="T376" s="17" t="s">
        <v>2667</v>
      </c>
      <c r="U376" s="173" t="s">
        <v>38</v>
      </c>
      <c r="V376" s="181" t="s">
        <v>1483</v>
      </c>
      <c r="W376" s="32" t="s">
        <v>2500</v>
      </c>
      <c r="X376" s="32" t="s">
        <v>2500</v>
      </c>
      <c r="Y376" s="32"/>
      <c r="Z376" s="7"/>
      <c r="AA376" s="7"/>
      <c r="AB376" s="26"/>
      <c r="AC376" s="26"/>
    </row>
    <row r="377" spans="1:29" ht="15.75" customHeight="1">
      <c r="A377" s="10" t="s">
        <v>2668</v>
      </c>
      <c r="B377" s="10" t="s">
        <v>1469</v>
      </c>
      <c r="C377" s="60" t="s">
        <v>1470</v>
      </c>
      <c r="D377" s="12"/>
      <c r="E377" s="13" t="s">
        <v>43</v>
      </c>
      <c r="F377" s="43" t="s">
        <v>2669</v>
      </c>
      <c r="G377" s="6" t="str">
        <f ca="1">IFERROR(__xludf.DUMMYFUNCTION("CONCATENATE(B377,(VLOOKUP(C377,CATALOGOS!$F$2:$H$6,3,FALSE)),(VLOOKUP(V377,CATALOGOS!$J$2:$K$18,2,FALSE)),""-"",TO_TEXT(A377))"),"P12SI-0376")</f>
        <v>P12SI-0376</v>
      </c>
      <c r="H377" s="6" t="str">
        <f ca="1">IFERROR(__xludf.DUMMYFUNCTION("CONCATENATE($B377,(VLOOKUP($C377,CATALOGOS!$F$2:$H$6,3,FALSE)),(VLOOKUP($V377,CATALOGOS!$J$2:$K$18,2,FALSE)),""-"",TO_TEXT($A377))"),"P12SI-0376")</f>
        <v>P12SI-0376</v>
      </c>
      <c r="I377" s="6"/>
      <c r="J377" s="6" t="s">
        <v>2670</v>
      </c>
      <c r="K377" s="6" t="s">
        <v>2671</v>
      </c>
      <c r="L377" s="6" t="s">
        <v>2672</v>
      </c>
      <c r="M377" s="6" t="s">
        <v>2673</v>
      </c>
      <c r="N377" s="17"/>
      <c r="O377" s="17"/>
      <c r="P377" s="17" t="str">
        <f t="shared" si="4"/>
        <v>OK</v>
      </c>
      <c r="Q377" s="17" t="s">
        <v>406</v>
      </c>
      <c r="R377" s="6" t="s">
        <v>2674</v>
      </c>
      <c r="S377" s="17" t="s">
        <v>36</v>
      </c>
      <c r="T377" s="17" t="s">
        <v>2675</v>
      </c>
      <c r="U377" s="173" t="s">
        <v>38</v>
      </c>
      <c r="V377" s="181" t="s">
        <v>1483</v>
      </c>
      <c r="W377" s="20" t="s">
        <v>1484</v>
      </c>
      <c r="X377" s="20" t="s">
        <v>1484</v>
      </c>
      <c r="Y377" s="20"/>
      <c r="Z377" s="7"/>
      <c r="AA377" s="7"/>
      <c r="AB377" s="23"/>
      <c r="AC377" s="26"/>
    </row>
    <row r="378" spans="1:29" ht="15.75" customHeight="1">
      <c r="A378" s="10" t="s">
        <v>2676</v>
      </c>
      <c r="B378" s="10" t="s">
        <v>1469</v>
      </c>
      <c r="C378" s="60" t="s">
        <v>1470</v>
      </c>
      <c r="D378" s="12"/>
      <c r="E378" s="13" t="s">
        <v>184</v>
      </c>
      <c r="F378" s="43" t="s">
        <v>2677</v>
      </c>
      <c r="G378" s="6" t="str">
        <f ca="1">IFERROR(__xludf.DUMMYFUNCTION("CONCATENATE(B378,(VLOOKUP(C378,CATALOGOS!$F$2:$H$6,3,FALSE)),(VLOOKUP(V378,CATALOGOS!$J$2:$K$18,2,FALSE)),""-"",TO_TEXT(A378))"),"P12SI-0377")</f>
        <v>P12SI-0377</v>
      </c>
      <c r="H378" s="6" t="str">
        <f ca="1">IFERROR(__xludf.DUMMYFUNCTION("CONCATENATE($B378,(VLOOKUP($C378,CATALOGOS!$F$2:$H$6,3,FALSE)),(VLOOKUP($V378,CATALOGOS!$J$2:$K$18,2,FALSE)),""-"",TO_TEXT($A378))"),"P12SI-0377")</f>
        <v>P12SI-0377</v>
      </c>
      <c r="I378" s="6"/>
      <c r="J378" s="6" t="s">
        <v>2678</v>
      </c>
      <c r="K378" s="6" t="s">
        <v>2679</v>
      </c>
      <c r="L378" s="51" t="s">
        <v>2680</v>
      </c>
      <c r="M378" s="6" t="s">
        <v>2681</v>
      </c>
      <c r="N378" s="17"/>
      <c r="O378" s="17"/>
      <c r="P378" s="17" t="str">
        <f t="shared" si="4"/>
        <v>OK</v>
      </c>
      <c r="Q378" s="17" t="s">
        <v>35</v>
      </c>
      <c r="R378" s="6" t="s">
        <v>35</v>
      </c>
      <c r="S378" s="17" t="s">
        <v>36</v>
      </c>
      <c r="T378" s="17" t="s">
        <v>2682</v>
      </c>
      <c r="U378" s="173" t="s">
        <v>549</v>
      </c>
      <c r="V378" s="181" t="s">
        <v>1483</v>
      </c>
      <c r="W378" s="20" t="s">
        <v>1484</v>
      </c>
      <c r="X378" s="20" t="s">
        <v>1484</v>
      </c>
      <c r="Y378" s="20"/>
      <c r="Z378" s="6"/>
      <c r="AA378" s="6" t="s">
        <v>440</v>
      </c>
      <c r="AB378" s="23"/>
      <c r="AC378" s="24"/>
    </row>
    <row r="379" spans="1:29" ht="15.75" customHeight="1">
      <c r="A379" s="10" t="s">
        <v>2683</v>
      </c>
      <c r="B379" s="10" t="s">
        <v>1469</v>
      </c>
      <c r="C379" s="60" t="s">
        <v>1470</v>
      </c>
      <c r="D379" s="12"/>
      <c r="E379" s="13" t="s">
        <v>2300</v>
      </c>
      <c r="F379" s="6" t="s">
        <v>2300</v>
      </c>
      <c r="G379" s="6" t="str">
        <f ca="1">IFERROR(__xludf.DUMMYFUNCTION("CONCATENATE(B379,(VLOOKUP(C379,CATALOGOS!$F$2:$H$6,3,FALSE)),(VLOOKUP(V379,CATALOGOS!$J$2:$K$18,2,FALSE)),""-"",TO_TEXT(A379))"),"P12SI-0378")</f>
        <v>P12SI-0378</v>
      </c>
      <c r="H379" s="6" t="str">
        <f ca="1">IFERROR(__xludf.DUMMYFUNCTION("CONCATENATE($B379,(VLOOKUP($C379,CATALOGOS!$F$2:$H$6,3,FALSE)),(VLOOKUP($V379,CATALOGOS!$J$2:$K$18,2,FALSE)),""-"",TO_TEXT($A379))"),"P12SI-0378")</f>
        <v>P12SI-0378</v>
      </c>
      <c r="I379" s="6"/>
      <c r="J379" s="6" t="s">
        <v>2684</v>
      </c>
      <c r="K379" s="6" t="s">
        <v>2685</v>
      </c>
      <c r="L379" s="36"/>
      <c r="M379" s="6" t="s">
        <v>141</v>
      </c>
      <c r="N379" s="17"/>
      <c r="O379" s="17"/>
      <c r="P379" s="17" t="str">
        <f t="shared" si="4"/>
        <v>REPETIDO</v>
      </c>
      <c r="Q379" s="17" t="s">
        <v>2599</v>
      </c>
      <c r="R379" s="6" t="s">
        <v>2686</v>
      </c>
      <c r="S379" s="6">
        <v>2159987001653</v>
      </c>
      <c r="T379" s="10" t="s">
        <v>85</v>
      </c>
      <c r="U379" s="173" t="s">
        <v>38</v>
      </c>
      <c r="V379" s="181" t="s">
        <v>1483</v>
      </c>
      <c r="W379" s="20" t="s">
        <v>1484</v>
      </c>
      <c r="X379" s="20" t="s">
        <v>1484</v>
      </c>
      <c r="Y379" s="20"/>
      <c r="Z379" s="6"/>
      <c r="AA379" s="6"/>
      <c r="AB379" s="23"/>
      <c r="AC379" s="24"/>
    </row>
    <row r="380" spans="1:29" ht="15.75" customHeight="1">
      <c r="A380" s="10" t="s">
        <v>2687</v>
      </c>
      <c r="B380" s="10" t="s">
        <v>1469</v>
      </c>
      <c r="C380" s="60" t="s">
        <v>1470</v>
      </c>
      <c r="D380" s="12"/>
      <c r="E380" s="13" t="s">
        <v>2351</v>
      </c>
      <c r="F380" s="43" t="s">
        <v>2688</v>
      </c>
      <c r="G380" s="6" t="str">
        <f ca="1">IFERROR(__xludf.DUMMYFUNCTION("CONCATENATE(B380,(VLOOKUP(C380,CATALOGOS!$F$2:$H$6,3,FALSE)),(VLOOKUP(V380,CATALOGOS!$J$2:$K$18,2,FALSE)),""-"",TO_TEXT(A380))"),"P12SI-0379")</f>
        <v>P12SI-0379</v>
      </c>
      <c r="H380" s="6" t="str">
        <f ca="1">IFERROR(__xludf.DUMMYFUNCTION("CONCATENATE($B380,(VLOOKUP($C380,CATALOGOS!$F$2:$H$6,3,FALSE)),(VLOOKUP($V380,CATALOGOS!$J$2:$K$18,2,FALSE)),""-"",TO_TEXT($A380))"),"P12SI-0379")</f>
        <v>P12SI-0379</v>
      </c>
      <c r="I380" s="6"/>
      <c r="J380" s="6" t="s">
        <v>2689</v>
      </c>
      <c r="K380" s="6" t="s">
        <v>2690</v>
      </c>
      <c r="L380" s="6" t="s">
        <v>2691</v>
      </c>
      <c r="M380" s="6" t="s">
        <v>2692</v>
      </c>
      <c r="N380" s="17"/>
      <c r="O380" s="17"/>
      <c r="P380" s="17" t="str">
        <f t="shared" si="4"/>
        <v>OK</v>
      </c>
      <c r="Q380" s="17" t="s">
        <v>2357</v>
      </c>
      <c r="R380" s="6" t="s">
        <v>2693</v>
      </c>
      <c r="S380" s="17" t="s">
        <v>2694</v>
      </c>
      <c r="T380" s="10" t="s">
        <v>2695</v>
      </c>
      <c r="U380" s="173" t="s">
        <v>38</v>
      </c>
      <c r="V380" s="183" t="s">
        <v>1483</v>
      </c>
      <c r="W380" s="20" t="s">
        <v>1484</v>
      </c>
      <c r="X380" s="20" t="s">
        <v>1484</v>
      </c>
      <c r="Y380" s="20"/>
      <c r="Z380" s="6"/>
      <c r="AA380" s="6"/>
      <c r="AB380" s="23"/>
      <c r="AC380" s="24"/>
    </row>
    <row r="381" spans="1:29" ht="15.75" customHeight="1">
      <c r="A381" s="10" t="s">
        <v>2696</v>
      </c>
      <c r="B381" s="10" t="s">
        <v>1469</v>
      </c>
      <c r="C381" s="60" t="s">
        <v>1470</v>
      </c>
      <c r="D381" s="12"/>
      <c r="E381" s="13" t="s">
        <v>2311</v>
      </c>
      <c r="F381" s="6" t="s">
        <v>2697</v>
      </c>
      <c r="G381" s="6" t="str">
        <f ca="1">IFERROR(__xludf.DUMMYFUNCTION("CONCATENATE(B381,(VLOOKUP(C381,CATALOGOS!$F$2:$H$6,3,FALSE)),(VLOOKUP(V381,CATALOGOS!$J$2:$K$18,2,FALSE)),""-"",TO_TEXT(A381))"),"P12SI-0380")</f>
        <v>P12SI-0380</v>
      </c>
      <c r="H381" s="6" t="str">
        <f ca="1">IFERROR(__xludf.DUMMYFUNCTION("CONCATENATE($B381,(VLOOKUP($C381,CATALOGOS!$F$2:$H$6,3,FALSE)),(VLOOKUP($V381,CATALOGOS!$J$2:$K$18,2,FALSE)),""-"",TO_TEXT($A381))"),"P12SI-0380")</f>
        <v>P12SI-0380</v>
      </c>
      <c r="I381" s="6"/>
      <c r="J381" s="6" t="s">
        <v>2698</v>
      </c>
      <c r="K381" s="6" t="s">
        <v>2699</v>
      </c>
      <c r="L381" s="36"/>
      <c r="M381" s="6" t="s">
        <v>2700</v>
      </c>
      <c r="N381" s="17"/>
      <c r="O381" s="17"/>
      <c r="P381" s="17" t="str">
        <f t="shared" si="4"/>
        <v>OK</v>
      </c>
      <c r="Q381" s="17" t="s">
        <v>2701</v>
      </c>
      <c r="R381" s="6" t="s">
        <v>2702</v>
      </c>
      <c r="S381" s="6">
        <v>60344924301373</v>
      </c>
      <c r="T381" s="10" t="s">
        <v>2703</v>
      </c>
      <c r="U381" s="173" t="s">
        <v>38</v>
      </c>
      <c r="V381" s="181" t="s">
        <v>1483</v>
      </c>
      <c r="W381" s="20" t="s">
        <v>1484</v>
      </c>
      <c r="X381" s="20" t="s">
        <v>1484</v>
      </c>
      <c r="Y381" s="20"/>
      <c r="Z381" s="7"/>
      <c r="AA381" s="7"/>
      <c r="AB381" s="23"/>
      <c r="AC381" s="26"/>
    </row>
    <row r="382" spans="1:29" ht="15.75" customHeight="1">
      <c r="A382" s="10" t="s">
        <v>2704</v>
      </c>
      <c r="B382" s="10" t="s">
        <v>1469</v>
      </c>
      <c r="C382" s="60" t="s">
        <v>1470</v>
      </c>
      <c r="D382" s="38"/>
      <c r="E382" s="13" t="s">
        <v>2311</v>
      </c>
      <c r="F382" s="6" t="s">
        <v>2705</v>
      </c>
      <c r="G382" s="6" t="str">
        <f ca="1">IFERROR(__xludf.DUMMYFUNCTION("CONCATENATE(B382,(VLOOKUP(C382,CATALOGOS!$F$2:$H$6,3,FALSE)),(VLOOKUP(V382,CATALOGOS!$J$2:$K$18,2,FALSE)),""-"",TO_TEXT(A382))"),"P12SI-0381")</f>
        <v>P12SI-0381</v>
      </c>
      <c r="H382" s="6" t="str">
        <f ca="1">IFERROR(__xludf.DUMMYFUNCTION("CONCATENATE($B382,(VLOOKUP($C382,CATALOGOS!$F$2:$H$6,3,FALSE)),(VLOOKUP($V382,CATALOGOS!$J$2:$K$18,2,FALSE)),""-"",TO_TEXT($A382))"),"P12SI-0381")</f>
        <v>P12SI-0381</v>
      </c>
      <c r="I382" s="6"/>
      <c r="J382" s="6" t="s">
        <v>2706</v>
      </c>
      <c r="K382" s="6" t="s">
        <v>2707</v>
      </c>
      <c r="L382" s="36"/>
      <c r="M382" s="6" t="s">
        <v>2708</v>
      </c>
      <c r="N382" s="17"/>
      <c r="O382" s="17"/>
      <c r="P382" s="17" t="str">
        <f t="shared" si="4"/>
        <v>OK</v>
      </c>
      <c r="Q382" s="17" t="s">
        <v>827</v>
      </c>
      <c r="R382" s="6" t="s">
        <v>2709</v>
      </c>
      <c r="S382" s="6">
        <v>43201404</v>
      </c>
      <c r="T382" s="32" t="s">
        <v>2710</v>
      </c>
      <c r="U382" s="173" t="s">
        <v>38</v>
      </c>
      <c r="V382" s="181" t="s">
        <v>1483</v>
      </c>
      <c r="W382" s="10" t="s">
        <v>1484</v>
      </c>
      <c r="X382" s="10" t="s">
        <v>1484</v>
      </c>
      <c r="Y382" s="10"/>
      <c r="Z382" s="7"/>
      <c r="AA382" s="7"/>
      <c r="AB382" s="26"/>
      <c r="AC382" s="26"/>
    </row>
    <row r="383" spans="1:29" ht="15.75" customHeight="1">
      <c r="A383" s="10" t="s">
        <v>2711</v>
      </c>
      <c r="B383" s="10" t="s">
        <v>1469</v>
      </c>
      <c r="C383" s="60" t="s">
        <v>1470</v>
      </c>
      <c r="D383" s="12"/>
      <c r="E383" s="13" t="s">
        <v>1275</v>
      </c>
      <c r="F383" s="6" t="s">
        <v>2712</v>
      </c>
      <c r="G383" s="6" t="str">
        <f ca="1">IFERROR(__xludf.DUMMYFUNCTION("CONCATENATE(B383,(VLOOKUP(C383,CATALOGOS!$F$2:$H$6,3,FALSE)),(VLOOKUP(V383,CATALOGOS!$J$2:$K$18,2,FALSE)),""-"",TO_TEXT(A383))"),"P12SI-0382")</f>
        <v>P12SI-0382</v>
      </c>
      <c r="H383" s="6" t="str">
        <f ca="1">IFERROR(__xludf.DUMMYFUNCTION("CONCATENATE($B383,(VLOOKUP($C383,CATALOGOS!$F$2:$H$6,3,FALSE)),(VLOOKUP($V383,CATALOGOS!$J$2:$K$18,2,FALSE)),""-"",TO_TEXT($A383))"),"P12SI-0382")</f>
        <v>P12SI-0382</v>
      </c>
      <c r="I383" s="6"/>
      <c r="J383" s="6" t="s">
        <v>2713</v>
      </c>
      <c r="K383" s="6" t="s">
        <v>2714</v>
      </c>
      <c r="L383" s="36"/>
      <c r="M383" s="6" t="s">
        <v>2715</v>
      </c>
      <c r="N383" s="17"/>
      <c r="O383" s="17"/>
      <c r="P383" s="17" t="str">
        <f t="shared" si="4"/>
        <v>OK</v>
      </c>
      <c r="Q383" s="17" t="s">
        <v>297</v>
      </c>
      <c r="R383" s="6" t="s">
        <v>2716</v>
      </c>
      <c r="S383" s="6" t="s">
        <v>2717</v>
      </c>
      <c r="T383" s="10" t="s">
        <v>2718</v>
      </c>
      <c r="U383" s="173" t="s">
        <v>38</v>
      </c>
      <c r="V383" s="181" t="s">
        <v>1483</v>
      </c>
      <c r="W383" s="20" t="s">
        <v>2533</v>
      </c>
      <c r="X383" s="20" t="s">
        <v>2533</v>
      </c>
      <c r="Y383" s="20"/>
      <c r="Z383" s="7"/>
      <c r="AA383" s="7"/>
      <c r="AB383" s="23"/>
      <c r="AC383" s="26"/>
    </row>
    <row r="384" spans="1:29" ht="15.75" customHeight="1">
      <c r="A384" s="10" t="s">
        <v>2719</v>
      </c>
      <c r="B384" s="10" t="s">
        <v>1469</v>
      </c>
      <c r="C384" s="60" t="s">
        <v>1470</v>
      </c>
      <c r="D384" s="12"/>
      <c r="E384" s="13" t="s">
        <v>210</v>
      </c>
      <c r="F384" s="6" t="s">
        <v>2720</v>
      </c>
      <c r="G384" s="6" t="str">
        <f ca="1">IFERROR(__xludf.DUMMYFUNCTION("CONCATENATE(B384,(VLOOKUP(C384,CATALOGOS!$F$2:$H$6,3,FALSE)),(VLOOKUP(V384,CATALOGOS!$J$2:$K$18,2,FALSE)),""-"",TO_TEXT(A384))"),"P12SI-0383")</f>
        <v>P12SI-0383</v>
      </c>
      <c r="H384" s="6" t="str">
        <f ca="1">IFERROR(__xludf.DUMMYFUNCTION("CONCATENATE($B384,(VLOOKUP($C384,CATALOGOS!$F$2:$H$6,3,FALSE)),(VLOOKUP($V384,CATALOGOS!$J$2:$K$18,2,FALSE)),""-"",TO_TEXT($A384))"),"P12SI-0383")</f>
        <v>P12SI-0383</v>
      </c>
      <c r="I384" s="6"/>
      <c r="J384" s="6" t="s">
        <v>2721</v>
      </c>
      <c r="K384" s="6" t="s">
        <v>2722</v>
      </c>
      <c r="L384" s="36"/>
      <c r="M384" s="6" t="s">
        <v>2723</v>
      </c>
      <c r="N384" s="17"/>
      <c r="O384" s="17"/>
      <c r="P384" s="17" t="str">
        <f t="shared" si="4"/>
        <v>OK</v>
      </c>
      <c r="Q384" s="17" t="s">
        <v>216</v>
      </c>
      <c r="R384" s="6" t="s">
        <v>2724</v>
      </c>
      <c r="S384" s="6" t="s">
        <v>2725</v>
      </c>
      <c r="T384" s="10" t="s">
        <v>2726</v>
      </c>
      <c r="U384" s="173" t="s">
        <v>38</v>
      </c>
      <c r="V384" s="181" t="s">
        <v>1483</v>
      </c>
      <c r="W384" s="20" t="s">
        <v>1484</v>
      </c>
      <c r="X384" s="20" t="s">
        <v>1484</v>
      </c>
      <c r="Y384" s="20"/>
      <c r="Z384" s="7"/>
      <c r="AA384" s="7"/>
      <c r="AB384" s="23"/>
      <c r="AC384" s="26"/>
    </row>
    <row r="385" spans="1:29" ht="15.75" customHeight="1">
      <c r="A385" s="10" t="s">
        <v>2727</v>
      </c>
      <c r="B385" s="10" t="s">
        <v>1469</v>
      </c>
      <c r="C385" s="60" t="s">
        <v>1470</v>
      </c>
      <c r="D385" s="12"/>
      <c r="E385" s="13" t="s">
        <v>210</v>
      </c>
      <c r="F385" s="6" t="s">
        <v>2720</v>
      </c>
      <c r="G385" s="6" t="str">
        <f ca="1">IFERROR(__xludf.DUMMYFUNCTION("CONCATENATE(B385,(VLOOKUP(C385,CATALOGOS!$F$2:$H$6,3,FALSE)),(VLOOKUP(V385,CATALOGOS!$J$2:$K$18,2,FALSE)),""-"",TO_TEXT(A385))"),"P12SI-0384")</f>
        <v>P12SI-0384</v>
      </c>
      <c r="H385" s="6" t="str">
        <f ca="1">IFERROR(__xludf.DUMMYFUNCTION("CONCATENATE($B385,(VLOOKUP($C385,CATALOGOS!$F$2:$H$6,3,FALSE)),(VLOOKUP($V385,CATALOGOS!$J$2:$K$18,2,FALSE)),""-"",TO_TEXT($A385))"),"P12SI-0384")</f>
        <v>P12SI-0384</v>
      </c>
      <c r="I385" s="6"/>
      <c r="J385" s="6" t="s">
        <v>2728</v>
      </c>
      <c r="K385" s="6" t="s">
        <v>2729</v>
      </c>
      <c r="L385" s="36"/>
      <c r="M385" s="6" t="s">
        <v>2730</v>
      </c>
      <c r="N385" s="17"/>
      <c r="O385" s="17"/>
      <c r="P385" s="17" t="str">
        <f t="shared" si="4"/>
        <v>OK</v>
      </c>
      <c r="Q385" s="17" t="s">
        <v>216</v>
      </c>
      <c r="R385" s="6" t="s">
        <v>2724</v>
      </c>
      <c r="S385" s="6" t="s">
        <v>2731</v>
      </c>
      <c r="T385" s="10" t="s">
        <v>2732</v>
      </c>
      <c r="U385" s="173" t="s">
        <v>38</v>
      </c>
      <c r="V385" s="181" t="s">
        <v>1483</v>
      </c>
      <c r="W385" s="20" t="s">
        <v>1484</v>
      </c>
      <c r="X385" s="20" t="s">
        <v>1484</v>
      </c>
      <c r="Y385" s="20"/>
      <c r="Z385" s="7"/>
      <c r="AA385" s="7"/>
      <c r="AB385" s="23"/>
      <c r="AC385" s="26"/>
    </row>
    <row r="386" spans="1:29" ht="15.75" customHeight="1">
      <c r="A386" s="10" t="s">
        <v>2733</v>
      </c>
      <c r="B386" s="10" t="s">
        <v>1469</v>
      </c>
      <c r="C386" s="60" t="s">
        <v>1470</v>
      </c>
      <c r="D386" s="12"/>
      <c r="E386" s="13" t="s">
        <v>2734</v>
      </c>
      <c r="F386" s="6" t="s">
        <v>2734</v>
      </c>
      <c r="G386" s="6" t="str">
        <f ca="1">IFERROR(__xludf.DUMMYFUNCTION("CONCATENATE(B386,(VLOOKUP(C386,CATALOGOS!$F$2:$H$6,3,FALSE)),(VLOOKUP(V386,CATALOGOS!$J$2:$K$18,2,FALSE)),""-"",TO_TEXT(A386))"),"P12SI-0385")</f>
        <v>P12SI-0385</v>
      </c>
      <c r="H386" s="6" t="str">
        <f ca="1">IFERROR(__xludf.DUMMYFUNCTION("CONCATENATE($B386,(VLOOKUP($C386,CATALOGOS!$F$2:$H$6,3,FALSE)),(VLOOKUP($V386,CATALOGOS!$J$2:$K$18,2,FALSE)),""-"",TO_TEXT($A386))"),"P12SI-0385")</f>
        <v>P12SI-0385</v>
      </c>
      <c r="I386" s="6"/>
      <c r="J386" s="6" t="s">
        <v>2735</v>
      </c>
      <c r="K386" s="6" t="s">
        <v>2736</v>
      </c>
      <c r="L386" s="6" t="s">
        <v>2737</v>
      </c>
      <c r="M386" s="6" t="s">
        <v>2738</v>
      </c>
      <c r="N386" s="17"/>
      <c r="O386" s="17"/>
      <c r="P386" s="17" t="str">
        <f t="shared" si="4"/>
        <v>OK</v>
      </c>
      <c r="Q386" s="17" t="s">
        <v>205</v>
      </c>
      <c r="R386" s="6" t="s">
        <v>2739</v>
      </c>
      <c r="S386" s="17" t="s">
        <v>2740</v>
      </c>
      <c r="T386" s="17" t="s">
        <v>2741</v>
      </c>
      <c r="U386" s="173" t="s">
        <v>38</v>
      </c>
      <c r="V386" s="181" t="s">
        <v>1483</v>
      </c>
      <c r="W386" s="20" t="s">
        <v>1484</v>
      </c>
      <c r="X386" s="20" t="s">
        <v>1484</v>
      </c>
      <c r="Y386" s="20"/>
      <c r="Z386" s="7"/>
      <c r="AA386" s="7"/>
      <c r="AB386" s="23"/>
      <c r="AC386" s="26"/>
    </row>
    <row r="387" spans="1:29" ht="15.75" customHeight="1">
      <c r="A387" s="10" t="s">
        <v>2742</v>
      </c>
      <c r="B387" s="10" t="s">
        <v>1469</v>
      </c>
      <c r="C387" s="60" t="s">
        <v>1470</v>
      </c>
      <c r="D387" s="12"/>
      <c r="E387" s="13" t="s">
        <v>2743</v>
      </c>
      <c r="F387" s="43" t="s">
        <v>2743</v>
      </c>
      <c r="G387" s="6" t="str">
        <f ca="1">IFERROR(__xludf.DUMMYFUNCTION("CONCATENATE(B387,(VLOOKUP(C387,CATALOGOS!$F$2:$H$6,3,FALSE)),(VLOOKUP(V387,CATALOGOS!$J$2:$K$18,2,FALSE)),""-"",TO_TEXT(A387))"),"P12SI-0386")</f>
        <v>P12SI-0386</v>
      </c>
      <c r="H387" s="6" t="str">
        <f ca="1">IFERROR(__xludf.DUMMYFUNCTION("CONCATENATE($B387,(VLOOKUP($C387,CATALOGOS!$F$2:$H$6,3,FALSE)),(VLOOKUP($V387,CATALOGOS!$J$2:$K$18,2,FALSE)),""-"",TO_TEXT($A387))"),"P12SI-0386")</f>
        <v>P12SI-0386</v>
      </c>
      <c r="I387" s="6"/>
      <c r="J387" s="6" t="s">
        <v>2744</v>
      </c>
      <c r="K387" s="6" t="s">
        <v>2745</v>
      </c>
      <c r="L387" s="6" t="s">
        <v>2746</v>
      </c>
      <c r="M387" s="6" t="s">
        <v>2747</v>
      </c>
      <c r="N387" s="17"/>
      <c r="O387" s="17"/>
      <c r="P387" s="17" t="str">
        <f t="shared" si="4"/>
        <v>OK</v>
      </c>
      <c r="Q387" s="17" t="s">
        <v>2748</v>
      </c>
      <c r="R387" s="6" t="s">
        <v>2749</v>
      </c>
      <c r="S387" s="17" t="s">
        <v>2750</v>
      </c>
      <c r="T387" s="17" t="s">
        <v>2751</v>
      </c>
      <c r="U387" s="173" t="s">
        <v>38</v>
      </c>
      <c r="V387" s="181" t="s">
        <v>1483</v>
      </c>
      <c r="W387" s="20" t="s">
        <v>1484</v>
      </c>
      <c r="X387" s="20" t="s">
        <v>1484</v>
      </c>
      <c r="Y387" s="20"/>
      <c r="Z387" s="7"/>
      <c r="AA387" s="7"/>
      <c r="AB387" s="23"/>
      <c r="AC387" s="26"/>
    </row>
    <row r="388" spans="1:29" ht="15.75" customHeight="1">
      <c r="A388" s="10" t="s">
        <v>2752</v>
      </c>
      <c r="B388" s="10" t="s">
        <v>1469</v>
      </c>
      <c r="C388" s="60" t="s">
        <v>1470</v>
      </c>
      <c r="D388" s="12"/>
      <c r="E388" s="13" t="s">
        <v>2743</v>
      </c>
      <c r="F388" s="43" t="s">
        <v>2743</v>
      </c>
      <c r="G388" s="6" t="str">
        <f ca="1">IFERROR(__xludf.DUMMYFUNCTION("CONCATENATE(B388,(VLOOKUP(C388,CATALOGOS!$F$2:$H$6,3,FALSE)),(VLOOKUP(V388,CATALOGOS!$J$2:$K$18,2,FALSE)),""-"",TO_TEXT(A388))"),"P12SI-0387")</f>
        <v>P12SI-0387</v>
      </c>
      <c r="H388" s="6" t="str">
        <f ca="1">IFERROR(__xludf.DUMMYFUNCTION("CONCATENATE($B388,(VLOOKUP($C388,CATALOGOS!$F$2:$H$6,3,FALSE)),(VLOOKUP($V388,CATALOGOS!$J$2:$K$18,2,FALSE)),""-"",TO_TEXT($A388))"),"P12SI-0387")</f>
        <v>P12SI-0387</v>
      </c>
      <c r="I388" s="6"/>
      <c r="J388" s="6" t="s">
        <v>2753</v>
      </c>
      <c r="K388" s="6" t="s">
        <v>2754</v>
      </c>
      <c r="L388" s="6" t="s">
        <v>2755</v>
      </c>
      <c r="M388" s="6" t="s">
        <v>2756</v>
      </c>
      <c r="N388" s="17"/>
      <c r="O388" s="17"/>
      <c r="P388" s="17" t="str">
        <f t="shared" si="4"/>
        <v>OK</v>
      </c>
      <c r="Q388" s="17" t="s">
        <v>205</v>
      </c>
      <c r="R388" s="6" t="s">
        <v>2757</v>
      </c>
      <c r="S388" s="17" t="s">
        <v>2758</v>
      </c>
      <c r="T388" s="17" t="s">
        <v>2759</v>
      </c>
      <c r="U388" s="173" t="s">
        <v>38</v>
      </c>
      <c r="V388" s="181" t="s">
        <v>1483</v>
      </c>
      <c r="W388" s="20" t="s">
        <v>1484</v>
      </c>
      <c r="X388" s="20" t="s">
        <v>1484</v>
      </c>
      <c r="Y388" s="20"/>
      <c r="Z388" s="7"/>
      <c r="AA388" s="7"/>
      <c r="AB388" s="23"/>
      <c r="AC388" s="26"/>
    </row>
    <row r="389" spans="1:29" ht="15.75" customHeight="1">
      <c r="A389" s="10" t="s">
        <v>2760</v>
      </c>
      <c r="B389" s="10" t="s">
        <v>1469</v>
      </c>
      <c r="C389" s="60" t="s">
        <v>1470</v>
      </c>
      <c r="D389" s="12"/>
      <c r="E389" s="13" t="s">
        <v>151</v>
      </c>
      <c r="F389" s="6" t="s">
        <v>698</v>
      </c>
      <c r="G389" s="6" t="str">
        <f ca="1">IFERROR(__xludf.DUMMYFUNCTION("CONCATENATE(B389,(VLOOKUP(C389,CATALOGOS!$F$2:$H$6,3,FALSE)),(VLOOKUP(V389,CATALOGOS!$J$2:$K$18,2,FALSE)),""-"",TO_TEXT(A389))"),"P12SI-0388")</f>
        <v>P12SI-0388</v>
      </c>
      <c r="H389" s="6" t="str">
        <f ca="1">IFERROR(__xludf.DUMMYFUNCTION("CONCATENATE($B389,(VLOOKUP($C389,CATALOGOS!$F$2:$H$6,3,FALSE)),(VLOOKUP($V389,CATALOGOS!$J$2:$K$18,2,FALSE)),""-"",TO_TEXT($A389))"),"P12SI-0388")</f>
        <v>P12SI-0388</v>
      </c>
      <c r="I389" s="6"/>
      <c r="J389" s="6" t="s">
        <v>2761</v>
      </c>
      <c r="K389" s="6" t="s">
        <v>2762</v>
      </c>
      <c r="L389" s="6" t="s">
        <v>2763</v>
      </c>
      <c r="M389" s="6" t="s">
        <v>2764</v>
      </c>
      <c r="N389" s="17"/>
      <c r="O389" s="17"/>
      <c r="P389" s="17" t="str">
        <f t="shared" si="4"/>
        <v>OK</v>
      </c>
      <c r="Q389" s="17" t="s">
        <v>157</v>
      </c>
      <c r="R389" s="6" t="s">
        <v>2765</v>
      </c>
      <c r="S389" s="17" t="s">
        <v>2766</v>
      </c>
      <c r="T389" s="10" t="s">
        <v>2767</v>
      </c>
      <c r="U389" s="173" t="s">
        <v>38</v>
      </c>
      <c r="V389" s="181" t="s">
        <v>1483</v>
      </c>
      <c r="W389" s="20" t="s">
        <v>1484</v>
      </c>
      <c r="X389" s="20" t="s">
        <v>1484</v>
      </c>
      <c r="Y389" s="20"/>
      <c r="Z389" s="7"/>
      <c r="AA389" s="7"/>
      <c r="AB389" s="23"/>
      <c r="AC389" s="26"/>
    </row>
    <row r="390" spans="1:29" ht="15.75" customHeight="1">
      <c r="A390" s="10" t="s">
        <v>2768</v>
      </c>
      <c r="B390" s="10" t="s">
        <v>1469</v>
      </c>
      <c r="C390" s="60" t="s">
        <v>1470</v>
      </c>
      <c r="D390" s="12"/>
      <c r="E390" s="13" t="s">
        <v>199</v>
      </c>
      <c r="F390" s="6" t="s">
        <v>199</v>
      </c>
      <c r="G390" s="6" t="str">
        <f ca="1">IFERROR(__xludf.DUMMYFUNCTION("CONCATENATE(B390,(VLOOKUP(C390,CATALOGOS!$F$2:$H$6,3,FALSE)),(VLOOKUP(V390,CATALOGOS!$J$2:$K$18,2,FALSE)),""-"",TO_TEXT(A390))"),"P12SI-0389")</f>
        <v>P12SI-0389</v>
      </c>
      <c r="H390" s="6" t="str">
        <f ca="1">IFERROR(__xludf.DUMMYFUNCTION("CONCATENATE($B390,(VLOOKUP($C390,CATALOGOS!$F$2:$H$6,3,FALSE)),(VLOOKUP($V390,CATALOGOS!$J$2:$K$18,2,FALSE)),""-"",TO_TEXT($A390))"),"P12SI-0389")</f>
        <v>P12SI-0389</v>
      </c>
      <c r="I390" s="6"/>
      <c r="J390" s="6" t="s">
        <v>2769</v>
      </c>
      <c r="K390" s="6" t="s">
        <v>2770</v>
      </c>
      <c r="L390" s="6" t="s">
        <v>2771</v>
      </c>
      <c r="M390" s="6" t="s">
        <v>141</v>
      </c>
      <c r="N390" s="17"/>
      <c r="O390" s="17"/>
      <c r="P390" s="17" t="str">
        <f t="shared" si="4"/>
        <v>REPETIDO</v>
      </c>
      <c r="Q390" s="17" t="s">
        <v>297</v>
      </c>
      <c r="R390" s="32" t="s">
        <v>2772</v>
      </c>
      <c r="S390" s="17" t="s">
        <v>2773</v>
      </c>
      <c r="T390" s="10" t="s">
        <v>2774</v>
      </c>
      <c r="U390" s="173" t="s">
        <v>38</v>
      </c>
      <c r="V390" s="181" t="s">
        <v>1483</v>
      </c>
      <c r="W390" s="20" t="s">
        <v>1484</v>
      </c>
      <c r="X390" s="20" t="s">
        <v>1484</v>
      </c>
      <c r="Y390" s="20"/>
      <c r="Z390" s="7"/>
      <c r="AA390" s="7"/>
      <c r="AB390" s="23"/>
      <c r="AC390" s="26"/>
    </row>
    <row r="391" spans="1:29" ht="15.75" customHeight="1">
      <c r="A391" s="10" t="s">
        <v>2775</v>
      </c>
      <c r="B391" s="10" t="s">
        <v>1469</v>
      </c>
      <c r="C391" s="60" t="s">
        <v>1470</v>
      </c>
      <c r="D391" s="12"/>
      <c r="E391" s="13" t="s">
        <v>2743</v>
      </c>
      <c r="F391" s="43" t="s">
        <v>2776</v>
      </c>
      <c r="G391" s="6" t="str">
        <f ca="1">IFERROR(__xludf.DUMMYFUNCTION("CONCATENATE(B391,(VLOOKUP(C391,CATALOGOS!$F$2:$H$6,3,FALSE)),(VLOOKUP(V391,CATALOGOS!$J$2:$K$18,2,FALSE)),""-"",TO_TEXT(A391))"),"P12SI-0390")</f>
        <v>P12SI-0390</v>
      </c>
      <c r="H391" s="6" t="str">
        <f ca="1">IFERROR(__xludf.DUMMYFUNCTION("CONCATENATE($B391,(VLOOKUP($C391,CATALOGOS!$F$2:$H$6,3,FALSE)),(VLOOKUP($V391,CATALOGOS!$J$2:$K$18,2,FALSE)),""-"",TO_TEXT($A391))"),"P12SI-0390")</f>
        <v>P12SI-0390</v>
      </c>
      <c r="I391" s="6"/>
      <c r="J391" s="6" t="s">
        <v>2777</v>
      </c>
      <c r="K391" s="6" t="s">
        <v>2778</v>
      </c>
      <c r="L391" s="6" t="s">
        <v>2779</v>
      </c>
      <c r="M391" s="43" t="s">
        <v>2780</v>
      </c>
      <c r="N391" s="17"/>
      <c r="O391" s="17"/>
      <c r="P391" s="17" t="str">
        <f t="shared" si="4"/>
        <v>OK</v>
      </c>
      <c r="Q391" s="17" t="s">
        <v>2781</v>
      </c>
      <c r="R391" s="6" t="s">
        <v>2782</v>
      </c>
      <c r="S391" s="17" t="s">
        <v>2783</v>
      </c>
      <c r="T391" s="10" t="s">
        <v>2784</v>
      </c>
      <c r="U391" s="173" t="s">
        <v>38</v>
      </c>
      <c r="V391" s="181" t="s">
        <v>1483</v>
      </c>
      <c r="W391" s="20" t="s">
        <v>1484</v>
      </c>
      <c r="X391" s="20" t="s">
        <v>1484</v>
      </c>
      <c r="Y391" s="20"/>
      <c r="Z391" s="7"/>
      <c r="AA391" s="7"/>
      <c r="AB391" s="23"/>
      <c r="AC391" s="26"/>
    </row>
    <row r="392" spans="1:29" ht="15.75" customHeight="1">
      <c r="A392" s="10" t="s">
        <v>2785</v>
      </c>
      <c r="B392" s="10" t="s">
        <v>1469</v>
      </c>
      <c r="C392" s="60" t="s">
        <v>1470</v>
      </c>
      <c r="D392" s="12"/>
      <c r="E392" s="13" t="s">
        <v>2743</v>
      </c>
      <c r="F392" s="43" t="s">
        <v>2776</v>
      </c>
      <c r="G392" s="6" t="str">
        <f ca="1">IFERROR(__xludf.DUMMYFUNCTION("CONCATENATE(B392,(VLOOKUP(C392,CATALOGOS!$F$2:$H$6,3,FALSE)),(VLOOKUP(V392,CATALOGOS!$J$2:$K$18,2,FALSE)),""-"",TO_TEXT(A392))"),"P12SI-0391")</f>
        <v>P12SI-0391</v>
      </c>
      <c r="H392" s="6" t="str">
        <f ca="1">IFERROR(__xludf.DUMMYFUNCTION("CONCATENATE($B392,(VLOOKUP($C392,CATALOGOS!$F$2:$H$6,3,FALSE)),(VLOOKUP($V392,CATALOGOS!$J$2:$K$18,2,FALSE)),""-"",TO_TEXT($A392))"),"P12SI-0391")</f>
        <v>P12SI-0391</v>
      </c>
      <c r="I392" s="6"/>
      <c r="J392" s="6" t="s">
        <v>2786</v>
      </c>
      <c r="K392" s="6" t="s">
        <v>2787</v>
      </c>
      <c r="L392" s="6" t="s">
        <v>2788</v>
      </c>
      <c r="M392" s="43" t="s">
        <v>2789</v>
      </c>
      <c r="N392" s="17"/>
      <c r="O392" s="17"/>
      <c r="P392" s="17" t="str">
        <f t="shared" si="4"/>
        <v>OK</v>
      </c>
      <c r="Q392" s="17" t="s">
        <v>2781</v>
      </c>
      <c r="R392" s="6" t="s">
        <v>2782</v>
      </c>
      <c r="S392" s="17" t="s">
        <v>2790</v>
      </c>
      <c r="T392" s="10" t="s">
        <v>2791</v>
      </c>
      <c r="U392" s="173" t="s">
        <v>38</v>
      </c>
      <c r="V392" s="181" t="s">
        <v>1483</v>
      </c>
      <c r="W392" s="20" t="s">
        <v>1484</v>
      </c>
      <c r="X392" s="20" t="s">
        <v>1484</v>
      </c>
      <c r="Y392" s="20"/>
      <c r="Z392" s="7"/>
      <c r="AA392" s="7"/>
      <c r="AB392" s="23"/>
      <c r="AC392" s="26"/>
    </row>
    <row r="393" spans="1:29" ht="15.75" customHeight="1">
      <c r="A393" s="10" t="s">
        <v>2792</v>
      </c>
      <c r="B393" s="10" t="s">
        <v>1469</v>
      </c>
      <c r="C393" s="60" t="s">
        <v>1470</v>
      </c>
      <c r="D393" s="12"/>
      <c r="E393" s="13" t="s">
        <v>248</v>
      </c>
      <c r="F393" s="43" t="s">
        <v>248</v>
      </c>
      <c r="G393" s="6" t="str">
        <f ca="1">IFERROR(__xludf.DUMMYFUNCTION("CONCATENATE(B393,(VLOOKUP(C393,CATALOGOS!$F$2:$H$6,3,FALSE)),(VLOOKUP(V393,CATALOGOS!$J$2:$K$18,2,FALSE)),""-"",TO_TEXT(A393))"),"P12SI-0392")</f>
        <v>P12SI-0392</v>
      </c>
      <c r="H393" s="6" t="str">
        <f ca="1">IFERROR(__xludf.DUMMYFUNCTION("CONCATENATE($B393,(VLOOKUP($C393,CATALOGOS!$F$2:$H$6,3,FALSE)),(VLOOKUP($V393,CATALOGOS!$J$2:$K$18,2,FALSE)),""-"",TO_TEXT($A393))"),"P12SI-0392")</f>
        <v>P12SI-0392</v>
      </c>
      <c r="I393" s="6"/>
      <c r="J393" s="6" t="s">
        <v>2793</v>
      </c>
      <c r="K393" s="6" t="s">
        <v>2794</v>
      </c>
      <c r="L393" s="6" t="s">
        <v>2795</v>
      </c>
      <c r="M393" s="43" t="s">
        <v>2796</v>
      </c>
      <c r="N393" s="17"/>
      <c r="O393" s="17"/>
      <c r="P393" s="17" t="str">
        <f t="shared" si="4"/>
        <v>OK</v>
      </c>
      <c r="Q393" s="17" t="s">
        <v>205</v>
      </c>
      <c r="R393" s="6" t="s">
        <v>2797</v>
      </c>
      <c r="S393" s="17" t="s">
        <v>2798</v>
      </c>
      <c r="T393" s="17" t="s">
        <v>2799</v>
      </c>
      <c r="U393" s="173" t="s">
        <v>38</v>
      </c>
      <c r="V393" s="181" t="s">
        <v>1483</v>
      </c>
      <c r="W393" s="20" t="s">
        <v>1484</v>
      </c>
      <c r="X393" s="20" t="s">
        <v>1484</v>
      </c>
      <c r="Y393" s="20"/>
      <c r="Z393" s="7"/>
      <c r="AA393" s="7"/>
      <c r="AB393" s="23"/>
      <c r="AC393" s="26"/>
    </row>
    <row r="394" spans="1:29" ht="15.75" customHeight="1">
      <c r="A394" s="10" t="s">
        <v>2800</v>
      </c>
      <c r="B394" s="10" t="s">
        <v>1469</v>
      </c>
      <c r="C394" s="60" t="s">
        <v>1470</v>
      </c>
      <c r="D394" s="12"/>
      <c r="E394" s="13" t="s">
        <v>2734</v>
      </c>
      <c r="F394" s="6" t="s">
        <v>2801</v>
      </c>
      <c r="G394" s="6" t="str">
        <f ca="1">IFERROR(__xludf.DUMMYFUNCTION("CONCATENATE(B394,(VLOOKUP(C394,CATALOGOS!$F$2:$H$6,3,FALSE)),(VLOOKUP(V394,CATALOGOS!$J$2:$K$18,2,FALSE)),""-"",TO_TEXT(A394))"),"P12SI-0393")</f>
        <v>P12SI-0393</v>
      </c>
      <c r="H394" s="6" t="str">
        <f ca="1">IFERROR(__xludf.DUMMYFUNCTION("CONCATENATE($B394,(VLOOKUP($C394,CATALOGOS!$F$2:$H$6,3,FALSE)),(VLOOKUP($V394,CATALOGOS!$J$2:$K$18,2,FALSE)),""-"",TO_TEXT($A394))"),"P12SI-0393")</f>
        <v>P12SI-0393</v>
      </c>
      <c r="I394" s="6"/>
      <c r="J394" s="6" t="s">
        <v>2802</v>
      </c>
      <c r="K394" s="6" t="s">
        <v>2803</v>
      </c>
      <c r="L394" s="6" t="s">
        <v>2804</v>
      </c>
      <c r="M394" s="6" t="s">
        <v>2805</v>
      </c>
      <c r="N394" s="17"/>
      <c r="O394" s="17"/>
      <c r="P394" s="17" t="str">
        <f t="shared" si="4"/>
        <v>OK</v>
      </c>
      <c r="Q394" s="17" t="s">
        <v>35</v>
      </c>
      <c r="R394" s="6" t="s">
        <v>35</v>
      </c>
      <c r="S394" s="17" t="s">
        <v>2806</v>
      </c>
      <c r="T394" s="17" t="s">
        <v>2807</v>
      </c>
      <c r="U394" s="173" t="s">
        <v>38</v>
      </c>
      <c r="V394" s="181" t="s">
        <v>1483</v>
      </c>
      <c r="W394" s="20" t="s">
        <v>1484</v>
      </c>
      <c r="X394" s="20" t="s">
        <v>1484</v>
      </c>
      <c r="Y394" s="20"/>
      <c r="Z394" s="7"/>
      <c r="AA394" s="7"/>
      <c r="AB394" s="23"/>
      <c r="AC394" s="26"/>
    </row>
    <row r="395" spans="1:29" ht="15.75" customHeight="1">
      <c r="A395" s="10" t="s">
        <v>2808</v>
      </c>
      <c r="B395" s="10" t="s">
        <v>1469</v>
      </c>
      <c r="C395" s="60" t="s">
        <v>1470</v>
      </c>
      <c r="D395" s="12"/>
      <c r="E395" s="13" t="s">
        <v>2351</v>
      </c>
      <c r="F395" s="43" t="s">
        <v>2352</v>
      </c>
      <c r="G395" s="6" t="str">
        <f ca="1">IFERROR(__xludf.DUMMYFUNCTION("CONCATENATE(B395,(VLOOKUP(C395,CATALOGOS!$F$2:$H$6,3,FALSE)),(VLOOKUP(V395,CATALOGOS!$J$2:$K$18,2,FALSE)),""-"",TO_TEXT(A395))"),"P12SI-0394")</f>
        <v>P12SI-0394</v>
      </c>
      <c r="H395" s="6" t="str">
        <f ca="1">IFERROR(__xludf.DUMMYFUNCTION("CONCATENATE($B395,(VLOOKUP($C395,CATALOGOS!$F$2:$H$6,3,FALSE)),(VLOOKUP($V395,CATALOGOS!$J$2:$K$18,2,FALSE)),""-"",TO_TEXT($A395))"),"P12SI-0394")</f>
        <v>P12SI-0394</v>
      </c>
      <c r="I395" s="6"/>
      <c r="J395" s="6" t="s">
        <v>2809</v>
      </c>
      <c r="K395" s="6" t="s">
        <v>2810</v>
      </c>
      <c r="L395" s="6" t="s">
        <v>2811</v>
      </c>
      <c r="M395" s="6" t="s">
        <v>2812</v>
      </c>
      <c r="N395" s="17"/>
      <c r="O395" s="17"/>
      <c r="P395" s="17" t="str">
        <f t="shared" si="4"/>
        <v>OK</v>
      </c>
      <c r="Q395" s="17" t="s">
        <v>663</v>
      </c>
      <c r="R395" s="6" t="s">
        <v>2813</v>
      </c>
      <c r="S395" s="17" t="s">
        <v>2814</v>
      </c>
      <c r="T395" s="17" t="s">
        <v>2815</v>
      </c>
      <c r="U395" s="173" t="s">
        <v>38</v>
      </c>
      <c r="V395" s="181" t="s">
        <v>1483</v>
      </c>
      <c r="W395" s="20" t="s">
        <v>1484</v>
      </c>
      <c r="X395" s="20" t="s">
        <v>1484</v>
      </c>
      <c r="Y395" s="20"/>
      <c r="Z395" s="7"/>
      <c r="AA395" s="7"/>
      <c r="AB395" s="23"/>
      <c r="AC395" s="26"/>
    </row>
    <row r="396" spans="1:29" ht="15.75" customHeight="1">
      <c r="A396" s="10" t="s">
        <v>2816</v>
      </c>
      <c r="B396" s="10" t="s">
        <v>1469</v>
      </c>
      <c r="C396" s="60" t="s">
        <v>1470</v>
      </c>
      <c r="D396" s="12"/>
      <c r="E396" s="13" t="s">
        <v>2817</v>
      </c>
      <c r="F396" s="43" t="s">
        <v>2817</v>
      </c>
      <c r="G396" s="6" t="str">
        <f ca="1">IFERROR(__xludf.DUMMYFUNCTION("CONCATENATE(B396,(VLOOKUP(C396,CATALOGOS!$F$2:$H$6,3,FALSE)),(VLOOKUP(V396,CATALOGOS!$J$2:$K$18,2,FALSE)),""-"",TO_TEXT(A396))"),"P12SI-0395")</f>
        <v>P12SI-0395</v>
      </c>
      <c r="H396" s="6" t="str">
        <f ca="1">IFERROR(__xludf.DUMMYFUNCTION("CONCATENATE($B396,(VLOOKUP($C396,CATALOGOS!$F$2:$H$6,3,FALSE)),(VLOOKUP($V396,CATALOGOS!$J$2:$K$18,2,FALSE)),""-"",TO_TEXT($A396))"),"P12SI-0395")</f>
        <v>P12SI-0395</v>
      </c>
      <c r="I396" s="6"/>
      <c r="J396" s="6" t="s">
        <v>2818</v>
      </c>
      <c r="K396" s="6" t="s">
        <v>2819</v>
      </c>
      <c r="L396" s="6" t="s">
        <v>2820</v>
      </c>
      <c r="M396" s="6" t="s">
        <v>2821</v>
      </c>
      <c r="N396" s="17"/>
      <c r="O396" s="17"/>
      <c r="P396" s="17" t="str">
        <f t="shared" si="4"/>
        <v>OK</v>
      </c>
      <c r="Q396" s="17" t="s">
        <v>2822</v>
      </c>
      <c r="R396" s="6" t="s">
        <v>35</v>
      </c>
      <c r="S396" s="17" t="s">
        <v>36</v>
      </c>
      <c r="T396" s="17" t="s">
        <v>2823</v>
      </c>
      <c r="U396" s="173" t="s">
        <v>38</v>
      </c>
      <c r="V396" s="181" t="s">
        <v>1483</v>
      </c>
      <c r="W396" s="20" t="s">
        <v>1484</v>
      </c>
      <c r="X396" s="20" t="s">
        <v>1484</v>
      </c>
      <c r="Y396" s="20"/>
      <c r="Z396" s="7"/>
      <c r="AA396" s="7"/>
      <c r="AB396" s="23"/>
      <c r="AC396" s="26"/>
    </row>
    <row r="397" spans="1:29" ht="15.75" customHeight="1">
      <c r="A397" s="10" t="s">
        <v>2824</v>
      </c>
      <c r="B397" s="10" t="s">
        <v>1469</v>
      </c>
      <c r="C397" s="60" t="s">
        <v>1470</v>
      </c>
      <c r="D397" s="12"/>
      <c r="E397" s="13" t="s">
        <v>2817</v>
      </c>
      <c r="F397" s="43" t="s">
        <v>2817</v>
      </c>
      <c r="G397" s="6" t="str">
        <f ca="1">IFERROR(__xludf.DUMMYFUNCTION("CONCATENATE(B397,(VLOOKUP(C397,CATALOGOS!$F$2:$H$6,3,FALSE)),(VLOOKUP(V397,CATALOGOS!$J$2:$K$18,2,FALSE)),""-"",TO_TEXT(A397))"),"P12SI-0396")</f>
        <v>P12SI-0396</v>
      </c>
      <c r="H397" s="6" t="str">
        <f ca="1">IFERROR(__xludf.DUMMYFUNCTION("CONCATENATE($B397,(VLOOKUP($C397,CATALOGOS!$F$2:$H$6,3,FALSE)),(VLOOKUP($V397,CATALOGOS!$J$2:$K$18,2,FALSE)),""-"",TO_TEXT($A397))"),"P12SI-0396")</f>
        <v>P12SI-0396</v>
      </c>
      <c r="I397" s="6"/>
      <c r="J397" s="6" t="s">
        <v>2825</v>
      </c>
      <c r="K397" s="6" t="s">
        <v>2826</v>
      </c>
      <c r="L397" s="6" t="s">
        <v>2827</v>
      </c>
      <c r="M397" s="6" t="s">
        <v>2828</v>
      </c>
      <c r="N397" s="17"/>
      <c r="O397" s="17"/>
      <c r="P397" s="17" t="str">
        <f t="shared" si="4"/>
        <v>OK</v>
      </c>
      <c r="Q397" s="17" t="s">
        <v>2822</v>
      </c>
      <c r="R397" s="6" t="s">
        <v>35</v>
      </c>
      <c r="S397" s="17" t="s">
        <v>36</v>
      </c>
      <c r="T397" s="17" t="s">
        <v>85</v>
      </c>
      <c r="U397" s="173" t="s">
        <v>38</v>
      </c>
      <c r="V397" s="181" t="s">
        <v>1483</v>
      </c>
      <c r="W397" s="20" t="s">
        <v>1484</v>
      </c>
      <c r="X397" s="20" t="s">
        <v>1484</v>
      </c>
      <c r="Y397" s="20"/>
      <c r="Z397" s="7"/>
      <c r="AA397" s="7"/>
      <c r="AB397" s="23"/>
      <c r="AC397" s="26"/>
    </row>
    <row r="398" spans="1:29" ht="15.75" customHeight="1">
      <c r="A398" s="10" t="s">
        <v>2829</v>
      </c>
      <c r="B398" s="10" t="s">
        <v>1469</v>
      </c>
      <c r="C398" s="60" t="s">
        <v>1470</v>
      </c>
      <c r="D398" s="12"/>
      <c r="E398" s="13" t="s">
        <v>2351</v>
      </c>
      <c r="F398" s="43" t="s">
        <v>2688</v>
      </c>
      <c r="G398" s="6" t="str">
        <f ca="1">IFERROR(__xludf.DUMMYFUNCTION("CONCATENATE(B398,(VLOOKUP(C398,CATALOGOS!$F$2:$H$6,3,FALSE)),(VLOOKUP(V398,CATALOGOS!$J$2:$K$18,2,FALSE)),""-"",TO_TEXT(A398))"),"P12SI-0397")</f>
        <v>P12SI-0397</v>
      </c>
      <c r="H398" s="6" t="str">
        <f ca="1">IFERROR(__xludf.DUMMYFUNCTION("CONCATENATE($B398,(VLOOKUP($C398,CATALOGOS!$F$2:$H$6,3,FALSE)),(VLOOKUP($V398,CATALOGOS!$J$2:$K$18,2,FALSE)),""-"",TO_TEXT($A398))"),"P12SI-0397")</f>
        <v>P12SI-0397</v>
      </c>
      <c r="I398" s="6"/>
      <c r="J398" s="6" t="s">
        <v>2830</v>
      </c>
      <c r="K398" s="6" t="s">
        <v>2831</v>
      </c>
      <c r="L398" s="6" t="s">
        <v>2832</v>
      </c>
      <c r="M398" s="6" t="s">
        <v>2833</v>
      </c>
      <c r="N398" s="17"/>
      <c r="O398" s="17"/>
      <c r="P398" s="17" t="str">
        <f t="shared" si="4"/>
        <v>OK</v>
      </c>
      <c r="Q398" s="17" t="s">
        <v>2357</v>
      </c>
      <c r="R398" s="6" t="s">
        <v>2693</v>
      </c>
      <c r="S398" s="17" t="s">
        <v>2834</v>
      </c>
      <c r="T398" s="17" t="s">
        <v>2835</v>
      </c>
      <c r="U398" s="173" t="s">
        <v>38</v>
      </c>
      <c r="V398" s="181" t="s">
        <v>1483</v>
      </c>
      <c r="W398" s="20" t="s">
        <v>1484</v>
      </c>
      <c r="X398" s="20" t="s">
        <v>1484</v>
      </c>
      <c r="Y398" s="20"/>
      <c r="Z398" s="7"/>
      <c r="AA398" s="7"/>
      <c r="AB398" s="23"/>
      <c r="AC398" s="26"/>
    </row>
    <row r="399" spans="1:29" ht="15.75" customHeight="1">
      <c r="A399" s="10" t="s">
        <v>2836</v>
      </c>
      <c r="B399" s="10" t="s">
        <v>1469</v>
      </c>
      <c r="C399" s="60" t="s">
        <v>1470</v>
      </c>
      <c r="D399" s="12"/>
      <c r="E399" s="13" t="s">
        <v>2743</v>
      </c>
      <c r="F399" s="43" t="s">
        <v>2743</v>
      </c>
      <c r="G399" s="6" t="str">
        <f ca="1">IFERROR(__xludf.DUMMYFUNCTION("CONCATENATE(B399,(VLOOKUP(C399,CATALOGOS!$F$2:$H$6,3,FALSE)),(VLOOKUP(V399,CATALOGOS!$J$2:$K$18,2,FALSE)),""-"",TO_TEXT(A399))"),"P12SI-0398")</f>
        <v>P12SI-0398</v>
      </c>
      <c r="H399" s="6" t="str">
        <f ca="1">IFERROR(__xludf.DUMMYFUNCTION("CONCATENATE($B399,(VLOOKUP($C399,CATALOGOS!$F$2:$H$6,3,FALSE)),(VLOOKUP($V399,CATALOGOS!$J$2:$K$18,2,FALSE)),""-"",TO_TEXT($A399))"),"P12SI-0398")</f>
        <v>P12SI-0398</v>
      </c>
      <c r="I399" s="6"/>
      <c r="J399" s="6" t="s">
        <v>2837</v>
      </c>
      <c r="K399" s="6" t="s">
        <v>2838</v>
      </c>
      <c r="L399" s="6" t="s">
        <v>2839</v>
      </c>
      <c r="M399" s="43" t="s">
        <v>2840</v>
      </c>
      <c r="N399" s="17"/>
      <c r="O399" s="17"/>
      <c r="P399" s="17" t="str">
        <f t="shared" si="4"/>
        <v>OK</v>
      </c>
      <c r="Q399" s="17" t="s">
        <v>273</v>
      </c>
      <c r="R399" s="6" t="s">
        <v>2841</v>
      </c>
      <c r="S399" s="17" t="s">
        <v>2842</v>
      </c>
      <c r="T399" s="17" t="s">
        <v>2843</v>
      </c>
      <c r="U399" s="173" t="s">
        <v>38</v>
      </c>
      <c r="V399" s="181" t="s">
        <v>1483</v>
      </c>
      <c r="W399" s="20" t="s">
        <v>1484</v>
      </c>
      <c r="X399" s="20" t="s">
        <v>1484</v>
      </c>
      <c r="Y399" s="20"/>
      <c r="Z399" s="7"/>
      <c r="AA399" s="7"/>
      <c r="AB399" s="23"/>
      <c r="AC399" s="26"/>
    </row>
    <row r="400" spans="1:29" ht="15.75" customHeight="1">
      <c r="A400" s="10" t="s">
        <v>2844</v>
      </c>
      <c r="B400" s="10" t="s">
        <v>1469</v>
      </c>
      <c r="C400" s="60" t="s">
        <v>1470</v>
      </c>
      <c r="D400" s="12"/>
      <c r="E400" s="13" t="s">
        <v>248</v>
      </c>
      <c r="F400" s="6" t="s">
        <v>249</v>
      </c>
      <c r="G400" s="6" t="str">
        <f ca="1">IFERROR(__xludf.DUMMYFUNCTION("CONCATENATE(B400,(VLOOKUP(C400,CATALOGOS!$F$2:$H$6,3,FALSE)),(VLOOKUP(V400,CATALOGOS!$J$2:$K$18,2,FALSE)),""-"",TO_TEXT(A400))"),"P12SI-0399")</f>
        <v>P12SI-0399</v>
      </c>
      <c r="H400" s="6" t="str">
        <f ca="1">IFERROR(__xludf.DUMMYFUNCTION("CONCATENATE($B400,(VLOOKUP($C400,CATALOGOS!$F$2:$H$6,3,FALSE)),(VLOOKUP($V400,CATALOGOS!$J$2:$K$18,2,FALSE)),""-"",TO_TEXT($A400))"),"P12SI-0399")</f>
        <v>P12SI-0399</v>
      </c>
      <c r="I400" s="6"/>
      <c r="J400" s="6" t="s">
        <v>2845</v>
      </c>
      <c r="K400" s="6" t="s">
        <v>2846</v>
      </c>
      <c r="L400" s="6" t="s">
        <v>2847</v>
      </c>
      <c r="M400" s="43" t="s">
        <v>2848</v>
      </c>
      <c r="N400" s="17"/>
      <c r="O400" s="17"/>
      <c r="P400" s="17" t="str">
        <f t="shared" si="4"/>
        <v>OK</v>
      </c>
      <c r="Q400" s="17" t="s">
        <v>827</v>
      </c>
      <c r="R400" s="6" t="s">
        <v>2849</v>
      </c>
      <c r="S400" s="17" t="s">
        <v>2850</v>
      </c>
      <c r="T400" s="10" t="s">
        <v>2851</v>
      </c>
      <c r="U400" s="173" t="s">
        <v>38</v>
      </c>
      <c r="V400" s="181" t="s">
        <v>1483</v>
      </c>
      <c r="W400" s="20" t="s">
        <v>1484</v>
      </c>
      <c r="X400" s="20" t="s">
        <v>1484</v>
      </c>
      <c r="Y400" s="20"/>
      <c r="Z400" s="7"/>
      <c r="AA400" s="7"/>
      <c r="AB400" s="23"/>
      <c r="AC400" s="26"/>
    </row>
    <row r="401" spans="1:29" ht="15.75" customHeight="1">
      <c r="A401" s="10" t="s">
        <v>2852</v>
      </c>
      <c r="B401" s="10" t="s">
        <v>1469</v>
      </c>
      <c r="C401" s="60" t="s">
        <v>1470</v>
      </c>
      <c r="D401" s="12"/>
      <c r="E401" s="13" t="s">
        <v>248</v>
      </c>
      <c r="F401" s="43" t="s">
        <v>2535</v>
      </c>
      <c r="G401" s="6" t="str">
        <f ca="1">IFERROR(__xludf.DUMMYFUNCTION("CONCATENATE(B401,(VLOOKUP(C401,CATALOGOS!$F$2:$H$6,3,FALSE)),(VLOOKUP(V401,CATALOGOS!$J$2:$K$18,2,FALSE)),""-"",TO_TEXT(A401))"),"P12SI-0400")</f>
        <v>P12SI-0400</v>
      </c>
      <c r="H401" s="6" t="str">
        <f ca="1">IFERROR(__xludf.DUMMYFUNCTION("CONCATENATE($B401,(VLOOKUP($C401,CATALOGOS!$F$2:$H$6,3,FALSE)),(VLOOKUP($V401,CATALOGOS!$J$2:$K$18,2,FALSE)),""-"",TO_TEXT($A401))"),"P12SI-0400")</f>
        <v>P12SI-0400</v>
      </c>
      <c r="I401" s="6"/>
      <c r="J401" s="6" t="s">
        <v>2853</v>
      </c>
      <c r="K401" s="6" t="s">
        <v>2854</v>
      </c>
      <c r="L401" s="6" t="s">
        <v>2855</v>
      </c>
      <c r="M401" s="6" t="s">
        <v>141</v>
      </c>
      <c r="N401" s="17"/>
      <c r="O401" s="17"/>
      <c r="P401" s="17" t="str">
        <f t="shared" si="4"/>
        <v>REPETIDO</v>
      </c>
      <c r="Q401" s="17" t="s">
        <v>303</v>
      </c>
      <c r="R401" s="6" t="s">
        <v>2856</v>
      </c>
      <c r="S401" s="17" t="s">
        <v>2857</v>
      </c>
      <c r="T401" s="10" t="s">
        <v>2858</v>
      </c>
      <c r="U401" s="173" t="s">
        <v>38</v>
      </c>
      <c r="V401" s="181" t="s">
        <v>1483</v>
      </c>
      <c r="W401" s="20" t="s">
        <v>1484</v>
      </c>
      <c r="X401" s="20" t="s">
        <v>1484</v>
      </c>
      <c r="Y401" s="20"/>
      <c r="Z401" s="7"/>
      <c r="AA401" s="7"/>
      <c r="AB401" s="23"/>
      <c r="AC401" s="26"/>
    </row>
    <row r="402" spans="1:29" ht="15.75" customHeight="1">
      <c r="A402" s="10" t="s">
        <v>2859</v>
      </c>
      <c r="B402" s="10" t="s">
        <v>1469</v>
      </c>
      <c r="C402" s="60" t="s">
        <v>1470</v>
      </c>
      <c r="D402" s="12"/>
      <c r="E402" s="13" t="s">
        <v>2860</v>
      </c>
      <c r="F402" s="43" t="s">
        <v>2861</v>
      </c>
      <c r="G402" s="6" t="str">
        <f ca="1">IFERROR(__xludf.DUMMYFUNCTION("CONCATENATE(B402,(VLOOKUP(C402,CATALOGOS!$F$2:$H$6,3,FALSE)),(VLOOKUP(V402,CATALOGOS!$J$2:$K$18,2,FALSE)),""-"",TO_TEXT(A402))"),"P12SI-0401")</f>
        <v>P12SI-0401</v>
      </c>
      <c r="H402" s="6" t="str">
        <f ca="1">IFERROR(__xludf.DUMMYFUNCTION("CONCATENATE($B402,(VLOOKUP($C402,CATALOGOS!$F$2:$H$6,3,FALSE)),(VLOOKUP($V402,CATALOGOS!$J$2:$K$18,2,FALSE)),""-"",TO_TEXT($A402))"),"P12SI-0401")</f>
        <v>P12SI-0401</v>
      </c>
      <c r="I402" s="6"/>
      <c r="J402" s="6" t="s">
        <v>2862</v>
      </c>
      <c r="K402" s="6" t="s">
        <v>2863</v>
      </c>
      <c r="L402" s="6" t="s">
        <v>2864</v>
      </c>
      <c r="M402" s="6" t="s">
        <v>2865</v>
      </c>
      <c r="N402" s="17"/>
      <c r="O402" s="17"/>
      <c r="P402" s="17" t="str">
        <f t="shared" si="4"/>
        <v>OK</v>
      </c>
      <c r="Q402" s="17" t="s">
        <v>2866</v>
      </c>
      <c r="R402" s="6" t="s">
        <v>2867</v>
      </c>
      <c r="S402" s="17" t="s">
        <v>2868</v>
      </c>
      <c r="T402" s="17" t="s">
        <v>85</v>
      </c>
      <c r="U402" s="173" t="s">
        <v>38</v>
      </c>
      <c r="V402" s="181" t="s">
        <v>1483</v>
      </c>
      <c r="W402" s="20" t="s">
        <v>1484</v>
      </c>
      <c r="X402" s="20" t="s">
        <v>1484</v>
      </c>
      <c r="Y402" s="20"/>
      <c r="Z402" s="7"/>
      <c r="AA402" s="7"/>
      <c r="AB402" s="23"/>
      <c r="AC402" s="26"/>
    </row>
    <row r="403" spans="1:29" ht="15.75" customHeight="1">
      <c r="A403" s="10" t="s">
        <v>2869</v>
      </c>
      <c r="B403" s="10" t="s">
        <v>1469</v>
      </c>
      <c r="C403" s="60" t="s">
        <v>1470</v>
      </c>
      <c r="D403" s="12"/>
      <c r="E403" s="13" t="s">
        <v>151</v>
      </c>
      <c r="F403" s="6" t="s">
        <v>698</v>
      </c>
      <c r="G403" s="6" t="str">
        <f ca="1">IFERROR(__xludf.DUMMYFUNCTION("CONCATENATE(B403,(VLOOKUP(C403,CATALOGOS!$F$2:$H$6,3,FALSE)),(VLOOKUP(V403,CATALOGOS!$J$2:$K$18,2,FALSE)),""-"",TO_TEXT(A403))"),"P12SI-0402")</f>
        <v>P12SI-0402</v>
      </c>
      <c r="H403" s="6" t="str">
        <f ca="1">IFERROR(__xludf.DUMMYFUNCTION("CONCATENATE($B403,(VLOOKUP($C403,CATALOGOS!$F$2:$H$6,3,FALSE)),(VLOOKUP($V403,CATALOGOS!$J$2:$K$18,2,FALSE)),""-"",TO_TEXT($A403))"),"P12SI-0402")</f>
        <v>P12SI-0402</v>
      </c>
      <c r="I403" s="6"/>
      <c r="J403" s="6" t="s">
        <v>2870</v>
      </c>
      <c r="K403" s="6" t="s">
        <v>2871</v>
      </c>
      <c r="L403" s="6" t="s">
        <v>2872</v>
      </c>
      <c r="M403" s="6" t="s">
        <v>2873</v>
      </c>
      <c r="N403" s="17"/>
      <c r="O403" s="17"/>
      <c r="P403" s="17" t="str">
        <f t="shared" si="4"/>
        <v>OK</v>
      </c>
      <c r="Q403" s="17" t="s">
        <v>703</v>
      </c>
      <c r="R403" s="6" t="s">
        <v>2874</v>
      </c>
      <c r="S403" s="17" t="s">
        <v>2875</v>
      </c>
      <c r="T403" s="17" t="s">
        <v>2876</v>
      </c>
      <c r="U403" s="173" t="s">
        <v>38</v>
      </c>
      <c r="V403" s="181" t="s">
        <v>1483</v>
      </c>
      <c r="W403" s="20" t="s">
        <v>1484</v>
      </c>
      <c r="X403" s="20" t="s">
        <v>1484</v>
      </c>
      <c r="Y403" s="20"/>
      <c r="Z403" s="6"/>
      <c r="AA403" s="6"/>
      <c r="AB403" s="23"/>
      <c r="AC403" s="33"/>
    </row>
    <row r="404" spans="1:29" ht="15.75" customHeight="1">
      <c r="A404" s="10" t="s">
        <v>2877</v>
      </c>
      <c r="B404" s="10" t="s">
        <v>1469</v>
      </c>
      <c r="C404" s="60" t="s">
        <v>1470</v>
      </c>
      <c r="D404" s="12"/>
      <c r="E404" s="13" t="s">
        <v>199</v>
      </c>
      <c r="F404" s="6" t="s">
        <v>677</v>
      </c>
      <c r="G404" s="6" t="str">
        <f ca="1">IFERROR(__xludf.DUMMYFUNCTION("CONCATENATE(B404,(VLOOKUP(C404,CATALOGOS!$F$2:$H$6,3,FALSE)),(VLOOKUP(V404,CATALOGOS!$J$2:$K$18,2,FALSE)),""-"",TO_TEXT(A404))"),"P12CT-0403")</f>
        <v>P12CT-0403</v>
      </c>
      <c r="H404" s="6" t="str">
        <f ca="1">IFERROR(__xludf.DUMMYFUNCTION("CONCATENATE($B404,(VLOOKUP($C404,CATALOGOS!$F$2:$H$6,3,FALSE)),(VLOOKUP($V404,CATALOGOS!$J$2:$K$18,2,FALSE)),""-"",TO_TEXT($A404))"),"P12CT-0403")</f>
        <v>P12CT-0403</v>
      </c>
      <c r="I404" s="6"/>
      <c r="J404" s="6" t="s">
        <v>2878</v>
      </c>
      <c r="K404" s="6" t="s">
        <v>2879</v>
      </c>
      <c r="L404" s="6" t="s">
        <v>2880</v>
      </c>
      <c r="M404" s="6" t="s">
        <v>141</v>
      </c>
      <c r="N404" s="17"/>
      <c r="O404" s="17"/>
      <c r="P404" s="17" t="str">
        <f t="shared" si="4"/>
        <v>REPETIDO</v>
      </c>
      <c r="Q404" s="17" t="s">
        <v>682</v>
      </c>
      <c r="R404" s="32" t="s">
        <v>2881</v>
      </c>
      <c r="S404" s="17" t="s">
        <v>2882</v>
      </c>
      <c r="T404" s="17" t="s">
        <v>2883</v>
      </c>
      <c r="U404" s="173" t="s">
        <v>38</v>
      </c>
      <c r="V404" s="11" t="s">
        <v>2884</v>
      </c>
      <c r="W404" s="20" t="s">
        <v>385</v>
      </c>
      <c r="X404" s="20" t="s">
        <v>385</v>
      </c>
      <c r="Y404" s="20"/>
      <c r="Z404" s="36"/>
      <c r="AA404" s="36"/>
      <c r="AB404" s="23"/>
      <c r="AC404" s="33"/>
    </row>
    <row r="405" spans="1:29" ht="15.75" customHeight="1">
      <c r="A405" s="10" t="s">
        <v>2886</v>
      </c>
      <c r="B405" s="10" t="s">
        <v>1469</v>
      </c>
      <c r="C405" s="60" t="s">
        <v>1470</v>
      </c>
      <c r="D405" s="12"/>
      <c r="E405" s="13" t="s">
        <v>199</v>
      </c>
      <c r="F405" s="6" t="s">
        <v>677</v>
      </c>
      <c r="G405" s="15" t="str">
        <f ca="1">IFERROR(__xludf.DUMMYFUNCTION("CONCATENATE(B405,(VLOOKUP(C405,CATALOGOS!$F$2:$H$6,3,FALSE)),(VLOOKUP(V405,CATALOGOS!$J$2:$K$18,2,FALSE)),""-"",TO_TEXT(A405))"),"P12RH-0404")</f>
        <v>P12RH-0404</v>
      </c>
      <c r="H405" s="6" t="str">
        <f ca="1">IFERROR(__xludf.DUMMYFUNCTION("CONCATENATE($B405,(VLOOKUP($C405,CATALOGOS!$F$2:$H$6,3,FALSE)),(VLOOKUP($V405,CATALOGOS!$J$2:$K$18,2,FALSE)),""-"",TO_TEXT($A405))"),"P12RH-0404")</f>
        <v>P12RH-0404</v>
      </c>
      <c r="I405" s="6"/>
      <c r="J405" s="6" t="s">
        <v>2887</v>
      </c>
      <c r="K405" s="6" t="s">
        <v>2888</v>
      </c>
      <c r="L405" s="6" t="s">
        <v>2889</v>
      </c>
      <c r="M405" s="6" t="s">
        <v>141</v>
      </c>
      <c r="N405" s="17"/>
      <c r="O405" s="17"/>
      <c r="P405" s="17" t="str">
        <f t="shared" si="4"/>
        <v>REPETIDO</v>
      </c>
      <c r="Q405" s="17" t="s">
        <v>205</v>
      </c>
      <c r="R405" s="32" t="s">
        <v>2890</v>
      </c>
      <c r="S405" s="17" t="s">
        <v>2891</v>
      </c>
      <c r="T405" s="17" t="s">
        <v>2892</v>
      </c>
      <c r="U405" s="173" t="s">
        <v>38</v>
      </c>
      <c r="V405" s="11" t="s">
        <v>723</v>
      </c>
      <c r="W405" s="20" t="s">
        <v>1185</v>
      </c>
      <c r="X405" s="20" t="s">
        <v>1185</v>
      </c>
      <c r="Y405" s="20"/>
      <c r="Z405" s="6"/>
      <c r="AA405" s="6"/>
      <c r="AB405" s="23"/>
      <c r="AC405" s="33"/>
    </row>
    <row r="406" spans="1:29" ht="15.75" customHeight="1">
      <c r="A406" s="10" t="s">
        <v>2893</v>
      </c>
      <c r="B406" s="10" t="s">
        <v>1469</v>
      </c>
      <c r="C406" s="60" t="s">
        <v>1470</v>
      </c>
      <c r="D406" s="12"/>
      <c r="E406" s="13" t="s">
        <v>199</v>
      </c>
      <c r="F406" s="6" t="s">
        <v>677</v>
      </c>
      <c r="G406" s="6" t="str">
        <f ca="1">IFERROR(__xludf.DUMMYFUNCTION("CONCATENATE(B406,(VLOOKUP(C406,CATALOGOS!$F$2:$H$6,3,FALSE)),(VLOOKUP(V406,CATALOGOS!$J$2:$K$18,2,FALSE)),""-"",TO_TEXT(A406))"),"P12SI-0405")</f>
        <v>P12SI-0405</v>
      </c>
      <c r="H406" s="6" t="str">
        <f ca="1">IFERROR(__xludf.DUMMYFUNCTION("CONCATENATE($B406,(VLOOKUP($C406,CATALOGOS!$F$2:$H$6,3,FALSE)),(VLOOKUP($V406,CATALOGOS!$J$2:$K$18,2,FALSE)),""-"",TO_TEXT($A406))"),"P12SI-0405")</f>
        <v>P12SI-0405</v>
      </c>
      <c r="I406" s="6"/>
      <c r="J406" s="6" t="s">
        <v>2894</v>
      </c>
      <c r="K406" s="6" t="s">
        <v>2895</v>
      </c>
      <c r="L406" s="6" t="s">
        <v>2896</v>
      </c>
      <c r="M406" s="6" t="s">
        <v>141</v>
      </c>
      <c r="N406" s="17"/>
      <c r="O406" s="17"/>
      <c r="P406" s="17" t="str">
        <f t="shared" si="4"/>
        <v>REPETIDO</v>
      </c>
      <c r="Q406" s="17" t="s">
        <v>682</v>
      </c>
      <c r="R406" s="32" t="s">
        <v>2897</v>
      </c>
      <c r="S406" s="17" t="s">
        <v>2898</v>
      </c>
      <c r="T406" s="17" t="s">
        <v>2899</v>
      </c>
      <c r="U406" s="173" t="s">
        <v>38</v>
      </c>
      <c r="V406" s="181" t="s">
        <v>1483</v>
      </c>
      <c r="W406" s="20" t="s">
        <v>1484</v>
      </c>
      <c r="X406" s="20" t="s">
        <v>1484</v>
      </c>
      <c r="Y406" s="20"/>
      <c r="Z406" s="7"/>
      <c r="AA406" s="7"/>
      <c r="AB406" s="23"/>
      <c r="AC406" s="26"/>
    </row>
    <row r="407" spans="1:29" ht="15.75" customHeight="1">
      <c r="A407" s="10" t="s">
        <v>2900</v>
      </c>
      <c r="B407" s="10" t="s">
        <v>1469</v>
      </c>
      <c r="C407" s="60" t="s">
        <v>1470</v>
      </c>
      <c r="D407" s="12"/>
      <c r="E407" s="13" t="s">
        <v>1142</v>
      </c>
      <c r="F407" s="43" t="s">
        <v>2901</v>
      </c>
      <c r="G407" s="6" t="str">
        <f ca="1">IFERROR(__xludf.DUMMYFUNCTION("CONCATENATE(B407,(VLOOKUP(C407,CATALOGOS!$F$2:$H$6,3,FALSE)),(VLOOKUP(V407,CATALOGOS!$J$2:$K$18,2,FALSE)),""-"",TO_TEXT(A407))"),"P12SI-0406")</f>
        <v>P12SI-0406</v>
      </c>
      <c r="H407" s="6" t="str">
        <f ca="1">IFERROR(__xludf.DUMMYFUNCTION("CONCATENATE($B407,(VLOOKUP($C407,CATALOGOS!$F$2:$H$6,3,FALSE)),(VLOOKUP($V407,CATALOGOS!$J$2:$K$18,2,FALSE)),""-"",TO_TEXT($A407))"),"P12SI-0406")</f>
        <v>P12SI-0406</v>
      </c>
      <c r="I407" s="6"/>
      <c r="J407" s="6" t="s">
        <v>2902</v>
      </c>
      <c r="K407" s="6" t="s">
        <v>2903</v>
      </c>
      <c r="L407" s="6" t="s">
        <v>2904</v>
      </c>
      <c r="M407" s="6" t="s">
        <v>2905</v>
      </c>
      <c r="N407" s="17"/>
      <c r="O407" s="17"/>
      <c r="P407" s="17" t="str">
        <f t="shared" si="4"/>
        <v>OK</v>
      </c>
      <c r="Q407" s="17" t="s">
        <v>359</v>
      </c>
      <c r="R407" s="6" t="s">
        <v>2906</v>
      </c>
      <c r="S407" s="17" t="s">
        <v>2907</v>
      </c>
      <c r="T407" s="10" t="s">
        <v>85</v>
      </c>
      <c r="U407" s="173" t="s">
        <v>38</v>
      </c>
      <c r="V407" s="181" t="s">
        <v>1483</v>
      </c>
      <c r="W407" s="20" t="s">
        <v>1484</v>
      </c>
      <c r="X407" s="20" t="s">
        <v>1484</v>
      </c>
      <c r="Y407" s="20"/>
      <c r="Z407" s="7"/>
      <c r="AA407" s="7"/>
      <c r="AB407" s="23"/>
      <c r="AC407" s="26"/>
    </row>
    <row r="408" spans="1:29" ht="15.75" customHeight="1">
      <c r="A408" s="10" t="s">
        <v>2908</v>
      </c>
      <c r="B408" s="10" t="s">
        <v>1469</v>
      </c>
      <c r="C408" s="60" t="s">
        <v>1470</v>
      </c>
      <c r="D408" s="12"/>
      <c r="E408" s="13" t="s">
        <v>151</v>
      </c>
      <c r="F408" s="6" t="s">
        <v>152</v>
      </c>
      <c r="G408" s="6" t="str">
        <f ca="1">IFERROR(__xludf.DUMMYFUNCTION("CONCATENATE(B408,(VLOOKUP(C408,CATALOGOS!$F$2:$H$6,3,FALSE)),(VLOOKUP(V408,CATALOGOS!$J$2:$K$18,2,FALSE)),""-"",TO_TEXT(A408))"),"P12SI-0407")</f>
        <v>P12SI-0407</v>
      </c>
      <c r="H408" s="6" t="str">
        <f ca="1">IFERROR(__xludf.DUMMYFUNCTION("CONCATENATE($B408,(VLOOKUP($C408,CATALOGOS!$F$2:$H$6,3,FALSE)),(VLOOKUP($V408,CATALOGOS!$J$2:$K$18,2,FALSE)),""-"",TO_TEXT($A408))"),"P12SI-0407")</f>
        <v>P12SI-0407</v>
      </c>
      <c r="I408" s="6"/>
      <c r="J408" s="6" t="s">
        <v>2909</v>
      </c>
      <c r="K408" s="6" t="s">
        <v>2910</v>
      </c>
      <c r="L408" s="6" t="s">
        <v>2911</v>
      </c>
      <c r="M408" s="6" t="s">
        <v>2912</v>
      </c>
      <c r="N408" s="17"/>
      <c r="O408" s="17"/>
      <c r="P408" s="17" t="str">
        <f t="shared" si="4"/>
        <v>OK</v>
      </c>
      <c r="Q408" s="17" t="s">
        <v>1220</v>
      </c>
      <c r="R408" s="6" t="s">
        <v>720</v>
      </c>
      <c r="S408" s="17" t="s">
        <v>2913</v>
      </c>
      <c r="T408" s="17" t="s">
        <v>2914</v>
      </c>
      <c r="U408" s="173" t="s">
        <v>2915</v>
      </c>
      <c r="V408" s="181" t="s">
        <v>1483</v>
      </c>
      <c r="W408" s="20" t="s">
        <v>1484</v>
      </c>
      <c r="X408" s="20" t="s">
        <v>1484</v>
      </c>
      <c r="Y408" s="20"/>
      <c r="Z408" s="7"/>
      <c r="AA408" s="7"/>
      <c r="AB408" s="23"/>
      <c r="AC408" s="26"/>
    </row>
    <row r="409" spans="1:29" ht="15.75" customHeight="1">
      <c r="A409" s="10" t="s">
        <v>2916</v>
      </c>
      <c r="B409" s="10" t="s">
        <v>1469</v>
      </c>
      <c r="C409" s="60" t="s">
        <v>1470</v>
      </c>
      <c r="D409" s="12"/>
      <c r="E409" s="13" t="s">
        <v>353</v>
      </c>
      <c r="F409" s="43" t="s">
        <v>638</v>
      </c>
      <c r="G409" s="6" t="str">
        <f ca="1">IFERROR(__xludf.DUMMYFUNCTION("CONCATENATE(B409,(VLOOKUP(C409,CATALOGOS!$F$2:$H$6,3,FALSE)),(VLOOKUP(V409,CATALOGOS!$J$2:$K$18,2,FALSE)),""-"",TO_TEXT(A409))"),"P12SI-0408")</f>
        <v>P12SI-0408</v>
      </c>
      <c r="H409" s="6" t="str">
        <f ca="1">IFERROR(__xludf.DUMMYFUNCTION("CONCATENATE($B409,(VLOOKUP($C409,CATALOGOS!$F$2:$H$6,3,FALSE)),(VLOOKUP($V409,CATALOGOS!$J$2:$K$18,2,FALSE)),""-"",TO_TEXT($A409))"),"P12SI-0408")</f>
        <v>P12SI-0408</v>
      </c>
      <c r="I409" s="6"/>
      <c r="J409" s="6" t="s">
        <v>2917</v>
      </c>
      <c r="K409" s="6" t="s">
        <v>2918</v>
      </c>
      <c r="L409" s="6" t="s">
        <v>2919</v>
      </c>
      <c r="M409" s="43" t="s">
        <v>2920</v>
      </c>
      <c r="N409" s="17"/>
      <c r="O409" s="17"/>
      <c r="P409" s="17" t="str">
        <f t="shared" si="4"/>
        <v>OK</v>
      </c>
      <c r="Q409" s="66" t="s">
        <v>359</v>
      </c>
      <c r="R409" s="6">
        <v>1500</v>
      </c>
      <c r="S409" s="17" t="s">
        <v>2921</v>
      </c>
      <c r="T409" s="10" t="s">
        <v>2922</v>
      </c>
      <c r="U409" s="173" t="s">
        <v>38</v>
      </c>
      <c r="V409" s="181" t="s">
        <v>1483</v>
      </c>
      <c r="W409" s="20" t="s">
        <v>1484</v>
      </c>
      <c r="X409" s="20" t="s">
        <v>1484</v>
      </c>
      <c r="Y409" s="20"/>
      <c r="Z409" s="7"/>
      <c r="AA409" s="7"/>
      <c r="AB409" s="23"/>
      <c r="AC409" s="26"/>
    </row>
    <row r="410" spans="1:29" ht="15.75" customHeight="1">
      <c r="A410" s="10" t="s">
        <v>2923</v>
      </c>
      <c r="B410" s="10" t="s">
        <v>1469</v>
      </c>
      <c r="C410" s="60" t="s">
        <v>1470</v>
      </c>
      <c r="D410" s="12"/>
      <c r="E410" s="13" t="s">
        <v>151</v>
      </c>
      <c r="F410" s="6" t="s">
        <v>698</v>
      </c>
      <c r="G410" s="6" t="str">
        <f ca="1">IFERROR(__xludf.DUMMYFUNCTION("CONCATENATE(B410,(VLOOKUP(C410,CATALOGOS!$F$2:$H$6,3,FALSE)),(VLOOKUP(V410,CATALOGOS!$J$2:$K$18,2,FALSE)),""-"",TO_TEXT(A410))"),"P12SI-0409")</f>
        <v>P12SI-0409</v>
      </c>
      <c r="H410" s="6" t="str">
        <f ca="1">IFERROR(__xludf.DUMMYFUNCTION("CONCATENATE($B410,(VLOOKUP($C410,CATALOGOS!$F$2:$H$6,3,FALSE)),(VLOOKUP($V410,CATALOGOS!$J$2:$K$18,2,FALSE)),""-"",TO_TEXT($A410))"),"P12SI-0409")</f>
        <v>P12SI-0409</v>
      </c>
      <c r="I410" s="6"/>
      <c r="J410" s="6" t="s">
        <v>2924</v>
      </c>
      <c r="K410" s="6" t="s">
        <v>2925</v>
      </c>
      <c r="L410" s="6" t="s">
        <v>2926</v>
      </c>
      <c r="M410" s="6" t="s">
        <v>2927</v>
      </c>
      <c r="N410" s="17"/>
      <c r="O410" s="17"/>
      <c r="P410" s="17" t="str">
        <f t="shared" si="4"/>
        <v>OK</v>
      </c>
      <c r="Q410" s="17" t="s">
        <v>703</v>
      </c>
      <c r="R410" s="6" t="s">
        <v>2874</v>
      </c>
      <c r="S410" s="17" t="s">
        <v>2928</v>
      </c>
      <c r="T410" s="10" t="s">
        <v>2929</v>
      </c>
      <c r="U410" s="173" t="s">
        <v>38</v>
      </c>
      <c r="V410" s="181" t="s">
        <v>1483</v>
      </c>
      <c r="W410" s="20" t="s">
        <v>1484</v>
      </c>
      <c r="X410" s="20" t="s">
        <v>1484</v>
      </c>
      <c r="Y410" s="20"/>
      <c r="Z410" s="7"/>
      <c r="AA410" s="7"/>
      <c r="AB410" s="23"/>
      <c r="AC410" s="26"/>
    </row>
    <row r="411" spans="1:29" ht="15.75" customHeight="1">
      <c r="A411" s="10" t="s">
        <v>2930</v>
      </c>
      <c r="B411" s="10" t="s">
        <v>1469</v>
      </c>
      <c r="C411" s="60" t="s">
        <v>1470</v>
      </c>
      <c r="D411" s="12"/>
      <c r="E411" s="13" t="s">
        <v>2734</v>
      </c>
      <c r="F411" s="43" t="s">
        <v>2734</v>
      </c>
      <c r="G411" s="6" t="str">
        <f ca="1">IFERROR(__xludf.DUMMYFUNCTION("CONCATENATE(B411,(VLOOKUP(C411,CATALOGOS!$F$2:$H$6,3,FALSE)),(VLOOKUP(V411,CATALOGOS!$J$2:$K$18,2,FALSE)),""-"",TO_TEXT(A411))"),"P12SI-0410")</f>
        <v>P12SI-0410</v>
      </c>
      <c r="H411" s="6" t="str">
        <f ca="1">IFERROR(__xludf.DUMMYFUNCTION("CONCATENATE($B411,(VLOOKUP($C411,CATALOGOS!$F$2:$H$6,3,FALSE)),(VLOOKUP($V411,CATALOGOS!$J$2:$K$18,2,FALSE)),""-"",TO_TEXT($A411))"),"P12SI-0410")</f>
        <v>P12SI-0410</v>
      </c>
      <c r="I411" s="6"/>
      <c r="J411" s="6" t="s">
        <v>2932</v>
      </c>
      <c r="K411" s="6" t="s">
        <v>2933</v>
      </c>
      <c r="L411" s="6" t="s">
        <v>2934</v>
      </c>
      <c r="M411" s="6" t="s">
        <v>2935</v>
      </c>
      <c r="N411" s="17"/>
      <c r="O411" s="17"/>
      <c r="P411" s="17" t="str">
        <f t="shared" si="4"/>
        <v>OK</v>
      </c>
      <c r="Q411" s="17" t="s">
        <v>35</v>
      </c>
      <c r="R411" s="6" t="s">
        <v>35</v>
      </c>
      <c r="S411" s="17" t="s">
        <v>36</v>
      </c>
      <c r="T411" s="17" t="s">
        <v>2936</v>
      </c>
      <c r="U411" s="173" t="s">
        <v>38</v>
      </c>
      <c r="V411" s="181" t="s">
        <v>1483</v>
      </c>
      <c r="W411" s="20" t="s">
        <v>2937</v>
      </c>
      <c r="X411" s="20" t="s">
        <v>2937</v>
      </c>
      <c r="Y411" s="20"/>
      <c r="Z411" s="7"/>
      <c r="AA411" s="7"/>
      <c r="AB411" s="23"/>
      <c r="AC411" s="26"/>
    </row>
    <row r="412" spans="1:29" ht="15.75" customHeight="1">
      <c r="A412" s="10" t="s">
        <v>2938</v>
      </c>
      <c r="B412" s="10" t="s">
        <v>1469</v>
      </c>
      <c r="C412" s="60" t="s">
        <v>1470</v>
      </c>
      <c r="D412" s="12"/>
      <c r="E412" s="13" t="s">
        <v>2817</v>
      </c>
      <c r="F412" s="43" t="s">
        <v>2817</v>
      </c>
      <c r="G412" s="6" t="str">
        <f ca="1">IFERROR(__xludf.DUMMYFUNCTION("CONCATENATE(B412,(VLOOKUP(C412,CATALOGOS!$F$2:$H$6,3,FALSE)),(VLOOKUP(V412,CATALOGOS!$J$2:$K$18,2,FALSE)),""-"",TO_TEXT(A412))"),"P12SI-0411")</f>
        <v>P12SI-0411</v>
      </c>
      <c r="H412" s="6" t="str">
        <f ca="1">IFERROR(__xludf.DUMMYFUNCTION("CONCATENATE($B412,(VLOOKUP($C412,CATALOGOS!$F$2:$H$6,3,FALSE)),(VLOOKUP($V412,CATALOGOS!$J$2:$K$18,2,FALSE)),""-"",TO_TEXT($A412))"),"P12SI-0411")</f>
        <v>P12SI-0411</v>
      </c>
      <c r="I412" s="6"/>
      <c r="J412" s="6" t="s">
        <v>2939</v>
      </c>
      <c r="K412" s="6" t="s">
        <v>2940</v>
      </c>
      <c r="L412" s="6" t="s">
        <v>2941</v>
      </c>
      <c r="M412" s="6" t="s">
        <v>2942</v>
      </c>
      <c r="N412" s="17"/>
      <c r="O412" s="17"/>
      <c r="P412" s="17" t="str">
        <f t="shared" si="4"/>
        <v>OK</v>
      </c>
      <c r="Q412" s="17" t="s">
        <v>2943</v>
      </c>
      <c r="R412" s="6" t="s">
        <v>35</v>
      </c>
      <c r="S412" s="17" t="s">
        <v>36</v>
      </c>
      <c r="T412" s="17" t="s">
        <v>2944</v>
      </c>
      <c r="U412" s="173" t="s">
        <v>38</v>
      </c>
      <c r="V412" s="181" t="s">
        <v>1483</v>
      </c>
      <c r="W412" s="68" t="s">
        <v>2937</v>
      </c>
      <c r="X412" s="68" t="s">
        <v>2937</v>
      </c>
      <c r="Y412" s="68"/>
      <c r="Z412" s="7"/>
      <c r="AA412" s="7"/>
      <c r="AB412" s="23"/>
      <c r="AC412" s="26"/>
    </row>
    <row r="413" spans="1:29" ht="15.75" customHeight="1">
      <c r="A413" s="10" t="s">
        <v>2945</v>
      </c>
      <c r="B413" s="10" t="s">
        <v>1469</v>
      </c>
      <c r="C413" s="60" t="s">
        <v>1470</v>
      </c>
      <c r="D413" s="12"/>
      <c r="E413" s="13" t="s">
        <v>2351</v>
      </c>
      <c r="F413" s="43" t="s">
        <v>2352</v>
      </c>
      <c r="G413" s="6" t="str">
        <f ca="1">IFERROR(__xludf.DUMMYFUNCTION("CONCATENATE(B413,(VLOOKUP(C413,CATALOGOS!$F$2:$H$6,3,FALSE)),(VLOOKUP(V413,CATALOGOS!$J$2:$K$18,2,FALSE)),""-"",TO_TEXT(A413))"),"P12SI-0412")</f>
        <v>P12SI-0412</v>
      </c>
      <c r="H413" s="6" t="str">
        <f ca="1">IFERROR(__xludf.DUMMYFUNCTION("CONCATENATE($B413,(VLOOKUP($C413,CATALOGOS!$F$2:$H$6,3,FALSE)),(VLOOKUP($V413,CATALOGOS!$J$2:$K$18,2,FALSE)),""-"",TO_TEXT($A413))"),"P12SI-0412")</f>
        <v>P12SI-0412</v>
      </c>
      <c r="I413" s="6"/>
      <c r="J413" s="6" t="s">
        <v>2946</v>
      </c>
      <c r="K413" s="6" t="s">
        <v>2947</v>
      </c>
      <c r="L413" s="6" t="s">
        <v>2948</v>
      </c>
      <c r="M413" s="6" t="s">
        <v>2949</v>
      </c>
      <c r="N413" s="17"/>
      <c r="O413" s="17"/>
      <c r="P413" s="17" t="str">
        <f t="shared" si="4"/>
        <v>OK</v>
      </c>
      <c r="Q413" s="17" t="s">
        <v>2357</v>
      </c>
      <c r="R413" s="6" t="s">
        <v>35</v>
      </c>
      <c r="S413" s="17" t="s">
        <v>2928</v>
      </c>
      <c r="T413" s="17" t="s">
        <v>2950</v>
      </c>
      <c r="U413" s="173" t="s">
        <v>38</v>
      </c>
      <c r="V413" s="181" t="s">
        <v>1483</v>
      </c>
      <c r="W413" s="20" t="s">
        <v>2937</v>
      </c>
      <c r="X413" s="20" t="s">
        <v>2937</v>
      </c>
      <c r="Y413" s="20"/>
      <c r="Z413" s="7"/>
      <c r="AA413" s="7"/>
      <c r="AB413" s="23"/>
      <c r="AC413" s="26"/>
    </row>
    <row r="414" spans="1:29" ht="15.75" customHeight="1">
      <c r="A414" s="10" t="s">
        <v>2951</v>
      </c>
      <c r="B414" s="10" t="s">
        <v>1469</v>
      </c>
      <c r="C414" s="60" t="s">
        <v>1470</v>
      </c>
      <c r="D414" s="12"/>
      <c r="E414" s="13" t="s">
        <v>501</v>
      </c>
      <c r="F414" s="6" t="s">
        <v>2952</v>
      </c>
      <c r="G414" s="6" t="str">
        <f ca="1">IFERROR(__xludf.DUMMYFUNCTION("CONCATENATE(B414,(VLOOKUP(C414,CATALOGOS!$F$2:$H$6,3,FALSE)),(VLOOKUP(V414,CATALOGOS!$J$2:$K$18,2,FALSE)),""-"",TO_TEXT(A414))"),"P12SI-0413")</f>
        <v>P12SI-0413</v>
      </c>
      <c r="H414" s="6" t="str">
        <f ca="1">IFERROR(__xludf.DUMMYFUNCTION("CONCATENATE($B414,(VLOOKUP($C414,CATALOGOS!$F$2:$H$6,3,FALSE)),(VLOOKUP($V414,CATALOGOS!$J$2:$K$18,2,FALSE)),""-"",TO_TEXT($A414))"),"P12SI-0413")</f>
        <v>P12SI-0413</v>
      </c>
      <c r="I414" s="6"/>
      <c r="J414" s="6" t="s">
        <v>2953</v>
      </c>
      <c r="K414" s="6" t="s">
        <v>2954</v>
      </c>
      <c r="L414" s="6" t="s">
        <v>2955</v>
      </c>
      <c r="M414" s="43" t="s">
        <v>2956</v>
      </c>
      <c r="N414" s="17"/>
      <c r="O414" s="17"/>
      <c r="P414" s="17" t="str">
        <f t="shared" si="4"/>
        <v>OK</v>
      </c>
      <c r="Q414" s="17" t="s">
        <v>35</v>
      </c>
      <c r="R414" s="6" t="s">
        <v>35</v>
      </c>
      <c r="S414" s="17" t="s">
        <v>36</v>
      </c>
      <c r="T414" s="10" t="s">
        <v>2957</v>
      </c>
      <c r="U414" s="173" t="s">
        <v>38</v>
      </c>
      <c r="V414" s="181" t="s">
        <v>1483</v>
      </c>
      <c r="W414" s="20" t="s">
        <v>1484</v>
      </c>
      <c r="X414" s="20" t="s">
        <v>1484</v>
      </c>
      <c r="Y414" s="20"/>
      <c r="Z414" s="7"/>
      <c r="AA414" s="7"/>
      <c r="AB414" s="23"/>
      <c r="AC414" s="26"/>
    </row>
    <row r="415" spans="1:29" ht="15.75" customHeight="1">
      <c r="A415" s="10" t="s">
        <v>2958</v>
      </c>
      <c r="B415" s="10" t="s">
        <v>1469</v>
      </c>
      <c r="C415" s="60" t="s">
        <v>1470</v>
      </c>
      <c r="D415" s="12"/>
      <c r="E415" s="13" t="s">
        <v>2734</v>
      </c>
      <c r="F415" s="43" t="s">
        <v>2734</v>
      </c>
      <c r="G415" s="6" t="str">
        <f ca="1">IFERROR(__xludf.DUMMYFUNCTION("CONCATENATE(B415,(VLOOKUP(C415,CATALOGOS!$F$2:$H$6,3,FALSE)),(VLOOKUP(V415,CATALOGOS!$J$2:$K$18,2,FALSE)),""-"",TO_TEXT(A415))"),"P12SI-0414")</f>
        <v>P12SI-0414</v>
      </c>
      <c r="H415" s="6" t="str">
        <f ca="1">IFERROR(__xludf.DUMMYFUNCTION("CONCATENATE($B415,(VLOOKUP($C415,CATALOGOS!$F$2:$H$6,3,FALSE)),(VLOOKUP($V415,CATALOGOS!$J$2:$K$18,2,FALSE)),""-"",TO_TEXT($A415))"),"P12SI-0414")</f>
        <v>P12SI-0414</v>
      </c>
      <c r="I415" s="6"/>
      <c r="J415" s="6" t="s">
        <v>2959</v>
      </c>
      <c r="K415" s="6" t="s">
        <v>2960</v>
      </c>
      <c r="L415" s="49" t="s">
        <v>2961</v>
      </c>
      <c r="M415" s="6" t="s">
        <v>2962</v>
      </c>
      <c r="N415" s="17"/>
      <c r="O415" s="17"/>
      <c r="P415" s="17" t="str">
        <f t="shared" si="4"/>
        <v>OK</v>
      </c>
      <c r="Q415" s="17" t="s">
        <v>35</v>
      </c>
      <c r="R415" s="6" t="s">
        <v>35</v>
      </c>
      <c r="S415" s="17" t="s">
        <v>36</v>
      </c>
      <c r="T415" s="17" t="s">
        <v>2963</v>
      </c>
      <c r="U415" s="173" t="s">
        <v>38</v>
      </c>
      <c r="V415" s="181" t="s">
        <v>1483</v>
      </c>
      <c r="W415" s="20" t="s">
        <v>2964</v>
      </c>
      <c r="X415" s="20" t="s">
        <v>2964</v>
      </c>
      <c r="Y415" s="20"/>
      <c r="Z415" s="7"/>
      <c r="AA415" s="7"/>
      <c r="AB415" s="23"/>
      <c r="AC415" s="26"/>
    </row>
    <row r="416" spans="1:29" ht="15.75" customHeight="1">
      <c r="A416" s="10" t="s">
        <v>2965</v>
      </c>
      <c r="B416" s="10" t="s">
        <v>1469</v>
      </c>
      <c r="C416" s="60" t="s">
        <v>1470</v>
      </c>
      <c r="D416" s="12"/>
      <c r="E416" s="13" t="s">
        <v>2817</v>
      </c>
      <c r="F416" s="43" t="s">
        <v>2817</v>
      </c>
      <c r="G416" s="6" t="str">
        <f ca="1">IFERROR(__xludf.DUMMYFUNCTION("CONCATENATE(B416,(VLOOKUP(C416,CATALOGOS!$F$2:$H$6,3,FALSE)),(VLOOKUP(V416,CATALOGOS!$J$2:$K$18,2,FALSE)),""-"",TO_TEXT(A416))"),"P12SI-0415")</f>
        <v>P12SI-0415</v>
      </c>
      <c r="H416" s="6" t="str">
        <f ca="1">IFERROR(__xludf.DUMMYFUNCTION("CONCATENATE($B416,(VLOOKUP($C416,CATALOGOS!$F$2:$H$6,3,FALSE)),(VLOOKUP($V416,CATALOGOS!$J$2:$K$18,2,FALSE)),""-"",TO_TEXT($A416))"),"P12SI-0415")</f>
        <v>P12SI-0415</v>
      </c>
      <c r="I416" s="6"/>
      <c r="J416" s="6" t="s">
        <v>2966</v>
      </c>
      <c r="K416" s="6" t="s">
        <v>2967</v>
      </c>
      <c r="L416" s="6" t="s">
        <v>2968</v>
      </c>
      <c r="M416" s="6" t="s">
        <v>2969</v>
      </c>
      <c r="N416" s="17"/>
      <c r="O416" s="17"/>
      <c r="P416" s="17" t="str">
        <f t="shared" si="4"/>
        <v>OK</v>
      </c>
      <c r="Q416" s="17" t="s">
        <v>2822</v>
      </c>
      <c r="R416" s="6" t="s">
        <v>35</v>
      </c>
      <c r="S416" s="6" t="s">
        <v>36</v>
      </c>
      <c r="T416" s="17" t="s">
        <v>2970</v>
      </c>
      <c r="U416" s="173" t="s">
        <v>38</v>
      </c>
      <c r="V416" s="181" t="s">
        <v>1483</v>
      </c>
      <c r="W416" s="20" t="s">
        <v>2964</v>
      </c>
      <c r="X416" s="20" t="s">
        <v>2964</v>
      </c>
      <c r="Y416" s="20"/>
      <c r="Z416" s="7"/>
      <c r="AA416" s="7"/>
      <c r="AB416" s="23"/>
      <c r="AC416" s="26"/>
    </row>
    <row r="417" spans="1:29" ht="15.75" customHeight="1">
      <c r="A417" s="10" t="s">
        <v>2971</v>
      </c>
      <c r="B417" s="10" t="s">
        <v>1469</v>
      </c>
      <c r="C417" s="60" t="s">
        <v>1470</v>
      </c>
      <c r="D417" s="12"/>
      <c r="E417" s="13" t="s">
        <v>2351</v>
      </c>
      <c r="F417" s="43" t="s">
        <v>2352</v>
      </c>
      <c r="G417" s="6" t="str">
        <f ca="1">IFERROR(__xludf.DUMMYFUNCTION("CONCATENATE(B417,(VLOOKUP(C417,CATALOGOS!$F$2:$H$6,3,FALSE)),(VLOOKUP(V417,CATALOGOS!$J$2:$K$18,2,FALSE)),""-"",TO_TEXT(A417))"),"P12SI-0416")</f>
        <v>P12SI-0416</v>
      </c>
      <c r="H417" s="6" t="str">
        <f ca="1">IFERROR(__xludf.DUMMYFUNCTION("CONCATENATE($B417,(VLOOKUP($C417,CATALOGOS!$F$2:$H$6,3,FALSE)),(VLOOKUP($V417,CATALOGOS!$J$2:$K$18,2,FALSE)),""-"",TO_TEXT($A417))"),"P12SI-0416")</f>
        <v>P12SI-0416</v>
      </c>
      <c r="I417" s="6"/>
      <c r="J417" s="6" t="s">
        <v>2972</v>
      </c>
      <c r="K417" s="6" t="s">
        <v>2973</v>
      </c>
      <c r="L417" s="6" t="s">
        <v>2974</v>
      </c>
      <c r="M417" s="6" t="s">
        <v>2975</v>
      </c>
      <c r="N417" s="17"/>
      <c r="O417" s="17"/>
      <c r="P417" s="17" t="str">
        <f t="shared" si="4"/>
        <v>OK</v>
      </c>
      <c r="Q417" s="17" t="s">
        <v>2976</v>
      </c>
      <c r="R417" s="6" t="s">
        <v>2977</v>
      </c>
      <c r="S417" s="6" t="s">
        <v>2978</v>
      </c>
      <c r="T417" s="10" t="s">
        <v>2979</v>
      </c>
      <c r="U417" s="173" t="s">
        <v>38</v>
      </c>
      <c r="V417" s="181" t="s">
        <v>1483</v>
      </c>
      <c r="W417" s="20" t="s">
        <v>2964</v>
      </c>
      <c r="X417" s="20" t="s">
        <v>2964</v>
      </c>
      <c r="Y417" s="20"/>
      <c r="Z417" s="7"/>
      <c r="AA417" s="7"/>
      <c r="AB417" s="23"/>
      <c r="AC417" s="26"/>
    </row>
    <row r="418" spans="1:29" ht="15.75" customHeight="1">
      <c r="A418" s="10" t="s">
        <v>2980</v>
      </c>
      <c r="B418" s="10" t="s">
        <v>1469</v>
      </c>
      <c r="C418" s="60" t="s">
        <v>1470</v>
      </c>
      <c r="D418" s="12"/>
      <c r="E418" s="13" t="s">
        <v>93</v>
      </c>
      <c r="F418" s="6" t="s">
        <v>2981</v>
      </c>
      <c r="G418" s="6" t="str">
        <f ca="1">IFERROR(__xludf.DUMMYFUNCTION("CONCATENATE(B418,(VLOOKUP(C418,CATALOGOS!$F$2:$H$6,3,FALSE)),(VLOOKUP(V418,CATALOGOS!$J$2:$K$18,2,FALSE)),""-"",TO_TEXT(A418))"),"P12SI-0417")</f>
        <v>P12SI-0417</v>
      </c>
      <c r="H418" s="6" t="str">
        <f ca="1">IFERROR(__xludf.DUMMYFUNCTION("CONCATENATE($B418,(VLOOKUP($C418,CATALOGOS!$F$2:$H$6,3,FALSE)),(VLOOKUP($V418,CATALOGOS!$J$2:$K$18,2,FALSE)),""-"",TO_TEXT($A418))"),"P12SI-0417")</f>
        <v>P12SI-0417</v>
      </c>
      <c r="I418" s="6"/>
      <c r="J418" s="6" t="s">
        <v>2982</v>
      </c>
      <c r="K418" s="6" t="s">
        <v>2983</v>
      </c>
      <c r="L418" s="6" t="s">
        <v>2984</v>
      </c>
      <c r="M418" s="6" t="s">
        <v>2985</v>
      </c>
      <c r="N418" s="17"/>
      <c r="O418" s="17"/>
      <c r="P418" s="17" t="str">
        <f t="shared" si="4"/>
        <v>OK</v>
      </c>
      <c r="Q418" s="17" t="s">
        <v>35</v>
      </c>
      <c r="R418" s="6" t="s">
        <v>35</v>
      </c>
      <c r="S418" s="17" t="s">
        <v>36</v>
      </c>
      <c r="T418" s="17" t="s">
        <v>2986</v>
      </c>
      <c r="U418" s="173" t="s">
        <v>38</v>
      </c>
      <c r="V418" s="181" t="s">
        <v>1483</v>
      </c>
      <c r="W418" s="20" t="s">
        <v>1484</v>
      </c>
      <c r="X418" s="20" t="s">
        <v>1484</v>
      </c>
      <c r="Y418" s="20"/>
      <c r="Z418" s="7"/>
      <c r="AA418" s="7"/>
      <c r="AB418" s="23"/>
      <c r="AC418" s="26"/>
    </row>
    <row r="419" spans="1:29" ht="15.75" customHeight="1">
      <c r="A419" s="10" t="s">
        <v>2987</v>
      </c>
      <c r="B419" s="10" t="s">
        <v>1469</v>
      </c>
      <c r="C419" s="60" t="s">
        <v>1470</v>
      </c>
      <c r="D419" s="12"/>
      <c r="E419" s="13" t="s">
        <v>2988</v>
      </c>
      <c r="F419" s="6" t="s">
        <v>2988</v>
      </c>
      <c r="G419" s="6" t="str">
        <f ca="1">IFERROR(__xludf.DUMMYFUNCTION("CONCATENATE(B419,(VLOOKUP(C419,CATALOGOS!$F$2:$H$6,3,FALSE)),(VLOOKUP(V419,CATALOGOS!$J$2:$K$18,2,FALSE)),""-"",TO_TEXT(A419))"),"P12SI-0418")</f>
        <v>P12SI-0418</v>
      </c>
      <c r="H419" s="6" t="str">
        <f ca="1">IFERROR(__xludf.DUMMYFUNCTION("CONCATENATE($B419,(VLOOKUP($C419,CATALOGOS!$F$2:$H$6,3,FALSE)),(VLOOKUP($V419,CATALOGOS!$J$2:$K$18,2,FALSE)),""-"",TO_TEXT($A419))"),"P12SI-0418")</f>
        <v>P12SI-0418</v>
      </c>
      <c r="I419" s="6"/>
      <c r="J419" s="6" t="s">
        <v>2989</v>
      </c>
      <c r="K419" s="6" t="s">
        <v>2990</v>
      </c>
      <c r="L419" s="6" t="s">
        <v>2991</v>
      </c>
      <c r="M419" s="6" t="s">
        <v>2992</v>
      </c>
      <c r="N419" s="17"/>
      <c r="O419" s="17"/>
      <c r="P419" s="17" t="str">
        <f t="shared" si="4"/>
        <v>OK</v>
      </c>
      <c r="Q419" s="17" t="s">
        <v>2993</v>
      </c>
      <c r="R419" s="6" t="s">
        <v>2994</v>
      </c>
      <c r="S419" s="17" t="s">
        <v>2995</v>
      </c>
      <c r="T419" s="17" t="s">
        <v>2996</v>
      </c>
      <c r="U419" s="173" t="s">
        <v>38</v>
      </c>
      <c r="V419" s="181" t="s">
        <v>1483</v>
      </c>
      <c r="W419" s="20" t="s">
        <v>1484</v>
      </c>
      <c r="X419" s="20" t="s">
        <v>1484</v>
      </c>
      <c r="Y419" s="20"/>
      <c r="Z419" s="6"/>
      <c r="AA419" s="6"/>
      <c r="AB419" s="23"/>
      <c r="AC419" s="33"/>
    </row>
    <row r="420" spans="1:29" ht="15.75" customHeight="1">
      <c r="A420" s="10" t="s">
        <v>2998</v>
      </c>
      <c r="B420" s="10" t="s">
        <v>1469</v>
      </c>
      <c r="C420" s="60" t="s">
        <v>1470</v>
      </c>
      <c r="D420" s="12"/>
      <c r="E420" s="13" t="s">
        <v>2988</v>
      </c>
      <c r="F420" s="6" t="s">
        <v>2988</v>
      </c>
      <c r="G420" s="6" t="str">
        <f ca="1">IFERROR(__xludf.DUMMYFUNCTION("CONCATENATE(B420,(VLOOKUP(C420,CATALOGOS!$F$2:$H$6,3,FALSE)),(VLOOKUP(V420,CATALOGOS!$J$2:$K$18,2,FALSE)),""-"",TO_TEXT(A420))"),"P12SI-0419")</f>
        <v>P12SI-0419</v>
      </c>
      <c r="H420" s="6" t="str">
        <f ca="1">IFERROR(__xludf.DUMMYFUNCTION("CONCATENATE($B420,(VLOOKUP($C420,CATALOGOS!$F$2:$H$6,3,FALSE)),(VLOOKUP($V420,CATALOGOS!$J$2:$K$18,2,FALSE)),""-"",TO_TEXT($A420))"),"P12SI-0419")</f>
        <v>P12SI-0419</v>
      </c>
      <c r="I420" s="6"/>
      <c r="J420" s="6" t="s">
        <v>2999</v>
      </c>
      <c r="K420" s="6" t="s">
        <v>3000</v>
      </c>
      <c r="L420" s="6" t="s">
        <v>3001</v>
      </c>
      <c r="M420" s="6" t="s">
        <v>3002</v>
      </c>
      <c r="N420" s="17"/>
      <c r="O420" s="17"/>
      <c r="P420" s="17" t="str">
        <f t="shared" si="4"/>
        <v>OK</v>
      </c>
      <c r="Q420" s="17" t="s">
        <v>2993</v>
      </c>
      <c r="R420" s="6" t="s">
        <v>3003</v>
      </c>
      <c r="S420" s="17" t="s">
        <v>3004</v>
      </c>
      <c r="T420" s="17" t="s">
        <v>3005</v>
      </c>
      <c r="U420" s="173" t="s">
        <v>38</v>
      </c>
      <c r="V420" s="181" t="s">
        <v>1483</v>
      </c>
      <c r="W420" s="20" t="s">
        <v>1484</v>
      </c>
      <c r="X420" s="20" t="s">
        <v>1484</v>
      </c>
      <c r="Y420" s="20"/>
      <c r="Z420" s="6"/>
      <c r="AA420" s="6"/>
      <c r="AB420" s="23"/>
      <c r="AC420" s="33"/>
    </row>
    <row r="421" spans="1:29" ht="15.75" customHeight="1">
      <c r="A421" s="10" t="s">
        <v>3007</v>
      </c>
      <c r="B421" s="10" t="s">
        <v>1469</v>
      </c>
      <c r="C421" s="60" t="s">
        <v>1470</v>
      </c>
      <c r="D421" s="12"/>
      <c r="E421" s="13" t="s">
        <v>2988</v>
      </c>
      <c r="F421" s="6" t="s">
        <v>2988</v>
      </c>
      <c r="G421" s="6" t="str">
        <f ca="1">IFERROR(__xludf.DUMMYFUNCTION("CONCATENATE(B421,(VLOOKUP(C421,CATALOGOS!$F$2:$H$6,3,FALSE)),(VLOOKUP(V421,CATALOGOS!$J$2:$K$18,2,FALSE)),""-"",TO_TEXT(A421))"),"P12SI-0420")</f>
        <v>P12SI-0420</v>
      </c>
      <c r="H421" s="6" t="str">
        <f ca="1">IFERROR(__xludf.DUMMYFUNCTION("CONCATENATE($B421,(VLOOKUP($C421,CATALOGOS!$F$2:$H$6,3,FALSE)),(VLOOKUP($V421,CATALOGOS!$J$2:$K$18,2,FALSE)),""-"",TO_TEXT($A421))"),"P12SI-0420")</f>
        <v>P12SI-0420</v>
      </c>
      <c r="I421" s="6"/>
      <c r="J421" s="6" t="s">
        <v>3008</v>
      </c>
      <c r="K421" s="6" t="s">
        <v>3009</v>
      </c>
      <c r="L421" s="6" t="s">
        <v>3010</v>
      </c>
      <c r="M421" s="6" t="s">
        <v>3011</v>
      </c>
      <c r="N421" s="17"/>
      <c r="O421" s="17"/>
      <c r="P421" s="17" t="str">
        <f t="shared" si="4"/>
        <v>OK</v>
      </c>
      <c r="Q421" s="17" t="s">
        <v>2993</v>
      </c>
      <c r="R421" s="6" t="s">
        <v>3003</v>
      </c>
      <c r="S421" s="17" t="s">
        <v>3013</v>
      </c>
      <c r="T421" s="17" t="s">
        <v>3014</v>
      </c>
      <c r="U421" s="173" t="s">
        <v>38</v>
      </c>
      <c r="V421" s="181" t="s">
        <v>1483</v>
      </c>
      <c r="W421" s="20" t="s">
        <v>1484</v>
      </c>
      <c r="X421" s="20" t="s">
        <v>1484</v>
      </c>
      <c r="Y421" s="20"/>
      <c r="Z421" s="6"/>
      <c r="AA421" s="6"/>
      <c r="AB421" s="23"/>
      <c r="AC421" s="33"/>
    </row>
    <row r="422" spans="1:29" ht="15.75" customHeight="1">
      <c r="A422" s="10" t="s">
        <v>3016</v>
      </c>
      <c r="B422" s="10" t="s">
        <v>1469</v>
      </c>
      <c r="C422" s="60" t="s">
        <v>1470</v>
      </c>
      <c r="D422" s="12"/>
      <c r="E422" s="13" t="s">
        <v>2988</v>
      </c>
      <c r="F422" s="6" t="s">
        <v>2988</v>
      </c>
      <c r="G422" s="6" t="str">
        <f ca="1">IFERROR(__xludf.DUMMYFUNCTION("CONCATENATE(B422,(VLOOKUP(C422,CATALOGOS!$F$2:$H$6,3,FALSE)),(VLOOKUP(V422,CATALOGOS!$J$2:$K$18,2,FALSE)),""-"",TO_TEXT(A422))"),"P12SI-0421")</f>
        <v>P12SI-0421</v>
      </c>
      <c r="H422" s="6" t="str">
        <f ca="1">IFERROR(__xludf.DUMMYFUNCTION("CONCATENATE($B422,(VLOOKUP($C422,CATALOGOS!$F$2:$H$6,3,FALSE)),(VLOOKUP($V422,CATALOGOS!$J$2:$K$18,2,FALSE)),""-"",TO_TEXT($A422))"),"P12SI-0421")</f>
        <v>P12SI-0421</v>
      </c>
      <c r="I422" s="6"/>
      <c r="J422" s="6" t="s">
        <v>3017</v>
      </c>
      <c r="K422" s="6" t="s">
        <v>3018</v>
      </c>
      <c r="L422" s="6" t="s">
        <v>3019</v>
      </c>
      <c r="M422" s="6" t="s">
        <v>3020</v>
      </c>
      <c r="N422" s="17"/>
      <c r="O422" s="17"/>
      <c r="P422" s="17" t="str">
        <f t="shared" si="4"/>
        <v>OK</v>
      </c>
      <c r="Q422" s="17" t="s">
        <v>2993</v>
      </c>
      <c r="R422" s="6" t="s">
        <v>3003</v>
      </c>
      <c r="S422" s="17" t="s">
        <v>3021</v>
      </c>
      <c r="T422" s="17" t="s">
        <v>3022</v>
      </c>
      <c r="U422" s="173" t="s">
        <v>38</v>
      </c>
      <c r="V422" s="181" t="s">
        <v>1483</v>
      </c>
      <c r="W422" s="20" t="s">
        <v>1484</v>
      </c>
      <c r="X422" s="20" t="s">
        <v>1484</v>
      </c>
      <c r="Y422" s="20"/>
      <c r="Z422" s="6"/>
      <c r="AA422" s="6"/>
      <c r="AB422" s="23"/>
      <c r="AC422" s="33"/>
    </row>
    <row r="423" spans="1:29" ht="15.75" customHeight="1">
      <c r="A423" s="10" t="s">
        <v>3024</v>
      </c>
      <c r="B423" s="10" t="s">
        <v>1469</v>
      </c>
      <c r="C423" s="60" t="s">
        <v>1470</v>
      </c>
      <c r="D423" s="12"/>
      <c r="E423" s="13" t="s">
        <v>2988</v>
      </c>
      <c r="F423" s="6" t="s">
        <v>2988</v>
      </c>
      <c r="G423" s="6" t="str">
        <f ca="1">IFERROR(__xludf.DUMMYFUNCTION("CONCATENATE(B423,(VLOOKUP(C423,CATALOGOS!$F$2:$H$6,3,FALSE)),(VLOOKUP(V423,CATALOGOS!$J$2:$K$18,2,FALSE)),""-"",TO_TEXT(A423))"),"P12SI-0422")</f>
        <v>P12SI-0422</v>
      </c>
      <c r="H423" s="6" t="str">
        <f ca="1">IFERROR(__xludf.DUMMYFUNCTION("CONCATENATE($B423,(VLOOKUP($C423,CATALOGOS!$F$2:$H$6,3,FALSE)),(VLOOKUP($V423,CATALOGOS!$J$2:$K$18,2,FALSE)),""-"",TO_TEXT($A423))"),"P12SI-0422")</f>
        <v>P12SI-0422</v>
      </c>
      <c r="I423" s="6"/>
      <c r="J423" s="6" t="s">
        <v>3025</v>
      </c>
      <c r="K423" s="6" t="s">
        <v>3026</v>
      </c>
      <c r="L423" s="6" t="s">
        <v>3027</v>
      </c>
      <c r="M423" s="6" t="s">
        <v>3028</v>
      </c>
      <c r="N423" s="17"/>
      <c r="O423" s="17"/>
      <c r="P423" s="17" t="str">
        <f t="shared" si="4"/>
        <v>OK</v>
      </c>
      <c r="Q423" s="17" t="s">
        <v>2993</v>
      </c>
      <c r="R423" s="6" t="s">
        <v>3003</v>
      </c>
      <c r="S423" s="17" t="s">
        <v>3029</v>
      </c>
      <c r="T423" s="17" t="s">
        <v>3030</v>
      </c>
      <c r="U423" s="173" t="s">
        <v>38</v>
      </c>
      <c r="V423" s="181" t="s">
        <v>1483</v>
      </c>
      <c r="W423" s="20" t="s">
        <v>1484</v>
      </c>
      <c r="X423" s="20" t="s">
        <v>1484</v>
      </c>
      <c r="Y423" s="20"/>
      <c r="Z423" s="6"/>
      <c r="AA423" s="6"/>
      <c r="AB423" s="23"/>
      <c r="AC423" s="33"/>
    </row>
    <row r="424" spans="1:29" ht="15.75" customHeight="1">
      <c r="A424" s="10" t="s">
        <v>3032</v>
      </c>
      <c r="B424" s="10" t="s">
        <v>1469</v>
      </c>
      <c r="C424" s="60" t="s">
        <v>1470</v>
      </c>
      <c r="D424" s="12"/>
      <c r="E424" s="13" t="s">
        <v>2988</v>
      </c>
      <c r="F424" s="6" t="s">
        <v>2988</v>
      </c>
      <c r="G424" s="6" t="str">
        <f ca="1">IFERROR(__xludf.DUMMYFUNCTION("CONCATENATE(B424,(VLOOKUP(C424,CATALOGOS!$F$2:$H$6,3,FALSE)),(VLOOKUP(V424,CATALOGOS!$J$2:$K$18,2,FALSE)),""-"",TO_TEXT(A424))"),"P12SI-0423")</f>
        <v>P12SI-0423</v>
      </c>
      <c r="H424" s="6" t="str">
        <f ca="1">IFERROR(__xludf.DUMMYFUNCTION("CONCATENATE($B424,(VLOOKUP($C424,CATALOGOS!$F$2:$H$6,3,FALSE)),(VLOOKUP($V424,CATALOGOS!$J$2:$K$18,2,FALSE)),""-"",TO_TEXT($A424))"),"P12SI-0423")</f>
        <v>P12SI-0423</v>
      </c>
      <c r="I424" s="6"/>
      <c r="J424" s="6" t="s">
        <v>3033</v>
      </c>
      <c r="K424" s="6" t="s">
        <v>3034</v>
      </c>
      <c r="L424" s="6" t="s">
        <v>3035</v>
      </c>
      <c r="M424" s="6" t="s">
        <v>3036</v>
      </c>
      <c r="N424" s="17"/>
      <c r="O424" s="17"/>
      <c r="P424" s="17" t="str">
        <f t="shared" si="4"/>
        <v>OK</v>
      </c>
      <c r="Q424" s="17" t="s">
        <v>2993</v>
      </c>
      <c r="R424" s="6" t="s">
        <v>3037</v>
      </c>
      <c r="S424" s="17" t="s">
        <v>3038</v>
      </c>
      <c r="T424" s="17" t="s">
        <v>3039</v>
      </c>
      <c r="U424" s="173" t="s">
        <v>38</v>
      </c>
      <c r="V424" s="181" t="s">
        <v>1483</v>
      </c>
      <c r="W424" s="20" t="s">
        <v>1484</v>
      </c>
      <c r="X424" s="20" t="s">
        <v>1484</v>
      </c>
      <c r="Y424" s="20"/>
      <c r="Z424" s="6"/>
      <c r="AA424" s="6"/>
      <c r="AB424" s="23"/>
      <c r="AC424" s="33"/>
    </row>
    <row r="425" spans="1:29" ht="15.75" customHeight="1">
      <c r="A425" s="10" t="s">
        <v>3041</v>
      </c>
      <c r="B425" s="10" t="s">
        <v>1469</v>
      </c>
      <c r="C425" s="60" t="s">
        <v>1470</v>
      </c>
      <c r="D425" s="12"/>
      <c r="E425" s="13" t="s">
        <v>2988</v>
      </c>
      <c r="F425" s="6" t="s">
        <v>2988</v>
      </c>
      <c r="G425" s="6" t="str">
        <f ca="1">IFERROR(__xludf.DUMMYFUNCTION("CONCATENATE(B425,(VLOOKUP(C425,CATALOGOS!$F$2:$H$6,3,FALSE)),(VLOOKUP(V425,CATALOGOS!$J$2:$K$18,2,FALSE)),""-"",TO_TEXT(A425))"),"P12SI-0424")</f>
        <v>P12SI-0424</v>
      </c>
      <c r="H425" s="6" t="str">
        <f ca="1">IFERROR(__xludf.DUMMYFUNCTION("CONCATENATE($B425,(VLOOKUP($C425,CATALOGOS!$F$2:$H$6,3,FALSE)),(VLOOKUP($V425,CATALOGOS!$J$2:$K$18,2,FALSE)),""-"",TO_TEXT($A425))"),"P12SI-0424")</f>
        <v>P12SI-0424</v>
      </c>
      <c r="I425" s="6"/>
      <c r="J425" s="6" t="s">
        <v>3042</v>
      </c>
      <c r="K425" s="6" t="s">
        <v>3043</v>
      </c>
      <c r="L425" s="6" t="s">
        <v>3044</v>
      </c>
      <c r="M425" s="6" t="s">
        <v>3045</v>
      </c>
      <c r="N425" s="17"/>
      <c r="O425" s="17"/>
      <c r="P425" s="17" t="str">
        <f t="shared" si="4"/>
        <v>OK</v>
      </c>
      <c r="Q425" s="17" t="s">
        <v>2993</v>
      </c>
      <c r="R425" s="6" t="s">
        <v>3046</v>
      </c>
      <c r="S425" s="17" t="s">
        <v>3047</v>
      </c>
      <c r="T425" s="17" t="s">
        <v>3048</v>
      </c>
      <c r="U425" s="173" t="s">
        <v>38</v>
      </c>
      <c r="V425" s="181" t="s">
        <v>1483</v>
      </c>
      <c r="W425" s="20" t="s">
        <v>1484</v>
      </c>
      <c r="X425" s="20" t="s">
        <v>1484</v>
      </c>
      <c r="Y425" s="20"/>
      <c r="Z425" s="6"/>
      <c r="AA425" s="6"/>
      <c r="AB425" s="23"/>
      <c r="AC425" s="33"/>
    </row>
    <row r="426" spans="1:29" ht="15.75" customHeight="1">
      <c r="A426" s="10" t="s">
        <v>3050</v>
      </c>
      <c r="B426" s="10" t="s">
        <v>1469</v>
      </c>
      <c r="C426" s="60" t="s">
        <v>1470</v>
      </c>
      <c r="D426" s="12"/>
      <c r="E426" s="13" t="s">
        <v>2988</v>
      </c>
      <c r="F426" s="6" t="s">
        <v>2988</v>
      </c>
      <c r="G426" s="6" t="str">
        <f ca="1">IFERROR(__xludf.DUMMYFUNCTION("CONCATENATE(B426,(VLOOKUP(C426,CATALOGOS!$F$2:$H$6,3,FALSE)),(VLOOKUP(V426,CATALOGOS!$J$2:$K$18,2,FALSE)),""-"",TO_TEXT(A426))"),"P12SI-0425")</f>
        <v>P12SI-0425</v>
      </c>
      <c r="H426" s="6" t="str">
        <f ca="1">IFERROR(__xludf.DUMMYFUNCTION("CONCATENATE($B426,(VLOOKUP($C426,CATALOGOS!$F$2:$H$6,3,FALSE)),(VLOOKUP($V426,CATALOGOS!$J$2:$K$18,2,FALSE)),""-"",TO_TEXT($A426))"),"P12SI-0425")</f>
        <v>P12SI-0425</v>
      </c>
      <c r="I426" s="6"/>
      <c r="J426" s="6" t="s">
        <v>3051</v>
      </c>
      <c r="K426" s="6" t="s">
        <v>3052</v>
      </c>
      <c r="L426" s="6" t="s">
        <v>3053</v>
      </c>
      <c r="M426" s="6" t="s">
        <v>3054</v>
      </c>
      <c r="N426" s="17"/>
      <c r="O426" s="17"/>
      <c r="P426" s="17" t="str">
        <f t="shared" si="4"/>
        <v>OK</v>
      </c>
      <c r="Q426" s="17" t="s">
        <v>2993</v>
      </c>
      <c r="R426" s="6" t="s">
        <v>3037</v>
      </c>
      <c r="S426" s="17" t="s">
        <v>36</v>
      </c>
      <c r="T426" s="17" t="s">
        <v>3058</v>
      </c>
      <c r="U426" s="173" t="s">
        <v>38</v>
      </c>
      <c r="V426" s="181" t="s">
        <v>1483</v>
      </c>
      <c r="W426" s="20" t="s">
        <v>1484</v>
      </c>
      <c r="X426" s="20" t="s">
        <v>1484</v>
      </c>
      <c r="Y426" s="20"/>
      <c r="Z426" s="6"/>
      <c r="AA426" s="6"/>
      <c r="AB426" s="23"/>
      <c r="AC426" s="33"/>
    </row>
    <row r="427" spans="1:29" ht="15.75" customHeight="1">
      <c r="A427" s="10" t="s">
        <v>3060</v>
      </c>
      <c r="B427" s="10" t="s">
        <v>1469</v>
      </c>
      <c r="C427" s="60" t="s">
        <v>1470</v>
      </c>
      <c r="D427" s="12"/>
      <c r="E427" s="13" t="s">
        <v>2300</v>
      </c>
      <c r="F427" s="6" t="s">
        <v>2596</v>
      </c>
      <c r="G427" s="6" t="str">
        <f ca="1">IFERROR(__xludf.DUMMYFUNCTION("CONCATENATE(B427,(VLOOKUP(C427,CATALOGOS!$F$2:$H$6,3,FALSE)),(VLOOKUP(V427,CATALOGOS!$J$2:$K$18,2,FALSE)),""-"",TO_TEXT(A427))"),"P12SI-0426")</f>
        <v>P12SI-0426</v>
      </c>
      <c r="H427" s="6" t="str">
        <f ca="1">IFERROR(__xludf.DUMMYFUNCTION("CONCATENATE($B427,(VLOOKUP($C427,CATALOGOS!$F$2:$H$6,3,FALSE)),(VLOOKUP($V427,CATALOGOS!$J$2:$K$18,2,FALSE)),""-"",TO_TEXT($A427))"),"P12SI-0426")</f>
        <v>P12SI-0426</v>
      </c>
      <c r="I427" s="6"/>
      <c r="J427" s="6" t="s">
        <v>3061</v>
      </c>
      <c r="K427" s="6" t="s">
        <v>3062</v>
      </c>
      <c r="L427" s="36"/>
      <c r="M427" s="6" t="s">
        <v>141</v>
      </c>
      <c r="N427" s="17"/>
      <c r="O427" s="17"/>
      <c r="P427" s="17" t="str">
        <f t="shared" si="4"/>
        <v>REPETIDO</v>
      </c>
      <c r="Q427" s="17" t="s">
        <v>3063</v>
      </c>
      <c r="R427" s="6" t="s">
        <v>3064</v>
      </c>
      <c r="S427" s="6" t="s">
        <v>3065</v>
      </c>
      <c r="T427" s="10" t="s">
        <v>85</v>
      </c>
      <c r="U427" s="173" t="s">
        <v>38</v>
      </c>
      <c r="V427" s="181" t="s">
        <v>1483</v>
      </c>
      <c r="W427" s="20" t="s">
        <v>1484</v>
      </c>
      <c r="X427" s="20" t="s">
        <v>1484</v>
      </c>
      <c r="Y427" s="20"/>
      <c r="Z427" s="6"/>
      <c r="AA427" s="6"/>
      <c r="AB427" s="23"/>
      <c r="AC427" s="33"/>
    </row>
    <row r="428" spans="1:29" ht="15.75" customHeight="1">
      <c r="A428" s="10" t="s">
        <v>3066</v>
      </c>
      <c r="B428" s="10" t="s">
        <v>1469</v>
      </c>
      <c r="C428" s="60" t="s">
        <v>1470</v>
      </c>
      <c r="D428" s="12"/>
      <c r="E428" s="13" t="s">
        <v>2300</v>
      </c>
      <c r="F428" s="6" t="s">
        <v>2596</v>
      </c>
      <c r="G428" s="6" t="str">
        <f ca="1">IFERROR(__xludf.DUMMYFUNCTION("CONCATENATE(B428,(VLOOKUP(C428,CATALOGOS!$F$2:$H$6,3,FALSE)),(VLOOKUP(V428,CATALOGOS!$J$2:$K$18,2,FALSE)),""-"",TO_TEXT(A428))"),"P12SI-0427")</f>
        <v>P12SI-0427</v>
      </c>
      <c r="H428" s="6" t="str">
        <f ca="1">IFERROR(__xludf.DUMMYFUNCTION("CONCATENATE($B428,(VLOOKUP($C428,CATALOGOS!$F$2:$H$6,3,FALSE)),(VLOOKUP($V428,CATALOGOS!$J$2:$K$18,2,FALSE)),""-"",TO_TEXT($A428))"),"P12SI-0427")</f>
        <v>P12SI-0427</v>
      </c>
      <c r="I428" s="6"/>
      <c r="J428" s="6" t="s">
        <v>3067</v>
      </c>
      <c r="K428" s="6" t="s">
        <v>3068</v>
      </c>
      <c r="L428" s="36"/>
      <c r="M428" s="6" t="s">
        <v>141</v>
      </c>
      <c r="N428" s="17"/>
      <c r="O428" s="17"/>
      <c r="P428" s="17" t="str">
        <f t="shared" si="4"/>
        <v>REPETIDO</v>
      </c>
      <c r="Q428" s="17" t="s">
        <v>3069</v>
      </c>
      <c r="R428" s="6" t="s">
        <v>35</v>
      </c>
      <c r="S428" s="6" t="s">
        <v>36</v>
      </c>
      <c r="T428" s="10" t="s">
        <v>85</v>
      </c>
      <c r="U428" s="173" t="s">
        <v>38</v>
      </c>
      <c r="V428" s="181" t="s">
        <v>1483</v>
      </c>
      <c r="W428" s="20" t="s">
        <v>1484</v>
      </c>
      <c r="X428" s="20" t="s">
        <v>1484</v>
      </c>
      <c r="Y428" s="20"/>
      <c r="Z428" s="6"/>
      <c r="AA428" s="6"/>
      <c r="AB428" s="23"/>
      <c r="AC428" s="33"/>
    </row>
    <row r="429" spans="1:29" ht="15.75" customHeight="1">
      <c r="A429" s="10" t="s">
        <v>3072</v>
      </c>
      <c r="B429" s="10" t="s">
        <v>1469</v>
      </c>
      <c r="C429" s="60" t="s">
        <v>1470</v>
      </c>
      <c r="D429" s="12"/>
      <c r="E429" s="13" t="s">
        <v>2300</v>
      </c>
      <c r="F429" s="6" t="s">
        <v>2596</v>
      </c>
      <c r="G429" s="6" t="str">
        <f ca="1">IFERROR(__xludf.DUMMYFUNCTION("CONCATENATE(B429,(VLOOKUP(C429,CATALOGOS!$F$2:$H$6,3,FALSE)),(VLOOKUP(V429,CATALOGOS!$J$2:$K$18,2,FALSE)),""-"",TO_TEXT(A429))"),"P12SI-0428")</f>
        <v>P12SI-0428</v>
      </c>
      <c r="H429" s="6" t="str">
        <f ca="1">IFERROR(__xludf.DUMMYFUNCTION("CONCATENATE($B429,(VLOOKUP($C429,CATALOGOS!$F$2:$H$6,3,FALSE)),(VLOOKUP($V429,CATALOGOS!$J$2:$K$18,2,FALSE)),""-"",TO_TEXT($A429))"),"P12SI-0428")</f>
        <v>P12SI-0428</v>
      </c>
      <c r="I429" s="6"/>
      <c r="J429" s="6" t="s">
        <v>3073</v>
      </c>
      <c r="K429" s="6" t="s">
        <v>3074</v>
      </c>
      <c r="L429" s="36"/>
      <c r="M429" s="6" t="s">
        <v>141</v>
      </c>
      <c r="N429" s="17"/>
      <c r="O429" s="17"/>
      <c r="P429" s="17" t="str">
        <f t="shared" si="4"/>
        <v>REPETIDO</v>
      </c>
      <c r="Q429" s="17" t="s">
        <v>3063</v>
      </c>
      <c r="R429" s="6" t="s">
        <v>3064</v>
      </c>
      <c r="S429" s="6" t="s">
        <v>3075</v>
      </c>
      <c r="T429" s="10" t="s">
        <v>85</v>
      </c>
      <c r="U429" s="173" t="s">
        <v>38</v>
      </c>
      <c r="V429" s="181" t="s">
        <v>1483</v>
      </c>
      <c r="W429" s="20" t="s">
        <v>1484</v>
      </c>
      <c r="X429" s="20" t="s">
        <v>1484</v>
      </c>
      <c r="Y429" s="20"/>
      <c r="Z429" s="6"/>
      <c r="AA429" s="6"/>
      <c r="AB429" s="23"/>
      <c r="AC429" s="33"/>
    </row>
    <row r="430" spans="1:29" ht="15.75" customHeight="1">
      <c r="A430" s="10" t="s">
        <v>3076</v>
      </c>
      <c r="B430" s="10" t="s">
        <v>1469</v>
      </c>
      <c r="C430" s="60" t="s">
        <v>1470</v>
      </c>
      <c r="D430" s="38"/>
      <c r="E430" s="13" t="s">
        <v>2988</v>
      </c>
      <c r="F430" s="6" t="s">
        <v>2988</v>
      </c>
      <c r="G430" s="6" t="str">
        <f ca="1">IFERROR(__xludf.DUMMYFUNCTION("CONCATENATE(B430,(VLOOKUP(C430,CATALOGOS!$F$2:$H$6,3,FALSE)),(VLOOKUP(V430,CATALOGOS!$J$2:$K$18,2,FALSE)),""-"",TO_TEXT(A430))"),"P12SI-0429")</f>
        <v>P12SI-0429</v>
      </c>
      <c r="H430" s="6" t="str">
        <f ca="1">IFERROR(__xludf.DUMMYFUNCTION("CONCATENATE($B430,(VLOOKUP($C430,CATALOGOS!$F$2:$H$6,3,FALSE)),(VLOOKUP($V430,CATALOGOS!$J$2:$K$18,2,FALSE)),""-"",TO_TEXT($A430))"),"P12SI-0429")</f>
        <v>P12SI-0429</v>
      </c>
      <c r="I430" s="6"/>
      <c r="J430" s="6" t="s">
        <v>3077</v>
      </c>
      <c r="K430" s="6" t="s">
        <v>3078</v>
      </c>
      <c r="L430" s="36"/>
      <c r="M430" s="6" t="s">
        <v>141</v>
      </c>
      <c r="N430" s="17"/>
      <c r="O430" s="17"/>
      <c r="P430" s="17" t="str">
        <f t="shared" si="4"/>
        <v>REPETIDO</v>
      </c>
      <c r="Q430" s="17" t="s">
        <v>3079</v>
      </c>
      <c r="R430" s="6" t="s">
        <v>3080</v>
      </c>
      <c r="S430" s="6">
        <v>358720</v>
      </c>
      <c r="T430" s="10" t="s">
        <v>85</v>
      </c>
      <c r="U430" s="173" t="s">
        <v>38</v>
      </c>
      <c r="V430" s="181" t="s">
        <v>1483</v>
      </c>
      <c r="W430" s="20" t="s">
        <v>1484</v>
      </c>
      <c r="X430" s="20" t="s">
        <v>1484</v>
      </c>
      <c r="Y430" s="20"/>
      <c r="Z430" s="6"/>
      <c r="AA430" s="6"/>
      <c r="AB430" s="26"/>
      <c r="AC430" s="33"/>
    </row>
    <row r="431" spans="1:29" ht="15.75" customHeight="1">
      <c r="A431" s="10" t="s">
        <v>3081</v>
      </c>
      <c r="B431" s="10" t="s">
        <v>1469</v>
      </c>
      <c r="C431" s="60" t="s">
        <v>1470</v>
      </c>
      <c r="D431" s="38"/>
      <c r="E431" s="13" t="s">
        <v>2300</v>
      </c>
      <c r="F431" s="6" t="s">
        <v>2300</v>
      </c>
      <c r="G431" s="6" t="str">
        <f ca="1">IFERROR(__xludf.DUMMYFUNCTION("CONCATENATE(B431,(VLOOKUP(C431,CATALOGOS!$F$2:$H$6,3,FALSE)),(VLOOKUP(V431,CATALOGOS!$J$2:$K$18,2,FALSE)),""-"",TO_TEXT(A431))"),"P12SI-0430")</f>
        <v>P12SI-0430</v>
      </c>
      <c r="H431" s="6" t="str">
        <f ca="1">IFERROR(__xludf.DUMMYFUNCTION("CONCATENATE($B431,(VLOOKUP($C431,CATALOGOS!$F$2:$H$6,3,FALSE)),(VLOOKUP($V431,CATALOGOS!$J$2:$K$18,2,FALSE)),""-"",TO_TEXT($A431))"),"P12SI-0430")</f>
        <v>P12SI-0430</v>
      </c>
      <c r="I431" s="6"/>
      <c r="J431" s="6"/>
      <c r="K431" s="6"/>
      <c r="L431" s="36"/>
      <c r="M431" s="6" t="s">
        <v>141</v>
      </c>
      <c r="N431" s="17"/>
      <c r="O431" s="17"/>
      <c r="P431" s="17"/>
      <c r="Q431" s="35" t="s">
        <v>3082</v>
      </c>
      <c r="R431" s="6" t="s">
        <v>3083</v>
      </c>
      <c r="S431" s="6">
        <v>104001694168</v>
      </c>
      <c r="T431" s="10" t="s">
        <v>3084</v>
      </c>
      <c r="U431" s="173" t="s">
        <v>38</v>
      </c>
      <c r="V431" s="181" t="s">
        <v>1483</v>
      </c>
      <c r="W431" s="10" t="s">
        <v>1484</v>
      </c>
      <c r="X431" s="10" t="s">
        <v>1484</v>
      </c>
      <c r="Y431" s="10"/>
      <c r="Z431" s="6"/>
      <c r="AA431" s="6"/>
      <c r="AB431" s="26"/>
      <c r="AC431" s="33"/>
    </row>
    <row r="432" spans="1:29" ht="15.75" customHeight="1">
      <c r="A432" s="10" t="s">
        <v>3085</v>
      </c>
      <c r="B432" s="10" t="s">
        <v>1469</v>
      </c>
      <c r="C432" s="60" t="s">
        <v>1470</v>
      </c>
      <c r="D432" s="12"/>
      <c r="E432" s="13" t="s">
        <v>162</v>
      </c>
      <c r="F432" s="6" t="s">
        <v>285</v>
      </c>
      <c r="G432" s="6" t="str">
        <f ca="1">IFERROR(__xludf.DUMMYFUNCTION("CONCATENATE(B432,(VLOOKUP(C432,CATALOGOS!$F$2:$H$6,3,FALSE)),(VLOOKUP(V432,CATALOGOS!$J$2:$K$18,2,FALSE)),""-"",TO_TEXT(A432))"),"P12PL-0431")</f>
        <v>P12PL-0431</v>
      </c>
      <c r="H432" s="6" t="str">
        <f ca="1">IFERROR(__xludf.DUMMYFUNCTION("CONCATENATE($B432,(VLOOKUP($C432,CATALOGOS!$F$2:$H$6,3,FALSE)),(VLOOKUP($V432,CATALOGOS!$J$2:$K$18,2,FALSE)),""-"",TO_TEXT($A432))"),"P12PL-0431")</f>
        <v>P12PL-0431</v>
      </c>
      <c r="I432" s="6"/>
      <c r="J432" s="6" t="s">
        <v>3086</v>
      </c>
      <c r="K432" s="6" t="s">
        <v>3087</v>
      </c>
      <c r="L432" s="6" t="s">
        <v>3088</v>
      </c>
      <c r="M432" s="6" t="s">
        <v>141</v>
      </c>
      <c r="N432" s="17"/>
      <c r="O432" s="17"/>
      <c r="P432" s="17" t="str">
        <f t="shared" ref="P432:P793" si="5">IF(COUNTIF($M$2:$M$997,M432)&gt;1,"REPETIDO","OK")</f>
        <v>REPETIDO</v>
      </c>
      <c r="Q432" s="17" t="s">
        <v>663</v>
      </c>
      <c r="R432" s="32" t="s">
        <v>664</v>
      </c>
      <c r="S432" s="17" t="s">
        <v>3089</v>
      </c>
      <c r="T432" s="17" t="s">
        <v>3090</v>
      </c>
      <c r="U432" s="173" t="s">
        <v>38</v>
      </c>
      <c r="V432" s="11" t="s">
        <v>3091</v>
      </c>
      <c r="W432" s="20" t="s">
        <v>3092</v>
      </c>
      <c r="X432" s="20" t="s">
        <v>3092</v>
      </c>
      <c r="Y432" s="20"/>
      <c r="Z432" s="7"/>
      <c r="AA432" s="7"/>
      <c r="AB432" s="23"/>
      <c r="AC432" s="26"/>
    </row>
    <row r="433" spans="1:29" ht="15.75" customHeight="1">
      <c r="A433" s="10" t="s">
        <v>3093</v>
      </c>
      <c r="B433" s="10" t="s">
        <v>1469</v>
      </c>
      <c r="C433" s="60" t="s">
        <v>1470</v>
      </c>
      <c r="D433" s="12"/>
      <c r="E433" s="13" t="s">
        <v>353</v>
      </c>
      <c r="F433" s="43" t="s">
        <v>638</v>
      </c>
      <c r="G433" s="6" t="str">
        <f ca="1">IFERROR(__xludf.DUMMYFUNCTION("CONCATENATE(B433,(VLOOKUP(C433,CATALOGOS!$F$2:$H$6,3,FALSE)),(VLOOKUP(V433,CATALOGOS!$J$2:$K$18,2,FALSE)),""-"",TO_TEXT(A433))"),"P12PL-0432")</f>
        <v>P12PL-0432</v>
      </c>
      <c r="H433" s="6" t="str">
        <f ca="1">IFERROR(__xludf.DUMMYFUNCTION("CONCATENATE($B433,(VLOOKUP($C433,CATALOGOS!$F$2:$H$6,3,FALSE)),(VLOOKUP($V433,CATALOGOS!$J$2:$K$18,2,FALSE)),""-"",TO_TEXT($A433))"),"P12PL-0432")</f>
        <v>P12PL-0432</v>
      </c>
      <c r="I433" s="6"/>
      <c r="J433" s="6" t="s">
        <v>3094</v>
      </c>
      <c r="K433" s="6" t="s">
        <v>3095</v>
      </c>
      <c r="L433" s="6" t="s">
        <v>3096</v>
      </c>
      <c r="M433" s="6" t="s">
        <v>3097</v>
      </c>
      <c r="N433" s="17"/>
      <c r="O433" s="17"/>
      <c r="P433" s="17" t="str">
        <f t="shared" si="5"/>
        <v>OK</v>
      </c>
      <c r="Q433" s="17" t="s">
        <v>359</v>
      </c>
      <c r="R433" s="6" t="s">
        <v>360</v>
      </c>
      <c r="S433" s="17" t="s">
        <v>3098</v>
      </c>
      <c r="T433" s="17" t="s">
        <v>3099</v>
      </c>
      <c r="U433" s="173" t="s">
        <v>38</v>
      </c>
      <c r="V433" s="11" t="s">
        <v>3091</v>
      </c>
      <c r="W433" s="20" t="s">
        <v>3092</v>
      </c>
      <c r="X433" s="20" t="s">
        <v>3092</v>
      </c>
      <c r="Y433" s="20"/>
      <c r="Z433" s="7"/>
      <c r="AA433" s="7"/>
      <c r="AB433" s="23"/>
      <c r="AC433" s="26"/>
    </row>
    <row r="434" spans="1:29" ht="15.75" customHeight="1">
      <c r="A434" s="10" t="s">
        <v>3100</v>
      </c>
      <c r="B434" s="10" t="s">
        <v>1469</v>
      </c>
      <c r="C434" s="60" t="s">
        <v>1470</v>
      </c>
      <c r="D434" s="12"/>
      <c r="E434" s="13" t="s">
        <v>116</v>
      </c>
      <c r="F434" s="6" t="s">
        <v>3101</v>
      </c>
      <c r="G434" s="6" t="str">
        <f ca="1">IFERROR(__xludf.DUMMYFUNCTION("CONCATENATE(B434,(VLOOKUP(C434,CATALOGOS!$F$2:$H$6,3,FALSE)),(VLOOKUP(V434,CATALOGOS!$J$2:$K$18,2,FALSE)),""-"",TO_TEXT(A434))"),"P12PL-0433")</f>
        <v>P12PL-0433</v>
      </c>
      <c r="H434" s="6" t="str">
        <f ca="1">IFERROR(__xludf.DUMMYFUNCTION("CONCATENATE($B434,(VLOOKUP($C434,CATALOGOS!$F$2:$H$6,3,FALSE)),(VLOOKUP($V434,CATALOGOS!$J$2:$K$18,2,FALSE)),""-"",TO_TEXT($A434))"),"P12PL-0433")</f>
        <v>P12PL-0433</v>
      </c>
      <c r="I434" s="6"/>
      <c r="J434" s="6" t="s">
        <v>3102</v>
      </c>
      <c r="K434" s="6" t="s">
        <v>3103</v>
      </c>
      <c r="L434" s="6" t="s">
        <v>3104</v>
      </c>
      <c r="M434" s="6" t="s">
        <v>3105</v>
      </c>
      <c r="N434" s="17"/>
      <c r="O434" s="17"/>
      <c r="P434" s="17" t="str">
        <f t="shared" si="5"/>
        <v>OK</v>
      </c>
      <c r="Q434" s="17" t="s">
        <v>35</v>
      </c>
      <c r="R434" s="6" t="s">
        <v>35</v>
      </c>
      <c r="S434" s="17" t="s">
        <v>36</v>
      </c>
      <c r="T434" s="17" t="s">
        <v>3106</v>
      </c>
      <c r="U434" s="173" t="s">
        <v>38</v>
      </c>
      <c r="V434" s="11" t="s">
        <v>3091</v>
      </c>
      <c r="W434" s="20" t="s">
        <v>3092</v>
      </c>
      <c r="X434" s="20" t="s">
        <v>3092</v>
      </c>
      <c r="Y434" s="20"/>
      <c r="Z434" s="7"/>
      <c r="AA434" s="7"/>
      <c r="AB434" s="23"/>
      <c r="AC434" s="26"/>
    </row>
    <row r="435" spans="1:29" ht="15.75" customHeight="1">
      <c r="A435" s="10" t="s">
        <v>3107</v>
      </c>
      <c r="B435" s="10" t="s">
        <v>1469</v>
      </c>
      <c r="C435" s="60" t="s">
        <v>1470</v>
      </c>
      <c r="D435" s="12"/>
      <c r="E435" s="13" t="s">
        <v>184</v>
      </c>
      <c r="F435" s="6" t="s">
        <v>927</v>
      </c>
      <c r="G435" s="6" t="str">
        <f ca="1">IFERROR(__xludf.DUMMYFUNCTION("CONCATENATE(B435,(VLOOKUP(C435,CATALOGOS!$F$2:$H$6,3,FALSE)),(VLOOKUP(V435,CATALOGOS!$J$2:$K$18,2,FALSE)),""-"",TO_TEXT(A435))"),"P12PL-0434")</f>
        <v>P12PL-0434</v>
      </c>
      <c r="H435" s="6" t="str">
        <f ca="1">IFERROR(__xludf.DUMMYFUNCTION("CONCATENATE($B435,(VLOOKUP($C435,CATALOGOS!$F$2:$H$6,3,FALSE)),(VLOOKUP($V435,CATALOGOS!$J$2:$K$18,2,FALSE)),""-"",TO_TEXT($A435))"),"P12PL-0434")</f>
        <v>P12PL-0434</v>
      </c>
      <c r="I435" s="6"/>
      <c r="J435" s="6" t="s">
        <v>3108</v>
      </c>
      <c r="K435" s="6" t="s">
        <v>3109</v>
      </c>
      <c r="L435" s="6" t="s">
        <v>3110</v>
      </c>
      <c r="M435" s="6" t="s">
        <v>3111</v>
      </c>
      <c r="N435" s="17"/>
      <c r="O435" s="17"/>
      <c r="P435" s="17" t="str">
        <f t="shared" si="5"/>
        <v>OK</v>
      </c>
      <c r="Q435" s="17" t="s">
        <v>35</v>
      </c>
      <c r="R435" s="6" t="s">
        <v>35</v>
      </c>
      <c r="S435" s="17" t="s">
        <v>36</v>
      </c>
      <c r="T435" s="17" t="s">
        <v>3112</v>
      </c>
      <c r="U435" s="173" t="s">
        <v>38</v>
      </c>
      <c r="V435" s="11" t="s">
        <v>3091</v>
      </c>
      <c r="W435" s="20" t="s">
        <v>3092</v>
      </c>
      <c r="X435" s="20" t="s">
        <v>3092</v>
      </c>
      <c r="Y435" s="20"/>
      <c r="Z435" s="7"/>
      <c r="AA435" s="7"/>
      <c r="AB435" s="23"/>
      <c r="AC435" s="26"/>
    </row>
    <row r="436" spans="1:29" ht="15.75" customHeight="1">
      <c r="A436" s="10" t="s">
        <v>3113</v>
      </c>
      <c r="B436" s="10" t="s">
        <v>1469</v>
      </c>
      <c r="C436" s="60" t="s">
        <v>1470</v>
      </c>
      <c r="D436" s="12"/>
      <c r="E436" s="13" t="s">
        <v>378</v>
      </c>
      <c r="F436" s="6" t="s">
        <v>1306</v>
      </c>
      <c r="G436" s="6" t="str">
        <f ca="1">IFERROR(__xludf.DUMMYFUNCTION("CONCATENATE(B436,(VLOOKUP(C436,CATALOGOS!$F$2:$H$6,3,FALSE)),(VLOOKUP(V436,CATALOGOS!$J$2:$K$18,2,FALSE)),""-"",TO_TEXT(A436))"),"P12PL-0435")</f>
        <v>P12PL-0435</v>
      </c>
      <c r="H436" s="6" t="str">
        <f ca="1">IFERROR(__xludf.DUMMYFUNCTION("CONCATENATE($B436,(VLOOKUP($C436,CATALOGOS!$F$2:$H$6,3,FALSE)),(VLOOKUP($V436,CATALOGOS!$J$2:$K$18,2,FALSE)),""-"",TO_TEXT($A436))"),"P12PL-0435")</f>
        <v>P12PL-0435</v>
      </c>
      <c r="I436" s="6"/>
      <c r="J436" s="6" t="s">
        <v>3114</v>
      </c>
      <c r="K436" s="6" t="s">
        <v>3115</v>
      </c>
      <c r="L436" s="36"/>
      <c r="M436" s="6" t="s">
        <v>3116</v>
      </c>
      <c r="N436" s="17"/>
      <c r="O436" s="17"/>
      <c r="P436" s="17" t="str">
        <f t="shared" si="5"/>
        <v>OK</v>
      </c>
      <c r="Q436" s="35" t="s">
        <v>35</v>
      </c>
      <c r="R436" s="6" t="s">
        <v>35</v>
      </c>
      <c r="S436" s="10" t="s">
        <v>36</v>
      </c>
      <c r="T436" s="32" t="s">
        <v>3117</v>
      </c>
      <c r="U436" s="173" t="s">
        <v>38</v>
      </c>
      <c r="V436" s="19" t="s">
        <v>3091</v>
      </c>
      <c r="W436" s="20" t="s">
        <v>3092</v>
      </c>
      <c r="X436" s="20" t="s">
        <v>3092</v>
      </c>
      <c r="Y436" s="20"/>
      <c r="Z436" s="6"/>
      <c r="AA436" s="6"/>
      <c r="AB436" s="23"/>
      <c r="AC436" s="33"/>
    </row>
    <row r="437" spans="1:29" ht="15.75" customHeight="1">
      <c r="A437" s="10" t="s">
        <v>3118</v>
      </c>
      <c r="B437" s="10" t="s">
        <v>1469</v>
      </c>
      <c r="C437" s="60" t="s">
        <v>1470</v>
      </c>
      <c r="D437" s="12"/>
      <c r="E437" s="13" t="s">
        <v>378</v>
      </c>
      <c r="F437" s="6" t="s">
        <v>1306</v>
      </c>
      <c r="G437" s="6" t="str">
        <f ca="1">IFERROR(__xludf.DUMMYFUNCTION("CONCATENATE(B437,(VLOOKUP(C437,CATALOGOS!$F$2:$H$6,3,FALSE)),(VLOOKUP(V437,CATALOGOS!$J$2:$K$18,2,FALSE)),""-"",TO_TEXT(A437))"),"P12PL-0436")</f>
        <v>P12PL-0436</v>
      </c>
      <c r="H437" s="6" t="str">
        <f ca="1">IFERROR(__xludf.DUMMYFUNCTION("CONCATENATE($B437,(VLOOKUP($C437,CATALOGOS!$F$2:$H$6,3,FALSE)),(VLOOKUP($V437,CATALOGOS!$J$2:$K$18,2,FALSE)),""-"",TO_TEXT($A437))"),"P12PL-0436")</f>
        <v>P12PL-0436</v>
      </c>
      <c r="I437" s="6"/>
      <c r="J437" s="6" t="s">
        <v>3119</v>
      </c>
      <c r="K437" s="6" t="s">
        <v>3120</v>
      </c>
      <c r="L437" s="6" t="s">
        <v>3121</v>
      </c>
      <c r="M437" s="6" t="s">
        <v>3122</v>
      </c>
      <c r="N437" s="17"/>
      <c r="O437" s="17"/>
      <c r="P437" s="17" t="str">
        <f t="shared" si="5"/>
        <v>OK</v>
      </c>
      <c r="Q437" s="17" t="s">
        <v>35</v>
      </c>
      <c r="R437" s="6" t="s">
        <v>35</v>
      </c>
      <c r="S437" s="17" t="s">
        <v>36</v>
      </c>
      <c r="T437" s="17" t="s">
        <v>3123</v>
      </c>
      <c r="U437" s="173" t="s">
        <v>38</v>
      </c>
      <c r="V437" s="11" t="s">
        <v>3091</v>
      </c>
      <c r="W437" s="20" t="s">
        <v>3092</v>
      </c>
      <c r="X437" s="20" t="s">
        <v>3092</v>
      </c>
      <c r="Y437" s="20"/>
      <c r="Z437" s="7"/>
      <c r="AA437" s="7"/>
      <c r="AB437" s="23"/>
      <c r="AC437" s="26"/>
    </row>
    <row r="438" spans="1:29" ht="15.75" customHeight="1">
      <c r="A438" s="10" t="s">
        <v>3124</v>
      </c>
      <c r="B438" s="10" t="s">
        <v>1469</v>
      </c>
      <c r="C438" s="60" t="s">
        <v>1470</v>
      </c>
      <c r="D438" s="12"/>
      <c r="E438" s="13" t="s">
        <v>501</v>
      </c>
      <c r="F438" s="6" t="s">
        <v>3125</v>
      </c>
      <c r="G438" s="6" t="str">
        <f ca="1">IFERROR(__xludf.DUMMYFUNCTION("CONCATENATE(B438,(VLOOKUP(C438,CATALOGOS!$F$2:$H$6,3,FALSE)),(VLOOKUP(V438,CATALOGOS!$J$2:$K$18,2,FALSE)),""-"",TO_TEXT(A438))"),"P12PL-0437")</f>
        <v>P12PL-0437</v>
      </c>
      <c r="H438" s="6" t="str">
        <f ca="1">IFERROR(__xludf.DUMMYFUNCTION("CONCATENATE($B438,(VLOOKUP($C438,CATALOGOS!$F$2:$H$6,3,FALSE)),(VLOOKUP($V438,CATALOGOS!$J$2:$K$18,2,FALSE)),""-"",TO_TEXT($A438))"),"P12PL-0437")</f>
        <v>P12PL-0437</v>
      </c>
      <c r="I438" s="6"/>
      <c r="J438" s="6" t="s">
        <v>3126</v>
      </c>
      <c r="K438" s="6" t="s">
        <v>3127</v>
      </c>
      <c r="L438" s="6" t="s">
        <v>3128</v>
      </c>
      <c r="M438" s="6" t="s">
        <v>3129</v>
      </c>
      <c r="N438" s="17"/>
      <c r="O438" s="17"/>
      <c r="P438" s="17" t="str">
        <f t="shared" si="5"/>
        <v>OK</v>
      </c>
      <c r="Q438" s="17" t="s">
        <v>35</v>
      </c>
      <c r="R438" s="6" t="s">
        <v>35</v>
      </c>
      <c r="S438" s="17" t="s">
        <v>36</v>
      </c>
      <c r="T438" s="17" t="s">
        <v>3130</v>
      </c>
      <c r="U438" s="173" t="s">
        <v>38</v>
      </c>
      <c r="V438" s="11" t="s">
        <v>3091</v>
      </c>
      <c r="W438" s="20" t="s">
        <v>3092</v>
      </c>
      <c r="X438" s="20" t="s">
        <v>3092</v>
      </c>
      <c r="Y438" s="20"/>
      <c r="Z438" s="7"/>
      <c r="AA438" s="7"/>
      <c r="AB438" s="23"/>
      <c r="AC438" s="26"/>
    </row>
    <row r="439" spans="1:29" ht="15.75" customHeight="1">
      <c r="A439" s="10" t="s">
        <v>3131</v>
      </c>
      <c r="B439" s="10" t="s">
        <v>1469</v>
      </c>
      <c r="C439" s="60" t="s">
        <v>1470</v>
      </c>
      <c r="D439" s="12"/>
      <c r="E439" s="13" t="s">
        <v>62</v>
      </c>
      <c r="F439" s="6" t="s">
        <v>3132</v>
      </c>
      <c r="G439" s="6" t="str">
        <f ca="1">IFERROR(__xludf.DUMMYFUNCTION("CONCATENATE(B439,(VLOOKUP(C439,CATALOGOS!$F$2:$H$6,3,FALSE)),(VLOOKUP(V439,CATALOGOS!$J$2:$K$18,2,FALSE)),""-"",TO_TEXT(A439))"),"P12PL-0438")</f>
        <v>P12PL-0438</v>
      </c>
      <c r="H439" s="6" t="str">
        <f ca="1">IFERROR(__xludf.DUMMYFUNCTION("CONCATENATE($B439,(VLOOKUP($C439,CATALOGOS!$F$2:$H$6,3,FALSE)),(VLOOKUP($V439,CATALOGOS!$J$2:$K$18,2,FALSE)),""-"",TO_TEXT($A439))"),"P12PL-0438")</f>
        <v>P12PL-0438</v>
      </c>
      <c r="I439" s="6"/>
      <c r="J439" s="6" t="s">
        <v>3133</v>
      </c>
      <c r="K439" s="6" t="s">
        <v>3134</v>
      </c>
      <c r="L439" s="6" t="s">
        <v>3135</v>
      </c>
      <c r="M439" s="43" t="s">
        <v>3136</v>
      </c>
      <c r="N439" s="17"/>
      <c r="O439" s="17"/>
      <c r="P439" s="17" t="str">
        <f t="shared" si="5"/>
        <v>OK</v>
      </c>
      <c r="Q439" s="17" t="s">
        <v>35</v>
      </c>
      <c r="R439" s="6" t="s">
        <v>35</v>
      </c>
      <c r="S439" s="17" t="s">
        <v>36</v>
      </c>
      <c r="T439" s="17" t="s">
        <v>3137</v>
      </c>
      <c r="U439" s="173" t="s">
        <v>38</v>
      </c>
      <c r="V439" s="11" t="s">
        <v>3091</v>
      </c>
      <c r="W439" s="20" t="s">
        <v>3092</v>
      </c>
      <c r="X439" s="20" t="s">
        <v>3092</v>
      </c>
      <c r="Y439" s="20"/>
      <c r="Z439" s="7"/>
      <c r="AA439" s="7"/>
      <c r="AB439" s="23"/>
      <c r="AC439" s="26"/>
    </row>
    <row r="440" spans="1:29" ht="15.75" customHeight="1">
      <c r="A440" s="10" t="s">
        <v>3138</v>
      </c>
      <c r="B440" s="10" t="s">
        <v>1469</v>
      </c>
      <c r="C440" s="60" t="s">
        <v>1470</v>
      </c>
      <c r="D440" s="12"/>
      <c r="E440" s="13" t="s">
        <v>43</v>
      </c>
      <c r="F440" s="6" t="s">
        <v>457</v>
      </c>
      <c r="G440" s="6" t="str">
        <f ca="1">IFERROR(__xludf.DUMMYFUNCTION("CONCATENATE(B440,(VLOOKUP(C440,CATALOGOS!$F$2:$H$6,3,FALSE)),(VLOOKUP(V440,CATALOGOS!$J$2:$K$18,2,FALSE)),""-"",TO_TEXT(A440))"),"P12PL-0439")</f>
        <v>P12PL-0439</v>
      </c>
      <c r="H440" s="6" t="str">
        <f ca="1">IFERROR(__xludf.DUMMYFUNCTION("CONCATENATE($B440,(VLOOKUP($C440,CATALOGOS!$F$2:$H$6,3,FALSE)),(VLOOKUP($V440,CATALOGOS!$J$2:$K$18,2,FALSE)),""-"",TO_TEXT($A440))"),"P12PL-0439")</f>
        <v>P12PL-0439</v>
      </c>
      <c r="I440" s="6"/>
      <c r="J440" s="6" t="s">
        <v>3139</v>
      </c>
      <c r="K440" s="6" t="s">
        <v>3140</v>
      </c>
      <c r="L440" s="6" t="s">
        <v>3141</v>
      </c>
      <c r="M440" s="6" t="s">
        <v>3142</v>
      </c>
      <c r="N440" s="17"/>
      <c r="O440" s="17"/>
      <c r="P440" s="17" t="str">
        <f t="shared" si="5"/>
        <v>OK</v>
      </c>
      <c r="Q440" s="17" t="s">
        <v>406</v>
      </c>
      <c r="R440" s="6" t="s">
        <v>407</v>
      </c>
      <c r="S440" s="17" t="s">
        <v>36</v>
      </c>
      <c r="T440" s="17" t="s">
        <v>7314</v>
      </c>
      <c r="U440" s="173" t="s">
        <v>2544</v>
      </c>
      <c r="V440" s="19" t="s">
        <v>3091</v>
      </c>
      <c r="W440" s="20" t="s">
        <v>3092</v>
      </c>
      <c r="X440" s="20" t="s">
        <v>3092</v>
      </c>
      <c r="Y440" s="20"/>
      <c r="Z440" s="7"/>
      <c r="AA440" s="7"/>
      <c r="AB440" s="23"/>
      <c r="AC440" s="26"/>
    </row>
    <row r="441" spans="1:29" ht="15.75" customHeight="1">
      <c r="A441" s="10" t="s">
        <v>3144</v>
      </c>
      <c r="B441" s="10" t="s">
        <v>1469</v>
      </c>
      <c r="C441" s="60" t="s">
        <v>1470</v>
      </c>
      <c r="D441" s="12"/>
      <c r="E441" s="13" t="s">
        <v>378</v>
      </c>
      <c r="F441" s="6" t="s">
        <v>3145</v>
      </c>
      <c r="G441" s="6" t="str">
        <f ca="1">IFERROR(__xludf.DUMMYFUNCTION("CONCATENATE(B441,(VLOOKUP(C441,CATALOGOS!$F$2:$H$6,3,FALSE)),(VLOOKUP(V441,CATALOGOS!$J$2:$K$18,2,FALSE)),""-"",TO_TEXT(A441))"),"P12PL-0440")</f>
        <v>P12PL-0440</v>
      </c>
      <c r="H441" s="6" t="str">
        <f ca="1">IFERROR(__xludf.DUMMYFUNCTION("CONCATENATE($B441,(VLOOKUP($C441,CATALOGOS!$F$2:$H$6,3,FALSE)),(VLOOKUP($V441,CATALOGOS!$J$2:$K$18,2,FALSE)),""-"",TO_TEXT($A441))"),"P12PL-0440")</f>
        <v>P12PL-0440</v>
      </c>
      <c r="I441" s="6"/>
      <c r="J441" s="6" t="s">
        <v>3146</v>
      </c>
      <c r="K441" s="6" t="s">
        <v>3147</v>
      </c>
      <c r="L441" s="6" t="s">
        <v>3148</v>
      </c>
      <c r="M441" s="43" t="s">
        <v>3149</v>
      </c>
      <c r="N441" s="17"/>
      <c r="O441" s="17"/>
      <c r="P441" s="17" t="str">
        <f t="shared" si="5"/>
        <v>OK</v>
      </c>
      <c r="Q441" s="17" t="s">
        <v>35</v>
      </c>
      <c r="R441" s="6" t="s">
        <v>35</v>
      </c>
      <c r="S441" s="17" t="s">
        <v>36</v>
      </c>
      <c r="T441" s="17" t="s">
        <v>3150</v>
      </c>
      <c r="U441" s="173" t="s">
        <v>38</v>
      </c>
      <c r="V441" s="11" t="s">
        <v>3091</v>
      </c>
      <c r="W441" s="20" t="s">
        <v>3092</v>
      </c>
      <c r="X441" s="20" t="s">
        <v>3092</v>
      </c>
      <c r="Y441" s="20"/>
      <c r="Z441" s="7"/>
      <c r="AA441" s="7"/>
      <c r="AB441" s="23"/>
      <c r="AC441" s="26"/>
    </row>
    <row r="442" spans="1:29" ht="15.75" customHeight="1">
      <c r="A442" s="10" t="s">
        <v>3152</v>
      </c>
      <c r="B442" s="10" t="s">
        <v>1469</v>
      </c>
      <c r="C442" s="60" t="s">
        <v>1470</v>
      </c>
      <c r="D442" s="12"/>
      <c r="E442" s="13" t="s">
        <v>199</v>
      </c>
      <c r="F442" s="6" t="s">
        <v>199</v>
      </c>
      <c r="G442" s="6" t="str">
        <f ca="1">IFERROR(__xludf.DUMMYFUNCTION("CONCATENATE(B442,(VLOOKUP(C442,CATALOGOS!$F$2:$H$6,3,FALSE)),(VLOOKUP(V442,CATALOGOS!$J$2:$K$18,2,FALSE)),""-"",TO_TEXT(A442))"),"P12PL-0441")</f>
        <v>P12PL-0441</v>
      </c>
      <c r="H442" s="6" t="str">
        <f ca="1">IFERROR(__xludf.DUMMYFUNCTION("CONCATENATE($B442,(VLOOKUP($C442,CATALOGOS!$F$2:$H$6,3,FALSE)),(VLOOKUP($V442,CATALOGOS!$J$2:$K$18,2,FALSE)),""-"",TO_TEXT($A442))"),"P12PL-0441")</f>
        <v>P12PL-0441</v>
      </c>
      <c r="I442" s="6"/>
      <c r="J442" s="6" t="s">
        <v>3153</v>
      </c>
      <c r="K442" s="6" t="s">
        <v>3154</v>
      </c>
      <c r="L442" s="6" t="s">
        <v>3155</v>
      </c>
      <c r="M442" s="6" t="s">
        <v>3156</v>
      </c>
      <c r="N442" s="17"/>
      <c r="O442" s="17"/>
      <c r="P442" s="17" t="str">
        <f t="shared" si="5"/>
        <v>OK</v>
      </c>
      <c r="Q442" s="17" t="s">
        <v>157</v>
      </c>
      <c r="R442" s="6">
        <v>2378</v>
      </c>
      <c r="S442" s="17" t="s">
        <v>3157</v>
      </c>
      <c r="T442" s="10" t="s">
        <v>3158</v>
      </c>
      <c r="U442" s="173" t="s">
        <v>38</v>
      </c>
      <c r="V442" s="11" t="s">
        <v>3091</v>
      </c>
      <c r="W442" s="20" t="s">
        <v>3092</v>
      </c>
      <c r="X442" s="20" t="s">
        <v>3092</v>
      </c>
      <c r="Y442" s="20"/>
      <c r="Z442" s="7"/>
      <c r="AA442" s="7"/>
      <c r="AB442" s="23"/>
      <c r="AC442" s="26"/>
    </row>
    <row r="443" spans="1:29" ht="15.75" customHeight="1">
      <c r="A443" s="10" t="s">
        <v>3159</v>
      </c>
      <c r="B443" s="10" t="s">
        <v>1469</v>
      </c>
      <c r="C443" s="60" t="s">
        <v>1470</v>
      </c>
      <c r="D443" s="12"/>
      <c r="E443" s="13" t="s">
        <v>151</v>
      </c>
      <c r="F443" s="6" t="s">
        <v>714</v>
      </c>
      <c r="G443" s="6" t="str">
        <f ca="1">IFERROR(__xludf.DUMMYFUNCTION("CONCATENATE(B443,(VLOOKUP(C443,CATALOGOS!$F$2:$H$6,3,FALSE)),(VLOOKUP(V443,CATALOGOS!$J$2:$K$18,2,FALSE)),""-"",TO_TEXT(A443))"),"P12PL-0442")</f>
        <v>P12PL-0442</v>
      </c>
      <c r="H443" s="6" t="str">
        <f ca="1">IFERROR(__xludf.DUMMYFUNCTION("CONCATENATE($B443,(VLOOKUP($C443,CATALOGOS!$F$2:$H$6,3,FALSE)),(VLOOKUP($V443,CATALOGOS!$J$2:$K$18,2,FALSE)),""-"",TO_TEXT($A443))"),"P12PL-0442")</f>
        <v>P12PL-0442</v>
      </c>
      <c r="I443" s="6"/>
      <c r="J443" s="6" t="s">
        <v>3160</v>
      </c>
      <c r="K443" s="6" t="s">
        <v>3161</v>
      </c>
      <c r="L443" s="6" t="s">
        <v>3162</v>
      </c>
      <c r="M443" s="6" t="s">
        <v>3163</v>
      </c>
      <c r="N443" s="17"/>
      <c r="O443" s="17"/>
      <c r="P443" s="17" t="str">
        <f t="shared" si="5"/>
        <v>OK</v>
      </c>
      <c r="Q443" s="17" t="s">
        <v>157</v>
      </c>
      <c r="R443" s="6" t="s">
        <v>158</v>
      </c>
      <c r="S443" s="17" t="s">
        <v>3164</v>
      </c>
      <c r="T443" s="10" t="s">
        <v>3165</v>
      </c>
      <c r="U443" s="173" t="s">
        <v>38</v>
      </c>
      <c r="V443" s="174" t="s">
        <v>3091</v>
      </c>
      <c r="W443" s="20" t="s">
        <v>3092</v>
      </c>
      <c r="X443" s="20" t="s">
        <v>3092</v>
      </c>
      <c r="Y443" s="20"/>
      <c r="Z443" s="7"/>
      <c r="AA443" s="7"/>
      <c r="AB443" s="23"/>
      <c r="AC443" s="26"/>
    </row>
    <row r="444" spans="1:29" ht="15.75" customHeight="1">
      <c r="A444" s="10" t="s">
        <v>3166</v>
      </c>
      <c r="B444" s="10" t="s">
        <v>1469</v>
      </c>
      <c r="C444" s="60" t="s">
        <v>1470</v>
      </c>
      <c r="D444" s="12"/>
      <c r="E444" s="13" t="s">
        <v>116</v>
      </c>
      <c r="F444" s="6" t="s">
        <v>3167</v>
      </c>
      <c r="G444" s="6" t="str">
        <f ca="1">IFERROR(__xludf.DUMMYFUNCTION("CONCATENATE(B444,(VLOOKUP(C444,CATALOGOS!$F$2:$H$6,3,FALSE)),(VLOOKUP(V444,CATALOGOS!$J$2:$K$18,2,FALSE)),""-"",TO_TEXT(A444))"),"P12SI-0443")</f>
        <v>P12SI-0443</v>
      </c>
      <c r="H444" s="6" t="str">
        <f ca="1">IFERROR(__xludf.DUMMYFUNCTION("CONCATENATE($B444,(VLOOKUP($C444,CATALOGOS!$F$2:$H$6,3,FALSE)),(VLOOKUP($V444,CATALOGOS!$J$2:$K$18,2,FALSE)),""-"",TO_TEXT($A444))"),"P12SI-0443")</f>
        <v>P12SI-0443</v>
      </c>
      <c r="I444" s="6"/>
      <c r="J444" s="6" t="s">
        <v>3168</v>
      </c>
      <c r="K444" s="6" t="s">
        <v>3169</v>
      </c>
      <c r="L444" s="6" t="s">
        <v>3170</v>
      </c>
      <c r="M444" s="6" t="s">
        <v>3171</v>
      </c>
      <c r="N444" s="17"/>
      <c r="O444" s="17"/>
      <c r="P444" s="17" t="str">
        <f t="shared" si="5"/>
        <v>OK</v>
      </c>
      <c r="Q444" s="17" t="s">
        <v>35</v>
      </c>
      <c r="R444" s="6" t="s">
        <v>35</v>
      </c>
      <c r="S444" s="17" t="s">
        <v>36</v>
      </c>
      <c r="T444" s="17" t="s">
        <v>3172</v>
      </c>
      <c r="U444" s="173" t="s">
        <v>38</v>
      </c>
      <c r="V444" s="181" t="s">
        <v>1483</v>
      </c>
      <c r="W444" s="20" t="s">
        <v>3173</v>
      </c>
      <c r="X444" s="20" t="s">
        <v>3173</v>
      </c>
      <c r="Y444" s="20"/>
      <c r="Z444" s="6"/>
      <c r="AA444" s="6"/>
      <c r="AB444" s="23"/>
      <c r="AC444" s="33"/>
    </row>
    <row r="445" spans="1:29" ht="15.75" customHeight="1">
      <c r="A445" s="10" t="s">
        <v>3174</v>
      </c>
      <c r="B445" s="10" t="s">
        <v>1469</v>
      </c>
      <c r="C445" s="60" t="s">
        <v>1470</v>
      </c>
      <c r="D445" s="12"/>
      <c r="E445" s="13" t="s">
        <v>378</v>
      </c>
      <c r="F445" s="6" t="s">
        <v>3175</v>
      </c>
      <c r="G445" s="6" t="str">
        <f ca="1">IFERROR(__xludf.DUMMYFUNCTION("CONCATENATE(B445,(VLOOKUP(C445,CATALOGOS!$F$2:$H$6,3,FALSE)),(VLOOKUP(V445,CATALOGOS!$J$2:$K$18,2,FALSE)),""-"",TO_TEXT(A445))"),"P12PL-0444")</f>
        <v>P12PL-0444</v>
      </c>
      <c r="H445" s="6" t="str">
        <f ca="1">IFERROR(__xludf.DUMMYFUNCTION("CONCATENATE($B445,(VLOOKUP($C445,CATALOGOS!$F$2:$H$6,3,FALSE)),(VLOOKUP($V445,CATALOGOS!$J$2:$K$18,2,FALSE)),""-"",TO_TEXT($A445))"),"P12PL-0444")</f>
        <v>P12PL-0444</v>
      </c>
      <c r="I445" s="6"/>
      <c r="J445" s="6" t="s">
        <v>3176</v>
      </c>
      <c r="K445" s="6" t="s">
        <v>3177</v>
      </c>
      <c r="L445" s="36"/>
      <c r="M445" s="6" t="s">
        <v>141</v>
      </c>
      <c r="N445" s="17"/>
      <c r="O445" s="17"/>
      <c r="P445" s="17" t="str">
        <f t="shared" si="5"/>
        <v>REPETIDO</v>
      </c>
      <c r="Q445" s="35" t="s">
        <v>35</v>
      </c>
      <c r="R445" s="6" t="s">
        <v>35</v>
      </c>
      <c r="S445" s="10" t="s">
        <v>36</v>
      </c>
      <c r="T445" s="32" t="s">
        <v>85</v>
      </c>
      <c r="U445" s="173" t="s">
        <v>38</v>
      </c>
      <c r="V445" s="11" t="s">
        <v>3091</v>
      </c>
      <c r="W445" s="20" t="s">
        <v>3092</v>
      </c>
      <c r="X445" s="20" t="s">
        <v>3092</v>
      </c>
      <c r="Y445" s="20"/>
      <c r="Z445" s="6"/>
      <c r="AA445" s="6"/>
      <c r="AB445" s="23"/>
      <c r="AC445" s="33"/>
    </row>
    <row r="446" spans="1:29" ht="15.75" customHeight="1">
      <c r="A446" s="10" t="s">
        <v>3178</v>
      </c>
      <c r="B446" s="10" t="s">
        <v>1469</v>
      </c>
      <c r="C446" s="60" t="s">
        <v>1470</v>
      </c>
      <c r="D446" s="38"/>
      <c r="E446" s="13" t="s">
        <v>353</v>
      </c>
      <c r="F446" s="6" t="s">
        <v>638</v>
      </c>
      <c r="G446" s="6" t="str">
        <f ca="1">IFERROR(__xludf.DUMMYFUNCTION("CONCATENATE(B446,(VLOOKUP(C446,CATALOGOS!$F$2:$H$6,3,FALSE)),(VLOOKUP(V446,CATALOGOS!$J$2:$K$18,2,FALSE)),""-"",TO_TEXT(A446))"),"P12PL-0445")</f>
        <v>P12PL-0445</v>
      </c>
      <c r="H446" s="6" t="str">
        <f ca="1">IFERROR(__xludf.DUMMYFUNCTION("CONCATENATE($B446,(VLOOKUP($C446,CATALOGOS!$F$2:$H$6,3,FALSE)),(VLOOKUP($V446,CATALOGOS!$J$2:$K$18,2,FALSE)),""-"",TO_TEXT($A446))"),"P12PL-0445")</f>
        <v>P12PL-0445</v>
      </c>
      <c r="I446" s="6"/>
      <c r="J446" s="6" t="s">
        <v>3179</v>
      </c>
      <c r="K446" s="6" t="s">
        <v>3180</v>
      </c>
      <c r="L446" s="6" t="s">
        <v>3181</v>
      </c>
      <c r="M446" s="6" t="s">
        <v>3182</v>
      </c>
      <c r="N446" s="17"/>
      <c r="O446" s="17"/>
      <c r="P446" s="17" t="str">
        <f t="shared" si="5"/>
        <v>OK</v>
      </c>
      <c r="Q446" s="17" t="s">
        <v>359</v>
      </c>
      <c r="R446" s="6" t="s">
        <v>360</v>
      </c>
      <c r="S446" s="6">
        <v>161039232</v>
      </c>
      <c r="T446" s="32" t="s">
        <v>3183</v>
      </c>
      <c r="U446" s="184" t="s">
        <v>971</v>
      </c>
      <c r="V446" s="11" t="s">
        <v>3091</v>
      </c>
      <c r="W446" s="20" t="s">
        <v>3092</v>
      </c>
      <c r="X446" s="20" t="s">
        <v>3092</v>
      </c>
      <c r="Y446" s="20"/>
      <c r="Z446" s="36"/>
      <c r="AA446" s="36"/>
      <c r="AB446" s="26"/>
      <c r="AC446" s="33"/>
    </row>
    <row r="447" spans="1:29" ht="15.75" customHeight="1">
      <c r="A447" s="10" t="s">
        <v>3184</v>
      </c>
      <c r="B447" s="10" t="s">
        <v>1469</v>
      </c>
      <c r="C447" s="60" t="s">
        <v>1470</v>
      </c>
      <c r="D447" s="12"/>
      <c r="E447" s="13" t="s">
        <v>93</v>
      </c>
      <c r="F447" s="6" t="s">
        <v>1739</v>
      </c>
      <c r="G447" s="6" t="str">
        <f ca="1">IFERROR(__xludf.DUMMYFUNCTION("CONCATENATE(B447,(VLOOKUP(C447,CATALOGOS!$F$2:$H$6,3,FALSE)),(VLOOKUP(V447,CATALOGOS!$J$2:$K$18,2,FALSE)),""-"",TO_TEXT(A447))"),"P12PL-0446")</f>
        <v>P12PL-0446</v>
      </c>
      <c r="H447" s="6" t="str">
        <f ca="1">IFERROR(__xludf.DUMMYFUNCTION("CONCATENATE($B447,(VLOOKUP($C447,CATALOGOS!$F$2:$H$6,3,FALSE)),(VLOOKUP($V447,CATALOGOS!$J$2:$K$18,2,FALSE)),""-"",TO_TEXT($A447))"),"P12PL-0446")</f>
        <v>P12PL-0446</v>
      </c>
      <c r="I447" s="6"/>
      <c r="J447" s="6" t="s">
        <v>3185</v>
      </c>
      <c r="K447" s="6" t="s">
        <v>3186</v>
      </c>
      <c r="L447" s="6" t="s">
        <v>3187</v>
      </c>
      <c r="M447" s="6" t="s">
        <v>3188</v>
      </c>
      <c r="N447" s="17"/>
      <c r="O447" s="17"/>
      <c r="P447" s="17" t="str">
        <f t="shared" si="5"/>
        <v>OK</v>
      </c>
      <c r="Q447" s="17" t="s">
        <v>35</v>
      </c>
      <c r="R447" s="6" t="s">
        <v>35</v>
      </c>
      <c r="S447" s="17" t="s">
        <v>36</v>
      </c>
      <c r="T447" s="17" t="s">
        <v>3189</v>
      </c>
      <c r="U447" s="173" t="s">
        <v>38</v>
      </c>
      <c r="V447" s="11" t="s">
        <v>3091</v>
      </c>
      <c r="W447" s="22" t="s">
        <v>3151</v>
      </c>
      <c r="X447" s="22" t="s">
        <v>3151</v>
      </c>
      <c r="Y447" s="22"/>
      <c r="Z447" s="7"/>
      <c r="AA447" s="7"/>
      <c r="AB447" s="23"/>
      <c r="AC447" s="26"/>
    </row>
    <row r="448" spans="1:29" ht="15.75" customHeight="1">
      <c r="A448" s="10" t="s">
        <v>3190</v>
      </c>
      <c r="B448" s="10" t="s">
        <v>1469</v>
      </c>
      <c r="C448" s="60" t="s">
        <v>1470</v>
      </c>
      <c r="D448" s="12"/>
      <c r="E448" s="13" t="s">
        <v>116</v>
      </c>
      <c r="F448" s="43" t="s">
        <v>117</v>
      </c>
      <c r="G448" s="6" t="str">
        <f ca="1">IFERROR(__xludf.DUMMYFUNCTION("CONCATENATE(B448,(VLOOKUP(C448,CATALOGOS!$F$2:$H$6,3,FALSE)),(VLOOKUP(V448,CATALOGOS!$J$2:$K$18,2,FALSE)),""-"",TO_TEXT(A448))"),"P12PL-0447")</f>
        <v>P12PL-0447</v>
      </c>
      <c r="H448" s="6" t="str">
        <f ca="1">IFERROR(__xludf.DUMMYFUNCTION("CONCATENATE($B448,(VLOOKUP($C448,CATALOGOS!$F$2:$H$6,3,FALSE)),(VLOOKUP($V448,CATALOGOS!$J$2:$K$18,2,FALSE)),""-"",TO_TEXT($A448))"),"P12PL-0447")</f>
        <v>P12PL-0447</v>
      </c>
      <c r="I448" s="6"/>
      <c r="J448" s="6" t="s">
        <v>3191</v>
      </c>
      <c r="K448" s="6" t="s">
        <v>3192</v>
      </c>
      <c r="L448" s="6" t="s">
        <v>3193</v>
      </c>
      <c r="M448" s="6" t="s">
        <v>3194</v>
      </c>
      <c r="N448" s="17"/>
      <c r="O448" s="17"/>
      <c r="P448" s="17" t="str">
        <f t="shared" si="5"/>
        <v>OK</v>
      </c>
      <c r="Q448" s="17" t="s">
        <v>35</v>
      </c>
      <c r="R448" s="6" t="s">
        <v>35</v>
      </c>
      <c r="S448" s="17" t="s">
        <v>36</v>
      </c>
      <c r="T448" s="17" t="s">
        <v>3195</v>
      </c>
      <c r="U448" s="173" t="s">
        <v>38</v>
      </c>
      <c r="V448" s="11" t="s">
        <v>3091</v>
      </c>
      <c r="W448" s="22" t="s">
        <v>3151</v>
      </c>
      <c r="X448" s="22" t="s">
        <v>3151</v>
      </c>
      <c r="Y448" s="22"/>
      <c r="Z448" s="7"/>
      <c r="AA448" s="7"/>
      <c r="AB448" s="23"/>
      <c r="AC448" s="26"/>
    </row>
    <row r="449" spans="1:29" ht="15.75" customHeight="1">
      <c r="A449" s="10" t="s">
        <v>3196</v>
      </c>
      <c r="B449" s="10" t="s">
        <v>1469</v>
      </c>
      <c r="C449" s="60" t="s">
        <v>1470</v>
      </c>
      <c r="D449" s="12"/>
      <c r="E449" s="13" t="s">
        <v>199</v>
      </c>
      <c r="F449" s="6" t="s">
        <v>199</v>
      </c>
      <c r="G449" s="6" t="str">
        <f ca="1">IFERROR(__xludf.DUMMYFUNCTION("CONCATENATE(B449,(VLOOKUP(C449,CATALOGOS!$F$2:$H$6,3,FALSE)),(VLOOKUP(V449,CATALOGOS!$J$2:$K$18,2,FALSE)),""-"",TO_TEXT(A449))"),"P12PL-0448")</f>
        <v>P12PL-0448</v>
      </c>
      <c r="H449" s="6" t="str">
        <f ca="1">IFERROR(__xludf.DUMMYFUNCTION("CONCATENATE($B449,(VLOOKUP($C449,CATALOGOS!$F$2:$H$6,3,FALSE)),(VLOOKUP($V449,CATALOGOS!$J$2:$K$18,2,FALSE)),""-"",TO_TEXT($A449))"),"P12PL-0448")</f>
        <v>P12PL-0448</v>
      </c>
      <c r="I449" s="6"/>
      <c r="J449" s="6" t="s">
        <v>3197</v>
      </c>
      <c r="K449" s="6" t="s">
        <v>3198</v>
      </c>
      <c r="L449" s="6" t="s">
        <v>3199</v>
      </c>
      <c r="M449" s="6" t="s">
        <v>3200</v>
      </c>
      <c r="N449" s="17"/>
      <c r="O449" s="17"/>
      <c r="P449" s="17" t="str">
        <f t="shared" si="5"/>
        <v>OK</v>
      </c>
      <c r="Q449" s="17" t="s">
        <v>205</v>
      </c>
      <c r="R449" s="6" t="s">
        <v>794</v>
      </c>
      <c r="S449" s="17" t="s">
        <v>3201</v>
      </c>
      <c r="T449" s="17" t="s">
        <v>3202</v>
      </c>
      <c r="U449" s="173" t="s">
        <v>38</v>
      </c>
      <c r="V449" s="11" t="s">
        <v>3091</v>
      </c>
      <c r="W449" s="22" t="s">
        <v>3151</v>
      </c>
      <c r="X449" s="22" t="s">
        <v>3151</v>
      </c>
      <c r="Y449" s="22"/>
      <c r="Z449" s="7"/>
      <c r="AA449" s="7"/>
      <c r="AB449" s="23"/>
      <c r="AC449" s="26"/>
    </row>
    <row r="450" spans="1:29" ht="15.75" customHeight="1">
      <c r="A450" s="10" t="s">
        <v>3203</v>
      </c>
      <c r="B450" s="10" t="s">
        <v>1469</v>
      </c>
      <c r="C450" s="60" t="s">
        <v>1470</v>
      </c>
      <c r="D450" s="12"/>
      <c r="E450" s="13" t="s">
        <v>248</v>
      </c>
      <c r="F450" s="43" t="s">
        <v>248</v>
      </c>
      <c r="G450" s="6" t="str">
        <f ca="1">IFERROR(__xludf.DUMMYFUNCTION("CONCATENATE(B450,(VLOOKUP(C450,CATALOGOS!$F$2:$H$6,3,FALSE)),(VLOOKUP(V450,CATALOGOS!$J$2:$K$18,2,FALSE)),""-"",TO_TEXT(A450))"),"P12PL-0449")</f>
        <v>P12PL-0449</v>
      </c>
      <c r="H450" s="6" t="str">
        <f ca="1">IFERROR(__xludf.DUMMYFUNCTION("CONCATENATE($B450,(VLOOKUP($C450,CATALOGOS!$F$2:$H$6,3,FALSE)),(VLOOKUP($V450,CATALOGOS!$J$2:$K$18,2,FALSE)),""-"",TO_TEXT($A450))"),"P12PL-0449")</f>
        <v>P12PL-0449</v>
      </c>
      <c r="I450" s="6"/>
      <c r="J450" s="6" t="s">
        <v>3204</v>
      </c>
      <c r="K450" s="6" t="s">
        <v>3205</v>
      </c>
      <c r="L450" s="6" t="s">
        <v>3206</v>
      </c>
      <c r="M450" s="6" t="s">
        <v>3207</v>
      </c>
      <c r="N450" s="17"/>
      <c r="O450" s="17"/>
      <c r="P450" s="17" t="str">
        <f t="shared" si="5"/>
        <v>OK</v>
      </c>
      <c r="Q450" s="17" t="s">
        <v>978</v>
      </c>
      <c r="R450" s="6" t="s">
        <v>979</v>
      </c>
      <c r="S450" s="17" t="s">
        <v>36</v>
      </c>
      <c r="T450" s="17" t="s">
        <v>3208</v>
      </c>
      <c r="U450" s="173" t="s">
        <v>38</v>
      </c>
      <c r="V450" s="11" t="s">
        <v>3091</v>
      </c>
      <c r="W450" s="22" t="s">
        <v>3151</v>
      </c>
      <c r="X450" s="22" t="s">
        <v>3151</v>
      </c>
      <c r="Y450" s="22"/>
      <c r="Z450" s="7"/>
      <c r="AA450" s="7"/>
      <c r="AB450" s="23"/>
      <c r="AC450" s="26"/>
    </row>
    <row r="451" spans="1:29" ht="15.75" customHeight="1">
      <c r="A451" s="10" t="s">
        <v>3209</v>
      </c>
      <c r="B451" s="10" t="s">
        <v>1469</v>
      </c>
      <c r="C451" s="60" t="s">
        <v>1470</v>
      </c>
      <c r="D451" s="12"/>
      <c r="E451" s="13" t="s">
        <v>1240</v>
      </c>
      <c r="F451" s="43" t="s">
        <v>278</v>
      </c>
      <c r="G451" s="6" t="str">
        <f ca="1">IFERROR(__xludf.DUMMYFUNCTION("CONCATENATE(B451,(VLOOKUP(C451,CATALOGOS!$F$2:$H$6,3,FALSE)),(VLOOKUP(V451,CATALOGOS!$J$2:$K$18,2,FALSE)),""-"",TO_TEXT(A451))"),"P12PL-0450")</f>
        <v>P12PL-0450</v>
      </c>
      <c r="H451" s="6" t="str">
        <f ca="1">IFERROR(__xludf.DUMMYFUNCTION("CONCATENATE($B451,(VLOOKUP($C451,CATALOGOS!$F$2:$H$6,3,FALSE)),(VLOOKUP($V451,CATALOGOS!$J$2:$K$18,2,FALSE)),""-"",TO_TEXT($A451))"),"P12PL-0450")</f>
        <v>P12PL-0450</v>
      </c>
      <c r="I451" s="6"/>
      <c r="J451" s="6" t="s">
        <v>3210</v>
      </c>
      <c r="K451" s="6" t="s">
        <v>3211</v>
      </c>
      <c r="L451" s="6" t="s">
        <v>3212</v>
      </c>
      <c r="M451" s="6" t="s">
        <v>3213</v>
      </c>
      <c r="N451" s="17"/>
      <c r="O451" s="17"/>
      <c r="P451" s="17" t="str">
        <f t="shared" si="5"/>
        <v>OK</v>
      </c>
      <c r="Q451" s="17" t="s">
        <v>35</v>
      </c>
      <c r="R451" s="6" t="s">
        <v>35</v>
      </c>
      <c r="S451" s="17" t="s">
        <v>36</v>
      </c>
      <c r="T451" s="17" t="s">
        <v>3214</v>
      </c>
      <c r="U451" s="173" t="s">
        <v>38</v>
      </c>
      <c r="V451" s="11" t="s">
        <v>3091</v>
      </c>
      <c r="W451" s="22" t="s">
        <v>3151</v>
      </c>
      <c r="X451" s="22" t="s">
        <v>3151</v>
      </c>
      <c r="Y451" s="22"/>
      <c r="Z451" s="7"/>
      <c r="AA451" s="7"/>
      <c r="AB451" s="23"/>
      <c r="AC451" s="26"/>
    </row>
    <row r="452" spans="1:29" ht="15.75" customHeight="1">
      <c r="A452" s="10" t="s">
        <v>3215</v>
      </c>
      <c r="B452" s="10" t="s">
        <v>1469</v>
      </c>
      <c r="C452" s="60" t="s">
        <v>1470</v>
      </c>
      <c r="D452" s="38"/>
      <c r="E452" s="13" t="s">
        <v>151</v>
      </c>
      <c r="F452" s="6" t="s">
        <v>152</v>
      </c>
      <c r="G452" s="6" t="str">
        <f ca="1">IFERROR(__xludf.DUMMYFUNCTION("CONCATENATE(B452,(VLOOKUP(C452,CATALOGOS!$F$2:$H$6,3,FALSE)),(VLOOKUP(V452,CATALOGOS!$J$2:$K$18,2,FALSE)),""-"",TO_TEXT(A452))"),"P12PL-0451")</f>
        <v>P12PL-0451</v>
      </c>
      <c r="H452" s="6" t="str">
        <f ca="1">IFERROR(__xludf.DUMMYFUNCTION("CONCATENATE($B452,(VLOOKUP($C452,CATALOGOS!$F$2:$H$6,3,FALSE)),(VLOOKUP($V452,CATALOGOS!$J$2:$K$18,2,FALSE)),""-"",TO_TEXT($A452))"),"P12PL-0451")</f>
        <v>P12PL-0451</v>
      </c>
      <c r="I452" s="6"/>
      <c r="J452" s="6" t="s">
        <v>3216</v>
      </c>
      <c r="K452" s="6" t="s">
        <v>3217</v>
      </c>
      <c r="L452" s="6" t="s">
        <v>3218</v>
      </c>
      <c r="M452" s="6" t="s">
        <v>3219</v>
      </c>
      <c r="N452" s="17"/>
      <c r="O452" s="17"/>
      <c r="P452" s="17" t="str">
        <f t="shared" si="5"/>
        <v>OK</v>
      </c>
      <c r="Q452" s="17" t="s">
        <v>1220</v>
      </c>
      <c r="R452" s="6" t="s">
        <v>720</v>
      </c>
      <c r="S452" s="46" t="s">
        <v>3220</v>
      </c>
      <c r="T452" s="17" t="s">
        <v>3221</v>
      </c>
      <c r="U452" s="173" t="s">
        <v>38</v>
      </c>
      <c r="V452" s="11" t="s">
        <v>3091</v>
      </c>
      <c r="W452" s="32" t="s">
        <v>3151</v>
      </c>
      <c r="X452" s="32" t="s">
        <v>3151</v>
      </c>
      <c r="Y452" s="32"/>
      <c r="Z452" s="7"/>
      <c r="AA452" s="7"/>
      <c r="AB452" s="26"/>
      <c r="AC452" s="26"/>
    </row>
    <row r="453" spans="1:29" ht="15.75" customHeight="1">
      <c r="A453" s="10" t="s">
        <v>3222</v>
      </c>
      <c r="B453" s="10" t="s">
        <v>1469</v>
      </c>
      <c r="C453" s="60" t="s">
        <v>1470</v>
      </c>
      <c r="D453" s="38"/>
      <c r="E453" s="13" t="s">
        <v>378</v>
      </c>
      <c r="F453" s="6" t="s">
        <v>379</v>
      </c>
      <c r="G453" s="15" t="str">
        <f ca="1">IFERROR(__xludf.DUMMYFUNCTION("CONCATENATE(B453,(VLOOKUP(C453,CATALOGOS!$F$2:$H$6,3,FALSE)),(VLOOKUP(V453,CATALOGOS!$J$2:$K$18,2,FALSE)),""-"",TO_TEXT(A453))"),"P12CV-0452")</f>
        <v>P12CV-0452</v>
      </c>
      <c r="H453" s="6" t="str">
        <f ca="1">IFERROR(__xludf.DUMMYFUNCTION("CONCATENATE($B453,(VLOOKUP($C453,CATALOGOS!$F$2:$H$6,3,FALSE)),(VLOOKUP($V453,CATALOGOS!$J$2:$K$18,2,FALSE)),""-"",TO_TEXT($A453))"),"P12CV-0452")</f>
        <v>P12CV-0452</v>
      </c>
      <c r="I453" s="6"/>
      <c r="J453" s="6" t="s">
        <v>3223</v>
      </c>
      <c r="K453" s="6" t="s">
        <v>3224</v>
      </c>
      <c r="L453" s="6" t="s">
        <v>3225</v>
      </c>
      <c r="M453" s="6" t="s">
        <v>3226</v>
      </c>
      <c r="N453" s="17"/>
      <c r="O453" s="17"/>
      <c r="P453" s="17" t="str">
        <f t="shared" si="5"/>
        <v>OK</v>
      </c>
      <c r="Q453" s="17" t="s">
        <v>35</v>
      </c>
      <c r="R453" s="6" t="s">
        <v>35</v>
      </c>
      <c r="S453" s="46" t="s">
        <v>36</v>
      </c>
      <c r="T453" s="17" t="s">
        <v>3227</v>
      </c>
      <c r="U453" s="173" t="s">
        <v>38</v>
      </c>
      <c r="V453" s="11" t="s">
        <v>875</v>
      </c>
      <c r="W453" s="10" t="s">
        <v>876</v>
      </c>
      <c r="X453" s="10" t="s">
        <v>876</v>
      </c>
      <c r="Y453" s="10"/>
      <c r="Z453" s="7"/>
      <c r="AA453" s="7"/>
      <c r="AB453" s="26"/>
      <c r="AC453" s="26"/>
    </row>
    <row r="454" spans="1:29" ht="15.75" customHeight="1">
      <c r="A454" s="10" t="s">
        <v>3228</v>
      </c>
      <c r="B454" s="10" t="s">
        <v>1469</v>
      </c>
      <c r="C454" s="60" t="s">
        <v>1470</v>
      </c>
      <c r="D454" s="38"/>
      <c r="E454" s="13" t="s">
        <v>184</v>
      </c>
      <c r="F454" s="6" t="s">
        <v>3229</v>
      </c>
      <c r="G454" s="6" t="str">
        <f ca="1">IFERROR(__xludf.DUMMYFUNCTION("CONCATENATE(B454,(VLOOKUP(C454,CATALOGOS!$F$2:$H$6,3,FALSE)),(VLOOKUP(V454,CATALOGOS!$J$2:$K$18,2,FALSE)),""-"",TO_TEXT(A454))"),"P12PL-0453")</f>
        <v>P12PL-0453</v>
      </c>
      <c r="H454" s="6" t="str">
        <f ca="1">IFERROR(__xludf.DUMMYFUNCTION("CONCATENATE($B454,(VLOOKUP($C454,CATALOGOS!$F$2:$H$6,3,FALSE)),(VLOOKUP($V454,CATALOGOS!$J$2:$K$18,2,FALSE)),""-"",TO_TEXT($A454))"),"P12PL-0453")</f>
        <v>P12PL-0453</v>
      </c>
      <c r="I454" s="6"/>
      <c r="J454" s="6" t="s">
        <v>3230</v>
      </c>
      <c r="K454" s="6" t="s">
        <v>3231</v>
      </c>
      <c r="L454" s="6" t="s">
        <v>3232</v>
      </c>
      <c r="M454" s="6" t="s">
        <v>3233</v>
      </c>
      <c r="N454" s="17"/>
      <c r="O454" s="17"/>
      <c r="P454" s="17" t="str">
        <f t="shared" si="5"/>
        <v>OK</v>
      </c>
      <c r="Q454" s="17" t="s">
        <v>35</v>
      </c>
      <c r="R454" s="6" t="s">
        <v>35</v>
      </c>
      <c r="S454" s="46" t="s">
        <v>36</v>
      </c>
      <c r="T454" s="17" t="s">
        <v>3234</v>
      </c>
      <c r="U454" s="173" t="s">
        <v>38</v>
      </c>
      <c r="V454" s="11" t="s">
        <v>3091</v>
      </c>
      <c r="W454" s="22" t="s">
        <v>3151</v>
      </c>
      <c r="X454" s="22" t="s">
        <v>3151</v>
      </c>
      <c r="Y454" s="22"/>
      <c r="Z454" s="7"/>
      <c r="AA454" s="7"/>
      <c r="AB454" s="26"/>
      <c r="AC454" s="26"/>
    </row>
    <row r="455" spans="1:29" ht="15.75" customHeight="1">
      <c r="A455" s="10" t="s">
        <v>3235</v>
      </c>
      <c r="B455" s="10" t="s">
        <v>1469</v>
      </c>
      <c r="C455" s="60" t="s">
        <v>1470</v>
      </c>
      <c r="D455" s="12"/>
      <c r="E455" s="13" t="s">
        <v>210</v>
      </c>
      <c r="F455" s="6" t="s">
        <v>210</v>
      </c>
      <c r="G455" s="6" t="str">
        <f ca="1">IFERROR(__xludf.DUMMYFUNCTION("CONCATENATE(B455,(VLOOKUP(C455,CATALOGOS!$F$2:$H$6,3,FALSE)),(VLOOKUP(V455,CATALOGOS!$J$2:$K$18,2,FALSE)),""-"",TO_TEXT(A455))"),"P12PL-0454")</f>
        <v>P12PL-0454</v>
      </c>
      <c r="H455" s="6" t="str">
        <f ca="1">IFERROR(__xludf.DUMMYFUNCTION("CONCATENATE($B455,(VLOOKUP($C455,CATALOGOS!$F$2:$H$6,3,FALSE)),(VLOOKUP($V455,CATALOGOS!$J$2:$K$18,2,FALSE)),""-"",TO_TEXT($A455))"),"P12PL-0454")</f>
        <v>P12PL-0454</v>
      </c>
      <c r="I455" s="6"/>
      <c r="J455" s="6" t="s">
        <v>3236</v>
      </c>
      <c r="K455" s="6" t="s">
        <v>3237</v>
      </c>
      <c r="L455" s="36"/>
      <c r="M455" s="6" t="s">
        <v>3238</v>
      </c>
      <c r="N455" s="17"/>
      <c r="O455" s="17"/>
      <c r="P455" s="17" t="str">
        <f t="shared" si="5"/>
        <v>OK</v>
      </c>
      <c r="Q455" s="17" t="s">
        <v>216</v>
      </c>
      <c r="R455" s="6" t="s">
        <v>3239</v>
      </c>
      <c r="S455" s="6" t="s">
        <v>3240</v>
      </c>
      <c r="T455" s="10" t="s">
        <v>85</v>
      </c>
      <c r="U455" s="173" t="s">
        <v>38</v>
      </c>
      <c r="V455" s="11" t="s">
        <v>3091</v>
      </c>
      <c r="W455" s="20" t="s">
        <v>3092</v>
      </c>
      <c r="X455" s="20" t="s">
        <v>3092</v>
      </c>
      <c r="Y455" s="20"/>
      <c r="Z455" s="7"/>
      <c r="AA455" s="7"/>
      <c r="AB455" s="23"/>
      <c r="AC455" s="26"/>
    </row>
    <row r="456" spans="1:29" ht="15.75" customHeight="1">
      <c r="A456" s="10" t="s">
        <v>3241</v>
      </c>
      <c r="B456" s="10" t="s">
        <v>1469</v>
      </c>
      <c r="C456" s="60" t="s">
        <v>1470</v>
      </c>
      <c r="D456" s="12"/>
      <c r="E456" s="13" t="s">
        <v>501</v>
      </c>
      <c r="F456" s="6" t="s">
        <v>2285</v>
      </c>
      <c r="G456" s="6" t="str">
        <f ca="1">IFERROR(__xludf.DUMMYFUNCTION("CONCATENATE(B456,(VLOOKUP(C456,CATALOGOS!$F$2:$H$6,3,FALSE)),(VLOOKUP(V456,CATALOGOS!$J$2:$K$18,2,FALSE)),""-"",TO_TEXT(A456))"),"P12CT-0455")</f>
        <v>P12CT-0455</v>
      </c>
      <c r="H456" s="6" t="str">
        <f ca="1">IFERROR(__xludf.DUMMYFUNCTION("CONCATENATE($B456,(VLOOKUP($C456,CATALOGOS!$F$2:$H$6,3,FALSE)),(VLOOKUP($V456,CATALOGOS!$J$2:$K$18,2,FALSE)),""-"",TO_TEXT($A456))"),"P12CT-0455")</f>
        <v>P12CT-0455</v>
      </c>
      <c r="I456" s="6"/>
      <c r="J456" s="6" t="s">
        <v>3242</v>
      </c>
      <c r="K456" s="6" t="s">
        <v>3243</v>
      </c>
      <c r="L456" s="6" t="s">
        <v>3244</v>
      </c>
      <c r="M456" s="6" t="s">
        <v>3245</v>
      </c>
      <c r="N456" s="17"/>
      <c r="O456" s="17"/>
      <c r="P456" s="17" t="str">
        <f t="shared" si="5"/>
        <v>OK</v>
      </c>
      <c r="Q456" s="17" t="s">
        <v>35</v>
      </c>
      <c r="R456" s="6" t="s">
        <v>35</v>
      </c>
      <c r="S456" s="17" t="s">
        <v>36</v>
      </c>
      <c r="T456" s="17" t="s">
        <v>3246</v>
      </c>
      <c r="U456" s="173" t="s">
        <v>38</v>
      </c>
      <c r="V456" s="19" t="s">
        <v>2884</v>
      </c>
      <c r="W456" s="22" t="s">
        <v>3247</v>
      </c>
      <c r="X456" s="22" t="s">
        <v>3247</v>
      </c>
      <c r="Y456" s="22"/>
      <c r="Z456" s="7"/>
      <c r="AA456" s="7"/>
      <c r="AB456" s="23"/>
      <c r="AC456" s="26"/>
    </row>
    <row r="457" spans="1:29" ht="15.75" customHeight="1">
      <c r="A457" s="10" t="s">
        <v>3248</v>
      </c>
      <c r="B457" s="10" t="s">
        <v>1469</v>
      </c>
      <c r="C457" s="60" t="s">
        <v>1470</v>
      </c>
      <c r="D457" s="12"/>
      <c r="E457" s="13" t="s">
        <v>43</v>
      </c>
      <c r="F457" s="43" t="s">
        <v>885</v>
      </c>
      <c r="G457" s="6" t="str">
        <f ca="1">IFERROR(__xludf.DUMMYFUNCTION("CONCATENATE(B457,(VLOOKUP(C457,CATALOGOS!$F$2:$H$6,3,FALSE)),(VLOOKUP(V457,CATALOGOS!$J$2:$K$18,2,FALSE)),""-"",TO_TEXT(A457))"),"P12CT-0456")</f>
        <v>P12CT-0456</v>
      </c>
      <c r="H457" s="6" t="str">
        <f ca="1">IFERROR(__xludf.DUMMYFUNCTION("CONCATENATE($B457,(VLOOKUP($C457,CATALOGOS!$F$2:$H$6,3,FALSE)),(VLOOKUP($V457,CATALOGOS!$J$2:$K$18,2,FALSE)),""-"",TO_TEXT($A457))"),"P12CT-0456")</f>
        <v>P12CT-0456</v>
      </c>
      <c r="I457" s="6"/>
      <c r="J457" s="6" t="s">
        <v>3249</v>
      </c>
      <c r="K457" s="6" t="s">
        <v>3250</v>
      </c>
      <c r="L457" s="6" t="s">
        <v>3251</v>
      </c>
      <c r="M457" s="6" t="s">
        <v>3252</v>
      </c>
      <c r="N457" s="17"/>
      <c r="O457" s="17"/>
      <c r="P457" s="17" t="str">
        <f t="shared" si="5"/>
        <v>OK</v>
      </c>
      <c r="Q457" s="17" t="s">
        <v>3253</v>
      </c>
      <c r="R457" s="6" t="s">
        <v>35</v>
      </c>
      <c r="S457" s="17" t="s">
        <v>36</v>
      </c>
      <c r="T457" s="17" t="s">
        <v>3254</v>
      </c>
      <c r="U457" s="173" t="s">
        <v>38</v>
      </c>
      <c r="V457" s="19" t="s">
        <v>2884</v>
      </c>
      <c r="W457" s="22" t="s">
        <v>3247</v>
      </c>
      <c r="X457" s="22" t="s">
        <v>3247</v>
      </c>
      <c r="Y457" s="22"/>
      <c r="Z457" s="7"/>
      <c r="AA457" s="7"/>
      <c r="AB457" s="23"/>
      <c r="AC457" s="26"/>
    </row>
    <row r="458" spans="1:29" ht="15.75" customHeight="1">
      <c r="A458" s="10" t="s">
        <v>3255</v>
      </c>
      <c r="B458" s="10" t="s">
        <v>1469</v>
      </c>
      <c r="C458" s="60" t="s">
        <v>1470</v>
      </c>
      <c r="D458" s="12"/>
      <c r="E458" s="13" t="s">
        <v>93</v>
      </c>
      <c r="F458" s="6" t="s">
        <v>2383</v>
      </c>
      <c r="G458" s="6" t="str">
        <f ca="1">IFERROR(__xludf.DUMMYFUNCTION("CONCATENATE(B458,(VLOOKUP(C458,CATALOGOS!$F$2:$H$6,3,FALSE)),(VLOOKUP(V458,CATALOGOS!$J$2:$K$18,2,FALSE)),""-"",TO_TEXT(A458))"),"P12CT-0457")</f>
        <v>P12CT-0457</v>
      </c>
      <c r="H458" s="6" t="str">
        <f ca="1">IFERROR(__xludf.DUMMYFUNCTION("CONCATENATE($B458,(VLOOKUP($C458,CATALOGOS!$F$2:$H$6,3,FALSE)),(VLOOKUP($V458,CATALOGOS!$J$2:$K$18,2,FALSE)),""-"",TO_TEXT($A458))"),"P12CT-0457")</f>
        <v>P12CT-0457</v>
      </c>
      <c r="I458" s="6"/>
      <c r="J458" s="6" t="s">
        <v>3256</v>
      </c>
      <c r="K458" s="6" t="s">
        <v>3257</v>
      </c>
      <c r="L458" s="6" t="s">
        <v>3258</v>
      </c>
      <c r="M458" s="6" t="s">
        <v>3259</v>
      </c>
      <c r="N458" s="17"/>
      <c r="O458" s="17"/>
      <c r="P458" s="17" t="str">
        <f t="shared" si="5"/>
        <v>OK</v>
      </c>
      <c r="Q458" s="17" t="s">
        <v>35</v>
      </c>
      <c r="R458" s="6" t="s">
        <v>35</v>
      </c>
      <c r="S458" s="17" t="s">
        <v>36</v>
      </c>
      <c r="T458" s="17" t="s">
        <v>3260</v>
      </c>
      <c r="U458" s="173" t="s">
        <v>38</v>
      </c>
      <c r="V458" s="19" t="s">
        <v>2884</v>
      </c>
      <c r="W458" s="22" t="s">
        <v>3247</v>
      </c>
      <c r="X458" s="22" t="s">
        <v>3247</v>
      </c>
      <c r="Y458" s="22"/>
      <c r="Z458" s="7"/>
      <c r="AA458" s="7"/>
      <c r="AB458" s="23"/>
      <c r="AC458" s="26"/>
    </row>
    <row r="459" spans="1:29" ht="15.75" customHeight="1">
      <c r="A459" s="10" t="s">
        <v>3261</v>
      </c>
      <c r="B459" s="10" t="s">
        <v>1469</v>
      </c>
      <c r="C459" s="60" t="s">
        <v>1470</v>
      </c>
      <c r="D459" s="12"/>
      <c r="E459" s="13" t="s">
        <v>62</v>
      </c>
      <c r="F459" s="43" t="s">
        <v>3262</v>
      </c>
      <c r="G459" s="6" t="str">
        <f ca="1">IFERROR(__xludf.DUMMYFUNCTION("CONCATENATE(B459,(VLOOKUP(C459,CATALOGOS!$F$2:$H$6,3,FALSE)),(VLOOKUP(V459,CATALOGOS!$J$2:$K$18,2,FALSE)),""-"",TO_TEXT(A459))"),"P12CT-0458")</f>
        <v>P12CT-0458</v>
      </c>
      <c r="H459" s="6" t="str">
        <f ca="1">IFERROR(__xludf.DUMMYFUNCTION("CONCATENATE($B459,(VLOOKUP($C459,CATALOGOS!$F$2:$H$6,3,FALSE)),(VLOOKUP($V459,CATALOGOS!$J$2:$K$18,2,FALSE)),""-"",TO_TEXT($A459))"),"P12CT-0458")</f>
        <v>P12CT-0458</v>
      </c>
      <c r="I459" s="6"/>
      <c r="J459" s="6" t="s">
        <v>3263</v>
      </c>
      <c r="K459" s="6" t="s">
        <v>3264</v>
      </c>
      <c r="L459" s="6" t="s">
        <v>3265</v>
      </c>
      <c r="M459" s="6" t="s">
        <v>3266</v>
      </c>
      <c r="N459" s="17"/>
      <c r="O459" s="17"/>
      <c r="P459" s="17" t="str">
        <f t="shared" si="5"/>
        <v>OK</v>
      </c>
      <c r="Q459" s="17" t="s">
        <v>35</v>
      </c>
      <c r="R459" s="6" t="s">
        <v>35</v>
      </c>
      <c r="S459" s="17" t="s">
        <v>36</v>
      </c>
      <c r="T459" s="17" t="s">
        <v>3267</v>
      </c>
      <c r="U459" s="173" t="s">
        <v>38</v>
      </c>
      <c r="V459" s="19" t="s">
        <v>2884</v>
      </c>
      <c r="W459" s="22" t="s">
        <v>3247</v>
      </c>
      <c r="X459" s="22" t="s">
        <v>3247</v>
      </c>
      <c r="Y459" s="22"/>
      <c r="Z459" s="7"/>
      <c r="AA459" s="7"/>
      <c r="AB459" s="23"/>
      <c r="AC459" s="26"/>
    </row>
    <row r="460" spans="1:29" ht="15.75" customHeight="1">
      <c r="A460" s="10" t="s">
        <v>3268</v>
      </c>
      <c r="B460" s="10" t="s">
        <v>1469</v>
      </c>
      <c r="C460" s="60" t="s">
        <v>1470</v>
      </c>
      <c r="D460" s="12"/>
      <c r="E460" s="13" t="s">
        <v>501</v>
      </c>
      <c r="F460" s="43" t="s">
        <v>3269</v>
      </c>
      <c r="G460" s="6" t="str">
        <f ca="1">IFERROR(__xludf.DUMMYFUNCTION("CONCATENATE(B460,(VLOOKUP(C460,CATALOGOS!$F$2:$H$6,3,FALSE)),(VLOOKUP(V460,CATALOGOS!$J$2:$K$18,2,FALSE)),""-"",TO_TEXT(A460))"),"P12CT-0459")</f>
        <v>P12CT-0459</v>
      </c>
      <c r="H460" s="6" t="str">
        <f ca="1">IFERROR(__xludf.DUMMYFUNCTION("CONCATENATE($B460,(VLOOKUP($C460,CATALOGOS!$F$2:$H$6,3,FALSE)),(VLOOKUP($V460,CATALOGOS!$J$2:$K$18,2,FALSE)),""-"",TO_TEXT($A460))"),"P12CT-0459")</f>
        <v>P12CT-0459</v>
      </c>
      <c r="I460" s="6"/>
      <c r="J460" s="6" t="s">
        <v>3270</v>
      </c>
      <c r="K460" s="6" t="s">
        <v>3271</v>
      </c>
      <c r="L460" s="6" t="s">
        <v>3272</v>
      </c>
      <c r="M460" s="6" t="s">
        <v>3273</v>
      </c>
      <c r="N460" s="17"/>
      <c r="O460" s="17"/>
      <c r="P460" s="17" t="str">
        <f t="shared" si="5"/>
        <v>OK</v>
      </c>
      <c r="Q460" s="17" t="s">
        <v>35</v>
      </c>
      <c r="R460" s="6" t="s">
        <v>35</v>
      </c>
      <c r="S460" s="17" t="s">
        <v>36</v>
      </c>
      <c r="T460" s="17" t="s">
        <v>3274</v>
      </c>
      <c r="U460" s="173" t="s">
        <v>38</v>
      </c>
      <c r="V460" s="19" t="s">
        <v>2884</v>
      </c>
      <c r="W460" s="22" t="s">
        <v>3247</v>
      </c>
      <c r="X460" s="22" t="s">
        <v>3247</v>
      </c>
      <c r="Y460" s="22"/>
      <c r="Z460" s="7"/>
      <c r="AA460" s="7"/>
      <c r="AB460" s="23"/>
      <c r="AC460" s="26"/>
    </row>
    <row r="461" spans="1:29" ht="15.75" customHeight="1">
      <c r="A461" s="10" t="s">
        <v>3275</v>
      </c>
      <c r="B461" s="10" t="s">
        <v>4410</v>
      </c>
      <c r="C461" s="63" t="s">
        <v>6054</v>
      </c>
      <c r="D461" s="12"/>
      <c r="E461" s="13" t="s">
        <v>199</v>
      </c>
      <c r="F461" s="6" t="s">
        <v>677</v>
      </c>
      <c r="G461" s="6" t="str">
        <f ca="1">IFERROR(__xludf.DUMMYFUNCTION("CONCATENATE(B461,(VLOOKUP(C461,CATALOGOS!$F$2:$H$6,3,FALSE)),(VLOOKUP(V461,CATALOGOS!$J$2:$K$18,2,FALSE)),""-"",TO_TEXT(A461))"),"P21DG-0460")</f>
        <v>P21DG-0460</v>
      </c>
      <c r="H461" s="6" t="str">
        <f ca="1">IFERROR(__xludf.DUMMYFUNCTION("CONCATENATE($B461,(VLOOKUP($C461,CATALOGOS!$F$2:$H$6,3,FALSE)),(VLOOKUP($V461,CATALOGOS!$J$2:$K$18,2,FALSE)),""-"",TO_TEXT($A461))"),"P21DG-0460")</f>
        <v>P21DG-0460</v>
      </c>
      <c r="I461" s="6"/>
      <c r="J461" s="6" t="s">
        <v>3276</v>
      </c>
      <c r="K461" s="6" t="s">
        <v>3277</v>
      </c>
      <c r="L461" s="6" t="s">
        <v>3278</v>
      </c>
      <c r="M461" s="6" t="s">
        <v>3279</v>
      </c>
      <c r="N461" s="17"/>
      <c r="O461" s="17"/>
      <c r="P461" s="17" t="str">
        <f t="shared" si="5"/>
        <v>OK</v>
      </c>
      <c r="Q461" s="17" t="s">
        <v>205</v>
      </c>
      <c r="R461" s="6" t="s">
        <v>2890</v>
      </c>
      <c r="S461" s="17" t="s">
        <v>3280</v>
      </c>
      <c r="T461" s="17" t="s">
        <v>3281</v>
      </c>
      <c r="U461" s="173" t="s">
        <v>38</v>
      </c>
      <c r="V461" s="19" t="s">
        <v>6054</v>
      </c>
      <c r="W461" s="22" t="s">
        <v>3283</v>
      </c>
      <c r="X461" s="22" t="s">
        <v>3283</v>
      </c>
      <c r="Y461" s="22"/>
      <c r="Z461" s="7"/>
      <c r="AA461" s="7"/>
      <c r="AB461" s="23"/>
      <c r="AC461" s="26"/>
    </row>
    <row r="462" spans="1:29" ht="15.75" customHeight="1">
      <c r="A462" s="10" t="s">
        <v>3284</v>
      </c>
      <c r="B462" s="10" t="s">
        <v>1469</v>
      </c>
      <c r="C462" s="60" t="s">
        <v>1470</v>
      </c>
      <c r="D462" s="12"/>
      <c r="E462" s="13" t="s">
        <v>501</v>
      </c>
      <c r="F462" s="6" t="s">
        <v>3269</v>
      </c>
      <c r="G462" s="6" t="str">
        <f ca="1">IFERROR(__xludf.DUMMYFUNCTION("CONCATENATE(B462,(VLOOKUP(C462,CATALOGOS!$F$2:$H$6,3,FALSE)),(VLOOKUP(V462,CATALOGOS!$J$2:$K$18,2,FALSE)),""-"",TO_TEXT(A462))"),"P12CT-0461")</f>
        <v>P12CT-0461</v>
      </c>
      <c r="H462" s="6" t="str">
        <f ca="1">IFERROR(__xludf.DUMMYFUNCTION("CONCATENATE($B462,(VLOOKUP($C462,CATALOGOS!$F$2:$H$6,3,FALSE)),(VLOOKUP($V462,CATALOGOS!$J$2:$K$18,2,FALSE)),""-"",TO_TEXT($A462))"),"P12CT-0461")</f>
        <v>P12CT-0461</v>
      </c>
      <c r="I462" s="6"/>
      <c r="J462" s="6" t="s">
        <v>3286</v>
      </c>
      <c r="K462" s="6" t="s">
        <v>3287</v>
      </c>
      <c r="L462" s="6" t="s">
        <v>3288</v>
      </c>
      <c r="M462" s="6" t="s">
        <v>3289</v>
      </c>
      <c r="N462" s="17"/>
      <c r="O462" s="17"/>
      <c r="P462" s="17" t="str">
        <f t="shared" si="5"/>
        <v>OK</v>
      </c>
      <c r="Q462" s="17" t="s">
        <v>35</v>
      </c>
      <c r="R462" s="6" t="s">
        <v>35</v>
      </c>
      <c r="S462" s="17" t="s">
        <v>36</v>
      </c>
      <c r="T462" s="17" t="s">
        <v>3290</v>
      </c>
      <c r="U462" s="173" t="s">
        <v>38</v>
      </c>
      <c r="V462" s="19" t="s">
        <v>2884</v>
      </c>
      <c r="W462" s="22" t="s">
        <v>3247</v>
      </c>
      <c r="X462" s="22" t="s">
        <v>3247</v>
      </c>
      <c r="Y462" s="22"/>
      <c r="Z462" s="7"/>
      <c r="AA462" s="7"/>
      <c r="AB462" s="23"/>
      <c r="AC462" s="26"/>
    </row>
    <row r="463" spans="1:29" ht="15.75" customHeight="1">
      <c r="A463" s="10" t="s">
        <v>3291</v>
      </c>
      <c r="B463" s="10" t="s">
        <v>1469</v>
      </c>
      <c r="C463" s="60" t="s">
        <v>1470</v>
      </c>
      <c r="D463" s="12"/>
      <c r="E463" s="13" t="s">
        <v>378</v>
      </c>
      <c r="F463" s="6" t="s">
        <v>2040</v>
      </c>
      <c r="G463" s="6" t="str">
        <f ca="1">IFERROR(__xludf.DUMMYFUNCTION("CONCATENATE(B463,(VLOOKUP(C463,CATALOGOS!$F$2:$H$6,3,FALSE)),(VLOOKUP(V463,CATALOGOS!$J$2:$K$18,2,FALSE)),""-"",TO_TEXT(A463))"),"P12CT-0462")</f>
        <v>P12CT-0462</v>
      </c>
      <c r="H463" s="6" t="str">
        <f ca="1">IFERROR(__xludf.DUMMYFUNCTION("CONCATENATE($B463,(VLOOKUP($C463,CATALOGOS!$F$2:$H$6,3,FALSE)),(VLOOKUP($V463,CATALOGOS!$J$2:$K$18,2,FALSE)),""-"",TO_TEXT($A463))"),"P12CT-0462")</f>
        <v>P12CT-0462</v>
      </c>
      <c r="I463" s="6"/>
      <c r="J463" s="6" t="s">
        <v>3292</v>
      </c>
      <c r="K463" s="6" t="s">
        <v>3293</v>
      </c>
      <c r="L463" s="66" t="s">
        <v>3294</v>
      </c>
      <c r="M463" s="6" t="s">
        <v>3295</v>
      </c>
      <c r="N463" s="17"/>
      <c r="O463" s="17"/>
      <c r="P463" s="17" t="str">
        <f t="shared" si="5"/>
        <v>OK</v>
      </c>
      <c r="Q463" s="17" t="s">
        <v>35</v>
      </c>
      <c r="R463" s="6" t="s">
        <v>35</v>
      </c>
      <c r="S463" s="17" t="s">
        <v>36</v>
      </c>
      <c r="T463" s="17" t="s">
        <v>3296</v>
      </c>
      <c r="U463" s="173" t="s">
        <v>38</v>
      </c>
      <c r="V463" s="19" t="s">
        <v>2884</v>
      </c>
      <c r="W463" s="22" t="s">
        <v>3247</v>
      </c>
      <c r="X463" s="22" t="s">
        <v>3247</v>
      </c>
      <c r="Y463" s="22"/>
      <c r="Z463" s="7"/>
      <c r="AA463" s="7"/>
      <c r="AB463" s="23"/>
      <c r="AC463" s="26"/>
    </row>
    <row r="464" spans="1:29" ht="15.75" customHeight="1">
      <c r="A464" s="10" t="s">
        <v>3297</v>
      </c>
      <c r="B464" s="10" t="s">
        <v>1469</v>
      </c>
      <c r="C464" s="60" t="s">
        <v>1470</v>
      </c>
      <c r="D464" s="12"/>
      <c r="E464" s="13" t="s">
        <v>93</v>
      </c>
      <c r="F464" s="6" t="s">
        <v>2383</v>
      </c>
      <c r="G464" s="6" t="str">
        <f ca="1">IFERROR(__xludf.DUMMYFUNCTION("CONCATENATE(B464,(VLOOKUP(C464,CATALOGOS!$F$2:$H$6,3,FALSE)),(VLOOKUP(V464,CATALOGOS!$J$2:$K$18,2,FALSE)),""-"",TO_TEXT(A464))"),"P12CT-0463")</f>
        <v>P12CT-0463</v>
      </c>
      <c r="H464" s="6" t="str">
        <f ca="1">IFERROR(__xludf.DUMMYFUNCTION("CONCATENATE($B464,(VLOOKUP($C464,CATALOGOS!$F$2:$H$6,3,FALSE)),(VLOOKUP($V464,CATALOGOS!$J$2:$K$18,2,FALSE)),""-"",TO_TEXT($A464))"),"P12CT-0463")</f>
        <v>P12CT-0463</v>
      </c>
      <c r="I464" s="6"/>
      <c r="J464" s="6" t="s">
        <v>3298</v>
      </c>
      <c r="K464" s="6" t="s">
        <v>3299</v>
      </c>
      <c r="L464" s="6" t="s">
        <v>3300</v>
      </c>
      <c r="M464" s="6" t="s">
        <v>3301</v>
      </c>
      <c r="N464" s="17"/>
      <c r="O464" s="17"/>
      <c r="P464" s="17" t="str">
        <f t="shared" si="5"/>
        <v>OK</v>
      </c>
      <c r="Q464" s="17" t="s">
        <v>35</v>
      </c>
      <c r="R464" s="6" t="s">
        <v>35</v>
      </c>
      <c r="S464" s="17" t="s">
        <v>36</v>
      </c>
      <c r="T464" s="17" t="s">
        <v>3302</v>
      </c>
      <c r="U464" s="173" t="s">
        <v>38</v>
      </c>
      <c r="V464" s="19" t="s">
        <v>2884</v>
      </c>
      <c r="W464" s="22" t="s">
        <v>3247</v>
      </c>
      <c r="X464" s="22" t="s">
        <v>3247</v>
      </c>
      <c r="Y464" s="22"/>
      <c r="Z464" s="7"/>
      <c r="AA464" s="7"/>
      <c r="AB464" s="23"/>
      <c r="AC464" s="26"/>
    </row>
    <row r="465" spans="1:29" ht="15.75" customHeight="1">
      <c r="A465" s="10" t="s">
        <v>3303</v>
      </c>
      <c r="B465" s="10" t="s">
        <v>1469</v>
      </c>
      <c r="C465" s="60" t="s">
        <v>1470</v>
      </c>
      <c r="D465" s="12"/>
      <c r="E465" s="13" t="s">
        <v>93</v>
      </c>
      <c r="F465" s="6" t="s">
        <v>3304</v>
      </c>
      <c r="G465" s="6" t="str">
        <f ca="1">IFERROR(__xludf.DUMMYFUNCTION("CONCATENATE(B465,(VLOOKUP(C465,CATALOGOS!$F$2:$H$6,3,FALSE)),(VLOOKUP(V465,CATALOGOS!$J$2:$K$18,2,FALSE)),""-"",TO_TEXT(A465))"),"P12CT-0464")</f>
        <v>P12CT-0464</v>
      </c>
      <c r="H465" s="6" t="str">
        <f ca="1">IFERROR(__xludf.DUMMYFUNCTION("CONCATENATE($B465,(VLOOKUP($C465,CATALOGOS!$F$2:$H$6,3,FALSE)),(VLOOKUP($V465,CATALOGOS!$J$2:$K$18,2,FALSE)),""-"",TO_TEXT($A465))"),"P12CT-0464")</f>
        <v>P12CT-0464</v>
      </c>
      <c r="I465" s="6"/>
      <c r="J465" s="6" t="s">
        <v>3305</v>
      </c>
      <c r="K465" s="6" t="s">
        <v>3306</v>
      </c>
      <c r="L465" s="6" t="s">
        <v>3307</v>
      </c>
      <c r="M465" s="6" t="s">
        <v>3308</v>
      </c>
      <c r="N465" s="17"/>
      <c r="O465" s="17"/>
      <c r="P465" s="17" t="str">
        <f t="shared" si="5"/>
        <v>OK</v>
      </c>
      <c r="Q465" s="17" t="s">
        <v>35</v>
      </c>
      <c r="R465" s="6" t="s">
        <v>35</v>
      </c>
      <c r="S465" s="17" t="s">
        <v>36</v>
      </c>
      <c r="T465" s="17" t="s">
        <v>3309</v>
      </c>
      <c r="U465" s="173" t="s">
        <v>38</v>
      </c>
      <c r="V465" s="19" t="s">
        <v>2884</v>
      </c>
      <c r="W465" s="22" t="s">
        <v>3247</v>
      </c>
      <c r="X465" s="22" t="s">
        <v>3247</v>
      </c>
      <c r="Y465" s="22"/>
      <c r="Z465" s="7"/>
      <c r="AA465" s="7"/>
      <c r="AB465" s="23"/>
      <c r="AC465" s="26"/>
    </row>
    <row r="466" spans="1:29" ht="15.75" customHeight="1">
      <c r="A466" s="10" t="s">
        <v>3310</v>
      </c>
      <c r="B466" s="10" t="s">
        <v>1469</v>
      </c>
      <c r="C466" s="60" t="s">
        <v>1470</v>
      </c>
      <c r="D466" s="12"/>
      <c r="E466" s="13" t="s">
        <v>184</v>
      </c>
      <c r="F466" s="6" t="s">
        <v>3311</v>
      </c>
      <c r="G466" s="6" t="str">
        <f ca="1">IFERROR(__xludf.DUMMYFUNCTION("CONCATENATE(B466,(VLOOKUP(C466,CATALOGOS!$F$2:$H$6,3,FALSE)),(VLOOKUP(V466,CATALOGOS!$J$2:$K$18,2,FALSE)),""-"",TO_TEXT(A466))"),"P12CT-0465")</f>
        <v>P12CT-0465</v>
      </c>
      <c r="H466" s="6" t="str">
        <f ca="1">IFERROR(__xludf.DUMMYFUNCTION("CONCATENATE($B466,(VLOOKUP($C466,CATALOGOS!$F$2:$H$6,3,FALSE)),(VLOOKUP($V466,CATALOGOS!$J$2:$K$18,2,FALSE)),""-"",TO_TEXT($A466))"),"P12CT-0465")</f>
        <v>P12CT-0465</v>
      </c>
      <c r="I466" s="6"/>
      <c r="J466" s="6" t="s">
        <v>3312</v>
      </c>
      <c r="K466" s="6" t="s">
        <v>3313</v>
      </c>
      <c r="L466" s="6" t="s">
        <v>3314</v>
      </c>
      <c r="M466" s="6" t="s">
        <v>3315</v>
      </c>
      <c r="N466" s="17"/>
      <c r="O466" s="17"/>
      <c r="P466" s="17" t="str">
        <f t="shared" si="5"/>
        <v>OK</v>
      </c>
      <c r="Q466" s="17" t="s">
        <v>35</v>
      </c>
      <c r="R466" s="6" t="s">
        <v>35</v>
      </c>
      <c r="S466" s="17" t="s">
        <v>36</v>
      </c>
      <c r="T466" s="17" t="s">
        <v>3316</v>
      </c>
      <c r="U466" s="173" t="s">
        <v>38</v>
      </c>
      <c r="V466" s="19" t="s">
        <v>2884</v>
      </c>
      <c r="W466" s="22" t="s">
        <v>3247</v>
      </c>
      <c r="X466" s="22" t="s">
        <v>3247</v>
      </c>
      <c r="Y466" s="22"/>
      <c r="Z466" s="7"/>
      <c r="AA466" s="7"/>
      <c r="AB466" s="23"/>
      <c r="AC466" s="26"/>
    </row>
    <row r="467" spans="1:29" ht="15.75" customHeight="1">
      <c r="A467" s="10" t="s">
        <v>3317</v>
      </c>
      <c r="B467" s="10" t="s">
        <v>1469</v>
      </c>
      <c r="C467" s="60" t="s">
        <v>1470</v>
      </c>
      <c r="D467" s="12"/>
      <c r="E467" s="13" t="s">
        <v>184</v>
      </c>
      <c r="F467" s="6" t="s">
        <v>3311</v>
      </c>
      <c r="G467" s="6" t="str">
        <f ca="1">IFERROR(__xludf.DUMMYFUNCTION("CONCATENATE(B467,(VLOOKUP(C467,CATALOGOS!$F$2:$H$6,3,FALSE)),(VLOOKUP(V467,CATALOGOS!$J$2:$K$18,2,FALSE)),""-"",TO_TEXT(A467))"),"P12CT-0466")</f>
        <v>P12CT-0466</v>
      </c>
      <c r="H467" s="6" t="str">
        <f ca="1">IFERROR(__xludf.DUMMYFUNCTION("CONCATENATE($B467,(VLOOKUP($C467,CATALOGOS!$F$2:$H$6,3,FALSE)),(VLOOKUP($V467,CATALOGOS!$J$2:$K$18,2,FALSE)),""-"",TO_TEXT($A467))"),"P12CT-0466")</f>
        <v>P12CT-0466</v>
      </c>
      <c r="I467" s="6"/>
      <c r="J467" s="6" t="s">
        <v>3318</v>
      </c>
      <c r="K467" s="6" t="s">
        <v>3319</v>
      </c>
      <c r="L467" s="6" t="s">
        <v>3320</v>
      </c>
      <c r="M467" s="6" t="s">
        <v>3321</v>
      </c>
      <c r="N467" s="17"/>
      <c r="O467" s="17"/>
      <c r="P467" s="17" t="str">
        <f t="shared" si="5"/>
        <v>OK</v>
      </c>
      <c r="Q467" s="17" t="s">
        <v>35</v>
      </c>
      <c r="R467" s="6" t="s">
        <v>35</v>
      </c>
      <c r="S467" s="17" t="s">
        <v>36</v>
      </c>
      <c r="T467" s="17" t="s">
        <v>3322</v>
      </c>
      <c r="U467" s="173" t="s">
        <v>38</v>
      </c>
      <c r="V467" s="19" t="s">
        <v>2884</v>
      </c>
      <c r="W467" s="22" t="s">
        <v>3247</v>
      </c>
      <c r="X467" s="22" t="s">
        <v>3247</v>
      </c>
      <c r="Y467" s="22"/>
      <c r="Z467" s="7"/>
      <c r="AA467" s="7"/>
      <c r="AB467" s="23"/>
      <c r="AC467" s="26"/>
    </row>
    <row r="468" spans="1:29" ht="15.75" customHeight="1">
      <c r="A468" s="10" t="s">
        <v>3323</v>
      </c>
      <c r="B468" s="10" t="s">
        <v>1469</v>
      </c>
      <c r="C468" s="60" t="s">
        <v>1470</v>
      </c>
      <c r="D468" s="12"/>
      <c r="E468" s="13" t="s">
        <v>234</v>
      </c>
      <c r="F468" s="6" t="s">
        <v>3324</v>
      </c>
      <c r="G468" s="6" t="str">
        <f ca="1">IFERROR(__xludf.DUMMYFUNCTION("CONCATENATE(B468,(VLOOKUP(C468,CATALOGOS!$F$2:$H$6,3,FALSE)),(VLOOKUP(V468,CATALOGOS!$J$2:$K$18,2,FALSE)),""-"",TO_TEXT(A468))"),"P12CT-0467")</f>
        <v>P12CT-0467</v>
      </c>
      <c r="H468" s="6" t="str">
        <f ca="1">IFERROR(__xludf.DUMMYFUNCTION("CONCATENATE($B468,(VLOOKUP($C468,CATALOGOS!$F$2:$H$6,3,FALSE)),(VLOOKUP($V468,CATALOGOS!$J$2:$K$18,2,FALSE)),""-"",TO_TEXT($A468))"),"P12CT-0467")</f>
        <v>P12CT-0467</v>
      </c>
      <c r="I468" s="6"/>
      <c r="J468" s="6" t="s">
        <v>3325</v>
      </c>
      <c r="K468" s="6" t="s">
        <v>3326</v>
      </c>
      <c r="L468" s="6" t="s">
        <v>3327</v>
      </c>
      <c r="M468" s="6" t="s">
        <v>3328</v>
      </c>
      <c r="N468" s="17"/>
      <c r="O468" s="17"/>
      <c r="P468" s="17" t="str">
        <f t="shared" si="5"/>
        <v>OK</v>
      </c>
      <c r="Q468" s="17" t="s">
        <v>35</v>
      </c>
      <c r="R468" s="6" t="s">
        <v>35</v>
      </c>
      <c r="S468" s="17" t="s">
        <v>36</v>
      </c>
      <c r="T468" s="17" t="s">
        <v>3329</v>
      </c>
      <c r="U468" s="173" t="s">
        <v>38</v>
      </c>
      <c r="V468" s="19" t="s">
        <v>2884</v>
      </c>
      <c r="W468" s="22" t="s">
        <v>3247</v>
      </c>
      <c r="X468" s="22" t="s">
        <v>3247</v>
      </c>
      <c r="Y468" s="22"/>
      <c r="Z468" s="7"/>
      <c r="AA468" s="7"/>
      <c r="AB468" s="23"/>
      <c r="AC468" s="26"/>
    </row>
    <row r="469" spans="1:29" ht="15.75" customHeight="1">
      <c r="A469" s="10" t="s">
        <v>3330</v>
      </c>
      <c r="B469" s="10" t="s">
        <v>1469</v>
      </c>
      <c r="C469" s="60" t="s">
        <v>1470</v>
      </c>
      <c r="D469" s="12"/>
      <c r="E469" s="13" t="s">
        <v>501</v>
      </c>
      <c r="F469" s="6" t="s">
        <v>3331</v>
      </c>
      <c r="G469" s="6" t="str">
        <f ca="1">IFERROR(__xludf.DUMMYFUNCTION("CONCATENATE(B469,(VLOOKUP(C469,CATALOGOS!$F$2:$H$6,3,FALSE)),(VLOOKUP(V469,CATALOGOS!$J$2:$K$18,2,FALSE)),""-"",TO_TEXT(A469))"),"P12CT-0468")</f>
        <v>P12CT-0468</v>
      </c>
      <c r="H469" s="6" t="str">
        <f ca="1">IFERROR(__xludf.DUMMYFUNCTION("CONCATENATE($B469,(VLOOKUP($C469,CATALOGOS!$F$2:$H$6,3,FALSE)),(VLOOKUP($V469,CATALOGOS!$J$2:$K$18,2,FALSE)),""-"",TO_TEXT($A469))"),"P12CT-0468")</f>
        <v>P12CT-0468</v>
      </c>
      <c r="I469" s="6"/>
      <c r="J469" s="6" t="s">
        <v>3332</v>
      </c>
      <c r="K469" s="6" t="s">
        <v>3333</v>
      </c>
      <c r="L469" s="6" t="s">
        <v>3334</v>
      </c>
      <c r="M469" s="6" t="s">
        <v>3335</v>
      </c>
      <c r="N469" s="17"/>
      <c r="O469" s="17"/>
      <c r="P469" s="17" t="str">
        <f t="shared" si="5"/>
        <v>OK</v>
      </c>
      <c r="Q469" s="17" t="s">
        <v>35</v>
      </c>
      <c r="R469" s="6" t="s">
        <v>35</v>
      </c>
      <c r="S469" s="17" t="s">
        <v>36</v>
      </c>
      <c r="T469" s="17" t="s">
        <v>3336</v>
      </c>
      <c r="U469" s="173" t="s">
        <v>38</v>
      </c>
      <c r="V469" s="19" t="s">
        <v>2884</v>
      </c>
      <c r="W469" s="22" t="s">
        <v>3247</v>
      </c>
      <c r="X469" s="22" t="s">
        <v>3247</v>
      </c>
      <c r="Y469" s="22"/>
      <c r="Z469" s="7"/>
      <c r="AA469" s="7"/>
      <c r="AB469" s="23"/>
      <c r="AC469" s="26"/>
    </row>
    <row r="470" spans="1:29" ht="15.75" customHeight="1">
      <c r="A470" s="10" t="s">
        <v>3337</v>
      </c>
      <c r="B470" s="10" t="s">
        <v>1469</v>
      </c>
      <c r="C470" s="60" t="s">
        <v>1470</v>
      </c>
      <c r="D470" s="12"/>
      <c r="E470" s="13" t="s">
        <v>93</v>
      </c>
      <c r="F470" s="43" t="s">
        <v>3338</v>
      </c>
      <c r="G470" s="6" t="str">
        <f ca="1">IFERROR(__xludf.DUMMYFUNCTION("CONCATENATE(B470,(VLOOKUP(C470,CATALOGOS!$F$2:$H$6,3,FALSE)),(VLOOKUP(V470,CATALOGOS!$J$2:$K$18,2,FALSE)),""-"",TO_TEXT(A470))"),"P12CT-0469")</f>
        <v>P12CT-0469</v>
      </c>
      <c r="H470" s="6" t="str">
        <f ca="1">IFERROR(__xludf.DUMMYFUNCTION("CONCATENATE($B470,(VLOOKUP($C470,CATALOGOS!$F$2:$H$6,3,FALSE)),(VLOOKUP($V470,CATALOGOS!$J$2:$K$18,2,FALSE)),""-"",TO_TEXT($A470))"),"P12CT-0469")</f>
        <v>P12CT-0469</v>
      </c>
      <c r="I470" s="6"/>
      <c r="J470" s="6" t="s">
        <v>3339</v>
      </c>
      <c r="K470" s="54"/>
      <c r="L470" s="6" t="s">
        <v>3340</v>
      </c>
      <c r="M470" s="6" t="s">
        <v>3341</v>
      </c>
      <c r="N470" s="17"/>
      <c r="O470" s="17"/>
      <c r="P470" s="17" t="str">
        <f t="shared" si="5"/>
        <v>OK</v>
      </c>
      <c r="Q470" s="17" t="s">
        <v>35</v>
      </c>
      <c r="R470" s="6" t="s">
        <v>35</v>
      </c>
      <c r="S470" s="17" t="s">
        <v>36</v>
      </c>
      <c r="T470" s="17" t="s">
        <v>3342</v>
      </c>
      <c r="U470" s="173" t="s">
        <v>38</v>
      </c>
      <c r="V470" s="19" t="s">
        <v>2884</v>
      </c>
      <c r="W470" s="22" t="s">
        <v>3247</v>
      </c>
      <c r="X470" s="22" t="s">
        <v>3247</v>
      </c>
      <c r="Y470" s="22"/>
      <c r="Z470" s="7"/>
      <c r="AA470" s="7"/>
      <c r="AB470" s="23"/>
      <c r="AC470" s="26"/>
    </row>
    <row r="471" spans="1:29" ht="15.75" customHeight="1">
      <c r="A471" s="10" t="s">
        <v>3343</v>
      </c>
      <c r="B471" s="10" t="s">
        <v>1469</v>
      </c>
      <c r="C471" s="60" t="s">
        <v>1470</v>
      </c>
      <c r="D471" s="12"/>
      <c r="E471" s="13" t="s">
        <v>116</v>
      </c>
      <c r="F471" s="6" t="s">
        <v>3344</v>
      </c>
      <c r="G471" s="6" t="str">
        <f ca="1">IFERROR(__xludf.DUMMYFUNCTION("CONCATENATE(B471,(VLOOKUP(C471,CATALOGOS!$F$2:$H$6,3,FALSE)),(VLOOKUP(V471,CATALOGOS!$J$2:$K$18,2,FALSE)),""-"",TO_TEXT(A471))"),"P12CT-0470")</f>
        <v>P12CT-0470</v>
      </c>
      <c r="H471" s="6" t="str">
        <f ca="1">IFERROR(__xludf.DUMMYFUNCTION("CONCATENATE($B471,(VLOOKUP($C471,CATALOGOS!$F$2:$H$6,3,FALSE)),(VLOOKUP($V471,CATALOGOS!$J$2:$K$18,2,FALSE)),""-"",TO_TEXT($A471))"),"P12CT-0470")</f>
        <v>P12CT-0470</v>
      </c>
      <c r="I471" s="6"/>
      <c r="J471" s="6" t="s">
        <v>3345</v>
      </c>
      <c r="K471" s="6" t="s">
        <v>3346</v>
      </c>
      <c r="L471" s="6" t="s">
        <v>3347</v>
      </c>
      <c r="M471" s="6" t="s">
        <v>3348</v>
      </c>
      <c r="N471" s="17"/>
      <c r="O471" s="17"/>
      <c r="P471" s="17" t="str">
        <f t="shared" si="5"/>
        <v>OK</v>
      </c>
      <c r="Q471" s="17" t="s">
        <v>35</v>
      </c>
      <c r="R471" s="6" t="s">
        <v>35</v>
      </c>
      <c r="S471" s="17" t="s">
        <v>36</v>
      </c>
      <c r="T471" s="17" t="s">
        <v>3349</v>
      </c>
      <c r="U471" s="173" t="s">
        <v>38</v>
      </c>
      <c r="V471" s="19" t="s">
        <v>2884</v>
      </c>
      <c r="W471" s="22" t="s">
        <v>3247</v>
      </c>
      <c r="X471" s="22" t="s">
        <v>3247</v>
      </c>
      <c r="Y471" s="22"/>
      <c r="Z471" s="7"/>
      <c r="AA471" s="7"/>
      <c r="AB471" s="23"/>
      <c r="AC471" s="26"/>
    </row>
    <row r="472" spans="1:29" ht="15.75" customHeight="1">
      <c r="A472" s="10" t="s">
        <v>3350</v>
      </c>
      <c r="B472" s="10" t="s">
        <v>1469</v>
      </c>
      <c r="C472" s="60" t="s">
        <v>1470</v>
      </c>
      <c r="D472" s="12"/>
      <c r="E472" s="13" t="s">
        <v>151</v>
      </c>
      <c r="F472" s="6" t="s">
        <v>963</v>
      </c>
      <c r="G472" s="6" t="str">
        <f ca="1">IFERROR(__xludf.DUMMYFUNCTION("CONCATENATE(B472,(VLOOKUP(C472,CATALOGOS!$F$2:$H$6,3,FALSE)),(VLOOKUP(V472,CATALOGOS!$J$2:$K$18,2,FALSE)),""-"",TO_TEXT(A472))"),"P12CT-0471")</f>
        <v>P12CT-0471</v>
      </c>
      <c r="H472" s="6" t="str">
        <f ca="1">IFERROR(__xludf.DUMMYFUNCTION("CONCATENATE($B472,(VLOOKUP($C472,CATALOGOS!$F$2:$H$6,3,FALSE)),(VLOOKUP($V472,CATALOGOS!$J$2:$K$18,2,FALSE)),""-"",TO_TEXT($A472))"),"P12CT-0471")</f>
        <v>P12CT-0471</v>
      </c>
      <c r="I472" s="6"/>
      <c r="J472" s="6" t="s">
        <v>3351</v>
      </c>
      <c r="K472" s="6" t="s">
        <v>3352</v>
      </c>
      <c r="L472" s="6" t="s">
        <v>3353</v>
      </c>
      <c r="M472" s="6" t="s">
        <v>3354</v>
      </c>
      <c r="N472" s="17"/>
      <c r="O472" s="17"/>
      <c r="P472" s="17" t="str">
        <f t="shared" si="5"/>
        <v>OK</v>
      </c>
      <c r="Q472" s="17" t="s">
        <v>297</v>
      </c>
      <c r="R472" s="6" t="s">
        <v>1407</v>
      </c>
      <c r="S472" s="17" t="s">
        <v>3355</v>
      </c>
      <c r="T472" s="17" t="s">
        <v>3356</v>
      </c>
      <c r="U472" s="173" t="s">
        <v>38</v>
      </c>
      <c r="V472" s="19" t="s">
        <v>2884</v>
      </c>
      <c r="W472" s="22" t="s">
        <v>3247</v>
      </c>
      <c r="X472" s="22" t="s">
        <v>3247</v>
      </c>
      <c r="Y472" s="22"/>
      <c r="Z472" s="7"/>
      <c r="AA472" s="7"/>
      <c r="AB472" s="23"/>
      <c r="AC472" s="26"/>
    </row>
    <row r="473" spans="1:29" ht="15.75" customHeight="1">
      <c r="A473" s="10" t="s">
        <v>3357</v>
      </c>
      <c r="B473" s="10" t="s">
        <v>1469</v>
      </c>
      <c r="C473" s="60" t="s">
        <v>1470</v>
      </c>
      <c r="D473" s="12"/>
      <c r="E473" s="13" t="s">
        <v>151</v>
      </c>
      <c r="F473" s="6" t="s">
        <v>714</v>
      </c>
      <c r="G473" s="6" t="str">
        <f ca="1">IFERROR(__xludf.DUMMYFUNCTION("CONCATENATE(B473,(VLOOKUP(C473,CATALOGOS!$F$2:$H$6,3,FALSE)),(VLOOKUP(V473,CATALOGOS!$J$2:$K$18,2,FALSE)),""-"",TO_TEXT(A473))"),"P12CT-0472")</f>
        <v>P12CT-0472</v>
      </c>
      <c r="H473" s="6" t="str">
        <f ca="1">IFERROR(__xludf.DUMMYFUNCTION("CONCATENATE($B473,(VLOOKUP($C473,CATALOGOS!$F$2:$H$6,3,FALSE)),(VLOOKUP($V473,CATALOGOS!$J$2:$K$18,2,FALSE)),""-"",TO_TEXT($A473))"),"P12CT-0472")</f>
        <v>P12CT-0472</v>
      </c>
      <c r="I473" s="6"/>
      <c r="J473" s="6" t="s">
        <v>3358</v>
      </c>
      <c r="K473" s="6" t="s">
        <v>3359</v>
      </c>
      <c r="L473" s="6" t="s">
        <v>3360</v>
      </c>
      <c r="M473" s="6" t="s">
        <v>3361</v>
      </c>
      <c r="N473" s="17"/>
      <c r="O473" s="17"/>
      <c r="P473" s="17" t="str">
        <f t="shared" si="5"/>
        <v>OK</v>
      </c>
      <c r="Q473" s="17" t="s">
        <v>157</v>
      </c>
      <c r="R473" s="6" t="s">
        <v>158</v>
      </c>
      <c r="S473" s="17" t="s">
        <v>3362</v>
      </c>
      <c r="T473" s="10" t="s">
        <v>3363</v>
      </c>
      <c r="U473" s="173" t="s">
        <v>38</v>
      </c>
      <c r="V473" s="19" t="s">
        <v>2884</v>
      </c>
      <c r="W473" s="22" t="s">
        <v>3247</v>
      </c>
      <c r="X473" s="22" t="s">
        <v>3247</v>
      </c>
      <c r="Y473" s="22"/>
      <c r="Z473" s="7"/>
      <c r="AA473" s="7"/>
      <c r="AB473" s="23"/>
      <c r="AC473" s="26"/>
    </row>
    <row r="474" spans="1:29" ht="15.75" customHeight="1">
      <c r="A474" s="10" t="s">
        <v>3364</v>
      </c>
      <c r="B474" s="10" t="s">
        <v>1469</v>
      </c>
      <c r="C474" s="60" t="s">
        <v>1470</v>
      </c>
      <c r="D474" s="12"/>
      <c r="E474" s="13" t="s">
        <v>162</v>
      </c>
      <c r="F474" s="6" t="s">
        <v>285</v>
      </c>
      <c r="G474" s="6" t="str">
        <f ca="1">IFERROR(__xludf.DUMMYFUNCTION("CONCATENATE(B474,(VLOOKUP(C474,CATALOGOS!$F$2:$H$6,3,FALSE)),(VLOOKUP(V474,CATALOGOS!$J$2:$K$18,2,FALSE)),""-"",TO_TEXT(A474))"),"P12CT-0473")</f>
        <v>P12CT-0473</v>
      </c>
      <c r="H474" s="6" t="str">
        <f ca="1">IFERROR(__xludf.DUMMYFUNCTION("CONCATENATE($B474,(VLOOKUP($C474,CATALOGOS!$F$2:$H$6,3,FALSE)),(VLOOKUP($V474,CATALOGOS!$J$2:$K$18,2,FALSE)),""-"",TO_TEXT($A474))"),"P12CT-0473")</f>
        <v>P12CT-0473</v>
      </c>
      <c r="I474" s="6"/>
      <c r="J474" s="6" t="s">
        <v>3365</v>
      </c>
      <c r="K474" s="6" t="s">
        <v>3366</v>
      </c>
      <c r="L474" s="6" t="s">
        <v>3367</v>
      </c>
      <c r="M474" s="6" t="s">
        <v>3368</v>
      </c>
      <c r="N474" s="17"/>
      <c r="O474" s="17"/>
      <c r="P474" s="17" t="str">
        <f t="shared" si="5"/>
        <v>OK</v>
      </c>
      <c r="Q474" s="17" t="s">
        <v>168</v>
      </c>
      <c r="R474" s="6" t="s">
        <v>169</v>
      </c>
      <c r="S474" s="17" t="s">
        <v>3369</v>
      </c>
      <c r="T474" s="17" t="s">
        <v>3370</v>
      </c>
      <c r="U474" s="173" t="s">
        <v>38</v>
      </c>
      <c r="V474" s="19" t="s">
        <v>2884</v>
      </c>
      <c r="W474" s="22" t="s">
        <v>3247</v>
      </c>
      <c r="X474" s="22" t="s">
        <v>3247</v>
      </c>
      <c r="Y474" s="22"/>
      <c r="Z474" s="7"/>
      <c r="AA474" s="7"/>
      <c r="AB474" s="23"/>
      <c r="AC474" s="26"/>
    </row>
    <row r="475" spans="1:29" ht="15.75" customHeight="1">
      <c r="A475" s="10" t="s">
        <v>3371</v>
      </c>
      <c r="B475" s="10" t="s">
        <v>1469</v>
      </c>
      <c r="C475" s="60" t="s">
        <v>1470</v>
      </c>
      <c r="D475" s="12"/>
      <c r="E475" s="13" t="s">
        <v>199</v>
      </c>
      <c r="F475" s="6" t="s">
        <v>199</v>
      </c>
      <c r="G475" s="6" t="str">
        <f ca="1">IFERROR(__xludf.DUMMYFUNCTION("CONCATENATE(B475,(VLOOKUP(C475,CATALOGOS!$F$2:$H$6,3,FALSE)),(VLOOKUP(V475,CATALOGOS!$J$2:$K$18,2,FALSE)),""-"",TO_TEXT(A475))"),"P12CT-0474")</f>
        <v>P12CT-0474</v>
      </c>
      <c r="H475" s="6" t="str">
        <f ca="1">IFERROR(__xludf.DUMMYFUNCTION("CONCATENATE($B475,(VLOOKUP($C475,CATALOGOS!$F$2:$H$6,3,FALSE)),(VLOOKUP($V475,CATALOGOS!$J$2:$K$18,2,FALSE)),""-"",TO_TEXT($A475))"),"P12CT-0474")</f>
        <v>P12CT-0474</v>
      </c>
      <c r="I475" s="6"/>
      <c r="J475" s="6" t="s">
        <v>3372</v>
      </c>
      <c r="K475" s="6" t="s">
        <v>3373</v>
      </c>
      <c r="L475" s="6" t="s">
        <v>3374</v>
      </c>
      <c r="M475" s="6" t="s">
        <v>3375</v>
      </c>
      <c r="N475" s="17"/>
      <c r="O475" s="17"/>
      <c r="P475" s="17" t="str">
        <f t="shared" si="5"/>
        <v>OK</v>
      </c>
      <c r="Q475" s="17" t="s">
        <v>157</v>
      </c>
      <c r="R475" s="6">
        <v>2378</v>
      </c>
      <c r="S475" s="17" t="s">
        <v>3376</v>
      </c>
      <c r="T475" s="10" t="s">
        <v>3377</v>
      </c>
      <c r="U475" s="173" t="s">
        <v>38</v>
      </c>
      <c r="V475" s="19" t="s">
        <v>2884</v>
      </c>
      <c r="W475" s="22" t="s">
        <v>3247</v>
      </c>
      <c r="X475" s="22" t="s">
        <v>3247</v>
      </c>
      <c r="Y475" s="22"/>
      <c r="Z475" s="7"/>
      <c r="AA475" s="7"/>
      <c r="AB475" s="23"/>
      <c r="AC475" s="26"/>
    </row>
    <row r="476" spans="1:29" ht="15.75" customHeight="1">
      <c r="A476" s="10" t="s">
        <v>3378</v>
      </c>
      <c r="B476" s="10" t="s">
        <v>1469</v>
      </c>
      <c r="C476" s="60" t="s">
        <v>1470</v>
      </c>
      <c r="D476" s="12"/>
      <c r="E476" s="13" t="s">
        <v>353</v>
      </c>
      <c r="F476" s="43" t="s">
        <v>638</v>
      </c>
      <c r="G476" s="6" t="str">
        <f ca="1">IFERROR(__xludf.DUMMYFUNCTION("CONCATENATE(B476,(VLOOKUP(C476,CATALOGOS!$F$2:$H$6,3,FALSE)),(VLOOKUP(V476,CATALOGOS!$J$2:$K$18,2,FALSE)),""-"",TO_TEXT(A476))"),"P12CT-0475")</f>
        <v>P12CT-0475</v>
      </c>
      <c r="H476" s="6" t="str">
        <f ca="1">IFERROR(__xludf.DUMMYFUNCTION("CONCATENATE($B476,(VLOOKUP($C476,CATALOGOS!$F$2:$H$6,3,FALSE)),(VLOOKUP($V476,CATALOGOS!$J$2:$K$18,2,FALSE)),""-"",TO_TEXT($A476))"),"P12CT-0475")</f>
        <v>P12CT-0475</v>
      </c>
      <c r="I476" s="6"/>
      <c r="J476" s="6" t="s">
        <v>3379</v>
      </c>
      <c r="K476" s="6" t="s">
        <v>3380</v>
      </c>
      <c r="L476" s="6" t="s">
        <v>3381</v>
      </c>
      <c r="M476" s="6" t="s">
        <v>3382</v>
      </c>
      <c r="N476" s="17"/>
      <c r="O476" s="17"/>
      <c r="P476" s="17" t="str">
        <f t="shared" si="5"/>
        <v>OK</v>
      </c>
      <c r="Q476" s="17" t="s">
        <v>359</v>
      </c>
      <c r="R476" s="6" t="s">
        <v>360</v>
      </c>
      <c r="S476" s="17" t="s">
        <v>36</v>
      </c>
      <c r="T476" s="17" t="s">
        <v>3383</v>
      </c>
      <c r="U476" s="173" t="s">
        <v>38</v>
      </c>
      <c r="V476" s="19" t="s">
        <v>2884</v>
      </c>
      <c r="W476" s="22" t="s">
        <v>3247</v>
      </c>
      <c r="X476" s="22" t="s">
        <v>3247</v>
      </c>
      <c r="Y476" s="22"/>
      <c r="Z476" s="7"/>
      <c r="AA476" s="7"/>
      <c r="AB476" s="23"/>
      <c r="AC476" s="26"/>
    </row>
    <row r="477" spans="1:29" ht="15.75" customHeight="1">
      <c r="A477" s="10" t="s">
        <v>3384</v>
      </c>
      <c r="B477" s="10" t="s">
        <v>1469</v>
      </c>
      <c r="C477" s="60" t="s">
        <v>1470</v>
      </c>
      <c r="D477" s="12"/>
      <c r="E477" s="13" t="s">
        <v>248</v>
      </c>
      <c r="F477" s="43" t="s">
        <v>248</v>
      </c>
      <c r="G477" s="6" t="str">
        <f ca="1">IFERROR(__xludf.DUMMYFUNCTION("CONCATENATE(B477,(VLOOKUP(C477,CATALOGOS!$F$2:$H$6,3,FALSE)),(VLOOKUP(V477,CATALOGOS!$J$2:$K$18,2,FALSE)),""-"",TO_TEXT(A477))"),"P12CT-0476")</f>
        <v>P12CT-0476</v>
      </c>
      <c r="H477" s="6" t="str">
        <f ca="1">IFERROR(__xludf.DUMMYFUNCTION("CONCATENATE($B477,(VLOOKUP($C477,CATALOGOS!$F$2:$H$6,3,FALSE)),(VLOOKUP($V477,CATALOGOS!$J$2:$K$18,2,FALSE)),""-"",TO_TEXT($A477))"),"P12CT-0476")</f>
        <v>P12CT-0476</v>
      </c>
      <c r="I477" s="6"/>
      <c r="J477" s="6" t="s">
        <v>3385</v>
      </c>
      <c r="K477" s="6" t="s">
        <v>3386</v>
      </c>
      <c r="L477" s="6" t="s">
        <v>3387</v>
      </c>
      <c r="M477" s="6" t="s">
        <v>3388</v>
      </c>
      <c r="N477" s="17"/>
      <c r="O477" s="17"/>
      <c r="P477" s="17" t="str">
        <f t="shared" si="5"/>
        <v>OK</v>
      </c>
      <c r="Q477" s="17" t="s">
        <v>978</v>
      </c>
      <c r="R477" s="6" t="s">
        <v>979</v>
      </c>
      <c r="S477" s="17" t="s">
        <v>3389</v>
      </c>
      <c r="T477" s="17" t="s">
        <v>3390</v>
      </c>
      <c r="U477" s="173" t="s">
        <v>38</v>
      </c>
      <c r="V477" s="19" t="s">
        <v>2884</v>
      </c>
      <c r="W477" s="22" t="s">
        <v>3247</v>
      </c>
      <c r="X477" s="22" t="s">
        <v>3247</v>
      </c>
      <c r="Y477" s="22"/>
      <c r="Z477" s="7"/>
      <c r="AA477" s="7"/>
      <c r="AB477" s="23"/>
      <c r="AC477" s="26"/>
    </row>
    <row r="478" spans="1:29" ht="15.75" customHeight="1">
      <c r="A478" s="10" t="s">
        <v>3391</v>
      </c>
      <c r="B478" s="10" t="s">
        <v>1469</v>
      </c>
      <c r="C478" s="60" t="s">
        <v>1470</v>
      </c>
      <c r="D478" s="12"/>
      <c r="E478" s="13" t="s">
        <v>1240</v>
      </c>
      <c r="F478" s="6" t="s">
        <v>1240</v>
      </c>
      <c r="G478" s="6" t="str">
        <f ca="1">IFERROR(__xludf.DUMMYFUNCTION("CONCATENATE(B478,(VLOOKUP(C478,CATALOGOS!$F$2:$H$6,3,FALSE)),(VLOOKUP(V478,CATALOGOS!$J$2:$K$18,2,FALSE)),""-"",TO_TEXT(A478))"),"P12CT-0477")</f>
        <v>P12CT-0477</v>
      </c>
      <c r="H478" s="6" t="str">
        <f ca="1">IFERROR(__xludf.DUMMYFUNCTION("CONCATENATE($B478,(VLOOKUP($C478,CATALOGOS!$F$2:$H$6,3,FALSE)),(VLOOKUP($V478,CATALOGOS!$J$2:$K$18,2,FALSE)),""-"",TO_TEXT($A478))"),"P12CT-0477")</f>
        <v>P12CT-0477</v>
      </c>
      <c r="I478" s="6"/>
      <c r="J478" s="6" t="s">
        <v>3392</v>
      </c>
      <c r="K478" s="6" t="s">
        <v>3393</v>
      </c>
      <c r="L478" s="6" t="s">
        <v>3394</v>
      </c>
      <c r="M478" s="6" t="s">
        <v>3395</v>
      </c>
      <c r="N478" s="17"/>
      <c r="O478" s="17"/>
      <c r="P478" s="17" t="str">
        <f t="shared" si="5"/>
        <v>OK</v>
      </c>
      <c r="Q478" s="17" t="s">
        <v>35</v>
      </c>
      <c r="R478" s="6" t="s">
        <v>35</v>
      </c>
      <c r="S478" s="17" t="s">
        <v>36</v>
      </c>
      <c r="T478" s="17" t="s">
        <v>3396</v>
      </c>
      <c r="U478" s="173" t="s">
        <v>38</v>
      </c>
      <c r="V478" s="19" t="s">
        <v>2884</v>
      </c>
      <c r="W478" s="20" t="s">
        <v>3247</v>
      </c>
      <c r="X478" s="20" t="s">
        <v>3247</v>
      </c>
      <c r="Y478" s="20"/>
      <c r="Z478" s="7"/>
      <c r="AA478" s="7"/>
      <c r="AB478" s="23"/>
      <c r="AC478" s="26"/>
    </row>
    <row r="479" spans="1:29" ht="15.75" customHeight="1">
      <c r="A479" s="10" t="s">
        <v>3397</v>
      </c>
      <c r="B479" s="10" t="s">
        <v>1469</v>
      </c>
      <c r="C479" s="60" t="s">
        <v>1470</v>
      </c>
      <c r="D479" s="12"/>
      <c r="E479" s="13" t="s">
        <v>248</v>
      </c>
      <c r="F479" s="43" t="s">
        <v>248</v>
      </c>
      <c r="G479" s="6" t="str">
        <f ca="1">IFERROR(__xludf.DUMMYFUNCTION("CONCATENATE(B479,(VLOOKUP(C479,CATALOGOS!$F$2:$H$6,3,FALSE)),(VLOOKUP(V479,CATALOGOS!$J$2:$K$18,2,FALSE)),""-"",TO_TEXT(A479))"),"P12CT-0478")</f>
        <v>P12CT-0478</v>
      </c>
      <c r="H479" s="6" t="str">
        <f ca="1">IFERROR(__xludf.DUMMYFUNCTION("CONCATENATE($B479,(VLOOKUP($C479,CATALOGOS!$F$2:$H$6,3,FALSE)),(VLOOKUP($V479,CATALOGOS!$J$2:$K$18,2,FALSE)),""-"",TO_TEXT($A479))"),"P12CT-0478")</f>
        <v>P12CT-0478</v>
      </c>
      <c r="I479" s="6"/>
      <c r="J479" s="6" t="s">
        <v>3398</v>
      </c>
      <c r="K479" s="6" t="s">
        <v>3399</v>
      </c>
      <c r="L479" s="6" t="s">
        <v>3400</v>
      </c>
      <c r="M479" s="6" t="s">
        <v>3401</v>
      </c>
      <c r="N479" s="17"/>
      <c r="O479" s="17"/>
      <c r="P479" s="17" t="str">
        <f t="shared" si="5"/>
        <v>OK</v>
      </c>
      <c r="Q479" s="17" t="s">
        <v>827</v>
      </c>
      <c r="R479" s="6" t="s">
        <v>828</v>
      </c>
      <c r="S479" s="17" t="s">
        <v>3402</v>
      </c>
      <c r="T479" s="10" t="s">
        <v>3403</v>
      </c>
      <c r="U479" s="173" t="s">
        <v>38</v>
      </c>
      <c r="V479" s="19" t="s">
        <v>2884</v>
      </c>
      <c r="W479" s="22" t="s">
        <v>3247</v>
      </c>
      <c r="X479" s="22" t="s">
        <v>3247</v>
      </c>
      <c r="Y479" s="22"/>
      <c r="Z479" s="7"/>
      <c r="AA479" s="7"/>
      <c r="AB479" s="23"/>
      <c r="AC479" s="26"/>
    </row>
    <row r="480" spans="1:29" ht="15.75" customHeight="1">
      <c r="A480" s="10" t="s">
        <v>3404</v>
      </c>
      <c r="B480" s="10" t="s">
        <v>1469</v>
      </c>
      <c r="C480" s="60" t="s">
        <v>1470</v>
      </c>
      <c r="D480" s="12"/>
      <c r="E480" s="13" t="s">
        <v>43</v>
      </c>
      <c r="F480" s="43" t="s">
        <v>3405</v>
      </c>
      <c r="G480" s="6" t="str">
        <f ca="1">IFERROR(__xludf.DUMMYFUNCTION("CONCATENATE(B480,(VLOOKUP(C480,CATALOGOS!$F$2:$H$6,3,FALSE)),(VLOOKUP(V480,CATALOGOS!$J$2:$K$18,2,FALSE)),""-"",TO_TEXT(A480))"),"P12CT-0479")</f>
        <v>P12CT-0479</v>
      </c>
      <c r="H480" s="6" t="str">
        <f ca="1">IFERROR(__xludf.DUMMYFUNCTION("CONCATENATE($B480,(VLOOKUP($C480,CATALOGOS!$F$2:$H$6,3,FALSE)),(VLOOKUP($V480,CATALOGOS!$J$2:$K$18,2,FALSE)),""-"",TO_TEXT($A480))"),"P12CT-0479")</f>
        <v>P12CT-0479</v>
      </c>
      <c r="I480" s="6"/>
      <c r="J480" s="6" t="s">
        <v>3406</v>
      </c>
      <c r="K480" s="6" t="s">
        <v>3407</v>
      </c>
      <c r="L480" s="6" t="s">
        <v>3408</v>
      </c>
      <c r="M480" s="6" t="s">
        <v>3409</v>
      </c>
      <c r="N480" s="17"/>
      <c r="O480" s="17"/>
      <c r="P480" s="17" t="str">
        <f t="shared" si="5"/>
        <v>OK</v>
      </c>
      <c r="Q480" s="17" t="s">
        <v>49</v>
      </c>
      <c r="R480" s="6">
        <v>3352</v>
      </c>
      <c r="S480" s="17" t="s">
        <v>36</v>
      </c>
      <c r="T480" s="10" t="s">
        <v>3410</v>
      </c>
      <c r="U480" s="173" t="s">
        <v>38</v>
      </c>
      <c r="V480" s="19" t="s">
        <v>2884</v>
      </c>
      <c r="W480" s="20" t="s">
        <v>385</v>
      </c>
      <c r="X480" s="20" t="s">
        <v>385</v>
      </c>
      <c r="Y480" s="20"/>
      <c r="Z480" s="7"/>
      <c r="AA480" s="7"/>
      <c r="AB480" s="23"/>
      <c r="AC480" s="26"/>
    </row>
    <row r="481" spans="1:29" ht="15.75" customHeight="1">
      <c r="A481" s="10" t="s">
        <v>3411</v>
      </c>
      <c r="B481" s="10" t="s">
        <v>1469</v>
      </c>
      <c r="C481" s="60" t="s">
        <v>1470</v>
      </c>
      <c r="D481" s="12"/>
      <c r="E481" s="13" t="s">
        <v>248</v>
      </c>
      <c r="F481" s="6" t="s">
        <v>248</v>
      </c>
      <c r="G481" s="6" t="str">
        <f ca="1">IFERROR(__xludf.DUMMYFUNCTION("CONCATENATE(B481,(VLOOKUP(C481,CATALOGOS!$F$2:$H$6,3,FALSE)),(VLOOKUP(V481,CATALOGOS!$J$2:$K$18,2,FALSE)),""-"",TO_TEXT(A481))"),"P12CT-0480")</f>
        <v>P12CT-0480</v>
      </c>
      <c r="H481" s="6" t="str">
        <f ca="1">IFERROR(__xludf.DUMMYFUNCTION("CONCATENATE($B481,(VLOOKUP($C481,CATALOGOS!$F$2:$H$6,3,FALSE)),(VLOOKUP($V481,CATALOGOS!$J$2:$K$18,2,FALSE)),""-"",TO_TEXT($A481))"),"P12CT-0480")</f>
        <v>P12CT-0480</v>
      </c>
      <c r="I481" s="6"/>
      <c r="J481" s="6" t="s">
        <v>3412</v>
      </c>
      <c r="K481" s="6" t="s">
        <v>3413</v>
      </c>
      <c r="L481" s="6" t="s">
        <v>3414</v>
      </c>
      <c r="M481" s="6" t="s">
        <v>3415</v>
      </c>
      <c r="N481" s="17"/>
      <c r="O481" s="17"/>
      <c r="P481" s="17" t="str">
        <f t="shared" si="5"/>
        <v>OK</v>
      </c>
      <c r="Q481" s="17" t="s">
        <v>250</v>
      </c>
      <c r="R481" s="6" t="s">
        <v>3416</v>
      </c>
      <c r="S481" s="17" t="s">
        <v>3417</v>
      </c>
      <c r="T481" s="10" t="s">
        <v>3418</v>
      </c>
      <c r="U481" s="173" t="s">
        <v>38</v>
      </c>
      <c r="V481" s="19" t="s">
        <v>2884</v>
      </c>
      <c r="W481" s="20" t="s">
        <v>385</v>
      </c>
      <c r="X481" s="20" t="s">
        <v>385</v>
      </c>
      <c r="Y481" s="20"/>
      <c r="Z481" s="7"/>
      <c r="AA481" s="7"/>
      <c r="AB481" s="23"/>
      <c r="AC481" s="26"/>
    </row>
    <row r="482" spans="1:29" ht="15.75" customHeight="1">
      <c r="A482" s="10" t="s">
        <v>3419</v>
      </c>
      <c r="B482" s="10" t="s">
        <v>1469</v>
      </c>
      <c r="C482" s="60" t="s">
        <v>1470</v>
      </c>
      <c r="D482" s="12"/>
      <c r="E482" s="13" t="s">
        <v>1240</v>
      </c>
      <c r="F482" s="6" t="s">
        <v>1240</v>
      </c>
      <c r="G482" s="6" t="str">
        <f ca="1">IFERROR(__xludf.DUMMYFUNCTION("CONCATENATE(B482,(VLOOKUP(C482,CATALOGOS!$F$2:$H$6,3,FALSE)),(VLOOKUP(V482,CATALOGOS!$J$2:$K$18,2,FALSE)),""-"",TO_TEXT(A482))"),"P12CT-0481")</f>
        <v>P12CT-0481</v>
      </c>
      <c r="H482" s="6" t="str">
        <f ca="1">IFERROR(__xludf.DUMMYFUNCTION("CONCATENATE($B482,(VLOOKUP($C482,CATALOGOS!$F$2:$H$6,3,FALSE)),(VLOOKUP($V482,CATALOGOS!$J$2:$K$18,2,FALSE)),""-"",TO_TEXT($A482))"),"P12CT-0481")</f>
        <v>P12CT-0481</v>
      </c>
      <c r="I482" s="6"/>
      <c r="J482" s="6" t="s">
        <v>3420</v>
      </c>
      <c r="K482" s="6" t="s">
        <v>3421</v>
      </c>
      <c r="L482" s="6" t="s">
        <v>3422</v>
      </c>
      <c r="M482" s="6" t="s">
        <v>3423</v>
      </c>
      <c r="N482" s="17"/>
      <c r="O482" s="17"/>
      <c r="P482" s="17" t="str">
        <f t="shared" si="5"/>
        <v>OK</v>
      </c>
      <c r="Q482" s="17" t="s">
        <v>35</v>
      </c>
      <c r="R482" s="6" t="s">
        <v>35</v>
      </c>
      <c r="S482" s="17" t="s">
        <v>36</v>
      </c>
      <c r="T482" s="17" t="s">
        <v>3424</v>
      </c>
      <c r="U482" s="173" t="s">
        <v>38</v>
      </c>
      <c r="V482" s="19" t="s">
        <v>2884</v>
      </c>
      <c r="W482" s="20" t="s">
        <v>385</v>
      </c>
      <c r="X482" s="20" t="s">
        <v>385</v>
      </c>
      <c r="Y482" s="20"/>
      <c r="Z482" s="7"/>
      <c r="AA482" s="7"/>
      <c r="AB482" s="23"/>
      <c r="AC482" s="26"/>
    </row>
    <row r="483" spans="1:29" ht="15.75" customHeight="1">
      <c r="A483" s="10" t="s">
        <v>3425</v>
      </c>
      <c r="B483" s="10" t="s">
        <v>1469</v>
      </c>
      <c r="C483" s="60" t="s">
        <v>1470</v>
      </c>
      <c r="D483" s="12"/>
      <c r="E483" s="13" t="s">
        <v>116</v>
      </c>
      <c r="F483" s="6" t="s">
        <v>117</v>
      </c>
      <c r="G483" s="6" t="str">
        <f ca="1">IFERROR(__xludf.DUMMYFUNCTION("CONCATENATE(B483,(VLOOKUP(C483,CATALOGOS!$F$2:$H$6,3,FALSE)),(VLOOKUP(V483,CATALOGOS!$J$2:$K$18,2,FALSE)),""-"",TO_TEXT(A483))"),"P12CT-0482")</f>
        <v>P12CT-0482</v>
      </c>
      <c r="H483" s="6" t="str">
        <f ca="1">IFERROR(__xludf.DUMMYFUNCTION("CONCATENATE($B483,(VLOOKUP($C483,CATALOGOS!$F$2:$H$6,3,FALSE)),(VLOOKUP($V483,CATALOGOS!$J$2:$K$18,2,FALSE)),""-"",TO_TEXT($A483))"),"P12CT-0482")</f>
        <v>P12CT-0482</v>
      </c>
      <c r="I483" s="6"/>
      <c r="J483" s="6" t="s">
        <v>3426</v>
      </c>
      <c r="K483" s="6" t="s">
        <v>3427</v>
      </c>
      <c r="L483" s="6" t="s">
        <v>3428</v>
      </c>
      <c r="M483" s="6" t="s">
        <v>3429</v>
      </c>
      <c r="N483" s="17"/>
      <c r="O483" s="17"/>
      <c r="P483" s="17" t="str">
        <f t="shared" si="5"/>
        <v>OK</v>
      </c>
      <c r="Q483" s="17" t="s">
        <v>35</v>
      </c>
      <c r="R483" s="49" t="s">
        <v>35</v>
      </c>
      <c r="S483" s="17" t="s">
        <v>36</v>
      </c>
      <c r="T483" s="17" t="s">
        <v>3430</v>
      </c>
      <c r="U483" s="173" t="s">
        <v>38</v>
      </c>
      <c r="V483" s="19" t="s">
        <v>2884</v>
      </c>
      <c r="W483" s="20" t="s">
        <v>385</v>
      </c>
      <c r="X483" s="20" t="s">
        <v>385</v>
      </c>
      <c r="Y483" s="20"/>
      <c r="Z483" s="7"/>
      <c r="AA483" s="7"/>
      <c r="AB483" s="23"/>
      <c r="AC483" s="26"/>
    </row>
    <row r="484" spans="1:29" ht="15.75" customHeight="1">
      <c r="A484" s="10" t="s">
        <v>3431</v>
      </c>
      <c r="B484" s="10" t="s">
        <v>1469</v>
      </c>
      <c r="C484" s="60" t="s">
        <v>1470</v>
      </c>
      <c r="D484" s="12"/>
      <c r="E484" s="13" t="s">
        <v>93</v>
      </c>
      <c r="F484" s="6" t="s">
        <v>3432</v>
      </c>
      <c r="G484" s="6" t="str">
        <f ca="1">IFERROR(__xludf.DUMMYFUNCTION("CONCATENATE(B484,(VLOOKUP(C484,CATALOGOS!$F$2:$H$6,3,FALSE)),(VLOOKUP(V484,CATALOGOS!$J$2:$K$18,2,FALSE)),""-"",TO_TEXT(A484))"),"P12PP-0483")</f>
        <v>P12PP-0483</v>
      </c>
      <c r="H484" s="6" t="str">
        <f ca="1">IFERROR(__xludf.DUMMYFUNCTION("CONCATENATE($B484,(VLOOKUP($C484,CATALOGOS!$F$2:$H$6,3,FALSE)),(VLOOKUP($V484,CATALOGOS!$J$2:$K$18,2,FALSE)),""-"",TO_TEXT($A484))"),"P12PP-0483")</f>
        <v>P12PP-0483</v>
      </c>
      <c r="I484" s="6"/>
      <c r="J484" s="6" t="s">
        <v>3433</v>
      </c>
      <c r="K484" s="6" t="s">
        <v>3434</v>
      </c>
      <c r="L484" s="6" t="s">
        <v>3435</v>
      </c>
      <c r="M484" s="6" t="s">
        <v>141</v>
      </c>
      <c r="N484" s="17"/>
      <c r="O484" s="17"/>
      <c r="P484" s="17" t="str">
        <f t="shared" si="5"/>
        <v>REPETIDO</v>
      </c>
      <c r="Q484" s="17" t="s">
        <v>35</v>
      </c>
      <c r="R484" s="32" t="s">
        <v>35</v>
      </c>
      <c r="S484" s="17" t="s">
        <v>36</v>
      </c>
      <c r="T484" s="17" t="s">
        <v>3436</v>
      </c>
      <c r="U484" s="173" t="s">
        <v>38</v>
      </c>
      <c r="V484" s="11" t="s">
        <v>1548</v>
      </c>
      <c r="W484" s="20" t="s">
        <v>1597</v>
      </c>
      <c r="X484" s="20" t="s">
        <v>1597</v>
      </c>
      <c r="Y484" s="20"/>
      <c r="Z484" s="7"/>
      <c r="AA484" s="7"/>
      <c r="AB484" s="23"/>
      <c r="AC484" s="26"/>
    </row>
    <row r="485" spans="1:29" ht="15.75" customHeight="1">
      <c r="A485" s="10" t="s">
        <v>3437</v>
      </c>
      <c r="B485" s="10" t="s">
        <v>1469</v>
      </c>
      <c r="C485" s="60" t="s">
        <v>1470</v>
      </c>
      <c r="D485" s="38"/>
      <c r="E485" s="13" t="s">
        <v>184</v>
      </c>
      <c r="F485" s="6" t="s">
        <v>2677</v>
      </c>
      <c r="G485" s="6" t="str">
        <f ca="1">IFERROR(__xludf.DUMMYFUNCTION("CONCATENATE(B485,(VLOOKUP(C485,CATALOGOS!$F$2:$H$6,3,FALSE)),(VLOOKUP(V485,CATALOGOS!$J$2:$K$18,2,FALSE)),""-"",TO_TEXT(A485))"),"P12CT-0484")</f>
        <v>P12CT-0484</v>
      </c>
      <c r="H485" s="6" t="str">
        <f ca="1">IFERROR(__xludf.DUMMYFUNCTION("CONCATENATE($B485,(VLOOKUP($C485,CATALOGOS!$F$2:$H$6,3,FALSE)),(VLOOKUP($V485,CATALOGOS!$J$2:$K$18,2,FALSE)),""-"",TO_TEXT($A485))"),"P12CT-0484")</f>
        <v>P12CT-0484</v>
      </c>
      <c r="I485" s="6"/>
      <c r="J485" s="6" t="s">
        <v>3438</v>
      </c>
      <c r="K485" s="6" t="s">
        <v>3439</v>
      </c>
      <c r="L485" s="6" t="s">
        <v>3440</v>
      </c>
      <c r="M485" s="6" t="s">
        <v>3441</v>
      </c>
      <c r="N485" s="17"/>
      <c r="O485" s="17"/>
      <c r="P485" s="17" t="str">
        <f t="shared" si="5"/>
        <v>OK</v>
      </c>
      <c r="Q485" s="17" t="s">
        <v>35</v>
      </c>
      <c r="R485" s="6" t="s">
        <v>35</v>
      </c>
      <c r="S485" s="46" t="s">
        <v>36</v>
      </c>
      <c r="T485" s="17" t="s">
        <v>3442</v>
      </c>
      <c r="U485" s="173" t="s">
        <v>38</v>
      </c>
      <c r="V485" s="11" t="s">
        <v>2884</v>
      </c>
      <c r="W485" s="32" t="s">
        <v>3247</v>
      </c>
      <c r="X485" s="32" t="s">
        <v>3247</v>
      </c>
      <c r="Y485" s="32"/>
      <c r="Z485" s="6"/>
      <c r="AA485" s="6" t="s">
        <v>51</v>
      </c>
      <c r="AB485" s="26"/>
      <c r="AC485" s="26"/>
    </row>
    <row r="486" spans="1:29" ht="15.75" customHeight="1">
      <c r="A486" s="10" t="s">
        <v>3443</v>
      </c>
      <c r="B486" s="10" t="s">
        <v>1469</v>
      </c>
      <c r="C486" s="52" t="s">
        <v>868</v>
      </c>
      <c r="D486" s="12"/>
      <c r="E486" s="13" t="s">
        <v>501</v>
      </c>
      <c r="F486" s="6" t="s">
        <v>3444</v>
      </c>
      <c r="G486" s="6" t="str">
        <f ca="1">IFERROR(__xludf.DUMMYFUNCTION("CONCATENATE(B486,(VLOOKUP(C486,CATALOGOS!$F$2:$H$6,3,FALSE)),(VLOOKUP(V486,CATALOGOS!$J$2:$K$18,2,FALSE)),""-"",TO_TEXT(A486))"),"P13SO-0485")</f>
        <v>P13SO-0485</v>
      </c>
      <c r="H486" s="15" t="str">
        <f ca="1">IFERROR(__xludf.DUMMYFUNCTION("CONCATENATE($B486,(VLOOKUP($C486,CATALOGOS!$F$2:$H$6,3,FALSE)),(VLOOKUP($V486,CATALOGOS!$J$2:$K$18,2,FALSE)),""-"",TO_TEXT($A486))"),"P13SO-0485")</f>
        <v>P13SO-0485</v>
      </c>
      <c r="I486" s="6"/>
      <c r="J486" s="6" t="s">
        <v>3445</v>
      </c>
      <c r="K486" s="6" t="s">
        <v>3446</v>
      </c>
      <c r="L486" s="6" t="s">
        <v>3447</v>
      </c>
      <c r="M486" s="6" t="s">
        <v>3448</v>
      </c>
      <c r="N486" s="17"/>
      <c r="O486" s="17"/>
      <c r="P486" s="17" t="str">
        <f t="shared" si="5"/>
        <v>OK</v>
      </c>
      <c r="Q486" s="17" t="s">
        <v>35</v>
      </c>
      <c r="R486" s="6" t="s">
        <v>35</v>
      </c>
      <c r="S486" s="17" t="s">
        <v>36</v>
      </c>
      <c r="T486" s="17" t="s">
        <v>3449</v>
      </c>
      <c r="U486" s="173" t="s">
        <v>38</v>
      </c>
      <c r="V486" s="11" t="s">
        <v>868</v>
      </c>
      <c r="W486" s="20" t="s">
        <v>3450</v>
      </c>
      <c r="X486" s="22" t="s">
        <v>3451</v>
      </c>
      <c r="Y486" s="22"/>
      <c r="Z486" s="7"/>
      <c r="AA486" s="7"/>
      <c r="AB486" s="23"/>
      <c r="AC486" s="26"/>
    </row>
    <row r="487" spans="1:29" ht="15.75" customHeight="1">
      <c r="A487" s="10" t="s">
        <v>3452</v>
      </c>
      <c r="B487" s="10" t="s">
        <v>1469</v>
      </c>
      <c r="C487" s="52" t="s">
        <v>868</v>
      </c>
      <c r="D487" s="12"/>
      <c r="E487" s="13" t="s">
        <v>248</v>
      </c>
      <c r="F487" s="6" t="s">
        <v>249</v>
      </c>
      <c r="G487" s="6" t="str">
        <f ca="1">IFERROR(__xludf.DUMMYFUNCTION("CONCATENATE(B487,(VLOOKUP(C487,CATALOGOS!$F$2:$H$6,3,FALSE)),(VLOOKUP(V487,CATALOGOS!$J$2:$K$18,2,FALSE)),""-"",TO_TEXT(A487))"),"P13SO-0486")</f>
        <v>P13SO-0486</v>
      </c>
      <c r="H487" s="15" t="str">
        <f ca="1">IFERROR(__xludf.DUMMYFUNCTION("CONCATENATE($B487,(VLOOKUP($C487,CATALOGOS!$F$2:$H$6,3,FALSE)),(VLOOKUP($V487,CATALOGOS!$J$2:$K$18,2,FALSE)),""-"",TO_TEXT($A487))"),"P13SO-0486")</f>
        <v>P13SO-0486</v>
      </c>
      <c r="I487" s="6"/>
      <c r="J487" s="6" t="s">
        <v>3453</v>
      </c>
      <c r="K487" s="6" t="s">
        <v>3454</v>
      </c>
      <c r="L487" s="6" t="s">
        <v>3455</v>
      </c>
      <c r="M487" s="6" t="s">
        <v>3456</v>
      </c>
      <c r="N487" s="17"/>
      <c r="O487" s="17"/>
      <c r="P487" s="17" t="str">
        <f t="shared" si="5"/>
        <v>OK</v>
      </c>
      <c r="Q487" s="17" t="s">
        <v>303</v>
      </c>
      <c r="R487" s="6" t="s">
        <v>304</v>
      </c>
      <c r="S487" s="17" t="s">
        <v>3457</v>
      </c>
      <c r="T487" s="10" t="s">
        <v>3458</v>
      </c>
      <c r="U487" s="173" t="s">
        <v>38</v>
      </c>
      <c r="V487" s="11" t="s">
        <v>868</v>
      </c>
      <c r="W487" s="20" t="s">
        <v>3450</v>
      </c>
      <c r="X487" s="22" t="s">
        <v>3451</v>
      </c>
      <c r="Y487" s="22"/>
      <c r="Z487" s="7"/>
      <c r="AA487" s="7"/>
      <c r="AB487" s="23"/>
      <c r="AC487" s="26"/>
    </row>
    <row r="488" spans="1:29" ht="15.75" customHeight="1">
      <c r="A488" s="10" t="s">
        <v>3459</v>
      </c>
      <c r="B488" s="10" t="s">
        <v>1469</v>
      </c>
      <c r="C488" s="52" t="s">
        <v>868</v>
      </c>
      <c r="D488" s="12"/>
      <c r="E488" s="13" t="s">
        <v>43</v>
      </c>
      <c r="F488" s="6" t="s">
        <v>1492</v>
      </c>
      <c r="G488" s="6" t="str">
        <f ca="1">IFERROR(__xludf.DUMMYFUNCTION("CONCATENATE(B488,(VLOOKUP(C488,CATALOGOS!$F$2:$H$6,3,FALSE)),(VLOOKUP(V488,CATALOGOS!$J$2:$K$18,2,FALSE)),""-"",TO_TEXT(A488))"),"P13SO-0487")</f>
        <v>P13SO-0487</v>
      </c>
      <c r="H488" s="15" t="str">
        <f ca="1">IFERROR(__xludf.DUMMYFUNCTION("CONCATENATE($B488,(VLOOKUP($C488,CATALOGOS!$F$2:$H$6,3,FALSE)),(VLOOKUP($V488,CATALOGOS!$J$2:$K$18,2,FALSE)),""-"",TO_TEXT($A488))"),"P13SO-0487")</f>
        <v>P13SO-0487</v>
      </c>
      <c r="I488" s="6"/>
      <c r="J488" s="6" t="s">
        <v>3460</v>
      </c>
      <c r="K488" s="6" t="s">
        <v>3461</v>
      </c>
      <c r="L488" s="6" t="s">
        <v>3462</v>
      </c>
      <c r="M488" s="6" t="s">
        <v>3463</v>
      </c>
      <c r="N488" s="17"/>
      <c r="O488" s="17"/>
      <c r="P488" s="17" t="str">
        <f t="shared" si="5"/>
        <v>OK</v>
      </c>
      <c r="Q488" s="17" t="s">
        <v>406</v>
      </c>
      <c r="R488" s="6" t="s">
        <v>407</v>
      </c>
      <c r="S488" s="17" t="s">
        <v>36</v>
      </c>
      <c r="T488" s="17" t="s">
        <v>3464</v>
      </c>
      <c r="U488" s="173" t="s">
        <v>38</v>
      </c>
      <c r="V488" s="11" t="s">
        <v>868</v>
      </c>
      <c r="W488" s="20" t="s">
        <v>3450</v>
      </c>
      <c r="X488" s="22" t="s">
        <v>3451</v>
      </c>
      <c r="Y488" s="22"/>
      <c r="Z488" s="7"/>
      <c r="AA488" s="7"/>
      <c r="AB488" s="23"/>
      <c r="AC488" s="26"/>
    </row>
    <row r="489" spans="1:29" ht="15.75" customHeight="1">
      <c r="A489" s="10" t="s">
        <v>3465</v>
      </c>
      <c r="B489" s="10" t="s">
        <v>1469</v>
      </c>
      <c r="C489" s="52" t="s">
        <v>868</v>
      </c>
      <c r="D489" s="12"/>
      <c r="E489" s="13" t="s">
        <v>93</v>
      </c>
      <c r="F489" s="6" t="s">
        <v>3466</v>
      </c>
      <c r="G489" s="6" t="str">
        <f ca="1">IFERROR(__xludf.DUMMYFUNCTION("CONCATENATE(B489,(VLOOKUP(C489,CATALOGOS!$F$2:$H$6,3,FALSE)),(VLOOKUP(V489,CATALOGOS!$J$2:$K$18,2,FALSE)),""-"",TO_TEXT(A489))"),"P13SO-0488")</f>
        <v>P13SO-0488</v>
      </c>
      <c r="H489" s="15" t="str">
        <f ca="1">IFERROR(__xludf.DUMMYFUNCTION("CONCATENATE($B489,(VLOOKUP($C489,CATALOGOS!$F$2:$H$6,3,FALSE)),(VLOOKUP($V489,CATALOGOS!$J$2:$K$18,2,FALSE)),""-"",TO_TEXT($A489))"),"P13SO-0488")</f>
        <v>P13SO-0488</v>
      </c>
      <c r="I489" s="6"/>
      <c r="J489" s="6" t="s">
        <v>3467</v>
      </c>
      <c r="K489" s="6" t="s">
        <v>3468</v>
      </c>
      <c r="L489" s="6" t="s">
        <v>3469</v>
      </c>
      <c r="M489" s="6" t="s">
        <v>3470</v>
      </c>
      <c r="N489" s="17"/>
      <c r="O489" s="17"/>
      <c r="P489" s="17" t="str">
        <f t="shared" si="5"/>
        <v>OK</v>
      </c>
      <c r="Q489" s="17" t="s">
        <v>35</v>
      </c>
      <c r="R489" s="6" t="s">
        <v>35</v>
      </c>
      <c r="S489" s="17" t="s">
        <v>36</v>
      </c>
      <c r="T489" s="17" t="s">
        <v>3471</v>
      </c>
      <c r="U489" s="173" t="s">
        <v>38</v>
      </c>
      <c r="V489" s="11" t="s">
        <v>868</v>
      </c>
      <c r="W489" s="20" t="s">
        <v>3450</v>
      </c>
      <c r="X489" s="22" t="s">
        <v>3451</v>
      </c>
      <c r="Y489" s="22"/>
      <c r="Z489" s="7"/>
      <c r="AA489" s="7"/>
      <c r="AB489" s="23"/>
      <c r="AC489" s="26"/>
    </row>
    <row r="490" spans="1:29" ht="15.75" customHeight="1">
      <c r="A490" s="10" t="s">
        <v>3472</v>
      </c>
      <c r="B490" s="10" t="s">
        <v>1469</v>
      </c>
      <c r="C490" s="52" t="s">
        <v>868</v>
      </c>
      <c r="D490" s="12"/>
      <c r="E490" s="13" t="s">
        <v>184</v>
      </c>
      <c r="F490" s="6" t="s">
        <v>3473</v>
      </c>
      <c r="G490" s="6" t="str">
        <f ca="1">IFERROR(__xludf.DUMMYFUNCTION("CONCATENATE(B490,(VLOOKUP(C490,CATALOGOS!$F$2:$H$6,3,FALSE)),(VLOOKUP(V490,CATALOGOS!$J$2:$K$18,2,FALSE)),""-"",TO_TEXT(A490))"),"P13SO-0489")</f>
        <v>P13SO-0489</v>
      </c>
      <c r="H490" s="6" t="str">
        <f ca="1">IFERROR(__xludf.DUMMYFUNCTION("CONCATENATE($B490,(VLOOKUP($C490,CATALOGOS!$F$2:$H$6,3,FALSE)),(VLOOKUP($V490,CATALOGOS!$J$2:$K$18,2,FALSE)),""-"",TO_TEXT($A490))"),"P13SO-0489")</f>
        <v>P13SO-0489</v>
      </c>
      <c r="I490" s="6"/>
      <c r="J490" s="6" t="s">
        <v>3474</v>
      </c>
      <c r="K490" s="6" t="s">
        <v>3475</v>
      </c>
      <c r="L490" s="6" t="s">
        <v>3476</v>
      </c>
      <c r="M490" s="6" t="s">
        <v>3477</v>
      </c>
      <c r="N490" s="17"/>
      <c r="O490" s="17"/>
      <c r="P490" s="17" t="str">
        <f t="shared" si="5"/>
        <v>OK</v>
      </c>
      <c r="Q490" s="17" t="s">
        <v>35</v>
      </c>
      <c r="R490" s="6" t="s">
        <v>35</v>
      </c>
      <c r="S490" s="17" t="s">
        <v>36</v>
      </c>
      <c r="T490" s="17" t="s">
        <v>3478</v>
      </c>
      <c r="U490" s="173" t="s">
        <v>38</v>
      </c>
      <c r="V490" s="11" t="s">
        <v>868</v>
      </c>
      <c r="W490" s="20" t="s">
        <v>3450</v>
      </c>
      <c r="X490" s="22" t="s">
        <v>3451</v>
      </c>
      <c r="Y490" s="22"/>
      <c r="Z490" s="7"/>
      <c r="AA490" s="7"/>
      <c r="AB490" s="23"/>
      <c r="AC490" s="26"/>
    </row>
    <row r="491" spans="1:29" ht="15.75" customHeight="1">
      <c r="A491" s="10" t="s">
        <v>8438</v>
      </c>
      <c r="B491" s="10" t="s">
        <v>1469</v>
      </c>
      <c r="C491" s="52" t="s">
        <v>868</v>
      </c>
      <c r="D491" s="12"/>
      <c r="E491" s="13" t="s">
        <v>378</v>
      </c>
      <c r="F491" s="6" t="s">
        <v>3480</v>
      </c>
      <c r="G491" s="6" t="str">
        <f ca="1">IFERROR(__xludf.DUMMYFUNCTION("CONCATENATE(B491,(VLOOKUP(C491,CATALOGOS!$F$2:$H$6,3,FALSE)),(VLOOKUP(V491,CATALOGOS!$J$2:$K$18,2,FALSE)),""-"",TO_TEXT(A491))"),"P13SO-0490")</f>
        <v>P13SO-0490</v>
      </c>
      <c r="H491" s="6" t="str">
        <f ca="1">IFERROR(__xludf.DUMMYFUNCTION("CONCATENATE($B491,(VLOOKUP($C491,CATALOGOS!$F$2:$H$6,3,FALSE)),(VLOOKUP($V491,CATALOGOS!$J$2:$K$18,2,FALSE)),""-"",TO_TEXT($A491))"),"P13SO-0490")</f>
        <v>P13SO-0490</v>
      </c>
      <c r="I491" s="6"/>
      <c r="J491" s="6" t="s">
        <v>3481</v>
      </c>
      <c r="K491" s="6" t="s">
        <v>3482</v>
      </c>
      <c r="L491" s="6" t="s">
        <v>3483</v>
      </c>
      <c r="M491" s="6" t="s">
        <v>3484</v>
      </c>
      <c r="N491" s="17"/>
      <c r="O491" s="17"/>
      <c r="P491" s="17" t="str">
        <f t="shared" si="5"/>
        <v>OK</v>
      </c>
      <c r="Q491" s="17" t="s">
        <v>35</v>
      </c>
      <c r="R491" s="6" t="s">
        <v>35</v>
      </c>
      <c r="S491" s="17" t="s">
        <v>36</v>
      </c>
      <c r="T491" s="17" t="s">
        <v>3485</v>
      </c>
      <c r="U491" s="173" t="s">
        <v>38</v>
      </c>
      <c r="V491" s="11" t="s">
        <v>868</v>
      </c>
      <c r="W491" s="20" t="s">
        <v>3450</v>
      </c>
      <c r="X491" s="22" t="s">
        <v>3451</v>
      </c>
      <c r="Y491" s="22"/>
      <c r="Z491" s="7"/>
      <c r="AA491" s="7"/>
      <c r="AB491" s="23"/>
      <c r="AC491" s="26"/>
    </row>
    <row r="492" spans="1:29" ht="15.75" customHeight="1">
      <c r="A492" s="10" t="s">
        <v>3486</v>
      </c>
      <c r="B492" s="10" t="s">
        <v>1469</v>
      </c>
      <c r="C492" s="52" t="s">
        <v>868</v>
      </c>
      <c r="D492" s="12"/>
      <c r="E492" s="13" t="s">
        <v>378</v>
      </c>
      <c r="F492" s="55" t="s">
        <v>3480</v>
      </c>
      <c r="G492" s="6" t="str">
        <f ca="1">IFERROR(__xludf.DUMMYFUNCTION("CONCATENATE(B492,(VLOOKUP(C492,CATALOGOS!$F$2:$H$6,3,FALSE)),(VLOOKUP(V492,CATALOGOS!$J$2:$K$18,2,FALSE)),""-"",TO_TEXT(A492))"),"P13SO-0491")</f>
        <v>P13SO-0491</v>
      </c>
      <c r="H492" s="15" t="str">
        <f ca="1">IFERROR(__xludf.DUMMYFUNCTION("CONCATENATE($B492,(VLOOKUP($C492,CATALOGOS!$F$2:$H$6,3,FALSE)),(VLOOKUP($V492,CATALOGOS!$J$2:$K$18,2,FALSE)),""-"",TO_TEXT($A492))"),"P13SO-0491")</f>
        <v>P13SO-0491</v>
      </c>
      <c r="I492" s="6"/>
      <c r="J492" s="6" t="s">
        <v>3487</v>
      </c>
      <c r="K492" s="6" t="s">
        <v>3488</v>
      </c>
      <c r="L492" s="6" t="s">
        <v>3489</v>
      </c>
      <c r="M492" s="6" t="s">
        <v>3490</v>
      </c>
      <c r="N492" s="17"/>
      <c r="O492" s="17"/>
      <c r="P492" s="17" t="str">
        <f t="shared" si="5"/>
        <v>OK</v>
      </c>
      <c r="Q492" s="17" t="s">
        <v>35</v>
      </c>
      <c r="R492" s="6" t="s">
        <v>35</v>
      </c>
      <c r="S492" s="17" t="s">
        <v>36</v>
      </c>
      <c r="T492" s="17" t="s">
        <v>3491</v>
      </c>
      <c r="U492" s="173" t="s">
        <v>38</v>
      </c>
      <c r="V492" s="11" t="s">
        <v>868</v>
      </c>
      <c r="W492" s="20" t="s">
        <v>3450</v>
      </c>
      <c r="X492" s="22" t="s">
        <v>3451</v>
      </c>
      <c r="Y492" s="22"/>
      <c r="Z492" s="7"/>
      <c r="AA492" s="7"/>
      <c r="AB492" s="23"/>
      <c r="AC492" s="26"/>
    </row>
    <row r="493" spans="1:29" ht="15.75" customHeight="1">
      <c r="A493" s="10" t="s">
        <v>3479</v>
      </c>
      <c r="B493" s="10" t="s">
        <v>1469</v>
      </c>
      <c r="C493" s="52" t="s">
        <v>868</v>
      </c>
      <c r="D493" s="12"/>
      <c r="E493" s="13" t="s">
        <v>378</v>
      </c>
      <c r="F493" s="55" t="s">
        <v>3480</v>
      </c>
      <c r="G493" s="6" t="str">
        <f ca="1">IFERROR(__xludf.DUMMYFUNCTION("CONCATENATE(B493,(VLOOKUP(C493,CATALOGOS!$F$2:$H$6,3,FALSE)),(VLOOKUP(V493,CATALOGOS!$J$2:$K$18,2,FALSE)),""-"",TO_TEXT(A493))"),"P13SO-0492")</f>
        <v>P13SO-0492</v>
      </c>
      <c r="H493" s="6" t="str">
        <f ca="1">IFERROR(__xludf.DUMMYFUNCTION("CONCATENATE($B493,(VLOOKUP($C493,CATALOGOS!$F$2:$H$6,3,FALSE)),(VLOOKUP($V493,CATALOGOS!$J$2:$K$18,2,FALSE)),""-"",TO_TEXT($A493))"),"P13SO-0492")</f>
        <v>P13SO-0492</v>
      </c>
      <c r="I493" s="6"/>
      <c r="J493" s="6" t="s">
        <v>3492</v>
      </c>
      <c r="K493" s="6" t="s">
        <v>3493</v>
      </c>
      <c r="L493" s="6" t="s">
        <v>3494</v>
      </c>
      <c r="M493" s="6" t="s">
        <v>3495</v>
      </c>
      <c r="N493" s="17"/>
      <c r="O493" s="17"/>
      <c r="P493" s="17" t="str">
        <f t="shared" si="5"/>
        <v>OK</v>
      </c>
      <c r="Q493" s="17" t="s">
        <v>35</v>
      </c>
      <c r="R493" s="6" t="s">
        <v>35</v>
      </c>
      <c r="S493" s="17" t="s">
        <v>36</v>
      </c>
      <c r="T493" s="17" t="s">
        <v>3496</v>
      </c>
      <c r="U493" s="173" t="s">
        <v>38</v>
      </c>
      <c r="V493" s="11" t="s">
        <v>868</v>
      </c>
      <c r="W493" s="20" t="s">
        <v>3450</v>
      </c>
      <c r="X493" s="22" t="s">
        <v>3451</v>
      </c>
      <c r="Y493" s="22"/>
      <c r="Z493" s="7"/>
      <c r="AA493" s="7"/>
      <c r="AB493" s="23"/>
      <c r="AC493" s="26"/>
    </row>
    <row r="494" spans="1:29" ht="15.75" customHeight="1">
      <c r="A494" s="10" t="s">
        <v>3497</v>
      </c>
      <c r="B494" s="10" t="s">
        <v>1469</v>
      </c>
      <c r="C494" s="52" t="s">
        <v>868</v>
      </c>
      <c r="D494" s="12"/>
      <c r="E494" s="13" t="s">
        <v>378</v>
      </c>
      <c r="F494" s="55" t="s">
        <v>3480</v>
      </c>
      <c r="G494" s="6" t="str">
        <f ca="1">IFERROR(__xludf.DUMMYFUNCTION("CONCATENATE(B494,(VLOOKUP(C494,CATALOGOS!$F$2:$H$6,3,FALSE)),(VLOOKUP(V494,CATALOGOS!$J$2:$K$18,2,FALSE)),""-"",TO_TEXT(A494))"),"P13SO-0493")</f>
        <v>P13SO-0493</v>
      </c>
      <c r="H494" s="6" t="str">
        <f ca="1">IFERROR(__xludf.DUMMYFUNCTION("CONCATENATE($B494,(VLOOKUP($C494,CATALOGOS!$F$2:$H$6,3,FALSE)),(VLOOKUP($V494,CATALOGOS!$J$2:$K$18,2,FALSE)),""-"",TO_TEXT($A494))"),"P13SO-0493")</f>
        <v>P13SO-0493</v>
      </c>
      <c r="I494" s="6"/>
      <c r="J494" s="6" t="s">
        <v>3498</v>
      </c>
      <c r="K494" s="6" t="s">
        <v>3499</v>
      </c>
      <c r="L494" s="6" t="s">
        <v>3500</v>
      </c>
      <c r="M494" s="6" t="s">
        <v>3501</v>
      </c>
      <c r="N494" s="17"/>
      <c r="O494" s="17"/>
      <c r="P494" s="17" t="str">
        <f t="shared" si="5"/>
        <v>OK</v>
      </c>
      <c r="Q494" s="17" t="s">
        <v>35</v>
      </c>
      <c r="R494" s="6" t="s">
        <v>35</v>
      </c>
      <c r="S494" s="17" t="s">
        <v>36</v>
      </c>
      <c r="T494" s="17" t="s">
        <v>3502</v>
      </c>
      <c r="U494" s="173" t="s">
        <v>38</v>
      </c>
      <c r="V494" s="11" t="s">
        <v>868</v>
      </c>
      <c r="W494" s="20" t="s">
        <v>3450</v>
      </c>
      <c r="X494" s="22" t="s">
        <v>3451</v>
      </c>
      <c r="Y494" s="22"/>
      <c r="Z494" s="7"/>
      <c r="AA494" s="7"/>
      <c r="AB494" s="23"/>
      <c r="AC494" s="26"/>
    </row>
    <row r="495" spans="1:29" ht="15.75" customHeight="1">
      <c r="A495" s="10" t="s">
        <v>3503</v>
      </c>
      <c r="B495" s="10" t="s">
        <v>1469</v>
      </c>
      <c r="C495" s="52" t="s">
        <v>868</v>
      </c>
      <c r="D495" s="12"/>
      <c r="E495" s="13" t="s">
        <v>378</v>
      </c>
      <c r="F495" s="55" t="s">
        <v>3480</v>
      </c>
      <c r="G495" s="6" t="str">
        <f ca="1">IFERROR(__xludf.DUMMYFUNCTION("CONCATENATE(B495,(VLOOKUP(C495,CATALOGOS!$F$2:$H$6,3,FALSE)),(VLOOKUP(V495,CATALOGOS!$J$2:$K$18,2,FALSE)),""-"",TO_TEXT(A495))"),"P13SO-0494")</f>
        <v>P13SO-0494</v>
      </c>
      <c r="H495" s="6" t="str">
        <f ca="1">IFERROR(__xludf.DUMMYFUNCTION("CONCATENATE($B495,(VLOOKUP($C495,CATALOGOS!$F$2:$H$6,3,FALSE)),(VLOOKUP($V495,CATALOGOS!$J$2:$K$18,2,FALSE)),""-"",TO_TEXT($A495))"),"P13SO-0494")</f>
        <v>P13SO-0494</v>
      </c>
      <c r="I495" s="6"/>
      <c r="J495" s="6" t="s">
        <v>3504</v>
      </c>
      <c r="K495" s="6" t="s">
        <v>3505</v>
      </c>
      <c r="L495" s="6" t="s">
        <v>3506</v>
      </c>
      <c r="M495" s="6" t="s">
        <v>3507</v>
      </c>
      <c r="N495" s="17"/>
      <c r="O495" s="17"/>
      <c r="P495" s="17" t="str">
        <f t="shared" si="5"/>
        <v>OK</v>
      </c>
      <c r="Q495" s="17" t="s">
        <v>35</v>
      </c>
      <c r="R495" s="6" t="s">
        <v>35</v>
      </c>
      <c r="S495" s="17" t="s">
        <v>36</v>
      </c>
      <c r="T495" s="17" t="s">
        <v>3508</v>
      </c>
      <c r="U495" s="173" t="s">
        <v>3509</v>
      </c>
      <c r="V495" s="11" t="s">
        <v>868</v>
      </c>
      <c r="W495" s="20" t="s">
        <v>3450</v>
      </c>
      <c r="X495" s="22" t="s">
        <v>3451</v>
      </c>
      <c r="Y495" s="22"/>
      <c r="Z495" s="7"/>
      <c r="AA495" s="7"/>
      <c r="AB495" s="23"/>
      <c r="AC495" s="26"/>
    </row>
    <row r="496" spans="1:29" ht="15.75" customHeight="1">
      <c r="A496" s="10" t="s">
        <v>3510</v>
      </c>
      <c r="B496" s="10" t="s">
        <v>1469</v>
      </c>
      <c r="C496" s="52" t="s">
        <v>868</v>
      </c>
      <c r="D496" s="12"/>
      <c r="E496" s="13" t="s">
        <v>93</v>
      </c>
      <c r="F496" s="6" t="s">
        <v>1173</v>
      </c>
      <c r="G496" s="6" t="str">
        <f ca="1">IFERROR(__xludf.DUMMYFUNCTION("CONCATENATE(B496,(VLOOKUP(C496,CATALOGOS!$F$2:$H$6,3,FALSE)),(VLOOKUP(V496,CATALOGOS!$J$2:$K$18,2,FALSE)),""-"",TO_TEXT(A496))"),"P13SO-0495")</f>
        <v>P13SO-0495</v>
      </c>
      <c r="H496" s="6" t="str">
        <f ca="1">IFERROR(__xludf.DUMMYFUNCTION("CONCATENATE($B496,(VLOOKUP($C496,CATALOGOS!$F$2:$H$6,3,FALSE)),(VLOOKUP($V496,CATALOGOS!$J$2:$K$18,2,FALSE)),""-"",TO_TEXT($A496))"),"P13SO-0495")</f>
        <v>P13SO-0495</v>
      </c>
      <c r="I496" s="6"/>
      <c r="J496" s="6" t="s">
        <v>3511</v>
      </c>
      <c r="K496" s="54"/>
      <c r="L496" s="6" t="s">
        <v>3512</v>
      </c>
      <c r="M496" s="6" t="s">
        <v>3513</v>
      </c>
      <c r="N496" s="17"/>
      <c r="O496" s="17"/>
      <c r="P496" s="17" t="str">
        <f t="shared" si="5"/>
        <v>OK</v>
      </c>
      <c r="Q496" s="17" t="s">
        <v>35</v>
      </c>
      <c r="R496" s="6" t="s">
        <v>35</v>
      </c>
      <c r="S496" s="17" t="s">
        <v>36</v>
      </c>
      <c r="T496" s="17" t="s">
        <v>3514</v>
      </c>
      <c r="U496" s="173" t="s">
        <v>38</v>
      </c>
      <c r="V496" s="11" t="s">
        <v>868</v>
      </c>
      <c r="W496" s="20" t="s">
        <v>3450</v>
      </c>
      <c r="X496" s="22" t="s">
        <v>3451</v>
      </c>
      <c r="Y496" s="22"/>
      <c r="Z496" s="7"/>
      <c r="AA496" s="7"/>
      <c r="AB496" s="23"/>
      <c r="AC496" s="26"/>
    </row>
    <row r="497" spans="1:30" ht="15.75" customHeight="1">
      <c r="A497" s="10" t="s">
        <v>3515</v>
      </c>
      <c r="B497" s="10" t="s">
        <v>1469</v>
      </c>
      <c r="C497" s="52" t="s">
        <v>868</v>
      </c>
      <c r="D497" s="12"/>
      <c r="E497" s="13" t="s">
        <v>29</v>
      </c>
      <c r="F497" s="6" t="s">
        <v>1166</v>
      </c>
      <c r="G497" s="6" t="str">
        <f ca="1">IFERROR(__xludf.DUMMYFUNCTION("CONCATENATE(B497,(VLOOKUP(C497,CATALOGOS!$F$2:$H$6,3,FALSE)),(VLOOKUP(V497,CATALOGOS!$J$2:$K$18,2,FALSE)),""-"",TO_TEXT(A497))"),"P13SO-0496")</f>
        <v>P13SO-0496</v>
      </c>
      <c r="H497" s="6" t="str">
        <f ca="1">IFERROR(__xludf.DUMMYFUNCTION("CONCATENATE($B497,(VLOOKUP($C497,CATALOGOS!$F$2:$H$6,3,FALSE)),(VLOOKUP($V497,CATALOGOS!$J$2:$K$18,2,FALSE)),""-"",TO_TEXT($A497))"),"P13SO-0496")</f>
        <v>P13SO-0496</v>
      </c>
      <c r="I497" s="6"/>
      <c r="J497" s="6" t="s">
        <v>3516</v>
      </c>
      <c r="K497" s="54"/>
      <c r="L497" s="6" t="s">
        <v>3517</v>
      </c>
      <c r="M497" s="6" t="s">
        <v>3518</v>
      </c>
      <c r="N497" s="17"/>
      <c r="O497" s="17"/>
      <c r="P497" s="17" t="str">
        <f t="shared" si="5"/>
        <v>OK</v>
      </c>
      <c r="Q497" s="17" t="s">
        <v>35</v>
      </c>
      <c r="R497" s="6" t="s">
        <v>35</v>
      </c>
      <c r="S497" s="17" t="s">
        <v>36</v>
      </c>
      <c r="T497" s="17" t="s">
        <v>3519</v>
      </c>
      <c r="U497" s="173" t="s">
        <v>38</v>
      </c>
      <c r="V497" s="11" t="s">
        <v>868</v>
      </c>
      <c r="W497" s="20" t="s">
        <v>3450</v>
      </c>
      <c r="X497" s="22" t="s">
        <v>3451</v>
      </c>
      <c r="Y497" s="22"/>
      <c r="Z497" s="7"/>
      <c r="AA497" s="7"/>
      <c r="AB497" s="23"/>
      <c r="AC497" s="26"/>
    </row>
    <row r="498" spans="1:30" ht="15.75" customHeight="1">
      <c r="A498" s="10" t="s">
        <v>3520</v>
      </c>
      <c r="B498" s="10" t="s">
        <v>1469</v>
      </c>
      <c r="C498" s="52" t="s">
        <v>868</v>
      </c>
      <c r="D498" s="12"/>
      <c r="E498" s="13" t="s">
        <v>3521</v>
      </c>
      <c r="F498" s="43" t="s">
        <v>3522</v>
      </c>
      <c r="G498" s="6" t="str">
        <f ca="1">IFERROR(__xludf.DUMMYFUNCTION("CONCATENATE(B498,(VLOOKUP(C498,CATALOGOS!$F$2:$H$6,3,FALSE)),(VLOOKUP(V498,CATALOGOS!$J$2:$K$18,2,FALSE)),""-"",TO_TEXT(A498))"),"P13SO-0497")</f>
        <v>P13SO-0497</v>
      </c>
      <c r="H498" s="6" t="str">
        <f ca="1">IFERROR(__xludf.DUMMYFUNCTION("CONCATENATE($B498,(VLOOKUP($C498,CATALOGOS!$F$2:$H$6,3,FALSE)),(VLOOKUP($V498,CATALOGOS!$J$2:$K$18,2,FALSE)),""-"",TO_TEXT($A498))"),"P13SO-0497")</f>
        <v>P13SO-0497</v>
      </c>
      <c r="I498" s="6"/>
      <c r="J498" s="6" t="s">
        <v>3523</v>
      </c>
      <c r="K498" s="54"/>
      <c r="L498" s="6" t="s">
        <v>3524</v>
      </c>
      <c r="M498" s="43" t="s">
        <v>3525</v>
      </c>
      <c r="N498" s="17"/>
      <c r="O498" s="17"/>
      <c r="P498" s="17" t="str">
        <f t="shared" si="5"/>
        <v>OK</v>
      </c>
      <c r="Q498" s="17" t="s">
        <v>35</v>
      </c>
      <c r="R498" s="49" t="s">
        <v>35</v>
      </c>
      <c r="S498" s="17" t="s">
        <v>36</v>
      </c>
      <c r="T498" s="17" t="s">
        <v>3526</v>
      </c>
      <c r="U498" s="173" t="s">
        <v>38</v>
      </c>
      <c r="V498" s="11" t="s">
        <v>868</v>
      </c>
      <c r="W498" s="20" t="s">
        <v>3450</v>
      </c>
      <c r="X498" s="22" t="s">
        <v>3451</v>
      </c>
      <c r="Y498" s="22"/>
      <c r="Z498" s="7"/>
      <c r="AA498" s="7"/>
      <c r="AB498" s="23"/>
      <c r="AC498" s="26"/>
    </row>
    <row r="499" spans="1:30" ht="15.75" customHeight="1">
      <c r="A499" s="10" t="s">
        <v>3527</v>
      </c>
      <c r="B499" s="10" t="s">
        <v>1469</v>
      </c>
      <c r="C499" s="52" t="s">
        <v>868</v>
      </c>
      <c r="D499" s="12"/>
      <c r="E499" s="13" t="s">
        <v>116</v>
      </c>
      <c r="F499" s="6" t="s">
        <v>3528</v>
      </c>
      <c r="G499" s="6" t="str">
        <f ca="1">IFERROR(__xludf.DUMMYFUNCTION("CONCATENATE(B499,(VLOOKUP(C499,CATALOGOS!$F$2:$H$6,3,FALSE)),(VLOOKUP(V499,CATALOGOS!$J$2:$K$18,2,FALSE)),""-"",TO_TEXT(A499))"),"P13SO-0498")</f>
        <v>P13SO-0498</v>
      </c>
      <c r="H499" s="15" t="str">
        <f ca="1">IFERROR(__xludf.DUMMYFUNCTION("CONCATENATE($B499,(VLOOKUP($C499,CATALOGOS!$F$2:$H$6,3,FALSE)),(VLOOKUP($V499,CATALOGOS!$J$2:$K$18,2,FALSE)),""-"",TO_TEXT($A499))"),"P13SO-0498")</f>
        <v>P13SO-0498</v>
      </c>
      <c r="I499" s="6"/>
      <c r="J499" s="6" t="s">
        <v>3529</v>
      </c>
      <c r="K499" s="6" t="s">
        <v>3530</v>
      </c>
      <c r="L499" s="6" t="s">
        <v>3531</v>
      </c>
      <c r="M499" s="6" t="s">
        <v>3532</v>
      </c>
      <c r="N499" s="17"/>
      <c r="O499" s="17"/>
      <c r="P499" s="17" t="str">
        <f t="shared" si="5"/>
        <v>OK</v>
      </c>
      <c r="Q499" s="17" t="s">
        <v>35</v>
      </c>
      <c r="R499" s="6" t="s">
        <v>35</v>
      </c>
      <c r="S499" s="17" t="s">
        <v>36</v>
      </c>
      <c r="T499" s="17" t="s">
        <v>3533</v>
      </c>
      <c r="U499" s="173" t="s">
        <v>38</v>
      </c>
      <c r="V499" s="11" t="s">
        <v>868</v>
      </c>
      <c r="W499" s="20" t="s">
        <v>3450</v>
      </c>
      <c r="X499" s="22" t="s">
        <v>3451</v>
      </c>
      <c r="Y499" s="22"/>
      <c r="Z499" s="7"/>
      <c r="AA499" s="7"/>
      <c r="AB499" s="23"/>
      <c r="AC499" s="26"/>
    </row>
    <row r="500" spans="1:30" ht="15.75" customHeight="1">
      <c r="A500" s="10" t="s">
        <v>3534</v>
      </c>
      <c r="B500" s="10" t="s">
        <v>1469</v>
      </c>
      <c r="C500" s="52" t="s">
        <v>868</v>
      </c>
      <c r="D500" s="12"/>
      <c r="E500" s="13" t="s">
        <v>184</v>
      </c>
      <c r="F500" s="6" t="s">
        <v>3535</v>
      </c>
      <c r="G500" s="6" t="str">
        <f ca="1">IFERROR(__xludf.DUMMYFUNCTION("CONCATENATE(B500,(VLOOKUP(C500,CATALOGOS!$F$2:$H$6,3,FALSE)),(VLOOKUP(V500,CATALOGOS!$J$2:$K$18,2,FALSE)),""-"",TO_TEXT(A500))"),"P13SO-0499")</f>
        <v>P13SO-0499</v>
      </c>
      <c r="H500" s="15" t="str">
        <f ca="1">IFERROR(__xludf.DUMMYFUNCTION("CONCATENATE($B500,(VLOOKUP($C500,CATALOGOS!$F$2:$H$6,3,FALSE)),(VLOOKUP($V500,CATALOGOS!$J$2:$K$18,2,FALSE)),""-"",TO_TEXT($A500))"),"P13SO-0499")</f>
        <v>P13SO-0499</v>
      </c>
      <c r="I500" s="6"/>
      <c r="J500" s="6" t="s">
        <v>3536</v>
      </c>
      <c r="K500" s="6" t="s">
        <v>3537</v>
      </c>
      <c r="L500" s="6" t="s">
        <v>3538</v>
      </c>
      <c r="M500" s="6" t="s">
        <v>3539</v>
      </c>
      <c r="N500" s="17"/>
      <c r="O500" s="17"/>
      <c r="P500" s="17" t="str">
        <f t="shared" si="5"/>
        <v>OK</v>
      </c>
      <c r="Q500" s="17" t="s">
        <v>35</v>
      </c>
      <c r="R500" s="6" t="s">
        <v>35</v>
      </c>
      <c r="S500" s="17" t="s">
        <v>36</v>
      </c>
      <c r="T500" s="17" t="s">
        <v>3540</v>
      </c>
      <c r="U500" s="173" t="s">
        <v>38</v>
      </c>
      <c r="V500" s="11" t="s">
        <v>868</v>
      </c>
      <c r="W500" s="20" t="s">
        <v>3450</v>
      </c>
      <c r="X500" s="22" t="s">
        <v>3451</v>
      </c>
      <c r="Y500" s="22"/>
      <c r="Z500" s="7"/>
      <c r="AA500" s="7"/>
      <c r="AB500" s="23"/>
      <c r="AC500" s="26"/>
    </row>
    <row r="501" spans="1:30" ht="15.75" customHeight="1">
      <c r="A501" s="10" t="s">
        <v>3541</v>
      </c>
      <c r="B501" s="10" t="s">
        <v>1469</v>
      </c>
      <c r="C501" s="52" t="s">
        <v>868</v>
      </c>
      <c r="D501" s="12"/>
      <c r="E501" s="13" t="s">
        <v>1240</v>
      </c>
      <c r="F501" s="43" t="s">
        <v>278</v>
      </c>
      <c r="G501" s="6" t="str">
        <f ca="1">IFERROR(__xludf.DUMMYFUNCTION("CONCATENATE(B501,(VLOOKUP(C501,CATALOGOS!$F$2:$H$6,3,FALSE)),(VLOOKUP(V501,CATALOGOS!$J$2:$K$18,2,FALSE)),""-"",TO_TEXT(A501))"),"P13SO-0500")</f>
        <v>P13SO-0500</v>
      </c>
      <c r="H501" s="15" t="str">
        <f ca="1">IFERROR(__xludf.DUMMYFUNCTION("CONCATENATE($B501,(VLOOKUP($C501,CATALOGOS!$F$2:$H$6,3,FALSE)),(VLOOKUP($V501,CATALOGOS!$J$2:$K$18,2,FALSE)),""-"",TO_TEXT($A501))"),"P13SO-0500")</f>
        <v>P13SO-0500</v>
      </c>
      <c r="I501" s="6"/>
      <c r="J501" s="6" t="s">
        <v>3542</v>
      </c>
      <c r="K501" s="6" t="s">
        <v>3543</v>
      </c>
      <c r="L501" s="6" t="s">
        <v>3544</v>
      </c>
      <c r="M501" s="6" t="s">
        <v>3545</v>
      </c>
      <c r="N501" s="17"/>
      <c r="O501" s="17"/>
      <c r="P501" s="17" t="str">
        <f t="shared" si="5"/>
        <v>OK</v>
      </c>
      <c r="Q501" s="17" t="s">
        <v>35</v>
      </c>
      <c r="R501" s="49" t="s">
        <v>35</v>
      </c>
      <c r="S501" s="17" t="s">
        <v>36</v>
      </c>
      <c r="T501" s="17" t="s">
        <v>3546</v>
      </c>
      <c r="U501" s="173" t="s">
        <v>38</v>
      </c>
      <c r="V501" s="11" t="s">
        <v>868</v>
      </c>
      <c r="W501" s="20" t="s">
        <v>3450</v>
      </c>
      <c r="X501" s="22" t="s">
        <v>3451</v>
      </c>
      <c r="Y501" s="22"/>
      <c r="Z501" s="7"/>
      <c r="AA501" s="7"/>
      <c r="AB501" s="23"/>
      <c r="AC501" s="26"/>
    </row>
    <row r="502" spans="1:30" ht="15.75" customHeight="1">
      <c r="A502" s="10" t="s">
        <v>3547</v>
      </c>
      <c r="B502" s="10" t="s">
        <v>1469</v>
      </c>
      <c r="C502" s="52" t="s">
        <v>868</v>
      </c>
      <c r="D502" s="12"/>
      <c r="E502" s="13" t="s">
        <v>248</v>
      </c>
      <c r="F502" s="43" t="s">
        <v>3548</v>
      </c>
      <c r="G502" s="6" t="str">
        <f ca="1">IFERROR(__xludf.DUMMYFUNCTION("CONCATENATE(B502,(VLOOKUP(C502,CATALOGOS!$F$2:$H$6,3,FALSE)),(VLOOKUP(V502,CATALOGOS!$J$2:$K$18,2,FALSE)),""-"",TO_TEXT(A502))"),"P13SO-0501")</f>
        <v>P13SO-0501</v>
      </c>
      <c r="H502" s="15" t="str">
        <f ca="1">IFERROR(__xludf.DUMMYFUNCTION("CONCATENATE($B502,(VLOOKUP($C502,CATALOGOS!$F$2:$H$6,3,FALSE)),(VLOOKUP($V502,CATALOGOS!$J$2:$K$18,2,FALSE)),""-"",TO_TEXT($A502))"),"P13SO-0501")</f>
        <v>P13SO-0501</v>
      </c>
      <c r="I502" s="6"/>
      <c r="J502" s="6" t="s">
        <v>3549</v>
      </c>
      <c r="K502" s="6" t="s">
        <v>3550</v>
      </c>
      <c r="L502" s="6" t="s">
        <v>3551</v>
      </c>
      <c r="M502" s="6" t="s">
        <v>3552</v>
      </c>
      <c r="N502" s="17"/>
      <c r="O502" s="17"/>
      <c r="P502" s="17" t="str">
        <f t="shared" si="5"/>
        <v>OK</v>
      </c>
      <c r="Q502" s="17" t="s">
        <v>978</v>
      </c>
      <c r="R502" s="6" t="s">
        <v>979</v>
      </c>
      <c r="S502" s="17" t="s">
        <v>3553</v>
      </c>
      <c r="T502" s="10" t="s">
        <v>3554</v>
      </c>
      <c r="U502" s="173" t="s">
        <v>38</v>
      </c>
      <c r="V502" s="11" t="s">
        <v>868</v>
      </c>
      <c r="W502" s="20" t="s">
        <v>3450</v>
      </c>
      <c r="X502" s="22" t="s">
        <v>3451</v>
      </c>
      <c r="Y502" s="22"/>
      <c r="Z502" s="7"/>
      <c r="AA502" s="7"/>
      <c r="AB502" s="23"/>
      <c r="AC502" s="26"/>
    </row>
    <row r="503" spans="1:30" ht="15.75" customHeight="1">
      <c r="A503" s="10" t="s">
        <v>3555</v>
      </c>
      <c r="B503" s="10" t="s">
        <v>1469</v>
      </c>
      <c r="C503" s="52" t="s">
        <v>868</v>
      </c>
      <c r="D503" s="12"/>
      <c r="E503" s="13" t="s">
        <v>162</v>
      </c>
      <c r="F503" s="6" t="s">
        <v>285</v>
      </c>
      <c r="G503" s="6" t="str">
        <f ca="1">IFERROR(__xludf.DUMMYFUNCTION("CONCATENATE(B503,(VLOOKUP(C503,CATALOGOS!$F$2:$H$6,3,FALSE)),(VLOOKUP(V503,CATALOGOS!$J$2:$K$18,2,FALSE)),""-"",TO_TEXT(A503))"),"P13SO-0502")</f>
        <v>P13SO-0502</v>
      </c>
      <c r="H503" s="15" t="str">
        <f ca="1">IFERROR(__xludf.DUMMYFUNCTION("CONCATENATE($B503,(VLOOKUP($C503,CATALOGOS!$F$2:$H$6,3,FALSE)),(VLOOKUP($V503,CATALOGOS!$J$2:$K$18,2,FALSE)),""-"",TO_TEXT($A503))"),"P13SO-0502")</f>
        <v>P13SO-0502</v>
      </c>
      <c r="I503" s="6"/>
      <c r="J503" s="6" t="s">
        <v>3556</v>
      </c>
      <c r="K503" s="6" t="s">
        <v>3557</v>
      </c>
      <c r="L503" s="6" t="s">
        <v>3558</v>
      </c>
      <c r="M503" s="6" t="s">
        <v>3559</v>
      </c>
      <c r="N503" s="17"/>
      <c r="O503" s="17"/>
      <c r="P503" s="17" t="str">
        <f t="shared" si="5"/>
        <v>OK</v>
      </c>
      <c r="Q503" s="17" t="s">
        <v>663</v>
      </c>
      <c r="R503" s="6" t="s">
        <v>664</v>
      </c>
      <c r="S503" s="17" t="s">
        <v>3560</v>
      </c>
      <c r="T503" s="17" t="s">
        <v>3561</v>
      </c>
      <c r="U503" s="173" t="s">
        <v>38</v>
      </c>
      <c r="V503" s="11" t="s">
        <v>868</v>
      </c>
      <c r="W503" s="20" t="s">
        <v>3450</v>
      </c>
      <c r="X503" s="22" t="s">
        <v>3451</v>
      </c>
      <c r="Y503" s="22"/>
      <c r="Z503" s="7"/>
      <c r="AA503" s="7"/>
      <c r="AB503" s="23"/>
      <c r="AC503" s="26"/>
    </row>
    <row r="504" spans="1:30" ht="15.75" customHeight="1">
      <c r="A504" s="10" t="s">
        <v>3562</v>
      </c>
      <c r="B504" s="10" t="s">
        <v>1469</v>
      </c>
      <c r="C504" s="52" t="s">
        <v>868</v>
      </c>
      <c r="D504" s="12"/>
      <c r="E504" s="13" t="s">
        <v>1199</v>
      </c>
      <c r="F504" s="6" t="s">
        <v>3563</v>
      </c>
      <c r="G504" s="6" t="str">
        <f ca="1">IFERROR(__xludf.DUMMYFUNCTION("CONCATENATE(B504,(VLOOKUP(C504,CATALOGOS!$F$2:$H$6,3,FALSE)),(VLOOKUP(V504,CATALOGOS!$J$2:$K$18,2,FALSE)),""-"",TO_TEXT(A504))"),"P13SO-0503")</f>
        <v>P13SO-0503</v>
      </c>
      <c r="H504" s="15" t="str">
        <f ca="1">IFERROR(__xludf.DUMMYFUNCTION("CONCATENATE($B504,(VLOOKUP($C504,CATALOGOS!$F$2:$H$6,3,FALSE)),(VLOOKUP($V504,CATALOGOS!$J$2:$K$18,2,FALSE)),""-"",TO_TEXT($A504))"),"P13SO-0503")</f>
        <v>P13SO-0503</v>
      </c>
      <c r="I504" s="6"/>
      <c r="J504" s="6" t="s">
        <v>3564</v>
      </c>
      <c r="K504" s="6" t="s">
        <v>3565</v>
      </c>
      <c r="L504" s="6" t="s">
        <v>3566</v>
      </c>
      <c r="M504" s="6" t="s">
        <v>3567</v>
      </c>
      <c r="N504" s="17"/>
      <c r="O504" s="17"/>
      <c r="P504" s="17" t="str">
        <f t="shared" si="5"/>
        <v>OK</v>
      </c>
      <c r="Q504" s="17" t="s">
        <v>205</v>
      </c>
      <c r="R504" s="6" t="s">
        <v>3568</v>
      </c>
      <c r="S504" s="17" t="s">
        <v>36</v>
      </c>
      <c r="T504" s="17" t="s">
        <v>3570</v>
      </c>
      <c r="U504" s="173" t="s">
        <v>38</v>
      </c>
      <c r="V504" s="11" t="s">
        <v>868</v>
      </c>
      <c r="W504" s="20" t="s">
        <v>3450</v>
      </c>
      <c r="X504" s="22" t="s">
        <v>3451</v>
      </c>
      <c r="Y504" s="22"/>
      <c r="Z504" s="7"/>
      <c r="AA504" s="7"/>
      <c r="AB504" s="23"/>
      <c r="AC504" s="26"/>
    </row>
    <row r="505" spans="1:30" ht="15.75" customHeight="1">
      <c r="A505" s="10" t="s">
        <v>3571</v>
      </c>
      <c r="B505" s="10" t="s">
        <v>1469</v>
      </c>
      <c r="C505" s="52" t="s">
        <v>868</v>
      </c>
      <c r="D505" s="12"/>
      <c r="E505" s="13" t="s">
        <v>1240</v>
      </c>
      <c r="F505" s="43" t="s">
        <v>278</v>
      </c>
      <c r="G505" s="6" t="str">
        <f ca="1">IFERROR(__xludf.DUMMYFUNCTION("CONCATENATE(B505,(VLOOKUP(C505,CATALOGOS!$F$2:$H$6,3,FALSE)),(VLOOKUP(V505,CATALOGOS!$J$2:$K$18,2,FALSE)),""-"",TO_TEXT(A505))"),"P13SO-0504")</f>
        <v>P13SO-0504</v>
      </c>
      <c r="H505" s="15" t="str">
        <f ca="1">IFERROR(__xludf.DUMMYFUNCTION("CONCATENATE($B505,(VLOOKUP($C505,CATALOGOS!$F$2:$H$6,3,FALSE)),(VLOOKUP($V505,CATALOGOS!$J$2:$K$18,2,FALSE)),""-"",TO_TEXT($A505))"),"P13SO-0504")</f>
        <v>P13SO-0504</v>
      </c>
      <c r="I505" s="6"/>
      <c r="J505" s="6" t="s">
        <v>3572</v>
      </c>
      <c r="K505" s="6" t="s">
        <v>3573</v>
      </c>
      <c r="L505" s="6" t="s">
        <v>3574</v>
      </c>
      <c r="M505" s="6" t="s">
        <v>3575</v>
      </c>
      <c r="N505" s="17"/>
      <c r="O505" s="17"/>
      <c r="P505" s="17" t="str">
        <f t="shared" si="5"/>
        <v>OK</v>
      </c>
      <c r="Q505" s="17" t="s">
        <v>35</v>
      </c>
      <c r="R505" s="6" t="s">
        <v>35</v>
      </c>
      <c r="S505" s="17" t="s">
        <v>36</v>
      </c>
      <c r="T505" s="17" t="s">
        <v>3576</v>
      </c>
      <c r="U505" s="173" t="s">
        <v>38</v>
      </c>
      <c r="V505" s="11" t="s">
        <v>868</v>
      </c>
      <c r="W505" s="20" t="s">
        <v>3450</v>
      </c>
      <c r="X505" s="22" t="s">
        <v>3451</v>
      </c>
      <c r="Y505" s="22"/>
      <c r="Z505" s="7"/>
      <c r="AA505" s="7"/>
      <c r="AB505" s="23"/>
      <c r="AC505" s="26"/>
    </row>
    <row r="506" spans="1:30" ht="15.75" customHeight="1">
      <c r="A506" s="10" t="s">
        <v>3577</v>
      </c>
      <c r="B506" s="10" t="s">
        <v>1469</v>
      </c>
      <c r="C506" s="52" t="s">
        <v>868</v>
      </c>
      <c r="D506" s="12"/>
      <c r="E506" s="13" t="s">
        <v>199</v>
      </c>
      <c r="F506" s="6" t="s">
        <v>3578</v>
      </c>
      <c r="G506" s="6" t="str">
        <f ca="1">IFERROR(__xludf.DUMMYFUNCTION("CONCATENATE(B506,(VLOOKUP(C506,CATALOGOS!$F$2:$H$6,3,FALSE)),(VLOOKUP(V506,CATALOGOS!$J$2:$K$18,2,FALSE)),""-"",TO_TEXT(A506))"),"P13SO-0505")</f>
        <v>P13SO-0505</v>
      </c>
      <c r="H506" s="15" t="str">
        <f ca="1">IFERROR(__xludf.DUMMYFUNCTION("CONCATENATE($B506,(VLOOKUP($C506,CATALOGOS!$F$2:$H$6,3,FALSE)),(VLOOKUP($V506,CATALOGOS!$J$2:$K$18,2,FALSE)),""-"",TO_TEXT($A506))"),"P13SO-0505")</f>
        <v>P13SO-0505</v>
      </c>
      <c r="I506" s="6"/>
      <c r="J506" s="6" t="s">
        <v>3579</v>
      </c>
      <c r="K506" s="6" t="s">
        <v>3580</v>
      </c>
      <c r="L506" s="36"/>
      <c r="M506" s="6" t="s">
        <v>3581</v>
      </c>
      <c r="N506" s="17"/>
      <c r="O506" s="17"/>
      <c r="P506" s="17" t="str">
        <f t="shared" si="5"/>
        <v>OK</v>
      </c>
      <c r="Q506" s="17" t="s">
        <v>273</v>
      </c>
      <c r="R506" s="6" t="s">
        <v>274</v>
      </c>
      <c r="S506" s="6">
        <v>11392903012354</v>
      </c>
      <c r="T506" s="10" t="s">
        <v>85</v>
      </c>
      <c r="U506" s="173" t="s">
        <v>38</v>
      </c>
      <c r="V506" s="11" t="s">
        <v>868</v>
      </c>
      <c r="W506" s="20" t="s">
        <v>3450</v>
      </c>
      <c r="X506" s="22" t="s">
        <v>3451</v>
      </c>
      <c r="Y506" s="22"/>
      <c r="Z506" s="6"/>
      <c r="AA506" s="6"/>
      <c r="AB506" s="41" t="s">
        <v>92</v>
      </c>
      <c r="AC506" s="42">
        <v>44348</v>
      </c>
      <c r="AD506" s="8" t="s">
        <v>276</v>
      </c>
    </row>
    <row r="507" spans="1:30" ht="15.75" customHeight="1">
      <c r="A507" s="10" t="s">
        <v>3582</v>
      </c>
      <c r="B507" s="10" t="s">
        <v>1469</v>
      </c>
      <c r="C507" s="52" t="s">
        <v>868</v>
      </c>
      <c r="D507" s="12"/>
      <c r="E507" s="13" t="s">
        <v>151</v>
      </c>
      <c r="F507" s="6" t="s">
        <v>3583</v>
      </c>
      <c r="G507" s="6" t="str">
        <f ca="1">IFERROR(__xludf.DUMMYFUNCTION("CONCATENATE(B507,(VLOOKUP(C507,CATALOGOS!$F$2:$H$6,3,FALSE)),(VLOOKUP(V507,CATALOGOS!$J$2:$K$18,2,FALSE)),""-"",TO_TEXT(A507))"),"P13SO-0506")</f>
        <v>P13SO-0506</v>
      </c>
      <c r="H507" s="15" t="str">
        <f ca="1">IFERROR(__xludf.DUMMYFUNCTION("CONCATENATE($B507,(VLOOKUP($C507,CATALOGOS!$F$2:$H$6,3,FALSE)),(VLOOKUP($V507,CATALOGOS!$J$2:$K$18,2,FALSE)),""-"",TO_TEXT($A507))"),"P13SO-0506")</f>
        <v>P13SO-0506</v>
      </c>
      <c r="I507" s="6"/>
      <c r="J507" s="6" t="s">
        <v>3584</v>
      </c>
      <c r="K507" s="6" t="s">
        <v>3585</v>
      </c>
      <c r="L507" s="37"/>
      <c r="M507" s="6" t="s">
        <v>3586</v>
      </c>
      <c r="N507" s="17"/>
      <c r="O507" s="17"/>
      <c r="P507" s="17" t="str">
        <f t="shared" si="5"/>
        <v>OK</v>
      </c>
      <c r="Q507" s="17" t="s">
        <v>297</v>
      </c>
      <c r="R507" s="6" t="s">
        <v>298</v>
      </c>
      <c r="S507" s="6" t="s">
        <v>3587</v>
      </c>
      <c r="T507" s="10" t="s">
        <v>85</v>
      </c>
      <c r="U507" s="173" t="s">
        <v>38</v>
      </c>
      <c r="V507" s="11" t="s">
        <v>868</v>
      </c>
      <c r="W507" s="20" t="s">
        <v>3450</v>
      </c>
      <c r="X507" s="22" t="s">
        <v>3451</v>
      </c>
      <c r="Y507" s="22"/>
      <c r="Z507" s="6"/>
      <c r="AA507" s="6"/>
      <c r="AB507" s="41" t="s">
        <v>92</v>
      </c>
      <c r="AC507" s="42">
        <v>44348</v>
      </c>
      <c r="AD507" s="8">
        <v>0</v>
      </c>
    </row>
    <row r="508" spans="1:30" ht="15.75" customHeight="1">
      <c r="A508" s="10" t="s">
        <v>3588</v>
      </c>
      <c r="B508" s="10" t="s">
        <v>1469</v>
      </c>
      <c r="C508" s="52" t="s">
        <v>868</v>
      </c>
      <c r="D508" s="12"/>
      <c r="E508" s="13" t="s">
        <v>53</v>
      </c>
      <c r="F508" s="6" t="s">
        <v>3589</v>
      </c>
      <c r="G508" s="6" t="str">
        <f ca="1">IFERROR(__xludf.DUMMYFUNCTION("CONCATENATE(B508,(VLOOKUP(C508,CATALOGOS!$F$2:$H$6,3,FALSE)),(VLOOKUP(V508,CATALOGOS!$J$2:$K$18,2,FALSE)),""-"",TO_TEXT(A508))"),"P13SO-0507")</f>
        <v>P13SO-0507</v>
      </c>
      <c r="H508" s="15" t="str">
        <f ca="1">IFERROR(__xludf.DUMMYFUNCTION("CONCATENATE($B508,(VLOOKUP($C508,CATALOGOS!$F$2:$H$6,3,FALSE)),(VLOOKUP($V508,CATALOGOS!$J$2:$K$18,2,FALSE)),""-"",TO_TEXT($A508))"),"P13SO-0507")</f>
        <v>P13SO-0507</v>
      </c>
      <c r="I508" s="6"/>
      <c r="J508" s="6" t="s">
        <v>3590</v>
      </c>
      <c r="K508" s="6" t="s">
        <v>3591</v>
      </c>
      <c r="L508" s="6" t="s">
        <v>3592</v>
      </c>
      <c r="M508" s="6" t="s">
        <v>3593</v>
      </c>
      <c r="N508" s="17"/>
      <c r="O508" s="17"/>
      <c r="P508" s="17" t="str">
        <f t="shared" si="5"/>
        <v>OK</v>
      </c>
      <c r="Q508" s="17" t="s">
        <v>35</v>
      </c>
      <c r="R508" s="6" t="s">
        <v>35</v>
      </c>
      <c r="S508" s="17" t="s">
        <v>36</v>
      </c>
      <c r="T508" s="17" t="s">
        <v>3594</v>
      </c>
      <c r="U508" s="173" t="s">
        <v>38</v>
      </c>
      <c r="V508" s="11" t="s">
        <v>868</v>
      </c>
      <c r="W508" s="20" t="s">
        <v>3450</v>
      </c>
      <c r="X508" s="22" t="s">
        <v>3451</v>
      </c>
      <c r="Y508" s="22"/>
      <c r="Z508" s="7"/>
      <c r="AA508" s="7"/>
      <c r="AB508" s="23"/>
      <c r="AC508" s="26"/>
    </row>
    <row r="509" spans="1:30" ht="15.75" customHeight="1">
      <c r="A509" s="10" t="s">
        <v>3595</v>
      </c>
      <c r="B509" s="10" t="s">
        <v>1469</v>
      </c>
      <c r="C509" s="52" t="s">
        <v>868</v>
      </c>
      <c r="D509" s="12"/>
      <c r="E509" s="13" t="s">
        <v>93</v>
      </c>
      <c r="F509" s="6" t="s">
        <v>3596</v>
      </c>
      <c r="G509" s="6" t="str">
        <f ca="1">IFERROR(__xludf.DUMMYFUNCTION("CONCATENATE(B509,(VLOOKUP(C509,CATALOGOS!$F$2:$H$6,3,FALSE)),(VLOOKUP(V509,CATALOGOS!$J$2:$K$18,2,FALSE)),""-"",TO_TEXT(A509))"),"P13SO-0508")</f>
        <v>P13SO-0508</v>
      </c>
      <c r="H509" s="6" t="str">
        <f ca="1">IFERROR(__xludf.DUMMYFUNCTION("CONCATENATE($B509,(VLOOKUP($C509,CATALOGOS!$F$2:$H$6,3,FALSE)),(VLOOKUP($V509,CATALOGOS!$J$2:$K$18,2,FALSE)),""-"",TO_TEXT($A509))"),"P13SO-0508")</f>
        <v>P13SO-0508</v>
      </c>
      <c r="I509" s="6"/>
      <c r="J509" s="6" t="s">
        <v>3597</v>
      </c>
      <c r="K509" s="6" t="s">
        <v>3598</v>
      </c>
      <c r="L509" s="6" t="s">
        <v>3599</v>
      </c>
      <c r="M509" s="6" t="s">
        <v>3600</v>
      </c>
      <c r="N509" s="17"/>
      <c r="O509" s="17"/>
      <c r="P509" s="17" t="str">
        <f t="shared" si="5"/>
        <v>OK</v>
      </c>
      <c r="Q509" s="17" t="s">
        <v>35</v>
      </c>
      <c r="R509" s="6" t="s">
        <v>35</v>
      </c>
      <c r="S509" s="17" t="s">
        <v>36</v>
      </c>
      <c r="T509" s="17" t="s">
        <v>3601</v>
      </c>
      <c r="U509" s="173" t="s">
        <v>38</v>
      </c>
      <c r="V509" s="11" t="s">
        <v>868</v>
      </c>
      <c r="W509" s="20" t="s">
        <v>3450</v>
      </c>
      <c r="X509" s="22" t="s">
        <v>3451</v>
      </c>
      <c r="Y509" s="22"/>
      <c r="Z509" s="7"/>
      <c r="AA509" s="7"/>
      <c r="AB509" s="23"/>
      <c r="AC509" s="26"/>
    </row>
    <row r="510" spans="1:30" ht="15.75" customHeight="1">
      <c r="A510" s="10" t="s">
        <v>3602</v>
      </c>
      <c r="B510" s="10" t="s">
        <v>1469</v>
      </c>
      <c r="C510" s="52" t="s">
        <v>868</v>
      </c>
      <c r="D510" s="12"/>
      <c r="E510" s="13" t="s">
        <v>29</v>
      </c>
      <c r="F510" s="6" t="s">
        <v>3603</v>
      </c>
      <c r="G510" s="6" t="str">
        <f ca="1">IFERROR(__xludf.DUMMYFUNCTION("CONCATENATE(B510,(VLOOKUP(C510,CATALOGOS!$F$2:$H$6,3,FALSE)),(VLOOKUP(V510,CATALOGOS!$J$2:$K$18,2,FALSE)),""-"",TO_TEXT(A510))"),"P13SO-0509")</f>
        <v>P13SO-0509</v>
      </c>
      <c r="H510" s="6" t="str">
        <f ca="1">IFERROR(__xludf.DUMMYFUNCTION("CONCATENATE($B510,(VLOOKUP($C510,CATALOGOS!$F$2:$H$6,3,FALSE)),(VLOOKUP($V510,CATALOGOS!$J$2:$K$18,2,FALSE)),""-"",TO_TEXT($A510))"),"P13SO-0509")</f>
        <v>P13SO-0509</v>
      </c>
      <c r="I510" s="6"/>
      <c r="J510" s="6" t="s">
        <v>3604</v>
      </c>
      <c r="K510" s="6" t="s">
        <v>3605</v>
      </c>
      <c r="L510" s="6" t="s">
        <v>3606</v>
      </c>
      <c r="M510" s="6" t="s">
        <v>3607</v>
      </c>
      <c r="N510" s="17"/>
      <c r="O510" s="17"/>
      <c r="P510" s="17" t="str">
        <f t="shared" si="5"/>
        <v>OK</v>
      </c>
      <c r="Q510" s="17" t="s">
        <v>35</v>
      </c>
      <c r="R510" s="6" t="s">
        <v>35</v>
      </c>
      <c r="S510" s="17" t="s">
        <v>36</v>
      </c>
      <c r="T510" s="17" t="s">
        <v>3608</v>
      </c>
      <c r="U510" s="173" t="s">
        <v>38</v>
      </c>
      <c r="V510" s="11" t="s">
        <v>868</v>
      </c>
      <c r="W510" s="20" t="s">
        <v>3450</v>
      </c>
      <c r="X510" s="22" t="s">
        <v>3451</v>
      </c>
      <c r="Y510" s="22"/>
      <c r="Z510" s="7"/>
      <c r="AA510" s="7"/>
      <c r="AB510" s="23"/>
      <c r="AC510" s="26"/>
    </row>
    <row r="511" spans="1:30" ht="15.75" customHeight="1">
      <c r="A511" s="10" t="s">
        <v>3609</v>
      </c>
      <c r="B511" s="10" t="s">
        <v>1469</v>
      </c>
      <c r="C511" s="52" t="s">
        <v>868</v>
      </c>
      <c r="D511" s="12"/>
      <c r="E511" s="13" t="s">
        <v>378</v>
      </c>
      <c r="F511" s="6" t="s">
        <v>3610</v>
      </c>
      <c r="G511" s="6" t="str">
        <f ca="1">IFERROR(__xludf.DUMMYFUNCTION("CONCATENATE(B511,(VLOOKUP(C511,CATALOGOS!$F$2:$H$6,3,FALSE)),(VLOOKUP(V511,CATALOGOS!$J$2:$K$18,2,FALSE)),""-"",TO_TEXT(A511))"),"P13SO-0510")</f>
        <v>P13SO-0510</v>
      </c>
      <c r="H511" s="6" t="str">
        <f ca="1">IFERROR(__xludf.DUMMYFUNCTION("CONCATENATE($B511,(VLOOKUP($C511,CATALOGOS!$F$2:$H$6,3,FALSE)),(VLOOKUP($V511,CATALOGOS!$J$2:$K$18,2,FALSE)),""-"",TO_TEXT($A511))"),"P13SO-0510")</f>
        <v>P13SO-0510</v>
      </c>
      <c r="I511" s="6"/>
      <c r="J511" s="6" t="s">
        <v>3611</v>
      </c>
      <c r="K511" s="6" t="s">
        <v>3612</v>
      </c>
      <c r="L511" s="6" t="s">
        <v>3613</v>
      </c>
      <c r="M511" s="6" t="s">
        <v>3614</v>
      </c>
      <c r="N511" s="17"/>
      <c r="O511" s="17"/>
      <c r="P511" s="17" t="str">
        <f t="shared" si="5"/>
        <v>OK</v>
      </c>
      <c r="Q511" s="17" t="s">
        <v>35</v>
      </c>
      <c r="R511" s="6" t="s">
        <v>35</v>
      </c>
      <c r="S511" s="17" t="s">
        <v>36</v>
      </c>
      <c r="T511" s="17" t="s">
        <v>3615</v>
      </c>
      <c r="U511" s="173" t="s">
        <v>38</v>
      </c>
      <c r="V511" s="11" t="s">
        <v>868</v>
      </c>
      <c r="W511" s="20" t="s">
        <v>3450</v>
      </c>
      <c r="X511" s="22" t="s">
        <v>3451</v>
      </c>
      <c r="Y511" s="22"/>
      <c r="Z511" s="7"/>
      <c r="AA511" s="7"/>
      <c r="AB511" s="23"/>
      <c r="AC511" s="26"/>
    </row>
    <row r="512" spans="1:30" ht="15.75" customHeight="1">
      <c r="A512" s="10" t="s">
        <v>3616</v>
      </c>
      <c r="B512" s="10" t="s">
        <v>1469</v>
      </c>
      <c r="C512" s="52" t="s">
        <v>868</v>
      </c>
      <c r="D512" s="38"/>
      <c r="E512" s="13" t="s">
        <v>501</v>
      </c>
      <c r="F512" s="6" t="s">
        <v>3617</v>
      </c>
      <c r="G512" s="6" t="str">
        <f ca="1">IFERROR(__xludf.DUMMYFUNCTION("CONCATENATE(B512,(VLOOKUP(C512,CATALOGOS!$F$2:$H$6,3,FALSE)),(VLOOKUP(V512,CATALOGOS!$J$2:$K$18,2,FALSE)),""-"",TO_TEXT(A512))"),"P13SO-0511")</f>
        <v>P13SO-0511</v>
      </c>
      <c r="H512" s="6" t="str">
        <f ca="1">IFERROR(__xludf.DUMMYFUNCTION("CONCATENATE($B512,(VLOOKUP($C512,CATALOGOS!$F$2:$H$6,3,FALSE)),(VLOOKUP($V512,CATALOGOS!$J$2:$K$18,2,FALSE)),""-"",TO_TEXT($A512))"),"P13SO-0511")</f>
        <v>P13SO-0511</v>
      </c>
      <c r="I512" s="6"/>
      <c r="J512" s="6" t="s">
        <v>3618</v>
      </c>
      <c r="K512" s="6" t="s">
        <v>3619</v>
      </c>
      <c r="L512" s="6" t="s">
        <v>3620</v>
      </c>
      <c r="M512" s="6" t="s">
        <v>3621</v>
      </c>
      <c r="N512" s="17"/>
      <c r="O512" s="17"/>
      <c r="P512" s="17" t="str">
        <f t="shared" si="5"/>
        <v>OK</v>
      </c>
      <c r="Q512" s="17" t="s">
        <v>35</v>
      </c>
      <c r="R512" s="6" t="s">
        <v>35</v>
      </c>
      <c r="S512" s="46" t="s">
        <v>36</v>
      </c>
      <c r="T512" s="17" t="s">
        <v>3622</v>
      </c>
      <c r="U512" s="173" t="s">
        <v>38</v>
      </c>
      <c r="V512" s="11" t="s">
        <v>868</v>
      </c>
      <c r="W512" s="20" t="s">
        <v>3450</v>
      </c>
      <c r="X512" s="32" t="s">
        <v>3451</v>
      </c>
      <c r="Y512" s="32"/>
      <c r="Z512" s="7"/>
      <c r="AA512" s="7"/>
      <c r="AB512" s="26"/>
      <c r="AC512" s="26"/>
    </row>
    <row r="513" spans="1:29" ht="15.75" customHeight="1">
      <c r="A513" s="10" t="s">
        <v>3623</v>
      </c>
      <c r="B513" s="10" t="s">
        <v>1469</v>
      </c>
      <c r="C513" s="52" t="s">
        <v>868</v>
      </c>
      <c r="D513" s="12"/>
      <c r="E513" s="13" t="s">
        <v>501</v>
      </c>
      <c r="F513" s="6" t="s">
        <v>3624</v>
      </c>
      <c r="G513" s="6" t="str">
        <f ca="1">IFERROR(__xludf.DUMMYFUNCTION("CONCATENATE(B513,(VLOOKUP(C513,CATALOGOS!$F$2:$H$6,3,FALSE)),(VLOOKUP(V513,CATALOGOS!$J$2:$K$18,2,FALSE)),""-"",TO_TEXT(A513))"),"P13SO-0512")</f>
        <v>P13SO-0512</v>
      </c>
      <c r="H513" s="6" t="str">
        <f ca="1">IFERROR(__xludf.DUMMYFUNCTION("CONCATENATE($B513,(VLOOKUP($C513,CATALOGOS!$F$2:$H$6,3,FALSE)),(VLOOKUP($V513,CATALOGOS!$J$2:$K$18,2,FALSE)),""-"",TO_TEXT($A513))"),"P13SO-0512")</f>
        <v>P13SO-0512</v>
      </c>
      <c r="I513" s="6"/>
      <c r="J513" s="6" t="s">
        <v>3625</v>
      </c>
      <c r="K513" s="6" t="s">
        <v>3626</v>
      </c>
      <c r="L513" s="6" t="s">
        <v>3627</v>
      </c>
      <c r="M513" s="6" t="s">
        <v>3628</v>
      </c>
      <c r="N513" s="17"/>
      <c r="O513" s="17"/>
      <c r="P513" s="17" t="str">
        <f t="shared" si="5"/>
        <v>OK</v>
      </c>
      <c r="Q513" s="17" t="s">
        <v>35</v>
      </c>
      <c r="R513" s="6" t="s">
        <v>35</v>
      </c>
      <c r="S513" s="17" t="s">
        <v>36</v>
      </c>
      <c r="T513" s="17" t="s">
        <v>3629</v>
      </c>
      <c r="U513" s="173" t="s">
        <v>38</v>
      </c>
      <c r="V513" s="11" t="s">
        <v>868</v>
      </c>
      <c r="W513" s="20" t="s">
        <v>3450</v>
      </c>
      <c r="X513" s="22" t="s">
        <v>3451</v>
      </c>
      <c r="Y513" s="22"/>
      <c r="Z513" s="7"/>
      <c r="AA513" s="7"/>
      <c r="AB513" s="23"/>
      <c r="AC513" s="26"/>
    </row>
    <row r="514" spans="1:29" ht="15.75" customHeight="1">
      <c r="A514" s="10" t="s">
        <v>3630</v>
      </c>
      <c r="B514" s="10" t="s">
        <v>1469</v>
      </c>
      <c r="C514" s="52" t="s">
        <v>868</v>
      </c>
      <c r="D514" s="12"/>
      <c r="E514" s="13" t="s">
        <v>2060</v>
      </c>
      <c r="F514" s="6" t="s">
        <v>3631</v>
      </c>
      <c r="G514" s="6" t="str">
        <f ca="1">IFERROR(__xludf.DUMMYFUNCTION("CONCATENATE(B514,(VLOOKUP(C514,CATALOGOS!$F$2:$H$6,3,FALSE)),(VLOOKUP(V514,CATALOGOS!$J$2:$K$18,2,FALSE)),""-"",TO_TEXT(A514))"),"P13SO-0513")</f>
        <v>P13SO-0513</v>
      </c>
      <c r="H514" s="6" t="str">
        <f ca="1">IFERROR(__xludf.DUMMYFUNCTION("CONCATENATE($B514,(VLOOKUP($C514,CATALOGOS!$F$2:$H$6,3,FALSE)),(VLOOKUP($V514,CATALOGOS!$J$2:$K$18,2,FALSE)),""-"",TO_TEXT($A514))"),"P13SO-0513")</f>
        <v>P13SO-0513</v>
      </c>
      <c r="I514" s="6"/>
      <c r="J514" s="6" t="s">
        <v>3632</v>
      </c>
      <c r="K514" s="6" t="s">
        <v>3633</v>
      </c>
      <c r="L514" s="6" t="s">
        <v>3634</v>
      </c>
      <c r="M514" s="43" t="s">
        <v>3635</v>
      </c>
      <c r="N514" s="17"/>
      <c r="O514" s="17"/>
      <c r="P514" s="17" t="str">
        <f t="shared" si="5"/>
        <v>OK</v>
      </c>
      <c r="Q514" s="17" t="s">
        <v>35</v>
      </c>
      <c r="R514" s="6" t="s">
        <v>35</v>
      </c>
      <c r="S514" s="17" t="s">
        <v>36</v>
      </c>
      <c r="T514" s="17" t="s">
        <v>3636</v>
      </c>
      <c r="U514" s="173" t="s">
        <v>38</v>
      </c>
      <c r="V514" s="11" t="s">
        <v>868</v>
      </c>
      <c r="W514" s="20" t="s">
        <v>3450</v>
      </c>
      <c r="X514" s="22" t="s">
        <v>3451</v>
      </c>
      <c r="Y514" s="22"/>
      <c r="Z514" s="7"/>
      <c r="AA514" s="7"/>
      <c r="AB514" s="23"/>
      <c r="AC514" s="26"/>
    </row>
    <row r="515" spans="1:29" ht="15.75" customHeight="1">
      <c r="A515" s="10" t="s">
        <v>3637</v>
      </c>
      <c r="B515" s="10" t="s">
        <v>1469</v>
      </c>
      <c r="C515" s="52" t="s">
        <v>868</v>
      </c>
      <c r="D515" s="12"/>
      <c r="E515" s="13" t="s">
        <v>501</v>
      </c>
      <c r="F515" s="43" t="s">
        <v>3269</v>
      </c>
      <c r="G515" s="6" t="str">
        <f ca="1">IFERROR(__xludf.DUMMYFUNCTION("CONCATENATE(B515,(VLOOKUP(C515,CATALOGOS!$F$2:$H$6,3,FALSE)),(VLOOKUP(V515,CATALOGOS!$J$2:$K$18,2,FALSE)),""-"",TO_TEXT(A515))"),"P13SO-0514")</f>
        <v>P13SO-0514</v>
      </c>
      <c r="H515" s="6" t="str">
        <f ca="1">IFERROR(__xludf.DUMMYFUNCTION("CONCATENATE($B515,(VLOOKUP($C515,CATALOGOS!$F$2:$H$6,3,FALSE)),(VLOOKUP($V515,CATALOGOS!$J$2:$K$18,2,FALSE)),""-"",TO_TEXT($A515))"),"P13SO-0514")</f>
        <v>P13SO-0514</v>
      </c>
      <c r="I515" s="6"/>
      <c r="J515" s="6" t="s">
        <v>3638</v>
      </c>
      <c r="K515" s="6" t="s">
        <v>3639</v>
      </c>
      <c r="L515" s="6" t="s">
        <v>3640</v>
      </c>
      <c r="M515" s="6" t="s">
        <v>3641</v>
      </c>
      <c r="N515" s="17"/>
      <c r="O515" s="17"/>
      <c r="P515" s="17" t="str">
        <f t="shared" si="5"/>
        <v>OK</v>
      </c>
      <c r="Q515" s="17" t="s">
        <v>35</v>
      </c>
      <c r="R515" s="6" t="s">
        <v>35</v>
      </c>
      <c r="S515" s="17" t="s">
        <v>36</v>
      </c>
      <c r="T515" s="17" t="s">
        <v>3642</v>
      </c>
      <c r="U515" s="173" t="s">
        <v>38</v>
      </c>
      <c r="V515" s="11" t="s">
        <v>868</v>
      </c>
      <c r="W515" s="20" t="s">
        <v>3450</v>
      </c>
      <c r="X515" s="22" t="s">
        <v>3451</v>
      </c>
      <c r="Y515" s="22"/>
      <c r="Z515" s="7"/>
      <c r="AA515" s="7"/>
      <c r="AB515" s="23"/>
      <c r="AC515" s="26"/>
    </row>
    <row r="516" spans="1:29" ht="15.75" customHeight="1">
      <c r="A516" s="10" t="s">
        <v>3643</v>
      </c>
      <c r="B516" s="10" t="s">
        <v>1469</v>
      </c>
      <c r="C516" s="52" t="s">
        <v>868</v>
      </c>
      <c r="D516" s="12"/>
      <c r="E516" s="13" t="s">
        <v>2060</v>
      </c>
      <c r="F516" s="6" t="s">
        <v>3631</v>
      </c>
      <c r="G516" s="6" t="str">
        <f ca="1">IFERROR(__xludf.DUMMYFUNCTION("CONCATENATE(B516,(VLOOKUP(C516,CATALOGOS!$F$2:$H$6,3,FALSE)),(VLOOKUP(V516,CATALOGOS!$J$2:$K$18,2,FALSE)),""-"",TO_TEXT(A516))"),"P13SO-0515")</f>
        <v>P13SO-0515</v>
      </c>
      <c r="H516" s="6" t="str">
        <f ca="1">IFERROR(__xludf.DUMMYFUNCTION("CONCATENATE($B516,(VLOOKUP($C516,CATALOGOS!$F$2:$H$6,3,FALSE)),(VLOOKUP($V516,CATALOGOS!$J$2:$K$18,2,FALSE)),""-"",TO_TEXT($A516))"),"P13SO-0515")</f>
        <v>P13SO-0515</v>
      </c>
      <c r="I516" s="6"/>
      <c r="J516" s="6" t="s">
        <v>3644</v>
      </c>
      <c r="K516" s="6" t="s">
        <v>3645</v>
      </c>
      <c r="L516" s="6" t="s">
        <v>3646</v>
      </c>
      <c r="M516" s="6" t="s">
        <v>3647</v>
      </c>
      <c r="N516" s="17"/>
      <c r="O516" s="17"/>
      <c r="P516" s="17" t="str">
        <f t="shared" si="5"/>
        <v>OK</v>
      </c>
      <c r="Q516" s="17" t="s">
        <v>35</v>
      </c>
      <c r="R516" s="6" t="s">
        <v>35</v>
      </c>
      <c r="S516" s="17" t="s">
        <v>36</v>
      </c>
      <c r="T516" s="17" t="s">
        <v>3648</v>
      </c>
      <c r="U516" s="173" t="s">
        <v>38</v>
      </c>
      <c r="V516" s="11" t="s">
        <v>868</v>
      </c>
      <c r="W516" s="20" t="s">
        <v>3450</v>
      </c>
      <c r="X516" s="22" t="s">
        <v>3451</v>
      </c>
      <c r="Y516" s="22"/>
      <c r="Z516" s="7"/>
      <c r="AA516" s="7"/>
      <c r="AB516" s="23"/>
      <c r="AC516" s="26"/>
    </row>
    <row r="517" spans="1:29" ht="15.75" customHeight="1">
      <c r="A517" s="10" t="s">
        <v>3649</v>
      </c>
      <c r="B517" s="10" t="s">
        <v>1469</v>
      </c>
      <c r="C517" s="52" t="s">
        <v>868</v>
      </c>
      <c r="D517" s="12"/>
      <c r="E517" s="13" t="s">
        <v>501</v>
      </c>
      <c r="F517" s="43" t="s">
        <v>3269</v>
      </c>
      <c r="G517" s="6" t="str">
        <f ca="1">IFERROR(__xludf.DUMMYFUNCTION("CONCATENATE(B517,(VLOOKUP(C517,CATALOGOS!$F$2:$H$6,3,FALSE)),(VLOOKUP(V517,CATALOGOS!$J$2:$K$18,2,FALSE)),""-"",TO_TEXT(A517))"),"P13SO-0516")</f>
        <v>P13SO-0516</v>
      </c>
      <c r="H517" s="6" t="str">
        <f ca="1">IFERROR(__xludf.DUMMYFUNCTION("CONCATENATE($B517,(VLOOKUP($C517,CATALOGOS!$F$2:$H$6,3,FALSE)),(VLOOKUP($V517,CATALOGOS!$J$2:$K$18,2,FALSE)),""-"",TO_TEXT($A517))"),"P13SO-0516")</f>
        <v>P13SO-0516</v>
      </c>
      <c r="I517" s="6"/>
      <c r="J517" s="6" t="s">
        <v>3650</v>
      </c>
      <c r="K517" s="6" t="s">
        <v>3651</v>
      </c>
      <c r="L517" s="6" t="s">
        <v>3652</v>
      </c>
      <c r="M517" s="6" t="s">
        <v>3653</v>
      </c>
      <c r="N517" s="17"/>
      <c r="O517" s="17"/>
      <c r="P517" s="17" t="str">
        <f t="shared" si="5"/>
        <v>OK</v>
      </c>
      <c r="Q517" s="17" t="s">
        <v>35</v>
      </c>
      <c r="R517" s="6" t="s">
        <v>35</v>
      </c>
      <c r="S517" s="17" t="s">
        <v>36</v>
      </c>
      <c r="T517" s="17" t="s">
        <v>3654</v>
      </c>
      <c r="U517" s="173" t="s">
        <v>38</v>
      </c>
      <c r="V517" s="11" t="s">
        <v>868</v>
      </c>
      <c r="W517" s="20" t="s">
        <v>3450</v>
      </c>
      <c r="X517" s="22" t="s">
        <v>3451</v>
      </c>
      <c r="Y517" s="22"/>
      <c r="Z517" s="7"/>
      <c r="AA517" s="7"/>
      <c r="AB517" s="23"/>
      <c r="AC517" s="26"/>
    </row>
    <row r="518" spans="1:29" ht="15.75" customHeight="1">
      <c r="A518" s="10" t="s">
        <v>3655</v>
      </c>
      <c r="B518" s="10" t="s">
        <v>1469</v>
      </c>
      <c r="C518" s="52" t="s">
        <v>868</v>
      </c>
      <c r="D518" s="12"/>
      <c r="E518" s="13" t="s">
        <v>2060</v>
      </c>
      <c r="F518" s="6" t="s">
        <v>3631</v>
      </c>
      <c r="G518" s="6" t="str">
        <f ca="1">IFERROR(__xludf.DUMMYFUNCTION("CONCATENATE(B518,(VLOOKUP(C518,CATALOGOS!$F$2:$H$6,3,FALSE)),(VLOOKUP(V518,CATALOGOS!$J$2:$K$18,2,FALSE)),""-"",TO_TEXT(A518))"),"P13SO-0517")</f>
        <v>P13SO-0517</v>
      </c>
      <c r="H518" s="6" t="str">
        <f ca="1">IFERROR(__xludf.DUMMYFUNCTION("CONCATENATE($B518,(VLOOKUP($C518,CATALOGOS!$F$2:$H$6,3,FALSE)),(VLOOKUP($V518,CATALOGOS!$J$2:$K$18,2,FALSE)),""-"",TO_TEXT($A518))"),"P13SO-0517")</f>
        <v>P13SO-0517</v>
      </c>
      <c r="I518" s="6"/>
      <c r="J518" s="6" t="s">
        <v>3656</v>
      </c>
      <c r="K518" s="6" t="s">
        <v>3657</v>
      </c>
      <c r="L518" s="6" t="s">
        <v>3658</v>
      </c>
      <c r="M518" s="6" t="s">
        <v>3659</v>
      </c>
      <c r="N518" s="17"/>
      <c r="O518" s="17"/>
      <c r="P518" s="17" t="str">
        <f t="shared" si="5"/>
        <v>OK</v>
      </c>
      <c r="Q518" s="17" t="s">
        <v>35</v>
      </c>
      <c r="R518" s="6" t="s">
        <v>35</v>
      </c>
      <c r="S518" s="6" t="s">
        <v>36</v>
      </c>
      <c r="T518" s="10" t="s">
        <v>3660</v>
      </c>
      <c r="U518" s="173" t="s">
        <v>38</v>
      </c>
      <c r="V518" s="11" t="s">
        <v>868</v>
      </c>
      <c r="W518" s="20" t="s">
        <v>3450</v>
      </c>
      <c r="X518" s="22" t="s">
        <v>3451</v>
      </c>
      <c r="Y518" s="22"/>
      <c r="Z518" s="7"/>
      <c r="AA518" s="7"/>
      <c r="AB518" s="23"/>
      <c r="AC518" s="26"/>
    </row>
    <row r="519" spans="1:29" ht="15.75" customHeight="1">
      <c r="A519" s="10" t="s">
        <v>3661</v>
      </c>
      <c r="B519" s="10" t="s">
        <v>1469</v>
      </c>
      <c r="C519" s="52" t="s">
        <v>868</v>
      </c>
      <c r="D519" s="12"/>
      <c r="E519" s="13" t="s">
        <v>501</v>
      </c>
      <c r="F519" s="43" t="s">
        <v>3285</v>
      </c>
      <c r="G519" s="6" t="str">
        <f ca="1">IFERROR(__xludf.DUMMYFUNCTION("CONCATENATE(B519,(VLOOKUP(C519,CATALOGOS!$F$2:$H$6,3,FALSE)),(VLOOKUP(V519,CATALOGOS!$J$2:$K$18,2,FALSE)),""-"",TO_TEXT(A519))"),"P13DG-0518")</f>
        <v>P13DG-0518</v>
      </c>
      <c r="H519" s="6" t="str">
        <f ca="1">IFERROR(__xludf.DUMMYFUNCTION("CONCATENATE($B519,(VLOOKUP($C519,CATALOGOS!$F$2:$H$6,3,FALSE)),(VLOOKUP($V519,CATALOGOS!$J$2:$K$18,2,FALSE)),""-"",TO_TEXT($A519))"),"P13DG-0518")</f>
        <v>P13DG-0518</v>
      </c>
      <c r="I519" s="6"/>
      <c r="J519" s="6" t="s">
        <v>3662</v>
      </c>
      <c r="K519" s="6" t="s">
        <v>3663</v>
      </c>
      <c r="L519" s="6" t="s">
        <v>3664</v>
      </c>
      <c r="M519" s="6" t="s">
        <v>3665</v>
      </c>
      <c r="N519" s="17"/>
      <c r="O519" s="17"/>
      <c r="P519" s="17" t="str">
        <f t="shared" si="5"/>
        <v>OK</v>
      </c>
      <c r="Q519" s="17" t="s">
        <v>35</v>
      </c>
      <c r="R519" s="6" t="s">
        <v>35</v>
      </c>
      <c r="S519" s="17" t="s">
        <v>36</v>
      </c>
      <c r="T519" s="17" t="s">
        <v>3666</v>
      </c>
      <c r="U519" s="173" t="s">
        <v>38</v>
      </c>
      <c r="V519" s="11" t="s">
        <v>6054</v>
      </c>
      <c r="W519" s="20" t="s">
        <v>3450</v>
      </c>
      <c r="X519" s="22" t="s">
        <v>3451</v>
      </c>
      <c r="Y519" s="22"/>
      <c r="Z519" s="7"/>
      <c r="AA519" s="7"/>
      <c r="AB519" s="23"/>
      <c r="AC519" s="26"/>
    </row>
    <row r="520" spans="1:29" ht="15.75" customHeight="1">
      <c r="A520" s="10" t="s">
        <v>3667</v>
      </c>
      <c r="B520" s="10" t="s">
        <v>1469</v>
      </c>
      <c r="C520" s="52" t="s">
        <v>868</v>
      </c>
      <c r="D520" s="12"/>
      <c r="E520" s="13" t="s">
        <v>501</v>
      </c>
      <c r="F520" s="43" t="s">
        <v>3269</v>
      </c>
      <c r="G520" s="6" t="str">
        <f ca="1">IFERROR(__xludf.DUMMYFUNCTION("CONCATENATE(B520,(VLOOKUP(C520,CATALOGOS!$F$2:$H$6,3,FALSE)),(VLOOKUP(V520,CATALOGOS!$J$2:$K$18,2,FALSE)),""-"",TO_TEXT(A520))"),"P13SO-0519")</f>
        <v>P13SO-0519</v>
      </c>
      <c r="H520" s="6" t="str">
        <f ca="1">IFERROR(__xludf.DUMMYFUNCTION("CONCATENATE($B520,(VLOOKUP($C520,CATALOGOS!$F$2:$H$6,3,FALSE)),(VLOOKUP($V520,CATALOGOS!$J$2:$K$18,2,FALSE)),""-"",TO_TEXT($A520))"),"P13SO-0519")</f>
        <v>P13SO-0519</v>
      </c>
      <c r="I520" s="6"/>
      <c r="J520" s="6" t="s">
        <v>3668</v>
      </c>
      <c r="K520" s="6" t="s">
        <v>3669</v>
      </c>
      <c r="L520" s="6" t="s">
        <v>3670</v>
      </c>
      <c r="M520" s="6" t="s">
        <v>3671</v>
      </c>
      <c r="N520" s="17"/>
      <c r="O520" s="17"/>
      <c r="P520" s="17" t="str">
        <f t="shared" si="5"/>
        <v>OK</v>
      </c>
      <c r="Q520" s="17" t="s">
        <v>35</v>
      </c>
      <c r="R520" s="6" t="s">
        <v>35</v>
      </c>
      <c r="S520" s="17" t="s">
        <v>36</v>
      </c>
      <c r="T520" s="17" t="s">
        <v>3672</v>
      </c>
      <c r="U520" s="173" t="s">
        <v>38</v>
      </c>
      <c r="V520" s="11" t="s">
        <v>868</v>
      </c>
      <c r="W520" s="20" t="s">
        <v>3450</v>
      </c>
      <c r="X520" s="22" t="s">
        <v>3451</v>
      </c>
      <c r="Y520" s="22"/>
      <c r="Z520" s="7"/>
      <c r="AA520" s="7"/>
      <c r="AB520" s="23"/>
      <c r="AC520" s="26"/>
    </row>
    <row r="521" spans="1:29" ht="15.75" customHeight="1">
      <c r="A521" s="10" t="s">
        <v>3673</v>
      </c>
      <c r="B521" s="10" t="s">
        <v>1469</v>
      </c>
      <c r="C521" s="52" t="s">
        <v>868</v>
      </c>
      <c r="D521" s="12"/>
      <c r="E521" s="13" t="s">
        <v>2060</v>
      </c>
      <c r="F521" s="6" t="s">
        <v>3631</v>
      </c>
      <c r="G521" s="6" t="str">
        <f ca="1">IFERROR(__xludf.DUMMYFUNCTION("CONCATENATE(B521,(VLOOKUP(C521,CATALOGOS!$F$2:$H$6,3,FALSE)),(VLOOKUP(V521,CATALOGOS!$J$2:$K$18,2,FALSE)),""-"",TO_TEXT(A521))"),"P13SO-0520")</f>
        <v>P13SO-0520</v>
      </c>
      <c r="H521" s="6" t="str">
        <f ca="1">IFERROR(__xludf.DUMMYFUNCTION("CONCATENATE($B521,(VLOOKUP($C521,CATALOGOS!$F$2:$H$6,3,FALSE)),(VLOOKUP($V521,CATALOGOS!$J$2:$K$18,2,FALSE)),""-"",TO_TEXT($A521))"),"P13SO-0520")</f>
        <v>P13SO-0520</v>
      </c>
      <c r="I521" s="6"/>
      <c r="J521" s="6" t="s">
        <v>3674</v>
      </c>
      <c r="K521" s="6" t="s">
        <v>3675</v>
      </c>
      <c r="L521" s="37"/>
      <c r="M521" s="6" t="s">
        <v>141</v>
      </c>
      <c r="N521" s="17"/>
      <c r="O521" s="17"/>
      <c r="P521" s="17" t="str">
        <f t="shared" si="5"/>
        <v>REPETIDO</v>
      </c>
      <c r="Q521" s="17" t="s">
        <v>35</v>
      </c>
      <c r="R521" s="6" t="s">
        <v>35</v>
      </c>
      <c r="S521" s="6" t="s">
        <v>36</v>
      </c>
      <c r="T521" s="10" t="s">
        <v>85</v>
      </c>
      <c r="U521" s="173" t="s">
        <v>38</v>
      </c>
      <c r="V521" s="11" t="s">
        <v>868</v>
      </c>
      <c r="W521" s="20" t="s">
        <v>3450</v>
      </c>
      <c r="X521" s="22" t="s">
        <v>3451</v>
      </c>
      <c r="Y521" s="22"/>
      <c r="Z521" s="7"/>
      <c r="AA521" s="7"/>
      <c r="AB521" s="23"/>
      <c r="AC521" s="26"/>
    </row>
    <row r="522" spans="1:29" ht="15.75" customHeight="1">
      <c r="A522" s="10" t="s">
        <v>3676</v>
      </c>
      <c r="B522" s="10" t="s">
        <v>1469</v>
      </c>
      <c r="C522" s="52" t="s">
        <v>868</v>
      </c>
      <c r="D522" s="12"/>
      <c r="E522" s="13" t="s">
        <v>501</v>
      </c>
      <c r="F522" s="43" t="s">
        <v>3269</v>
      </c>
      <c r="G522" s="6" t="str">
        <f ca="1">IFERROR(__xludf.DUMMYFUNCTION("CONCATENATE(B522,(VLOOKUP(C522,CATALOGOS!$F$2:$H$6,3,FALSE)),(VLOOKUP(V522,CATALOGOS!$J$2:$K$18,2,FALSE)),""-"",TO_TEXT(A522))"),"P13SO-0521")</f>
        <v>P13SO-0521</v>
      </c>
      <c r="H522" s="6" t="str">
        <f ca="1">IFERROR(__xludf.DUMMYFUNCTION("CONCATENATE($B522,(VLOOKUP($C522,CATALOGOS!$F$2:$H$6,3,FALSE)),(VLOOKUP($V522,CATALOGOS!$J$2:$K$18,2,FALSE)),""-"",TO_TEXT($A522))"),"P13SO-0521")</f>
        <v>P13SO-0521</v>
      </c>
      <c r="I522" s="6"/>
      <c r="J522" s="6" t="s">
        <v>3677</v>
      </c>
      <c r="K522" s="6" t="s">
        <v>3678</v>
      </c>
      <c r="L522" s="6" t="s">
        <v>3679</v>
      </c>
      <c r="M522" s="6" t="s">
        <v>3680</v>
      </c>
      <c r="N522" s="17"/>
      <c r="O522" s="17"/>
      <c r="P522" s="17" t="str">
        <f t="shared" si="5"/>
        <v>OK</v>
      </c>
      <c r="Q522" s="17" t="s">
        <v>35</v>
      </c>
      <c r="R522" s="6" t="s">
        <v>35</v>
      </c>
      <c r="S522" s="17" t="s">
        <v>36</v>
      </c>
      <c r="T522" s="17" t="s">
        <v>3681</v>
      </c>
      <c r="U522" s="173" t="s">
        <v>38</v>
      </c>
      <c r="V522" s="11" t="s">
        <v>868</v>
      </c>
      <c r="W522" s="20" t="s">
        <v>3450</v>
      </c>
      <c r="X522" s="22" t="s">
        <v>3451</v>
      </c>
      <c r="Y522" s="22"/>
      <c r="Z522" s="7"/>
      <c r="AA522" s="7"/>
      <c r="AB522" s="23"/>
      <c r="AC522" s="26"/>
    </row>
    <row r="523" spans="1:29" ht="15.75" customHeight="1">
      <c r="A523" s="10" t="s">
        <v>3682</v>
      </c>
      <c r="B523" s="10" t="s">
        <v>1469</v>
      </c>
      <c r="C523" s="52" t="s">
        <v>868</v>
      </c>
      <c r="D523" s="12"/>
      <c r="E523" s="13" t="s">
        <v>2060</v>
      </c>
      <c r="F523" s="6" t="s">
        <v>3631</v>
      </c>
      <c r="G523" s="6" t="str">
        <f ca="1">IFERROR(__xludf.DUMMYFUNCTION("CONCATENATE(B523,(VLOOKUP(C523,CATALOGOS!$F$2:$H$6,3,FALSE)),(VLOOKUP(V523,CATALOGOS!$J$2:$K$18,2,FALSE)),""-"",TO_TEXT(A523))"),"P13SO-0522")</f>
        <v>P13SO-0522</v>
      </c>
      <c r="H523" s="6" t="str">
        <f ca="1">IFERROR(__xludf.DUMMYFUNCTION("CONCATENATE($B523,(VLOOKUP($C523,CATALOGOS!$F$2:$H$6,3,FALSE)),(VLOOKUP($V523,CATALOGOS!$J$2:$K$18,2,FALSE)),""-"",TO_TEXT($A523))"),"P13SO-0522")</f>
        <v>P13SO-0522</v>
      </c>
      <c r="I523" s="6"/>
      <c r="J523" s="6" t="s">
        <v>3683</v>
      </c>
      <c r="K523" s="6" t="s">
        <v>3684</v>
      </c>
      <c r="L523" s="37"/>
      <c r="M523" s="6" t="s">
        <v>141</v>
      </c>
      <c r="N523" s="17"/>
      <c r="O523" s="17"/>
      <c r="P523" s="17" t="str">
        <f t="shared" si="5"/>
        <v>REPETIDO</v>
      </c>
      <c r="Q523" s="17" t="s">
        <v>35</v>
      </c>
      <c r="R523" s="6" t="s">
        <v>35</v>
      </c>
      <c r="S523" s="6" t="s">
        <v>36</v>
      </c>
      <c r="T523" s="10" t="s">
        <v>85</v>
      </c>
      <c r="U523" s="173" t="s">
        <v>38</v>
      </c>
      <c r="V523" s="11" t="s">
        <v>868</v>
      </c>
      <c r="W523" s="20" t="s">
        <v>3450</v>
      </c>
      <c r="X523" s="22" t="s">
        <v>3451</v>
      </c>
      <c r="Y523" s="22"/>
      <c r="Z523" s="7"/>
      <c r="AA523" s="7"/>
      <c r="AB523" s="23"/>
      <c r="AC523" s="26"/>
    </row>
    <row r="524" spans="1:29" ht="15.75" customHeight="1">
      <c r="A524" s="10" t="s">
        <v>3685</v>
      </c>
      <c r="B524" s="10" t="s">
        <v>1469</v>
      </c>
      <c r="C524" s="52" t="s">
        <v>868</v>
      </c>
      <c r="D524" s="12"/>
      <c r="E524" s="13" t="s">
        <v>501</v>
      </c>
      <c r="F524" s="6" t="s">
        <v>3285</v>
      </c>
      <c r="G524" s="6" t="str">
        <f ca="1">IFERROR(__xludf.DUMMYFUNCTION("CONCATENATE(B524,(VLOOKUP(C524,CATALOGOS!$F$2:$H$6,3,FALSE)),(VLOOKUP(V524,CATALOGOS!$J$2:$K$18,2,FALSE)),""-"",TO_TEXT(A524))"),"P13SO-0523")</f>
        <v>P13SO-0523</v>
      </c>
      <c r="H524" s="6" t="str">
        <f ca="1">IFERROR(__xludf.DUMMYFUNCTION("CONCATENATE($B524,(VLOOKUP($C524,CATALOGOS!$F$2:$H$6,3,FALSE)),(VLOOKUP($V524,CATALOGOS!$J$2:$K$18,2,FALSE)),""-"",TO_TEXT($A524))"),"P13SO-0523")</f>
        <v>P13SO-0523</v>
      </c>
      <c r="I524" s="6"/>
      <c r="J524" s="6" t="s">
        <v>3686</v>
      </c>
      <c r="K524" s="6" t="s">
        <v>3687</v>
      </c>
      <c r="L524" s="6" t="s">
        <v>3688</v>
      </c>
      <c r="M524" s="6" t="s">
        <v>3689</v>
      </c>
      <c r="N524" s="17"/>
      <c r="O524" s="17"/>
      <c r="P524" s="17" t="str">
        <f t="shared" si="5"/>
        <v>OK</v>
      </c>
      <c r="Q524" s="17" t="s">
        <v>35</v>
      </c>
      <c r="R524" s="6" t="s">
        <v>35</v>
      </c>
      <c r="S524" s="17" t="s">
        <v>36</v>
      </c>
      <c r="T524" s="17" t="s">
        <v>3690</v>
      </c>
      <c r="U524" s="173" t="s">
        <v>38</v>
      </c>
      <c r="V524" s="11" t="s">
        <v>868</v>
      </c>
      <c r="W524" s="20" t="s">
        <v>3450</v>
      </c>
      <c r="X524" s="22" t="s">
        <v>3451</v>
      </c>
      <c r="Y524" s="22"/>
      <c r="Z524" s="7"/>
      <c r="AA524" s="7"/>
      <c r="AB524" s="23"/>
      <c r="AC524" s="26"/>
    </row>
    <row r="525" spans="1:29" ht="15.75" customHeight="1">
      <c r="A525" s="10" t="s">
        <v>3691</v>
      </c>
      <c r="B525" s="10" t="s">
        <v>1469</v>
      </c>
      <c r="C525" s="52" t="s">
        <v>868</v>
      </c>
      <c r="D525" s="12"/>
      <c r="E525" s="13" t="s">
        <v>501</v>
      </c>
      <c r="F525" s="6" t="s">
        <v>2046</v>
      </c>
      <c r="G525" s="6" t="str">
        <f ca="1">IFERROR(__xludf.DUMMYFUNCTION("CONCATENATE(B525,(VLOOKUP(C525,CATALOGOS!$F$2:$H$6,3,FALSE)),(VLOOKUP(V525,CATALOGOS!$J$2:$K$18,2,FALSE)),""-"",TO_TEXT(A525))"),"P13SO-0524")</f>
        <v>P13SO-0524</v>
      </c>
      <c r="H525" s="6" t="str">
        <f ca="1">IFERROR(__xludf.DUMMYFUNCTION("CONCATENATE($B525,(VLOOKUP($C525,CATALOGOS!$F$2:$H$6,3,FALSE)),(VLOOKUP($V525,CATALOGOS!$J$2:$K$18,2,FALSE)),""-"",TO_TEXT($A525))"),"P13SO-0524")</f>
        <v>P13SO-0524</v>
      </c>
      <c r="I525" s="6"/>
      <c r="J525" s="6" t="s">
        <v>3692</v>
      </c>
      <c r="K525" s="6" t="s">
        <v>3693</v>
      </c>
      <c r="L525" s="6" t="s">
        <v>3694</v>
      </c>
      <c r="M525" s="6" t="s">
        <v>3695</v>
      </c>
      <c r="N525" s="17"/>
      <c r="O525" s="17"/>
      <c r="P525" s="17" t="str">
        <f t="shared" si="5"/>
        <v>OK</v>
      </c>
      <c r="Q525" s="17" t="s">
        <v>35</v>
      </c>
      <c r="R525" s="6" t="s">
        <v>35</v>
      </c>
      <c r="S525" s="6" t="s">
        <v>36</v>
      </c>
      <c r="T525" s="10" t="s">
        <v>3696</v>
      </c>
      <c r="U525" s="173" t="s">
        <v>38</v>
      </c>
      <c r="V525" s="11" t="s">
        <v>868</v>
      </c>
      <c r="W525" s="20" t="s">
        <v>3450</v>
      </c>
      <c r="X525" s="22" t="s">
        <v>3451</v>
      </c>
      <c r="Y525" s="22"/>
      <c r="Z525" s="7"/>
      <c r="AA525" s="7"/>
      <c r="AB525" s="23"/>
      <c r="AC525" s="26"/>
    </row>
    <row r="526" spans="1:29" ht="15.75" customHeight="1">
      <c r="A526" s="10" t="s">
        <v>3697</v>
      </c>
      <c r="B526" s="10" t="s">
        <v>1469</v>
      </c>
      <c r="C526" s="52" t="s">
        <v>868</v>
      </c>
      <c r="D526" s="12"/>
      <c r="E526" s="13" t="s">
        <v>501</v>
      </c>
      <c r="F526" s="43" t="s">
        <v>3269</v>
      </c>
      <c r="G526" s="6" t="str">
        <f ca="1">IFERROR(__xludf.DUMMYFUNCTION("CONCATENATE(B526,(VLOOKUP(C526,CATALOGOS!$F$2:$H$6,3,FALSE)),(VLOOKUP(V526,CATALOGOS!$J$2:$K$18,2,FALSE)),""-"",TO_TEXT(A526))"),"P13SO-0525")</f>
        <v>P13SO-0525</v>
      </c>
      <c r="H526" s="6" t="str">
        <f ca="1">IFERROR(__xludf.DUMMYFUNCTION("CONCATENATE($B526,(VLOOKUP($C526,CATALOGOS!$F$2:$H$6,3,FALSE)),(VLOOKUP($V526,CATALOGOS!$J$2:$K$18,2,FALSE)),""-"",TO_TEXT($A526))"),"P13SO-0525")</f>
        <v>P13SO-0525</v>
      </c>
      <c r="I526" s="6"/>
      <c r="J526" s="6" t="s">
        <v>3698</v>
      </c>
      <c r="K526" s="6" t="s">
        <v>3699</v>
      </c>
      <c r="L526" s="6" t="s">
        <v>3700</v>
      </c>
      <c r="M526" s="6" t="s">
        <v>3701</v>
      </c>
      <c r="N526" s="17"/>
      <c r="O526" s="17"/>
      <c r="P526" s="17" t="str">
        <f t="shared" si="5"/>
        <v>OK</v>
      </c>
      <c r="Q526" s="17" t="s">
        <v>35</v>
      </c>
      <c r="R526" s="6" t="s">
        <v>35</v>
      </c>
      <c r="S526" s="17" t="s">
        <v>36</v>
      </c>
      <c r="T526" s="17" t="s">
        <v>3702</v>
      </c>
      <c r="U526" s="173" t="s">
        <v>38</v>
      </c>
      <c r="V526" s="11" t="s">
        <v>868</v>
      </c>
      <c r="W526" s="20" t="s">
        <v>3450</v>
      </c>
      <c r="X526" s="22" t="s">
        <v>3451</v>
      </c>
      <c r="Y526" s="22"/>
      <c r="Z526" s="7"/>
      <c r="AA526" s="7"/>
      <c r="AB526" s="23"/>
      <c r="AC526" s="26"/>
    </row>
    <row r="527" spans="1:29" ht="15.75" customHeight="1">
      <c r="A527" s="10" t="s">
        <v>3703</v>
      </c>
      <c r="B527" s="10" t="s">
        <v>1469</v>
      </c>
      <c r="C527" s="52" t="s">
        <v>868</v>
      </c>
      <c r="D527" s="12"/>
      <c r="E527" s="13" t="s">
        <v>62</v>
      </c>
      <c r="F527" s="6" t="s">
        <v>3262</v>
      </c>
      <c r="G527" s="6" t="str">
        <f ca="1">IFERROR(__xludf.DUMMYFUNCTION("CONCATENATE(B527,(VLOOKUP(C527,CATALOGOS!$F$2:$H$6,3,FALSE)),(VLOOKUP(V527,CATALOGOS!$J$2:$K$18,2,FALSE)),""-"",TO_TEXT(A527))"),"P13SO-0526")</f>
        <v>P13SO-0526</v>
      </c>
      <c r="H527" s="6" t="str">
        <f ca="1">IFERROR(__xludf.DUMMYFUNCTION("CONCATENATE($B527,(VLOOKUP($C527,CATALOGOS!$F$2:$H$6,3,FALSE)),(VLOOKUP($V527,CATALOGOS!$J$2:$K$18,2,FALSE)),""-"",TO_TEXT($A527))"),"P13SO-0526")</f>
        <v>P13SO-0526</v>
      </c>
      <c r="I527" s="6"/>
      <c r="J527" s="6" t="s">
        <v>3704</v>
      </c>
      <c r="K527" s="6" t="s">
        <v>3705</v>
      </c>
      <c r="L527" s="6" t="s">
        <v>3706</v>
      </c>
      <c r="M527" s="6" t="s">
        <v>3707</v>
      </c>
      <c r="N527" s="17"/>
      <c r="O527" s="17"/>
      <c r="P527" s="17" t="str">
        <f t="shared" si="5"/>
        <v>OK</v>
      </c>
      <c r="Q527" s="17" t="s">
        <v>35</v>
      </c>
      <c r="R527" s="6" t="s">
        <v>35</v>
      </c>
      <c r="S527" s="17" t="s">
        <v>36</v>
      </c>
      <c r="T527" s="17" t="s">
        <v>3708</v>
      </c>
      <c r="U527" s="173" t="s">
        <v>38</v>
      </c>
      <c r="V527" s="11" t="s">
        <v>868</v>
      </c>
      <c r="W527" s="20" t="s">
        <v>3450</v>
      </c>
      <c r="X527" s="22" t="s">
        <v>3451</v>
      </c>
      <c r="Y527" s="22"/>
      <c r="Z527" s="71"/>
      <c r="AA527" s="71"/>
      <c r="AB527" s="23"/>
      <c r="AC527" s="26"/>
    </row>
    <row r="528" spans="1:29" ht="15.75" customHeight="1">
      <c r="A528" s="10" t="s">
        <v>3709</v>
      </c>
      <c r="B528" s="10" t="s">
        <v>1469</v>
      </c>
      <c r="C528" s="52" t="s">
        <v>868</v>
      </c>
      <c r="D528" s="38"/>
      <c r="E528" s="13" t="s">
        <v>93</v>
      </c>
      <c r="F528" s="6" t="s">
        <v>3710</v>
      </c>
      <c r="G528" s="6" t="str">
        <f ca="1">IFERROR(__xludf.DUMMYFUNCTION("CONCATENATE(B528,(VLOOKUP(C528,CATALOGOS!$F$2:$H$6,3,FALSE)),(VLOOKUP(V528,CATALOGOS!$J$2:$K$18,2,FALSE)),""-"",TO_TEXT(A528))"),"P13SO-0527")</f>
        <v>P13SO-0527</v>
      </c>
      <c r="H528" s="6" t="str">
        <f ca="1">IFERROR(__xludf.DUMMYFUNCTION("CONCATENATE($B528,(VLOOKUP($C528,CATALOGOS!$F$2:$H$6,3,FALSE)),(VLOOKUP($V528,CATALOGOS!$J$2:$K$18,2,FALSE)),""-"",TO_TEXT($A528))"),"P13SO-0527")</f>
        <v>P13SO-0527</v>
      </c>
      <c r="I528" s="6"/>
      <c r="J528" s="6" t="s">
        <v>3711</v>
      </c>
      <c r="K528" s="6" t="s">
        <v>3712</v>
      </c>
      <c r="L528" s="6" t="s">
        <v>3713</v>
      </c>
      <c r="M528" s="6" t="s">
        <v>3714</v>
      </c>
      <c r="N528" s="17"/>
      <c r="O528" s="17"/>
      <c r="P528" s="17" t="str">
        <f t="shared" si="5"/>
        <v>OK</v>
      </c>
      <c r="Q528" s="17" t="s">
        <v>35</v>
      </c>
      <c r="R528" s="6" t="s">
        <v>35</v>
      </c>
      <c r="S528" s="46" t="s">
        <v>36</v>
      </c>
      <c r="T528" s="17" t="s">
        <v>3715</v>
      </c>
      <c r="U528" s="173" t="s">
        <v>38</v>
      </c>
      <c r="V528" s="11" t="s">
        <v>868</v>
      </c>
      <c r="W528" s="20" t="s">
        <v>3450</v>
      </c>
      <c r="X528" s="32" t="s">
        <v>3451</v>
      </c>
      <c r="Y528" s="32"/>
      <c r="Z528" s="7"/>
      <c r="AA528" s="7"/>
      <c r="AB528" s="26"/>
      <c r="AC528" s="26"/>
    </row>
    <row r="529" spans="1:29" ht="15.75" customHeight="1">
      <c r="A529" s="10" t="s">
        <v>3717</v>
      </c>
      <c r="B529" s="10" t="s">
        <v>1469</v>
      </c>
      <c r="C529" s="52" t="s">
        <v>868</v>
      </c>
      <c r="D529" s="12"/>
      <c r="E529" s="13" t="s">
        <v>242</v>
      </c>
      <c r="F529" s="6" t="s">
        <v>3718</v>
      </c>
      <c r="G529" s="15" t="str">
        <f ca="1">IFERROR(__xludf.DUMMYFUNCTION("CONCATENATE(B529,(VLOOKUP(C529,CATALOGOS!$F$2:$H$6,3,FALSE)),(VLOOKUP(V529,CATALOGOS!$J$2:$K$18,2,FALSE)),""-"",TO_TEXT(A529))"),"P13SO-0528")</f>
        <v>P13SO-0528</v>
      </c>
      <c r="H529" s="6" t="str">
        <f ca="1">IFERROR(__xludf.DUMMYFUNCTION("CONCATENATE($B529,(VLOOKUP($C529,CATALOGOS!$F$2:$H$6,3,FALSE)),(VLOOKUP($V529,CATALOGOS!$J$2:$K$18,2,FALSE)),""-"",TO_TEXT($A529))"),"P13SO-0528")</f>
        <v>P13SO-0528</v>
      </c>
      <c r="I529" s="6"/>
      <c r="J529" s="6" t="s">
        <v>3719</v>
      </c>
      <c r="K529" s="6" t="s">
        <v>3720</v>
      </c>
      <c r="L529" s="37"/>
      <c r="M529" s="6" t="s">
        <v>141</v>
      </c>
      <c r="N529" s="17"/>
      <c r="O529" s="17"/>
      <c r="P529" s="17" t="str">
        <f t="shared" si="5"/>
        <v>REPETIDO</v>
      </c>
      <c r="Q529" s="17" t="s">
        <v>856</v>
      </c>
      <c r="R529" s="6" t="s">
        <v>3721</v>
      </c>
      <c r="S529" s="6" t="s">
        <v>36</v>
      </c>
      <c r="T529" s="185" t="s">
        <v>85</v>
      </c>
      <c r="U529" s="173" t="s">
        <v>38</v>
      </c>
      <c r="V529" s="11" t="s">
        <v>868</v>
      </c>
      <c r="W529" s="22" t="s">
        <v>1665</v>
      </c>
      <c r="X529" s="22" t="s">
        <v>1665</v>
      </c>
      <c r="Y529" s="22"/>
      <c r="Z529" s="7"/>
      <c r="AA529" s="7"/>
      <c r="AB529" s="23"/>
      <c r="AC529" s="26"/>
    </row>
    <row r="530" spans="1:29" ht="15.75" customHeight="1">
      <c r="A530" s="10" t="s">
        <v>3722</v>
      </c>
      <c r="B530" s="10" t="s">
        <v>1469</v>
      </c>
      <c r="C530" s="52" t="s">
        <v>868</v>
      </c>
      <c r="D530" s="12"/>
      <c r="E530" s="13" t="s">
        <v>116</v>
      </c>
      <c r="F530" s="6" t="s">
        <v>3723</v>
      </c>
      <c r="G530" s="15" t="str">
        <f ca="1">IFERROR(__xludf.DUMMYFUNCTION("CONCATENATE(B530,(VLOOKUP(C530,CATALOGOS!$F$2:$H$6,3,FALSE)),(VLOOKUP(V530,CATALOGOS!$J$2:$K$18,2,FALSE)),""-"",TO_TEXT(A530))"),"P13SO-0529")</f>
        <v>P13SO-0529</v>
      </c>
      <c r="H530" s="6" t="str">
        <f ca="1">IFERROR(__xludf.DUMMYFUNCTION("CONCATENATE($B530,(VLOOKUP($C530,CATALOGOS!$F$2:$H$6,3,FALSE)),(VLOOKUP($V530,CATALOGOS!$J$2:$K$18,2,FALSE)),""-"",TO_TEXT($A530))"),"P13SO-0529")</f>
        <v>P13SO-0529</v>
      </c>
      <c r="I530" s="6"/>
      <c r="J530" s="6" t="s">
        <v>3724</v>
      </c>
      <c r="K530" s="6" t="s">
        <v>3725</v>
      </c>
      <c r="L530" s="6" t="s">
        <v>3726</v>
      </c>
      <c r="M530" s="6" t="s">
        <v>3727</v>
      </c>
      <c r="N530" s="17"/>
      <c r="O530" s="17"/>
      <c r="P530" s="17" t="str">
        <f t="shared" si="5"/>
        <v>OK</v>
      </c>
      <c r="Q530" s="17" t="s">
        <v>35</v>
      </c>
      <c r="R530" s="6" t="s">
        <v>35</v>
      </c>
      <c r="S530" s="17" t="s">
        <v>36</v>
      </c>
      <c r="T530" s="17" t="s">
        <v>3728</v>
      </c>
      <c r="U530" s="173" t="s">
        <v>38</v>
      </c>
      <c r="V530" s="11" t="s">
        <v>868</v>
      </c>
      <c r="W530" s="22" t="s">
        <v>1665</v>
      </c>
      <c r="X530" s="22" t="s">
        <v>1665</v>
      </c>
      <c r="Y530" s="22"/>
      <c r="Z530" s="7"/>
      <c r="AA530" s="7"/>
      <c r="AB530" s="23"/>
      <c r="AC530" s="26"/>
    </row>
    <row r="531" spans="1:29" ht="15.75" customHeight="1">
      <c r="A531" s="10" t="s">
        <v>3729</v>
      </c>
      <c r="B531" s="10" t="s">
        <v>1469</v>
      </c>
      <c r="C531" s="52" t="s">
        <v>868</v>
      </c>
      <c r="D531" s="12"/>
      <c r="E531" s="13" t="s">
        <v>62</v>
      </c>
      <c r="F531" s="6" t="s">
        <v>3730</v>
      </c>
      <c r="G531" s="15" t="str">
        <f ca="1">IFERROR(__xludf.DUMMYFUNCTION("CONCATENATE(B531,(VLOOKUP(C531,CATALOGOS!$F$2:$H$6,3,FALSE)),(VLOOKUP(V531,CATALOGOS!$J$2:$K$18,2,FALSE)),""-"",TO_TEXT(A531))"),"P13SO-0530")</f>
        <v>P13SO-0530</v>
      </c>
      <c r="H531" s="6" t="str">
        <f ca="1">IFERROR(__xludf.DUMMYFUNCTION("CONCATENATE($B531,(VLOOKUP($C531,CATALOGOS!$F$2:$H$6,3,FALSE)),(VLOOKUP($V531,CATALOGOS!$J$2:$K$18,2,FALSE)),""-"",TO_TEXT($A531))"),"P13SO-0530")</f>
        <v>P13SO-0530</v>
      </c>
      <c r="I531" s="6"/>
      <c r="J531" s="6" t="s">
        <v>3731</v>
      </c>
      <c r="K531" s="6" t="s">
        <v>3732</v>
      </c>
      <c r="L531" s="6" t="s">
        <v>3733</v>
      </c>
      <c r="M531" s="6" t="s">
        <v>3734</v>
      </c>
      <c r="N531" s="17"/>
      <c r="O531" s="17"/>
      <c r="P531" s="17" t="str">
        <f t="shared" si="5"/>
        <v>OK</v>
      </c>
      <c r="Q531" s="17" t="s">
        <v>35</v>
      </c>
      <c r="R531" s="6" t="s">
        <v>35</v>
      </c>
      <c r="S531" s="17" t="s">
        <v>36</v>
      </c>
      <c r="T531" s="17" t="s">
        <v>3735</v>
      </c>
      <c r="U531" s="173" t="s">
        <v>38</v>
      </c>
      <c r="V531" s="11" t="s">
        <v>868</v>
      </c>
      <c r="W531" s="22" t="s">
        <v>1665</v>
      </c>
      <c r="X531" s="22" t="s">
        <v>1665</v>
      </c>
      <c r="Y531" s="22"/>
      <c r="Z531" s="7"/>
      <c r="AA531" s="7"/>
      <c r="AB531" s="23"/>
      <c r="AC531" s="26"/>
    </row>
    <row r="532" spans="1:29" ht="15.75" customHeight="1">
      <c r="A532" s="10" t="s">
        <v>3736</v>
      </c>
      <c r="B532" s="10" t="s">
        <v>1469</v>
      </c>
      <c r="C532" s="52" t="s">
        <v>868</v>
      </c>
      <c r="D532" s="12"/>
      <c r="E532" s="13" t="s">
        <v>62</v>
      </c>
      <c r="F532" s="6" t="s">
        <v>3737</v>
      </c>
      <c r="G532" s="15" t="str">
        <f ca="1">IFERROR(__xludf.DUMMYFUNCTION("CONCATENATE(B532,(VLOOKUP(C532,CATALOGOS!$F$2:$H$6,3,FALSE)),(VLOOKUP(V532,CATALOGOS!$J$2:$K$18,2,FALSE)),""-"",TO_TEXT(A532))"),"P13SO-0531")</f>
        <v>P13SO-0531</v>
      </c>
      <c r="H532" s="6" t="str">
        <f ca="1">IFERROR(__xludf.DUMMYFUNCTION("CONCATENATE($B532,(VLOOKUP($C532,CATALOGOS!$F$2:$H$6,3,FALSE)),(VLOOKUP($V532,CATALOGOS!$J$2:$K$18,2,FALSE)),""-"",TO_TEXT($A532))"),"P13SO-0531")</f>
        <v>P13SO-0531</v>
      </c>
      <c r="I532" s="6"/>
      <c r="J532" s="6" t="s">
        <v>3738</v>
      </c>
      <c r="K532" s="6" t="s">
        <v>3739</v>
      </c>
      <c r="L532" s="6" t="s">
        <v>3740</v>
      </c>
      <c r="M532" s="6" t="s">
        <v>3741</v>
      </c>
      <c r="N532" s="17"/>
      <c r="O532" s="17"/>
      <c r="P532" s="17" t="str">
        <f t="shared" si="5"/>
        <v>OK</v>
      </c>
      <c r="Q532" s="17" t="s">
        <v>35</v>
      </c>
      <c r="R532" s="6" t="s">
        <v>35</v>
      </c>
      <c r="S532" s="17" t="s">
        <v>36</v>
      </c>
      <c r="T532" s="17" t="s">
        <v>3742</v>
      </c>
      <c r="U532" s="173" t="s">
        <v>38</v>
      </c>
      <c r="V532" s="11" t="s">
        <v>868</v>
      </c>
      <c r="W532" s="22" t="s">
        <v>1665</v>
      </c>
      <c r="X532" s="22" t="s">
        <v>1665</v>
      </c>
      <c r="Y532" s="22"/>
      <c r="Z532" s="7"/>
      <c r="AA532" s="7"/>
      <c r="AB532" s="23"/>
      <c r="AC532" s="26"/>
    </row>
    <row r="533" spans="1:29" ht="15.75" customHeight="1">
      <c r="A533" s="10" t="s">
        <v>3743</v>
      </c>
      <c r="B533" s="10" t="s">
        <v>1469</v>
      </c>
      <c r="C533" s="52" t="s">
        <v>868</v>
      </c>
      <c r="D533" s="12"/>
      <c r="E533" s="13" t="s">
        <v>3521</v>
      </c>
      <c r="F533" s="6" t="s">
        <v>3744</v>
      </c>
      <c r="G533" s="15" t="str">
        <f ca="1">IFERROR(__xludf.DUMMYFUNCTION("CONCATENATE(B533,(VLOOKUP(C533,CATALOGOS!$F$2:$H$6,3,FALSE)),(VLOOKUP(V533,CATALOGOS!$J$2:$K$18,2,FALSE)),""-"",TO_TEXT(A533))"),"P13SO-0532")</f>
        <v>P13SO-0532</v>
      </c>
      <c r="H533" s="6" t="str">
        <f ca="1">IFERROR(__xludf.DUMMYFUNCTION("CONCATENATE($B533,(VLOOKUP($C533,CATALOGOS!$F$2:$H$6,3,FALSE)),(VLOOKUP($V533,CATALOGOS!$J$2:$K$18,2,FALSE)),""-"",TO_TEXT($A533))"),"P13SO-0532")</f>
        <v>P13SO-0532</v>
      </c>
      <c r="I533" s="6"/>
      <c r="J533" s="6" t="s">
        <v>3745</v>
      </c>
      <c r="K533" s="6" t="s">
        <v>3746</v>
      </c>
      <c r="L533" s="6" t="s">
        <v>3747</v>
      </c>
      <c r="M533" s="6" t="s">
        <v>3748</v>
      </c>
      <c r="N533" s="17"/>
      <c r="O533" s="17"/>
      <c r="P533" s="17" t="str">
        <f t="shared" si="5"/>
        <v>OK</v>
      </c>
      <c r="Q533" s="17" t="s">
        <v>35</v>
      </c>
      <c r="R533" s="6" t="s">
        <v>35</v>
      </c>
      <c r="S533" s="17" t="s">
        <v>36</v>
      </c>
      <c r="T533" s="17" t="s">
        <v>3749</v>
      </c>
      <c r="U533" s="173" t="s">
        <v>38</v>
      </c>
      <c r="V533" s="11" t="s">
        <v>868</v>
      </c>
      <c r="W533" s="22" t="s">
        <v>1665</v>
      </c>
      <c r="X533" s="22" t="s">
        <v>1665</v>
      </c>
      <c r="Y533" s="22"/>
      <c r="Z533" s="7"/>
      <c r="AA533" s="7"/>
      <c r="AB533" s="23"/>
      <c r="AC533" s="26"/>
    </row>
    <row r="534" spans="1:29" ht="15.75" customHeight="1">
      <c r="A534" s="10" t="s">
        <v>3750</v>
      </c>
      <c r="B534" s="10" t="s">
        <v>1469</v>
      </c>
      <c r="C534" s="52" t="s">
        <v>868</v>
      </c>
      <c r="D534" s="12"/>
      <c r="E534" s="13" t="s">
        <v>43</v>
      </c>
      <c r="F534" s="43" t="s">
        <v>3751</v>
      </c>
      <c r="G534" s="15" t="str">
        <f ca="1">IFERROR(__xludf.DUMMYFUNCTION("CONCATENATE(B534,(VLOOKUP(C534,CATALOGOS!$F$2:$H$6,3,FALSE)),(VLOOKUP(V534,CATALOGOS!$J$2:$K$18,2,FALSE)),""-"",TO_TEXT(A534))"),"P13SO-0533")</f>
        <v>P13SO-0533</v>
      </c>
      <c r="H534" s="6" t="str">
        <f ca="1">IFERROR(__xludf.DUMMYFUNCTION("CONCATENATE($B534,(VLOOKUP($C534,CATALOGOS!$F$2:$H$6,3,FALSE)),(VLOOKUP($V534,CATALOGOS!$J$2:$K$18,2,FALSE)),""-"",TO_TEXT($A534))"),"P13SO-0533")</f>
        <v>P13SO-0533</v>
      </c>
      <c r="I534" s="6"/>
      <c r="J534" s="6" t="s">
        <v>3752</v>
      </c>
      <c r="K534" s="6" t="s">
        <v>3753</v>
      </c>
      <c r="L534" s="6" t="s">
        <v>3754</v>
      </c>
      <c r="M534" s="6" t="s">
        <v>3755</v>
      </c>
      <c r="N534" s="17"/>
      <c r="O534" s="17"/>
      <c r="P534" s="17" t="str">
        <f t="shared" si="5"/>
        <v>OK</v>
      </c>
      <c r="Q534" s="17" t="s">
        <v>406</v>
      </c>
      <c r="R534" s="6" t="s">
        <v>3756</v>
      </c>
      <c r="S534" s="17" t="s">
        <v>3757</v>
      </c>
      <c r="T534" s="17" t="s">
        <v>3758</v>
      </c>
      <c r="U534" s="173" t="s">
        <v>38</v>
      </c>
      <c r="V534" s="11" t="s">
        <v>868</v>
      </c>
      <c r="W534" s="22" t="s">
        <v>1665</v>
      </c>
      <c r="X534" s="22" t="s">
        <v>1665</v>
      </c>
      <c r="Y534" s="22"/>
      <c r="Z534" s="7"/>
      <c r="AA534" s="7"/>
      <c r="AB534" s="23"/>
      <c r="AC534" s="26"/>
    </row>
    <row r="535" spans="1:29" ht="15.75" customHeight="1">
      <c r="A535" s="10" t="s">
        <v>3759</v>
      </c>
      <c r="B535" s="10" t="s">
        <v>1469</v>
      </c>
      <c r="C535" s="52" t="s">
        <v>868</v>
      </c>
      <c r="D535" s="12"/>
      <c r="E535" s="13" t="s">
        <v>116</v>
      </c>
      <c r="F535" s="6" t="s">
        <v>3760</v>
      </c>
      <c r="G535" s="15" t="str">
        <f ca="1">IFERROR(__xludf.DUMMYFUNCTION("CONCATENATE(B535,(VLOOKUP(C535,CATALOGOS!$F$2:$H$6,3,FALSE)),(VLOOKUP(V535,CATALOGOS!$J$2:$K$18,2,FALSE)),""-"",TO_TEXT(A535))"),"P13SO-0534")</f>
        <v>P13SO-0534</v>
      </c>
      <c r="H535" s="6" t="str">
        <f ca="1">IFERROR(__xludf.DUMMYFUNCTION("CONCATENATE($B535,(VLOOKUP($C535,CATALOGOS!$F$2:$H$6,3,FALSE)),(VLOOKUP($V535,CATALOGOS!$J$2:$K$18,2,FALSE)),""-"",TO_TEXT($A535))"),"P13SO-0534")</f>
        <v>P13SO-0534</v>
      </c>
      <c r="I535" s="6"/>
      <c r="J535" s="6" t="s">
        <v>3761</v>
      </c>
      <c r="K535" s="6" t="s">
        <v>3762</v>
      </c>
      <c r="L535" s="6" t="s">
        <v>3763</v>
      </c>
      <c r="M535" s="6" t="s">
        <v>3764</v>
      </c>
      <c r="N535" s="17"/>
      <c r="O535" s="17"/>
      <c r="P535" s="17" t="str">
        <f t="shared" si="5"/>
        <v>OK</v>
      </c>
      <c r="Q535" s="17" t="s">
        <v>35</v>
      </c>
      <c r="R535" s="49" t="s">
        <v>35</v>
      </c>
      <c r="S535" s="17" t="s">
        <v>36</v>
      </c>
      <c r="T535" s="17" t="s">
        <v>3765</v>
      </c>
      <c r="U535" s="173" t="s">
        <v>38</v>
      </c>
      <c r="V535" s="11" t="s">
        <v>868</v>
      </c>
      <c r="W535" s="22" t="s">
        <v>1665</v>
      </c>
      <c r="X535" s="22" t="s">
        <v>1665</v>
      </c>
      <c r="Y535" s="22"/>
      <c r="Z535" s="7"/>
      <c r="AA535" s="7"/>
      <c r="AB535" s="23"/>
      <c r="AC535" s="26"/>
    </row>
    <row r="536" spans="1:29" ht="15.75" customHeight="1">
      <c r="A536" s="10" t="s">
        <v>3766</v>
      </c>
      <c r="B536" s="10" t="s">
        <v>1469</v>
      </c>
      <c r="C536" s="52" t="s">
        <v>868</v>
      </c>
      <c r="D536" s="12"/>
      <c r="E536" s="13" t="s">
        <v>1240</v>
      </c>
      <c r="F536" s="43" t="s">
        <v>278</v>
      </c>
      <c r="G536" s="15" t="str">
        <f ca="1">IFERROR(__xludf.DUMMYFUNCTION("CONCATENATE(B536,(VLOOKUP(C536,CATALOGOS!$F$2:$H$6,3,FALSE)),(VLOOKUP(V536,CATALOGOS!$J$2:$K$18,2,FALSE)),""-"",TO_TEXT(A536))"),"P13SO-0535")</f>
        <v>P13SO-0535</v>
      </c>
      <c r="H536" s="6" t="str">
        <f ca="1">IFERROR(__xludf.DUMMYFUNCTION("CONCATENATE($B536,(VLOOKUP($C536,CATALOGOS!$F$2:$H$6,3,FALSE)),(VLOOKUP($V536,CATALOGOS!$J$2:$K$18,2,FALSE)),""-"",TO_TEXT($A536))"),"P13SO-0535")</f>
        <v>P13SO-0535</v>
      </c>
      <c r="I536" s="6"/>
      <c r="J536" s="6" t="s">
        <v>3767</v>
      </c>
      <c r="K536" s="6" t="s">
        <v>3768</v>
      </c>
      <c r="L536" s="6" t="s">
        <v>3769</v>
      </c>
      <c r="M536" s="6" t="s">
        <v>3770</v>
      </c>
      <c r="N536" s="17"/>
      <c r="O536" s="17"/>
      <c r="P536" s="17" t="str">
        <f t="shared" si="5"/>
        <v>OK</v>
      </c>
      <c r="Q536" s="17" t="s">
        <v>35</v>
      </c>
      <c r="R536" s="6" t="s">
        <v>35</v>
      </c>
      <c r="S536" s="17" t="s">
        <v>36</v>
      </c>
      <c r="T536" s="17" t="s">
        <v>3771</v>
      </c>
      <c r="U536" s="173" t="s">
        <v>38</v>
      </c>
      <c r="V536" s="11" t="s">
        <v>868</v>
      </c>
      <c r="W536" s="22" t="s">
        <v>1665</v>
      </c>
      <c r="X536" s="22" t="s">
        <v>1665</v>
      </c>
      <c r="Y536" s="22"/>
      <c r="Z536" s="7"/>
      <c r="AA536" s="7"/>
      <c r="AB536" s="23"/>
      <c r="AC536" s="26"/>
    </row>
    <row r="537" spans="1:29" ht="15.75" customHeight="1">
      <c r="A537" s="10" t="s">
        <v>3772</v>
      </c>
      <c r="B537" s="10" t="s">
        <v>1469</v>
      </c>
      <c r="C537" s="52" t="s">
        <v>868</v>
      </c>
      <c r="D537" s="12"/>
      <c r="E537" s="13" t="s">
        <v>248</v>
      </c>
      <c r="F537" s="43" t="s">
        <v>248</v>
      </c>
      <c r="G537" s="15" t="str">
        <f ca="1">IFERROR(__xludf.DUMMYFUNCTION("CONCATENATE(B537,(VLOOKUP(C537,CATALOGOS!$F$2:$H$6,3,FALSE)),(VLOOKUP(V537,CATALOGOS!$J$2:$K$18,2,FALSE)),""-"",TO_TEXT(A537))"),"P13SO-0536")</f>
        <v>P13SO-0536</v>
      </c>
      <c r="H537" s="6" t="str">
        <f ca="1">IFERROR(__xludf.DUMMYFUNCTION("CONCATENATE($B537,(VLOOKUP($C537,CATALOGOS!$F$2:$H$6,3,FALSE)),(VLOOKUP($V537,CATALOGOS!$J$2:$K$18,2,FALSE)),""-"",TO_TEXT($A537))"),"P13SO-0536")</f>
        <v>P13SO-0536</v>
      </c>
      <c r="I537" s="6"/>
      <c r="J537" s="6" t="s">
        <v>3773</v>
      </c>
      <c r="K537" s="6" t="s">
        <v>3774</v>
      </c>
      <c r="L537" s="6" t="s">
        <v>3775</v>
      </c>
      <c r="M537" s="6" t="s">
        <v>3776</v>
      </c>
      <c r="N537" s="17"/>
      <c r="O537" s="17"/>
      <c r="P537" s="17" t="str">
        <f t="shared" si="5"/>
        <v>OK</v>
      </c>
      <c r="Q537" s="17" t="s">
        <v>978</v>
      </c>
      <c r="R537" s="6" t="s">
        <v>3777</v>
      </c>
      <c r="S537" s="17" t="s">
        <v>3778</v>
      </c>
      <c r="T537" s="17" t="s">
        <v>3779</v>
      </c>
      <c r="U537" s="173" t="s">
        <v>38</v>
      </c>
      <c r="V537" s="11" t="s">
        <v>868</v>
      </c>
      <c r="W537" s="22" t="s">
        <v>1665</v>
      </c>
      <c r="X537" s="22" t="s">
        <v>1665</v>
      </c>
      <c r="Y537" s="22"/>
      <c r="Z537" s="7"/>
      <c r="AA537" s="7"/>
      <c r="AB537" s="23"/>
      <c r="AC537" s="26"/>
    </row>
    <row r="538" spans="1:29" ht="15.75" customHeight="1">
      <c r="A538" s="10" t="s">
        <v>3780</v>
      </c>
      <c r="B538" s="10" t="s">
        <v>1469</v>
      </c>
      <c r="C538" s="52" t="s">
        <v>868</v>
      </c>
      <c r="D538" s="12"/>
      <c r="E538" s="13" t="s">
        <v>378</v>
      </c>
      <c r="F538" s="6" t="s">
        <v>878</v>
      </c>
      <c r="G538" s="15" t="str">
        <f ca="1">IFERROR(__xludf.DUMMYFUNCTION("CONCATENATE(B538,(VLOOKUP(C538,CATALOGOS!$F$2:$H$6,3,FALSE)),(VLOOKUP(V538,CATALOGOS!$J$2:$K$18,2,FALSE)),""-"",TO_TEXT(A538))"),"P13SO-0537")</f>
        <v>P13SO-0537</v>
      </c>
      <c r="H538" s="6" t="str">
        <f ca="1">IFERROR(__xludf.DUMMYFUNCTION("CONCATENATE($B538,(VLOOKUP($C538,CATALOGOS!$F$2:$H$6,3,FALSE)),(VLOOKUP($V538,CATALOGOS!$J$2:$K$18,2,FALSE)),""-"",TO_TEXT($A538))"),"P13SO-0537")</f>
        <v>P13SO-0537</v>
      </c>
      <c r="I538" s="6"/>
      <c r="J538" s="6" t="s">
        <v>3781</v>
      </c>
      <c r="K538" s="6" t="s">
        <v>3782</v>
      </c>
      <c r="L538" s="6" t="s">
        <v>3783</v>
      </c>
      <c r="M538" s="6" t="s">
        <v>3784</v>
      </c>
      <c r="N538" s="17"/>
      <c r="O538" s="17"/>
      <c r="P538" s="17" t="str">
        <f t="shared" si="5"/>
        <v>OK</v>
      </c>
      <c r="Q538" s="17" t="s">
        <v>35</v>
      </c>
      <c r="R538" s="6" t="s">
        <v>35</v>
      </c>
      <c r="S538" s="17" t="s">
        <v>36</v>
      </c>
      <c r="T538" s="17" t="s">
        <v>3785</v>
      </c>
      <c r="U538" s="173" t="s">
        <v>38</v>
      </c>
      <c r="V538" s="11" t="s">
        <v>868</v>
      </c>
      <c r="W538" s="22" t="s">
        <v>1665</v>
      </c>
      <c r="X538" s="22" t="s">
        <v>1665</v>
      </c>
      <c r="Y538" s="22"/>
      <c r="Z538" s="7"/>
      <c r="AA538" s="7"/>
      <c r="AB538" s="23"/>
      <c r="AC538" s="26"/>
    </row>
    <row r="539" spans="1:29" ht="15.75" customHeight="1">
      <c r="A539" s="10" t="s">
        <v>3786</v>
      </c>
      <c r="B539" s="10" t="s">
        <v>1469</v>
      </c>
      <c r="C539" s="52" t="s">
        <v>868</v>
      </c>
      <c r="D539" s="12"/>
      <c r="E539" s="13" t="s">
        <v>378</v>
      </c>
      <c r="F539" s="6" t="s">
        <v>878</v>
      </c>
      <c r="G539" s="15" t="str">
        <f ca="1">IFERROR(__xludf.DUMMYFUNCTION("CONCATENATE(B539,(VLOOKUP(C539,CATALOGOS!$F$2:$H$6,3,FALSE)),(VLOOKUP(V539,CATALOGOS!$J$2:$K$18,2,FALSE)),""-"",TO_TEXT(A539))"),"P13SO-0538")</f>
        <v>P13SO-0538</v>
      </c>
      <c r="H539" s="6" t="str">
        <f ca="1">IFERROR(__xludf.DUMMYFUNCTION("CONCATENATE($B539,(VLOOKUP($C539,CATALOGOS!$F$2:$H$6,3,FALSE)),(VLOOKUP($V539,CATALOGOS!$J$2:$K$18,2,FALSE)),""-"",TO_TEXT($A539))"),"P13SO-0538")</f>
        <v>P13SO-0538</v>
      </c>
      <c r="I539" s="6"/>
      <c r="J539" s="6" t="s">
        <v>3787</v>
      </c>
      <c r="K539" s="6" t="s">
        <v>3788</v>
      </c>
      <c r="L539" s="6" t="s">
        <v>3789</v>
      </c>
      <c r="M539" s="6" t="s">
        <v>3790</v>
      </c>
      <c r="N539" s="17"/>
      <c r="O539" s="17"/>
      <c r="P539" s="17" t="str">
        <f t="shared" si="5"/>
        <v>OK</v>
      </c>
      <c r="Q539" s="17" t="s">
        <v>35</v>
      </c>
      <c r="R539" s="6" t="s">
        <v>35</v>
      </c>
      <c r="S539" s="17" t="s">
        <v>36</v>
      </c>
      <c r="T539" s="17" t="s">
        <v>3791</v>
      </c>
      <c r="U539" s="173" t="s">
        <v>38</v>
      </c>
      <c r="V539" s="11" t="s">
        <v>868</v>
      </c>
      <c r="W539" s="22" t="s">
        <v>1665</v>
      </c>
      <c r="X539" s="22" t="s">
        <v>1665</v>
      </c>
      <c r="Y539" s="22"/>
      <c r="Z539" s="7"/>
      <c r="AA539" s="7"/>
      <c r="AB539" s="23"/>
      <c r="AC539" s="26"/>
    </row>
    <row r="540" spans="1:29" ht="15.75" customHeight="1">
      <c r="A540" s="10" t="s">
        <v>3792</v>
      </c>
      <c r="B540" s="10" t="s">
        <v>1469</v>
      </c>
      <c r="C540" s="52" t="s">
        <v>868</v>
      </c>
      <c r="D540" s="12"/>
      <c r="E540" s="13" t="s">
        <v>199</v>
      </c>
      <c r="F540" s="6" t="s">
        <v>199</v>
      </c>
      <c r="G540" s="15" t="str">
        <f ca="1">IFERROR(__xludf.DUMMYFUNCTION("CONCATENATE(B540,(VLOOKUP(C540,CATALOGOS!$F$2:$H$6,3,FALSE)),(VLOOKUP(V540,CATALOGOS!$J$2:$K$18,2,FALSE)),""-"",TO_TEXT(A540))"),"P13SO-0539")</f>
        <v>P13SO-0539</v>
      </c>
      <c r="H540" s="6" t="str">
        <f ca="1">IFERROR(__xludf.DUMMYFUNCTION("CONCATENATE($B540,(VLOOKUP($C540,CATALOGOS!$F$2:$H$6,3,FALSE)),(VLOOKUP($V540,CATALOGOS!$J$2:$K$18,2,FALSE)),""-"",TO_TEXT($A540))"),"P13SO-0539")</f>
        <v>P13SO-0539</v>
      </c>
      <c r="I540" s="6"/>
      <c r="J540" s="6" t="s">
        <v>3793</v>
      </c>
      <c r="K540" s="6" t="s">
        <v>3794</v>
      </c>
      <c r="L540" s="6" t="s">
        <v>3795</v>
      </c>
      <c r="M540" s="6" t="s">
        <v>3796</v>
      </c>
      <c r="N540" s="17"/>
      <c r="O540" s="17"/>
      <c r="P540" s="17" t="str">
        <f t="shared" si="5"/>
        <v>OK</v>
      </c>
      <c r="Q540" s="17" t="s">
        <v>205</v>
      </c>
      <c r="R540" s="6" t="s">
        <v>3797</v>
      </c>
      <c r="S540" s="17" t="s">
        <v>3798</v>
      </c>
      <c r="T540" s="17" t="s">
        <v>3799</v>
      </c>
      <c r="U540" s="179" t="s">
        <v>517</v>
      </c>
      <c r="V540" s="11" t="s">
        <v>868</v>
      </c>
      <c r="W540" s="22" t="s">
        <v>1665</v>
      </c>
      <c r="X540" s="22" t="s">
        <v>1665</v>
      </c>
      <c r="Y540" s="22"/>
      <c r="Z540" s="7"/>
      <c r="AA540" s="7"/>
      <c r="AB540" s="23"/>
      <c r="AC540" s="26"/>
    </row>
    <row r="541" spans="1:29" ht="15.75" customHeight="1">
      <c r="A541" s="10" t="s">
        <v>3800</v>
      </c>
      <c r="B541" s="10" t="s">
        <v>1469</v>
      </c>
      <c r="C541" s="52" t="s">
        <v>868</v>
      </c>
      <c r="D541" s="12"/>
      <c r="E541" s="13" t="s">
        <v>151</v>
      </c>
      <c r="F541" s="6" t="s">
        <v>152</v>
      </c>
      <c r="G541" s="15" t="str">
        <f ca="1">IFERROR(__xludf.DUMMYFUNCTION("CONCATENATE(B541,(VLOOKUP(C541,CATALOGOS!$F$2:$H$6,3,FALSE)),(VLOOKUP(V541,CATALOGOS!$J$2:$K$18,2,FALSE)),""-"",TO_TEXT(A541))"),"P13SO-0540")</f>
        <v>P13SO-0540</v>
      </c>
      <c r="H541" s="6" t="str">
        <f ca="1">IFERROR(__xludf.DUMMYFUNCTION("CONCATENATE($B541,(VLOOKUP($C541,CATALOGOS!$F$2:$H$6,3,FALSE)),(VLOOKUP($V541,CATALOGOS!$J$2:$K$18,2,FALSE)),""-"",TO_TEXT($A541))"),"P13SO-0540")</f>
        <v>P13SO-0540</v>
      </c>
      <c r="I541" s="6"/>
      <c r="J541" s="6" t="s">
        <v>3801</v>
      </c>
      <c r="K541" s="6" t="s">
        <v>3802</v>
      </c>
      <c r="L541" s="6" t="s">
        <v>3803</v>
      </c>
      <c r="M541" s="6" t="s">
        <v>3804</v>
      </c>
      <c r="N541" s="17"/>
      <c r="O541" s="17"/>
      <c r="P541" s="17" t="str">
        <f t="shared" si="5"/>
        <v>OK</v>
      </c>
      <c r="Q541" s="17" t="s">
        <v>1220</v>
      </c>
      <c r="R541" s="6" t="s">
        <v>720</v>
      </c>
      <c r="S541" s="17" t="s">
        <v>3805</v>
      </c>
      <c r="T541" s="10" t="s">
        <v>3806</v>
      </c>
      <c r="U541" s="173" t="s">
        <v>38</v>
      </c>
      <c r="V541" s="11" t="s">
        <v>868</v>
      </c>
      <c r="W541" s="22" t="s">
        <v>1665</v>
      </c>
      <c r="X541" s="22" t="s">
        <v>1665</v>
      </c>
      <c r="Y541" s="22"/>
      <c r="Z541" s="7"/>
      <c r="AA541" s="7"/>
      <c r="AB541" s="23"/>
      <c r="AC541" s="26"/>
    </row>
    <row r="542" spans="1:29" ht="15.75" customHeight="1">
      <c r="A542" s="10" t="s">
        <v>3807</v>
      </c>
      <c r="B542" s="10" t="s">
        <v>1469</v>
      </c>
      <c r="C542" s="52" t="s">
        <v>868</v>
      </c>
      <c r="D542" s="38"/>
      <c r="E542" s="13" t="s">
        <v>162</v>
      </c>
      <c r="F542" s="43" t="s">
        <v>285</v>
      </c>
      <c r="G542" s="15" t="str">
        <f ca="1">IFERROR(__xludf.DUMMYFUNCTION("CONCATENATE(B542,(VLOOKUP(C542,CATALOGOS!$F$2:$H$6,3,FALSE)),(VLOOKUP(V542,CATALOGOS!$J$2:$K$18,2,FALSE)),""-"",TO_TEXT(A542))"),"P13SO-0541")</f>
        <v>P13SO-0541</v>
      </c>
      <c r="H542" s="6" t="str">
        <f ca="1">IFERROR(__xludf.DUMMYFUNCTION("CONCATENATE($B542,(VLOOKUP($C542,CATALOGOS!$F$2:$H$6,3,FALSE)),(VLOOKUP($V542,CATALOGOS!$J$2:$K$18,2,FALSE)),""-"",TO_TEXT($A542))"),"P13SO-0541")</f>
        <v>P13SO-0541</v>
      </c>
      <c r="I542" s="6"/>
      <c r="J542" s="6" t="s">
        <v>3808</v>
      </c>
      <c r="K542" s="6" t="s">
        <v>3809</v>
      </c>
      <c r="L542" s="6" t="s">
        <v>3810</v>
      </c>
      <c r="M542" s="6" t="s">
        <v>3811</v>
      </c>
      <c r="N542" s="17"/>
      <c r="O542" s="17"/>
      <c r="P542" s="17" t="str">
        <f t="shared" si="5"/>
        <v>OK</v>
      </c>
      <c r="Q542" s="17" t="s">
        <v>168</v>
      </c>
      <c r="R542" s="6" t="s">
        <v>169</v>
      </c>
      <c r="S542" s="46" t="s">
        <v>3812</v>
      </c>
      <c r="T542" s="17" t="s">
        <v>3813</v>
      </c>
      <c r="U542" s="178" t="s">
        <v>8439</v>
      </c>
      <c r="V542" s="11" t="s">
        <v>868</v>
      </c>
      <c r="W542" s="32" t="s">
        <v>1665</v>
      </c>
      <c r="X542" s="32" t="s">
        <v>1665</v>
      </c>
      <c r="Y542" s="32"/>
      <c r="Z542" s="7"/>
      <c r="AA542" s="7"/>
      <c r="AB542" s="26"/>
      <c r="AC542" s="26"/>
    </row>
    <row r="543" spans="1:29" ht="15.75" customHeight="1">
      <c r="A543" s="10" t="s">
        <v>3814</v>
      </c>
      <c r="B543" s="10" t="s">
        <v>1469</v>
      </c>
      <c r="C543" s="52" t="s">
        <v>868</v>
      </c>
      <c r="D543" s="12"/>
      <c r="E543" s="13" t="s">
        <v>43</v>
      </c>
      <c r="F543" s="6" t="s">
        <v>1492</v>
      </c>
      <c r="G543" s="6" t="str">
        <f ca="1">IFERROR(__xludf.DUMMYFUNCTION("CONCATENATE(B543,(VLOOKUP(C543,CATALOGOS!$F$2:$H$6,3,FALSE)),(VLOOKUP(V543,CATALOGOS!$J$2:$K$18,2,FALSE)),""-"",TO_TEXT(A543))"),"P13SO-0542")</f>
        <v>P13SO-0542</v>
      </c>
      <c r="H543" s="6" t="str">
        <f ca="1">IFERROR(__xludf.DUMMYFUNCTION("CONCATENATE($B543,(VLOOKUP($C543,CATALOGOS!$F$2:$H$6,3,FALSE)),(VLOOKUP($V543,CATALOGOS!$J$2:$K$18,2,FALSE)),""-"",TO_TEXT($A543))"),"P13SO-0542")</f>
        <v>P13SO-0542</v>
      </c>
      <c r="I543" s="6"/>
      <c r="J543" s="6" t="s">
        <v>3815</v>
      </c>
      <c r="K543" s="6" t="s">
        <v>3816</v>
      </c>
      <c r="L543" s="6" t="s">
        <v>3817</v>
      </c>
      <c r="M543" s="6" t="s">
        <v>3818</v>
      </c>
      <c r="N543" s="17"/>
      <c r="O543" s="17"/>
      <c r="P543" s="17" t="str">
        <f t="shared" si="5"/>
        <v>OK</v>
      </c>
      <c r="Q543" s="17" t="s">
        <v>406</v>
      </c>
      <c r="R543" s="6" t="s">
        <v>407</v>
      </c>
      <c r="S543" s="17" t="s">
        <v>36</v>
      </c>
      <c r="T543" s="17" t="s">
        <v>3819</v>
      </c>
      <c r="U543" s="173" t="s">
        <v>38</v>
      </c>
      <c r="V543" s="11" t="s">
        <v>868</v>
      </c>
      <c r="W543" s="22" t="s">
        <v>3451</v>
      </c>
      <c r="X543" s="22" t="s">
        <v>3451</v>
      </c>
      <c r="Y543" s="22"/>
      <c r="Z543" s="7"/>
      <c r="AA543" s="7"/>
      <c r="AB543" s="23"/>
      <c r="AC543" s="26"/>
    </row>
    <row r="544" spans="1:29" ht="15.75" customHeight="1">
      <c r="A544" s="10" t="s">
        <v>3820</v>
      </c>
      <c r="B544" s="10" t="s">
        <v>1469</v>
      </c>
      <c r="C544" s="52" t="s">
        <v>868</v>
      </c>
      <c r="D544" s="12"/>
      <c r="E544" s="13" t="s">
        <v>43</v>
      </c>
      <c r="F544" s="6" t="s">
        <v>1492</v>
      </c>
      <c r="G544" s="6" t="str">
        <f ca="1">IFERROR(__xludf.DUMMYFUNCTION("CONCATENATE(B544,(VLOOKUP(C544,CATALOGOS!$F$2:$H$6,3,FALSE)),(VLOOKUP(V544,CATALOGOS!$J$2:$K$18,2,FALSE)),""-"",TO_TEXT(A544))"),"P13SO-0543")</f>
        <v>P13SO-0543</v>
      </c>
      <c r="H544" s="6" t="str">
        <f ca="1">IFERROR(__xludf.DUMMYFUNCTION("CONCATENATE($B544,(VLOOKUP($C544,CATALOGOS!$F$2:$H$6,3,FALSE)),(VLOOKUP($V544,CATALOGOS!$J$2:$K$18,2,FALSE)),""-"",TO_TEXT($A544))"),"P13SO-0543")</f>
        <v>P13SO-0543</v>
      </c>
      <c r="I544" s="6"/>
      <c r="J544" s="6" t="s">
        <v>3821</v>
      </c>
      <c r="K544" s="6" t="s">
        <v>3822</v>
      </c>
      <c r="L544" s="6" t="s">
        <v>3823</v>
      </c>
      <c r="M544" s="6" t="s">
        <v>3824</v>
      </c>
      <c r="N544" s="17"/>
      <c r="O544" s="17"/>
      <c r="P544" s="17" t="str">
        <f t="shared" si="5"/>
        <v>OK</v>
      </c>
      <c r="Q544" s="17" t="s">
        <v>406</v>
      </c>
      <c r="R544" s="6" t="s">
        <v>407</v>
      </c>
      <c r="S544" s="17" t="s">
        <v>36</v>
      </c>
      <c r="T544" s="17" t="s">
        <v>3825</v>
      </c>
      <c r="U544" s="173" t="s">
        <v>38</v>
      </c>
      <c r="V544" s="11" t="s">
        <v>868</v>
      </c>
      <c r="W544" s="22" t="s">
        <v>3451</v>
      </c>
      <c r="X544" s="22" t="s">
        <v>3451</v>
      </c>
      <c r="Y544" s="22"/>
      <c r="Z544" s="7"/>
      <c r="AA544" s="7"/>
      <c r="AB544" s="23"/>
      <c r="AC544" s="26"/>
    </row>
    <row r="545" spans="1:29" ht="15.75" customHeight="1">
      <c r="A545" s="10" t="s">
        <v>3826</v>
      </c>
      <c r="B545" s="10" t="s">
        <v>1469</v>
      </c>
      <c r="C545" s="52" t="s">
        <v>868</v>
      </c>
      <c r="D545" s="12"/>
      <c r="E545" s="13" t="s">
        <v>93</v>
      </c>
      <c r="F545" s="6" t="s">
        <v>3827</v>
      </c>
      <c r="G545" s="6" t="str">
        <f ca="1">IFERROR(__xludf.DUMMYFUNCTION("CONCATENATE(B545,(VLOOKUP(C545,CATALOGOS!$F$2:$H$6,3,FALSE)),(VLOOKUP(V545,CATALOGOS!$J$2:$K$18,2,FALSE)),""-"",TO_TEXT(A545))"),"P13SO-0544")</f>
        <v>P13SO-0544</v>
      </c>
      <c r="H545" s="15" t="str">
        <f ca="1">IFERROR(__xludf.DUMMYFUNCTION("CONCATENATE($B545,(VLOOKUP($C545,CATALOGOS!$F$2:$H$6,3,FALSE)),(VLOOKUP($V545,CATALOGOS!$J$2:$K$18,2,FALSE)),""-"",TO_TEXT($A545))"),"P13SO-0544")</f>
        <v>P13SO-0544</v>
      </c>
      <c r="I545" s="6"/>
      <c r="J545" s="6" t="s">
        <v>3828</v>
      </c>
      <c r="K545" s="6" t="s">
        <v>3829</v>
      </c>
      <c r="L545" s="6" t="s">
        <v>3830</v>
      </c>
      <c r="M545" s="6" t="s">
        <v>3831</v>
      </c>
      <c r="N545" s="17"/>
      <c r="O545" s="17"/>
      <c r="P545" s="17" t="str">
        <f t="shared" si="5"/>
        <v>OK</v>
      </c>
      <c r="Q545" s="17" t="s">
        <v>35</v>
      </c>
      <c r="R545" s="6" t="s">
        <v>35</v>
      </c>
      <c r="S545" s="17" t="s">
        <v>36</v>
      </c>
      <c r="T545" s="17" t="s">
        <v>3832</v>
      </c>
      <c r="U545" s="173" t="s">
        <v>38</v>
      </c>
      <c r="V545" s="11" t="s">
        <v>868</v>
      </c>
      <c r="W545" s="22" t="s">
        <v>3451</v>
      </c>
      <c r="X545" s="22" t="s">
        <v>3451</v>
      </c>
      <c r="Y545" s="22"/>
      <c r="Z545" s="7"/>
      <c r="AA545" s="7"/>
      <c r="AB545" s="23"/>
      <c r="AC545" s="26"/>
    </row>
    <row r="546" spans="1:29" ht="15.75" customHeight="1">
      <c r="A546" s="10" t="s">
        <v>3833</v>
      </c>
      <c r="B546" s="10" t="s">
        <v>1469</v>
      </c>
      <c r="C546" s="52" t="s">
        <v>868</v>
      </c>
      <c r="D546" s="38"/>
      <c r="E546" s="13" t="s">
        <v>93</v>
      </c>
      <c r="F546" s="6" t="s">
        <v>3834</v>
      </c>
      <c r="G546" s="6" t="str">
        <f ca="1">IFERROR(__xludf.DUMMYFUNCTION("CONCATENATE(B546,(VLOOKUP(C546,CATALOGOS!$F$2:$H$6,3,FALSE)),(VLOOKUP(V546,CATALOGOS!$J$2:$K$18,2,FALSE)),""-"",TO_TEXT(A546))"),"P13SO-0545")</f>
        <v>P13SO-0545</v>
      </c>
      <c r="H546" s="6" t="str">
        <f ca="1">IFERROR(__xludf.DUMMYFUNCTION("CONCATENATE($B546,(VLOOKUP($C546,CATALOGOS!$F$2:$H$6,3,FALSE)),(VLOOKUP($V546,CATALOGOS!$J$2:$K$18,2,FALSE)),""-"",TO_TEXT($A546))"),"P13SO-0545")</f>
        <v>P13SO-0545</v>
      </c>
      <c r="I546" s="6"/>
      <c r="J546" s="6" t="s">
        <v>3835</v>
      </c>
      <c r="K546" s="6" t="s">
        <v>3836</v>
      </c>
      <c r="L546" s="6" t="s">
        <v>3837</v>
      </c>
      <c r="M546" s="6" t="s">
        <v>3838</v>
      </c>
      <c r="N546" s="17"/>
      <c r="O546" s="17"/>
      <c r="P546" s="17" t="str">
        <f t="shared" si="5"/>
        <v>OK</v>
      </c>
      <c r="Q546" s="17" t="s">
        <v>35</v>
      </c>
      <c r="R546" s="6" t="s">
        <v>35</v>
      </c>
      <c r="S546" s="46" t="s">
        <v>36</v>
      </c>
      <c r="T546" s="17" t="s">
        <v>3839</v>
      </c>
      <c r="U546" s="173" t="s">
        <v>38</v>
      </c>
      <c r="V546" s="11" t="s">
        <v>868</v>
      </c>
      <c r="W546" s="32" t="s">
        <v>3451</v>
      </c>
      <c r="X546" s="32" t="s">
        <v>3451</v>
      </c>
      <c r="Y546" s="32"/>
      <c r="Z546" s="7"/>
      <c r="AA546" s="7"/>
      <c r="AB546" s="26"/>
      <c r="AC546" s="26"/>
    </row>
    <row r="547" spans="1:29" ht="15.75" customHeight="1">
      <c r="A547" s="10" t="s">
        <v>3841</v>
      </c>
      <c r="B547" s="10" t="s">
        <v>1469</v>
      </c>
      <c r="C547" s="52" t="s">
        <v>868</v>
      </c>
      <c r="D547" s="38"/>
      <c r="E547" s="13" t="s">
        <v>184</v>
      </c>
      <c r="F547" s="6" t="s">
        <v>3842</v>
      </c>
      <c r="G547" s="6" t="str">
        <f ca="1">IFERROR(__xludf.DUMMYFUNCTION("CONCATENATE(B547,(VLOOKUP(C547,CATALOGOS!$F$2:$H$6,3,FALSE)),(VLOOKUP(V547,CATALOGOS!$J$2:$K$18,2,FALSE)),""-"",TO_TEXT(A547))"),"P13IR-0546")</f>
        <v>P13IR-0546</v>
      </c>
      <c r="H547" s="6" t="str">
        <f ca="1">IFERROR(__xludf.DUMMYFUNCTION("CONCATENATE($B547,(VLOOKUP($C547,CATALOGOS!$F$2:$H$6,3,FALSE)),(VLOOKUP($V547,CATALOGOS!$J$2:$K$18,2,FALSE)),""-"",TO_TEXT($A547))"),"P13IR-0546")</f>
        <v>P13IR-0546</v>
      </c>
      <c r="I547" s="6"/>
      <c r="J547" s="6" t="s">
        <v>3843</v>
      </c>
      <c r="K547" s="6" t="s">
        <v>3844</v>
      </c>
      <c r="L547" s="6" t="s">
        <v>3845</v>
      </c>
      <c r="M547" s="6" t="s">
        <v>3846</v>
      </c>
      <c r="N547" s="17"/>
      <c r="O547" s="17"/>
      <c r="P547" s="17" t="str">
        <f t="shared" si="5"/>
        <v>OK</v>
      </c>
      <c r="Q547" s="17" t="s">
        <v>35</v>
      </c>
      <c r="R547" s="6" t="s">
        <v>35</v>
      </c>
      <c r="S547" s="46" t="s">
        <v>36</v>
      </c>
      <c r="T547" s="17" t="s">
        <v>3847</v>
      </c>
      <c r="U547" s="173" t="s">
        <v>38</v>
      </c>
      <c r="V547" s="11" t="s">
        <v>2381</v>
      </c>
      <c r="W547" s="10" t="s">
        <v>3848</v>
      </c>
      <c r="X547" s="10" t="s">
        <v>3848</v>
      </c>
      <c r="Y547" s="10"/>
      <c r="Z547" s="7"/>
      <c r="AA547" s="7"/>
      <c r="AB547" s="26"/>
      <c r="AC547" s="26"/>
    </row>
    <row r="548" spans="1:29" ht="15.75" customHeight="1">
      <c r="A548" s="10" t="s">
        <v>3849</v>
      </c>
      <c r="B548" s="10" t="s">
        <v>1469</v>
      </c>
      <c r="C548" s="52" t="s">
        <v>868</v>
      </c>
      <c r="D548" s="12"/>
      <c r="E548" s="13" t="s">
        <v>210</v>
      </c>
      <c r="F548" s="6" t="s">
        <v>210</v>
      </c>
      <c r="G548" s="6" t="str">
        <f ca="1">IFERROR(__xludf.DUMMYFUNCTION("CONCATENATE(B548,(VLOOKUP(C548,CATALOGOS!$F$2:$H$6,3,FALSE)),(VLOOKUP(V548,CATALOGOS!$J$2:$K$18,2,FALSE)),""-"",TO_TEXT(A548))"),"P13SO-0547")</f>
        <v>P13SO-0547</v>
      </c>
      <c r="H548" s="6" t="str">
        <f ca="1">IFERROR(__xludf.DUMMYFUNCTION("CONCATENATE($B548,(VLOOKUP($C548,CATALOGOS!$F$2:$H$6,3,FALSE)),(VLOOKUP($V548,CATALOGOS!$J$2:$K$18,2,FALSE)),""-"",TO_TEXT($A548))"),"P13SO-0547")</f>
        <v>P13SO-0547</v>
      </c>
      <c r="I548" s="6"/>
      <c r="J548" s="6" t="s">
        <v>3850</v>
      </c>
      <c r="K548" s="6" t="s">
        <v>3851</v>
      </c>
      <c r="L548" s="36"/>
      <c r="M548" s="6" t="s">
        <v>3852</v>
      </c>
      <c r="N548" s="17"/>
      <c r="O548" s="17"/>
      <c r="P548" s="17" t="str">
        <f t="shared" si="5"/>
        <v>OK</v>
      </c>
      <c r="Q548" s="17" t="s">
        <v>216</v>
      </c>
      <c r="R548" s="6" t="s">
        <v>217</v>
      </c>
      <c r="S548" s="6" t="s">
        <v>36</v>
      </c>
      <c r="T548" s="10" t="s">
        <v>3853</v>
      </c>
      <c r="U548" s="173" t="s">
        <v>38</v>
      </c>
      <c r="V548" s="11" t="s">
        <v>868</v>
      </c>
      <c r="W548" s="22" t="s">
        <v>3451</v>
      </c>
      <c r="X548" s="22" t="s">
        <v>3451</v>
      </c>
      <c r="Y548" s="22"/>
      <c r="Z548" s="7"/>
      <c r="AA548" s="7"/>
      <c r="AB548" s="26"/>
      <c r="AC548" s="26"/>
    </row>
    <row r="549" spans="1:29" ht="15.75" customHeight="1">
      <c r="A549" s="10" t="s">
        <v>3854</v>
      </c>
      <c r="B549" s="10" t="s">
        <v>1469</v>
      </c>
      <c r="C549" s="52" t="s">
        <v>868</v>
      </c>
      <c r="D549" s="12"/>
      <c r="E549" s="13" t="s">
        <v>93</v>
      </c>
      <c r="F549" s="6" t="s">
        <v>3855</v>
      </c>
      <c r="G549" s="6" t="str">
        <f ca="1">IFERROR(__xludf.DUMMYFUNCTION("CONCATENATE(B549,(VLOOKUP(C549,CATALOGOS!$F$2:$H$6,3,FALSE)),(VLOOKUP(V549,CATALOGOS!$J$2:$K$18,2,FALSE)),""-"",TO_TEXT(A549))"),"P13LP-0548")</f>
        <v>P13LP-0548</v>
      </c>
      <c r="H549" s="6" t="str">
        <f ca="1">IFERROR(__xludf.DUMMYFUNCTION("CONCATENATE($B549,(VLOOKUP($C549,CATALOGOS!$F$2:$H$6,3,FALSE)),(VLOOKUP($V549,CATALOGOS!$J$2:$K$18,2,FALSE)),""-"",TO_TEXT($A549))"),"P13LP-0548")</f>
        <v>P13LP-0548</v>
      </c>
      <c r="I549" s="6"/>
      <c r="J549" s="6" t="s">
        <v>3856</v>
      </c>
      <c r="K549" s="6" t="s">
        <v>3857</v>
      </c>
      <c r="L549" s="6" t="s">
        <v>3858</v>
      </c>
      <c r="M549" s="6" t="s">
        <v>3859</v>
      </c>
      <c r="N549" s="17"/>
      <c r="O549" s="17"/>
      <c r="P549" s="17" t="str">
        <f t="shared" si="5"/>
        <v>OK</v>
      </c>
      <c r="Q549" s="17" t="s">
        <v>35</v>
      </c>
      <c r="R549" s="6" t="s">
        <v>35</v>
      </c>
      <c r="S549" s="17" t="s">
        <v>36</v>
      </c>
      <c r="T549" s="17" t="s">
        <v>3860</v>
      </c>
      <c r="U549" s="173" t="s">
        <v>38</v>
      </c>
      <c r="V549" s="11" t="s">
        <v>2328</v>
      </c>
      <c r="W549" s="20" t="s">
        <v>2329</v>
      </c>
      <c r="X549" s="22" t="s">
        <v>3450</v>
      </c>
      <c r="Y549" s="22"/>
      <c r="Z549" s="7"/>
      <c r="AA549" s="7"/>
      <c r="AB549" s="23"/>
      <c r="AC549" s="26"/>
    </row>
    <row r="550" spans="1:29" ht="15.75" customHeight="1">
      <c r="A550" s="10" t="s">
        <v>3861</v>
      </c>
      <c r="B550" s="10" t="s">
        <v>1469</v>
      </c>
      <c r="C550" s="52" t="s">
        <v>868</v>
      </c>
      <c r="D550" s="12"/>
      <c r="E550" s="13" t="s">
        <v>378</v>
      </c>
      <c r="F550" s="6" t="s">
        <v>3862</v>
      </c>
      <c r="G550" s="6" t="str">
        <f ca="1">IFERROR(__xludf.DUMMYFUNCTION("CONCATENATE(B550,(VLOOKUP(C550,CATALOGOS!$F$2:$H$6,3,FALSE)),(VLOOKUP(V550,CATALOGOS!$J$2:$K$18,2,FALSE)),""-"",TO_TEXT(A550))"),"P13LP-0549")</f>
        <v>P13LP-0549</v>
      </c>
      <c r="H550" s="6" t="str">
        <f ca="1">IFERROR(__xludf.DUMMYFUNCTION("CONCATENATE($B550,(VLOOKUP($C550,CATALOGOS!$F$2:$H$6,3,FALSE)),(VLOOKUP($V550,CATALOGOS!$J$2:$K$18,2,FALSE)),""-"",TO_TEXT($A550))"),"P13LP-0549")</f>
        <v>P13LP-0549</v>
      </c>
      <c r="I550" s="6"/>
      <c r="J550" s="6" t="s">
        <v>3863</v>
      </c>
      <c r="K550" s="6" t="s">
        <v>3864</v>
      </c>
      <c r="L550" s="36"/>
      <c r="M550" s="6" t="s">
        <v>141</v>
      </c>
      <c r="N550" s="17"/>
      <c r="O550" s="17"/>
      <c r="P550" s="17" t="str">
        <f t="shared" si="5"/>
        <v>REPETIDO</v>
      </c>
      <c r="Q550" s="17" t="s">
        <v>35</v>
      </c>
      <c r="R550" s="6" t="s">
        <v>35</v>
      </c>
      <c r="S550" s="6" t="s">
        <v>36</v>
      </c>
      <c r="T550" s="10" t="s">
        <v>3865</v>
      </c>
      <c r="U550" s="173" t="s">
        <v>38</v>
      </c>
      <c r="V550" s="11" t="s">
        <v>2328</v>
      </c>
      <c r="W550" s="20" t="s">
        <v>2329</v>
      </c>
      <c r="X550" s="22" t="s">
        <v>3450</v>
      </c>
      <c r="Y550" s="22"/>
      <c r="Z550" s="7"/>
      <c r="AA550" s="7"/>
      <c r="AB550" s="23"/>
      <c r="AC550" s="26"/>
    </row>
    <row r="551" spans="1:29" ht="15.75" customHeight="1">
      <c r="A551" s="10" t="s">
        <v>3866</v>
      </c>
      <c r="B551" s="10" t="s">
        <v>1469</v>
      </c>
      <c r="C551" s="52" t="s">
        <v>868</v>
      </c>
      <c r="D551" s="12"/>
      <c r="E551" s="13" t="s">
        <v>378</v>
      </c>
      <c r="F551" s="6" t="s">
        <v>3867</v>
      </c>
      <c r="G551" s="6" t="str">
        <f ca="1">IFERROR(__xludf.DUMMYFUNCTION("CONCATENATE(B551,(VLOOKUP(C551,CATALOGOS!$F$2:$H$6,3,FALSE)),(VLOOKUP(V551,CATALOGOS!$J$2:$K$18,2,FALSE)),""-"",TO_TEXT(A551))"),"P13LP-0550")</f>
        <v>P13LP-0550</v>
      </c>
      <c r="H551" s="6" t="str">
        <f ca="1">IFERROR(__xludf.DUMMYFUNCTION("CONCATENATE($B551,(VLOOKUP($C551,CATALOGOS!$F$2:$H$6,3,FALSE)),(VLOOKUP($V551,CATALOGOS!$J$2:$K$18,2,FALSE)),""-"",TO_TEXT($A551))"),"P13LP-0550")</f>
        <v>P13LP-0550</v>
      </c>
      <c r="I551" s="6"/>
      <c r="J551" s="6" t="s">
        <v>3868</v>
      </c>
      <c r="K551" s="6" t="s">
        <v>3869</v>
      </c>
      <c r="L551" s="6" t="s">
        <v>3870</v>
      </c>
      <c r="M551" s="6" t="s">
        <v>141</v>
      </c>
      <c r="N551" s="17"/>
      <c r="O551" s="17"/>
      <c r="P551" s="17" t="str">
        <f t="shared" si="5"/>
        <v>REPETIDO</v>
      </c>
      <c r="Q551" s="17" t="s">
        <v>35</v>
      </c>
      <c r="R551" s="6" t="s">
        <v>35</v>
      </c>
      <c r="S551" s="17" t="s">
        <v>36</v>
      </c>
      <c r="T551" s="17" t="s">
        <v>3871</v>
      </c>
      <c r="U551" s="173" t="s">
        <v>38</v>
      </c>
      <c r="V551" s="11" t="s">
        <v>2328</v>
      </c>
      <c r="W551" s="20" t="s">
        <v>2329</v>
      </c>
      <c r="X551" s="22" t="s">
        <v>3450</v>
      </c>
      <c r="Y551" s="22"/>
      <c r="Z551" s="7"/>
      <c r="AA551" s="7"/>
      <c r="AB551" s="23"/>
      <c r="AC551" s="26"/>
    </row>
    <row r="552" spans="1:29" ht="15.75" customHeight="1">
      <c r="A552" s="10" t="s">
        <v>3872</v>
      </c>
      <c r="B552" s="10" t="s">
        <v>1469</v>
      </c>
      <c r="C552" s="52" t="s">
        <v>868</v>
      </c>
      <c r="D552" s="12"/>
      <c r="E552" s="13" t="s">
        <v>378</v>
      </c>
      <c r="F552" s="6" t="s">
        <v>3867</v>
      </c>
      <c r="G552" s="6" t="str">
        <f ca="1">IFERROR(__xludf.DUMMYFUNCTION("CONCATENATE(B552,(VLOOKUP(C552,CATALOGOS!$F$2:$H$6,3,FALSE)),(VLOOKUP(V552,CATALOGOS!$J$2:$K$18,2,FALSE)),""-"",TO_TEXT(A552))"),"P13LP-0551")</f>
        <v>P13LP-0551</v>
      </c>
      <c r="H552" s="6" t="str">
        <f ca="1">IFERROR(__xludf.DUMMYFUNCTION("CONCATENATE($B552,(VLOOKUP($C552,CATALOGOS!$F$2:$H$6,3,FALSE)),(VLOOKUP($V552,CATALOGOS!$J$2:$K$18,2,FALSE)),""-"",TO_TEXT($A552))"),"P13LP-0551")</f>
        <v>P13LP-0551</v>
      </c>
      <c r="I552" s="6"/>
      <c r="J552" s="6" t="s">
        <v>3873</v>
      </c>
      <c r="K552" s="6" t="s">
        <v>3874</v>
      </c>
      <c r="L552" s="6" t="s">
        <v>3875</v>
      </c>
      <c r="M552" s="43" t="s">
        <v>3876</v>
      </c>
      <c r="N552" s="17"/>
      <c r="O552" s="17"/>
      <c r="P552" s="17" t="str">
        <f t="shared" si="5"/>
        <v>OK</v>
      </c>
      <c r="Q552" s="17" t="s">
        <v>35</v>
      </c>
      <c r="R552" s="6" t="s">
        <v>35</v>
      </c>
      <c r="S552" s="17" t="s">
        <v>36</v>
      </c>
      <c r="T552" s="17" t="s">
        <v>3877</v>
      </c>
      <c r="U552" s="173" t="s">
        <v>38</v>
      </c>
      <c r="V552" s="11" t="s">
        <v>2328</v>
      </c>
      <c r="W552" s="20" t="s">
        <v>2329</v>
      </c>
      <c r="X552" s="22" t="s">
        <v>3450</v>
      </c>
      <c r="Y552" s="22"/>
      <c r="Z552" s="7"/>
      <c r="AA552" s="7"/>
      <c r="AB552" s="23"/>
      <c r="AC552" s="26"/>
    </row>
    <row r="553" spans="1:29" ht="15.75" customHeight="1">
      <c r="A553" s="10" t="s">
        <v>3878</v>
      </c>
      <c r="B553" s="10" t="s">
        <v>1469</v>
      </c>
      <c r="C553" s="52" t="s">
        <v>868</v>
      </c>
      <c r="D553" s="12"/>
      <c r="E553" s="13" t="s">
        <v>184</v>
      </c>
      <c r="F553" s="6" t="s">
        <v>3879</v>
      </c>
      <c r="G553" s="6" t="str">
        <f ca="1">IFERROR(__xludf.DUMMYFUNCTION("CONCATENATE(B553,(VLOOKUP(C553,CATALOGOS!$F$2:$H$6,3,FALSE)),(VLOOKUP(V553,CATALOGOS!$J$2:$K$18,2,FALSE)),""-"",TO_TEXT(A553))"),"P13LP-0552")</f>
        <v>P13LP-0552</v>
      </c>
      <c r="H553" s="6" t="str">
        <f ca="1">IFERROR(__xludf.DUMMYFUNCTION("CONCATENATE($B553,(VLOOKUP($C553,CATALOGOS!$F$2:$H$6,3,FALSE)),(VLOOKUP($V553,CATALOGOS!$J$2:$K$18,2,FALSE)),""-"",TO_TEXT($A553))"),"P13LP-0552")</f>
        <v>P13LP-0552</v>
      </c>
      <c r="I553" s="6"/>
      <c r="J553" s="6" t="s">
        <v>3880</v>
      </c>
      <c r="K553" s="6" t="s">
        <v>3881</v>
      </c>
      <c r="L553" s="6" t="s">
        <v>3882</v>
      </c>
      <c r="M553" s="6" t="s">
        <v>3883</v>
      </c>
      <c r="N553" s="17"/>
      <c r="O553" s="17"/>
      <c r="P553" s="17" t="str">
        <f t="shared" si="5"/>
        <v>OK</v>
      </c>
      <c r="Q553" s="17" t="s">
        <v>35</v>
      </c>
      <c r="R553" s="6" t="s">
        <v>35</v>
      </c>
      <c r="S553" s="17" t="s">
        <v>36</v>
      </c>
      <c r="T553" s="17" t="s">
        <v>3884</v>
      </c>
      <c r="U553" s="173" t="s">
        <v>38</v>
      </c>
      <c r="V553" s="11" t="s">
        <v>2328</v>
      </c>
      <c r="W553" s="20" t="s">
        <v>2329</v>
      </c>
      <c r="X553" s="22" t="s">
        <v>3450</v>
      </c>
      <c r="Y553" s="22"/>
      <c r="Z553" s="7"/>
      <c r="AA553" s="7"/>
      <c r="AB553" s="23"/>
      <c r="AC553" s="26"/>
    </row>
    <row r="554" spans="1:29" ht="15.75" customHeight="1">
      <c r="A554" s="10" t="s">
        <v>3885</v>
      </c>
      <c r="B554" s="10" t="s">
        <v>1469</v>
      </c>
      <c r="C554" s="52" t="s">
        <v>868</v>
      </c>
      <c r="D554" s="12"/>
      <c r="E554" s="13" t="s">
        <v>93</v>
      </c>
      <c r="F554" s="6" t="s">
        <v>3886</v>
      </c>
      <c r="G554" s="6" t="str">
        <f ca="1">IFERROR(__xludf.DUMMYFUNCTION("CONCATENATE(B554,(VLOOKUP(C554,CATALOGOS!$F$2:$H$6,3,FALSE)),(VLOOKUP(V554,CATALOGOS!$J$2:$K$18,2,FALSE)),""-"",TO_TEXT(A554))"),"P13LP-0553")</f>
        <v>P13LP-0553</v>
      </c>
      <c r="H554" s="6" t="str">
        <f ca="1">IFERROR(__xludf.DUMMYFUNCTION("CONCATENATE($B554,(VLOOKUP($C554,CATALOGOS!$F$2:$H$6,3,FALSE)),(VLOOKUP($V554,CATALOGOS!$J$2:$K$18,2,FALSE)),""-"",TO_TEXT($A554))"),"P13LP-0553")</f>
        <v>P13LP-0553</v>
      </c>
      <c r="I554" s="6"/>
      <c r="J554" s="6" t="s">
        <v>3887</v>
      </c>
      <c r="K554" s="6" t="s">
        <v>3888</v>
      </c>
      <c r="L554" s="6" t="s">
        <v>3889</v>
      </c>
      <c r="M554" s="6" t="s">
        <v>3890</v>
      </c>
      <c r="N554" s="17"/>
      <c r="O554" s="17"/>
      <c r="P554" s="17" t="str">
        <f t="shared" si="5"/>
        <v>OK</v>
      </c>
      <c r="Q554" s="17" t="s">
        <v>35</v>
      </c>
      <c r="R554" s="6" t="s">
        <v>35</v>
      </c>
      <c r="S554" s="17" t="s">
        <v>36</v>
      </c>
      <c r="T554" s="17" t="s">
        <v>3891</v>
      </c>
      <c r="U554" s="173" t="s">
        <v>38</v>
      </c>
      <c r="V554" s="11" t="s">
        <v>2328</v>
      </c>
      <c r="W554" s="20" t="s">
        <v>2329</v>
      </c>
      <c r="X554" s="22" t="s">
        <v>3450</v>
      </c>
      <c r="Y554" s="22"/>
      <c r="Z554" s="7"/>
      <c r="AA554" s="7"/>
      <c r="AB554" s="23"/>
      <c r="AC554" s="26"/>
    </row>
    <row r="555" spans="1:29" ht="15.75" customHeight="1">
      <c r="A555" s="10" t="s">
        <v>3892</v>
      </c>
      <c r="B555" s="10" t="s">
        <v>1469</v>
      </c>
      <c r="C555" s="52" t="s">
        <v>868</v>
      </c>
      <c r="D555" s="12"/>
      <c r="E555" s="13" t="s">
        <v>93</v>
      </c>
      <c r="F555" s="6" t="s">
        <v>3893</v>
      </c>
      <c r="G555" s="6" t="str">
        <f ca="1">IFERROR(__xludf.DUMMYFUNCTION("CONCATENATE(B555,(VLOOKUP(C555,CATALOGOS!$F$2:$H$6,3,FALSE)),(VLOOKUP(V555,CATALOGOS!$J$2:$K$18,2,FALSE)),""-"",TO_TEXT(A555))"),"P13LP-0554")</f>
        <v>P13LP-0554</v>
      </c>
      <c r="H555" s="6" t="str">
        <f ca="1">IFERROR(__xludf.DUMMYFUNCTION("CONCATENATE($B555,(VLOOKUP($C555,CATALOGOS!$F$2:$H$6,3,FALSE)),(VLOOKUP($V555,CATALOGOS!$J$2:$K$18,2,FALSE)),""-"",TO_TEXT($A555))"),"P13LP-0554")</f>
        <v>P13LP-0554</v>
      </c>
      <c r="I555" s="6"/>
      <c r="J555" s="6" t="s">
        <v>3894</v>
      </c>
      <c r="K555" s="6" t="s">
        <v>3895</v>
      </c>
      <c r="L555" s="6" t="s">
        <v>3896</v>
      </c>
      <c r="M555" s="6" t="s">
        <v>3897</v>
      </c>
      <c r="N555" s="17"/>
      <c r="O555" s="17"/>
      <c r="P555" s="17" t="str">
        <f t="shared" si="5"/>
        <v>OK</v>
      </c>
      <c r="Q555" s="17" t="s">
        <v>35</v>
      </c>
      <c r="R555" s="6" t="s">
        <v>35</v>
      </c>
      <c r="S555" s="17" t="s">
        <v>36</v>
      </c>
      <c r="T555" s="17" t="s">
        <v>3898</v>
      </c>
      <c r="U555" s="173" t="s">
        <v>38</v>
      </c>
      <c r="V555" s="11" t="s">
        <v>2328</v>
      </c>
      <c r="W555" s="20" t="s">
        <v>2329</v>
      </c>
      <c r="X555" s="22" t="s">
        <v>3450</v>
      </c>
      <c r="Y555" s="22"/>
      <c r="Z555" s="7"/>
      <c r="AA555" s="7"/>
      <c r="AB555" s="23"/>
      <c r="AC555" s="26"/>
    </row>
    <row r="556" spans="1:29" ht="15.75" customHeight="1">
      <c r="A556" s="10" t="s">
        <v>3899</v>
      </c>
      <c r="B556" s="10" t="s">
        <v>1469</v>
      </c>
      <c r="C556" s="52" t="s">
        <v>868</v>
      </c>
      <c r="D556" s="12"/>
      <c r="E556" s="13" t="s">
        <v>43</v>
      </c>
      <c r="F556" s="6" t="s">
        <v>1850</v>
      </c>
      <c r="G556" s="6" t="str">
        <f ca="1">IFERROR(__xludf.DUMMYFUNCTION("CONCATENATE(B556,(VLOOKUP(C556,CATALOGOS!$F$2:$H$6,3,FALSE)),(VLOOKUP(V556,CATALOGOS!$J$2:$K$18,2,FALSE)),""-"",TO_TEXT(A556))"),"P13LP-0555")</f>
        <v>P13LP-0555</v>
      </c>
      <c r="H556" s="6" t="str">
        <f ca="1">IFERROR(__xludf.DUMMYFUNCTION("CONCATENATE($B556,(VLOOKUP($C556,CATALOGOS!$F$2:$H$6,3,FALSE)),(VLOOKUP($V556,CATALOGOS!$J$2:$K$18,2,FALSE)),""-"",TO_TEXT($A556))"),"P13LP-0555")</f>
        <v>P13LP-0555</v>
      </c>
      <c r="I556" s="6"/>
      <c r="J556" s="6" t="s">
        <v>3900</v>
      </c>
      <c r="K556" s="6" t="s">
        <v>3901</v>
      </c>
      <c r="L556" s="6" t="s">
        <v>3902</v>
      </c>
      <c r="M556" s="6" t="s">
        <v>3903</v>
      </c>
      <c r="N556" s="17"/>
      <c r="O556" s="17"/>
      <c r="P556" s="17" t="str">
        <f t="shared" si="5"/>
        <v>OK</v>
      </c>
      <c r="Q556" s="17" t="s">
        <v>49</v>
      </c>
      <c r="R556" s="6">
        <v>3358</v>
      </c>
      <c r="S556" s="17" t="s">
        <v>36</v>
      </c>
      <c r="T556" s="10" t="s">
        <v>3904</v>
      </c>
      <c r="U556" s="173" t="s">
        <v>38</v>
      </c>
      <c r="V556" s="11" t="s">
        <v>2328</v>
      </c>
      <c r="W556" s="20" t="s">
        <v>2329</v>
      </c>
      <c r="X556" s="22" t="s">
        <v>3450</v>
      </c>
      <c r="Y556" s="22"/>
      <c r="Z556" s="7"/>
      <c r="AA556" s="7"/>
      <c r="AB556" s="23"/>
      <c r="AC556" s="26"/>
    </row>
    <row r="557" spans="1:29" ht="15.75" customHeight="1">
      <c r="A557" s="10" t="s">
        <v>3905</v>
      </c>
      <c r="B557" s="10" t="s">
        <v>1469</v>
      </c>
      <c r="C557" s="52" t="s">
        <v>868</v>
      </c>
      <c r="D557" s="12"/>
      <c r="E557" s="13" t="s">
        <v>62</v>
      </c>
      <c r="F557" s="6" t="s">
        <v>3906</v>
      </c>
      <c r="G557" s="6" t="str">
        <f ca="1">IFERROR(__xludf.DUMMYFUNCTION("CONCATENATE(B557,(VLOOKUP(C557,CATALOGOS!$F$2:$H$6,3,FALSE)),(VLOOKUP(V557,CATALOGOS!$J$2:$K$18,2,FALSE)),""-"",TO_TEXT(A557))"),"P13LP-0556")</f>
        <v>P13LP-0556</v>
      </c>
      <c r="H557" s="6" t="str">
        <f ca="1">IFERROR(__xludf.DUMMYFUNCTION("CONCATENATE($B557,(VLOOKUP($C557,CATALOGOS!$F$2:$H$6,3,FALSE)),(VLOOKUP($V557,CATALOGOS!$J$2:$K$18,2,FALSE)),""-"",TO_TEXT($A557))"),"P13LP-0556")</f>
        <v>P13LP-0556</v>
      </c>
      <c r="I557" s="6"/>
      <c r="J557" s="6" t="s">
        <v>3907</v>
      </c>
      <c r="K557" s="6" t="s">
        <v>3908</v>
      </c>
      <c r="L557" s="6" t="s">
        <v>3909</v>
      </c>
      <c r="M557" s="6" t="s">
        <v>3910</v>
      </c>
      <c r="N557" s="17"/>
      <c r="O557" s="17"/>
      <c r="P557" s="17" t="str">
        <f t="shared" si="5"/>
        <v>OK</v>
      </c>
      <c r="Q557" s="17" t="s">
        <v>35</v>
      </c>
      <c r="R557" s="6" t="s">
        <v>35</v>
      </c>
      <c r="S557" s="17" t="s">
        <v>36</v>
      </c>
      <c r="T557" s="17" t="s">
        <v>3911</v>
      </c>
      <c r="U557" s="173" t="s">
        <v>38</v>
      </c>
      <c r="V557" s="11" t="s">
        <v>2328</v>
      </c>
      <c r="W557" s="20" t="s">
        <v>2329</v>
      </c>
      <c r="X557" s="22" t="s">
        <v>3450</v>
      </c>
      <c r="Y557" s="22"/>
      <c r="Z557" s="7"/>
      <c r="AA557" s="7"/>
      <c r="AB557" s="23"/>
      <c r="AC557" s="26"/>
    </row>
    <row r="558" spans="1:29" ht="15.75" customHeight="1">
      <c r="A558" s="10" t="s">
        <v>3912</v>
      </c>
      <c r="B558" s="10" t="s">
        <v>1469</v>
      </c>
      <c r="C558" s="52" t="s">
        <v>868</v>
      </c>
      <c r="D558" s="12"/>
      <c r="E558" s="13" t="s">
        <v>29</v>
      </c>
      <c r="F558" s="6" t="s">
        <v>29</v>
      </c>
      <c r="G558" s="6" t="str">
        <f ca="1">IFERROR(__xludf.DUMMYFUNCTION("CONCATENATE(B558,(VLOOKUP(C558,CATALOGOS!$F$2:$H$6,3,FALSE)),(VLOOKUP(V558,CATALOGOS!$J$2:$K$18,2,FALSE)),""-"",TO_TEXT(A558))"),"P13LP-0557")</f>
        <v>P13LP-0557</v>
      </c>
      <c r="H558" s="6" t="str">
        <f ca="1">IFERROR(__xludf.DUMMYFUNCTION("CONCATENATE($B558,(VLOOKUP($C558,CATALOGOS!$F$2:$H$6,3,FALSE)),(VLOOKUP($V558,CATALOGOS!$J$2:$K$18,2,FALSE)),""-"",TO_TEXT($A558))"),"P13LP-0557")</f>
        <v>P13LP-0557</v>
      </c>
      <c r="I558" s="6"/>
      <c r="J558" s="6" t="s">
        <v>3913</v>
      </c>
      <c r="K558" s="54"/>
      <c r="L558" s="6" t="s">
        <v>3914</v>
      </c>
      <c r="M558" s="6" t="s">
        <v>3915</v>
      </c>
      <c r="N558" s="17"/>
      <c r="O558" s="17"/>
      <c r="P558" s="17" t="str">
        <f t="shared" si="5"/>
        <v>OK</v>
      </c>
      <c r="Q558" s="17" t="s">
        <v>35</v>
      </c>
      <c r="R558" s="6" t="s">
        <v>35</v>
      </c>
      <c r="S558" s="17" t="s">
        <v>36</v>
      </c>
      <c r="T558" s="17" t="s">
        <v>3916</v>
      </c>
      <c r="U558" s="173" t="s">
        <v>38</v>
      </c>
      <c r="V558" s="11" t="s">
        <v>2328</v>
      </c>
      <c r="W558" s="20" t="s">
        <v>2329</v>
      </c>
      <c r="X558" s="22" t="s">
        <v>3450</v>
      </c>
      <c r="Y558" s="22"/>
      <c r="Z558" s="7"/>
      <c r="AA558" s="7"/>
      <c r="AB558" s="23"/>
      <c r="AC558" s="26"/>
    </row>
    <row r="559" spans="1:29" ht="15.75" customHeight="1">
      <c r="A559" s="10" t="s">
        <v>3917</v>
      </c>
      <c r="B559" s="10" t="s">
        <v>1469</v>
      </c>
      <c r="C559" s="52" t="s">
        <v>868</v>
      </c>
      <c r="D559" s="12"/>
      <c r="E559" s="13" t="s">
        <v>3521</v>
      </c>
      <c r="F559" s="6" t="s">
        <v>1510</v>
      </c>
      <c r="G559" s="6" t="str">
        <f ca="1">IFERROR(__xludf.DUMMYFUNCTION("CONCATENATE(B559,(VLOOKUP(C559,CATALOGOS!$F$2:$H$6,3,FALSE)),(VLOOKUP(V559,CATALOGOS!$J$2:$K$18,2,FALSE)),""-"",TO_TEXT(A559))"),"P13LP-0558")</f>
        <v>P13LP-0558</v>
      </c>
      <c r="H559" s="6" t="str">
        <f ca="1">IFERROR(__xludf.DUMMYFUNCTION("CONCATENATE($B559,(VLOOKUP($C559,CATALOGOS!$F$2:$H$6,3,FALSE)),(VLOOKUP($V559,CATALOGOS!$J$2:$K$18,2,FALSE)),""-"",TO_TEXT($A559))"),"P13LP-0558")</f>
        <v>P13LP-0558</v>
      </c>
      <c r="I559" s="6"/>
      <c r="J559" s="6" t="s">
        <v>3918</v>
      </c>
      <c r="K559" s="54"/>
      <c r="L559" s="6" t="s">
        <v>3919</v>
      </c>
      <c r="M559" s="6" t="s">
        <v>3920</v>
      </c>
      <c r="N559" s="17"/>
      <c r="O559" s="17"/>
      <c r="P559" s="17" t="str">
        <f t="shared" si="5"/>
        <v>OK</v>
      </c>
      <c r="Q559" s="17" t="s">
        <v>35</v>
      </c>
      <c r="R559" s="6" t="s">
        <v>35</v>
      </c>
      <c r="S559" s="17" t="s">
        <v>36</v>
      </c>
      <c r="T559" s="17" t="s">
        <v>3921</v>
      </c>
      <c r="U559" s="173" t="s">
        <v>38</v>
      </c>
      <c r="V559" s="11" t="s">
        <v>2328</v>
      </c>
      <c r="W559" s="20" t="s">
        <v>2329</v>
      </c>
      <c r="X559" s="22" t="s">
        <v>3450</v>
      </c>
      <c r="Y559" s="22"/>
      <c r="Z559" s="7"/>
      <c r="AA559" s="7"/>
      <c r="AB559" s="23"/>
      <c r="AC559" s="26"/>
    </row>
    <row r="560" spans="1:29" ht="15.75" customHeight="1">
      <c r="A560" s="10" t="s">
        <v>3922</v>
      </c>
      <c r="B560" s="10" t="s">
        <v>1469</v>
      </c>
      <c r="C560" s="52" t="s">
        <v>868</v>
      </c>
      <c r="D560" s="12"/>
      <c r="E560" s="13" t="s">
        <v>116</v>
      </c>
      <c r="F560" s="6" t="s">
        <v>8440</v>
      </c>
      <c r="G560" s="6" t="str">
        <f ca="1">IFERROR(__xludf.DUMMYFUNCTION("CONCATENATE(B560,(VLOOKUP(C560,CATALOGOS!$F$2:$H$6,3,FALSE)),(VLOOKUP(V560,CATALOGOS!$J$2:$K$18,2,FALSE)),""-"",TO_TEXT(A560))"),"P13LP-0559")</f>
        <v>P13LP-0559</v>
      </c>
      <c r="H560" s="6" t="str">
        <f ca="1">IFERROR(__xludf.DUMMYFUNCTION("CONCATENATE($B560,(VLOOKUP($C560,CATALOGOS!$F$2:$H$6,3,FALSE)),(VLOOKUP($V560,CATALOGOS!$J$2:$K$18,2,FALSE)),""-"",TO_TEXT($A560))"),"P13LP-0559")</f>
        <v>P13LP-0559</v>
      </c>
      <c r="I560" s="6"/>
      <c r="J560" s="6" t="s">
        <v>3924</v>
      </c>
      <c r="K560" s="6" t="s">
        <v>3925</v>
      </c>
      <c r="L560" s="6" t="s">
        <v>3926</v>
      </c>
      <c r="M560" s="6" t="s">
        <v>3927</v>
      </c>
      <c r="N560" s="17"/>
      <c r="O560" s="17"/>
      <c r="P560" s="17" t="str">
        <f t="shared" si="5"/>
        <v>OK</v>
      </c>
      <c r="Q560" s="17" t="s">
        <v>35</v>
      </c>
      <c r="R560" s="6" t="s">
        <v>35</v>
      </c>
      <c r="S560" s="17" t="s">
        <v>36</v>
      </c>
      <c r="T560" s="17" t="s">
        <v>3928</v>
      </c>
      <c r="U560" s="173" t="s">
        <v>38</v>
      </c>
      <c r="V560" s="11" t="s">
        <v>2328</v>
      </c>
      <c r="W560" s="20" t="s">
        <v>2329</v>
      </c>
      <c r="X560" s="22" t="s">
        <v>3450</v>
      </c>
      <c r="Y560" s="22"/>
      <c r="Z560" s="7"/>
      <c r="AA560" s="7"/>
      <c r="AB560" s="23"/>
      <c r="AC560" s="26"/>
    </row>
    <row r="561" spans="1:29" ht="15.75" customHeight="1">
      <c r="A561" s="10" t="s">
        <v>3929</v>
      </c>
      <c r="B561" s="10" t="s">
        <v>1469</v>
      </c>
      <c r="C561" s="52" t="s">
        <v>868</v>
      </c>
      <c r="D561" s="12"/>
      <c r="E561" s="13" t="s">
        <v>1240</v>
      </c>
      <c r="F561" s="43" t="s">
        <v>278</v>
      </c>
      <c r="G561" s="6" t="str">
        <f ca="1">IFERROR(__xludf.DUMMYFUNCTION("CONCATENATE(B561,(VLOOKUP(C561,CATALOGOS!$F$2:$H$6,3,FALSE)),(VLOOKUP(V561,CATALOGOS!$J$2:$K$18,2,FALSE)),""-"",TO_TEXT(A561))"),"P13LP-0560")</f>
        <v>P13LP-0560</v>
      </c>
      <c r="H561" s="6" t="str">
        <f ca="1">IFERROR(__xludf.DUMMYFUNCTION("CONCATENATE($B561,(VLOOKUP($C561,CATALOGOS!$F$2:$H$6,3,FALSE)),(VLOOKUP($V561,CATALOGOS!$J$2:$K$18,2,FALSE)),""-"",TO_TEXT($A561))"),"P13LP-0560")</f>
        <v>P13LP-0560</v>
      </c>
      <c r="I561" s="6"/>
      <c r="J561" s="6" t="s">
        <v>3931</v>
      </c>
      <c r="K561" s="6" t="s">
        <v>3932</v>
      </c>
      <c r="L561" s="6" t="s">
        <v>3933</v>
      </c>
      <c r="M561" s="6" t="s">
        <v>3934</v>
      </c>
      <c r="N561" s="17"/>
      <c r="O561" s="17"/>
      <c r="P561" s="17" t="str">
        <f t="shared" si="5"/>
        <v>OK</v>
      </c>
      <c r="Q561" s="35" t="s">
        <v>35</v>
      </c>
      <c r="R561" s="6" t="s">
        <v>35</v>
      </c>
      <c r="S561" s="17" t="s">
        <v>36</v>
      </c>
      <c r="T561" s="17" t="s">
        <v>3935</v>
      </c>
      <c r="U561" s="173" t="s">
        <v>38</v>
      </c>
      <c r="V561" s="11" t="s">
        <v>2328</v>
      </c>
      <c r="W561" s="20" t="s">
        <v>2329</v>
      </c>
      <c r="X561" s="22" t="s">
        <v>3450</v>
      </c>
      <c r="Y561" s="22"/>
      <c r="Z561" s="7"/>
      <c r="AA561" s="7"/>
      <c r="AB561" s="23"/>
      <c r="AC561" s="26"/>
    </row>
    <row r="562" spans="1:29" ht="15.75" customHeight="1">
      <c r="A562" s="10" t="s">
        <v>3936</v>
      </c>
      <c r="B562" s="10" t="s">
        <v>1469</v>
      </c>
      <c r="C562" s="52" t="s">
        <v>868</v>
      </c>
      <c r="D562" s="12"/>
      <c r="E562" s="13" t="s">
        <v>1240</v>
      </c>
      <c r="F562" s="43" t="s">
        <v>278</v>
      </c>
      <c r="G562" s="6" t="str">
        <f ca="1">IFERROR(__xludf.DUMMYFUNCTION("CONCATENATE(B562,(VLOOKUP(C562,CATALOGOS!$F$2:$H$6,3,FALSE)),(VLOOKUP(V562,CATALOGOS!$J$2:$K$18,2,FALSE)),""-"",TO_TEXT(A562))"),"P13LP-0561")</f>
        <v>P13LP-0561</v>
      </c>
      <c r="H562" s="6" t="str">
        <f ca="1">IFERROR(__xludf.DUMMYFUNCTION("CONCATENATE($B562,(VLOOKUP($C562,CATALOGOS!$F$2:$H$6,3,FALSE)),(VLOOKUP($V562,CATALOGOS!$J$2:$K$18,2,FALSE)),""-"",TO_TEXT($A562))"),"P13LP-0561")</f>
        <v>P13LP-0561</v>
      </c>
      <c r="I562" s="6"/>
      <c r="J562" s="6" t="s">
        <v>3937</v>
      </c>
      <c r="K562" s="6" t="s">
        <v>3938</v>
      </c>
      <c r="L562" s="6" t="s">
        <v>3939</v>
      </c>
      <c r="M562" s="6" t="s">
        <v>3940</v>
      </c>
      <c r="N562" s="17"/>
      <c r="O562" s="17"/>
      <c r="P562" s="17" t="str">
        <f t="shared" si="5"/>
        <v>OK</v>
      </c>
      <c r="Q562" s="17" t="s">
        <v>35</v>
      </c>
      <c r="R562" s="6" t="s">
        <v>35</v>
      </c>
      <c r="S562" s="17" t="s">
        <v>36</v>
      </c>
      <c r="T562" s="17" t="s">
        <v>3941</v>
      </c>
      <c r="U562" s="173" t="s">
        <v>38</v>
      </c>
      <c r="V562" s="11" t="s">
        <v>2328</v>
      </c>
      <c r="W562" s="20" t="s">
        <v>2329</v>
      </c>
      <c r="X562" s="22" t="s">
        <v>3450</v>
      </c>
      <c r="Y562" s="22"/>
      <c r="Z562" s="7"/>
      <c r="AA562" s="7"/>
      <c r="AB562" s="23"/>
      <c r="AC562" s="26"/>
    </row>
    <row r="563" spans="1:29" ht="15.75" customHeight="1">
      <c r="A563" s="10" t="s">
        <v>3942</v>
      </c>
      <c r="B563" s="10" t="s">
        <v>1469</v>
      </c>
      <c r="C563" s="52" t="s">
        <v>868</v>
      </c>
      <c r="D563" s="12"/>
      <c r="E563" s="13" t="s">
        <v>184</v>
      </c>
      <c r="F563" s="6" t="s">
        <v>2677</v>
      </c>
      <c r="G563" s="6" t="str">
        <f ca="1">IFERROR(__xludf.DUMMYFUNCTION("CONCATENATE(B563,(VLOOKUP(C563,CATALOGOS!$F$2:$H$6,3,FALSE)),(VLOOKUP(V563,CATALOGOS!$J$2:$K$18,2,FALSE)),""-"",TO_TEXT(A563))"),"P13LP-0562")</f>
        <v>P13LP-0562</v>
      </c>
      <c r="H563" s="6" t="str">
        <f ca="1">IFERROR(__xludf.DUMMYFUNCTION("CONCATENATE($B563,(VLOOKUP($C563,CATALOGOS!$F$2:$H$6,3,FALSE)),(VLOOKUP($V563,CATALOGOS!$J$2:$K$18,2,FALSE)),""-"",TO_TEXT($A563))"),"P13LP-0562")</f>
        <v>P13LP-0562</v>
      </c>
      <c r="I563" s="6"/>
      <c r="J563" s="6" t="s">
        <v>3943</v>
      </c>
      <c r="K563" s="6" t="s">
        <v>3944</v>
      </c>
      <c r="L563" s="6" t="s">
        <v>3945</v>
      </c>
      <c r="M563" s="6" t="s">
        <v>3946</v>
      </c>
      <c r="N563" s="17"/>
      <c r="O563" s="17"/>
      <c r="P563" s="17" t="str">
        <f t="shared" si="5"/>
        <v>OK</v>
      </c>
      <c r="Q563" s="17" t="s">
        <v>35</v>
      </c>
      <c r="R563" s="6" t="s">
        <v>35</v>
      </c>
      <c r="S563" s="17" t="s">
        <v>36</v>
      </c>
      <c r="T563" s="17" t="s">
        <v>3947</v>
      </c>
      <c r="U563" s="173" t="s">
        <v>38</v>
      </c>
      <c r="V563" s="11" t="s">
        <v>2328</v>
      </c>
      <c r="W563" s="20" t="s">
        <v>2329</v>
      </c>
      <c r="X563" s="22" t="s">
        <v>3450</v>
      </c>
      <c r="Y563" s="22"/>
      <c r="Z563" s="7"/>
      <c r="AA563" s="7"/>
      <c r="AB563" s="23"/>
      <c r="AC563" s="26"/>
    </row>
    <row r="564" spans="1:29" ht="15.75" customHeight="1">
      <c r="A564" s="10" t="s">
        <v>3948</v>
      </c>
      <c r="B564" s="10" t="s">
        <v>1469</v>
      </c>
      <c r="C564" s="52" t="s">
        <v>868</v>
      </c>
      <c r="D564" s="12"/>
      <c r="E564" s="13" t="s">
        <v>248</v>
      </c>
      <c r="F564" s="6" t="s">
        <v>249</v>
      </c>
      <c r="G564" s="6" t="str">
        <f ca="1">IFERROR(__xludf.DUMMYFUNCTION("CONCATENATE(B564,(VLOOKUP(C564,CATALOGOS!$F$2:$H$6,3,FALSE)),(VLOOKUP(V564,CATALOGOS!$J$2:$K$18,2,FALSE)),""-"",TO_TEXT(A564))"),"P13LP-0563")</f>
        <v>P13LP-0563</v>
      </c>
      <c r="H564" s="6" t="str">
        <f ca="1">IFERROR(__xludf.DUMMYFUNCTION("CONCATENATE($B564,(VLOOKUP($C564,CATALOGOS!$F$2:$H$6,3,FALSE)),(VLOOKUP($V564,CATALOGOS!$J$2:$K$18,2,FALSE)),""-"",TO_TEXT($A564))"),"P13LP-0563")</f>
        <v>P13LP-0563</v>
      </c>
      <c r="I564" s="6"/>
      <c r="J564" s="6" t="s">
        <v>3949</v>
      </c>
      <c r="K564" s="6" t="s">
        <v>3950</v>
      </c>
      <c r="L564" s="6" t="s">
        <v>3951</v>
      </c>
      <c r="M564" s="6" t="s">
        <v>141</v>
      </c>
      <c r="N564" s="17"/>
      <c r="O564" s="17"/>
      <c r="P564" s="17" t="str">
        <f t="shared" si="5"/>
        <v>REPETIDO</v>
      </c>
      <c r="Q564" s="17" t="s">
        <v>303</v>
      </c>
      <c r="R564" s="32" t="s">
        <v>304</v>
      </c>
      <c r="S564" s="17" t="s">
        <v>3952</v>
      </c>
      <c r="T564" s="10" t="s">
        <v>3953</v>
      </c>
      <c r="U564" s="173" t="s">
        <v>38</v>
      </c>
      <c r="V564" s="11" t="s">
        <v>2328</v>
      </c>
      <c r="W564" s="20" t="s">
        <v>2329</v>
      </c>
      <c r="X564" s="22" t="s">
        <v>3450</v>
      </c>
      <c r="Y564" s="22"/>
      <c r="Z564" s="7"/>
      <c r="AA564" s="7"/>
      <c r="AB564" s="23"/>
      <c r="AC564" s="26"/>
    </row>
    <row r="565" spans="1:29" ht="15.75" customHeight="1">
      <c r="A565" s="10" t="s">
        <v>3954</v>
      </c>
      <c r="B565" s="10" t="s">
        <v>1469</v>
      </c>
      <c r="C565" s="52" t="s">
        <v>868</v>
      </c>
      <c r="D565" s="12"/>
      <c r="E565" s="13" t="s">
        <v>199</v>
      </c>
      <c r="F565" s="6" t="s">
        <v>199</v>
      </c>
      <c r="G565" s="6" t="str">
        <f ca="1">IFERROR(__xludf.DUMMYFUNCTION("CONCATENATE(B565,(VLOOKUP(C565,CATALOGOS!$F$2:$H$6,3,FALSE)),(VLOOKUP(V565,CATALOGOS!$J$2:$K$18,2,FALSE)),""-"",TO_TEXT(A565))"),"P13LP-0564")</f>
        <v>P13LP-0564</v>
      </c>
      <c r="H565" s="6" t="str">
        <f ca="1">IFERROR(__xludf.DUMMYFUNCTION("CONCATENATE($B565,(VLOOKUP($C565,CATALOGOS!$F$2:$H$6,3,FALSE)),(VLOOKUP($V565,CATALOGOS!$J$2:$K$18,2,FALSE)),""-"",TO_TEXT($A565))"),"P13LP-0564")</f>
        <v>P13LP-0564</v>
      </c>
      <c r="I565" s="6"/>
      <c r="J565" s="6" t="s">
        <v>3955</v>
      </c>
      <c r="K565" s="6" t="s">
        <v>3956</v>
      </c>
      <c r="L565" s="6" t="s">
        <v>3957</v>
      </c>
      <c r="M565" s="6" t="s">
        <v>3958</v>
      </c>
      <c r="N565" s="17"/>
      <c r="O565" s="17"/>
      <c r="P565" s="17" t="str">
        <f t="shared" si="5"/>
        <v>OK</v>
      </c>
      <c r="Q565" s="17" t="s">
        <v>205</v>
      </c>
      <c r="R565" s="6" t="s">
        <v>3959</v>
      </c>
      <c r="S565" s="17" t="s">
        <v>3960</v>
      </c>
      <c r="T565" s="17" t="s">
        <v>3961</v>
      </c>
      <c r="U565" s="173" t="s">
        <v>38</v>
      </c>
      <c r="V565" s="11" t="s">
        <v>2328</v>
      </c>
      <c r="W565" s="20" t="s">
        <v>2329</v>
      </c>
      <c r="X565" s="22" t="s">
        <v>3450</v>
      </c>
      <c r="Y565" s="22"/>
      <c r="Z565" s="7"/>
      <c r="AA565" s="7"/>
      <c r="AB565" s="23"/>
      <c r="AC565" s="26"/>
    </row>
    <row r="566" spans="1:29" ht="15.75" customHeight="1">
      <c r="A566" s="10" t="s">
        <v>3962</v>
      </c>
      <c r="B566" s="10" t="s">
        <v>1469</v>
      </c>
      <c r="C566" s="52" t="s">
        <v>868</v>
      </c>
      <c r="D566" s="12"/>
      <c r="E566" s="13" t="s">
        <v>151</v>
      </c>
      <c r="F566" s="6" t="s">
        <v>963</v>
      </c>
      <c r="G566" s="6" t="str">
        <f ca="1">IFERROR(__xludf.DUMMYFUNCTION("CONCATENATE(B566,(VLOOKUP(C566,CATALOGOS!$F$2:$H$6,3,FALSE)),(VLOOKUP(V566,CATALOGOS!$J$2:$K$18,2,FALSE)),""-"",TO_TEXT(A566))"),"P13LP-0565")</f>
        <v>P13LP-0565</v>
      </c>
      <c r="H566" s="6" t="str">
        <f ca="1">IFERROR(__xludf.DUMMYFUNCTION("CONCATENATE($B566,(VLOOKUP($C566,CATALOGOS!$F$2:$H$6,3,FALSE)),(VLOOKUP($V566,CATALOGOS!$J$2:$K$18,2,FALSE)),""-"",TO_TEXT($A566))"),"P13LP-0565")</f>
        <v>P13LP-0565</v>
      </c>
      <c r="I566" s="6"/>
      <c r="J566" s="6" t="s">
        <v>3963</v>
      </c>
      <c r="K566" s="6" t="s">
        <v>3964</v>
      </c>
      <c r="L566" s="6" t="s">
        <v>3965</v>
      </c>
      <c r="M566" s="6" t="s">
        <v>3966</v>
      </c>
      <c r="N566" s="17"/>
      <c r="O566" s="17"/>
      <c r="P566" s="17" t="str">
        <f t="shared" si="5"/>
        <v>OK</v>
      </c>
      <c r="Q566" s="17" t="s">
        <v>205</v>
      </c>
      <c r="R566" s="6" t="s">
        <v>3967</v>
      </c>
      <c r="S566" s="17" t="s">
        <v>3968</v>
      </c>
      <c r="T566" s="17" t="s">
        <v>3969</v>
      </c>
      <c r="U566" s="173" t="s">
        <v>38</v>
      </c>
      <c r="V566" s="11" t="s">
        <v>2328</v>
      </c>
      <c r="W566" s="20" t="s">
        <v>2329</v>
      </c>
      <c r="X566" s="22" t="s">
        <v>3450</v>
      </c>
      <c r="Y566" s="22"/>
      <c r="Z566" s="7"/>
      <c r="AA566" s="7"/>
      <c r="AB566" s="23"/>
      <c r="AC566" s="26"/>
    </row>
    <row r="567" spans="1:29" ht="15.75" customHeight="1">
      <c r="A567" s="10" t="s">
        <v>3970</v>
      </c>
      <c r="B567" s="10" t="s">
        <v>1469</v>
      </c>
      <c r="C567" s="52" t="s">
        <v>868</v>
      </c>
      <c r="D567" s="38"/>
      <c r="E567" s="13" t="s">
        <v>162</v>
      </c>
      <c r="F567" s="6" t="s">
        <v>285</v>
      </c>
      <c r="G567" s="6" t="str">
        <f ca="1">IFERROR(__xludf.DUMMYFUNCTION("CONCATENATE(B567,(VLOOKUP(C567,CATALOGOS!$F$2:$H$6,3,FALSE)),(VLOOKUP(V567,CATALOGOS!$J$2:$K$18,2,FALSE)),""-"",TO_TEXT(A567))"),"P13LP-0566")</f>
        <v>P13LP-0566</v>
      </c>
      <c r="H567" s="6" t="str">
        <f ca="1">IFERROR(__xludf.DUMMYFUNCTION("CONCATENATE($B567,(VLOOKUP($C567,CATALOGOS!$F$2:$H$6,3,FALSE)),(VLOOKUP($V567,CATALOGOS!$J$2:$K$18,2,FALSE)),""-"",TO_TEXT($A567))"),"P13LP-0566")</f>
        <v>P13LP-0566</v>
      </c>
      <c r="I567" s="6"/>
      <c r="J567" s="6" t="s">
        <v>3971</v>
      </c>
      <c r="K567" s="6" t="s">
        <v>3972</v>
      </c>
      <c r="L567" s="6" t="s">
        <v>3973</v>
      </c>
      <c r="M567" s="6" t="s">
        <v>3974</v>
      </c>
      <c r="N567" s="17"/>
      <c r="O567" s="17"/>
      <c r="P567" s="17" t="str">
        <f t="shared" si="5"/>
        <v>OK</v>
      </c>
      <c r="Q567" s="17" t="s">
        <v>168</v>
      </c>
      <c r="R567" s="6" t="s">
        <v>169</v>
      </c>
      <c r="S567" s="46" t="s">
        <v>3975</v>
      </c>
      <c r="T567" s="17" t="s">
        <v>3976</v>
      </c>
      <c r="U567" s="173" t="s">
        <v>38</v>
      </c>
      <c r="V567" s="11" t="s">
        <v>2328</v>
      </c>
      <c r="W567" s="20" t="s">
        <v>2329</v>
      </c>
      <c r="X567" s="32" t="s">
        <v>3450</v>
      </c>
      <c r="Y567" s="32"/>
      <c r="Z567" s="7"/>
      <c r="AA567" s="7"/>
      <c r="AB567" s="26"/>
      <c r="AC567" s="26"/>
    </row>
    <row r="568" spans="1:29" ht="15.75" customHeight="1">
      <c r="A568" s="10" t="s">
        <v>3977</v>
      </c>
      <c r="B568" s="10" t="s">
        <v>1469</v>
      </c>
      <c r="C568" s="52" t="s">
        <v>868</v>
      </c>
      <c r="D568" s="12"/>
      <c r="E568" s="13" t="s">
        <v>93</v>
      </c>
      <c r="F568" s="6" t="s">
        <v>3978</v>
      </c>
      <c r="G568" s="15" t="str">
        <f ca="1">IFERROR(__xludf.DUMMYFUNCTION("CONCATENATE(B568,(VLOOKUP(C568,CATALOGOS!$F$2:$H$6,3,FALSE)),(VLOOKUP(V568,CATALOGOS!$J$2:$K$18,2,FALSE)),""-"",TO_TEXT(A568))"),"P13LP-0567")</f>
        <v>P13LP-0567</v>
      </c>
      <c r="H568" s="6" t="str">
        <f ca="1">IFERROR(__xludf.DUMMYFUNCTION("CONCATENATE($B568,(VLOOKUP($C568,CATALOGOS!$F$2:$H$6,3,FALSE)),(VLOOKUP($V568,CATALOGOS!$J$2:$K$18,2,FALSE)),""-"",TO_TEXT($A568))"),"P13LP-0567")</f>
        <v>P13LP-0567</v>
      </c>
      <c r="I568" s="6"/>
      <c r="J568" s="6" t="s">
        <v>3979</v>
      </c>
      <c r="K568" s="6" t="s">
        <v>3980</v>
      </c>
      <c r="L568" s="6" t="s">
        <v>3981</v>
      </c>
      <c r="M568" s="6" t="s">
        <v>3982</v>
      </c>
      <c r="N568" s="17"/>
      <c r="O568" s="17"/>
      <c r="P568" s="17" t="str">
        <f t="shared" si="5"/>
        <v>OK</v>
      </c>
      <c r="Q568" s="17" t="s">
        <v>35</v>
      </c>
      <c r="R568" s="6" t="s">
        <v>35</v>
      </c>
      <c r="S568" s="17" t="s">
        <v>36</v>
      </c>
      <c r="T568" s="17" t="s">
        <v>3983</v>
      </c>
      <c r="U568" s="173" t="s">
        <v>38</v>
      </c>
      <c r="V568" s="11" t="s">
        <v>2328</v>
      </c>
      <c r="W568" s="22" t="s">
        <v>3984</v>
      </c>
      <c r="X568" s="22" t="s">
        <v>3984</v>
      </c>
      <c r="Y568" s="22"/>
      <c r="Z568" s="7"/>
      <c r="AA568" s="7"/>
      <c r="AB568" s="23"/>
      <c r="AC568" s="26"/>
    </row>
    <row r="569" spans="1:29" ht="15.75" customHeight="1">
      <c r="A569" s="10" t="s">
        <v>3985</v>
      </c>
      <c r="B569" s="10" t="s">
        <v>1469</v>
      </c>
      <c r="C569" s="52" t="s">
        <v>868</v>
      </c>
      <c r="D569" s="12"/>
      <c r="E569" s="13" t="s">
        <v>116</v>
      </c>
      <c r="F569" s="6" t="s">
        <v>117</v>
      </c>
      <c r="G569" s="15" t="str">
        <f ca="1">IFERROR(__xludf.DUMMYFUNCTION("CONCATENATE(B569,(VLOOKUP(C569,CATALOGOS!$F$2:$H$6,3,FALSE)),(VLOOKUP(V569,CATALOGOS!$J$2:$K$18,2,FALSE)),""-"",TO_TEXT(A569))"),"P13LP-0568")</f>
        <v>P13LP-0568</v>
      </c>
      <c r="H569" s="6" t="str">
        <f ca="1">IFERROR(__xludf.DUMMYFUNCTION("CONCATENATE($B569,(VLOOKUP($C569,CATALOGOS!$F$2:$H$6,3,FALSE)),(VLOOKUP($V569,CATALOGOS!$J$2:$K$18,2,FALSE)),""-"",TO_TEXT($A569))"),"P13LP-0568")</f>
        <v>P13LP-0568</v>
      </c>
      <c r="I569" s="6"/>
      <c r="J569" s="6" t="s">
        <v>3986</v>
      </c>
      <c r="K569" s="6" t="s">
        <v>3987</v>
      </c>
      <c r="L569" s="6" t="s">
        <v>3988</v>
      </c>
      <c r="M569" s="6" t="s">
        <v>3989</v>
      </c>
      <c r="N569" s="17"/>
      <c r="O569" s="17"/>
      <c r="P569" s="17" t="str">
        <f t="shared" si="5"/>
        <v>OK</v>
      </c>
      <c r="Q569" s="17" t="s">
        <v>35</v>
      </c>
      <c r="R569" s="6" t="s">
        <v>35</v>
      </c>
      <c r="S569" s="17" t="s">
        <v>36</v>
      </c>
      <c r="T569" s="17" t="s">
        <v>3990</v>
      </c>
      <c r="U569" s="173" t="s">
        <v>38</v>
      </c>
      <c r="V569" s="11" t="s">
        <v>2328</v>
      </c>
      <c r="W569" s="22" t="s">
        <v>3984</v>
      </c>
      <c r="X569" s="22" t="s">
        <v>3984</v>
      </c>
      <c r="Y569" s="22"/>
      <c r="Z569" s="7"/>
      <c r="AA569" s="7"/>
      <c r="AB569" s="23"/>
      <c r="AC569" s="26"/>
    </row>
    <row r="570" spans="1:29" ht="15.75" customHeight="1">
      <c r="A570" s="10" t="s">
        <v>3991</v>
      </c>
      <c r="B570" s="10" t="s">
        <v>1469</v>
      </c>
      <c r="C570" s="52" t="s">
        <v>868</v>
      </c>
      <c r="D570" s="12"/>
      <c r="E570" s="13" t="s">
        <v>93</v>
      </c>
      <c r="F570" s="6" t="s">
        <v>3992</v>
      </c>
      <c r="G570" s="15" t="str">
        <f ca="1">IFERROR(__xludf.DUMMYFUNCTION("CONCATENATE(B570,(VLOOKUP(C570,CATALOGOS!$F$2:$H$6,3,FALSE)),(VLOOKUP(V570,CATALOGOS!$J$2:$K$18,2,FALSE)),""-"",TO_TEXT(A570))"),"P13LP-0569")</f>
        <v>P13LP-0569</v>
      </c>
      <c r="H570" s="6" t="str">
        <f ca="1">IFERROR(__xludf.DUMMYFUNCTION("CONCATENATE($B570,(VLOOKUP($C570,CATALOGOS!$F$2:$H$6,3,FALSE)),(VLOOKUP($V570,CATALOGOS!$J$2:$K$18,2,FALSE)),""-"",TO_TEXT($A570))"),"P13LP-0569")</f>
        <v>P13LP-0569</v>
      </c>
      <c r="I570" s="6"/>
      <c r="J570" s="6" t="s">
        <v>3993</v>
      </c>
      <c r="K570" s="6" t="s">
        <v>3994</v>
      </c>
      <c r="L570" s="6" t="s">
        <v>3995</v>
      </c>
      <c r="M570" s="6" t="s">
        <v>3996</v>
      </c>
      <c r="N570" s="17"/>
      <c r="O570" s="17"/>
      <c r="P570" s="17" t="str">
        <f t="shared" si="5"/>
        <v>OK</v>
      </c>
      <c r="Q570" s="17" t="s">
        <v>35</v>
      </c>
      <c r="R570" s="6" t="s">
        <v>35</v>
      </c>
      <c r="S570" s="17" t="s">
        <v>36</v>
      </c>
      <c r="T570" s="17" t="s">
        <v>3997</v>
      </c>
      <c r="U570" s="173" t="s">
        <v>38</v>
      </c>
      <c r="V570" s="11" t="s">
        <v>2328</v>
      </c>
      <c r="W570" s="22" t="s">
        <v>3984</v>
      </c>
      <c r="X570" s="22" t="s">
        <v>3984</v>
      </c>
      <c r="Y570" s="22"/>
      <c r="Z570" s="7"/>
      <c r="AA570" s="7"/>
      <c r="AB570" s="23"/>
      <c r="AC570" s="26"/>
    </row>
    <row r="571" spans="1:29" ht="15.75" customHeight="1">
      <c r="A571" s="10" t="s">
        <v>3998</v>
      </c>
      <c r="B571" s="10" t="s">
        <v>1469</v>
      </c>
      <c r="C571" s="52" t="s">
        <v>868</v>
      </c>
      <c r="D571" s="12"/>
      <c r="E571" s="13" t="s">
        <v>71</v>
      </c>
      <c r="F571" s="6" t="s">
        <v>3999</v>
      </c>
      <c r="G571" s="15" t="str">
        <f ca="1">IFERROR(__xludf.DUMMYFUNCTION("CONCATENATE(B571,(VLOOKUP(C571,CATALOGOS!$F$2:$H$6,3,FALSE)),(VLOOKUP(V571,CATALOGOS!$J$2:$K$18,2,FALSE)),""-"",TO_TEXT(A571))"),"P13LP-0570")</f>
        <v>P13LP-0570</v>
      </c>
      <c r="H571" s="15" t="str">
        <f ca="1">IFERROR(__xludf.DUMMYFUNCTION("CONCATENATE($B571,(VLOOKUP($C571,CATALOGOS!$F$2:$H$6,3,FALSE)),(VLOOKUP($V571,CATALOGOS!$J$2:$K$18,2,FALSE)),""-"",TO_TEXT($A571))"),"P13LP-0570")</f>
        <v>P13LP-0570</v>
      </c>
      <c r="I571" s="6"/>
      <c r="J571" s="6" t="s">
        <v>4000</v>
      </c>
      <c r="K571" s="6" t="s">
        <v>4001</v>
      </c>
      <c r="L571" s="6" t="s">
        <v>4002</v>
      </c>
      <c r="M571" s="6" t="s">
        <v>4003</v>
      </c>
      <c r="N571" s="17"/>
      <c r="O571" s="17"/>
      <c r="P571" s="17" t="str">
        <f t="shared" si="5"/>
        <v>OK</v>
      </c>
      <c r="Q571" s="17" t="s">
        <v>35</v>
      </c>
      <c r="R571" s="6" t="s">
        <v>35</v>
      </c>
      <c r="S571" s="17" t="s">
        <v>36</v>
      </c>
      <c r="T571" s="17" t="s">
        <v>4004</v>
      </c>
      <c r="U571" s="173" t="s">
        <v>38</v>
      </c>
      <c r="V571" s="11" t="s">
        <v>2328</v>
      </c>
      <c r="W571" s="22" t="s">
        <v>3984</v>
      </c>
      <c r="X571" s="22" t="s">
        <v>3984</v>
      </c>
      <c r="Y571" s="22"/>
      <c r="Z571" s="7"/>
      <c r="AA571" s="7"/>
      <c r="AB571" s="23"/>
      <c r="AC571" s="26"/>
    </row>
    <row r="572" spans="1:29" ht="15.75" customHeight="1">
      <c r="A572" s="10" t="s">
        <v>4005</v>
      </c>
      <c r="B572" s="10" t="s">
        <v>1469</v>
      </c>
      <c r="C572" s="52" t="s">
        <v>868</v>
      </c>
      <c r="D572" s="12"/>
      <c r="E572" s="13" t="s">
        <v>43</v>
      </c>
      <c r="F572" s="6" t="s">
        <v>1850</v>
      </c>
      <c r="G572" s="15" t="str">
        <f ca="1">IFERROR(__xludf.DUMMYFUNCTION("CONCATENATE(B572,(VLOOKUP(C572,CATALOGOS!$F$2:$H$6,3,FALSE)),(VLOOKUP(V572,CATALOGOS!$J$2:$K$18,2,FALSE)),""-"",TO_TEXT(A572))"),"P13LP-0571")</f>
        <v>P13LP-0571</v>
      </c>
      <c r="H572" s="6" t="str">
        <f ca="1">IFERROR(__xludf.DUMMYFUNCTION("CONCATENATE($B572,(VLOOKUP($C572,CATALOGOS!$F$2:$H$6,3,FALSE)),(VLOOKUP($V572,CATALOGOS!$J$2:$K$18,2,FALSE)),""-"",TO_TEXT($A572))"),"P13LP-0571")</f>
        <v>P13LP-0571</v>
      </c>
      <c r="I572" s="6"/>
      <c r="J572" s="6" t="s">
        <v>4006</v>
      </c>
      <c r="K572" s="6" t="s">
        <v>4007</v>
      </c>
      <c r="L572" s="6" t="s">
        <v>4008</v>
      </c>
      <c r="M572" s="6" t="s">
        <v>4009</v>
      </c>
      <c r="N572" s="17"/>
      <c r="O572" s="17"/>
      <c r="P572" s="17" t="str">
        <f t="shared" si="5"/>
        <v>OK</v>
      </c>
      <c r="Q572" s="17" t="s">
        <v>1913</v>
      </c>
      <c r="R572" s="6" t="s">
        <v>1914</v>
      </c>
      <c r="S572" s="17" t="s">
        <v>36</v>
      </c>
      <c r="T572" s="10" t="s">
        <v>4010</v>
      </c>
      <c r="U572" s="173" t="s">
        <v>38</v>
      </c>
      <c r="V572" s="11" t="s">
        <v>2328</v>
      </c>
      <c r="W572" s="22" t="s">
        <v>3984</v>
      </c>
      <c r="X572" s="22" t="s">
        <v>3984</v>
      </c>
      <c r="Y572" s="22"/>
      <c r="Z572" s="7"/>
      <c r="AA572" s="7"/>
      <c r="AB572" s="23"/>
      <c r="AC572" s="26"/>
    </row>
    <row r="573" spans="1:29" ht="15.75" customHeight="1">
      <c r="A573" s="10" t="s">
        <v>4011</v>
      </c>
      <c r="B573" s="10" t="s">
        <v>1469</v>
      </c>
      <c r="C573" s="52" t="s">
        <v>868</v>
      </c>
      <c r="D573" s="12"/>
      <c r="E573" s="13" t="s">
        <v>162</v>
      </c>
      <c r="F573" s="6" t="s">
        <v>285</v>
      </c>
      <c r="G573" s="15" t="str">
        <f ca="1">IFERROR(__xludf.DUMMYFUNCTION("CONCATENATE(B573,(VLOOKUP(C573,CATALOGOS!$F$2:$H$6,3,FALSE)),(VLOOKUP(V573,CATALOGOS!$J$2:$K$18,2,FALSE)),""-"",TO_TEXT(A573))"),"P13SO-0572")</f>
        <v>P13SO-0572</v>
      </c>
      <c r="H573" s="6" t="str">
        <f ca="1">IFERROR(__xludf.DUMMYFUNCTION("CONCATENATE($B573,(VLOOKUP($C573,CATALOGOS!$F$2:$H$6,3,FALSE)),(VLOOKUP($V573,CATALOGOS!$J$2:$K$18,2,FALSE)),""-"",TO_TEXT($A573))"),"P13SO-0572")</f>
        <v>P13SO-0572</v>
      </c>
      <c r="I573" s="6"/>
      <c r="J573" s="6" t="s">
        <v>4012</v>
      </c>
      <c r="K573" s="6" t="s">
        <v>4013</v>
      </c>
      <c r="L573" s="6" t="s">
        <v>4014</v>
      </c>
      <c r="M573" s="6" t="s">
        <v>4015</v>
      </c>
      <c r="N573" s="17"/>
      <c r="O573" s="17"/>
      <c r="P573" s="17" t="str">
        <f t="shared" si="5"/>
        <v>OK</v>
      </c>
      <c r="Q573" s="17" t="s">
        <v>168</v>
      </c>
      <c r="R573" s="6" t="s">
        <v>169</v>
      </c>
      <c r="S573" s="17" t="s">
        <v>4016</v>
      </c>
      <c r="T573" s="17" t="s">
        <v>4017</v>
      </c>
      <c r="U573" s="173" t="s">
        <v>38</v>
      </c>
      <c r="V573" s="11" t="s">
        <v>868</v>
      </c>
      <c r="W573" s="186" t="s">
        <v>1665</v>
      </c>
      <c r="X573" s="22" t="s">
        <v>3984</v>
      </c>
      <c r="Y573" s="22"/>
      <c r="Z573" s="7"/>
      <c r="AA573" s="7"/>
      <c r="AB573" s="23"/>
      <c r="AC573" s="26"/>
    </row>
    <row r="574" spans="1:29" ht="15.75" customHeight="1">
      <c r="A574" s="10" t="s">
        <v>4018</v>
      </c>
      <c r="B574" s="10" t="s">
        <v>1469</v>
      </c>
      <c r="C574" s="52" t="s">
        <v>868</v>
      </c>
      <c r="D574" s="12"/>
      <c r="E574" s="13" t="s">
        <v>248</v>
      </c>
      <c r="F574" s="6" t="s">
        <v>249</v>
      </c>
      <c r="G574" s="15" t="str">
        <f ca="1">IFERROR(__xludf.DUMMYFUNCTION("CONCATENATE(B574,(VLOOKUP(C574,CATALOGOS!$F$2:$H$6,3,FALSE)),(VLOOKUP(V574,CATALOGOS!$J$2:$K$18,2,FALSE)),""-"",TO_TEXT(A574))"),"P13LP-0573")</f>
        <v>P13LP-0573</v>
      </c>
      <c r="H574" s="6" t="str">
        <f ca="1">IFERROR(__xludf.DUMMYFUNCTION("CONCATENATE($B574,(VLOOKUP($C574,CATALOGOS!$F$2:$H$6,3,FALSE)),(VLOOKUP($V574,CATALOGOS!$J$2:$K$18,2,FALSE)),""-"",TO_TEXT($A574))"),"P13LP-0573")</f>
        <v>P13LP-0573</v>
      </c>
      <c r="I574" s="6"/>
      <c r="J574" s="6" t="s">
        <v>4019</v>
      </c>
      <c r="K574" s="6" t="s">
        <v>4020</v>
      </c>
      <c r="L574" s="6" t="s">
        <v>4021</v>
      </c>
      <c r="M574" s="6" t="s">
        <v>4022</v>
      </c>
      <c r="N574" s="17"/>
      <c r="O574" s="17"/>
      <c r="P574" s="17" t="str">
        <f t="shared" si="5"/>
        <v>OK</v>
      </c>
      <c r="Q574" s="17" t="s">
        <v>978</v>
      </c>
      <c r="R574" s="6" t="s">
        <v>979</v>
      </c>
      <c r="S574" s="17" t="s">
        <v>4023</v>
      </c>
      <c r="T574" s="17" t="s">
        <v>4024</v>
      </c>
      <c r="U574" s="173" t="s">
        <v>38</v>
      </c>
      <c r="V574" s="11" t="s">
        <v>2328</v>
      </c>
      <c r="W574" s="22" t="s">
        <v>3984</v>
      </c>
      <c r="X574" s="22" t="s">
        <v>3984</v>
      </c>
      <c r="Y574" s="22"/>
      <c r="Z574" s="7"/>
      <c r="AA574" s="7"/>
      <c r="AB574" s="23"/>
      <c r="AC574" s="26"/>
    </row>
    <row r="575" spans="1:29" ht="15.75" customHeight="1">
      <c r="A575" s="10" t="s">
        <v>4025</v>
      </c>
      <c r="B575" s="10" t="s">
        <v>1469</v>
      </c>
      <c r="C575" s="52" t="s">
        <v>868</v>
      </c>
      <c r="D575" s="12"/>
      <c r="E575" s="13" t="s">
        <v>1240</v>
      </c>
      <c r="F575" s="43" t="s">
        <v>278</v>
      </c>
      <c r="G575" s="15" t="str">
        <f ca="1">IFERROR(__xludf.DUMMYFUNCTION("CONCATENATE(B575,(VLOOKUP(C575,CATALOGOS!$F$2:$H$6,3,FALSE)),(VLOOKUP(V575,CATALOGOS!$J$2:$K$18,2,FALSE)),""-"",TO_TEXT(A575))"),"P13LP-0574")</f>
        <v>P13LP-0574</v>
      </c>
      <c r="H575" s="6" t="str">
        <f ca="1">IFERROR(__xludf.DUMMYFUNCTION("CONCATENATE($B575,(VLOOKUP($C575,CATALOGOS!$F$2:$H$6,3,FALSE)),(VLOOKUP($V575,CATALOGOS!$J$2:$K$18,2,FALSE)),""-"",TO_TEXT($A575))"),"P13LP-0574")</f>
        <v>P13LP-0574</v>
      </c>
      <c r="I575" s="6"/>
      <c r="J575" s="6" t="s">
        <v>4026</v>
      </c>
      <c r="K575" s="6" t="s">
        <v>4027</v>
      </c>
      <c r="L575" s="6" t="s">
        <v>4028</v>
      </c>
      <c r="M575" s="6" t="s">
        <v>4029</v>
      </c>
      <c r="N575" s="17"/>
      <c r="O575" s="17"/>
      <c r="P575" s="17" t="str">
        <f t="shared" si="5"/>
        <v>OK</v>
      </c>
      <c r="Q575" s="17" t="s">
        <v>35</v>
      </c>
      <c r="R575" s="6" t="s">
        <v>35</v>
      </c>
      <c r="S575" s="17" t="s">
        <v>36</v>
      </c>
      <c r="T575" s="17" t="s">
        <v>4030</v>
      </c>
      <c r="U575" s="173" t="s">
        <v>38</v>
      </c>
      <c r="V575" s="11" t="s">
        <v>2328</v>
      </c>
      <c r="W575" s="22" t="s">
        <v>3984</v>
      </c>
      <c r="X575" s="22" t="s">
        <v>3984</v>
      </c>
      <c r="Y575" s="22"/>
      <c r="Z575" s="7"/>
      <c r="AA575" s="7"/>
      <c r="AB575" s="23"/>
      <c r="AC575" s="26"/>
    </row>
    <row r="576" spans="1:29" ht="15.75" customHeight="1">
      <c r="A576" s="10" t="s">
        <v>4031</v>
      </c>
      <c r="B576" s="10" t="s">
        <v>1469</v>
      </c>
      <c r="C576" s="52" t="s">
        <v>868</v>
      </c>
      <c r="D576" s="12"/>
      <c r="E576" s="13" t="s">
        <v>321</v>
      </c>
      <c r="F576" s="6" t="s">
        <v>321</v>
      </c>
      <c r="G576" s="15" t="str">
        <f ca="1">IFERROR(__xludf.DUMMYFUNCTION("CONCATENATE(B576,(VLOOKUP(C576,CATALOGOS!$F$2:$H$6,3,FALSE)),(VLOOKUP(V576,CATALOGOS!$J$2:$K$18,2,FALSE)),""-"",TO_TEXT(A576))"),"P13LP-0575")</f>
        <v>P13LP-0575</v>
      </c>
      <c r="H576" s="15" t="str">
        <f ca="1">IFERROR(__xludf.DUMMYFUNCTION("CONCATENATE($B576,(VLOOKUP($C576,CATALOGOS!$F$2:$H$6,3,FALSE)),(VLOOKUP($V576,CATALOGOS!$J$2:$K$18,2,FALSE)),""-"",TO_TEXT($A576))"),"P13LP-0575")</f>
        <v>P13LP-0575</v>
      </c>
      <c r="I576" s="6"/>
      <c r="J576" s="6" t="s">
        <v>4032</v>
      </c>
      <c r="K576" s="6" t="s">
        <v>4033</v>
      </c>
      <c r="L576" s="6" t="s">
        <v>4034</v>
      </c>
      <c r="M576" s="6" t="s">
        <v>141</v>
      </c>
      <c r="N576" s="17"/>
      <c r="O576" s="17"/>
      <c r="P576" s="17" t="str">
        <f t="shared" si="5"/>
        <v>REPETIDO</v>
      </c>
      <c r="Q576" s="17" t="s">
        <v>4035</v>
      </c>
      <c r="R576" s="6" t="s">
        <v>4036</v>
      </c>
      <c r="S576" s="6" t="s">
        <v>36</v>
      </c>
      <c r="T576" s="10" t="s">
        <v>4037</v>
      </c>
      <c r="U576" s="179" t="s">
        <v>517</v>
      </c>
      <c r="V576" s="11" t="s">
        <v>2328</v>
      </c>
      <c r="W576" s="22" t="s">
        <v>3984</v>
      </c>
      <c r="X576" s="22" t="s">
        <v>3984</v>
      </c>
      <c r="Y576" s="22"/>
      <c r="Z576" s="7"/>
      <c r="AA576" s="7"/>
      <c r="AB576" s="23"/>
      <c r="AC576" s="26"/>
    </row>
    <row r="577" spans="1:30" ht="15.75" customHeight="1">
      <c r="A577" s="10" t="s">
        <v>4038</v>
      </c>
      <c r="B577" s="10" t="s">
        <v>1469</v>
      </c>
      <c r="C577" s="52" t="s">
        <v>868</v>
      </c>
      <c r="D577" s="12"/>
      <c r="E577" s="13" t="s">
        <v>378</v>
      </c>
      <c r="F577" s="43" t="s">
        <v>379</v>
      </c>
      <c r="G577" s="15" t="str">
        <f ca="1">IFERROR(__xludf.DUMMYFUNCTION("CONCATENATE(B577,(VLOOKUP(C577,CATALOGOS!$F$2:$H$6,3,FALSE)),(VLOOKUP(V577,CATALOGOS!$J$2:$K$18,2,FALSE)),""-"",TO_TEXT(A577))"),"P13LP-0576")</f>
        <v>P13LP-0576</v>
      </c>
      <c r="H577" s="6" t="str">
        <f ca="1">IFERROR(__xludf.DUMMYFUNCTION("CONCATENATE($B577,(VLOOKUP($C577,CATALOGOS!$F$2:$H$6,3,FALSE)),(VLOOKUP($V577,CATALOGOS!$J$2:$K$18,2,FALSE)),""-"",TO_TEXT($A577))"),"P13LP-0576")</f>
        <v>P13LP-0576</v>
      </c>
      <c r="I577" s="6"/>
      <c r="J577" s="6" t="s">
        <v>4039</v>
      </c>
      <c r="K577" s="6" t="s">
        <v>4040</v>
      </c>
      <c r="L577" s="6" t="s">
        <v>4041</v>
      </c>
      <c r="M577" s="6" t="s">
        <v>4042</v>
      </c>
      <c r="N577" s="17"/>
      <c r="O577" s="17"/>
      <c r="P577" s="17" t="str">
        <f t="shared" si="5"/>
        <v>OK</v>
      </c>
      <c r="Q577" s="17" t="s">
        <v>35</v>
      </c>
      <c r="R577" s="6" t="s">
        <v>35</v>
      </c>
      <c r="S577" s="17" t="s">
        <v>36</v>
      </c>
      <c r="T577" s="17" t="s">
        <v>4043</v>
      </c>
      <c r="U577" s="173" t="s">
        <v>38</v>
      </c>
      <c r="V577" s="11" t="s">
        <v>2328</v>
      </c>
      <c r="W577" s="22" t="s">
        <v>3984</v>
      </c>
      <c r="X577" s="22" t="s">
        <v>3984</v>
      </c>
      <c r="Y577" s="22"/>
      <c r="Z577" s="7"/>
      <c r="AA577" s="7"/>
      <c r="AB577" s="23"/>
      <c r="AC577" s="26"/>
    </row>
    <row r="578" spans="1:30" ht="15.75" customHeight="1">
      <c r="A578" s="10" t="s">
        <v>4044</v>
      </c>
      <c r="B578" s="10" t="s">
        <v>1469</v>
      </c>
      <c r="C578" s="52" t="s">
        <v>868</v>
      </c>
      <c r="D578" s="38"/>
      <c r="E578" s="13" t="s">
        <v>199</v>
      </c>
      <c r="F578" s="6" t="s">
        <v>677</v>
      </c>
      <c r="G578" s="15" t="str">
        <f ca="1">IFERROR(__xludf.DUMMYFUNCTION("CONCATENATE(B578,(VLOOKUP(C578,CATALOGOS!$F$2:$H$6,3,FALSE)),(VLOOKUP(V578,CATALOGOS!$J$2:$K$18,2,FALSE)),""-"",TO_TEXT(A578))"),"P13LP-0577")</f>
        <v>P13LP-0577</v>
      </c>
      <c r="H578" s="6" t="str">
        <f ca="1">IFERROR(__xludf.DUMMYFUNCTION("CONCATENATE($B578,(VLOOKUP($C578,CATALOGOS!$F$2:$H$6,3,FALSE)),(VLOOKUP($V578,CATALOGOS!$J$2:$K$18,2,FALSE)),""-"",TO_TEXT($A578))"),"P13LP-0577")</f>
        <v>P13LP-0577</v>
      </c>
      <c r="I578" s="6"/>
      <c r="J578" s="6" t="s">
        <v>4045</v>
      </c>
      <c r="K578" s="6" t="s">
        <v>4046</v>
      </c>
      <c r="L578" s="6" t="s">
        <v>4047</v>
      </c>
      <c r="M578" s="43" t="s">
        <v>4048</v>
      </c>
      <c r="N578" s="17"/>
      <c r="O578" s="17"/>
      <c r="P578" s="17" t="str">
        <f t="shared" si="5"/>
        <v>OK</v>
      </c>
      <c r="Q578" s="17" t="s">
        <v>682</v>
      </c>
      <c r="R578" s="6" t="s">
        <v>2497</v>
      </c>
      <c r="S578" s="46" t="s">
        <v>4049</v>
      </c>
      <c r="T578" s="17" t="s">
        <v>4050</v>
      </c>
      <c r="U578" s="173" t="s">
        <v>38</v>
      </c>
      <c r="V578" s="11" t="s">
        <v>2328</v>
      </c>
      <c r="W578" s="32" t="s">
        <v>3984</v>
      </c>
      <c r="X578" s="32" t="s">
        <v>3984</v>
      </c>
      <c r="Y578" s="32"/>
      <c r="Z578" s="7"/>
      <c r="AA578" s="7"/>
      <c r="AB578" s="26"/>
      <c r="AC578" s="26"/>
    </row>
    <row r="579" spans="1:30" ht="15.75" customHeight="1">
      <c r="A579" s="10" t="s">
        <v>4051</v>
      </c>
      <c r="B579" s="10" t="s">
        <v>1469</v>
      </c>
      <c r="C579" s="52" t="s">
        <v>868</v>
      </c>
      <c r="D579" s="12"/>
      <c r="E579" s="13" t="s">
        <v>71</v>
      </c>
      <c r="F579" s="6" t="s">
        <v>4052</v>
      </c>
      <c r="G579" s="15" t="str">
        <f ca="1">IFERROR(__xludf.DUMMYFUNCTION("CONCATENATE(B579,(VLOOKUP(C579,CATALOGOS!$F$2:$H$6,3,FALSE)),(VLOOKUP(V579,CATALOGOS!$J$2:$K$18,2,FALSE)),""-"",TO_TEXT(A579))"),"P13LP-0578")</f>
        <v>P13LP-0578</v>
      </c>
      <c r="H579" s="6" t="str">
        <f ca="1">IFERROR(__xludf.DUMMYFUNCTION("CONCATENATE($B579,(VLOOKUP($C579,CATALOGOS!$F$2:$H$6,3,FALSE)),(VLOOKUP($V579,CATALOGOS!$J$2:$K$18,2,FALSE)),""-"",TO_TEXT($A579))"),"P13LP-0578")</f>
        <v>P13LP-0578</v>
      </c>
      <c r="I579" s="6"/>
      <c r="J579" s="6" t="s">
        <v>4053</v>
      </c>
      <c r="K579" s="54"/>
      <c r="L579" s="6" t="s">
        <v>4054</v>
      </c>
      <c r="M579" s="6" t="s">
        <v>4055</v>
      </c>
      <c r="N579" s="17"/>
      <c r="O579" s="17"/>
      <c r="P579" s="17" t="str">
        <f t="shared" si="5"/>
        <v>OK</v>
      </c>
      <c r="Q579" s="17" t="s">
        <v>35</v>
      </c>
      <c r="R579" s="6" t="s">
        <v>35</v>
      </c>
      <c r="S579" s="17" t="s">
        <v>36</v>
      </c>
      <c r="T579" s="17" t="s">
        <v>4056</v>
      </c>
      <c r="U579" s="173" t="s">
        <v>38</v>
      </c>
      <c r="V579" s="11" t="s">
        <v>2328</v>
      </c>
      <c r="W579" s="22" t="s">
        <v>4057</v>
      </c>
      <c r="X579" s="22" t="s">
        <v>4057</v>
      </c>
      <c r="Y579" s="22"/>
      <c r="Z579" s="7"/>
      <c r="AA579" s="7"/>
      <c r="AB579" s="23"/>
      <c r="AC579" s="26"/>
    </row>
    <row r="580" spans="1:30" ht="15.75" customHeight="1">
      <c r="A580" s="10" t="s">
        <v>4058</v>
      </c>
      <c r="B580" s="10" t="s">
        <v>1469</v>
      </c>
      <c r="C580" s="52" t="s">
        <v>868</v>
      </c>
      <c r="D580" s="12"/>
      <c r="E580" s="13" t="s">
        <v>116</v>
      </c>
      <c r="F580" s="6" t="s">
        <v>117</v>
      </c>
      <c r="G580" s="15" t="str">
        <f ca="1">IFERROR(__xludf.DUMMYFUNCTION("CONCATENATE(B580,(VLOOKUP(C580,CATALOGOS!$F$2:$H$6,3,FALSE)),(VLOOKUP(V580,CATALOGOS!$J$2:$K$18,2,FALSE)),""-"",TO_TEXT(A580))"),"P13LP-0579")</f>
        <v>P13LP-0579</v>
      </c>
      <c r="H580" s="6" t="str">
        <f ca="1">IFERROR(__xludf.DUMMYFUNCTION("CONCATENATE($B580,(VLOOKUP($C580,CATALOGOS!$F$2:$H$6,3,FALSE)),(VLOOKUP($V580,CATALOGOS!$J$2:$K$18,2,FALSE)),""-"",TO_TEXT($A580))"),"P13LP-0579")</f>
        <v>P13LP-0579</v>
      </c>
      <c r="I580" s="6"/>
      <c r="J580" s="6" t="s">
        <v>4059</v>
      </c>
      <c r="K580" s="6" t="s">
        <v>4060</v>
      </c>
      <c r="L580" s="6" t="s">
        <v>4061</v>
      </c>
      <c r="M580" s="6" t="s">
        <v>4062</v>
      </c>
      <c r="N580" s="17"/>
      <c r="O580" s="17"/>
      <c r="P580" s="17" t="str">
        <f t="shared" si="5"/>
        <v>OK</v>
      </c>
      <c r="Q580" s="17" t="s">
        <v>35</v>
      </c>
      <c r="R580" s="6" t="s">
        <v>35</v>
      </c>
      <c r="S580" s="17" t="s">
        <v>36</v>
      </c>
      <c r="T580" s="17" t="s">
        <v>4063</v>
      </c>
      <c r="U580" s="173" t="s">
        <v>38</v>
      </c>
      <c r="V580" s="11" t="s">
        <v>2328</v>
      </c>
      <c r="W580" s="22" t="s">
        <v>4057</v>
      </c>
      <c r="X580" s="22" t="s">
        <v>4057</v>
      </c>
      <c r="Y580" s="22"/>
      <c r="Z580" s="7"/>
      <c r="AA580" s="7"/>
      <c r="AB580" s="23"/>
      <c r="AC580" s="26"/>
    </row>
    <row r="581" spans="1:30" ht="15.75" customHeight="1">
      <c r="A581" s="10" t="s">
        <v>4064</v>
      </c>
      <c r="B581" s="10" t="s">
        <v>1469</v>
      </c>
      <c r="C581" s="52" t="s">
        <v>868</v>
      </c>
      <c r="D581" s="12"/>
      <c r="E581" s="13" t="s">
        <v>93</v>
      </c>
      <c r="F581" s="43" t="s">
        <v>4065</v>
      </c>
      <c r="G581" s="64" t="str">
        <f ca="1">IFERROR(__xludf.DUMMYFUNCTION("CONCATENATE(B581,(VLOOKUP(C581,CATALOGOS!$F$2:$H$6,3,FALSE)),(VLOOKUP(V581,CATALOGOS!$J$2:$K$18,2,FALSE)),""-"",TO_TEXT(A581))"),"P13LP-0580")</f>
        <v>P13LP-0580</v>
      </c>
      <c r="H581" s="6" t="str">
        <f ca="1">IFERROR(__xludf.DUMMYFUNCTION("CONCATENATE($B581,(VLOOKUP($C581,CATALOGOS!$F$2:$H$6,3,FALSE)),(VLOOKUP($V581,CATALOGOS!$J$2:$K$18,2,FALSE)),""-"",TO_TEXT($A581))"),"P13LP-0580")</f>
        <v>P13LP-0580</v>
      </c>
      <c r="I581" s="6"/>
      <c r="J581" s="6" t="s">
        <v>4066</v>
      </c>
      <c r="K581" s="6" t="s">
        <v>4067</v>
      </c>
      <c r="L581" s="6" t="s">
        <v>4068</v>
      </c>
      <c r="M581" s="6" t="s">
        <v>4069</v>
      </c>
      <c r="N581" s="17"/>
      <c r="O581" s="17"/>
      <c r="P581" s="17" t="str">
        <f t="shared" si="5"/>
        <v>OK</v>
      </c>
      <c r="Q581" s="17" t="s">
        <v>35</v>
      </c>
      <c r="R581" s="6" t="s">
        <v>35</v>
      </c>
      <c r="S581" s="17" t="s">
        <v>36</v>
      </c>
      <c r="T581" s="17" t="s">
        <v>4070</v>
      </c>
      <c r="U581" s="173" t="s">
        <v>38</v>
      </c>
      <c r="V581" s="11" t="s">
        <v>2328</v>
      </c>
      <c r="W581" s="22" t="s">
        <v>4057</v>
      </c>
      <c r="X581" s="22" t="s">
        <v>4057</v>
      </c>
      <c r="Y581" s="22"/>
      <c r="Z581" s="7"/>
      <c r="AA581" s="7"/>
      <c r="AB581" s="23"/>
      <c r="AC581" s="26"/>
    </row>
    <row r="582" spans="1:30" ht="15.75" customHeight="1">
      <c r="A582" s="10" t="s">
        <v>4071</v>
      </c>
      <c r="B582" s="10" t="s">
        <v>1469</v>
      </c>
      <c r="C582" s="52" t="s">
        <v>868</v>
      </c>
      <c r="D582" s="12"/>
      <c r="E582" s="13" t="s">
        <v>378</v>
      </c>
      <c r="F582" s="43" t="s">
        <v>878</v>
      </c>
      <c r="G582" s="70" t="str">
        <f ca="1">IFERROR(__xludf.DUMMYFUNCTION("CONCATENATE(B582,(VLOOKUP(C582,CATALOGOS!$F$2:$H$6,3,FALSE)),(VLOOKUP(V582,CATALOGOS!$J$2:$K$18,2,FALSE)),""-"",TO_TEXT(A582))"),"P13LP-0581")</f>
        <v>P13LP-0581</v>
      </c>
      <c r="H582" s="6" t="str">
        <f ca="1">IFERROR(__xludf.DUMMYFUNCTION("CONCATENATE($B582,(VLOOKUP($C582,CATALOGOS!$F$2:$H$6,3,FALSE)),(VLOOKUP($V582,CATALOGOS!$J$2:$K$18,2,FALSE)),""-"",TO_TEXT($A582))"),"P13LP-0581")</f>
        <v>P13LP-0581</v>
      </c>
      <c r="I582" s="6"/>
      <c r="J582" s="6" t="s">
        <v>4072</v>
      </c>
      <c r="K582" s="6" t="s">
        <v>4073</v>
      </c>
      <c r="L582" s="6" t="s">
        <v>4074</v>
      </c>
      <c r="M582" s="43" t="s">
        <v>4075</v>
      </c>
      <c r="N582" s="17"/>
      <c r="O582" s="17"/>
      <c r="P582" s="17" t="str">
        <f t="shared" si="5"/>
        <v>OK</v>
      </c>
      <c r="Q582" s="17" t="s">
        <v>35</v>
      </c>
      <c r="R582" s="6" t="s">
        <v>35</v>
      </c>
      <c r="S582" s="17" t="s">
        <v>36</v>
      </c>
      <c r="T582" s="17" t="s">
        <v>4076</v>
      </c>
      <c r="U582" s="173" t="s">
        <v>38</v>
      </c>
      <c r="V582" s="11" t="s">
        <v>2328</v>
      </c>
      <c r="W582" s="22" t="s">
        <v>4057</v>
      </c>
      <c r="X582" s="22" t="s">
        <v>4057</v>
      </c>
      <c r="Y582" s="22"/>
      <c r="Z582" s="7"/>
      <c r="AA582" s="7"/>
      <c r="AB582" s="23"/>
      <c r="AC582" s="26"/>
    </row>
    <row r="583" spans="1:30" ht="15.75" customHeight="1">
      <c r="A583" s="10" t="s">
        <v>4077</v>
      </c>
      <c r="B583" s="10" t="s">
        <v>1469</v>
      </c>
      <c r="C583" s="52" t="s">
        <v>868</v>
      </c>
      <c r="D583" s="12"/>
      <c r="E583" s="13" t="s">
        <v>93</v>
      </c>
      <c r="F583" s="6" t="s">
        <v>869</v>
      </c>
      <c r="G583" s="15" t="str">
        <f ca="1">IFERROR(__xludf.DUMMYFUNCTION("CONCATENATE(B583,(VLOOKUP(C583,CATALOGOS!$F$2:$H$6,3,FALSE)),(VLOOKUP(V583,CATALOGOS!$J$2:$K$18,2,FALSE)),""-"",TO_TEXT(A583))"),"P13LP-0582")</f>
        <v>P13LP-0582</v>
      </c>
      <c r="H583" s="6" t="str">
        <f ca="1">IFERROR(__xludf.DUMMYFUNCTION("CONCATENATE($B583,(VLOOKUP($C583,CATALOGOS!$F$2:$H$6,3,FALSE)),(VLOOKUP($V583,CATALOGOS!$J$2:$K$18,2,FALSE)),""-"",TO_TEXT($A583))"),"P13LP-0582")</f>
        <v>P13LP-0582</v>
      </c>
      <c r="I583" s="6"/>
      <c r="J583" s="6" t="s">
        <v>4078</v>
      </c>
      <c r="K583" s="6" t="s">
        <v>4079</v>
      </c>
      <c r="L583" s="6" t="s">
        <v>4080</v>
      </c>
      <c r="M583" s="6" t="s">
        <v>4081</v>
      </c>
      <c r="N583" s="17"/>
      <c r="O583" s="17"/>
      <c r="P583" s="17" t="str">
        <f t="shared" si="5"/>
        <v>OK</v>
      </c>
      <c r="Q583" s="17" t="s">
        <v>35</v>
      </c>
      <c r="R583" s="6" t="s">
        <v>35</v>
      </c>
      <c r="S583" s="17" t="s">
        <v>36</v>
      </c>
      <c r="T583" s="17" t="s">
        <v>4082</v>
      </c>
      <c r="U583" s="173" t="s">
        <v>38</v>
      </c>
      <c r="V583" s="11" t="s">
        <v>2328</v>
      </c>
      <c r="W583" s="22" t="s">
        <v>4057</v>
      </c>
      <c r="X583" s="22" t="s">
        <v>4057</v>
      </c>
      <c r="Y583" s="22"/>
      <c r="Z583" s="7"/>
      <c r="AA583" s="7"/>
      <c r="AB583" s="23"/>
      <c r="AC583" s="26"/>
    </row>
    <row r="584" spans="1:30" ht="15.75" customHeight="1">
      <c r="A584" s="10" t="s">
        <v>4083</v>
      </c>
      <c r="B584" s="10" t="s">
        <v>1469</v>
      </c>
      <c r="C584" s="52" t="s">
        <v>868</v>
      </c>
      <c r="D584" s="12"/>
      <c r="E584" s="13" t="s">
        <v>378</v>
      </c>
      <c r="F584" s="6" t="s">
        <v>379</v>
      </c>
      <c r="G584" s="15" t="str">
        <f ca="1">IFERROR(__xludf.DUMMYFUNCTION("CONCATENATE(B584,(VLOOKUP(C584,CATALOGOS!$F$2:$H$6,3,FALSE)),(VLOOKUP(V584,CATALOGOS!$J$2:$K$18,2,FALSE)),""-"",TO_TEXT(A584))"),"P13LP-0583")</f>
        <v>P13LP-0583</v>
      </c>
      <c r="H584" s="6" t="str">
        <f ca="1">IFERROR(__xludf.DUMMYFUNCTION("CONCATENATE($B584,(VLOOKUP($C584,CATALOGOS!$F$2:$H$6,3,FALSE)),(VLOOKUP($V584,CATALOGOS!$J$2:$K$18,2,FALSE)),""-"",TO_TEXT($A584))"),"P13LP-0583")</f>
        <v>P13LP-0583</v>
      </c>
      <c r="I584" s="6"/>
      <c r="J584" s="6" t="s">
        <v>4084</v>
      </c>
      <c r="K584" s="6" t="s">
        <v>4085</v>
      </c>
      <c r="L584" s="6" t="s">
        <v>4086</v>
      </c>
      <c r="M584" s="43" t="s">
        <v>4087</v>
      </c>
      <c r="N584" s="17"/>
      <c r="O584" s="17"/>
      <c r="P584" s="17" t="str">
        <f t="shared" si="5"/>
        <v>OK</v>
      </c>
      <c r="Q584" s="17" t="s">
        <v>35</v>
      </c>
      <c r="R584" s="6" t="s">
        <v>35</v>
      </c>
      <c r="S584" s="17" t="s">
        <v>36</v>
      </c>
      <c r="T584" s="17" t="s">
        <v>4088</v>
      </c>
      <c r="U584" s="173" t="s">
        <v>38</v>
      </c>
      <c r="V584" s="11" t="s">
        <v>2328</v>
      </c>
      <c r="W584" s="22" t="s">
        <v>4057</v>
      </c>
      <c r="X584" s="22" t="s">
        <v>4057</v>
      </c>
      <c r="Y584" s="22"/>
      <c r="Z584" s="7"/>
      <c r="AA584" s="7"/>
      <c r="AB584" s="23"/>
      <c r="AC584" s="26"/>
    </row>
    <row r="585" spans="1:30" ht="15.75" customHeight="1">
      <c r="A585" s="10" t="s">
        <v>4089</v>
      </c>
      <c r="B585" s="10" t="s">
        <v>1469</v>
      </c>
      <c r="C585" s="52" t="s">
        <v>868</v>
      </c>
      <c r="D585" s="12"/>
      <c r="E585" s="13" t="s">
        <v>151</v>
      </c>
      <c r="F585" s="6" t="s">
        <v>152</v>
      </c>
      <c r="G585" s="64" t="str">
        <f ca="1">IFERROR(__xludf.DUMMYFUNCTION("CONCATENATE(B585,(VLOOKUP(C585,CATALOGOS!$F$2:$H$6,3,FALSE)),(VLOOKUP(V585,CATALOGOS!$J$2:$K$18,2,FALSE)),""-"",TO_TEXT(A585))"),"P13LP-0584")</f>
        <v>P13LP-0584</v>
      </c>
      <c r="H585" s="6" t="str">
        <f ca="1">IFERROR(__xludf.DUMMYFUNCTION("CONCATENATE($B585,(VLOOKUP($C585,CATALOGOS!$F$2:$H$6,3,FALSE)),(VLOOKUP($V585,CATALOGOS!$J$2:$K$18,2,FALSE)),""-"",TO_TEXT($A585))"),"P13LP-0584")</f>
        <v>P13LP-0584</v>
      </c>
      <c r="I585" s="6"/>
      <c r="J585" s="6" t="s">
        <v>4090</v>
      </c>
      <c r="K585" s="6" t="s">
        <v>4091</v>
      </c>
      <c r="L585" s="6" t="s">
        <v>4092</v>
      </c>
      <c r="M585" s="6" t="s">
        <v>4093</v>
      </c>
      <c r="N585" s="17"/>
      <c r="O585" s="17"/>
      <c r="P585" s="17" t="str">
        <f t="shared" si="5"/>
        <v>OK</v>
      </c>
      <c r="Q585" s="17" t="s">
        <v>1220</v>
      </c>
      <c r="R585" s="6" t="s">
        <v>720</v>
      </c>
      <c r="S585" s="17" t="s">
        <v>36</v>
      </c>
      <c r="T585" s="17" t="s">
        <v>4094</v>
      </c>
      <c r="U585" s="173" t="s">
        <v>1304</v>
      </c>
      <c r="V585" s="11" t="s">
        <v>2328</v>
      </c>
      <c r="W585" s="22" t="s">
        <v>4057</v>
      </c>
      <c r="X585" s="22" t="s">
        <v>4057</v>
      </c>
      <c r="Y585" s="22"/>
      <c r="Z585" s="7"/>
      <c r="AA585" s="7"/>
      <c r="AB585" s="23"/>
      <c r="AC585" s="26"/>
    </row>
    <row r="586" spans="1:30" ht="15.75" customHeight="1">
      <c r="A586" s="10" t="s">
        <v>4095</v>
      </c>
      <c r="B586" s="10" t="s">
        <v>1469</v>
      </c>
      <c r="C586" s="52" t="s">
        <v>868</v>
      </c>
      <c r="D586" s="12"/>
      <c r="E586" s="13" t="s">
        <v>248</v>
      </c>
      <c r="F586" s="43" t="s">
        <v>248</v>
      </c>
      <c r="G586" s="15" t="str">
        <f ca="1">IFERROR(__xludf.DUMMYFUNCTION("CONCATENATE(B586,(VLOOKUP(C586,CATALOGOS!$F$2:$H$6,3,FALSE)),(VLOOKUP(V586,CATALOGOS!$J$2:$K$18,2,FALSE)),""-"",TO_TEXT(A586))"),"P13LP-0585")</f>
        <v>P13LP-0585</v>
      </c>
      <c r="H586" s="6" t="str">
        <f ca="1">IFERROR(__xludf.DUMMYFUNCTION("CONCATENATE($B586,(VLOOKUP($C586,CATALOGOS!$F$2:$H$6,3,FALSE)),(VLOOKUP($V586,CATALOGOS!$J$2:$K$18,2,FALSE)),""-"",TO_TEXT($A586))"),"P13LP-0585")</f>
        <v>P13LP-0585</v>
      </c>
      <c r="I586" s="6"/>
      <c r="J586" s="6" t="s">
        <v>4096</v>
      </c>
      <c r="K586" s="6" t="s">
        <v>4097</v>
      </c>
      <c r="L586" s="6" t="s">
        <v>4098</v>
      </c>
      <c r="M586" s="6" t="s">
        <v>4099</v>
      </c>
      <c r="N586" s="17"/>
      <c r="O586" s="17"/>
      <c r="P586" s="17" t="str">
        <f t="shared" si="5"/>
        <v>OK</v>
      </c>
      <c r="Q586" s="17" t="s">
        <v>978</v>
      </c>
      <c r="R586" s="6" t="s">
        <v>979</v>
      </c>
      <c r="S586" s="17" t="s">
        <v>4100</v>
      </c>
      <c r="T586" s="17" t="s">
        <v>4101</v>
      </c>
      <c r="U586" s="173" t="s">
        <v>38</v>
      </c>
      <c r="V586" s="11" t="s">
        <v>2328</v>
      </c>
      <c r="W586" s="22" t="s">
        <v>4057</v>
      </c>
      <c r="X586" s="22" t="s">
        <v>4057</v>
      </c>
      <c r="Y586" s="22"/>
      <c r="Z586" s="7"/>
      <c r="AA586" s="7"/>
      <c r="AB586" s="23"/>
      <c r="AC586" s="26"/>
    </row>
    <row r="587" spans="1:30" ht="15.75" customHeight="1">
      <c r="A587" s="10" t="s">
        <v>4102</v>
      </c>
      <c r="B587" s="10" t="s">
        <v>1469</v>
      </c>
      <c r="C587" s="52" t="s">
        <v>868</v>
      </c>
      <c r="D587" s="12"/>
      <c r="E587" s="13" t="s">
        <v>199</v>
      </c>
      <c r="F587" s="6" t="s">
        <v>199</v>
      </c>
      <c r="G587" s="15" t="str">
        <f ca="1">IFERROR(__xludf.DUMMYFUNCTION("CONCATENATE(B587,(VLOOKUP(C587,CATALOGOS!$F$2:$H$6,3,FALSE)),(VLOOKUP(V587,CATALOGOS!$J$2:$K$18,2,FALSE)),""-"",TO_TEXT(A587))"),"P13LP-0586")</f>
        <v>P13LP-0586</v>
      </c>
      <c r="H587" s="6" t="str">
        <f ca="1">IFERROR(__xludf.DUMMYFUNCTION("CONCATENATE($B587,(VLOOKUP($C587,CATALOGOS!$F$2:$H$6,3,FALSE)),(VLOOKUP($V587,CATALOGOS!$J$2:$K$18,2,FALSE)),""-"",TO_TEXT($A587))"),"P13LP-0586")</f>
        <v>P13LP-0586</v>
      </c>
      <c r="I587" s="6"/>
      <c r="J587" s="6" t="s">
        <v>4103</v>
      </c>
      <c r="K587" s="6" t="s">
        <v>4104</v>
      </c>
      <c r="L587" s="36"/>
      <c r="M587" s="6" t="s">
        <v>4105</v>
      </c>
      <c r="N587" s="17"/>
      <c r="O587" s="17"/>
      <c r="P587" s="17" t="str">
        <f t="shared" si="5"/>
        <v>OK</v>
      </c>
      <c r="Q587" s="17" t="s">
        <v>273</v>
      </c>
      <c r="R587" s="6" t="s">
        <v>274</v>
      </c>
      <c r="S587" s="6">
        <v>11392903012347</v>
      </c>
      <c r="T587" s="10" t="s">
        <v>85</v>
      </c>
      <c r="U587" s="173" t="s">
        <v>38</v>
      </c>
      <c r="V587" s="11" t="s">
        <v>2328</v>
      </c>
      <c r="W587" s="22" t="s">
        <v>4057</v>
      </c>
      <c r="X587" s="22" t="s">
        <v>4057</v>
      </c>
      <c r="Y587" s="22"/>
      <c r="Z587" s="6"/>
      <c r="AA587" s="6"/>
      <c r="AB587" s="41" t="s">
        <v>92</v>
      </c>
      <c r="AC587" s="42">
        <v>44348</v>
      </c>
      <c r="AD587" s="8" t="s">
        <v>276</v>
      </c>
    </row>
    <row r="588" spans="1:30" ht="15.75" customHeight="1">
      <c r="A588" s="10" t="s">
        <v>4106</v>
      </c>
      <c r="B588" s="10" t="s">
        <v>1469</v>
      </c>
      <c r="C588" s="52" t="s">
        <v>868</v>
      </c>
      <c r="D588" s="12"/>
      <c r="E588" s="13" t="s">
        <v>1240</v>
      </c>
      <c r="F588" s="43" t="s">
        <v>278</v>
      </c>
      <c r="G588" s="15" t="str">
        <f ca="1">IFERROR(__xludf.DUMMYFUNCTION("CONCATENATE(B588,(VLOOKUP(C588,CATALOGOS!$F$2:$H$6,3,FALSE)),(VLOOKUP(V588,CATALOGOS!$J$2:$K$18,2,FALSE)),""-"",TO_TEXT(A588))"),"P13LP-0587")</f>
        <v>P13LP-0587</v>
      </c>
      <c r="H588" s="6" t="str">
        <f ca="1">IFERROR(__xludf.DUMMYFUNCTION("CONCATENATE($B588,(VLOOKUP($C588,CATALOGOS!$F$2:$H$6,3,FALSE)),(VLOOKUP($V588,CATALOGOS!$J$2:$K$18,2,FALSE)),""-"",TO_TEXT($A588))"),"P13LP-0587")</f>
        <v>P13LP-0587</v>
      </c>
      <c r="I588" s="6"/>
      <c r="J588" s="6" t="s">
        <v>4107</v>
      </c>
      <c r="K588" s="6" t="s">
        <v>4108</v>
      </c>
      <c r="L588" s="6" t="s">
        <v>4109</v>
      </c>
      <c r="M588" s="6" t="s">
        <v>4110</v>
      </c>
      <c r="N588" s="17"/>
      <c r="O588" s="17"/>
      <c r="P588" s="17" t="str">
        <f t="shared" si="5"/>
        <v>OK</v>
      </c>
      <c r="Q588" s="17" t="s">
        <v>35</v>
      </c>
      <c r="R588" s="6" t="s">
        <v>35</v>
      </c>
      <c r="S588" s="17" t="s">
        <v>36</v>
      </c>
      <c r="T588" s="17" t="s">
        <v>4111</v>
      </c>
      <c r="U588" s="173" t="s">
        <v>38</v>
      </c>
      <c r="V588" s="11" t="s">
        <v>2328</v>
      </c>
      <c r="W588" s="22" t="s">
        <v>4057</v>
      </c>
      <c r="X588" s="22" t="s">
        <v>4057</v>
      </c>
      <c r="Y588" s="22"/>
      <c r="Z588" s="7"/>
      <c r="AA588" s="7"/>
      <c r="AB588" s="23"/>
      <c r="AC588" s="26"/>
    </row>
    <row r="589" spans="1:30" ht="15.75" customHeight="1">
      <c r="A589" s="10" t="s">
        <v>4112</v>
      </c>
      <c r="B589" s="10" t="s">
        <v>1469</v>
      </c>
      <c r="C589" s="52" t="s">
        <v>868</v>
      </c>
      <c r="D589" s="38"/>
      <c r="E589" s="13" t="s">
        <v>151</v>
      </c>
      <c r="F589" s="6" t="s">
        <v>4113</v>
      </c>
      <c r="G589" s="15" t="str">
        <f ca="1">IFERROR(__xludf.DUMMYFUNCTION("CONCATENATE(B589,(VLOOKUP(C589,CATALOGOS!$F$2:$H$6,3,FALSE)),(VLOOKUP(V589,CATALOGOS!$J$2:$K$18,2,FALSE)),""-"",TO_TEXT(A589))"),"P13LP-0588")</f>
        <v>P13LP-0588</v>
      </c>
      <c r="H589" s="6" t="str">
        <f ca="1">IFERROR(__xludf.DUMMYFUNCTION("CONCATENATE($B589,(VLOOKUP($C589,CATALOGOS!$F$2:$H$6,3,FALSE)),(VLOOKUP($V589,CATALOGOS!$J$2:$K$18,2,FALSE)),""-"",TO_TEXT($A589))"),"P13LP-0588")</f>
        <v>P13LP-0588</v>
      </c>
      <c r="I589" s="6"/>
      <c r="J589" s="6" t="s">
        <v>4114</v>
      </c>
      <c r="K589" s="6" t="s">
        <v>4115</v>
      </c>
      <c r="L589" s="72"/>
      <c r="M589" s="6" t="s">
        <v>4116</v>
      </c>
      <c r="N589" s="17"/>
      <c r="O589" s="17"/>
      <c r="P589" s="17" t="str">
        <f t="shared" si="5"/>
        <v>OK</v>
      </c>
      <c r="Q589" s="17" t="s">
        <v>297</v>
      </c>
      <c r="R589" s="6" t="s">
        <v>298</v>
      </c>
      <c r="S589" s="6" t="s">
        <v>4117</v>
      </c>
      <c r="T589" s="32" t="s">
        <v>85</v>
      </c>
      <c r="U589" s="173" t="s">
        <v>38</v>
      </c>
      <c r="V589" s="11" t="s">
        <v>2328</v>
      </c>
      <c r="W589" s="32" t="s">
        <v>4057</v>
      </c>
      <c r="X589" s="32" t="s">
        <v>4057</v>
      </c>
      <c r="Y589" s="32"/>
      <c r="Z589" s="6"/>
      <c r="AA589" s="6"/>
      <c r="AB589" s="73" t="s">
        <v>92</v>
      </c>
      <c r="AC589" s="42">
        <v>44348</v>
      </c>
      <c r="AD589" s="8">
        <v>0</v>
      </c>
    </row>
    <row r="590" spans="1:30" ht="15.75" customHeight="1">
      <c r="A590" s="10" t="s">
        <v>4118</v>
      </c>
      <c r="B590" s="10" t="s">
        <v>1469</v>
      </c>
      <c r="C590" s="52" t="s">
        <v>868</v>
      </c>
      <c r="D590" s="12"/>
      <c r="E590" s="13" t="s">
        <v>93</v>
      </c>
      <c r="F590" s="6" t="s">
        <v>4119</v>
      </c>
      <c r="G590" s="15" t="str">
        <f ca="1">IFERROR(__xludf.DUMMYFUNCTION("CONCATENATE(B590,(VLOOKUP(C590,CATALOGOS!$F$2:$H$6,3,FALSE)),(VLOOKUP(V590,CATALOGOS!$J$2:$K$18,2,FALSE)),""-"",TO_TEXT(A590))"),"P13LP-0589")</f>
        <v>P13LP-0589</v>
      </c>
      <c r="H590" s="6" t="str">
        <f ca="1">IFERROR(__xludf.DUMMYFUNCTION("CONCATENATE($B590,(VLOOKUP($C590,CATALOGOS!$F$2:$H$6,3,FALSE)),(VLOOKUP($V590,CATALOGOS!$J$2:$K$18,2,FALSE)),""-"",TO_TEXT($A590))"),"P13LP-0589")</f>
        <v>P13LP-0589</v>
      </c>
      <c r="I590" s="6"/>
      <c r="J590" s="6" t="s">
        <v>4120</v>
      </c>
      <c r="K590" s="6" t="s">
        <v>4121</v>
      </c>
      <c r="L590" s="6" t="s">
        <v>4122</v>
      </c>
      <c r="M590" s="6" t="s">
        <v>4123</v>
      </c>
      <c r="N590" s="17"/>
      <c r="O590" s="17"/>
      <c r="P590" s="17" t="str">
        <f t="shared" si="5"/>
        <v>OK</v>
      </c>
      <c r="Q590" s="17" t="s">
        <v>35</v>
      </c>
      <c r="R590" s="6" t="s">
        <v>35</v>
      </c>
      <c r="S590" s="17" t="s">
        <v>36</v>
      </c>
      <c r="T590" s="17" t="s">
        <v>4124</v>
      </c>
      <c r="U590" s="173" t="s">
        <v>38</v>
      </c>
      <c r="V590" s="11" t="s">
        <v>2328</v>
      </c>
      <c r="W590" s="20" t="s">
        <v>4125</v>
      </c>
      <c r="X590" s="20" t="s">
        <v>4125</v>
      </c>
      <c r="Y590" s="20"/>
      <c r="Z590" s="7"/>
      <c r="AA590" s="7"/>
      <c r="AB590" s="23"/>
      <c r="AC590" s="26"/>
    </row>
    <row r="591" spans="1:30" ht="15.75" customHeight="1">
      <c r="A591" s="10" t="s">
        <v>4126</v>
      </c>
      <c r="B591" s="10" t="s">
        <v>1469</v>
      </c>
      <c r="C591" s="52" t="s">
        <v>868</v>
      </c>
      <c r="D591" s="12"/>
      <c r="E591" s="13" t="s">
        <v>29</v>
      </c>
      <c r="F591" s="6" t="s">
        <v>1166</v>
      </c>
      <c r="G591" s="15" t="str">
        <f ca="1">IFERROR(__xludf.DUMMYFUNCTION("CONCATENATE(B591,(VLOOKUP(C591,CATALOGOS!$F$2:$H$6,3,FALSE)),(VLOOKUP(V591,CATALOGOS!$J$2:$K$18,2,FALSE)),""-"",TO_TEXT(A591))"),"P13LP-0590")</f>
        <v>P13LP-0590</v>
      </c>
      <c r="H591" s="15" t="str">
        <f ca="1">IFERROR(__xludf.DUMMYFUNCTION("CONCATENATE($B591,(VLOOKUP($C591,CATALOGOS!$F$2:$H$6,3,FALSE)),(VLOOKUP($V591,CATALOGOS!$J$2:$K$18,2,FALSE)),""-"",TO_TEXT($A591))"),"P13LP-0590")</f>
        <v>P13LP-0590</v>
      </c>
      <c r="I591" s="6"/>
      <c r="J591" s="6" t="s">
        <v>4127</v>
      </c>
      <c r="K591" s="6" t="s">
        <v>4128</v>
      </c>
      <c r="L591" s="6" t="s">
        <v>4129</v>
      </c>
      <c r="M591" s="6" t="s">
        <v>4130</v>
      </c>
      <c r="N591" s="17"/>
      <c r="O591" s="17"/>
      <c r="P591" s="17" t="str">
        <f t="shared" si="5"/>
        <v>OK</v>
      </c>
      <c r="Q591" s="17" t="s">
        <v>35</v>
      </c>
      <c r="R591" s="6" t="s">
        <v>35</v>
      </c>
      <c r="S591" s="17" t="s">
        <v>36</v>
      </c>
      <c r="T591" s="17" t="s">
        <v>4131</v>
      </c>
      <c r="U591" s="173" t="s">
        <v>38</v>
      </c>
      <c r="V591" s="11" t="s">
        <v>2328</v>
      </c>
      <c r="W591" s="20" t="s">
        <v>4125</v>
      </c>
      <c r="X591" s="20" t="s">
        <v>4125</v>
      </c>
      <c r="Y591" s="20"/>
      <c r="Z591" s="7"/>
      <c r="AA591" s="7"/>
      <c r="AB591" s="23"/>
      <c r="AC591" s="26"/>
    </row>
    <row r="592" spans="1:30" ht="15.75" customHeight="1">
      <c r="A592" s="10" t="s">
        <v>4132</v>
      </c>
      <c r="B592" s="10" t="s">
        <v>1469</v>
      </c>
      <c r="C592" s="52" t="s">
        <v>868</v>
      </c>
      <c r="D592" s="12"/>
      <c r="E592" s="13" t="s">
        <v>93</v>
      </c>
      <c r="F592" s="6" t="s">
        <v>4133</v>
      </c>
      <c r="G592" s="15" t="str">
        <f ca="1">IFERROR(__xludf.DUMMYFUNCTION("CONCATENATE(B592,(VLOOKUP(C592,CATALOGOS!$F$2:$H$6,3,FALSE)),(VLOOKUP(V592,CATALOGOS!$J$2:$K$18,2,FALSE)),""-"",TO_TEXT(A592))"),"P13LP-0591")</f>
        <v>P13LP-0591</v>
      </c>
      <c r="H592" s="6" t="str">
        <f ca="1">IFERROR(__xludf.DUMMYFUNCTION("CONCATENATE($B592,(VLOOKUP($C592,CATALOGOS!$F$2:$H$6,3,FALSE)),(VLOOKUP($V592,CATALOGOS!$J$2:$K$18,2,FALSE)),""-"",TO_TEXT($A592))"),"P13LP-0591")</f>
        <v>P13LP-0591</v>
      </c>
      <c r="I592" s="6"/>
      <c r="J592" s="6" t="s">
        <v>4134</v>
      </c>
      <c r="K592" s="6" t="s">
        <v>4135</v>
      </c>
      <c r="L592" s="6" t="s">
        <v>4136</v>
      </c>
      <c r="M592" s="6" t="s">
        <v>4137</v>
      </c>
      <c r="N592" s="17"/>
      <c r="O592" s="17"/>
      <c r="P592" s="17" t="str">
        <f t="shared" si="5"/>
        <v>OK</v>
      </c>
      <c r="Q592" s="17" t="s">
        <v>35</v>
      </c>
      <c r="R592" s="6" t="s">
        <v>35</v>
      </c>
      <c r="S592" s="17" t="s">
        <v>36</v>
      </c>
      <c r="T592" s="17" t="s">
        <v>4138</v>
      </c>
      <c r="U592" s="173" t="s">
        <v>38</v>
      </c>
      <c r="V592" s="11" t="s">
        <v>2328</v>
      </c>
      <c r="W592" s="20" t="s">
        <v>4125</v>
      </c>
      <c r="X592" s="20" t="s">
        <v>4125</v>
      </c>
      <c r="Y592" s="20"/>
      <c r="Z592" s="7"/>
      <c r="AA592" s="7"/>
      <c r="AB592" s="23"/>
      <c r="AC592" s="26"/>
    </row>
    <row r="593" spans="1:30" ht="15.75" customHeight="1">
      <c r="A593" s="10" t="s">
        <v>4139</v>
      </c>
      <c r="B593" s="10" t="s">
        <v>1469</v>
      </c>
      <c r="C593" s="52" t="s">
        <v>868</v>
      </c>
      <c r="D593" s="12"/>
      <c r="E593" s="13" t="s">
        <v>378</v>
      </c>
      <c r="F593" s="6" t="s">
        <v>379</v>
      </c>
      <c r="G593" s="15" t="str">
        <f ca="1">IFERROR(__xludf.DUMMYFUNCTION("CONCATENATE(B593,(VLOOKUP(C593,CATALOGOS!$F$2:$H$6,3,FALSE)),(VLOOKUP(V593,CATALOGOS!$J$2:$K$18,2,FALSE)),""-"",TO_TEXT(A593))"),"P13LP-0592")</f>
        <v>P13LP-0592</v>
      </c>
      <c r="H593" s="6" t="str">
        <f ca="1">IFERROR(__xludf.DUMMYFUNCTION("CONCATENATE($B593,(VLOOKUP($C593,CATALOGOS!$F$2:$H$6,3,FALSE)),(VLOOKUP($V593,CATALOGOS!$J$2:$K$18,2,FALSE)),""-"",TO_TEXT($A593))"),"P13LP-0592")</f>
        <v>P13LP-0592</v>
      </c>
      <c r="I593" s="6"/>
      <c r="J593" s="6" t="s">
        <v>4140</v>
      </c>
      <c r="K593" s="6" t="s">
        <v>4141</v>
      </c>
      <c r="L593" s="6" t="s">
        <v>4142</v>
      </c>
      <c r="M593" s="6" t="s">
        <v>4143</v>
      </c>
      <c r="N593" s="17"/>
      <c r="O593" s="17"/>
      <c r="P593" s="17" t="str">
        <f t="shared" si="5"/>
        <v>OK</v>
      </c>
      <c r="Q593" s="17" t="s">
        <v>35</v>
      </c>
      <c r="R593" s="6" t="s">
        <v>35</v>
      </c>
      <c r="S593" s="17" t="s">
        <v>36</v>
      </c>
      <c r="T593" s="17" t="s">
        <v>4144</v>
      </c>
      <c r="U593" s="173" t="s">
        <v>38</v>
      </c>
      <c r="V593" s="11" t="s">
        <v>2328</v>
      </c>
      <c r="W593" s="20" t="s">
        <v>4125</v>
      </c>
      <c r="X593" s="20" t="s">
        <v>4125</v>
      </c>
      <c r="Y593" s="20"/>
      <c r="Z593" s="7"/>
      <c r="AA593" s="7"/>
      <c r="AB593" s="23"/>
      <c r="AC593" s="26"/>
    </row>
    <row r="594" spans="1:30" ht="15.75" customHeight="1">
      <c r="A594" s="10" t="s">
        <v>4145</v>
      </c>
      <c r="B594" s="10" t="s">
        <v>1469</v>
      </c>
      <c r="C594" s="52" t="s">
        <v>868</v>
      </c>
      <c r="D594" s="12"/>
      <c r="E594" s="13" t="s">
        <v>248</v>
      </c>
      <c r="F594" s="43" t="s">
        <v>248</v>
      </c>
      <c r="G594" s="15" t="str">
        <f ca="1">IFERROR(__xludf.DUMMYFUNCTION("CONCATENATE(B594,(VLOOKUP(C594,CATALOGOS!$F$2:$H$6,3,FALSE)),(VLOOKUP(V594,CATALOGOS!$J$2:$K$18,2,FALSE)),""-"",TO_TEXT(A594))"),"P13LP-0593")</f>
        <v>P13LP-0593</v>
      </c>
      <c r="H594" s="6" t="str">
        <f ca="1">IFERROR(__xludf.DUMMYFUNCTION("CONCATENATE($B594,(VLOOKUP($C594,CATALOGOS!$F$2:$H$6,3,FALSE)),(VLOOKUP($V594,CATALOGOS!$J$2:$K$18,2,FALSE)),""-"",TO_TEXT($A594))"),"P13LP-0593")</f>
        <v>P13LP-0593</v>
      </c>
      <c r="I594" s="6"/>
      <c r="J594" s="6" t="s">
        <v>4146</v>
      </c>
      <c r="K594" s="6" t="s">
        <v>4147</v>
      </c>
      <c r="L594" s="6" t="s">
        <v>4148</v>
      </c>
      <c r="M594" s="6" t="s">
        <v>4149</v>
      </c>
      <c r="N594" s="17"/>
      <c r="O594" s="17"/>
      <c r="P594" s="17" t="str">
        <f t="shared" si="5"/>
        <v>OK</v>
      </c>
      <c r="Q594" s="17" t="s">
        <v>978</v>
      </c>
      <c r="R594" s="6" t="s">
        <v>979</v>
      </c>
      <c r="S594" s="17" t="s">
        <v>4150</v>
      </c>
      <c r="T594" s="17" t="s">
        <v>4151</v>
      </c>
      <c r="U594" s="173" t="s">
        <v>38</v>
      </c>
      <c r="V594" s="11" t="s">
        <v>2328</v>
      </c>
      <c r="W594" s="20" t="s">
        <v>4125</v>
      </c>
      <c r="X594" s="20" t="s">
        <v>4125</v>
      </c>
      <c r="Y594" s="20"/>
      <c r="Z594" s="7"/>
      <c r="AA594" s="7"/>
      <c r="AB594" s="23"/>
      <c r="AC594" s="26"/>
    </row>
    <row r="595" spans="1:30" ht="15.75" customHeight="1">
      <c r="A595" s="10" t="s">
        <v>4152</v>
      </c>
      <c r="B595" s="10" t="s">
        <v>1469</v>
      </c>
      <c r="C595" s="52" t="s">
        <v>868</v>
      </c>
      <c r="D595" s="12"/>
      <c r="E595" s="13" t="s">
        <v>116</v>
      </c>
      <c r="F595" s="6" t="s">
        <v>4153</v>
      </c>
      <c r="G595" s="15" t="str">
        <f ca="1">IFERROR(__xludf.DUMMYFUNCTION("CONCATENATE(B595,(VLOOKUP(C595,CATALOGOS!$F$2:$H$6,3,FALSE)),(VLOOKUP(V595,CATALOGOS!$J$2:$K$18,2,FALSE)),""-"",TO_TEXT(A595))"),"P13LP-0594")</f>
        <v>P13LP-0594</v>
      </c>
      <c r="H595" s="6" t="str">
        <f ca="1">IFERROR(__xludf.DUMMYFUNCTION("CONCATENATE($B595,(VLOOKUP($C595,CATALOGOS!$F$2:$H$6,3,FALSE)),(VLOOKUP($V595,CATALOGOS!$J$2:$K$18,2,FALSE)),""-"",TO_TEXT($A595))"),"P13LP-0594")</f>
        <v>P13LP-0594</v>
      </c>
      <c r="I595" s="6"/>
      <c r="J595" s="6" t="s">
        <v>4154</v>
      </c>
      <c r="K595" s="6" t="s">
        <v>4155</v>
      </c>
      <c r="L595" s="6" t="s">
        <v>4156</v>
      </c>
      <c r="M595" s="6" t="s">
        <v>4157</v>
      </c>
      <c r="N595" s="17"/>
      <c r="O595" s="17"/>
      <c r="P595" s="17" t="str">
        <f t="shared" si="5"/>
        <v>OK</v>
      </c>
      <c r="Q595" s="17" t="s">
        <v>35</v>
      </c>
      <c r="R595" s="6" t="s">
        <v>35</v>
      </c>
      <c r="S595" s="17" t="s">
        <v>36</v>
      </c>
      <c r="T595" s="17" t="s">
        <v>4158</v>
      </c>
      <c r="U595" s="173" t="s">
        <v>38</v>
      </c>
      <c r="V595" s="11" t="s">
        <v>2328</v>
      </c>
      <c r="W595" s="20" t="s">
        <v>4125</v>
      </c>
      <c r="X595" s="20" t="s">
        <v>4125</v>
      </c>
      <c r="Y595" s="20"/>
      <c r="Z595" s="7"/>
      <c r="AA595" s="7"/>
      <c r="AB595" s="23"/>
      <c r="AC595" s="26"/>
    </row>
    <row r="596" spans="1:30" ht="15.75" customHeight="1">
      <c r="A596" s="10" t="s">
        <v>4159</v>
      </c>
      <c r="B596" s="10" t="s">
        <v>1469</v>
      </c>
      <c r="C596" s="52" t="s">
        <v>868</v>
      </c>
      <c r="D596" s="12"/>
      <c r="E596" s="13" t="s">
        <v>199</v>
      </c>
      <c r="F596" s="6" t="s">
        <v>199</v>
      </c>
      <c r="G596" s="15" t="str">
        <f ca="1">IFERROR(__xludf.DUMMYFUNCTION("CONCATENATE(B596,(VLOOKUP(C596,CATALOGOS!$F$2:$H$6,3,FALSE)),(VLOOKUP(V596,CATALOGOS!$J$2:$K$18,2,FALSE)),""-"",TO_TEXT(A596))"),"P13LP-0595")</f>
        <v>P13LP-0595</v>
      </c>
      <c r="H596" s="6" t="str">
        <f ca="1">IFERROR(__xludf.DUMMYFUNCTION("CONCATENATE($B596,(VLOOKUP($C596,CATALOGOS!$F$2:$H$6,3,FALSE)),(VLOOKUP($V596,CATALOGOS!$J$2:$K$18,2,FALSE)),""-"",TO_TEXT($A596))"),"P13LP-0595")</f>
        <v>P13LP-0595</v>
      </c>
      <c r="I596" s="6"/>
      <c r="J596" s="6" t="s">
        <v>4160</v>
      </c>
      <c r="K596" s="6" t="s">
        <v>4161</v>
      </c>
      <c r="L596" s="37"/>
      <c r="M596" s="6" t="s">
        <v>4162</v>
      </c>
      <c r="N596" s="17"/>
      <c r="O596" s="17"/>
      <c r="P596" s="17" t="str">
        <f t="shared" si="5"/>
        <v>OK</v>
      </c>
      <c r="Q596" s="17" t="s">
        <v>273</v>
      </c>
      <c r="R596" s="6" t="s">
        <v>274</v>
      </c>
      <c r="S596" s="6">
        <v>11392903015788</v>
      </c>
      <c r="T596" s="10" t="s">
        <v>85</v>
      </c>
      <c r="U596" s="173" t="s">
        <v>38</v>
      </c>
      <c r="V596" s="11" t="s">
        <v>2328</v>
      </c>
      <c r="W596" s="20" t="s">
        <v>4125</v>
      </c>
      <c r="X596" s="20" t="s">
        <v>4125</v>
      </c>
      <c r="Y596" s="20"/>
      <c r="Z596" s="6"/>
      <c r="AA596" s="6"/>
      <c r="AB596" s="41" t="s">
        <v>275</v>
      </c>
      <c r="AC596" s="42">
        <v>44403</v>
      </c>
      <c r="AD596" s="8" t="s">
        <v>276</v>
      </c>
    </row>
    <row r="597" spans="1:30" ht="15.75" customHeight="1">
      <c r="A597" s="10" t="s">
        <v>4163</v>
      </c>
      <c r="B597" s="10" t="s">
        <v>1469</v>
      </c>
      <c r="C597" s="52" t="s">
        <v>868</v>
      </c>
      <c r="D597" s="12"/>
      <c r="E597" s="13" t="s">
        <v>151</v>
      </c>
      <c r="F597" s="6" t="s">
        <v>4113</v>
      </c>
      <c r="G597" s="15" t="str">
        <f ca="1">IFERROR(__xludf.DUMMYFUNCTION("CONCATENATE(B597,(VLOOKUP(C597,CATALOGOS!$F$2:$H$6,3,FALSE)),(VLOOKUP(V597,CATALOGOS!$J$2:$K$18,2,FALSE)),""-"",TO_TEXT(A597))"),"P13LP-0596")</f>
        <v>P13LP-0596</v>
      </c>
      <c r="H597" s="6" t="str">
        <f ca="1">IFERROR(__xludf.DUMMYFUNCTION("CONCATENATE($B597,(VLOOKUP($C597,CATALOGOS!$F$2:$H$6,3,FALSE)),(VLOOKUP($V597,CATALOGOS!$J$2:$K$18,2,FALSE)),""-"",TO_TEXT($A597))"),"P13LP-0596")</f>
        <v>P13LP-0596</v>
      </c>
      <c r="I597" s="6"/>
      <c r="J597" s="6" t="s">
        <v>4164</v>
      </c>
      <c r="K597" s="6" t="s">
        <v>4165</v>
      </c>
      <c r="L597" s="37"/>
      <c r="M597" s="6" t="s">
        <v>4166</v>
      </c>
      <c r="N597" s="17"/>
      <c r="O597" s="17"/>
      <c r="P597" s="17" t="str">
        <f t="shared" si="5"/>
        <v>OK</v>
      </c>
      <c r="Q597" s="17" t="s">
        <v>297</v>
      </c>
      <c r="R597" s="6" t="s">
        <v>298</v>
      </c>
      <c r="S597" s="6" t="s">
        <v>4167</v>
      </c>
      <c r="T597" s="10" t="s">
        <v>85</v>
      </c>
      <c r="U597" s="173" t="s">
        <v>38</v>
      </c>
      <c r="V597" s="11" t="s">
        <v>2328</v>
      </c>
      <c r="W597" s="20" t="s">
        <v>4125</v>
      </c>
      <c r="X597" s="20" t="s">
        <v>4125</v>
      </c>
      <c r="Y597" s="20"/>
      <c r="Z597" s="6"/>
      <c r="AA597" s="6"/>
      <c r="AB597" s="41" t="s">
        <v>275</v>
      </c>
      <c r="AC597" s="42">
        <v>44403</v>
      </c>
      <c r="AD597" s="8">
        <v>0</v>
      </c>
    </row>
    <row r="598" spans="1:30" ht="15.75" customHeight="1">
      <c r="A598" s="10" t="s">
        <v>4168</v>
      </c>
      <c r="B598" s="10" t="s">
        <v>1469</v>
      </c>
      <c r="C598" s="52" t="s">
        <v>868</v>
      </c>
      <c r="D598" s="38"/>
      <c r="E598" s="13" t="s">
        <v>1240</v>
      </c>
      <c r="F598" s="43" t="s">
        <v>278</v>
      </c>
      <c r="G598" s="15" t="str">
        <f ca="1">IFERROR(__xludf.DUMMYFUNCTION("CONCATENATE(B598,(VLOOKUP(C598,CATALOGOS!$F$2:$H$6,3,FALSE)),(VLOOKUP(V598,CATALOGOS!$J$2:$K$18,2,FALSE)),""-"",TO_TEXT(A598))"),"P13LP-0597")</f>
        <v>P13LP-0597</v>
      </c>
      <c r="H598" s="6" t="str">
        <f ca="1">IFERROR(__xludf.DUMMYFUNCTION("CONCATENATE($B598,(VLOOKUP($C598,CATALOGOS!$F$2:$H$6,3,FALSE)),(VLOOKUP($V598,CATALOGOS!$J$2:$K$18,2,FALSE)),""-"",TO_TEXT($A598))"),"P13LP-0597")</f>
        <v>P13LP-0597</v>
      </c>
      <c r="I598" s="6"/>
      <c r="J598" s="6" t="s">
        <v>4169</v>
      </c>
      <c r="K598" s="6" t="s">
        <v>4170</v>
      </c>
      <c r="L598" s="6" t="s">
        <v>4171</v>
      </c>
      <c r="M598" s="6" t="s">
        <v>4172</v>
      </c>
      <c r="N598" s="17"/>
      <c r="O598" s="17"/>
      <c r="P598" s="17" t="str">
        <f t="shared" si="5"/>
        <v>OK</v>
      </c>
      <c r="Q598" s="17" t="s">
        <v>35</v>
      </c>
      <c r="R598" s="6" t="s">
        <v>35</v>
      </c>
      <c r="S598" s="46" t="s">
        <v>36</v>
      </c>
      <c r="T598" s="17" t="s">
        <v>4173</v>
      </c>
      <c r="U598" s="173" t="s">
        <v>38</v>
      </c>
      <c r="V598" s="11" t="s">
        <v>2328</v>
      </c>
      <c r="W598" s="20" t="s">
        <v>4125</v>
      </c>
      <c r="X598" s="20" t="s">
        <v>4125</v>
      </c>
      <c r="Y598" s="20"/>
      <c r="Z598" s="7"/>
      <c r="AA598" s="7"/>
      <c r="AB598" s="26"/>
      <c r="AC598" s="26"/>
    </row>
    <row r="599" spans="1:30" ht="15.75" customHeight="1">
      <c r="A599" s="10" t="s">
        <v>4174</v>
      </c>
      <c r="B599" s="10" t="s">
        <v>1469</v>
      </c>
      <c r="C599" s="52" t="s">
        <v>868</v>
      </c>
      <c r="D599" s="12"/>
      <c r="E599" s="13" t="s">
        <v>378</v>
      </c>
      <c r="F599" s="43" t="s">
        <v>4175</v>
      </c>
      <c r="G599" s="15" t="str">
        <f ca="1">IFERROR(__xludf.DUMMYFUNCTION("CONCATENATE(B599,(VLOOKUP(C599,CATALOGOS!$F$2:$H$6,3,FALSE)),(VLOOKUP(V599,CATALOGOS!$J$2:$K$18,2,FALSE)),""-"",TO_TEXT(A599))"),"P13IR-0598")</f>
        <v>P13IR-0598</v>
      </c>
      <c r="H599" s="6" t="str">
        <f ca="1">IFERROR(__xludf.DUMMYFUNCTION("CONCATENATE($B599,(VLOOKUP($C599,CATALOGOS!$F$2:$H$6,3,FALSE)),(VLOOKUP($V599,CATALOGOS!$J$2:$K$18,2,FALSE)),""-"",TO_TEXT($A599))"),"P13IR-0598")</f>
        <v>P13IR-0598</v>
      </c>
      <c r="I599" s="6"/>
      <c r="J599" s="6" t="s">
        <v>4176</v>
      </c>
      <c r="K599" s="6" t="s">
        <v>4177</v>
      </c>
      <c r="L599" s="6" t="s">
        <v>4178</v>
      </c>
      <c r="M599" s="6" t="s">
        <v>4179</v>
      </c>
      <c r="N599" s="17"/>
      <c r="O599" s="17"/>
      <c r="P599" s="17" t="str">
        <f t="shared" si="5"/>
        <v>OK</v>
      </c>
      <c r="Q599" s="17" t="s">
        <v>35</v>
      </c>
      <c r="R599" s="6" t="s">
        <v>35</v>
      </c>
      <c r="S599" s="17" t="s">
        <v>36</v>
      </c>
      <c r="T599" s="17" t="s">
        <v>4180</v>
      </c>
      <c r="U599" s="173" t="s">
        <v>38</v>
      </c>
      <c r="V599" s="11" t="s">
        <v>2381</v>
      </c>
      <c r="W599" s="20" t="s">
        <v>4181</v>
      </c>
      <c r="X599" s="20" t="s">
        <v>4181</v>
      </c>
      <c r="Y599" s="20"/>
      <c r="Z599" s="7"/>
      <c r="AA599" s="7"/>
      <c r="AB599" s="23"/>
      <c r="AC599" s="26"/>
    </row>
    <row r="600" spans="1:30" ht="15.75" customHeight="1">
      <c r="A600" s="10" t="s">
        <v>4182</v>
      </c>
      <c r="B600" s="10" t="s">
        <v>1469</v>
      </c>
      <c r="C600" s="52" t="s">
        <v>868</v>
      </c>
      <c r="D600" s="12"/>
      <c r="E600" s="13" t="s">
        <v>378</v>
      </c>
      <c r="F600" s="6" t="s">
        <v>4183</v>
      </c>
      <c r="G600" s="6" t="str">
        <f ca="1">IFERROR(__xludf.DUMMYFUNCTION("CONCATENATE(B600,(VLOOKUP(C600,CATALOGOS!$F$2:$H$6,3,FALSE)),(VLOOKUP(V600,CATALOGOS!$J$2:$K$18,2,FALSE)),""-"",TO_TEXT(A600))"),"P13SO-0599")</f>
        <v>P13SO-0599</v>
      </c>
      <c r="H600" s="6" t="str">
        <f ca="1">IFERROR(__xludf.DUMMYFUNCTION("CONCATENATE($B600,(VLOOKUP($C600,CATALOGOS!$F$2:$H$6,3,FALSE)),(VLOOKUP($V600,CATALOGOS!$J$2:$K$18,2,FALSE)),""-"",TO_TEXT($A600))"),"P13SO-0599")</f>
        <v>P13SO-0599</v>
      </c>
      <c r="I600" s="6"/>
      <c r="J600" s="6" t="s">
        <v>4184</v>
      </c>
      <c r="K600" s="6" t="s">
        <v>4185</v>
      </c>
      <c r="L600" s="6" t="s">
        <v>4186</v>
      </c>
      <c r="M600" s="6" t="s">
        <v>4187</v>
      </c>
      <c r="N600" s="17"/>
      <c r="O600" s="17"/>
      <c r="P600" s="17" t="str">
        <f t="shared" si="5"/>
        <v>OK</v>
      </c>
      <c r="Q600" s="17" t="s">
        <v>35</v>
      </c>
      <c r="R600" s="6" t="s">
        <v>35</v>
      </c>
      <c r="S600" s="17" t="s">
        <v>36</v>
      </c>
      <c r="T600" s="17" t="s">
        <v>4188</v>
      </c>
      <c r="U600" s="173" t="s">
        <v>38</v>
      </c>
      <c r="V600" s="11" t="s">
        <v>868</v>
      </c>
      <c r="W600" s="20" t="s">
        <v>3451</v>
      </c>
      <c r="X600" s="20" t="s">
        <v>3451</v>
      </c>
      <c r="Y600" s="20"/>
      <c r="Z600" s="6"/>
      <c r="AA600" s="6"/>
      <c r="AB600" s="23"/>
      <c r="AC600" s="24"/>
    </row>
    <row r="601" spans="1:30" ht="15.75" customHeight="1">
      <c r="A601" s="10" t="s">
        <v>4189</v>
      </c>
      <c r="B601" s="10" t="s">
        <v>1469</v>
      </c>
      <c r="C601" s="52" t="s">
        <v>868</v>
      </c>
      <c r="D601" s="12"/>
      <c r="E601" s="13" t="s">
        <v>93</v>
      </c>
      <c r="F601" s="6" t="s">
        <v>4190</v>
      </c>
      <c r="G601" s="15" t="str">
        <f ca="1">IFERROR(__xludf.DUMMYFUNCTION("CONCATENATE(B601,(VLOOKUP(C601,CATALOGOS!$F$2:$H$6,3,FALSE)),(VLOOKUP(V601,CATALOGOS!$J$2:$K$18,2,FALSE)),""-"",TO_TEXT(A601))"),"P13IR-0600")</f>
        <v>P13IR-0600</v>
      </c>
      <c r="H601" s="6" t="str">
        <f ca="1">IFERROR(__xludf.DUMMYFUNCTION("CONCATENATE($B601,(VLOOKUP($C601,CATALOGOS!$F$2:$H$6,3,FALSE)),(VLOOKUP($V601,CATALOGOS!$J$2:$K$18,2,FALSE)),""-"",TO_TEXT($A601))"),"P13IR-0600")</f>
        <v>P13IR-0600</v>
      </c>
      <c r="I601" s="6"/>
      <c r="J601" s="6" t="s">
        <v>4191</v>
      </c>
      <c r="K601" s="6" t="s">
        <v>4192</v>
      </c>
      <c r="L601" s="6" t="s">
        <v>4193</v>
      </c>
      <c r="M601" s="6" t="s">
        <v>4194</v>
      </c>
      <c r="N601" s="17"/>
      <c r="O601" s="17"/>
      <c r="P601" s="17" t="str">
        <f t="shared" si="5"/>
        <v>OK</v>
      </c>
      <c r="Q601" s="17" t="s">
        <v>35</v>
      </c>
      <c r="R601" s="6" t="s">
        <v>35</v>
      </c>
      <c r="S601" s="17" t="s">
        <v>36</v>
      </c>
      <c r="T601" s="17" t="s">
        <v>4195</v>
      </c>
      <c r="U601" s="173" t="s">
        <v>38</v>
      </c>
      <c r="V601" s="11" t="s">
        <v>2381</v>
      </c>
      <c r="W601" s="20" t="s">
        <v>4181</v>
      </c>
      <c r="X601" s="20" t="s">
        <v>4181</v>
      </c>
      <c r="Y601" s="20"/>
      <c r="Z601" s="7"/>
      <c r="AA601" s="7"/>
      <c r="AB601" s="23"/>
      <c r="AC601" s="26"/>
    </row>
    <row r="602" spans="1:30" ht="15.75" customHeight="1">
      <c r="A602" s="10" t="s">
        <v>4196</v>
      </c>
      <c r="B602" s="10" t="s">
        <v>1469</v>
      </c>
      <c r="C602" s="52" t="s">
        <v>868</v>
      </c>
      <c r="D602" s="12"/>
      <c r="E602" s="13" t="s">
        <v>93</v>
      </c>
      <c r="F602" s="6" t="s">
        <v>869</v>
      </c>
      <c r="G602" s="15" t="str">
        <f ca="1">IFERROR(__xludf.DUMMYFUNCTION("CONCATENATE(B602,(VLOOKUP(C602,CATALOGOS!$F$2:$H$6,3,FALSE)),(VLOOKUP(V602,CATALOGOS!$J$2:$K$18,2,FALSE)),""-"",TO_TEXT(A602))"),"P13SO-0601")</f>
        <v>P13SO-0601</v>
      </c>
      <c r="H602" s="6" t="str">
        <f ca="1">IFERROR(__xludf.DUMMYFUNCTION("CONCATENATE($B602,(VLOOKUP($C602,CATALOGOS!$F$2:$H$6,3,FALSE)),(VLOOKUP($V602,CATALOGOS!$J$2:$K$18,2,FALSE)),""-"",TO_TEXT($A602))"),"P13SO-0601")</f>
        <v>P13SO-0601</v>
      </c>
      <c r="I602" s="6"/>
      <c r="J602" s="6" t="s">
        <v>4197</v>
      </c>
      <c r="K602" s="6" t="s">
        <v>4198</v>
      </c>
      <c r="L602" s="6" t="s">
        <v>4199</v>
      </c>
      <c r="M602" s="6" t="s">
        <v>4200</v>
      </c>
      <c r="N602" s="17"/>
      <c r="O602" s="17"/>
      <c r="P602" s="17" t="str">
        <f t="shared" si="5"/>
        <v>OK</v>
      </c>
      <c r="Q602" s="17" t="s">
        <v>35</v>
      </c>
      <c r="R602" s="6" t="s">
        <v>35</v>
      </c>
      <c r="S602" s="17" t="s">
        <v>36</v>
      </c>
      <c r="T602" s="17" t="s">
        <v>4201</v>
      </c>
      <c r="U602" s="173" t="s">
        <v>38</v>
      </c>
      <c r="V602" s="11" t="s">
        <v>868</v>
      </c>
      <c r="W602" s="6" t="s">
        <v>3450</v>
      </c>
      <c r="X602" s="6" t="s">
        <v>4202</v>
      </c>
      <c r="Y602" s="6"/>
      <c r="Z602" s="6"/>
      <c r="AA602" s="6" t="s">
        <v>4203</v>
      </c>
      <c r="AB602" s="23"/>
      <c r="AC602" s="26"/>
    </row>
    <row r="603" spans="1:30" ht="15.75" customHeight="1">
      <c r="A603" s="10" t="s">
        <v>4204</v>
      </c>
      <c r="B603" s="10" t="s">
        <v>1469</v>
      </c>
      <c r="C603" s="52" t="s">
        <v>868</v>
      </c>
      <c r="D603" s="12"/>
      <c r="E603" s="13" t="s">
        <v>199</v>
      </c>
      <c r="F603" s="6" t="s">
        <v>199</v>
      </c>
      <c r="G603" s="15" t="str">
        <f ca="1">IFERROR(__xludf.DUMMYFUNCTION("CONCATENATE(B603,(VLOOKUP(C603,CATALOGOS!$F$2:$H$6,3,FALSE)),(VLOOKUP(V603,CATALOGOS!$J$2:$K$18,2,FALSE)),""-"",TO_TEXT(A603))"),"P13IR-0602")</f>
        <v>P13IR-0602</v>
      </c>
      <c r="H603" s="6" t="str">
        <f ca="1">IFERROR(__xludf.DUMMYFUNCTION("CONCATENATE($B603,(VLOOKUP($C603,CATALOGOS!$F$2:$H$6,3,FALSE)),(VLOOKUP($V603,CATALOGOS!$J$2:$K$18,2,FALSE)),""-"",TO_TEXT($A603))"),"P13IR-0602")</f>
        <v>P13IR-0602</v>
      </c>
      <c r="I603" s="6"/>
      <c r="J603" s="6" t="s">
        <v>4205</v>
      </c>
      <c r="K603" s="6" t="s">
        <v>4206</v>
      </c>
      <c r="L603" s="6" t="s">
        <v>4207</v>
      </c>
      <c r="M603" s="6" t="s">
        <v>141</v>
      </c>
      <c r="N603" s="17"/>
      <c r="O603" s="17"/>
      <c r="P603" s="17" t="str">
        <f t="shared" si="5"/>
        <v>REPETIDO</v>
      </c>
      <c r="Q603" s="17" t="s">
        <v>157</v>
      </c>
      <c r="R603" s="32">
        <v>1592</v>
      </c>
      <c r="S603" s="17" t="s">
        <v>4208</v>
      </c>
      <c r="T603" s="17" t="s">
        <v>4209</v>
      </c>
      <c r="U603" s="179" t="s">
        <v>517</v>
      </c>
      <c r="V603" s="11" t="s">
        <v>2381</v>
      </c>
      <c r="W603" s="20" t="s">
        <v>4181</v>
      </c>
      <c r="X603" s="20" t="s">
        <v>4181</v>
      </c>
      <c r="Y603" s="20"/>
      <c r="Z603" s="6"/>
      <c r="AA603" s="6"/>
      <c r="AB603" s="23"/>
      <c r="AC603" s="7"/>
    </row>
    <row r="604" spans="1:30" ht="15.75" customHeight="1">
      <c r="A604" s="10" t="s">
        <v>4210</v>
      </c>
      <c r="B604" s="10" t="s">
        <v>1469</v>
      </c>
      <c r="C604" s="52" t="s">
        <v>868</v>
      </c>
      <c r="D604" s="12"/>
      <c r="E604" s="13" t="s">
        <v>353</v>
      </c>
      <c r="F604" s="43" t="s">
        <v>354</v>
      </c>
      <c r="G604" s="6" t="str">
        <f ca="1">IFERROR(__xludf.DUMMYFUNCTION("CONCATENATE(B604,(VLOOKUP(C604,CATALOGOS!$F$2:$H$6,3,FALSE)),(VLOOKUP(V604,CATALOGOS!$J$2:$K$18,2,FALSE)),""-"",TO_TEXT(A604))"),"P13LP-0603")</f>
        <v>P13LP-0603</v>
      </c>
      <c r="H604" s="6" t="str">
        <f ca="1">IFERROR(__xludf.DUMMYFUNCTION("CONCATENATE($B604,(VLOOKUP($C604,CATALOGOS!$F$2:$H$6,3,FALSE)),(VLOOKUP($V604,CATALOGOS!$J$2:$K$18,2,FALSE)),""-"",TO_TEXT($A604))"),"P13LP-0603")</f>
        <v>P13LP-0603</v>
      </c>
      <c r="I604" s="6"/>
      <c r="J604" s="6" t="s">
        <v>4211</v>
      </c>
      <c r="K604" s="6" t="s">
        <v>4212</v>
      </c>
      <c r="L604" s="6" t="s">
        <v>4213</v>
      </c>
      <c r="M604" s="6" t="s">
        <v>4214</v>
      </c>
      <c r="N604" s="17"/>
      <c r="O604" s="17"/>
      <c r="P604" s="17" t="str">
        <f t="shared" si="5"/>
        <v>OK</v>
      </c>
      <c r="Q604" s="17" t="s">
        <v>359</v>
      </c>
      <c r="R604" s="6" t="s">
        <v>360</v>
      </c>
      <c r="S604" s="17" t="s">
        <v>36</v>
      </c>
      <c r="T604" s="17" t="s">
        <v>4215</v>
      </c>
      <c r="U604" s="173" t="s">
        <v>38</v>
      </c>
      <c r="V604" s="11" t="s">
        <v>2328</v>
      </c>
      <c r="W604" s="6" t="s">
        <v>4202</v>
      </c>
      <c r="X604" s="6" t="s">
        <v>4202</v>
      </c>
      <c r="Y604" s="6"/>
      <c r="Z604" s="6"/>
      <c r="AA604" s="6" t="s">
        <v>4203</v>
      </c>
      <c r="AB604" s="23"/>
      <c r="AC604" s="26"/>
    </row>
    <row r="605" spans="1:30" ht="15.75" customHeight="1">
      <c r="A605" s="10" t="s">
        <v>4216</v>
      </c>
      <c r="B605" s="10" t="s">
        <v>1469</v>
      </c>
      <c r="C605" s="52" t="s">
        <v>868</v>
      </c>
      <c r="D605" s="38"/>
      <c r="E605" s="13" t="s">
        <v>151</v>
      </c>
      <c r="F605" s="6" t="s">
        <v>152</v>
      </c>
      <c r="G605" s="6" t="str">
        <f ca="1">IFERROR(__xludf.DUMMYFUNCTION("CONCATENATE(B605,(VLOOKUP(C605,CATALOGOS!$F$2:$H$6,3,FALSE)),(VLOOKUP(V605,CATALOGOS!$J$2:$K$18,2,FALSE)),""-"",TO_TEXT(A605))"),"P13LP-0604")</f>
        <v>P13LP-0604</v>
      </c>
      <c r="H605" s="6" t="str">
        <f ca="1">IFERROR(__xludf.DUMMYFUNCTION("CONCATENATE($B605,(VLOOKUP($C605,CATALOGOS!$F$2:$H$6,3,FALSE)),(VLOOKUP($V605,CATALOGOS!$J$2:$K$18,2,FALSE)),""-"",TO_TEXT($A605))"),"P13LP-0604")</f>
        <v>P13LP-0604</v>
      </c>
      <c r="I605" s="6"/>
      <c r="J605" s="6" t="s">
        <v>4217</v>
      </c>
      <c r="K605" s="6" t="s">
        <v>4218</v>
      </c>
      <c r="L605" s="6" t="s">
        <v>4219</v>
      </c>
      <c r="M605" s="6" t="s">
        <v>4220</v>
      </c>
      <c r="N605" s="17"/>
      <c r="O605" s="17"/>
      <c r="P605" s="17" t="str">
        <f t="shared" si="5"/>
        <v>OK</v>
      </c>
      <c r="Q605" s="17" t="s">
        <v>1220</v>
      </c>
      <c r="R605" s="6" t="s">
        <v>720</v>
      </c>
      <c r="S605" s="46" t="s">
        <v>4221</v>
      </c>
      <c r="T605" s="17" t="s">
        <v>4222</v>
      </c>
      <c r="U605" s="173" t="s">
        <v>749</v>
      </c>
      <c r="V605" s="11" t="s">
        <v>2328</v>
      </c>
      <c r="W605" s="6" t="s">
        <v>4202</v>
      </c>
      <c r="X605" s="6" t="s">
        <v>4202</v>
      </c>
      <c r="Y605" s="6"/>
      <c r="Z605" s="6"/>
      <c r="AA605" s="6" t="s">
        <v>4203</v>
      </c>
      <c r="AB605" s="26"/>
      <c r="AC605" s="7"/>
    </row>
    <row r="606" spans="1:30" ht="15.75" customHeight="1">
      <c r="A606" s="10" t="s">
        <v>4223</v>
      </c>
      <c r="B606" s="10" t="s">
        <v>1469</v>
      </c>
      <c r="C606" s="52" t="s">
        <v>868</v>
      </c>
      <c r="D606" s="12"/>
      <c r="E606" s="13" t="s">
        <v>53</v>
      </c>
      <c r="F606" s="6" t="s">
        <v>2362</v>
      </c>
      <c r="G606" s="6" t="str">
        <f ca="1">IFERROR(__xludf.DUMMYFUNCTION("CONCATENATE(B606,(VLOOKUP(C606,CATALOGOS!$F$2:$H$6,3,FALSE)),(VLOOKUP(V606,CATALOGOS!$J$2:$K$18,2,FALSE)),""-"",TO_TEXT(A606))"),"P13IR-0605")</f>
        <v>P13IR-0605</v>
      </c>
      <c r="H606" s="6" t="str">
        <f ca="1">IFERROR(__xludf.DUMMYFUNCTION("CONCATENATE($B606,(VLOOKUP($C606,CATALOGOS!$F$2:$H$6,3,FALSE)),(VLOOKUP($V606,CATALOGOS!$J$2:$K$18,2,FALSE)),""-"",TO_TEXT($A606))"),"P13IR-0605")</f>
        <v>P13IR-0605</v>
      </c>
      <c r="I606" s="6"/>
      <c r="J606" s="6" t="s">
        <v>4224</v>
      </c>
      <c r="K606" s="6" t="s">
        <v>4225</v>
      </c>
      <c r="L606" s="6" t="s">
        <v>4226</v>
      </c>
      <c r="M606" s="6" t="s">
        <v>4227</v>
      </c>
      <c r="N606" s="17"/>
      <c r="O606" s="17"/>
      <c r="P606" s="17" t="str">
        <f t="shared" si="5"/>
        <v>OK</v>
      </c>
      <c r="Q606" s="17" t="s">
        <v>35</v>
      </c>
      <c r="R606" s="6" t="s">
        <v>35</v>
      </c>
      <c r="S606" s="17" t="s">
        <v>36</v>
      </c>
      <c r="T606" s="17" t="s">
        <v>4228</v>
      </c>
      <c r="U606" s="173" t="s">
        <v>38</v>
      </c>
      <c r="V606" s="11" t="s">
        <v>2381</v>
      </c>
      <c r="W606" s="20" t="s">
        <v>3848</v>
      </c>
      <c r="X606" s="20" t="s">
        <v>3848</v>
      </c>
      <c r="Y606" s="20"/>
      <c r="Z606" s="7"/>
      <c r="AA606" s="7"/>
      <c r="AB606" s="23"/>
      <c r="AC606" s="26"/>
    </row>
    <row r="607" spans="1:30" ht="15.75" customHeight="1">
      <c r="A607" s="10" t="s">
        <v>4229</v>
      </c>
      <c r="B607" s="10" t="s">
        <v>1469</v>
      </c>
      <c r="C607" s="52" t="s">
        <v>868</v>
      </c>
      <c r="D607" s="12"/>
      <c r="E607" s="13" t="s">
        <v>93</v>
      </c>
      <c r="F607" s="6" t="s">
        <v>4230</v>
      </c>
      <c r="G607" s="6" t="str">
        <f ca="1">IFERROR(__xludf.DUMMYFUNCTION("CONCATENATE(B607,(VLOOKUP(C607,CATALOGOS!$F$2:$H$6,3,FALSE)),(VLOOKUP(V607,CATALOGOS!$J$2:$K$18,2,FALSE)),""-"",TO_TEXT(A607))"),"P13IR-0606")</f>
        <v>P13IR-0606</v>
      </c>
      <c r="H607" s="6" t="str">
        <f ca="1">IFERROR(__xludf.DUMMYFUNCTION("CONCATENATE($B607,(VLOOKUP($C607,CATALOGOS!$F$2:$H$6,3,FALSE)),(VLOOKUP($V607,CATALOGOS!$J$2:$K$18,2,FALSE)),""-"",TO_TEXT($A607))"),"P13IR-0606")</f>
        <v>P13IR-0606</v>
      </c>
      <c r="I607" s="6"/>
      <c r="J607" s="6" t="s">
        <v>4231</v>
      </c>
      <c r="K607" s="6" t="s">
        <v>4232</v>
      </c>
      <c r="L607" s="6" t="s">
        <v>4233</v>
      </c>
      <c r="M607" s="6" t="s">
        <v>4234</v>
      </c>
      <c r="N607" s="17"/>
      <c r="O607" s="17"/>
      <c r="P607" s="17" t="str">
        <f t="shared" si="5"/>
        <v>OK</v>
      </c>
      <c r="Q607" s="17" t="s">
        <v>35</v>
      </c>
      <c r="R607" s="6" t="s">
        <v>35</v>
      </c>
      <c r="S607" s="17" t="s">
        <v>36</v>
      </c>
      <c r="T607" s="17" t="s">
        <v>4235</v>
      </c>
      <c r="U607" s="173" t="s">
        <v>38</v>
      </c>
      <c r="V607" s="11" t="s">
        <v>2381</v>
      </c>
      <c r="W607" s="20" t="s">
        <v>3848</v>
      </c>
      <c r="X607" s="20" t="s">
        <v>3848</v>
      </c>
      <c r="Y607" s="20"/>
      <c r="Z607" s="7"/>
      <c r="AA607" s="7"/>
      <c r="AB607" s="23"/>
      <c r="AC607" s="26"/>
    </row>
    <row r="608" spans="1:30" ht="15.75" customHeight="1">
      <c r="A608" s="10" t="s">
        <v>4236</v>
      </c>
      <c r="B608" s="10" t="s">
        <v>1469</v>
      </c>
      <c r="C608" s="52" t="s">
        <v>868</v>
      </c>
      <c r="D608" s="12"/>
      <c r="E608" s="13" t="s">
        <v>378</v>
      </c>
      <c r="F608" s="6" t="s">
        <v>1306</v>
      </c>
      <c r="G608" s="6" t="str">
        <f ca="1">IFERROR(__xludf.DUMMYFUNCTION("CONCATENATE(B608,(VLOOKUP(C608,CATALOGOS!$F$2:$H$6,3,FALSE)),(VLOOKUP(V608,CATALOGOS!$J$2:$K$18,2,FALSE)),""-"",TO_TEXT(A608))"),"P13IR-0607")</f>
        <v>P13IR-0607</v>
      </c>
      <c r="H608" s="6" t="str">
        <f ca="1">IFERROR(__xludf.DUMMYFUNCTION("CONCATENATE($B608,(VLOOKUP($C608,CATALOGOS!$F$2:$H$6,3,FALSE)),(VLOOKUP($V608,CATALOGOS!$J$2:$K$18,2,FALSE)),""-"",TO_TEXT($A608))"),"P13IR-0607")</f>
        <v>P13IR-0607</v>
      </c>
      <c r="I608" s="6"/>
      <c r="J608" s="6" t="s">
        <v>4237</v>
      </c>
      <c r="K608" s="6" t="s">
        <v>4238</v>
      </c>
      <c r="L608" s="6" t="s">
        <v>4239</v>
      </c>
      <c r="M608" s="6" t="s">
        <v>4240</v>
      </c>
      <c r="N608" s="17"/>
      <c r="O608" s="17"/>
      <c r="P608" s="17" t="str">
        <f t="shared" si="5"/>
        <v>OK</v>
      </c>
      <c r="Q608" s="17" t="s">
        <v>35</v>
      </c>
      <c r="R608" s="6" t="s">
        <v>35</v>
      </c>
      <c r="S608" s="17" t="s">
        <v>36</v>
      </c>
      <c r="T608" s="17" t="s">
        <v>4241</v>
      </c>
      <c r="U608" s="173" t="s">
        <v>38</v>
      </c>
      <c r="V608" s="11" t="s">
        <v>2381</v>
      </c>
      <c r="W608" s="20" t="s">
        <v>3848</v>
      </c>
      <c r="X608" s="20" t="s">
        <v>3848</v>
      </c>
      <c r="Y608" s="20"/>
      <c r="Z608" s="7"/>
      <c r="AA608" s="7"/>
      <c r="AB608" s="23"/>
      <c r="AC608" s="26"/>
    </row>
    <row r="609" spans="1:29" ht="15.75" customHeight="1">
      <c r="A609" s="10" t="s">
        <v>4242</v>
      </c>
      <c r="B609" s="10" t="s">
        <v>1469</v>
      </c>
      <c r="C609" s="52" t="s">
        <v>868</v>
      </c>
      <c r="D609" s="12"/>
      <c r="E609" s="13" t="s">
        <v>29</v>
      </c>
      <c r="F609" s="6" t="s">
        <v>4243</v>
      </c>
      <c r="G609" s="6" t="str">
        <f ca="1">IFERROR(__xludf.DUMMYFUNCTION("CONCATENATE(B609,(VLOOKUP(C609,CATALOGOS!$F$2:$H$6,3,FALSE)),(VLOOKUP(V609,CATALOGOS!$J$2:$K$18,2,FALSE)),""-"",TO_TEXT(A609))"),"P13IR-0608")</f>
        <v>P13IR-0608</v>
      </c>
      <c r="H609" s="6" t="str">
        <f ca="1">IFERROR(__xludf.DUMMYFUNCTION("CONCATENATE($B609,(VLOOKUP($C609,CATALOGOS!$F$2:$H$6,3,FALSE)),(VLOOKUP($V609,CATALOGOS!$J$2:$K$18,2,FALSE)),""-"",TO_TEXT($A609))"),"P13IR-0608")</f>
        <v>P13IR-0608</v>
      </c>
      <c r="I609" s="6"/>
      <c r="J609" s="6" t="s">
        <v>4244</v>
      </c>
      <c r="K609" s="6" t="s">
        <v>4245</v>
      </c>
      <c r="L609" s="6" t="s">
        <v>4246</v>
      </c>
      <c r="M609" s="6" t="s">
        <v>4247</v>
      </c>
      <c r="N609" s="17"/>
      <c r="O609" s="17"/>
      <c r="P609" s="17" t="str">
        <f t="shared" si="5"/>
        <v>OK</v>
      </c>
      <c r="Q609" s="17" t="s">
        <v>35</v>
      </c>
      <c r="R609" s="6" t="s">
        <v>35</v>
      </c>
      <c r="S609" s="17" t="s">
        <v>36</v>
      </c>
      <c r="T609" s="17" t="s">
        <v>4248</v>
      </c>
      <c r="U609" s="173" t="s">
        <v>38</v>
      </c>
      <c r="V609" s="11" t="s">
        <v>2381</v>
      </c>
      <c r="W609" s="20" t="s">
        <v>3848</v>
      </c>
      <c r="X609" s="20" t="s">
        <v>3848</v>
      </c>
      <c r="Y609" s="20"/>
      <c r="Z609" s="7"/>
      <c r="AA609" s="7"/>
      <c r="AB609" s="23"/>
      <c r="AC609" s="26"/>
    </row>
    <row r="610" spans="1:29" ht="15.75" customHeight="1">
      <c r="A610" s="10" t="s">
        <v>4249</v>
      </c>
      <c r="B610" s="10" t="s">
        <v>1469</v>
      </c>
      <c r="C610" s="52" t="s">
        <v>868</v>
      </c>
      <c r="D610" s="12"/>
      <c r="E610" s="13" t="s">
        <v>62</v>
      </c>
      <c r="F610" s="6" t="s">
        <v>4250</v>
      </c>
      <c r="G610" s="6" t="str">
        <f ca="1">IFERROR(__xludf.DUMMYFUNCTION("CONCATENATE(B610,(VLOOKUP(C610,CATALOGOS!$F$2:$H$6,3,FALSE)),(VLOOKUP(V610,CATALOGOS!$J$2:$K$18,2,FALSE)),""-"",TO_TEXT(A610))"),"P13IR-0609")</f>
        <v>P13IR-0609</v>
      </c>
      <c r="H610" s="6" t="str">
        <f ca="1">IFERROR(__xludf.DUMMYFUNCTION("CONCATENATE($B610,(VLOOKUP($C610,CATALOGOS!$F$2:$H$6,3,FALSE)),(VLOOKUP($V610,CATALOGOS!$J$2:$K$18,2,FALSE)),""-"",TO_TEXT($A610))"),"P13IR-0609")</f>
        <v>P13IR-0609</v>
      </c>
      <c r="I610" s="6"/>
      <c r="J610" s="6" t="s">
        <v>4251</v>
      </c>
      <c r="K610" s="6" t="s">
        <v>4252</v>
      </c>
      <c r="L610" s="6" t="s">
        <v>4253</v>
      </c>
      <c r="M610" s="6" t="s">
        <v>4254</v>
      </c>
      <c r="N610" s="17"/>
      <c r="O610" s="17"/>
      <c r="P610" s="17" t="str">
        <f t="shared" si="5"/>
        <v>OK</v>
      </c>
      <c r="Q610" s="17" t="s">
        <v>35</v>
      </c>
      <c r="R610" s="6" t="s">
        <v>35</v>
      </c>
      <c r="S610" s="17" t="s">
        <v>36</v>
      </c>
      <c r="T610" s="17" t="s">
        <v>4255</v>
      </c>
      <c r="U610" s="173" t="s">
        <v>38</v>
      </c>
      <c r="V610" s="11" t="s">
        <v>2381</v>
      </c>
      <c r="W610" s="20" t="s">
        <v>3848</v>
      </c>
      <c r="X610" s="20" t="s">
        <v>3848</v>
      </c>
      <c r="Y610" s="20"/>
      <c r="Z610" s="7"/>
      <c r="AA610" s="7"/>
      <c r="AB610" s="23"/>
      <c r="AC610" s="26"/>
    </row>
    <row r="611" spans="1:29" ht="15.75" customHeight="1">
      <c r="A611" s="10" t="s">
        <v>4256</v>
      </c>
      <c r="B611" s="10" t="s">
        <v>1469</v>
      </c>
      <c r="C611" s="52" t="s">
        <v>868</v>
      </c>
      <c r="D611" s="12"/>
      <c r="E611" s="13" t="s">
        <v>71</v>
      </c>
      <c r="F611" s="6" t="s">
        <v>4257</v>
      </c>
      <c r="G611" s="6" t="str">
        <f ca="1">IFERROR(__xludf.DUMMYFUNCTION("CONCATENATE(B611,(VLOOKUP(C611,CATALOGOS!$F$2:$H$6,3,FALSE)),(VLOOKUP(V611,CATALOGOS!$J$2:$K$18,2,FALSE)),""-"",TO_TEXT(A611))"),"P13IR-0610")</f>
        <v>P13IR-0610</v>
      </c>
      <c r="H611" s="6" t="str">
        <f ca="1">IFERROR(__xludf.DUMMYFUNCTION("CONCATENATE($B611,(VLOOKUP($C611,CATALOGOS!$F$2:$H$6,3,FALSE)),(VLOOKUP($V611,CATALOGOS!$J$2:$K$18,2,FALSE)),""-"",TO_TEXT($A611))"),"P13IR-0610")</f>
        <v>P13IR-0610</v>
      </c>
      <c r="I611" s="6"/>
      <c r="J611" s="6" t="s">
        <v>4258</v>
      </c>
      <c r="K611" s="6" t="s">
        <v>4259</v>
      </c>
      <c r="L611" s="6" t="s">
        <v>4260</v>
      </c>
      <c r="M611" s="6" t="s">
        <v>4261</v>
      </c>
      <c r="N611" s="17"/>
      <c r="O611" s="17"/>
      <c r="P611" s="17" t="str">
        <f t="shared" si="5"/>
        <v>OK</v>
      </c>
      <c r="Q611" s="17" t="s">
        <v>35</v>
      </c>
      <c r="R611" s="6" t="s">
        <v>35</v>
      </c>
      <c r="S611" s="17" t="s">
        <v>36</v>
      </c>
      <c r="T611" s="17" t="s">
        <v>4262</v>
      </c>
      <c r="U611" s="173" t="s">
        <v>38</v>
      </c>
      <c r="V611" s="11" t="s">
        <v>2381</v>
      </c>
      <c r="W611" s="20" t="s">
        <v>3848</v>
      </c>
      <c r="X611" s="20" t="s">
        <v>3848</v>
      </c>
      <c r="Y611" s="20"/>
      <c r="Z611" s="7"/>
      <c r="AA611" s="7"/>
      <c r="AB611" s="23"/>
      <c r="AC611" s="26"/>
    </row>
    <row r="612" spans="1:29" ht="15.75" customHeight="1">
      <c r="A612" s="10" t="s">
        <v>4263</v>
      </c>
      <c r="B612" s="10" t="s">
        <v>1469</v>
      </c>
      <c r="C612" s="52" t="s">
        <v>868</v>
      </c>
      <c r="D612" s="12"/>
      <c r="E612" s="13" t="s">
        <v>116</v>
      </c>
      <c r="F612" s="6" t="s">
        <v>4264</v>
      </c>
      <c r="G612" s="6" t="str">
        <f ca="1">IFERROR(__xludf.DUMMYFUNCTION("CONCATENATE(B612,(VLOOKUP(C612,CATALOGOS!$F$2:$H$6,3,FALSE)),(VLOOKUP(V612,CATALOGOS!$J$2:$K$18,2,FALSE)),""-"",TO_TEXT(A612))"),"P13IR-0611")</f>
        <v>P13IR-0611</v>
      </c>
      <c r="H612" s="6" t="str">
        <f ca="1">IFERROR(__xludf.DUMMYFUNCTION("CONCATENATE($B612,(VLOOKUP($C612,CATALOGOS!$F$2:$H$6,3,FALSE)),(VLOOKUP($V612,CATALOGOS!$J$2:$K$18,2,FALSE)),""-"",TO_TEXT($A612))"),"P13IR-0611")</f>
        <v>P13IR-0611</v>
      </c>
      <c r="I612" s="6"/>
      <c r="J612" s="6" t="s">
        <v>4265</v>
      </c>
      <c r="K612" s="6" t="s">
        <v>4266</v>
      </c>
      <c r="L612" s="6" t="s">
        <v>4267</v>
      </c>
      <c r="M612" s="6" t="s">
        <v>4268</v>
      </c>
      <c r="N612" s="17"/>
      <c r="O612" s="17"/>
      <c r="P612" s="17" t="str">
        <f t="shared" si="5"/>
        <v>OK</v>
      </c>
      <c r="Q612" s="17" t="s">
        <v>35</v>
      </c>
      <c r="R612" s="6" t="s">
        <v>35</v>
      </c>
      <c r="S612" s="17" t="s">
        <v>36</v>
      </c>
      <c r="T612" s="17" t="s">
        <v>4269</v>
      </c>
      <c r="U612" s="173" t="s">
        <v>38</v>
      </c>
      <c r="V612" s="11" t="s">
        <v>2381</v>
      </c>
      <c r="W612" s="20" t="s">
        <v>3848</v>
      </c>
      <c r="X612" s="20" t="s">
        <v>3848</v>
      </c>
      <c r="Y612" s="20"/>
      <c r="Z612" s="7"/>
      <c r="AA612" s="7"/>
      <c r="AB612" s="23"/>
      <c r="AC612" s="26"/>
    </row>
    <row r="613" spans="1:29" ht="15.75" customHeight="1">
      <c r="A613" s="10" t="s">
        <v>4270</v>
      </c>
      <c r="B613" s="10" t="s">
        <v>1469</v>
      </c>
      <c r="C613" s="52" t="s">
        <v>868</v>
      </c>
      <c r="D613" s="12"/>
      <c r="E613" s="13" t="s">
        <v>136</v>
      </c>
      <c r="F613" s="43" t="s">
        <v>136</v>
      </c>
      <c r="G613" s="6" t="str">
        <f ca="1">IFERROR(__xludf.DUMMYFUNCTION("CONCATENATE(B613,(VLOOKUP(C613,CATALOGOS!$F$2:$H$6,3,FALSE)),(VLOOKUP(V613,CATALOGOS!$J$2:$K$18,2,FALSE)),""-"",TO_TEXT(A613))"),"P13IR-0612")</f>
        <v>P13IR-0612</v>
      </c>
      <c r="H613" s="6" t="str">
        <f ca="1">IFERROR(__xludf.DUMMYFUNCTION("CONCATENATE($B613,(VLOOKUP($C613,CATALOGOS!$F$2:$H$6,3,FALSE)),(VLOOKUP($V613,CATALOGOS!$J$2:$K$18,2,FALSE)),""-"",TO_TEXT($A613))"),"P13IR-0612")</f>
        <v>P13IR-0612</v>
      </c>
      <c r="I613" s="6"/>
      <c r="J613" s="6" t="s">
        <v>4271</v>
      </c>
      <c r="K613" s="6" t="s">
        <v>4272</v>
      </c>
      <c r="L613" s="6" t="s">
        <v>4273</v>
      </c>
      <c r="M613" s="6" t="s">
        <v>4274</v>
      </c>
      <c r="N613" s="17"/>
      <c r="O613" s="17"/>
      <c r="P613" s="17" t="str">
        <f t="shared" si="5"/>
        <v>OK</v>
      </c>
      <c r="Q613" s="17" t="s">
        <v>703</v>
      </c>
      <c r="R613" s="6" t="s">
        <v>4275</v>
      </c>
      <c r="S613" s="17" t="s">
        <v>4276</v>
      </c>
      <c r="T613" s="10" t="s">
        <v>4277</v>
      </c>
      <c r="U613" s="173" t="s">
        <v>38</v>
      </c>
      <c r="V613" s="11" t="s">
        <v>2381</v>
      </c>
      <c r="W613" s="20" t="s">
        <v>3848</v>
      </c>
      <c r="X613" s="20" t="s">
        <v>3848</v>
      </c>
      <c r="Y613" s="20"/>
      <c r="Z613" s="7"/>
      <c r="AA613" s="7"/>
      <c r="AB613" s="23"/>
      <c r="AC613" s="26"/>
    </row>
    <row r="614" spans="1:29" ht="15.75" customHeight="1">
      <c r="A614" s="10" t="s">
        <v>4278</v>
      </c>
      <c r="B614" s="10" t="s">
        <v>1469</v>
      </c>
      <c r="C614" s="52" t="s">
        <v>868</v>
      </c>
      <c r="D614" s="12"/>
      <c r="E614" s="13" t="s">
        <v>151</v>
      </c>
      <c r="F614" s="6" t="s">
        <v>152</v>
      </c>
      <c r="G614" s="6" t="str">
        <f ca="1">IFERROR(__xludf.DUMMYFUNCTION("CONCATENATE(B614,(VLOOKUP(C614,CATALOGOS!$F$2:$H$6,3,FALSE)),(VLOOKUP(V614,CATALOGOS!$J$2:$K$18,2,FALSE)),""-"",TO_TEXT(A614))"),"P13IR-0613")</f>
        <v>P13IR-0613</v>
      </c>
      <c r="H614" s="6" t="str">
        <f ca="1">IFERROR(__xludf.DUMMYFUNCTION("CONCATENATE($B614,(VLOOKUP($C614,CATALOGOS!$F$2:$H$6,3,FALSE)),(VLOOKUP($V614,CATALOGOS!$J$2:$K$18,2,FALSE)),""-"",TO_TEXT($A614))"),"P13IR-0613")</f>
        <v>P13IR-0613</v>
      </c>
      <c r="I614" s="6"/>
      <c r="J614" s="6" t="s">
        <v>4279</v>
      </c>
      <c r="K614" s="6" t="s">
        <v>4280</v>
      </c>
      <c r="L614" s="6" t="s">
        <v>4281</v>
      </c>
      <c r="M614" s="6" t="s">
        <v>4282</v>
      </c>
      <c r="N614" s="17"/>
      <c r="O614" s="17"/>
      <c r="P614" s="17" t="str">
        <f t="shared" si="5"/>
        <v>OK</v>
      </c>
      <c r="Q614" s="17" t="s">
        <v>1220</v>
      </c>
      <c r="R614" s="6" t="s">
        <v>720</v>
      </c>
      <c r="S614" s="17" t="s">
        <v>4283</v>
      </c>
      <c r="T614" s="17" t="s">
        <v>4284</v>
      </c>
      <c r="U614" s="173" t="s">
        <v>38</v>
      </c>
      <c r="V614" s="11" t="s">
        <v>2381</v>
      </c>
      <c r="W614" s="20" t="s">
        <v>3848</v>
      </c>
      <c r="X614" s="20" t="s">
        <v>3848</v>
      </c>
      <c r="Y614" s="20"/>
      <c r="Z614" s="7"/>
      <c r="AA614" s="7"/>
      <c r="AB614" s="23"/>
      <c r="AC614" s="26"/>
    </row>
    <row r="615" spans="1:29" ht="15.75" customHeight="1">
      <c r="A615" s="10" t="s">
        <v>4285</v>
      </c>
      <c r="B615" s="10" t="s">
        <v>1469</v>
      </c>
      <c r="C615" s="52" t="s">
        <v>868</v>
      </c>
      <c r="D615" s="12"/>
      <c r="E615" s="13" t="s">
        <v>199</v>
      </c>
      <c r="F615" s="43" t="s">
        <v>1394</v>
      </c>
      <c r="G615" s="6" t="str">
        <f ca="1">IFERROR(__xludf.DUMMYFUNCTION("CONCATENATE(B615,(VLOOKUP(C615,CATALOGOS!$F$2:$H$6,3,FALSE)),(VLOOKUP(V615,CATALOGOS!$J$2:$K$18,2,FALSE)),""-"",TO_TEXT(A615))"),"P13IR-0614")</f>
        <v>P13IR-0614</v>
      </c>
      <c r="H615" s="6" t="str">
        <f ca="1">IFERROR(__xludf.DUMMYFUNCTION("CONCATENATE($B615,(VLOOKUP($C615,CATALOGOS!$F$2:$H$6,3,FALSE)),(VLOOKUP($V615,CATALOGOS!$J$2:$K$18,2,FALSE)),""-"",TO_TEXT($A615))"),"P13IR-0614")</f>
        <v>P13IR-0614</v>
      </c>
      <c r="I615" s="6"/>
      <c r="J615" s="6" t="s">
        <v>4286</v>
      </c>
      <c r="K615" s="6" t="s">
        <v>4287</v>
      </c>
      <c r="L615" s="6" t="s">
        <v>4288</v>
      </c>
      <c r="M615" s="6" t="s">
        <v>4289</v>
      </c>
      <c r="N615" s="17"/>
      <c r="O615" s="17"/>
      <c r="P615" s="17" t="str">
        <f t="shared" si="5"/>
        <v>OK</v>
      </c>
      <c r="Q615" s="17" t="s">
        <v>157</v>
      </c>
      <c r="R615" s="6">
        <v>2378</v>
      </c>
      <c r="S615" s="17" t="s">
        <v>4290</v>
      </c>
      <c r="T615" s="10" t="s">
        <v>4291</v>
      </c>
      <c r="U615" s="173" t="s">
        <v>38</v>
      </c>
      <c r="V615" s="11" t="s">
        <v>2381</v>
      </c>
      <c r="W615" s="20" t="s">
        <v>3848</v>
      </c>
      <c r="X615" s="20" t="s">
        <v>3848</v>
      </c>
      <c r="Y615" s="20"/>
      <c r="Z615" s="7"/>
      <c r="AA615" s="7"/>
      <c r="AB615" s="23"/>
      <c r="AC615" s="26"/>
    </row>
    <row r="616" spans="1:29" ht="15.75" customHeight="1">
      <c r="A616" s="10" t="s">
        <v>4292</v>
      </c>
      <c r="B616" s="10" t="s">
        <v>1469</v>
      </c>
      <c r="C616" s="52" t="s">
        <v>868</v>
      </c>
      <c r="D616" s="12"/>
      <c r="E616" s="13" t="s">
        <v>43</v>
      </c>
      <c r="F616" s="43" t="s">
        <v>43</v>
      </c>
      <c r="G616" s="6" t="str">
        <f ca="1">IFERROR(__xludf.DUMMYFUNCTION("CONCATENATE(B616,(VLOOKUP(C616,CATALOGOS!$F$2:$H$6,3,FALSE)),(VLOOKUP(V616,CATALOGOS!$J$2:$K$18,2,FALSE)),""-"",TO_TEXT(A616))"),"P13IR-0615")</f>
        <v>P13IR-0615</v>
      </c>
      <c r="H616" s="6" t="str">
        <f ca="1">IFERROR(__xludf.DUMMYFUNCTION("CONCATENATE($B616,(VLOOKUP($C616,CATALOGOS!$F$2:$H$6,3,FALSE)),(VLOOKUP($V616,CATALOGOS!$J$2:$K$18,2,FALSE)),""-"",TO_TEXT($A616))"),"P13IR-0615")</f>
        <v>P13IR-0615</v>
      </c>
      <c r="I616" s="6"/>
      <c r="J616" s="6" t="s">
        <v>4293</v>
      </c>
      <c r="K616" s="6" t="s">
        <v>4294</v>
      </c>
      <c r="L616" s="6" t="s">
        <v>4295</v>
      </c>
      <c r="M616" s="6" t="s">
        <v>4296</v>
      </c>
      <c r="N616" s="17"/>
      <c r="O616" s="17"/>
      <c r="P616" s="17" t="str">
        <f t="shared" si="5"/>
        <v>OK</v>
      </c>
      <c r="Q616" s="17" t="s">
        <v>49</v>
      </c>
      <c r="R616" s="6" t="s">
        <v>4297</v>
      </c>
      <c r="S616" s="17" t="s">
        <v>36</v>
      </c>
      <c r="T616" s="17" t="s">
        <v>4298</v>
      </c>
      <c r="U616" s="173" t="s">
        <v>38</v>
      </c>
      <c r="V616" s="11" t="s">
        <v>2381</v>
      </c>
      <c r="W616" s="20" t="s">
        <v>3848</v>
      </c>
      <c r="X616" s="20" t="s">
        <v>3848</v>
      </c>
      <c r="Y616" s="20"/>
      <c r="Z616" s="7"/>
      <c r="AA616" s="7"/>
      <c r="AB616" s="23"/>
      <c r="AC616" s="26"/>
    </row>
    <row r="617" spans="1:29" ht="15.75" customHeight="1">
      <c r="A617" s="10" t="s">
        <v>4299</v>
      </c>
      <c r="B617" s="10" t="s">
        <v>1469</v>
      </c>
      <c r="C617" s="52" t="s">
        <v>868</v>
      </c>
      <c r="D617" s="12"/>
      <c r="E617" s="13" t="s">
        <v>353</v>
      </c>
      <c r="F617" s="43" t="s">
        <v>638</v>
      </c>
      <c r="G617" s="6" t="str">
        <f ca="1">IFERROR(__xludf.DUMMYFUNCTION("CONCATENATE(B617,(VLOOKUP(C617,CATALOGOS!$F$2:$H$6,3,FALSE)),(VLOOKUP(V617,CATALOGOS!$J$2:$K$18,2,FALSE)),""-"",TO_TEXT(A617))"),"P13IR-0616")</f>
        <v>P13IR-0616</v>
      </c>
      <c r="H617" s="6" t="str">
        <f ca="1">IFERROR(__xludf.DUMMYFUNCTION("CONCATENATE($B617,(VLOOKUP($C617,CATALOGOS!$F$2:$H$6,3,FALSE)),(VLOOKUP($V617,CATALOGOS!$J$2:$K$18,2,FALSE)),""-"",TO_TEXT($A617))"),"P13IR-0616")</f>
        <v>P13IR-0616</v>
      </c>
      <c r="I617" s="6"/>
      <c r="J617" s="6" t="s">
        <v>4300</v>
      </c>
      <c r="K617" s="6" t="s">
        <v>4301</v>
      </c>
      <c r="L617" s="6" t="s">
        <v>4302</v>
      </c>
      <c r="M617" s="6" t="s">
        <v>4303</v>
      </c>
      <c r="N617" s="17"/>
      <c r="O617" s="17"/>
      <c r="P617" s="17" t="str">
        <f t="shared" si="5"/>
        <v>OK</v>
      </c>
      <c r="Q617" s="17" t="s">
        <v>359</v>
      </c>
      <c r="R617" s="6">
        <v>1200</v>
      </c>
      <c r="S617" s="17" t="s">
        <v>4304</v>
      </c>
      <c r="T617" s="17" t="s">
        <v>4305</v>
      </c>
      <c r="U617" s="173" t="s">
        <v>38</v>
      </c>
      <c r="V617" s="11" t="s">
        <v>2381</v>
      </c>
      <c r="W617" s="20" t="s">
        <v>3848</v>
      </c>
      <c r="X617" s="20" t="s">
        <v>3848</v>
      </c>
      <c r="Y617" s="20"/>
      <c r="Z617" s="7"/>
      <c r="AA617" s="7"/>
      <c r="AB617" s="23"/>
      <c r="AC617" s="26"/>
    </row>
    <row r="618" spans="1:29" ht="15.75" customHeight="1">
      <c r="A618" s="10" t="s">
        <v>4306</v>
      </c>
      <c r="B618" s="10" t="s">
        <v>1469</v>
      </c>
      <c r="C618" s="52" t="s">
        <v>868</v>
      </c>
      <c r="D618" s="12"/>
      <c r="E618" s="13" t="s">
        <v>378</v>
      </c>
      <c r="F618" s="43" t="s">
        <v>379</v>
      </c>
      <c r="G618" s="6" t="str">
        <f ca="1">IFERROR(__xludf.DUMMYFUNCTION("CONCATENATE(B618,(VLOOKUP(C618,CATALOGOS!$F$2:$H$6,3,FALSE)),(VLOOKUP(V618,CATALOGOS!$J$2:$K$18,2,FALSE)),""-"",TO_TEXT(A618))"),"P13LP-0617")</f>
        <v>P13LP-0617</v>
      </c>
      <c r="H618" s="6" t="str">
        <f ca="1">IFERROR(__xludf.DUMMYFUNCTION("CONCATENATE($B618,(VLOOKUP($C618,CATALOGOS!$F$2:$H$6,3,FALSE)),(VLOOKUP($V618,CATALOGOS!$J$2:$K$18,2,FALSE)),""-"",TO_TEXT($A618))"),"P13LP-0617")</f>
        <v>P13LP-0617</v>
      </c>
      <c r="I618" s="6"/>
      <c r="J618" s="6" t="s">
        <v>4307</v>
      </c>
      <c r="K618" s="6" t="s">
        <v>4308</v>
      </c>
      <c r="L618" s="6" t="s">
        <v>4309</v>
      </c>
      <c r="M618" s="6" t="s">
        <v>4310</v>
      </c>
      <c r="N618" s="17"/>
      <c r="O618" s="17"/>
      <c r="P618" s="17" t="str">
        <f t="shared" si="5"/>
        <v>OK</v>
      </c>
      <c r="Q618" s="17" t="s">
        <v>35</v>
      </c>
      <c r="R618" s="6" t="s">
        <v>35</v>
      </c>
      <c r="S618" s="17" t="s">
        <v>36</v>
      </c>
      <c r="T618" s="17" t="s">
        <v>4311</v>
      </c>
      <c r="U618" s="173" t="s">
        <v>38</v>
      </c>
      <c r="V618" s="11" t="s">
        <v>2328</v>
      </c>
      <c r="W618" s="20" t="s">
        <v>4313</v>
      </c>
      <c r="X618" s="20" t="s">
        <v>4313</v>
      </c>
      <c r="Y618" s="20"/>
      <c r="Z618" s="7"/>
      <c r="AA618" s="7"/>
      <c r="AB618" s="23"/>
      <c r="AC618" s="26"/>
    </row>
    <row r="619" spans="1:29" ht="15.75" customHeight="1">
      <c r="A619" s="10" t="s">
        <v>4314</v>
      </c>
      <c r="B619" s="10" t="s">
        <v>1469</v>
      </c>
      <c r="C619" s="52" t="s">
        <v>868</v>
      </c>
      <c r="D619" s="12"/>
      <c r="E619" s="13" t="s">
        <v>1240</v>
      </c>
      <c r="F619" s="43" t="s">
        <v>278</v>
      </c>
      <c r="G619" s="6" t="str">
        <f ca="1">IFERROR(__xludf.DUMMYFUNCTION("CONCATENATE(B619,(VLOOKUP(C619,CATALOGOS!$F$2:$H$6,3,FALSE)),(VLOOKUP(V619,CATALOGOS!$J$2:$K$18,2,FALSE)),""-"",TO_TEXT(A619))"),"P13IR-0618")</f>
        <v>P13IR-0618</v>
      </c>
      <c r="H619" s="6" t="str">
        <f ca="1">IFERROR(__xludf.DUMMYFUNCTION("CONCATENATE($B619,(VLOOKUP($C619,CATALOGOS!$F$2:$H$6,3,FALSE)),(VLOOKUP($V619,CATALOGOS!$J$2:$K$18,2,FALSE)),""-"",TO_TEXT($A619))"),"P13IR-0618")</f>
        <v>P13IR-0618</v>
      </c>
      <c r="I619" s="6"/>
      <c r="J619" s="6" t="s">
        <v>4315</v>
      </c>
      <c r="K619" s="6" t="s">
        <v>4316</v>
      </c>
      <c r="L619" s="6" t="s">
        <v>4317</v>
      </c>
      <c r="M619" s="6" t="s">
        <v>4318</v>
      </c>
      <c r="N619" s="17"/>
      <c r="O619" s="17"/>
      <c r="P619" s="17" t="str">
        <f t="shared" si="5"/>
        <v>OK</v>
      </c>
      <c r="Q619" s="17" t="s">
        <v>35</v>
      </c>
      <c r="R619" s="6" t="s">
        <v>35</v>
      </c>
      <c r="S619" s="17" t="s">
        <v>36</v>
      </c>
      <c r="T619" s="17" t="s">
        <v>4319</v>
      </c>
      <c r="U619" s="173" t="s">
        <v>38</v>
      </c>
      <c r="V619" s="11" t="s">
        <v>2381</v>
      </c>
      <c r="W619" s="20" t="s">
        <v>3848</v>
      </c>
      <c r="X619" s="20" t="s">
        <v>3848</v>
      </c>
      <c r="Y619" s="20"/>
      <c r="Z619" s="7"/>
      <c r="AA619" s="7"/>
      <c r="AB619" s="23"/>
      <c r="AC619" s="26"/>
    </row>
    <row r="620" spans="1:29" ht="15.75" customHeight="1">
      <c r="A620" s="10" t="s">
        <v>4320</v>
      </c>
      <c r="B620" s="10" t="s">
        <v>1469</v>
      </c>
      <c r="C620" s="52" t="s">
        <v>868</v>
      </c>
      <c r="D620" s="38"/>
      <c r="E620" s="13" t="s">
        <v>29</v>
      </c>
      <c r="F620" s="43" t="s">
        <v>1166</v>
      </c>
      <c r="G620" s="6" t="str">
        <f ca="1">IFERROR(__xludf.DUMMYFUNCTION("CONCATENATE(B620,(VLOOKUP(C620,CATALOGOS!$F$2:$H$6,3,FALSE)),(VLOOKUP(V620,CATALOGOS!$J$2:$K$18,2,FALSE)),""-"",TO_TEXT(A620))"),"P13IR-0619")</f>
        <v>P13IR-0619</v>
      </c>
      <c r="H620" s="6" t="str">
        <f ca="1">IFERROR(__xludf.DUMMYFUNCTION("CONCATENATE($B620,(VLOOKUP($C620,CATALOGOS!$F$2:$H$6,3,FALSE)),(VLOOKUP($V620,CATALOGOS!$J$2:$K$18,2,FALSE)),""-"",TO_TEXT($A620))"),"P13IR-0619")</f>
        <v>P13IR-0619</v>
      </c>
      <c r="I620" s="6"/>
      <c r="J620" s="6" t="s">
        <v>4321</v>
      </c>
      <c r="K620" s="54"/>
      <c r="L620" s="6" t="s">
        <v>4322</v>
      </c>
      <c r="M620" s="6" t="s">
        <v>4323</v>
      </c>
      <c r="N620" s="17"/>
      <c r="O620" s="17"/>
      <c r="P620" s="17" t="str">
        <f t="shared" si="5"/>
        <v>OK</v>
      </c>
      <c r="Q620" s="17" t="s">
        <v>35</v>
      </c>
      <c r="R620" s="6" t="s">
        <v>35</v>
      </c>
      <c r="S620" s="46" t="s">
        <v>36</v>
      </c>
      <c r="T620" s="17" t="s">
        <v>85</v>
      </c>
      <c r="U620" s="173" t="s">
        <v>38</v>
      </c>
      <c r="V620" s="11" t="s">
        <v>2381</v>
      </c>
      <c r="W620" s="32" t="s">
        <v>3840</v>
      </c>
      <c r="X620" s="32" t="s">
        <v>3840</v>
      </c>
      <c r="Y620" s="32"/>
      <c r="Z620" s="7"/>
      <c r="AA620" s="7"/>
      <c r="AB620" s="26"/>
      <c r="AC620" s="26"/>
    </row>
    <row r="621" spans="1:29" ht="15.75" customHeight="1">
      <c r="A621" s="10" t="s">
        <v>4324</v>
      </c>
      <c r="B621" s="10" t="s">
        <v>1469</v>
      </c>
      <c r="C621" s="52" t="s">
        <v>868</v>
      </c>
      <c r="D621" s="12"/>
      <c r="E621" s="13" t="s">
        <v>116</v>
      </c>
      <c r="F621" s="6" t="s">
        <v>117</v>
      </c>
      <c r="G621" s="6" t="str">
        <f ca="1">IFERROR(__xludf.DUMMYFUNCTION("CONCATENATE(B621,(VLOOKUP(C621,CATALOGOS!$F$2:$H$6,3,FALSE)),(VLOOKUP(V621,CATALOGOS!$J$2:$K$18,2,FALSE)),""-"",TO_TEXT(A621))"),"P13IR-0620")</f>
        <v>P13IR-0620</v>
      </c>
      <c r="H621" s="6" t="str">
        <f ca="1">IFERROR(__xludf.DUMMYFUNCTION("CONCATENATE($B621,(VLOOKUP($C621,CATALOGOS!$F$2:$H$6,3,FALSE)),(VLOOKUP($V621,CATALOGOS!$J$2:$K$18,2,FALSE)),""-"",TO_TEXT($A621))"),"P13IR-0620")</f>
        <v>P13IR-0620</v>
      </c>
      <c r="I621" s="6"/>
      <c r="J621" s="6" t="s">
        <v>4325</v>
      </c>
      <c r="K621" s="6" t="s">
        <v>4326</v>
      </c>
      <c r="L621" s="6" t="s">
        <v>4327</v>
      </c>
      <c r="M621" s="6" t="s">
        <v>4328</v>
      </c>
      <c r="N621" s="17"/>
      <c r="O621" s="17"/>
      <c r="P621" s="17" t="str">
        <f t="shared" si="5"/>
        <v>OK</v>
      </c>
      <c r="Q621" s="17" t="s">
        <v>35</v>
      </c>
      <c r="R621" s="49" t="s">
        <v>35</v>
      </c>
      <c r="S621" s="17" t="s">
        <v>36</v>
      </c>
      <c r="T621" s="17" t="s">
        <v>4329</v>
      </c>
      <c r="U621" s="173" t="s">
        <v>38</v>
      </c>
      <c r="V621" s="11" t="s">
        <v>2381</v>
      </c>
      <c r="W621" s="22" t="s">
        <v>3840</v>
      </c>
      <c r="X621" s="22" t="s">
        <v>3840</v>
      </c>
      <c r="Y621" s="22"/>
      <c r="Z621" s="7"/>
      <c r="AA621" s="7"/>
      <c r="AB621" s="23"/>
      <c r="AC621" s="26"/>
    </row>
    <row r="622" spans="1:29" ht="15.75" customHeight="1">
      <c r="A622" s="10" t="s">
        <v>4330</v>
      </c>
      <c r="B622" s="10" t="s">
        <v>1469</v>
      </c>
      <c r="C622" s="52" t="s">
        <v>868</v>
      </c>
      <c r="D622" s="12"/>
      <c r="E622" s="13" t="s">
        <v>116</v>
      </c>
      <c r="F622" s="6" t="s">
        <v>4153</v>
      </c>
      <c r="G622" s="6" t="str">
        <f ca="1">IFERROR(__xludf.DUMMYFUNCTION("CONCATENATE(B622,(VLOOKUP(C622,CATALOGOS!$F$2:$H$6,3,FALSE)),(VLOOKUP(V622,CATALOGOS!$J$2:$K$18,2,FALSE)),""-"",TO_TEXT(A622))"),"P13IR-0621")</f>
        <v>P13IR-0621</v>
      </c>
      <c r="H622" s="6" t="str">
        <f ca="1">IFERROR(__xludf.DUMMYFUNCTION("CONCATENATE($B622,(VLOOKUP($C622,CATALOGOS!$F$2:$H$6,3,FALSE)),(VLOOKUP($V622,CATALOGOS!$J$2:$K$18,2,FALSE)),""-"",TO_TEXT($A622))"),"P13IR-0621")</f>
        <v>P13IR-0621</v>
      </c>
      <c r="I622" s="6"/>
      <c r="J622" s="6" t="s">
        <v>4331</v>
      </c>
      <c r="K622" s="6" t="s">
        <v>4332</v>
      </c>
      <c r="L622" s="6" t="s">
        <v>4333</v>
      </c>
      <c r="M622" s="6" t="s">
        <v>4334</v>
      </c>
      <c r="N622" s="17"/>
      <c r="O622" s="17"/>
      <c r="P622" s="17" t="str">
        <f t="shared" si="5"/>
        <v>OK</v>
      </c>
      <c r="Q622" s="17" t="s">
        <v>35</v>
      </c>
      <c r="R622" s="6" t="s">
        <v>35</v>
      </c>
      <c r="S622" s="17" t="s">
        <v>36</v>
      </c>
      <c r="T622" s="17" t="s">
        <v>4335</v>
      </c>
      <c r="U622" s="173" t="s">
        <v>38</v>
      </c>
      <c r="V622" s="11" t="s">
        <v>2381</v>
      </c>
      <c r="W622" s="22" t="s">
        <v>3840</v>
      </c>
      <c r="X622" s="22" t="s">
        <v>3840</v>
      </c>
      <c r="Y622" s="22"/>
      <c r="Z622" s="7"/>
      <c r="AA622" s="7"/>
      <c r="AB622" s="23"/>
      <c r="AC622" s="26"/>
    </row>
    <row r="623" spans="1:29" ht="15.75" customHeight="1">
      <c r="A623" s="10" t="s">
        <v>4336</v>
      </c>
      <c r="B623" s="10" t="s">
        <v>1469</v>
      </c>
      <c r="C623" s="52" t="s">
        <v>868</v>
      </c>
      <c r="D623" s="12"/>
      <c r="E623" s="13" t="s">
        <v>1240</v>
      </c>
      <c r="F623" s="43" t="s">
        <v>278</v>
      </c>
      <c r="G623" s="6" t="str">
        <f ca="1">IFERROR(__xludf.DUMMYFUNCTION("CONCATENATE(B623,(VLOOKUP(C623,CATALOGOS!$F$2:$H$6,3,FALSE)),(VLOOKUP(V623,CATALOGOS!$J$2:$K$18,2,FALSE)),""-"",TO_TEXT(A623))"),"P13IR-0622")</f>
        <v>P13IR-0622</v>
      </c>
      <c r="H623" s="6" t="str">
        <f ca="1">IFERROR(__xludf.DUMMYFUNCTION("CONCATENATE($B623,(VLOOKUP($C623,CATALOGOS!$F$2:$H$6,3,FALSE)),(VLOOKUP($V623,CATALOGOS!$J$2:$K$18,2,FALSE)),""-"",TO_TEXT($A623))"),"P13IR-0622")</f>
        <v>P13IR-0622</v>
      </c>
      <c r="I623" s="6"/>
      <c r="J623" s="6" t="s">
        <v>4337</v>
      </c>
      <c r="K623" s="6" t="s">
        <v>4338</v>
      </c>
      <c r="L623" s="6" t="s">
        <v>4339</v>
      </c>
      <c r="M623" s="6" t="s">
        <v>4340</v>
      </c>
      <c r="N623" s="17"/>
      <c r="O623" s="17"/>
      <c r="P623" s="17" t="str">
        <f t="shared" si="5"/>
        <v>OK</v>
      </c>
      <c r="Q623" s="17" t="s">
        <v>35</v>
      </c>
      <c r="R623" s="49" t="s">
        <v>35</v>
      </c>
      <c r="S623" s="17" t="s">
        <v>36</v>
      </c>
      <c r="T623" s="17" t="s">
        <v>4341</v>
      </c>
      <c r="U623" s="173" t="s">
        <v>38</v>
      </c>
      <c r="V623" s="11" t="s">
        <v>2381</v>
      </c>
      <c r="W623" s="22" t="s">
        <v>3840</v>
      </c>
      <c r="X623" s="22" t="s">
        <v>3840</v>
      </c>
      <c r="Y623" s="22"/>
      <c r="Z623" s="7"/>
      <c r="AA623" s="7"/>
      <c r="AB623" s="23"/>
      <c r="AC623" s="26"/>
    </row>
    <row r="624" spans="1:29" ht="15.75" customHeight="1">
      <c r="A624" s="10" t="s">
        <v>4342</v>
      </c>
      <c r="B624" s="10" t="s">
        <v>1469</v>
      </c>
      <c r="C624" s="52" t="s">
        <v>868</v>
      </c>
      <c r="D624" s="12"/>
      <c r="E624" s="13" t="s">
        <v>248</v>
      </c>
      <c r="F624" s="43" t="s">
        <v>249</v>
      </c>
      <c r="G624" s="6" t="str">
        <f ca="1">IFERROR(__xludf.DUMMYFUNCTION("CONCATENATE(B624,(VLOOKUP(C624,CATALOGOS!$F$2:$H$6,3,FALSE)),(VLOOKUP(V624,CATALOGOS!$J$2:$K$18,2,FALSE)),""-"",TO_TEXT(A624))"),"P13IR-0623")</f>
        <v>P13IR-0623</v>
      </c>
      <c r="H624" s="6" t="str">
        <f ca="1">IFERROR(__xludf.DUMMYFUNCTION("CONCATENATE($B624,(VLOOKUP($C624,CATALOGOS!$F$2:$H$6,3,FALSE)),(VLOOKUP($V624,CATALOGOS!$J$2:$K$18,2,FALSE)),""-"",TO_TEXT($A624))"),"P13IR-0623")</f>
        <v>P13IR-0623</v>
      </c>
      <c r="I624" s="6"/>
      <c r="J624" s="6" t="s">
        <v>4343</v>
      </c>
      <c r="K624" s="6" t="s">
        <v>4344</v>
      </c>
      <c r="L624" s="6" t="s">
        <v>4345</v>
      </c>
      <c r="M624" s="6" t="s">
        <v>4346</v>
      </c>
      <c r="N624" s="17"/>
      <c r="O624" s="17"/>
      <c r="P624" s="17" t="str">
        <f t="shared" si="5"/>
        <v>OK</v>
      </c>
      <c r="Q624" s="17" t="s">
        <v>978</v>
      </c>
      <c r="R624" s="6" t="s">
        <v>979</v>
      </c>
      <c r="S624" s="17" t="s">
        <v>4347</v>
      </c>
      <c r="T624" s="17" t="s">
        <v>4348</v>
      </c>
      <c r="U624" s="173" t="s">
        <v>38</v>
      </c>
      <c r="V624" s="11" t="s">
        <v>2381</v>
      </c>
      <c r="W624" s="22" t="s">
        <v>3840</v>
      </c>
      <c r="X624" s="22" t="s">
        <v>3840</v>
      </c>
      <c r="Y624" s="22"/>
      <c r="Z624" s="7"/>
      <c r="AA624" s="7"/>
      <c r="AB624" s="23"/>
      <c r="AC624" s="26"/>
    </row>
    <row r="625" spans="1:30" ht="15.75" customHeight="1">
      <c r="A625" s="10" t="s">
        <v>4349</v>
      </c>
      <c r="B625" s="10" t="s">
        <v>1469</v>
      </c>
      <c r="C625" s="52" t="s">
        <v>868</v>
      </c>
      <c r="D625" s="12"/>
      <c r="E625" s="13" t="s">
        <v>199</v>
      </c>
      <c r="F625" s="6" t="s">
        <v>199</v>
      </c>
      <c r="G625" s="6" t="str">
        <f ca="1">IFERROR(__xludf.DUMMYFUNCTION("CONCATENATE(B625,(VLOOKUP(C625,CATALOGOS!$F$2:$H$6,3,FALSE)),(VLOOKUP(V625,CATALOGOS!$J$2:$K$18,2,FALSE)),""-"",TO_TEXT(A625))"),"P13IR-0624")</f>
        <v>P13IR-0624</v>
      </c>
      <c r="H625" s="6" t="str">
        <f ca="1">IFERROR(__xludf.DUMMYFUNCTION("CONCATENATE($B625,(VLOOKUP($C625,CATALOGOS!$F$2:$H$6,3,FALSE)),(VLOOKUP($V625,CATALOGOS!$J$2:$K$18,2,FALSE)),""-"",TO_TEXT($A625))"),"P13IR-0624")</f>
        <v>P13IR-0624</v>
      </c>
      <c r="I625" s="6"/>
      <c r="J625" s="6" t="s">
        <v>4350</v>
      </c>
      <c r="K625" s="6" t="s">
        <v>4351</v>
      </c>
      <c r="L625" s="37"/>
      <c r="M625" s="6" t="s">
        <v>4352</v>
      </c>
      <c r="N625" s="17"/>
      <c r="O625" s="17"/>
      <c r="P625" s="17" t="str">
        <f t="shared" si="5"/>
        <v>OK</v>
      </c>
      <c r="Q625" s="17" t="s">
        <v>273</v>
      </c>
      <c r="R625" s="6" t="s">
        <v>274</v>
      </c>
      <c r="S625" s="6">
        <v>11392903012343</v>
      </c>
      <c r="T625" s="10" t="s">
        <v>85</v>
      </c>
      <c r="U625" s="173" t="s">
        <v>38</v>
      </c>
      <c r="V625" s="11" t="s">
        <v>2381</v>
      </c>
      <c r="W625" s="22" t="s">
        <v>3840</v>
      </c>
      <c r="X625" s="22" t="s">
        <v>3840</v>
      </c>
      <c r="Y625" s="22"/>
      <c r="Z625" s="6"/>
      <c r="AA625" s="6"/>
      <c r="AB625" s="41" t="s">
        <v>92</v>
      </c>
      <c r="AC625" s="42">
        <v>44348</v>
      </c>
      <c r="AD625" s="8" t="s">
        <v>276</v>
      </c>
    </row>
    <row r="626" spans="1:30" ht="15.75" customHeight="1">
      <c r="A626" s="10" t="s">
        <v>4353</v>
      </c>
      <c r="B626" s="10" t="s">
        <v>1469</v>
      </c>
      <c r="C626" s="52" t="s">
        <v>868</v>
      </c>
      <c r="D626" s="12"/>
      <c r="E626" s="13" t="s">
        <v>151</v>
      </c>
      <c r="F626" s="6" t="s">
        <v>4113</v>
      </c>
      <c r="G626" s="6" t="str">
        <f ca="1">IFERROR(__xludf.DUMMYFUNCTION("CONCATENATE(B626,(VLOOKUP(C626,CATALOGOS!$F$2:$H$6,3,FALSE)),(VLOOKUP(V626,CATALOGOS!$J$2:$K$18,2,FALSE)),""-"",TO_TEXT(A626))"),"P13IR-0625")</f>
        <v>P13IR-0625</v>
      </c>
      <c r="H626" s="6" t="str">
        <f ca="1">IFERROR(__xludf.DUMMYFUNCTION("CONCATENATE($B626,(VLOOKUP($C626,CATALOGOS!$F$2:$H$6,3,FALSE)),(VLOOKUP($V626,CATALOGOS!$J$2:$K$18,2,FALSE)),""-"",TO_TEXT($A626))"),"P13IR-0625")</f>
        <v>P13IR-0625</v>
      </c>
      <c r="I626" s="6"/>
      <c r="J626" s="6" t="s">
        <v>4354</v>
      </c>
      <c r="K626" s="6" t="s">
        <v>4355</v>
      </c>
      <c r="L626" s="37"/>
      <c r="M626" s="6" t="s">
        <v>4356</v>
      </c>
      <c r="N626" s="17"/>
      <c r="O626" s="17"/>
      <c r="P626" s="17" t="str">
        <f t="shared" si="5"/>
        <v>OK</v>
      </c>
      <c r="Q626" s="17" t="s">
        <v>297</v>
      </c>
      <c r="R626" s="6" t="s">
        <v>298</v>
      </c>
      <c r="S626" s="6" t="s">
        <v>4357</v>
      </c>
      <c r="T626" s="10" t="s">
        <v>85</v>
      </c>
      <c r="U626" s="178" t="s">
        <v>971</v>
      </c>
      <c r="V626" s="11" t="s">
        <v>2381</v>
      </c>
      <c r="W626" s="22" t="s">
        <v>3840</v>
      </c>
      <c r="X626" s="22" t="s">
        <v>3840</v>
      </c>
      <c r="Y626" s="22"/>
      <c r="Z626" s="6"/>
      <c r="AA626" s="6"/>
      <c r="AB626" s="73" t="s">
        <v>92</v>
      </c>
      <c r="AC626" s="42">
        <v>44348</v>
      </c>
      <c r="AD626" s="8">
        <v>0</v>
      </c>
    </row>
    <row r="627" spans="1:30" ht="15.75" customHeight="1">
      <c r="A627" s="10" t="s">
        <v>4358</v>
      </c>
      <c r="B627" s="10" t="s">
        <v>1469</v>
      </c>
      <c r="C627" s="52" t="s">
        <v>868</v>
      </c>
      <c r="D627" s="38"/>
      <c r="E627" s="13" t="s">
        <v>93</v>
      </c>
      <c r="F627" s="6" t="s">
        <v>1380</v>
      </c>
      <c r="G627" s="6" t="str">
        <f ca="1">IFERROR(__xludf.DUMMYFUNCTION("CONCATENATE(B627,(VLOOKUP(C627,CATALOGOS!$F$2:$H$6,3,FALSE)),(VLOOKUP(V627,CATALOGOS!$J$2:$K$18,2,FALSE)),""-"",TO_TEXT(A627))"),"P13LP-0626")</f>
        <v>P13LP-0626</v>
      </c>
      <c r="H627" s="6" t="str">
        <f ca="1">IFERROR(__xludf.DUMMYFUNCTION("CONCATENATE($B627,(VLOOKUP($C627,CATALOGOS!$F$2:$H$6,3,FALSE)),(VLOOKUP($V627,CATALOGOS!$J$2:$K$18,2,FALSE)),""-"",TO_TEXT($A627))"),"P13LP-0626")</f>
        <v>P13LP-0626</v>
      </c>
      <c r="I627" s="6"/>
      <c r="J627" s="6" t="s">
        <v>4359</v>
      </c>
      <c r="K627" s="6" t="s">
        <v>4360</v>
      </c>
      <c r="L627" s="6" t="s">
        <v>4361</v>
      </c>
      <c r="M627" s="6" t="s">
        <v>4362</v>
      </c>
      <c r="N627" s="17"/>
      <c r="O627" s="17"/>
      <c r="P627" s="17" t="str">
        <f t="shared" si="5"/>
        <v>OK</v>
      </c>
      <c r="Q627" s="17" t="s">
        <v>35</v>
      </c>
      <c r="R627" s="6" t="s">
        <v>35</v>
      </c>
      <c r="S627" s="46" t="s">
        <v>36</v>
      </c>
      <c r="T627" s="17" t="s">
        <v>4363</v>
      </c>
      <c r="U627" s="173" t="s">
        <v>38</v>
      </c>
      <c r="V627" s="11" t="s">
        <v>2328</v>
      </c>
      <c r="W627" s="10" t="s">
        <v>4313</v>
      </c>
      <c r="X627" s="10" t="s">
        <v>4313</v>
      </c>
      <c r="Y627" s="10"/>
      <c r="Z627" s="7"/>
      <c r="AA627" s="7"/>
      <c r="AB627" s="23"/>
      <c r="AC627" s="26"/>
    </row>
    <row r="628" spans="1:30" ht="15.75" customHeight="1">
      <c r="A628" s="10" t="s">
        <v>4364</v>
      </c>
      <c r="B628" s="10" t="s">
        <v>1469</v>
      </c>
      <c r="C628" s="52" t="s">
        <v>868</v>
      </c>
      <c r="D628" s="12"/>
      <c r="E628" s="13" t="s">
        <v>93</v>
      </c>
      <c r="F628" s="6" t="s">
        <v>3893</v>
      </c>
      <c r="G628" s="6" t="str">
        <f ca="1">IFERROR(__xludf.DUMMYFUNCTION("CONCATENATE(B628,(VLOOKUP(C628,CATALOGOS!$F$2:$H$6,3,FALSE)),(VLOOKUP(V628,CATALOGOS!$J$2:$K$18,2,FALSE)),""-"",TO_TEXT(A628))"),"P13LP-0627")</f>
        <v>P13LP-0627</v>
      </c>
      <c r="H628" s="6" t="str">
        <f ca="1">IFERROR(__xludf.DUMMYFUNCTION("CONCATENATE($B628,(VLOOKUP($C628,CATALOGOS!$F$2:$H$6,3,FALSE)),(VLOOKUP($V628,CATALOGOS!$J$2:$K$18,2,FALSE)),""-"",TO_TEXT($A628))"),"P13LP-0627")</f>
        <v>P13LP-0627</v>
      </c>
      <c r="I628" s="6"/>
      <c r="J628" s="6" t="s">
        <v>4365</v>
      </c>
      <c r="K628" s="6" t="s">
        <v>4366</v>
      </c>
      <c r="L628" s="36"/>
      <c r="M628" s="6" t="s">
        <v>141</v>
      </c>
      <c r="N628" s="17"/>
      <c r="O628" s="17"/>
      <c r="P628" s="17" t="str">
        <f t="shared" si="5"/>
        <v>REPETIDO</v>
      </c>
      <c r="Q628" s="35" t="s">
        <v>35</v>
      </c>
      <c r="R628" s="6" t="s">
        <v>35</v>
      </c>
      <c r="S628" s="10" t="s">
        <v>36</v>
      </c>
      <c r="T628" s="32" t="s">
        <v>85</v>
      </c>
      <c r="U628" s="173" t="s">
        <v>38</v>
      </c>
      <c r="V628" s="11" t="s">
        <v>2328</v>
      </c>
      <c r="W628" s="20" t="s">
        <v>4313</v>
      </c>
      <c r="X628" s="20" t="s">
        <v>4313</v>
      </c>
      <c r="Y628" s="20"/>
      <c r="Z628" s="6"/>
      <c r="AA628" s="6"/>
      <c r="AB628" s="23"/>
      <c r="AC628" s="33"/>
    </row>
    <row r="629" spans="1:30" ht="15.75" customHeight="1">
      <c r="A629" s="10" t="s">
        <v>4367</v>
      </c>
      <c r="B629" s="10" t="s">
        <v>1469</v>
      </c>
      <c r="C629" s="52" t="s">
        <v>868</v>
      </c>
      <c r="D629" s="12"/>
      <c r="E629" s="13" t="s">
        <v>93</v>
      </c>
      <c r="F629" s="6" t="s">
        <v>4368</v>
      </c>
      <c r="G629" s="6" t="str">
        <f ca="1">IFERROR(__xludf.DUMMYFUNCTION("CONCATENATE(B629,(VLOOKUP(C629,CATALOGOS!$F$2:$H$6,3,FALSE)),(VLOOKUP(V629,CATALOGOS!$J$2:$K$18,2,FALSE)),""-"",TO_TEXT(A629))"),"P13IR-0628")</f>
        <v>P13IR-0628</v>
      </c>
      <c r="H629" s="6" t="str">
        <f ca="1">IFERROR(__xludf.DUMMYFUNCTION("CONCATENATE($B629,(VLOOKUP($C629,CATALOGOS!$F$2:$H$6,3,FALSE)),(VLOOKUP($V629,CATALOGOS!$J$2:$K$18,2,FALSE)),""-"",TO_TEXT($A629))"),"P13IR-0628")</f>
        <v>P13IR-0628</v>
      </c>
      <c r="I629" s="6"/>
      <c r="J629" s="6" t="s">
        <v>4369</v>
      </c>
      <c r="K629" s="6" t="s">
        <v>4370</v>
      </c>
      <c r="L629" s="6" t="s">
        <v>4371</v>
      </c>
      <c r="M629" s="6" t="s">
        <v>4372</v>
      </c>
      <c r="N629" s="17"/>
      <c r="O629" s="17"/>
      <c r="P629" s="17" t="str">
        <f t="shared" si="5"/>
        <v>OK</v>
      </c>
      <c r="Q629" s="17" t="s">
        <v>35</v>
      </c>
      <c r="R629" s="6" t="s">
        <v>35</v>
      </c>
      <c r="S629" s="17" t="s">
        <v>36</v>
      </c>
      <c r="T629" s="17" t="s">
        <v>4373</v>
      </c>
      <c r="U629" s="173" t="s">
        <v>38</v>
      </c>
      <c r="V629" s="11" t="s">
        <v>2381</v>
      </c>
      <c r="W629" s="20" t="s">
        <v>3840</v>
      </c>
      <c r="X629" s="20" t="s">
        <v>3840</v>
      </c>
      <c r="Y629" s="20"/>
      <c r="Z629" s="7"/>
      <c r="AA629" s="7"/>
      <c r="AB629" s="23"/>
      <c r="AC629" s="26"/>
    </row>
    <row r="630" spans="1:30" ht="15.75" customHeight="1">
      <c r="A630" s="10" t="s">
        <v>4374</v>
      </c>
      <c r="B630" s="10" t="s">
        <v>1469</v>
      </c>
      <c r="C630" s="52" t="s">
        <v>868</v>
      </c>
      <c r="D630" s="12"/>
      <c r="E630" s="13" t="s">
        <v>116</v>
      </c>
      <c r="F630" s="6" t="s">
        <v>4375</v>
      </c>
      <c r="G630" s="6" t="str">
        <f ca="1">IFERROR(__xludf.DUMMYFUNCTION("CONCATENATE(B630,(VLOOKUP(C630,CATALOGOS!$F$2:$H$6,3,FALSE)),(VLOOKUP(V630,CATALOGOS!$J$2:$K$18,2,FALSE)),""-"",TO_TEXT(A630))"),"P13LP-0629")</f>
        <v>P13LP-0629</v>
      </c>
      <c r="H630" s="6" t="str">
        <f ca="1">IFERROR(__xludf.DUMMYFUNCTION("CONCATENATE($B630,(VLOOKUP($C630,CATALOGOS!$F$2:$H$6,3,FALSE)),(VLOOKUP($V630,CATALOGOS!$J$2:$K$18,2,FALSE)),""-"",TO_TEXT($A630))"),"P13LP-0629")</f>
        <v>P13LP-0629</v>
      </c>
      <c r="I630" s="6"/>
      <c r="J630" s="6" t="s">
        <v>4376</v>
      </c>
      <c r="K630" s="6" t="s">
        <v>4377</v>
      </c>
      <c r="L630" s="6" t="s">
        <v>4378</v>
      </c>
      <c r="M630" s="6" t="s">
        <v>4379</v>
      </c>
      <c r="N630" s="17"/>
      <c r="O630" s="17"/>
      <c r="P630" s="17" t="str">
        <f t="shared" si="5"/>
        <v>OK</v>
      </c>
      <c r="Q630" s="17" t="s">
        <v>35</v>
      </c>
      <c r="R630" s="49" t="s">
        <v>35</v>
      </c>
      <c r="S630" s="17" t="s">
        <v>36</v>
      </c>
      <c r="T630" s="17" t="s">
        <v>4380</v>
      </c>
      <c r="U630" s="173" t="s">
        <v>38</v>
      </c>
      <c r="V630" s="11" t="s">
        <v>2328</v>
      </c>
      <c r="W630" s="20" t="s">
        <v>4313</v>
      </c>
      <c r="X630" s="20" t="s">
        <v>4313</v>
      </c>
      <c r="Y630" s="20"/>
      <c r="Z630" s="7"/>
      <c r="AA630" s="7"/>
      <c r="AB630" s="23"/>
      <c r="AC630" s="26"/>
    </row>
    <row r="631" spans="1:30" ht="15.75" customHeight="1">
      <c r="A631" s="10" t="s">
        <v>4381</v>
      </c>
      <c r="B631" s="10" t="s">
        <v>1469</v>
      </c>
      <c r="C631" s="52" t="s">
        <v>868</v>
      </c>
      <c r="D631" s="12"/>
      <c r="E631" s="13" t="s">
        <v>1240</v>
      </c>
      <c r="F631" s="43" t="s">
        <v>278</v>
      </c>
      <c r="G631" s="6" t="str">
        <f ca="1">IFERROR(__xludf.DUMMYFUNCTION("CONCATENATE(B631,(VLOOKUP(C631,CATALOGOS!$F$2:$H$6,3,FALSE)),(VLOOKUP(V631,CATALOGOS!$J$2:$K$18,2,FALSE)),""-"",TO_TEXT(A631))"),"P13LP-0630")</f>
        <v>P13LP-0630</v>
      </c>
      <c r="H631" s="6" t="str">
        <f ca="1">IFERROR(__xludf.DUMMYFUNCTION("CONCATENATE($B631,(VLOOKUP($C631,CATALOGOS!$F$2:$H$6,3,FALSE)),(VLOOKUP($V631,CATALOGOS!$J$2:$K$18,2,FALSE)),""-"",TO_TEXT($A631))"),"P13LP-0630")</f>
        <v>P13LP-0630</v>
      </c>
      <c r="I631" s="6"/>
      <c r="J631" s="6" t="s">
        <v>4382</v>
      </c>
      <c r="K631" s="6" t="s">
        <v>4383</v>
      </c>
      <c r="L631" s="6" t="s">
        <v>4384</v>
      </c>
      <c r="M631" s="6" t="s">
        <v>4385</v>
      </c>
      <c r="N631" s="17"/>
      <c r="O631" s="17"/>
      <c r="P631" s="17" t="str">
        <f t="shared" si="5"/>
        <v>OK</v>
      </c>
      <c r="Q631" s="17" t="s">
        <v>35</v>
      </c>
      <c r="R631" s="6" t="s">
        <v>35</v>
      </c>
      <c r="S631" s="17" t="s">
        <v>36</v>
      </c>
      <c r="T631" s="17" t="s">
        <v>4386</v>
      </c>
      <c r="U631" s="173" t="s">
        <v>38</v>
      </c>
      <c r="V631" s="11" t="s">
        <v>2328</v>
      </c>
      <c r="W631" s="20" t="s">
        <v>4313</v>
      </c>
      <c r="X631" s="20" t="s">
        <v>4313</v>
      </c>
      <c r="Y631" s="20"/>
      <c r="Z631" s="7"/>
      <c r="AA631" s="7"/>
      <c r="AB631" s="23"/>
      <c r="AC631" s="26"/>
    </row>
    <row r="632" spans="1:30" ht="15.75" customHeight="1">
      <c r="A632" s="10" t="s">
        <v>4387</v>
      </c>
      <c r="B632" s="10" t="s">
        <v>1469</v>
      </c>
      <c r="C632" s="52" t="s">
        <v>868</v>
      </c>
      <c r="D632" s="12"/>
      <c r="E632" s="13" t="s">
        <v>378</v>
      </c>
      <c r="F632" s="43" t="s">
        <v>379</v>
      </c>
      <c r="G632" s="15" t="str">
        <f ca="1">IFERROR(__xludf.DUMMYFUNCTION("CONCATENATE(B632,(VLOOKUP(C632,CATALOGOS!$F$2:$H$6,3,FALSE)),(VLOOKUP(V632,CATALOGOS!$J$2:$K$18,2,FALSE)),""-"",TO_TEXT(A632))"),"P13IR-0631")</f>
        <v>P13IR-0631</v>
      </c>
      <c r="H632" s="6" t="str">
        <f ca="1">IFERROR(__xludf.DUMMYFUNCTION("CONCATENATE($B632,(VLOOKUP($C632,CATALOGOS!$F$2:$H$6,3,FALSE)),(VLOOKUP($V632,CATALOGOS!$J$2:$K$18,2,FALSE)),""-"",TO_TEXT($A632))"),"P13IR-0631")</f>
        <v>P13IR-0631</v>
      </c>
      <c r="I632" s="6"/>
      <c r="J632" s="6" t="s">
        <v>4388</v>
      </c>
      <c r="K632" s="6" t="s">
        <v>4389</v>
      </c>
      <c r="L632" s="6" t="s">
        <v>4390</v>
      </c>
      <c r="M632" s="6" t="s">
        <v>4391</v>
      </c>
      <c r="N632" s="17"/>
      <c r="O632" s="17"/>
      <c r="P632" s="17" t="str">
        <f t="shared" si="5"/>
        <v>OK</v>
      </c>
      <c r="Q632" s="17" t="s">
        <v>35</v>
      </c>
      <c r="R632" s="6" t="s">
        <v>35</v>
      </c>
      <c r="S632" s="17" t="s">
        <v>36</v>
      </c>
      <c r="T632" s="17" t="s">
        <v>4392</v>
      </c>
      <c r="U632" s="179" t="s">
        <v>517</v>
      </c>
      <c r="V632" s="11" t="s">
        <v>2381</v>
      </c>
      <c r="W632" s="20" t="s">
        <v>4181</v>
      </c>
      <c r="X632" s="20" t="s">
        <v>4181</v>
      </c>
      <c r="Y632" s="20"/>
      <c r="Z632" s="7"/>
      <c r="AA632" s="7"/>
      <c r="AB632" s="23"/>
      <c r="AC632" s="26"/>
    </row>
    <row r="633" spans="1:30" ht="15.75" customHeight="1">
      <c r="A633" s="10" t="s">
        <v>4393</v>
      </c>
      <c r="B633" s="10" t="s">
        <v>1469</v>
      </c>
      <c r="C633" s="52" t="s">
        <v>868</v>
      </c>
      <c r="D633" s="12"/>
      <c r="E633" s="13" t="s">
        <v>248</v>
      </c>
      <c r="F633" s="43" t="s">
        <v>249</v>
      </c>
      <c r="G633" s="6" t="str">
        <f ca="1">IFERROR(__xludf.DUMMYFUNCTION("CONCATENATE(B633,(VLOOKUP(C633,CATALOGOS!$F$2:$H$6,3,FALSE)),(VLOOKUP(V633,CATALOGOS!$J$2:$K$18,2,FALSE)),""-"",TO_TEXT(A633))"),"P13LP-0632")</f>
        <v>P13LP-0632</v>
      </c>
      <c r="H633" s="6" t="str">
        <f ca="1">IFERROR(__xludf.DUMMYFUNCTION("CONCATENATE($B633,(VLOOKUP($C633,CATALOGOS!$F$2:$H$6,3,FALSE)),(VLOOKUP($V633,CATALOGOS!$J$2:$K$18,2,FALSE)),""-"",TO_TEXT($A633))"),"P13LP-0632")</f>
        <v>P13LP-0632</v>
      </c>
      <c r="I633" s="6"/>
      <c r="J633" s="6" t="s">
        <v>4394</v>
      </c>
      <c r="K633" s="6" t="s">
        <v>4395</v>
      </c>
      <c r="L633" s="6" t="s">
        <v>4396</v>
      </c>
      <c r="M633" s="6" t="s">
        <v>4397</v>
      </c>
      <c r="N633" s="17"/>
      <c r="O633" s="17"/>
      <c r="P633" s="17" t="str">
        <f t="shared" si="5"/>
        <v>OK</v>
      </c>
      <c r="Q633" s="17" t="s">
        <v>978</v>
      </c>
      <c r="R633" s="6" t="s">
        <v>979</v>
      </c>
      <c r="S633" s="17" t="s">
        <v>4398</v>
      </c>
      <c r="T633" s="17" t="s">
        <v>4399</v>
      </c>
      <c r="U633" s="173" t="s">
        <v>38</v>
      </c>
      <c r="V633" s="11" t="s">
        <v>2328</v>
      </c>
      <c r="W633" s="20" t="s">
        <v>4313</v>
      </c>
      <c r="X633" s="20" t="s">
        <v>4313</v>
      </c>
      <c r="Y633" s="20"/>
      <c r="Z633" s="7"/>
      <c r="AA633" s="7"/>
      <c r="AB633" s="23"/>
      <c r="AC633" s="26"/>
    </row>
    <row r="634" spans="1:30" ht="15.75" customHeight="1">
      <c r="A634" s="10" t="s">
        <v>4400</v>
      </c>
      <c r="B634" s="10" t="s">
        <v>1469</v>
      </c>
      <c r="C634" s="52" t="s">
        <v>868</v>
      </c>
      <c r="D634" s="12"/>
      <c r="E634" s="13" t="s">
        <v>199</v>
      </c>
      <c r="F634" s="6" t="s">
        <v>199</v>
      </c>
      <c r="G634" s="6" t="str">
        <f ca="1">IFERROR(__xludf.DUMMYFUNCTION("CONCATENATE(B634,(VLOOKUP(C634,CATALOGOS!$F$2:$H$6,3,FALSE)),(VLOOKUP(V634,CATALOGOS!$J$2:$K$18,2,FALSE)),""-"",TO_TEXT(A634))"),"P13LP-0633")</f>
        <v>P13LP-0633</v>
      </c>
      <c r="H634" s="6" t="str">
        <f ca="1">IFERROR(__xludf.DUMMYFUNCTION("CONCATENATE($B634,(VLOOKUP($C634,CATALOGOS!$F$2:$H$6,3,FALSE)),(VLOOKUP($V634,CATALOGOS!$J$2:$K$18,2,FALSE)),""-"",TO_TEXT($A634))"),"P13LP-0633")</f>
        <v>P13LP-0633</v>
      </c>
      <c r="I634" s="6"/>
      <c r="J634" s="6" t="s">
        <v>4401</v>
      </c>
      <c r="K634" s="6" t="s">
        <v>4402</v>
      </c>
      <c r="L634" s="37"/>
      <c r="M634" s="6" t="s">
        <v>4403</v>
      </c>
      <c r="N634" s="17"/>
      <c r="O634" s="17"/>
      <c r="P634" s="17" t="str">
        <f t="shared" si="5"/>
        <v>OK</v>
      </c>
      <c r="Q634" s="17" t="s">
        <v>273</v>
      </c>
      <c r="R634" s="6" t="s">
        <v>274</v>
      </c>
      <c r="S634" s="6">
        <v>11392903014920</v>
      </c>
      <c r="T634" s="10" t="s">
        <v>85</v>
      </c>
      <c r="U634" s="173" t="s">
        <v>38</v>
      </c>
      <c r="V634" s="11" t="s">
        <v>2328</v>
      </c>
      <c r="W634" s="20" t="s">
        <v>4313</v>
      </c>
      <c r="X634" s="20" t="s">
        <v>4313</v>
      </c>
      <c r="Y634" s="20"/>
      <c r="Z634" s="6"/>
      <c r="AA634" s="6"/>
      <c r="AB634" s="41" t="s">
        <v>275</v>
      </c>
      <c r="AC634" s="42">
        <v>44403</v>
      </c>
      <c r="AD634" s="8" t="s">
        <v>276</v>
      </c>
    </row>
    <row r="635" spans="1:30" ht="15.75" customHeight="1">
      <c r="A635" s="10" t="s">
        <v>4404</v>
      </c>
      <c r="B635" s="10" t="s">
        <v>1469</v>
      </c>
      <c r="C635" s="52" t="s">
        <v>868</v>
      </c>
      <c r="D635" s="12"/>
      <c r="E635" s="13" t="s">
        <v>151</v>
      </c>
      <c r="F635" s="6" t="s">
        <v>4113</v>
      </c>
      <c r="G635" s="6" t="str">
        <f ca="1">IFERROR(__xludf.DUMMYFUNCTION("CONCATENATE(B635,(VLOOKUP(C635,CATALOGOS!$F$2:$H$6,3,FALSE)),(VLOOKUP(V635,CATALOGOS!$J$2:$K$18,2,FALSE)),""-"",TO_TEXT(A635))"),"P13LP-0634")</f>
        <v>P13LP-0634</v>
      </c>
      <c r="H635" s="6" t="str">
        <f ca="1">IFERROR(__xludf.DUMMYFUNCTION("CONCATENATE($B635,(VLOOKUP($C635,CATALOGOS!$F$2:$H$6,3,FALSE)),(VLOOKUP($V635,CATALOGOS!$J$2:$K$18,2,FALSE)),""-"",TO_TEXT($A635))"),"P13LP-0634")</f>
        <v>P13LP-0634</v>
      </c>
      <c r="I635" s="6"/>
      <c r="J635" s="6" t="s">
        <v>4405</v>
      </c>
      <c r="K635" s="6" t="s">
        <v>4406</v>
      </c>
      <c r="L635" s="37"/>
      <c r="M635" s="6" t="s">
        <v>4407</v>
      </c>
      <c r="N635" s="17"/>
      <c r="O635" s="17"/>
      <c r="P635" s="17" t="str">
        <f t="shared" si="5"/>
        <v>OK</v>
      </c>
      <c r="Q635" s="17" t="s">
        <v>297</v>
      </c>
      <c r="R635" s="6" t="s">
        <v>298</v>
      </c>
      <c r="S635" s="6" t="s">
        <v>4408</v>
      </c>
      <c r="T635" s="10" t="s">
        <v>85</v>
      </c>
      <c r="U635" s="173" t="s">
        <v>38</v>
      </c>
      <c r="V635" s="11" t="s">
        <v>2328</v>
      </c>
      <c r="W635" s="20" t="s">
        <v>4313</v>
      </c>
      <c r="X635" s="20" t="s">
        <v>4313</v>
      </c>
      <c r="Y635" s="20"/>
      <c r="Z635" s="6"/>
      <c r="AA635" s="6"/>
      <c r="AB635" s="41" t="s">
        <v>275</v>
      </c>
      <c r="AC635" s="42">
        <v>44403</v>
      </c>
      <c r="AD635" s="8">
        <v>0</v>
      </c>
    </row>
    <row r="636" spans="1:30" ht="15.75" customHeight="1">
      <c r="A636" s="10" t="s">
        <v>4409</v>
      </c>
      <c r="B636" s="10" t="s">
        <v>1469</v>
      </c>
      <c r="C636" s="61" t="s">
        <v>4411</v>
      </c>
      <c r="D636" s="38"/>
      <c r="E636" s="13" t="s">
        <v>116</v>
      </c>
      <c r="F636" s="6" t="s">
        <v>3992</v>
      </c>
      <c r="G636" s="15" t="str">
        <f ca="1">IFERROR(__xludf.DUMMYFUNCTION("CONCATENATE(B636,(VLOOKUP(C636,CATALOGOS!$F$2:$H$6,3,FALSE)),(VLOOKUP(V636,CATALOGOS!$J$2:$K$18,2,FALSE)),""-"",TO_TEXT(A636))"),"P14SJ-0635")</f>
        <v>P14SJ-0635</v>
      </c>
      <c r="H636" s="6" t="str">
        <f ca="1">IFERROR(__xludf.DUMMYFUNCTION("CONCATENATE($B636,(VLOOKUP($C636,CATALOGOS!$F$2:$H$6,3,FALSE)),(VLOOKUP($V636,CATALOGOS!$J$2:$K$18,2,FALSE)),""-"",TO_TEXT($A636))"),"P14SJ-0635")</f>
        <v>P14SJ-0635</v>
      </c>
      <c r="I636" s="6"/>
      <c r="J636" s="6" t="s">
        <v>4412</v>
      </c>
      <c r="K636" s="6"/>
      <c r="L636" s="6" t="s">
        <v>4413</v>
      </c>
      <c r="M636" s="6" t="s">
        <v>4414</v>
      </c>
      <c r="N636" s="17"/>
      <c r="O636" s="17"/>
      <c r="P636" s="17" t="str">
        <f t="shared" si="5"/>
        <v>OK</v>
      </c>
      <c r="Q636" s="17" t="s">
        <v>35</v>
      </c>
      <c r="R636" s="6" t="s">
        <v>35</v>
      </c>
      <c r="S636" s="46" t="s">
        <v>36</v>
      </c>
      <c r="T636" s="187" t="s">
        <v>4415</v>
      </c>
      <c r="U636" s="173" t="s">
        <v>38</v>
      </c>
      <c r="V636" s="11" t="s">
        <v>4411</v>
      </c>
      <c r="W636" s="6" t="s">
        <v>4417</v>
      </c>
      <c r="X636" s="6" t="s">
        <v>4417</v>
      </c>
      <c r="Y636" s="6"/>
      <c r="Z636" s="6"/>
      <c r="AA636" s="6" t="s">
        <v>4203</v>
      </c>
      <c r="AB636" s="26"/>
      <c r="AC636" s="26"/>
    </row>
    <row r="637" spans="1:30" ht="15.75" customHeight="1">
      <c r="A637" s="10" t="s">
        <v>4418</v>
      </c>
      <c r="B637" s="10" t="s">
        <v>1469</v>
      </c>
      <c r="C637" s="52" t="s">
        <v>868</v>
      </c>
      <c r="D637" s="12"/>
      <c r="E637" s="13" t="s">
        <v>248</v>
      </c>
      <c r="F637" s="43" t="s">
        <v>248</v>
      </c>
      <c r="G637" s="6" t="str">
        <f ca="1">IFERROR(__xludf.DUMMYFUNCTION("CONCATENATE(B637,(VLOOKUP(C637,CATALOGOS!$F$2:$H$6,3,FALSE)),(VLOOKUP(V637,CATALOGOS!$J$2:$K$18,2,FALSE)),""-"",TO_TEXT(A637))"),"P13LP-0636")</f>
        <v>P13LP-0636</v>
      </c>
      <c r="H637" s="6" t="str">
        <f ca="1">IFERROR(__xludf.DUMMYFUNCTION("CONCATENATE($B637,(VLOOKUP($C637,CATALOGOS!$F$2:$H$6,3,FALSE)),(VLOOKUP($V637,CATALOGOS!$J$2:$K$18,2,FALSE)),""-"",TO_TEXT($A637))"),"P13LP-0636")</f>
        <v>P13LP-0636</v>
      </c>
      <c r="I637" s="6"/>
      <c r="J637" s="6" t="s">
        <v>4419</v>
      </c>
      <c r="K637" s="6" t="s">
        <v>4420</v>
      </c>
      <c r="L637" s="6" t="s">
        <v>4421</v>
      </c>
      <c r="M637" s="6" t="s">
        <v>4422</v>
      </c>
      <c r="N637" s="17"/>
      <c r="O637" s="17"/>
      <c r="P637" s="17" t="str">
        <f t="shared" si="5"/>
        <v>OK</v>
      </c>
      <c r="Q637" s="17" t="s">
        <v>303</v>
      </c>
      <c r="R637" s="6" t="s">
        <v>304</v>
      </c>
      <c r="S637" s="17" t="s">
        <v>4423</v>
      </c>
      <c r="T637" s="10" t="s">
        <v>7310</v>
      </c>
      <c r="U637" s="173" t="s">
        <v>38</v>
      </c>
      <c r="V637" s="11" t="s">
        <v>2328</v>
      </c>
      <c r="W637" s="6" t="s">
        <v>4202</v>
      </c>
      <c r="X637" s="6" t="s">
        <v>4202</v>
      </c>
      <c r="Y637" s="6"/>
      <c r="Z637" s="6"/>
      <c r="AA637" s="6" t="s">
        <v>4203</v>
      </c>
      <c r="AB637" s="23"/>
      <c r="AC637" s="26"/>
    </row>
    <row r="638" spans="1:30" ht="15.75" customHeight="1">
      <c r="A638" s="10" t="s">
        <v>4425</v>
      </c>
      <c r="B638" s="10" t="s">
        <v>1469</v>
      </c>
      <c r="C638" s="52" t="s">
        <v>868</v>
      </c>
      <c r="D638" s="12"/>
      <c r="E638" s="13" t="s">
        <v>199</v>
      </c>
      <c r="F638" s="43" t="s">
        <v>4426</v>
      </c>
      <c r="G638" s="6" t="str">
        <f ca="1">IFERROR(__xludf.DUMMYFUNCTION("CONCATENATE(B638,(VLOOKUP(C638,CATALOGOS!$F$2:$H$6,3,FALSE)),(VLOOKUP(V638,CATALOGOS!$J$2:$K$18,2,FALSE)),""-"",TO_TEXT(A638))"),"P13LP-0637")</f>
        <v>P13LP-0637</v>
      </c>
      <c r="H638" s="6" t="str">
        <f ca="1">IFERROR(__xludf.DUMMYFUNCTION("CONCATENATE($B638,(VLOOKUP($C638,CATALOGOS!$F$2:$H$6,3,FALSE)),(VLOOKUP($V638,CATALOGOS!$J$2:$K$18,2,FALSE)),""-"",TO_TEXT($A638))"),"P13LP-0637")</f>
        <v>P13LP-0637</v>
      </c>
      <c r="I638" s="6"/>
      <c r="J638" s="6" t="s">
        <v>4427</v>
      </c>
      <c r="K638" s="6" t="s">
        <v>4428</v>
      </c>
      <c r="L638" s="6" t="s">
        <v>4429</v>
      </c>
      <c r="M638" s="6" t="s">
        <v>4430</v>
      </c>
      <c r="N638" s="17"/>
      <c r="O638" s="17"/>
      <c r="P638" s="17" t="str">
        <f t="shared" si="5"/>
        <v>OK</v>
      </c>
      <c r="Q638" s="17" t="s">
        <v>205</v>
      </c>
      <c r="R638" s="6" t="s">
        <v>794</v>
      </c>
      <c r="S638" s="17" t="s">
        <v>4431</v>
      </c>
      <c r="T638" s="10" t="s">
        <v>4432</v>
      </c>
      <c r="U638" s="173" t="s">
        <v>38</v>
      </c>
      <c r="V638" s="11" t="s">
        <v>2328</v>
      </c>
      <c r="W638" s="6" t="s">
        <v>4202</v>
      </c>
      <c r="X638" s="6" t="s">
        <v>4202</v>
      </c>
      <c r="Y638" s="6"/>
      <c r="Z638" s="6"/>
      <c r="AA638" s="6" t="s">
        <v>4203</v>
      </c>
      <c r="AB638" s="23"/>
      <c r="AC638" s="26"/>
    </row>
    <row r="639" spans="1:30" ht="15.75" customHeight="1">
      <c r="A639" s="10" t="s">
        <v>4433</v>
      </c>
      <c r="B639" s="10" t="s">
        <v>1469</v>
      </c>
      <c r="C639" s="52" t="s">
        <v>868</v>
      </c>
      <c r="D639" s="38"/>
      <c r="E639" s="13" t="s">
        <v>151</v>
      </c>
      <c r="F639" s="6" t="s">
        <v>714</v>
      </c>
      <c r="G639" s="6" t="str">
        <f ca="1">IFERROR(__xludf.DUMMYFUNCTION("CONCATENATE(B639,(VLOOKUP(C639,CATALOGOS!$F$2:$H$6,3,FALSE)),(VLOOKUP(V639,CATALOGOS!$J$2:$K$18,2,FALSE)),""-"",TO_TEXT(A639))"),"P13LP-0638")</f>
        <v>P13LP-0638</v>
      </c>
      <c r="H639" s="6" t="str">
        <f ca="1">IFERROR(__xludf.DUMMYFUNCTION("CONCATENATE($B639,(VLOOKUP($C639,CATALOGOS!$F$2:$H$6,3,FALSE)),(VLOOKUP($V639,CATALOGOS!$J$2:$K$18,2,FALSE)),""-"",TO_TEXT($A639))"),"P13LP-0638")</f>
        <v>P13LP-0638</v>
      </c>
      <c r="I639" s="6"/>
      <c r="J639" s="6" t="s">
        <v>4434</v>
      </c>
      <c r="K639" s="6" t="s">
        <v>4435</v>
      </c>
      <c r="L639" s="6" t="s">
        <v>4436</v>
      </c>
      <c r="M639" s="6" t="s">
        <v>4437</v>
      </c>
      <c r="N639" s="17"/>
      <c r="O639" s="17"/>
      <c r="P639" s="17" t="str">
        <f t="shared" si="5"/>
        <v>OK</v>
      </c>
      <c r="Q639" s="17" t="s">
        <v>1220</v>
      </c>
      <c r="R639" s="6" t="s">
        <v>720</v>
      </c>
      <c r="S639" s="46" t="s">
        <v>4438</v>
      </c>
      <c r="T639" s="17" t="s">
        <v>4439</v>
      </c>
      <c r="U639" s="173" t="s">
        <v>38</v>
      </c>
      <c r="V639" s="11" t="s">
        <v>2328</v>
      </c>
      <c r="W639" s="6" t="s">
        <v>4202</v>
      </c>
      <c r="X639" s="6" t="s">
        <v>4202</v>
      </c>
      <c r="Y639" s="6"/>
      <c r="Z639" s="6"/>
      <c r="AA639" s="6" t="s">
        <v>4203</v>
      </c>
      <c r="AB639" s="23"/>
      <c r="AC639" s="26"/>
    </row>
    <row r="640" spans="1:30" ht="15.75" customHeight="1">
      <c r="A640" s="10" t="s">
        <v>4440</v>
      </c>
      <c r="B640" s="10" t="s">
        <v>1469</v>
      </c>
      <c r="C640" s="52" t="s">
        <v>868</v>
      </c>
      <c r="D640" s="12"/>
      <c r="E640" s="13" t="s">
        <v>93</v>
      </c>
      <c r="F640" s="6" t="s">
        <v>869</v>
      </c>
      <c r="G640" s="15" t="str">
        <f ca="1">IFERROR(__xludf.DUMMYFUNCTION("CONCATENATE(B640,(VLOOKUP(C640,CATALOGOS!$F$2:$H$6,3,FALSE)),(VLOOKUP(V640,CATALOGOS!$J$2:$K$18,2,FALSE)),""-"",TO_TEXT(A640))"),"P13IR-0639")</f>
        <v>P13IR-0639</v>
      </c>
      <c r="H640" s="6" t="str">
        <f ca="1">IFERROR(__xludf.DUMMYFUNCTION("CONCATENATE($B640,(VLOOKUP($C640,CATALOGOS!$F$2:$H$6,3,FALSE)),(VLOOKUP($V640,CATALOGOS!$J$2:$K$18,2,FALSE)),""-"",TO_TEXT($A640))"),"P13IR-0639")</f>
        <v>P13IR-0639</v>
      </c>
      <c r="I640" s="6"/>
      <c r="J640" s="6" t="s">
        <v>4441</v>
      </c>
      <c r="K640" s="6" t="s">
        <v>4442</v>
      </c>
      <c r="L640" s="6" t="s">
        <v>4443</v>
      </c>
      <c r="M640" s="6" t="s">
        <v>4444</v>
      </c>
      <c r="N640" s="17"/>
      <c r="O640" s="17"/>
      <c r="P640" s="17" t="str">
        <f t="shared" si="5"/>
        <v>OK</v>
      </c>
      <c r="Q640" s="35" t="s">
        <v>35</v>
      </c>
      <c r="R640" s="6" t="s">
        <v>35</v>
      </c>
      <c r="S640" s="17" t="s">
        <v>36</v>
      </c>
      <c r="T640" s="17" t="s">
        <v>4445</v>
      </c>
      <c r="U640" s="173" t="s">
        <v>38</v>
      </c>
      <c r="V640" s="11" t="s">
        <v>2381</v>
      </c>
      <c r="W640" s="22" t="s">
        <v>4181</v>
      </c>
      <c r="X640" s="22" t="s">
        <v>4181</v>
      </c>
      <c r="Y640" s="22"/>
      <c r="Z640" s="7"/>
      <c r="AA640" s="7"/>
      <c r="AB640" s="26"/>
      <c r="AC640" s="26"/>
    </row>
    <row r="641" spans="1:30" ht="15.75" customHeight="1">
      <c r="A641" s="10" t="s">
        <v>4446</v>
      </c>
      <c r="B641" s="10" t="s">
        <v>1469</v>
      </c>
      <c r="C641" s="52" t="s">
        <v>868</v>
      </c>
      <c r="D641" s="12"/>
      <c r="E641" s="13" t="s">
        <v>116</v>
      </c>
      <c r="F641" s="6" t="s">
        <v>4447</v>
      </c>
      <c r="G641" s="15" t="str">
        <f ca="1">IFERROR(__xludf.DUMMYFUNCTION("CONCATENATE(B641,(VLOOKUP(C641,CATALOGOS!$F$2:$H$6,3,FALSE)),(VLOOKUP(V641,CATALOGOS!$J$2:$K$18,2,FALSE)),""-"",TO_TEXT(A641))"),"P13IR-0640")</f>
        <v>P13IR-0640</v>
      </c>
      <c r="H641" s="6" t="str">
        <f ca="1">IFERROR(__xludf.DUMMYFUNCTION("CONCATENATE($B641,(VLOOKUP($C641,CATALOGOS!$F$2:$H$6,3,FALSE)),(VLOOKUP($V641,CATALOGOS!$J$2:$K$18,2,FALSE)),""-"",TO_TEXT($A641))"),"P13IR-0640")</f>
        <v>P13IR-0640</v>
      </c>
      <c r="I641" s="6"/>
      <c r="J641" s="6" t="s">
        <v>4448</v>
      </c>
      <c r="K641" s="6" t="s">
        <v>4449</v>
      </c>
      <c r="L641" s="6" t="s">
        <v>4450</v>
      </c>
      <c r="M641" s="6" t="s">
        <v>4451</v>
      </c>
      <c r="N641" s="17"/>
      <c r="O641" s="17"/>
      <c r="P641" s="17" t="str">
        <f t="shared" si="5"/>
        <v>OK</v>
      </c>
      <c r="Q641" s="17" t="s">
        <v>35</v>
      </c>
      <c r="R641" s="6" t="s">
        <v>35</v>
      </c>
      <c r="S641" s="17" t="s">
        <v>36</v>
      </c>
      <c r="T641" s="17" t="s">
        <v>4452</v>
      </c>
      <c r="U641" s="173" t="s">
        <v>38</v>
      </c>
      <c r="V641" s="11" t="s">
        <v>2381</v>
      </c>
      <c r="W641" s="22" t="s">
        <v>4181</v>
      </c>
      <c r="X641" s="22" t="s">
        <v>4181</v>
      </c>
      <c r="Y641" s="22"/>
      <c r="Z641" s="7"/>
      <c r="AA641" s="7"/>
      <c r="AB641" s="23"/>
      <c r="AC641" s="26"/>
    </row>
    <row r="642" spans="1:30" ht="15.75" customHeight="1">
      <c r="A642" s="10" t="s">
        <v>4453</v>
      </c>
      <c r="B642" s="10" t="s">
        <v>1469</v>
      </c>
      <c r="C642" s="52" t="s">
        <v>868</v>
      </c>
      <c r="D642" s="12"/>
      <c r="E642" s="13" t="s">
        <v>29</v>
      </c>
      <c r="F642" s="6" t="s">
        <v>1166</v>
      </c>
      <c r="G642" s="15" t="str">
        <f ca="1">IFERROR(__xludf.DUMMYFUNCTION("CONCATENATE(B642,(VLOOKUP(C642,CATALOGOS!$F$2:$H$6,3,FALSE)),(VLOOKUP(V642,CATALOGOS!$J$2:$K$18,2,FALSE)),""-"",TO_TEXT(A642))"),"P13IR-0641")</f>
        <v>P13IR-0641</v>
      </c>
      <c r="H642" s="6" t="str">
        <f ca="1">IFERROR(__xludf.DUMMYFUNCTION("CONCATENATE($B642,(VLOOKUP($C642,CATALOGOS!$F$2:$H$6,3,FALSE)),(VLOOKUP($V642,CATALOGOS!$J$2:$K$18,2,FALSE)),""-"",TO_TEXT($A642))"),"P13IR-0641")</f>
        <v>P13IR-0641</v>
      </c>
      <c r="I642" s="6"/>
      <c r="J642" s="6" t="s">
        <v>4454</v>
      </c>
      <c r="K642" s="6" t="s">
        <v>4455</v>
      </c>
      <c r="L642" s="6" t="s">
        <v>4456</v>
      </c>
      <c r="M642" s="6" t="s">
        <v>4457</v>
      </c>
      <c r="N642" s="17"/>
      <c r="O642" s="17"/>
      <c r="P642" s="17" t="str">
        <f t="shared" si="5"/>
        <v>OK</v>
      </c>
      <c r="Q642" s="17" t="s">
        <v>35</v>
      </c>
      <c r="R642" s="6" t="s">
        <v>35</v>
      </c>
      <c r="S642" s="17" t="s">
        <v>36</v>
      </c>
      <c r="T642" s="17" t="s">
        <v>4458</v>
      </c>
      <c r="U642" s="173" t="s">
        <v>38</v>
      </c>
      <c r="V642" s="11" t="s">
        <v>2381</v>
      </c>
      <c r="W642" s="22" t="s">
        <v>4181</v>
      </c>
      <c r="X642" s="22" t="s">
        <v>4181</v>
      </c>
      <c r="Y642" s="22"/>
      <c r="Z642" s="7"/>
      <c r="AA642" s="7"/>
      <c r="AB642" s="23"/>
      <c r="AC642" s="26"/>
    </row>
    <row r="643" spans="1:30" ht="15.75" customHeight="1">
      <c r="A643" s="10" t="s">
        <v>4459</v>
      </c>
      <c r="B643" s="10" t="s">
        <v>1469</v>
      </c>
      <c r="C643" s="52" t="s">
        <v>868</v>
      </c>
      <c r="D643" s="12"/>
      <c r="E643" s="13" t="s">
        <v>378</v>
      </c>
      <c r="F643" s="6" t="s">
        <v>1306</v>
      </c>
      <c r="G643" s="15" t="str">
        <f ca="1">IFERROR(__xludf.DUMMYFUNCTION("CONCATENATE(B643,(VLOOKUP(C643,CATALOGOS!$F$2:$H$6,3,FALSE)),(VLOOKUP(V643,CATALOGOS!$J$2:$K$18,2,FALSE)),""-"",TO_TEXT(A643))"),"P13IR-0642")</f>
        <v>P13IR-0642</v>
      </c>
      <c r="H643" s="6" t="str">
        <f ca="1">IFERROR(__xludf.DUMMYFUNCTION("CONCATENATE($B643,(VLOOKUP($C643,CATALOGOS!$F$2:$H$6,3,FALSE)),(VLOOKUP($V643,CATALOGOS!$J$2:$K$18,2,FALSE)),""-"",TO_TEXT($A643))"),"P13IR-0642")</f>
        <v>P13IR-0642</v>
      </c>
      <c r="I643" s="6"/>
      <c r="J643" s="6" t="s">
        <v>4460</v>
      </c>
      <c r="K643" s="6" t="s">
        <v>4461</v>
      </c>
      <c r="L643" s="6" t="s">
        <v>4462</v>
      </c>
      <c r="M643" s="6" t="s">
        <v>4463</v>
      </c>
      <c r="N643" s="17"/>
      <c r="O643" s="17"/>
      <c r="P643" s="17" t="str">
        <f t="shared" si="5"/>
        <v>OK</v>
      </c>
      <c r="Q643" s="17" t="s">
        <v>35</v>
      </c>
      <c r="R643" s="6" t="s">
        <v>35</v>
      </c>
      <c r="S643" s="17" t="s">
        <v>36</v>
      </c>
      <c r="T643" s="17" t="s">
        <v>4464</v>
      </c>
      <c r="U643" s="173" t="s">
        <v>38</v>
      </c>
      <c r="V643" s="11" t="s">
        <v>2381</v>
      </c>
      <c r="W643" s="22" t="s">
        <v>4181</v>
      </c>
      <c r="X643" s="22" t="s">
        <v>4181</v>
      </c>
      <c r="Y643" s="22"/>
      <c r="Z643" s="7"/>
      <c r="AA643" s="7"/>
      <c r="AB643" s="23"/>
      <c r="AC643" s="26"/>
    </row>
    <row r="644" spans="1:30" ht="15.75" customHeight="1">
      <c r="A644" s="10" t="s">
        <v>4465</v>
      </c>
      <c r="B644" s="10" t="s">
        <v>1469</v>
      </c>
      <c r="C644" s="52" t="s">
        <v>868</v>
      </c>
      <c r="D644" s="12"/>
      <c r="E644" s="13" t="s">
        <v>248</v>
      </c>
      <c r="F644" s="6" t="s">
        <v>248</v>
      </c>
      <c r="G644" s="15" t="str">
        <f ca="1">IFERROR(__xludf.DUMMYFUNCTION("CONCATENATE(B644,(VLOOKUP(C644,CATALOGOS!$F$2:$H$6,3,FALSE)),(VLOOKUP(V644,CATALOGOS!$J$2:$K$18,2,FALSE)),""-"",TO_TEXT(A644))"),"P13IR-0643")</f>
        <v>P13IR-0643</v>
      </c>
      <c r="H644" s="6" t="str">
        <f ca="1">IFERROR(__xludf.DUMMYFUNCTION("CONCATENATE($B644,(VLOOKUP($C644,CATALOGOS!$F$2:$H$6,3,FALSE)),(VLOOKUP($V644,CATALOGOS!$J$2:$K$18,2,FALSE)),""-"",TO_TEXT($A644))"),"P13IR-0643")</f>
        <v>P13IR-0643</v>
      </c>
      <c r="I644" s="6"/>
      <c r="J644" s="6"/>
      <c r="K644" s="6" t="s">
        <v>4466</v>
      </c>
      <c r="L644" s="6" t="s">
        <v>4467</v>
      </c>
      <c r="M644" s="43" t="s">
        <v>4468</v>
      </c>
      <c r="N644" s="17"/>
      <c r="O644" s="17"/>
      <c r="P644" s="17" t="str">
        <f t="shared" si="5"/>
        <v>OK</v>
      </c>
      <c r="Q644" s="17" t="s">
        <v>359</v>
      </c>
      <c r="R644" s="6">
        <v>550</v>
      </c>
      <c r="S644" s="17" t="s">
        <v>36</v>
      </c>
      <c r="T644" s="17" t="s">
        <v>4469</v>
      </c>
      <c r="U644" s="173" t="s">
        <v>38</v>
      </c>
      <c r="V644" s="11" t="s">
        <v>2381</v>
      </c>
      <c r="W644" s="22" t="s">
        <v>4181</v>
      </c>
      <c r="X644" s="22" t="s">
        <v>4181</v>
      </c>
      <c r="Y644" s="22"/>
      <c r="Z644" s="7"/>
      <c r="AA644" s="7"/>
      <c r="AB644" s="23"/>
      <c r="AC644" s="26"/>
    </row>
    <row r="645" spans="1:30" ht="15.75" customHeight="1">
      <c r="A645" s="10" t="s">
        <v>4470</v>
      </c>
      <c r="B645" s="10" t="s">
        <v>1469</v>
      </c>
      <c r="C645" s="52" t="s">
        <v>868</v>
      </c>
      <c r="D645" s="12"/>
      <c r="E645" s="13" t="s">
        <v>184</v>
      </c>
      <c r="F645" s="6" t="s">
        <v>927</v>
      </c>
      <c r="G645" s="15" t="str">
        <f ca="1">IFERROR(__xludf.DUMMYFUNCTION("CONCATENATE(B645,(VLOOKUP(C645,CATALOGOS!$F$2:$H$6,3,FALSE)),(VLOOKUP(V645,CATALOGOS!$J$2:$K$18,2,FALSE)),""-"",TO_TEXT(A645))"),"P13RH-0644")</f>
        <v>P13RH-0644</v>
      </c>
      <c r="H645" s="6" t="str">
        <f ca="1">IFERROR(__xludf.DUMMYFUNCTION("CONCATENATE($B645,(VLOOKUP($C645,CATALOGOS!$F$2:$H$6,3,FALSE)),(VLOOKUP($V645,CATALOGOS!$J$2:$K$18,2,FALSE)),""-"",TO_TEXT($A645))"),"P13RH-0644")</f>
        <v>P13RH-0644</v>
      </c>
      <c r="I645" s="6"/>
      <c r="J645" s="6" t="s">
        <v>4471</v>
      </c>
      <c r="K645" s="6" t="s">
        <v>4472</v>
      </c>
      <c r="L645" s="6" t="s">
        <v>4473</v>
      </c>
      <c r="M645" s="6" t="s">
        <v>4474</v>
      </c>
      <c r="N645" s="17"/>
      <c r="O645" s="17"/>
      <c r="P645" s="17" t="str">
        <f t="shared" si="5"/>
        <v>OK</v>
      </c>
      <c r="Q645" s="17" t="s">
        <v>35</v>
      </c>
      <c r="R645" s="6" t="s">
        <v>35</v>
      </c>
      <c r="S645" s="17" t="s">
        <v>36</v>
      </c>
      <c r="T645" s="17" t="s">
        <v>4475</v>
      </c>
      <c r="U645" s="173" t="s">
        <v>38</v>
      </c>
      <c r="V645" s="11" t="s">
        <v>723</v>
      </c>
      <c r="W645" s="20" t="s">
        <v>1427</v>
      </c>
      <c r="X645" s="20" t="s">
        <v>1427</v>
      </c>
      <c r="Y645" s="20"/>
      <c r="Z645" s="7"/>
      <c r="AA645" s="7"/>
      <c r="AB645" s="23"/>
      <c r="AC645" s="26"/>
    </row>
    <row r="646" spans="1:30" ht="15.75" customHeight="1">
      <c r="A646" s="10" t="s">
        <v>4476</v>
      </c>
      <c r="B646" s="10" t="s">
        <v>1469</v>
      </c>
      <c r="C646" s="52" t="s">
        <v>868</v>
      </c>
      <c r="D646" s="12"/>
      <c r="E646" s="13" t="s">
        <v>199</v>
      </c>
      <c r="F646" s="6" t="s">
        <v>199</v>
      </c>
      <c r="G646" s="15" t="str">
        <f ca="1">IFERROR(__xludf.DUMMYFUNCTION("CONCATENATE(B646,(VLOOKUP(C646,CATALOGOS!$F$2:$H$6,3,FALSE)),(VLOOKUP(V646,CATALOGOS!$J$2:$K$18,2,FALSE)),""-"",TO_TEXT(A646))"),"P13IR-0645")</f>
        <v>P13IR-0645</v>
      </c>
      <c r="H646" s="6" t="str">
        <f ca="1">IFERROR(__xludf.DUMMYFUNCTION("CONCATENATE($B646,(VLOOKUP($C646,CATALOGOS!$F$2:$H$6,3,FALSE)),(VLOOKUP($V646,CATALOGOS!$J$2:$K$18,2,FALSE)),""-"",TO_TEXT($A646))"),"P13IR-0645")</f>
        <v>P13IR-0645</v>
      </c>
      <c r="I646" s="6"/>
      <c r="J646" s="6" t="s">
        <v>4477</v>
      </c>
      <c r="K646" s="6" t="s">
        <v>4478</v>
      </c>
      <c r="L646" s="37"/>
      <c r="M646" s="6" t="s">
        <v>4479</v>
      </c>
      <c r="N646" s="17"/>
      <c r="O646" s="17"/>
      <c r="P646" s="17" t="str">
        <f t="shared" si="5"/>
        <v>OK</v>
      </c>
      <c r="Q646" s="17" t="s">
        <v>273</v>
      </c>
      <c r="R646" s="6" t="s">
        <v>274</v>
      </c>
      <c r="S646" s="6">
        <v>11392903015273</v>
      </c>
      <c r="T646" s="10" t="s">
        <v>85</v>
      </c>
      <c r="U646" s="173" t="s">
        <v>38</v>
      </c>
      <c r="V646" s="11" t="s">
        <v>2381</v>
      </c>
      <c r="W646" s="22" t="s">
        <v>4181</v>
      </c>
      <c r="X646" s="22" t="s">
        <v>4181</v>
      </c>
      <c r="Y646" s="22"/>
      <c r="Z646" s="6"/>
      <c r="AA646" s="6"/>
      <c r="AB646" s="41" t="s">
        <v>275</v>
      </c>
      <c r="AC646" s="42">
        <v>44403</v>
      </c>
      <c r="AD646" s="8" t="s">
        <v>276</v>
      </c>
    </row>
    <row r="647" spans="1:30" ht="15.75" customHeight="1">
      <c r="A647" s="10" t="s">
        <v>4480</v>
      </c>
      <c r="B647" s="10" t="s">
        <v>1469</v>
      </c>
      <c r="C647" s="52" t="s">
        <v>868</v>
      </c>
      <c r="D647" s="38"/>
      <c r="E647" s="13" t="s">
        <v>151</v>
      </c>
      <c r="F647" s="6" t="s">
        <v>4113</v>
      </c>
      <c r="G647" s="15" t="str">
        <f ca="1">IFERROR(__xludf.DUMMYFUNCTION("CONCATENATE(B647,(VLOOKUP(C647,CATALOGOS!$F$2:$H$6,3,FALSE)),(VLOOKUP(V647,CATALOGOS!$J$2:$K$18,2,FALSE)),""-"",TO_TEXT(A647))"),"P13IR-0646")</f>
        <v>P13IR-0646</v>
      </c>
      <c r="H647" s="6" t="str">
        <f ca="1">IFERROR(__xludf.DUMMYFUNCTION("CONCATENATE($B647,(VLOOKUP($C647,CATALOGOS!$F$2:$H$6,3,FALSE)),(VLOOKUP($V647,CATALOGOS!$J$2:$K$18,2,FALSE)),""-"",TO_TEXT($A647))"),"P13IR-0646")</f>
        <v>P13IR-0646</v>
      </c>
      <c r="I647" s="6"/>
      <c r="J647" s="6" t="s">
        <v>4481</v>
      </c>
      <c r="K647" s="6" t="s">
        <v>4482</v>
      </c>
      <c r="L647" s="72"/>
      <c r="M647" s="6" t="s">
        <v>4483</v>
      </c>
      <c r="N647" s="17"/>
      <c r="O647" s="17"/>
      <c r="P647" s="17" t="str">
        <f t="shared" si="5"/>
        <v>OK</v>
      </c>
      <c r="Q647" s="17" t="s">
        <v>297</v>
      </c>
      <c r="R647" s="6" t="s">
        <v>298</v>
      </c>
      <c r="S647" s="6" t="s">
        <v>4484</v>
      </c>
      <c r="T647" s="32" t="s">
        <v>85</v>
      </c>
      <c r="U647" s="173" t="s">
        <v>38</v>
      </c>
      <c r="V647" s="11" t="s">
        <v>2381</v>
      </c>
      <c r="W647" s="32" t="s">
        <v>4181</v>
      </c>
      <c r="X647" s="32" t="s">
        <v>4181</v>
      </c>
      <c r="Y647" s="32"/>
      <c r="Z647" s="6"/>
      <c r="AA647" s="6"/>
      <c r="AB647" s="73" t="s">
        <v>275</v>
      </c>
      <c r="AC647" s="42">
        <v>44403</v>
      </c>
      <c r="AD647" s="8">
        <v>0</v>
      </c>
    </row>
    <row r="648" spans="1:30" ht="15.75" customHeight="1">
      <c r="A648" s="10" t="s">
        <v>4485</v>
      </c>
      <c r="B648" s="10" t="s">
        <v>1469</v>
      </c>
      <c r="C648" s="52" t="s">
        <v>868</v>
      </c>
      <c r="D648" s="12"/>
      <c r="E648" s="13" t="s">
        <v>93</v>
      </c>
      <c r="F648" s="6" t="s">
        <v>4486</v>
      </c>
      <c r="G648" s="6" t="str">
        <f ca="1">IFERROR(__xludf.DUMMYFUNCTION("CONCATENATE(B648,(VLOOKUP(C648,CATALOGOS!$F$2:$H$6,3,FALSE)),(VLOOKUP(V648,CATALOGOS!$J$2:$K$18,2,FALSE)),""-"",TO_TEXT(A648))"),"P13IR-0647")</f>
        <v>P13IR-0647</v>
      </c>
      <c r="H648" s="6" t="str">
        <f ca="1">IFERROR(__xludf.DUMMYFUNCTION("CONCATENATE($B648,(VLOOKUP($C648,CATALOGOS!$F$2:$H$6,3,FALSE)),(VLOOKUP($V648,CATALOGOS!$J$2:$K$18,2,FALSE)),""-"",TO_TEXT($A648))"),"P13IR-0647")</f>
        <v>P13IR-0647</v>
      </c>
      <c r="I648" s="6"/>
      <c r="J648" s="6" t="s">
        <v>4487</v>
      </c>
      <c r="K648" s="6" t="s">
        <v>4488</v>
      </c>
      <c r="L648" s="6" t="s">
        <v>4489</v>
      </c>
      <c r="M648" s="6" t="s">
        <v>4490</v>
      </c>
      <c r="N648" s="17"/>
      <c r="O648" s="17"/>
      <c r="P648" s="17" t="str">
        <f t="shared" si="5"/>
        <v>OK</v>
      </c>
      <c r="Q648" s="17" t="s">
        <v>35</v>
      </c>
      <c r="R648" s="6" t="s">
        <v>35</v>
      </c>
      <c r="S648" s="17" t="s">
        <v>36</v>
      </c>
      <c r="T648" s="17" t="s">
        <v>4491</v>
      </c>
      <c r="U648" s="173" t="s">
        <v>38</v>
      </c>
      <c r="V648" s="11" t="s">
        <v>2381</v>
      </c>
      <c r="W648" s="22" t="s">
        <v>4492</v>
      </c>
      <c r="X648" s="22" t="s">
        <v>4492</v>
      </c>
      <c r="Y648" s="22"/>
      <c r="Z648" s="7"/>
      <c r="AA648" s="7"/>
      <c r="AB648" s="23"/>
      <c r="AC648" s="26"/>
    </row>
    <row r="649" spans="1:30" ht="15.75" customHeight="1">
      <c r="A649" s="10" t="s">
        <v>4493</v>
      </c>
      <c r="B649" s="10" t="s">
        <v>1469</v>
      </c>
      <c r="C649" s="52" t="s">
        <v>868</v>
      </c>
      <c r="D649" s="12"/>
      <c r="E649" s="13" t="s">
        <v>93</v>
      </c>
      <c r="F649" s="6" t="s">
        <v>4494</v>
      </c>
      <c r="G649" s="6" t="str">
        <f ca="1">IFERROR(__xludf.DUMMYFUNCTION("CONCATENATE(B649,(VLOOKUP(C649,CATALOGOS!$F$2:$H$6,3,FALSE)),(VLOOKUP(V649,CATALOGOS!$J$2:$K$18,2,FALSE)),""-"",TO_TEXT(A649))"),"P13IR-0648")</f>
        <v>P13IR-0648</v>
      </c>
      <c r="H649" s="6" t="str">
        <f ca="1">IFERROR(__xludf.DUMMYFUNCTION("CONCATENATE($B649,(VLOOKUP($C649,CATALOGOS!$F$2:$H$6,3,FALSE)),(VLOOKUP($V649,CATALOGOS!$J$2:$K$18,2,FALSE)),""-"",TO_TEXT($A649))"),"P13IR-0648")</f>
        <v>P13IR-0648</v>
      </c>
      <c r="I649" s="6"/>
      <c r="J649" s="6" t="s">
        <v>4495</v>
      </c>
      <c r="K649" s="6" t="s">
        <v>4496</v>
      </c>
      <c r="L649" s="6" t="s">
        <v>4497</v>
      </c>
      <c r="M649" s="6" t="s">
        <v>4498</v>
      </c>
      <c r="N649" s="17"/>
      <c r="O649" s="17"/>
      <c r="P649" s="17" t="str">
        <f t="shared" si="5"/>
        <v>OK</v>
      </c>
      <c r="Q649" s="17" t="s">
        <v>35</v>
      </c>
      <c r="R649" s="6" t="s">
        <v>35</v>
      </c>
      <c r="S649" s="17" t="s">
        <v>36</v>
      </c>
      <c r="T649" s="17" t="s">
        <v>4499</v>
      </c>
      <c r="U649" s="173" t="s">
        <v>38</v>
      </c>
      <c r="V649" s="11" t="s">
        <v>2381</v>
      </c>
      <c r="W649" s="22" t="s">
        <v>4492</v>
      </c>
      <c r="X649" s="22" t="s">
        <v>4492</v>
      </c>
      <c r="Y649" s="22"/>
      <c r="Z649" s="7"/>
      <c r="AA649" s="7"/>
      <c r="AB649" s="23"/>
      <c r="AC649" s="26"/>
    </row>
    <row r="650" spans="1:30" ht="15.75" customHeight="1">
      <c r="A650" s="10" t="s">
        <v>4500</v>
      </c>
      <c r="B650" s="10" t="s">
        <v>1469</v>
      </c>
      <c r="C650" s="52" t="s">
        <v>868</v>
      </c>
      <c r="D650" s="12"/>
      <c r="E650" s="13" t="s">
        <v>29</v>
      </c>
      <c r="F650" s="6" t="s">
        <v>1166</v>
      </c>
      <c r="G650" s="6" t="str">
        <f ca="1">IFERROR(__xludf.DUMMYFUNCTION("CONCATENATE(B650,(VLOOKUP(C650,CATALOGOS!$F$2:$H$6,3,FALSE)),(VLOOKUP(V650,CATALOGOS!$J$2:$K$18,2,FALSE)),""-"",TO_TEXT(A650))"),"P13IR-0649")</f>
        <v>P13IR-0649</v>
      </c>
      <c r="H650" s="6" t="str">
        <f ca="1">IFERROR(__xludf.DUMMYFUNCTION("CONCATENATE($B650,(VLOOKUP($C650,CATALOGOS!$F$2:$H$6,3,FALSE)),(VLOOKUP($V650,CATALOGOS!$J$2:$K$18,2,FALSE)),""-"",TO_TEXT($A650))"),"P13IR-0649")</f>
        <v>P13IR-0649</v>
      </c>
      <c r="I650" s="6"/>
      <c r="J650" s="6" t="s">
        <v>4501</v>
      </c>
      <c r="K650" s="54"/>
      <c r="L650" s="6" t="s">
        <v>4502</v>
      </c>
      <c r="M650" s="6" t="s">
        <v>4503</v>
      </c>
      <c r="N650" s="17"/>
      <c r="O650" s="17"/>
      <c r="P650" s="17" t="str">
        <f t="shared" si="5"/>
        <v>OK</v>
      </c>
      <c r="Q650" s="17" t="s">
        <v>35</v>
      </c>
      <c r="R650" s="6" t="s">
        <v>35</v>
      </c>
      <c r="S650" s="17" t="s">
        <v>36</v>
      </c>
      <c r="T650" s="17" t="s">
        <v>4504</v>
      </c>
      <c r="U650" s="173" t="s">
        <v>38</v>
      </c>
      <c r="V650" s="11" t="s">
        <v>2381</v>
      </c>
      <c r="W650" s="22" t="s">
        <v>4492</v>
      </c>
      <c r="X650" s="22" t="s">
        <v>4492</v>
      </c>
      <c r="Y650" s="22"/>
      <c r="Z650" s="7"/>
      <c r="AA650" s="7"/>
      <c r="AB650" s="23"/>
      <c r="AC650" s="26"/>
    </row>
    <row r="651" spans="1:30" ht="15.75" customHeight="1">
      <c r="A651" s="10" t="s">
        <v>4505</v>
      </c>
      <c r="B651" s="10" t="s">
        <v>1469</v>
      </c>
      <c r="C651" s="52" t="s">
        <v>868</v>
      </c>
      <c r="D651" s="12"/>
      <c r="E651" s="13" t="s">
        <v>116</v>
      </c>
      <c r="F651" s="6" t="s">
        <v>4506</v>
      </c>
      <c r="G651" s="6" t="str">
        <f ca="1">IFERROR(__xludf.DUMMYFUNCTION("CONCATENATE(B651,(VLOOKUP(C651,CATALOGOS!$F$2:$H$6,3,FALSE)),(VLOOKUP(V651,CATALOGOS!$J$2:$K$18,2,FALSE)),""-"",TO_TEXT(A651))"),"P13IR-0650")</f>
        <v>P13IR-0650</v>
      </c>
      <c r="H651" s="6" t="str">
        <f ca="1">IFERROR(__xludf.DUMMYFUNCTION("CONCATENATE($B651,(VLOOKUP($C651,CATALOGOS!$F$2:$H$6,3,FALSE)),(VLOOKUP($V651,CATALOGOS!$J$2:$K$18,2,FALSE)),""-"",TO_TEXT($A651))"),"P13IR-0650")</f>
        <v>P13IR-0650</v>
      </c>
      <c r="I651" s="6"/>
      <c r="J651" s="6" t="s">
        <v>4507</v>
      </c>
      <c r="K651" s="6" t="s">
        <v>4508</v>
      </c>
      <c r="L651" s="6" t="s">
        <v>4509</v>
      </c>
      <c r="M651" s="6" t="s">
        <v>4510</v>
      </c>
      <c r="N651" s="17"/>
      <c r="O651" s="17"/>
      <c r="P651" s="17" t="str">
        <f t="shared" si="5"/>
        <v>OK</v>
      </c>
      <c r="Q651" s="17" t="s">
        <v>35</v>
      </c>
      <c r="R651" s="49" t="s">
        <v>35</v>
      </c>
      <c r="S651" s="17" t="s">
        <v>36</v>
      </c>
      <c r="T651" s="17" t="s">
        <v>4511</v>
      </c>
      <c r="U651" s="173" t="s">
        <v>38</v>
      </c>
      <c r="V651" s="11" t="s">
        <v>2381</v>
      </c>
      <c r="W651" s="22" t="s">
        <v>4492</v>
      </c>
      <c r="X651" s="22" t="s">
        <v>4492</v>
      </c>
      <c r="Y651" s="22"/>
      <c r="Z651" s="7"/>
      <c r="AA651" s="7"/>
      <c r="AB651" s="23"/>
      <c r="AC651" s="26"/>
    </row>
    <row r="652" spans="1:30" ht="15.75" customHeight="1">
      <c r="A652" s="10" t="s">
        <v>4512</v>
      </c>
      <c r="B652" s="10" t="s">
        <v>1469</v>
      </c>
      <c r="C652" s="52" t="s">
        <v>868</v>
      </c>
      <c r="D652" s="12"/>
      <c r="E652" s="13" t="s">
        <v>378</v>
      </c>
      <c r="F652" s="6" t="s">
        <v>2040</v>
      </c>
      <c r="G652" s="6" t="str">
        <f ca="1">IFERROR(__xludf.DUMMYFUNCTION("CONCATENATE(B652,(VLOOKUP(C652,CATALOGOS!$F$2:$H$6,3,FALSE)),(VLOOKUP(V652,CATALOGOS!$J$2:$K$18,2,FALSE)),""-"",TO_TEXT(A652))"),"P13IR-0651")</f>
        <v>P13IR-0651</v>
      </c>
      <c r="H652" s="6" t="str">
        <f ca="1">IFERROR(__xludf.DUMMYFUNCTION("CONCATENATE($B652,(VLOOKUP($C652,CATALOGOS!$F$2:$H$6,3,FALSE)),(VLOOKUP($V652,CATALOGOS!$J$2:$K$18,2,FALSE)),""-"",TO_TEXT($A652))"),"P13IR-0651")</f>
        <v>P13IR-0651</v>
      </c>
      <c r="I652" s="6"/>
      <c r="J652" s="6" t="s">
        <v>4513</v>
      </c>
      <c r="K652" s="6" t="s">
        <v>4514</v>
      </c>
      <c r="L652" s="6" t="s">
        <v>4515</v>
      </c>
      <c r="M652" s="6" t="s">
        <v>4516</v>
      </c>
      <c r="N652" s="17"/>
      <c r="O652" s="17"/>
      <c r="P652" s="17" t="str">
        <f t="shared" si="5"/>
        <v>OK</v>
      </c>
      <c r="Q652" s="17" t="s">
        <v>35</v>
      </c>
      <c r="R652" s="6" t="s">
        <v>35</v>
      </c>
      <c r="S652" s="17" t="s">
        <v>36</v>
      </c>
      <c r="T652" s="17" t="s">
        <v>4517</v>
      </c>
      <c r="U652" s="173" t="s">
        <v>38</v>
      </c>
      <c r="V652" s="11" t="s">
        <v>2381</v>
      </c>
      <c r="W652" s="22" t="s">
        <v>4492</v>
      </c>
      <c r="X652" s="22" t="s">
        <v>4492</v>
      </c>
      <c r="Y652" s="22"/>
      <c r="Z652" s="7"/>
      <c r="AA652" s="7"/>
      <c r="AB652" s="23"/>
      <c r="AC652" s="26"/>
    </row>
    <row r="653" spans="1:30" ht="15.75" customHeight="1">
      <c r="A653" s="10" t="s">
        <v>4518</v>
      </c>
      <c r="B653" s="10" t="s">
        <v>1469</v>
      </c>
      <c r="C653" s="52" t="s">
        <v>868</v>
      </c>
      <c r="D653" s="12"/>
      <c r="E653" s="13" t="s">
        <v>1240</v>
      </c>
      <c r="F653" s="43" t="s">
        <v>278</v>
      </c>
      <c r="G653" s="6" t="str">
        <f ca="1">IFERROR(__xludf.DUMMYFUNCTION("CONCATENATE(B653,(VLOOKUP(C653,CATALOGOS!$F$2:$H$6,3,FALSE)),(VLOOKUP(V653,CATALOGOS!$J$2:$K$18,2,FALSE)),""-"",TO_TEXT(A653))"),"P13IR-0652")</f>
        <v>P13IR-0652</v>
      </c>
      <c r="H653" s="6" t="str">
        <f ca="1">IFERROR(__xludf.DUMMYFUNCTION("CONCATENATE($B653,(VLOOKUP($C653,CATALOGOS!$F$2:$H$6,3,FALSE)),(VLOOKUP($V653,CATALOGOS!$J$2:$K$18,2,FALSE)),""-"",TO_TEXT($A653))"),"P13IR-0652")</f>
        <v>P13IR-0652</v>
      </c>
      <c r="I653" s="6"/>
      <c r="J653" s="6" t="s">
        <v>4519</v>
      </c>
      <c r="K653" s="6" t="s">
        <v>4520</v>
      </c>
      <c r="L653" s="6" t="s">
        <v>4521</v>
      </c>
      <c r="M653" s="6" t="s">
        <v>4522</v>
      </c>
      <c r="N653" s="17"/>
      <c r="O653" s="17"/>
      <c r="P653" s="17" t="str">
        <f t="shared" si="5"/>
        <v>OK</v>
      </c>
      <c r="Q653" s="17" t="s">
        <v>35</v>
      </c>
      <c r="R653" s="6" t="s">
        <v>35</v>
      </c>
      <c r="S653" s="17" t="s">
        <v>36</v>
      </c>
      <c r="T653" s="17" t="s">
        <v>4523</v>
      </c>
      <c r="U653" s="173" t="s">
        <v>38</v>
      </c>
      <c r="V653" s="11" t="s">
        <v>2381</v>
      </c>
      <c r="W653" s="22" t="s">
        <v>4492</v>
      </c>
      <c r="X653" s="22" t="s">
        <v>4492</v>
      </c>
      <c r="Y653" s="22"/>
      <c r="Z653" s="7"/>
      <c r="AA653" s="7"/>
      <c r="AB653" s="23"/>
      <c r="AC653" s="26"/>
    </row>
    <row r="654" spans="1:30" ht="15.75" customHeight="1">
      <c r="A654" s="10" t="s">
        <v>4524</v>
      </c>
      <c r="B654" s="10" t="s">
        <v>1469</v>
      </c>
      <c r="C654" s="52" t="s">
        <v>868</v>
      </c>
      <c r="D654" s="12"/>
      <c r="E654" s="13" t="s">
        <v>248</v>
      </c>
      <c r="F654" s="43" t="s">
        <v>248</v>
      </c>
      <c r="G654" s="6" t="str">
        <f ca="1">IFERROR(__xludf.DUMMYFUNCTION("CONCATENATE(B654,(VLOOKUP(C654,CATALOGOS!$F$2:$H$6,3,FALSE)),(VLOOKUP(V654,CATALOGOS!$J$2:$K$18,2,FALSE)),""-"",TO_TEXT(A654))"),"P13IR-0653")</f>
        <v>P13IR-0653</v>
      </c>
      <c r="H654" s="6" t="str">
        <f ca="1">IFERROR(__xludf.DUMMYFUNCTION("CONCATENATE($B654,(VLOOKUP($C654,CATALOGOS!$F$2:$H$6,3,FALSE)),(VLOOKUP($V654,CATALOGOS!$J$2:$K$18,2,FALSE)),""-"",TO_TEXT($A654))"),"P13IR-0653")</f>
        <v>P13IR-0653</v>
      </c>
      <c r="I654" s="6"/>
      <c r="J654" s="6" t="s">
        <v>4525</v>
      </c>
      <c r="K654" s="6" t="s">
        <v>4526</v>
      </c>
      <c r="L654" s="6" t="s">
        <v>4527</v>
      </c>
      <c r="M654" s="6" t="s">
        <v>4528</v>
      </c>
      <c r="N654" s="17"/>
      <c r="O654" s="17"/>
      <c r="P654" s="17" t="str">
        <f t="shared" si="5"/>
        <v>OK</v>
      </c>
      <c r="Q654" s="17" t="s">
        <v>978</v>
      </c>
      <c r="R654" s="6" t="s">
        <v>979</v>
      </c>
      <c r="S654" s="17" t="s">
        <v>4529</v>
      </c>
      <c r="T654" s="17" t="s">
        <v>4530</v>
      </c>
      <c r="U654" s="173" t="s">
        <v>38</v>
      </c>
      <c r="V654" s="11" t="s">
        <v>2381</v>
      </c>
      <c r="W654" s="22" t="s">
        <v>4492</v>
      </c>
      <c r="X654" s="22" t="s">
        <v>4492</v>
      </c>
      <c r="Y654" s="22"/>
      <c r="Z654" s="7"/>
      <c r="AA654" s="7"/>
      <c r="AB654" s="23"/>
      <c r="AC654" s="26"/>
    </row>
    <row r="655" spans="1:30" ht="15.75" customHeight="1">
      <c r="A655" s="10" t="s">
        <v>4531</v>
      </c>
      <c r="B655" s="10" t="s">
        <v>1469</v>
      </c>
      <c r="C655" s="52" t="s">
        <v>868</v>
      </c>
      <c r="D655" s="12"/>
      <c r="E655" s="13" t="s">
        <v>199</v>
      </c>
      <c r="F655" s="6" t="s">
        <v>199</v>
      </c>
      <c r="G655" s="6" t="str">
        <f ca="1">IFERROR(__xludf.DUMMYFUNCTION("CONCATENATE(B655,(VLOOKUP(C655,CATALOGOS!$F$2:$H$6,3,FALSE)),(VLOOKUP(V655,CATALOGOS!$J$2:$K$18,2,FALSE)),""-"",TO_TEXT(A655))"),"P13IR-0654")</f>
        <v>P13IR-0654</v>
      </c>
      <c r="H655" s="6" t="str">
        <f ca="1">IFERROR(__xludf.DUMMYFUNCTION("CONCATENATE($B655,(VLOOKUP($C655,CATALOGOS!$F$2:$H$6,3,FALSE)),(VLOOKUP($V655,CATALOGOS!$J$2:$K$18,2,FALSE)),""-"",TO_TEXT($A655))"),"P13IR-0654")</f>
        <v>P13IR-0654</v>
      </c>
      <c r="I655" s="6"/>
      <c r="J655" s="6" t="s">
        <v>4532</v>
      </c>
      <c r="K655" s="6" t="s">
        <v>4533</v>
      </c>
      <c r="L655" s="37"/>
      <c r="M655" s="6" t="s">
        <v>4534</v>
      </c>
      <c r="N655" s="17"/>
      <c r="O655" s="17"/>
      <c r="P655" s="17" t="str">
        <f t="shared" si="5"/>
        <v>OK</v>
      </c>
      <c r="Q655" s="17" t="s">
        <v>273</v>
      </c>
      <c r="R655" s="6" t="s">
        <v>274</v>
      </c>
      <c r="S655" s="6">
        <v>11392903012339</v>
      </c>
      <c r="T655" s="10" t="s">
        <v>85</v>
      </c>
      <c r="U655" s="173" t="s">
        <v>38</v>
      </c>
      <c r="V655" s="11" t="s">
        <v>2381</v>
      </c>
      <c r="W655" s="22" t="s">
        <v>4492</v>
      </c>
      <c r="X655" s="22" t="s">
        <v>4492</v>
      </c>
      <c r="Y655" s="22"/>
      <c r="Z655" s="6"/>
      <c r="AA655" s="6"/>
      <c r="AB655" s="41" t="s">
        <v>92</v>
      </c>
      <c r="AC655" s="42">
        <v>44348</v>
      </c>
      <c r="AD655" s="8" t="s">
        <v>276</v>
      </c>
    </row>
    <row r="656" spans="1:30" ht="15.75" customHeight="1">
      <c r="A656" s="10" t="s">
        <v>4535</v>
      </c>
      <c r="B656" s="10" t="s">
        <v>1469</v>
      </c>
      <c r="C656" s="52" t="s">
        <v>868</v>
      </c>
      <c r="D656" s="12"/>
      <c r="E656" s="13" t="s">
        <v>151</v>
      </c>
      <c r="F656" s="6" t="s">
        <v>4113</v>
      </c>
      <c r="G656" s="6" t="str">
        <f ca="1">IFERROR(__xludf.DUMMYFUNCTION("CONCATENATE(B656,(VLOOKUP(C656,CATALOGOS!$F$2:$H$6,3,FALSE)),(VLOOKUP(V656,CATALOGOS!$J$2:$K$18,2,FALSE)),""-"",TO_TEXT(A656))"),"P13IR-0655")</f>
        <v>P13IR-0655</v>
      </c>
      <c r="H656" s="6" t="str">
        <f ca="1">IFERROR(__xludf.DUMMYFUNCTION("CONCATENATE($B656,(VLOOKUP($C656,CATALOGOS!$F$2:$H$6,3,FALSE)),(VLOOKUP($V656,CATALOGOS!$J$2:$K$18,2,FALSE)),""-"",TO_TEXT($A656))"),"P13IR-0655")</f>
        <v>P13IR-0655</v>
      </c>
      <c r="I656" s="6"/>
      <c r="J656" s="6" t="s">
        <v>4536</v>
      </c>
      <c r="K656" s="6" t="s">
        <v>4537</v>
      </c>
      <c r="L656" s="37"/>
      <c r="M656" s="6" t="s">
        <v>4538</v>
      </c>
      <c r="N656" s="17"/>
      <c r="O656" s="17"/>
      <c r="P656" s="17" t="str">
        <f t="shared" si="5"/>
        <v>OK</v>
      </c>
      <c r="Q656" s="17" t="s">
        <v>297</v>
      </c>
      <c r="R656" s="6" t="s">
        <v>298</v>
      </c>
      <c r="S656" s="6" t="s">
        <v>4539</v>
      </c>
      <c r="T656" s="10" t="s">
        <v>85</v>
      </c>
      <c r="U656" s="173" t="s">
        <v>38</v>
      </c>
      <c r="V656" s="11" t="s">
        <v>2381</v>
      </c>
      <c r="W656" s="22" t="s">
        <v>4492</v>
      </c>
      <c r="X656" s="22" t="s">
        <v>4492</v>
      </c>
      <c r="Y656" s="22"/>
      <c r="Z656" s="6"/>
      <c r="AA656" s="6"/>
      <c r="AB656" s="41" t="s">
        <v>92</v>
      </c>
      <c r="AC656" s="42">
        <v>44348</v>
      </c>
      <c r="AD656" s="8">
        <v>0</v>
      </c>
    </row>
    <row r="657" spans="1:29" ht="15.75" customHeight="1">
      <c r="A657" s="10" t="s">
        <v>4540</v>
      </c>
      <c r="B657" s="10" t="s">
        <v>1469</v>
      </c>
      <c r="C657" s="52" t="s">
        <v>868</v>
      </c>
      <c r="D657" s="38"/>
      <c r="E657" s="13" t="s">
        <v>151</v>
      </c>
      <c r="F657" s="6" t="s">
        <v>714</v>
      </c>
      <c r="G657" s="15" t="str">
        <f ca="1">IFERROR(__xludf.DUMMYFUNCTION("CONCATENATE(B657,(VLOOKUP(C657,CATALOGOS!$F$2:$H$6,3,FALSE)),(VLOOKUP(V657,CATALOGOS!$J$2:$K$18,2,FALSE)),""-"",TO_TEXT(A657))"),"P13IR-0656")</f>
        <v>P13IR-0656</v>
      </c>
      <c r="H657" s="6" t="str">
        <f ca="1">IFERROR(__xludf.DUMMYFUNCTION("CONCATENATE($B657,(VLOOKUP($C657,CATALOGOS!$F$2:$H$6,3,FALSE)),(VLOOKUP($V657,CATALOGOS!$J$2:$K$18,2,FALSE)),""-"",TO_TEXT($A657))"),"P13IR-0656")</f>
        <v>P13IR-0656</v>
      </c>
      <c r="I657" s="6"/>
      <c r="J657" s="6" t="s">
        <v>4541</v>
      </c>
      <c r="K657" s="6" t="s">
        <v>4542</v>
      </c>
      <c r="L657" s="6" t="s">
        <v>4543</v>
      </c>
      <c r="M657" s="6" t="s">
        <v>4544</v>
      </c>
      <c r="N657" s="17"/>
      <c r="O657" s="17"/>
      <c r="P657" s="17" t="str">
        <f t="shared" si="5"/>
        <v>OK</v>
      </c>
      <c r="Q657" s="17" t="s">
        <v>1220</v>
      </c>
      <c r="R657" s="6" t="s">
        <v>720</v>
      </c>
      <c r="S657" s="46" t="s">
        <v>36</v>
      </c>
      <c r="T657" s="17" t="s">
        <v>4545</v>
      </c>
      <c r="U657" s="173" t="s">
        <v>38</v>
      </c>
      <c r="V657" s="11" t="s">
        <v>2381</v>
      </c>
      <c r="W657" s="32" t="s">
        <v>3840</v>
      </c>
      <c r="X657" s="32" t="s">
        <v>3840</v>
      </c>
      <c r="Y657" s="32"/>
      <c r="Z657" s="6"/>
      <c r="AA657" s="6"/>
      <c r="AB657" s="26"/>
      <c r="AC657" s="33"/>
    </row>
    <row r="658" spans="1:29" ht="15.75" customHeight="1">
      <c r="A658" s="10" t="s">
        <v>4546</v>
      </c>
      <c r="B658" s="10" t="s">
        <v>1469</v>
      </c>
      <c r="C658" s="52" t="s">
        <v>868</v>
      </c>
      <c r="D658" s="38"/>
      <c r="E658" s="13" t="s">
        <v>378</v>
      </c>
      <c r="F658" s="6" t="s">
        <v>379</v>
      </c>
      <c r="G658" s="6" t="str">
        <f ca="1">IFERROR(__xludf.DUMMYFUNCTION("CONCATENATE(B658,(VLOOKUP(C658,CATALOGOS!$F$2:$H$6,3,FALSE)),(VLOOKUP(V658,CATALOGOS!$J$2:$K$18,2,FALSE)),""-"",TO_TEXT(A658))"),"P13IR-0657")</f>
        <v>P13IR-0657</v>
      </c>
      <c r="H658" s="6" t="str">
        <f ca="1">IFERROR(__xludf.DUMMYFUNCTION("CONCATENATE($B658,(VLOOKUP($C658,CATALOGOS!$F$2:$H$6,3,FALSE)),(VLOOKUP($V658,CATALOGOS!$J$2:$K$18,2,FALSE)),""-"",TO_TEXT($A658))"),"P13IR-0657")</f>
        <v>P13IR-0657</v>
      </c>
      <c r="I658" s="6"/>
      <c r="J658" s="6" t="s">
        <v>4547</v>
      </c>
      <c r="K658" s="6" t="s">
        <v>4548</v>
      </c>
      <c r="L658" s="6" t="s">
        <v>4549</v>
      </c>
      <c r="M658" s="43" t="s">
        <v>4550</v>
      </c>
      <c r="N658" s="17"/>
      <c r="O658" s="17"/>
      <c r="P658" s="17" t="str">
        <f t="shared" si="5"/>
        <v>OK</v>
      </c>
      <c r="Q658" s="17" t="s">
        <v>35</v>
      </c>
      <c r="R658" s="6" t="s">
        <v>35</v>
      </c>
      <c r="S658" s="46" t="s">
        <v>36</v>
      </c>
      <c r="T658" s="17" t="s">
        <v>4551</v>
      </c>
      <c r="U658" s="173" t="s">
        <v>38</v>
      </c>
      <c r="V658" s="11" t="s">
        <v>2381</v>
      </c>
      <c r="W658" s="32" t="s">
        <v>3840</v>
      </c>
      <c r="X658" s="32" t="s">
        <v>3840</v>
      </c>
      <c r="Y658" s="32"/>
      <c r="Z658" s="36"/>
      <c r="AA658" s="36"/>
      <c r="AB658" s="26"/>
      <c r="AC658" s="33"/>
    </row>
    <row r="659" spans="1:29" ht="15.75" customHeight="1">
      <c r="A659" s="10" t="s">
        <v>4552</v>
      </c>
      <c r="B659" s="10" t="s">
        <v>1469</v>
      </c>
      <c r="C659" s="52" t="s">
        <v>868</v>
      </c>
      <c r="D659" s="38"/>
      <c r="E659" s="13" t="s">
        <v>378</v>
      </c>
      <c r="F659" s="6" t="s">
        <v>4553</v>
      </c>
      <c r="G659" s="6" t="str">
        <f ca="1">IFERROR(__xludf.DUMMYFUNCTION("CONCATENATE(B659,(VLOOKUP(C659,CATALOGOS!$F$2:$H$6,3,FALSE)),(VLOOKUP(V659,CATALOGOS!$J$2:$K$18,2,FALSE)),""-"",TO_TEXT(A659))"),"P13IR-0658")</f>
        <v>P13IR-0658</v>
      </c>
      <c r="H659" s="6" t="str">
        <f ca="1">IFERROR(__xludf.DUMMYFUNCTION("CONCATENATE($B659,(VLOOKUP($C659,CATALOGOS!$F$2:$H$6,3,FALSE)),(VLOOKUP($V659,CATALOGOS!$J$2:$K$18,2,FALSE)),""-"",TO_TEXT($A659))"),"P13IR-0658")</f>
        <v>P13IR-0658</v>
      </c>
      <c r="I659" s="6"/>
      <c r="J659" s="6" t="s">
        <v>4554</v>
      </c>
      <c r="K659" s="6" t="s">
        <v>4555</v>
      </c>
      <c r="L659" s="6" t="s">
        <v>4556</v>
      </c>
      <c r="M659" s="43" t="s">
        <v>4557</v>
      </c>
      <c r="N659" s="17"/>
      <c r="O659" s="17"/>
      <c r="P659" s="17" t="str">
        <f t="shared" si="5"/>
        <v>OK</v>
      </c>
      <c r="Q659" s="35" t="s">
        <v>35</v>
      </c>
      <c r="R659" s="6" t="s">
        <v>35</v>
      </c>
      <c r="S659" s="46" t="s">
        <v>36</v>
      </c>
      <c r="T659" s="17" t="s">
        <v>4558</v>
      </c>
      <c r="U659" s="173" t="s">
        <v>38</v>
      </c>
      <c r="V659" s="11" t="s">
        <v>2381</v>
      </c>
      <c r="W659" s="32" t="s">
        <v>4492</v>
      </c>
      <c r="X659" s="32" t="s">
        <v>4492</v>
      </c>
      <c r="Y659" s="32"/>
      <c r="Z659" s="36"/>
      <c r="AA659" s="36"/>
      <c r="AB659" s="26"/>
      <c r="AC659" s="33"/>
    </row>
    <row r="660" spans="1:29" ht="15.75" customHeight="1">
      <c r="A660" s="10" t="s">
        <v>4559</v>
      </c>
      <c r="B660" s="10" t="s">
        <v>1469</v>
      </c>
      <c r="C660" s="52" t="s">
        <v>868</v>
      </c>
      <c r="D660" s="38"/>
      <c r="E660" s="13" t="s">
        <v>184</v>
      </c>
      <c r="F660" s="6" t="s">
        <v>4560</v>
      </c>
      <c r="G660" s="6" t="str">
        <f ca="1">IFERROR(__xludf.DUMMYFUNCTION("CONCATENATE(B660,(VLOOKUP(C660,CATALOGOS!$F$2:$H$6,3,FALSE)),(VLOOKUP(V660,CATALOGOS!$J$2:$K$18,2,FALSE)),""-"",TO_TEXT(A660))"),"P13SO-0659")</f>
        <v>P13SO-0659</v>
      </c>
      <c r="H660" s="6" t="str">
        <f ca="1">IFERROR(__xludf.DUMMYFUNCTION("CONCATENATE($B660,(VLOOKUP($C660,CATALOGOS!$F$2:$H$6,3,FALSE)),(VLOOKUP($V660,CATALOGOS!$J$2:$K$18,2,FALSE)),""-"",TO_TEXT($A660))"),"P13SO-0659")</f>
        <v>P13SO-0659</v>
      </c>
      <c r="I660" s="6"/>
      <c r="J660" s="6" t="s">
        <v>4561</v>
      </c>
      <c r="K660" s="6" t="s">
        <v>4562</v>
      </c>
      <c r="L660" s="6" t="s">
        <v>4563</v>
      </c>
      <c r="M660" s="6" t="s">
        <v>4564</v>
      </c>
      <c r="N660" s="17"/>
      <c r="O660" s="17"/>
      <c r="P660" s="17" t="str">
        <f t="shared" si="5"/>
        <v>OK</v>
      </c>
      <c r="Q660" s="35" t="s">
        <v>35</v>
      </c>
      <c r="R660" s="6" t="s">
        <v>35</v>
      </c>
      <c r="S660" s="46" t="s">
        <v>36</v>
      </c>
      <c r="T660" s="17" t="s">
        <v>4565</v>
      </c>
      <c r="U660" s="173" t="s">
        <v>38</v>
      </c>
      <c r="V660" s="11" t="s">
        <v>868</v>
      </c>
      <c r="W660" s="6" t="s">
        <v>3450</v>
      </c>
      <c r="X660" s="6" t="s">
        <v>4202</v>
      </c>
      <c r="Y660" s="6"/>
      <c r="Z660" s="6"/>
      <c r="AA660" s="6" t="s">
        <v>4203</v>
      </c>
      <c r="AB660" s="26"/>
      <c r="AC660" s="33"/>
    </row>
    <row r="661" spans="1:29" ht="15.75" customHeight="1">
      <c r="A661" s="10" t="s">
        <v>4566</v>
      </c>
      <c r="B661" s="10" t="s">
        <v>27</v>
      </c>
      <c r="C661" s="52" t="s">
        <v>868</v>
      </c>
      <c r="D661" s="12"/>
      <c r="E661" s="13" t="s">
        <v>62</v>
      </c>
      <c r="F661" s="6" t="s">
        <v>4567</v>
      </c>
      <c r="G661" s="15" t="str">
        <f ca="1">IFERROR(__xludf.DUMMYFUNCTION("CONCATENATE(B661,(VLOOKUP(C661,CATALOGOS!$F$2:$H$6,3,FALSE)),(VLOOKUP(V661,CATALOGOS!$J$2:$K$18,2,FALSE)),""-"",TO_TEXT(A661))"),"P03CV-0660")</f>
        <v>P03CV-0660</v>
      </c>
      <c r="H661" s="6" t="str">
        <f ca="1">IFERROR(__xludf.DUMMYFUNCTION("CONCATENATE($B661,(VLOOKUP($C661,CATALOGOS!$F$2:$H$6,3,FALSE)),(VLOOKUP($V661,CATALOGOS!$J$2:$K$18,2,FALSE)),""-"",TO_TEXT($A661))"),"P03CV-0660")</f>
        <v>P03CV-0660</v>
      </c>
      <c r="I661" s="6"/>
      <c r="J661" s="6" t="s">
        <v>4568</v>
      </c>
      <c r="K661" s="6" t="s">
        <v>4569</v>
      </c>
      <c r="L661" s="6" t="s">
        <v>4570</v>
      </c>
      <c r="M661" s="6" t="s">
        <v>4571</v>
      </c>
      <c r="N661" s="17"/>
      <c r="O661" s="17"/>
      <c r="P661" s="17" t="str">
        <f t="shared" si="5"/>
        <v>OK</v>
      </c>
      <c r="Q661" s="17" t="s">
        <v>35</v>
      </c>
      <c r="R661" s="6" t="s">
        <v>35</v>
      </c>
      <c r="S661" s="17" t="s">
        <v>36</v>
      </c>
      <c r="T661" s="17" t="s">
        <v>7831</v>
      </c>
      <c r="U661" s="173" t="s">
        <v>38</v>
      </c>
      <c r="V661" s="11" t="s">
        <v>875</v>
      </c>
      <c r="W661" s="186" t="s">
        <v>4573</v>
      </c>
      <c r="X661" s="20" t="s">
        <v>4574</v>
      </c>
      <c r="Y661" s="20"/>
      <c r="Z661" s="36"/>
      <c r="AA661" s="36"/>
      <c r="AB661" s="23"/>
      <c r="AC661" s="33"/>
    </row>
    <row r="662" spans="1:29" ht="15.75" customHeight="1">
      <c r="A662" s="10" t="s">
        <v>4575</v>
      </c>
      <c r="B662" s="10" t="s">
        <v>27</v>
      </c>
      <c r="C662" s="52" t="s">
        <v>868</v>
      </c>
      <c r="D662" s="12"/>
      <c r="E662" s="13" t="s">
        <v>62</v>
      </c>
      <c r="F662" s="6" t="s">
        <v>4576</v>
      </c>
      <c r="G662" s="15" t="str">
        <f ca="1">IFERROR(__xludf.DUMMYFUNCTION("CONCATENATE(B662,(VLOOKUP(C662,CATALOGOS!$F$2:$H$6,3,FALSE)),(VLOOKUP(V662,CATALOGOS!$J$2:$K$18,2,FALSE)),""-"",TO_TEXT(A662))"),"P03CV-0661")</f>
        <v>P03CV-0661</v>
      </c>
      <c r="H662" s="6" t="str">
        <f ca="1">IFERROR(__xludf.DUMMYFUNCTION("CONCATENATE($B662,(VLOOKUP($C662,CATALOGOS!$F$2:$H$6,3,FALSE)),(VLOOKUP($V662,CATALOGOS!$J$2:$K$18,2,FALSE)),""-"",TO_TEXT($A662))"),"P03CV-0661")</f>
        <v>P03CV-0661</v>
      </c>
      <c r="I662" s="6"/>
      <c r="J662" s="6" t="s">
        <v>4577</v>
      </c>
      <c r="K662" s="6" t="s">
        <v>4578</v>
      </c>
      <c r="L662" s="6" t="s">
        <v>4579</v>
      </c>
      <c r="M662" s="6" t="s">
        <v>4580</v>
      </c>
      <c r="N662" s="17"/>
      <c r="O662" s="17"/>
      <c r="P662" s="17" t="str">
        <f t="shared" si="5"/>
        <v>OK</v>
      </c>
      <c r="Q662" s="17" t="s">
        <v>35</v>
      </c>
      <c r="R662" s="6" t="s">
        <v>35</v>
      </c>
      <c r="S662" s="17" t="s">
        <v>36</v>
      </c>
      <c r="T662" s="17" t="s">
        <v>8203</v>
      </c>
      <c r="U662" s="179" t="s">
        <v>100</v>
      </c>
      <c r="V662" s="11" t="s">
        <v>875</v>
      </c>
      <c r="W662" s="186" t="s">
        <v>4573</v>
      </c>
      <c r="X662" s="20" t="s">
        <v>4574</v>
      </c>
      <c r="Y662" s="20"/>
      <c r="Z662" s="36"/>
      <c r="AA662" s="36"/>
      <c r="AB662" s="23"/>
      <c r="AC662" s="33"/>
    </row>
    <row r="663" spans="1:29" ht="15.75" customHeight="1">
      <c r="A663" s="10" t="s">
        <v>4582</v>
      </c>
      <c r="B663" s="10" t="s">
        <v>27</v>
      </c>
      <c r="C663" s="52" t="s">
        <v>868</v>
      </c>
      <c r="D663" s="12"/>
      <c r="E663" s="13" t="s">
        <v>62</v>
      </c>
      <c r="F663" s="6" t="s">
        <v>4583</v>
      </c>
      <c r="G663" s="15" t="str">
        <f ca="1">IFERROR(__xludf.DUMMYFUNCTION("CONCATENATE(B663,(VLOOKUP(C663,CATALOGOS!$F$2:$H$6,3,FALSE)),(VLOOKUP(V663,CATALOGOS!$J$2:$K$18,2,FALSE)),""-"",TO_TEXT(A663))"),"P03CV-0662")</f>
        <v>P03CV-0662</v>
      </c>
      <c r="H663" s="6" t="str">
        <f ca="1">IFERROR(__xludf.DUMMYFUNCTION("CONCATENATE($B663,(VLOOKUP($C663,CATALOGOS!$F$2:$H$6,3,FALSE)),(VLOOKUP($V663,CATALOGOS!$J$2:$K$18,2,FALSE)),""-"",TO_TEXT($A663))"),"P03CV-0662")</f>
        <v>P03CV-0662</v>
      </c>
      <c r="I663" s="6"/>
      <c r="J663" s="6" t="s">
        <v>4584</v>
      </c>
      <c r="K663" s="6" t="s">
        <v>4585</v>
      </c>
      <c r="L663" s="6" t="s">
        <v>4586</v>
      </c>
      <c r="M663" s="6" t="s">
        <v>4587</v>
      </c>
      <c r="N663" s="17"/>
      <c r="O663" s="17"/>
      <c r="P663" s="17" t="str">
        <f t="shared" si="5"/>
        <v>OK</v>
      </c>
      <c r="Q663" s="17" t="s">
        <v>35</v>
      </c>
      <c r="R663" s="6" t="s">
        <v>35</v>
      </c>
      <c r="S663" s="17" t="s">
        <v>36</v>
      </c>
      <c r="T663" s="17" t="s">
        <v>4588</v>
      </c>
      <c r="U663" s="173" t="s">
        <v>38</v>
      </c>
      <c r="V663" s="11" t="s">
        <v>875</v>
      </c>
      <c r="W663" s="186" t="s">
        <v>4573</v>
      </c>
      <c r="X663" s="20" t="s">
        <v>4574</v>
      </c>
      <c r="Y663" s="20"/>
      <c r="Z663" s="36"/>
      <c r="AA663" s="36"/>
      <c r="AB663" s="23"/>
      <c r="AC663" s="33"/>
    </row>
    <row r="664" spans="1:29" ht="15.75" customHeight="1">
      <c r="A664" s="10" t="s">
        <v>4589</v>
      </c>
      <c r="B664" s="10" t="s">
        <v>27</v>
      </c>
      <c r="C664" s="52" t="s">
        <v>868</v>
      </c>
      <c r="D664" s="12"/>
      <c r="E664" s="13" t="s">
        <v>62</v>
      </c>
      <c r="F664" s="6" t="s">
        <v>4590</v>
      </c>
      <c r="G664" s="15" t="str">
        <f ca="1">IFERROR(__xludf.DUMMYFUNCTION("CONCATENATE(B664,(VLOOKUP(C664,CATALOGOS!$F$2:$H$6,3,FALSE)),(VLOOKUP(V664,CATALOGOS!$J$2:$K$18,2,FALSE)),""-"",TO_TEXT(A664))"),"P03CV-0663")</f>
        <v>P03CV-0663</v>
      </c>
      <c r="H664" s="6" t="str">
        <f ca="1">IFERROR(__xludf.DUMMYFUNCTION("CONCATENATE($B664,(VLOOKUP($C664,CATALOGOS!$F$2:$H$6,3,FALSE)),(VLOOKUP($V664,CATALOGOS!$J$2:$K$18,2,FALSE)),""-"",TO_TEXT($A664))"),"P03CV-0663")</f>
        <v>P03CV-0663</v>
      </c>
      <c r="I664" s="6"/>
      <c r="J664" s="6" t="s">
        <v>4591</v>
      </c>
      <c r="K664" s="6" t="s">
        <v>4592</v>
      </c>
      <c r="L664" s="6" t="s">
        <v>4593</v>
      </c>
      <c r="M664" s="6" t="s">
        <v>4594</v>
      </c>
      <c r="N664" s="17"/>
      <c r="O664" s="17"/>
      <c r="P664" s="17" t="str">
        <f t="shared" si="5"/>
        <v>OK</v>
      </c>
      <c r="Q664" s="17" t="s">
        <v>35</v>
      </c>
      <c r="R664" s="6" t="s">
        <v>35</v>
      </c>
      <c r="S664" s="17" t="s">
        <v>36</v>
      </c>
      <c r="T664" s="17" t="s">
        <v>4595</v>
      </c>
      <c r="U664" s="173" t="s">
        <v>38</v>
      </c>
      <c r="V664" s="11" t="s">
        <v>875</v>
      </c>
      <c r="W664" s="186" t="s">
        <v>4573</v>
      </c>
      <c r="X664" s="20" t="s">
        <v>4574</v>
      </c>
      <c r="Y664" s="20"/>
      <c r="Z664" s="36"/>
      <c r="AA664" s="36"/>
      <c r="AB664" s="23"/>
      <c r="AC664" s="33"/>
    </row>
    <row r="665" spans="1:29" ht="15.75" customHeight="1">
      <c r="A665" s="10" t="s">
        <v>4596</v>
      </c>
      <c r="B665" s="10" t="s">
        <v>27</v>
      </c>
      <c r="C665" s="52" t="s">
        <v>868</v>
      </c>
      <c r="D665" s="12"/>
      <c r="E665" s="13" t="s">
        <v>43</v>
      </c>
      <c r="F665" s="6" t="s">
        <v>4597</v>
      </c>
      <c r="G665" s="15" t="str">
        <f ca="1">IFERROR(__xludf.DUMMYFUNCTION("CONCATENATE(B665,(VLOOKUP(C665,CATALOGOS!$F$2:$H$6,3,FALSE)),(VLOOKUP(V665,CATALOGOS!$J$2:$K$18,2,FALSE)),""-"",TO_TEXT(A665))"),"P03CV-0664")</f>
        <v>P03CV-0664</v>
      </c>
      <c r="H665" s="6" t="str">
        <f ca="1">IFERROR(__xludf.DUMMYFUNCTION("CONCATENATE($B665,(VLOOKUP($C665,CATALOGOS!$F$2:$H$6,3,FALSE)),(VLOOKUP($V665,CATALOGOS!$J$2:$K$18,2,FALSE)),""-"",TO_TEXT($A665))"),"P03CV-0664")</f>
        <v>P03CV-0664</v>
      </c>
      <c r="I665" s="6"/>
      <c r="J665" s="6" t="s">
        <v>4598</v>
      </c>
      <c r="K665" s="6" t="s">
        <v>4599</v>
      </c>
      <c r="L665" s="6" t="s">
        <v>4600</v>
      </c>
      <c r="M665" s="6" t="s">
        <v>4601</v>
      </c>
      <c r="N665" s="17"/>
      <c r="O665" s="17"/>
      <c r="P665" s="17" t="str">
        <f t="shared" si="5"/>
        <v>OK</v>
      </c>
      <c r="Q665" s="17" t="s">
        <v>4602</v>
      </c>
      <c r="R665" s="6">
        <v>10187</v>
      </c>
      <c r="S665" s="17" t="s">
        <v>36</v>
      </c>
      <c r="T665" s="10" t="s">
        <v>4603</v>
      </c>
      <c r="U665" s="173" t="s">
        <v>38</v>
      </c>
      <c r="V665" s="11" t="s">
        <v>875</v>
      </c>
      <c r="W665" s="186" t="s">
        <v>4573</v>
      </c>
      <c r="X665" s="20" t="s">
        <v>4574</v>
      </c>
      <c r="Y665" s="20"/>
      <c r="Z665" s="36"/>
      <c r="AA665" s="36"/>
      <c r="AB665" s="23"/>
      <c r="AC665" s="33"/>
    </row>
    <row r="666" spans="1:29" ht="15.75" customHeight="1">
      <c r="A666" s="10" t="s">
        <v>4604</v>
      </c>
      <c r="B666" s="10" t="s">
        <v>27</v>
      </c>
      <c r="C666" s="52" t="s">
        <v>868</v>
      </c>
      <c r="D666" s="12"/>
      <c r="E666" s="13" t="s">
        <v>378</v>
      </c>
      <c r="F666" s="6" t="s">
        <v>4605</v>
      </c>
      <c r="G666" s="15" t="str">
        <f ca="1">IFERROR(__xludf.DUMMYFUNCTION("CONCATENATE(B666,(VLOOKUP(C666,CATALOGOS!$F$2:$H$6,3,FALSE)),(VLOOKUP(V666,CATALOGOS!$J$2:$K$18,2,FALSE)),""-"",TO_TEXT(A666))"),"P03CV-0665")</f>
        <v>P03CV-0665</v>
      </c>
      <c r="H666" s="6" t="str">
        <f ca="1">IFERROR(__xludf.DUMMYFUNCTION("CONCATENATE($B666,(VLOOKUP($C666,CATALOGOS!$F$2:$H$6,3,FALSE)),(VLOOKUP($V666,CATALOGOS!$J$2:$K$18,2,FALSE)),""-"",TO_TEXT($A666))"),"P03CV-0665")</f>
        <v>P03CV-0665</v>
      </c>
      <c r="I666" s="6"/>
      <c r="J666" s="6" t="s">
        <v>4606</v>
      </c>
      <c r="K666" s="6" t="s">
        <v>4607</v>
      </c>
      <c r="L666" s="6" t="s">
        <v>4608</v>
      </c>
      <c r="M666" s="6" t="s">
        <v>4609</v>
      </c>
      <c r="N666" s="17"/>
      <c r="O666" s="17"/>
      <c r="P666" s="17" t="str">
        <f t="shared" si="5"/>
        <v>OK</v>
      </c>
      <c r="Q666" s="17" t="s">
        <v>35</v>
      </c>
      <c r="R666" s="6" t="s">
        <v>35</v>
      </c>
      <c r="S666" s="17" t="s">
        <v>36</v>
      </c>
      <c r="T666" s="17" t="s">
        <v>4610</v>
      </c>
      <c r="U666" s="173" t="s">
        <v>38</v>
      </c>
      <c r="V666" s="11" t="s">
        <v>875</v>
      </c>
      <c r="W666" s="20" t="s">
        <v>1004</v>
      </c>
      <c r="X666" s="20" t="s">
        <v>1004</v>
      </c>
      <c r="Y666" s="20"/>
      <c r="Z666" s="36"/>
      <c r="AA666" s="36"/>
      <c r="AB666" s="23"/>
      <c r="AC666" s="33"/>
    </row>
    <row r="667" spans="1:29" ht="15.75" customHeight="1">
      <c r="A667" s="10" t="s">
        <v>4611</v>
      </c>
      <c r="B667" s="10" t="s">
        <v>27</v>
      </c>
      <c r="C667" s="52" t="s">
        <v>868</v>
      </c>
      <c r="D667" s="12"/>
      <c r="E667" s="13" t="s">
        <v>378</v>
      </c>
      <c r="F667" s="6" t="s">
        <v>878</v>
      </c>
      <c r="G667" s="15" t="str">
        <f ca="1">IFERROR(__xludf.DUMMYFUNCTION("CONCATENATE(B667,(VLOOKUP(C667,CATALOGOS!$F$2:$H$6,3,FALSE)),(VLOOKUP(V667,CATALOGOS!$J$2:$K$18,2,FALSE)),""-"",TO_TEXT(A667))"),"P03CV-0666")</f>
        <v>P03CV-0666</v>
      </c>
      <c r="H667" s="6" t="str">
        <f ca="1">IFERROR(__xludf.DUMMYFUNCTION("CONCATENATE($B667,(VLOOKUP($C667,CATALOGOS!$F$2:$H$6,3,FALSE)),(VLOOKUP($V667,CATALOGOS!$J$2:$K$18,2,FALSE)),""-"",TO_TEXT($A667))"),"P03CV-0666")</f>
        <v>P03CV-0666</v>
      </c>
      <c r="I667" s="6"/>
      <c r="J667" s="6" t="s">
        <v>4612</v>
      </c>
      <c r="K667" s="6" t="s">
        <v>4613</v>
      </c>
      <c r="L667" s="6" t="s">
        <v>4614</v>
      </c>
      <c r="M667" s="6" t="s">
        <v>4615</v>
      </c>
      <c r="N667" s="17"/>
      <c r="O667" s="17"/>
      <c r="P667" s="17" t="str">
        <f t="shared" si="5"/>
        <v>OK</v>
      </c>
      <c r="Q667" s="17" t="s">
        <v>35</v>
      </c>
      <c r="R667" s="6" t="s">
        <v>35</v>
      </c>
      <c r="S667" s="17" t="s">
        <v>36</v>
      </c>
      <c r="T667" s="17" t="s">
        <v>4616</v>
      </c>
      <c r="U667" s="173" t="s">
        <v>38</v>
      </c>
      <c r="V667" s="11" t="s">
        <v>875</v>
      </c>
      <c r="W667" s="186" t="s">
        <v>4573</v>
      </c>
      <c r="X667" s="20" t="s">
        <v>4574</v>
      </c>
      <c r="Y667" s="20"/>
      <c r="Z667" s="36"/>
      <c r="AA667" s="36"/>
      <c r="AB667" s="23"/>
      <c r="AC667" s="33"/>
    </row>
    <row r="668" spans="1:29" ht="15.75" customHeight="1">
      <c r="A668" s="10" t="s">
        <v>4617</v>
      </c>
      <c r="B668" s="10" t="s">
        <v>27</v>
      </c>
      <c r="C668" s="52" t="s">
        <v>868</v>
      </c>
      <c r="D668" s="12"/>
      <c r="E668" s="13" t="s">
        <v>378</v>
      </c>
      <c r="F668" s="6" t="s">
        <v>878</v>
      </c>
      <c r="G668" s="15" t="str">
        <f ca="1">IFERROR(__xludf.DUMMYFUNCTION("CONCATENATE(B668,(VLOOKUP(C668,CATALOGOS!$F$2:$H$6,3,FALSE)),(VLOOKUP(V668,CATALOGOS!$J$2:$K$18,2,FALSE)),""-"",TO_TEXT(A668))"),"P03CV-0667")</f>
        <v>P03CV-0667</v>
      </c>
      <c r="H668" s="6" t="str">
        <f ca="1">IFERROR(__xludf.DUMMYFUNCTION("CONCATENATE($B668,(VLOOKUP($C668,CATALOGOS!$F$2:$H$6,3,FALSE)),(VLOOKUP($V668,CATALOGOS!$J$2:$K$18,2,FALSE)),""-"",TO_TEXT($A668))"),"P03CV-0667")</f>
        <v>P03CV-0667</v>
      </c>
      <c r="I668" s="6"/>
      <c r="J668" s="6" t="s">
        <v>4618</v>
      </c>
      <c r="K668" s="6" t="s">
        <v>4619</v>
      </c>
      <c r="L668" s="6" t="s">
        <v>4620</v>
      </c>
      <c r="M668" s="6" t="s">
        <v>4621</v>
      </c>
      <c r="N668" s="17"/>
      <c r="O668" s="17"/>
      <c r="P668" s="17" t="str">
        <f t="shared" si="5"/>
        <v>OK</v>
      </c>
      <c r="Q668" s="17" t="s">
        <v>35</v>
      </c>
      <c r="R668" s="6" t="s">
        <v>35</v>
      </c>
      <c r="S668" s="17" t="s">
        <v>36</v>
      </c>
      <c r="T668" s="17" t="s">
        <v>7607</v>
      </c>
      <c r="U668" s="173" t="s">
        <v>38</v>
      </c>
      <c r="V668" s="11" t="s">
        <v>875</v>
      </c>
      <c r="W668" s="186" t="s">
        <v>4573</v>
      </c>
      <c r="X668" s="20" t="s">
        <v>4574</v>
      </c>
      <c r="Y668" s="20"/>
      <c r="Z668" s="36"/>
      <c r="AA668" s="36"/>
      <c r="AB668" s="23"/>
      <c r="AC668" s="33"/>
    </row>
    <row r="669" spans="1:29" ht="15.75" customHeight="1">
      <c r="A669" s="10" t="s">
        <v>4623</v>
      </c>
      <c r="B669" s="10" t="s">
        <v>27</v>
      </c>
      <c r="C669" s="52" t="s">
        <v>868</v>
      </c>
      <c r="D669" s="12"/>
      <c r="E669" s="13" t="s">
        <v>378</v>
      </c>
      <c r="F669" s="6" t="s">
        <v>878</v>
      </c>
      <c r="G669" s="15" t="str">
        <f ca="1">IFERROR(__xludf.DUMMYFUNCTION("CONCATENATE(B669,(VLOOKUP(C669,CATALOGOS!$F$2:$H$6,3,FALSE)),(VLOOKUP(V669,CATALOGOS!$J$2:$K$18,2,FALSE)),""-"",TO_TEXT(A669))"),"P03CV-0668")</f>
        <v>P03CV-0668</v>
      </c>
      <c r="H669" s="6" t="str">
        <f ca="1">IFERROR(__xludf.DUMMYFUNCTION("CONCATENATE($B669,(VLOOKUP($C669,CATALOGOS!$F$2:$H$6,3,FALSE)),(VLOOKUP($V669,CATALOGOS!$J$2:$K$18,2,FALSE)),""-"",TO_TEXT($A669))"),"P03CV-0668")</f>
        <v>P03CV-0668</v>
      </c>
      <c r="I669" s="6"/>
      <c r="J669" s="6" t="s">
        <v>4624</v>
      </c>
      <c r="K669" s="6" t="s">
        <v>4625</v>
      </c>
      <c r="L669" s="6" t="s">
        <v>4626</v>
      </c>
      <c r="M669" s="6" t="s">
        <v>4627</v>
      </c>
      <c r="N669" s="17"/>
      <c r="O669" s="17"/>
      <c r="P669" s="17" t="str">
        <f t="shared" si="5"/>
        <v>OK</v>
      </c>
      <c r="Q669" s="17" t="s">
        <v>35</v>
      </c>
      <c r="R669" s="6" t="s">
        <v>35</v>
      </c>
      <c r="S669" s="17" t="s">
        <v>36</v>
      </c>
      <c r="T669" s="17" t="s">
        <v>7609</v>
      </c>
      <c r="U669" s="173" t="s">
        <v>38</v>
      </c>
      <c r="V669" s="11" t="s">
        <v>875</v>
      </c>
      <c r="W669" s="22" t="s">
        <v>4629</v>
      </c>
      <c r="X669" s="22" t="s">
        <v>4629</v>
      </c>
      <c r="Y669" s="22"/>
      <c r="Z669" s="36"/>
      <c r="AA669" s="36"/>
      <c r="AB669" s="23"/>
      <c r="AC669" s="33"/>
    </row>
    <row r="670" spans="1:29" ht="15.75" customHeight="1">
      <c r="A670" s="10" t="s">
        <v>4630</v>
      </c>
      <c r="B670" s="10" t="s">
        <v>27</v>
      </c>
      <c r="C670" s="52" t="s">
        <v>868</v>
      </c>
      <c r="D670" s="12"/>
      <c r="E670" s="13" t="s">
        <v>62</v>
      </c>
      <c r="F670" s="6" t="s">
        <v>4631</v>
      </c>
      <c r="G670" s="15" t="str">
        <f ca="1">IFERROR(__xludf.DUMMYFUNCTION("CONCATENATE(B670,(VLOOKUP(C670,CATALOGOS!$F$2:$H$6,3,FALSE)),(VLOOKUP(V670,CATALOGOS!$J$2:$K$18,2,FALSE)),""-"",TO_TEXT(A670))"),"P03CV-0669")</f>
        <v>P03CV-0669</v>
      </c>
      <c r="H670" s="6" t="str">
        <f ca="1">IFERROR(__xludf.DUMMYFUNCTION("CONCATENATE($B670,(VLOOKUP($C670,CATALOGOS!$F$2:$H$6,3,FALSE)),(VLOOKUP($V670,CATALOGOS!$J$2:$K$18,2,FALSE)),""-"",TO_TEXT($A670))"),"P03CV-0669")</f>
        <v>P03CV-0669</v>
      </c>
      <c r="I670" s="6"/>
      <c r="J670" s="6" t="s">
        <v>4632</v>
      </c>
      <c r="K670" s="6" t="s">
        <v>4633</v>
      </c>
      <c r="L670" s="6" t="s">
        <v>4634</v>
      </c>
      <c r="M670" s="6" t="s">
        <v>4635</v>
      </c>
      <c r="N670" s="17"/>
      <c r="O670" s="17"/>
      <c r="P670" s="17" t="str">
        <f t="shared" si="5"/>
        <v>OK</v>
      </c>
      <c r="Q670" s="17" t="s">
        <v>35</v>
      </c>
      <c r="R670" s="6" t="s">
        <v>35</v>
      </c>
      <c r="S670" s="17" t="s">
        <v>36</v>
      </c>
      <c r="T670" s="17" t="s">
        <v>8166</v>
      </c>
      <c r="U670" s="173" t="s">
        <v>38</v>
      </c>
      <c r="V670" s="11" t="s">
        <v>875</v>
      </c>
      <c r="W670" s="186" t="s">
        <v>4573</v>
      </c>
      <c r="X670" s="20" t="s">
        <v>4574</v>
      </c>
      <c r="Y670" s="20"/>
      <c r="Z670" s="36"/>
      <c r="AA670" s="36"/>
      <c r="AB670" s="23"/>
      <c r="AC670" s="33"/>
    </row>
    <row r="671" spans="1:29" ht="15.75" customHeight="1">
      <c r="A671" s="10" t="s">
        <v>4637</v>
      </c>
      <c r="B671" s="10" t="s">
        <v>27</v>
      </c>
      <c r="C671" s="52" t="s">
        <v>868</v>
      </c>
      <c r="D671" s="12"/>
      <c r="E671" s="13" t="s">
        <v>116</v>
      </c>
      <c r="F671" s="6" t="s">
        <v>4638</v>
      </c>
      <c r="G671" s="15" t="str">
        <f ca="1">IFERROR(__xludf.DUMMYFUNCTION("CONCATENATE(B671,(VLOOKUP(C671,CATALOGOS!$F$2:$H$6,3,FALSE)),(VLOOKUP(V671,CATALOGOS!$J$2:$K$18,2,FALSE)),""-"",TO_TEXT(A671))"),"P03CV-0670")</f>
        <v>P03CV-0670</v>
      </c>
      <c r="H671" s="6" t="str">
        <f ca="1">IFERROR(__xludf.DUMMYFUNCTION("CONCATENATE($B671,(VLOOKUP($C671,CATALOGOS!$F$2:$H$6,3,FALSE)),(VLOOKUP($V671,CATALOGOS!$J$2:$K$18,2,FALSE)),""-"",TO_TEXT($A671))"),"P03CV-0670")</f>
        <v>P03CV-0670</v>
      </c>
      <c r="I671" s="6"/>
      <c r="J671" s="6" t="s">
        <v>4639</v>
      </c>
      <c r="K671" s="6" t="s">
        <v>4640</v>
      </c>
      <c r="L671" s="6" t="s">
        <v>4641</v>
      </c>
      <c r="M671" s="6" t="s">
        <v>4642</v>
      </c>
      <c r="N671" s="17"/>
      <c r="O671" s="17"/>
      <c r="P671" s="17" t="str">
        <f t="shared" si="5"/>
        <v>OK</v>
      </c>
      <c r="Q671" s="17" t="s">
        <v>35</v>
      </c>
      <c r="R671" s="6" t="s">
        <v>35</v>
      </c>
      <c r="S671" s="17" t="s">
        <v>36</v>
      </c>
      <c r="T671" s="17" t="s">
        <v>8144</v>
      </c>
      <c r="U671" s="173" t="s">
        <v>38</v>
      </c>
      <c r="V671" s="11" t="s">
        <v>875</v>
      </c>
      <c r="W671" s="186" t="s">
        <v>1185</v>
      </c>
      <c r="X671" s="20" t="s">
        <v>4573</v>
      </c>
      <c r="Y671" s="20"/>
      <c r="Z671" s="36"/>
      <c r="AA671" s="36"/>
      <c r="AB671" s="23"/>
      <c r="AC671" s="33"/>
    </row>
    <row r="672" spans="1:29" ht="15.75" customHeight="1">
      <c r="A672" s="10" t="s">
        <v>4644</v>
      </c>
      <c r="B672" s="10" t="s">
        <v>27</v>
      </c>
      <c r="C672" s="52" t="s">
        <v>868</v>
      </c>
      <c r="D672" s="12"/>
      <c r="E672" s="13" t="s">
        <v>93</v>
      </c>
      <c r="F672" s="6" t="s">
        <v>4645</v>
      </c>
      <c r="G672" s="15" t="str">
        <f ca="1">IFERROR(__xludf.DUMMYFUNCTION("CONCATENATE(B672,(VLOOKUP(C672,CATALOGOS!$F$2:$H$6,3,FALSE)),(VLOOKUP(V672,CATALOGOS!$J$2:$K$18,2,FALSE)),""-"",TO_TEXT(A672))"),"P03CV-0671")</f>
        <v>P03CV-0671</v>
      </c>
      <c r="H672" s="6" t="str">
        <f ca="1">IFERROR(__xludf.DUMMYFUNCTION("CONCATENATE($B672,(VLOOKUP($C672,CATALOGOS!$F$2:$H$6,3,FALSE)),(VLOOKUP($V672,CATALOGOS!$J$2:$K$18,2,FALSE)),""-"",TO_TEXT($A672))"),"P03CV-0671")</f>
        <v>P03CV-0671</v>
      </c>
      <c r="I672" s="6"/>
      <c r="J672" s="6" t="s">
        <v>4646</v>
      </c>
      <c r="K672" s="6" t="s">
        <v>4647</v>
      </c>
      <c r="L672" s="6" t="s">
        <v>4648</v>
      </c>
      <c r="M672" s="6" t="s">
        <v>4649</v>
      </c>
      <c r="N672" s="17"/>
      <c r="O672" s="17"/>
      <c r="P672" s="17" t="str">
        <f t="shared" si="5"/>
        <v>OK</v>
      </c>
      <c r="Q672" s="17" t="s">
        <v>35</v>
      </c>
      <c r="R672" s="6" t="s">
        <v>35</v>
      </c>
      <c r="S672" s="17" t="s">
        <v>36</v>
      </c>
      <c r="T672" s="17" t="s">
        <v>4650</v>
      </c>
      <c r="U672" s="173" t="s">
        <v>38</v>
      </c>
      <c r="V672" s="11" t="s">
        <v>875</v>
      </c>
      <c r="W672" s="186" t="s">
        <v>4573</v>
      </c>
      <c r="X672" s="20" t="s">
        <v>4574</v>
      </c>
      <c r="Y672" s="20"/>
      <c r="Z672" s="36"/>
      <c r="AA672" s="36"/>
      <c r="AB672" s="23"/>
      <c r="AC672" s="33"/>
    </row>
    <row r="673" spans="1:30" ht="15.75" customHeight="1">
      <c r="A673" s="10" t="s">
        <v>4651</v>
      </c>
      <c r="B673" s="10" t="s">
        <v>27</v>
      </c>
      <c r="C673" s="52" t="s">
        <v>868</v>
      </c>
      <c r="D673" s="12"/>
      <c r="E673" s="13" t="s">
        <v>151</v>
      </c>
      <c r="F673" s="6" t="s">
        <v>714</v>
      </c>
      <c r="G673" s="15" t="str">
        <f ca="1">IFERROR(__xludf.DUMMYFUNCTION("CONCATENATE(B673,(VLOOKUP(C673,CATALOGOS!$F$2:$H$6,3,FALSE)),(VLOOKUP(V673,CATALOGOS!$J$2:$K$18,2,FALSE)),""-"",TO_TEXT(A673))"),"P03CV-0672")</f>
        <v>P03CV-0672</v>
      </c>
      <c r="H673" s="6" t="str">
        <f ca="1">IFERROR(__xludf.DUMMYFUNCTION("CONCATENATE($B673,(VLOOKUP($C673,CATALOGOS!$F$2:$H$6,3,FALSE)),(VLOOKUP($V673,CATALOGOS!$J$2:$K$18,2,FALSE)),""-"",TO_TEXT($A673))"),"P03CV-0672")</f>
        <v>P03CV-0672</v>
      </c>
      <c r="I673" s="6"/>
      <c r="J673" s="6" t="s">
        <v>4652</v>
      </c>
      <c r="K673" s="6" t="s">
        <v>4653</v>
      </c>
      <c r="L673" s="6" t="s">
        <v>4654</v>
      </c>
      <c r="M673" s="6" t="s">
        <v>4655</v>
      </c>
      <c r="N673" s="17"/>
      <c r="O673" s="17"/>
      <c r="P673" s="17" t="str">
        <f t="shared" si="5"/>
        <v>OK</v>
      </c>
      <c r="Q673" s="17" t="s">
        <v>157</v>
      </c>
      <c r="R673" s="6" t="s">
        <v>158</v>
      </c>
      <c r="S673" s="17" t="s">
        <v>4656</v>
      </c>
      <c r="T673" s="10" t="s">
        <v>4657</v>
      </c>
      <c r="U673" s="173" t="s">
        <v>38</v>
      </c>
      <c r="V673" s="11" t="s">
        <v>875</v>
      </c>
      <c r="W673" s="186" t="s">
        <v>4573</v>
      </c>
      <c r="X673" s="20" t="s">
        <v>4574</v>
      </c>
      <c r="Y673" s="20"/>
      <c r="Z673" s="36"/>
      <c r="AA673" s="36"/>
      <c r="AB673" s="23"/>
      <c r="AC673" s="33"/>
    </row>
    <row r="674" spans="1:30" ht="15.75" customHeight="1">
      <c r="A674" s="10" t="s">
        <v>4658</v>
      </c>
      <c r="B674" s="10" t="s">
        <v>27</v>
      </c>
      <c r="C674" s="52" t="s">
        <v>868</v>
      </c>
      <c r="D674" s="12"/>
      <c r="E674" s="13" t="s">
        <v>199</v>
      </c>
      <c r="F674" s="6" t="s">
        <v>199</v>
      </c>
      <c r="G674" s="15" t="str">
        <f ca="1">IFERROR(__xludf.DUMMYFUNCTION("CONCATENATE(B674,(VLOOKUP(C674,CATALOGOS!$F$2:$H$6,3,FALSE)),(VLOOKUP(V674,CATALOGOS!$J$2:$K$18,2,FALSE)),""-"",TO_TEXT(A674))"),"P03CV-0673")</f>
        <v>P03CV-0673</v>
      </c>
      <c r="H674" s="6" t="str">
        <f ca="1">IFERROR(__xludf.DUMMYFUNCTION("CONCATENATE($B674,(VLOOKUP($C674,CATALOGOS!$F$2:$H$6,3,FALSE)),(VLOOKUP($V674,CATALOGOS!$J$2:$K$18,2,FALSE)),""-"",TO_TEXT($A674))"),"P03CV-0673")</f>
        <v>P03CV-0673</v>
      </c>
      <c r="I674" s="6"/>
      <c r="J674" s="6" t="s">
        <v>4659</v>
      </c>
      <c r="K674" s="6" t="s">
        <v>4660</v>
      </c>
      <c r="L674" s="6" t="s">
        <v>4661</v>
      </c>
      <c r="M674" s="6" t="s">
        <v>4662</v>
      </c>
      <c r="N674" s="17"/>
      <c r="O674" s="17"/>
      <c r="P674" s="17" t="str">
        <f t="shared" si="5"/>
        <v>OK</v>
      </c>
      <c r="Q674" s="17" t="s">
        <v>157</v>
      </c>
      <c r="R674" s="6">
        <v>2378</v>
      </c>
      <c r="S674" s="17" t="s">
        <v>4663</v>
      </c>
      <c r="T674" s="10" t="s">
        <v>4664</v>
      </c>
      <c r="U674" s="173" t="s">
        <v>38</v>
      </c>
      <c r="V674" s="11" t="s">
        <v>875</v>
      </c>
      <c r="W674" s="186" t="s">
        <v>4573</v>
      </c>
      <c r="X674" s="20" t="s">
        <v>4574</v>
      </c>
      <c r="Y674" s="20"/>
      <c r="Z674" s="6"/>
      <c r="AA674" s="6"/>
      <c r="AB674" s="23"/>
      <c r="AC674" s="33"/>
    </row>
    <row r="675" spans="1:30" ht="15.75" customHeight="1">
      <c r="A675" s="10" t="s">
        <v>4665</v>
      </c>
      <c r="B675" s="10" t="s">
        <v>27</v>
      </c>
      <c r="C675" s="52" t="s">
        <v>868</v>
      </c>
      <c r="D675" s="12"/>
      <c r="E675" s="13" t="s">
        <v>248</v>
      </c>
      <c r="F675" s="6" t="s">
        <v>248</v>
      </c>
      <c r="G675" s="15" t="str">
        <f ca="1">IFERROR(__xludf.DUMMYFUNCTION("CONCATENATE(B675,(VLOOKUP(C675,CATALOGOS!$F$2:$H$6,3,FALSE)),(VLOOKUP(V675,CATALOGOS!$J$2:$K$18,2,FALSE)),""-"",TO_TEXT(A675))"),"P03CV-0674")</f>
        <v>P03CV-0674</v>
      </c>
      <c r="H675" s="6" t="str">
        <f ca="1">IFERROR(__xludf.DUMMYFUNCTION("CONCATENATE($B675,(VLOOKUP($C675,CATALOGOS!$F$2:$H$6,3,FALSE)),(VLOOKUP($V675,CATALOGOS!$J$2:$K$18,2,FALSE)),""-"",TO_TEXT($A675))"),"P03CV-0674")</f>
        <v>P03CV-0674</v>
      </c>
      <c r="I675" s="6"/>
      <c r="J675" s="6" t="s">
        <v>4666</v>
      </c>
      <c r="K675" s="6" t="s">
        <v>4667</v>
      </c>
      <c r="L675" s="37"/>
      <c r="M675" s="6" t="s">
        <v>141</v>
      </c>
      <c r="N675" s="17"/>
      <c r="O675" s="17"/>
      <c r="P675" s="17" t="str">
        <f t="shared" si="5"/>
        <v>REPETIDO</v>
      </c>
      <c r="Q675" s="17" t="s">
        <v>303</v>
      </c>
      <c r="R675" s="6" t="s">
        <v>304</v>
      </c>
      <c r="S675" s="6" t="s">
        <v>4668</v>
      </c>
      <c r="T675" s="10" t="s">
        <v>4669</v>
      </c>
      <c r="U675" s="173" t="s">
        <v>38</v>
      </c>
      <c r="V675" s="11" t="s">
        <v>875</v>
      </c>
      <c r="W675" s="186" t="s">
        <v>4573</v>
      </c>
      <c r="X675" s="20" t="s">
        <v>4574</v>
      </c>
      <c r="Y675" s="20"/>
      <c r="Z675" s="6"/>
      <c r="AA675" s="6"/>
      <c r="AB675" s="23"/>
      <c r="AC675" s="24"/>
    </row>
    <row r="676" spans="1:30" ht="15.75" customHeight="1">
      <c r="A676" s="10" t="s">
        <v>4670</v>
      </c>
      <c r="B676" s="10" t="s">
        <v>27</v>
      </c>
      <c r="C676" s="52" t="s">
        <v>868</v>
      </c>
      <c r="D676" s="12"/>
      <c r="E676" s="13" t="s">
        <v>151</v>
      </c>
      <c r="F676" s="6" t="s">
        <v>714</v>
      </c>
      <c r="G676" s="64" t="str">
        <f ca="1">IFERROR(__xludf.DUMMYFUNCTION("CONCATENATE(B676,(VLOOKUP(C676,CATALOGOS!$F$2:$H$6,3,FALSE)),(VLOOKUP(V676,CATALOGOS!$J$2:$K$18,2,FALSE)),""-"",TO_TEXT(A676))"),"P03CV-0675")</f>
        <v>P03CV-0675</v>
      </c>
      <c r="H676" s="6" t="str">
        <f ca="1">IFERROR(__xludf.DUMMYFUNCTION("CONCATENATE($B676,(VLOOKUP($C676,CATALOGOS!$F$2:$H$6,3,FALSE)),(VLOOKUP($V676,CATALOGOS!$J$2:$K$18,2,FALSE)),""-"",TO_TEXT($A676))"),"P03CV-0675")</f>
        <v>P03CV-0675</v>
      </c>
      <c r="I676" s="6"/>
      <c r="J676" s="6" t="s">
        <v>4671</v>
      </c>
      <c r="K676" s="6" t="s">
        <v>4672</v>
      </c>
      <c r="L676" s="6" t="s">
        <v>4673</v>
      </c>
      <c r="M676" s="6" t="s">
        <v>4674</v>
      </c>
      <c r="N676" s="17"/>
      <c r="O676" s="17"/>
      <c r="P676" s="17" t="str">
        <f t="shared" si="5"/>
        <v>OK</v>
      </c>
      <c r="Q676" s="17" t="s">
        <v>719</v>
      </c>
      <c r="R676" s="6" t="s">
        <v>720</v>
      </c>
      <c r="S676" s="17" t="s">
        <v>4675</v>
      </c>
      <c r="T676" s="17" t="s">
        <v>4676</v>
      </c>
      <c r="U676" s="173" t="s">
        <v>4677</v>
      </c>
      <c r="V676" s="11" t="s">
        <v>875</v>
      </c>
      <c r="W676" s="186" t="s">
        <v>4573</v>
      </c>
      <c r="X676" s="20" t="s">
        <v>4574</v>
      </c>
      <c r="Y676" s="20"/>
      <c r="Z676" s="6"/>
      <c r="AA676" s="6"/>
      <c r="AB676" s="23"/>
      <c r="AC676" s="33"/>
    </row>
    <row r="677" spans="1:30" ht="15.75" customHeight="1">
      <c r="A677" s="10" t="s">
        <v>4678</v>
      </c>
      <c r="B677" s="10" t="s">
        <v>27</v>
      </c>
      <c r="C677" s="52" t="s">
        <v>868</v>
      </c>
      <c r="D677" s="12"/>
      <c r="E677" s="13" t="s">
        <v>184</v>
      </c>
      <c r="F677" s="6" t="s">
        <v>4679</v>
      </c>
      <c r="G677" s="15" t="str">
        <f ca="1">IFERROR(__xludf.DUMMYFUNCTION("CONCATENATE(B677,(VLOOKUP(C677,CATALOGOS!$F$2:$H$6,3,FALSE)),(VLOOKUP(V677,CATALOGOS!$J$2:$K$18,2,FALSE)),""-"",TO_TEXT(A677))"),"P03CV-0676")</f>
        <v>P03CV-0676</v>
      </c>
      <c r="H677" s="6" t="str">
        <f ca="1">IFERROR(__xludf.DUMMYFUNCTION("CONCATENATE($B677,(VLOOKUP($C677,CATALOGOS!$F$2:$H$6,3,FALSE)),(VLOOKUP($V677,CATALOGOS!$J$2:$K$18,2,FALSE)),""-"",TO_TEXT($A677))"),"P03CV-0676")</f>
        <v>P03CV-0676</v>
      </c>
      <c r="I677" s="6"/>
      <c r="J677" s="6" t="s">
        <v>4680</v>
      </c>
      <c r="K677" s="6" t="s">
        <v>4681</v>
      </c>
      <c r="L677" s="6" t="s">
        <v>4682</v>
      </c>
      <c r="M677" s="6" t="s">
        <v>4683</v>
      </c>
      <c r="N677" s="17"/>
      <c r="O677" s="17"/>
      <c r="P677" s="17" t="str">
        <f t="shared" si="5"/>
        <v>OK</v>
      </c>
      <c r="Q677" s="17" t="s">
        <v>35</v>
      </c>
      <c r="R677" s="6" t="s">
        <v>35</v>
      </c>
      <c r="S677" s="17" t="s">
        <v>36</v>
      </c>
      <c r="T677" s="17" t="s">
        <v>7442</v>
      </c>
      <c r="U677" s="179" t="s">
        <v>517</v>
      </c>
      <c r="V677" s="11" t="s">
        <v>875</v>
      </c>
      <c r="W677" s="186" t="s">
        <v>4573</v>
      </c>
      <c r="X677" s="20" t="s">
        <v>4574</v>
      </c>
      <c r="Y677" s="20"/>
      <c r="Z677" s="36"/>
      <c r="AA677" s="36"/>
      <c r="AB677" s="23"/>
      <c r="AC677" s="33"/>
    </row>
    <row r="678" spans="1:30" ht="15.75" customHeight="1">
      <c r="A678" s="10" t="s">
        <v>4686</v>
      </c>
      <c r="B678" s="10" t="s">
        <v>27</v>
      </c>
      <c r="C678" s="52" t="s">
        <v>868</v>
      </c>
      <c r="D678" s="12"/>
      <c r="E678" s="13" t="s">
        <v>162</v>
      </c>
      <c r="F678" s="6" t="s">
        <v>285</v>
      </c>
      <c r="G678" s="15" t="str">
        <f ca="1">IFERROR(__xludf.DUMMYFUNCTION("CONCATENATE(B678,(VLOOKUP(C678,CATALOGOS!$F$2:$H$6,3,FALSE)),(VLOOKUP(V678,CATALOGOS!$J$2:$K$18,2,FALSE)),""-"",TO_TEXT(A678))"),"P03CV-0677")</f>
        <v>P03CV-0677</v>
      </c>
      <c r="H678" s="6" t="str">
        <f ca="1">IFERROR(__xludf.DUMMYFUNCTION("CONCATENATE($B678,(VLOOKUP($C678,CATALOGOS!$F$2:$H$6,3,FALSE)),(VLOOKUP($V678,CATALOGOS!$J$2:$K$18,2,FALSE)),""-"",TO_TEXT($A678))"),"P03CV-0677")</f>
        <v>P03CV-0677</v>
      </c>
      <c r="I678" s="6"/>
      <c r="J678" s="6" t="s">
        <v>4687</v>
      </c>
      <c r="K678" s="6" t="s">
        <v>4688</v>
      </c>
      <c r="L678" s="6" t="s">
        <v>4689</v>
      </c>
      <c r="M678" s="6" t="s">
        <v>4690</v>
      </c>
      <c r="N678" s="17"/>
      <c r="O678" s="17"/>
      <c r="P678" s="17" t="str">
        <f t="shared" si="5"/>
        <v>OK</v>
      </c>
      <c r="Q678" s="17" t="s">
        <v>168</v>
      </c>
      <c r="R678" s="6" t="s">
        <v>169</v>
      </c>
      <c r="S678" s="17" t="s">
        <v>4691</v>
      </c>
      <c r="T678" s="17" t="s">
        <v>7674</v>
      </c>
      <c r="U678" s="173" t="s">
        <v>38</v>
      </c>
      <c r="V678" s="11" t="s">
        <v>875</v>
      </c>
      <c r="W678" s="186" t="s">
        <v>4573</v>
      </c>
      <c r="X678" s="20" t="s">
        <v>4574</v>
      </c>
      <c r="Y678" s="20"/>
      <c r="Z678" s="36"/>
      <c r="AA678" s="36"/>
      <c r="AB678" s="23"/>
      <c r="AC678" s="33"/>
    </row>
    <row r="679" spans="1:30" ht="15.75" customHeight="1">
      <c r="A679" s="10" t="s">
        <v>4693</v>
      </c>
      <c r="B679" s="10" t="s">
        <v>27</v>
      </c>
      <c r="C679" s="52" t="s">
        <v>868</v>
      </c>
      <c r="D679" s="12"/>
      <c r="E679" s="13" t="s">
        <v>151</v>
      </c>
      <c r="F679" s="6" t="s">
        <v>4113</v>
      </c>
      <c r="G679" s="15" t="str">
        <f ca="1">IFERROR(__xludf.DUMMYFUNCTION("CONCATENATE(B679,(VLOOKUP(C679,CATALOGOS!$F$2:$H$6,3,FALSE)),(VLOOKUP(V679,CATALOGOS!$J$2:$K$18,2,FALSE)),""-"",TO_TEXT(A679))"),"P03CV-0678")</f>
        <v>P03CV-0678</v>
      </c>
      <c r="H679" s="6" t="str">
        <f ca="1">IFERROR(__xludf.DUMMYFUNCTION("CONCATENATE($B679,(VLOOKUP($C679,CATALOGOS!$F$2:$H$6,3,FALSE)),(VLOOKUP($V679,CATALOGOS!$J$2:$K$18,2,FALSE)),""-"",TO_TEXT($A679))"),"P03CV-0678")</f>
        <v>P03CV-0678</v>
      </c>
      <c r="I679" s="6"/>
      <c r="J679" s="6" t="s">
        <v>4694</v>
      </c>
      <c r="K679" s="6" t="s">
        <v>4695</v>
      </c>
      <c r="L679" s="36"/>
      <c r="M679" s="6" t="s">
        <v>4696</v>
      </c>
      <c r="N679" s="17"/>
      <c r="O679" s="17"/>
      <c r="P679" s="17" t="str">
        <f t="shared" si="5"/>
        <v>OK</v>
      </c>
      <c r="Q679" s="17" t="s">
        <v>297</v>
      </c>
      <c r="R679" s="6" t="s">
        <v>298</v>
      </c>
      <c r="S679" s="6" t="s">
        <v>4697</v>
      </c>
      <c r="T679" s="10" t="s">
        <v>85</v>
      </c>
      <c r="U679" s="173" t="s">
        <v>38</v>
      </c>
      <c r="V679" s="11" t="s">
        <v>875</v>
      </c>
      <c r="W679" s="22" t="s">
        <v>4629</v>
      </c>
      <c r="X679" s="22" t="s">
        <v>4629</v>
      </c>
      <c r="Y679" s="22"/>
      <c r="Z679" s="6"/>
      <c r="AA679" s="6"/>
      <c r="AB679" s="41" t="s">
        <v>92</v>
      </c>
      <c r="AC679" s="42">
        <v>44348</v>
      </c>
      <c r="AD679" s="8">
        <v>0</v>
      </c>
    </row>
    <row r="680" spans="1:30" ht="15.75" customHeight="1">
      <c r="A680" s="10" t="s">
        <v>4698</v>
      </c>
      <c r="B680" s="10" t="s">
        <v>27</v>
      </c>
      <c r="C680" s="52" t="s">
        <v>868</v>
      </c>
      <c r="D680" s="12"/>
      <c r="E680" s="13" t="s">
        <v>199</v>
      </c>
      <c r="F680" s="6" t="s">
        <v>199</v>
      </c>
      <c r="G680" s="15" t="str">
        <f ca="1">IFERROR(__xludf.DUMMYFUNCTION("CONCATENATE(B680,(VLOOKUP(C680,CATALOGOS!$F$2:$H$6,3,FALSE)),(VLOOKUP(V680,CATALOGOS!$J$2:$K$18,2,FALSE)),""-"",TO_TEXT(A680))"),"P03CV-0679")</f>
        <v>P03CV-0679</v>
      </c>
      <c r="H680" s="6" t="str">
        <f ca="1">IFERROR(__xludf.DUMMYFUNCTION("CONCATENATE($B680,(VLOOKUP($C680,CATALOGOS!$F$2:$H$6,3,FALSE)),(VLOOKUP($V680,CATALOGOS!$J$2:$K$18,2,FALSE)),""-"",TO_TEXT($A680))"),"P03CV-0679")</f>
        <v>P03CV-0679</v>
      </c>
      <c r="I680" s="6"/>
      <c r="J680" s="6" t="s">
        <v>4699</v>
      </c>
      <c r="K680" s="6" t="s">
        <v>4700</v>
      </c>
      <c r="L680" s="37"/>
      <c r="M680" s="6" t="s">
        <v>4701</v>
      </c>
      <c r="N680" s="17"/>
      <c r="O680" s="17"/>
      <c r="P680" s="17" t="str">
        <f t="shared" si="5"/>
        <v>OK</v>
      </c>
      <c r="Q680" s="17" t="s">
        <v>273</v>
      </c>
      <c r="R680" s="6" t="s">
        <v>274</v>
      </c>
      <c r="S680" s="6">
        <v>11392903014603</v>
      </c>
      <c r="T680" s="10" t="s">
        <v>85</v>
      </c>
      <c r="U680" s="173" t="s">
        <v>38</v>
      </c>
      <c r="V680" s="11" t="s">
        <v>875</v>
      </c>
      <c r="W680" s="22" t="s">
        <v>4629</v>
      </c>
      <c r="X680" s="22" t="s">
        <v>4629</v>
      </c>
      <c r="Y680" s="22"/>
      <c r="Z680" s="6"/>
      <c r="AA680" s="6"/>
      <c r="AB680" s="41" t="s">
        <v>92</v>
      </c>
      <c r="AC680" s="42">
        <v>44348</v>
      </c>
      <c r="AD680" s="8" t="s">
        <v>276</v>
      </c>
    </row>
    <row r="681" spans="1:30" ht="15.75" customHeight="1">
      <c r="A681" s="10" t="s">
        <v>4702</v>
      </c>
      <c r="B681" s="10" t="s">
        <v>27</v>
      </c>
      <c r="C681" s="52" t="s">
        <v>868</v>
      </c>
      <c r="D681" s="12"/>
      <c r="E681" s="13" t="s">
        <v>353</v>
      </c>
      <c r="F681" s="6" t="s">
        <v>354</v>
      </c>
      <c r="G681" s="15" t="str">
        <f ca="1">IFERROR(__xludf.DUMMYFUNCTION("CONCATENATE(B681,(VLOOKUP(C681,CATALOGOS!$F$2:$H$6,3,FALSE)),(VLOOKUP(V681,CATALOGOS!$J$2:$K$18,2,FALSE)),""-"",TO_TEXT(A681))"),"P03CV-0680")</f>
        <v>P03CV-0680</v>
      </c>
      <c r="H681" s="6" t="str">
        <f ca="1">IFERROR(__xludf.DUMMYFUNCTION("CONCATENATE($B681,(VLOOKUP($C681,CATALOGOS!$F$2:$H$6,3,FALSE)),(VLOOKUP($V681,CATALOGOS!$J$2:$K$18,2,FALSE)),""-"",TO_TEXT($A681))"),"P03CV-0680")</f>
        <v>P03CV-0680</v>
      </c>
      <c r="I681" s="6"/>
      <c r="J681" s="6" t="s">
        <v>4703</v>
      </c>
      <c r="K681" s="6" t="s">
        <v>4704</v>
      </c>
      <c r="L681" s="6" t="s">
        <v>4705</v>
      </c>
      <c r="M681" s="6" t="s">
        <v>4706</v>
      </c>
      <c r="N681" s="17"/>
      <c r="O681" s="17"/>
      <c r="P681" s="17" t="str">
        <f t="shared" si="5"/>
        <v>OK</v>
      </c>
      <c r="Q681" s="17" t="s">
        <v>359</v>
      </c>
      <c r="R681" s="6" t="s">
        <v>360</v>
      </c>
      <c r="S681" s="6" t="s">
        <v>4707</v>
      </c>
      <c r="T681" s="10" t="s">
        <v>4708</v>
      </c>
      <c r="U681" s="173" t="s">
        <v>38</v>
      </c>
      <c r="V681" s="11" t="s">
        <v>875</v>
      </c>
      <c r="W681" s="22" t="s">
        <v>4629</v>
      </c>
      <c r="X681" s="22" t="s">
        <v>4629</v>
      </c>
      <c r="Y681" s="22"/>
      <c r="Z681" s="36"/>
      <c r="AA681" s="36"/>
      <c r="AB681" s="23"/>
      <c r="AC681" s="33"/>
    </row>
    <row r="682" spans="1:30" ht="15.75" customHeight="1">
      <c r="A682" s="10" t="s">
        <v>4709</v>
      </c>
      <c r="B682" s="10" t="s">
        <v>27</v>
      </c>
      <c r="C682" s="52" t="s">
        <v>868</v>
      </c>
      <c r="D682" s="12"/>
      <c r="E682" s="13" t="s">
        <v>62</v>
      </c>
      <c r="F682" s="6" t="s">
        <v>4710</v>
      </c>
      <c r="G682" s="15" t="str">
        <f ca="1">IFERROR(__xludf.DUMMYFUNCTION("CONCATENATE(B682,(VLOOKUP(C682,CATALOGOS!$F$2:$H$6,3,FALSE)),(VLOOKUP(V682,CATALOGOS!$J$2:$K$18,2,FALSE)),""-"",TO_TEXT(A682))"),"P03CV-0681")</f>
        <v>P03CV-0681</v>
      </c>
      <c r="H682" s="6" t="str">
        <f ca="1">IFERROR(__xludf.DUMMYFUNCTION("CONCATENATE($B682,(VLOOKUP($C682,CATALOGOS!$F$2:$H$6,3,FALSE)),(VLOOKUP($V682,CATALOGOS!$J$2:$K$18,2,FALSE)),""-"",TO_TEXT($A682))"),"P03CV-0681")</f>
        <v>P03CV-0681</v>
      </c>
      <c r="I682" s="6"/>
      <c r="J682" s="6" t="s">
        <v>4711</v>
      </c>
      <c r="K682" s="6" t="s">
        <v>4712</v>
      </c>
      <c r="L682" s="6" t="s">
        <v>4713</v>
      </c>
      <c r="M682" s="6" t="s">
        <v>4714</v>
      </c>
      <c r="N682" s="17"/>
      <c r="O682" s="17"/>
      <c r="P682" s="17" t="str">
        <f t="shared" si="5"/>
        <v>OK</v>
      </c>
      <c r="Q682" s="17" t="s">
        <v>35</v>
      </c>
      <c r="R682" s="6" t="s">
        <v>35</v>
      </c>
      <c r="S682" s="17" t="s">
        <v>36</v>
      </c>
      <c r="T682" s="17" t="s">
        <v>4715</v>
      </c>
      <c r="U682" s="179" t="s">
        <v>100</v>
      </c>
      <c r="V682" s="11" t="s">
        <v>875</v>
      </c>
      <c r="W682" s="20" t="s">
        <v>4573</v>
      </c>
      <c r="X682" s="20" t="s">
        <v>4574</v>
      </c>
      <c r="Y682" s="20"/>
      <c r="Z682" s="36"/>
      <c r="AA682" s="36"/>
      <c r="AB682" s="23"/>
      <c r="AC682" s="33"/>
    </row>
    <row r="683" spans="1:30" ht="15.75" customHeight="1">
      <c r="A683" s="10" t="s">
        <v>4716</v>
      </c>
      <c r="B683" s="10" t="s">
        <v>27</v>
      </c>
      <c r="C683" s="52" t="s">
        <v>868</v>
      </c>
      <c r="D683" s="12"/>
      <c r="E683" s="13" t="s">
        <v>62</v>
      </c>
      <c r="F683" s="6" t="s">
        <v>4717</v>
      </c>
      <c r="G683" s="15" t="str">
        <f ca="1">IFERROR(__xludf.DUMMYFUNCTION("CONCATENATE(B683,(VLOOKUP(C683,CATALOGOS!$F$2:$H$6,3,FALSE)),(VLOOKUP(V683,CATALOGOS!$J$2:$K$18,2,FALSE)),""-"",TO_TEXT(A683))"),"P03CV-0682")</f>
        <v>P03CV-0682</v>
      </c>
      <c r="H683" s="6" t="str">
        <f ca="1">IFERROR(__xludf.DUMMYFUNCTION("CONCATENATE($B683,(VLOOKUP($C683,CATALOGOS!$F$2:$H$6,3,FALSE)),(VLOOKUP($V683,CATALOGOS!$J$2:$K$18,2,FALSE)),""-"",TO_TEXT($A683))"),"P03CV-0682")</f>
        <v>P03CV-0682</v>
      </c>
      <c r="I683" s="6"/>
      <c r="J683" s="6" t="s">
        <v>4718</v>
      </c>
      <c r="K683" s="6" t="s">
        <v>4719</v>
      </c>
      <c r="L683" s="6" t="s">
        <v>4720</v>
      </c>
      <c r="M683" s="6" t="s">
        <v>4721</v>
      </c>
      <c r="N683" s="17"/>
      <c r="O683" s="17"/>
      <c r="P683" s="17" t="str">
        <f t="shared" si="5"/>
        <v>OK</v>
      </c>
      <c r="Q683" s="17" t="s">
        <v>35</v>
      </c>
      <c r="R683" s="6" t="s">
        <v>35</v>
      </c>
      <c r="S683" s="17" t="s">
        <v>36</v>
      </c>
      <c r="T683" s="17" t="s">
        <v>8107</v>
      </c>
      <c r="U683" s="179" t="s">
        <v>517</v>
      </c>
      <c r="V683" s="11" t="s">
        <v>875</v>
      </c>
      <c r="W683" s="20" t="s">
        <v>4573</v>
      </c>
      <c r="X683" s="20" t="s">
        <v>4574</v>
      </c>
      <c r="Y683" s="20"/>
      <c r="Z683" s="36"/>
      <c r="AA683" s="36"/>
      <c r="AB683" s="23"/>
      <c r="AC683" s="33"/>
    </row>
    <row r="684" spans="1:30" ht="15.75" customHeight="1">
      <c r="A684" s="10" t="s">
        <v>4723</v>
      </c>
      <c r="B684" s="10" t="s">
        <v>27</v>
      </c>
      <c r="C684" s="52" t="s">
        <v>868</v>
      </c>
      <c r="D684" s="12"/>
      <c r="E684" s="13" t="s">
        <v>62</v>
      </c>
      <c r="F684" s="6" t="s">
        <v>4724</v>
      </c>
      <c r="G684" s="15" t="str">
        <f ca="1">IFERROR(__xludf.DUMMYFUNCTION("CONCATENATE(B684,(VLOOKUP(C684,CATALOGOS!$F$2:$H$6,3,FALSE)),(VLOOKUP(V684,CATALOGOS!$J$2:$K$18,2,FALSE)),""-"",TO_TEXT(A684))"),"P03CV-0683")</f>
        <v>P03CV-0683</v>
      </c>
      <c r="H684" s="6" t="str">
        <f ca="1">IFERROR(__xludf.DUMMYFUNCTION("CONCATENATE($B684,(VLOOKUP($C684,CATALOGOS!$F$2:$H$6,3,FALSE)),(VLOOKUP($V684,CATALOGOS!$J$2:$K$18,2,FALSE)),""-"",TO_TEXT($A684))"),"P03CV-0683")</f>
        <v>P03CV-0683</v>
      </c>
      <c r="I684" s="6"/>
      <c r="J684" s="6" t="s">
        <v>4725</v>
      </c>
      <c r="K684" s="6" t="s">
        <v>4726</v>
      </c>
      <c r="L684" s="6" t="s">
        <v>4727</v>
      </c>
      <c r="M684" s="6" t="s">
        <v>4728</v>
      </c>
      <c r="N684" s="17"/>
      <c r="O684" s="17"/>
      <c r="P684" s="17" t="str">
        <f t="shared" si="5"/>
        <v>OK</v>
      </c>
      <c r="Q684" s="17" t="s">
        <v>35</v>
      </c>
      <c r="R684" s="6" t="s">
        <v>35</v>
      </c>
      <c r="S684" s="17" t="s">
        <v>36</v>
      </c>
      <c r="T684" s="17" t="s">
        <v>4729</v>
      </c>
      <c r="U684" s="173" t="s">
        <v>38</v>
      </c>
      <c r="V684" s="11" t="s">
        <v>875</v>
      </c>
      <c r="W684" s="20" t="s">
        <v>4573</v>
      </c>
      <c r="X684" s="20" t="s">
        <v>4574</v>
      </c>
      <c r="Y684" s="20"/>
      <c r="Z684" s="36"/>
      <c r="AA684" s="36"/>
      <c r="AB684" s="23"/>
      <c r="AC684" s="33"/>
    </row>
    <row r="685" spans="1:30" ht="15.75" customHeight="1">
      <c r="A685" s="10" t="s">
        <v>4730</v>
      </c>
      <c r="B685" s="10" t="s">
        <v>27</v>
      </c>
      <c r="C685" s="52" t="s">
        <v>868</v>
      </c>
      <c r="D685" s="12"/>
      <c r="E685" s="13" t="s">
        <v>62</v>
      </c>
      <c r="F685" s="6" t="s">
        <v>4731</v>
      </c>
      <c r="G685" s="15" t="str">
        <f ca="1">IFERROR(__xludf.DUMMYFUNCTION("CONCATENATE(B685,(VLOOKUP(C685,CATALOGOS!$F$2:$H$6,3,FALSE)),(VLOOKUP(V685,CATALOGOS!$J$2:$K$18,2,FALSE)),""-"",TO_TEXT(A685))"),"P03CV-0684")</f>
        <v>P03CV-0684</v>
      </c>
      <c r="H685" s="6" t="str">
        <f ca="1">IFERROR(__xludf.DUMMYFUNCTION("CONCATENATE($B685,(VLOOKUP($C685,CATALOGOS!$F$2:$H$6,3,FALSE)),(VLOOKUP($V685,CATALOGOS!$J$2:$K$18,2,FALSE)),""-"",TO_TEXT($A685))"),"P03CV-0684")</f>
        <v>P03CV-0684</v>
      </c>
      <c r="I685" s="6"/>
      <c r="J685" s="6" t="s">
        <v>4732</v>
      </c>
      <c r="K685" s="6" t="s">
        <v>4733</v>
      </c>
      <c r="L685" s="6" t="s">
        <v>4734</v>
      </c>
      <c r="M685" s="6" t="s">
        <v>4735</v>
      </c>
      <c r="N685" s="17"/>
      <c r="O685" s="17"/>
      <c r="P685" s="17" t="str">
        <f t="shared" si="5"/>
        <v>OK</v>
      </c>
      <c r="Q685" s="17" t="s">
        <v>35</v>
      </c>
      <c r="R685" s="6" t="s">
        <v>35</v>
      </c>
      <c r="S685" s="17" t="s">
        <v>36</v>
      </c>
      <c r="T685" s="17" t="s">
        <v>4736</v>
      </c>
      <c r="U685" s="173" t="s">
        <v>38</v>
      </c>
      <c r="V685" s="11" t="s">
        <v>875</v>
      </c>
      <c r="W685" s="20" t="s">
        <v>4737</v>
      </c>
      <c r="X685" s="20" t="s">
        <v>4737</v>
      </c>
      <c r="Y685" s="20"/>
      <c r="Z685" s="36"/>
      <c r="AA685" s="36"/>
      <c r="AB685" s="23"/>
      <c r="AC685" s="33"/>
    </row>
    <row r="686" spans="1:30" ht="15.75" customHeight="1">
      <c r="A686" s="10" t="s">
        <v>4738</v>
      </c>
      <c r="B686" s="10" t="s">
        <v>27</v>
      </c>
      <c r="C686" s="52" t="s">
        <v>868</v>
      </c>
      <c r="D686" s="38"/>
      <c r="E686" s="13" t="s">
        <v>62</v>
      </c>
      <c r="F686" s="6" t="s">
        <v>4739</v>
      </c>
      <c r="G686" s="15" t="str">
        <f ca="1">IFERROR(__xludf.DUMMYFUNCTION("CONCATENATE(B686,(VLOOKUP(C686,CATALOGOS!$F$2:$H$6,3,FALSE)),(VLOOKUP(V686,CATALOGOS!$J$2:$K$18,2,FALSE)),""-"",TO_TEXT(A686))"),"P03CV-0685")</f>
        <v>P03CV-0685</v>
      </c>
      <c r="H686" s="6" t="str">
        <f ca="1">IFERROR(__xludf.DUMMYFUNCTION("CONCATENATE($B686,(VLOOKUP($C686,CATALOGOS!$F$2:$H$6,3,FALSE)),(VLOOKUP($V686,CATALOGOS!$J$2:$K$18,2,FALSE)),""-"",TO_TEXT($A686))"),"P03CV-0685")</f>
        <v>P03CV-0685</v>
      </c>
      <c r="I686" s="6"/>
      <c r="J686" s="6" t="s">
        <v>4740</v>
      </c>
      <c r="K686" s="6" t="s">
        <v>4741</v>
      </c>
      <c r="L686" s="6" t="s">
        <v>4742</v>
      </c>
      <c r="M686" s="6" t="s">
        <v>4743</v>
      </c>
      <c r="N686" s="17"/>
      <c r="O686" s="17"/>
      <c r="P686" s="17" t="str">
        <f t="shared" si="5"/>
        <v>OK</v>
      </c>
      <c r="Q686" s="17" t="s">
        <v>35</v>
      </c>
      <c r="R686" s="6" t="s">
        <v>35</v>
      </c>
      <c r="S686" s="46" t="s">
        <v>36</v>
      </c>
      <c r="T686" s="17" t="s">
        <v>4744</v>
      </c>
      <c r="U686" s="173" t="s">
        <v>38</v>
      </c>
      <c r="V686" s="11" t="s">
        <v>875</v>
      </c>
      <c r="W686" s="20" t="s">
        <v>4573</v>
      </c>
      <c r="X686" s="20" t="s">
        <v>4574</v>
      </c>
      <c r="Y686" s="20"/>
      <c r="Z686" s="36"/>
      <c r="AA686" s="36"/>
      <c r="AB686" s="26"/>
      <c r="AC686" s="33"/>
    </row>
    <row r="687" spans="1:30" ht="15.75" customHeight="1">
      <c r="A687" s="10" t="s">
        <v>4745</v>
      </c>
      <c r="B687" s="10" t="s">
        <v>27</v>
      </c>
      <c r="C687" s="61" t="s">
        <v>28</v>
      </c>
      <c r="D687" s="12"/>
      <c r="E687" s="13" t="s">
        <v>378</v>
      </c>
      <c r="F687" s="6" t="s">
        <v>878</v>
      </c>
      <c r="G687" s="64" t="str">
        <f ca="1">IFERROR(__xludf.DUMMYFUNCTION("CONCATENATE(B687,(VLOOKUP(C687,CATALOGOS!$F$2:$H$6,3,FALSE)),(VLOOKUP(V687,CATALOGOS!$J$2:$K$18,2,FALSE)),""-"",TO_TEXT(A687))"),"P05DA-0686")</f>
        <v>P05DA-0686</v>
      </c>
      <c r="H687" s="6" t="str">
        <f ca="1">IFERROR(__xludf.DUMMYFUNCTION("CONCATENATE($B687,(VLOOKUP($C687,CATALOGOS!$F$2:$H$6,3,FALSE)),(VLOOKUP($V687,CATALOGOS!$J$2:$K$18,2,FALSE)),""-"",TO_TEXT($A687))"),"P05DA-0686")</f>
        <v>P05DA-0686</v>
      </c>
      <c r="I687" s="6"/>
      <c r="J687" s="6" t="s">
        <v>4746</v>
      </c>
      <c r="K687" s="6" t="s">
        <v>4747</v>
      </c>
      <c r="L687" s="6" t="s">
        <v>4748</v>
      </c>
      <c r="M687" s="6" t="s">
        <v>4749</v>
      </c>
      <c r="N687" s="17"/>
      <c r="O687" s="17"/>
      <c r="P687" s="17" t="str">
        <f t="shared" si="5"/>
        <v>OK</v>
      </c>
      <c r="Q687" s="17" t="s">
        <v>35</v>
      </c>
      <c r="R687" s="6" t="s">
        <v>35</v>
      </c>
      <c r="S687" s="17" t="s">
        <v>36</v>
      </c>
      <c r="T687" s="17" t="s">
        <v>4750</v>
      </c>
      <c r="U687" s="173" t="s">
        <v>38</v>
      </c>
      <c r="V687" s="11" t="s">
        <v>28</v>
      </c>
      <c r="W687" s="20" t="s">
        <v>39</v>
      </c>
      <c r="X687" s="20" t="s">
        <v>39</v>
      </c>
      <c r="Y687" s="20"/>
      <c r="Z687" s="6"/>
      <c r="AA687" s="6"/>
      <c r="AB687" s="23"/>
      <c r="AC687" s="33"/>
    </row>
    <row r="688" spans="1:30" ht="15.75" customHeight="1">
      <c r="A688" s="10" t="s">
        <v>4751</v>
      </c>
      <c r="B688" s="10" t="s">
        <v>27</v>
      </c>
      <c r="C688" s="52" t="s">
        <v>868</v>
      </c>
      <c r="D688" s="12"/>
      <c r="E688" s="13" t="s">
        <v>62</v>
      </c>
      <c r="F688" s="6" t="s">
        <v>4752</v>
      </c>
      <c r="G688" s="15" t="str">
        <f ca="1">IFERROR(__xludf.DUMMYFUNCTION("CONCATENATE(B688,(VLOOKUP(C688,CATALOGOS!$F$2:$H$6,3,FALSE)),(VLOOKUP(V688,CATALOGOS!$J$2:$K$18,2,FALSE)),""-"",TO_TEXT(A688))"),"P03CV-0687")</f>
        <v>P03CV-0687</v>
      </c>
      <c r="H688" s="6" t="str">
        <f ca="1">IFERROR(__xludf.DUMMYFUNCTION("CONCATENATE($B688,(VLOOKUP($C688,CATALOGOS!$F$2:$H$6,3,FALSE)),(VLOOKUP($V688,CATALOGOS!$J$2:$K$18,2,FALSE)),""-"",TO_TEXT($A688))"),"P03CV-0687")</f>
        <v>P03CV-0687</v>
      </c>
      <c r="I688" s="6"/>
      <c r="J688" s="6" t="s">
        <v>4753</v>
      </c>
      <c r="K688" s="6" t="s">
        <v>4754</v>
      </c>
      <c r="L688" s="6" t="s">
        <v>4755</v>
      </c>
      <c r="M688" s="6" t="s">
        <v>4756</v>
      </c>
      <c r="N688" s="17"/>
      <c r="O688" s="17"/>
      <c r="P688" s="17" t="str">
        <f t="shared" si="5"/>
        <v>OK</v>
      </c>
      <c r="Q688" s="17" t="s">
        <v>35</v>
      </c>
      <c r="R688" s="6" t="s">
        <v>35</v>
      </c>
      <c r="S688" s="17" t="s">
        <v>36</v>
      </c>
      <c r="T688" s="17" t="s">
        <v>4757</v>
      </c>
      <c r="U688" s="173" t="s">
        <v>38</v>
      </c>
      <c r="V688" s="11" t="s">
        <v>875</v>
      </c>
      <c r="W688" s="22" t="s">
        <v>1004</v>
      </c>
      <c r="X688" s="22" t="s">
        <v>1004</v>
      </c>
      <c r="Y688" s="22"/>
      <c r="Z688" s="36"/>
      <c r="AA688" s="36"/>
      <c r="AB688" s="23"/>
      <c r="AC688" s="33"/>
    </row>
    <row r="689" spans="1:29" ht="15.75" customHeight="1">
      <c r="A689" s="10" t="s">
        <v>4758</v>
      </c>
      <c r="B689" s="10" t="s">
        <v>27</v>
      </c>
      <c r="C689" s="52" t="s">
        <v>868</v>
      </c>
      <c r="D689" s="12"/>
      <c r="E689" s="13" t="s">
        <v>93</v>
      </c>
      <c r="F689" s="6" t="s">
        <v>4759</v>
      </c>
      <c r="G689" s="15" t="str">
        <f ca="1">IFERROR(__xludf.DUMMYFUNCTION("CONCATENATE(B689,(VLOOKUP(C689,CATALOGOS!$F$2:$H$6,3,FALSE)),(VLOOKUP(V689,CATALOGOS!$J$2:$K$18,2,FALSE)),""-"",TO_TEXT(A689))"),"P03CV-0688")</f>
        <v>P03CV-0688</v>
      </c>
      <c r="H689" s="6" t="str">
        <f ca="1">IFERROR(__xludf.DUMMYFUNCTION("CONCATENATE($B689,(VLOOKUP($C689,CATALOGOS!$F$2:$H$6,3,FALSE)),(VLOOKUP($V689,CATALOGOS!$J$2:$K$18,2,FALSE)),""-"",TO_TEXT($A689))"),"P03CV-0688")</f>
        <v>P03CV-0688</v>
      </c>
      <c r="I689" s="6"/>
      <c r="J689" s="6" t="s">
        <v>4760</v>
      </c>
      <c r="K689" s="6" t="s">
        <v>4761</v>
      </c>
      <c r="L689" s="6" t="s">
        <v>4762</v>
      </c>
      <c r="M689" s="6" t="s">
        <v>4763</v>
      </c>
      <c r="N689" s="17"/>
      <c r="O689" s="17"/>
      <c r="P689" s="17" t="str">
        <f t="shared" si="5"/>
        <v>OK</v>
      </c>
      <c r="Q689" s="17" t="s">
        <v>35</v>
      </c>
      <c r="R689" s="6" t="s">
        <v>35</v>
      </c>
      <c r="S689" s="17" t="s">
        <v>36</v>
      </c>
      <c r="T689" s="17" t="s">
        <v>8004</v>
      </c>
      <c r="U689" s="173" t="s">
        <v>38</v>
      </c>
      <c r="V689" s="11" t="s">
        <v>875</v>
      </c>
      <c r="W689" s="22" t="s">
        <v>1004</v>
      </c>
      <c r="X689" s="22" t="s">
        <v>1004</v>
      </c>
      <c r="Y689" s="22"/>
      <c r="Z689" s="36"/>
      <c r="AA689" s="36"/>
      <c r="AB689" s="23"/>
      <c r="AC689" s="33"/>
    </row>
    <row r="690" spans="1:29" ht="15.75" customHeight="1">
      <c r="A690" s="10" t="s">
        <v>4765</v>
      </c>
      <c r="B690" s="10" t="s">
        <v>27</v>
      </c>
      <c r="C690" s="52" t="s">
        <v>868</v>
      </c>
      <c r="D690" s="12"/>
      <c r="E690" s="13" t="s">
        <v>43</v>
      </c>
      <c r="F690" s="6" t="s">
        <v>4766</v>
      </c>
      <c r="G690" s="15" t="str">
        <f ca="1">IFERROR(__xludf.DUMMYFUNCTION("CONCATENATE(B690,(VLOOKUP(C690,CATALOGOS!$F$2:$H$6,3,FALSE)),(VLOOKUP(V690,CATALOGOS!$J$2:$K$18,2,FALSE)),""-"",TO_TEXT(A690))"),"P03CV-0689")</f>
        <v>P03CV-0689</v>
      </c>
      <c r="H690" s="6" t="str">
        <f ca="1">IFERROR(__xludf.DUMMYFUNCTION("CONCATENATE($B690,(VLOOKUP($C690,CATALOGOS!$F$2:$H$6,3,FALSE)),(VLOOKUP($V690,CATALOGOS!$J$2:$K$18,2,FALSE)),""-"",TO_TEXT($A690))"),"P03CV-0689")</f>
        <v>P03CV-0689</v>
      </c>
      <c r="I690" s="6"/>
      <c r="J690" s="6" t="s">
        <v>4767</v>
      </c>
      <c r="K690" s="6" t="s">
        <v>4768</v>
      </c>
      <c r="L690" s="6" t="s">
        <v>4769</v>
      </c>
      <c r="M690" s="6" t="s">
        <v>4770</v>
      </c>
      <c r="N690" s="17"/>
      <c r="O690" s="17"/>
      <c r="P690" s="17" t="str">
        <f t="shared" si="5"/>
        <v>OK</v>
      </c>
      <c r="Q690" s="17" t="s">
        <v>4602</v>
      </c>
      <c r="R690" s="6">
        <v>10186</v>
      </c>
      <c r="S690" s="6" t="s">
        <v>36</v>
      </c>
      <c r="T690" s="10" t="s">
        <v>4771</v>
      </c>
      <c r="U690" s="173" t="s">
        <v>38</v>
      </c>
      <c r="V690" s="11" t="s">
        <v>875</v>
      </c>
      <c r="W690" s="22" t="s">
        <v>1004</v>
      </c>
      <c r="X690" s="22" t="s">
        <v>1004</v>
      </c>
      <c r="Y690" s="22"/>
      <c r="Z690" s="36"/>
      <c r="AA690" s="36"/>
      <c r="AB690" s="23"/>
      <c r="AC690" s="33"/>
    </row>
    <row r="691" spans="1:29" ht="15.75" customHeight="1">
      <c r="A691" s="10" t="s">
        <v>4772</v>
      </c>
      <c r="B691" s="10" t="s">
        <v>27</v>
      </c>
      <c r="C691" s="52" t="s">
        <v>868</v>
      </c>
      <c r="D691" s="12"/>
      <c r="E691" s="13" t="s">
        <v>116</v>
      </c>
      <c r="F691" s="6" t="s">
        <v>4773</v>
      </c>
      <c r="G691" s="15" t="str">
        <f ca="1">IFERROR(__xludf.DUMMYFUNCTION("CONCATENATE(B691,(VLOOKUP(C691,CATALOGOS!$F$2:$H$6,3,FALSE)),(VLOOKUP(V691,CATALOGOS!$J$2:$K$18,2,FALSE)),""-"",TO_TEXT(A691))"),"P03CV-0690")</f>
        <v>P03CV-0690</v>
      </c>
      <c r="H691" s="6" t="str">
        <f ca="1">IFERROR(__xludf.DUMMYFUNCTION("CONCATENATE($B691,(VLOOKUP($C691,CATALOGOS!$F$2:$H$6,3,FALSE)),(VLOOKUP($V691,CATALOGOS!$J$2:$K$18,2,FALSE)),""-"",TO_TEXT($A691))"),"P03CV-0690")</f>
        <v>P03CV-0690</v>
      </c>
      <c r="I691" s="6"/>
      <c r="J691" s="6" t="s">
        <v>4774</v>
      </c>
      <c r="K691" s="6" t="s">
        <v>4775</v>
      </c>
      <c r="L691" s="6" t="s">
        <v>4776</v>
      </c>
      <c r="M691" s="6" t="s">
        <v>4777</v>
      </c>
      <c r="N691" s="17"/>
      <c r="O691" s="17"/>
      <c r="P691" s="17" t="str">
        <f t="shared" si="5"/>
        <v>OK</v>
      </c>
      <c r="Q691" s="17" t="s">
        <v>35</v>
      </c>
      <c r="R691" s="6" t="s">
        <v>35</v>
      </c>
      <c r="S691" s="17" t="s">
        <v>36</v>
      </c>
      <c r="T691" s="17" t="s">
        <v>4778</v>
      </c>
      <c r="U691" s="173" t="s">
        <v>38</v>
      </c>
      <c r="V691" s="11" t="s">
        <v>875</v>
      </c>
      <c r="W691" s="22" t="s">
        <v>1004</v>
      </c>
      <c r="X691" s="22" t="s">
        <v>1004</v>
      </c>
      <c r="Y691" s="22"/>
      <c r="Z691" s="36"/>
      <c r="AA691" s="36"/>
      <c r="AB691" s="23"/>
      <c r="AC691" s="33"/>
    </row>
    <row r="692" spans="1:29" ht="15.75" customHeight="1">
      <c r="A692" s="10" t="s">
        <v>4779</v>
      </c>
      <c r="B692" s="10" t="s">
        <v>27</v>
      </c>
      <c r="C692" s="52" t="s">
        <v>868</v>
      </c>
      <c r="D692" s="12"/>
      <c r="E692" s="13" t="s">
        <v>93</v>
      </c>
      <c r="F692" s="6" t="s">
        <v>1739</v>
      </c>
      <c r="G692" s="15" t="str">
        <f ca="1">IFERROR(__xludf.DUMMYFUNCTION("CONCATENATE(B692,(VLOOKUP(C692,CATALOGOS!$F$2:$H$6,3,FALSE)),(VLOOKUP(V692,CATALOGOS!$J$2:$K$18,2,FALSE)),""-"",TO_TEXT(A692))"),"P03CV-0691")</f>
        <v>P03CV-0691</v>
      </c>
      <c r="H692" s="6" t="str">
        <f ca="1">IFERROR(__xludf.DUMMYFUNCTION("CONCATENATE($B692,(VLOOKUP($C692,CATALOGOS!$F$2:$H$6,3,FALSE)),(VLOOKUP($V692,CATALOGOS!$J$2:$K$18,2,FALSE)),""-"",TO_TEXT($A692))"),"P03CV-0691")</f>
        <v>P03CV-0691</v>
      </c>
      <c r="I692" s="6"/>
      <c r="J692" s="6" t="s">
        <v>4780</v>
      </c>
      <c r="K692" s="6" t="s">
        <v>4781</v>
      </c>
      <c r="L692" s="6" t="s">
        <v>4782</v>
      </c>
      <c r="M692" s="6" t="s">
        <v>4783</v>
      </c>
      <c r="N692" s="17"/>
      <c r="O692" s="17"/>
      <c r="P692" s="17" t="str">
        <f t="shared" si="5"/>
        <v>OK</v>
      </c>
      <c r="Q692" s="17" t="s">
        <v>35</v>
      </c>
      <c r="R692" s="6" t="s">
        <v>35</v>
      </c>
      <c r="S692" s="17" t="s">
        <v>36</v>
      </c>
      <c r="T692" s="17" t="s">
        <v>4784</v>
      </c>
      <c r="U692" s="173" t="s">
        <v>38</v>
      </c>
      <c r="V692" s="11" t="s">
        <v>875</v>
      </c>
      <c r="W692" s="22" t="s">
        <v>1004</v>
      </c>
      <c r="X692" s="22" t="s">
        <v>1004</v>
      </c>
      <c r="Y692" s="22"/>
      <c r="Z692" s="36"/>
      <c r="AA692" s="36"/>
      <c r="AB692" s="23"/>
      <c r="AC692" s="33"/>
    </row>
    <row r="693" spans="1:29" ht="15.75" customHeight="1">
      <c r="A693" s="10" t="s">
        <v>4785</v>
      </c>
      <c r="B693" s="10" t="s">
        <v>27</v>
      </c>
      <c r="C693" s="52" t="s">
        <v>868</v>
      </c>
      <c r="D693" s="12"/>
      <c r="E693" s="13" t="s">
        <v>151</v>
      </c>
      <c r="F693" s="6" t="s">
        <v>714</v>
      </c>
      <c r="G693" s="64" t="str">
        <f ca="1">IFERROR(__xludf.DUMMYFUNCTION("CONCATENATE(B693,(VLOOKUP(C693,CATALOGOS!$F$2:$H$6,3,FALSE)),(VLOOKUP(V693,CATALOGOS!$J$2:$K$18,2,FALSE)),""-"",TO_TEXT(A693))"),"P03CV-0692")</f>
        <v>P03CV-0692</v>
      </c>
      <c r="H693" s="6" t="str">
        <f ca="1">IFERROR(__xludf.DUMMYFUNCTION("CONCATENATE($B693,(VLOOKUP($C693,CATALOGOS!$F$2:$H$6,3,FALSE)),(VLOOKUP($V693,CATALOGOS!$J$2:$K$18,2,FALSE)),""-"",TO_TEXT($A693))"),"P03CV-0692")</f>
        <v>P03CV-0692</v>
      </c>
      <c r="I693" s="6"/>
      <c r="J693" s="6" t="s">
        <v>4786</v>
      </c>
      <c r="K693" s="6" t="s">
        <v>4787</v>
      </c>
      <c r="L693" s="6" t="s">
        <v>4788</v>
      </c>
      <c r="M693" s="6" t="s">
        <v>4789</v>
      </c>
      <c r="N693" s="17"/>
      <c r="O693" s="17"/>
      <c r="P693" s="17" t="str">
        <f t="shared" si="5"/>
        <v>OK</v>
      </c>
      <c r="Q693" s="17" t="s">
        <v>719</v>
      </c>
      <c r="R693" s="6" t="s">
        <v>720</v>
      </c>
      <c r="S693" s="6" t="s">
        <v>4790</v>
      </c>
      <c r="T693" s="17" t="s">
        <v>4791</v>
      </c>
      <c r="U693" s="173" t="s">
        <v>38</v>
      </c>
      <c r="V693" s="11" t="s">
        <v>875</v>
      </c>
      <c r="W693" s="20" t="s">
        <v>4574</v>
      </c>
      <c r="X693" s="20" t="s">
        <v>4574</v>
      </c>
      <c r="Y693" s="20"/>
      <c r="Z693" s="36"/>
      <c r="AA693" s="36"/>
      <c r="AB693" s="23"/>
      <c r="AC693" s="33"/>
    </row>
    <row r="694" spans="1:29" ht="15.75" customHeight="1">
      <c r="A694" s="10" t="s">
        <v>4792</v>
      </c>
      <c r="B694" s="10" t="s">
        <v>27</v>
      </c>
      <c r="C694" s="52" t="s">
        <v>868</v>
      </c>
      <c r="D694" s="12"/>
      <c r="E694" s="13" t="s">
        <v>199</v>
      </c>
      <c r="F694" s="6" t="s">
        <v>199</v>
      </c>
      <c r="G694" s="15" t="str">
        <f ca="1">IFERROR(__xludf.DUMMYFUNCTION("CONCATENATE(B694,(VLOOKUP(C694,CATALOGOS!$F$2:$H$6,3,FALSE)),(VLOOKUP(V694,CATALOGOS!$J$2:$K$18,2,FALSE)),""-"",TO_TEXT(A694))"),"P03CV-0693")</f>
        <v>P03CV-0693</v>
      </c>
      <c r="H694" s="6" t="str">
        <f ca="1">IFERROR(__xludf.DUMMYFUNCTION("CONCATENATE($B694,(VLOOKUP($C694,CATALOGOS!$F$2:$H$6,3,FALSE)),(VLOOKUP($V694,CATALOGOS!$J$2:$K$18,2,FALSE)),""-"",TO_TEXT($A694))"),"P03CV-0693")</f>
        <v>P03CV-0693</v>
      </c>
      <c r="I694" s="6"/>
      <c r="J694" s="6" t="s">
        <v>4793</v>
      </c>
      <c r="K694" s="6" t="s">
        <v>4794</v>
      </c>
      <c r="L694" s="6" t="s">
        <v>4795</v>
      </c>
      <c r="M694" s="6" t="s">
        <v>4796</v>
      </c>
      <c r="N694" s="17"/>
      <c r="O694" s="17"/>
      <c r="P694" s="17" t="str">
        <f t="shared" si="5"/>
        <v>OK</v>
      </c>
      <c r="Q694" s="17" t="s">
        <v>205</v>
      </c>
      <c r="R694" s="6" t="s">
        <v>794</v>
      </c>
      <c r="S694" s="17" t="s">
        <v>4797</v>
      </c>
      <c r="T694" s="17" t="s">
        <v>4798</v>
      </c>
      <c r="U694" s="179" t="s">
        <v>100</v>
      </c>
      <c r="V694" s="11" t="s">
        <v>875</v>
      </c>
      <c r="W694" s="22" t="s">
        <v>1004</v>
      </c>
      <c r="X694" s="22" t="s">
        <v>1004</v>
      </c>
      <c r="Y694" s="22"/>
      <c r="Z694" s="36"/>
      <c r="AA694" s="36"/>
      <c r="AB694" s="23"/>
      <c r="AC694" s="33"/>
    </row>
    <row r="695" spans="1:29" ht="15.75" customHeight="1">
      <c r="A695" s="10" t="s">
        <v>4799</v>
      </c>
      <c r="B695" s="10" t="s">
        <v>27</v>
      </c>
      <c r="C695" s="52" t="s">
        <v>868</v>
      </c>
      <c r="D695" s="12"/>
      <c r="E695" s="13" t="s">
        <v>1240</v>
      </c>
      <c r="F695" s="6" t="s">
        <v>278</v>
      </c>
      <c r="G695" s="15" t="str">
        <f ca="1">IFERROR(__xludf.DUMMYFUNCTION("CONCATENATE(B695,(VLOOKUP(C695,CATALOGOS!$F$2:$H$6,3,FALSE)),(VLOOKUP(V695,CATALOGOS!$J$2:$K$18,2,FALSE)),""-"",TO_TEXT(A695))"),"P03CV-0694")</f>
        <v>P03CV-0694</v>
      </c>
      <c r="H695" s="6" t="str">
        <f ca="1">IFERROR(__xludf.DUMMYFUNCTION("CONCATENATE($B695,(VLOOKUP($C695,CATALOGOS!$F$2:$H$6,3,FALSE)),(VLOOKUP($V695,CATALOGOS!$J$2:$K$18,2,FALSE)),""-"",TO_TEXT($A695))"),"P03CV-0694")</f>
        <v>P03CV-0694</v>
      </c>
      <c r="I695" s="6"/>
      <c r="J695" s="6" t="s">
        <v>4800</v>
      </c>
      <c r="K695" s="6" t="s">
        <v>4801</v>
      </c>
      <c r="L695" s="6" t="s">
        <v>4802</v>
      </c>
      <c r="M695" s="6" t="s">
        <v>4803</v>
      </c>
      <c r="N695" s="17"/>
      <c r="O695" s="17"/>
      <c r="P695" s="17" t="str">
        <f t="shared" si="5"/>
        <v>OK</v>
      </c>
      <c r="Q695" s="17" t="s">
        <v>35</v>
      </c>
      <c r="R695" s="6" t="s">
        <v>35</v>
      </c>
      <c r="S695" s="17" t="s">
        <v>36</v>
      </c>
      <c r="T695" s="17" t="s">
        <v>4804</v>
      </c>
      <c r="U695" s="173" t="s">
        <v>38</v>
      </c>
      <c r="V695" s="11" t="s">
        <v>875</v>
      </c>
      <c r="W695" s="22" t="s">
        <v>1004</v>
      </c>
      <c r="X695" s="22" t="s">
        <v>1004</v>
      </c>
      <c r="Y695" s="22"/>
      <c r="Z695" s="36"/>
      <c r="AA695" s="36"/>
      <c r="AB695" s="23"/>
      <c r="AC695" s="33"/>
    </row>
    <row r="696" spans="1:29" ht="15.75" customHeight="1">
      <c r="A696" s="10" t="s">
        <v>4805</v>
      </c>
      <c r="B696" s="10" t="s">
        <v>27</v>
      </c>
      <c r="C696" s="52" t="s">
        <v>868</v>
      </c>
      <c r="D696" s="12"/>
      <c r="E696" s="13" t="s">
        <v>248</v>
      </c>
      <c r="F696" s="6" t="s">
        <v>249</v>
      </c>
      <c r="G696" s="15" t="str">
        <f ca="1">IFERROR(__xludf.DUMMYFUNCTION("CONCATENATE(B696,(VLOOKUP(C696,CATALOGOS!$F$2:$H$6,3,FALSE)),(VLOOKUP(V696,CATALOGOS!$J$2:$K$18,2,FALSE)),""-"",TO_TEXT(A696))"),"P03CV-0695")</f>
        <v>P03CV-0695</v>
      </c>
      <c r="H696" s="6" t="str">
        <f ca="1">IFERROR(__xludf.DUMMYFUNCTION("CONCATENATE($B696,(VLOOKUP($C696,CATALOGOS!$F$2:$H$6,3,FALSE)),(VLOOKUP($V696,CATALOGOS!$J$2:$K$18,2,FALSE)),""-"",TO_TEXT($A696))"),"P03CV-0695")</f>
        <v>P03CV-0695</v>
      </c>
      <c r="I696" s="6"/>
      <c r="J696" s="6" t="s">
        <v>4806</v>
      </c>
      <c r="K696" s="6" t="s">
        <v>4807</v>
      </c>
      <c r="L696" s="6" t="s">
        <v>4808</v>
      </c>
      <c r="M696" s="6" t="s">
        <v>4809</v>
      </c>
      <c r="N696" s="17"/>
      <c r="O696" s="17"/>
      <c r="P696" s="17" t="str">
        <f t="shared" si="5"/>
        <v>OK</v>
      </c>
      <c r="Q696" s="17" t="s">
        <v>4810</v>
      </c>
      <c r="R696" s="6" t="s">
        <v>4811</v>
      </c>
      <c r="S696" s="17" t="s">
        <v>4812</v>
      </c>
      <c r="T696" s="10" t="s">
        <v>4813</v>
      </c>
      <c r="U696" s="173" t="s">
        <v>38</v>
      </c>
      <c r="V696" s="11" t="s">
        <v>875</v>
      </c>
      <c r="W696" s="22" t="s">
        <v>1004</v>
      </c>
      <c r="X696" s="22" t="s">
        <v>1004</v>
      </c>
      <c r="Y696" s="22"/>
      <c r="Z696" s="36"/>
      <c r="AA696" s="36"/>
      <c r="AB696" s="23"/>
      <c r="AC696" s="33"/>
    </row>
    <row r="697" spans="1:29" ht="15.75" customHeight="1">
      <c r="A697" s="10" t="s">
        <v>4814</v>
      </c>
      <c r="B697" s="10" t="s">
        <v>27</v>
      </c>
      <c r="C697" s="52" t="s">
        <v>868</v>
      </c>
      <c r="D697" s="38"/>
      <c r="E697" s="13" t="s">
        <v>184</v>
      </c>
      <c r="F697" s="6" t="s">
        <v>4815</v>
      </c>
      <c r="G697" s="15" t="str">
        <f ca="1">IFERROR(__xludf.DUMMYFUNCTION("CONCATENATE(B697,(VLOOKUP(C697,CATALOGOS!$F$2:$H$6,3,FALSE)),(VLOOKUP(V697,CATALOGOS!$J$2:$K$18,2,FALSE)),""-"",TO_TEXT(A697))"),"P03CV-0696")</f>
        <v>P03CV-0696</v>
      </c>
      <c r="H697" s="6" t="str">
        <f ca="1">IFERROR(__xludf.DUMMYFUNCTION("CONCATENATE($B697,(VLOOKUP($C697,CATALOGOS!$F$2:$H$6,3,FALSE)),(VLOOKUP($V697,CATALOGOS!$J$2:$K$18,2,FALSE)),""-"",TO_TEXT($A697))"),"P03CV-0696")</f>
        <v>P03CV-0696</v>
      </c>
      <c r="I697" s="6"/>
      <c r="J697" s="6" t="s">
        <v>4816</v>
      </c>
      <c r="K697" s="6" t="s">
        <v>4817</v>
      </c>
      <c r="L697" s="6" t="s">
        <v>4818</v>
      </c>
      <c r="M697" s="43" t="s">
        <v>4819</v>
      </c>
      <c r="N697" s="17"/>
      <c r="O697" s="17"/>
      <c r="P697" s="17" t="str">
        <f t="shared" si="5"/>
        <v>OK</v>
      </c>
      <c r="Q697" s="17" t="s">
        <v>35</v>
      </c>
      <c r="R697" s="6" t="s">
        <v>35</v>
      </c>
      <c r="S697" s="46" t="s">
        <v>36</v>
      </c>
      <c r="T697" s="17" t="s">
        <v>4820</v>
      </c>
      <c r="U697" s="173" t="s">
        <v>517</v>
      </c>
      <c r="V697" s="11" t="s">
        <v>875</v>
      </c>
      <c r="W697" s="22" t="s">
        <v>1004</v>
      </c>
      <c r="X697" s="22" t="s">
        <v>1004</v>
      </c>
      <c r="Y697" s="22"/>
      <c r="Z697" s="36"/>
      <c r="AA697" s="36"/>
      <c r="AB697" s="26"/>
      <c r="AC697" s="33"/>
    </row>
    <row r="698" spans="1:29" ht="15.75" customHeight="1">
      <c r="A698" s="10" t="s">
        <v>4821</v>
      </c>
      <c r="B698" s="10" t="s">
        <v>27</v>
      </c>
      <c r="C698" s="52" t="s">
        <v>868</v>
      </c>
      <c r="D698" s="12"/>
      <c r="E698" s="13" t="s">
        <v>62</v>
      </c>
      <c r="F698" s="6" t="s">
        <v>4822</v>
      </c>
      <c r="G698" s="15" t="str">
        <f ca="1">IFERROR(__xludf.DUMMYFUNCTION("CONCATENATE(B698,(VLOOKUP(C698,CATALOGOS!$F$2:$H$6,3,FALSE)),(VLOOKUP(V698,CATALOGOS!$J$2:$K$18,2,FALSE)),""-"",TO_TEXT(A698))"),"P03CV-0697")</f>
        <v>P03CV-0697</v>
      </c>
      <c r="H698" s="6" t="str">
        <f ca="1">IFERROR(__xludf.DUMMYFUNCTION("CONCATENATE($B698,(VLOOKUP($C698,CATALOGOS!$F$2:$H$6,3,FALSE)),(VLOOKUP($V698,CATALOGOS!$J$2:$K$18,2,FALSE)),""-"",TO_TEXT($A698))"),"P03CV-0697")</f>
        <v>P03CV-0697</v>
      </c>
      <c r="I698" s="6"/>
      <c r="J698" s="6" t="s">
        <v>4823</v>
      </c>
      <c r="K698" s="6" t="s">
        <v>4824</v>
      </c>
      <c r="L698" s="6" t="s">
        <v>4825</v>
      </c>
      <c r="M698" s="6" t="s">
        <v>4826</v>
      </c>
      <c r="N698" s="17"/>
      <c r="O698" s="17"/>
      <c r="P698" s="17" t="str">
        <f t="shared" si="5"/>
        <v>OK</v>
      </c>
      <c r="Q698" s="17" t="s">
        <v>35</v>
      </c>
      <c r="R698" s="6" t="s">
        <v>35</v>
      </c>
      <c r="S698" s="17" t="s">
        <v>36</v>
      </c>
      <c r="T698" s="17" t="s">
        <v>4827</v>
      </c>
      <c r="U698" s="173" t="s">
        <v>38</v>
      </c>
      <c r="V698" s="11" t="s">
        <v>875</v>
      </c>
      <c r="W698" s="20" t="s">
        <v>4629</v>
      </c>
      <c r="X698" s="20" t="s">
        <v>4629</v>
      </c>
      <c r="Y698" s="20"/>
      <c r="Z698" s="36"/>
      <c r="AA698" s="36"/>
      <c r="AB698" s="23"/>
      <c r="AC698" s="33"/>
    </row>
    <row r="699" spans="1:29" ht="15.75" customHeight="1">
      <c r="A699" s="10" t="s">
        <v>4828</v>
      </c>
      <c r="B699" s="10" t="s">
        <v>27</v>
      </c>
      <c r="C699" s="52" t="s">
        <v>868</v>
      </c>
      <c r="D699" s="12"/>
      <c r="E699" s="13" t="s">
        <v>116</v>
      </c>
      <c r="F699" s="6" t="s">
        <v>364</v>
      </c>
      <c r="G699" s="15" t="str">
        <f ca="1">IFERROR(__xludf.DUMMYFUNCTION("CONCATENATE(B699,(VLOOKUP(C699,CATALOGOS!$F$2:$H$6,3,FALSE)),(VLOOKUP(V699,CATALOGOS!$J$2:$K$18,2,FALSE)),""-"",TO_TEXT(A699))"),"P03CV-0698")</f>
        <v>P03CV-0698</v>
      </c>
      <c r="H699" s="6" t="str">
        <f ca="1">IFERROR(__xludf.DUMMYFUNCTION("CONCATENATE($B699,(VLOOKUP($C699,CATALOGOS!$F$2:$H$6,3,FALSE)),(VLOOKUP($V699,CATALOGOS!$J$2:$K$18,2,FALSE)),""-"",TO_TEXT($A699))"),"P03CV-0698")</f>
        <v>P03CV-0698</v>
      </c>
      <c r="I699" s="6"/>
      <c r="J699" s="6" t="s">
        <v>4829</v>
      </c>
      <c r="K699" s="6" t="s">
        <v>4830</v>
      </c>
      <c r="L699" s="6" t="s">
        <v>4831</v>
      </c>
      <c r="M699" s="6" t="s">
        <v>4832</v>
      </c>
      <c r="N699" s="17"/>
      <c r="O699" s="17"/>
      <c r="P699" s="17" t="str">
        <f t="shared" si="5"/>
        <v>OK</v>
      </c>
      <c r="Q699" s="17" t="s">
        <v>35</v>
      </c>
      <c r="R699" s="6" t="s">
        <v>35</v>
      </c>
      <c r="S699" s="17" t="s">
        <v>36</v>
      </c>
      <c r="T699" s="17" t="s">
        <v>4833</v>
      </c>
      <c r="U699" s="173" t="s">
        <v>38</v>
      </c>
      <c r="V699" s="11" t="s">
        <v>875</v>
      </c>
      <c r="W699" s="20" t="s">
        <v>4629</v>
      </c>
      <c r="X699" s="20" t="s">
        <v>4629</v>
      </c>
      <c r="Y699" s="20"/>
      <c r="Z699" s="36"/>
      <c r="AA699" s="36"/>
      <c r="AB699" s="23"/>
      <c r="AC699" s="33"/>
    </row>
    <row r="700" spans="1:29" ht="15.75" customHeight="1">
      <c r="A700" s="10" t="s">
        <v>4834</v>
      </c>
      <c r="B700" s="10" t="s">
        <v>27</v>
      </c>
      <c r="C700" s="52" t="s">
        <v>868</v>
      </c>
      <c r="D700" s="12"/>
      <c r="E700" s="13" t="s">
        <v>93</v>
      </c>
      <c r="F700" s="6" t="s">
        <v>1739</v>
      </c>
      <c r="G700" s="15" t="str">
        <f ca="1">IFERROR(__xludf.DUMMYFUNCTION("CONCATENATE(B700,(VLOOKUP(C700,CATALOGOS!$F$2:$H$6,3,FALSE)),(VLOOKUP(V700,CATALOGOS!$J$2:$K$18,2,FALSE)),""-"",TO_TEXT(A700))"),"P03CV-0699")</f>
        <v>P03CV-0699</v>
      </c>
      <c r="H700" s="6" t="str">
        <f ca="1">IFERROR(__xludf.DUMMYFUNCTION("CONCATENATE($B700,(VLOOKUP($C700,CATALOGOS!$F$2:$H$6,3,FALSE)),(VLOOKUP($V700,CATALOGOS!$J$2:$K$18,2,FALSE)),""-"",TO_TEXT($A700))"),"P03CV-0699")</f>
        <v>P03CV-0699</v>
      </c>
      <c r="I700" s="6"/>
      <c r="J700" s="6" t="s">
        <v>4835</v>
      </c>
      <c r="K700" s="6" t="s">
        <v>4836</v>
      </c>
      <c r="L700" s="6" t="s">
        <v>4837</v>
      </c>
      <c r="M700" s="6" t="s">
        <v>4838</v>
      </c>
      <c r="N700" s="17"/>
      <c r="O700" s="17"/>
      <c r="P700" s="17" t="str">
        <f t="shared" si="5"/>
        <v>OK</v>
      </c>
      <c r="Q700" s="17" t="s">
        <v>35</v>
      </c>
      <c r="R700" s="6" t="s">
        <v>35</v>
      </c>
      <c r="S700" s="17" t="s">
        <v>36</v>
      </c>
      <c r="T700" s="17" t="s">
        <v>4839</v>
      </c>
      <c r="U700" s="173" t="s">
        <v>38</v>
      </c>
      <c r="V700" s="11" t="s">
        <v>875</v>
      </c>
      <c r="W700" s="20" t="s">
        <v>4629</v>
      </c>
      <c r="X700" s="20" t="s">
        <v>4629</v>
      </c>
      <c r="Y700" s="20"/>
      <c r="Z700" s="36"/>
      <c r="AA700" s="36"/>
      <c r="AB700" s="23"/>
      <c r="AC700" s="33"/>
    </row>
    <row r="701" spans="1:29" ht="15.75" customHeight="1">
      <c r="A701" s="10" t="s">
        <v>4840</v>
      </c>
      <c r="B701" s="10" t="s">
        <v>27</v>
      </c>
      <c r="C701" s="52" t="s">
        <v>868</v>
      </c>
      <c r="D701" s="12"/>
      <c r="E701" s="13" t="s">
        <v>248</v>
      </c>
      <c r="F701" s="6" t="s">
        <v>249</v>
      </c>
      <c r="G701" s="15" t="str">
        <f ca="1">IFERROR(__xludf.DUMMYFUNCTION("CONCATENATE(B701,(VLOOKUP(C701,CATALOGOS!$F$2:$H$6,3,FALSE)),(VLOOKUP(V701,CATALOGOS!$J$2:$K$18,2,FALSE)),""-"",TO_TEXT(A701))"),"P03CV-0700")</f>
        <v>P03CV-0700</v>
      </c>
      <c r="H701" s="6" t="str">
        <f ca="1">IFERROR(__xludf.DUMMYFUNCTION("CONCATENATE($B701,(VLOOKUP($C701,CATALOGOS!$F$2:$H$6,3,FALSE)),(VLOOKUP($V701,CATALOGOS!$J$2:$K$18,2,FALSE)),""-"",TO_TEXT($A701))"),"P03CV-0700")</f>
        <v>P03CV-0700</v>
      </c>
      <c r="I701" s="6"/>
      <c r="J701" s="6" t="s">
        <v>4841</v>
      </c>
      <c r="K701" s="6" t="s">
        <v>4842</v>
      </c>
      <c r="L701" s="6" t="s">
        <v>4843</v>
      </c>
      <c r="M701" s="43" t="s">
        <v>4844</v>
      </c>
      <c r="N701" s="17"/>
      <c r="O701" s="17"/>
      <c r="P701" s="17" t="str">
        <f t="shared" si="5"/>
        <v>OK</v>
      </c>
      <c r="Q701" s="17" t="s">
        <v>978</v>
      </c>
      <c r="R701" s="6" t="s">
        <v>979</v>
      </c>
      <c r="S701" s="17" t="s">
        <v>4845</v>
      </c>
      <c r="T701" s="17" t="s">
        <v>4846</v>
      </c>
      <c r="U701" s="173" t="s">
        <v>38</v>
      </c>
      <c r="V701" s="11" t="s">
        <v>875</v>
      </c>
      <c r="W701" s="20" t="s">
        <v>4629</v>
      </c>
      <c r="X701" s="20" t="s">
        <v>4629</v>
      </c>
      <c r="Y701" s="20"/>
      <c r="Z701" s="36"/>
      <c r="AA701" s="36"/>
      <c r="AB701" s="23"/>
      <c r="AC701" s="33"/>
    </row>
    <row r="702" spans="1:29" ht="15.75" customHeight="1">
      <c r="A702" s="10" t="s">
        <v>4847</v>
      </c>
      <c r="B702" s="10" t="s">
        <v>27</v>
      </c>
      <c r="C702" s="52" t="s">
        <v>868</v>
      </c>
      <c r="D702" s="38"/>
      <c r="E702" s="13" t="s">
        <v>162</v>
      </c>
      <c r="F702" s="6" t="s">
        <v>285</v>
      </c>
      <c r="G702" s="64" t="str">
        <f ca="1">IFERROR(__xludf.DUMMYFUNCTION("CONCATENATE(B702,(VLOOKUP(C702,CATALOGOS!$F$2:$H$6,3,FALSE)),(VLOOKUP(V702,CATALOGOS!$J$2:$K$18,2,FALSE)),""-"",TO_TEXT(A702))"),"P03CV-0701")</f>
        <v>P03CV-0701</v>
      </c>
      <c r="H702" s="6" t="str">
        <f ca="1">IFERROR(__xludf.DUMMYFUNCTION("CONCATENATE($B702,(VLOOKUP($C702,CATALOGOS!$F$2:$H$6,3,FALSE)),(VLOOKUP($V702,CATALOGOS!$J$2:$K$18,2,FALSE)),""-"",TO_TEXT($A702))"),"P03CV-0701")</f>
        <v>P03CV-0701</v>
      </c>
      <c r="I702" s="6"/>
      <c r="J702" s="6" t="s">
        <v>4848</v>
      </c>
      <c r="K702" s="6" t="s">
        <v>4849</v>
      </c>
      <c r="L702" s="6" t="s">
        <v>4850</v>
      </c>
      <c r="M702" s="6" t="s">
        <v>4851</v>
      </c>
      <c r="N702" s="17"/>
      <c r="O702" s="17"/>
      <c r="P702" s="17" t="str">
        <f t="shared" si="5"/>
        <v>OK</v>
      </c>
      <c r="Q702" s="17" t="s">
        <v>168</v>
      </c>
      <c r="R702" s="6" t="s">
        <v>169</v>
      </c>
      <c r="S702" s="46" t="s">
        <v>4852</v>
      </c>
      <c r="T702" s="17" t="s">
        <v>4853</v>
      </c>
      <c r="U702" s="173" t="s">
        <v>549</v>
      </c>
      <c r="V702" s="11" t="s">
        <v>875</v>
      </c>
      <c r="W702" s="20" t="s">
        <v>4574</v>
      </c>
      <c r="X702" s="20" t="s">
        <v>4574</v>
      </c>
      <c r="Y702" s="20"/>
      <c r="Z702" s="36"/>
      <c r="AA702" s="36"/>
      <c r="AB702" s="26"/>
      <c r="AC702" s="33"/>
    </row>
    <row r="703" spans="1:29" ht="15.75" customHeight="1">
      <c r="A703" s="10" t="s">
        <v>4854</v>
      </c>
      <c r="B703" s="10" t="s">
        <v>27</v>
      </c>
      <c r="C703" s="52" t="s">
        <v>868</v>
      </c>
      <c r="D703" s="12"/>
      <c r="E703" s="13" t="s">
        <v>93</v>
      </c>
      <c r="F703" s="6" t="s">
        <v>4855</v>
      </c>
      <c r="G703" s="15" t="str">
        <f ca="1">IFERROR(__xludf.DUMMYFUNCTION("CONCATENATE(B703,(VLOOKUP(C703,CATALOGOS!$F$2:$H$6,3,FALSE)),(VLOOKUP(V703,CATALOGOS!$J$2:$K$18,2,FALSE)),""-"",TO_TEXT(A703))"),"P03CV-0702")</f>
        <v>P03CV-0702</v>
      </c>
      <c r="H703" s="6" t="str">
        <f ca="1">IFERROR(__xludf.DUMMYFUNCTION("CONCATENATE($B703,(VLOOKUP($C703,CATALOGOS!$F$2:$H$6,3,FALSE)),(VLOOKUP($V703,CATALOGOS!$J$2:$K$18,2,FALSE)),""-"",TO_TEXT($A703))"),"P03CV-0702")</f>
        <v>P03CV-0702</v>
      </c>
      <c r="I703" s="6"/>
      <c r="J703" s="6" t="s">
        <v>4856</v>
      </c>
      <c r="K703" s="6" t="s">
        <v>4857</v>
      </c>
      <c r="L703" s="6" t="s">
        <v>4858</v>
      </c>
      <c r="M703" s="6" t="s">
        <v>4859</v>
      </c>
      <c r="N703" s="17"/>
      <c r="O703" s="17"/>
      <c r="P703" s="17" t="str">
        <f t="shared" si="5"/>
        <v>OK</v>
      </c>
      <c r="Q703" s="17" t="s">
        <v>35</v>
      </c>
      <c r="R703" s="6" t="s">
        <v>35</v>
      </c>
      <c r="S703" s="17" t="s">
        <v>36</v>
      </c>
      <c r="T703" s="17" t="s">
        <v>4860</v>
      </c>
      <c r="U703" s="173" t="s">
        <v>38</v>
      </c>
      <c r="V703" s="11" t="s">
        <v>875</v>
      </c>
      <c r="W703" s="22" t="s">
        <v>4737</v>
      </c>
      <c r="X703" s="22" t="s">
        <v>4737</v>
      </c>
      <c r="Y703" s="22"/>
      <c r="Z703" s="36"/>
      <c r="AA703" s="36"/>
      <c r="AB703" s="23"/>
      <c r="AC703" s="33"/>
    </row>
    <row r="704" spans="1:29" ht="15.75" customHeight="1">
      <c r="A704" s="10" t="s">
        <v>4861</v>
      </c>
      <c r="B704" s="10" t="s">
        <v>27</v>
      </c>
      <c r="C704" s="52" t="s">
        <v>868</v>
      </c>
      <c r="D704" s="12"/>
      <c r="E704" s="13" t="s">
        <v>116</v>
      </c>
      <c r="F704" s="6" t="s">
        <v>1443</v>
      </c>
      <c r="G704" s="15" t="str">
        <f ca="1">IFERROR(__xludf.DUMMYFUNCTION("CONCATENATE(B704,(VLOOKUP(C704,CATALOGOS!$F$2:$H$6,3,FALSE)),(VLOOKUP(V704,CATALOGOS!$J$2:$K$18,2,FALSE)),""-"",TO_TEXT(A704))"),"P03CV-0703")</f>
        <v>P03CV-0703</v>
      </c>
      <c r="H704" s="6" t="str">
        <f ca="1">IFERROR(__xludf.DUMMYFUNCTION("CONCATENATE($B704,(VLOOKUP($C704,CATALOGOS!$F$2:$H$6,3,FALSE)),(VLOOKUP($V704,CATALOGOS!$J$2:$K$18,2,FALSE)),""-"",TO_TEXT($A704))"),"P03CV-0703")</f>
        <v>P03CV-0703</v>
      </c>
      <c r="I704" s="6"/>
      <c r="J704" s="6" t="s">
        <v>4862</v>
      </c>
      <c r="K704" s="6" t="s">
        <v>4863</v>
      </c>
      <c r="L704" s="6" t="s">
        <v>4864</v>
      </c>
      <c r="M704" s="6" t="s">
        <v>4865</v>
      </c>
      <c r="N704" s="17"/>
      <c r="O704" s="17"/>
      <c r="P704" s="17" t="str">
        <f t="shared" si="5"/>
        <v>OK</v>
      </c>
      <c r="Q704" s="17" t="s">
        <v>35</v>
      </c>
      <c r="R704" s="6" t="s">
        <v>35</v>
      </c>
      <c r="S704" s="17" t="s">
        <v>36</v>
      </c>
      <c r="T704" s="17" t="s">
        <v>4866</v>
      </c>
      <c r="U704" s="173" t="s">
        <v>38</v>
      </c>
      <c r="V704" s="11" t="s">
        <v>875</v>
      </c>
      <c r="W704" s="22" t="s">
        <v>4737</v>
      </c>
      <c r="X704" s="22" t="s">
        <v>4737</v>
      </c>
      <c r="Y704" s="22"/>
      <c r="Z704" s="36"/>
      <c r="AA704" s="36"/>
      <c r="AB704" s="23"/>
      <c r="AC704" s="33"/>
    </row>
    <row r="705" spans="1:29" ht="15.75" customHeight="1">
      <c r="A705" s="10" t="s">
        <v>4867</v>
      </c>
      <c r="B705" s="10" t="s">
        <v>27</v>
      </c>
      <c r="C705" s="52" t="s">
        <v>868</v>
      </c>
      <c r="D705" s="12"/>
      <c r="E705" s="13" t="s">
        <v>151</v>
      </c>
      <c r="F705" s="6" t="s">
        <v>714</v>
      </c>
      <c r="G705" s="15" t="str">
        <f ca="1">IFERROR(__xludf.DUMMYFUNCTION("CONCATENATE(B705,(VLOOKUP(C705,CATALOGOS!$F$2:$H$6,3,FALSE)),(VLOOKUP(V705,CATALOGOS!$J$2:$K$18,2,FALSE)),""-"",TO_TEXT(A705))"),"P03CV-0704")</f>
        <v>P03CV-0704</v>
      </c>
      <c r="H705" s="6" t="str">
        <f ca="1">IFERROR(__xludf.DUMMYFUNCTION("CONCATENATE($B705,(VLOOKUP($C705,CATALOGOS!$F$2:$H$6,3,FALSE)),(VLOOKUP($V705,CATALOGOS!$J$2:$K$18,2,FALSE)),""-"",TO_TEXT($A705))"),"P03CV-0704")</f>
        <v>P03CV-0704</v>
      </c>
      <c r="I705" s="6"/>
      <c r="J705" s="6" t="s">
        <v>4868</v>
      </c>
      <c r="K705" s="6" t="s">
        <v>4869</v>
      </c>
      <c r="L705" s="6" t="s">
        <v>4870</v>
      </c>
      <c r="M705" s="6" t="s">
        <v>4871</v>
      </c>
      <c r="N705" s="17"/>
      <c r="O705" s="17"/>
      <c r="P705" s="17" t="str">
        <f t="shared" si="5"/>
        <v>OK</v>
      </c>
      <c r="Q705" s="17" t="s">
        <v>1220</v>
      </c>
      <c r="R705" s="6" t="s">
        <v>720</v>
      </c>
      <c r="S705" s="17" t="s">
        <v>4872</v>
      </c>
      <c r="T705" s="17" t="s">
        <v>4873</v>
      </c>
      <c r="U705" s="173" t="s">
        <v>38</v>
      </c>
      <c r="V705" s="11" t="s">
        <v>875</v>
      </c>
      <c r="W705" s="22" t="s">
        <v>4737</v>
      </c>
      <c r="X705" s="22" t="s">
        <v>4737</v>
      </c>
      <c r="Y705" s="22"/>
      <c r="Z705" s="36"/>
      <c r="AA705" s="36"/>
      <c r="AB705" s="23"/>
      <c r="AC705" s="33"/>
    </row>
    <row r="706" spans="1:29" ht="15.75" customHeight="1">
      <c r="A706" s="10" t="s">
        <v>4874</v>
      </c>
      <c r="B706" s="10" t="s">
        <v>27</v>
      </c>
      <c r="C706" s="52" t="s">
        <v>868</v>
      </c>
      <c r="D706" s="12"/>
      <c r="E706" s="13" t="s">
        <v>199</v>
      </c>
      <c r="F706" s="6" t="s">
        <v>199</v>
      </c>
      <c r="G706" s="15" t="str">
        <f ca="1">IFERROR(__xludf.DUMMYFUNCTION("CONCATENATE(B706,(VLOOKUP(C706,CATALOGOS!$F$2:$H$6,3,FALSE)),(VLOOKUP(V706,CATALOGOS!$J$2:$K$18,2,FALSE)),""-"",TO_TEXT(A706))"),"P03CV-0705")</f>
        <v>P03CV-0705</v>
      </c>
      <c r="H706" s="6" t="str">
        <f ca="1">IFERROR(__xludf.DUMMYFUNCTION("CONCATENATE($B706,(VLOOKUP($C706,CATALOGOS!$F$2:$H$6,3,FALSE)),(VLOOKUP($V706,CATALOGOS!$J$2:$K$18,2,FALSE)),""-"",TO_TEXT($A706))"),"P03CV-0705")</f>
        <v>P03CV-0705</v>
      </c>
      <c r="I706" s="6"/>
      <c r="J706" s="6" t="s">
        <v>4875</v>
      </c>
      <c r="K706" s="6" t="s">
        <v>4876</v>
      </c>
      <c r="L706" s="6" t="s">
        <v>4877</v>
      </c>
      <c r="M706" s="6" t="s">
        <v>4878</v>
      </c>
      <c r="N706" s="17"/>
      <c r="O706" s="17"/>
      <c r="P706" s="17" t="str">
        <f t="shared" si="5"/>
        <v>OK</v>
      </c>
      <c r="Q706" s="17" t="s">
        <v>297</v>
      </c>
      <c r="R706" s="6" t="s">
        <v>1399</v>
      </c>
      <c r="S706" s="17" t="s">
        <v>4879</v>
      </c>
      <c r="T706" s="17" t="s">
        <v>4880</v>
      </c>
      <c r="U706" s="173" t="s">
        <v>38</v>
      </c>
      <c r="V706" s="11" t="s">
        <v>875</v>
      </c>
      <c r="W706" s="22" t="s">
        <v>4737</v>
      </c>
      <c r="X706" s="22" t="s">
        <v>4737</v>
      </c>
      <c r="Y706" s="22"/>
      <c r="Z706" s="36"/>
      <c r="AA706" s="36"/>
      <c r="AB706" s="23"/>
      <c r="AC706" s="33"/>
    </row>
    <row r="707" spans="1:29" ht="15.75" customHeight="1">
      <c r="A707" s="10" t="s">
        <v>4881</v>
      </c>
      <c r="B707" s="10" t="s">
        <v>27</v>
      </c>
      <c r="C707" s="52" t="s">
        <v>868</v>
      </c>
      <c r="D707" s="12"/>
      <c r="E707" s="13" t="s">
        <v>162</v>
      </c>
      <c r="F707" s="43" t="s">
        <v>285</v>
      </c>
      <c r="G707" s="15" t="str">
        <f ca="1">IFERROR(__xludf.DUMMYFUNCTION("CONCATENATE(B707,(VLOOKUP(C707,CATALOGOS!$F$2:$H$6,3,FALSE)),(VLOOKUP(V707,CATALOGOS!$J$2:$K$18,2,FALSE)),""-"",TO_TEXT(A707))"),"P03CV-0706")</f>
        <v>P03CV-0706</v>
      </c>
      <c r="H707" s="6" t="str">
        <f ca="1">IFERROR(__xludf.DUMMYFUNCTION("CONCATENATE($B707,(VLOOKUP($C707,CATALOGOS!$F$2:$H$6,3,FALSE)),(VLOOKUP($V707,CATALOGOS!$J$2:$K$18,2,FALSE)),""-"",TO_TEXT($A707))"),"P03CV-0706")</f>
        <v>P03CV-0706</v>
      </c>
      <c r="I707" s="6"/>
      <c r="J707" s="6" t="s">
        <v>4882</v>
      </c>
      <c r="K707" s="6" t="s">
        <v>4883</v>
      </c>
      <c r="L707" s="6" t="s">
        <v>4884</v>
      </c>
      <c r="M707" s="6" t="s">
        <v>4885</v>
      </c>
      <c r="N707" s="17"/>
      <c r="O707" s="17"/>
      <c r="P707" s="17" t="str">
        <f t="shared" si="5"/>
        <v>OK</v>
      </c>
      <c r="Q707" s="17" t="s">
        <v>663</v>
      </c>
      <c r="R707" s="6" t="s">
        <v>664</v>
      </c>
      <c r="S707" s="17" t="s">
        <v>4886</v>
      </c>
      <c r="T707" s="10" t="s">
        <v>4887</v>
      </c>
      <c r="U707" s="173" t="s">
        <v>38</v>
      </c>
      <c r="V707" s="11" t="s">
        <v>875</v>
      </c>
      <c r="W707" s="22" t="s">
        <v>4737</v>
      </c>
      <c r="X707" s="22" t="s">
        <v>4737</v>
      </c>
      <c r="Y707" s="22"/>
      <c r="Z707" s="36"/>
      <c r="AA707" s="36"/>
      <c r="AB707" s="23"/>
      <c r="AC707" s="33"/>
    </row>
    <row r="708" spans="1:29" ht="15.75" customHeight="1">
      <c r="A708" s="10" t="s">
        <v>4888</v>
      </c>
      <c r="B708" s="10" t="s">
        <v>27</v>
      </c>
      <c r="C708" s="52" t="s">
        <v>868</v>
      </c>
      <c r="D708" s="12"/>
      <c r="E708" s="13" t="s">
        <v>248</v>
      </c>
      <c r="F708" s="6" t="s">
        <v>249</v>
      </c>
      <c r="G708" s="15" t="str">
        <f ca="1">IFERROR(__xludf.DUMMYFUNCTION("CONCATENATE(B708,(VLOOKUP(C708,CATALOGOS!$F$2:$H$6,3,FALSE)),(VLOOKUP(V708,CATALOGOS!$J$2:$K$18,2,FALSE)),""-"",TO_TEXT(A708))"),"P03CV-0707")</f>
        <v>P03CV-0707</v>
      </c>
      <c r="H708" s="6" t="str">
        <f ca="1">IFERROR(__xludf.DUMMYFUNCTION("CONCATENATE($B708,(VLOOKUP($C708,CATALOGOS!$F$2:$H$6,3,FALSE)),(VLOOKUP($V708,CATALOGOS!$J$2:$K$18,2,FALSE)),""-"",TO_TEXT($A708))"),"P03CV-0707")</f>
        <v>P03CV-0707</v>
      </c>
      <c r="I708" s="6"/>
      <c r="J708" s="6" t="s">
        <v>4889</v>
      </c>
      <c r="K708" s="6" t="s">
        <v>4890</v>
      </c>
      <c r="L708" s="6" t="s">
        <v>4891</v>
      </c>
      <c r="M708" s="6" t="s">
        <v>4892</v>
      </c>
      <c r="N708" s="17"/>
      <c r="O708" s="17"/>
      <c r="P708" s="17" t="str">
        <f t="shared" si="5"/>
        <v>OK</v>
      </c>
      <c r="Q708" s="17" t="s">
        <v>978</v>
      </c>
      <c r="R708" s="6" t="s">
        <v>979</v>
      </c>
      <c r="S708" s="17" t="s">
        <v>4893</v>
      </c>
      <c r="T708" s="17" t="s">
        <v>4894</v>
      </c>
      <c r="U708" s="173" t="s">
        <v>38</v>
      </c>
      <c r="V708" s="11" t="s">
        <v>875</v>
      </c>
      <c r="W708" s="22" t="s">
        <v>4737</v>
      </c>
      <c r="X708" s="22" t="s">
        <v>4737</v>
      </c>
      <c r="Y708" s="22"/>
      <c r="Z708" s="36"/>
      <c r="AA708" s="36"/>
      <c r="AB708" s="23"/>
      <c r="AC708" s="33"/>
    </row>
    <row r="709" spans="1:29" ht="15.75" customHeight="1">
      <c r="A709" s="10" t="s">
        <v>4895</v>
      </c>
      <c r="B709" s="10" t="s">
        <v>27</v>
      </c>
      <c r="C709" s="52" t="s">
        <v>868</v>
      </c>
      <c r="D709" s="12"/>
      <c r="E709" s="13" t="s">
        <v>378</v>
      </c>
      <c r="F709" s="6" t="s">
        <v>379</v>
      </c>
      <c r="G709" s="15" t="str">
        <f ca="1">IFERROR(__xludf.DUMMYFUNCTION("CONCATENATE(B709,(VLOOKUP(C709,CATALOGOS!$F$2:$H$6,3,FALSE)),(VLOOKUP(V709,CATALOGOS!$J$2:$K$18,2,FALSE)),""-"",TO_TEXT(A709))"),"P03CV-0708")</f>
        <v>P03CV-0708</v>
      </c>
      <c r="H709" s="6" t="str">
        <f ca="1">IFERROR(__xludf.DUMMYFUNCTION("CONCATENATE($B709,(VLOOKUP($C709,CATALOGOS!$F$2:$H$6,3,FALSE)),(VLOOKUP($V709,CATALOGOS!$J$2:$K$18,2,FALSE)),""-"",TO_TEXT($A709))"),"P03CV-0708")</f>
        <v>P03CV-0708</v>
      </c>
      <c r="I709" s="6"/>
      <c r="J709" s="6" t="s">
        <v>4896</v>
      </c>
      <c r="K709" s="6" t="s">
        <v>4897</v>
      </c>
      <c r="L709" s="6" t="s">
        <v>4898</v>
      </c>
      <c r="M709" s="6" t="s">
        <v>4899</v>
      </c>
      <c r="N709" s="17"/>
      <c r="O709" s="17"/>
      <c r="P709" s="17" t="str">
        <f t="shared" si="5"/>
        <v>OK</v>
      </c>
      <c r="Q709" s="17" t="s">
        <v>35</v>
      </c>
      <c r="R709" s="6" t="s">
        <v>35</v>
      </c>
      <c r="S709" s="17" t="s">
        <v>36</v>
      </c>
      <c r="T709" s="17" t="s">
        <v>4900</v>
      </c>
      <c r="U709" s="173" t="s">
        <v>38</v>
      </c>
      <c r="V709" s="11" t="s">
        <v>875</v>
      </c>
      <c r="W709" s="22" t="s">
        <v>4737</v>
      </c>
      <c r="X709" s="22" t="s">
        <v>4737</v>
      </c>
      <c r="Y709" s="22"/>
      <c r="Z709" s="36"/>
      <c r="AA709" s="36"/>
      <c r="AB709" s="23"/>
      <c r="AC709" s="33"/>
    </row>
    <row r="710" spans="1:29" ht="15.75" customHeight="1">
      <c r="A710" s="10" t="s">
        <v>4901</v>
      </c>
      <c r="B710" s="10" t="s">
        <v>27</v>
      </c>
      <c r="C710" s="52" t="s">
        <v>868</v>
      </c>
      <c r="D710" s="12"/>
      <c r="E710" s="13" t="s">
        <v>378</v>
      </c>
      <c r="F710" s="6" t="s">
        <v>4902</v>
      </c>
      <c r="G710" s="15" t="str">
        <f ca="1">IFERROR(__xludf.DUMMYFUNCTION("CONCATENATE(B710,(VLOOKUP(C710,CATALOGOS!$F$2:$H$6,3,FALSE)),(VLOOKUP(V710,CATALOGOS!$J$2:$K$18,2,FALSE)),""-"",TO_TEXT(A710))"),"P03CV-0709")</f>
        <v>P03CV-0709</v>
      </c>
      <c r="H710" s="6" t="str">
        <f ca="1">IFERROR(__xludf.DUMMYFUNCTION("CONCATENATE($B710,(VLOOKUP($C710,CATALOGOS!$F$2:$H$6,3,FALSE)),(VLOOKUP($V710,CATALOGOS!$J$2:$K$18,2,FALSE)),""-"",TO_TEXT($A710))"),"P03CV-0709")</f>
        <v>P03CV-0709</v>
      </c>
      <c r="I710" s="6"/>
      <c r="J710" s="6" t="s">
        <v>4903</v>
      </c>
      <c r="K710" s="6" t="s">
        <v>4904</v>
      </c>
      <c r="L710" s="36"/>
      <c r="M710" s="6" t="s">
        <v>141</v>
      </c>
      <c r="N710" s="17"/>
      <c r="O710" s="17"/>
      <c r="P710" s="17" t="str">
        <f t="shared" si="5"/>
        <v>REPETIDO</v>
      </c>
      <c r="Q710" s="17" t="s">
        <v>35</v>
      </c>
      <c r="R710" s="6" t="s">
        <v>35</v>
      </c>
      <c r="S710" s="6" t="s">
        <v>36</v>
      </c>
      <c r="T710" s="10" t="s">
        <v>4905</v>
      </c>
      <c r="U710" s="173" t="s">
        <v>38</v>
      </c>
      <c r="V710" s="11" t="s">
        <v>875</v>
      </c>
      <c r="W710" s="22" t="s">
        <v>4737</v>
      </c>
      <c r="X710" s="22" t="s">
        <v>4737</v>
      </c>
      <c r="Y710" s="22"/>
      <c r="Z710" s="36"/>
      <c r="AA710" s="36"/>
      <c r="AB710" s="23"/>
      <c r="AC710" s="33"/>
    </row>
    <row r="711" spans="1:29" ht="15.75" customHeight="1">
      <c r="A711" s="10" t="s">
        <v>4906</v>
      </c>
      <c r="B711" s="10" t="s">
        <v>27</v>
      </c>
      <c r="C711" s="52" t="s">
        <v>868</v>
      </c>
      <c r="D711" s="38"/>
      <c r="E711" s="13" t="s">
        <v>184</v>
      </c>
      <c r="F711" s="6" t="s">
        <v>4815</v>
      </c>
      <c r="G711" s="15" t="str">
        <f ca="1">IFERROR(__xludf.DUMMYFUNCTION("CONCATENATE(B711,(VLOOKUP(C711,CATALOGOS!$F$2:$H$6,3,FALSE)),(VLOOKUP(V711,CATALOGOS!$J$2:$K$18,2,FALSE)),""-"",TO_TEXT(A711))"),"P03CV-0710")</f>
        <v>P03CV-0710</v>
      </c>
      <c r="H711" s="6" t="str">
        <f ca="1">IFERROR(__xludf.DUMMYFUNCTION("CONCATENATE($B711,(VLOOKUP($C711,CATALOGOS!$F$2:$H$6,3,FALSE)),(VLOOKUP($V711,CATALOGOS!$J$2:$K$18,2,FALSE)),""-"",TO_TEXT($A711))"),"P03CV-0710")</f>
        <v>P03CV-0710</v>
      </c>
      <c r="I711" s="6"/>
      <c r="J711" s="6" t="s">
        <v>4907</v>
      </c>
      <c r="K711" s="6" t="s">
        <v>4908</v>
      </c>
      <c r="L711" s="6" t="s">
        <v>4909</v>
      </c>
      <c r="M711" s="43" t="s">
        <v>4910</v>
      </c>
      <c r="N711" s="17"/>
      <c r="O711" s="17"/>
      <c r="P711" s="17" t="str">
        <f t="shared" si="5"/>
        <v>OK</v>
      </c>
      <c r="Q711" s="43" t="s">
        <v>35</v>
      </c>
      <c r="R711" s="6" t="s">
        <v>35</v>
      </c>
      <c r="S711" s="46" t="s">
        <v>36</v>
      </c>
      <c r="T711" s="17" t="s">
        <v>4911</v>
      </c>
      <c r="U711" s="173" t="s">
        <v>38</v>
      </c>
      <c r="V711" s="11" t="s">
        <v>875</v>
      </c>
      <c r="W711" s="32" t="s">
        <v>4629</v>
      </c>
      <c r="X711" s="32" t="s">
        <v>4629</v>
      </c>
      <c r="Y711" s="32"/>
      <c r="Z711" s="36"/>
      <c r="AA711" s="36"/>
      <c r="AB711" s="26"/>
      <c r="AC711" s="26"/>
    </row>
    <row r="712" spans="1:29" ht="15.75" customHeight="1">
      <c r="A712" s="10" t="s">
        <v>4912</v>
      </c>
      <c r="B712" s="10" t="s">
        <v>27</v>
      </c>
      <c r="C712" s="52" t="s">
        <v>868</v>
      </c>
      <c r="D712" s="12"/>
      <c r="E712" s="13" t="s">
        <v>151</v>
      </c>
      <c r="F712" s="6" t="s">
        <v>714</v>
      </c>
      <c r="G712" s="15" t="str">
        <f ca="1">IFERROR(__xludf.DUMMYFUNCTION("CONCATENATE(B712,(VLOOKUP(C712,CATALOGOS!$F$2:$H$6,3,FALSE)),(VLOOKUP(V712,CATALOGOS!$J$2:$K$18,2,FALSE)),""-"",TO_TEXT(A712))"),"P03CV-0711")</f>
        <v>P03CV-0711</v>
      </c>
      <c r="H712" s="6" t="str">
        <f ca="1">IFERROR(__xludf.DUMMYFUNCTION("CONCATENATE($B712,(VLOOKUP($C712,CATALOGOS!$F$2:$H$6,3,FALSE)),(VLOOKUP($V712,CATALOGOS!$J$2:$K$18,2,FALSE)),""-"",TO_TEXT($A712))"),"P03CV-0711")</f>
        <v>P03CV-0711</v>
      </c>
      <c r="I712" s="6"/>
      <c r="J712" s="6" t="s">
        <v>4913</v>
      </c>
      <c r="K712" s="6" t="s">
        <v>4914</v>
      </c>
      <c r="L712" s="6" t="s">
        <v>4915</v>
      </c>
      <c r="M712" s="6" t="s">
        <v>4916</v>
      </c>
      <c r="N712" s="17"/>
      <c r="O712" s="17"/>
      <c r="P712" s="17" t="str">
        <f t="shared" si="5"/>
        <v>OK</v>
      </c>
      <c r="Q712" s="17" t="s">
        <v>1220</v>
      </c>
      <c r="R712" s="6" t="s">
        <v>720</v>
      </c>
      <c r="S712" s="17" t="s">
        <v>4917</v>
      </c>
      <c r="T712" s="17" t="s">
        <v>4918</v>
      </c>
      <c r="U712" s="173" t="s">
        <v>38</v>
      </c>
      <c r="V712" s="174" t="s">
        <v>875</v>
      </c>
      <c r="W712" s="22" t="s">
        <v>876</v>
      </c>
      <c r="X712" s="22" t="s">
        <v>876</v>
      </c>
      <c r="Y712" s="22"/>
      <c r="Z712" s="36"/>
      <c r="AA712" s="36"/>
      <c r="AB712" s="23"/>
      <c r="AC712" s="33"/>
    </row>
    <row r="713" spans="1:29" ht="15.75" customHeight="1">
      <c r="A713" s="10" t="s">
        <v>4919</v>
      </c>
      <c r="B713" s="10" t="s">
        <v>27</v>
      </c>
      <c r="C713" s="52" t="s">
        <v>868</v>
      </c>
      <c r="D713" s="38"/>
      <c r="E713" s="13" t="s">
        <v>199</v>
      </c>
      <c r="F713" s="6" t="s">
        <v>199</v>
      </c>
      <c r="G713" s="15" t="str">
        <f ca="1">IFERROR(__xludf.DUMMYFUNCTION("CONCATENATE(B713,(VLOOKUP(C713,CATALOGOS!$F$2:$H$6,3,FALSE)),(VLOOKUP(V713,CATALOGOS!$J$2:$K$18,2,FALSE)),""-"",TO_TEXT(A713))"),"P03CV-0712")</f>
        <v>P03CV-0712</v>
      </c>
      <c r="H713" s="6" t="str">
        <f ca="1">IFERROR(__xludf.DUMMYFUNCTION("CONCATENATE($B713,(VLOOKUP($C713,CATALOGOS!$F$2:$H$6,3,FALSE)),(VLOOKUP($V713,CATALOGOS!$J$2:$K$18,2,FALSE)),""-"",TO_TEXT($A713))"),"P03CV-0712")</f>
        <v>P03CV-0712</v>
      </c>
      <c r="I713" s="6"/>
      <c r="J713" s="6" t="s">
        <v>4920</v>
      </c>
      <c r="K713" s="6" t="s">
        <v>4921</v>
      </c>
      <c r="L713" s="6" t="s">
        <v>4922</v>
      </c>
      <c r="M713" s="6" t="s">
        <v>4923</v>
      </c>
      <c r="N713" s="17"/>
      <c r="O713" s="17"/>
      <c r="P713" s="17" t="str">
        <f t="shared" si="5"/>
        <v>OK</v>
      </c>
      <c r="Q713" s="17" t="s">
        <v>205</v>
      </c>
      <c r="R713" s="6" t="s">
        <v>4924</v>
      </c>
      <c r="S713" s="46" t="s">
        <v>4925</v>
      </c>
      <c r="T713" s="32" t="s">
        <v>4926</v>
      </c>
      <c r="U713" s="173" t="s">
        <v>38</v>
      </c>
      <c r="V713" s="11" t="s">
        <v>875</v>
      </c>
      <c r="W713" s="22" t="s">
        <v>876</v>
      </c>
      <c r="X713" s="22" t="s">
        <v>876</v>
      </c>
      <c r="Y713" s="22"/>
      <c r="Z713" s="36"/>
      <c r="AA713" s="36"/>
      <c r="AB713" s="26"/>
      <c r="AC713" s="33"/>
    </row>
    <row r="714" spans="1:29" ht="15.75" customHeight="1">
      <c r="A714" s="10" t="s">
        <v>4928</v>
      </c>
      <c r="B714" s="10" t="s">
        <v>474</v>
      </c>
      <c r="C714" s="19" t="s">
        <v>4411</v>
      </c>
      <c r="D714" s="12"/>
      <c r="E714" s="13" t="s">
        <v>43</v>
      </c>
      <c r="F714" s="43" t="s">
        <v>4929</v>
      </c>
      <c r="G714" s="64" t="str">
        <f ca="1">IFERROR(__xludf.DUMMYFUNCTION("CONCATENATE(B714,(VLOOKUP(C714,CATALOGOS!$F$2:$H$6,3,FALSE)),(VLOOKUP(V714,CATALOGOS!$J$2:$K$18,2,FALSE)),""-"",TO_TEXT(A714))"),"P34RM-0713")</f>
        <v>P34RM-0713</v>
      </c>
      <c r="H714" s="6" t="str">
        <f ca="1">IFERROR(__xludf.DUMMYFUNCTION("CONCATENATE($B714,(VLOOKUP($C714,CATALOGOS!$F$2:$H$6,3,FALSE)),(VLOOKUP($V714,CATALOGOS!$J$2:$K$18,2,FALSE)),""-"",TO_TEXT($A714))"),"P34RM-0713")</f>
        <v>P34RM-0713</v>
      </c>
      <c r="I714" s="6"/>
      <c r="J714" s="6" t="s">
        <v>4930</v>
      </c>
      <c r="K714" s="6" t="s">
        <v>4931</v>
      </c>
      <c r="L714" s="6" t="s">
        <v>4932</v>
      </c>
      <c r="M714" s="6" t="s">
        <v>4933</v>
      </c>
      <c r="N714" s="17"/>
      <c r="O714" s="17"/>
      <c r="P714" s="17" t="str">
        <f t="shared" si="5"/>
        <v>OK</v>
      </c>
      <c r="Q714" s="17" t="s">
        <v>406</v>
      </c>
      <c r="R714" s="6" t="s">
        <v>407</v>
      </c>
      <c r="S714" s="17" t="s">
        <v>36</v>
      </c>
      <c r="T714" s="17" t="s">
        <v>4934</v>
      </c>
      <c r="U714" s="173" t="s">
        <v>100</v>
      </c>
      <c r="V714" s="19" t="s">
        <v>147</v>
      </c>
      <c r="W714" s="22" t="s">
        <v>4935</v>
      </c>
      <c r="X714" s="22" t="s">
        <v>4935</v>
      </c>
      <c r="Y714" s="186" t="s">
        <v>4927</v>
      </c>
      <c r="Z714" s="6"/>
      <c r="AA714" s="6"/>
      <c r="AB714" s="23"/>
      <c r="AC714" s="33"/>
    </row>
    <row r="715" spans="1:29" ht="15.75" customHeight="1">
      <c r="A715" s="10" t="s">
        <v>4936</v>
      </c>
      <c r="B715" s="10" t="s">
        <v>4410</v>
      </c>
      <c r="C715" s="19" t="s">
        <v>4411</v>
      </c>
      <c r="D715" s="12"/>
      <c r="E715" s="13" t="s">
        <v>71</v>
      </c>
      <c r="F715" s="6" t="s">
        <v>4937</v>
      </c>
      <c r="G715" s="15" t="str">
        <f ca="1">IFERROR(__xludf.DUMMYFUNCTION("CONCATENATE(B715,(VLOOKUP(C715,CATALOGOS!$F$2:$H$6,3,FALSE)),(VLOOKUP(V715,CATALOGOS!$J$2:$K$18,2,FALSE)),""-"",TO_TEXT(A715))"),"P24SJ-0714")</f>
        <v>P24SJ-0714</v>
      </c>
      <c r="H715" s="6" t="str">
        <f ca="1">IFERROR(__xludf.DUMMYFUNCTION("CONCATENATE($B715,(VLOOKUP($C715,CATALOGOS!$F$2:$H$6,3,FALSE)),(VLOOKUP($V715,CATALOGOS!$J$2:$K$18,2,FALSE)),""-"",TO_TEXT($A715))"),"P24SJ-0714")</f>
        <v>P24SJ-0714</v>
      </c>
      <c r="I715" s="6"/>
      <c r="J715" s="6" t="s">
        <v>4938</v>
      </c>
      <c r="K715" s="6" t="s">
        <v>4939</v>
      </c>
      <c r="L715" s="6" t="s">
        <v>4940</v>
      </c>
      <c r="M715" s="6" t="s">
        <v>4941</v>
      </c>
      <c r="N715" s="17"/>
      <c r="O715" s="17"/>
      <c r="P715" s="17" t="str">
        <f t="shared" si="5"/>
        <v>OK</v>
      </c>
      <c r="Q715" s="17" t="s">
        <v>35</v>
      </c>
      <c r="R715" s="6" t="s">
        <v>35</v>
      </c>
      <c r="S715" s="17" t="s">
        <v>36</v>
      </c>
      <c r="T715" s="17" t="s">
        <v>4942</v>
      </c>
      <c r="U715" s="173" t="s">
        <v>38</v>
      </c>
      <c r="V715" s="11" t="s">
        <v>4411</v>
      </c>
      <c r="W715" s="22" t="s">
        <v>4935</v>
      </c>
      <c r="X715" s="22" t="s">
        <v>4935</v>
      </c>
      <c r="Y715" s="22"/>
      <c r="Z715" s="7"/>
      <c r="AA715" s="7"/>
      <c r="AB715" s="23"/>
      <c r="AC715" s="26"/>
    </row>
    <row r="716" spans="1:29" ht="15.75" customHeight="1">
      <c r="A716" s="10" t="s">
        <v>4943</v>
      </c>
      <c r="B716" s="10" t="s">
        <v>4410</v>
      </c>
      <c r="C716" s="19" t="s">
        <v>4411</v>
      </c>
      <c r="D716" s="12"/>
      <c r="E716" s="13" t="s">
        <v>71</v>
      </c>
      <c r="F716" s="6" t="s">
        <v>4937</v>
      </c>
      <c r="G716" s="15" t="str">
        <f ca="1">IFERROR(__xludf.DUMMYFUNCTION("CONCATENATE(B716,(VLOOKUP(C716,CATALOGOS!$F$2:$H$6,3,FALSE)),(VLOOKUP(V716,CATALOGOS!$J$2:$K$18,2,FALSE)),""-"",TO_TEXT(A716))"),"P24SJ-0715")</f>
        <v>P24SJ-0715</v>
      </c>
      <c r="H716" s="6" t="str">
        <f ca="1">IFERROR(__xludf.DUMMYFUNCTION("CONCATENATE($B716,(VLOOKUP($C716,CATALOGOS!$F$2:$H$6,3,FALSE)),(VLOOKUP($V716,CATALOGOS!$J$2:$K$18,2,FALSE)),""-"",TO_TEXT($A716))"),"P24SJ-0715")</f>
        <v>P24SJ-0715</v>
      </c>
      <c r="I716" s="6"/>
      <c r="J716" s="6" t="s">
        <v>4944</v>
      </c>
      <c r="K716" s="6" t="s">
        <v>4945</v>
      </c>
      <c r="L716" s="6" t="s">
        <v>4946</v>
      </c>
      <c r="M716" s="43" t="s">
        <v>4947</v>
      </c>
      <c r="N716" s="17"/>
      <c r="O716" s="17"/>
      <c r="P716" s="17" t="str">
        <f t="shared" si="5"/>
        <v>OK</v>
      </c>
      <c r="Q716" s="17" t="s">
        <v>35</v>
      </c>
      <c r="R716" s="6" t="s">
        <v>35</v>
      </c>
      <c r="S716" s="17" t="s">
        <v>36</v>
      </c>
      <c r="T716" s="17" t="s">
        <v>4948</v>
      </c>
      <c r="U716" s="173" t="s">
        <v>38</v>
      </c>
      <c r="V716" s="11" t="s">
        <v>4411</v>
      </c>
      <c r="W716" s="22" t="s">
        <v>4935</v>
      </c>
      <c r="X716" s="22" t="s">
        <v>4935</v>
      </c>
      <c r="Y716" s="22"/>
      <c r="Z716" s="7"/>
      <c r="AA716" s="7"/>
      <c r="AB716" s="23"/>
      <c r="AC716" s="26"/>
    </row>
    <row r="717" spans="1:29" ht="15.75" customHeight="1">
      <c r="A717" s="10" t="s">
        <v>4949</v>
      </c>
      <c r="B717" s="10" t="s">
        <v>27</v>
      </c>
      <c r="C717" s="19" t="s">
        <v>4411</v>
      </c>
      <c r="D717" s="12"/>
      <c r="E717" s="13" t="s">
        <v>43</v>
      </c>
      <c r="F717" s="6" t="s">
        <v>4950</v>
      </c>
      <c r="G717" s="64" t="str">
        <f ca="1">IFERROR(__xludf.DUMMYFUNCTION("CONCATENATE(B717,(VLOOKUP(C717,CATALOGOS!$F$2:$H$6,3,FALSE)),(VLOOKUP(V717,CATALOGOS!$J$2:$K$18,2,FALSE)),""-"",TO_TEXT(A717))"),"P04RM-0716")</f>
        <v>P04RM-0716</v>
      </c>
      <c r="H717" s="6" t="str">
        <f ca="1">IFERROR(__xludf.DUMMYFUNCTION("CONCATENATE($B717,(VLOOKUP($C717,CATALOGOS!$F$2:$H$6,3,FALSE)),(VLOOKUP($V717,CATALOGOS!$J$2:$K$18,2,FALSE)),""-"",TO_TEXT($A717))"),"P04RM-0716")</f>
        <v>P04RM-0716</v>
      </c>
      <c r="I717" s="6"/>
      <c r="J717" s="6" t="s">
        <v>4951</v>
      </c>
      <c r="K717" s="6" t="s">
        <v>4952</v>
      </c>
      <c r="L717" s="6" t="s">
        <v>4953</v>
      </c>
      <c r="M717" s="6" t="s">
        <v>4954</v>
      </c>
      <c r="N717" s="17"/>
      <c r="O717" s="17"/>
      <c r="P717" s="17" t="str">
        <f t="shared" si="5"/>
        <v>OK</v>
      </c>
      <c r="Q717" s="17" t="s">
        <v>2586</v>
      </c>
      <c r="R717" s="6">
        <v>37268</v>
      </c>
      <c r="S717" s="17" t="s">
        <v>36</v>
      </c>
      <c r="T717" s="10" t="s">
        <v>4955</v>
      </c>
      <c r="U717" s="173" t="s">
        <v>38</v>
      </c>
      <c r="V717" s="19" t="s">
        <v>147</v>
      </c>
      <c r="W717" s="20" t="s">
        <v>483</v>
      </c>
      <c r="X717" s="20" t="s">
        <v>484</v>
      </c>
      <c r="Y717" s="20" t="s">
        <v>4956</v>
      </c>
      <c r="Z717" s="6"/>
      <c r="AA717" s="6"/>
      <c r="AB717" s="23"/>
      <c r="AC717" s="33"/>
    </row>
    <row r="718" spans="1:29" ht="15.75" customHeight="1">
      <c r="A718" s="10" t="s">
        <v>4957</v>
      </c>
      <c r="B718" s="10" t="s">
        <v>4410</v>
      </c>
      <c r="C718" s="19" t="s">
        <v>4411</v>
      </c>
      <c r="D718" s="12"/>
      <c r="E718" s="13" t="s">
        <v>136</v>
      </c>
      <c r="F718" s="43" t="s">
        <v>689</v>
      </c>
      <c r="G718" s="15" t="str">
        <f ca="1">IFERROR(__xludf.DUMMYFUNCTION("CONCATENATE(B718,(VLOOKUP(C718,CATALOGOS!$F$2:$H$6,3,FALSE)),(VLOOKUP(V718,CATALOGOS!$J$2:$K$18,2,FALSE)),""-"",TO_TEXT(A718))"),"P24SJ-0717")</f>
        <v>P24SJ-0717</v>
      </c>
      <c r="H718" s="6" t="str">
        <f ca="1">IFERROR(__xludf.DUMMYFUNCTION("CONCATENATE($B718,(VLOOKUP($C718,CATALOGOS!$F$2:$H$6,3,FALSE)),(VLOOKUP($V718,CATALOGOS!$J$2:$K$18,2,FALSE)),""-"",TO_TEXT($A718))"),"P24SJ-0717")</f>
        <v>P24SJ-0717</v>
      </c>
      <c r="I718" s="6"/>
      <c r="J718" s="6" t="s">
        <v>4958</v>
      </c>
      <c r="K718" s="6" t="s">
        <v>4959</v>
      </c>
      <c r="L718" s="6" t="s">
        <v>4960</v>
      </c>
      <c r="M718" s="6" t="s">
        <v>4961</v>
      </c>
      <c r="N718" s="17"/>
      <c r="O718" s="17"/>
      <c r="P718" s="17" t="str">
        <f t="shared" si="5"/>
        <v>OK</v>
      </c>
      <c r="Q718" s="17" t="s">
        <v>205</v>
      </c>
      <c r="R718" s="6" t="s">
        <v>4962</v>
      </c>
      <c r="S718" s="17" t="s">
        <v>8441</v>
      </c>
      <c r="T718" s="10" t="s">
        <v>4964</v>
      </c>
      <c r="U718" s="173" t="s">
        <v>38</v>
      </c>
      <c r="V718" s="11" t="s">
        <v>4411</v>
      </c>
      <c r="W718" s="22" t="s">
        <v>4935</v>
      </c>
      <c r="X718" s="22" t="s">
        <v>4935</v>
      </c>
      <c r="Y718" s="22"/>
      <c r="Z718" s="7"/>
      <c r="AA718" s="7"/>
      <c r="AB718" s="23"/>
      <c r="AC718" s="26"/>
    </row>
    <row r="719" spans="1:29" ht="15.75" customHeight="1">
      <c r="A719" s="10" t="s">
        <v>4965</v>
      </c>
      <c r="B719" s="10" t="s">
        <v>4410</v>
      </c>
      <c r="C719" s="19" t="s">
        <v>4411</v>
      </c>
      <c r="D719" s="12"/>
      <c r="E719" s="13" t="s">
        <v>93</v>
      </c>
      <c r="F719" s="6" t="s">
        <v>4966</v>
      </c>
      <c r="G719" s="15" t="str">
        <f ca="1">IFERROR(__xludf.DUMMYFUNCTION("CONCATENATE(B719,(VLOOKUP(C719,CATALOGOS!$F$2:$H$6,3,FALSE)),(VLOOKUP(V719,CATALOGOS!$J$2:$K$18,2,FALSE)),""-"",TO_TEXT(A719))"),"P24SJ-0718")</f>
        <v>P24SJ-0718</v>
      </c>
      <c r="H719" s="6" t="str">
        <f ca="1">IFERROR(__xludf.DUMMYFUNCTION("CONCATENATE($B719,(VLOOKUP($C719,CATALOGOS!$F$2:$H$6,3,FALSE)),(VLOOKUP($V719,CATALOGOS!$J$2:$K$18,2,FALSE)),""-"",TO_TEXT($A719))"),"P24SJ-0718")</f>
        <v>P24SJ-0718</v>
      </c>
      <c r="I719" s="6"/>
      <c r="J719" s="6" t="s">
        <v>4967</v>
      </c>
      <c r="K719" s="6" t="s">
        <v>4968</v>
      </c>
      <c r="L719" s="6" t="s">
        <v>4969</v>
      </c>
      <c r="M719" s="43" t="s">
        <v>4970</v>
      </c>
      <c r="N719" s="17"/>
      <c r="O719" s="17"/>
      <c r="P719" s="17" t="str">
        <f t="shared" si="5"/>
        <v>OK</v>
      </c>
      <c r="Q719" s="17" t="s">
        <v>35</v>
      </c>
      <c r="R719" s="6" t="s">
        <v>35</v>
      </c>
      <c r="S719" s="17" t="s">
        <v>36</v>
      </c>
      <c r="T719" s="17" t="s">
        <v>4971</v>
      </c>
      <c r="U719" s="173" t="s">
        <v>38</v>
      </c>
      <c r="V719" s="11" t="s">
        <v>4411</v>
      </c>
      <c r="W719" s="22" t="s">
        <v>4935</v>
      </c>
      <c r="X719" s="22" t="s">
        <v>4935</v>
      </c>
      <c r="Y719" s="22"/>
      <c r="Z719" s="7"/>
      <c r="AA719" s="7"/>
      <c r="AB719" s="23"/>
      <c r="AC719" s="26"/>
    </row>
    <row r="720" spans="1:29" ht="15.75" customHeight="1">
      <c r="A720" s="10" t="s">
        <v>4972</v>
      </c>
      <c r="B720" s="10" t="s">
        <v>4410</v>
      </c>
      <c r="C720" s="19" t="s">
        <v>4411</v>
      </c>
      <c r="D720" s="12"/>
      <c r="E720" s="13" t="s">
        <v>378</v>
      </c>
      <c r="F720" s="6" t="s">
        <v>4973</v>
      </c>
      <c r="G720" s="15" t="str">
        <f ca="1">IFERROR(__xludf.DUMMYFUNCTION("CONCATENATE(B720,(VLOOKUP(C720,CATALOGOS!$F$2:$H$6,3,FALSE)),(VLOOKUP(V720,CATALOGOS!$J$2:$K$18,2,FALSE)),""-"",TO_TEXT(A720))"),"P24CS-0719")</f>
        <v>P24CS-0719</v>
      </c>
      <c r="H720" s="6" t="str">
        <f ca="1">IFERROR(__xludf.DUMMYFUNCTION("CONCATENATE($B720,(VLOOKUP($C720,CATALOGOS!$F$2:$H$6,3,FALSE)),(VLOOKUP($V720,CATALOGOS!$J$2:$K$18,2,FALSE)),""-"",TO_TEXT($A720))"),"P24CS-0719")</f>
        <v>P24CS-0719</v>
      </c>
      <c r="I720" s="6"/>
      <c r="J720" s="6" t="s">
        <v>4974</v>
      </c>
      <c r="K720" s="6" t="s">
        <v>4975</v>
      </c>
      <c r="L720" s="6" t="s">
        <v>4976</v>
      </c>
      <c r="M720" s="6" t="s">
        <v>4977</v>
      </c>
      <c r="N720" s="17"/>
      <c r="O720" s="17"/>
      <c r="P720" s="17" t="str">
        <f t="shared" si="5"/>
        <v>OK</v>
      </c>
      <c r="Q720" s="17" t="s">
        <v>35</v>
      </c>
      <c r="R720" s="6" t="s">
        <v>35</v>
      </c>
      <c r="S720" s="17" t="s">
        <v>36</v>
      </c>
      <c r="T720" s="17" t="s">
        <v>4978</v>
      </c>
      <c r="U720" s="173" t="s">
        <v>38</v>
      </c>
      <c r="V720" s="11" t="s">
        <v>4979</v>
      </c>
      <c r="W720" s="68" t="s">
        <v>4980</v>
      </c>
      <c r="X720" s="68" t="s">
        <v>4980</v>
      </c>
      <c r="Y720" s="68"/>
      <c r="Z720" s="76"/>
      <c r="AA720" s="76"/>
      <c r="AB720" s="23"/>
      <c r="AC720" s="26"/>
    </row>
    <row r="721" spans="1:29" ht="29.25" customHeight="1">
      <c r="A721" s="10" t="s">
        <v>4981</v>
      </c>
      <c r="B721" s="10" t="s">
        <v>4410</v>
      </c>
      <c r="C721" s="19" t="s">
        <v>4411</v>
      </c>
      <c r="D721" s="12"/>
      <c r="E721" s="13" t="s">
        <v>62</v>
      </c>
      <c r="F721" s="6" t="s">
        <v>4982</v>
      </c>
      <c r="G721" s="15" t="str">
        <f ca="1">IFERROR(__xludf.DUMMYFUNCTION("CONCATENATE(B721,(VLOOKUP(C721,CATALOGOS!$F$2:$H$6,3,FALSE)),(VLOOKUP(V721,CATALOGOS!$J$2:$K$18,2,FALSE)),""-"",TO_TEXT(A721))"),"P24SJ-0720")</f>
        <v>P24SJ-0720</v>
      </c>
      <c r="H721" s="6" t="str">
        <f ca="1">IFERROR(__xludf.DUMMYFUNCTION("CONCATENATE($B721,(VLOOKUP($C721,CATALOGOS!$F$2:$H$6,3,FALSE)),(VLOOKUP($V721,CATALOGOS!$J$2:$K$18,2,FALSE)),""-"",TO_TEXT($A721))"),"P24SJ-0720")</f>
        <v>P24SJ-0720</v>
      </c>
      <c r="I721" s="6"/>
      <c r="J721" s="6" t="s">
        <v>4983</v>
      </c>
      <c r="K721" s="6" t="s">
        <v>4984</v>
      </c>
      <c r="L721" s="6" t="s">
        <v>4985</v>
      </c>
      <c r="M721" s="6" t="s">
        <v>4986</v>
      </c>
      <c r="N721" s="17"/>
      <c r="O721" s="17"/>
      <c r="P721" s="17" t="str">
        <f t="shared" si="5"/>
        <v>OK</v>
      </c>
      <c r="Q721" s="17" t="s">
        <v>35</v>
      </c>
      <c r="R721" s="6" t="s">
        <v>35</v>
      </c>
      <c r="S721" s="17" t="s">
        <v>36</v>
      </c>
      <c r="T721" s="17" t="s">
        <v>4987</v>
      </c>
      <c r="U721" s="173" t="s">
        <v>38</v>
      </c>
      <c r="V721" s="11" t="s">
        <v>4411</v>
      </c>
      <c r="W721" s="22" t="s">
        <v>4935</v>
      </c>
      <c r="X721" s="22" t="s">
        <v>4935</v>
      </c>
      <c r="Y721" s="22"/>
      <c r="Z721" s="7"/>
      <c r="AA721" s="7"/>
      <c r="AB721" s="23"/>
      <c r="AC721" s="26"/>
    </row>
    <row r="722" spans="1:29" ht="15.75" customHeight="1">
      <c r="A722" s="10" t="s">
        <v>4988</v>
      </c>
      <c r="B722" s="10" t="s">
        <v>4410</v>
      </c>
      <c r="C722" s="19" t="s">
        <v>28</v>
      </c>
      <c r="D722" s="12"/>
      <c r="E722" s="13" t="s">
        <v>184</v>
      </c>
      <c r="F722" s="6" t="s">
        <v>4989</v>
      </c>
      <c r="G722" s="64" t="str">
        <f ca="1">IFERROR(__xludf.DUMMYFUNCTION("CONCATENATE(B722,(VLOOKUP(C722,CATALOGOS!$F$2:$H$6,3,FALSE)),(VLOOKUP(V722,CATALOGOS!$J$2:$K$18,2,FALSE)),""-"",TO_TEXT(A722))"),"P25RM-0721")</f>
        <v>P25RM-0721</v>
      </c>
      <c r="H722" s="6" t="str">
        <f ca="1">IFERROR(__xludf.DUMMYFUNCTION("CONCATENATE($B722,(VLOOKUP($C722,CATALOGOS!$F$2:$H$6,3,FALSE)),(VLOOKUP($V722,CATALOGOS!$J$2:$K$18,2,FALSE)),""-"",TO_TEXT($A722))"),"P25RM-0721")</f>
        <v>P25RM-0721</v>
      </c>
      <c r="I722" s="6"/>
      <c r="J722" s="6" t="s">
        <v>4990</v>
      </c>
      <c r="K722" s="6" t="s">
        <v>4991</v>
      </c>
      <c r="L722" s="6" t="s">
        <v>4992</v>
      </c>
      <c r="M722" s="43" t="s">
        <v>4993</v>
      </c>
      <c r="N722" s="17"/>
      <c r="O722" s="17"/>
      <c r="P722" s="17" t="str">
        <f t="shared" si="5"/>
        <v>OK</v>
      </c>
      <c r="Q722" s="17" t="s">
        <v>35</v>
      </c>
      <c r="R722" s="6" t="s">
        <v>35</v>
      </c>
      <c r="S722" s="17" t="s">
        <v>36</v>
      </c>
      <c r="T722" s="17" t="s">
        <v>4994</v>
      </c>
      <c r="U722" s="173" t="s">
        <v>38</v>
      </c>
      <c r="V722" s="11" t="s">
        <v>147</v>
      </c>
      <c r="W722" s="20" t="s">
        <v>483</v>
      </c>
      <c r="X722" s="20" t="s">
        <v>484</v>
      </c>
      <c r="Y722" s="20"/>
      <c r="Z722" s="7"/>
      <c r="AA722" s="7"/>
      <c r="AB722" s="23"/>
      <c r="AC722" s="26"/>
    </row>
    <row r="723" spans="1:29" ht="15.75" customHeight="1">
      <c r="A723" s="10" t="s">
        <v>4995</v>
      </c>
      <c r="B723" s="10" t="s">
        <v>4410</v>
      </c>
      <c r="C723" s="19" t="s">
        <v>28</v>
      </c>
      <c r="D723" s="12"/>
      <c r="E723" s="13" t="s">
        <v>184</v>
      </c>
      <c r="F723" s="6" t="s">
        <v>4989</v>
      </c>
      <c r="G723" s="64" t="str">
        <f ca="1">IFERROR(__xludf.DUMMYFUNCTION("CONCATENATE(B723,(VLOOKUP(C723,CATALOGOS!$F$2:$H$6,3,FALSE)),(VLOOKUP(V723,CATALOGOS!$J$2:$K$18,2,FALSE)),""-"",TO_TEXT(A723))"),"P25RM-0722")</f>
        <v>P25RM-0722</v>
      </c>
      <c r="H723" s="6" t="str">
        <f ca="1">IFERROR(__xludf.DUMMYFUNCTION("CONCATENATE($B723,(VLOOKUP($C723,CATALOGOS!$F$2:$H$6,3,FALSE)),(VLOOKUP($V723,CATALOGOS!$J$2:$K$18,2,FALSE)),""-"",TO_TEXT($A723))"),"P25RM-0722")</f>
        <v>P25RM-0722</v>
      </c>
      <c r="I723" s="6"/>
      <c r="J723" s="6" t="s">
        <v>4996</v>
      </c>
      <c r="K723" s="6" t="s">
        <v>4997</v>
      </c>
      <c r="L723" s="6" t="s">
        <v>4998</v>
      </c>
      <c r="M723" s="43" t="s">
        <v>4999</v>
      </c>
      <c r="N723" s="17"/>
      <c r="O723" s="17"/>
      <c r="P723" s="17" t="str">
        <f t="shared" si="5"/>
        <v>OK</v>
      </c>
      <c r="Q723" s="17" t="s">
        <v>35</v>
      </c>
      <c r="R723" s="6" t="s">
        <v>35</v>
      </c>
      <c r="S723" s="17" t="s">
        <v>36</v>
      </c>
      <c r="T723" s="17" t="s">
        <v>5000</v>
      </c>
      <c r="U723" s="173" t="s">
        <v>38</v>
      </c>
      <c r="V723" s="11" t="s">
        <v>147</v>
      </c>
      <c r="W723" s="20" t="s">
        <v>483</v>
      </c>
      <c r="X723" s="20" t="s">
        <v>484</v>
      </c>
      <c r="Y723" s="20"/>
      <c r="Z723" s="7"/>
      <c r="AA723" s="7"/>
      <c r="AB723" s="23"/>
      <c r="AC723" s="26"/>
    </row>
    <row r="724" spans="1:29" ht="15.75" customHeight="1">
      <c r="A724" s="10" t="s">
        <v>5001</v>
      </c>
      <c r="B724" s="10" t="s">
        <v>4410</v>
      </c>
      <c r="C724" s="19" t="s">
        <v>4411</v>
      </c>
      <c r="D724" s="12"/>
      <c r="E724" s="13" t="s">
        <v>93</v>
      </c>
      <c r="F724" s="6" t="s">
        <v>1380</v>
      </c>
      <c r="G724" s="15" t="str">
        <f ca="1">IFERROR(__xludf.DUMMYFUNCTION("CONCATENATE(B724,(VLOOKUP(C724,CATALOGOS!$F$2:$H$6,3,FALSE)),(VLOOKUP(V724,CATALOGOS!$J$2:$K$18,2,FALSE)),""-"",TO_TEXT(A724))"),"P24SJ-0723")</f>
        <v>P24SJ-0723</v>
      </c>
      <c r="H724" s="6" t="str">
        <f ca="1">IFERROR(__xludf.DUMMYFUNCTION("CONCATENATE($B724,(VLOOKUP($C724,CATALOGOS!$F$2:$H$6,3,FALSE)),(VLOOKUP($V724,CATALOGOS!$J$2:$K$18,2,FALSE)),""-"",TO_TEXT($A724))"),"P24SJ-0723")</f>
        <v>P24SJ-0723</v>
      </c>
      <c r="I724" s="6"/>
      <c r="J724" s="6" t="s">
        <v>5002</v>
      </c>
      <c r="K724" s="54"/>
      <c r="L724" s="6" t="s">
        <v>5003</v>
      </c>
      <c r="M724" s="6" t="s">
        <v>5004</v>
      </c>
      <c r="N724" s="17"/>
      <c r="O724" s="17"/>
      <c r="P724" s="17" t="str">
        <f t="shared" si="5"/>
        <v>OK</v>
      </c>
      <c r="Q724" s="17" t="s">
        <v>35</v>
      </c>
      <c r="R724" s="6" t="s">
        <v>35</v>
      </c>
      <c r="S724" s="17" t="s">
        <v>36</v>
      </c>
      <c r="T724" s="17" t="s">
        <v>5005</v>
      </c>
      <c r="U724" s="173" t="s">
        <v>38</v>
      </c>
      <c r="V724" s="11" t="s">
        <v>4411</v>
      </c>
      <c r="W724" s="22" t="s">
        <v>4935</v>
      </c>
      <c r="X724" s="22" t="s">
        <v>4935</v>
      </c>
      <c r="Y724" s="22"/>
      <c r="Z724" s="7"/>
      <c r="AA724" s="7"/>
      <c r="AB724" s="23"/>
      <c r="AC724" s="26"/>
    </row>
    <row r="725" spans="1:29" ht="15.75" customHeight="1">
      <c r="A725" s="10" t="s">
        <v>5006</v>
      </c>
      <c r="B725" s="10" t="s">
        <v>4410</v>
      </c>
      <c r="C725" s="19" t="s">
        <v>4411</v>
      </c>
      <c r="D725" s="12"/>
      <c r="E725" s="13" t="s">
        <v>29</v>
      </c>
      <c r="F725" s="43" t="s">
        <v>29</v>
      </c>
      <c r="G725" s="15" t="str">
        <f ca="1">IFERROR(__xludf.DUMMYFUNCTION("CONCATENATE(B725,(VLOOKUP(C725,CATALOGOS!$F$2:$H$6,3,FALSE)),(VLOOKUP(V725,CATALOGOS!$J$2:$K$18,2,FALSE)),""-"",TO_TEXT(A725))"),"P24SJ-0724")</f>
        <v>P24SJ-0724</v>
      </c>
      <c r="H725" s="6" t="str">
        <f ca="1">IFERROR(__xludf.DUMMYFUNCTION("CONCATENATE($B725,(VLOOKUP($C725,CATALOGOS!$F$2:$H$6,3,FALSE)),(VLOOKUP($V725,CATALOGOS!$J$2:$K$18,2,FALSE)),""-"",TO_TEXT($A725))"),"P24SJ-0724")</f>
        <v>P24SJ-0724</v>
      </c>
      <c r="I725" s="6"/>
      <c r="J725" s="6" t="s">
        <v>5007</v>
      </c>
      <c r="K725" s="54"/>
      <c r="L725" s="6" t="s">
        <v>5008</v>
      </c>
      <c r="M725" s="6" t="s">
        <v>5009</v>
      </c>
      <c r="N725" s="17"/>
      <c r="O725" s="17"/>
      <c r="P725" s="17" t="str">
        <f t="shared" si="5"/>
        <v>OK</v>
      </c>
      <c r="Q725" s="17" t="s">
        <v>35</v>
      </c>
      <c r="R725" s="6" t="s">
        <v>35</v>
      </c>
      <c r="S725" s="17" t="s">
        <v>36</v>
      </c>
      <c r="T725" s="17" t="s">
        <v>85</v>
      </c>
      <c r="U725" s="173" t="s">
        <v>38</v>
      </c>
      <c r="V725" s="11" t="s">
        <v>4411</v>
      </c>
      <c r="W725" s="22" t="s">
        <v>4935</v>
      </c>
      <c r="X725" s="22" t="s">
        <v>4935</v>
      </c>
      <c r="Y725" s="22"/>
      <c r="Z725" s="7"/>
      <c r="AA725" s="7"/>
      <c r="AB725" s="23"/>
      <c r="AC725" s="26"/>
    </row>
    <row r="726" spans="1:29" ht="29.25" customHeight="1">
      <c r="A726" s="10" t="s">
        <v>5010</v>
      </c>
      <c r="B726" s="10" t="s">
        <v>4410</v>
      </c>
      <c r="C726" s="19" t="s">
        <v>4411</v>
      </c>
      <c r="D726" s="12"/>
      <c r="E726" s="13" t="s">
        <v>116</v>
      </c>
      <c r="F726" s="6" t="s">
        <v>5011</v>
      </c>
      <c r="G726" s="15" t="str">
        <f ca="1">IFERROR(__xludf.DUMMYFUNCTION("CONCATENATE(B726,(VLOOKUP(C726,CATALOGOS!$F$2:$H$6,3,FALSE)),(VLOOKUP(V726,CATALOGOS!$J$2:$K$18,2,FALSE)),""-"",TO_TEXT(A726))"),"P24SJ-0725")</f>
        <v>P24SJ-0725</v>
      </c>
      <c r="H726" s="6" t="str">
        <f ca="1">IFERROR(__xludf.DUMMYFUNCTION("CONCATENATE($B726,(VLOOKUP($C726,CATALOGOS!$F$2:$H$6,3,FALSE)),(VLOOKUP($V726,CATALOGOS!$J$2:$K$18,2,FALSE)),""-"",TO_TEXT($A726))"),"P24SJ-0725")</f>
        <v>P24SJ-0725</v>
      </c>
      <c r="I726" s="6"/>
      <c r="J726" s="6" t="s">
        <v>5012</v>
      </c>
      <c r="K726" s="6" t="s">
        <v>5013</v>
      </c>
      <c r="L726" s="6" t="s">
        <v>5014</v>
      </c>
      <c r="M726" s="6" t="s">
        <v>5015</v>
      </c>
      <c r="N726" s="17"/>
      <c r="O726" s="17"/>
      <c r="P726" s="17" t="str">
        <f t="shared" si="5"/>
        <v>OK</v>
      </c>
      <c r="Q726" s="17" t="s">
        <v>35</v>
      </c>
      <c r="R726" s="6" t="s">
        <v>35</v>
      </c>
      <c r="S726" s="17" t="s">
        <v>36</v>
      </c>
      <c r="T726" s="17" t="s">
        <v>5016</v>
      </c>
      <c r="U726" s="173" t="s">
        <v>38</v>
      </c>
      <c r="V726" s="11" t="s">
        <v>4411</v>
      </c>
      <c r="W726" s="22" t="s">
        <v>4935</v>
      </c>
      <c r="X726" s="22" t="s">
        <v>4935</v>
      </c>
      <c r="Y726" s="22"/>
      <c r="Z726" s="7"/>
      <c r="AA726" s="7"/>
      <c r="AB726" s="23"/>
      <c r="AC726" s="26"/>
    </row>
    <row r="727" spans="1:29" ht="15.75" customHeight="1">
      <c r="A727" s="10" t="s">
        <v>5017</v>
      </c>
      <c r="B727" s="10" t="s">
        <v>4410</v>
      </c>
      <c r="C727" s="19" t="s">
        <v>4411</v>
      </c>
      <c r="D727" s="12"/>
      <c r="E727" s="13" t="s">
        <v>116</v>
      </c>
      <c r="F727" s="6" t="s">
        <v>4153</v>
      </c>
      <c r="G727" s="15" t="str">
        <f ca="1">IFERROR(__xludf.DUMMYFUNCTION("CONCATENATE(B727,(VLOOKUP(C727,CATALOGOS!$F$2:$H$6,3,FALSE)),(VLOOKUP(V727,CATALOGOS!$J$2:$K$18,2,FALSE)),""-"",TO_TEXT(A727))"),"P24SJ-0726")</f>
        <v>P24SJ-0726</v>
      </c>
      <c r="H727" s="6" t="str">
        <f ca="1">IFERROR(__xludf.DUMMYFUNCTION("CONCATENATE($B727,(VLOOKUP($C727,CATALOGOS!$F$2:$H$6,3,FALSE)),(VLOOKUP($V727,CATALOGOS!$J$2:$K$18,2,FALSE)),""-"",TO_TEXT($A727))"),"P24SJ-0726")</f>
        <v>P24SJ-0726</v>
      </c>
      <c r="I727" s="6"/>
      <c r="J727" s="6" t="s">
        <v>5018</v>
      </c>
      <c r="K727" s="6" t="s">
        <v>5019</v>
      </c>
      <c r="L727" s="6" t="s">
        <v>5020</v>
      </c>
      <c r="M727" s="6" t="s">
        <v>5021</v>
      </c>
      <c r="N727" s="17"/>
      <c r="O727" s="17"/>
      <c r="P727" s="17" t="str">
        <f t="shared" si="5"/>
        <v>OK</v>
      </c>
      <c r="Q727" s="17" t="s">
        <v>35</v>
      </c>
      <c r="R727" s="6" t="s">
        <v>35</v>
      </c>
      <c r="S727" s="17" t="s">
        <v>36</v>
      </c>
      <c r="T727" s="17" t="s">
        <v>5022</v>
      </c>
      <c r="U727" s="173" t="s">
        <v>38</v>
      </c>
      <c r="V727" s="11" t="s">
        <v>4411</v>
      </c>
      <c r="W727" s="22" t="s">
        <v>4935</v>
      </c>
      <c r="X727" s="22" t="s">
        <v>4935</v>
      </c>
      <c r="Y727" s="22"/>
      <c r="Z727" s="6"/>
      <c r="AA727" s="6"/>
      <c r="AB727" s="23"/>
      <c r="AC727" s="33"/>
    </row>
    <row r="728" spans="1:29" ht="15.75" customHeight="1">
      <c r="A728" s="10" t="s">
        <v>5023</v>
      </c>
      <c r="B728" s="10" t="s">
        <v>4410</v>
      </c>
      <c r="C728" s="19" t="s">
        <v>4411</v>
      </c>
      <c r="D728" s="12"/>
      <c r="E728" s="13" t="s">
        <v>162</v>
      </c>
      <c r="F728" s="43" t="s">
        <v>285</v>
      </c>
      <c r="G728" s="15" t="str">
        <f ca="1">IFERROR(__xludf.DUMMYFUNCTION("CONCATENATE(B728,(VLOOKUP(C728,CATALOGOS!$F$2:$H$6,3,FALSE)),(VLOOKUP(V728,CATALOGOS!$J$2:$K$18,2,FALSE)),""-"",TO_TEXT(A728))"),"P24SJ-0727")</f>
        <v>P24SJ-0727</v>
      </c>
      <c r="H728" s="6" t="str">
        <f ca="1">IFERROR(__xludf.DUMMYFUNCTION("CONCATENATE($B728,(VLOOKUP($C728,CATALOGOS!$F$2:$H$6,3,FALSE)),(VLOOKUP($V728,CATALOGOS!$J$2:$K$18,2,FALSE)),""-"",TO_TEXT($A728))"),"P24SJ-0727")</f>
        <v>P24SJ-0727</v>
      </c>
      <c r="I728" s="6"/>
      <c r="J728" s="6" t="s">
        <v>5024</v>
      </c>
      <c r="K728" s="6" t="s">
        <v>5025</v>
      </c>
      <c r="L728" s="6" t="s">
        <v>5026</v>
      </c>
      <c r="M728" s="6" t="s">
        <v>5027</v>
      </c>
      <c r="N728" s="17"/>
      <c r="O728" s="17"/>
      <c r="P728" s="17" t="str">
        <f t="shared" si="5"/>
        <v>OK</v>
      </c>
      <c r="Q728" s="17" t="s">
        <v>663</v>
      </c>
      <c r="R728" s="6" t="s">
        <v>664</v>
      </c>
      <c r="S728" s="17" t="s">
        <v>5028</v>
      </c>
      <c r="T728" s="17" t="s">
        <v>5029</v>
      </c>
      <c r="U728" s="173" t="s">
        <v>38</v>
      </c>
      <c r="V728" s="11" t="s">
        <v>4411</v>
      </c>
      <c r="W728" s="22" t="s">
        <v>4935</v>
      </c>
      <c r="X728" s="22" t="s">
        <v>4935</v>
      </c>
      <c r="Y728" s="22"/>
      <c r="Z728" s="7"/>
      <c r="AA728" s="7"/>
      <c r="AB728" s="23"/>
      <c r="AC728" s="26"/>
    </row>
    <row r="729" spans="1:29" ht="15.75" customHeight="1">
      <c r="A729" s="10" t="s">
        <v>5030</v>
      </c>
      <c r="B729" s="10" t="s">
        <v>4410</v>
      </c>
      <c r="C729" s="19" t="s">
        <v>4411</v>
      </c>
      <c r="D729" s="12"/>
      <c r="E729" s="13" t="s">
        <v>151</v>
      </c>
      <c r="F729" s="6" t="s">
        <v>5031</v>
      </c>
      <c r="G729" s="15" t="str">
        <f ca="1">IFERROR(__xludf.DUMMYFUNCTION("CONCATENATE(B729,(VLOOKUP(C729,CATALOGOS!$F$2:$H$6,3,FALSE)),(VLOOKUP(V729,CATALOGOS!$J$2:$K$18,2,FALSE)),""-"",TO_TEXT(A729))"),"P24SJ-0728")</f>
        <v>P24SJ-0728</v>
      </c>
      <c r="H729" s="6" t="str">
        <f ca="1">IFERROR(__xludf.DUMMYFUNCTION("CONCATENATE($B729,(VLOOKUP($C729,CATALOGOS!$F$2:$H$6,3,FALSE)),(VLOOKUP($V729,CATALOGOS!$J$2:$K$18,2,FALSE)),""-"",TO_TEXT($A729))"),"P24SJ-0728")</f>
        <v>P24SJ-0728</v>
      </c>
      <c r="I729" s="6"/>
      <c r="J729" s="6" t="s">
        <v>5032</v>
      </c>
      <c r="K729" s="6" t="s">
        <v>5033</v>
      </c>
      <c r="L729" s="6" t="s">
        <v>5034</v>
      </c>
      <c r="M729" s="6" t="s">
        <v>5035</v>
      </c>
      <c r="N729" s="17"/>
      <c r="O729" s="17"/>
      <c r="P729" s="17" t="str">
        <f t="shared" si="5"/>
        <v>OK</v>
      </c>
      <c r="Q729" s="17" t="s">
        <v>5036</v>
      </c>
      <c r="R729" s="6" t="s">
        <v>5037</v>
      </c>
      <c r="S729" s="17" t="s">
        <v>5038</v>
      </c>
      <c r="T729" s="10" t="s">
        <v>5039</v>
      </c>
      <c r="U729" s="173" t="s">
        <v>38</v>
      </c>
      <c r="V729" s="11" t="s">
        <v>4411</v>
      </c>
      <c r="W729" s="22" t="s">
        <v>4935</v>
      </c>
      <c r="X729" s="22" t="s">
        <v>4935</v>
      </c>
      <c r="Y729" s="22"/>
      <c r="Z729" s="7"/>
      <c r="AA729" s="7"/>
      <c r="AB729" s="23"/>
      <c r="AC729" s="26"/>
    </row>
    <row r="730" spans="1:29" ht="15.75" customHeight="1">
      <c r="A730" s="10" t="s">
        <v>5042</v>
      </c>
      <c r="B730" s="10" t="s">
        <v>4410</v>
      </c>
      <c r="C730" s="19" t="s">
        <v>4411</v>
      </c>
      <c r="D730" s="12"/>
      <c r="E730" s="13" t="s">
        <v>199</v>
      </c>
      <c r="F730" s="6" t="s">
        <v>199</v>
      </c>
      <c r="G730" s="15" t="str">
        <f ca="1">IFERROR(__xludf.DUMMYFUNCTION("CONCATENATE(B730,(VLOOKUP(C730,CATALOGOS!$F$2:$H$6,3,FALSE)),(VLOOKUP(V730,CATALOGOS!$J$2:$K$18,2,FALSE)),""-"",TO_TEXT(A730))"),"P24SJ-0729")</f>
        <v>P24SJ-0729</v>
      </c>
      <c r="H730" s="6" t="str">
        <f ca="1">IFERROR(__xludf.DUMMYFUNCTION("CONCATENATE($B730,(VLOOKUP($C730,CATALOGOS!$F$2:$H$6,3,FALSE)),(VLOOKUP($V730,CATALOGOS!$J$2:$K$18,2,FALSE)),""-"",TO_TEXT($A730))"),"P24SJ-0729")</f>
        <v>P24SJ-0729</v>
      </c>
      <c r="I730" s="6"/>
      <c r="J730" s="6" t="s">
        <v>5043</v>
      </c>
      <c r="K730" s="6" t="s">
        <v>5044</v>
      </c>
      <c r="L730" s="6" t="s">
        <v>5045</v>
      </c>
      <c r="M730" s="6" t="s">
        <v>5046</v>
      </c>
      <c r="N730" s="17"/>
      <c r="O730" s="17"/>
      <c r="P730" s="17" t="str">
        <f t="shared" si="5"/>
        <v>OK</v>
      </c>
      <c r="Q730" s="17" t="s">
        <v>205</v>
      </c>
      <c r="R730" s="6" t="s">
        <v>5047</v>
      </c>
      <c r="S730" s="17" t="s">
        <v>5048</v>
      </c>
      <c r="T730" s="17" t="s">
        <v>5049</v>
      </c>
      <c r="U730" s="173" t="s">
        <v>38</v>
      </c>
      <c r="V730" s="11" t="s">
        <v>4411</v>
      </c>
      <c r="W730" s="22" t="s">
        <v>4935</v>
      </c>
      <c r="X730" s="22" t="s">
        <v>4935</v>
      </c>
      <c r="Y730" s="22"/>
      <c r="Z730" s="7"/>
      <c r="AA730" s="7"/>
      <c r="AB730" s="23"/>
      <c r="AC730" s="26"/>
    </row>
    <row r="731" spans="1:29" ht="15.75" customHeight="1">
      <c r="A731" s="10" t="s">
        <v>5050</v>
      </c>
      <c r="B731" s="10" t="s">
        <v>4410</v>
      </c>
      <c r="C731" s="19" t="s">
        <v>4411</v>
      </c>
      <c r="D731" s="12"/>
      <c r="E731" s="13" t="s">
        <v>210</v>
      </c>
      <c r="F731" s="43" t="s">
        <v>5051</v>
      </c>
      <c r="G731" s="15" t="str">
        <f ca="1">IFERROR(__xludf.DUMMYFUNCTION("CONCATENATE(B731,(VLOOKUP(C731,CATALOGOS!$F$2:$H$6,3,FALSE)),(VLOOKUP(V731,CATALOGOS!$J$2:$K$18,2,FALSE)),""-"",TO_TEXT(A731))"),"P24SJ-0730")</f>
        <v>P24SJ-0730</v>
      </c>
      <c r="H731" s="6" t="str">
        <f ca="1">IFERROR(__xludf.DUMMYFUNCTION("CONCATENATE($B731,(VLOOKUP($C731,CATALOGOS!$F$2:$H$6,3,FALSE)),(VLOOKUP($V731,CATALOGOS!$J$2:$K$18,2,FALSE)),""-"",TO_TEXT($A731))"),"P24SJ-0730")</f>
        <v>P24SJ-0730</v>
      </c>
      <c r="I731" s="6"/>
      <c r="J731" s="6" t="s">
        <v>5052</v>
      </c>
      <c r="K731" s="6" t="s">
        <v>5053</v>
      </c>
      <c r="L731" s="6" t="s">
        <v>5054</v>
      </c>
      <c r="M731" s="6" t="s">
        <v>5055</v>
      </c>
      <c r="N731" s="17"/>
      <c r="O731" s="17"/>
      <c r="P731" s="17" t="str">
        <f t="shared" si="5"/>
        <v>OK</v>
      </c>
      <c r="Q731" s="17" t="s">
        <v>216</v>
      </c>
      <c r="R731" s="6" t="s">
        <v>5056</v>
      </c>
      <c r="S731" s="17" t="s">
        <v>5057</v>
      </c>
      <c r="T731" s="10" t="s">
        <v>5058</v>
      </c>
      <c r="U731" s="173" t="s">
        <v>38</v>
      </c>
      <c r="V731" s="11" t="s">
        <v>4411</v>
      </c>
      <c r="W731" s="22" t="s">
        <v>4935</v>
      </c>
      <c r="X731" s="22" t="s">
        <v>4935</v>
      </c>
      <c r="Y731" s="22"/>
      <c r="Z731" s="7"/>
      <c r="AA731" s="7"/>
      <c r="AB731" s="23"/>
      <c r="AC731" s="26"/>
    </row>
    <row r="732" spans="1:29" ht="15.75" customHeight="1">
      <c r="A732" s="10" t="s">
        <v>5059</v>
      </c>
      <c r="B732" s="10" t="s">
        <v>4410</v>
      </c>
      <c r="C732" s="19" t="s">
        <v>4411</v>
      </c>
      <c r="D732" s="12"/>
      <c r="E732" s="13" t="s">
        <v>248</v>
      </c>
      <c r="F732" s="43" t="s">
        <v>248</v>
      </c>
      <c r="G732" s="15" t="str">
        <f ca="1">IFERROR(__xludf.DUMMYFUNCTION("CONCATENATE(B732,(VLOOKUP(C732,CATALOGOS!$F$2:$H$6,3,FALSE)),(VLOOKUP(V732,CATALOGOS!$J$2:$K$18,2,FALSE)),""-"",TO_TEXT(A732))"),"P24SJ-0731")</f>
        <v>P24SJ-0731</v>
      </c>
      <c r="H732" s="6" t="str">
        <f ca="1">IFERROR(__xludf.DUMMYFUNCTION("CONCATENATE($B732,(VLOOKUP($C732,CATALOGOS!$F$2:$H$6,3,FALSE)),(VLOOKUP($V732,CATALOGOS!$J$2:$K$18,2,FALSE)),""-"",TO_TEXT($A732))"),"P24SJ-0731")</f>
        <v>P24SJ-0731</v>
      </c>
      <c r="I732" s="6"/>
      <c r="J732" s="6" t="s">
        <v>5060</v>
      </c>
      <c r="K732" s="6" t="s">
        <v>5061</v>
      </c>
      <c r="L732" s="6" t="s">
        <v>5062</v>
      </c>
      <c r="M732" s="6" t="s">
        <v>5063</v>
      </c>
      <c r="N732" s="17"/>
      <c r="O732" s="17"/>
      <c r="P732" s="17" t="str">
        <f t="shared" si="5"/>
        <v>OK</v>
      </c>
      <c r="Q732" s="17" t="s">
        <v>978</v>
      </c>
      <c r="R732" s="6" t="s">
        <v>979</v>
      </c>
      <c r="S732" s="17" t="s">
        <v>5064</v>
      </c>
      <c r="T732" s="17" t="s">
        <v>5065</v>
      </c>
      <c r="U732" s="173" t="s">
        <v>38</v>
      </c>
      <c r="V732" s="11" t="s">
        <v>4411</v>
      </c>
      <c r="W732" s="22" t="s">
        <v>4935</v>
      </c>
      <c r="X732" s="22" t="s">
        <v>4935</v>
      </c>
      <c r="Y732" s="22"/>
      <c r="Z732" s="7"/>
      <c r="AA732" s="7"/>
      <c r="AB732" s="23"/>
      <c r="AC732" s="26"/>
    </row>
    <row r="733" spans="1:29" ht="15.75" customHeight="1">
      <c r="A733" s="10" t="s">
        <v>5066</v>
      </c>
      <c r="B733" s="10" t="s">
        <v>4410</v>
      </c>
      <c r="C733" s="19" t="s">
        <v>4411</v>
      </c>
      <c r="D733" s="38"/>
      <c r="E733" s="13" t="s">
        <v>184</v>
      </c>
      <c r="F733" s="43" t="s">
        <v>927</v>
      </c>
      <c r="G733" s="64" t="str">
        <f ca="1">IFERROR(__xludf.DUMMYFUNCTION("CONCATENATE(B733,(VLOOKUP(C733,CATALOGOS!$F$2:$H$6,3,FALSE)),(VLOOKUP(V733,CATALOGOS!$J$2:$K$18,2,FALSE)),""-"",TO_TEXT(A733))"),"P24SJ-0732")</f>
        <v>P24SJ-0732</v>
      </c>
      <c r="H733" s="6" t="str">
        <f ca="1">IFERROR(__xludf.DUMMYFUNCTION("CONCATENATE($B733,(VLOOKUP($C733,CATALOGOS!$F$2:$H$6,3,FALSE)),(VLOOKUP($V733,CATALOGOS!$J$2:$K$18,2,FALSE)),""-"",TO_TEXT($A733))"),"P24SJ-0732")</f>
        <v>P24SJ-0732</v>
      </c>
      <c r="I733" s="6"/>
      <c r="J733" s="6" t="s">
        <v>5067</v>
      </c>
      <c r="K733" s="6" t="s">
        <v>5068</v>
      </c>
      <c r="L733" s="6" t="s">
        <v>5069</v>
      </c>
      <c r="M733" s="43" t="s">
        <v>5070</v>
      </c>
      <c r="N733" s="17"/>
      <c r="O733" s="17"/>
      <c r="P733" s="17" t="str">
        <f t="shared" si="5"/>
        <v>OK</v>
      </c>
      <c r="Q733" s="17" t="s">
        <v>35</v>
      </c>
      <c r="R733" s="6" t="s">
        <v>35</v>
      </c>
      <c r="S733" s="46" t="s">
        <v>36</v>
      </c>
      <c r="T733" s="17" t="s">
        <v>5071</v>
      </c>
      <c r="U733" s="173" t="s">
        <v>549</v>
      </c>
      <c r="V733" s="11" t="s">
        <v>4411</v>
      </c>
      <c r="W733" s="22" t="s">
        <v>4935</v>
      </c>
      <c r="X733" s="22" t="s">
        <v>4935</v>
      </c>
      <c r="Y733" s="20" t="s">
        <v>4927</v>
      </c>
      <c r="Z733" s="6"/>
      <c r="AA733" s="6" t="s">
        <v>440</v>
      </c>
      <c r="AB733" s="20" t="s">
        <v>5072</v>
      </c>
      <c r="AC733" s="26"/>
    </row>
    <row r="734" spans="1:29" ht="15.75" customHeight="1">
      <c r="A734" s="10" t="s">
        <v>5073</v>
      </c>
      <c r="B734" s="10" t="s">
        <v>4410</v>
      </c>
      <c r="C734" s="19" t="s">
        <v>4411</v>
      </c>
      <c r="D734" s="12"/>
      <c r="E734" s="13" t="s">
        <v>93</v>
      </c>
      <c r="F734" s="6" t="s">
        <v>3710</v>
      </c>
      <c r="G734" s="15" t="str">
        <f ca="1">IFERROR(__xludf.DUMMYFUNCTION("CONCATENATE(B734,(VLOOKUP(C734,CATALOGOS!$F$2:$H$6,3,FALSE)),(VLOOKUP(V734,CATALOGOS!$J$2:$K$18,2,FALSE)),""-"",TO_TEXT(A734))"),"P24SJ-0733")</f>
        <v>P24SJ-0733</v>
      </c>
      <c r="H734" s="6" t="str">
        <f ca="1">IFERROR(__xludf.DUMMYFUNCTION("CONCATENATE($B734,(VLOOKUP($C734,CATALOGOS!$F$2:$H$6,3,FALSE)),(VLOOKUP($V734,CATALOGOS!$J$2:$K$18,2,FALSE)),""-"",TO_TEXT($A734))"),"P24SJ-0733")</f>
        <v>P24SJ-0733</v>
      </c>
      <c r="I734" s="6"/>
      <c r="J734" s="6" t="s">
        <v>5074</v>
      </c>
      <c r="K734" s="6" t="s">
        <v>5075</v>
      </c>
      <c r="L734" s="6" t="s">
        <v>5076</v>
      </c>
      <c r="M734" s="6" t="s">
        <v>5077</v>
      </c>
      <c r="N734" s="17"/>
      <c r="O734" s="17"/>
      <c r="P734" s="17" t="str">
        <f t="shared" si="5"/>
        <v>OK</v>
      </c>
      <c r="Q734" s="17" t="s">
        <v>35</v>
      </c>
      <c r="R734" s="6" t="s">
        <v>35</v>
      </c>
      <c r="S734" s="17" t="s">
        <v>36</v>
      </c>
      <c r="T734" s="17" t="s">
        <v>5078</v>
      </c>
      <c r="U734" s="173" t="s">
        <v>38</v>
      </c>
      <c r="V734" s="11" t="s">
        <v>4411</v>
      </c>
      <c r="W734" s="22" t="s">
        <v>5079</v>
      </c>
      <c r="X734" s="22" t="s">
        <v>5079</v>
      </c>
      <c r="Y734" s="20" t="s">
        <v>5080</v>
      </c>
      <c r="Z734" s="6"/>
      <c r="AA734" s="6"/>
      <c r="AB734" s="23"/>
      <c r="AC734" s="33"/>
    </row>
    <row r="735" spans="1:29" ht="36.75" customHeight="1">
      <c r="A735" s="10" t="s">
        <v>5081</v>
      </c>
      <c r="B735" s="10" t="s">
        <v>4410</v>
      </c>
      <c r="C735" s="19" t="s">
        <v>4411</v>
      </c>
      <c r="D735" s="12"/>
      <c r="E735" s="13" t="s">
        <v>466</v>
      </c>
      <c r="F735" s="6" t="s">
        <v>5082</v>
      </c>
      <c r="G735" s="15" t="str">
        <f ca="1">IFERROR(__xludf.DUMMYFUNCTION("CONCATENATE(B735,(VLOOKUP(C735,CATALOGOS!$F$2:$H$6,3,FALSE)),(VLOOKUP(V735,CATALOGOS!$J$2:$K$18,2,FALSE)),""-"",TO_TEXT(A735))"),"P24SJ-0734")</f>
        <v>P24SJ-0734</v>
      </c>
      <c r="H735" s="6" t="str">
        <f ca="1">IFERROR(__xludf.DUMMYFUNCTION("CONCATENATE($B735,(VLOOKUP($C735,CATALOGOS!$F$2:$H$6,3,FALSE)),(VLOOKUP($V735,CATALOGOS!$J$2:$K$18,2,FALSE)),""-"",TO_TEXT($A735))"),"P24SJ-0734")</f>
        <v>P24SJ-0734</v>
      </c>
      <c r="I735" s="6"/>
      <c r="J735" s="6" t="s">
        <v>5083</v>
      </c>
      <c r="K735" s="6" t="s">
        <v>5084</v>
      </c>
      <c r="L735" s="6" t="s">
        <v>5085</v>
      </c>
      <c r="M735" s="6" t="s">
        <v>5086</v>
      </c>
      <c r="N735" s="17"/>
      <c r="O735" s="17"/>
      <c r="P735" s="17" t="str">
        <f t="shared" si="5"/>
        <v>OK</v>
      </c>
      <c r="Q735" s="17" t="s">
        <v>35</v>
      </c>
      <c r="R735" s="6" t="s">
        <v>35</v>
      </c>
      <c r="S735" s="17" t="s">
        <v>36</v>
      </c>
      <c r="T735" s="17" t="s">
        <v>5087</v>
      </c>
      <c r="U735" s="173" t="s">
        <v>38</v>
      </c>
      <c r="V735" s="11" t="s">
        <v>4411</v>
      </c>
      <c r="W735" s="22" t="s">
        <v>5079</v>
      </c>
      <c r="X735" s="22" t="s">
        <v>5079</v>
      </c>
      <c r="Y735" s="22"/>
      <c r="Z735" s="7"/>
      <c r="AA735" s="7"/>
      <c r="AB735" s="23"/>
      <c r="AC735" s="26"/>
    </row>
    <row r="736" spans="1:29" ht="31.5" customHeight="1">
      <c r="A736" s="10" t="s">
        <v>5088</v>
      </c>
      <c r="B736" s="10" t="s">
        <v>4410</v>
      </c>
      <c r="C736" s="19" t="s">
        <v>4411</v>
      </c>
      <c r="D736" s="12"/>
      <c r="E736" s="13" t="s">
        <v>466</v>
      </c>
      <c r="F736" s="6" t="s">
        <v>5082</v>
      </c>
      <c r="G736" s="15" t="str">
        <f ca="1">IFERROR(__xludf.DUMMYFUNCTION("CONCATENATE(B736,(VLOOKUP(C736,CATALOGOS!$F$2:$H$6,3,FALSE)),(VLOOKUP(V736,CATALOGOS!$J$2:$K$18,2,FALSE)),""-"",TO_TEXT(A736))"),"P24SJ-0735")</f>
        <v>P24SJ-0735</v>
      </c>
      <c r="H736" s="6" t="str">
        <f ca="1">IFERROR(__xludf.DUMMYFUNCTION("CONCATENATE($B736,(VLOOKUP($C736,CATALOGOS!$F$2:$H$6,3,FALSE)),(VLOOKUP($V736,CATALOGOS!$J$2:$K$18,2,FALSE)),""-"",TO_TEXT($A736))"),"P24SJ-0735")</f>
        <v>P24SJ-0735</v>
      </c>
      <c r="I736" s="6"/>
      <c r="J736" s="6" t="s">
        <v>5089</v>
      </c>
      <c r="K736" s="6" t="s">
        <v>5090</v>
      </c>
      <c r="L736" s="6" t="s">
        <v>5091</v>
      </c>
      <c r="M736" s="6" t="s">
        <v>5092</v>
      </c>
      <c r="N736" s="17"/>
      <c r="O736" s="17"/>
      <c r="P736" s="17" t="str">
        <f t="shared" si="5"/>
        <v>OK</v>
      </c>
      <c r="Q736" s="17" t="s">
        <v>35</v>
      </c>
      <c r="R736" s="6" t="s">
        <v>35</v>
      </c>
      <c r="S736" s="17" t="s">
        <v>36</v>
      </c>
      <c r="T736" s="17" t="s">
        <v>5093</v>
      </c>
      <c r="U736" s="173" t="s">
        <v>38</v>
      </c>
      <c r="V736" s="11" t="s">
        <v>4411</v>
      </c>
      <c r="W736" s="22" t="s">
        <v>5079</v>
      </c>
      <c r="X736" s="22" t="s">
        <v>5079</v>
      </c>
      <c r="Y736" s="22"/>
      <c r="Z736" s="7"/>
      <c r="AA736" s="7"/>
      <c r="AB736" s="23"/>
      <c r="AC736" s="26"/>
    </row>
    <row r="737" spans="1:30" ht="15.75" customHeight="1">
      <c r="A737" s="10" t="s">
        <v>5094</v>
      </c>
      <c r="B737" s="10" t="s">
        <v>4410</v>
      </c>
      <c r="C737" s="19" t="s">
        <v>4411</v>
      </c>
      <c r="D737" s="12"/>
      <c r="E737" s="13" t="s">
        <v>184</v>
      </c>
      <c r="F737" s="6" t="s">
        <v>4989</v>
      </c>
      <c r="G737" s="15" t="str">
        <f ca="1">IFERROR(__xludf.DUMMYFUNCTION("CONCATENATE(B737,(VLOOKUP(C737,CATALOGOS!$F$2:$H$6,3,FALSE)),(VLOOKUP(V737,CATALOGOS!$J$2:$K$18,2,FALSE)),""-"",TO_TEXT(A737))"),"P24SJ-0736")</f>
        <v>P24SJ-0736</v>
      </c>
      <c r="H737" s="6" t="str">
        <f ca="1">IFERROR(__xludf.DUMMYFUNCTION("CONCATENATE($B737,(VLOOKUP($C737,CATALOGOS!$F$2:$H$6,3,FALSE)),(VLOOKUP($V737,CATALOGOS!$J$2:$K$18,2,FALSE)),""-"",TO_TEXT($A737))"),"P24SJ-0736")</f>
        <v>P24SJ-0736</v>
      </c>
      <c r="I737" s="6"/>
      <c r="J737" s="6" t="s">
        <v>5095</v>
      </c>
      <c r="K737" s="6" t="s">
        <v>5096</v>
      </c>
      <c r="L737" s="6" t="s">
        <v>5097</v>
      </c>
      <c r="M737" s="43" t="s">
        <v>5098</v>
      </c>
      <c r="N737" s="17"/>
      <c r="O737" s="17"/>
      <c r="P737" s="17" t="str">
        <f t="shared" si="5"/>
        <v>OK</v>
      </c>
      <c r="Q737" s="17" t="s">
        <v>35</v>
      </c>
      <c r="R737" s="6" t="s">
        <v>35</v>
      </c>
      <c r="S737" s="17" t="s">
        <v>36</v>
      </c>
      <c r="T737" s="17" t="s">
        <v>5099</v>
      </c>
      <c r="U737" s="173" t="s">
        <v>38</v>
      </c>
      <c r="V737" s="11" t="s">
        <v>4411</v>
      </c>
      <c r="W737" s="22" t="s">
        <v>5079</v>
      </c>
      <c r="X737" s="22" t="s">
        <v>5079</v>
      </c>
      <c r="Y737" s="22"/>
      <c r="Z737" s="7"/>
      <c r="AA737" s="7"/>
      <c r="AB737" s="23"/>
      <c r="AC737" s="26"/>
    </row>
    <row r="738" spans="1:30" ht="15.75" customHeight="1">
      <c r="A738" s="10" t="s">
        <v>5100</v>
      </c>
      <c r="B738" s="10" t="s">
        <v>4410</v>
      </c>
      <c r="C738" s="19" t="s">
        <v>4411</v>
      </c>
      <c r="D738" s="12"/>
      <c r="E738" s="13" t="s">
        <v>184</v>
      </c>
      <c r="F738" s="6" t="s">
        <v>4989</v>
      </c>
      <c r="G738" s="15" t="str">
        <f ca="1">IFERROR(__xludf.DUMMYFUNCTION("CONCATENATE(B738,(VLOOKUP(C738,CATALOGOS!$F$2:$H$6,3,FALSE)),(VLOOKUP(V738,CATALOGOS!$J$2:$K$18,2,FALSE)),""-"",TO_TEXT(A738))"),"P24SJ-0737")</f>
        <v>P24SJ-0737</v>
      </c>
      <c r="H738" s="6" t="str">
        <f ca="1">IFERROR(__xludf.DUMMYFUNCTION("CONCATENATE($B738,(VLOOKUP($C738,CATALOGOS!$F$2:$H$6,3,FALSE)),(VLOOKUP($V738,CATALOGOS!$J$2:$K$18,2,FALSE)),""-"",TO_TEXT($A738))"),"P24SJ-0737")</f>
        <v>P24SJ-0737</v>
      </c>
      <c r="I738" s="6"/>
      <c r="J738" s="6" t="s">
        <v>5101</v>
      </c>
      <c r="K738" s="6" t="s">
        <v>5102</v>
      </c>
      <c r="L738" s="6" t="s">
        <v>5103</v>
      </c>
      <c r="M738" s="6" t="s">
        <v>5104</v>
      </c>
      <c r="N738" s="17"/>
      <c r="O738" s="17"/>
      <c r="P738" s="17" t="str">
        <f t="shared" si="5"/>
        <v>OK</v>
      </c>
      <c r="Q738" s="17" t="s">
        <v>35</v>
      </c>
      <c r="R738" s="6" t="s">
        <v>35</v>
      </c>
      <c r="S738" s="17" t="s">
        <v>36</v>
      </c>
      <c r="T738" s="17" t="s">
        <v>5105</v>
      </c>
      <c r="U738" s="173" t="s">
        <v>38</v>
      </c>
      <c r="V738" s="11" t="s">
        <v>4411</v>
      </c>
      <c r="W738" s="22" t="s">
        <v>5079</v>
      </c>
      <c r="X738" s="22" t="s">
        <v>5079</v>
      </c>
      <c r="Y738" s="22"/>
      <c r="Z738" s="6"/>
      <c r="AA738" s="6"/>
      <c r="AB738" s="23"/>
      <c r="AC738" s="33"/>
    </row>
    <row r="739" spans="1:30" ht="43.5" customHeight="1">
      <c r="A739" s="10" t="s">
        <v>5106</v>
      </c>
      <c r="B739" s="10" t="s">
        <v>4410</v>
      </c>
      <c r="C739" s="19" t="s">
        <v>4411</v>
      </c>
      <c r="D739" s="12"/>
      <c r="E739" s="13" t="s">
        <v>466</v>
      </c>
      <c r="F739" s="6" t="s">
        <v>5082</v>
      </c>
      <c r="G739" s="15" t="str">
        <f ca="1">IFERROR(__xludf.DUMMYFUNCTION("CONCATENATE(B739,(VLOOKUP(C739,CATALOGOS!$F$2:$H$6,3,FALSE)),(VLOOKUP(V739,CATALOGOS!$J$2:$K$18,2,FALSE)),""-"",TO_TEXT(A739))"),"P24SJ-0738")</f>
        <v>P24SJ-0738</v>
      </c>
      <c r="H739" s="6" t="str">
        <f ca="1">IFERROR(__xludf.DUMMYFUNCTION("CONCATENATE($B739,(VLOOKUP($C739,CATALOGOS!$F$2:$H$6,3,FALSE)),(VLOOKUP($V739,CATALOGOS!$J$2:$K$18,2,FALSE)),""-"",TO_TEXT($A739))"),"P24SJ-0738")</f>
        <v>P24SJ-0738</v>
      </c>
      <c r="I739" s="6"/>
      <c r="J739" s="6" t="s">
        <v>5107</v>
      </c>
      <c r="K739" s="6" t="s">
        <v>5108</v>
      </c>
      <c r="L739" s="6" t="s">
        <v>5109</v>
      </c>
      <c r="M739" s="6" t="s">
        <v>5110</v>
      </c>
      <c r="N739" s="17"/>
      <c r="O739" s="17"/>
      <c r="P739" s="17" t="str">
        <f t="shared" si="5"/>
        <v>OK</v>
      </c>
      <c r="Q739" s="17" t="s">
        <v>35</v>
      </c>
      <c r="R739" s="6" t="s">
        <v>35</v>
      </c>
      <c r="S739" s="17" t="s">
        <v>36</v>
      </c>
      <c r="T739" s="17" t="s">
        <v>5111</v>
      </c>
      <c r="U739" s="173" t="s">
        <v>38</v>
      </c>
      <c r="V739" s="11" t="s">
        <v>4411</v>
      </c>
      <c r="W739" s="22" t="s">
        <v>5079</v>
      </c>
      <c r="X739" s="22" t="s">
        <v>5079</v>
      </c>
      <c r="Y739" s="22"/>
      <c r="Z739" s="7"/>
      <c r="AA739" s="7"/>
      <c r="AB739" s="23"/>
      <c r="AC739" s="26"/>
    </row>
    <row r="740" spans="1:30" ht="15.75" customHeight="1">
      <c r="A740" s="10" t="s">
        <v>5112</v>
      </c>
      <c r="B740" s="10" t="s">
        <v>4410</v>
      </c>
      <c r="C740" s="19" t="s">
        <v>4411</v>
      </c>
      <c r="D740" s="12"/>
      <c r="E740" s="13" t="s">
        <v>43</v>
      </c>
      <c r="F740" s="6" t="s">
        <v>1492</v>
      </c>
      <c r="G740" s="15" t="str">
        <f ca="1">IFERROR(__xludf.DUMMYFUNCTION("CONCATENATE(B740,(VLOOKUP(C740,CATALOGOS!$F$2:$H$6,3,FALSE)),(VLOOKUP(V740,CATALOGOS!$J$2:$K$18,2,FALSE)),""-"",TO_TEXT(A740))"),"P24SJ-0739")</f>
        <v>P24SJ-0739</v>
      </c>
      <c r="H740" s="6" t="str">
        <f ca="1">IFERROR(__xludf.DUMMYFUNCTION("CONCATENATE($B740,(VLOOKUP($C740,CATALOGOS!$F$2:$H$6,3,FALSE)),(VLOOKUP($V740,CATALOGOS!$J$2:$K$18,2,FALSE)),""-"",TO_TEXT($A740))"),"P24SJ-0739")</f>
        <v>P24SJ-0739</v>
      </c>
      <c r="I740" s="6"/>
      <c r="J740" s="6" t="s">
        <v>5113</v>
      </c>
      <c r="K740" s="6" t="s">
        <v>5114</v>
      </c>
      <c r="L740" s="6" t="s">
        <v>5115</v>
      </c>
      <c r="M740" s="6" t="s">
        <v>5116</v>
      </c>
      <c r="N740" s="17"/>
      <c r="O740" s="17"/>
      <c r="P740" s="17" t="str">
        <f t="shared" si="5"/>
        <v>OK</v>
      </c>
      <c r="Q740" s="17" t="s">
        <v>406</v>
      </c>
      <c r="R740" s="6" t="s">
        <v>407</v>
      </c>
      <c r="S740" s="17" t="s">
        <v>36</v>
      </c>
      <c r="T740" s="17" t="s">
        <v>5117</v>
      </c>
      <c r="U740" s="173" t="s">
        <v>38</v>
      </c>
      <c r="V740" s="19" t="s">
        <v>4411</v>
      </c>
      <c r="W740" s="22" t="s">
        <v>5079</v>
      </c>
      <c r="X740" s="22" t="s">
        <v>5079</v>
      </c>
      <c r="Y740" s="22"/>
      <c r="Z740" s="6"/>
      <c r="AA740" s="6"/>
      <c r="AB740" s="23"/>
      <c r="AC740" s="33"/>
    </row>
    <row r="741" spans="1:30" ht="15.75" customHeight="1">
      <c r="A741" s="10" t="s">
        <v>5118</v>
      </c>
      <c r="B741" s="10" t="s">
        <v>4410</v>
      </c>
      <c r="C741" s="19" t="s">
        <v>4411</v>
      </c>
      <c r="D741" s="12"/>
      <c r="E741" s="13" t="s">
        <v>93</v>
      </c>
      <c r="F741" s="6" t="s">
        <v>5119</v>
      </c>
      <c r="G741" s="15" t="str">
        <f ca="1">IFERROR(__xludf.DUMMYFUNCTION("CONCATENATE(B741,(VLOOKUP(C741,CATALOGOS!$F$2:$H$6,3,FALSE)),(VLOOKUP(V741,CATALOGOS!$J$2:$K$18,2,FALSE)),""-"",TO_TEXT(A741))"),"P24SJ-0740")</f>
        <v>P24SJ-0740</v>
      </c>
      <c r="H741" s="6" t="str">
        <f ca="1">IFERROR(__xludf.DUMMYFUNCTION("CONCATENATE($B741,(VLOOKUP($C741,CATALOGOS!$F$2:$H$6,3,FALSE)),(VLOOKUP($V741,CATALOGOS!$J$2:$K$18,2,FALSE)),""-"",TO_TEXT($A741))"),"P24SJ-0740")</f>
        <v>P24SJ-0740</v>
      </c>
      <c r="I741" s="6"/>
      <c r="J741" s="6" t="s">
        <v>5120</v>
      </c>
      <c r="K741" s="6" t="s">
        <v>5121</v>
      </c>
      <c r="L741" s="6" t="s">
        <v>5122</v>
      </c>
      <c r="M741" s="6" t="s">
        <v>5123</v>
      </c>
      <c r="N741" s="17"/>
      <c r="O741" s="17"/>
      <c r="P741" s="17" t="str">
        <f t="shared" si="5"/>
        <v>OK</v>
      </c>
      <c r="Q741" s="17" t="s">
        <v>35</v>
      </c>
      <c r="R741" s="6" t="s">
        <v>35</v>
      </c>
      <c r="S741" s="17" t="s">
        <v>36</v>
      </c>
      <c r="T741" s="17" t="s">
        <v>5124</v>
      </c>
      <c r="U741" s="173" t="s">
        <v>38</v>
      </c>
      <c r="V741" s="11" t="s">
        <v>4411</v>
      </c>
      <c r="W741" s="22" t="s">
        <v>5079</v>
      </c>
      <c r="X741" s="22" t="s">
        <v>5079</v>
      </c>
      <c r="Y741" s="22"/>
      <c r="Z741" s="7"/>
      <c r="AA741" s="7"/>
      <c r="AB741" s="23"/>
      <c r="AC741" s="26"/>
    </row>
    <row r="742" spans="1:30" ht="26.25" customHeight="1">
      <c r="A742" s="10" t="s">
        <v>5125</v>
      </c>
      <c r="B742" s="10" t="s">
        <v>4410</v>
      </c>
      <c r="C742" s="19" t="s">
        <v>4411</v>
      </c>
      <c r="D742" s="38"/>
      <c r="E742" s="13" t="s">
        <v>62</v>
      </c>
      <c r="F742" s="6" t="s">
        <v>5126</v>
      </c>
      <c r="G742" s="15" t="str">
        <f ca="1">IFERROR(__xludf.DUMMYFUNCTION("CONCATENATE(B742,(VLOOKUP(C742,CATALOGOS!$F$2:$H$6,3,FALSE)),(VLOOKUP(V742,CATALOGOS!$J$2:$K$18,2,FALSE)),""-"",TO_TEXT(A742))"),"P24SJ-0741")</f>
        <v>P24SJ-0741</v>
      </c>
      <c r="H742" s="6" t="str">
        <f ca="1">IFERROR(__xludf.DUMMYFUNCTION("CONCATENATE($B742,(VLOOKUP($C742,CATALOGOS!$F$2:$H$6,3,FALSE)),(VLOOKUP($V742,CATALOGOS!$J$2:$K$18,2,FALSE)),""-"",TO_TEXT($A742))"),"P24SJ-0741")</f>
        <v>P24SJ-0741</v>
      </c>
      <c r="I742" s="6"/>
      <c r="J742" s="6" t="s">
        <v>5127</v>
      </c>
      <c r="K742" s="6" t="s">
        <v>5128</v>
      </c>
      <c r="L742" s="6" t="s">
        <v>5129</v>
      </c>
      <c r="M742" s="6" t="s">
        <v>5130</v>
      </c>
      <c r="N742" s="17"/>
      <c r="O742" s="17"/>
      <c r="P742" s="17" t="str">
        <f t="shared" si="5"/>
        <v>OK</v>
      </c>
      <c r="Q742" s="17" t="s">
        <v>35</v>
      </c>
      <c r="R742" s="6" t="s">
        <v>35</v>
      </c>
      <c r="S742" s="46" t="s">
        <v>36</v>
      </c>
      <c r="T742" s="17" t="s">
        <v>5131</v>
      </c>
      <c r="U742" s="173" t="s">
        <v>38</v>
      </c>
      <c r="V742" s="11" t="s">
        <v>4411</v>
      </c>
      <c r="W742" s="22" t="s">
        <v>5079</v>
      </c>
      <c r="X742" s="22" t="s">
        <v>5079</v>
      </c>
      <c r="Y742" s="22"/>
      <c r="Z742" s="7"/>
      <c r="AA742" s="7"/>
      <c r="AB742" s="26"/>
      <c r="AC742" s="26"/>
    </row>
    <row r="743" spans="1:30" ht="15.75" customHeight="1">
      <c r="A743" s="10" t="s">
        <v>5133</v>
      </c>
      <c r="B743" s="10" t="s">
        <v>4410</v>
      </c>
      <c r="C743" s="19" t="s">
        <v>4411</v>
      </c>
      <c r="D743" s="12"/>
      <c r="E743" s="13" t="s">
        <v>93</v>
      </c>
      <c r="F743" s="6" t="s">
        <v>1380</v>
      </c>
      <c r="G743" s="15" t="str">
        <f ca="1">IFERROR(__xludf.DUMMYFUNCTION("CONCATENATE(B743,(VLOOKUP(C743,CATALOGOS!$F$2:$H$6,3,FALSE)),(VLOOKUP(V743,CATALOGOS!$J$2:$K$18,2,FALSE)),""-"",TO_TEXT(A743))"),"P24SJ-0742")</f>
        <v>P24SJ-0742</v>
      </c>
      <c r="H743" s="6" t="str">
        <f ca="1">IFERROR(__xludf.DUMMYFUNCTION("CONCATENATE($B743,(VLOOKUP($C743,CATALOGOS!$F$2:$H$6,3,FALSE)),(VLOOKUP($V743,CATALOGOS!$J$2:$K$18,2,FALSE)),""-"",TO_TEXT($A743))"),"P24SJ-0742")</f>
        <v>P24SJ-0742</v>
      </c>
      <c r="I743" s="6"/>
      <c r="J743" s="6" t="s">
        <v>5134</v>
      </c>
      <c r="K743" s="6" t="s">
        <v>5135</v>
      </c>
      <c r="L743" s="6" t="s">
        <v>5136</v>
      </c>
      <c r="M743" s="6" t="s">
        <v>5137</v>
      </c>
      <c r="N743" s="17"/>
      <c r="O743" s="17"/>
      <c r="P743" s="17" t="str">
        <f t="shared" si="5"/>
        <v>OK</v>
      </c>
      <c r="Q743" s="17" t="s">
        <v>35</v>
      </c>
      <c r="R743" s="6" t="s">
        <v>35</v>
      </c>
      <c r="S743" s="17" t="s">
        <v>36</v>
      </c>
      <c r="T743" s="17" t="s">
        <v>85</v>
      </c>
      <c r="U743" s="173" t="s">
        <v>38</v>
      </c>
      <c r="V743" s="11" t="s">
        <v>4411</v>
      </c>
      <c r="W743" s="20" t="s">
        <v>5138</v>
      </c>
      <c r="X743" s="20" t="s">
        <v>5138</v>
      </c>
      <c r="Y743" s="20"/>
      <c r="Z743" s="7"/>
      <c r="AA743" s="7"/>
      <c r="AB743" s="23"/>
      <c r="AC743" s="26"/>
    </row>
    <row r="744" spans="1:30" ht="15.75" customHeight="1">
      <c r="A744" s="10" t="s">
        <v>5139</v>
      </c>
      <c r="B744" s="10" t="s">
        <v>4410</v>
      </c>
      <c r="C744" s="19" t="s">
        <v>4411</v>
      </c>
      <c r="D744" s="12"/>
      <c r="E744" s="13" t="s">
        <v>199</v>
      </c>
      <c r="F744" s="6" t="s">
        <v>677</v>
      </c>
      <c r="G744" s="15" t="str">
        <f ca="1">IFERROR(__xludf.DUMMYFUNCTION("CONCATENATE(B744,(VLOOKUP(C744,CATALOGOS!$F$2:$H$6,3,FALSE)),(VLOOKUP(V744,CATALOGOS!$J$2:$K$18,2,FALSE)),""-"",TO_TEXT(A744))"),"P24SJ-0743")</f>
        <v>P24SJ-0743</v>
      </c>
      <c r="H744" s="6" t="str">
        <f ca="1">IFERROR(__xludf.DUMMYFUNCTION("CONCATENATE($B744,(VLOOKUP($C744,CATALOGOS!$F$2:$H$6,3,FALSE)),(VLOOKUP($V744,CATALOGOS!$J$2:$K$18,2,FALSE)),""-"",TO_TEXT($A744))"),"P24SJ-0743")</f>
        <v>P24SJ-0743</v>
      </c>
      <c r="I744" s="6"/>
      <c r="J744" s="6" t="s">
        <v>5140</v>
      </c>
      <c r="K744" s="6" t="s">
        <v>5141</v>
      </c>
      <c r="L744" s="6" t="s">
        <v>5142</v>
      </c>
      <c r="M744" s="6" t="s">
        <v>5143</v>
      </c>
      <c r="N744" s="17"/>
      <c r="O744" s="17"/>
      <c r="P744" s="17" t="str">
        <f t="shared" si="5"/>
        <v>OK</v>
      </c>
      <c r="Q744" s="17" t="s">
        <v>682</v>
      </c>
      <c r="R744" s="6" t="s">
        <v>5144</v>
      </c>
      <c r="S744" s="17" t="s">
        <v>5145</v>
      </c>
      <c r="T744" s="17" t="s">
        <v>85</v>
      </c>
      <c r="U744" s="173" t="s">
        <v>38</v>
      </c>
      <c r="V744" s="11" t="s">
        <v>4411</v>
      </c>
      <c r="W744" s="22" t="s">
        <v>5146</v>
      </c>
      <c r="X744" s="22" t="s">
        <v>5146</v>
      </c>
      <c r="Y744" s="20" t="s">
        <v>8442</v>
      </c>
      <c r="Z744" s="7"/>
      <c r="AA744" s="7"/>
      <c r="AB744" s="23"/>
      <c r="AC744" s="26"/>
    </row>
    <row r="745" spans="1:30" ht="15.75" customHeight="1">
      <c r="A745" s="10" t="s">
        <v>5147</v>
      </c>
      <c r="B745" s="10" t="s">
        <v>4410</v>
      </c>
      <c r="C745" s="19" t="s">
        <v>4411</v>
      </c>
      <c r="D745" s="38"/>
      <c r="E745" s="13" t="s">
        <v>378</v>
      </c>
      <c r="F745" s="43" t="s">
        <v>379</v>
      </c>
      <c r="G745" s="15" t="str">
        <f ca="1">IFERROR(__xludf.DUMMYFUNCTION("CONCATENATE(B745,(VLOOKUP(C745,CATALOGOS!$F$2:$H$6,3,FALSE)),(VLOOKUP(V745,CATALOGOS!$J$2:$K$18,2,FALSE)),""-"",TO_TEXT(A745))"),"P24SJ-0744")</f>
        <v>P24SJ-0744</v>
      </c>
      <c r="H745" s="6" t="str">
        <f ca="1">IFERROR(__xludf.DUMMYFUNCTION("CONCATENATE($B745,(VLOOKUP($C745,CATALOGOS!$F$2:$H$6,3,FALSE)),(VLOOKUP($V745,CATALOGOS!$J$2:$K$18,2,FALSE)),""-"",TO_TEXT($A745))"),"P24SJ-0744")</f>
        <v>P24SJ-0744</v>
      </c>
      <c r="I745" s="6"/>
      <c r="J745" s="6" t="s">
        <v>5148</v>
      </c>
      <c r="K745" s="6" t="s">
        <v>5149</v>
      </c>
      <c r="L745" s="6" t="s">
        <v>5150</v>
      </c>
      <c r="M745" s="6" t="s">
        <v>5151</v>
      </c>
      <c r="N745" s="17"/>
      <c r="O745" s="17"/>
      <c r="P745" s="17" t="str">
        <f t="shared" si="5"/>
        <v>OK</v>
      </c>
      <c r="Q745" s="17" t="s">
        <v>35</v>
      </c>
      <c r="R745" s="6" t="s">
        <v>35</v>
      </c>
      <c r="S745" s="46" t="s">
        <v>36</v>
      </c>
      <c r="T745" s="17" t="s">
        <v>5152</v>
      </c>
      <c r="U745" s="173" t="s">
        <v>38</v>
      </c>
      <c r="V745" s="11" t="s">
        <v>4411</v>
      </c>
      <c r="W745" s="22" t="s">
        <v>5146</v>
      </c>
      <c r="X745" s="22" t="s">
        <v>5146</v>
      </c>
      <c r="Y745" s="20" t="s">
        <v>8442</v>
      </c>
      <c r="Z745" s="7"/>
      <c r="AA745" s="7"/>
      <c r="AB745" s="26"/>
      <c r="AC745" s="26"/>
    </row>
    <row r="746" spans="1:30" ht="15.75" customHeight="1">
      <c r="A746" s="10" t="s">
        <v>5153</v>
      </c>
      <c r="B746" s="10" t="s">
        <v>4410</v>
      </c>
      <c r="C746" s="19" t="s">
        <v>4411</v>
      </c>
      <c r="D746" s="12"/>
      <c r="E746" s="13" t="s">
        <v>93</v>
      </c>
      <c r="F746" s="6" t="s">
        <v>1380</v>
      </c>
      <c r="G746" s="15" t="str">
        <f ca="1">IFERROR(__xludf.DUMMYFUNCTION("CONCATENATE(B746,(VLOOKUP(C746,CATALOGOS!$F$2:$H$6,3,FALSE)),(VLOOKUP(V746,CATALOGOS!$J$2:$K$18,2,FALSE)),""-"",TO_TEXT(A746))"),"P24SJ-0745")</f>
        <v>P24SJ-0745</v>
      </c>
      <c r="H746" s="6" t="str">
        <f ca="1">IFERROR(__xludf.DUMMYFUNCTION("CONCATENATE($B746,(VLOOKUP($C746,CATALOGOS!$F$2:$H$6,3,FALSE)),(VLOOKUP($V746,CATALOGOS!$J$2:$K$18,2,FALSE)),""-"",TO_TEXT($A746))"),"P24SJ-0745")</f>
        <v>P24SJ-0745</v>
      </c>
      <c r="I746" s="6"/>
      <c r="J746" s="6" t="s">
        <v>5154</v>
      </c>
      <c r="K746" s="6" t="s">
        <v>5155</v>
      </c>
      <c r="L746" s="6" t="s">
        <v>5156</v>
      </c>
      <c r="M746" s="6" t="s">
        <v>5157</v>
      </c>
      <c r="N746" s="17"/>
      <c r="O746" s="17"/>
      <c r="P746" s="17" t="str">
        <f t="shared" si="5"/>
        <v>OK</v>
      </c>
      <c r="Q746" s="17" t="s">
        <v>35</v>
      </c>
      <c r="R746" s="6" t="s">
        <v>35</v>
      </c>
      <c r="S746" s="17" t="s">
        <v>36</v>
      </c>
      <c r="T746" s="17" t="s">
        <v>5158</v>
      </c>
      <c r="U746" s="173" t="s">
        <v>38</v>
      </c>
      <c r="V746" s="11" t="s">
        <v>4411</v>
      </c>
      <c r="W746" s="22" t="s">
        <v>5138</v>
      </c>
      <c r="X746" s="22" t="s">
        <v>5138</v>
      </c>
      <c r="Y746" s="22"/>
      <c r="Z746" s="6"/>
      <c r="AA746" s="6"/>
      <c r="AB746" s="23"/>
      <c r="AC746" s="33"/>
    </row>
    <row r="747" spans="1:30" ht="15.75" customHeight="1">
      <c r="A747" s="10" t="s">
        <v>5159</v>
      </c>
      <c r="B747" s="10" t="s">
        <v>4410</v>
      </c>
      <c r="C747" s="19" t="s">
        <v>4411</v>
      </c>
      <c r="D747" s="12"/>
      <c r="E747" s="13" t="s">
        <v>93</v>
      </c>
      <c r="F747" s="43" t="s">
        <v>5160</v>
      </c>
      <c r="G747" s="15" t="str">
        <f ca="1">IFERROR(__xludf.DUMMYFUNCTION("CONCATENATE(B747,(VLOOKUP(C747,CATALOGOS!$F$2:$H$6,3,FALSE)),(VLOOKUP(V747,CATALOGOS!$J$2:$K$18,2,FALSE)),""-"",TO_TEXT(A747))"),"P24SJ-0746")</f>
        <v>P24SJ-0746</v>
      </c>
      <c r="H747" s="6" t="str">
        <f ca="1">IFERROR(__xludf.DUMMYFUNCTION("CONCATENATE($B747,(VLOOKUP($C747,CATALOGOS!$F$2:$H$6,3,FALSE)),(VLOOKUP($V747,CATALOGOS!$J$2:$K$18,2,FALSE)),""-"",TO_TEXT($A747))"),"P24SJ-0746")</f>
        <v>P24SJ-0746</v>
      </c>
      <c r="I747" s="6"/>
      <c r="J747" s="6" t="s">
        <v>5161</v>
      </c>
      <c r="K747" s="6" t="s">
        <v>5162</v>
      </c>
      <c r="L747" s="10" t="s">
        <v>5163</v>
      </c>
      <c r="M747" s="6" t="s">
        <v>5164</v>
      </c>
      <c r="N747" s="17"/>
      <c r="O747" s="17"/>
      <c r="P747" s="17" t="str">
        <f t="shared" si="5"/>
        <v>OK</v>
      </c>
      <c r="Q747" s="17" t="s">
        <v>35</v>
      </c>
      <c r="R747" s="6" t="s">
        <v>35</v>
      </c>
      <c r="S747" s="17" t="s">
        <v>36</v>
      </c>
      <c r="T747" s="17" t="s">
        <v>5165</v>
      </c>
      <c r="U747" s="173" t="s">
        <v>38</v>
      </c>
      <c r="V747" s="11" t="s">
        <v>4411</v>
      </c>
      <c r="W747" s="22" t="s">
        <v>5138</v>
      </c>
      <c r="X747" s="22" t="s">
        <v>5138</v>
      </c>
      <c r="Y747" s="22"/>
      <c r="Z747" s="7"/>
      <c r="AA747" s="7"/>
      <c r="AB747" s="23"/>
      <c r="AC747" s="26"/>
    </row>
    <row r="748" spans="1:30" ht="15.75" customHeight="1">
      <c r="A748" s="10" t="s">
        <v>5166</v>
      </c>
      <c r="B748" s="10" t="s">
        <v>4410</v>
      </c>
      <c r="C748" s="19" t="s">
        <v>4411</v>
      </c>
      <c r="D748" s="12"/>
      <c r="E748" s="13" t="s">
        <v>29</v>
      </c>
      <c r="F748" s="6" t="s">
        <v>5167</v>
      </c>
      <c r="G748" s="15" t="str">
        <f ca="1">IFERROR(__xludf.DUMMYFUNCTION("CONCATENATE(B748,(VLOOKUP(C748,CATALOGOS!$F$2:$H$6,3,FALSE)),(VLOOKUP(V748,CATALOGOS!$J$2:$K$18,2,FALSE)),""-"",TO_TEXT(A748))"),"P24SJ-0747")</f>
        <v>P24SJ-0747</v>
      </c>
      <c r="H748" s="6" t="str">
        <f ca="1">IFERROR(__xludf.DUMMYFUNCTION("CONCATENATE($B748,(VLOOKUP($C748,CATALOGOS!$F$2:$H$6,3,FALSE)),(VLOOKUP($V748,CATALOGOS!$J$2:$K$18,2,FALSE)),""-"",TO_TEXT($A748))"),"P24SJ-0747")</f>
        <v>P24SJ-0747</v>
      </c>
      <c r="I748" s="6"/>
      <c r="J748" s="6" t="s">
        <v>5168</v>
      </c>
      <c r="K748" s="6" t="s">
        <v>5169</v>
      </c>
      <c r="L748" s="6" t="s">
        <v>5170</v>
      </c>
      <c r="M748" s="6" t="s">
        <v>5171</v>
      </c>
      <c r="N748" s="17"/>
      <c r="O748" s="17"/>
      <c r="P748" s="17" t="str">
        <f t="shared" si="5"/>
        <v>OK</v>
      </c>
      <c r="Q748" s="17" t="s">
        <v>35</v>
      </c>
      <c r="R748" s="6" t="s">
        <v>35</v>
      </c>
      <c r="S748" s="17" t="s">
        <v>36</v>
      </c>
      <c r="T748" s="17" t="s">
        <v>5172</v>
      </c>
      <c r="U748" s="173" t="s">
        <v>38</v>
      </c>
      <c r="V748" s="11" t="s">
        <v>4411</v>
      </c>
      <c r="W748" s="22" t="s">
        <v>5138</v>
      </c>
      <c r="X748" s="22" t="s">
        <v>5138</v>
      </c>
      <c r="Y748" s="22"/>
      <c r="Z748" s="36"/>
      <c r="AA748" s="36"/>
      <c r="AB748" s="12"/>
      <c r="AC748" s="78"/>
      <c r="AD748" s="8"/>
    </row>
    <row r="749" spans="1:30" ht="15.75" customHeight="1">
      <c r="A749" s="10" t="s">
        <v>5173</v>
      </c>
      <c r="B749" s="10" t="s">
        <v>4410</v>
      </c>
      <c r="C749" s="19" t="s">
        <v>4411</v>
      </c>
      <c r="D749" s="12"/>
      <c r="E749" s="13" t="s">
        <v>162</v>
      </c>
      <c r="F749" s="43" t="s">
        <v>285</v>
      </c>
      <c r="G749" s="15" t="str">
        <f ca="1">IFERROR(__xludf.DUMMYFUNCTION("CONCATENATE(B749,(VLOOKUP(C749,CATALOGOS!$F$2:$H$6,3,FALSE)),(VLOOKUP(V749,CATALOGOS!$J$2:$K$18,2,FALSE)),""-"",TO_TEXT(A749))"),"P24SJ-0748")</f>
        <v>P24SJ-0748</v>
      </c>
      <c r="H749" s="6" t="str">
        <f ca="1">IFERROR(__xludf.DUMMYFUNCTION("CONCATENATE($B749,(VLOOKUP($C749,CATALOGOS!$F$2:$H$6,3,FALSE)),(VLOOKUP($V749,CATALOGOS!$J$2:$K$18,2,FALSE)),""-"",TO_TEXT($A749))"),"P24SJ-0748")</f>
        <v>P24SJ-0748</v>
      </c>
      <c r="I749" s="6"/>
      <c r="J749" s="6" t="s">
        <v>5174</v>
      </c>
      <c r="K749" s="6" t="s">
        <v>5175</v>
      </c>
      <c r="L749" s="6" t="s">
        <v>5176</v>
      </c>
      <c r="M749" s="6" t="s">
        <v>5177</v>
      </c>
      <c r="N749" s="17"/>
      <c r="O749" s="17"/>
      <c r="P749" s="17" t="str">
        <f t="shared" si="5"/>
        <v>OK</v>
      </c>
      <c r="Q749" s="17" t="s">
        <v>663</v>
      </c>
      <c r="R749" s="6" t="s">
        <v>664</v>
      </c>
      <c r="S749" s="17" t="s">
        <v>5178</v>
      </c>
      <c r="T749" s="10" t="s">
        <v>5179</v>
      </c>
      <c r="U749" s="173" t="s">
        <v>38</v>
      </c>
      <c r="V749" s="11" t="s">
        <v>4411</v>
      </c>
      <c r="W749" s="22" t="s">
        <v>5138</v>
      </c>
      <c r="X749" s="22" t="s">
        <v>5138</v>
      </c>
      <c r="Y749" s="22"/>
      <c r="Z749" s="7"/>
      <c r="AA749" s="7"/>
      <c r="AB749" s="23"/>
      <c r="AC749" s="26"/>
    </row>
    <row r="750" spans="1:30" ht="15.75" customHeight="1">
      <c r="A750" s="10" t="s">
        <v>5180</v>
      </c>
      <c r="B750" s="10" t="s">
        <v>4410</v>
      </c>
      <c r="C750" s="19" t="s">
        <v>4411</v>
      </c>
      <c r="D750" s="12"/>
      <c r="E750" s="13" t="s">
        <v>248</v>
      </c>
      <c r="F750" s="43" t="s">
        <v>249</v>
      </c>
      <c r="G750" s="15" t="str">
        <f ca="1">IFERROR(__xludf.DUMMYFUNCTION("CONCATENATE(B750,(VLOOKUP(C750,CATALOGOS!$F$2:$H$6,3,FALSE)),(VLOOKUP(V750,CATALOGOS!$J$2:$K$18,2,FALSE)),""-"",TO_TEXT(A750))"),"P24SJ-0749")</f>
        <v>P24SJ-0749</v>
      </c>
      <c r="H750" s="6" t="str">
        <f ca="1">IFERROR(__xludf.DUMMYFUNCTION("CONCATENATE($B750,(VLOOKUP($C750,CATALOGOS!$F$2:$H$6,3,FALSE)),(VLOOKUP($V750,CATALOGOS!$J$2:$K$18,2,FALSE)),""-"",TO_TEXT($A750))"),"P24SJ-0749")</f>
        <v>P24SJ-0749</v>
      </c>
      <c r="I750" s="6"/>
      <c r="J750" s="6" t="s">
        <v>5181</v>
      </c>
      <c r="K750" s="6" t="s">
        <v>5182</v>
      </c>
      <c r="L750" s="6" t="s">
        <v>5183</v>
      </c>
      <c r="M750" s="6" t="s">
        <v>5184</v>
      </c>
      <c r="N750" s="17"/>
      <c r="O750" s="17"/>
      <c r="P750" s="17" t="str">
        <f t="shared" si="5"/>
        <v>OK</v>
      </c>
      <c r="Q750" s="17" t="s">
        <v>978</v>
      </c>
      <c r="R750" s="6" t="s">
        <v>979</v>
      </c>
      <c r="S750" s="17" t="s">
        <v>5185</v>
      </c>
      <c r="T750" s="17" t="s">
        <v>5186</v>
      </c>
      <c r="U750" s="173" t="s">
        <v>38</v>
      </c>
      <c r="V750" s="11" t="s">
        <v>4411</v>
      </c>
      <c r="W750" s="22" t="s">
        <v>5138</v>
      </c>
      <c r="X750" s="22" t="s">
        <v>5138</v>
      </c>
      <c r="Y750" s="22"/>
      <c r="Z750" s="7"/>
      <c r="AA750" s="7"/>
      <c r="AB750" s="23"/>
      <c r="AC750" s="26"/>
    </row>
    <row r="751" spans="1:30" ht="15.75" customHeight="1">
      <c r="A751" s="10" t="s">
        <v>5187</v>
      </c>
      <c r="B751" s="10" t="s">
        <v>4410</v>
      </c>
      <c r="C751" s="19" t="s">
        <v>4411</v>
      </c>
      <c r="D751" s="12"/>
      <c r="E751" s="13" t="s">
        <v>353</v>
      </c>
      <c r="F751" s="43" t="s">
        <v>354</v>
      </c>
      <c r="G751" s="15" t="str">
        <f ca="1">IFERROR(__xludf.DUMMYFUNCTION("CONCATENATE(B751,(VLOOKUP(C751,CATALOGOS!$F$2:$H$6,3,FALSE)),(VLOOKUP(V751,CATALOGOS!$J$2:$K$18,2,FALSE)),""-"",TO_TEXT(A751))"),"P24SJ-0750")</f>
        <v>P24SJ-0750</v>
      </c>
      <c r="H751" s="6" t="str">
        <f ca="1">IFERROR(__xludf.DUMMYFUNCTION("CONCATENATE($B751,(VLOOKUP($C751,CATALOGOS!$F$2:$H$6,3,FALSE)),(VLOOKUP($V751,CATALOGOS!$J$2:$K$18,2,FALSE)),""-"",TO_TEXT($A751))"),"P24SJ-0750")</f>
        <v>P24SJ-0750</v>
      </c>
      <c r="I751" s="6"/>
      <c r="J751" s="6" t="s">
        <v>5188</v>
      </c>
      <c r="K751" s="6" t="s">
        <v>5189</v>
      </c>
      <c r="L751" s="6" t="s">
        <v>5190</v>
      </c>
      <c r="M751" s="6" t="s">
        <v>5191</v>
      </c>
      <c r="N751" s="17"/>
      <c r="O751" s="17"/>
      <c r="P751" s="17" t="str">
        <f t="shared" si="5"/>
        <v>OK</v>
      </c>
      <c r="Q751" s="17" t="s">
        <v>827</v>
      </c>
      <c r="R751" s="6" t="s">
        <v>828</v>
      </c>
      <c r="S751" s="17" t="s">
        <v>5192</v>
      </c>
      <c r="T751" s="10" t="s">
        <v>5193</v>
      </c>
      <c r="U751" s="173" t="s">
        <v>38</v>
      </c>
      <c r="V751" s="11" t="s">
        <v>4411</v>
      </c>
      <c r="W751" s="22" t="s">
        <v>5138</v>
      </c>
      <c r="X751" s="22" t="s">
        <v>5138</v>
      </c>
      <c r="Y751" s="22"/>
      <c r="Z751" s="7"/>
      <c r="AA751" s="7"/>
      <c r="AB751" s="23"/>
      <c r="AC751" s="26"/>
    </row>
    <row r="752" spans="1:30" ht="29.25" customHeight="1">
      <c r="A752" s="10" t="s">
        <v>5195</v>
      </c>
      <c r="B752" s="10" t="s">
        <v>4410</v>
      </c>
      <c r="C752" s="19" t="s">
        <v>4411</v>
      </c>
      <c r="D752" s="12"/>
      <c r="E752" s="13" t="s">
        <v>116</v>
      </c>
      <c r="F752" s="6" t="s">
        <v>5196</v>
      </c>
      <c r="G752" s="15" t="str">
        <f ca="1">IFERROR(__xludf.DUMMYFUNCTION("CONCATENATE(B752,(VLOOKUP(C752,CATALOGOS!$F$2:$H$6,3,FALSE)),(VLOOKUP(V752,CATALOGOS!$J$2:$K$18,2,FALSE)),""-"",TO_TEXT(A752))"),"P24SJ-0751")</f>
        <v>P24SJ-0751</v>
      </c>
      <c r="H752" s="6" t="str">
        <f ca="1">IFERROR(__xludf.DUMMYFUNCTION("CONCATENATE($B752,(VLOOKUP($C752,CATALOGOS!$F$2:$H$6,3,FALSE)),(VLOOKUP($V752,CATALOGOS!$J$2:$K$18,2,FALSE)),""-"",TO_TEXT($A752))"),"P24SJ-0751")</f>
        <v>P24SJ-0751</v>
      </c>
      <c r="I752" s="6"/>
      <c r="J752" s="6" t="s">
        <v>5197</v>
      </c>
      <c r="K752" s="6" t="s">
        <v>5198</v>
      </c>
      <c r="L752" s="6" t="s">
        <v>5199</v>
      </c>
      <c r="M752" s="6" t="s">
        <v>5200</v>
      </c>
      <c r="N752" s="17"/>
      <c r="O752" s="17"/>
      <c r="P752" s="17" t="str">
        <f t="shared" si="5"/>
        <v>OK</v>
      </c>
      <c r="Q752" s="17" t="s">
        <v>35</v>
      </c>
      <c r="R752" s="6" t="s">
        <v>35</v>
      </c>
      <c r="S752" s="17" t="s">
        <v>36</v>
      </c>
      <c r="T752" s="17" t="s">
        <v>5201</v>
      </c>
      <c r="U752" s="179" t="s">
        <v>517</v>
      </c>
      <c r="V752" s="11" t="s">
        <v>4411</v>
      </c>
      <c r="W752" s="22" t="s">
        <v>5138</v>
      </c>
      <c r="X752" s="22" t="s">
        <v>5138</v>
      </c>
      <c r="Y752" s="22"/>
      <c r="Z752" s="7"/>
      <c r="AA752" s="7"/>
      <c r="AB752" s="23"/>
      <c r="AC752" s="26"/>
    </row>
    <row r="753" spans="1:29" ht="15.75" customHeight="1">
      <c r="A753" s="10" t="s">
        <v>5202</v>
      </c>
      <c r="B753" s="10" t="s">
        <v>4410</v>
      </c>
      <c r="C753" s="19" t="s">
        <v>4411</v>
      </c>
      <c r="D753" s="12"/>
      <c r="E753" s="13" t="s">
        <v>378</v>
      </c>
      <c r="F753" s="43" t="s">
        <v>5203</v>
      </c>
      <c r="G753" s="15" t="str">
        <f ca="1">IFERROR(__xludf.DUMMYFUNCTION("CONCATENATE(B753,(VLOOKUP(C753,CATALOGOS!$F$2:$H$6,3,FALSE)),(VLOOKUP(V753,CATALOGOS!$J$2:$K$18,2,FALSE)),""-"",TO_TEXT(A753))"),"P24SJ-0752")</f>
        <v>P24SJ-0752</v>
      </c>
      <c r="H753" s="6" t="str">
        <f ca="1">IFERROR(__xludf.DUMMYFUNCTION("CONCATENATE($B753,(VLOOKUP($C753,CATALOGOS!$F$2:$H$6,3,FALSE)),(VLOOKUP($V753,CATALOGOS!$J$2:$K$18,2,FALSE)),""-"",TO_TEXT($A753))"),"P24SJ-0752")</f>
        <v>P24SJ-0752</v>
      </c>
      <c r="I753" s="6"/>
      <c r="J753" s="6" t="s">
        <v>5204</v>
      </c>
      <c r="K753" s="6" t="s">
        <v>5205</v>
      </c>
      <c r="L753" s="6" t="s">
        <v>5206</v>
      </c>
      <c r="M753" s="6" t="s">
        <v>5207</v>
      </c>
      <c r="N753" s="17"/>
      <c r="O753" s="17"/>
      <c r="P753" s="17" t="str">
        <f t="shared" si="5"/>
        <v>OK</v>
      </c>
      <c r="Q753" s="17" t="s">
        <v>35</v>
      </c>
      <c r="R753" s="6" t="s">
        <v>35</v>
      </c>
      <c r="S753" s="17" t="s">
        <v>36</v>
      </c>
      <c r="T753" s="17" t="s">
        <v>5208</v>
      </c>
      <c r="U753" s="173" t="s">
        <v>38</v>
      </c>
      <c r="V753" s="11" t="s">
        <v>4411</v>
      </c>
      <c r="W753" s="22" t="s">
        <v>5138</v>
      </c>
      <c r="X753" s="22" t="s">
        <v>5138</v>
      </c>
      <c r="Y753" s="22"/>
      <c r="Z753" s="36"/>
      <c r="AA753" s="36"/>
      <c r="AB753" s="23"/>
      <c r="AC753" s="33"/>
    </row>
    <row r="754" spans="1:29" ht="15.75" customHeight="1">
      <c r="A754" s="10" t="s">
        <v>5209</v>
      </c>
      <c r="B754" s="10" t="s">
        <v>4410</v>
      </c>
      <c r="C754" s="19" t="s">
        <v>4411</v>
      </c>
      <c r="D754" s="38"/>
      <c r="E754" s="13" t="s">
        <v>199</v>
      </c>
      <c r="F754" s="6" t="s">
        <v>677</v>
      </c>
      <c r="G754" s="15" t="str">
        <f ca="1">IFERROR(__xludf.DUMMYFUNCTION("CONCATENATE(B754,(VLOOKUP(C754,CATALOGOS!$F$2:$H$6,3,FALSE)),(VLOOKUP(V754,CATALOGOS!$J$2:$K$18,2,FALSE)),""-"",TO_TEXT(A754))"),"P24SJ-0753")</f>
        <v>P24SJ-0753</v>
      </c>
      <c r="H754" s="6" t="str">
        <f ca="1">IFERROR(__xludf.DUMMYFUNCTION("CONCATENATE($B754,(VLOOKUP($C754,CATALOGOS!$F$2:$H$6,3,FALSE)),(VLOOKUP($V754,CATALOGOS!$J$2:$K$18,2,FALSE)),""-"",TO_TEXT($A754))"),"P24SJ-0753")</f>
        <v>P24SJ-0753</v>
      </c>
      <c r="I754" s="6"/>
      <c r="J754" s="6" t="s">
        <v>5210</v>
      </c>
      <c r="K754" s="6" t="s">
        <v>5211</v>
      </c>
      <c r="L754" s="6" t="s">
        <v>5212</v>
      </c>
      <c r="M754" s="6" t="s">
        <v>5213</v>
      </c>
      <c r="N754" s="17"/>
      <c r="O754" s="17"/>
      <c r="P754" s="17" t="str">
        <f t="shared" si="5"/>
        <v>OK</v>
      </c>
      <c r="Q754" s="17" t="s">
        <v>682</v>
      </c>
      <c r="R754" s="6" t="s">
        <v>5214</v>
      </c>
      <c r="S754" s="46" t="s">
        <v>5215</v>
      </c>
      <c r="T754" s="32" t="s">
        <v>85</v>
      </c>
      <c r="U754" s="179" t="s">
        <v>517</v>
      </c>
      <c r="V754" s="11" t="s">
        <v>4411</v>
      </c>
      <c r="W754" s="22" t="s">
        <v>5138</v>
      </c>
      <c r="X754" s="22" t="s">
        <v>5138</v>
      </c>
      <c r="Y754" s="22"/>
      <c r="Z754" s="6"/>
      <c r="AA754" s="6"/>
      <c r="AB754" s="26"/>
      <c r="AC754" s="33"/>
    </row>
    <row r="755" spans="1:29" ht="29.25" customHeight="1">
      <c r="A755" s="10" t="s">
        <v>5216</v>
      </c>
      <c r="B755" s="10" t="s">
        <v>4410</v>
      </c>
      <c r="C755" s="19" t="s">
        <v>4411</v>
      </c>
      <c r="D755" s="12"/>
      <c r="E755" s="13" t="s">
        <v>62</v>
      </c>
      <c r="F755" s="43" t="s">
        <v>5217</v>
      </c>
      <c r="G755" s="15" t="str">
        <f ca="1">IFERROR(__xludf.DUMMYFUNCTION("CONCATENATE(B755,(VLOOKUP(C755,CATALOGOS!$F$2:$H$6,3,FALSE)),(VLOOKUP(V755,CATALOGOS!$J$2:$K$18,2,FALSE)),""-"",TO_TEXT(A755))"),"P24SJ-0754")</f>
        <v>P24SJ-0754</v>
      </c>
      <c r="H755" s="6" t="str">
        <f ca="1">IFERROR(__xludf.DUMMYFUNCTION("CONCATENATE($B755,(VLOOKUP($C755,CATALOGOS!$F$2:$H$6,3,FALSE)),(VLOOKUP($V755,CATALOGOS!$J$2:$K$18,2,FALSE)),""-"",TO_TEXT($A755))"),"P24SJ-0754")</f>
        <v>P24SJ-0754</v>
      </c>
      <c r="I755" s="6"/>
      <c r="J755" s="6" t="s">
        <v>5218</v>
      </c>
      <c r="K755" s="6" t="s">
        <v>5219</v>
      </c>
      <c r="L755" s="6" t="s">
        <v>5220</v>
      </c>
      <c r="M755" s="6" t="s">
        <v>5221</v>
      </c>
      <c r="N755" s="17"/>
      <c r="O755" s="17"/>
      <c r="P755" s="17" t="str">
        <f t="shared" si="5"/>
        <v>OK</v>
      </c>
      <c r="Q755" s="17" t="s">
        <v>35</v>
      </c>
      <c r="R755" s="6" t="s">
        <v>35</v>
      </c>
      <c r="S755" s="17" t="s">
        <v>36</v>
      </c>
      <c r="T755" s="17" t="s">
        <v>85</v>
      </c>
      <c r="U755" s="173" t="s">
        <v>38</v>
      </c>
      <c r="V755" s="11" t="s">
        <v>4411</v>
      </c>
      <c r="W755" s="22" t="s">
        <v>5223</v>
      </c>
      <c r="X755" s="22" t="s">
        <v>5223</v>
      </c>
      <c r="Y755" s="22"/>
      <c r="Z755" s="7"/>
      <c r="AA755" s="7"/>
      <c r="AB755" s="23"/>
      <c r="AC755" s="26"/>
    </row>
    <row r="756" spans="1:29" ht="27.75" customHeight="1">
      <c r="A756" s="10" t="s">
        <v>5224</v>
      </c>
      <c r="B756" s="10" t="s">
        <v>4410</v>
      </c>
      <c r="C756" s="19" t="s">
        <v>4411</v>
      </c>
      <c r="D756" s="12"/>
      <c r="E756" s="13" t="s">
        <v>93</v>
      </c>
      <c r="F756" s="6" t="s">
        <v>5225</v>
      </c>
      <c r="G756" s="15" t="str">
        <f ca="1">IFERROR(__xludf.DUMMYFUNCTION("CONCATENATE(B756,(VLOOKUP(C756,CATALOGOS!$F$2:$H$6,3,FALSE)),(VLOOKUP(V756,CATALOGOS!$J$2:$K$18,2,FALSE)),""-"",TO_TEXT(A756))"),"P24SJ-0755")</f>
        <v>P24SJ-0755</v>
      </c>
      <c r="H756" s="6" t="str">
        <f ca="1">IFERROR(__xludf.DUMMYFUNCTION("CONCATENATE($B756,(VLOOKUP($C756,CATALOGOS!$F$2:$H$6,3,FALSE)),(VLOOKUP($V756,CATALOGOS!$J$2:$K$18,2,FALSE)),""-"",TO_TEXT($A756))"),"P24SJ-0755")</f>
        <v>P24SJ-0755</v>
      </c>
      <c r="I756" s="6"/>
      <c r="J756" s="6" t="s">
        <v>5226</v>
      </c>
      <c r="K756" s="6" t="s">
        <v>5227</v>
      </c>
      <c r="L756" s="6" t="s">
        <v>5228</v>
      </c>
      <c r="M756" s="6" t="s">
        <v>5229</v>
      </c>
      <c r="N756" s="17"/>
      <c r="O756" s="17"/>
      <c r="P756" s="17" t="str">
        <f t="shared" si="5"/>
        <v>OK</v>
      </c>
      <c r="Q756" s="17" t="s">
        <v>35</v>
      </c>
      <c r="R756" s="6" t="s">
        <v>35</v>
      </c>
      <c r="S756" s="17" t="s">
        <v>36</v>
      </c>
      <c r="T756" s="17" t="s">
        <v>5230</v>
      </c>
      <c r="U756" s="173" t="s">
        <v>38</v>
      </c>
      <c r="V756" s="11" t="s">
        <v>4411</v>
      </c>
      <c r="W756" s="22" t="s">
        <v>5223</v>
      </c>
      <c r="X756" s="22" t="s">
        <v>5223</v>
      </c>
      <c r="Y756" s="22"/>
      <c r="Z756" s="7"/>
      <c r="AA756" s="7"/>
      <c r="AB756" s="23"/>
      <c r="AC756" s="26"/>
    </row>
    <row r="757" spans="1:29" ht="15.75" customHeight="1">
      <c r="A757" s="10" t="s">
        <v>5231</v>
      </c>
      <c r="B757" s="10" t="s">
        <v>4410</v>
      </c>
      <c r="C757" s="19" t="s">
        <v>4411</v>
      </c>
      <c r="D757" s="12"/>
      <c r="E757" s="13" t="s">
        <v>43</v>
      </c>
      <c r="F757" s="6" t="s">
        <v>5232</v>
      </c>
      <c r="G757" s="15" t="str">
        <f ca="1">IFERROR(__xludf.DUMMYFUNCTION("CONCATENATE(B757,(VLOOKUP(C757,CATALOGOS!$F$2:$H$6,3,FALSE)),(VLOOKUP(V757,CATALOGOS!$J$2:$K$18,2,FALSE)),""-"",TO_TEXT(A757))"),"P24SJ-0756")</f>
        <v>P24SJ-0756</v>
      </c>
      <c r="H757" s="6" t="str">
        <f ca="1">IFERROR(__xludf.DUMMYFUNCTION("CONCATENATE($B757,(VLOOKUP($C757,CATALOGOS!$F$2:$H$6,3,FALSE)),(VLOOKUP($V757,CATALOGOS!$J$2:$K$18,2,FALSE)),""-"",TO_TEXT($A757))"),"P24SJ-0756")</f>
        <v>P24SJ-0756</v>
      </c>
      <c r="I757" s="6"/>
      <c r="J757" s="6" t="s">
        <v>5233</v>
      </c>
      <c r="K757" s="6" t="s">
        <v>5234</v>
      </c>
      <c r="L757" s="6" t="s">
        <v>5235</v>
      </c>
      <c r="M757" s="43" t="s">
        <v>5236</v>
      </c>
      <c r="N757" s="17"/>
      <c r="O757" s="17"/>
      <c r="P757" s="17" t="str">
        <f t="shared" si="5"/>
        <v>OK</v>
      </c>
      <c r="Q757" s="17" t="s">
        <v>5237</v>
      </c>
      <c r="R757" s="6" t="s">
        <v>5238</v>
      </c>
      <c r="S757" s="17" t="s">
        <v>36</v>
      </c>
      <c r="T757" s="10" t="s">
        <v>5239</v>
      </c>
      <c r="U757" s="173" t="s">
        <v>38</v>
      </c>
      <c r="V757" s="11" t="s">
        <v>4411</v>
      </c>
      <c r="W757" s="22" t="s">
        <v>5223</v>
      </c>
      <c r="X757" s="22" t="s">
        <v>5223</v>
      </c>
      <c r="Y757" s="22"/>
      <c r="Z757" s="7"/>
      <c r="AA757" s="7"/>
      <c r="AB757" s="23"/>
      <c r="AC757" s="26"/>
    </row>
    <row r="758" spans="1:29" ht="15.75" customHeight="1">
      <c r="A758" s="10" t="s">
        <v>5240</v>
      </c>
      <c r="B758" s="10" t="s">
        <v>4410</v>
      </c>
      <c r="C758" s="19" t="s">
        <v>4411</v>
      </c>
      <c r="D758" s="12"/>
      <c r="E758" s="13" t="s">
        <v>184</v>
      </c>
      <c r="F758" s="6" t="s">
        <v>2677</v>
      </c>
      <c r="G758" s="64" t="str">
        <f ca="1">IFERROR(__xludf.DUMMYFUNCTION("CONCATENATE(B758,(VLOOKUP(C758,CATALOGOS!$F$2:$H$6,3,FALSE)),(VLOOKUP(V758,CATALOGOS!$J$2:$K$18,2,FALSE)),""-"",TO_TEXT(A758))"),"P24SJ-0757")</f>
        <v>P24SJ-0757</v>
      </c>
      <c r="H758" s="6" t="str">
        <f ca="1">IFERROR(__xludf.DUMMYFUNCTION("CONCATENATE($B758,(VLOOKUP($C758,CATALOGOS!$F$2:$H$6,3,FALSE)),(VLOOKUP($V758,CATALOGOS!$J$2:$K$18,2,FALSE)),""-"",TO_TEXT($A758))"),"P24SJ-0757")</f>
        <v>P24SJ-0757</v>
      </c>
      <c r="I758" s="6"/>
      <c r="J758" s="6" t="s">
        <v>5241</v>
      </c>
      <c r="K758" s="6" t="s">
        <v>5242</v>
      </c>
      <c r="L758" s="6" t="s">
        <v>5243</v>
      </c>
      <c r="M758" s="6" t="s">
        <v>5244</v>
      </c>
      <c r="N758" s="17"/>
      <c r="O758" s="17"/>
      <c r="P758" s="17" t="str">
        <f t="shared" si="5"/>
        <v>OK</v>
      </c>
      <c r="Q758" s="17" t="s">
        <v>35</v>
      </c>
      <c r="R758" s="6" t="s">
        <v>35</v>
      </c>
      <c r="S758" s="17" t="s">
        <v>36</v>
      </c>
      <c r="T758" s="17" t="s">
        <v>5245</v>
      </c>
      <c r="U758" s="173" t="s">
        <v>100</v>
      </c>
      <c r="V758" s="11" t="s">
        <v>4411</v>
      </c>
      <c r="W758" s="22" t="s">
        <v>5223</v>
      </c>
      <c r="X758" s="22" t="s">
        <v>5223</v>
      </c>
      <c r="Y758" s="186" t="s">
        <v>8443</v>
      </c>
      <c r="Z758" s="6"/>
      <c r="AA758" s="6" t="s">
        <v>440</v>
      </c>
      <c r="AB758" s="23"/>
      <c r="AC758" s="26"/>
    </row>
    <row r="759" spans="1:29" ht="15.75" customHeight="1">
      <c r="A759" s="10" t="s">
        <v>5247</v>
      </c>
      <c r="B759" s="10" t="s">
        <v>4410</v>
      </c>
      <c r="C759" s="19" t="s">
        <v>4411</v>
      </c>
      <c r="D759" s="12"/>
      <c r="E759" s="13" t="s">
        <v>378</v>
      </c>
      <c r="F759" s="43" t="s">
        <v>5248</v>
      </c>
      <c r="G759" s="15" t="str">
        <f ca="1">IFERROR(__xludf.DUMMYFUNCTION("CONCATENATE(B759,(VLOOKUP(C759,CATALOGOS!$F$2:$H$6,3,FALSE)),(VLOOKUP(V759,CATALOGOS!$J$2:$K$18,2,FALSE)),""-"",TO_TEXT(A759))"),"P24SJ-0758")</f>
        <v>P24SJ-0758</v>
      </c>
      <c r="H759" s="6" t="str">
        <f ca="1">IFERROR(__xludf.DUMMYFUNCTION("CONCATENATE($B759,(VLOOKUP($C759,CATALOGOS!$F$2:$H$6,3,FALSE)),(VLOOKUP($V759,CATALOGOS!$J$2:$K$18,2,FALSE)),""-"",TO_TEXT($A759))"),"P24SJ-0758")</f>
        <v>P24SJ-0758</v>
      </c>
      <c r="I759" s="6"/>
      <c r="J759" s="6" t="s">
        <v>5249</v>
      </c>
      <c r="K759" s="6" t="s">
        <v>5250</v>
      </c>
      <c r="L759" s="6" t="s">
        <v>5251</v>
      </c>
      <c r="M759" s="6" t="s">
        <v>5252</v>
      </c>
      <c r="N759" s="17"/>
      <c r="O759" s="17"/>
      <c r="P759" s="17" t="str">
        <f t="shared" si="5"/>
        <v>OK</v>
      </c>
      <c r="Q759" s="17" t="s">
        <v>35</v>
      </c>
      <c r="R759" s="6" t="s">
        <v>35</v>
      </c>
      <c r="S759" s="17" t="s">
        <v>36</v>
      </c>
      <c r="T759" s="17" t="s">
        <v>5253</v>
      </c>
      <c r="U759" s="173" t="s">
        <v>38</v>
      </c>
      <c r="V759" s="11" t="s">
        <v>4411</v>
      </c>
      <c r="W759" s="22" t="s">
        <v>5223</v>
      </c>
      <c r="X759" s="22" t="s">
        <v>5223</v>
      </c>
      <c r="Y759" s="22"/>
      <c r="Z759" s="7"/>
      <c r="AA759" s="7"/>
      <c r="AB759" s="23"/>
      <c r="AC759" s="26"/>
    </row>
    <row r="760" spans="1:29" ht="30.75" customHeight="1">
      <c r="A760" s="10" t="s">
        <v>5254</v>
      </c>
      <c r="B760" s="10" t="s">
        <v>4410</v>
      </c>
      <c r="C760" s="19" t="s">
        <v>4411</v>
      </c>
      <c r="D760" s="12"/>
      <c r="E760" s="13" t="s">
        <v>93</v>
      </c>
      <c r="F760" s="6" t="s">
        <v>5255</v>
      </c>
      <c r="G760" s="15" t="str">
        <f ca="1">IFERROR(__xludf.DUMMYFUNCTION("CONCATENATE(B760,(VLOOKUP(C760,CATALOGOS!$F$2:$H$6,3,FALSE)),(VLOOKUP(V760,CATALOGOS!$J$2:$K$18,2,FALSE)),""-"",TO_TEXT(A760))"),"P24SJ-0759")</f>
        <v>P24SJ-0759</v>
      </c>
      <c r="H760" s="6" t="str">
        <f ca="1">IFERROR(__xludf.DUMMYFUNCTION("CONCATENATE($B760,(VLOOKUP($C760,CATALOGOS!$F$2:$H$6,3,FALSE)),(VLOOKUP($V760,CATALOGOS!$J$2:$K$18,2,FALSE)),""-"",TO_TEXT($A760))"),"P24SJ-0759")</f>
        <v>P24SJ-0759</v>
      </c>
      <c r="I760" s="6"/>
      <c r="J760" s="6" t="s">
        <v>5256</v>
      </c>
      <c r="K760" s="6" t="s">
        <v>5257</v>
      </c>
      <c r="L760" s="6" t="s">
        <v>5258</v>
      </c>
      <c r="M760" s="6" t="s">
        <v>5259</v>
      </c>
      <c r="N760" s="17"/>
      <c r="O760" s="17"/>
      <c r="P760" s="17" t="str">
        <f t="shared" si="5"/>
        <v>OK</v>
      </c>
      <c r="Q760" s="17" t="s">
        <v>35</v>
      </c>
      <c r="R760" s="6" t="s">
        <v>35</v>
      </c>
      <c r="S760" s="17" t="s">
        <v>36</v>
      </c>
      <c r="T760" s="17" t="s">
        <v>5260</v>
      </c>
      <c r="U760" s="173" t="s">
        <v>38</v>
      </c>
      <c r="V760" s="11" t="s">
        <v>4411</v>
      </c>
      <c r="W760" s="22" t="s">
        <v>5223</v>
      </c>
      <c r="X760" s="22" t="s">
        <v>5223</v>
      </c>
      <c r="Y760" s="22"/>
      <c r="Z760" s="7"/>
      <c r="AA760" s="7"/>
      <c r="AB760" s="23"/>
      <c r="AC760" s="26"/>
    </row>
    <row r="761" spans="1:29" ht="15.75" customHeight="1">
      <c r="A761" s="10" t="s">
        <v>5261</v>
      </c>
      <c r="B761" s="10" t="s">
        <v>4410</v>
      </c>
      <c r="C761" s="19" t="s">
        <v>4411</v>
      </c>
      <c r="D761" s="12"/>
      <c r="E761" s="13" t="s">
        <v>116</v>
      </c>
      <c r="F761" s="6" t="s">
        <v>5262</v>
      </c>
      <c r="G761" s="15" t="str">
        <f ca="1">IFERROR(__xludf.DUMMYFUNCTION("CONCATENATE(B761,(VLOOKUP(C761,CATALOGOS!$F$2:$H$6,3,FALSE)),(VLOOKUP(V761,CATALOGOS!$J$2:$K$18,2,FALSE)),""-"",TO_TEXT(A761))"),"P24SJ-0760")</f>
        <v>P24SJ-0760</v>
      </c>
      <c r="H761" s="6" t="str">
        <f ca="1">IFERROR(__xludf.DUMMYFUNCTION("CONCATENATE($B761,(VLOOKUP($C761,CATALOGOS!$F$2:$H$6,3,FALSE)),(VLOOKUP($V761,CATALOGOS!$J$2:$K$18,2,FALSE)),""-"",TO_TEXT($A761))"),"P24SJ-0760")</f>
        <v>P24SJ-0760</v>
      </c>
      <c r="I761" s="6"/>
      <c r="J761" s="6" t="s">
        <v>5263</v>
      </c>
      <c r="K761" s="6" t="s">
        <v>5264</v>
      </c>
      <c r="L761" s="6" t="s">
        <v>5265</v>
      </c>
      <c r="M761" s="6" t="s">
        <v>5266</v>
      </c>
      <c r="N761" s="17"/>
      <c r="O761" s="17"/>
      <c r="P761" s="17" t="str">
        <f t="shared" si="5"/>
        <v>OK</v>
      </c>
      <c r="Q761" s="17" t="s">
        <v>35</v>
      </c>
      <c r="R761" s="6" t="s">
        <v>35</v>
      </c>
      <c r="S761" s="17" t="s">
        <v>36</v>
      </c>
      <c r="T761" s="17" t="s">
        <v>5267</v>
      </c>
      <c r="U761" s="173" t="s">
        <v>38</v>
      </c>
      <c r="V761" s="11" t="s">
        <v>4411</v>
      </c>
      <c r="W761" s="22" t="s">
        <v>5223</v>
      </c>
      <c r="X761" s="22" t="s">
        <v>5223</v>
      </c>
      <c r="Y761" s="22"/>
      <c r="Z761" s="7"/>
      <c r="AA761" s="7"/>
      <c r="AB761" s="23"/>
      <c r="AC761" s="26"/>
    </row>
    <row r="762" spans="1:29" ht="15.75" customHeight="1">
      <c r="A762" s="10" t="s">
        <v>5268</v>
      </c>
      <c r="B762" s="10" t="s">
        <v>4410</v>
      </c>
      <c r="C762" s="19" t="s">
        <v>4411</v>
      </c>
      <c r="D762" s="12"/>
      <c r="E762" s="13" t="s">
        <v>248</v>
      </c>
      <c r="F762" s="43" t="s">
        <v>248</v>
      </c>
      <c r="G762" s="15" t="str">
        <f ca="1">IFERROR(__xludf.DUMMYFUNCTION("CONCATENATE(B762,(VLOOKUP(C762,CATALOGOS!$F$2:$H$6,3,FALSE)),(VLOOKUP(V762,CATALOGOS!$J$2:$K$18,2,FALSE)),""-"",TO_TEXT(A762))"),"P24SJ-0761")</f>
        <v>P24SJ-0761</v>
      </c>
      <c r="H762" s="6" t="str">
        <f ca="1">IFERROR(__xludf.DUMMYFUNCTION("CONCATENATE($B762,(VLOOKUP($C762,CATALOGOS!$F$2:$H$6,3,FALSE)),(VLOOKUP($V762,CATALOGOS!$J$2:$K$18,2,FALSE)),""-"",TO_TEXT($A762))"),"P24SJ-0761")</f>
        <v>P24SJ-0761</v>
      </c>
      <c r="I762" s="6"/>
      <c r="J762" s="6" t="s">
        <v>5269</v>
      </c>
      <c r="K762" s="6" t="s">
        <v>5270</v>
      </c>
      <c r="L762" s="6" t="s">
        <v>5271</v>
      </c>
      <c r="M762" s="6" t="s">
        <v>5272</v>
      </c>
      <c r="N762" s="17"/>
      <c r="O762" s="17"/>
      <c r="P762" s="17" t="str">
        <f t="shared" si="5"/>
        <v>OK</v>
      </c>
      <c r="Q762" s="17" t="s">
        <v>978</v>
      </c>
      <c r="R762" s="6" t="s">
        <v>979</v>
      </c>
      <c r="S762" s="17" t="s">
        <v>5273</v>
      </c>
      <c r="T762" s="17" t="s">
        <v>5274</v>
      </c>
      <c r="U762" s="173" t="s">
        <v>38</v>
      </c>
      <c r="V762" s="11" t="s">
        <v>4411</v>
      </c>
      <c r="W762" s="22" t="s">
        <v>5223</v>
      </c>
      <c r="X762" s="22" t="s">
        <v>5223</v>
      </c>
      <c r="Y762" s="22"/>
      <c r="Z762" s="7"/>
      <c r="AA762" s="7"/>
      <c r="AB762" s="23"/>
      <c r="AC762" s="26"/>
    </row>
    <row r="763" spans="1:29" ht="15.75" customHeight="1">
      <c r="A763" s="10" t="s">
        <v>5275</v>
      </c>
      <c r="B763" s="10" t="s">
        <v>4410</v>
      </c>
      <c r="C763" s="19" t="s">
        <v>4411</v>
      </c>
      <c r="D763" s="12"/>
      <c r="E763" s="13" t="s">
        <v>151</v>
      </c>
      <c r="F763" s="6" t="s">
        <v>2236</v>
      </c>
      <c r="G763" s="15" t="str">
        <f ca="1">IFERROR(__xludf.DUMMYFUNCTION("CONCATENATE(B763,(VLOOKUP(C763,CATALOGOS!$F$2:$H$6,3,FALSE)),(VLOOKUP(V763,CATALOGOS!$J$2:$K$18,2,FALSE)),""-"",TO_TEXT(A763))"),"P24SJ-0762")</f>
        <v>P24SJ-0762</v>
      </c>
      <c r="H763" s="6" t="str">
        <f ca="1">IFERROR(__xludf.DUMMYFUNCTION("CONCATENATE($B763,(VLOOKUP($C763,CATALOGOS!$F$2:$H$6,3,FALSE)),(VLOOKUP($V763,CATALOGOS!$J$2:$K$18,2,FALSE)),""-"",TO_TEXT($A763))"),"P24SJ-0762")</f>
        <v>P24SJ-0762</v>
      </c>
      <c r="I763" s="6"/>
      <c r="J763" s="6" t="s">
        <v>5276</v>
      </c>
      <c r="K763" s="6" t="s">
        <v>5277</v>
      </c>
      <c r="L763" s="6" t="s">
        <v>5278</v>
      </c>
      <c r="M763" s="6" t="s">
        <v>5279</v>
      </c>
      <c r="N763" s="17"/>
      <c r="O763" s="17"/>
      <c r="P763" s="17" t="str">
        <f t="shared" si="5"/>
        <v>OK</v>
      </c>
      <c r="Q763" s="17" t="s">
        <v>1220</v>
      </c>
      <c r="R763" s="6" t="s">
        <v>720</v>
      </c>
      <c r="S763" s="17" t="s">
        <v>5280</v>
      </c>
      <c r="T763" s="17" t="s">
        <v>5281</v>
      </c>
      <c r="U763" s="179" t="s">
        <v>100</v>
      </c>
      <c r="V763" s="11" t="s">
        <v>4411</v>
      </c>
      <c r="W763" s="22" t="s">
        <v>5223</v>
      </c>
      <c r="X763" s="22" t="s">
        <v>5223</v>
      </c>
      <c r="Y763" s="22"/>
      <c r="Z763" s="7"/>
      <c r="AA763" s="7"/>
      <c r="AB763" s="23"/>
      <c r="AC763" s="26"/>
    </row>
    <row r="764" spans="1:29" ht="15.75" customHeight="1">
      <c r="A764" s="10" t="s">
        <v>5282</v>
      </c>
      <c r="B764" s="10" t="s">
        <v>4410</v>
      </c>
      <c r="C764" s="19" t="s">
        <v>4411</v>
      </c>
      <c r="D764" s="38"/>
      <c r="E764" s="13" t="s">
        <v>199</v>
      </c>
      <c r="F764" s="43" t="s">
        <v>5283</v>
      </c>
      <c r="G764" s="15" t="str">
        <f ca="1">IFERROR(__xludf.DUMMYFUNCTION("CONCATENATE(B764,(VLOOKUP(C764,CATALOGOS!$F$2:$H$6,3,FALSE)),(VLOOKUP(V764,CATALOGOS!$J$2:$K$18,2,FALSE)),""-"",TO_TEXT(A764))"),"P24SJ-0763")</f>
        <v>P24SJ-0763</v>
      </c>
      <c r="H764" s="6" t="str">
        <f ca="1">IFERROR(__xludf.DUMMYFUNCTION("CONCATENATE($B764,(VLOOKUP($C764,CATALOGOS!$F$2:$H$6,3,FALSE)),(VLOOKUP($V764,CATALOGOS!$J$2:$K$18,2,FALSE)),""-"",TO_TEXT($A764))"),"P24SJ-0763")</f>
        <v>P24SJ-0763</v>
      </c>
      <c r="I764" s="6"/>
      <c r="J764" s="6" t="s">
        <v>5284</v>
      </c>
      <c r="K764" s="6" t="s">
        <v>5285</v>
      </c>
      <c r="L764" s="6" t="s">
        <v>5286</v>
      </c>
      <c r="M764" s="6" t="s">
        <v>5287</v>
      </c>
      <c r="N764" s="17"/>
      <c r="O764" s="17"/>
      <c r="P764" s="17" t="str">
        <f t="shared" si="5"/>
        <v>OK</v>
      </c>
      <c r="Q764" s="17" t="s">
        <v>205</v>
      </c>
      <c r="R764" s="6" t="s">
        <v>794</v>
      </c>
      <c r="S764" s="46" t="s">
        <v>5288</v>
      </c>
      <c r="T764" s="17" t="s">
        <v>5289</v>
      </c>
      <c r="U764" s="179" t="s">
        <v>100</v>
      </c>
      <c r="V764" s="11" t="s">
        <v>4411</v>
      </c>
      <c r="W764" s="22" t="s">
        <v>5223</v>
      </c>
      <c r="X764" s="22" t="s">
        <v>5223</v>
      </c>
      <c r="Y764" s="22"/>
      <c r="Z764" s="7"/>
      <c r="AA764" s="7"/>
      <c r="AB764" s="26"/>
      <c r="AC764" s="26"/>
    </row>
    <row r="765" spans="1:29" ht="15.75" customHeight="1">
      <c r="A765" s="10" t="s">
        <v>5290</v>
      </c>
      <c r="B765" s="10" t="s">
        <v>4410</v>
      </c>
      <c r="C765" s="19" t="s">
        <v>4411</v>
      </c>
      <c r="D765" s="12"/>
      <c r="E765" s="13" t="s">
        <v>62</v>
      </c>
      <c r="F765" s="6" t="s">
        <v>5291</v>
      </c>
      <c r="G765" s="15" t="str">
        <f ca="1">IFERROR(__xludf.DUMMYFUNCTION("CONCATENATE(B765,(VLOOKUP(C765,CATALOGOS!$F$2:$H$6,3,FALSE)),(VLOOKUP(V765,CATALOGOS!$J$2:$K$18,2,FALSE)),""-"",TO_TEXT(A765))"),"P24CS-0764")</f>
        <v>P24CS-0764</v>
      </c>
      <c r="H765" s="6" t="str">
        <f ca="1">IFERROR(__xludf.DUMMYFUNCTION("CONCATENATE($B765,(VLOOKUP($C765,CATALOGOS!$F$2:$H$6,3,FALSE)),(VLOOKUP($V765,CATALOGOS!$J$2:$K$18,2,FALSE)),""-"",TO_TEXT($A765))"),"P24CS-0764")</f>
        <v>P24CS-0764</v>
      </c>
      <c r="I765" s="6"/>
      <c r="J765" s="6" t="s">
        <v>5292</v>
      </c>
      <c r="K765" s="6" t="s">
        <v>5293</v>
      </c>
      <c r="L765" s="6" t="s">
        <v>5294</v>
      </c>
      <c r="M765" s="6" t="s">
        <v>5295</v>
      </c>
      <c r="N765" s="17"/>
      <c r="O765" s="17"/>
      <c r="P765" s="17" t="str">
        <f t="shared" si="5"/>
        <v>OK</v>
      </c>
      <c r="Q765" s="17" t="s">
        <v>35</v>
      </c>
      <c r="R765" s="6" t="s">
        <v>35</v>
      </c>
      <c r="S765" s="17" t="s">
        <v>36</v>
      </c>
      <c r="T765" s="17" t="s">
        <v>5296</v>
      </c>
      <c r="U765" s="173" t="s">
        <v>38</v>
      </c>
      <c r="V765" s="11" t="s">
        <v>4979</v>
      </c>
      <c r="W765" s="20" t="s">
        <v>4980</v>
      </c>
      <c r="X765" s="20" t="s">
        <v>4980</v>
      </c>
      <c r="Y765" s="20"/>
      <c r="Z765" s="7"/>
      <c r="AA765" s="7"/>
      <c r="AB765" s="23"/>
      <c r="AC765" s="26"/>
    </row>
    <row r="766" spans="1:29" ht="15.75" customHeight="1">
      <c r="A766" s="10" t="s">
        <v>5297</v>
      </c>
      <c r="B766" s="10" t="s">
        <v>4410</v>
      </c>
      <c r="C766" s="19" t="s">
        <v>4411</v>
      </c>
      <c r="D766" s="12"/>
      <c r="E766" s="13" t="s">
        <v>43</v>
      </c>
      <c r="F766" s="43" t="s">
        <v>5298</v>
      </c>
      <c r="G766" s="15" t="str">
        <f ca="1">IFERROR(__xludf.DUMMYFUNCTION("CONCATENATE(B766,(VLOOKUP(C766,CATALOGOS!$F$2:$H$6,3,FALSE)),(VLOOKUP(V766,CATALOGOS!$J$2:$K$18,2,FALSE)),""-"",TO_TEXT(A766))"),"P24CS-0765")</f>
        <v>P24CS-0765</v>
      </c>
      <c r="H766" s="6" t="str">
        <f ca="1">IFERROR(__xludf.DUMMYFUNCTION("CONCATENATE($B766,(VLOOKUP($C766,CATALOGOS!$F$2:$H$6,3,FALSE)),(VLOOKUP($V766,CATALOGOS!$J$2:$K$18,2,FALSE)),""-"",TO_TEXT($A766))"),"P24CS-0765")</f>
        <v>P24CS-0765</v>
      </c>
      <c r="I766" s="6"/>
      <c r="J766" s="6" t="s">
        <v>5299</v>
      </c>
      <c r="K766" s="6" t="s">
        <v>5300</v>
      </c>
      <c r="L766" s="6" t="s">
        <v>5301</v>
      </c>
      <c r="M766" s="6" t="s">
        <v>5302</v>
      </c>
      <c r="N766" s="17"/>
      <c r="O766" s="17"/>
      <c r="P766" s="17" t="str">
        <f t="shared" si="5"/>
        <v>OK</v>
      </c>
      <c r="Q766" s="17" t="s">
        <v>406</v>
      </c>
      <c r="R766" s="6" t="s">
        <v>2674</v>
      </c>
      <c r="S766" s="17" t="s">
        <v>36</v>
      </c>
      <c r="T766" s="10" t="s">
        <v>5303</v>
      </c>
      <c r="U766" s="173" t="s">
        <v>38</v>
      </c>
      <c r="V766" s="11" t="s">
        <v>4979</v>
      </c>
      <c r="W766" s="20" t="s">
        <v>4980</v>
      </c>
      <c r="X766" s="20" t="s">
        <v>4980</v>
      </c>
      <c r="Y766" s="20"/>
      <c r="Z766" s="7"/>
      <c r="AA766" s="7"/>
      <c r="AB766" s="23"/>
      <c r="AC766" s="26"/>
    </row>
    <row r="767" spans="1:29" ht="15.75" customHeight="1">
      <c r="A767" s="10" t="s">
        <v>5304</v>
      </c>
      <c r="B767" s="10" t="s">
        <v>4410</v>
      </c>
      <c r="C767" s="19" t="s">
        <v>4411</v>
      </c>
      <c r="D767" s="12"/>
      <c r="E767" s="13" t="s">
        <v>378</v>
      </c>
      <c r="F767" s="6" t="s">
        <v>1306</v>
      </c>
      <c r="G767" s="15" t="str">
        <f ca="1">IFERROR(__xludf.DUMMYFUNCTION("CONCATENATE(B767,(VLOOKUP(C767,CATALOGOS!$F$2:$H$6,3,FALSE)),(VLOOKUP(V767,CATALOGOS!$J$2:$K$18,2,FALSE)),""-"",TO_TEXT(A767))"),"P24CS-0766")</f>
        <v>P24CS-0766</v>
      </c>
      <c r="H767" s="6" t="str">
        <f ca="1">IFERROR(__xludf.DUMMYFUNCTION("CONCATENATE($B767,(VLOOKUP($C767,CATALOGOS!$F$2:$H$6,3,FALSE)),(VLOOKUP($V767,CATALOGOS!$J$2:$K$18,2,FALSE)),""-"",TO_TEXT($A767))"),"P24CS-0766")</f>
        <v>P24CS-0766</v>
      </c>
      <c r="I767" s="6"/>
      <c r="J767" s="6" t="s">
        <v>5305</v>
      </c>
      <c r="K767" s="6" t="s">
        <v>5306</v>
      </c>
      <c r="L767" s="6" t="s">
        <v>5307</v>
      </c>
      <c r="M767" s="6" t="s">
        <v>5308</v>
      </c>
      <c r="N767" s="17"/>
      <c r="O767" s="17"/>
      <c r="P767" s="17" t="str">
        <f t="shared" si="5"/>
        <v>OK</v>
      </c>
      <c r="Q767" s="17" t="s">
        <v>35</v>
      </c>
      <c r="R767" s="6" t="s">
        <v>35</v>
      </c>
      <c r="S767" s="17" t="s">
        <v>36</v>
      </c>
      <c r="T767" s="17" t="s">
        <v>5309</v>
      </c>
      <c r="U767" s="173" t="s">
        <v>38</v>
      </c>
      <c r="V767" s="11" t="s">
        <v>4979</v>
      </c>
      <c r="W767" s="20" t="s">
        <v>4980</v>
      </c>
      <c r="X767" s="20" t="s">
        <v>4980</v>
      </c>
      <c r="Y767" s="20"/>
      <c r="Z767" s="7"/>
      <c r="AA767" s="7"/>
      <c r="AB767" s="23"/>
      <c r="AC767" s="26"/>
    </row>
    <row r="768" spans="1:29" ht="15.75" customHeight="1">
      <c r="A768" s="10" t="s">
        <v>5311</v>
      </c>
      <c r="B768" s="10" t="s">
        <v>4410</v>
      </c>
      <c r="C768" s="19" t="s">
        <v>4411</v>
      </c>
      <c r="D768" s="12"/>
      <c r="E768" s="13" t="s">
        <v>378</v>
      </c>
      <c r="F768" s="6" t="s">
        <v>1306</v>
      </c>
      <c r="G768" s="15" t="str">
        <f ca="1">IFERROR(__xludf.DUMMYFUNCTION("CONCATENATE(B768,(VLOOKUP(C768,CATALOGOS!$F$2:$H$6,3,FALSE)),(VLOOKUP(V768,CATALOGOS!$J$2:$K$18,2,FALSE)),""-"",TO_TEXT(A768))"),"P24SJ-0767")</f>
        <v>P24SJ-0767</v>
      </c>
      <c r="H768" s="6" t="str">
        <f ca="1">IFERROR(__xludf.DUMMYFUNCTION("CONCATENATE($B768,(VLOOKUP($C768,CATALOGOS!$F$2:$H$6,3,FALSE)),(VLOOKUP($V768,CATALOGOS!$J$2:$K$18,2,FALSE)),""-"",TO_TEXT($A768))"),"P24SJ-0767")</f>
        <v>P24SJ-0767</v>
      </c>
      <c r="I768" s="6"/>
      <c r="J768" s="6" t="s">
        <v>5312</v>
      </c>
      <c r="K768" s="6" t="s">
        <v>5313</v>
      </c>
      <c r="L768" s="6" t="s">
        <v>5314</v>
      </c>
      <c r="M768" s="6" t="s">
        <v>5315</v>
      </c>
      <c r="N768" s="17"/>
      <c r="O768" s="17"/>
      <c r="P768" s="17" t="str">
        <f t="shared" si="5"/>
        <v>OK</v>
      </c>
      <c r="Q768" s="17" t="s">
        <v>35</v>
      </c>
      <c r="R768" s="6" t="s">
        <v>35</v>
      </c>
      <c r="S768" s="17" t="s">
        <v>36</v>
      </c>
      <c r="T768" s="17" t="s">
        <v>5316</v>
      </c>
      <c r="U768" s="173" t="s">
        <v>38</v>
      </c>
      <c r="V768" s="11" t="s">
        <v>4411</v>
      </c>
      <c r="W768" s="20" t="s">
        <v>5310</v>
      </c>
      <c r="X768" s="20" t="s">
        <v>4980</v>
      </c>
      <c r="Y768" s="20"/>
      <c r="Z768" s="7"/>
      <c r="AA768" s="7"/>
      <c r="AB768" s="23"/>
      <c r="AC768" s="26"/>
    </row>
    <row r="769" spans="1:30" ht="15.75" customHeight="1">
      <c r="A769" s="10" t="s">
        <v>5317</v>
      </c>
      <c r="B769" s="10" t="s">
        <v>1469</v>
      </c>
      <c r="C769" s="60" t="s">
        <v>1470</v>
      </c>
      <c r="D769" s="12"/>
      <c r="E769" s="13" t="s">
        <v>184</v>
      </c>
      <c r="F769" s="43" t="s">
        <v>5318</v>
      </c>
      <c r="G769" s="64" t="str">
        <f ca="1">IFERROR(__xludf.DUMMYFUNCTION("CONCATENATE(B769,(VLOOKUP(C769,CATALOGOS!$F$2:$H$6,3,FALSE)),(VLOOKUP(V769,CATALOGOS!$J$2:$K$18,2,FALSE)),""-"",TO_TEXT(A769))"),"P12CS-0768")</f>
        <v>P12CS-0768</v>
      </c>
      <c r="H769" s="6" t="str">
        <f ca="1">IFERROR(__xludf.DUMMYFUNCTION("CONCATENATE($B769,(VLOOKUP($C769,CATALOGOS!$F$2:$H$6,3,FALSE)),(VLOOKUP($V769,CATALOGOS!$J$2:$K$18,2,FALSE)),""-"",TO_TEXT($A769))"),"P12CS-0768")</f>
        <v>P12CS-0768</v>
      </c>
      <c r="I769" s="6"/>
      <c r="J769" s="6" t="s">
        <v>5319</v>
      </c>
      <c r="K769" s="6" t="s">
        <v>5320</v>
      </c>
      <c r="L769" s="6" t="s">
        <v>5321</v>
      </c>
      <c r="M769" s="6" t="s">
        <v>5322</v>
      </c>
      <c r="N769" s="17"/>
      <c r="O769" s="17"/>
      <c r="P769" s="17" t="str">
        <f t="shared" si="5"/>
        <v>OK</v>
      </c>
      <c r="Q769" s="17" t="s">
        <v>35</v>
      </c>
      <c r="R769" s="6" t="s">
        <v>35</v>
      </c>
      <c r="S769" s="17" t="s">
        <v>36</v>
      </c>
      <c r="T769" s="17" t="s">
        <v>5323</v>
      </c>
      <c r="U769" s="179" t="s">
        <v>100</v>
      </c>
      <c r="V769" s="11" t="s">
        <v>4979</v>
      </c>
      <c r="W769" s="20" t="s">
        <v>1597</v>
      </c>
      <c r="X769" s="20" t="s">
        <v>1597</v>
      </c>
      <c r="Y769" s="20"/>
      <c r="Z769" s="7"/>
      <c r="AA769" s="7"/>
      <c r="AB769" s="23"/>
      <c r="AC769" s="26"/>
    </row>
    <row r="770" spans="1:30" ht="15.75" customHeight="1">
      <c r="A770" s="10" t="s">
        <v>5324</v>
      </c>
      <c r="B770" s="10" t="s">
        <v>4410</v>
      </c>
      <c r="C770" s="19" t="s">
        <v>4411</v>
      </c>
      <c r="D770" s="12"/>
      <c r="E770" s="13" t="s">
        <v>248</v>
      </c>
      <c r="F770" s="43" t="s">
        <v>249</v>
      </c>
      <c r="G770" s="15" t="str">
        <f ca="1">IFERROR(__xludf.DUMMYFUNCTION("CONCATENATE(B770,(VLOOKUP(C770,CATALOGOS!$F$2:$H$6,3,FALSE)),(VLOOKUP(V770,CATALOGOS!$J$2:$K$18,2,FALSE)),""-"",TO_TEXT(A770))"),"P24CS-0769")</f>
        <v>P24CS-0769</v>
      </c>
      <c r="H770" s="6" t="str">
        <f ca="1">IFERROR(__xludf.DUMMYFUNCTION("CONCATENATE($B770,(VLOOKUP($C770,CATALOGOS!$F$2:$H$6,3,FALSE)),(VLOOKUP($V770,CATALOGOS!$J$2:$K$18,2,FALSE)),""-"",TO_TEXT($A770))"),"P24CS-0769")</f>
        <v>P24CS-0769</v>
      </c>
      <c r="I770" s="6"/>
      <c r="J770" s="6" t="s">
        <v>5325</v>
      </c>
      <c r="K770" s="6" t="s">
        <v>5326</v>
      </c>
      <c r="L770" s="6" t="s">
        <v>5327</v>
      </c>
      <c r="M770" s="43" t="s">
        <v>5328</v>
      </c>
      <c r="N770" s="17"/>
      <c r="O770" s="17"/>
      <c r="P770" s="17" t="str">
        <f t="shared" si="5"/>
        <v>OK</v>
      </c>
      <c r="Q770" s="17" t="s">
        <v>978</v>
      </c>
      <c r="R770" s="6" t="s">
        <v>979</v>
      </c>
      <c r="S770" s="17" t="s">
        <v>5329</v>
      </c>
      <c r="T770" s="17" t="s">
        <v>5330</v>
      </c>
      <c r="U770" s="173" t="s">
        <v>38</v>
      </c>
      <c r="V770" s="11" t="s">
        <v>4979</v>
      </c>
      <c r="W770" s="20" t="s">
        <v>4980</v>
      </c>
      <c r="X770" s="20" t="s">
        <v>4980</v>
      </c>
      <c r="Y770" s="20"/>
      <c r="Z770" s="7"/>
      <c r="AA770" s="7"/>
      <c r="AB770" s="23"/>
      <c r="AC770" s="26"/>
    </row>
    <row r="771" spans="1:30" ht="15.75" customHeight="1">
      <c r="A771" s="10" t="s">
        <v>5331</v>
      </c>
      <c r="B771" s="10" t="s">
        <v>4410</v>
      </c>
      <c r="C771" s="19" t="s">
        <v>4411</v>
      </c>
      <c r="D771" s="12"/>
      <c r="E771" s="13" t="s">
        <v>93</v>
      </c>
      <c r="F771" s="43" t="s">
        <v>5332</v>
      </c>
      <c r="G771" s="15" t="str">
        <f ca="1">IFERROR(__xludf.DUMMYFUNCTION("CONCATENATE(B771,(VLOOKUP(C771,CATALOGOS!$F$2:$H$6,3,FALSE)),(VLOOKUP(V771,CATALOGOS!$J$2:$K$18,2,FALSE)),""-"",TO_TEXT(A771))"),"P24CS-0770")</f>
        <v>P24CS-0770</v>
      </c>
      <c r="H771" s="6" t="str">
        <f ca="1">IFERROR(__xludf.DUMMYFUNCTION("CONCATENATE($B771,(VLOOKUP($C771,CATALOGOS!$F$2:$H$6,3,FALSE)),(VLOOKUP($V771,CATALOGOS!$J$2:$K$18,2,FALSE)),""-"",TO_TEXT($A771))"),"P24CS-0770")</f>
        <v>P24CS-0770</v>
      </c>
      <c r="I771" s="6"/>
      <c r="J771" s="6" t="s">
        <v>5333</v>
      </c>
      <c r="K771" s="54"/>
      <c r="L771" s="6" t="s">
        <v>5334</v>
      </c>
      <c r="M771" s="6" t="s">
        <v>141</v>
      </c>
      <c r="N771" s="17"/>
      <c r="O771" s="17"/>
      <c r="P771" s="17" t="str">
        <f t="shared" si="5"/>
        <v>REPETIDO</v>
      </c>
      <c r="Q771" s="17" t="s">
        <v>35</v>
      </c>
      <c r="R771" s="32" t="s">
        <v>35</v>
      </c>
      <c r="S771" s="17" t="s">
        <v>36</v>
      </c>
      <c r="T771" s="17" t="s">
        <v>5335</v>
      </c>
      <c r="U771" s="173" t="s">
        <v>38</v>
      </c>
      <c r="V771" s="11" t="s">
        <v>4979</v>
      </c>
      <c r="W771" s="20" t="s">
        <v>4980</v>
      </c>
      <c r="X771" s="20" t="s">
        <v>4980</v>
      </c>
      <c r="Y771" s="20"/>
      <c r="Z771" s="7"/>
      <c r="AA771" s="7"/>
      <c r="AB771" s="23"/>
      <c r="AC771" s="26"/>
    </row>
    <row r="772" spans="1:30" ht="15.75" customHeight="1">
      <c r="A772" s="10" t="s">
        <v>5336</v>
      </c>
      <c r="B772" s="10" t="s">
        <v>4410</v>
      </c>
      <c r="C772" s="19" t="s">
        <v>4411</v>
      </c>
      <c r="D772" s="12"/>
      <c r="E772" s="13" t="s">
        <v>29</v>
      </c>
      <c r="F772" s="6" t="s">
        <v>5337</v>
      </c>
      <c r="G772" s="15" t="str">
        <f ca="1">IFERROR(__xludf.DUMMYFUNCTION("CONCATENATE(B772,(VLOOKUP(C772,CATALOGOS!$F$2:$H$6,3,FALSE)),(VLOOKUP(V772,CATALOGOS!$J$2:$K$18,2,FALSE)),""-"",TO_TEXT(A772))"),"P24CS-0771")</f>
        <v>P24CS-0771</v>
      </c>
      <c r="H772" s="6" t="str">
        <f ca="1">IFERROR(__xludf.DUMMYFUNCTION("CONCATENATE($B772,(VLOOKUP($C772,CATALOGOS!$F$2:$H$6,3,FALSE)),(VLOOKUP($V772,CATALOGOS!$J$2:$K$18,2,FALSE)),""-"",TO_TEXT($A772))"),"P24CS-0771")</f>
        <v>P24CS-0771</v>
      </c>
      <c r="I772" s="6"/>
      <c r="J772" s="6" t="s">
        <v>5338</v>
      </c>
      <c r="K772" s="54"/>
      <c r="L772" s="36"/>
      <c r="M772" s="6" t="s">
        <v>141</v>
      </c>
      <c r="N772" s="17"/>
      <c r="O772" s="17"/>
      <c r="P772" s="17" t="str">
        <f t="shared" si="5"/>
        <v>REPETIDO</v>
      </c>
      <c r="Q772" s="35" t="s">
        <v>35</v>
      </c>
      <c r="R772" s="6" t="s">
        <v>35</v>
      </c>
      <c r="S772" s="10" t="s">
        <v>36</v>
      </c>
      <c r="T772" s="32" t="s">
        <v>85</v>
      </c>
      <c r="U772" s="173" t="s">
        <v>38</v>
      </c>
      <c r="V772" s="11" t="s">
        <v>4979</v>
      </c>
      <c r="W772" s="20" t="s">
        <v>4980</v>
      </c>
      <c r="X772" s="20" t="s">
        <v>4980</v>
      </c>
      <c r="Y772" s="20"/>
      <c r="Z772" s="7"/>
      <c r="AA772" s="7"/>
      <c r="AB772" s="23"/>
      <c r="AC772" s="26"/>
    </row>
    <row r="773" spans="1:30" ht="29.25">
      <c r="A773" s="10" t="s">
        <v>5339</v>
      </c>
      <c r="B773" s="10" t="s">
        <v>4410</v>
      </c>
      <c r="C773" s="19" t="s">
        <v>4411</v>
      </c>
      <c r="D773" s="12"/>
      <c r="E773" s="13" t="s">
        <v>3521</v>
      </c>
      <c r="F773" s="43" t="s">
        <v>5340</v>
      </c>
      <c r="G773" s="15" t="str">
        <f ca="1">IFERROR(__xludf.DUMMYFUNCTION("CONCATENATE(B773,(VLOOKUP(C773,CATALOGOS!$F$2:$H$6,3,FALSE)),(VLOOKUP(V773,CATALOGOS!$J$2:$K$18,2,FALSE)),""-"",TO_TEXT(A773))"),"P24CS-0772")</f>
        <v>P24CS-0772</v>
      </c>
      <c r="H773" s="6" t="str">
        <f ca="1">IFERROR(__xludf.DUMMYFUNCTION("CONCATENATE($B773,(VLOOKUP($C773,CATALOGOS!$F$2:$H$6,3,FALSE)),(VLOOKUP($V773,CATALOGOS!$J$2:$K$18,2,FALSE)),""-"",TO_TEXT($A773))"),"P24CS-0772")</f>
        <v>P24CS-0772</v>
      </c>
      <c r="I773" s="6"/>
      <c r="J773" s="6" t="s">
        <v>5341</v>
      </c>
      <c r="K773" s="10" t="s">
        <v>5342</v>
      </c>
      <c r="L773" s="6" t="s">
        <v>5343</v>
      </c>
      <c r="M773" s="6" t="s">
        <v>5344</v>
      </c>
      <c r="N773" s="17"/>
      <c r="O773" s="17"/>
      <c r="P773" s="17" t="str">
        <f t="shared" si="5"/>
        <v>OK</v>
      </c>
      <c r="Q773" s="17" t="s">
        <v>35</v>
      </c>
      <c r="R773" s="6" t="s">
        <v>35</v>
      </c>
      <c r="S773" s="17" t="s">
        <v>36</v>
      </c>
      <c r="T773" s="17" t="s">
        <v>85</v>
      </c>
      <c r="U773" s="173" t="s">
        <v>38</v>
      </c>
      <c r="V773" s="11" t="s">
        <v>4979</v>
      </c>
      <c r="W773" s="20" t="s">
        <v>4980</v>
      </c>
      <c r="X773" s="20" t="s">
        <v>4980</v>
      </c>
      <c r="Y773" s="20"/>
      <c r="Z773" s="7"/>
      <c r="AA773" s="7"/>
      <c r="AB773" s="23"/>
      <c r="AC773" s="26"/>
    </row>
    <row r="774" spans="1:30" ht="30" customHeight="1">
      <c r="A774" s="10" t="s">
        <v>5345</v>
      </c>
      <c r="B774" s="10" t="s">
        <v>4410</v>
      </c>
      <c r="C774" s="19" t="s">
        <v>4411</v>
      </c>
      <c r="D774" s="12"/>
      <c r="E774" s="13" t="s">
        <v>116</v>
      </c>
      <c r="F774" s="6" t="s">
        <v>4638</v>
      </c>
      <c r="G774" s="15" t="str">
        <f ca="1">IFERROR(__xludf.DUMMYFUNCTION("CONCATENATE(B774,(VLOOKUP(C774,CATALOGOS!$F$2:$H$6,3,FALSE)),(VLOOKUP(V774,CATALOGOS!$J$2:$K$18,2,FALSE)),""-"",TO_TEXT(A774))"),"P24CS-0773")</f>
        <v>P24CS-0773</v>
      </c>
      <c r="H774" s="6" t="str">
        <f ca="1">IFERROR(__xludf.DUMMYFUNCTION("CONCATENATE($B774,(VLOOKUP($C774,CATALOGOS!$F$2:$H$6,3,FALSE)),(VLOOKUP($V774,CATALOGOS!$J$2:$K$18,2,FALSE)),""-"",TO_TEXT($A774))"),"P24CS-0773")</f>
        <v>P24CS-0773</v>
      </c>
      <c r="I774" s="6"/>
      <c r="J774" s="6" t="s">
        <v>5346</v>
      </c>
      <c r="K774" s="6" t="s">
        <v>5347</v>
      </c>
      <c r="L774" s="6" t="s">
        <v>5348</v>
      </c>
      <c r="M774" s="6" t="s">
        <v>5349</v>
      </c>
      <c r="N774" s="17"/>
      <c r="O774" s="17"/>
      <c r="P774" s="17" t="str">
        <f t="shared" si="5"/>
        <v>OK</v>
      </c>
      <c r="Q774" s="17" t="s">
        <v>35</v>
      </c>
      <c r="R774" s="6" t="s">
        <v>35</v>
      </c>
      <c r="S774" s="17" t="s">
        <v>36</v>
      </c>
      <c r="T774" s="17" t="s">
        <v>5350</v>
      </c>
      <c r="U774" s="173" t="s">
        <v>38</v>
      </c>
      <c r="V774" s="11" t="s">
        <v>4979</v>
      </c>
      <c r="W774" s="20" t="s">
        <v>4980</v>
      </c>
      <c r="X774" s="20" t="s">
        <v>4980</v>
      </c>
      <c r="Y774" s="20"/>
      <c r="Z774" s="7"/>
      <c r="AA774" s="7"/>
      <c r="AB774" s="23"/>
      <c r="AC774" s="26"/>
    </row>
    <row r="775" spans="1:30" ht="15.75" customHeight="1">
      <c r="A775" s="10" t="s">
        <v>5351</v>
      </c>
      <c r="B775" s="10" t="s">
        <v>4410</v>
      </c>
      <c r="C775" s="19" t="s">
        <v>4411</v>
      </c>
      <c r="D775" s="12"/>
      <c r="E775" s="13" t="s">
        <v>162</v>
      </c>
      <c r="F775" s="43" t="s">
        <v>285</v>
      </c>
      <c r="G775" s="15" t="str">
        <f ca="1">IFERROR(__xludf.DUMMYFUNCTION("CONCATENATE(B775,(VLOOKUP(C775,CATALOGOS!$F$2:$H$6,3,FALSE)),(VLOOKUP(V775,CATALOGOS!$J$2:$K$18,2,FALSE)),""-"",TO_TEXT(A775))"),"P24CS-0774")</f>
        <v>P24CS-0774</v>
      </c>
      <c r="H775" s="6" t="str">
        <f ca="1">IFERROR(__xludf.DUMMYFUNCTION("CONCATENATE($B775,(VLOOKUP($C775,CATALOGOS!$F$2:$H$6,3,FALSE)),(VLOOKUP($V775,CATALOGOS!$J$2:$K$18,2,FALSE)),""-"",TO_TEXT($A775))"),"P24CS-0774")</f>
        <v>P24CS-0774</v>
      </c>
      <c r="I775" s="6"/>
      <c r="J775" s="6" t="s">
        <v>5352</v>
      </c>
      <c r="K775" s="6" t="s">
        <v>5353</v>
      </c>
      <c r="L775" s="6" t="s">
        <v>5354</v>
      </c>
      <c r="M775" s="6" t="s">
        <v>5355</v>
      </c>
      <c r="N775" s="17"/>
      <c r="O775" s="17"/>
      <c r="P775" s="17" t="str">
        <f t="shared" si="5"/>
        <v>OK</v>
      </c>
      <c r="Q775" s="17" t="s">
        <v>168</v>
      </c>
      <c r="R775" s="6" t="s">
        <v>169</v>
      </c>
      <c r="S775" s="17" t="s">
        <v>5356</v>
      </c>
      <c r="T775" s="17" t="s">
        <v>5357</v>
      </c>
      <c r="U775" s="173" t="s">
        <v>38</v>
      </c>
      <c r="V775" s="188" t="s">
        <v>4979</v>
      </c>
      <c r="W775" s="20" t="s">
        <v>4980</v>
      </c>
      <c r="X775" s="20" t="s">
        <v>4980</v>
      </c>
      <c r="Y775" s="20"/>
      <c r="Z775" s="7"/>
      <c r="AA775" s="7"/>
      <c r="AB775" s="23"/>
      <c r="AC775" s="26"/>
    </row>
    <row r="776" spans="1:30" ht="15.75" customHeight="1">
      <c r="A776" s="10" t="s">
        <v>5358</v>
      </c>
      <c r="B776" s="10" t="s">
        <v>4410</v>
      </c>
      <c r="C776" s="19" t="s">
        <v>4411</v>
      </c>
      <c r="D776" s="12"/>
      <c r="E776" s="13" t="s">
        <v>199</v>
      </c>
      <c r="F776" s="6" t="s">
        <v>199</v>
      </c>
      <c r="G776" s="15" t="str">
        <f ca="1">IFERROR(__xludf.DUMMYFUNCTION("CONCATENATE(B776,(VLOOKUP(C776,CATALOGOS!$F$2:$H$6,3,FALSE)),(VLOOKUP(V776,CATALOGOS!$J$2:$K$18,2,FALSE)),""-"",TO_TEXT(A776))"),"P24CS-0775")</f>
        <v>P24CS-0775</v>
      </c>
      <c r="H776" s="6" t="str">
        <f ca="1">IFERROR(__xludf.DUMMYFUNCTION("CONCATENATE($B776,(VLOOKUP($C776,CATALOGOS!$F$2:$H$6,3,FALSE)),(VLOOKUP($V776,CATALOGOS!$J$2:$K$18,2,FALSE)),""-"",TO_TEXT($A776))"),"P24CS-0775")</f>
        <v>P24CS-0775</v>
      </c>
      <c r="I776" s="6"/>
      <c r="J776" s="6" t="s">
        <v>5359</v>
      </c>
      <c r="K776" s="6" t="s">
        <v>5360</v>
      </c>
      <c r="L776" s="36"/>
      <c r="M776" s="6" t="s">
        <v>5361</v>
      </c>
      <c r="N776" s="17"/>
      <c r="O776" s="17"/>
      <c r="P776" s="17" t="str">
        <f t="shared" si="5"/>
        <v>OK</v>
      </c>
      <c r="Q776" s="17" t="s">
        <v>273</v>
      </c>
      <c r="R776" s="6" t="s">
        <v>274</v>
      </c>
      <c r="S776" s="6">
        <v>11392903015655</v>
      </c>
      <c r="T776" s="10" t="s">
        <v>85</v>
      </c>
      <c r="U776" s="173" t="s">
        <v>38</v>
      </c>
      <c r="V776" s="11" t="s">
        <v>4979</v>
      </c>
      <c r="W776" s="20" t="s">
        <v>4980</v>
      </c>
      <c r="X776" s="20" t="s">
        <v>4980</v>
      </c>
      <c r="Y776" s="20"/>
      <c r="Z776" s="6"/>
      <c r="AA776" s="6"/>
      <c r="AB776" s="41" t="s">
        <v>275</v>
      </c>
      <c r="AC776" s="42">
        <v>44403</v>
      </c>
      <c r="AD776" s="8">
        <v>11249</v>
      </c>
    </row>
    <row r="777" spans="1:30" ht="15.75" customHeight="1">
      <c r="A777" s="10" t="s">
        <v>5362</v>
      </c>
      <c r="B777" s="10" t="s">
        <v>4410</v>
      </c>
      <c r="C777" s="19" t="s">
        <v>4411</v>
      </c>
      <c r="D777" s="38"/>
      <c r="E777" s="13" t="s">
        <v>151</v>
      </c>
      <c r="F777" s="6" t="s">
        <v>4113</v>
      </c>
      <c r="G777" s="15" t="str">
        <f ca="1">IFERROR(__xludf.DUMMYFUNCTION("CONCATENATE(B777,(VLOOKUP(C777,CATALOGOS!$F$2:$H$6,3,FALSE)),(VLOOKUP(V777,CATALOGOS!$J$2:$K$18,2,FALSE)),""-"",TO_TEXT(A777))"),"P24CS-0776")</f>
        <v>P24CS-0776</v>
      </c>
      <c r="H777" s="6" t="str">
        <f ca="1">IFERROR(__xludf.DUMMYFUNCTION("CONCATENATE($B777,(VLOOKUP($C777,CATALOGOS!$F$2:$H$6,3,FALSE)),(VLOOKUP($V777,CATALOGOS!$J$2:$K$18,2,FALSE)),""-"",TO_TEXT($A777))"),"P24CS-0776")</f>
        <v>P24CS-0776</v>
      </c>
      <c r="I777" s="6"/>
      <c r="J777" s="6" t="s">
        <v>5363</v>
      </c>
      <c r="K777" s="6" t="s">
        <v>5364</v>
      </c>
      <c r="L777" s="36"/>
      <c r="M777" s="6" t="s">
        <v>5365</v>
      </c>
      <c r="N777" s="17"/>
      <c r="O777" s="17"/>
      <c r="P777" s="17" t="str">
        <f t="shared" si="5"/>
        <v>OK</v>
      </c>
      <c r="Q777" s="17" t="s">
        <v>297</v>
      </c>
      <c r="R777" s="6" t="s">
        <v>298</v>
      </c>
      <c r="S777" s="6" t="s">
        <v>5366</v>
      </c>
      <c r="T777" s="32" t="s">
        <v>85</v>
      </c>
      <c r="U777" s="173" t="s">
        <v>38</v>
      </c>
      <c r="V777" s="11" t="s">
        <v>4979</v>
      </c>
      <c r="W777" s="20" t="s">
        <v>4980</v>
      </c>
      <c r="X777" s="20" t="s">
        <v>4980</v>
      </c>
      <c r="Y777" s="20"/>
      <c r="Z777" s="6"/>
      <c r="AA777" s="6"/>
      <c r="AB777" s="73" t="s">
        <v>275</v>
      </c>
      <c r="AC777" s="42">
        <v>44403</v>
      </c>
      <c r="AD777" s="8">
        <v>0</v>
      </c>
    </row>
    <row r="778" spans="1:30" ht="15.75" customHeight="1">
      <c r="A778" s="10" t="s">
        <v>5367</v>
      </c>
      <c r="B778" s="10" t="s">
        <v>4410</v>
      </c>
      <c r="C778" s="19" t="s">
        <v>4411</v>
      </c>
      <c r="D778" s="12"/>
      <c r="E778" s="13" t="s">
        <v>62</v>
      </c>
      <c r="F778" s="6" t="s">
        <v>5368</v>
      </c>
      <c r="G778" s="15" t="str">
        <f ca="1">IFERROR(__xludf.DUMMYFUNCTION("CONCATENATE(B778,(VLOOKUP(C778,CATALOGOS!$F$2:$H$6,3,FALSE)),(VLOOKUP(V778,CATALOGOS!$J$2:$K$18,2,FALSE)),""-"",TO_TEXT(A778))"),"P24CS-0777")</f>
        <v>P24CS-0777</v>
      </c>
      <c r="H778" s="6" t="str">
        <f ca="1">IFERROR(__xludf.DUMMYFUNCTION("CONCATENATE($B778,(VLOOKUP($C778,CATALOGOS!$F$2:$H$6,3,FALSE)),(VLOOKUP($V778,CATALOGOS!$J$2:$K$18,2,FALSE)),""-"",TO_TEXT($A778))"),"P24CS-0777")</f>
        <v>P24CS-0777</v>
      </c>
      <c r="I778" s="6"/>
      <c r="J778" s="6" t="s">
        <v>5369</v>
      </c>
      <c r="K778" s="6" t="s">
        <v>5370</v>
      </c>
      <c r="L778" s="6" t="s">
        <v>5371</v>
      </c>
      <c r="M778" s="6" t="s">
        <v>5372</v>
      </c>
      <c r="N778" s="17"/>
      <c r="O778" s="17"/>
      <c r="P778" s="17" t="str">
        <f t="shared" si="5"/>
        <v>OK</v>
      </c>
      <c r="Q778" s="17" t="s">
        <v>35</v>
      </c>
      <c r="R778" s="6" t="s">
        <v>35</v>
      </c>
      <c r="S778" s="17" t="s">
        <v>36</v>
      </c>
      <c r="T778" s="17" t="s">
        <v>5373</v>
      </c>
      <c r="U778" s="173" t="s">
        <v>38</v>
      </c>
      <c r="V778" s="11" t="s">
        <v>4979</v>
      </c>
      <c r="W778" s="22" t="s">
        <v>5374</v>
      </c>
      <c r="X778" s="22" t="s">
        <v>5374</v>
      </c>
      <c r="Y778" s="22"/>
      <c r="Z778" s="7"/>
      <c r="AA778" s="7"/>
      <c r="AB778" s="23"/>
      <c r="AC778" s="26"/>
    </row>
    <row r="779" spans="1:30" ht="15.75" customHeight="1">
      <c r="A779" s="10" t="s">
        <v>5375</v>
      </c>
      <c r="B779" s="10" t="s">
        <v>4410</v>
      </c>
      <c r="C779" s="19" t="s">
        <v>4411</v>
      </c>
      <c r="D779" s="12"/>
      <c r="E779" s="13" t="s">
        <v>43</v>
      </c>
      <c r="F779" s="43" t="s">
        <v>885</v>
      </c>
      <c r="G779" s="15" t="str">
        <f ca="1">IFERROR(__xludf.DUMMYFUNCTION("CONCATENATE(B779,(VLOOKUP(C779,CATALOGOS!$F$2:$H$6,3,FALSE)),(VLOOKUP(V779,CATALOGOS!$J$2:$K$18,2,FALSE)),""-"",TO_TEXT(A779))"),"P24CS-0778")</f>
        <v>P24CS-0778</v>
      </c>
      <c r="H779" s="6" t="str">
        <f ca="1">IFERROR(__xludf.DUMMYFUNCTION("CONCATENATE($B779,(VLOOKUP($C779,CATALOGOS!$F$2:$H$6,3,FALSE)),(VLOOKUP($V779,CATALOGOS!$J$2:$K$18,2,FALSE)),""-"",TO_TEXT($A779))"),"P24CS-0778")</f>
        <v>P24CS-0778</v>
      </c>
      <c r="I779" s="6"/>
      <c r="J779" s="6" t="s">
        <v>5376</v>
      </c>
      <c r="K779" s="6" t="s">
        <v>5377</v>
      </c>
      <c r="L779" s="6" t="s">
        <v>5378</v>
      </c>
      <c r="M779" s="43" t="s">
        <v>5379</v>
      </c>
      <c r="N779" s="17"/>
      <c r="O779" s="17"/>
      <c r="P779" s="17" t="str">
        <f t="shared" si="5"/>
        <v>OK</v>
      </c>
      <c r="Q779" s="17" t="s">
        <v>2586</v>
      </c>
      <c r="R779" s="6" t="s">
        <v>5380</v>
      </c>
      <c r="S779" s="17" t="s">
        <v>36</v>
      </c>
      <c r="T779" s="10" t="s">
        <v>5381</v>
      </c>
      <c r="U779" s="173" t="s">
        <v>38</v>
      </c>
      <c r="V779" s="11" t="s">
        <v>4979</v>
      </c>
      <c r="W779" s="22" t="s">
        <v>5374</v>
      </c>
      <c r="X779" s="22" t="s">
        <v>5374</v>
      </c>
      <c r="Y779" s="22"/>
      <c r="Z779" s="7"/>
      <c r="AA779" s="7"/>
      <c r="AB779" s="23"/>
      <c r="AC779" s="26"/>
    </row>
    <row r="780" spans="1:30" ht="15.75" customHeight="1">
      <c r="A780" s="10" t="s">
        <v>5382</v>
      </c>
      <c r="B780" s="10" t="s">
        <v>4410</v>
      </c>
      <c r="C780" s="19" t="s">
        <v>4411</v>
      </c>
      <c r="D780" s="12"/>
      <c r="E780" s="13" t="s">
        <v>93</v>
      </c>
      <c r="F780" s="6" t="s">
        <v>5383</v>
      </c>
      <c r="G780" s="15" t="str">
        <f ca="1">IFERROR(__xludf.DUMMYFUNCTION("CONCATENATE(B780,(VLOOKUP(C780,CATALOGOS!$F$2:$H$6,3,FALSE)),(VLOOKUP(V780,CATALOGOS!$J$2:$K$18,2,FALSE)),""-"",TO_TEXT(A780))"),"P24CS-0779")</f>
        <v>P24CS-0779</v>
      </c>
      <c r="H780" s="6" t="str">
        <f ca="1">IFERROR(__xludf.DUMMYFUNCTION("CONCATENATE($B780,(VLOOKUP($C780,CATALOGOS!$F$2:$H$6,3,FALSE)),(VLOOKUP($V780,CATALOGOS!$J$2:$K$18,2,FALSE)),""-"",TO_TEXT($A780))"),"P24CS-0779")</f>
        <v>P24CS-0779</v>
      </c>
      <c r="I780" s="6"/>
      <c r="J780" s="6" t="s">
        <v>5384</v>
      </c>
      <c r="K780" s="6" t="s">
        <v>5385</v>
      </c>
      <c r="L780" s="6" t="s">
        <v>5386</v>
      </c>
      <c r="M780" s="6" t="s">
        <v>5387</v>
      </c>
      <c r="N780" s="17"/>
      <c r="O780" s="17"/>
      <c r="P780" s="17" t="str">
        <f t="shared" si="5"/>
        <v>OK</v>
      </c>
      <c r="Q780" s="17" t="s">
        <v>35</v>
      </c>
      <c r="R780" s="6" t="s">
        <v>35</v>
      </c>
      <c r="S780" s="17" t="s">
        <v>36</v>
      </c>
      <c r="T780" s="17" t="s">
        <v>5388</v>
      </c>
      <c r="U780" s="173" t="s">
        <v>38</v>
      </c>
      <c r="V780" s="11" t="s">
        <v>4979</v>
      </c>
      <c r="W780" s="22" t="s">
        <v>5374</v>
      </c>
      <c r="X780" s="22" t="s">
        <v>5374</v>
      </c>
      <c r="Y780" s="22"/>
      <c r="Z780" s="7"/>
      <c r="AA780" s="7"/>
      <c r="AB780" s="23"/>
      <c r="AC780" s="26"/>
    </row>
    <row r="781" spans="1:30" ht="15.75" customHeight="1">
      <c r="A781" s="10" t="s">
        <v>5389</v>
      </c>
      <c r="B781" s="10" t="s">
        <v>4410</v>
      </c>
      <c r="C781" s="19" t="s">
        <v>4411</v>
      </c>
      <c r="D781" s="12"/>
      <c r="E781" s="13" t="s">
        <v>62</v>
      </c>
      <c r="F781" s="6" t="s">
        <v>5368</v>
      </c>
      <c r="G781" s="15" t="str">
        <f ca="1">IFERROR(__xludf.DUMMYFUNCTION("CONCATENATE(B781,(VLOOKUP(C781,CATALOGOS!$F$2:$H$6,3,FALSE)),(VLOOKUP(V781,CATALOGOS!$J$2:$K$18,2,FALSE)),""-"",TO_TEXT(A781))"),"P24CS-0780")</f>
        <v>P24CS-0780</v>
      </c>
      <c r="H781" s="6" t="str">
        <f ca="1">IFERROR(__xludf.DUMMYFUNCTION("CONCATENATE($B781,(VLOOKUP($C781,CATALOGOS!$F$2:$H$6,3,FALSE)),(VLOOKUP($V781,CATALOGOS!$J$2:$K$18,2,FALSE)),""-"",TO_TEXT($A781))"),"P24CS-0780")</f>
        <v>P24CS-0780</v>
      </c>
      <c r="I781" s="6"/>
      <c r="J781" s="6" t="s">
        <v>5390</v>
      </c>
      <c r="K781" s="6" t="s">
        <v>5391</v>
      </c>
      <c r="L781" s="6" t="s">
        <v>5392</v>
      </c>
      <c r="M781" s="6" t="s">
        <v>5393</v>
      </c>
      <c r="N781" s="17"/>
      <c r="O781" s="17"/>
      <c r="P781" s="17" t="str">
        <f t="shared" si="5"/>
        <v>OK</v>
      </c>
      <c r="Q781" s="17" t="s">
        <v>35</v>
      </c>
      <c r="R781" s="6" t="s">
        <v>35</v>
      </c>
      <c r="S781" s="17" t="s">
        <v>36</v>
      </c>
      <c r="T781" s="17" t="s">
        <v>5394</v>
      </c>
      <c r="U781" s="173" t="s">
        <v>38</v>
      </c>
      <c r="V781" s="11" t="s">
        <v>4979</v>
      </c>
      <c r="W781" s="22" t="s">
        <v>5374</v>
      </c>
      <c r="X781" s="22" t="s">
        <v>5374</v>
      </c>
      <c r="Y781" s="22"/>
      <c r="Z781" s="7"/>
      <c r="AA781" s="7"/>
      <c r="AB781" s="23"/>
      <c r="AC781" s="26"/>
    </row>
    <row r="782" spans="1:30" ht="15.75" customHeight="1">
      <c r="A782" s="10" t="s">
        <v>5395</v>
      </c>
      <c r="B782" s="10" t="s">
        <v>4410</v>
      </c>
      <c r="C782" s="19" t="s">
        <v>4411</v>
      </c>
      <c r="D782" s="12"/>
      <c r="E782" s="13" t="s">
        <v>116</v>
      </c>
      <c r="F782" s="43" t="s">
        <v>5396</v>
      </c>
      <c r="G782" s="15" t="str">
        <f ca="1">IFERROR(__xludf.DUMMYFUNCTION("CONCATENATE(B782,(VLOOKUP(C782,CATALOGOS!$F$2:$H$6,3,FALSE)),(VLOOKUP(V782,CATALOGOS!$J$2:$K$18,2,FALSE)),""-"",TO_TEXT(A782))"),"P24CS-0781")</f>
        <v>P24CS-0781</v>
      </c>
      <c r="H782" s="6" t="str">
        <f ca="1">IFERROR(__xludf.DUMMYFUNCTION("CONCATENATE($B782,(VLOOKUP($C782,CATALOGOS!$F$2:$H$6,3,FALSE)),(VLOOKUP($V782,CATALOGOS!$J$2:$K$18,2,FALSE)),""-"",TO_TEXT($A782))"),"P24CS-0781")</f>
        <v>P24CS-0781</v>
      </c>
      <c r="I782" s="6"/>
      <c r="J782" s="6" t="s">
        <v>5397</v>
      </c>
      <c r="K782" s="6" t="s">
        <v>5398</v>
      </c>
      <c r="L782" s="6" t="s">
        <v>5399</v>
      </c>
      <c r="M782" s="6" t="s">
        <v>5400</v>
      </c>
      <c r="N782" s="17"/>
      <c r="O782" s="17"/>
      <c r="P782" s="17" t="str">
        <f t="shared" si="5"/>
        <v>OK</v>
      </c>
      <c r="Q782" s="17" t="s">
        <v>35</v>
      </c>
      <c r="R782" s="6" t="s">
        <v>35</v>
      </c>
      <c r="S782" s="17" t="s">
        <v>36</v>
      </c>
      <c r="T782" s="17" t="s">
        <v>5401</v>
      </c>
      <c r="U782" s="173" t="s">
        <v>38</v>
      </c>
      <c r="V782" s="11" t="s">
        <v>4979</v>
      </c>
      <c r="W782" s="22" t="s">
        <v>5374</v>
      </c>
      <c r="X782" s="22" t="s">
        <v>5374</v>
      </c>
      <c r="Y782" s="22"/>
      <c r="Z782" s="7"/>
      <c r="AA782" s="7"/>
      <c r="AB782" s="23"/>
      <c r="AC782" s="26"/>
    </row>
    <row r="783" spans="1:30" ht="15.75" customHeight="1">
      <c r="A783" s="10" t="s">
        <v>5402</v>
      </c>
      <c r="B783" s="10" t="s">
        <v>4410</v>
      </c>
      <c r="C783" s="19" t="s">
        <v>4411</v>
      </c>
      <c r="D783" s="12"/>
      <c r="E783" s="13" t="s">
        <v>1240</v>
      </c>
      <c r="F783" s="43" t="s">
        <v>278</v>
      </c>
      <c r="G783" s="15" t="str">
        <f ca="1">IFERROR(__xludf.DUMMYFUNCTION("CONCATENATE(B783,(VLOOKUP(C783,CATALOGOS!$F$2:$H$6,3,FALSE)),(VLOOKUP(V783,CATALOGOS!$J$2:$K$18,2,FALSE)),""-"",TO_TEXT(A783))"),"P24CS-0782")</f>
        <v>P24CS-0782</v>
      </c>
      <c r="H783" s="6" t="str">
        <f ca="1">IFERROR(__xludf.DUMMYFUNCTION("CONCATENATE($B783,(VLOOKUP($C783,CATALOGOS!$F$2:$H$6,3,FALSE)),(VLOOKUP($V783,CATALOGOS!$J$2:$K$18,2,FALSE)),""-"",TO_TEXT($A783))"),"P24CS-0782")</f>
        <v>P24CS-0782</v>
      </c>
      <c r="I783" s="6"/>
      <c r="J783" s="6" t="s">
        <v>5403</v>
      </c>
      <c r="K783" s="6" t="s">
        <v>5404</v>
      </c>
      <c r="L783" s="6" t="s">
        <v>5405</v>
      </c>
      <c r="M783" s="6" t="s">
        <v>5406</v>
      </c>
      <c r="N783" s="17"/>
      <c r="O783" s="17"/>
      <c r="P783" s="17" t="str">
        <f t="shared" si="5"/>
        <v>OK</v>
      </c>
      <c r="Q783" s="17" t="s">
        <v>35</v>
      </c>
      <c r="R783" s="6" t="s">
        <v>35</v>
      </c>
      <c r="S783" s="17" t="s">
        <v>36</v>
      </c>
      <c r="T783" s="17" t="s">
        <v>5407</v>
      </c>
      <c r="U783" s="173" t="s">
        <v>38</v>
      </c>
      <c r="V783" s="11" t="s">
        <v>4979</v>
      </c>
      <c r="W783" s="22" t="s">
        <v>5374</v>
      </c>
      <c r="X783" s="22" t="s">
        <v>5374</v>
      </c>
      <c r="Y783" s="22"/>
      <c r="Z783" s="7"/>
      <c r="AA783" s="7"/>
      <c r="AB783" s="23"/>
      <c r="AC783" s="26"/>
    </row>
    <row r="784" spans="1:30" ht="15.75" customHeight="1">
      <c r="A784" s="10" t="s">
        <v>5408</v>
      </c>
      <c r="B784" s="10" t="s">
        <v>4410</v>
      </c>
      <c r="C784" s="19" t="s">
        <v>4411</v>
      </c>
      <c r="D784" s="12"/>
      <c r="E784" s="13" t="s">
        <v>199</v>
      </c>
      <c r="F784" s="6" t="s">
        <v>199</v>
      </c>
      <c r="G784" s="15" t="str">
        <f ca="1">IFERROR(__xludf.DUMMYFUNCTION("CONCATENATE(B784,(VLOOKUP(C784,CATALOGOS!$F$2:$H$6,3,FALSE)),(VLOOKUP(V784,CATALOGOS!$J$2:$K$18,2,FALSE)),""-"",TO_TEXT(A784))"),"P24CS-0783")</f>
        <v>P24CS-0783</v>
      </c>
      <c r="H784" s="6" t="str">
        <f ca="1">IFERROR(__xludf.DUMMYFUNCTION("CONCATENATE($B784,(VLOOKUP($C784,CATALOGOS!$F$2:$H$6,3,FALSE)),(VLOOKUP($V784,CATALOGOS!$J$2:$K$18,2,FALSE)),""-"",TO_TEXT($A784))"),"P24CS-0783")</f>
        <v>P24CS-0783</v>
      </c>
      <c r="I784" s="6"/>
      <c r="J784" s="6" t="s">
        <v>5409</v>
      </c>
      <c r="K784" s="6" t="s">
        <v>5410</v>
      </c>
      <c r="L784" s="6" t="s">
        <v>5411</v>
      </c>
      <c r="M784" s="43" t="s">
        <v>5412</v>
      </c>
      <c r="N784" s="17"/>
      <c r="O784" s="17"/>
      <c r="P784" s="17" t="str">
        <f t="shared" si="5"/>
        <v>OK</v>
      </c>
      <c r="Q784" s="17" t="s">
        <v>297</v>
      </c>
      <c r="R784" s="6" t="s">
        <v>5413</v>
      </c>
      <c r="S784" s="35" t="s">
        <v>5414</v>
      </c>
      <c r="T784" s="10" t="s">
        <v>5415</v>
      </c>
      <c r="U784" s="178" t="s">
        <v>38</v>
      </c>
      <c r="V784" s="11" t="s">
        <v>4979</v>
      </c>
      <c r="W784" s="22" t="s">
        <v>5374</v>
      </c>
      <c r="X784" s="22" t="s">
        <v>5374</v>
      </c>
      <c r="Y784" s="22"/>
      <c r="Z784" s="7"/>
      <c r="AA784" s="7"/>
      <c r="AB784" s="23"/>
      <c r="AC784" s="26"/>
    </row>
    <row r="785" spans="1:29" ht="15.75" customHeight="1">
      <c r="A785" s="10" t="s">
        <v>5416</v>
      </c>
      <c r="B785" s="10" t="s">
        <v>4410</v>
      </c>
      <c r="C785" s="19" t="s">
        <v>4411</v>
      </c>
      <c r="D785" s="12"/>
      <c r="E785" s="13" t="s">
        <v>248</v>
      </c>
      <c r="F785" s="43" t="s">
        <v>249</v>
      </c>
      <c r="G785" s="15" t="str">
        <f ca="1">IFERROR(__xludf.DUMMYFUNCTION("CONCATENATE(B785,(VLOOKUP(C785,CATALOGOS!$F$2:$H$6,3,FALSE)),(VLOOKUP(V785,CATALOGOS!$J$2:$K$18,2,FALSE)),""-"",TO_TEXT(A785))"),"P24CS-0784")</f>
        <v>P24CS-0784</v>
      </c>
      <c r="H785" s="6" t="str">
        <f ca="1">IFERROR(__xludf.DUMMYFUNCTION("CONCATENATE($B785,(VLOOKUP($C785,CATALOGOS!$F$2:$H$6,3,FALSE)),(VLOOKUP($V785,CATALOGOS!$J$2:$K$18,2,FALSE)),""-"",TO_TEXT($A785))"),"P24CS-0784")</f>
        <v>P24CS-0784</v>
      </c>
      <c r="I785" s="6"/>
      <c r="J785" s="6" t="s">
        <v>5417</v>
      </c>
      <c r="K785" s="6" t="s">
        <v>5418</v>
      </c>
      <c r="L785" s="6" t="s">
        <v>5419</v>
      </c>
      <c r="M785" s="6" t="s">
        <v>5420</v>
      </c>
      <c r="N785" s="17"/>
      <c r="O785" s="17"/>
      <c r="P785" s="17" t="str">
        <f t="shared" si="5"/>
        <v>OK</v>
      </c>
      <c r="Q785" s="17" t="s">
        <v>978</v>
      </c>
      <c r="R785" s="6" t="s">
        <v>979</v>
      </c>
      <c r="S785" s="35" t="s">
        <v>5421</v>
      </c>
      <c r="T785" s="17" t="s">
        <v>5422</v>
      </c>
      <c r="U785" s="173" t="s">
        <v>38</v>
      </c>
      <c r="V785" s="11" t="s">
        <v>4979</v>
      </c>
      <c r="W785" s="22" t="s">
        <v>5374</v>
      </c>
      <c r="X785" s="22" t="s">
        <v>5374</v>
      </c>
      <c r="Y785" s="22"/>
      <c r="Z785" s="7"/>
      <c r="AA785" s="7"/>
      <c r="AB785" s="23"/>
      <c r="AC785" s="26"/>
    </row>
    <row r="786" spans="1:29" ht="15.75" customHeight="1">
      <c r="A786" s="10" t="s">
        <v>5423</v>
      </c>
      <c r="B786" s="10" t="s">
        <v>4410</v>
      </c>
      <c r="C786" s="19" t="s">
        <v>4411</v>
      </c>
      <c r="D786" s="12"/>
      <c r="E786" s="13" t="s">
        <v>151</v>
      </c>
      <c r="F786" s="6" t="s">
        <v>963</v>
      </c>
      <c r="G786" s="15" t="str">
        <f ca="1">IFERROR(__xludf.DUMMYFUNCTION("CONCATENATE(B786,(VLOOKUP(C786,CATALOGOS!$F$2:$H$6,3,FALSE)),(VLOOKUP(V786,CATALOGOS!$J$2:$K$18,2,FALSE)),""-"",TO_TEXT(A786))"),"P24CS-0785")</f>
        <v>P24CS-0785</v>
      </c>
      <c r="H786" s="6" t="str">
        <f ca="1">IFERROR(__xludf.DUMMYFUNCTION("CONCATENATE($B786,(VLOOKUP($C786,CATALOGOS!$F$2:$H$6,3,FALSE)),(VLOOKUP($V786,CATALOGOS!$J$2:$K$18,2,FALSE)),""-"",TO_TEXT($A786))"),"P24CS-0785")</f>
        <v>P24CS-0785</v>
      </c>
      <c r="I786" s="6"/>
      <c r="J786" s="6" t="s">
        <v>5424</v>
      </c>
      <c r="K786" s="6" t="s">
        <v>5425</v>
      </c>
      <c r="L786" s="6" t="s">
        <v>5426</v>
      </c>
      <c r="M786" s="6" t="s">
        <v>5427</v>
      </c>
      <c r="N786" s="17"/>
      <c r="O786" s="17"/>
      <c r="P786" s="17" t="str">
        <f t="shared" si="5"/>
        <v>OK</v>
      </c>
      <c r="Q786" s="17" t="s">
        <v>297</v>
      </c>
      <c r="R786" s="6" t="s">
        <v>1037</v>
      </c>
      <c r="S786" s="17" t="s">
        <v>5428</v>
      </c>
      <c r="T786" s="17" t="s">
        <v>5429</v>
      </c>
      <c r="U786" s="173" t="s">
        <v>38</v>
      </c>
      <c r="V786" s="11" t="s">
        <v>4979</v>
      </c>
      <c r="W786" s="22" t="s">
        <v>5374</v>
      </c>
      <c r="X786" s="22" t="s">
        <v>5374</v>
      </c>
      <c r="Y786" s="22"/>
      <c r="Z786" s="7"/>
      <c r="AA786" s="7"/>
      <c r="AB786" s="23"/>
      <c r="AC786" s="26"/>
    </row>
    <row r="787" spans="1:29" ht="15.75" customHeight="1">
      <c r="A787" s="10" t="s">
        <v>5430</v>
      </c>
      <c r="B787" s="10" t="s">
        <v>4410</v>
      </c>
      <c r="C787" s="19" t="s">
        <v>4411</v>
      </c>
      <c r="D787" s="12"/>
      <c r="E787" s="13" t="s">
        <v>378</v>
      </c>
      <c r="F787" s="6" t="s">
        <v>878</v>
      </c>
      <c r="G787" s="15" t="str">
        <f ca="1">IFERROR(__xludf.DUMMYFUNCTION("CONCATENATE(B787,(VLOOKUP(C787,CATALOGOS!$F$2:$H$6,3,FALSE)),(VLOOKUP(V787,CATALOGOS!$J$2:$K$18,2,FALSE)),""-"",TO_TEXT(A787))"),"P24CS-0786")</f>
        <v>P24CS-0786</v>
      </c>
      <c r="H787" s="6" t="str">
        <f ca="1">IFERROR(__xludf.DUMMYFUNCTION("CONCATENATE($B787,(VLOOKUP($C787,CATALOGOS!$F$2:$H$6,3,FALSE)),(VLOOKUP($V787,CATALOGOS!$J$2:$K$18,2,FALSE)),""-"",TO_TEXT($A787))"),"P24CS-0786")</f>
        <v>P24CS-0786</v>
      </c>
      <c r="I787" s="6"/>
      <c r="J787" s="6" t="s">
        <v>5431</v>
      </c>
      <c r="K787" s="6" t="s">
        <v>5432</v>
      </c>
      <c r="L787" s="36"/>
      <c r="M787" s="6" t="s">
        <v>141</v>
      </c>
      <c r="N787" s="17"/>
      <c r="O787" s="17"/>
      <c r="P787" s="17" t="str">
        <f t="shared" si="5"/>
        <v>REPETIDO</v>
      </c>
      <c r="Q787" s="17" t="s">
        <v>35</v>
      </c>
      <c r="R787" s="6" t="s">
        <v>35</v>
      </c>
      <c r="S787" s="6" t="s">
        <v>36</v>
      </c>
      <c r="T787" s="10" t="s">
        <v>5433</v>
      </c>
      <c r="U787" s="173" t="s">
        <v>38</v>
      </c>
      <c r="V787" s="11" t="s">
        <v>4979</v>
      </c>
      <c r="W787" s="22" t="s">
        <v>5374</v>
      </c>
      <c r="X787" s="22" t="s">
        <v>5374</v>
      </c>
      <c r="Y787" s="22"/>
      <c r="Z787" s="7"/>
      <c r="AA787" s="7"/>
      <c r="AB787" s="23"/>
      <c r="AC787" s="26"/>
    </row>
    <row r="788" spans="1:29" ht="15.75" customHeight="1">
      <c r="A788" s="10" t="s">
        <v>5434</v>
      </c>
      <c r="B788" s="10" t="s">
        <v>4410</v>
      </c>
      <c r="C788" s="19" t="s">
        <v>4411</v>
      </c>
      <c r="D788" s="38"/>
      <c r="E788" s="13" t="s">
        <v>378</v>
      </c>
      <c r="F788" s="43" t="s">
        <v>379</v>
      </c>
      <c r="G788" s="15" t="str">
        <f ca="1">IFERROR(__xludf.DUMMYFUNCTION("CONCATENATE(B788,(VLOOKUP(C788,CATALOGOS!$F$2:$H$6,3,FALSE)),(VLOOKUP(V788,CATALOGOS!$J$2:$K$18,2,FALSE)),""-"",TO_TEXT(A788))"),"P24CS-0787")</f>
        <v>P24CS-0787</v>
      </c>
      <c r="H788" s="6" t="str">
        <f ca="1">IFERROR(__xludf.DUMMYFUNCTION("CONCATENATE($B788,(VLOOKUP($C788,CATALOGOS!$F$2:$H$6,3,FALSE)),(VLOOKUP($V788,CATALOGOS!$J$2:$K$18,2,FALSE)),""-"",TO_TEXT($A788))"),"P24CS-0787")</f>
        <v>P24CS-0787</v>
      </c>
      <c r="I788" s="6"/>
      <c r="J788" s="6" t="s">
        <v>5435</v>
      </c>
      <c r="K788" s="6" t="s">
        <v>5436</v>
      </c>
      <c r="L788" s="6" t="s">
        <v>5437</v>
      </c>
      <c r="M788" s="6" t="s">
        <v>5438</v>
      </c>
      <c r="N788" s="17"/>
      <c r="O788" s="17"/>
      <c r="P788" s="17" t="str">
        <f t="shared" si="5"/>
        <v>OK</v>
      </c>
      <c r="Q788" s="17" t="s">
        <v>35</v>
      </c>
      <c r="R788" s="6" t="s">
        <v>35</v>
      </c>
      <c r="S788" s="46" t="s">
        <v>36</v>
      </c>
      <c r="T788" s="17" t="s">
        <v>5439</v>
      </c>
      <c r="U788" s="173" t="s">
        <v>38</v>
      </c>
      <c r="V788" s="11" t="s">
        <v>4979</v>
      </c>
      <c r="W788" s="22" t="s">
        <v>5374</v>
      </c>
      <c r="X788" s="22" t="s">
        <v>5374</v>
      </c>
      <c r="Y788" s="22"/>
      <c r="Z788" s="7"/>
      <c r="AA788" s="7"/>
      <c r="AB788" s="26"/>
      <c r="AC788" s="26"/>
    </row>
    <row r="789" spans="1:29" ht="15.75" customHeight="1">
      <c r="A789" s="10" t="s">
        <v>5440</v>
      </c>
      <c r="B789" s="10" t="s">
        <v>4410</v>
      </c>
      <c r="C789" s="19" t="s">
        <v>4411</v>
      </c>
      <c r="D789" s="12"/>
      <c r="E789" s="13" t="s">
        <v>53</v>
      </c>
      <c r="F789" s="6" t="s">
        <v>192</v>
      </c>
      <c r="G789" s="15" t="str">
        <f ca="1">IFERROR(__xludf.DUMMYFUNCTION("CONCATENATE(B789,(VLOOKUP(C789,CATALOGOS!$F$2:$H$6,3,FALSE)),(VLOOKUP(V789,CATALOGOS!$J$2:$K$18,2,FALSE)),""-"",TO_TEXT(A789))"),"P24CA-0788")</f>
        <v>P24CA-0788</v>
      </c>
      <c r="H789" s="6" t="str">
        <f ca="1">IFERROR(__xludf.DUMMYFUNCTION("CONCATENATE($B789,(VLOOKUP($C789,CATALOGOS!$F$2:$H$6,3,FALSE)),(VLOOKUP($V789,CATALOGOS!$J$2:$K$18,2,FALSE)),""-"",TO_TEXT($A789))"),"P24CA-0788")</f>
        <v>P24CA-0788</v>
      </c>
      <c r="I789" s="6"/>
      <c r="J789" s="6" t="s">
        <v>5441</v>
      </c>
      <c r="K789" s="6" t="s">
        <v>5442</v>
      </c>
      <c r="L789" s="6" t="s">
        <v>5443</v>
      </c>
      <c r="M789" s="6" t="s">
        <v>5444</v>
      </c>
      <c r="N789" s="17"/>
      <c r="O789" s="17"/>
      <c r="P789" s="17" t="str">
        <f t="shared" si="5"/>
        <v>OK</v>
      </c>
      <c r="Q789" s="17" t="s">
        <v>35</v>
      </c>
      <c r="R789" s="6" t="s">
        <v>35</v>
      </c>
      <c r="S789" s="17" t="s">
        <v>36</v>
      </c>
      <c r="T789" s="17" t="s">
        <v>5445</v>
      </c>
      <c r="U789" s="173" t="s">
        <v>38</v>
      </c>
      <c r="V789" s="11" t="s">
        <v>4416</v>
      </c>
      <c r="W789" s="22" t="s">
        <v>5310</v>
      </c>
      <c r="X789" s="22" t="s">
        <v>5310</v>
      </c>
      <c r="Y789" s="22"/>
      <c r="Z789" s="7"/>
      <c r="AA789" s="7"/>
      <c r="AB789" s="23"/>
      <c r="AC789" s="26"/>
    </row>
    <row r="790" spans="1:29" ht="15.75" customHeight="1">
      <c r="A790" s="10" t="s">
        <v>5446</v>
      </c>
      <c r="B790" s="10" t="s">
        <v>4410</v>
      </c>
      <c r="C790" s="19" t="s">
        <v>4411</v>
      </c>
      <c r="D790" s="12"/>
      <c r="E790" s="13" t="s">
        <v>62</v>
      </c>
      <c r="F790" s="6" t="s">
        <v>5447</v>
      </c>
      <c r="G790" s="15" t="str">
        <f ca="1">IFERROR(__xludf.DUMMYFUNCTION("CONCATENATE(B790,(VLOOKUP(C790,CATALOGOS!$F$2:$H$6,3,FALSE)),(VLOOKUP(V790,CATALOGOS!$J$2:$K$18,2,FALSE)),""-"",TO_TEXT(A790))"),"P24CA-0789")</f>
        <v>P24CA-0789</v>
      </c>
      <c r="H790" s="6" t="str">
        <f ca="1">IFERROR(__xludf.DUMMYFUNCTION("CONCATENATE($B790,(VLOOKUP($C790,CATALOGOS!$F$2:$H$6,3,FALSE)),(VLOOKUP($V790,CATALOGOS!$J$2:$K$18,2,FALSE)),""-"",TO_TEXT($A790))"),"P24CA-0789")</f>
        <v>P24CA-0789</v>
      </c>
      <c r="I790" s="6"/>
      <c r="J790" s="6" t="s">
        <v>5448</v>
      </c>
      <c r="K790" s="6" t="s">
        <v>5449</v>
      </c>
      <c r="L790" s="6" t="s">
        <v>5450</v>
      </c>
      <c r="M790" s="6" t="s">
        <v>5451</v>
      </c>
      <c r="N790" s="17"/>
      <c r="O790" s="17"/>
      <c r="P790" s="17" t="str">
        <f t="shared" si="5"/>
        <v>OK</v>
      </c>
      <c r="Q790" s="17" t="s">
        <v>35</v>
      </c>
      <c r="R790" s="6" t="s">
        <v>35</v>
      </c>
      <c r="S790" s="17" t="s">
        <v>36</v>
      </c>
      <c r="T790" s="17" t="s">
        <v>5452</v>
      </c>
      <c r="U790" s="173" t="s">
        <v>38</v>
      </c>
      <c r="V790" s="11" t="s">
        <v>4416</v>
      </c>
      <c r="W790" s="22" t="s">
        <v>5310</v>
      </c>
      <c r="X790" s="22" t="s">
        <v>5310</v>
      </c>
      <c r="Y790" s="22"/>
      <c r="Z790" s="7"/>
      <c r="AA790" s="7"/>
      <c r="AB790" s="23"/>
      <c r="AC790" s="26"/>
    </row>
    <row r="791" spans="1:29" ht="15.75" customHeight="1">
      <c r="A791" s="10" t="s">
        <v>5453</v>
      </c>
      <c r="B791" s="10" t="s">
        <v>4410</v>
      </c>
      <c r="C791" s="19" t="s">
        <v>4411</v>
      </c>
      <c r="D791" s="12"/>
      <c r="E791" s="13" t="s">
        <v>71</v>
      </c>
      <c r="F791" s="6" t="s">
        <v>4937</v>
      </c>
      <c r="G791" s="15" t="str">
        <f ca="1">IFERROR(__xludf.DUMMYFUNCTION("CONCATENATE(B791,(VLOOKUP(C791,CATALOGOS!$F$2:$H$6,3,FALSE)),(VLOOKUP(V791,CATALOGOS!$J$2:$K$18,2,FALSE)),""-"",TO_TEXT(A791))"),"P24CA-0790")</f>
        <v>P24CA-0790</v>
      </c>
      <c r="H791" s="6" t="str">
        <f ca="1">IFERROR(__xludf.DUMMYFUNCTION("CONCATENATE($B791,(VLOOKUP($C791,CATALOGOS!$F$2:$H$6,3,FALSE)),(VLOOKUP($V791,CATALOGOS!$J$2:$K$18,2,FALSE)),""-"",TO_TEXT($A791))"),"P24CA-0790")</f>
        <v>P24CA-0790</v>
      </c>
      <c r="I791" s="6"/>
      <c r="J791" s="6" t="s">
        <v>5454</v>
      </c>
      <c r="K791" s="6" t="s">
        <v>5455</v>
      </c>
      <c r="L791" s="6" t="s">
        <v>5456</v>
      </c>
      <c r="M791" s="6" t="s">
        <v>5457</v>
      </c>
      <c r="N791" s="17"/>
      <c r="O791" s="17"/>
      <c r="P791" s="17" t="str">
        <f t="shared" si="5"/>
        <v>OK</v>
      </c>
      <c r="Q791" s="17" t="s">
        <v>35</v>
      </c>
      <c r="R791" s="6" t="s">
        <v>35</v>
      </c>
      <c r="S791" s="17" t="s">
        <v>36</v>
      </c>
      <c r="T791" s="35" t="s">
        <v>5458</v>
      </c>
      <c r="U791" s="173" t="s">
        <v>38</v>
      </c>
      <c r="V791" s="11" t="s">
        <v>4416</v>
      </c>
      <c r="W791" s="22" t="s">
        <v>5310</v>
      </c>
      <c r="X791" s="22" t="s">
        <v>5310</v>
      </c>
      <c r="Y791" s="22"/>
      <c r="Z791" s="7"/>
      <c r="AA791" s="7"/>
      <c r="AB791" s="23"/>
      <c r="AC791" s="26"/>
    </row>
    <row r="792" spans="1:29" ht="15.75" customHeight="1">
      <c r="A792" s="10" t="s">
        <v>5459</v>
      </c>
      <c r="B792" s="10" t="s">
        <v>4410</v>
      </c>
      <c r="C792" s="19" t="s">
        <v>4411</v>
      </c>
      <c r="D792" s="12"/>
      <c r="E792" s="13" t="s">
        <v>93</v>
      </c>
      <c r="F792" s="6" t="s">
        <v>5460</v>
      </c>
      <c r="G792" s="15" t="str">
        <f ca="1">IFERROR(__xludf.DUMMYFUNCTION("CONCATENATE(B792,(VLOOKUP(C792,CATALOGOS!$F$2:$H$6,3,FALSE)),(VLOOKUP(V792,CATALOGOS!$J$2:$K$18,2,FALSE)),""-"",TO_TEXT(A792))"),"P24CA-0791")</f>
        <v>P24CA-0791</v>
      </c>
      <c r="H792" s="6" t="str">
        <f ca="1">IFERROR(__xludf.DUMMYFUNCTION("CONCATENATE($B792,(VLOOKUP($C792,CATALOGOS!$F$2:$H$6,3,FALSE)),(VLOOKUP($V792,CATALOGOS!$J$2:$K$18,2,FALSE)),""-"",TO_TEXT($A792))"),"P24CA-0791")</f>
        <v>P24CA-0791</v>
      </c>
      <c r="I792" s="6"/>
      <c r="J792" s="6" t="s">
        <v>5461</v>
      </c>
      <c r="K792" s="6" t="s">
        <v>5462</v>
      </c>
      <c r="L792" s="6" t="s">
        <v>5463</v>
      </c>
      <c r="M792" s="6" t="s">
        <v>5464</v>
      </c>
      <c r="N792" s="17"/>
      <c r="O792" s="17"/>
      <c r="P792" s="17" t="str">
        <f t="shared" si="5"/>
        <v>OK</v>
      </c>
      <c r="Q792" s="17" t="s">
        <v>35</v>
      </c>
      <c r="R792" s="6" t="s">
        <v>35</v>
      </c>
      <c r="S792" s="17" t="s">
        <v>36</v>
      </c>
      <c r="T792" s="17" t="s">
        <v>5465</v>
      </c>
      <c r="U792" s="173" t="s">
        <v>38</v>
      </c>
      <c r="V792" s="11" t="s">
        <v>4416</v>
      </c>
      <c r="W792" s="22" t="s">
        <v>5310</v>
      </c>
      <c r="X792" s="22" t="s">
        <v>5310</v>
      </c>
      <c r="Y792" s="22"/>
      <c r="Z792" s="7"/>
      <c r="AA792" s="7"/>
      <c r="AB792" s="23"/>
      <c r="AC792" s="26"/>
    </row>
    <row r="793" spans="1:29" ht="15.75" customHeight="1">
      <c r="A793" s="10" t="s">
        <v>5466</v>
      </c>
      <c r="B793" s="10" t="s">
        <v>4410</v>
      </c>
      <c r="C793" s="19" t="s">
        <v>4411</v>
      </c>
      <c r="D793" s="12"/>
      <c r="E793" s="13" t="s">
        <v>93</v>
      </c>
      <c r="F793" s="6" t="s">
        <v>5460</v>
      </c>
      <c r="G793" s="15" t="str">
        <f ca="1">IFERROR(__xludf.DUMMYFUNCTION("CONCATENATE(B793,(VLOOKUP(C793,CATALOGOS!$F$2:$H$6,3,FALSE)),(VLOOKUP(V793,CATALOGOS!$J$2:$K$18,2,FALSE)),""-"",TO_TEXT(A793))"),"P24CA-0792")</f>
        <v>P24CA-0792</v>
      </c>
      <c r="H793" s="6" t="str">
        <f ca="1">IFERROR(__xludf.DUMMYFUNCTION("CONCATENATE($B793,(VLOOKUP($C793,CATALOGOS!$F$2:$H$6,3,FALSE)),(VLOOKUP($V793,CATALOGOS!$J$2:$K$18,2,FALSE)),""-"",TO_TEXT($A793))"),"P24CA-0792")</f>
        <v>P24CA-0792</v>
      </c>
      <c r="I793" s="6"/>
      <c r="J793" s="6" t="s">
        <v>5467</v>
      </c>
      <c r="K793" s="6" t="s">
        <v>5468</v>
      </c>
      <c r="L793" s="6" t="s">
        <v>5469</v>
      </c>
      <c r="M793" s="6" t="s">
        <v>5470</v>
      </c>
      <c r="N793" s="17"/>
      <c r="O793" s="17"/>
      <c r="P793" s="17" t="str">
        <f t="shared" si="5"/>
        <v>OK</v>
      </c>
      <c r="Q793" s="17" t="s">
        <v>35</v>
      </c>
      <c r="R793" s="6" t="s">
        <v>35</v>
      </c>
      <c r="S793" s="17" t="s">
        <v>36</v>
      </c>
      <c r="T793" s="17" t="s">
        <v>5471</v>
      </c>
      <c r="U793" s="173" t="s">
        <v>38</v>
      </c>
      <c r="V793" s="11" t="s">
        <v>4416</v>
      </c>
      <c r="W793" s="22" t="s">
        <v>5310</v>
      </c>
      <c r="X793" s="22" t="s">
        <v>5310</v>
      </c>
      <c r="Y793" s="22"/>
      <c r="Z793" s="7"/>
      <c r="AA793" s="7"/>
      <c r="AB793" s="23"/>
      <c r="AC793" s="26"/>
    </row>
    <row r="794" spans="1:29" ht="15.75" customHeight="1">
      <c r="A794" s="10" t="s">
        <v>5472</v>
      </c>
      <c r="B794" s="10" t="s">
        <v>4410</v>
      </c>
      <c r="C794" s="19" t="s">
        <v>4411</v>
      </c>
      <c r="D794" s="12"/>
      <c r="E794" s="13" t="s">
        <v>43</v>
      </c>
      <c r="F794" s="6" t="s">
        <v>5473</v>
      </c>
      <c r="G794" s="15" t="str">
        <f ca="1">IFERROR(__xludf.DUMMYFUNCTION("CONCATENATE(B794,(VLOOKUP(C794,CATALOGOS!$F$2:$H$6,3,FALSE)),(VLOOKUP(V794,CATALOGOS!$J$2:$K$18,2,FALSE)),""-"",TO_TEXT(A794))"),"P24CA-0793")</f>
        <v>P24CA-0793</v>
      </c>
      <c r="H794" s="6" t="str">
        <f ca="1">IFERROR(__xludf.DUMMYFUNCTION("CONCATENATE($B794,(VLOOKUP($C794,CATALOGOS!$F$2:$H$6,3,FALSE)),(VLOOKUP($V794,CATALOGOS!$J$2:$K$18,2,FALSE)),""-"",TO_TEXT($A794))"),"P24CA-0793")</f>
        <v>P24CA-0793</v>
      </c>
      <c r="I794" s="6"/>
      <c r="J794" s="6" t="s">
        <v>5474</v>
      </c>
      <c r="K794" s="6" t="s">
        <v>5475</v>
      </c>
      <c r="L794" s="36"/>
      <c r="M794" s="6" t="s">
        <v>141</v>
      </c>
      <c r="N794" s="17"/>
      <c r="O794" s="17"/>
      <c r="P794" s="35" t="s">
        <v>5476</v>
      </c>
      <c r="Q794" s="35" t="s">
        <v>5477</v>
      </c>
      <c r="R794" s="6" t="s">
        <v>5478</v>
      </c>
      <c r="S794" s="6" t="s">
        <v>36</v>
      </c>
      <c r="T794" s="10" t="s">
        <v>85</v>
      </c>
      <c r="U794" s="173" t="s">
        <v>38</v>
      </c>
      <c r="V794" s="19" t="s">
        <v>4416</v>
      </c>
      <c r="W794" s="22" t="s">
        <v>5310</v>
      </c>
      <c r="X794" s="22" t="s">
        <v>5310</v>
      </c>
      <c r="Y794" s="22"/>
      <c r="Z794" s="6"/>
      <c r="AA794" s="6"/>
      <c r="AB794" s="23"/>
      <c r="AC794" s="33"/>
    </row>
    <row r="795" spans="1:29" ht="15.75" customHeight="1">
      <c r="A795" s="10" t="s">
        <v>5479</v>
      </c>
      <c r="B795" s="10" t="s">
        <v>4410</v>
      </c>
      <c r="C795" s="19" t="s">
        <v>4411</v>
      </c>
      <c r="D795" s="12"/>
      <c r="E795" s="13" t="s">
        <v>501</v>
      </c>
      <c r="F795" s="43" t="s">
        <v>5480</v>
      </c>
      <c r="G795" s="15" t="str">
        <f ca="1">IFERROR(__xludf.DUMMYFUNCTION("CONCATENATE(B795,(VLOOKUP(C795,CATALOGOS!$F$2:$H$6,3,FALSE)),(VLOOKUP(V795,CATALOGOS!$J$2:$K$18,2,FALSE)),""-"",TO_TEXT(A795))"),"P24CA-0794")</f>
        <v>P24CA-0794</v>
      </c>
      <c r="H795" s="6" t="str">
        <f ca="1">IFERROR(__xludf.DUMMYFUNCTION("CONCATENATE($B795,(VLOOKUP($C795,CATALOGOS!$F$2:$H$6,3,FALSE)),(VLOOKUP($V795,CATALOGOS!$J$2:$K$18,2,FALSE)),""-"",TO_TEXT($A795))"),"P24CA-0794")</f>
        <v>P24CA-0794</v>
      </c>
      <c r="I795" s="6"/>
      <c r="J795" s="6" t="s">
        <v>5481</v>
      </c>
      <c r="K795" s="6" t="s">
        <v>5482</v>
      </c>
      <c r="L795" s="6" t="s">
        <v>5483</v>
      </c>
      <c r="M795" s="6" t="s">
        <v>5484</v>
      </c>
      <c r="N795" s="17"/>
      <c r="O795" s="17"/>
      <c r="P795" s="17" t="str">
        <f t="shared" ref="P795:P997" si="6">IF(COUNTIF($M$2:$M$997,M795)&gt;1,"REPETIDO","OK")</f>
        <v>OK</v>
      </c>
      <c r="Q795" s="17" t="s">
        <v>35</v>
      </c>
      <c r="R795" s="6" t="s">
        <v>35</v>
      </c>
      <c r="S795" s="17" t="s">
        <v>36</v>
      </c>
      <c r="T795" s="17" t="s">
        <v>5485</v>
      </c>
      <c r="U795" s="173" t="s">
        <v>38</v>
      </c>
      <c r="V795" s="11" t="s">
        <v>4416</v>
      </c>
      <c r="W795" s="22" t="s">
        <v>5310</v>
      </c>
      <c r="X795" s="22" t="s">
        <v>5310</v>
      </c>
      <c r="Y795" s="22"/>
      <c r="Z795" s="7"/>
      <c r="AA795" s="7"/>
      <c r="AB795" s="23"/>
      <c r="AC795" s="26"/>
    </row>
    <row r="796" spans="1:29" ht="15.75" customHeight="1">
      <c r="A796" s="10" t="s">
        <v>5486</v>
      </c>
      <c r="B796" s="10" t="s">
        <v>4410</v>
      </c>
      <c r="C796" s="19" t="s">
        <v>4411</v>
      </c>
      <c r="D796" s="12"/>
      <c r="E796" s="13" t="s">
        <v>378</v>
      </c>
      <c r="F796" s="6" t="s">
        <v>1306</v>
      </c>
      <c r="G796" s="15" t="str">
        <f ca="1">IFERROR(__xludf.DUMMYFUNCTION("CONCATENATE(B796,(VLOOKUP(C796,CATALOGOS!$F$2:$H$6,3,FALSE)),(VLOOKUP(V796,CATALOGOS!$J$2:$K$18,2,FALSE)),""-"",TO_TEXT(A796))"),"P24CA-0795")</f>
        <v>P24CA-0795</v>
      </c>
      <c r="H796" s="6" t="str">
        <f ca="1">IFERROR(__xludf.DUMMYFUNCTION("CONCATENATE($B796,(VLOOKUP($C796,CATALOGOS!$F$2:$H$6,3,FALSE)),(VLOOKUP($V796,CATALOGOS!$J$2:$K$18,2,FALSE)),""-"",TO_TEXT($A796))"),"P24CA-0795")</f>
        <v>P24CA-0795</v>
      </c>
      <c r="I796" s="6"/>
      <c r="J796" s="6" t="s">
        <v>5487</v>
      </c>
      <c r="K796" s="6" t="s">
        <v>5488</v>
      </c>
      <c r="L796" s="6" t="s">
        <v>5489</v>
      </c>
      <c r="M796" s="6" t="s">
        <v>5490</v>
      </c>
      <c r="N796" s="17"/>
      <c r="O796" s="17"/>
      <c r="P796" s="17" t="str">
        <f t="shared" si="6"/>
        <v>OK</v>
      </c>
      <c r="Q796" s="17" t="s">
        <v>35</v>
      </c>
      <c r="R796" s="6" t="s">
        <v>35</v>
      </c>
      <c r="S796" s="17" t="s">
        <v>36</v>
      </c>
      <c r="T796" s="17" t="s">
        <v>5491</v>
      </c>
      <c r="U796" s="173" t="s">
        <v>38</v>
      </c>
      <c r="V796" s="11" t="s">
        <v>4416</v>
      </c>
      <c r="W796" s="22" t="s">
        <v>5310</v>
      </c>
      <c r="X796" s="22" t="s">
        <v>5310</v>
      </c>
      <c r="Y796" s="22"/>
      <c r="Z796" s="7"/>
      <c r="AA796" s="7"/>
      <c r="AB796" s="23"/>
      <c r="AC796" s="26"/>
    </row>
    <row r="797" spans="1:29" ht="15.75" customHeight="1">
      <c r="A797" s="10" t="s">
        <v>5492</v>
      </c>
      <c r="B797" s="10" t="s">
        <v>4410</v>
      </c>
      <c r="C797" s="19" t="s">
        <v>4411</v>
      </c>
      <c r="D797" s="12"/>
      <c r="E797" s="13" t="s">
        <v>378</v>
      </c>
      <c r="F797" s="6" t="s">
        <v>1306</v>
      </c>
      <c r="G797" s="15" t="str">
        <f ca="1">IFERROR(__xludf.DUMMYFUNCTION("CONCATENATE(B797,(VLOOKUP(C797,CATALOGOS!$F$2:$H$6,3,FALSE)),(VLOOKUP(V797,CATALOGOS!$J$2:$K$18,2,FALSE)),""-"",TO_TEXT(A797))"),"P24CA-0796")</f>
        <v>P24CA-0796</v>
      </c>
      <c r="H797" s="6" t="str">
        <f ca="1">IFERROR(__xludf.DUMMYFUNCTION("CONCATENATE($B797,(VLOOKUP($C797,CATALOGOS!$F$2:$H$6,3,FALSE)),(VLOOKUP($V797,CATALOGOS!$J$2:$K$18,2,FALSE)),""-"",TO_TEXT($A797))"),"P24CA-0796")</f>
        <v>P24CA-0796</v>
      </c>
      <c r="I797" s="6"/>
      <c r="J797" s="6" t="s">
        <v>5493</v>
      </c>
      <c r="K797" s="6" t="s">
        <v>5494</v>
      </c>
      <c r="L797" s="6" t="s">
        <v>5495</v>
      </c>
      <c r="M797" s="6" t="s">
        <v>5496</v>
      </c>
      <c r="N797" s="17"/>
      <c r="O797" s="17"/>
      <c r="P797" s="17" t="str">
        <f t="shared" si="6"/>
        <v>OK</v>
      </c>
      <c r="Q797" s="17" t="s">
        <v>35</v>
      </c>
      <c r="R797" s="6" t="s">
        <v>35</v>
      </c>
      <c r="S797" s="17" t="s">
        <v>36</v>
      </c>
      <c r="T797" s="17" t="s">
        <v>5497</v>
      </c>
      <c r="U797" s="173" t="s">
        <v>38</v>
      </c>
      <c r="V797" s="11" t="s">
        <v>4416</v>
      </c>
      <c r="W797" s="22" t="s">
        <v>5310</v>
      </c>
      <c r="X797" s="22" t="s">
        <v>5310</v>
      </c>
      <c r="Y797" s="22"/>
      <c r="Z797" s="7"/>
      <c r="AA797" s="7"/>
      <c r="AB797" s="23"/>
      <c r="AC797" s="26"/>
    </row>
    <row r="798" spans="1:29" ht="15.75" customHeight="1">
      <c r="A798" s="10" t="s">
        <v>5498</v>
      </c>
      <c r="B798" s="10" t="s">
        <v>4410</v>
      </c>
      <c r="C798" s="19" t="s">
        <v>4411</v>
      </c>
      <c r="D798" s="12"/>
      <c r="E798" s="13" t="s">
        <v>378</v>
      </c>
      <c r="F798" s="6" t="s">
        <v>5499</v>
      </c>
      <c r="G798" s="15" t="str">
        <f ca="1">IFERROR(__xludf.DUMMYFUNCTION("CONCATENATE(B798,(VLOOKUP(C798,CATALOGOS!$F$2:$H$6,3,FALSE)),(VLOOKUP(V798,CATALOGOS!$J$2:$K$18,2,FALSE)),""-"",TO_TEXT(A798))"),"P24CA-0797")</f>
        <v>P24CA-0797</v>
      </c>
      <c r="H798" s="6" t="str">
        <f ca="1">IFERROR(__xludf.DUMMYFUNCTION("CONCATENATE($B798,(VLOOKUP($C798,CATALOGOS!$F$2:$H$6,3,FALSE)),(VLOOKUP($V798,CATALOGOS!$J$2:$K$18,2,FALSE)),""-"",TO_TEXT($A798))"),"P24CA-0797")</f>
        <v>P24CA-0797</v>
      </c>
      <c r="I798" s="6"/>
      <c r="J798" s="6" t="s">
        <v>5500</v>
      </c>
      <c r="K798" s="6" t="s">
        <v>5501</v>
      </c>
      <c r="L798" s="6" t="s">
        <v>5502</v>
      </c>
      <c r="M798" s="6" t="s">
        <v>5503</v>
      </c>
      <c r="N798" s="17"/>
      <c r="O798" s="17"/>
      <c r="P798" s="17" t="str">
        <f t="shared" si="6"/>
        <v>OK</v>
      </c>
      <c r="Q798" s="17" t="s">
        <v>35</v>
      </c>
      <c r="R798" s="6" t="s">
        <v>35</v>
      </c>
      <c r="S798" s="17" t="s">
        <v>36</v>
      </c>
      <c r="T798" s="17" t="s">
        <v>5504</v>
      </c>
      <c r="U798" s="173" t="s">
        <v>38</v>
      </c>
      <c r="V798" s="11" t="s">
        <v>4416</v>
      </c>
      <c r="W798" s="22" t="s">
        <v>5310</v>
      </c>
      <c r="X798" s="22" t="s">
        <v>5310</v>
      </c>
      <c r="Y798" s="22"/>
      <c r="Z798" s="7"/>
      <c r="AA798" s="7"/>
      <c r="AB798" s="23"/>
      <c r="AC798" s="26"/>
    </row>
    <row r="799" spans="1:29" ht="15.75" customHeight="1">
      <c r="A799" s="10" t="s">
        <v>5505</v>
      </c>
      <c r="B799" s="10" t="s">
        <v>4410</v>
      </c>
      <c r="C799" s="19" t="s">
        <v>4411</v>
      </c>
      <c r="D799" s="12"/>
      <c r="E799" s="13" t="s">
        <v>116</v>
      </c>
      <c r="F799" s="43" t="s">
        <v>5506</v>
      </c>
      <c r="G799" s="15" t="str">
        <f ca="1">IFERROR(__xludf.DUMMYFUNCTION("CONCATENATE(B799,(VLOOKUP(C799,CATALOGOS!$F$2:$H$6,3,FALSE)),(VLOOKUP(V799,CATALOGOS!$J$2:$K$18,2,FALSE)),""-"",TO_TEXT(A799))"),"P24CA-0798")</f>
        <v>P24CA-0798</v>
      </c>
      <c r="H799" s="6" t="str">
        <f ca="1">IFERROR(__xludf.DUMMYFUNCTION("CONCATENATE($B799,(VLOOKUP($C799,CATALOGOS!$F$2:$H$6,3,FALSE)),(VLOOKUP($V799,CATALOGOS!$J$2:$K$18,2,FALSE)),""-"",TO_TEXT($A799))"),"P24CA-0798")</f>
        <v>P24CA-0798</v>
      </c>
      <c r="I799" s="6"/>
      <c r="J799" s="6" t="s">
        <v>5507</v>
      </c>
      <c r="K799" s="6" t="s">
        <v>5508</v>
      </c>
      <c r="L799" s="6" t="s">
        <v>5509</v>
      </c>
      <c r="M799" s="6" t="s">
        <v>5510</v>
      </c>
      <c r="N799" s="17"/>
      <c r="O799" s="17"/>
      <c r="P799" s="17" t="str">
        <f t="shared" si="6"/>
        <v>OK</v>
      </c>
      <c r="Q799" s="17" t="s">
        <v>35</v>
      </c>
      <c r="R799" s="6" t="s">
        <v>35</v>
      </c>
      <c r="S799" s="17" t="s">
        <v>36</v>
      </c>
      <c r="T799" s="17" t="s">
        <v>5511</v>
      </c>
      <c r="U799" s="173" t="s">
        <v>38</v>
      </c>
      <c r="V799" s="11" t="s">
        <v>4416</v>
      </c>
      <c r="W799" s="22" t="s">
        <v>5310</v>
      </c>
      <c r="X799" s="22" t="s">
        <v>5310</v>
      </c>
      <c r="Y799" s="22"/>
      <c r="Z799" s="7"/>
      <c r="AA799" s="7"/>
      <c r="AB799" s="23"/>
      <c r="AC799" s="26"/>
    </row>
    <row r="800" spans="1:29" ht="15.75" customHeight="1">
      <c r="A800" s="10" t="s">
        <v>5512</v>
      </c>
      <c r="B800" s="10" t="s">
        <v>4410</v>
      </c>
      <c r="C800" s="19" t="s">
        <v>4411</v>
      </c>
      <c r="D800" s="12"/>
      <c r="E800" s="13" t="s">
        <v>29</v>
      </c>
      <c r="F800" s="43" t="s">
        <v>29</v>
      </c>
      <c r="G800" s="15" t="str">
        <f ca="1">IFERROR(__xludf.DUMMYFUNCTION("CONCATENATE(B800,(VLOOKUP(C800,CATALOGOS!$F$2:$H$6,3,FALSE)),(VLOOKUP(V800,CATALOGOS!$J$2:$K$18,2,FALSE)),""-"",TO_TEXT(A800))"),"P24CA-0799")</f>
        <v>P24CA-0799</v>
      </c>
      <c r="H800" s="6" t="str">
        <f ca="1">IFERROR(__xludf.DUMMYFUNCTION("CONCATENATE($B800,(VLOOKUP($C800,CATALOGOS!$F$2:$H$6,3,FALSE)),(VLOOKUP($V800,CATALOGOS!$J$2:$K$18,2,FALSE)),""-"",TO_TEXT($A800))"),"P24CA-0799")</f>
        <v>P24CA-0799</v>
      </c>
      <c r="I800" s="6"/>
      <c r="J800" s="6" t="s">
        <v>5513</v>
      </c>
      <c r="K800" s="6" t="s">
        <v>5514</v>
      </c>
      <c r="L800" s="6" t="s">
        <v>5515</v>
      </c>
      <c r="M800" s="6" t="s">
        <v>5516</v>
      </c>
      <c r="N800" s="17"/>
      <c r="O800" s="17"/>
      <c r="P800" s="17" t="str">
        <f t="shared" si="6"/>
        <v>OK</v>
      </c>
      <c r="Q800" s="17" t="s">
        <v>35</v>
      </c>
      <c r="R800" s="6" t="s">
        <v>35</v>
      </c>
      <c r="S800" s="17" t="s">
        <v>5517</v>
      </c>
      <c r="T800" s="17" t="s">
        <v>5518</v>
      </c>
      <c r="U800" s="173" t="s">
        <v>38</v>
      </c>
      <c r="V800" s="11" t="s">
        <v>4416</v>
      </c>
      <c r="W800" s="22" t="s">
        <v>5310</v>
      </c>
      <c r="X800" s="22" t="s">
        <v>5310</v>
      </c>
      <c r="Y800" s="22"/>
      <c r="Z800" s="7"/>
      <c r="AA800" s="7"/>
      <c r="AB800" s="23"/>
      <c r="AC800" s="26"/>
    </row>
    <row r="801" spans="1:30" ht="15.75" customHeight="1">
      <c r="A801" s="10" t="s">
        <v>5519</v>
      </c>
      <c r="B801" s="10" t="s">
        <v>4410</v>
      </c>
      <c r="C801" s="19" t="s">
        <v>4411</v>
      </c>
      <c r="D801" s="12"/>
      <c r="E801" s="13" t="s">
        <v>3521</v>
      </c>
      <c r="F801" s="43" t="s">
        <v>5520</v>
      </c>
      <c r="G801" s="15" t="str">
        <f ca="1">IFERROR(__xludf.DUMMYFUNCTION("CONCATENATE(B801,(VLOOKUP(C801,CATALOGOS!$F$2:$H$6,3,FALSE)),(VLOOKUP(V801,CATALOGOS!$J$2:$K$18,2,FALSE)),""-"",TO_TEXT(A801))"),"P24CA-0800")</f>
        <v>P24CA-0800</v>
      </c>
      <c r="H801" s="6" t="str">
        <f ca="1">IFERROR(__xludf.DUMMYFUNCTION("CONCATENATE($B801,(VLOOKUP($C801,CATALOGOS!$F$2:$H$6,3,FALSE)),(VLOOKUP($V801,CATALOGOS!$J$2:$K$18,2,FALSE)),""-"",TO_TEXT($A801))"),"P24CA-0800")</f>
        <v>P24CA-0800</v>
      </c>
      <c r="I801" s="6"/>
      <c r="J801" s="6" t="s">
        <v>5521</v>
      </c>
      <c r="K801" s="6" t="s">
        <v>5522</v>
      </c>
      <c r="L801" s="6" t="s">
        <v>5523</v>
      </c>
      <c r="M801" s="6" t="s">
        <v>5524</v>
      </c>
      <c r="N801" s="17"/>
      <c r="O801" s="17"/>
      <c r="P801" s="17" t="str">
        <f t="shared" si="6"/>
        <v>OK</v>
      </c>
      <c r="Q801" s="17" t="s">
        <v>35</v>
      </c>
      <c r="R801" s="6" t="s">
        <v>35</v>
      </c>
      <c r="S801" s="17" t="s">
        <v>36</v>
      </c>
      <c r="T801" s="17" t="s">
        <v>5525</v>
      </c>
      <c r="U801" s="173" t="s">
        <v>38</v>
      </c>
      <c r="V801" s="11" t="s">
        <v>4416</v>
      </c>
      <c r="W801" s="22" t="s">
        <v>5310</v>
      </c>
      <c r="X801" s="22" t="s">
        <v>5310</v>
      </c>
      <c r="Y801" s="22"/>
      <c r="Z801" s="7"/>
      <c r="AA801" s="7"/>
      <c r="AB801" s="23"/>
      <c r="AC801" s="26"/>
    </row>
    <row r="802" spans="1:30" ht="15.75" customHeight="1">
      <c r="A802" s="10" t="s">
        <v>5526</v>
      </c>
      <c r="B802" s="10" t="s">
        <v>4410</v>
      </c>
      <c r="C802" s="19" t="s">
        <v>4411</v>
      </c>
      <c r="D802" s="12"/>
      <c r="E802" s="13" t="s">
        <v>116</v>
      </c>
      <c r="F802" s="43" t="s">
        <v>5527</v>
      </c>
      <c r="G802" s="15" t="str">
        <f ca="1">IFERROR(__xludf.DUMMYFUNCTION("CONCATENATE(B802,(VLOOKUP(C802,CATALOGOS!$F$2:$H$6,3,FALSE)),(VLOOKUP(V802,CATALOGOS!$J$2:$K$18,2,FALSE)),""-"",TO_TEXT(A802))"),"P24CA-0801")</f>
        <v>P24CA-0801</v>
      </c>
      <c r="H802" s="6" t="str">
        <f ca="1">IFERROR(__xludf.DUMMYFUNCTION("CONCATENATE($B802,(VLOOKUP($C802,CATALOGOS!$F$2:$H$6,3,FALSE)),(VLOOKUP($V802,CATALOGOS!$J$2:$K$18,2,FALSE)),""-"",TO_TEXT($A802))"),"P24CA-0801")</f>
        <v>P24CA-0801</v>
      </c>
      <c r="I802" s="6"/>
      <c r="J802" s="6" t="s">
        <v>5528</v>
      </c>
      <c r="K802" s="6" t="s">
        <v>5529</v>
      </c>
      <c r="L802" s="6" t="s">
        <v>5530</v>
      </c>
      <c r="M802" s="6" t="s">
        <v>5531</v>
      </c>
      <c r="N802" s="17"/>
      <c r="O802" s="17"/>
      <c r="P802" s="17" t="str">
        <f t="shared" si="6"/>
        <v>OK</v>
      </c>
      <c r="Q802" s="17" t="s">
        <v>35</v>
      </c>
      <c r="R802" s="6" t="s">
        <v>35</v>
      </c>
      <c r="S802" s="17" t="s">
        <v>36</v>
      </c>
      <c r="T802" s="17" t="s">
        <v>5532</v>
      </c>
      <c r="U802" s="173" t="s">
        <v>38</v>
      </c>
      <c r="V802" s="11" t="s">
        <v>4416</v>
      </c>
      <c r="W802" s="22" t="s">
        <v>5310</v>
      </c>
      <c r="X802" s="22" t="s">
        <v>5310</v>
      </c>
      <c r="Y802" s="22"/>
      <c r="Z802" s="7"/>
      <c r="AA802" s="7"/>
      <c r="AB802" s="23"/>
      <c r="AC802" s="26"/>
    </row>
    <row r="803" spans="1:30" ht="15.75" customHeight="1">
      <c r="A803" s="10" t="s">
        <v>5533</v>
      </c>
      <c r="B803" s="10" t="s">
        <v>4410</v>
      </c>
      <c r="C803" s="19" t="s">
        <v>4411</v>
      </c>
      <c r="D803" s="12"/>
      <c r="E803" s="13" t="s">
        <v>43</v>
      </c>
      <c r="F803" s="43" t="s">
        <v>5232</v>
      </c>
      <c r="G803" s="15" t="str">
        <f ca="1">IFERROR(__xludf.DUMMYFUNCTION("CONCATENATE(B803,(VLOOKUP(C803,CATALOGOS!$F$2:$H$6,3,FALSE)),(VLOOKUP(V803,CATALOGOS!$J$2:$K$18,2,FALSE)),""-"",TO_TEXT(A803))"),"P24CA-0802")</f>
        <v>P24CA-0802</v>
      </c>
      <c r="H803" s="6" t="str">
        <f ca="1">IFERROR(__xludf.DUMMYFUNCTION("CONCATENATE($B803,(VLOOKUP($C803,CATALOGOS!$F$2:$H$6,3,FALSE)),(VLOOKUP($V803,CATALOGOS!$J$2:$K$18,2,FALSE)),""-"",TO_TEXT($A803))"),"P24CA-0802")</f>
        <v>P24CA-0802</v>
      </c>
      <c r="I803" s="6"/>
      <c r="J803" s="6" t="s">
        <v>5534</v>
      </c>
      <c r="K803" s="6" t="s">
        <v>5535</v>
      </c>
      <c r="L803" s="6" t="s">
        <v>5536</v>
      </c>
      <c r="M803" s="43" t="s">
        <v>5537</v>
      </c>
      <c r="N803" s="17"/>
      <c r="O803" s="17"/>
      <c r="P803" s="17" t="str">
        <f t="shared" si="6"/>
        <v>OK</v>
      </c>
      <c r="Q803" s="17" t="s">
        <v>5538</v>
      </c>
      <c r="R803" s="6" t="s">
        <v>5539</v>
      </c>
      <c r="S803" s="6" t="s">
        <v>36</v>
      </c>
      <c r="T803" s="10" t="s">
        <v>5540</v>
      </c>
      <c r="U803" s="173" t="s">
        <v>38</v>
      </c>
      <c r="V803" s="11" t="s">
        <v>4416</v>
      </c>
      <c r="W803" s="22" t="s">
        <v>5310</v>
      </c>
      <c r="X803" s="22" t="s">
        <v>5310</v>
      </c>
      <c r="Y803" s="22"/>
      <c r="Z803" s="7"/>
      <c r="AA803" s="7"/>
      <c r="AB803" s="23"/>
      <c r="AC803" s="26"/>
    </row>
    <row r="804" spans="1:30" ht="15.75" customHeight="1">
      <c r="A804" s="10" t="s">
        <v>5541</v>
      </c>
      <c r="B804" s="10" t="s">
        <v>4410</v>
      </c>
      <c r="C804" s="19" t="s">
        <v>4411</v>
      </c>
      <c r="D804" s="12"/>
      <c r="E804" s="13" t="s">
        <v>162</v>
      </c>
      <c r="F804" s="43" t="s">
        <v>285</v>
      </c>
      <c r="G804" s="15" t="str">
        <f ca="1">IFERROR(__xludf.DUMMYFUNCTION("CONCATENATE(B804,(VLOOKUP(C804,CATALOGOS!$F$2:$H$6,3,FALSE)),(VLOOKUP(V804,CATALOGOS!$J$2:$K$18,2,FALSE)),""-"",TO_TEXT(A804))"),"P24CA-0803")</f>
        <v>P24CA-0803</v>
      </c>
      <c r="H804" s="6" t="str">
        <f ca="1">IFERROR(__xludf.DUMMYFUNCTION("CONCATENATE($B804,(VLOOKUP($C804,CATALOGOS!$F$2:$H$6,3,FALSE)),(VLOOKUP($V804,CATALOGOS!$J$2:$K$18,2,FALSE)),""-"",TO_TEXT($A804))"),"P24CA-0803")</f>
        <v>P24CA-0803</v>
      </c>
      <c r="I804" s="6"/>
      <c r="J804" s="6" t="s">
        <v>5542</v>
      </c>
      <c r="K804" s="6" t="s">
        <v>5543</v>
      </c>
      <c r="L804" s="6" t="s">
        <v>5544</v>
      </c>
      <c r="M804" s="6" t="s">
        <v>5545</v>
      </c>
      <c r="N804" s="17"/>
      <c r="O804" s="17"/>
      <c r="P804" s="17" t="str">
        <f t="shared" si="6"/>
        <v>OK</v>
      </c>
      <c r="Q804" s="17" t="s">
        <v>168</v>
      </c>
      <c r="R804" s="6" t="s">
        <v>169</v>
      </c>
      <c r="S804" s="17" t="s">
        <v>5546</v>
      </c>
      <c r="T804" s="17" t="s">
        <v>5547</v>
      </c>
      <c r="U804" s="173" t="s">
        <v>38</v>
      </c>
      <c r="V804" s="11" t="s">
        <v>4416</v>
      </c>
      <c r="W804" s="22" t="s">
        <v>5310</v>
      </c>
      <c r="X804" s="22" t="s">
        <v>5310</v>
      </c>
      <c r="Y804" s="22"/>
      <c r="Z804" s="7"/>
      <c r="AA804" s="7"/>
      <c r="AB804" s="23"/>
      <c r="AC804" s="26"/>
    </row>
    <row r="805" spans="1:30" ht="15.75" customHeight="1">
      <c r="A805" s="10" t="s">
        <v>5548</v>
      </c>
      <c r="B805" s="10" t="s">
        <v>4410</v>
      </c>
      <c r="C805" s="19" t="s">
        <v>4411</v>
      </c>
      <c r="D805" s="12"/>
      <c r="E805" s="13" t="s">
        <v>248</v>
      </c>
      <c r="F805" s="43" t="s">
        <v>249</v>
      </c>
      <c r="G805" s="15" t="str">
        <f ca="1">IFERROR(__xludf.DUMMYFUNCTION("CONCATENATE(B805,(VLOOKUP(C805,CATALOGOS!$F$2:$H$6,3,FALSE)),(VLOOKUP(V805,CATALOGOS!$J$2:$K$18,2,FALSE)),""-"",TO_TEXT(A805))"),"P24CA-0804")</f>
        <v>P24CA-0804</v>
      </c>
      <c r="H805" s="6" t="str">
        <f ca="1">IFERROR(__xludf.DUMMYFUNCTION("CONCATENATE($B805,(VLOOKUP($C805,CATALOGOS!$F$2:$H$6,3,FALSE)),(VLOOKUP($V805,CATALOGOS!$J$2:$K$18,2,FALSE)),""-"",TO_TEXT($A805))"),"P24CA-0804")</f>
        <v>P24CA-0804</v>
      </c>
      <c r="I805" s="6"/>
      <c r="J805" s="6" t="s">
        <v>5549</v>
      </c>
      <c r="K805" s="6" t="s">
        <v>5550</v>
      </c>
      <c r="L805" s="6" t="s">
        <v>5551</v>
      </c>
      <c r="M805" s="6" t="s">
        <v>5552</v>
      </c>
      <c r="N805" s="17"/>
      <c r="O805" s="17"/>
      <c r="P805" s="17" t="str">
        <f t="shared" si="6"/>
        <v>OK</v>
      </c>
      <c r="Q805" s="17" t="s">
        <v>978</v>
      </c>
      <c r="R805" s="6" t="s">
        <v>979</v>
      </c>
      <c r="S805" s="17" t="s">
        <v>5553</v>
      </c>
      <c r="T805" s="17" t="s">
        <v>5554</v>
      </c>
      <c r="U805" s="173" t="s">
        <v>38</v>
      </c>
      <c r="V805" s="11" t="s">
        <v>4416</v>
      </c>
      <c r="W805" s="22" t="s">
        <v>5310</v>
      </c>
      <c r="X805" s="22" t="s">
        <v>5310</v>
      </c>
      <c r="Y805" s="22"/>
      <c r="Z805" s="7"/>
      <c r="AA805" s="7"/>
      <c r="AB805" s="23"/>
      <c r="AC805" s="26"/>
    </row>
    <row r="806" spans="1:30" ht="15.75" customHeight="1">
      <c r="A806" s="10" t="s">
        <v>5555</v>
      </c>
      <c r="B806" s="10" t="s">
        <v>4410</v>
      </c>
      <c r="C806" s="19" t="s">
        <v>4411</v>
      </c>
      <c r="D806" s="12"/>
      <c r="E806" s="13" t="s">
        <v>199</v>
      </c>
      <c r="F806" s="6" t="s">
        <v>199</v>
      </c>
      <c r="G806" s="15" t="str">
        <f ca="1">IFERROR(__xludf.DUMMYFUNCTION("CONCATENATE(B806,(VLOOKUP(C806,CATALOGOS!$F$2:$H$6,3,FALSE)),(VLOOKUP(V806,CATALOGOS!$J$2:$K$18,2,FALSE)),""-"",TO_TEXT(A806))"),"P24CA-0805")</f>
        <v>P24CA-0805</v>
      </c>
      <c r="H806" s="6" t="str">
        <f ca="1">IFERROR(__xludf.DUMMYFUNCTION("CONCATENATE($B806,(VLOOKUP($C806,CATALOGOS!$F$2:$H$6,3,FALSE)),(VLOOKUP($V806,CATALOGOS!$J$2:$K$18,2,FALSE)),""-"",TO_TEXT($A806))"),"P24CA-0805")</f>
        <v>P24CA-0805</v>
      </c>
      <c r="I806" s="6"/>
      <c r="J806" s="6" t="s">
        <v>5556</v>
      </c>
      <c r="K806" s="6" t="s">
        <v>5557</v>
      </c>
      <c r="L806" s="36"/>
      <c r="M806" s="6" t="s">
        <v>5558</v>
      </c>
      <c r="N806" s="17"/>
      <c r="O806" s="17"/>
      <c r="P806" s="17" t="str">
        <f t="shared" si="6"/>
        <v>OK</v>
      </c>
      <c r="Q806" s="17" t="s">
        <v>273</v>
      </c>
      <c r="R806" s="6" t="s">
        <v>274</v>
      </c>
      <c r="S806" s="6">
        <v>11392903014323</v>
      </c>
      <c r="T806" s="10" t="s">
        <v>85</v>
      </c>
      <c r="U806" s="173" t="s">
        <v>38</v>
      </c>
      <c r="V806" s="11" t="s">
        <v>4416</v>
      </c>
      <c r="W806" s="22" t="s">
        <v>5310</v>
      </c>
      <c r="X806" s="22" t="s">
        <v>5310</v>
      </c>
      <c r="Y806" s="22"/>
      <c r="Z806" s="6"/>
      <c r="AA806" s="6"/>
      <c r="AB806" s="41" t="s">
        <v>92</v>
      </c>
      <c r="AC806" s="42">
        <v>44348</v>
      </c>
      <c r="AD806" s="8" t="s">
        <v>276</v>
      </c>
    </row>
    <row r="807" spans="1:30" ht="15.75" customHeight="1">
      <c r="A807" s="10" t="s">
        <v>5560</v>
      </c>
      <c r="B807" s="10" t="s">
        <v>4410</v>
      </c>
      <c r="C807" s="19" t="s">
        <v>4411</v>
      </c>
      <c r="D807" s="12"/>
      <c r="E807" s="13" t="s">
        <v>151</v>
      </c>
      <c r="F807" s="6" t="s">
        <v>4113</v>
      </c>
      <c r="G807" s="15" t="str">
        <f ca="1">IFERROR(__xludf.DUMMYFUNCTION("CONCATENATE(B807,(VLOOKUP(C807,CATALOGOS!$F$2:$H$6,3,FALSE)),(VLOOKUP(V807,CATALOGOS!$J$2:$K$18,2,FALSE)),""-"",TO_TEXT(A807))"),"P24CA-0806")</f>
        <v>P24CA-0806</v>
      </c>
      <c r="H807" s="6" t="str">
        <f ca="1">IFERROR(__xludf.DUMMYFUNCTION("CONCATENATE($B807,(VLOOKUP($C807,CATALOGOS!$F$2:$H$6,3,FALSE)),(VLOOKUP($V807,CATALOGOS!$J$2:$K$18,2,FALSE)),""-"",TO_TEXT($A807))"),"P24CA-0806")</f>
        <v>P24CA-0806</v>
      </c>
      <c r="I807" s="6"/>
      <c r="J807" s="6" t="s">
        <v>5561</v>
      </c>
      <c r="K807" s="6" t="s">
        <v>5562</v>
      </c>
      <c r="L807" s="36"/>
      <c r="M807" s="6" t="s">
        <v>5563</v>
      </c>
      <c r="N807" s="17"/>
      <c r="O807" s="17"/>
      <c r="P807" s="17" t="str">
        <f t="shared" si="6"/>
        <v>OK</v>
      </c>
      <c r="Q807" s="17" t="s">
        <v>297</v>
      </c>
      <c r="R807" s="6" t="s">
        <v>298</v>
      </c>
      <c r="S807" s="6" t="s">
        <v>5564</v>
      </c>
      <c r="T807" s="17" t="s">
        <v>5565</v>
      </c>
      <c r="U807" s="173" t="s">
        <v>38</v>
      </c>
      <c r="V807" s="11" t="s">
        <v>4416</v>
      </c>
      <c r="W807" s="22" t="s">
        <v>5310</v>
      </c>
      <c r="X807" s="22" t="s">
        <v>5310</v>
      </c>
      <c r="Y807" s="22"/>
      <c r="Z807" s="6"/>
      <c r="AA807" s="6"/>
      <c r="AB807" s="41" t="s">
        <v>92</v>
      </c>
      <c r="AC807" s="42">
        <v>44348</v>
      </c>
      <c r="AD807" s="8">
        <v>0</v>
      </c>
    </row>
    <row r="808" spans="1:30" ht="15.75" customHeight="1">
      <c r="A808" s="10" t="s">
        <v>5566</v>
      </c>
      <c r="B808" s="10" t="s">
        <v>4410</v>
      </c>
      <c r="C808" s="19" t="s">
        <v>4411</v>
      </c>
      <c r="D808" s="12"/>
      <c r="E808" s="13" t="s">
        <v>184</v>
      </c>
      <c r="F808" s="43" t="s">
        <v>5318</v>
      </c>
      <c r="G808" s="15" t="str">
        <f ca="1">IFERROR(__xludf.DUMMYFUNCTION("CONCATENATE(B808,(VLOOKUP(C808,CATALOGOS!$F$2:$H$6,3,FALSE)),(VLOOKUP(V808,CATALOGOS!$J$2:$K$18,2,FALSE)),""-"",TO_TEXT(A808))"),"P24CA-0807")</f>
        <v>P24CA-0807</v>
      </c>
      <c r="H808" s="6" t="str">
        <f ca="1">IFERROR(__xludf.DUMMYFUNCTION("CONCATENATE($B808,(VLOOKUP($C808,CATALOGOS!$F$2:$H$6,3,FALSE)),(VLOOKUP($V808,CATALOGOS!$J$2:$K$18,2,FALSE)),""-"",TO_TEXT($A808))"),"P24CA-0807")</f>
        <v>P24CA-0807</v>
      </c>
      <c r="I808" s="6"/>
      <c r="J808" s="6" t="s">
        <v>5567</v>
      </c>
      <c r="K808" s="6" t="s">
        <v>5568</v>
      </c>
      <c r="L808" s="6" t="s">
        <v>5569</v>
      </c>
      <c r="M808" s="6" t="s">
        <v>5570</v>
      </c>
      <c r="N808" s="17"/>
      <c r="O808" s="17"/>
      <c r="P808" s="17" t="str">
        <f t="shared" si="6"/>
        <v>OK</v>
      </c>
      <c r="Q808" s="17" t="s">
        <v>35</v>
      </c>
      <c r="R808" s="6" t="s">
        <v>35</v>
      </c>
      <c r="S808" s="17" t="s">
        <v>36</v>
      </c>
      <c r="T808" s="35" t="s">
        <v>85</v>
      </c>
      <c r="U808" s="173" t="s">
        <v>38</v>
      </c>
      <c r="V808" s="11" t="s">
        <v>4416</v>
      </c>
      <c r="W808" s="22" t="s">
        <v>5310</v>
      </c>
      <c r="X808" s="22" t="s">
        <v>5310</v>
      </c>
      <c r="Y808" s="22"/>
      <c r="Z808" s="7"/>
      <c r="AA808" s="7"/>
      <c r="AB808" s="23"/>
      <c r="AC808" s="26"/>
    </row>
    <row r="809" spans="1:30" ht="15.75" customHeight="1">
      <c r="A809" s="10" t="s">
        <v>5571</v>
      </c>
      <c r="B809" s="10" t="s">
        <v>4410</v>
      </c>
      <c r="C809" s="19" t="s">
        <v>4411</v>
      </c>
      <c r="D809" s="38"/>
      <c r="E809" s="13" t="s">
        <v>1275</v>
      </c>
      <c r="F809" s="43" t="s">
        <v>1275</v>
      </c>
      <c r="G809" s="15" t="str">
        <f ca="1">IFERROR(__xludf.DUMMYFUNCTION("CONCATENATE(B809,(VLOOKUP(C809,CATALOGOS!$F$2:$H$6,3,FALSE)),(VLOOKUP(V809,CATALOGOS!$J$2:$K$18,2,FALSE)),""-"",TO_TEXT(A809))"),"P24CA-0808")</f>
        <v>P24CA-0808</v>
      </c>
      <c r="H809" s="6" t="str">
        <f ca="1">IFERROR(__xludf.DUMMYFUNCTION("CONCATENATE($B809,(VLOOKUP($C809,CATALOGOS!$F$2:$H$6,3,FALSE)),(VLOOKUP($V809,CATALOGOS!$J$2:$K$18,2,FALSE)),""-"",TO_TEXT($A809))"),"P24CA-0808")</f>
        <v>P24CA-0808</v>
      </c>
      <c r="I809" s="6"/>
      <c r="J809" s="6" t="s">
        <v>5572</v>
      </c>
      <c r="K809" s="6" t="s">
        <v>5573</v>
      </c>
      <c r="L809" s="6" t="s">
        <v>5574</v>
      </c>
      <c r="M809" s="43" t="s">
        <v>141</v>
      </c>
      <c r="N809" s="17"/>
      <c r="O809" s="17"/>
      <c r="P809" s="17" t="str">
        <f t="shared" si="6"/>
        <v>REPETIDO</v>
      </c>
      <c r="Q809" s="17" t="s">
        <v>205</v>
      </c>
      <c r="R809" s="49" t="s">
        <v>5575</v>
      </c>
      <c r="S809" s="46" t="s">
        <v>5576</v>
      </c>
      <c r="T809" s="32" t="s">
        <v>5577</v>
      </c>
      <c r="U809" s="173" t="s">
        <v>38</v>
      </c>
      <c r="V809" s="188" t="s">
        <v>4416</v>
      </c>
      <c r="W809" s="22" t="s">
        <v>5310</v>
      </c>
      <c r="X809" s="22" t="s">
        <v>5310</v>
      </c>
      <c r="Y809" s="22"/>
      <c r="Z809" s="7"/>
      <c r="AA809" s="7"/>
      <c r="AB809" s="26"/>
      <c r="AC809" s="26"/>
    </row>
    <row r="810" spans="1:30" ht="31.5" customHeight="1">
      <c r="A810" s="10" t="s">
        <v>5578</v>
      </c>
      <c r="B810" s="10" t="s">
        <v>4410</v>
      </c>
      <c r="C810" s="19" t="s">
        <v>4411</v>
      </c>
      <c r="D810" s="12"/>
      <c r="E810" s="13" t="s">
        <v>62</v>
      </c>
      <c r="F810" s="6" t="s">
        <v>4982</v>
      </c>
      <c r="G810" s="15" t="str">
        <f ca="1">IFERROR(__xludf.DUMMYFUNCTION("CONCATENATE(B810,(VLOOKUP(C810,CATALOGOS!$F$2:$H$6,3,FALSE)),(VLOOKUP(V810,CATALOGOS!$J$2:$K$18,2,FALSE)),""-"",TO_TEXT(A810))"),"P24CA-0809")</f>
        <v>P24CA-0809</v>
      </c>
      <c r="H810" s="6" t="str">
        <f ca="1">IFERROR(__xludf.DUMMYFUNCTION("CONCATENATE($B810,(VLOOKUP($C810,CATALOGOS!$F$2:$H$6,3,FALSE)),(VLOOKUP($V810,CATALOGOS!$J$2:$K$18,2,FALSE)),""-"",TO_TEXT($A810))"),"P24CA-0809")</f>
        <v>P24CA-0809</v>
      </c>
      <c r="I810" s="6"/>
      <c r="J810" s="6" t="s">
        <v>5579</v>
      </c>
      <c r="K810" s="6" t="s">
        <v>5580</v>
      </c>
      <c r="L810" s="6" t="s">
        <v>5581</v>
      </c>
      <c r="M810" s="6" t="s">
        <v>5582</v>
      </c>
      <c r="N810" s="17"/>
      <c r="O810" s="17"/>
      <c r="P810" s="17" t="str">
        <f t="shared" si="6"/>
        <v>OK</v>
      </c>
      <c r="Q810" s="17" t="s">
        <v>35</v>
      </c>
      <c r="R810" s="6" t="s">
        <v>35</v>
      </c>
      <c r="S810" s="17" t="s">
        <v>36</v>
      </c>
      <c r="T810" s="17" t="s">
        <v>5583</v>
      </c>
      <c r="U810" s="173" t="s">
        <v>38</v>
      </c>
      <c r="V810" s="11" t="s">
        <v>4416</v>
      </c>
      <c r="W810" s="22" t="s">
        <v>5584</v>
      </c>
      <c r="X810" s="22" t="s">
        <v>5584</v>
      </c>
      <c r="Y810" s="22"/>
      <c r="Z810" s="7"/>
      <c r="AA810" s="7"/>
      <c r="AB810" s="23"/>
      <c r="AC810" s="26"/>
    </row>
    <row r="811" spans="1:30" ht="27.75" customHeight="1">
      <c r="A811" s="10" t="s">
        <v>5585</v>
      </c>
      <c r="B811" s="10" t="s">
        <v>4410</v>
      </c>
      <c r="C811" s="19" t="s">
        <v>4411</v>
      </c>
      <c r="D811" s="12"/>
      <c r="E811" s="13" t="s">
        <v>29</v>
      </c>
      <c r="F811" s="6" t="s">
        <v>5586</v>
      </c>
      <c r="G811" s="15" t="str">
        <f ca="1">IFERROR(__xludf.DUMMYFUNCTION("CONCATENATE(B811,(VLOOKUP(C811,CATALOGOS!$F$2:$H$6,3,FALSE)),(VLOOKUP(V811,CATALOGOS!$J$2:$K$18,2,FALSE)),""-"",TO_TEXT(A811))"),"P24CA-0810")</f>
        <v>P24CA-0810</v>
      </c>
      <c r="H811" s="6" t="str">
        <f ca="1">IFERROR(__xludf.DUMMYFUNCTION("CONCATENATE($B811,(VLOOKUP($C811,CATALOGOS!$F$2:$H$6,3,FALSE)),(VLOOKUP($V811,CATALOGOS!$J$2:$K$18,2,FALSE)),""-"",TO_TEXT($A811))"),"P24CA-0810")</f>
        <v>P24CA-0810</v>
      </c>
      <c r="I811" s="6"/>
      <c r="J811" s="6" t="s">
        <v>5587</v>
      </c>
      <c r="K811" s="6" t="s">
        <v>5588</v>
      </c>
      <c r="L811" s="6" t="s">
        <v>5589</v>
      </c>
      <c r="M811" s="6" t="s">
        <v>5590</v>
      </c>
      <c r="N811" s="17"/>
      <c r="O811" s="17"/>
      <c r="P811" s="17" t="str">
        <f t="shared" si="6"/>
        <v>OK</v>
      </c>
      <c r="Q811" s="17" t="s">
        <v>35</v>
      </c>
      <c r="R811" s="6" t="s">
        <v>35</v>
      </c>
      <c r="S811" s="17" t="s">
        <v>36</v>
      </c>
      <c r="T811" s="17" t="s">
        <v>5591</v>
      </c>
      <c r="U811" s="179" t="s">
        <v>517</v>
      </c>
      <c r="V811" s="11" t="s">
        <v>4416</v>
      </c>
      <c r="W811" s="22" t="s">
        <v>5584</v>
      </c>
      <c r="X811" s="22" t="s">
        <v>5584</v>
      </c>
      <c r="Y811" s="22"/>
      <c r="Z811" s="7"/>
      <c r="AA811" s="7"/>
      <c r="AB811" s="23"/>
      <c r="AC811" s="26"/>
    </row>
    <row r="812" spans="1:30" ht="15.75" customHeight="1">
      <c r="A812" s="10" t="s">
        <v>5592</v>
      </c>
      <c r="B812" s="10" t="s">
        <v>4410</v>
      </c>
      <c r="C812" s="19" t="s">
        <v>4411</v>
      </c>
      <c r="D812" s="12"/>
      <c r="E812" s="13" t="s">
        <v>387</v>
      </c>
      <c r="F812" s="43" t="s">
        <v>387</v>
      </c>
      <c r="G812" s="15" t="str">
        <f ca="1">IFERROR(__xludf.DUMMYFUNCTION("CONCATENATE(B812,(VLOOKUP(C812,CATALOGOS!$F$2:$H$6,3,FALSE)),(VLOOKUP(V812,CATALOGOS!$J$2:$K$18,2,FALSE)),""-"",TO_TEXT(A812))"),"P24CA-0811")</f>
        <v>P24CA-0811</v>
      </c>
      <c r="H812" s="6" t="str">
        <f ca="1">IFERROR(__xludf.DUMMYFUNCTION("CONCATENATE($B812,(VLOOKUP($C812,CATALOGOS!$F$2:$H$6,3,FALSE)),(VLOOKUP($V812,CATALOGOS!$J$2:$K$18,2,FALSE)),""-"",TO_TEXT($A812))"),"P24CA-0811")</f>
        <v>P24CA-0811</v>
      </c>
      <c r="I812" s="6"/>
      <c r="J812" s="6" t="s">
        <v>5593</v>
      </c>
      <c r="K812" s="6" t="s">
        <v>5594</v>
      </c>
      <c r="L812" s="6" t="s">
        <v>5595</v>
      </c>
      <c r="M812" s="43" t="s">
        <v>5596</v>
      </c>
      <c r="N812" s="17"/>
      <c r="O812" s="17"/>
      <c r="P812" s="17" t="str">
        <f t="shared" si="6"/>
        <v>OK</v>
      </c>
      <c r="Q812" s="17" t="s">
        <v>5597</v>
      </c>
      <c r="R812" s="6" t="s">
        <v>5598</v>
      </c>
      <c r="S812" s="17" t="s">
        <v>36</v>
      </c>
      <c r="T812" s="17" t="s">
        <v>5599</v>
      </c>
      <c r="U812" s="173" t="s">
        <v>38</v>
      </c>
      <c r="V812" s="11" t="s">
        <v>4416</v>
      </c>
      <c r="W812" s="22" t="s">
        <v>5584</v>
      </c>
      <c r="X812" s="22" t="s">
        <v>5584</v>
      </c>
      <c r="Y812" s="22"/>
      <c r="Z812" s="7"/>
      <c r="AA812" s="7"/>
      <c r="AB812" s="23"/>
      <c r="AC812" s="26"/>
    </row>
    <row r="813" spans="1:30" ht="15.75" customHeight="1">
      <c r="A813" s="10" t="s">
        <v>5600</v>
      </c>
      <c r="B813" s="10" t="s">
        <v>4410</v>
      </c>
      <c r="C813" s="19" t="s">
        <v>4411</v>
      </c>
      <c r="D813" s="12"/>
      <c r="E813" s="13" t="s">
        <v>850</v>
      </c>
      <c r="F813" s="43" t="s">
        <v>851</v>
      </c>
      <c r="G813" s="15" t="str">
        <f ca="1">IFERROR(__xludf.DUMMYFUNCTION("CONCATENATE(B813,(VLOOKUP(C813,CATALOGOS!$F$2:$H$6,3,FALSE)),(VLOOKUP(V813,CATALOGOS!$J$2:$K$18,2,FALSE)),""-"",TO_TEXT(A813))"),"P24CA-0812")</f>
        <v>P24CA-0812</v>
      </c>
      <c r="H813" s="6" t="str">
        <f ca="1">IFERROR(__xludf.DUMMYFUNCTION("CONCATENATE($B813,(VLOOKUP($C813,CATALOGOS!$F$2:$H$6,3,FALSE)),(VLOOKUP($V813,CATALOGOS!$J$2:$K$18,2,FALSE)),""-"",TO_TEXT($A813))"),"P24CA-0812")</f>
        <v>P24CA-0812</v>
      </c>
      <c r="I813" s="6"/>
      <c r="J813" s="6" t="s">
        <v>5601</v>
      </c>
      <c r="K813" s="6" t="s">
        <v>5602</v>
      </c>
      <c r="L813" s="6" t="s">
        <v>5603</v>
      </c>
      <c r="M813" s="6" t="s">
        <v>5604</v>
      </c>
      <c r="N813" s="17"/>
      <c r="O813" s="17"/>
      <c r="P813" s="17" t="str">
        <f t="shared" si="6"/>
        <v>OK</v>
      </c>
      <c r="Q813" s="17" t="s">
        <v>856</v>
      </c>
      <c r="R813" s="6" t="s">
        <v>5605</v>
      </c>
      <c r="S813" s="6" t="s">
        <v>36</v>
      </c>
      <c r="T813" s="10" t="s">
        <v>5606</v>
      </c>
      <c r="U813" s="173" t="s">
        <v>38</v>
      </c>
      <c r="V813" s="11" t="s">
        <v>4416</v>
      </c>
      <c r="W813" s="22" t="s">
        <v>5584</v>
      </c>
      <c r="X813" s="22" t="s">
        <v>5584</v>
      </c>
      <c r="Y813" s="22"/>
      <c r="Z813" s="7"/>
      <c r="AA813" s="7"/>
      <c r="AB813" s="23"/>
      <c r="AC813" s="26"/>
    </row>
    <row r="814" spans="1:30" ht="15.75" customHeight="1">
      <c r="A814" s="10" t="s">
        <v>5607</v>
      </c>
      <c r="B814" s="10" t="s">
        <v>4410</v>
      </c>
      <c r="C814" s="19" t="s">
        <v>4411</v>
      </c>
      <c r="D814" s="12"/>
      <c r="E814" s="13" t="s">
        <v>3521</v>
      </c>
      <c r="F814" s="6" t="s">
        <v>5608</v>
      </c>
      <c r="G814" s="15" t="str">
        <f ca="1">IFERROR(__xludf.DUMMYFUNCTION("CONCATENATE(B814,(VLOOKUP(C814,CATALOGOS!$F$2:$H$6,3,FALSE)),(VLOOKUP(V814,CATALOGOS!$J$2:$K$18,2,FALSE)),""-"",TO_TEXT(A814))"),"P24CA-0813")</f>
        <v>P24CA-0813</v>
      </c>
      <c r="H814" s="6" t="str">
        <f ca="1">IFERROR(__xludf.DUMMYFUNCTION("CONCATENATE($B814,(VLOOKUP($C814,CATALOGOS!$F$2:$H$6,3,FALSE)),(VLOOKUP($V814,CATALOGOS!$J$2:$K$18,2,FALSE)),""-"",TO_TEXT($A814))"),"P24CA-0813")</f>
        <v>P24CA-0813</v>
      </c>
      <c r="I814" s="6"/>
      <c r="J814" s="6" t="s">
        <v>5609</v>
      </c>
      <c r="K814" s="6" t="s">
        <v>5610</v>
      </c>
      <c r="L814" s="6" t="s">
        <v>5611</v>
      </c>
      <c r="M814" s="6" t="s">
        <v>5612</v>
      </c>
      <c r="N814" s="17"/>
      <c r="O814" s="17"/>
      <c r="P814" s="17" t="str">
        <f t="shared" si="6"/>
        <v>OK</v>
      </c>
      <c r="Q814" s="17" t="s">
        <v>35</v>
      </c>
      <c r="R814" s="6" t="s">
        <v>35</v>
      </c>
      <c r="S814" s="17" t="s">
        <v>36</v>
      </c>
      <c r="T814" s="17" t="s">
        <v>5613</v>
      </c>
      <c r="U814" s="173" t="s">
        <v>38</v>
      </c>
      <c r="V814" s="11" t="s">
        <v>4416</v>
      </c>
      <c r="W814" s="22" t="s">
        <v>5584</v>
      </c>
      <c r="X814" s="22" t="s">
        <v>5584</v>
      </c>
      <c r="Y814" s="22"/>
      <c r="Z814" s="7"/>
      <c r="AA814" s="7"/>
      <c r="AB814" s="23"/>
      <c r="AC814" s="26"/>
    </row>
    <row r="815" spans="1:30" ht="15.75" customHeight="1">
      <c r="A815" s="10" t="s">
        <v>5614</v>
      </c>
      <c r="B815" s="10" t="s">
        <v>4410</v>
      </c>
      <c r="C815" s="19" t="s">
        <v>4411</v>
      </c>
      <c r="D815" s="12"/>
      <c r="E815" s="13" t="s">
        <v>116</v>
      </c>
      <c r="F815" s="6" t="s">
        <v>5615</v>
      </c>
      <c r="G815" s="15" t="str">
        <f ca="1">IFERROR(__xludf.DUMMYFUNCTION("CONCATENATE(B815,(VLOOKUP(C815,CATALOGOS!$F$2:$H$6,3,FALSE)),(VLOOKUP(V815,CATALOGOS!$J$2:$K$18,2,FALSE)),""-"",TO_TEXT(A815))"),"P24CA-0814")</f>
        <v>P24CA-0814</v>
      </c>
      <c r="H815" s="6" t="str">
        <f ca="1">IFERROR(__xludf.DUMMYFUNCTION("CONCATENATE($B815,(VLOOKUP($C815,CATALOGOS!$F$2:$H$6,3,FALSE)),(VLOOKUP($V815,CATALOGOS!$J$2:$K$18,2,FALSE)),""-"",TO_TEXT($A815))"),"P24CA-0814")</f>
        <v>P24CA-0814</v>
      </c>
      <c r="I815" s="6"/>
      <c r="J815" s="6" t="s">
        <v>5616</v>
      </c>
      <c r="K815" s="6" t="s">
        <v>5617</v>
      </c>
      <c r="L815" s="6" t="s">
        <v>5618</v>
      </c>
      <c r="M815" s="6" t="s">
        <v>5619</v>
      </c>
      <c r="N815" s="17"/>
      <c r="O815" s="17"/>
      <c r="P815" s="17" t="str">
        <f t="shared" si="6"/>
        <v>OK</v>
      </c>
      <c r="Q815" s="17" t="s">
        <v>35</v>
      </c>
      <c r="R815" s="6" t="s">
        <v>35</v>
      </c>
      <c r="S815" s="17" t="s">
        <v>36</v>
      </c>
      <c r="T815" s="17" t="s">
        <v>5620</v>
      </c>
      <c r="U815" s="179" t="s">
        <v>100</v>
      </c>
      <c r="V815" s="11" t="s">
        <v>4416</v>
      </c>
      <c r="W815" s="22" t="s">
        <v>5584</v>
      </c>
      <c r="X815" s="22" t="s">
        <v>5584</v>
      </c>
      <c r="Y815" s="22"/>
      <c r="Z815" s="7"/>
      <c r="AA815" s="7"/>
      <c r="AB815" s="23"/>
      <c r="AC815" s="26"/>
    </row>
    <row r="816" spans="1:30" ht="15.75" customHeight="1">
      <c r="A816" s="10" t="s">
        <v>5621</v>
      </c>
      <c r="B816" s="10" t="s">
        <v>4410</v>
      </c>
      <c r="C816" s="19" t="s">
        <v>4411</v>
      </c>
      <c r="D816" s="12"/>
      <c r="E816" s="13" t="s">
        <v>378</v>
      </c>
      <c r="F816" s="6" t="s">
        <v>1306</v>
      </c>
      <c r="G816" s="15" t="str">
        <f ca="1">IFERROR(__xludf.DUMMYFUNCTION("CONCATENATE(B816,(VLOOKUP(C816,CATALOGOS!$F$2:$H$6,3,FALSE)),(VLOOKUP(V816,CATALOGOS!$J$2:$K$18,2,FALSE)),""-"",TO_TEXT(A816))"),"P24CA-0815")</f>
        <v>P24CA-0815</v>
      </c>
      <c r="H816" s="6" t="str">
        <f ca="1">IFERROR(__xludf.DUMMYFUNCTION("CONCATENATE($B816,(VLOOKUP($C816,CATALOGOS!$F$2:$H$6,3,FALSE)),(VLOOKUP($V816,CATALOGOS!$J$2:$K$18,2,FALSE)),""-"",TO_TEXT($A816))"),"P24CA-0815")</f>
        <v>P24CA-0815</v>
      </c>
      <c r="I816" s="6"/>
      <c r="J816" s="6" t="s">
        <v>5622</v>
      </c>
      <c r="K816" s="6" t="s">
        <v>5623</v>
      </c>
      <c r="L816" s="6" t="s">
        <v>5624</v>
      </c>
      <c r="M816" s="6" t="s">
        <v>5625</v>
      </c>
      <c r="N816" s="17"/>
      <c r="O816" s="17"/>
      <c r="P816" s="17" t="str">
        <f t="shared" si="6"/>
        <v>OK</v>
      </c>
      <c r="Q816" s="17" t="s">
        <v>35</v>
      </c>
      <c r="R816" s="6" t="s">
        <v>35</v>
      </c>
      <c r="S816" s="17" t="s">
        <v>36</v>
      </c>
      <c r="T816" s="17" t="s">
        <v>5626</v>
      </c>
      <c r="U816" s="173" t="s">
        <v>38</v>
      </c>
      <c r="V816" s="11" t="s">
        <v>4416</v>
      </c>
      <c r="W816" s="22" t="s">
        <v>5584</v>
      </c>
      <c r="X816" s="22" t="s">
        <v>5584</v>
      </c>
      <c r="Y816" s="22"/>
      <c r="Z816" s="7"/>
      <c r="AA816" s="7"/>
      <c r="AB816" s="23"/>
      <c r="AC816" s="26"/>
    </row>
    <row r="817" spans="1:30" ht="15.75" customHeight="1">
      <c r="A817" s="10" t="s">
        <v>5627</v>
      </c>
      <c r="B817" s="10" t="s">
        <v>4410</v>
      </c>
      <c r="C817" s="19" t="s">
        <v>4411</v>
      </c>
      <c r="D817" s="12"/>
      <c r="E817" s="13" t="s">
        <v>378</v>
      </c>
      <c r="F817" s="6" t="s">
        <v>1306</v>
      </c>
      <c r="G817" s="15" t="str">
        <f ca="1">IFERROR(__xludf.DUMMYFUNCTION("CONCATENATE(B817,(VLOOKUP(C817,CATALOGOS!$F$2:$H$6,3,FALSE)),(VLOOKUP(V817,CATALOGOS!$J$2:$K$18,2,FALSE)),""-"",TO_TEXT(A817))"),"P24CA-0816")</f>
        <v>P24CA-0816</v>
      </c>
      <c r="H817" s="6" t="str">
        <f ca="1">IFERROR(__xludf.DUMMYFUNCTION("CONCATENATE($B817,(VLOOKUP($C817,CATALOGOS!$F$2:$H$6,3,FALSE)),(VLOOKUP($V817,CATALOGOS!$J$2:$K$18,2,FALSE)),""-"",TO_TEXT($A817))"),"P24CA-0816")</f>
        <v>P24CA-0816</v>
      </c>
      <c r="I817" s="6"/>
      <c r="J817" s="6" t="s">
        <v>5628</v>
      </c>
      <c r="K817" s="6" t="s">
        <v>5629</v>
      </c>
      <c r="L817" s="6" t="s">
        <v>5630</v>
      </c>
      <c r="M817" s="6" t="s">
        <v>5631</v>
      </c>
      <c r="N817" s="17"/>
      <c r="O817" s="17"/>
      <c r="P817" s="17" t="str">
        <f t="shared" si="6"/>
        <v>OK</v>
      </c>
      <c r="Q817" s="17" t="s">
        <v>35</v>
      </c>
      <c r="R817" s="6" t="s">
        <v>35</v>
      </c>
      <c r="S817" s="17" t="s">
        <v>36</v>
      </c>
      <c r="T817" s="17" t="s">
        <v>5632</v>
      </c>
      <c r="U817" s="173" t="s">
        <v>38</v>
      </c>
      <c r="V817" s="11" t="s">
        <v>4416</v>
      </c>
      <c r="W817" s="22" t="s">
        <v>5584</v>
      </c>
      <c r="X817" s="22" t="s">
        <v>5584</v>
      </c>
      <c r="Y817" s="22"/>
      <c r="Z817" s="7"/>
      <c r="AA817" s="7"/>
      <c r="AB817" s="23"/>
      <c r="AC817" s="26"/>
    </row>
    <row r="818" spans="1:30" ht="15.75" customHeight="1">
      <c r="A818" s="10" t="s">
        <v>5633</v>
      </c>
      <c r="B818" s="10" t="s">
        <v>4410</v>
      </c>
      <c r="C818" s="19" t="s">
        <v>4411</v>
      </c>
      <c r="D818" s="12"/>
      <c r="E818" s="13" t="s">
        <v>378</v>
      </c>
      <c r="F818" s="6" t="s">
        <v>1306</v>
      </c>
      <c r="G818" s="15" t="str">
        <f ca="1">IFERROR(__xludf.DUMMYFUNCTION("CONCATENATE(B818,(VLOOKUP(C818,CATALOGOS!$F$2:$H$6,3,FALSE)),(VLOOKUP(V818,CATALOGOS!$J$2:$K$18,2,FALSE)),""-"",TO_TEXT(A818))"),"P24CA-0817")</f>
        <v>P24CA-0817</v>
      </c>
      <c r="H818" s="6" t="str">
        <f ca="1">IFERROR(__xludf.DUMMYFUNCTION("CONCATENATE($B818,(VLOOKUP($C818,CATALOGOS!$F$2:$H$6,3,FALSE)),(VLOOKUP($V818,CATALOGOS!$J$2:$K$18,2,FALSE)),""-"",TO_TEXT($A818))"),"P24CA-0817")</f>
        <v>P24CA-0817</v>
      </c>
      <c r="I818" s="6"/>
      <c r="J818" s="6" t="s">
        <v>5634</v>
      </c>
      <c r="K818" s="6" t="s">
        <v>5635</v>
      </c>
      <c r="L818" s="6" t="s">
        <v>5636</v>
      </c>
      <c r="M818" s="43" t="s">
        <v>5637</v>
      </c>
      <c r="N818" s="17"/>
      <c r="O818" s="17"/>
      <c r="P818" s="17" t="str">
        <f t="shared" si="6"/>
        <v>OK</v>
      </c>
      <c r="Q818" s="17" t="s">
        <v>35</v>
      </c>
      <c r="R818" s="6" t="s">
        <v>35</v>
      </c>
      <c r="S818" s="17" t="s">
        <v>36</v>
      </c>
      <c r="T818" s="17" t="s">
        <v>5638</v>
      </c>
      <c r="U818" s="173" t="s">
        <v>38</v>
      </c>
      <c r="V818" s="11" t="s">
        <v>4416</v>
      </c>
      <c r="W818" s="22" t="s">
        <v>5584</v>
      </c>
      <c r="X818" s="22" t="s">
        <v>5584</v>
      </c>
      <c r="Y818" s="22"/>
      <c r="Z818" s="7"/>
      <c r="AA818" s="7"/>
      <c r="AB818" s="23"/>
      <c r="AC818" s="26"/>
    </row>
    <row r="819" spans="1:30" ht="15.75" customHeight="1">
      <c r="A819" s="10" t="s">
        <v>5639</v>
      </c>
      <c r="B819" s="10" t="s">
        <v>4410</v>
      </c>
      <c r="C819" s="19" t="s">
        <v>4411</v>
      </c>
      <c r="D819" s="12"/>
      <c r="E819" s="13" t="s">
        <v>184</v>
      </c>
      <c r="F819" s="6" t="s">
        <v>2677</v>
      </c>
      <c r="G819" s="15" t="str">
        <f ca="1">IFERROR(__xludf.DUMMYFUNCTION("CONCATENATE(B819,(VLOOKUP(C819,CATALOGOS!$F$2:$H$6,3,FALSE)),(VLOOKUP(V819,CATALOGOS!$J$2:$K$18,2,FALSE)),""-"",TO_TEXT(A819))"),"P24CA-0818")</f>
        <v>P24CA-0818</v>
      </c>
      <c r="H819" s="6" t="str">
        <f ca="1">IFERROR(__xludf.DUMMYFUNCTION("CONCATENATE($B819,(VLOOKUP($C819,CATALOGOS!$F$2:$H$6,3,FALSE)),(VLOOKUP($V819,CATALOGOS!$J$2:$K$18,2,FALSE)),""-"",TO_TEXT($A819))"),"P24CA-0818")</f>
        <v>P24CA-0818</v>
      </c>
      <c r="I819" s="6"/>
      <c r="J819" s="6" t="s">
        <v>5640</v>
      </c>
      <c r="K819" s="6" t="s">
        <v>5641</v>
      </c>
      <c r="L819" s="6" t="s">
        <v>5642</v>
      </c>
      <c r="M819" s="6" t="s">
        <v>5643</v>
      </c>
      <c r="N819" s="17"/>
      <c r="O819" s="17"/>
      <c r="P819" s="17" t="str">
        <f t="shared" si="6"/>
        <v>OK</v>
      </c>
      <c r="Q819" s="17" t="s">
        <v>35</v>
      </c>
      <c r="R819" s="6" t="s">
        <v>35</v>
      </c>
      <c r="S819" s="17" t="s">
        <v>36</v>
      </c>
      <c r="T819" s="17" t="s">
        <v>5644</v>
      </c>
      <c r="U819" s="179" t="s">
        <v>100</v>
      </c>
      <c r="V819" s="11" t="s">
        <v>4416</v>
      </c>
      <c r="W819" s="22" t="s">
        <v>5584</v>
      </c>
      <c r="X819" s="22" t="s">
        <v>5584</v>
      </c>
      <c r="Y819" s="22"/>
      <c r="Z819" s="7"/>
      <c r="AA819" s="7"/>
      <c r="AB819" s="23"/>
      <c r="AC819" s="26"/>
    </row>
    <row r="820" spans="1:30" ht="15.75" customHeight="1">
      <c r="A820" s="10" t="s">
        <v>5645</v>
      </c>
      <c r="B820" s="10" t="s">
        <v>4410</v>
      </c>
      <c r="C820" s="19" t="s">
        <v>4411</v>
      </c>
      <c r="D820" s="12"/>
      <c r="E820" s="13" t="s">
        <v>43</v>
      </c>
      <c r="F820" s="6" t="s">
        <v>5232</v>
      </c>
      <c r="G820" s="15" t="str">
        <f ca="1">IFERROR(__xludf.DUMMYFUNCTION("CONCATENATE(B820,(VLOOKUP(C820,CATALOGOS!$F$2:$H$6,3,FALSE)),(VLOOKUP(V820,CATALOGOS!$J$2:$K$18,2,FALSE)),""-"",TO_TEXT(A820))"),"P24CA-0819")</f>
        <v>P24CA-0819</v>
      </c>
      <c r="H820" s="6" t="str">
        <f ca="1">IFERROR(__xludf.DUMMYFUNCTION("CONCATENATE($B820,(VLOOKUP($C820,CATALOGOS!$F$2:$H$6,3,FALSE)),(VLOOKUP($V820,CATALOGOS!$J$2:$K$18,2,FALSE)),""-"",TO_TEXT($A820))"),"P24CA-0819")</f>
        <v>P24CA-0819</v>
      </c>
      <c r="I820" s="6"/>
      <c r="J820" s="6" t="s">
        <v>5646</v>
      </c>
      <c r="K820" s="6" t="s">
        <v>5647</v>
      </c>
      <c r="L820" s="6" t="s">
        <v>5648</v>
      </c>
      <c r="M820" s="6" t="s">
        <v>5649</v>
      </c>
      <c r="N820" s="17"/>
      <c r="O820" s="17"/>
      <c r="P820" s="17" t="str">
        <f t="shared" si="6"/>
        <v>OK</v>
      </c>
      <c r="Q820" s="17" t="s">
        <v>5538</v>
      </c>
      <c r="R820" s="6" t="s">
        <v>5539</v>
      </c>
      <c r="S820" s="6" t="s">
        <v>36</v>
      </c>
      <c r="T820" s="10" t="s">
        <v>5650</v>
      </c>
      <c r="U820" s="179" t="s">
        <v>517</v>
      </c>
      <c r="V820" s="11" t="s">
        <v>4416</v>
      </c>
      <c r="W820" s="22" t="s">
        <v>5584</v>
      </c>
      <c r="X820" s="22" t="s">
        <v>5584</v>
      </c>
      <c r="Y820" s="22"/>
      <c r="Z820" s="7"/>
      <c r="AA820" s="7"/>
      <c r="AB820" s="23"/>
      <c r="AC820" s="26"/>
    </row>
    <row r="821" spans="1:30" ht="15.75" customHeight="1">
      <c r="A821" s="10" t="s">
        <v>5651</v>
      </c>
      <c r="B821" s="10" t="s">
        <v>4410</v>
      </c>
      <c r="C821" s="19" t="s">
        <v>4411</v>
      </c>
      <c r="D821" s="12"/>
      <c r="E821" s="13" t="s">
        <v>93</v>
      </c>
      <c r="F821" s="6" t="s">
        <v>5652</v>
      </c>
      <c r="G821" s="15" t="str">
        <f ca="1">IFERROR(__xludf.DUMMYFUNCTION("CONCATENATE(B821,(VLOOKUP(C821,CATALOGOS!$F$2:$H$6,3,FALSE)),(VLOOKUP(V821,CATALOGOS!$J$2:$K$18,2,FALSE)),""-"",TO_TEXT(A821))"),"P24CA-0820")</f>
        <v>P24CA-0820</v>
      </c>
      <c r="H821" s="6" t="str">
        <f ca="1">IFERROR(__xludf.DUMMYFUNCTION("CONCATENATE($B821,(VLOOKUP($C821,CATALOGOS!$F$2:$H$6,3,FALSE)),(VLOOKUP($V821,CATALOGOS!$J$2:$K$18,2,FALSE)),""-"",TO_TEXT($A821))"),"P24CA-0820")</f>
        <v>P24CA-0820</v>
      </c>
      <c r="I821" s="6"/>
      <c r="J821" s="6" t="s">
        <v>5653</v>
      </c>
      <c r="K821" s="6" t="s">
        <v>5654</v>
      </c>
      <c r="L821" s="6" t="s">
        <v>5655</v>
      </c>
      <c r="M821" s="6" t="s">
        <v>5656</v>
      </c>
      <c r="N821" s="17"/>
      <c r="O821" s="17"/>
      <c r="P821" s="17" t="str">
        <f t="shared" si="6"/>
        <v>OK</v>
      </c>
      <c r="Q821" s="17" t="s">
        <v>35</v>
      </c>
      <c r="R821" s="6" t="s">
        <v>35</v>
      </c>
      <c r="S821" s="17" t="s">
        <v>36</v>
      </c>
      <c r="T821" s="17" t="s">
        <v>5657</v>
      </c>
      <c r="U821" s="173" t="s">
        <v>38</v>
      </c>
      <c r="V821" s="11" t="s">
        <v>4416</v>
      </c>
      <c r="W821" s="22" t="s">
        <v>5584</v>
      </c>
      <c r="X821" s="22" t="s">
        <v>5584</v>
      </c>
      <c r="Y821" s="22"/>
      <c r="Z821" s="7"/>
      <c r="AA821" s="7"/>
      <c r="AB821" s="23"/>
      <c r="AC821" s="26"/>
    </row>
    <row r="822" spans="1:30" ht="15.75" customHeight="1">
      <c r="A822" s="10" t="s">
        <v>5658</v>
      </c>
      <c r="B822" s="10" t="s">
        <v>4410</v>
      </c>
      <c r="C822" s="19" t="s">
        <v>4411</v>
      </c>
      <c r="D822" s="12"/>
      <c r="E822" s="13" t="s">
        <v>162</v>
      </c>
      <c r="F822" s="43" t="s">
        <v>285</v>
      </c>
      <c r="G822" s="15" t="str">
        <f ca="1">IFERROR(__xludf.DUMMYFUNCTION("CONCATENATE(B822,(VLOOKUP(C822,CATALOGOS!$F$2:$H$6,3,FALSE)),(VLOOKUP(V822,CATALOGOS!$J$2:$K$18,2,FALSE)),""-"",TO_TEXT(A822))"),"P24CA-0821")</f>
        <v>P24CA-0821</v>
      </c>
      <c r="H822" s="6" t="str">
        <f ca="1">IFERROR(__xludf.DUMMYFUNCTION("CONCATENATE($B822,(VLOOKUP($C822,CATALOGOS!$F$2:$H$6,3,FALSE)),(VLOOKUP($V822,CATALOGOS!$J$2:$K$18,2,FALSE)),""-"",TO_TEXT($A822))"),"P24CA-0821")</f>
        <v>P24CA-0821</v>
      </c>
      <c r="I822" s="6"/>
      <c r="J822" s="6" t="s">
        <v>5659</v>
      </c>
      <c r="K822" s="6" t="s">
        <v>5660</v>
      </c>
      <c r="L822" s="6" t="s">
        <v>5661</v>
      </c>
      <c r="M822" s="6" t="s">
        <v>5662</v>
      </c>
      <c r="N822" s="17"/>
      <c r="O822" s="17"/>
      <c r="P822" s="17" t="str">
        <f t="shared" si="6"/>
        <v>OK</v>
      </c>
      <c r="Q822" s="17" t="s">
        <v>168</v>
      </c>
      <c r="R822" s="6" t="s">
        <v>169</v>
      </c>
      <c r="S822" s="17" t="s">
        <v>5663</v>
      </c>
      <c r="T822" s="17" t="s">
        <v>5664</v>
      </c>
      <c r="U822" s="179" t="s">
        <v>100</v>
      </c>
      <c r="V822" s="11" t="s">
        <v>4416</v>
      </c>
      <c r="W822" s="22" t="s">
        <v>5584</v>
      </c>
      <c r="X822" s="22" t="s">
        <v>5584</v>
      </c>
      <c r="Y822" s="22"/>
      <c r="Z822" s="7"/>
      <c r="AA822" s="7"/>
      <c r="AB822" s="23"/>
      <c r="AC822" s="26"/>
    </row>
    <row r="823" spans="1:30" ht="15.75" customHeight="1">
      <c r="A823" s="10" t="s">
        <v>5665</v>
      </c>
      <c r="B823" s="10" t="s">
        <v>4410</v>
      </c>
      <c r="C823" s="19" t="s">
        <v>4411</v>
      </c>
      <c r="D823" s="12"/>
      <c r="E823" s="13" t="s">
        <v>248</v>
      </c>
      <c r="F823" s="43" t="s">
        <v>248</v>
      </c>
      <c r="G823" s="15" t="str">
        <f ca="1">IFERROR(__xludf.DUMMYFUNCTION("CONCATENATE(B823,(VLOOKUP(C823,CATALOGOS!$F$2:$H$6,3,FALSE)),(VLOOKUP(V823,CATALOGOS!$J$2:$K$18,2,FALSE)),""-"",TO_TEXT(A823))"),"P24CA-0822")</f>
        <v>P24CA-0822</v>
      </c>
      <c r="H823" s="6" t="str">
        <f ca="1">IFERROR(__xludf.DUMMYFUNCTION("CONCATENATE($B823,(VLOOKUP($C823,CATALOGOS!$F$2:$H$6,3,FALSE)),(VLOOKUP($V823,CATALOGOS!$J$2:$K$18,2,FALSE)),""-"",TO_TEXT($A823))"),"P24CA-0822")</f>
        <v>P24CA-0822</v>
      </c>
      <c r="I823" s="6"/>
      <c r="J823" s="6" t="s">
        <v>5666</v>
      </c>
      <c r="K823" s="6" t="s">
        <v>5667</v>
      </c>
      <c r="L823" s="6" t="s">
        <v>5668</v>
      </c>
      <c r="M823" s="6" t="s">
        <v>5669</v>
      </c>
      <c r="N823" s="17"/>
      <c r="O823" s="17"/>
      <c r="P823" s="17" t="str">
        <f t="shared" si="6"/>
        <v>OK</v>
      </c>
      <c r="Q823" s="17" t="s">
        <v>978</v>
      </c>
      <c r="R823" s="6" t="s">
        <v>979</v>
      </c>
      <c r="S823" s="17" t="s">
        <v>5670</v>
      </c>
      <c r="T823" s="17" t="s">
        <v>5671</v>
      </c>
      <c r="U823" s="173" t="s">
        <v>38</v>
      </c>
      <c r="V823" s="11" t="s">
        <v>4416</v>
      </c>
      <c r="W823" s="22" t="s">
        <v>5584</v>
      </c>
      <c r="X823" s="22" t="s">
        <v>5584</v>
      </c>
      <c r="Y823" s="22"/>
      <c r="Z823" s="7"/>
      <c r="AA823" s="7"/>
      <c r="AB823" s="23"/>
      <c r="AC823" s="26"/>
    </row>
    <row r="824" spans="1:30" ht="15.75" customHeight="1">
      <c r="A824" s="10" t="s">
        <v>5672</v>
      </c>
      <c r="B824" s="10" t="s">
        <v>4410</v>
      </c>
      <c r="C824" s="19" t="s">
        <v>4411</v>
      </c>
      <c r="D824" s="12"/>
      <c r="E824" s="13" t="s">
        <v>199</v>
      </c>
      <c r="F824" s="6" t="s">
        <v>199</v>
      </c>
      <c r="G824" s="15" t="str">
        <f ca="1">IFERROR(__xludf.DUMMYFUNCTION("CONCATENATE(B824,(VLOOKUP(C824,CATALOGOS!$F$2:$H$6,3,FALSE)),(VLOOKUP(V824,CATALOGOS!$J$2:$K$18,2,FALSE)),""-"",TO_TEXT(A824))"),"P24CA-0823")</f>
        <v>P24CA-0823</v>
      </c>
      <c r="H824" s="6" t="str">
        <f ca="1">IFERROR(__xludf.DUMMYFUNCTION("CONCATENATE($B824,(VLOOKUP($C824,CATALOGOS!$F$2:$H$6,3,FALSE)),(VLOOKUP($V824,CATALOGOS!$J$2:$K$18,2,FALSE)),""-"",TO_TEXT($A824))"),"P24CA-0823")</f>
        <v>P24CA-0823</v>
      </c>
      <c r="I824" s="6"/>
      <c r="J824" s="6" t="s">
        <v>5673</v>
      </c>
      <c r="K824" s="6" t="s">
        <v>5674</v>
      </c>
      <c r="L824" s="36"/>
      <c r="M824" s="6" t="s">
        <v>5675</v>
      </c>
      <c r="N824" s="17"/>
      <c r="O824" s="17"/>
      <c r="P824" s="17" t="str">
        <f t="shared" si="6"/>
        <v>OK</v>
      </c>
      <c r="Q824" s="17" t="s">
        <v>273</v>
      </c>
      <c r="R824" s="6" t="s">
        <v>274</v>
      </c>
      <c r="S824" s="6">
        <v>11392903012333</v>
      </c>
      <c r="T824" s="10" t="s">
        <v>85</v>
      </c>
      <c r="U824" s="173" t="s">
        <v>38</v>
      </c>
      <c r="V824" s="11" t="s">
        <v>4416</v>
      </c>
      <c r="W824" s="22" t="s">
        <v>5584</v>
      </c>
      <c r="X824" s="22" t="s">
        <v>5584</v>
      </c>
      <c r="Y824" s="22"/>
      <c r="Z824" s="6"/>
      <c r="AA824" s="6"/>
      <c r="AB824" s="41" t="s">
        <v>92</v>
      </c>
      <c r="AC824" s="42">
        <v>44348</v>
      </c>
      <c r="AD824" s="8" t="s">
        <v>276</v>
      </c>
    </row>
    <row r="825" spans="1:30" ht="15.75" customHeight="1">
      <c r="A825" s="10" t="s">
        <v>5676</v>
      </c>
      <c r="B825" s="10" t="s">
        <v>4410</v>
      </c>
      <c r="C825" s="19" t="s">
        <v>4411</v>
      </c>
      <c r="D825" s="12"/>
      <c r="E825" s="13" t="s">
        <v>151</v>
      </c>
      <c r="F825" s="6" t="s">
        <v>2236</v>
      </c>
      <c r="G825" s="15" t="str">
        <f ca="1">IFERROR(__xludf.DUMMYFUNCTION("CONCATENATE(B825,(VLOOKUP(C825,CATALOGOS!$F$2:$H$6,3,FALSE)),(VLOOKUP(V825,CATALOGOS!$J$2:$K$18,2,FALSE)),""-"",TO_TEXT(A825))"),"P24CA-0824")</f>
        <v>P24CA-0824</v>
      </c>
      <c r="H825" s="6" t="str">
        <f ca="1">IFERROR(__xludf.DUMMYFUNCTION("CONCATENATE($B825,(VLOOKUP($C825,CATALOGOS!$F$2:$H$6,3,FALSE)),(VLOOKUP($V825,CATALOGOS!$J$2:$K$18,2,FALSE)),""-"",TO_TEXT($A825))"),"P24CA-0824")</f>
        <v>P24CA-0824</v>
      </c>
      <c r="I825" s="6"/>
      <c r="J825" s="6" t="s">
        <v>5677</v>
      </c>
      <c r="K825" s="6" t="s">
        <v>5678</v>
      </c>
      <c r="L825" s="6" t="s">
        <v>5679</v>
      </c>
      <c r="M825" s="6" t="s">
        <v>5680</v>
      </c>
      <c r="N825" s="17"/>
      <c r="O825" s="17"/>
      <c r="P825" s="17" t="str">
        <f t="shared" si="6"/>
        <v>OK</v>
      </c>
      <c r="Q825" s="17" t="s">
        <v>1220</v>
      </c>
      <c r="R825" s="6" t="s">
        <v>720</v>
      </c>
      <c r="S825" s="17" t="s">
        <v>5681</v>
      </c>
      <c r="T825" s="17" t="s">
        <v>5682</v>
      </c>
      <c r="U825" s="173" t="s">
        <v>38</v>
      </c>
      <c r="V825" s="11" t="s">
        <v>4416</v>
      </c>
      <c r="W825" s="22" t="s">
        <v>5584</v>
      </c>
      <c r="X825" s="22" t="s">
        <v>5584</v>
      </c>
      <c r="Y825" s="22"/>
      <c r="Z825" s="7"/>
      <c r="AA825" s="7"/>
      <c r="AB825" s="23"/>
      <c r="AC825" s="26"/>
    </row>
    <row r="826" spans="1:30" ht="15.75" customHeight="1">
      <c r="A826" s="10" t="s">
        <v>5683</v>
      </c>
      <c r="B826" s="10" t="s">
        <v>4410</v>
      </c>
      <c r="C826" s="19" t="s">
        <v>4411</v>
      </c>
      <c r="D826" s="38"/>
      <c r="E826" s="13" t="s">
        <v>151</v>
      </c>
      <c r="F826" s="6" t="s">
        <v>4113</v>
      </c>
      <c r="G826" s="15" t="str">
        <f ca="1">IFERROR(__xludf.DUMMYFUNCTION("CONCATENATE(B826,(VLOOKUP(C826,CATALOGOS!$F$2:$H$6,3,FALSE)),(VLOOKUP(V826,CATALOGOS!$J$2:$K$18,2,FALSE)),""-"",TO_TEXT(A826))"),"P24CA-0825")</f>
        <v>P24CA-0825</v>
      </c>
      <c r="H826" s="6" t="str">
        <f ca="1">IFERROR(__xludf.DUMMYFUNCTION("CONCATENATE($B826,(VLOOKUP($C826,CATALOGOS!$F$2:$H$6,3,FALSE)),(VLOOKUP($V826,CATALOGOS!$J$2:$K$18,2,FALSE)),""-"",TO_TEXT($A826))"),"P24CA-0825")</f>
        <v>P24CA-0825</v>
      </c>
      <c r="I826" s="6"/>
      <c r="J826" s="6" t="s">
        <v>5684</v>
      </c>
      <c r="K826" s="6" t="s">
        <v>5685</v>
      </c>
      <c r="L826" s="36"/>
      <c r="M826" s="6" t="s">
        <v>5686</v>
      </c>
      <c r="N826" s="17"/>
      <c r="O826" s="17"/>
      <c r="P826" s="17" t="str">
        <f t="shared" si="6"/>
        <v>OK</v>
      </c>
      <c r="Q826" s="17" t="s">
        <v>297</v>
      </c>
      <c r="R826" s="6" t="s">
        <v>298</v>
      </c>
      <c r="S826" s="6" t="s">
        <v>5687</v>
      </c>
      <c r="T826" s="32" t="s">
        <v>85</v>
      </c>
      <c r="U826" s="173" t="s">
        <v>38</v>
      </c>
      <c r="V826" s="11" t="s">
        <v>4416</v>
      </c>
      <c r="W826" s="22" t="s">
        <v>5584</v>
      </c>
      <c r="X826" s="22" t="s">
        <v>5584</v>
      </c>
      <c r="Y826" s="22"/>
      <c r="Z826" s="6"/>
      <c r="AA826" s="6"/>
      <c r="AB826" s="73" t="s">
        <v>92</v>
      </c>
      <c r="AC826" s="42">
        <v>44348</v>
      </c>
      <c r="AD826" s="8">
        <v>0</v>
      </c>
    </row>
    <row r="827" spans="1:30" ht="29.25">
      <c r="A827" s="10" t="s">
        <v>5688</v>
      </c>
      <c r="B827" s="10" t="s">
        <v>4410</v>
      </c>
      <c r="C827" s="19" t="s">
        <v>4411</v>
      </c>
      <c r="D827" s="12"/>
      <c r="E827" s="13" t="s">
        <v>501</v>
      </c>
      <c r="F827" s="6" t="s">
        <v>5689</v>
      </c>
      <c r="G827" s="15" t="str">
        <f ca="1">IFERROR(__xludf.DUMMYFUNCTION("CONCATENATE(B827,(VLOOKUP(C827,CATALOGOS!$F$2:$H$6,3,FALSE)),(VLOOKUP(V827,CATALOGOS!$J$2:$K$18,2,FALSE)),""-"",TO_TEXT(A827))"),"P24NV-0826")</f>
        <v>P24NV-0826</v>
      </c>
      <c r="H827" s="6" t="str">
        <f ca="1">IFERROR(__xludf.DUMMYFUNCTION("CONCATENATE($B827,(VLOOKUP($C827,CATALOGOS!$F$2:$H$6,3,FALSE)),(VLOOKUP($V827,CATALOGOS!$J$2:$K$18,2,FALSE)),""-"",TO_TEXT($A827))"),"P24NV-0826")</f>
        <v>P24NV-0826</v>
      </c>
      <c r="I827" s="6"/>
      <c r="J827" s="6" t="s">
        <v>5690</v>
      </c>
      <c r="K827" s="6" t="s">
        <v>5691</v>
      </c>
      <c r="L827" s="6" t="s">
        <v>5692</v>
      </c>
      <c r="M827" s="80" t="s">
        <v>5693</v>
      </c>
      <c r="N827" s="17"/>
      <c r="O827" s="17"/>
      <c r="P827" s="17" t="str">
        <f t="shared" si="6"/>
        <v>OK</v>
      </c>
      <c r="Q827" s="17" t="s">
        <v>35</v>
      </c>
      <c r="R827" s="6" t="s">
        <v>35</v>
      </c>
      <c r="S827" s="17" t="s">
        <v>36</v>
      </c>
      <c r="T827" s="17" t="s">
        <v>5694</v>
      </c>
      <c r="U827" s="173" t="s">
        <v>38</v>
      </c>
      <c r="V827" s="181" t="s">
        <v>5695</v>
      </c>
      <c r="W827" s="22" t="s">
        <v>5696</v>
      </c>
      <c r="X827" s="22" t="s">
        <v>5696</v>
      </c>
      <c r="Y827" s="22"/>
      <c r="Z827" s="7"/>
      <c r="AA827" s="7"/>
      <c r="AB827" s="23"/>
      <c r="AC827" s="26"/>
    </row>
    <row r="828" spans="1:30" ht="15.75" customHeight="1">
      <c r="A828" s="10" t="s">
        <v>5697</v>
      </c>
      <c r="B828" s="10" t="s">
        <v>4410</v>
      </c>
      <c r="C828" s="19" t="s">
        <v>4411</v>
      </c>
      <c r="D828" s="12"/>
      <c r="E828" s="13" t="s">
        <v>378</v>
      </c>
      <c r="F828" s="43" t="s">
        <v>1450</v>
      </c>
      <c r="G828" s="15" t="str">
        <f ca="1">IFERROR(__xludf.DUMMYFUNCTION("CONCATENATE(B828,(VLOOKUP(C828,CATALOGOS!$F$2:$H$6,3,FALSE)),(VLOOKUP(V828,CATALOGOS!$J$2:$K$18,2,FALSE)),""-"",TO_TEXT(A828))"),"P24NV-0827")</f>
        <v>P24NV-0827</v>
      </c>
      <c r="H828" s="6" t="str">
        <f ca="1">IFERROR(__xludf.DUMMYFUNCTION("CONCATENATE($B828,(VLOOKUP($C828,CATALOGOS!$F$2:$H$6,3,FALSE)),(VLOOKUP($V828,CATALOGOS!$J$2:$K$18,2,FALSE)),""-"",TO_TEXT($A828))"),"P24NV-0827")</f>
        <v>P24NV-0827</v>
      </c>
      <c r="I828" s="6"/>
      <c r="J828" s="6" t="s">
        <v>5698</v>
      </c>
      <c r="K828" s="6" t="s">
        <v>5699</v>
      </c>
      <c r="L828" s="6" t="s">
        <v>5700</v>
      </c>
      <c r="M828" s="6" t="s">
        <v>5701</v>
      </c>
      <c r="N828" s="17"/>
      <c r="O828" s="17"/>
      <c r="P828" s="17" t="str">
        <f t="shared" si="6"/>
        <v>OK</v>
      </c>
      <c r="Q828" s="17" t="s">
        <v>35</v>
      </c>
      <c r="R828" s="6" t="s">
        <v>35</v>
      </c>
      <c r="S828" s="17" t="s">
        <v>36</v>
      </c>
      <c r="T828" s="17" t="s">
        <v>5702</v>
      </c>
      <c r="U828" s="173" t="s">
        <v>38</v>
      </c>
      <c r="V828" s="181" t="s">
        <v>5695</v>
      </c>
      <c r="W828" s="22" t="s">
        <v>5696</v>
      </c>
      <c r="X828" s="22" t="s">
        <v>5696</v>
      </c>
      <c r="Y828" s="22"/>
      <c r="Z828" s="7"/>
      <c r="AA828" s="7"/>
      <c r="AB828" s="23"/>
      <c r="AC828" s="26"/>
    </row>
    <row r="829" spans="1:30" ht="15.75" customHeight="1">
      <c r="A829" s="10" t="s">
        <v>5703</v>
      </c>
      <c r="B829" s="10" t="s">
        <v>4410</v>
      </c>
      <c r="C829" s="19" t="s">
        <v>4411</v>
      </c>
      <c r="D829" s="12"/>
      <c r="E829" s="13" t="s">
        <v>116</v>
      </c>
      <c r="F829" s="6" t="s">
        <v>364</v>
      </c>
      <c r="G829" s="15" t="str">
        <f ca="1">IFERROR(__xludf.DUMMYFUNCTION("CONCATENATE(B829,(VLOOKUP(C829,CATALOGOS!$F$2:$H$6,3,FALSE)),(VLOOKUP(V829,CATALOGOS!$J$2:$K$18,2,FALSE)),""-"",TO_TEXT(A829))"),"P24NV-0828")</f>
        <v>P24NV-0828</v>
      </c>
      <c r="H829" s="6" t="str">
        <f ca="1">IFERROR(__xludf.DUMMYFUNCTION("CONCATENATE($B829,(VLOOKUP($C829,CATALOGOS!$F$2:$H$6,3,FALSE)),(VLOOKUP($V829,CATALOGOS!$J$2:$K$18,2,FALSE)),""-"",TO_TEXT($A829))"),"P24NV-0828")</f>
        <v>P24NV-0828</v>
      </c>
      <c r="I829" s="6"/>
      <c r="J829" s="6" t="s">
        <v>5704</v>
      </c>
      <c r="K829" s="6" t="s">
        <v>5705</v>
      </c>
      <c r="L829" s="6" t="s">
        <v>5706</v>
      </c>
      <c r="M829" s="6" t="s">
        <v>5707</v>
      </c>
      <c r="N829" s="17"/>
      <c r="O829" s="17"/>
      <c r="P829" s="17" t="str">
        <f t="shared" si="6"/>
        <v>OK</v>
      </c>
      <c r="Q829" s="17" t="s">
        <v>35</v>
      </c>
      <c r="R829" s="6" t="s">
        <v>35</v>
      </c>
      <c r="S829" s="17" t="s">
        <v>36</v>
      </c>
      <c r="T829" s="17" t="s">
        <v>5708</v>
      </c>
      <c r="U829" s="173" t="s">
        <v>38</v>
      </c>
      <c r="V829" s="181" t="s">
        <v>5695</v>
      </c>
      <c r="W829" s="22" t="s">
        <v>5696</v>
      </c>
      <c r="X829" s="22" t="s">
        <v>5696</v>
      </c>
      <c r="Y829" s="22"/>
      <c r="Z829" s="7"/>
      <c r="AA829" s="7"/>
      <c r="AB829" s="23"/>
      <c r="AC829" s="26"/>
    </row>
    <row r="830" spans="1:30" ht="15.75" customHeight="1">
      <c r="A830" s="10" t="s">
        <v>5709</v>
      </c>
      <c r="B830" s="10" t="s">
        <v>4410</v>
      </c>
      <c r="C830" s="19" t="s">
        <v>4411</v>
      </c>
      <c r="D830" s="12"/>
      <c r="E830" s="13" t="s">
        <v>248</v>
      </c>
      <c r="F830" s="43" t="s">
        <v>248</v>
      </c>
      <c r="G830" s="15" t="str">
        <f ca="1">IFERROR(__xludf.DUMMYFUNCTION("CONCATENATE(B830,(VLOOKUP(C830,CATALOGOS!$F$2:$H$6,3,FALSE)),(VLOOKUP(V830,CATALOGOS!$J$2:$K$18,2,FALSE)),""-"",TO_TEXT(A830))"),"P24NV-0829")</f>
        <v>P24NV-0829</v>
      </c>
      <c r="H830" s="6" t="str">
        <f ca="1">IFERROR(__xludf.DUMMYFUNCTION("CONCATENATE($B830,(VLOOKUP($C830,CATALOGOS!$F$2:$H$6,3,FALSE)),(VLOOKUP($V830,CATALOGOS!$J$2:$K$18,2,FALSE)),""-"",TO_TEXT($A830))"),"P24NV-0829")</f>
        <v>P24NV-0829</v>
      </c>
      <c r="I830" s="6"/>
      <c r="J830" s="6" t="s">
        <v>5710</v>
      </c>
      <c r="K830" s="6" t="s">
        <v>5711</v>
      </c>
      <c r="L830" s="6" t="s">
        <v>5712</v>
      </c>
      <c r="M830" s="6" t="s">
        <v>5713</v>
      </c>
      <c r="N830" s="17"/>
      <c r="O830" s="17"/>
      <c r="P830" s="17" t="str">
        <f t="shared" si="6"/>
        <v>OK</v>
      </c>
      <c r="Q830" s="17" t="s">
        <v>978</v>
      </c>
      <c r="R830" s="6" t="s">
        <v>979</v>
      </c>
      <c r="S830" s="17" t="s">
        <v>5714</v>
      </c>
      <c r="T830" s="17" t="s">
        <v>5715</v>
      </c>
      <c r="U830" s="173" t="s">
        <v>38</v>
      </c>
      <c r="V830" s="181" t="s">
        <v>5695</v>
      </c>
      <c r="W830" s="22" t="s">
        <v>5696</v>
      </c>
      <c r="X830" s="22" t="s">
        <v>5696</v>
      </c>
      <c r="Y830" s="22"/>
      <c r="Z830" s="7"/>
      <c r="AA830" s="7"/>
      <c r="AB830" s="23"/>
      <c r="AC830" s="26"/>
    </row>
    <row r="831" spans="1:30" ht="15.75" customHeight="1">
      <c r="A831" s="10" t="s">
        <v>5716</v>
      </c>
      <c r="B831" s="10" t="s">
        <v>4410</v>
      </c>
      <c r="C831" s="19" t="s">
        <v>4411</v>
      </c>
      <c r="D831" s="12"/>
      <c r="E831" s="13" t="s">
        <v>199</v>
      </c>
      <c r="F831" s="6" t="s">
        <v>199</v>
      </c>
      <c r="G831" s="15" t="str">
        <f ca="1">IFERROR(__xludf.DUMMYFUNCTION("CONCATENATE(B831,(VLOOKUP(C831,CATALOGOS!$F$2:$H$6,3,FALSE)),(VLOOKUP(V831,CATALOGOS!$J$2:$K$18,2,FALSE)),""-"",TO_TEXT(A831))"),"P24NV-0830")</f>
        <v>P24NV-0830</v>
      </c>
      <c r="H831" s="6" t="str">
        <f ca="1">IFERROR(__xludf.DUMMYFUNCTION("CONCATENATE($B831,(VLOOKUP($C831,CATALOGOS!$F$2:$H$6,3,FALSE)),(VLOOKUP($V831,CATALOGOS!$J$2:$K$18,2,FALSE)),""-"",TO_TEXT($A831))"),"P24NV-0830")</f>
        <v>P24NV-0830</v>
      </c>
      <c r="I831" s="6"/>
      <c r="J831" s="6" t="s">
        <v>5717</v>
      </c>
      <c r="K831" s="6" t="s">
        <v>5718</v>
      </c>
      <c r="L831" s="37"/>
      <c r="M831" s="6" t="s">
        <v>5719</v>
      </c>
      <c r="N831" s="17"/>
      <c r="O831" s="17"/>
      <c r="P831" s="17" t="str">
        <f t="shared" si="6"/>
        <v>OK</v>
      </c>
      <c r="Q831" s="17" t="s">
        <v>273</v>
      </c>
      <c r="R831" s="6" t="s">
        <v>274</v>
      </c>
      <c r="S831" s="6">
        <v>11392903012346</v>
      </c>
      <c r="T831" s="10" t="s">
        <v>85</v>
      </c>
      <c r="U831" s="173" t="s">
        <v>38</v>
      </c>
      <c r="V831" s="181" t="s">
        <v>5695</v>
      </c>
      <c r="W831" s="22" t="s">
        <v>5696</v>
      </c>
      <c r="X831" s="22" t="s">
        <v>5696</v>
      </c>
      <c r="Y831" s="22"/>
      <c r="Z831" s="6"/>
      <c r="AA831" s="6"/>
      <c r="AB831" s="41" t="s">
        <v>92</v>
      </c>
      <c r="AC831" s="42">
        <v>44348</v>
      </c>
      <c r="AD831" s="8" t="s">
        <v>276</v>
      </c>
    </row>
    <row r="832" spans="1:30" ht="15.75" customHeight="1">
      <c r="A832" s="10" t="s">
        <v>5720</v>
      </c>
      <c r="B832" s="10" t="s">
        <v>4410</v>
      </c>
      <c r="C832" s="19" t="s">
        <v>4411</v>
      </c>
      <c r="D832" s="12"/>
      <c r="E832" s="13" t="s">
        <v>151</v>
      </c>
      <c r="F832" s="6" t="s">
        <v>714</v>
      </c>
      <c r="G832" s="15" t="str">
        <f ca="1">IFERROR(__xludf.DUMMYFUNCTION("CONCATENATE(B832,(VLOOKUP(C832,CATALOGOS!$F$2:$H$6,3,FALSE)),(VLOOKUP(V832,CATALOGOS!$J$2:$K$18,2,FALSE)),""-"",TO_TEXT(A832))"),"P24NV-0831")</f>
        <v>P24NV-0831</v>
      </c>
      <c r="H832" s="6" t="str">
        <f ca="1">IFERROR(__xludf.DUMMYFUNCTION("CONCATENATE($B832,(VLOOKUP($C832,CATALOGOS!$F$2:$H$6,3,FALSE)),(VLOOKUP($V832,CATALOGOS!$J$2:$K$18,2,FALSE)),""-"",TO_TEXT($A832))"),"P24NV-0831")</f>
        <v>P24NV-0831</v>
      </c>
      <c r="I832" s="6"/>
      <c r="J832" s="6" t="s">
        <v>5721</v>
      </c>
      <c r="K832" s="6" t="s">
        <v>5722</v>
      </c>
      <c r="L832" s="37"/>
      <c r="M832" s="6" t="s">
        <v>5723</v>
      </c>
      <c r="N832" s="17"/>
      <c r="O832" s="17"/>
      <c r="P832" s="17" t="str">
        <f t="shared" si="6"/>
        <v>OK</v>
      </c>
      <c r="Q832" s="17" t="s">
        <v>297</v>
      </c>
      <c r="R832" s="6" t="s">
        <v>298</v>
      </c>
      <c r="S832" s="6" t="s">
        <v>5724</v>
      </c>
      <c r="T832" s="10" t="s">
        <v>85</v>
      </c>
      <c r="U832" s="173" t="s">
        <v>38</v>
      </c>
      <c r="V832" s="181" t="s">
        <v>5695</v>
      </c>
      <c r="W832" s="22" t="s">
        <v>5696</v>
      </c>
      <c r="X832" s="22" t="s">
        <v>5696</v>
      </c>
      <c r="Y832" s="22"/>
      <c r="Z832" s="6"/>
      <c r="AA832" s="6"/>
      <c r="AB832" s="41" t="s">
        <v>92</v>
      </c>
      <c r="AC832" s="42">
        <v>44348</v>
      </c>
      <c r="AD832" s="8">
        <v>0</v>
      </c>
    </row>
    <row r="833" spans="1:29" ht="15.75" customHeight="1">
      <c r="A833" s="10" t="s">
        <v>5725</v>
      </c>
      <c r="B833" s="10" t="s">
        <v>4410</v>
      </c>
      <c r="C833" s="19" t="s">
        <v>4411</v>
      </c>
      <c r="D833" s="38"/>
      <c r="E833" s="13" t="s">
        <v>43</v>
      </c>
      <c r="F833" s="43" t="s">
        <v>315</v>
      </c>
      <c r="G833" s="15" t="str">
        <f ca="1">IFERROR(__xludf.DUMMYFUNCTION("CONCATENATE(B833,(VLOOKUP(C833,CATALOGOS!$F$2:$H$6,3,FALSE)),(VLOOKUP(V833,CATALOGOS!$J$2:$K$18,2,FALSE)),""-"",TO_TEXT(A833))"),"P24NV-0832")</f>
        <v>P24NV-0832</v>
      </c>
      <c r="H833" s="6" t="str">
        <f ca="1">IFERROR(__xludf.DUMMYFUNCTION("CONCATENATE($B833,(VLOOKUP($C833,CATALOGOS!$F$2:$H$6,3,FALSE)),(VLOOKUP($V833,CATALOGOS!$J$2:$K$18,2,FALSE)),""-"",TO_TEXT($A833))"),"P24NV-0832")</f>
        <v>P24NV-0832</v>
      </c>
      <c r="I833" s="6"/>
      <c r="J833" s="6" t="s">
        <v>5726</v>
      </c>
      <c r="K833" s="6" t="s">
        <v>5727</v>
      </c>
      <c r="L833" s="6" t="s">
        <v>5728</v>
      </c>
      <c r="M833" s="6" t="s">
        <v>5729</v>
      </c>
      <c r="N833" s="17"/>
      <c r="O833" s="17"/>
      <c r="P833" s="17" t="str">
        <f t="shared" si="6"/>
        <v>OK</v>
      </c>
      <c r="Q833" s="17" t="s">
        <v>2586</v>
      </c>
      <c r="R833" s="6" t="s">
        <v>5730</v>
      </c>
      <c r="S833" s="46" t="s">
        <v>36</v>
      </c>
      <c r="T833" s="17" t="s">
        <v>5731</v>
      </c>
      <c r="U833" s="179" t="s">
        <v>100</v>
      </c>
      <c r="V833" s="181" t="s">
        <v>5695</v>
      </c>
      <c r="W833" s="22" t="s">
        <v>5696</v>
      </c>
      <c r="X833" s="22" t="s">
        <v>5696</v>
      </c>
      <c r="Y833" s="22"/>
      <c r="Z833" s="7"/>
      <c r="AA833" s="7"/>
      <c r="AB833" s="26"/>
      <c r="AC833" s="26"/>
    </row>
    <row r="834" spans="1:29" ht="15.75" customHeight="1">
      <c r="A834" s="10" t="s">
        <v>5732</v>
      </c>
      <c r="B834" s="10" t="s">
        <v>474</v>
      </c>
      <c r="C834" s="11" t="s">
        <v>28</v>
      </c>
      <c r="D834" s="12"/>
      <c r="E834" s="13" t="s">
        <v>93</v>
      </c>
      <c r="F834" s="6" t="s">
        <v>5733</v>
      </c>
      <c r="G834" s="6" t="str">
        <f ca="1">IFERROR(__xludf.DUMMYFUNCTION("CONCATENATE(B834,(VLOOKUP(C834,CATALOGOS!$F$2:$H$6,3,FALSE)),(VLOOKUP(V834,CATALOGOS!$J$2:$K$18,2,FALSE)),""-"",TO_TEXT(A834))"),"P35DA-0833")</f>
        <v>P35DA-0833</v>
      </c>
      <c r="H834" s="6" t="str">
        <f ca="1">IFERROR(__xludf.DUMMYFUNCTION("CONCATENATE($B834,(VLOOKUP($C834,CATALOGOS!$F$2:$H$6,3,FALSE)),(VLOOKUP($V834,CATALOGOS!$J$2:$K$18,2,FALSE)),""-"",TO_TEXT($A834))"),"P35DA-0833")</f>
        <v>P35DA-0833</v>
      </c>
      <c r="I834" s="6"/>
      <c r="J834" s="6" t="s">
        <v>5734</v>
      </c>
      <c r="K834" s="6" t="s">
        <v>5735</v>
      </c>
      <c r="L834" s="6" t="s">
        <v>5736</v>
      </c>
      <c r="M834" s="6" t="s">
        <v>5737</v>
      </c>
      <c r="N834" s="17"/>
      <c r="O834" s="17"/>
      <c r="P834" s="17" t="str">
        <f t="shared" si="6"/>
        <v>OK</v>
      </c>
      <c r="Q834" s="17" t="s">
        <v>35</v>
      </c>
      <c r="R834" s="6" t="s">
        <v>35</v>
      </c>
      <c r="S834" s="17" t="s">
        <v>36</v>
      </c>
      <c r="T834" s="17" t="s">
        <v>5738</v>
      </c>
      <c r="U834" s="173" t="s">
        <v>38</v>
      </c>
      <c r="V834" s="11" t="s">
        <v>28</v>
      </c>
      <c r="W834" s="22" t="s">
        <v>40</v>
      </c>
      <c r="X834" s="22" t="s">
        <v>40</v>
      </c>
      <c r="Y834" s="22"/>
      <c r="Z834" s="7"/>
      <c r="AA834" s="7"/>
      <c r="AB834" s="23"/>
      <c r="AC834" s="26"/>
    </row>
    <row r="835" spans="1:29" ht="15.75" customHeight="1">
      <c r="A835" s="10" t="s">
        <v>5739</v>
      </c>
      <c r="B835" s="10" t="s">
        <v>474</v>
      </c>
      <c r="C835" s="11" t="s">
        <v>28</v>
      </c>
      <c r="D835" s="12"/>
      <c r="E835" s="13" t="s">
        <v>93</v>
      </c>
      <c r="F835" s="6" t="s">
        <v>5740</v>
      </c>
      <c r="G835" s="6" t="str">
        <f ca="1">IFERROR(__xludf.DUMMYFUNCTION("CONCATENATE(B835,(VLOOKUP(C835,CATALOGOS!$F$2:$H$6,3,FALSE)),(VLOOKUP(V835,CATALOGOS!$J$2:$K$18,2,FALSE)),""-"",TO_TEXT(A835))"),"P35DA-0834")</f>
        <v>P35DA-0834</v>
      </c>
      <c r="H835" s="6" t="str">
        <f ca="1">IFERROR(__xludf.DUMMYFUNCTION("CONCATENATE($B835,(VLOOKUP($C835,CATALOGOS!$F$2:$H$6,3,FALSE)),(VLOOKUP($V835,CATALOGOS!$J$2:$K$18,2,FALSE)),""-"",TO_TEXT($A835))"),"P35DA-0834")</f>
        <v>P35DA-0834</v>
      </c>
      <c r="I835" s="6"/>
      <c r="J835" s="6" t="s">
        <v>5741</v>
      </c>
      <c r="K835" s="6" t="s">
        <v>5742</v>
      </c>
      <c r="L835" s="36"/>
      <c r="M835" s="6" t="s">
        <v>141</v>
      </c>
      <c r="N835" s="17"/>
      <c r="O835" s="17"/>
      <c r="P835" s="17" t="str">
        <f t="shared" si="6"/>
        <v>REPETIDO</v>
      </c>
      <c r="Q835" s="35" t="s">
        <v>35</v>
      </c>
      <c r="R835" s="6" t="s">
        <v>35</v>
      </c>
      <c r="S835" s="10" t="s">
        <v>36</v>
      </c>
      <c r="T835" s="32" t="s">
        <v>85</v>
      </c>
      <c r="U835" s="173" t="s">
        <v>38</v>
      </c>
      <c r="V835" s="11" t="s">
        <v>28</v>
      </c>
      <c r="W835" s="22" t="s">
        <v>40</v>
      </c>
      <c r="X835" s="22" t="s">
        <v>40</v>
      </c>
      <c r="Y835" s="22"/>
      <c r="Z835" s="7"/>
      <c r="AA835" s="7"/>
      <c r="AB835" s="23"/>
      <c r="AC835" s="26"/>
    </row>
    <row r="836" spans="1:29" ht="15.75" customHeight="1">
      <c r="A836" s="10" t="s">
        <v>5743</v>
      </c>
      <c r="B836" s="10" t="s">
        <v>474</v>
      </c>
      <c r="C836" s="11" t="s">
        <v>28</v>
      </c>
      <c r="D836" s="12"/>
      <c r="E836" s="13" t="s">
        <v>93</v>
      </c>
      <c r="F836" s="6" t="s">
        <v>5740</v>
      </c>
      <c r="G836" s="6" t="str">
        <f ca="1">IFERROR(__xludf.DUMMYFUNCTION("CONCATENATE(B836,(VLOOKUP(C836,CATALOGOS!$F$2:$H$6,3,FALSE)),(VLOOKUP(V836,CATALOGOS!$J$2:$K$18,2,FALSE)),""-"",TO_TEXT(A836))"),"P35DA-0835")</f>
        <v>P35DA-0835</v>
      </c>
      <c r="H836" s="6" t="str">
        <f ca="1">IFERROR(__xludf.DUMMYFUNCTION("CONCATENATE($B836,(VLOOKUP($C836,CATALOGOS!$F$2:$H$6,3,FALSE)),(VLOOKUP($V836,CATALOGOS!$J$2:$K$18,2,FALSE)),""-"",TO_TEXT($A836))"),"P35DA-0835")</f>
        <v>P35DA-0835</v>
      </c>
      <c r="I836" s="6"/>
      <c r="J836" s="6" t="s">
        <v>5744</v>
      </c>
      <c r="K836" s="6" t="s">
        <v>5745</v>
      </c>
      <c r="L836" s="36"/>
      <c r="M836" s="6" t="s">
        <v>141</v>
      </c>
      <c r="N836" s="17"/>
      <c r="O836" s="17"/>
      <c r="P836" s="17" t="str">
        <f t="shared" si="6"/>
        <v>REPETIDO</v>
      </c>
      <c r="Q836" s="35" t="s">
        <v>35</v>
      </c>
      <c r="R836" s="6" t="s">
        <v>35</v>
      </c>
      <c r="S836" s="10" t="s">
        <v>36</v>
      </c>
      <c r="T836" s="32" t="s">
        <v>85</v>
      </c>
      <c r="U836" s="173" t="s">
        <v>38</v>
      </c>
      <c r="V836" s="11" t="s">
        <v>28</v>
      </c>
      <c r="W836" s="22" t="s">
        <v>40</v>
      </c>
      <c r="X836" s="22" t="s">
        <v>40</v>
      </c>
      <c r="Y836" s="22"/>
      <c r="Z836" s="7"/>
      <c r="AA836" s="7"/>
      <c r="AB836" s="23"/>
      <c r="AC836" s="26"/>
    </row>
    <row r="837" spans="1:29" ht="15.75" customHeight="1">
      <c r="A837" s="10" t="s">
        <v>5746</v>
      </c>
      <c r="B837" s="10" t="s">
        <v>474</v>
      </c>
      <c r="C837" s="11" t="s">
        <v>28</v>
      </c>
      <c r="D837" s="12"/>
      <c r="E837" s="13" t="s">
        <v>93</v>
      </c>
      <c r="F837" s="6" t="s">
        <v>5740</v>
      </c>
      <c r="G837" s="6" t="str">
        <f ca="1">IFERROR(__xludf.DUMMYFUNCTION("CONCATENATE(B837,(VLOOKUP(C837,CATALOGOS!$F$2:$H$6,3,FALSE)),(VLOOKUP(V837,CATALOGOS!$J$2:$K$18,2,FALSE)),""-"",TO_TEXT(A837))"),"P35DA-0836")</f>
        <v>P35DA-0836</v>
      </c>
      <c r="H837" s="6" t="str">
        <f ca="1">IFERROR(__xludf.DUMMYFUNCTION("CONCATENATE($B837,(VLOOKUP($C837,CATALOGOS!$F$2:$H$6,3,FALSE)),(VLOOKUP($V837,CATALOGOS!$J$2:$K$18,2,FALSE)),""-"",TO_TEXT($A837))"),"P35DA-0836")</f>
        <v>P35DA-0836</v>
      </c>
      <c r="I837" s="6"/>
      <c r="J837" s="6" t="s">
        <v>5747</v>
      </c>
      <c r="K837" s="6" t="s">
        <v>5748</v>
      </c>
      <c r="L837" s="6" t="s">
        <v>5749</v>
      </c>
      <c r="M837" s="6" t="s">
        <v>5750</v>
      </c>
      <c r="N837" s="17"/>
      <c r="O837" s="17"/>
      <c r="P837" s="17" t="str">
        <f t="shared" si="6"/>
        <v>OK</v>
      </c>
      <c r="Q837" s="17" t="s">
        <v>35</v>
      </c>
      <c r="R837" s="6" t="s">
        <v>35</v>
      </c>
      <c r="S837" s="17" t="s">
        <v>36</v>
      </c>
      <c r="T837" s="17" t="s">
        <v>5751</v>
      </c>
      <c r="U837" s="173" t="s">
        <v>38</v>
      </c>
      <c r="V837" s="11" t="s">
        <v>28</v>
      </c>
      <c r="W837" s="22" t="s">
        <v>40</v>
      </c>
      <c r="X837" s="22" t="s">
        <v>40</v>
      </c>
      <c r="Y837" s="22"/>
      <c r="Z837" s="7"/>
      <c r="AA837" s="7"/>
      <c r="AB837" s="23"/>
      <c r="AC837" s="26"/>
    </row>
    <row r="838" spans="1:29" ht="15.75" customHeight="1">
      <c r="A838" s="10" t="s">
        <v>5752</v>
      </c>
      <c r="B838" s="10" t="s">
        <v>474</v>
      </c>
      <c r="C838" s="11" t="s">
        <v>28</v>
      </c>
      <c r="D838" s="12"/>
      <c r="E838" s="13" t="s">
        <v>378</v>
      </c>
      <c r="F838" s="43" t="s">
        <v>511</v>
      </c>
      <c r="G838" s="6" t="str">
        <f ca="1">IFERROR(__xludf.DUMMYFUNCTION("CONCATENATE(B838,(VLOOKUP(C838,CATALOGOS!$F$2:$H$6,3,FALSE)),(VLOOKUP(V838,CATALOGOS!$J$2:$K$18,2,FALSE)),""-"",TO_TEXT(A838))"),"P35DA-0837")</f>
        <v>P35DA-0837</v>
      </c>
      <c r="H838" s="6" t="str">
        <f ca="1">IFERROR(__xludf.DUMMYFUNCTION("CONCATENATE($B838,(VLOOKUP($C838,CATALOGOS!$F$2:$H$6,3,FALSE)),(VLOOKUP($V838,CATALOGOS!$J$2:$K$18,2,FALSE)),""-"",TO_TEXT($A838))"),"P35DA-0837")</f>
        <v>P35DA-0837</v>
      </c>
      <c r="I838" s="6"/>
      <c r="J838" s="6" t="s">
        <v>5753</v>
      </c>
      <c r="K838" s="6" t="s">
        <v>5754</v>
      </c>
      <c r="L838" s="6" t="s">
        <v>5755</v>
      </c>
      <c r="M838" s="6" t="s">
        <v>5756</v>
      </c>
      <c r="N838" s="17"/>
      <c r="O838" s="17"/>
      <c r="P838" s="17" t="str">
        <f t="shared" si="6"/>
        <v>OK</v>
      </c>
      <c r="Q838" s="17" t="s">
        <v>35</v>
      </c>
      <c r="R838" s="6" t="s">
        <v>35</v>
      </c>
      <c r="S838" s="17" t="s">
        <v>36</v>
      </c>
      <c r="T838" s="17" t="s">
        <v>5757</v>
      </c>
      <c r="U838" s="173" t="s">
        <v>517</v>
      </c>
      <c r="V838" s="11" t="s">
        <v>28</v>
      </c>
      <c r="W838" s="22" t="s">
        <v>40</v>
      </c>
      <c r="X838" s="22" t="s">
        <v>40</v>
      </c>
      <c r="Y838" s="22"/>
      <c r="Z838" s="7"/>
      <c r="AA838" s="7"/>
      <c r="AB838" s="23"/>
      <c r="AC838" s="26"/>
    </row>
    <row r="839" spans="1:29" ht="15.75" customHeight="1">
      <c r="A839" s="10" t="s">
        <v>5758</v>
      </c>
      <c r="B839" s="10" t="s">
        <v>474</v>
      </c>
      <c r="C839" s="11" t="s">
        <v>28</v>
      </c>
      <c r="D839" s="12"/>
      <c r="E839" s="13" t="s">
        <v>378</v>
      </c>
      <c r="F839" s="6" t="s">
        <v>511</v>
      </c>
      <c r="G839" s="6" t="str">
        <f ca="1">IFERROR(__xludf.DUMMYFUNCTION("CONCATENATE(B839,(VLOOKUP(C839,CATALOGOS!$F$2:$H$6,3,FALSE)),(VLOOKUP(V839,CATALOGOS!$J$2:$K$18,2,FALSE)),""-"",TO_TEXT(A839))"),"P35DA-0838")</f>
        <v>P35DA-0838</v>
      </c>
      <c r="H839" s="6" t="str">
        <f ca="1">IFERROR(__xludf.DUMMYFUNCTION("CONCATENATE($B839,(VLOOKUP($C839,CATALOGOS!$F$2:$H$6,3,FALSE)),(VLOOKUP($V839,CATALOGOS!$J$2:$K$18,2,FALSE)),""-"",TO_TEXT($A839))"),"P35DA-0838")</f>
        <v>P35DA-0838</v>
      </c>
      <c r="I839" s="6"/>
      <c r="J839" s="6" t="s">
        <v>5759</v>
      </c>
      <c r="K839" s="6" t="s">
        <v>5760</v>
      </c>
      <c r="L839" s="6" t="s">
        <v>5761</v>
      </c>
      <c r="M839" s="6" t="s">
        <v>5762</v>
      </c>
      <c r="N839" s="17"/>
      <c r="O839" s="17"/>
      <c r="P839" s="17" t="str">
        <f t="shared" si="6"/>
        <v>OK</v>
      </c>
      <c r="Q839" s="17" t="s">
        <v>35</v>
      </c>
      <c r="R839" s="6" t="s">
        <v>35</v>
      </c>
      <c r="S839" s="17" t="s">
        <v>36</v>
      </c>
      <c r="T839" s="17" t="s">
        <v>5763</v>
      </c>
      <c r="U839" s="173" t="s">
        <v>100</v>
      </c>
      <c r="V839" s="11" t="s">
        <v>28</v>
      </c>
      <c r="W839" s="22" t="s">
        <v>40</v>
      </c>
      <c r="X839" s="22" t="s">
        <v>40</v>
      </c>
      <c r="Y839" s="22"/>
      <c r="Z839" s="81"/>
      <c r="AA839" s="81"/>
      <c r="AB839" s="23"/>
      <c r="AC839" s="26"/>
    </row>
    <row r="840" spans="1:29" ht="15.75" customHeight="1">
      <c r="A840" s="10" t="s">
        <v>5764</v>
      </c>
      <c r="B840" s="10" t="s">
        <v>474</v>
      </c>
      <c r="C840" s="11" t="s">
        <v>28</v>
      </c>
      <c r="D840" s="12"/>
      <c r="E840" s="13" t="s">
        <v>80</v>
      </c>
      <c r="F840" s="6" t="s">
        <v>5765</v>
      </c>
      <c r="G840" s="6" t="str">
        <f ca="1">IFERROR(__xludf.DUMMYFUNCTION("CONCATENATE(B840,(VLOOKUP(C840,CATALOGOS!$F$2:$H$6,3,FALSE)),(VLOOKUP(V840,CATALOGOS!$J$2:$K$18,2,FALSE)),""-"",TO_TEXT(A840))"),"P35DA-0839")</f>
        <v>P35DA-0839</v>
      </c>
      <c r="H840" s="6" t="str">
        <f ca="1">IFERROR(__xludf.DUMMYFUNCTION("CONCATENATE($B840,(VLOOKUP($C840,CATALOGOS!$F$2:$H$6,3,FALSE)),(VLOOKUP($V840,CATALOGOS!$J$2:$K$18,2,FALSE)),""-"",TO_TEXT($A840))"),"P35DA-0839")</f>
        <v>P35DA-0839</v>
      </c>
      <c r="I840" s="6"/>
      <c r="J840" s="6" t="s">
        <v>5766</v>
      </c>
      <c r="K840" s="6" t="s">
        <v>5767</v>
      </c>
      <c r="L840" s="6" t="s">
        <v>5768</v>
      </c>
      <c r="M840" s="6" t="s">
        <v>5769</v>
      </c>
      <c r="N840" s="17"/>
      <c r="O840" s="17"/>
      <c r="P840" s="17" t="str">
        <f t="shared" si="6"/>
        <v>OK</v>
      </c>
      <c r="Q840" s="17" t="s">
        <v>35</v>
      </c>
      <c r="R840" s="6" t="s">
        <v>35</v>
      </c>
      <c r="S840" s="17" t="s">
        <v>36</v>
      </c>
      <c r="T840" s="17" t="s">
        <v>85</v>
      </c>
      <c r="U840" s="173" t="s">
        <v>38</v>
      </c>
      <c r="V840" s="11" t="s">
        <v>28</v>
      </c>
      <c r="W840" s="22" t="s">
        <v>40</v>
      </c>
      <c r="X840" s="22" t="s">
        <v>40</v>
      </c>
      <c r="Y840" s="22"/>
      <c r="Z840" s="6"/>
      <c r="AA840" s="6"/>
      <c r="AB840" s="23"/>
      <c r="AC840" s="7"/>
    </row>
    <row r="841" spans="1:29" ht="15.75" customHeight="1">
      <c r="A841" s="10" t="s">
        <v>5770</v>
      </c>
      <c r="B841" s="10" t="s">
        <v>474</v>
      </c>
      <c r="C841" s="11" t="s">
        <v>28</v>
      </c>
      <c r="D841" s="12"/>
      <c r="E841" s="13" t="s">
        <v>93</v>
      </c>
      <c r="F841" s="6" t="s">
        <v>5771</v>
      </c>
      <c r="G841" s="6" t="str">
        <f ca="1">IFERROR(__xludf.DUMMYFUNCTION("CONCATENATE(B841,(VLOOKUP(C841,CATALOGOS!$F$2:$H$6,3,FALSE)),(VLOOKUP(V841,CATALOGOS!$J$2:$K$18,2,FALSE)),""-"",TO_TEXT(A841))"),"P35DA-0840")</f>
        <v>P35DA-0840</v>
      </c>
      <c r="H841" s="6" t="str">
        <f ca="1">IFERROR(__xludf.DUMMYFUNCTION("CONCATENATE($B841,(VLOOKUP($C841,CATALOGOS!$F$2:$H$6,3,FALSE)),(VLOOKUP($V841,CATALOGOS!$J$2:$K$18,2,FALSE)),""-"",TO_TEXT($A841))"),"P35DA-0840")</f>
        <v>P35DA-0840</v>
      </c>
      <c r="I841" s="6"/>
      <c r="J841" s="6" t="s">
        <v>5772</v>
      </c>
      <c r="K841" s="6" t="s">
        <v>5773</v>
      </c>
      <c r="L841" s="6" t="s">
        <v>5774</v>
      </c>
      <c r="M841" s="6" t="s">
        <v>5775</v>
      </c>
      <c r="N841" s="17"/>
      <c r="O841" s="17"/>
      <c r="P841" s="17" t="str">
        <f t="shared" si="6"/>
        <v>OK</v>
      </c>
      <c r="Q841" s="17" t="s">
        <v>35</v>
      </c>
      <c r="R841" s="6" t="s">
        <v>35</v>
      </c>
      <c r="S841" s="17" t="s">
        <v>36</v>
      </c>
      <c r="T841" s="17" t="s">
        <v>5776</v>
      </c>
      <c r="U841" s="173" t="s">
        <v>38</v>
      </c>
      <c r="V841" s="11" t="s">
        <v>28</v>
      </c>
      <c r="W841" s="22" t="s">
        <v>40</v>
      </c>
      <c r="X841" s="22" t="s">
        <v>40</v>
      </c>
      <c r="Y841" s="22"/>
      <c r="Z841" s="6"/>
      <c r="AA841" s="6"/>
      <c r="AB841" s="23"/>
      <c r="AC841" s="7"/>
    </row>
    <row r="842" spans="1:29" ht="15.75" customHeight="1">
      <c r="A842" s="10" t="s">
        <v>5777</v>
      </c>
      <c r="B842" s="10" t="s">
        <v>474</v>
      </c>
      <c r="C842" s="11" t="s">
        <v>28</v>
      </c>
      <c r="D842" s="12"/>
      <c r="E842" s="13" t="s">
        <v>5778</v>
      </c>
      <c r="F842" s="43" t="s">
        <v>5779</v>
      </c>
      <c r="G842" s="6" t="str">
        <f ca="1">IFERROR(__xludf.DUMMYFUNCTION("CONCATENATE(B842,(VLOOKUP(C842,CATALOGOS!$F$2:$H$6,3,FALSE)),(VLOOKUP(V842,CATALOGOS!$J$2:$K$18,2,FALSE)),""-"",TO_TEXT(A842))"),"P35DA-0841")</f>
        <v>P35DA-0841</v>
      </c>
      <c r="H842" s="6" t="str">
        <f ca="1">IFERROR(__xludf.DUMMYFUNCTION("CONCATENATE($B842,(VLOOKUP($C842,CATALOGOS!$F$2:$H$6,3,FALSE)),(VLOOKUP($V842,CATALOGOS!$J$2:$K$18,2,FALSE)),""-"",TO_TEXT($A842))"),"P35DA-0841")</f>
        <v>P35DA-0841</v>
      </c>
      <c r="I842" s="6"/>
      <c r="J842" s="6" t="s">
        <v>5780</v>
      </c>
      <c r="K842" s="6" t="s">
        <v>5781</v>
      </c>
      <c r="L842" s="6" t="s">
        <v>5782</v>
      </c>
      <c r="M842" s="6" t="s">
        <v>5783</v>
      </c>
      <c r="N842" s="17"/>
      <c r="O842" s="17"/>
      <c r="P842" s="17" t="str">
        <f t="shared" si="6"/>
        <v>OK</v>
      </c>
      <c r="Q842" s="17" t="s">
        <v>5784</v>
      </c>
      <c r="R842" s="6" t="s">
        <v>5785</v>
      </c>
      <c r="S842" s="6" t="s">
        <v>36</v>
      </c>
      <c r="T842" s="10" t="s">
        <v>85</v>
      </c>
      <c r="U842" s="173" t="s">
        <v>38</v>
      </c>
      <c r="V842" s="11" t="s">
        <v>28</v>
      </c>
      <c r="W842" s="22" t="s">
        <v>40</v>
      </c>
      <c r="X842" s="22" t="s">
        <v>40</v>
      </c>
      <c r="Y842" s="22"/>
      <c r="Z842" s="81"/>
      <c r="AA842" s="81"/>
      <c r="AB842" s="23"/>
      <c r="AC842" s="26"/>
    </row>
    <row r="843" spans="1:29" ht="15.75" customHeight="1">
      <c r="A843" s="10" t="s">
        <v>5786</v>
      </c>
      <c r="B843" s="10" t="s">
        <v>474</v>
      </c>
      <c r="C843" s="11" t="s">
        <v>28</v>
      </c>
      <c r="D843" s="12"/>
      <c r="E843" s="13" t="s">
        <v>378</v>
      </c>
      <c r="F843" s="43" t="s">
        <v>511</v>
      </c>
      <c r="G843" s="6" t="str">
        <f ca="1">IFERROR(__xludf.DUMMYFUNCTION("CONCATENATE(B843,(VLOOKUP(C843,CATALOGOS!$F$2:$H$6,3,FALSE)),(VLOOKUP(V843,CATALOGOS!$J$2:$K$18,2,FALSE)),""-"",TO_TEXT(A843))"),"P35DA-0842")</f>
        <v>P35DA-0842</v>
      </c>
      <c r="H843" s="6" t="str">
        <f ca="1">IFERROR(__xludf.DUMMYFUNCTION("CONCATENATE($B843,(VLOOKUP($C843,CATALOGOS!$F$2:$H$6,3,FALSE)),(VLOOKUP($V843,CATALOGOS!$J$2:$K$18,2,FALSE)),""-"",TO_TEXT($A843))"),"P35DA-0842")</f>
        <v>P35DA-0842</v>
      </c>
      <c r="I843" s="6"/>
      <c r="J843" s="6" t="s">
        <v>5787</v>
      </c>
      <c r="K843" s="6" t="s">
        <v>5788</v>
      </c>
      <c r="L843" s="6" t="s">
        <v>5789</v>
      </c>
      <c r="M843" s="6" t="s">
        <v>5790</v>
      </c>
      <c r="N843" s="17"/>
      <c r="O843" s="17"/>
      <c r="P843" s="17" t="str">
        <f t="shared" si="6"/>
        <v>OK</v>
      </c>
      <c r="Q843" s="17" t="s">
        <v>35</v>
      </c>
      <c r="R843" s="6" t="s">
        <v>35</v>
      </c>
      <c r="S843" s="17" t="s">
        <v>36</v>
      </c>
      <c r="T843" s="17" t="s">
        <v>5791</v>
      </c>
      <c r="U843" s="173" t="s">
        <v>517</v>
      </c>
      <c r="V843" s="11" t="s">
        <v>28</v>
      </c>
      <c r="W843" s="22" t="s">
        <v>40</v>
      </c>
      <c r="X843" s="22" t="s">
        <v>40</v>
      </c>
      <c r="Y843" s="22"/>
      <c r="Z843" s="6"/>
      <c r="AA843" s="6"/>
      <c r="AB843" s="23"/>
      <c r="AC843" s="7"/>
    </row>
    <row r="844" spans="1:29" ht="15.75" customHeight="1">
      <c r="A844" s="10" t="s">
        <v>5792</v>
      </c>
      <c r="B844" s="10" t="s">
        <v>474</v>
      </c>
      <c r="C844" s="11" t="s">
        <v>28</v>
      </c>
      <c r="D844" s="12"/>
      <c r="E844" s="13" t="s">
        <v>378</v>
      </c>
      <c r="F844" s="43" t="s">
        <v>511</v>
      </c>
      <c r="G844" s="6" t="str">
        <f ca="1">IFERROR(__xludf.DUMMYFUNCTION("CONCATENATE(B844,(VLOOKUP(C844,CATALOGOS!$F$2:$H$6,3,FALSE)),(VLOOKUP(V844,CATALOGOS!$J$2:$K$18,2,FALSE)),""-"",TO_TEXT(A844))"),"P35DA-0843")</f>
        <v>P35DA-0843</v>
      </c>
      <c r="H844" s="6" t="str">
        <f ca="1">IFERROR(__xludf.DUMMYFUNCTION("CONCATENATE($B844,(VLOOKUP($C844,CATALOGOS!$F$2:$H$6,3,FALSE)),(VLOOKUP($V844,CATALOGOS!$J$2:$K$18,2,FALSE)),""-"",TO_TEXT($A844))"),"P35DA-0843")</f>
        <v>P35DA-0843</v>
      </c>
      <c r="I844" s="6"/>
      <c r="J844" s="6" t="s">
        <v>5794</v>
      </c>
      <c r="K844" s="6" t="s">
        <v>5795</v>
      </c>
      <c r="L844" s="6" t="s">
        <v>5796</v>
      </c>
      <c r="M844" s="6" t="s">
        <v>5797</v>
      </c>
      <c r="N844" s="17"/>
      <c r="O844" s="17"/>
      <c r="P844" s="17" t="str">
        <f t="shared" si="6"/>
        <v>OK</v>
      </c>
      <c r="Q844" s="17" t="s">
        <v>35</v>
      </c>
      <c r="R844" s="6" t="s">
        <v>35</v>
      </c>
      <c r="S844" s="17" t="s">
        <v>36</v>
      </c>
      <c r="T844" s="17" t="s">
        <v>5798</v>
      </c>
      <c r="U844" s="173" t="s">
        <v>100</v>
      </c>
      <c r="V844" s="11" t="s">
        <v>28</v>
      </c>
      <c r="W844" s="22" t="s">
        <v>40</v>
      </c>
      <c r="X844" s="22" t="s">
        <v>40</v>
      </c>
      <c r="Y844" s="22"/>
      <c r="Z844" s="6"/>
      <c r="AA844" s="6" t="s">
        <v>440</v>
      </c>
      <c r="AB844" s="23"/>
      <c r="AC844" s="7"/>
    </row>
    <row r="845" spans="1:29" ht="15.75" customHeight="1">
      <c r="A845" s="10" t="s">
        <v>5799</v>
      </c>
      <c r="B845" s="10" t="s">
        <v>474</v>
      </c>
      <c r="C845" s="11" t="s">
        <v>28</v>
      </c>
      <c r="D845" s="12"/>
      <c r="E845" s="13" t="s">
        <v>93</v>
      </c>
      <c r="F845" s="6" t="s">
        <v>5800</v>
      </c>
      <c r="G845" s="6" t="str">
        <f ca="1">IFERROR(__xludf.DUMMYFUNCTION("CONCATENATE(B845,(VLOOKUP(C845,CATALOGOS!$F$2:$H$6,3,FALSE)),(VLOOKUP(V845,CATALOGOS!$J$2:$K$18,2,FALSE)),""-"",TO_TEXT(A845))"),"P35DA-0844")</f>
        <v>P35DA-0844</v>
      </c>
      <c r="H845" s="6" t="str">
        <f ca="1">IFERROR(__xludf.DUMMYFUNCTION("CONCATENATE($B845,(VLOOKUP($C845,CATALOGOS!$F$2:$H$6,3,FALSE)),(VLOOKUP($V845,CATALOGOS!$J$2:$K$18,2,FALSE)),""-"",TO_TEXT($A845))"),"P35DA-0844")</f>
        <v>P35DA-0844</v>
      </c>
      <c r="I845" s="6"/>
      <c r="J845" s="6" t="s">
        <v>5801</v>
      </c>
      <c r="K845" s="6" t="s">
        <v>5802</v>
      </c>
      <c r="L845" s="6" t="s">
        <v>5803</v>
      </c>
      <c r="M845" s="6" t="s">
        <v>5804</v>
      </c>
      <c r="N845" s="17"/>
      <c r="O845" s="17"/>
      <c r="P845" s="17" t="str">
        <f t="shared" si="6"/>
        <v>OK</v>
      </c>
      <c r="Q845" s="17" t="s">
        <v>35</v>
      </c>
      <c r="R845" s="6" t="s">
        <v>35</v>
      </c>
      <c r="S845" s="17" t="s">
        <v>36</v>
      </c>
      <c r="T845" s="17" t="s">
        <v>5805</v>
      </c>
      <c r="U845" s="173" t="s">
        <v>38</v>
      </c>
      <c r="V845" s="11" t="s">
        <v>28</v>
      </c>
      <c r="W845" s="22" t="s">
        <v>40</v>
      </c>
      <c r="X845" s="22" t="s">
        <v>40</v>
      </c>
      <c r="Y845" s="22"/>
      <c r="Z845" s="6"/>
      <c r="AA845" s="6"/>
      <c r="AB845" s="23"/>
      <c r="AC845" s="7"/>
    </row>
    <row r="846" spans="1:29" ht="15.75" customHeight="1">
      <c r="A846" s="10" t="s">
        <v>5806</v>
      </c>
      <c r="B846" s="10" t="s">
        <v>474</v>
      </c>
      <c r="C846" s="11" t="s">
        <v>28</v>
      </c>
      <c r="D846" s="12"/>
      <c r="E846" s="13" t="s">
        <v>93</v>
      </c>
      <c r="F846" s="6" t="s">
        <v>772</v>
      </c>
      <c r="G846" s="6" t="str">
        <f ca="1">IFERROR(__xludf.DUMMYFUNCTION("CONCATENATE(B846,(VLOOKUP(C846,CATALOGOS!$F$2:$H$6,3,FALSE)),(VLOOKUP(V846,CATALOGOS!$J$2:$K$18,2,FALSE)),""-"",TO_TEXT(A846))"),"P35DA-0845")</f>
        <v>P35DA-0845</v>
      </c>
      <c r="H846" s="6" t="str">
        <f ca="1">IFERROR(__xludf.DUMMYFUNCTION("CONCATENATE($B846,(VLOOKUP($C846,CATALOGOS!$F$2:$H$6,3,FALSE)),(VLOOKUP($V846,CATALOGOS!$J$2:$K$18,2,FALSE)),""-"",TO_TEXT($A846))"),"P35DA-0845")</f>
        <v>P35DA-0845</v>
      </c>
      <c r="I846" s="6"/>
      <c r="J846" s="6" t="s">
        <v>5807</v>
      </c>
      <c r="K846" s="6" t="s">
        <v>5808</v>
      </c>
      <c r="L846" s="6" t="s">
        <v>5809</v>
      </c>
      <c r="M846" s="6" t="s">
        <v>5810</v>
      </c>
      <c r="N846" s="17"/>
      <c r="O846" s="17"/>
      <c r="P846" s="17" t="str">
        <f t="shared" si="6"/>
        <v>OK</v>
      </c>
      <c r="Q846" s="17" t="s">
        <v>35</v>
      </c>
      <c r="R846" s="6" t="s">
        <v>35</v>
      </c>
      <c r="S846" s="17" t="s">
        <v>36</v>
      </c>
      <c r="T846" s="17" t="s">
        <v>5811</v>
      </c>
      <c r="U846" s="173" t="s">
        <v>38</v>
      </c>
      <c r="V846" s="11" t="s">
        <v>28</v>
      </c>
      <c r="W846" s="22" t="s">
        <v>40</v>
      </c>
      <c r="X846" s="22" t="s">
        <v>40</v>
      </c>
      <c r="Y846" s="22"/>
      <c r="Z846" s="6"/>
      <c r="AA846" s="6"/>
      <c r="AB846" s="23"/>
      <c r="AC846" s="7"/>
    </row>
    <row r="847" spans="1:29" ht="15.75" customHeight="1">
      <c r="A847" s="10" t="s">
        <v>5812</v>
      </c>
      <c r="B847" s="10" t="s">
        <v>474</v>
      </c>
      <c r="C847" s="11" t="s">
        <v>28</v>
      </c>
      <c r="D847" s="12"/>
      <c r="E847" s="13" t="s">
        <v>93</v>
      </c>
      <c r="F847" s="6" t="s">
        <v>5813</v>
      </c>
      <c r="G847" s="6" t="str">
        <f ca="1">IFERROR(__xludf.DUMMYFUNCTION("CONCATENATE(B847,(VLOOKUP(C847,CATALOGOS!$F$2:$H$6,3,FALSE)),(VLOOKUP(V847,CATALOGOS!$J$2:$K$18,2,FALSE)),""-"",TO_TEXT(A847))"),"P35DA-0846")</f>
        <v>P35DA-0846</v>
      </c>
      <c r="H847" s="6" t="str">
        <f ca="1">IFERROR(__xludf.DUMMYFUNCTION("CONCATENATE($B847,(VLOOKUP($C847,CATALOGOS!$F$2:$H$6,3,FALSE)),(VLOOKUP($V847,CATALOGOS!$J$2:$K$18,2,FALSE)),""-"",TO_TEXT($A847))"),"P35DA-0846")</f>
        <v>P35DA-0846</v>
      </c>
      <c r="I847" s="6"/>
      <c r="J847" s="6" t="s">
        <v>5814</v>
      </c>
      <c r="K847" s="6" t="s">
        <v>5815</v>
      </c>
      <c r="L847" s="6" t="s">
        <v>5816</v>
      </c>
      <c r="M847" s="6" t="s">
        <v>5817</v>
      </c>
      <c r="N847" s="17"/>
      <c r="O847" s="17"/>
      <c r="P847" s="17" t="str">
        <f t="shared" si="6"/>
        <v>OK</v>
      </c>
      <c r="Q847" s="17" t="s">
        <v>35</v>
      </c>
      <c r="R847" s="6" t="s">
        <v>35</v>
      </c>
      <c r="S847" s="17" t="s">
        <v>36</v>
      </c>
      <c r="T847" s="17" t="s">
        <v>5818</v>
      </c>
      <c r="U847" s="173" t="s">
        <v>38</v>
      </c>
      <c r="V847" s="11" t="s">
        <v>28</v>
      </c>
      <c r="W847" s="22" t="s">
        <v>40</v>
      </c>
      <c r="X847" s="22" t="s">
        <v>40</v>
      </c>
      <c r="Y847" s="22"/>
      <c r="Z847" s="6"/>
      <c r="AA847" s="6"/>
      <c r="AB847" s="23"/>
      <c r="AC847" s="7"/>
    </row>
    <row r="848" spans="1:29" ht="15.75" customHeight="1">
      <c r="A848" s="10" t="s">
        <v>5819</v>
      </c>
      <c r="B848" s="10" t="s">
        <v>474</v>
      </c>
      <c r="C848" s="11" t="s">
        <v>28</v>
      </c>
      <c r="D848" s="12"/>
      <c r="E848" s="13" t="s">
        <v>378</v>
      </c>
      <c r="F848" s="43" t="s">
        <v>511</v>
      </c>
      <c r="G848" s="6" t="str">
        <f ca="1">IFERROR(__xludf.DUMMYFUNCTION("CONCATENATE(B848,(VLOOKUP(C848,CATALOGOS!$F$2:$H$6,3,FALSE)),(VLOOKUP(V848,CATALOGOS!$J$2:$K$18,2,FALSE)),""-"",TO_TEXT(A848))"),"P35DA-0847")</f>
        <v>P35DA-0847</v>
      </c>
      <c r="H848" s="6" t="str">
        <f ca="1">IFERROR(__xludf.DUMMYFUNCTION("CONCATENATE($B848,(VLOOKUP($C848,CATALOGOS!$F$2:$H$6,3,FALSE)),(VLOOKUP($V848,CATALOGOS!$J$2:$K$18,2,FALSE)),""-"",TO_TEXT($A848))"),"P35DA-0847")</f>
        <v>P35DA-0847</v>
      </c>
      <c r="I848" s="6"/>
      <c r="J848" s="6" t="s">
        <v>5820</v>
      </c>
      <c r="K848" s="6" t="s">
        <v>5821</v>
      </c>
      <c r="L848" s="6" t="s">
        <v>5822</v>
      </c>
      <c r="M848" s="6" t="s">
        <v>5823</v>
      </c>
      <c r="N848" s="17"/>
      <c r="O848" s="17"/>
      <c r="P848" s="17" t="str">
        <f t="shared" si="6"/>
        <v>OK</v>
      </c>
      <c r="Q848" s="17" t="s">
        <v>35</v>
      </c>
      <c r="R848" s="6" t="s">
        <v>35</v>
      </c>
      <c r="S848" s="17" t="s">
        <v>36</v>
      </c>
      <c r="T848" s="17" t="s">
        <v>5824</v>
      </c>
      <c r="U848" s="173" t="s">
        <v>517</v>
      </c>
      <c r="V848" s="11" t="s">
        <v>28</v>
      </c>
      <c r="W848" s="22" t="s">
        <v>40</v>
      </c>
      <c r="X848" s="22" t="s">
        <v>40</v>
      </c>
      <c r="Y848" s="22"/>
      <c r="Z848" s="81"/>
      <c r="AA848" s="81"/>
      <c r="AB848" s="23"/>
      <c r="AC848" s="26"/>
    </row>
    <row r="849" spans="1:29" ht="15.75" customHeight="1">
      <c r="A849" s="10" t="s">
        <v>5825</v>
      </c>
      <c r="B849" s="10" t="s">
        <v>474</v>
      </c>
      <c r="C849" s="11" t="s">
        <v>28</v>
      </c>
      <c r="D849" s="12"/>
      <c r="E849" s="13" t="s">
        <v>378</v>
      </c>
      <c r="F849" s="43" t="s">
        <v>511</v>
      </c>
      <c r="G849" s="6" t="str">
        <f ca="1">IFERROR(__xludf.DUMMYFUNCTION("CONCATENATE(B849,(VLOOKUP(C849,CATALOGOS!$F$2:$H$6,3,FALSE)),(VLOOKUP(V849,CATALOGOS!$J$2:$K$18,2,FALSE)),""-"",TO_TEXT(A849))"),"P35DA-0848")</f>
        <v>P35DA-0848</v>
      </c>
      <c r="H849" s="6" t="str">
        <f ca="1">IFERROR(__xludf.DUMMYFUNCTION("CONCATENATE($B849,(VLOOKUP($C849,CATALOGOS!$F$2:$H$6,3,FALSE)),(VLOOKUP($V849,CATALOGOS!$J$2:$K$18,2,FALSE)),""-"",TO_TEXT($A849))"),"P35DA-0848")</f>
        <v>P35DA-0848</v>
      </c>
      <c r="I849" s="6"/>
      <c r="J849" s="6" t="s">
        <v>5826</v>
      </c>
      <c r="K849" s="6" t="s">
        <v>5827</v>
      </c>
      <c r="L849" s="6" t="s">
        <v>5828</v>
      </c>
      <c r="M849" s="6" t="s">
        <v>5829</v>
      </c>
      <c r="N849" s="17"/>
      <c r="O849" s="17"/>
      <c r="P849" s="17" t="str">
        <f t="shared" si="6"/>
        <v>OK</v>
      </c>
      <c r="Q849" s="17" t="s">
        <v>35</v>
      </c>
      <c r="R849" s="6" t="s">
        <v>35</v>
      </c>
      <c r="S849" s="17" t="s">
        <v>36</v>
      </c>
      <c r="T849" s="17" t="s">
        <v>5830</v>
      </c>
      <c r="U849" s="173" t="s">
        <v>517</v>
      </c>
      <c r="V849" s="11" t="s">
        <v>28</v>
      </c>
      <c r="W849" s="22" t="s">
        <v>40</v>
      </c>
      <c r="X849" s="22" t="s">
        <v>40</v>
      </c>
      <c r="Y849" s="22"/>
      <c r="Z849" s="81"/>
      <c r="AA849" s="81"/>
      <c r="AB849" s="23"/>
      <c r="AC849" s="26"/>
    </row>
    <row r="850" spans="1:29" ht="15.75" customHeight="1">
      <c r="A850" s="10" t="s">
        <v>5831</v>
      </c>
      <c r="B850" s="10" t="s">
        <v>474</v>
      </c>
      <c r="C850" s="11" t="s">
        <v>28</v>
      </c>
      <c r="D850" s="12"/>
      <c r="E850" s="13" t="s">
        <v>378</v>
      </c>
      <c r="F850" s="43" t="s">
        <v>511</v>
      </c>
      <c r="G850" s="6" t="str">
        <f ca="1">IFERROR(__xludf.DUMMYFUNCTION("CONCATENATE(B850,(VLOOKUP(C850,CATALOGOS!$F$2:$H$6,3,FALSE)),(VLOOKUP(V850,CATALOGOS!$J$2:$K$18,2,FALSE)),""-"",TO_TEXT(A850))"),"P35DA-0849")</f>
        <v>P35DA-0849</v>
      </c>
      <c r="H850" s="6" t="str">
        <f ca="1">IFERROR(__xludf.DUMMYFUNCTION("CONCATENATE($B850,(VLOOKUP($C850,CATALOGOS!$F$2:$H$6,3,FALSE)),(VLOOKUP($V850,CATALOGOS!$J$2:$K$18,2,FALSE)),""-"",TO_TEXT($A850))"),"P35DA-0849")</f>
        <v>P35DA-0849</v>
      </c>
      <c r="I850" s="6"/>
      <c r="J850" s="6" t="s">
        <v>5832</v>
      </c>
      <c r="K850" s="6" t="s">
        <v>5833</v>
      </c>
      <c r="L850" s="6" t="s">
        <v>5834</v>
      </c>
      <c r="M850" s="6" t="s">
        <v>5835</v>
      </c>
      <c r="N850" s="17"/>
      <c r="O850" s="17"/>
      <c r="P850" s="17" t="str">
        <f t="shared" si="6"/>
        <v>OK</v>
      </c>
      <c r="Q850" s="17" t="s">
        <v>35</v>
      </c>
      <c r="R850" s="6" t="s">
        <v>35</v>
      </c>
      <c r="S850" s="17" t="s">
        <v>36</v>
      </c>
      <c r="T850" s="17" t="s">
        <v>5836</v>
      </c>
      <c r="U850" s="173" t="s">
        <v>517</v>
      </c>
      <c r="V850" s="11" t="s">
        <v>28</v>
      </c>
      <c r="W850" s="22" t="s">
        <v>40</v>
      </c>
      <c r="X850" s="22" t="s">
        <v>40</v>
      </c>
      <c r="Y850" s="22"/>
      <c r="Z850" s="81"/>
      <c r="AA850" s="81"/>
      <c r="AB850" s="23"/>
      <c r="AC850" s="26"/>
    </row>
    <row r="851" spans="1:29" ht="15.75" customHeight="1">
      <c r="A851" s="10" t="s">
        <v>5837</v>
      </c>
      <c r="B851" s="10" t="s">
        <v>474</v>
      </c>
      <c r="C851" s="11" t="s">
        <v>28</v>
      </c>
      <c r="D851" s="12"/>
      <c r="E851" s="13" t="s">
        <v>378</v>
      </c>
      <c r="F851" s="6" t="s">
        <v>535</v>
      </c>
      <c r="G851" s="6" t="str">
        <f ca="1">IFERROR(__xludf.DUMMYFUNCTION("CONCATENATE(B851,(VLOOKUP(C851,CATALOGOS!$F$2:$H$6,3,FALSE)),(VLOOKUP(V851,CATALOGOS!$J$2:$K$18,2,FALSE)),""-"",TO_TEXT(A851))"),"P35DA-0850")</f>
        <v>P35DA-0850</v>
      </c>
      <c r="H851" s="6" t="str">
        <f ca="1">IFERROR(__xludf.DUMMYFUNCTION("CONCATENATE($B851,(VLOOKUP($C851,CATALOGOS!$F$2:$H$6,3,FALSE)),(VLOOKUP($V851,CATALOGOS!$J$2:$K$18,2,FALSE)),""-"",TO_TEXT($A851))"),"P35DA-0850")</f>
        <v>P35DA-0850</v>
      </c>
      <c r="I851" s="6"/>
      <c r="J851" s="6" t="s">
        <v>5838</v>
      </c>
      <c r="K851" s="6" t="s">
        <v>5839</v>
      </c>
      <c r="L851" s="6" t="s">
        <v>5840</v>
      </c>
      <c r="M851" s="6" t="s">
        <v>5841</v>
      </c>
      <c r="N851" s="17"/>
      <c r="O851" s="17"/>
      <c r="P851" s="17" t="str">
        <f t="shared" si="6"/>
        <v>OK</v>
      </c>
      <c r="Q851" s="17" t="s">
        <v>35</v>
      </c>
      <c r="R851" s="6" t="s">
        <v>35</v>
      </c>
      <c r="S851" s="17" t="s">
        <v>36</v>
      </c>
      <c r="T851" s="17" t="s">
        <v>5842</v>
      </c>
      <c r="U851" s="173" t="s">
        <v>517</v>
      </c>
      <c r="V851" s="11" t="s">
        <v>28</v>
      </c>
      <c r="W851" s="22" t="s">
        <v>40</v>
      </c>
      <c r="X851" s="22" t="s">
        <v>40</v>
      </c>
      <c r="Y851" s="22"/>
      <c r="Z851" s="81"/>
      <c r="AA851" s="81"/>
      <c r="AB851" s="23"/>
      <c r="AC851" s="26"/>
    </row>
    <row r="852" spans="1:29" ht="15.75" customHeight="1">
      <c r="A852" s="10" t="s">
        <v>5843</v>
      </c>
      <c r="B852" s="10" t="s">
        <v>474</v>
      </c>
      <c r="C852" s="11" t="s">
        <v>28</v>
      </c>
      <c r="D852" s="12"/>
      <c r="E852" s="13" t="s">
        <v>378</v>
      </c>
      <c r="F852" s="43" t="s">
        <v>511</v>
      </c>
      <c r="G852" s="6" t="str">
        <f ca="1">IFERROR(__xludf.DUMMYFUNCTION("CONCATENATE(B852,(VLOOKUP(C852,CATALOGOS!$F$2:$H$6,3,FALSE)),(VLOOKUP(V852,CATALOGOS!$J$2:$K$18,2,FALSE)),""-"",TO_TEXT(A852))"),"P35DA-0851")</f>
        <v>P35DA-0851</v>
      </c>
      <c r="H852" s="6" t="str">
        <f ca="1">IFERROR(__xludf.DUMMYFUNCTION("CONCATENATE($B852,(VLOOKUP($C852,CATALOGOS!$F$2:$H$6,3,FALSE)),(VLOOKUP($V852,CATALOGOS!$J$2:$K$18,2,FALSE)),""-"",TO_TEXT($A852))"),"P35DA-0851")</f>
        <v>P35DA-0851</v>
      </c>
      <c r="I852" s="6"/>
      <c r="J852" s="6" t="s">
        <v>5844</v>
      </c>
      <c r="K852" s="6" t="s">
        <v>5845</v>
      </c>
      <c r="L852" s="6" t="s">
        <v>5846</v>
      </c>
      <c r="M852" s="6" t="s">
        <v>5847</v>
      </c>
      <c r="N852" s="17"/>
      <c r="O852" s="17"/>
      <c r="P852" s="17" t="str">
        <f t="shared" si="6"/>
        <v>OK</v>
      </c>
      <c r="Q852" s="17" t="s">
        <v>35</v>
      </c>
      <c r="R852" s="6" t="s">
        <v>35</v>
      </c>
      <c r="S852" s="17" t="s">
        <v>36</v>
      </c>
      <c r="T852" s="17" t="s">
        <v>5848</v>
      </c>
      <c r="U852" s="173" t="s">
        <v>517</v>
      </c>
      <c r="V852" s="11" t="s">
        <v>28</v>
      </c>
      <c r="W852" s="22" t="s">
        <v>40</v>
      </c>
      <c r="X852" s="22" t="s">
        <v>40</v>
      </c>
      <c r="Y852" s="22"/>
      <c r="Z852" s="81"/>
      <c r="AA852" s="81"/>
      <c r="AB852" s="23"/>
      <c r="AC852" s="26"/>
    </row>
    <row r="853" spans="1:29" ht="15.75" customHeight="1">
      <c r="A853" s="10" t="s">
        <v>5849</v>
      </c>
      <c r="B853" s="10" t="s">
        <v>474</v>
      </c>
      <c r="C853" s="11" t="s">
        <v>28</v>
      </c>
      <c r="D853" s="12"/>
      <c r="E853" s="13" t="s">
        <v>378</v>
      </c>
      <c r="F853" s="6" t="s">
        <v>511</v>
      </c>
      <c r="G853" s="6" t="str">
        <f ca="1">IFERROR(__xludf.DUMMYFUNCTION("CONCATENATE(B853,(VLOOKUP(C853,CATALOGOS!$F$2:$H$6,3,FALSE)),(VLOOKUP(V853,CATALOGOS!$J$2:$K$18,2,FALSE)),""-"",TO_TEXT(A853))"),"P35DA-0852")</f>
        <v>P35DA-0852</v>
      </c>
      <c r="H853" s="6" t="str">
        <f ca="1">IFERROR(__xludf.DUMMYFUNCTION("CONCATENATE($B853,(VLOOKUP($C853,CATALOGOS!$F$2:$H$6,3,FALSE)),(VLOOKUP($V853,CATALOGOS!$J$2:$K$18,2,FALSE)),""-"",TO_TEXT($A853))"),"P35DA-0852")</f>
        <v>P35DA-0852</v>
      </c>
      <c r="I853" s="6"/>
      <c r="J853" s="6" t="s">
        <v>5851</v>
      </c>
      <c r="K853" s="6" t="s">
        <v>5852</v>
      </c>
      <c r="L853" s="6" t="s">
        <v>5853</v>
      </c>
      <c r="M853" s="6" t="s">
        <v>5854</v>
      </c>
      <c r="N853" s="17"/>
      <c r="O853" s="17"/>
      <c r="P853" s="17" t="str">
        <f t="shared" si="6"/>
        <v>OK</v>
      </c>
      <c r="Q853" s="17" t="s">
        <v>35</v>
      </c>
      <c r="R853" s="6" t="s">
        <v>35</v>
      </c>
      <c r="S853" s="17" t="s">
        <v>36</v>
      </c>
      <c r="T853" s="17" t="s">
        <v>5855</v>
      </c>
      <c r="U853" s="173" t="s">
        <v>517</v>
      </c>
      <c r="V853" s="11" t="s">
        <v>28</v>
      </c>
      <c r="W853" s="22" t="s">
        <v>40</v>
      </c>
      <c r="X853" s="22" t="s">
        <v>40</v>
      </c>
      <c r="Y853" s="22"/>
      <c r="Z853" s="81"/>
      <c r="AA853" s="81"/>
      <c r="AB853" s="23"/>
      <c r="AC853" s="26"/>
    </row>
    <row r="854" spans="1:29" ht="15.75" customHeight="1">
      <c r="A854" s="10" t="s">
        <v>5856</v>
      </c>
      <c r="B854" s="10" t="s">
        <v>474</v>
      </c>
      <c r="C854" s="11" t="s">
        <v>28</v>
      </c>
      <c r="D854" s="12"/>
      <c r="E854" s="13" t="s">
        <v>378</v>
      </c>
      <c r="F854" s="6" t="s">
        <v>5857</v>
      </c>
      <c r="G854" s="6" t="str">
        <f ca="1">IFERROR(__xludf.DUMMYFUNCTION("CONCATENATE(B854,(VLOOKUP(C854,CATALOGOS!$F$2:$H$6,3,FALSE)),(VLOOKUP(V854,CATALOGOS!$J$2:$K$18,2,FALSE)),""-"",TO_TEXT(A854))"),"P35DA-0853")</f>
        <v>P35DA-0853</v>
      </c>
      <c r="H854" s="6" t="str">
        <f ca="1">IFERROR(__xludf.DUMMYFUNCTION("CONCATENATE($B854,(VLOOKUP($C854,CATALOGOS!$F$2:$H$6,3,FALSE)),(VLOOKUP($V854,CATALOGOS!$J$2:$K$18,2,FALSE)),""-"",TO_TEXT($A854))"),"P35DA-0853")</f>
        <v>P35DA-0853</v>
      </c>
      <c r="I854" s="6"/>
      <c r="J854" s="6" t="s">
        <v>5858</v>
      </c>
      <c r="K854" s="6" t="s">
        <v>5859</v>
      </c>
      <c r="L854" s="6" t="s">
        <v>5860</v>
      </c>
      <c r="M854" s="6" t="s">
        <v>5861</v>
      </c>
      <c r="N854" s="17"/>
      <c r="O854" s="17"/>
      <c r="P854" s="17" t="str">
        <f t="shared" si="6"/>
        <v>OK</v>
      </c>
      <c r="Q854" s="17" t="s">
        <v>35</v>
      </c>
      <c r="R854" s="6" t="s">
        <v>35</v>
      </c>
      <c r="S854" s="17" t="s">
        <v>36</v>
      </c>
      <c r="T854" s="17" t="s">
        <v>5862</v>
      </c>
      <c r="U854" s="173" t="s">
        <v>517</v>
      </c>
      <c r="V854" s="11" t="s">
        <v>28</v>
      </c>
      <c r="W854" s="22" t="s">
        <v>40</v>
      </c>
      <c r="X854" s="22" t="s">
        <v>40</v>
      </c>
      <c r="Y854" s="22"/>
      <c r="Z854" s="81"/>
      <c r="AA854" s="81"/>
      <c r="AB854" s="23"/>
      <c r="AC854" s="26"/>
    </row>
    <row r="855" spans="1:29" ht="15.75" customHeight="1">
      <c r="A855" s="10" t="s">
        <v>5863</v>
      </c>
      <c r="B855" s="10" t="s">
        <v>474</v>
      </c>
      <c r="C855" s="11" t="s">
        <v>28</v>
      </c>
      <c r="D855" s="12"/>
      <c r="E855" s="13" t="s">
        <v>93</v>
      </c>
      <c r="F855" s="6" t="s">
        <v>5771</v>
      </c>
      <c r="G855" s="6" t="str">
        <f ca="1">IFERROR(__xludf.DUMMYFUNCTION("CONCATENATE(B855,(VLOOKUP(C855,CATALOGOS!$F$2:$H$6,3,FALSE)),(VLOOKUP(V855,CATALOGOS!$J$2:$K$18,2,FALSE)),""-"",TO_TEXT(A855))"),"P35DA-0854")</f>
        <v>P35DA-0854</v>
      </c>
      <c r="H855" s="6" t="str">
        <f ca="1">IFERROR(__xludf.DUMMYFUNCTION("CONCATENATE($B855,(VLOOKUP($C855,CATALOGOS!$F$2:$H$6,3,FALSE)),(VLOOKUP($V855,CATALOGOS!$J$2:$K$18,2,FALSE)),""-"",TO_TEXT($A855))"),"P35DA-0854")</f>
        <v>P35DA-0854</v>
      </c>
      <c r="I855" s="6"/>
      <c r="J855" s="6" t="s">
        <v>5864</v>
      </c>
      <c r="K855" s="6" t="s">
        <v>5865</v>
      </c>
      <c r="L855" s="6" t="s">
        <v>5866</v>
      </c>
      <c r="M855" s="6" t="s">
        <v>5867</v>
      </c>
      <c r="N855" s="17"/>
      <c r="O855" s="17"/>
      <c r="P855" s="17" t="str">
        <f t="shared" si="6"/>
        <v>OK</v>
      </c>
      <c r="Q855" s="17" t="s">
        <v>35</v>
      </c>
      <c r="R855" s="6" t="s">
        <v>35</v>
      </c>
      <c r="S855" s="17" t="s">
        <v>36</v>
      </c>
      <c r="T855" s="17" t="s">
        <v>5868</v>
      </c>
      <c r="U855" s="173" t="s">
        <v>38</v>
      </c>
      <c r="V855" s="11" t="s">
        <v>28</v>
      </c>
      <c r="W855" s="22" t="s">
        <v>40</v>
      </c>
      <c r="X855" s="22" t="s">
        <v>40</v>
      </c>
      <c r="Y855" s="22"/>
      <c r="Z855" s="81"/>
      <c r="AA855" s="81"/>
      <c r="AB855" s="23"/>
      <c r="AC855" s="26"/>
    </row>
    <row r="856" spans="1:29" ht="15.75" customHeight="1">
      <c r="A856" s="10" t="s">
        <v>5869</v>
      </c>
      <c r="B856" s="10" t="s">
        <v>474</v>
      </c>
      <c r="C856" s="11" t="s">
        <v>28</v>
      </c>
      <c r="D856" s="12"/>
      <c r="E856" s="13" t="s">
        <v>5778</v>
      </c>
      <c r="F856" s="43" t="s">
        <v>5870</v>
      </c>
      <c r="G856" s="6" t="str">
        <f ca="1">IFERROR(__xludf.DUMMYFUNCTION("CONCATENATE(B856,(VLOOKUP(C856,CATALOGOS!$F$2:$H$6,3,FALSE)),(VLOOKUP(V856,CATALOGOS!$J$2:$K$18,2,FALSE)),""-"",TO_TEXT(A856))"),"P35DA-0855")</f>
        <v>P35DA-0855</v>
      </c>
      <c r="H856" s="6" t="str">
        <f ca="1">IFERROR(__xludf.DUMMYFUNCTION("CONCATENATE($B856,(VLOOKUP($C856,CATALOGOS!$F$2:$H$6,3,FALSE)),(VLOOKUP($V856,CATALOGOS!$J$2:$K$18,2,FALSE)),""-"",TO_TEXT($A856))"),"P35DA-0855")</f>
        <v>P35DA-0855</v>
      </c>
      <c r="I856" s="6"/>
      <c r="J856" s="6" t="s">
        <v>5871</v>
      </c>
      <c r="K856" s="6" t="s">
        <v>5872</v>
      </c>
      <c r="L856" s="6" t="s">
        <v>5873</v>
      </c>
      <c r="M856" s="6" t="s">
        <v>5874</v>
      </c>
      <c r="N856" s="17"/>
      <c r="O856" s="17"/>
      <c r="P856" s="17" t="str">
        <f t="shared" si="6"/>
        <v>OK</v>
      </c>
      <c r="Q856" s="17" t="s">
        <v>5875</v>
      </c>
      <c r="R856" s="6" t="s">
        <v>5876</v>
      </c>
      <c r="S856" s="17" t="s">
        <v>5877</v>
      </c>
      <c r="T856" s="17" t="s">
        <v>5878</v>
      </c>
      <c r="U856" s="173" t="s">
        <v>38</v>
      </c>
      <c r="V856" s="11" t="s">
        <v>28</v>
      </c>
      <c r="W856" s="22" t="s">
        <v>40</v>
      </c>
      <c r="X856" s="22" t="s">
        <v>40</v>
      </c>
      <c r="Y856" s="22"/>
      <c r="Z856" s="81"/>
      <c r="AA856" s="81"/>
      <c r="AB856" s="23"/>
      <c r="AC856" s="26"/>
    </row>
    <row r="857" spans="1:29" ht="15.75" customHeight="1">
      <c r="A857" s="10" t="s">
        <v>5879</v>
      </c>
      <c r="B857" s="10" t="s">
        <v>474</v>
      </c>
      <c r="C857" s="11" t="s">
        <v>28</v>
      </c>
      <c r="D857" s="12"/>
      <c r="E857" s="13" t="s">
        <v>5778</v>
      </c>
      <c r="F857" s="43" t="s">
        <v>5880</v>
      </c>
      <c r="G857" s="6" t="str">
        <f ca="1">IFERROR(__xludf.DUMMYFUNCTION("CONCATENATE(B857,(VLOOKUP(C857,CATALOGOS!$F$2:$H$6,3,FALSE)),(VLOOKUP(V857,CATALOGOS!$J$2:$K$18,2,FALSE)),""-"",TO_TEXT(A857))"),"P35DA-0856")</f>
        <v>P35DA-0856</v>
      </c>
      <c r="H857" s="6" t="str">
        <f ca="1">IFERROR(__xludf.DUMMYFUNCTION("CONCATENATE($B857,(VLOOKUP($C857,CATALOGOS!$F$2:$H$6,3,FALSE)),(VLOOKUP($V857,CATALOGOS!$J$2:$K$18,2,FALSE)),""-"",TO_TEXT($A857))"),"P35DA-0856")</f>
        <v>P35DA-0856</v>
      </c>
      <c r="I857" s="6"/>
      <c r="J857" s="6" t="s">
        <v>5881</v>
      </c>
      <c r="K857" s="6" t="s">
        <v>5882</v>
      </c>
      <c r="L857" s="6" t="s">
        <v>5883</v>
      </c>
      <c r="M857" s="6" t="s">
        <v>5884</v>
      </c>
      <c r="N857" s="17"/>
      <c r="O857" s="17"/>
      <c r="P857" s="17" t="str">
        <f t="shared" si="6"/>
        <v>OK</v>
      </c>
      <c r="Q857" s="17" t="s">
        <v>5597</v>
      </c>
      <c r="R857" s="6" t="s">
        <v>5885</v>
      </c>
      <c r="S857" s="17" t="s">
        <v>5886</v>
      </c>
      <c r="T857" s="17" t="s">
        <v>5887</v>
      </c>
      <c r="U857" s="173" t="s">
        <v>38</v>
      </c>
      <c r="V857" s="11" t="s">
        <v>28</v>
      </c>
      <c r="W857" s="22" t="s">
        <v>40</v>
      </c>
      <c r="X857" s="22" t="s">
        <v>40</v>
      </c>
      <c r="Y857" s="22"/>
      <c r="Z857" s="81"/>
      <c r="AA857" s="81"/>
      <c r="AB857" s="23"/>
      <c r="AC857" s="26"/>
    </row>
    <row r="858" spans="1:29" ht="15.75" customHeight="1">
      <c r="A858" s="10" t="s">
        <v>5888</v>
      </c>
      <c r="B858" s="10" t="s">
        <v>474</v>
      </c>
      <c r="C858" s="11" t="s">
        <v>28</v>
      </c>
      <c r="D858" s="12"/>
      <c r="E858" s="13" t="s">
        <v>5889</v>
      </c>
      <c r="F858" s="43" t="s">
        <v>5889</v>
      </c>
      <c r="G858" s="6" t="str">
        <f ca="1">IFERROR(__xludf.DUMMYFUNCTION("CONCATENATE(B858,(VLOOKUP(C858,CATALOGOS!$F$2:$H$6,3,FALSE)),(VLOOKUP(V858,CATALOGOS!$J$2:$K$18,2,FALSE)),""-"",TO_TEXT(A858))"),"P35DA-0857")</f>
        <v>P35DA-0857</v>
      </c>
      <c r="H858" s="6" t="str">
        <f ca="1">IFERROR(__xludf.DUMMYFUNCTION("CONCATENATE($B858,(VLOOKUP($C858,CATALOGOS!$F$2:$H$6,3,FALSE)),(VLOOKUP($V858,CATALOGOS!$J$2:$K$18,2,FALSE)),""-"",TO_TEXT($A858))"),"P35DA-0857")</f>
        <v>P35DA-0857</v>
      </c>
      <c r="I858" s="6"/>
      <c r="J858" s="6" t="s">
        <v>5890</v>
      </c>
      <c r="K858" s="6" t="s">
        <v>5891</v>
      </c>
      <c r="L858" s="6" t="s">
        <v>5892</v>
      </c>
      <c r="M858" s="6" t="s">
        <v>141</v>
      </c>
      <c r="N858" s="17"/>
      <c r="O858" s="17"/>
      <c r="P858" s="17" t="str">
        <f t="shared" si="6"/>
        <v>REPETIDO</v>
      </c>
      <c r="Q858" s="17" t="s">
        <v>5893</v>
      </c>
      <c r="R858" s="32" t="s">
        <v>5894</v>
      </c>
      <c r="S858" s="17" t="s">
        <v>5895</v>
      </c>
      <c r="T858" s="10" t="s">
        <v>85</v>
      </c>
      <c r="U858" s="173" t="s">
        <v>38</v>
      </c>
      <c r="V858" s="11" t="s">
        <v>28</v>
      </c>
      <c r="W858" s="22" t="s">
        <v>40</v>
      </c>
      <c r="X858" s="22" t="s">
        <v>40</v>
      </c>
      <c r="Y858" s="22"/>
      <c r="Z858" s="6"/>
      <c r="AA858" s="6"/>
      <c r="AB858" s="23"/>
      <c r="AC858" s="7"/>
    </row>
    <row r="859" spans="1:29" ht="15.75" customHeight="1">
      <c r="A859" s="10" t="s">
        <v>5896</v>
      </c>
      <c r="B859" s="10" t="s">
        <v>474</v>
      </c>
      <c r="C859" s="11" t="s">
        <v>28</v>
      </c>
      <c r="D859" s="12"/>
      <c r="E859" s="13" t="s">
        <v>5897</v>
      </c>
      <c r="F859" s="43" t="s">
        <v>5897</v>
      </c>
      <c r="G859" s="6" t="str">
        <f ca="1">IFERROR(__xludf.DUMMYFUNCTION("CONCATENATE(B859,(VLOOKUP(C859,CATALOGOS!$F$2:$H$6,3,FALSE)),(VLOOKUP(V859,CATALOGOS!$J$2:$K$18,2,FALSE)),""-"",TO_TEXT(A859))"),"P35DA-0858")</f>
        <v>P35DA-0858</v>
      </c>
      <c r="H859" s="6" t="str">
        <f ca="1">IFERROR(__xludf.DUMMYFUNCTION("CONCATENATE($B859,(VLOOKUP($C859,CATALOGOS!$F$2:$H$6,3,FALSE)),(VLOOKUP($V859,CATALOGOS!$J$2:$K$18,2,FALSE)),""-"",TO_TEXT($A859))"),"P35DA-0858")</f>
        <v>P35DA-0858</v>
      </c>
      <c r="I859" s="6"/>
      <c r="J859" s="6" t="s">
        <v>5898</v>
      </c>
      <c r="K859" s="6" t="s">
        <v>5899</v>
      </c>
      <c r="L859" s="6" t="s">
        <v>5900</v>
      </c>
      <c r="M859" s="6" t="s">
        <v>141</v>
      </c>
      <c r="N859" s="17"/>
      <c r="O859" s="17"/>
      <c r="P859" s="17" t="str">
        <f t="shared" si="6"/>
        <v>REPETIDO</v>
      </c>
      <c r="Q859" s="17" t="s">
        <v>5901</v>
      </c>
      <c r="R859" s="6">
        <v>106782</v>
      </c>
      <c r="S859" s="6" t="s">
        <v>5902</v>
      </c>
      <c r="T859" s="10" t="s">
        <v>85</v>
      </c>
      <c r="U859" s="173" t="s">
        <v>38</v>
      </c>
      <c r="V859" s="11" t="s">
        <v>28</v>
      </c>
      <c r="W859" s="22" t="s">
        <v>40</v>
      </c>
      <c r="X859" s="22" t="s">
        <v>40</v>
      </c>
      <c r="Y859" s="22"/>
      <c r="Z859" s="6"/>
      <c r="AA859" s="6"/>
      <c r="AB859" s="23"/>
      <c r="AC859" s="7"/>
    </row>
    <row r="860" spans="1:29" ht="15.75" customHeight="1">
      <c r="A860" s="10" t="s">
        <v>5903</v>
      </c>
      <c r="B860" s="10" t="s">
        <v>474</v>
      </c>
      <c r="C860" s="11" t="s">
        <v>28</v>
      </c>
      <c r="D860" s="12"/>
      <c r="E860" s="13" t="s">
        <v>5904</v>
      </c>
      <c r="F860" s="43" t="s">
        <v>5905</v>
      </c>
      <c r="G860" s="6" t="str">
        <f ca="1">IFERROR(__xludf.DUMMYFUNCTION("CONCATENATE(B860,(VLOOKUP(C860,CATALOGOS!$F$2:$H$6,3,FALSE)),(VLOOKUP(V860,CATALOGOS!$J$2:$K$18,2,FALSE)),""-"",TO_TEXT(A860))"),"P35DA-0859")</f>
        <v>P35DA-0859</v>
      </c>
      <c r="H860" s="6" t="str">
        <f ca="1">IFERROR(__xludf.DUMMYFUNCTION("CONCATENATE($B860,(VLOOKUP($C860,CATALOGOS!$F$2:$H$6,3,FALSE)),(VLOOKUP($V860,CATALOGOS!$J$2:$K$18,2,FALSE)),""-"",TO_TEXT($A860))"),"P35DA-0859")</f>
        <v>P35DA-0859</v>
      </c>
      <c r="I860" s="6"/>
      <c r="J860" s="6" t="s">
        <v>5906</v>
      </c>
      <c r="K860" s="6" t="s">
        <v>5907</v>
      </c>
      <c r="L860" s="6" t="s">
        <v>5908</v>
      </c>
      <c r="M860" s="6" t="s">
        <v>5909</v>
      </c>
      <c r="N860" s="17"/>
      <c r="O860" s="17"/>
      <c r="P860" s="17" t="str">
        <f t="shared" si="6"/>
        <v>OK</v>
      </c>
      <c r="Q860" s="17" t="s">
        <v>5910</v>
      </c>
      <c r="R860" s="6" t="s">
        <v>35</v>
      </c>
      <c r="S860" s="17" t="s">
        <v>36</v>
      </c>
      <c r="T860" s="17" t="s">
        <v>5911</v>
      </c>
      <c r="U860" s="173" t="s">
        <v>38</v>
      </c>
      <c r="V860" s="11" t="s">
        <v>28</v>
      </c>
      <c r="W860" s="22" t="s">
        <v>40</v>
      </c>
      <c r="X860" s="22" t="s">
        <v>40</v>
      </c>
      <c r="Y860" s="22"/>
      <c r="Z860" s="81"/>
      <c r="AA860" s="81"/>
      <c r="AB860" s="23"/>
      <c r="AC860" s="26"/>
    </row>
    <row r="861" spans="1:29" ht="15.75" customHeight="1">
      <c r="A861" s="10" t="s">
        <v>5912</v>
      </c>
      <c r="B861" s="10" t="s">
        <v>474</v>
      </c>
      <c r="C861" s="11" t="s">
        <v>28</v>
      </c>
      <c r="D861" s="12"/>
      <c r="E861" s="13" t="s">
        <v>5913</v>
      </c>
      <c r="F861" s="6" t="s">
        <v>5913</v>
      </c>
      <c r="G861" s="6" t="str">
        <f ca="1">IFERROR(__xludf.DUMMYFUNCTION("CONCATENATE(B861,(VLOOKUP(C861,CATALOGOS!$F$2:$H$6,3,FALSE)),(VLOOKUP(V861,CATALOGOS!$J$2:$K$18,2,FALSE)),""-"",TO_TEXT(A861))"),"P35DA-0860")</f>
        <v>P35DA-0860</v>
      </c>
      <c r="H861" s="6" t="str">
        <f ca="1">IFERROR(__xludf.DUMMYFUNCTION("CONCATENATE($B861,(VLOOKUP($C861,CATALOGOS!$F$2:$H$6,3,FALSE)),(VLOOKUP($V861,CATALOGOS!$J$2:$K$18,2,FALSE)),""-"",TO_TEXT($A861))"),"P35DA-0860")</f>
        <v>P35DA-0860</v>
      </c>
      <c r="I861" s="6"/>
      <c r="J861" s="6" t="s">
        <v>5914</v>
      </c>
      <c r="K861" s="6" t="s">
        <v>5915</v>
      </c>
      <c r="L861" s="6" t="s">
        <v>5916</v>
      </c>
      <c r="M861" s="6" t="s">
        <v>5917</v>
      </c>
      <c r="N861" s="17"/>
      <c r="O861" s="17"/>
      <c r="P861" s="17" t="str">
        <f t="shared" si="6"/>
        <v>OK</v>
      </c>
      <c r="Q861" s="17" t="s">
        <v>5918</v>
      </c>
      <c r="R861" s="6" t="s">
        <v>5919</v>
      </c>
      <c r="S861" s="17" t="s">
        <v>36</v>
      </c>
      <c r="T861" s="17" t="s">
        <v>5920</v>
      </c>
      <c r="U861" s="173" t="s">
        <v>38</v>
      </c>
      <c r="V861" s="11" t="s">
        <v>28</v>
      </c>
      <c r="W861" s="22" t="s">
        <v>40</v>
      </c>
      <c r="X861" s="22" t="s">
        <v>40</v>
      </c>
      <c r="Y861" s="22"/>
      <c r="Z861" s="81"/>
      <c r="AA861" s="81"/>
      <c r="AB861" s="23"/>
      <c r="AC861" s="26"/>
    </row>
    <row r="862" spans="1:29" ht="15.75" customHeight="1">
      <c r="A862" s="10" t="s">
        <v>5921</v>
      </c>
      <c r="B862" s="10" t="s">
        <v>474</v>
      </c>
      <c r="C862" s="11" t="s">
        <v>28</v>
      </c>
      <c r="D862" s="12"/>
      <c r="E862" s="13" t="s">
        <v>565</v>
      </c>
      <c r="F862" s="43" t="s">
        <v>5922</v>
      </c>
      <c r="G862" s="6" t="str">
        <f ca="1">IFERROR(__xludf.DUMMYFUNCTION("CONCATENATE(B862,(VLOOKUP(C862,CATALOGOS!$F$2:$H$6,3,FALSE)),(VLOOKUP(V862,CATALOGOS!$J$2:$K$18,2,FALSE)),""-"",TO_TEXT(A862))"),"P35DA-0861")</f>
        <v>P35DA-0861</v>
      </c>
      <c r="H862" s="6" t="str">
        <f ca="1">IFERROR(__xludf.DUMMYFUNCTION("CONCATENATE($B862,(VLOOKUP($C862,CATALOGOS!$F$2:$H$6,3,FALSE)),(VLOOKUP($V862,CATALOGOS!$J$2:$K$18,2,FALSE)),""-"",TO_TEXT($A862))"),"P35DA-0861")</f>
        <v>P35DA-0861</v>
      </c>
      <c r="I862" s="6"/>
      <c r="J862" s="6" t="s">
        <v>5923</v>
      </c>
      <c r="K862" s="6" t="s">
        <v>5924</v>
      </c>
      <c r="L862" s="6" t="s">
        <v>5925</v>
      </c>
      <c r="M862" s="6" t="s">
        <v>5926</v>
      </c>
      <c r="N862" s="17"/>
      <c r="O862" s="17"/>
      <c r="P862" s="17" t="str">
        <f t="shared" si="6"/>
        <v>OK</v>
      </c>
      <c r="Q862" s="17" t="s">
        <v>35</v>
      </c>
      <c r="R862" s="6" t="s">
        <v>35</v>
      </c>
      <c r="S862" s="17" t="s">
        <v>36</v>
      </c>
      <c r="T862" s="17" t="s">
        <v>5927</v>
      </c>
      <c r="U862" s="173" t="s">
        <v>38</v>
      </c>
      <c r="V862" s="11" t="s">
        <v>28</v>
      </c>
      <c r="W862" s="22" t="s">
        <v>40</v>
      </c>
      <c r="X862" s="22" t="s">
        <v>40</v>
      </c>
      <c r="Y862" s="22"/>
      <c r="Z862" s="81"/>
      <c r="AA862" s="81"/>
      <c r="AB862" s="23"/>
      <c r="AC862" s="26"/>
    </row>
    <row r="863" spans="1:29" ht="15.75" customHeight="1">
      <c r="A863" s="10" t="s">
        <v>5928</v>
      </c>
      <c r="B863" s="10" t="s">
        <v>474</v>
      </c>
      <c r="C863" s="11" t="s">
        <v>28</v>
      </c>
      <c r="D863" s="12"/>
      <c r="E863" s="13" t="s">
        <v>5929</v>
      </c>
      <c r="F863" s="43" t="s">
        <v>5930</v>
      </c>
      <c r="G863" s="6" t="str">
        <f ca="1">IFERROR(__xludf.DUMMYFUNCTION("CONCATENATE(B863,(VLOOKUP(C863,CATALOGOS!$F$2:$H$6,3,FALSE)),(VLOOKUP(V863,CATALOGOS!$J$2:$K$18,2,FALSE)),""-"",TO_TEXT(A863))"),"P35DA-0862")</f>
        <v>P35DA-0862</v>
      </c>
      <c r="H863" s="6" t="str">
        <f ca="1">IFERROR(__xludf.DUMMYFUNCTION("CONCATENATE($B863,(VLOOKUP($C863,CATALOGOS!$F$2:$H$6,3,FALSE)),(VLOOKUP($V863,CATALOGOS!$J$2:$K$18,2,FALSE)),""-"",TO_TEXT($A863))"),"P35DA-0862")</f>
        <v>P35DA-0862</v>
      </c>
      <c r="I863" s="6"/>
      <c r="J863" s="6" t="s">
        <v>5931</v>
      </c>
      <c r="K863" s="6" t="s">
        <v>5932</v>
      </c>
      <c r="L863" s="6" t="s">
        <v>5933</v>
      </c>
      <c r="M863" s="6" t="s">
        <v>5934</v>
      </c>
      <c r="N863" s="17"/>
      <c r="O863" s="17"/>
      <c r="P863" s="17" t="str">
        <f t="shared" si="6"/>
        <v>OK</v>
      </c>
      <c r="Q863" s="17" t="s">
        <v>5918</v>
      </c>
      <c r="R863" s="6" t="s">
        <v>35</v>
      </c>
      <c r="S863" s="17" t="s">
        <v>5935</v>
      </c>
      <c r="T863" s="17" t="s">
        <v>5936</v>
      </c>
      <c r="U863" s="173" t="s">
        <v>38</v>
      </c>
      <c r="V863" s="11" t="s">
        <v>28</v>
      </c>
      <c r="W863" s="22" t="s">
        <v>40</v>
      </c>
      <c r="X863" s="22" t="s">
        <v>40</v>
      </c>
      <c r="Y863" s="22"/>
      <c r="Z863" s="7"/>
      <c r="AA863" s="7"/>
      <c r="AB863" s="23"/>
      <c r="AC863" s="26"/>
    </row>
    <row r="864" spans="1:29" ht="15.75" customHeight="1">
      <c r="A864" s="10" t="s">
        <v>5937</v>
      </c>
      <c r="B864" s="10" t="s">
        <v>474</v>
      </c>
      <c r="C864" s="11" t="s">
        <v>28</v>
      </c>
      <c r="D864" s="12"/>
      <c r="E864" s="13" t="s">
        <v>565</v>
      </c>
      <c r="F864" s="43" t="s">
        <v>5938</v>
      </c>
      <c r="G864" s="6" t="str">
        <f ca="1">IFERROR(__xludf.DUMMYFUNCTION("CONCATENATE(B864,(VLOOKUP(C864,CATALOGOS!$F$2:$H$6,3,FALSE)),(VLOOKUP(V864,CATALOGOS!$J$2:$K$18,2,FALSE)),""-"",TO_TEXT(A864))"),"P35DA-0863")</f>
        <v>P35DA-0863</v>
      </c>
      <c r="H864" s="6" t="str">
        <f ca="1">IFERROR(__xludf.DUMMYFUNCTION("CONCATENATE($B864,(VLOOKUP($C864,CATALOGOS!$F$2:$H$6,3,FALSE)),(VLOOKUP($V864,CATALOGOS!$J$2:$K$18,2,FALSE)),""-"",TO_TEXT($A864))"),"P35DA-0863")</f>
        <v>P35DA-0863</v>
      </c>
      <c r="I864" s="6"/>
      <c r="J864" s="6" t="s">
        <v>5939</v>
      </c>
      <c r="K864" s="6" t="s">
        <v>5940</v>
      </c>
      <c r="L864" s="6" t="s">
        <v>5941</v>
      </c>
      <c r="M864" s="6" t="s">
        <v>5942</v>
      </c>
      <c r="N864" s="17"/>
      <c r="O864" s="17"/>
      <c r="P864" s="17" t="str">
        <f t="shared" si="6"/>
        <v>OK</v>
      </c>
      <c r="Q864" s="17" t="s">
        <v>35</v>
      </c>
      <c r="R864" s="6" t="s">
        <v>35</v>
      </c>
      <c r="S864" s="17" t="s">
        <v>36</v>
      </c>
      <c r="T864" s="17" t="s">
        <v>5943</v>
      </c>
      <c r="U864" s="173" t="s">
        <v>38</v>
      </c>
      <c r="V864" s="11" t="s">
        <v>28</v>
      </c>
      <c r="W864" s="22" t="s">
        <v>40</v>
      </c>
      <c r="X864" s="22" t="s">
        <v>40</v>
      </c>
      <c r="Y864" s="22"/>
      <c r="Z864" s="7"/>
      <c r="AA864" s="7"/>
      <c r="AB864" s="23"/>
      <c r="AC864" s="26"/>
    </row>
    <row r="865" spans="1:29" ht="15.75" customHeight="1">
      <c r="A865" s="10" t="s">
        <v>5944</v>
      </c>
      <c r="B865" s="10" t="s">
        <v>474</v>
      </c>
      <c r="C865" s="11" t="s">
        <v>28</v>
      </c>
      <c r="D865" s="12"/>
      <c r="E865" s="13" t="s">
        <v>378</v>
      </c>
      <c r="F865" s="6" t="s">
        <v>5945</v>
      </c>
      <c r="G865" s="6" t="str">
        <f ca="1">IFERROR(__xludf.DUMMYFUNCTION("CONCATENATE(B865,(VLOOKUP(C865,CATALOGOS!$F$2:$H$6,3,FALSE)),(VLOOKUP(V865,CATALOGOS!$J$2:$K$18,2,FALSE)),""-"",TO_TEXT(A865))"),"P35DA-0864")</f>
        <v>P35DA-0864</v>
      </c>
      <c r="H865" s="6" t="str">
        <f ca="1">IFERROR(__xludf.DUMMYFUNCTION("CONCATENATE($B865,(VLOOKUP($C865,CATALOGOS!$F$2:$H$6,3,FALSE)),(VLOOKUP($V865,CATALOGOS!$J$2:$K$18,2,FALSE)),""-"",TO_TEXT($A865))"),"P35DA-0864")</f>
        <v>P35DA-0864</v>
      </c>
      <c r="I865" s="6"/>
      <c r="J865" s="6" t="s">
        <v>5946</v>
      </c>
      <c r="K865" s="6" t="s">
        <v>5947</v>
      </c>
      <c r="L865" s="6" t="s">
        <v>5948</v>
      </c>
      <c r="M865" s="6" t="s">
        <v>5949</v>
      </c>
      <c r="N865" s="17"/>
      <c r="O865" s="17"/>
      <c r="P865" s="17" t="str">
        <f t="shared" si="6"/>
        <v>OK</v>
      </c>
      <c r="Q865" s="17" t="s">
        <v>35</v>
      </c>
      <c r="R865" s="6" t="s">
        <v>35</v>
      </c>
      <c r="S865" s="17" t="s">
        <v>36</v>
      </c>
      <c r="T865" s="17" t="s">
        <v>5950</v>
      </c>
      <c r="U865" s="173" t="s">
        <v>38</v>
      </c>
      <c r="V865" s="11" t="s">
        <v>28</v>
      </c>
      <c r="W865" s="22" t="s">
        <v>40</v>
      </c>
      <c r="X865" s="22" t="s">
        <v>40</v>
      </c>
      <c r="Y865" s="22"/>
      <c r="Z865" s="7"/>
      <c r="AA865" s="7"/>
      <c r="AB865" s="23"/>
      <c r="AC865" s="26"/>
    </row>
    <row r="866" spans="1:29" ht="15.75" customHeight="1">
      <c r="A866" s="10" t="s">
        <v>5951</v>
      </c>
      <c r="B866" s="10" t="s">
        <v>474</v>
      </c>
      <c r="C866" s="11" t="s">
        <v>28</v>
      </c>
      <c r="D866" s="12"/>
      <c r="E866" s="68" t="s">
        <v>378</v>
      </c>
      <c r="F866" s="6" t="s">
        <v>5945</v>
      </c>
      <c r="G866" s="6" t="str">
        <f ca="1">IFERROR(__xludf.DUMMYFUNCTION("CONCATENATE(B866,(VLOOKUP(C866,CATALOGOS!$F$2:$H$6,3,FALSE)),(VLOOKUP(V866,CATALOGOS!$J$2:$K$18,2,FALSE)),""-"",TO_TEXT(A866))"),"P35DA-0865")</f>
        <v>P35DA-0865</v>
      </c>
      <c r="H866" s="6" t="str">
        <f ca="1">IFERROR(__xludf.DUMMYFUNCTION("CONCATENATE($B866,(VLOOKUP($C866,CATALOGOS!$F$2:$H$6,3,FALSE)),(VLOOKUP($V866,CATALOGOS!$J$2:$K$18,2,FALSE)),""-"",TO_TEXT($A866))"),"P35DA-0865")</f>
        <v>P35DA-0865</v>
      </c>
      <c r="I866" s="6"/>
      <c r="J866" s="6" t="s">
        <v>5952</v>
      </c>
      <c r="K866" s="6" t="s">
        <v>5953</v>
      </c>
      <c r="L866" s="6" t="s">
        <v>5954</v>
      </c>
      <c r="M866" s="6" t="s">
        <v>5955</v>
      </c>
      <c r="N866" s="17"/>
      <c r="O866" s="17"/>
      <c r="P866" s="17" t="str">
        <f t="shared" si="6"/>
        <v>OK</v>
      </c>
      <c r="Q866" s="17" t="s">
        <v>35</v>
      </c>
      <c r="R866" s="6" t="s">
        <v>35</v>
      </c>
      <c r="S866" s="17" t="s">
        <v>36</v>
      </c>
      <c r="T866" s="17" t="s">
        <v>5956</v>
      </c>
      <c r="U866" s="173" t="s">
        <v>38</v>
      </c>
      <c r="V866" s="11" t="s">
        <v>28</v>
      </c>
      <c r="W866" s="22" t="s">
        <v>40</v>
      </c>
      <c r="X866" s="22" t="s">
        <v>40</v>
      </c>
      <c r="Y866" s="22"/>
      <c r="Z866" s="7"/>
      <c r="AA866" s="7"/>
      <c r="AB866" s="23"/>
      <c r="AC866" s="26"/>
    </row>
    <row r="867" spans="1:29" ht="15.75" customHeight="1">
      <c r="A867" s="10" t="s">
        <v>5957</v>
      </c>
      <c r="B867" s="10" t="s">
        <v>474</v>
      </c>
      <c r="C867" s="11" t="s">
        <v>28</v>
      </c>
      <c r="D867" s="12"/>
      <c r="E867" s="68" t="s">
        <v>378</v>
      </c>
      <c r="F867" s="43" t="s">
        <v>5945</v>
      </c>
      <c r="G867" s="6" t="str">
        <f ca="1">IFERROR(__xludf.DUMMYFUNCTION("CONCATENATE(B867,(VLOOKUP(C867,CATALOGOS!$F$2:$H$6,3,FALSE)),(VLOOKUP(V867,CATALOGOS!$J$2:$K$18,2,FALSE)),""-"",TO_TEXT(A867))"),"P35DA-0866")</f>
        <v>P35DA-0866</v>
      </c>
      <c r="H867" s="6" t="str">
        <f ca="1">IFERROR(__xludf.DUMMYFUNCTION("CONCATENATE($B867,(VLOOKUP($C867,CATALOGOS!$F$2:$H$6,3,FALSE)),(VLOOKUP($V867,CATALOGOS!$J$2:$K$18,2,FALSE)),""-"",TO_TEXT($A867))"),"P35DA-0866")</f>
        <v>P35DA-0866</v>
      </c>
      <c r="I867" s="6"/>
      <c r="J867" s="6" t="s">
        <v>5958</v>
      </c>
      <c r="K867" s="6" t="s">
        <v>5959</v>
      </c>
      <c r="L867" s="6" t="s">
        <v>5960</v>
      </c>
      <c r="M867" s="43" t="s">
        <v>5961</v>
      </c>
      <c r="N867" s="17"/>
      <c r="O867" s="17"/>
      <c r="P867" s="17" t="str">
        <f t="shared" si="6"/>
        <v>OK</v>
      </c>
      <c r="Q867" s="17" t="s">
        <v>35</v>
      </c>
      <c r="R867" s="6" t="s">
        <v>35</v>
      </c>
      <c r="S867" s="17" t="s">
        <v>36</v>
      </c>
      <c r="T867" s="17" t="s">
        <v>5962</v>
      </c>
      <c r="U867" s="173" t="s">
        <v>38</v>
      </c>
      <c r="V867" s="11" t="s">
        <v>28</v>
      </c>
      <c r="W867" s="22" t="s">
        <v>40</v>
      </c>
      <c r="X867" s="22" t="s">
        <v>40</v>
      </c>
      <c r="Y867" s="22"/>
      <c r="Z867" s="7"/>
      <c r="AA867" s="7"/>
      <c r="AB867" s="23"/>
      <c r="AC867" s="26"/>
    </row>
    <row r="868" spans="1:29" ht="15.75" customHeight="1">
      <c r="A868" s="10" t="s">
        <v>5963</v>
      </c>
      <c r="B868" s="10" t="s">
        <v>474</v>
      </c>
      <c r="C868" s="11" t="s">
        <v>28</v>
      </c>
      <c r="D868" s="12"/>
      <c r="E868" s="68" t="s">
        <v>378</v>
      </c>
      <c r="F868" s="43" t="s">
        <v>5945</v>
      </c>
      <c r="G868" s="6" t="str">
        <f ca="1">IFERROR(__xludf.DUMMYFUNCTION("CONCATENATE(B868,(VLOOKUP(C868,CATALOGOS!$F$2:$H$6,3,FALSE)),(VLOOKUP(V868,CATALOGOS!$J$2:$K$18,2,FALSE)),""-"",TO_TEXT(A868))"),"P35DA-0867")</f>
        <v>P35DA-0867</v>
      </c>
      <c r="H868" s="6" t="str">
        <f ca="1">IFERROR(__xludf.DUMMYFUNCTION("CONCATENATE($B868,(VLOOKUP($C868,CATALOGOS!$F$2:$H$6,3,FALSE)),(VLOOKUP($V868,CATALOGOS!$J$2:$K$18,2,FALSE)),""-"",TO_TEXT($A868))"),"P35DA-0867")</f>
        <v>P35DA-0867</v>
      </c>
      <c r="I868" s="6"/>
      <c r="J868" s="6" t="s">
        <v>5964</v>
      </c>
      <c r="K868" s="6" t="s">
        <v>5965</v>
      </c>
      <c r="L868" s="6" t="s">
        <v>5966</v>
      </c>
      <c r="M868" s="43" t="s">
        <v>5967</v>
      </c>
      <c r="N868" s="17"/>
      <c r="O868" s="17"/>
      <c r="P868" s="17" t="str">
        <f t="shared" si="6"/>
        <v>OK</v>
      </c>
      <c r="Q868" s="17" t="s">
        <v>35</v>
      </c>
      <c r="R868" s="6" t="s">
        <v>35</v>
      </c>
      <c r="S868" s="17" t="s">
        <v>36</v>
      </c>
      <c r="T868" s="17" t="s">
        <v>5968</v>
      </c>
      <c r="U868" s="173" t="s">
        <v>38</v>
      </c>
      <c r="V868" s="11" t="s">
        <v>28</v>
      </c>
      <c r="W868" s="22" t="s">
        <v>40</v>
      </c>
      <c r="X868" s="22" t="s">
        <v>40</v>
      </c>
      <c r="Y868" s="22"/>
      <c r="Z868" s="7"/>
      <c r="AA868" s="7"/>
      <c r="AB868" s="23"/>
      <c r="AC868" s="26"/>
    </row>
    <row r="869" spans="1:29" ht="15.75" customHeight="1">
      <c r="A869" s="10" t="s">
        <v>5969</v>
      </c>
      <c r="B869" s="10" t="s">
        <v>474</v>
      </c>
      <c r="C869" s="11" t="s">
        <v>28</v>
      </c>
      <c r="D869" s="12"/>
      <c r="E869" s="68" t="s">
        <v>378</v>
      </c>
      <c r="F869" s="43" t="s">
        <v>5945</v>
      </c>
      <c r="G869" s="6" t="str">
        <f ca="1">IFERROR(__xludf.DUMMYFUNCTION("CONCATENATE(B869,(VLOOKUP(C869,CATALOGOS!$F$2:$H$6,3,FALSE)),(VLOOKUP(V869,CATALOGOS!$J$2:$K$18,2,FALSE)),""-"",TO_TEXT(A869))"),"P35DA-0868")</f>
        <v>P35DA-0868</v>
      </c>
      <c r="H869" s="6" t="str">
        <f ca="1">IFERROR(__xludf.DUMMYFUNCTION("CONCATENATE($B869,(VLOOKUP($C869,CATALOGOS!$F$2:$H$6,3,FALSE)),(VLOOKUP($V869,CATALOGOS!$J$2:$K$18,2,FALSE)),""-"",TO_TEXT($A869))"),"P35DA-0868")</f>
        <v>P35DA-0868</v>
      </c>
      <c r="I869" s="6"/>
      <c r="J869" s="6" t="s">
        <v>5970</v>
      </c>
      <c r="K869" s="6" t="s">
        <v>5971</v>
      </c>
      <c r="L869" s="6" t="s">
        <v>5972</v>
      </c>
      <c r="M869" s="43" t="s">
        <v>5973</v>
      </c>
      <c r="N869" s="17"/>
      <c r="O869" s="17"/>
      <c r="P869" s="17" t="str">
        <f t="shared" si="6"/>
        <v>OK</v>
      </c>
      <c r="Q869" s="17" t="s">
        <v>35</v>
      </c>
      <c r="R869" s="6" t="s">
        <v>35</v>
      </c>
      <c r="S869" s="17" t="s">
        <v>36</v>
      </c>
      <c r="T869" s="17" t="s">
        <v>5974</v>
      </c>
      <c r="U869" s="173" t="s">
        <v>38</v>
      </c>
      <c r="V869" s="11" t="s">
        <v>28</v>
      </c>
      <c r="W869" s="22" t="s">
        <v>40</v>
      </c>
      <c r="X869" s="22" t="s">
        <v>40</v>
      </c>
      <c r="Y869" s="22"/>
      <c r="Z869" s="7"/>
      <c r="AA869" s="7"/>
      <c r="AB869" s="23"/>
      <c r="AC869" s="26"/>
    </row>
    <row r="870" spans="1:29" ht="15.75" customHeight="1">
      <c r="A870" s="10" t="s">
        <v>5975</v>
      </c>
      <c r="B870" s="10" t="s">
        <v>474</v>
      </c>
      <c r="C870" s="11" t="s">
        <v>28</v>
      </c>
      <c r="D870" s="12"/>
      <c r="E870" s="68" t="s">
        <v>378</v>
      </c>
      <c r="F870" s="43" t="s">
        <v>5945</v>
      </c>
      <c r="G870" s="6" t="str">
        <f ca="1">IFERROR(__xludf.DUMMYFUNCTION("CONCATENATE(B870,(VLOOKUP(C870,CATALOGOS!$F$2:$H$6,3,FALSE)),(VLOOKUP(V870,CATALOGOS!$J$2:$K$18,2,FALSE)),""-"",TO_TEXT(A870))"),"P35DA-0869")</f>
        <v>P35DA-0869</v>
      </c>
      <c r="H870" s="6" t="str">
        <f ca="1">IFERROR(__xludf.DUMMYFUNCTION("CONCATENATE($B870,(VLOOKUP($C870,CATALOGOS!$F$2:$H$6,3,FALSE)),(VLOOKUP($V870,CATALOGOS!$J$2:$K$18,2,FALSE)),""-"",TO_TEXT($A870))"),"P35DA-0869")</f>
        <v>P35DA-0869</v>
      </c>
      <c r="I870" s="6"/>
      <c r="J870" s="6" t="s">
        <v>5976</v>
      </c>
      <c r="K870" s="6" t="s">
        <v>5977</v>
      </c>
      <c r="L870" s="6" t="s">
        <v>5978</v>
      </c>
      <c r="M870" s="43" t="s">
        <v>5979</v>
      </c>
      <c r="N870" s="17"/>
      <c r="O870" s="17"/>
      <c r="P870" s="17" t="str">
        <f t="shared" si="6"/>
        <v>OK</v>
      </c>
      <c r="Q870" s="17" t="s">
        <v>35</v>
      </c>
      <c r="R870" s="6" t="s">
        <v>35</v>
      </c>
      <c r="S870" s="17" t="s">
        <v>36</v>
      </c>
      <c r="T870" s="17" t="s">
        <v>5980</v>
      </c>
      <c r="U870" s="173" t="s">
        <v>38</v>
      </c>
      <c r="V870" s="11" t="s">
        <v>28</v>
      </c>
      <c r="W870" s="22" t="s">
        <v>40</v>
      </c>
      <c r="X870" s="22" t="s">
        <v>40</v>
      </c>
      <c r="Y870" s="22"/>
      <c r="Z870" s="7"/>
      <c r="AA870" s="7"/>
      <c r="AB870" s="23"/>
      <c r="AC870" s="26"/>
    </row>
    <row r="871" spans="1:29" ht="15.75" customHeight="1">
      <c r="A871" s="10" t="s">
        <v>5981</v>
      </c>
      <c r="B871" s="10" t="s">
        <v>474</v>
      </c>
      <c r="C871" s="11" t="s">
        <v>28</v>
      </c>
      <c r="D871" s="12"/>
      <c r="E871" s="68" t="s">
        <v>378</v>
      </c>
      <c r="F871" s="43" t="s">
        <v>5945</v>
      </c>
      <c r="G871" s="6" t="str">
        <f ca="1">IFERROR(__xludf.DUMMYFUNCTION("CONCATENATE(B871,(VLOOKUP(C871,CATALOGOS!$F$2:$H$6,3,FALSE)),(VLOOKUP(V871,CATALOGOS!$J$2:$K$18,2,FALSE)),""-"",TO_TEXT(A871))"),"P35DA-0870")</f>
        <v>P35DA-0870</v>
      </c>
      <c r="H871" s="6" t="str">
        <f ca="1">IFERROR(__xludf.DUMMYFUNCTION("CONCATENATE($B871,(VLOOKUP($C871,CATALOGOS!$F$2:$H$6,3,FALSE)),(VLOOKUP($V871,CATALOGOS!$J$2:$K$18,2,FALSE)),""-"",TO_TEXT($A871))"),"P35DA-0870")</f>
        <v>P35DA-0870</v>
      </c>
      <c r="I871" s="6"/>
      <c r="J871" s="6" t="s">
        <v>5982</v>
      </c>
      <c r="K871" s="6" t="s">
        <v>5983</v>
      </c>
      <c r="L871" s="6" t="s">
        <v>5984</v>
      </c>
      <c r="M871" s="43" t="s">
        <v>5985</v>
      </c>
      <c r="N871" s="17"/>
      <c r="O871" s="17"/>
      <c r="P871" s="17" t="str">
        <f t="shared" si="6"/>
        <v>OK</v>
      </c>
      <c r="Q871" s="17" t="s">
        <v>35</v>
      </c>
      <c r="R871" s="6" t="s">
        <v>35</v>
      </c>
      <c r="S871" s="17" t="s">
        <v>36</v>
      </c>
      <c r="T871" s="17" t="s">
        <v>5986</v>
      </c>
      <c r="U871" s="173" t="s">
        <v>38</v>
      </c>
      <c r="V871" s="11" t="s">
        <v>28</v>
      </c>
      <c r="W871" s="22" t="s">
        <v>40</v>
      </c>
      <c r="X871" s="22" t="s">
        <v>40</v>
      </c>
      <c r="Y871" s="22"/>
      <c r="Z871" s="7"/>
      <c r="AA871" s="7"/>
      <c r="AB871" s="23"/>
      <c r="AC871" s="26"/>
    </row>
    <row r="872" spans="1:29" ht="15.75" customHeight="1">
      <c r="A872" s="10" t="s">
        <v>5987</v>
      </c>
      <c r="B872" s="10" t="s">
        <v>474</v>
      </c>
      <c r="C872" s="11" t="s">
        <v>28</v>
      </c>
      <c r="D872" s="12"/>
      <c r="E872" s="68" t="s">
        <v>378</v>
      </c>
      <c r="F872" s="43" t="s">
        <v>5945</v>
      </c>
      <c r="G872" s="6" t="str">
        <f ca="1">IFERROR(__xludf.DUMMYFUNCTION("CONCATENATE(B872,(VLOOKUP(C872,CATALOGOS!$F$2:$H$6,3,FALSE)),(VLOOKUP(V872,CATALOGOS!$J$2:$K$18,2,FALSE)),""-"",TO_TEXT(A872))"),"P35DA-0871")</f>
        <v>P35DA-0871</v>
      </c>
      <c r="H872" s="6" t="str">
        <f ca="1">IFERROR(__xludf.DUMMYFUNCTION("CONCATENATE($B872,(VLOOKUP($C872,CATALOGOS!$F$2:$H$6,3,FALSE)),(VLOOKUP($V872,CATALOGOS!$J$2:$K$18,2,FALSE)),""-"",TO_TEXT($A872))"),"P35DA-0871")</f>
        <v>P35DA-0871</v>
      </c>
      <c r="I872" s="6"/>
      <c r="J872" s="6" t="s">
        <v>5988</v>
      </c>
      <c r="K872" s="6" t="s">
        <v>5989</v>
      </c>
      <c r="L872" s="6" t="s">
        <v>5990</v>
      </c>
      <c r="M872" s="43" t="s">
        <v>5991</v>
      </c>
      <c r="N872" s="17"/>
      <c r="O872" s="17"/>
      <c r="P872" s="17" t="str">
        <f t="shared" si="6"/>
        <v>OK</v>
      </c>
      <c r="Q872" s="17" t="s">
        <v>35</v>
      </c>
      <c r="R872" s="6" t="s">
        <v>35</v>
      </c>
      <c r="S872" s="17" t="s">
        <v>36</v>
      </c>
      <c r="T872" s="17" t="s">
        <v>5992</v>
      </c>
      <c r="U872" s="173" t="s">
        <v>38</v>
      </c>
      <c r="V872" s="11" t="s">
        <v>28</v>
      </c>
      <c r="W872" s="22" t="s">
        <v>40</v>
      </c>
      <c r="X872" s="22" t="s">
        <v>40</v>
      </c>
      <c r="Y872" s="22"/>
      <c r="Z872" s="7"/>
      <c r="AA872" s="7"/>
      <c r="AB872" s="23"/>
      <c r="AC872" s="26"/>
    </row>
    <row r="873" spans="1:29" ht="15.75" customHeight="1">
      <c r="A873" s="10" t="s">
        <v>5993</v>
      </c>
      <c r="B873" s="10" t="s">
        <v>474</v>
      </c>
      <c r="C873" s="11" t="s">
        <v>28</v>
      </c>
      <c r="D873" s="12"/>
      <c r="E873" s="68" t="s">
        <v>378</v>
      </c>
      <c r="F873" s="43" t="s">
        <v>5945</v>
      </c>
      <c r="G873" s="6" t="str">
        <f ca="1">IFERROR(__xludf.DUMMYFUNCTION("CONCATENATE(B873,(VLOOKUP(C873,CATALOGOS!$F$2:$H$6,3,FALSE)),(VLOOKUP(V873,CATALOGOS!$J$2:$K$18,2,FALSE)),""-"",TO_TEXT(A873))"),"P35DA-0872")</f>
        <v>P35DA-0872</v>
      </c>
      <c r="H873" s="6" t="str">
        <f ca="1">IFERROR(__xludf.DUMMYFUNCTION("CONCATENATE($B873,(VLOOKUP($C873,CATALOGOS!$F$2:$H$6,3,FALSE)),(VLOOKUP($V873,CATALOGOS!$J$2:$K$18,2,FALSE)),""-"",TO_TEXT($A873))"),"P35DA-0872")</f>
        <v>P35DA-0872</v>
      </c>
      <c r="I873" s="6"/>
      <c r="J873" s="6" t="s">
        <v>5994</v>
      </c>
      <c r="K873" s="6" t="s">
        <v>5995</v>
      </c>
      <c r="L873" s="6" t="s">
        <v>5996</v>
      </c>
      <c r="M873" s="43" t="s">
        <v>5997</v>
      </c>
      <c r="N873" s="17"/>
      <c r="O873" s="17"/>
      <c r="P873" s="17" t="str">
        <f t="shared" si="6"/>
        <v>OK</v>
      </c>
      <c r="Q873" s="17" t="s">
        <v>35</v>
      </c>
      <c r="R873" s="6" t="s">
        <v>35</v>
      </c>
      <c r="S873" s="17" t="s">
        <v>36</v>
      </c>
      <c r="T873" s="17" t="s">
        <v>5998</v>
      </c>
      <c r="U873" s="173" t="s">
        <v>38</v>
      </c>
      <c r="V873" s="11" t="s">
        <v>28</v>
      </c>
      <c r="W873" s="22" t="s">
        <v>40</v>
      </c>
      <c r="X873" s="22" t="s">
        <v>40</v>
      </c>
      <c r="Y873" s="22"/>
      <c r="Z873" s="7"/>
      <c r="AA873" s="7"/>
      <c r="AB873" s="23"/>
      <c r="AC873" s="26"/>
    </row>
    <row r="874" spans="1:29" ht="15.75" customHeight="1">
      <c r="A874" s="10" t="s">
        <v>5999</v>
      </c>
      <c r="B874" s="10" t="s">
        <v>474</v>
      </c>
      <c r="C874" s="11" t="s">
        <v>28</v>
      </c>
      <c r="D874" s="12"/>
      <c r="E874" s="68" t="s">
        <v>378</v>
      </c>
      <c r="F874" s="43" t="s">
        <v>5945</v>
      </c>
      <c r="G874" s="6" t="str">
        <f ca="1">IFERROR(__xludf.DUMMYFUNCTION("CONCATENATE(B874,(VLOOKUP(C874,CATALOGOS!$F$2:$H$6,3,FALSE)),(VLOOKUP(V874,CATALOGOS!$J$2:$K$18,2,FALSE)),""-"",TO_TEXT(A874))"),"P35DA-0873")</f>
        <v>P35DA-0873</v>
      </c>
      <c r="H874" s="6" t="str">
        <f ca="1">IFERROR(__xludf.DUMMYFUNCTION("CONCATENATE($B874,(VLOOKUP($C874,CATALOGOS!$F$2:$H$6,3,FALSE)),(VLOOKUP($V874,CATALOGOS!$J$2:$K$18,2,FALSE)),""-"",TO_TEXT($A874))"),"P35DA-0873")</f>
        <v>P35DA-0873</v>
      </c>
      <c r="I874" s="6"/>
      <c r="J874" s="6" t="s">
        <v>6000</v>
      </c>
      <c r="K874" s="6" t="s">
        <v>6001</v>
      </c>
      <c r="L874" s="6" t="s">
        <v>6002</v>
      </c>
      <c r="M874" s="43" t="s">
        <v>6003</v>
      </c>
      <c r="N874" s="17"/>
      <c r="O874" s="17"/>
      <c r="P874" s="17" t="str">
        <f t="shared" si="6"/>
        <v>OK</v>
      </c>
      <c r="Q874" s="17" t="s">
        <v>35</v>
      </c>
      <c r="R874" s="6" t="s">
        <v>35</v>
      </c>
      <c r="S874" s="17" t="s">
        <v>36</v>
      </c>
      <c r="T874" s="17" t="s">
        <v>6004</v>
      </c>
      <c r="U874" s="173" t="s">
        <v>38</v>
      </c>
      <c r="V874" s="11" t="s">
        <v>28</v>
      </c>
      <c r="W874" s="22" t="s">
        <v>40</v>
      </c>
      <c r="X874" s="22" t="s">
        <v>40</v>
      </c>
      <c r="Y874" s="22"/>
      <c r="Z874" s="7"/>
      <c r="AA874" s="7"/>
      <c r="AB874" s="23"/>
      <c r="AC874" s="26"/>
    </row>
    <row r="875" spans="1:29" ht="15.75" customHeight="1">
      <c r="A875" s="10" t="s">
        <v>6005</v>
      </c>
      <c r="B875" s="10" t="s">
        <v>474</v>
      </c>
      <c r="C875" s="11" t="s">
        <v>28</v>
      </c>
      <c r="D875" s="12"/>
      <c r="E875" s="68" t="s">
        <v>378</v>
      </c>
      <c r="F875" s="43" t="s">
        <v>5945</v>
      </c>
      <c r="G875" s="6" t="str">
        <f ca="1">IFERROR(__xludf.DUMMYFUNCTION("CONCATENATE(B875,(VLOOKUP(C875,CATALOGOS!$F$2:$H$6,3,FALSE)),(VLOOKUP(V875,CATALOGOS!$J$2:$K$18,2,FALSE)),""-"",TO_TEXT(A875))"),"P35DA-0874")</f>
        <v>P35DA-0874</v>
      </c>
      <c r="H875" s="6" t="str">
        <f ca="1">IFERROR(__xludf.DUMMYFUNCTION("CONCATENATE($B875,(VLOOKUP($C875,CATALOGOS!$F$2:$H$6,3,FALSE)),(VLOOKUP($V875,CATALOGOS!$J$2:$K$18,2,FALSE)),""-"",TO_TEXT($A875))"),"P35DA-0874")</f>
        <v>P35DA-0874</v>
      </c>
      <c r="I875" s="6"/>
      <c r="J875" s="6" t="s">
        <v>6006</v>
      </c>
      <c r="K875" s="6" t="s">
        <v>6007</v>
      </c>
      <c r="L875" s="6" t="s">
        <v>6008</v>
      </c>
      <c r="M875" s="43" t="s">
        <v>6009</v>
      </c>
      <c r="N875" s="17"/>
      <c r="O875" s="17"/>
      <c r="P875" s="17" t="str">
        <f t="shared" si="6"/>
        <v>OK</v>
      </c>
      <c r="Q875" s="17" t="s">
        <v>35</v>
      </c>
      <c r="R875" s="6" t="s">
        <v>35</v>
      </c>
      <c r="S875" s="17" t="s">
        <v>36</v>
      </c>
      <c r="T875" s="17" t="s">
        <v>6010</v>
      </c>
      <c r="U875" s="173" t="s">
        <v>38</v>
      </c>
      <c r="V875" s="11" t="s">
        <v>28</v>
      </c>
      <c r="W875" s="22" t="s">
        <v>40</v>
      </c>
      <c r="X875" s="22" t="s">
        <v>40</v>
      </c>
      <c r="Y875" s="22"/>
      <c r="Z875" s="7"/>
      <c r="AA875" s="7"/>
      <c r="AB875" s="23"/>
      <c r="AC875" s="26"/>
    </row>
    <row r="876" spans="1:29" ht="15.75" customHeight="1">
      <c r="A876" s="10" t="s">
        <v>6011</v>
      </c>
      <c r="B876" s="10" t="s">
        <v>474</v>
      </c>
      <c r="C876" s="11" t="s">
        <v>28</v>
      </c>
      <c r="D876" s="12"/>
      <c r="E876" s="68" t="s">
        <v>378</v>
      </c>
      <c r="F876" s="43" t="s">
        <v>5945</v>
      </c>
      <c r="G876" s="6" t="str">
        <f ca="1">IFERROR(__xludf.DUMMYFUNCTION("CONCATENATE(B876,(VLOOKUP(C876,CATALOGOS!$F$2:$H$6,3,FALSE)),(VLOOKUP(V876,CATALOGOS!$J$2:$K$18,2,FALSE)),""-"",TO_TEXT(A876))"),"P35DA-0875")</f>
        <v>P35DA-0875</v>
      </c>
      <c r="H876" s="6" t="str">
        <f ca="1">IFERROR(__xludf.DUMMYFUNCTION("CONCATENATE($B876,(VLOOKUP($C876,CATALOGOS!$F$2:$H$6,3,FALSE)),(VLOOKUP($V876,CATALOGOS!$J$2:$K$18,2,FALSE)),""-"",TO_TEXT($A876))"),"P35DA-0875")</f>
        <v>P35DA-0875</v>
      </c>
      <c r="I876" s="6"/>
      <c r="J876" s="6" t="s">
        <v>6012</v>
      </c>
      <c r="K876" s="6" t="s">
        <v>6013</v>
      </c>
      <c r="L876" s="6" t="s">
        <v>6014</v>
      </c>
      <c r="M876" s="43" t="s">
        <v>6015</v>
      </c>
      <c r="N876" s="17"/>
      <c r="O876" s="17"/>
      <c r="P876" s="17" t="str">
        <f t="shared" si="6"/>
        <v>OK</v>
      </c>
      <c r="Q876" s="17" t="s">
        <v>35</v>
      </c>
      <c r="R876" s="6" t="s">
        <v>35</v>
      </c>
      <c r="S876" s="17" t="s">
        <v>36</v>
      </c>
      <c r="T876" s="17" t="s">
        <v>6016</v>
      </c>
      <c r="U876" s="173" t="s">
        <v>38</v>
      </c>
      <c r="V876" s="11" t="s">
        <v>28</v>
      </c>
      <c r="W876" s="22" t="s">
        <v>40</v>
      </c>
      <c r="X876" s="22" t="s">
        <v>40</v>
      </c>
      <c r="Y876" s="22"/>
      <c r="Z876" s="7"/>
      <c r="AA876" s="7"/>
      <c r="AB876" s="23"/>
      <c r="AC876" s="26"/>
    </row>
    <row r="877" spans="1:29" ht="15.75" customHeight="1">
      <c r="A877" s="10" t="s">
        <v>6017</v>
      </c>
      <c r="B877" s="10" t="s">
        <v>474</v>
      </c>
      <c r="C877" s="11" t="s">
        <v>28</v>
      </c>
      <c r="D877" s="12"/>
      <c r="E877" s="68" t="s">
        <v>378</v>
      </c>
      <c r="F877" s="43" t="s">
        <v>5945</v>
      </c>
      <c r="G877" s="6" t="str">
        <f ca="1">IFERROR(__xludf.DUMMYFUNCTION("CONCATENATE(B877,(VLOOKUP(C877,CATALOGOS!$F$2:$H$6,3,FALSE)),(VLOOKUP(V877,CATALOGOS!$J$2:$K$18,2,FALSE)),""-"",TO_TEXT(A877))"),"P35DA-0876")</f>
        <v>P35DA-0876</v>
      </c>
      <c r="H877" s="6" t="str">
        <f ca="1">IFERROR(__xludf.DUMMYFUNCTION("CONCATENATE($B877,(VLOOKUP($C877,CATALOGOS!$F$2:$H$6,3,FALSE)),(VLOOKUP($V877,CATALOGOS!$J$2:$K$18,2,FALSE)),""-"",TO_TEXT($A877))"),"P35DA-0876")</f>
        <v>P35DA-0876</v>
      </c>
      <c r="I877" s="6"/>
      <c r="J877" s="6" t="s">
        <v>6018</v>
      </c>
      <c r="K877" s="6" t="s">
        <v>6019</v>
      </c>
      <c r="L877" s="6" t="s">
        <v>6020</v>
      </c>
      <c r="M877" s="43" t="s">
        <v>6021</v>
      </c>
      <c r="N877" s="17"/>
      <c r="O877" s="17"/>
      <c r="P877" s="17" t="str">
        <f t="shared" si="6"/>
        <v>OK</v>
      </c>
      <c r="Q877" s="17" t="s">
        <v>35</v>
      </c>
      <c r="R877" s="6" t="s">
        <v>35</v>
      </c>
      <c r="S877" s="17" t="s">
        <v>36</v>
      </c>
      <c r="T877" s="17" t="s">
        <v>6022</v>
      </c>
      <c r="U877" s="173" t="s">
        <v>38</v>
      </c>
      <c r="V877" s="11" t="s">
        <v>28</v>
      </c>
      <c r="W877" s="22" t="s">
        <v>40</v>
      </c>
      <c r="X877" s="22" t="s">
        <v>40</v>
      </c>
      <c r="Y877" s="22"/>
      <c r="Z877" s="7"/>
      <c r="AA877" s="7"/>
      <c r="AB877" s="23"/>
      <c r="AC877" s="26"/>
    </row>
    <row r="878" spans="1:29" ht="15.75" customHeight="1">
      <c r="A878" s="10" t="s">
        <v>6023</v>
      </c>
      <c r="B878" s="10" t="s">
        <v>474</v>
      </c>
      <c r="C878" s="11" t="s">
        <v>28</v>
      </c>
      <c r="D878" s="12"/>
      <c r="E878" s="68" t="s">
        <v>378</v>
      </c>
      <c r="F878" s="6" t="s">
        <v>5945</v>
      </c>
      <c r="G878" s="6" t="str">
        <f ca="1">IFERROR(__xludf.DUMMYFUNCTION("CONCATENATE(B878,(VLOOKUP(C878,CATALOGOS!$F$2:$H$6,3,FALSE)),(VLOOKUP(V878,CATALOGOS!$J$2:$K$18,2,FALSE)),""-"",TO_TEXT(A878))"),"P35DA-0877")</f>
        <v>P35DA-0877</v>
      </c>
      <c r="H878" s="6" t="str">
        <f ca="1">IFERROR(__xludf.DUMMYFUNCTION("CONCATENATE($B878,(VLOOKUP($C878,CATALOGOS!$F$2:$H$6,3,FALSE)),(VLOOKUP($V878,CATALOGOS!$J$2:$K$18,2,FALSE)),""-"",TO_TEXT($A878))"),"P35DA-0877")</f>
        <v>P35DA-0877</v>
      </c>
      <c r="I878" s="6"/>
      <c r="J878" s="6" t="s">
        <v>6024</v>
      </c>
      <c r="K878" s="6" t="s">
        <v>6025</v>
      </c>
      <c r="L878" s="6" t="s">
        <v>6026</v>
      </c>
      <c r="M878" s="6" t="s">
        <v>6027</v>
      </c>
      <c r="N878" s="17"/>
      <c r="O878" s="17"/>
      <c r="P878" s="17" t="str">
        <f t="shared" si="6"/>
        <v>OK</v>
      </c>
      <c r="Q878" s="17" t="s">
        <v>35</v>
      </c>
      <c r="R878" s="6" t="s">
        <v>35</v>
      </c>
      <c r="S878" s="6" t="s">
        <v>36</v>
      </c>
      <c r="T878" s="10" t="s">
        <v>6028</v>
      </c>
      <c r="U878" s="173" t="s">
        <v>38</v>
      </c>
      <c r="V878" s="11" t="s">
        <v>28</v>
      </c>
      <c r="W878" s="22" t="s">
        <v>40</v>
      </c>
      <c r="X878" s="22" t="s">
        <v>40</v>
      </c>
      <c r="Y878" s="22"/>
      <c r="Z878" s="7"/>
      <c r="AA878" s="7"/>
      <c r="AB878" s="23"/>
      <c r="AC878" s="26"/>
    </row>
    <row r="879" spans="1:29" ht="15.75" customHeight="1">
      <c r="A879" s="10" t="s">
        <v>6029</v>
      </c>
      <c r="B879" s="10" t="s">
        <v>474</v>
      </c>
      <c r="C879" s="11" t="s">
        <v>28</v>
      </c>
      <c r="D879" s="12"/>
      <c r="E879" s="68" t="s">
        <v>378</v>
      </c>
      <c r="F879" s="43" t="s">
        <v>5945</v>
      </c>
      <c r="G879" s="6" t="str">
        <f ca="1">IFERROR(__xludf.DUMMYFUNCTION("CONCATENATE(B879,(VLOOKUP(C879,CATALOGOS!$F$2:$H$6,3,FALSE)),(VLOOKUP(V879,CATALOGOS!$J$2:$K$18,2,FALSE)),""-"",TO_TEXT(A879))"),"P35DA-0878")</f>
        <v>P35DA-0878</v>
      </c>
      <c r="H879" s="6" t="str">
        <f ca="1">IFERROR(__xludf.DUMMYFUNCTION("CONCATENATE($B879,(VLOOKUP($C879,CATALOGOS!$F$2:$H$6,3,FALSE)),(VLOOKUP($V879,CATALOGOS!$J$2:$K$18,2,FALSE)),""-"",TO_TEXT($A879))"),"P35DA-0878")</f>
        <v>P35DA-0878</v>
      </c>
      <c r="I879" s="6"/>
      <c r="J879" s="6" t="s">
        <v>6030</v>
      </c>
      <c r="K879" s="6" t="s">
        <v>6031</v>
      </c>
      <c r="L879" s="6" t="s">
        <v>6032</v>
      </c>
      <c r="M879" s="43" t="s">
        <v>6033</v>
      </c>
      <c r="N879" s="17"/>
      <c r="O879" s="17"/>
      <c r="P879" s="17" t="str">
        <f t="shared" si="6"/>
        <v>OK</v>
      </c>
      <c r="Q879" s="17" t="s">
        <v>35</v>
      </c>
      <c r="R879" s="6" t="s">
        <v>35</v>
      </c>
      <c r="S879" s="17" t="s">
        <v>36</v>
      </c>
      <c r="T879" s="17" t="s">
        <v>6034</v>
      </c>
      <c r="U879" s="173" t="s">
        <v>38</v>
      </c>
      <c r="V879" s="11" t="s">
        <v>28</v>
      </c>
      <c r="W879" s="22" t="s">
        <v>40</v>
      </c>
      <c r="X879" s="22" t="s">
        <v>40</v>
      </c>
      <c r="Y879" s="22"/>
      <c r="Z879" s="7"/>
      <c r="AA879" s="7"/>
      <c r="AB879" s="23"/>
      <c r="AC879" s="26"/>
    </row>
    <row r="880" spans="1:29" ht="15.75" customHeight="1">
      <c r="A880" s="10" t="s">
        <v>6035</v>
      </c>
      <c r="B880" s="10" t="s">
        <v>474</v>
      </c>
      <c r="C880" s="11" t="s">
        <v>28</v>
      </c>
      <c r="D880" s="12"/>
      <c r="E880" s="68" t="s">
        <v>378</v>
      </c>
      <c r="F880" s="43" t="s">
        <v>511</v>
      </c>
      <c r="G880" s="6" t="str">
        <f ca="1">IFERROR(__xludf.DUMMYFUNCTION("CONCATENATE(B880,(VLOOKUP(C880,CATALOGOS!$F$2:$H$6,3,FALSE)),(VLOOKUP(V880,CATALOGOS!$J$2:$K$18,2,FALSE)),""-"",TO_TEXT(A880))"),"P35DA-0879")</f>
        <v>P35DA-0879</v>
      </c>
      <c r="H880" s="6" t="str">
        <f ca="1">IFERROR(__xludf.DUMMYFUNCTION("CONCATENATE($B880,(VLOOKUP($C880,CATALOGOS!$F$2:$H$6,3,FALSE)),(VLOOKUP($V880,CATALOGOS!$J$2:$K$18,2,FALSE)),""-"",TO_TEXT($A880))"),"P35DA-0879")</f>
        <v>P35DA-0879</v>
      </c>
      <c r="I880" s="6"/>
      <c r="J880" s="6" t="s">
        <v>6036</v>
      </c>
      <c r="K880" s="6" t="s">
        <v>6037</v>
      </c>
      <c r="L880" s="6" t="s">
        <v>6038</v>
      </c>
      <c r="M880" s="43" t="s">
        <v>6039</v>
      </c>
      <c r="N880" s="17"/>
      <c r="O880" s="17"/>
      <c r="P880" s="17" t="str">
        <f t="shared" si="6"/>
        <v>OK</v>
      </c>
      <c r="Q880" s="17" t="s">
        <v>35</v>
      </c>
      <c r="R880" s="6" t="s">
        <v>35</v>
      </c>
      <c r="S880" s="17" t="s">
        <v>36</v>
      </c>
      <c r="T880" s="17" t="s">
        <v>6040</v>
      </c>
      <c r="U880" s="173" t="s">
        <v>38</v>
      </c>
      <c r="V880" s="11" t="s">
        <v>28</v>
      </c>
      <c r="W880" s="22" t="s">
        <v>40</v>
      </c>
      <c r="X880" s="22" t="s">
        <v>40</v>
      </c>
      <c r="Y880" s="22"/>
      <c r="Z880" s="6"/>
      <c r="AA880" s="6" t="s">
        <v>440</v>
      </c>
      <c r="AB880" s="23"/>
      <c r="AC880" s="26"/>
    </row>
    <row r="881" spans="1:29" ht="15.75" customHeight="1">
      <c r="A881" s="10" t="s">
        <v>6041</v>
      </c>
      <c r="B881" s="10" t="s">
        <v>474</v>
      </c>
      <c r="C881" s="11" t="s">
        <v>28</v>
      </c>
      <c r="D881" s="12"/>
      <c r="E881" s="68" t="s">
        <v>378</v>
      </c>
      <c r="F881" s="43" t="s">
        <v>511</v>
      </c>
      <c r="G881" s="6" t="str">
        <f ca="1">IFERROR(__xludf.DUMMYFUNCTION("CONCATENATE(B881,(VLOOKUP(C881,CATALOGOS!$F$2:$H$6,3,FALSE)),(VLOOKUP(V881,CATALOGOS!$J$2:$K$18,2,FALSE)),""-"",TO_TEXT(A881))"),"P35DA-0880")</f>
        <v>P35DA-0880</v>
      </c>
      <c r="H881" s="6" t="str">
        <f ca="1">IFERROR(__xludf.DUMMYFUNCTION("CONCATENATE($B881,(VLOOKUP($C881,CATALOGOS!$F$2:$H$6,3,FALSE)),(VLOOKUP($V881,CATALOGOS!$J$2:$K$18,2,FALSE)),""-"",TO_TEXT($A881))"),"P35DA-0880")</f>
        <v>P35DA-0880</v>
      </c>
      <c r="I881" s="6"/>
      <c r="J881" s="6" t="s">
        <v>6042</v>
      </c>
      <c r="K881" s="6" t="s">
        <v>6043</v>
      </c>
      <c r="L881" s="6" t="s">
        <v>6044</v>
      </c>
      <c r="M881" s="6" t="s">
        <v>6045</v>
      </c>
      <c r="N881" s="17"/>
      <c r="O881" s="17"/>
      <c r="P881" s="17" t="str">
        <f t="shared" si="6"/>
        <v>OK</v>
      </c>
      <c r="Q881" s="17" t="s">
        <v>35</v>
      </c>
      <c r="R881" s="6" t="s">
        <v>35</v>
      </c>
      <c r="S881" s="17" t="s">
        <v>36</v>
      </c>
      <c r="T881" s="17" t="s">
        <v>6046</v>
      </c>
      <c r="U881" s="173" t="s">
        <v>517</v>
      </c>
      <c r="V881" s="11" t="s">
        <v>28</v>
      </c>
      <c r="W881" s="22" t="s">
        <v>40</v>
      </c>
      <c r="X881" s="22" t="s">
        <v>40</v>
      </c>
      <c r="Y881" s="22"/>
      <c r="Z881" s="7"/>
      <c r="AA881" s="7"/>
      <c r="AB881" s="23"/>
      <c r="AC881" s="26"/>
    </row>
    <row r="882" spans="1:29" ht="15.75" customHeight="1">
      <c r="A882" s="10" t="s">
        <v>6047</v>
      </c>
      <c r="B882" s="10" t="s">
        <v>474</v>
      </c>
      <c r="C882" s="11" t="s">
        <v>28</v>
      </c>
      <c r="D882" s="38"/>
      <c r="E882" s="68" t="s">
        <v>565</v>
      </c>
      <c r="F882" s="6" t="s">
        <v>6048</v>
      </c>
      <c r="G882" s="6" t="str">
        <f ca="1">IFERROR(__xludf.DUMMYFUNCTION("CONCATENATE(B882,(VLOOKUP(C882,CATALOGOS!$F$2:$H$6,3,FALSE)),(VLOOKUP(V882,CATALOGOS!$J$2:$K$18,2,FALSE)),""-"",TO_TEXT(A882))"),"P35DA-0881")</f>
        <v>P35DA-0881</v>
      </c>
      <c r="H882" s="6" t="str">
        <f ca="1">IFERROR(__xludf.DUMMYFUNCTION("CONCATENATE($B882,(VLOOKUP($C882,CATALOGOS!$F$2:$H$6,3,FALSE)),(VLOOKUP($V882,CATALOGOS!$J$2:$K$18,2,FALSE)),""-"",TO_TEXT($A882))"),"P35DA-0881")</f>
        <v>P35DA-0881</v>
      </c>
      <c r="I882" s="6"/>
      <c r="J882" s="6" t="s">
        <v>6049</v>
      </c>
      <c r="K882" s="6" t="s">
        <v>6050</v>
      </c>
      <c r="L882" s="36"/>
      <c r="M882" s="6" t="s">
        <v>6051</v>
      </c>
      <c r="N882" s="17"/>
      <c r="O882" s="17"/>
      <c r="P882" s="17" t="str">
        <f t="shared" si="6"/>
        <v>OK</v>
      </c>
      <c r="Q882" s="17" t="s">
        <v>35</v>
      </c>
      <c r="R882" s="6" t="s">
        <v>35</v>
      </c>
      <c r="S882" s="6" t="s">
        <v>36</v>
      </c>
      <c r="T882" s="32" t="s">
        <v>6052</v>
      </c>
      <c r="U882" s="173" t="s">
        <v>38</v>
      </c>
      <c r="V882" s="11" t="s">
        <v>28</v>
      </c>
      <c r="W882" s="22" t="s">
        <v>40</v>
      </c>
      <c r="X882" s="22" t="s">
        <v>40</v>
      </c>
      <c r="Y882" s="22"/>
      <c r="Z882" s="7"/>
      <c r="AA882" s="7"/>
      <c r="AB882" s="26"/>
      <c r="AC882" s="26"/>
    </row>
    <row r="883" spans="1:29" ht="15.75" customHeight="1">
      <c r="A883" s="10" t="s">
        <v>6053</v>
      </c>
      <c r="B883" s="10" t="s">
        <v>4410</v>
      </c>
      <c r="C883" s="11" t="s">
        <v>6054</v>
      </c>
      <c r="D883" s="12"/>
      <c r="E883" s="13" t="s">
        <v>6055</v>
      </c>
      <c r="F883" s="6" t="s">
        <v>6056</v>
      </c>
      <c r="G883" s="6" t="str">
        <f ca="1">IFERROR(__xludf.DUMMYFUNCTION("CONCATENATE(B883,(VLOOKUP(C883,CATALOGOS!$F$2:$H$6,3,FALSE)),(VLOOKUP(V883,CATALOGOS!$J$2:$K$18,2,FALSE)),""-"",TO_TEXT(A883))"),"P21DG-0882")</f>
        <v>P21DG-0882</v>
      </c>
      <c r="H883" s="6" t="str">
        <f ca="1">IFERROR(__xludf.DUMMYFUNCTION("CONCATENATE($B883,(VLOOKUP($C883,CATALOGOS!$F$2:$H$6,3,FALSE)),(VLOOKUP($V883,CATALOGOS!$J$2:$K$18,2,FALSE)),""-"",TO_TEXT($A883))"),"P21DG-0882")</f>
        <v>P21DG-0882</v>
      </c>
      <c r="I883" s="6"/>
      <c r="J883" s="6" t="s">
        <v>6057</v>
      </c>
      <c r="K883" s="6" t="s">
        <v>6058</v>
      </c>
      <c r="L883" s="6" t="s">
        <v>6059</v>
      </c>
      <c r="M883" s="6" t="s">
        <v>6060</v>
      </c>
      <c r="N883" s="17"/>
      <c r="O883" s="17"/>
      <c r="P883" s="17" t="str">
        <f t="shared" si="6"/>
        <v>OK</v>
      </c>
      <c r="Q883" s="17" t="s">
        <v>35</v>
      </c>
      <c r="R883" s="6" t="s">
        <v>35</v>
      </c>
      <c r="S883" s="17" t="s">
        <v>36</v>
      </c>
      <c r="T883" s="17" t="s">
        <v>6061</v>
      </c>
      <c r="U883" s="173" t="s">
        <v>38</v>
      </c>
      <c r="V883" s="11" t="s">
        <v>6054</v>
      </c>
      <c r="W883" s="22" t="s">
        <v>6062</v>
      </c>
      <c r="X883" s="22" t="s">
        <v>6062</v>
      </c>
      <c r="Y883" s="22"/>
      <c r="Z883" s="7"/>
      <c r="AA883" s="7"/>
      <c r="AB883" s="23"/>
      <c r="AC883" s="26"/>
    </row>
    <row r="884" spans="1:29" ht="15.75" customHeight="1">
      <c r="A884" s="10" t="s">
        <v>6063</v>
      </c>
      <c r="B884" s="10" t="s">
        <v>4410</v>
      </c>
      <c r="C884" s="11" t="s">
        <v>6054</v>
      </c>
      <c r="D884" s="12"/>
      <c r="E884" s="13" t="s">
        <v>378</v>
      </c>
      <c r="F884" s="43" t="s">
        <v>6064</v>
      </c>
      <c r="G884" s="6" t="str">
        <f ca="1">IFERROR(__xludf.DUMMYFUNCTION("CONCATENATE(B884,(VLOOKUP(C884,CATALOGOS!$F$2:$H$6,3,FALSE)),(VLOOKUP(V884,CATALOGOS!$J$2:$K$18,2,FALSE)),""-"",TO_TEXT(A884))"),"P21DG-0883")</f>
        <v>P21DG-0883</v>
      </c>
      <c r="H884" s="6" t="str">
        <f ca="1">IFERROR(__xludf.DUMMYFUNCTION("CONCATENATE($B884,(VLOOKUP($C884,CATALOGOS!$F$2:$H$6,3,FALSE)),(VLOOKUP($V884,CATALOGOS!$J$2:$K$18,2,FALSE)),""-"",TO_TEXT($A884))"),"P21DG-0883")</f>
        <v>P21DG-0883</v>
      </c>
      <c r="I884" s="6"/>
      <c r="J884" s="6" t="s">
        <v>6065</v>
      </c>
      <c r="K884" s="6" t="s">
        <v>6066</v>
      </c>
      <c r="L884" s="6" t="s">
        <v>6067</v>
      </c>
      <c r="M884" s="6" t="s">
        <v>6068</v>
      </c>
      <c r="N884" s="17"/>
      <c r="O884" s="17"/>
      <c r="P884" s="17" t="str">
        <f t="shared" si="6"/>
        <v>OK</v>
      </c>
      <c r="Q884" s="17" t="s">
        <v>35</v>
      </c>
      <c r="R884" s="6" t="s">
        <v>35</v>
      </c>
      <c r="S884" s="17" t="s">
        <v>36</v>
      </c>
      <c r="T884" s="17" t="s">
        <v>6069</v>
      </c>
      <c r="U884" s="173" t="s">
        <v>38</v>
      </c>
      <c r="V884" s="11" t="s">
        <v>6054</v>
      </c>
      <c r="W884" s="22" t="s">
        <v>6062</v>
      </c>
      <c r="X884" s="22" t="s">
        <v>6062</v>
      </c>
      <c r="Y884" s="22"/>
      <c r="Z884" s="7"/>
      <c r="AA884" s="7"/>
      <c r="AB884" s="23"/>
      <c r="AC884" s="26"/>
    </row>
    <row r="885" spans="1:29" ht="15.75" customHeight="1">
      <c r="A885" s="10" t="s">
        <v>6070</v>
      </c>
      <c r="B885" s="10" t="s">
        <v>4410</v>
      </c>
      <c r="C885" s="11" t="s">
        <v>6054</v>
      </c>
      <c r="D885" s="12"/>
      <c r="E885" s="13" t="s">
        <v>116</v>
      </c>
      <c r="F885" s="6" t="s">
        <v>6071</v>
      </c>
      <c r="G885" s="6" t="str">
        <f ca="1">IFERROR(__xludf.DUMMYFUNCTION("CONCATENATE(B885,(VLOOKUP(C885,CATALOGOS!$F$2:$H$6,3,FALSE)),(VLOOKUP(V885,CATALOGOS!$J$2:$K$18,2,FALSE)),""-"",TO_TEXT(A885))"),"P21DG-0884")</f>
        <v>P21DG-0884</v>
      </c>
      <c r="H885" s="6" t="str">
        <f ca="1">IFERROR(__xludf.DUMMYFUNCTION("CONCATENATE($B885,(VLOOKUP($C885,CATALOGOS!$F$2:$H$6,3,FALSE)),(VLOOKUP($V885,CATALOGOS!$J$2:$K$18,2,FALSE)),""-"",TO_TEXT($A885))"),"P21DG-0884")</f>
        <v>P21DG-0884</v>
      </c>
      <c r="I885" s="6"/>
      <c r="J885" s="6" t="s">
        <v>6072</v>
      </c>
      <c r="K885" s="6" t="s">
        <v>6073</v>
      </c>
      <c r="L885" s="6" t="s">
        <v>6074</v>
      </c>
      <c r="M885" s="6" t="s">
        <v>6075</v>
      </c>
      <c r="N885" s="17"/>
      <c r="O885" s="17"/>
      <c r="P885" s="17" t="str">
        <f t="shared" si="6"/>
        <v>OK</v>
      </c>
      <c r="Q885" s="17" t="s">
        <v>35</v>
      </c>
      <c r="R885" s="6" t="s">
        <v>35</v>
      </c>
      <c r="S885" s="17" t="s">
        <v>36</v>
      </c>
      <c r="T885" s="17" t="s">
        <v>6076</v>
      </c>
      <c r="U885" s="173" t="s">
        <v>38</v>
      </c>
      <c r="V885" s="11" t="s">
        <v>6054</v>
      </c>
      <c r="W885" s="22" t="s">
        <v>6062</v>
      </c>
      <c r="X885" s="22" t="s">
        <v>6062</v>
      </c>
      <c r="Y885" s="22"/>
      <c r="Z885" s="7"/>
      <c r="AA885" s="7"/>
      <c r="AB885" s="23"/>
      <c r="AC885" s="26"/>
    </row>
    <row r="886" spans="1:29" ht="15.75" customHeight="1">
      <c r="A886" s="10" t="s">
        <v>6077</v>
      </c>
      <c r="B886" s="10" t="s">
        <v>4410</v>
      </c>
      <c r="C886" s="11" t="s">
        <v>6054</v>
      </c>
      <c r="D886" s="12"/>
      <c r="E886" s="13" t="s">
        <v>53</v>
      </c>
      <c r="F886" s="6" t="s">
        <v>6078</v>
      </c>
      <c r="G886" s="6" t="str">
        <f ca="1">IFERROR(__xludf.DUMMYFUNCTION("CONCATENATE(B886,(VLOOKUP(C886,CATALOGOS!$F$2:$H$6,3,FALSE)),(VLOOKUP(V886,CATALOGOS!$J$2:$K$18,2,FALSE)),""-"",TO_TEXT(A886))"),"P21DG-0885")</f>
        <v>P21DG-0885</v>
      </c>
      <c r="H886" s="6" t="str">
        <f ca="1">IFERROR(__xludf.DUMMYFUNCTION("CONCATENATE($B886,(VLOOKUP($C886,CATALOGOS!$F$2:$H$6,3,FALSE)),(VLOOKUP($V886,CATALOGOS!$J$2:$K$18,2,FALSE)),""-"",TO_TEXT($A886))"),"P21DG-0885")</f>
        <v>P21DG-0885</v>
      </c>
      <c r="I886" s="6"/>
      <c r="J886" s="6" t="s">
        <v>6079</v>
      </c>
      <c r="K886" s="6" t="s">
        <v>6080</v>
      </c>
      <c r="L886" s="6" t="s">
        <v>6081</v>
      </c>
      <c r="M886" s="6" t="s">
        <v>6082</v>
      </c>
      <c r="N886" s="17"/>
      <c r="O886" s="17"/>
      <c r="P886" s="17" t="str">
        <f t="shared" si="6"/>
        <v>OK</v>
      </c>
      <c r="Q886" s="17" t="s">
        <v>35</v>
      </c>
      <c r="R886" s="6" t="s">
        <v>35</v>
      </c>
      <c r="S886" s="17" t="s">
        <v>36</v>
      </c>
      <c r="T886" s="17" t="s">
        <v>6083</v>
      </c>
      <c r="U886" s="173" t="s">
        <v>38</v>
      </c>
      <c r="V886" s="11" t="s">
        <v>6054</v>
      </c>
      <c r="W886" s="22" t="s">
        <v>6062</v>
      </c>
      <c r="X886" s="22" t="s">
        <v>6062</v>
      </c>
      <c r="Y886" s="22"/>
      <c r="Z886" s="7"/>
      <c r="AA886" s="7"/>
      <c r="AB886" s="23"/>
      <c r="AC886" s="26"/>
    </row>
    <row r="887" spans="1:29" ht="15.75" customHeight="1">
      <c r="A887" s="10" t="s">
        <v>6084</v>
      </c>
      <c r="B887" s="10" t="s">
        <v>4410</v>
      </c>
      <c r="C887" s="11" t="s">
        <v>6054</v>
      </c>
      <c r="D887" s="12"/>
      <c r="E887" s="13" t="s">
        <v>2860</v>
      </c>
      <c r="F887" s="43" t="s">
        <v>2861</v>
      </c>
      <c r="G887" s="6" t="str">
        <f ca="1">IFERROR(__xludf.DUMMYFUNCTION("CONCATENATE(B887,(VLOOKUP(C887,CATALOGOS!$F$2:$H$6,3,FALSE)),(VLOOKUP(V887,CATALOGOS!$J$2:$K$18,2,FALSE)),""-"",TO_TEXT(A887))"),"P21DG-0886")</f>
        <v>P21DG-0886</v>
      </c>
      <c r="H887" s="6" t="str">
        <f ca="1">IFERROR(__xludf.DUMMYFUNCTION("CONCATENATE($B887,(VLOOKUP($C887,CATALOGOS!$F$2:$H$6,3,FALSE)),(VLOOKUP($V887,CATALOGOS!$J$2:$K$18,2,FALSE)),""-"",TO_TEXT($A887))"),"P21DG-0886")</f>
        <v>P21DG-0886</v>
      </c>
      <c r="I887" s="6"/>
      <c r="J887" s="6" t="s">
        <v>6085</v>
      </c>
      <c r="K887" s="6" t="s">
        <v>6086</v>
      </c>
      <c r="L887" s="6" t="s">
        <v>6087</v>
      </c>
      <c r="M887" s="6" t="s">
        <v>6088</v>
      </c>
      <c r="N887" s="17"/>
      <c r="O887" s="17"/>
      <c r="P887" s="17" t="str">
        <f t="shared" si="6"/>
        <v>OK</v>
      </c>
      <c r="Q887" s="17" t="s">
        <v>6089</v>
      </c>
      <c r="R887" s="6" t="s">
        <v>35</v>
      </c>
      <c r="S887" s="6" t="s">
        <v>36</v>
      </c>
      <c r="T887" s="17" t="s">
        <v>6090</v>
      </c>
      <c r="U887" s="173" t="s">
        <v>38</v>
      </c>
      <c r="V887" s="11" t="s">
        <v>6054</v>
      </c>
      <c r="W887" s="22" t="s">
        <v>6062</v>
      </c>
      <c r="X887" s="22" t="s">
        <v>6062</v>
      </c>
      <c r="Y887" s="22"/>
      <c r="Z887" s="7"/>
      <c r="AA887" s="7"/>
      <c r="AB887" s="23"/>
      <c r="AC887" s="26"/>
    </row>
    <row r="888" spans="1:29" ht="15.75" customHeight="1">
      <c r="A888" s="10" t="s">
        <v>6091</v>
      </c>
      <c r="B888" s="10" t="s">
        <v>4410</v>
      </c>
      <c r="C888" s="11" t="s">
        <v>6054</v>
      </c>
      <c r="D888" s="12"/>
      <c r="E888" s="13" t="s">
        <v>6092</v>
      </c>
      <c r="F888" s="43" t="s">
        <v>6093</v>
      </c>
      <c r="G888" s="6" t="str">
        <f ca="1">IFERROR(__xludf.DUMMYFUNCTION("CONCATENATE(B888,(VLOOKUP(C888,CATALOGOS!$F$2:$H$6,3,FALSE)),(VLOOKUP(V888,CATALOGOS!$J$2:$K$18,2,FALSE)),""-"",TO_TEXT(A888))"),"P21DG-0887")</f>
        <v>P21DG-0887</v>
      </c>
      <c r="H888" s="6" t="str">
        <f ca="1">IFERROR(__xludf.DUMMYFUNCTION("CONCATENATE($B888,(VLOOKUP($C888,CATALOGOS!$F$2:$H$6,3,FALSE)),(VLOOKUP($V888,CATALOGOS!$J$2:$K$18,2,FALSE)),""-"",TO_TEXT($A888))"),"P21DG-0887")</f>
        <v>P21DG-0887</v>
      </c>
      <c r="I888" s="6"/>
      <c r="J888" s="6" t="s">
        <v>6094</v>
      </c>
      <c r="K888" s="6" t="s">
        <v>6095</v>
      </c>
      <c r="L888" s="6" t="s">
        <v>6096</v>
      </c>
      <c r="M888" s="6" t="s">
        <v>6097</v>
      </c>
      <c r="N888" s="17"/>
      <c r="O888" s="17"/>
      <c r="P888" s="17" t="str">
        <f t="shared" si="6"/>
        <v>OK</v>
      </c>
      <c r="Q888" s="17" t="s">
        <v>35</v>
      </c>
      <c r="R888" s="49" t="s">
        <v>35</v>
      </c>
      <c r="S888" s="17" t="s">
        <v>36</v>
      </c>
      <c r="T888" s="17" t="s">
        <v>6098</v>
      </c>
      <c r="U888" s="173" t="s">
        <v>38</v>
      </c>
      <c r="V888" s="11" t="s">
        <v>6054</v>
      </c>
      <c r="W888" s="22" t="s">
        <v>6062</v>
      </c>
      <c r="X888" s="22" t="s">
        <v>6062</v>
      </c>
      <c r="Y888" s="22"/>
      <c r="Z888" s="7"/>
      <c r="AA888" s="7"/>
      <c r="AB888" s="23"/>
      <c r="AC888" s="26"/>
    </row>
    <row r="889" spans="1:29" ht="15.75" customHeight="1">
      <c r="A889" s="10" t="s">
        <v>6099</v>
      </c>
      <c r="B889" s="10" t="s">
        <v>4410</v>
      </c>
      <c r="C889" s="11" t="s">
        <v>6054</v>
      </c>
      <c r="D889" s="12"/>
      <c r="E889" s="13" t="s">
        <v>6100</v>
      </c>
      <c r="F889" s="6" t="s">
        <v>6101</v>
      </c>
      <c r="G889" s="6" t="str">
        <f ca="1">IFERROR(__xludf.DUMMYFUNCTION("CONCATENATE(B889,(VLOOKUP(C889,CATALOGOS!$F$2:$H$6,3,FALSE)),(VLOOKUP(V889,CATALOGOS!$J$2:$K$18,2,FALSE)),""-"",TO_TEXT(A889))"),"P21DG-0888")</f>
        <v>P21DG-0888</v>
      </c>
      <c r="H889" s="6" t="str">
        <f ca="1">IFERROR(__xludf.DUMMYFUNCTION("CONCATENATE($B889,(VLOOKUP($C889,CATALOGOS!$F$2:$H$6,3,FALSE)),(VLOOKUP($V889,CATALOGOS!$J$2:$K$18,2,FALSE)),""-"",TO_TEXT($A889))"),"P21DG-0888")</f>
        <v>P21DG-0888</v>
      </c>
      <c r="I889" s="6"/>
      <c r="J889" s="6" t="s">
        <v>6102</v>
      </c>
      <c r="K889" s="6" t="s">
        <v>6103</v>
      </c>
      <c r="L889" s="6" t="s">
        <v>6104</v>
      </c>
      <c r="M889" s="43" t="s">
        <v>6105</v>
      </c>
      <c r="N889" s="17"/>
      <c r="O889" s="17"/>
      <c r="P889" s="17" t="str">
        <f t="shared" si="6"/>
        <v>OK</v>
      </c>
      <c r="Q889" s="17" t="s">
        <v>35</v>
      </c>
      <c r="R889" s="6" t="s">
        <v>35</v>
      </c>
      <c r="S889" s="17" t="s">
        <v>36</v>
      </c>
      <c r="T889" s="17" t="s">
        <v>6106</v>
      </c>
      <c r="U889" s="173" t="s">
        <v>38</v>
      </c>
      <c r="V889" s="11" t="s">
        <v>6054</v>
      </c>
      <c r="W889" s="22" t="s">
        <v>6062</v>
      </c>
      <c r="X889" s="22" t="s">
        <v>6062</v>
      </c>
      <c r="Y889" s="22"/>
      <c r="Z889" s="7"/>
      <c r="AA889" s="7"/>
      <c r="AB889" s="23"/>
      <c r="AC889" s="26"/>
    </row>
    <row r="890" spans="1:29" ht="15.75" customHeight="1">
      <c r="A890" s="10" t="s">
        <v>6107</v>
      </c>
      <c r="B890" s="10" t="s">
        <v>4410</v>
      </c>
      <c r="C890" s="11" t="s">
        <v>6054</v>
      </c>
      <c r="D890" s="12"/>
      <c r="E890" s="13" t="s">
        <v>93</v>
      </c>
      <c r="F890" s="6" t="s">
        <v>6108</v>
      </c>
      <c r="G890" s="6" t="str">
        <f ca="1">IFERROR(__xludf.DUMMYFUNCTION("CONCATENATE(B890,(VLOOKUP(C890,CATALOGOS!$F$2:$H$6,3,FALSE)),(VLOOKUP(V890,CATALOGOS!$J$2:$K$18,2,FALSE)),""-"",TO_TEXT(A890))"),"P21DG-0889")</f>
        <v>P21DG-0889</v>
      </c>
      <c r="H890" s="6" t="str">
        <f ca="1">IFERROR(__xludf.DUMMYFUNCTION("CONCATENATE($B890,(VLOOKUP($C890,CATALOGOS!$F$2:$H$6,3,FALSE)),(VLOOKUP($V890,CATALOGOS!$J$2:$K$18,2,FALSE)),""-"",TO_TEXT($A890))"),"P21DG-0889")</f>
        <v>P21DG-0889</v>
      </c>
      <c r="I890" s="6"/>
      <c r="J890" s="6" t="s">
        <v>6109</v>
      </c>
      <c r="K890" s="6" t="s">
        <v>6110</v>
      </c>
      <c r="L890" s="6" t="s">
        <v>6111</v>
      </c>
      <c r="M890" s="6" t="s">
        <v>6112</v>
      </c>
      <c r="N890" s="17"/>
      <c r="O890" s="17"/>
      <c r="P890" s="17" t="str">
        <f t="shared" si="6"/>
        <v>OK</v>
      </c>
      <c r="Q890" s="17" t="s">
        <v>35</v>
      </c>
      <c r="R890" s="6" t="s">
        <v>35</v>
      </c>
      <c r="S890" s="17" t="s">
        <v>36</v>
      </c>
      <c r="T890" s="17" t="s">
        <v>6113</v>
      </c>
      <c r="U890" s="173" t="s">
        <v>38</v>
      </c>
      <c r="V890" s="11" t="s">
        <v>6054</v>
      </c>
      <c r="W890" s="22" t="s">
        <v>6062</v>
      </c>
      <c r="X890" s="22" t="s">
        <v>6062</v>
      </c>
      <c r="Y890" s="22"/>
      <c r="Z890" s="7"/>
      <c r="AA890" s="7"/>
      <c r="AB890" s="23"/>
      <c r="AC890" s="26"/>
    </row>
    <row r="891" spans="1:29" ht="15.75" customHeight="1">
      <c r="A891" s="10" t="s">
        <v>6114</v>
      </c>
      <c r="B891" s="10" t="s">
        <v>4410</v>
      </c>
      <c r="C891" s="11" t="s">
        <v>6054</v>
      </c>
      <c r="D891" s="12"/>
      <c r="E891" s="13" t="s">
        <v>71</v>
      </c>
      <c r="F891" s="6" t="s">
        <v>6115</v>
      </c>
      <c r="G891" s="6" t="str">
        <f ca="1">IFERROR(__xludf.DUMMYFUNCTION("CONCATENATE(B891,(VLOOKUP(C891,CATALOGOS!$F$2:$H$6,3,FALSE)),(VLOOKUP(V891,CATALOGOS!$J$2:$K$18,2,FALSE)),""-"",TO_TEXT(A891))"),"P21DG-0890")</f>
        <v>P21DG-0890</v>
      </c>
      <c r="H891" s="6" t="str">
        <f ca="1">IFERROR(__xludf.DUMMYFUNCTION("CONCATENATE($B891,(VLOOKUP($C891,CATALOGOS!$F$2:$H$6,3,FALSE)),(VLOOKUP($V891,CATALOGOS!$J$2:$K$18,2,FALSE)),""-"",TO_TEXT($A891))"),"P21DG-0890")</f>
        <v>P21DG-0890</v>
      </c>
      <c r="I891" s="6"/>
      <c r="J891" s="6" t="s">
        <v>6116</v>
      </c>
      <c r="K891" s="6" t="s">
        <v>6117</v>
      </c>
      <c r="L891" s="6" t="s">
        <v>6118</v>
      </c>
      <c r="M891" s="6" t="s">
        <v>6119</v>
      </c>
      <c r="N891" s="17"/>
      <c r="O891" s="17"/>
      <c r="P891" s="17" t="str">
        <f t="shared" si="6"/>
        <v>OK</v>
      </c>
      <c r="Q891" s="17" t="s">
        <v>35</v>
      </c>
      <c r="R891" s="49" t="s">
        <v>35</v>
      </c>
      <c r="S891" s="17" t="s">
        <v>36</v>
      </c>
      <c r="T891" s="17" t="s">
        <v>6120</v>
      </c>
      <c r="U891" s="173" t="s">
        <v>38</v>
      </c>
      <c r="V891" s="11" t="s">
        <v>6054</v>
      </c>
      <c r="W891" s="22" t="s">
        <v>6062</v>
      </c>
      <c r="X891" s="22" t="s">
        <v>6062</v>
      </c>
      <c r="Y891" s="22"/>
      <c r="Z891" s="7"/>
      <c r="AA891" s="7"/>
      <c r="AB891" s="23"/>
      <c r="AC891" s="26"/>
    </row>
    <row r="892" spans="1:29" ht="15.75" customHeight="1">
      <c r="A892" s="10" t="s">
        <v>6121</v>
      </c>
      <c r="B892" s="10" t="s">
        <v>4410</v>
      </c>
      <c r="C892" s="11" t="s">
        <v>6054</v>
      </c>
      <c r="D892" s="12"/>
      <c r="E892" s="13" t="s">
        <v>93</v>
      </c>
      <c r="F892" s="6" t="s">
        <v>6122</v>
      </c>
      <c r="G892" s="6" t="str">
        <f ca="1">IFERROR(__xludf.DUMMYFUNCTION("CONCATENATE(B892,(VLOOKUP(C892,CATALOGOS!$F$2:$H$6,3,FALSE)),(VLOOKUP(V892,CATALOGOS!$J$2:$K$18,2,FALSE)),""-"",TO_TEXT(A892))"),"P21DG-0891")</f>
        <v>P21DG-0891</v>
      </c>
      <c r="H892" s="6" t="str">
        <f ca="1">IFERROR(__xludf.DUMMYFUNCTION("CONCATENATE($B892,(VLOOKUP($C892,CATALOGOS!$F$2:$H$6,3,FALSE)),(VLOOKUP($V892,CATALOGOS!$J$2:$K$18,2,FALSE)),""-"",TO_TEXT($A892))"),"P21DG-0891")</f>
        <v>P21DG-0891</v>
      </c>
      <c r="I892" s="6"/>
      <c r="J892" s="6" t="s">
        <v>6123</v>
      </c>
      <c r="K892" s="6" t="s">
        <v>6124</v>
      </c>
      <c r="L892" s="6" t="s">
        <v>6125</v>
      </c>
      <c r="M892" s="6" t="s">
        <v>6126</v>
      </c>
      <c r="N892" s="17"/>
      <c r="O892" s="17"/>
      <c r="P892" s="17" t="str">
        <f t="shared" si="6"/>
        <v>OK</v>
      </c>
      <c r="Q892" s="17" t="s">
        <v>35</v>
      </c>
      <c r="R892" s="6" t="s">
        <v>35</v>
      </c>
      <c r="S892" s="17" t="s">
        <v>36</v>
      </c>
      <c r="T892" s="17" t="s">
        <v>6127</v>
      </c>
      <c r="U892" s="173" t="s">
        <v>38</v>
      </c>
      <c r="V892" s="11" t="s">
        <v>6054</v>
      </c>
      <c r="W892" s="22" t="s">
        <v>6062</v>
      </c>
      <c r="X892" s="22" t="s">
        <v>6062</v>
      </c>
      <c r="Y892" s="22"/>
      <c r="Z892" s="7"/>
      <c r="AA892" s="7"/>
      <c r="AB892" s="23"/>
      <c r="AC892" s="26"/>
    </row>
    <row r="893" spans="1:29" ht="15.75" customHeight="1">
      <c r="A893" s="10" t="s">
        <v>6128</v>
      </c>
      <c r="B893" s="10" t="s">
        <v>4410</v>
      </c>
      <c r="C893" s="11" t="s">
        <v>6054</v>
      </c>
      <c r="D893" s="12"/>
      <c r="E893" s="13" t="s">
        <v>6129</v>
      </c>
      <c r="F893" s="6" t="s">
        <v>6130</v>
      </c>
      <c r="G893" s="6" t="str">
        <f ca="1">IFERROR(__xludf.DUMMYFUNCTION("CONCATENATE(B893,(VLOOKUP(C893,CATALOGOS!$F$2:$H$6,3,FALSE)),(VLOOKUP(V893,CATALOGOS!$J$2:$K$18,2,FALSE)),""-"",TO_TEXT(A893))"),"P21DG-0892")</f>
        <v>P21DG-0892</v>
      </c>
      <c r="H893" s="6" t="str">
        <f ca="1">IFERROR(__xludf.DUMMYFUNCTION("CONCATENATE($B893,(VLOOKUP($C893,CATALOGOS!$F$2:$H$6,3,FALSE)),(VLOOKUP($V893,CATALOGOS!$J$2:$K$18,2,FALSE)),""-"",TO_TEXT($A893))"),"P21DG-0892")</f>
        <v>P21DG-0892</v>
      </c>
      <c r="I893" s="6"/>
      <c r="J893" s="6" t="s">
        <v>6131</v>
      </c>
      <c r="K893" s="6" t="s">
        <v>6132</v>
      </c>
      <c r="L893" s="6" t="s">
        <v>6133</v>
      </c>
      <c r="M893" s="43" t="s">
        <v>6134</v>
      </c>
      <c r="N893" s="17"/>
      <c r="O893" s="17"/>
      <c r="P893" s="17" t="str">
        <f t="shared" si="6"/>
        <v>OK</v>
      </c>
      <c r="Q893" s="17" t="s">
        <v>6135</v>
      </c>
      <c r="R893" s="6" t="s">
        <v>6136</v>
      </c>
      <c r="S893" s="17" t="s">
        <v>6137</v>
      </c>
      <c r="T893" s="10" t="s">
        <v>6138</v>
      </c>
      <c r="U893" s="173" t="s">
        <v>38</v>
      </c>
      <c r="V893" s="11" t="s">
        <v>6054</v>
      </c>
      <c r="W893" s="22" t="s">
        <v>6062</v>
      </c>
      <c r="X893" s="22" t="s">
        <v>6062</v>
      </c>
      <c r="Y893" s="22"/>
      <c r="Z893" s="7"/>
      <c r="AA893" s="7"/>
      <c r="AB893" s="23"/>
      <c r="AC893" s="26"/>
    </row>
    <row r="894" spans="1:29" ht="15.75" customHeight="1">
      <c r="A894" s="10" t="s">
        <v>6139</v>
      </c>
      <c r="B894" s="10" t="s">
        <v>4410</v>
      </c>
      <c r="C894" s="11" t="s">
        <v>6054</v>
      </c>
      <c r="D894" s="12"/>
      <c r="E894" s="13" t="s">
        <v>71</v>
      </c>
      <c r="F894" s="6" t="s">
        <v>6115</v>
      </c>
      <c r="G894" s="6" t="str">
        <f ca="1">IFERROR(__xludf.DUMMYFUNCTION("CONCATENATE(B894,(VLOOKUP(C894,CATALOGOS!$F$2:$H$6,3,FALSE)),(VLOOKUP(V894,CATALOGOS!$J$2:$K$18,2,FALSE)),""-"",TO_TEXT(A894))"),"P21DG-0893")</f>
        <v>P21DG-0893</v>
      </c>
      <c r="H894" s="6" t="str">
        <f ca="1">IFERROR(__xludf.DUMMYFUNCTION("CONCATENATE($B894,(VLOOKUP($C894,CATALOGOS!$F$2:$H$6,3,FALSE)),(VLOOKUP($V894,CATALOGOS!$J$2:$K$18,2,FALSE)),""-"",TO_TEXT($A894))"),"P21DG-0893")</f>
        <v>P21DG-0893</v>
      </c>
      <c r="I894" s="6"/>
      <c r="J894" s="6" t="s">
        <v>6140</v>
      </c>
      <c r="K894" s="6" t="s">
        <v>6141</v>
      </c>
      <c r="L894" s="6" t="s">
        <v>6142</v>
      </c>
      <c r="M894" s="6" t="s">
        <v>6143</v>
      </c>
      <c r="N894" s="17"/>
      <c r="O894" s="17"/>
      <c r="P894" s="17" t="str">
        <f t="shared" si="6"/>
        <v>OK</v>
      </c>
      <c r="Q894" s="17" t="s">
        <v>35</v>
      </c>
      <c r="R894" s="6" t="s">
        <v>35</v>
      </c>
      <c r="S894" s="17" t="s">
        <v>36</v>
      </c>
      <c r="T894" s="17" t="s">
        <v>6144</v>
      </c>
      <c r="U894" s="173" t="s">
        <v>38</v>
      </c>
      <c r="V894" s="11" t="s">
        <v>6054</v>
      </c>
      <c r="W894" s="22" t="s">
        <v>6062</v>
      </c>
      <c r="X894" s="22" t="s">
        <v>6062</v>
      </c>
      <c r="Y894" s="22"/>
      <c r="Z894" s="7"/>
      <c r="AA894" s="7"/>
      <c r="AB894" s="23"/>
      <c r="AC894" s="26"/>
    </row>
    <row r="895" spans="1:29" ht="15.75" customHeight="1">
      <c r="A895" s="10" t="s">
        <v>6145</v>
      </c>
      <c r="B895" s="10" t="s">
        <v>4410</v>
      </c>
      <c r="C895" s="11" t="s">
        <v>6054</v>
      </c>
      <c r="D895" s="12"/>
      <c r="E895" s="13" t="s">
        <v>93</v>
      </c>
      <c r="F895" s="6" t="s">
        <v>6146</v>
      </c>
      <c r="G895" s="6" t="str">
        <f ca="1">IFERROR(__xludf.DUMMYFUNCTION("CONCATENATE(B895,(VLOOKUP(C895,CATALOGOS!$F$2:$H$6,3,FALSE)),(VLOOKUP(V895,CATALOGOS!$J$2:$K$18,2,FALSE)),""-"",TO_TEXT(A895))"),"P21DG-0894")</f>
        <v>P21DG-0894</v>
      </c>
      <c r="H895" s="6" t="str">
        <f ca="1">IFERROR(__xludf.DUMMYFUNCTION("CONCATENATE($B895,(VLOOKUP($C895,CATALOGOS!$F$2:$H$6,3,FALSE)),(VLOOKUP($V895,CATALOGOS!$J$2:$K$18,2,FALSE)),""-"",TO_TEXT($A895))"),"P21DG-0894")</f>
        <v>P21DG-0894</v>
      </c>
      <c r="I895" s="6"/>
      <c r="J895" s="6" t="s">
        <v>6147</v>
      </c>
      <c r="K895" s="6" t="s">
        <v>6148</v>
      </c>
      <c r="L895" s="6" t="s">
        <v>6149</v>
      </c>
      <c r="M895" s="6" t="s">
        <v>6150</v>
      </c>
      <c r="N895" s="17"/>
      <c r="O895" s="17"/>
      <c r="P895" s="17" t="str">
        <f t="shared" si="6"/>
        <v>OK</v>
      </c>
      <c r="Q895" s="17" t="s">
        <v>35</v>
      </c>
      <c r="R895" s="6" t="s">
        <v>35</v>
      </c>
      <c r="S895" s="17" t="s">
        <v>36</v>
      </c>
      <c r="T895" s="17" t="s">
        <v>6151</v>
      </c>
      <c r="U895" s="173" t="s">
        <v>38</v>
      </c>
      <c r="V895" s="11" t="s">
        <v>6054</v>
      </c>
      <c r="W895" s="22" t="s">
        <v>6062</v>
      </c>
      <c r="X895" s="22" t="s">
        <v>6062</v>
      </c>
      <c r="Y895" s="22"/>
      <c r="Z895" s="7"/>
      <c r="AA895" s="7"/>
      <c r="AB895" s="23"/>
      <c r="AC895" s="26"/>
    </row>
    <row r="896" spans="1:29" ht="15.75" customHeight="1">
      <c r="A896" s="10" t="s">
        <v>6152</v>
      </c>
      <c r="B896" s="10" t="s">
        <v>4410</v>
      </c>
      <c r="C896" s="11" t="s">
        <v>6054</v>
      </c>
      <c r="D896" s="12"/>
      <c r="E896" s="13" t="s">
        <v>29</v>
      </c>
      <c r="F896" s="6" t="s">
        <v>6153</v>
      </c>
      <c r="G896" s="6" t="str">
        <f ca="1">IFERROR(__xludf.DUMMYFUNCTION("CONCATENATE(B896,(VLOOKUP(C896,CATALOGOS!$F$2:$H$6,3,FALSE)),(VLOOKUP(V896,CATALOGOS!$J$2:$K$18,2,FALSE)),""-"",TO_TEXT(A896))"),"P21DG-0895")</f>
        <v>P21DG-0895</v>
      </c>
      <c r="H896" s="6" t="str">
        <f ca="1">IFERROR(__xludf.DUMMYFUNCTION("CONCATENATE($B896,(VLOOKUP($C896,CATALOGOS!$F$2:$H$6,3,FALSE)),(VLOOKUP($V896,CATALOGOS!$J$2:$K$18,2,FALSE)),""-"",TO_TEXT($A896))"),"P21DG-0895")</f>
        <v>P21DG-0895</v>
      </c>
      <c r="I896" s="6"/>
      <c r="J896" s="6" t="s">
        <v>6154</v>
      </c>
      <c r="K896" s="6" t="s">
        <v>6155</v>
      </c>
      <c r="L896" s="6" t="s">
        <v>6156</v>
      </c>
      <c r="M896" s="6" t="s">
        <v>6157</v>
      </c>
      <c r="N896" s="17"/>
      <c r="O896" s="17"/>
      <c r="P896" s="17" t="str">
        <f t="shared" si="6"/>
        <v>OK</v>
      </c>
      <c r="Q896" s="17" t="s">
        <v>35</v>
      </c>
      <c r="R896" s="6" t="s">
        <v>35</v>
      </c>
      <c r="S896" s="17" t="s">
        <v>36</v>
      </c>
      <c r="T896" s="17" t="s">
        <v>6158</v>
      </c>
      <c r="U896" s="173" t="s">
        <v>38</v>
      </c>
      <c r="V896" s="11" t="s">
        <v>6054</v>
      </c>
      <c r="W896" s="22" t="s">
        <v>6062</v>
      </c>
      <c r="X896" s="22" t="s">
        <v>6062</v>
      </c>
      <c r="Y896" s="22"/>
      <c r="Z896" s="7"/>
      <c r="AA896" s="7"/>
      <c r="AB896" s="23"/>
      <c r="AC896" s="26"/>
    </row>
    <row r="897" spans="1:29" ht="15.75" customHeight="1">
      <c r="A897" s="10" t="s">
        <v>6159</v>
      </c>
      <c r="B897" s="10" t="s">
        <v>4410</v>
      </c>
      <c r="C897" s="11" t="s">
        <v>6054</v>
      </c>
      <c r="D897" s="12"/>
      <c r="E897" s="13" t="s">
        <v>93</v>
      </c>
      <c r="F897" s="6" t="s">
        <v>6160</v>
      </c>
      <c r="G897" s="6" t="str">
        <f ca="1">IFERROR(__xludf.DUMMYFUNCTION("CONCATENATE(B897,(VLOOKUP(C897,CATALOGOS!$F$2:$H$6,3,FALSE)),(VLOOKUP(V897,CATALOGOS!$J$2:$K$18,2,FALSE)),""-"",TO_TEXT(A897))"),"P21DG-0896")</f>
        <v>P21DG-0896</v>
      </c>
      <c r="H897" s="6" t="str">
        <f ca="1">IFERROR(__xludf.DUMMYFUNCTION("CONCATENATE($B897,(VLOOKUP($C897,CATALOGOS!$F$2:$H$6,3,FALSE)),(VLOOKUP($V897,CATALOGOS!$J$2:$K$18,2,FALSE)),""-"",TO_TEXT($A897))"),"P21DG-0896")</f>
        <v>P21DG-0896</v>
      </c>
      <c r="I897" s="6"/>
      <c r="J897" s="6" t="s">
        <v>6161</v>
      </c>
      <c r="K897" s="6" t="s">
        <v>6162</v>
      </c>
      <c r="L897" s="6" t="s">
        <v>6163</v>
      </c>
      <c r="M897" s="6" t="s">
        <v>6164</v>
      </c>
      <c r="N897" s="17"/>
      <c r="O897" s="17"/>
      <c r="P897" s="17" t="str">
        <f t="shared" si="6"/>
        <v>OK</v>
      </c>
      <c r="Q897" s="17" t="s">
        <v>35</v>
      </c>
      <c r="R897" s="49" t="s">
        <v>35</v>
      </c>
      <c r="S897" s="17" t="s">
        <v>36</v>
      </c>
      <c r="T897" s="17" t="s">
        <v>6165</v>
      </c>
      <c r="U897" s="173" t="s">
        <v>38</v>
      </c>
      <c r="V897" s="11" t="s">
        <v>6054</v>
      </c>
      <c r="W897" s="22" t="s">
        <v>6062</v>
      </c>
      <c r="X897" s="22" t="s">
        <v>6062</v>
      </c>
      <c r="Y897" s="22"/>
      <c r="Z897" s="7"/>
      <c r="AA897" s="7"/>
      <c r="AB897" s="23"/>
      <c r="AC897" s="26"/>
    </row>
    <row r="898" spans="1:29" ht="15.75" customHeight="1">
      <c r="A898" s="10" t="s">
        <v>6166</v>
      </c>
      <c r="B898" s="10" t="s">
        <v>4410</v>
      </c>
      <c r="C898" s="11" t="s">
        <v>6054</v>
      </c>
      <c r="D898" s="12"/>
      <c r="E898" s="13" t="s">
        <v>93</v>
      </c>
      <c r="F898" s="6" t="s">
        <v>6146</v>
      </c>
      <c r="G898" s="6" t="str">
        <f ca="1">IFERROR(__xludf.DUMMYFUNCTION("CONCATENATE(B898,(VLOOKUP(C898,CATALOGOS!$F$2:$H$6,3,FALSE)),(VLOOKUP(V898,CATALOGOS!$J$2:$K$18,2,FALSE)),""-"",TO_TEXT(A898))"),"P21DG-0897")</f>
        <v>P21DG-0897</v>
      </c>
      <c r="H898" s="6" t="str">
        <f ca="1">IFERROR(__xludf.DUMMYFUNCTION("CONCATENATE($B898,(VLOOKUP($C898,CATALOGOS!$F$2:$H$6,3,FALSE)),(VLOOKUP($V898,CATALOGOS!$J$2:$K$18,2,FALSE)),""-"",TO_TEXT($A898))"),"P21DG-0897")</f>
        <v>P21DG-0897</v>
      </c>
      <c r="I898" s="6"/>
      <c r="J898" s="6" t="s">
        <v>6167</v>
      </c>
      <c r="K898" s="6" t="s">
        <v>6168</v>
      </c>
      <c r="L898" s="6" t="s">
        <v>6169</v>
      </c>
      <c r="M898" s="6" t="s">
        <v>6170</v>
      </c>
      <c r="N898" s="17"/>
      <c r="O898" s="17"/>
      <c r="P898" s="17" t="str">
        <f t="shared" si="6"/>
        <v>OK</v>
      </c>
      <c r="Q898" s="17" t="s">
        <v>35</v>
      </c>
      <c r="R898" s="6" t="s">
        <v>35</v>
      </c>
      <c r="S898" s="17" t="s">
        <v>36</v>
      </c>
      <c r="T898" s="17" t="s">
        <v>6171</v>
      </c>
      <c r="U898" s="173" t="s">
        <v>38</v>
      </c>
      <c r="V898" s="11" t="s">
        <v>6054</v>
      </c>
      <c r="W898" s="22" t="s">
        <v>6062</v>
      </c>
      <c r="X898" s="22" t="s">
        <v>6062</v>
      </c>
      <c r="Y898" s="22"/>
      <c r="Z898" s="7"/>
      <c r="AA898" s="7"/>
      <c r="AB898" s="23"/>
      <c r="AC898" s="26"/>
    </row>
    <row r="899" spans="1:29" ht="15.75" customHeight="1">
      <c r="A899" s="10" t="s">
        <v>6172</v>
      </c>
      <c r="B899" s="10" t="s">
        <v>4410</v>
      </c>
      <c r="C899" s="11" t="s">
        <v>6054</v>
      </c>
      <c r="D899" s="12"/>
      <c r="E899" s="13" t="s">
        <v>234</v>
      </c>
      <c r="F899" s="43" t="s">
        <v>6173</v>
      </c>
      <c r="G899" s="6" t="str">
        <f ca="1">IFERROR(__xludf.DUMMYFUNCTION("CONCATENATE(B899,(VLOOKUP(C899,CATALOGOS!$F$2:$H$6,3,FALSE)),(VLOOKUP(V899,CATALOGOS!$J$2:$K$18,2,FALSE)),""-"",TO_TEXT(A899))"),"P21DG-0898")</f>
        <v>P21DG-0898</v>
      </c>
      <c r="H899" s="6" t="str">
        <f ca="1">IFERROR(__xludf.DUMMYFUNCTION("CONCATENATE($B899,(VLOOKUP($C899,CATALOGOS!$F$2:$H$6,3,FALSE)),(VLOOKUP($V899,CATALOGOS!$J$2:$K$18,2,FALSE)),""-"",TO_TEXT($A899))"),"P21DG-0898")</f>
        <v>P21DG-0898</v>
      </c>
      <c r="I899" s="6"/>
      <c r="J899" s="6" t="s">
        <v>6174</v>
      </c>
      <c r="K899" s="6" t="s">
        <v>6175</v>
      </c>
      <c r="L899" s="6" t="s">
        <v>6176</v>
      </c>
      <c r="M899" s="6" t="s">
        <v>6177</v>
      </c>
      <c r="N899" s="17"/>
      <c r="O899" s="17"/>
      <c r="P899" s="17" t="str">
        <f t="shared" si="6"/>
        <v>OK</v>
      </c>
      <c r="Q899" s="17" t="s">
        <v>35</v>
      </c>
      <c r="R899" s="6" t="s">
        <v>35</v>
      </c>
      <c r="S899" s="17" t="s">
        <v>36</v>
      </c>
      <c r="T899" s="17" t="s">
        <v>6178</v>
      </c>
      <c r="U899" s="173" t="s">
        <v>38</v>
      </c>
      <c r="V899" s="11" t="s">
        <v>6054</v>
      </c>
      <c r="W899" s="22" t="s">
        <v>6062</v>
      </c>
      <c r="X899" s="22" t="s">
        <v>6062</v>
      </c>
      <c r="Y899" s="22"/>
      <c r="Z899" s="7"/>
      <c r="AA899" s="7"/>
      <c r="AB899" s="23"/>
      <c r="AC899" s="26"/>
    </row>
    <row r="900" spans="1:29" ht="15.75" customHeight="1">
      <c r="A900" s="10" t="s">
        <v>6179</v>
      </c>
      <c r="B900" s="10" t="s">
        <v>4410</v>
      </c>
      <c r="C900" s="11" t="s">
        <v>6054</v>
      </c>
      <c r="D900" s="12"/>
      <c r="E900" s="13" t="s">
        <v>6180</v>
      </c>
      <c r="F900" s="43" t="s">
        <v>6181</v>
      </c>
      <c r="G900" s="6" t="str">
        <f ca="1">IFERROR(__xludf.DUMMYFUNCTION("CONCATENATE(B900,(VLOOKUP(C900,CATALOGOS!$F$2:$H$6,3,FALSE)),(VLOOKUP(V900,CATALOGOS!$J$2:$K$18,2,FALSE)),""-"",TO_TEXT(A900))"),"P21DG-0899")</f>
        <v>P21DG-0899</v>
      </c>
      <c r="H900" s="6" t="str">
        <f ca="1">IFERROR(__xludf.DUMMYFUNCTION("CONCATENATE($B900,(VLOOKUP($C900,CATALOGOS!$F$2:$H$6,3,FALSE)),(VLOOKUP($V900,CATALOGOS!$J$2:$K$18,2,FALSE)),""-"",TO_TEXT($A900))"),"P21DG-0899")</f>
        <v>P21DG-0899</v>
      </c>
      <c r="I900" s="6"/>
      <c r="J900" s="6" t="s">
        <v>6182</v>
      </c>
      <c r="K900" s="6" t="s">
        <v>6183</v>
      </c>
      <c r="L900" s="6" t="s">
        <v>6184</v>
      </c>
      <c r="M900" s="6" t="s">
        <v>6185</v>
      </c>
      <c r="N900" s="17"/>
      <c r="O900" s="17"/>
      <c r="P900" s="17" t="str">
        <f t="shared" si="6"/>
        <v>OK</v>
      </c>
      <c r="Q900" s="17" t="s">
        <v>35</v>
      </c>
      <c r="R900" s="6" t="s">
        <v>35</v>
      </c>
      <c r="S900" s="17" t="s">
        <v>36</v>
      </c>
      <c r="T900" s="17" t="s">
        <v>85</v>
      </c>
      <c r="U900" s="173" t="s">
        <v>38</v>
      </c>
      <c r="V900" s="11" t="s">
        <v>6054</v>
      </c>
      <c r="W900" s="22" t="s">
        <v>6062</v>
      </c>
      <c r="X900" s="22" t="s">
        <v>6062</v>
      </c>
      <c r="Y900" s="22"/>
      <c r="Z900" s="7"/>
      <c r="AA900" s="7"/>
      <c r="AB900" s="23"/>
      <c r="AC900" s="26"/>
    </row>
    <row r="901" spans="1:29" ht="15.75" customHeight="1">
      <c r="A901" s="10" t="s">
        <v>6186</v>
      </c>
      <c r="B901" s="10" t="s">
        <v>4410</v>
      </c>
      <c r="C901" s="11" t="s">
        <v>6054</v>
      </c>
      <c r="D901" s="12"/>
      <c r="E901" s="13" t="s">
        <v>6187</v>
      </c>
      <c r="F901" s="6" t="s">
        <v>6188</v>
      </c>
      <c r="G901" s="6" t="str">
        <f ca="1">IFERROR(__xludf.DUMMYFUNCTION("CONCATENATE(B901,(VLOOKUP(C901,CATALOGOS!$F$2:$H$6,3,FALSE)),(VLOOKUP(V901,CATALOGOS!$J$2:$K$18,2,FALSE)),""-"",TO_TEXT(A901))"),"P21DG-0900")</f>
        <v>P21DG-0900</v>
      </c>
      <c r="H901" s="6" t="str">
        <f ca="1">IFERROR(__xludf.DUMMYFUNCTION("CONCATENATE($B901,(VLOOKUP($C901,CATALOGOS!$F$2:$H$6,3,FALSE)),(VLOOKUP($V901,CATALOGOS!$J$2:$K$18,2,FALSE)),""-"",TO_TEXT($A901))"),"P21DG-0900")</f>
        <v>P21DG-0900</v>
      </c>
      <c r="I901" s="6"/>
      <c r="J901" s="6" t="s">
        <v>6189</v>
      </c>
      <c r="K901" s="36"/>
      <c r="L901" s="36"/>
      <c r="M901" s="6" t="s">
        <v>141</v>
      </c>
      <c r="N901" s="17"/>
      <c r="O901" s="17"/>
      <c r="P901" s="17" t="str">
        <f t="shared" si="6"/>
        <v>REPETIDO</v>
      </c>
      <c r="Q901" s="35" t="s">
        <v>35</v>
      </c>
      <c r="R901" s="6" t="s">
        <v>35</v>
      </c>
      <c r="S901" s="10" t="s">
        <v>36</v>
      </c>
      <c r="T901" s="32" t="s">
        <v>85</v>
      </c>
      <c r="U901" s="173" t="s">
        <v>38</v>
      </c>
      <c r="V901" s="11" t="s">
        <v>6054</v>
      </c>
      <c r="W901" s="22" t="s">
        <v>6062</v>
      </c>
      <c r="X901" s="22" t="s">
        <v>6062</v>
      </c>
      <c r="Y901" s="22"/>
      <c r="Z901" s="36"/>
      <c r="AA901" s="36"/>
      <c r="AB901" s="23"/>
      <c r="AC901" s="33"/>
    </row>
    <row r="902" spans="1:29" ht="15.75" customHeight="1">
      <c r="A902" s="10" t="s">
        <v>6190</v>
      </c>
      <c r="B902" s="10" t="s">
        <v>4410</v>
      </c>
      <c r="C902" s="11" t="s">
        <v>6054</v>
      </c>
      <c r="D902" s="12"/>
      <c r="E902" s="13" t="s">
        <v>93</v>
      </c>
      <c r="F902" s="6" t="s">
        <v>6191</v>
      </c>
      <c r="G902" s="6" t="str">
        <f ca="1">IFERROR(__xludf.DUMMYFUNCTION("CONCATENATE(B902,(VLOOKUP(C902,CATALOGOS!$F$2:$H$6,3,FALSE)),(VLOOKUP(V902,CATALOGOS!$J$2:$K$18,2,FALSE)),""-"",TO_TEXT(A902))"),"P21DG-0901")</f>
        <v>P21DG-0901</v>
      </c>
      <c r="H902" s="6" t="str">
        <f ca="1">IFERROR(__xludf.DUMMYFUNCTION("CONCATENATE($B902,(VLOOKUP($C902,CATALOGOS!$F$2:$H$6,3,FALSE)),(VLOOKUP($V902,CATALOGOS!$J$2:$K$18,2,FALSE)),""-"",TO_TEXT($A902))"),"P21DG-0901")</f>
        <v>P21DG-0901</v>
      </c>
      <c r="I902" s="6"/>
      <c r="J902" s="6" t="s">
        <v>6192</v>
      </c>
      <c r="K902" s="36"/>
      <c r="L902" s="36"/>
      <c r="M902" s="6" t="s">
        <v>141</v>
      </c>
      <c r="N902" s="17"/>
      <c r="O902" s="17"/>
      <c r="P902" s="17" t="str">
        <f t="shared" si="6"/>
        <v>REPETIDO</v>
      </c>
      <c r="Q902" s="35" t="s">
        <v>35</v>
      </c>
      <c r="R902" s="6" t="s">
        <v>35</v>
      </c>
      <c r="S902" s="10" t="s">
        <v>36</v>
      </c>
      <c r="T902" s="32" t="s">
        <v>85</v>
      </c>
      <c r="U902" s="173" t="s">
        <v>38</v>
      </c>
      <c r="V902" s="11" t="s">
        <v>6054</v>
      </c>
      <c r="W902" s="22" t="s">
        <v>6062</v>
      </c>
      <c r="X902" s="22" t="s">
        <v>6062</v>
      </c>
      <c r="Y902" s="22"/>
      <c r="Z902" s="36"/>
      <c r="AA902" s="36"/>
      <c r="AB902" s="23"/>
      <c r="AC902" s="33"/>
    </row>
    <row r="903" spans="1:29" ht="15.75" customHeight="1">
      <c r="A903" s="10" t="s">
        <v>6193</v>
      </c>
      <c r="B903" s="10" t="s">
        <v>4410</v>
      </c>
      <c r="C903" s="11" t="s">
        <v>6054</v>
      </c>
      <c r="D903" s="12"/>
      <c r="E903" s="13" t="s">
        <v>116</v>
      </c>
      <c r="F903" s="6" t="s">
        <v>6194</v>
      </c>
      <c r="G903" s="6" t="str">
        <f ca="1">IFERROR(__xludf.DUMMYFUNCTION("CONCATENATE(B903,(VLOOKUP(C903,CATALOGOS!$F$2:$H$6,3,FALSE)),(VLOOKUP(V903,CATALOGOS!$J$2:$K$18,2,FALSE)),""-"",TO_TEXT(A903))"),"P21DG-0902")</f>
        <v>P21DG-0902</v>
      </c>
      <c r="H903" s="6" t="str">
        <f ca="1">IFERROR(__xludf.DUMMYFUNCTION("CONCATENATE($B903,(VLOOKUP($C903,CATALOGOS!$F$2:$H$6,3,FALSE)),(VLOOKUP($V903,CATALOGOS!$J$2:$K$18,2,FALSE)),""-"",TO_TEXT($A903))"),"P21DG-0902")</f>
        <v>P21DG-0902</v>
      </c>
      <c r="I903" s="6"/>
      <c r="J903" s="6" t="s">
        <v>6195</v>
      </c>
      <c r="K903" s="6" t="s">
        <v>6196</v>
      </c>
      <c r="L903" s="6" t="s">
        <v>6197</v>
      </c>
      <c r="M903" s="6" t="s">
        <v>6198</v>
      </c>
      <c r="N903" s="17"/>
      <c r="O903" s="17"/>
      <c r="P903" s="17" t="str">
        <f t="shared" si="6"/>
        <v>OK</v>
      </c>
      <c r="Q903" s="17" t="s">
        <v>35</v>
      </c>
      <c r="R903" s="49" t="s">
        <v>35</v>
      </c>
      <c r="S903" s="17" t="s">
        <v>36</v>
      </c>
      <c r="T903" s="17" t="s">
        <v>6199</v>
      </c>
      <c r="U903" s="173" t="s">
        <v>38</v>
      </c>
      <c r="V903" s="11" t="s">
        <v>6054</v>
      </c>
      <c r="W903" s="22" t="s">
        <v>6062</v>
      </c>
      <c r="X903" s="22" t="s">
        <v>6062</v>
      </c>
      <c r="Y903" s="22"/>
      <c r="Z903" s="6"/>
      <c r="AA903" s="6"/>
      <c r="AB903" s="23"/>
      <c r="AC903" s="33"/>
    </row>
    <row r="904" spans="1:29" ht="15.75" customHeight="1">
      <c r="A904" s="10" t="s">
        <v>6200</v>
      </c>
      <c r="B904" s="10" t="s">
        <v>4410</v>
      </c>
      <c r="C904" s="11" t="s">
        <v>6054</v>
      </c>
      <c r="D904" s="12"/>
      <c r="E904" s="13" t="s">
        <v>184</v>
      </c>
      <c r="F904" s="6" t="s">
        <v>6201</v>
      </c>
      <c r="G904" s="6" t="str">
        <f ca="1">IFERROR(__xludf.DUMMYFUNCTION("CONCATENATE(B904,(VLOOKUP(C904,CATALOGOS!$F$2:$H$6,3,FALSE)),(VLOOKUP(V904,CATALOGOS!$J$2:$K$18,2,FALSE)),""-"",TO_TEXT(A904))"),"P21DG-0903")</f>
        <v>P21DG-0903</v>
      </c>
      <c r="H904" s="6" t="str">
        <f ca="1">IFERROR(__xludf.DUMMYFUNCTION("CONCATENATE($B904,(VLOOKUP($C904,CATALOGOS!$F$2:$H$6,3,FALSE)),(VLOOKUP($V904,CATALOGOS!$J$2:$K$18,2,FALSE)),""-"",TO_TEXT($A904))"),"P21DG-0903")</f>
        <v>P21DG-0903</v>
      </c>
      <c r="I904" s="6"/>
      <c r="J904" s="6" t="s">
        <v>6202</v>
      </c>
      <c r="K904" s="6" t="s">
        <v>6203</v>
      </c>
      <c r="L904" s="6" t="s">
        <v>6204</v>
      </c>
      <c r="M904" s="43" t="s">
        <v>6205</v>
      </c>
      <c r="N904" s="17"/>
      <c r="O904" s="17"/>
      <c r="P904" s="17" t="str">
        <f t="shared" si="6"/>
        <v>OK</v>
      </c>
      <c r="Q904" s="17" t="s">
        <v>35</v>
      </c>
      <c r="R904" s="6" t="s">
        <v>35</v>
      </c>
      <c r="S904" s="17" t="s">
        <v>36</v>
      </c>
      <c r="T904" s="17" t="s">
        <v>6206</v>
      </c>
      <c r="U904" s="173" t="s">
        <v>38</v>
      </c>
      <c r="V904" s="11" t="s">
        <v>6054</v>
      </c>
      <c r="W904" s="22" t="s">
        <v>6062</v>
      </c>
      <c r="X904" s="22" t="s">
        <v>6062</v>
      </c>
      <c r="Y904" s="22"/>
      <c r="Z904" s="7"/>
      <c r="AA904" s="7"/>
      <c r="AB904" s="23"/>
      <c r="AC904" s="26"/>
    </row>
    <row r="905" spans="1:29" ht="15.75" customHeight="1">
      <c r="A905" s="10" t="s">
        <v>6207</v>
      </c>
      <c r="B905" s="10" t="s">
        <v>4410</v>
      </c>
      <c r="C905" s="11" t="s">
        <v>6054</v>
      </c>
      <c r="D905" s="12"/>
      <c r="E905" s="13" t="s">
        <v>184</v>
      </c>
      <c r="F905" s="6" t="s">
        <v>6201</v>
      </c>
      <c r="G905" s="6" t="str">
        <f ca="1">IFERROR(__xludf.DUMMYFUNCTION("CONCATENATE(B905,(VLOOKUP(C905,CATALOGOS!$F$2:$H$6,3,FALSE)),(VLOOKUP(V905,CATALOGOS!$J$2:$K$18,2,FALSE)),""-"",TO_TEXT(A905))"),"P21DG-0904")</f>
        <v>P21DG-0904</v>
      </c>
      <c r="H905" s="6" t="str">
        <f ca="1">IFERROR(__xludf.DUMMYFUNCTION("CONCATENATE($B905,(VLOOKUP($C905,CATALOGOS!$F$2:$H$6,3,FALSE)),(VLOOKUP($V905,CATALOGOS!$J$2:$K$18,2,FALSE)),""-"",TO_TEXT($A905))"),"P21DG-0904")</f>
        <v>P21DG-0904</v>
      </c>
      <c r="I905" s="6"/>
      <c r="J905" s="6" t="s">
        <v>6208</v>
      </c>
      <c r="K905" s="6" t="s">
        <v>6209</v>
      </c>
      <c r="L905" s="6" t="s">
        <v>6210</v>
      </c>
      <c r="M905" s="43" t="s">
        <v>6211</v>
      </c>
      <c r="N905" s="17"/>
      <c r="O905" s="17"/>
      <c r="P905" s="17" t="str">
        <f t="shared" si="6"/>
        <v>OK</v>
      </c>
      <c r="Q905" s="17" t="s">
        <v>35</v>
      </c>
      <c r="R905" s="6" t="s">
        <v>35</v>
      </c>
      <c r="S905" s="17" t="s">
        <v>36</v>
      </c>
      <c r="T905" s="17" t="s">
        <v>6212</v>
      </c>
      <c r="U905" s="173" t="s">
        <v>38</v>
      </c>
      <c r="V905" s="11" t="s">
        <v>6054</v>
      </c>
      <c r="W905" s="22" t="s">
        <v>6062</v>
      </c>
      <c r="X905" s="22" t="s">
        <v>6062</v>
      </c>
      <c r="Y905" s="22"/>
      <c r="Z905" s="7"/>
      <c r="AA905" s="7"/>
      <c r="AB905" s="23"/>
      <c r="AC905" s="26"/>
    </row>
    <row r="906" spans="1:29" ht="15.75" customHeight="1">
      <c r="A906" s="10" t="s">
        <v>6213</v>
      </c>
      <c r="B906" s="10" t="s">
        <v>4410</v>
      </c>
      <c r="C906" s="11" t="s">
        <v>6054</v>
      </c>
      <c r="D906" s="12"/>
      <c r="E906" s="13" t="s">
        <v>184</v>
      </c>
      <c r="F906" s="6" t="s">
        <v>6201</v>
      </c>
      <c r="G906" s="6" t="str">
        <f ca="1">IFERROR(__xludf.DUMMYFUNCTION("CONCATENATE(B906,(VLOOKUP(C906,CATALOGOS!$F$2:$H$6,3,FALSE)),(VLOOKUP(V906,CATALOGOS!$J$2:$K$18,2,FALSE)),""-"",TO_TEXT(A906))"),"P21DG-0905")</f>
        <v>P21DG-0905</v>
      </c>
      <c r="H906" s="6" t="str">
        <f ca="1">IFERROR(__xludf.DUMMYFUNCTION("CONCATENATE($B906,(VLOOKUP($C906,CATALOGOS!$F$2:$H$6,3,FALSE)),(VLOOKUP($V906,CATALOGOS!$J$2:$K$18,2,FALSE)),""-"",TO_TEXT($A906))"),"P21DG-0905")</f>
        <v>P21DG-0905</v>
      </c>
      <c r="I906" s="6"/>
      <c r="J906" s="6" t="s">
        <v>6214</v>
      </c>
      <c r="K906" s="6" t="s">
        <v>6215</v>
      </c>
      <c r="L906" s="6" t="s">
        <v>6216</v>
      </c>
      <c r="M906" s="6" t="s">
        <v>6217</v>
      </c>
      <c r="N906" s="17"/>
      <c r="O906" s="17"/>
      <c r="P906" s="17" t="str">
        <f t="shared" si="6"/>
        <v>OK</v>
      </c>
      <c r="Q906" s="17" t="s">
        <v>35</v>
      </c>
      <c r="R906" s="6" t="s">
        <v>35</v>
      </c>
      <c r="S906" s="17" t="s">
        <v>36</v>
      </c>
      <c r="T906" s="17" t="s">
        <v>6218</v>
      </c>
      <c r="U906" s="173" t="s">
        <v>38</v>
      </c>
      <c r="V906" s="11" t="s">
        <v>6054</v>
      </c>
      <c r="W906" s="22" t="s">
        <v>6062</v>
      </c>
      <c r="X906" s="22" t="s">
        <v>6062</v>
      </c>
      <c r="Y906" s="22"/>
      <c r="Z906" s="7"/>
      <c r="AA906" s="7"/>
      <c r="AB906" s="23"/>
      <c r="AC906" s="26"/>
    </row>
    <row r="907" spans="1:29" ht="15.75" customHeight="1">
      <c r="A907" s="10" t="s">
        <v>6219</v>
      </c>
      <c r="B907" s="10" t="s">
        <v>4410</v>
      </c>
      <c r="C907" s="11" t="s">
        <v>6054</v>
      </c>
      <c r="D907" s="12"/>
      <c r="E907" s="13" t="s">
        <v>378</v>
      </c>
      <c r="F907" s="6" t="s">
        <v>379</v>
      </c>
      <c r="G907" s="6" t="str">
        <f ca="1">IFERROR(__xludf.DUMMYFUNCTION("CONCATENATE(B907,(VLOOKUP(C907,CATALOGOS!$F$2:$H$6,3,FALSE)),(VLOOKUP(V907,CATALOGOS!$J$2:$K$18,2,FALSE)),""-"",TO_TEXT(A907))"),"P21DG-0906")</f>
        <v>P21DG-0906</v>
      </c>
      <c r="H907" s="6" t="str">
        <f ca="1">IFERROR(__xludf.DUMMYFUNCTION("CONCATENATE($B907,(VLOOKUP($C907,CATALOGOS!$F$2:$H$6,3,FALSE)),(VLOOKUP($V907,CATALOGOS!$J$2:$K$18,2,FALSE)),""-"",TO_TEXT($A907))"),"P21DG-0906")</f>
        <v>P21DG-0906</v>
      </c>
      <c r="I907" s="6"/>
      <c r="J907" s="6" t="s">
        <v>6220</v>
      </c>
      <c r="K907" s="6" t="s">
        <v>6221</v>
      </c>
      <c r="L907" s="66" t="s">
        <v>6222</v>
      </c>
      <c r="M907" s="6" t="s">
        <v>6223</v>
      </c>
      <c r="N907" s="17"/>
      <c r="O907" s="17"/>
      <c r="P907" s="17" t="str">
        <f t="shared" si="6"/>
        <v>OK</v>
      </c>
      <c r="Q907" s="17" t="s">
        <v>35</v>
      </c>
      <c r="R907" s="6" t="s">
        <v>35</v>
      </c>
      <c r="S907" s="17" t="s">
        <v>36</v>
      </c>
      <c r="T907" s="17" t="s">
        <v>6224</v>
      </c>
      <c r="U907" s="173" t="s">
        <v>38</v>
      </c>
      <c r="V907" s="11" t="s">
        <v>6054</v>
      </c>
      <c r="W907" s="22" t="s">
        <v>6062</v>
      </c>
      <c r="X907" s="22" t="s">
        <v>6062</v>
      </c>
      <c r="Y907" s="22"/>
      <c r="Z907" s="7"/>
      <c r="AA907" s="7"/>
      <c r="AB907" s="23"/>
      <c r="AC907" s="26"/>
    </row>
    <row r="908" spans="1:29" ht="15.75" customHeight="1">
      <c r="A908" s="10" t="s">
        <v>6225</v>
      </c>
      <c r="B908" s="10" t="s">
        <v>4410</v>
      </c>
      <c r="C908" s="11" t="s">
        <v>6054</v>
      </c>
      <c r="D908" s="12"/>
      <c r="E908" s="13" t="s">
        <v>6226</v>
      </c>
      <c r="F908" s="43" t="s">
        <v>278</v>
      </c>
      <c r="G908" s="6" t="str">
        <f ca="1">IFERROR(__xludf.DUMMYFUNCTION("CONCATENATE(B908,(VLOOKUP(C908,CATALOGOS!$F$2:$H$6,3,FALSE)),(VLOOKUP(V908,CATALOGOS!$J$2:$K$18,2,FALSE)),""-"",TO_TEXT(A908))"),"P21DG-0907")</f>
        <v>P21DG-0907</v>
      </c>
      <c r="H908" s="6" t="str">
        <f ca="1">IFERROR(__xludf.DUMMYFUNCTION("CONCATENATE($B908,(VLOOKUP($C908,CATALOGOS!$F$2:$H$6,3,FALSE)),(VLOOKUP($V908,CATALOGOS!$J$2:$K$18,2,FALSE)),""-"",TO_TEXT($A908))"),"P21DG-0907")</f>
        <v>P21DG-0907</v>
      </c>
      <c r="I908" s="6"/>
      <c r="J908" s="6" t="s">
        <v>6227</v>
      </c>
      <c r="K908" s="6" t="s">
        <v>6228</v>
      </c>
      <c r="L908" s="6" t="s">
        <v>6229</v>
      </c>
      <c r="M908" s="6" t="s">
        <v>6230</v>
      </c>
      <c r="N908" s="17"/>
      <c r="O908" s="17"/>
      <c r="P908" s="17" t="str">
        <f t="shared" si="6"/>
        <v>OK</v>
      </c>
      <c r="Q908" s="17" t="s">
        <v>35</v>
      </c>
      <c r="R908" s="6" t="s">
        <v>35</v>
      </c>
      <c r="S908" s="17" t="s">
        <v>36</v>
      </c>
      <c r="T908" s="17" t="s">
        <v>6231</v>
      </c>
      <c r="U908" s="173" t="s">
        <v>38</v>
      </c>
      <c r="V908" s="11" t="s">
        <v>6054</v>
      </c>
      <c r="W908" s="22" t="s">
        <v>6062</v>
      </c>
      <c r="X908" s="22" t="s">
        <v>6062</v>
      </c>
      <c r="Y908" s="22"/>
      <c r="Z908" s="7"/>
      <c r="AA908" s="7"/>
      <c r="AB908" s="23"/>
      <c r="AC908" s="26"/>
    </row>
    <row r="909" spans="1:29" ht="15.75" customHeight="1">
      <c r="A909" s="10" t="s">
        <v>6232</v>
      </c>
      <c r="B909" s="10" t="s">
        <v>4410</v>
      </c>
      <c r="C909" s="11" t="s">
        <v>6054</v>
      </c>
      <c r="D909" s="12"/>
      <c r="E909" s="13" t="s">
        <v>93</v>
      </c>
      <c r="F909" s="6" t="s">
        <v>6233</v>
      </c>
      <c r="G909" s="6" t="str">
        <f ca="1">IFERROR(__xludf.DUMMYFUNCTION("CONCATENATE(B909,(VLOOKUP(C909,CATALOGOS!$F$2:$H$6,3,FALSE)),(VLOOKUP(V909,CATALOGOS!$J$2:$K$18,2,FALSE)),""-"",TO_TEXT(A909))"),"P21DG-0908")</f>
        <v>P21DG-0908</v>
      </c>
      <c r="H909" s="6" t="str">
        <f ca="1">IFERROR(__xludf.DUMMYFUNCTION("CONCATENATE($B909,(VLOOKUP($C909,CATALOGOS!$F$2:$H$6,3,FALSE)),(VLOOKUP($V909,CATALOGOS!$J$2:$K$18,2,FALSE)),""-"",TO_TEXT($A909))"),"P21DG-0908")</f>
        <v>P21DG-0908</v>
      </c>
      <c r="I909" s="6"/>
      <c r="J909" s="6" t="s">
        <v>6234</v>
      </c>
      <c r="K909" s="6" t="s">
        <v>6235</v>
      </c>
      <c r="L909" s="37"/>
      <c r="M909" s="6" t="s">
        <v>6236</v>
      </c>
      <c r="N909" s="17"/>
      <c r="O909" s="17"/>
      <c r="P909" s="17" t="str">
        <f t="shared" si="6"/>
        <v>OK</v>
      </c>
      <c r="Q909" s="35" t="s">
        <v>35</v>
      </c>
      <c r="R909" s="6" t="s">
        <v>35</v>
      </c>
      <c r="S909" s="10" t="s">
        <v>36</v>
      </c>
      <c r="T909" s="32" t="s">
        <v>6237</v>
      </c>
      <c r="U909" s="173" t="s">
        <v>38</v>
      </c>
      <c r="V909" s="11" t="s">
        <v>6054</v>
      </c>
      <c r="W909" s="22" t="s">
        <v>6062</v>
      </c>
      <c r="X909" s="22" t="s">
        <v>6062</v>
      </c>
      <c r="Y909" s="22"/>
      <c r="Z909" s="7"/>
      <c r="AA909" s="7"/>
      <c r="AB909" s="23"/>
      <c r="AC909" s="26"/>
    </row>
    <row r="910" spans="1:29" ht="15.75" customHeight="1">
      <c r="A910" s="10" t="s">
        <v>6238</v>
      </c>
      <c r="B910" s="10" t="s">
        <v>4410</v>
      </c>
      <c r="C910" s="11" t="s">
        <v>6054</v>
      </c>
      <c r="D910" s="12"/>
      <c r="E910" s="13" t="s">
        <v>1199</v>
      </c>
      <c r="F910" s="43" t="s">
        <v>6239</v>
      </c>
      <c r="G910" s="6" t="str">
        <f ca="1">IFERROR(__xludf.DUMMYFUNCTION("CONCATENATE(B910,(VLOOKUP(C910,CATALOGOS!$F$2:$H$6,3,FALSE)),(VLOOKUP(V910,CATALOGOS!$J$2:$K$18,2,FALSE)),""-"",TO_TEXT(A910))"),"P21DG-0909")</f>
        <v>P21DG-0909</v>
      </c>
      <c r="H910" s="6" t="str">
        <f ca="1">IFERROR(__xludf.DUMMYFUNCTION("CONCATENATE($B910,(VLOOKUP($C910,CATALOGOS!$F$2:$H$6,3,FALSE)),(VLOOKUP($V910,CATALOGOS!$J$2:$K$18,2,FALSE)),""-"",TO_TEXT($A910))"),"P21DG-0909")</f>
        <v>P21DG-0909</v>
      </c>
      <c r="I910" s="6"/>
      <c r="J910" s="6" t="s">
        <v>6240</v>
      </c>
      <c r="K910" s="6" t="s">
        <v>6241</v>
      </c>
      <c r="L910" s="6" t="s">
        <v>6242</v>
      </c>
      <c r="M910" s="6" t="s">
        <v>6243</v>
      </c>
      <c r="N910" s="17"/>
      <c r="O910" s="17"/>
      <c r="P910" s="17" t="str">
        <f t="shared" si="6"/>
        <v>OK</v>
      </c>
      <c r="Q910" s="17" t="s">
        <v>205</v>
      </c>
      <c r="R910" s="6" t="s">
        <v>6244</v>
      </c>
      <c r="S910" s="17" t="s">
        <v>6245</v>
      </c>
      <c r="T910" s="10" t="s">
        <v>6246</v>
      </c>
      <c r="U910" s="173" t="s">
        <v>38</v>
      </c>
      <c r="V910" s="11" t="s">
        <v>6054</v>
      </c>
      <c r="W910" s="22" t="s">
        <v>6062</v>
      </c>
      <c r="X910" s="22" t="s">
        <v>6062</v>
      </c>
      <c r="Y910" s="22"/>
      <c r="Z910" s="7"/>
      <c r="AA910" s="7"/>
      <c r="AB910" s="23"/>
      <c r="AC910" s="26"/>
    </row>
    <row r="911" spans="1:29" ht="15.75" customHeight="1">
      <c r="A911" s="10" t="s">
        <v>6247</v>
      </c>
      <c r="B911" s="10" t="s">
        <v>4410</v>
      </c>
      <c r="C911" s="11" t="s">
        <v>6054</v>
      </c>
      <c r="D911" s="12"/>
      <c r="E911" s="13" t="s">
        <v>248</v>
      </c>
      <c r="F911" s="43" t="s">
        <v>248</v>
      </c>
      <c r="G911" s="6" t="str">
        <f ca="1">IFERROR(__xludf.DUMMYFUNCTION("CONCATENATE(B911,(VLOOKUP(C911,CATALOGOS!$F$2:$H$6,3,FALSE)),(VLOOKUP(V911,CATALOGOS!$J$2:$K$18,2,FALSE)),""-"",TO_TEXT(A911))"),"P21DG-0910")</f>
        <v>P21DG-0910</v>
      </c>
      <c r="H911" s="6" t="str">
        <f ca="1">IFERROR(__xludf.DUMMYFUNCTION("CONCATENATE($B911,(VLOOKUP($C911,CATALOGOS!$F$2:$H$6,3,FALSE)),(VLOOKUP($V911,CATALOGOS!$J$2:$K$18,2,FALSE)),""-"",TO_TEXT($A911))"),"P21DG-0910")</f>
        <v>P21DG-0910</v>
      </c>
      <c r="I911" s="6"/>
      <c r="J911" s="6" t="s">
        <v>6248</v>
      </c>
      <c r="K911" s="6" t="s">
        <v>6249</v>
      </c>
      <c r="L911" s="6" t="s">
        <v>6250</v>
      </c>
      <c r="M911" s="6" t="s">
        <v>6251</v>
      </c>
      <c r="N911" s="17"/>
      <c r="O911" s="17"/>
      <c r="P911" s="17" t="str">
        <f t="shared" si="6"/>
        <v>OK</v>
      </c>
      <c r="Q911" s="17" t="s">
        <v>978</v>
      </c>
      <c r="R911" s="6" t="s">
        <v>979</v>
      </c>
      <c r="S911" s="17" t="s">
        <v>6252</v>
      </c>
      <c r="T911" s="17" t="s">
        <v>6253</v>
      </c>
      <c r="U911" s="173" t="s">
        <v>38</v>
      </c>
      <c r="V911" s="11" t="s">
        <v>6054</v>
      </c>
      <c r="W911" s="22" t="s">
        <v>6062</v>
      </c>
      <c r="X911" s="22" t="s">
        <v>6062</v>
      </c>
      <c r="Y911" s="22"/>
      <c r="Z911" s="7"/>
      <c r="AA911" s="7"/>
      <c r="AB911" s="23"/>
      <c r="AC911" s="26"/>
    </row>
    <row r="912" spans="1:29" ht="15.75" customHeight="1">
      <c r="A912" s="10" t="s">
        <v>6254</v>
      </c>
      <c r="B912" s="10" t="s">
        <v>4410</v>
      </c>
      <c r="C912" s="11" t="s">
        <v>6054</v>
      </c>
      <c r="D912" s="12"/>
      <c r="E912" s="13" t="s">
        <v>162</v>
      </c>
      <c r="F912" s="43" t="s">
        <v>6255</v>
      </c>
      <c r="G912" s="6" t="str">
        <f ca="1">IFERROR(__xludf.DUMMYFUNCTION("CONCATENATE(B912,(VLOOKUP(C912,CATALOGOS!$F$2:$H$6,3,FALSE)),(VLOOKUP(V912,CATALOGOS!$J$2:$K$18,2,FALSE)),""-"",TO_TEXT(A912))"),"P21DG-0911")</f>
        <v>P21DG-0911</v>
      </c>
      <c r="H912" s="6" t="str">
        <f ca="1">IFERROR(__xludf.DUMMYFUNCTION("CONCATENATE($B912,(VLOOKUP($C912,CATALOGOS!$F$2:$H$6,3,FALSE)),(VLOOKUP($V912,CATALOGOS!$J$2:$K$18,2,FALSE)),""-"",TO_TEXT($A912))"),"P21DG-0911")</f>
        <v>P21DG-0911</v>
      </c>
      <c r="I912" s="6"/>
      <c r="J912" s="6" t="s">
        <v>6256</v>
      </c>
      <c r="K912" s="6" t="s">
        <v>6257</v>
      </c>
      <c r="L912" s="6" t="s">
        <v>6258</v>
      </c>
      <c r="M912" s="6" t="s">
        <v>6259</v>
      </c>
      <c r="N912" s="17"/>
      <c r="O912" s="17"/>
      <c r="P912" s="17" t="str">
        <f t="shared" si="6"/>
        <v>OK</v>
      </c>
      <c r="Q912" s="17" t="s">
        <v>168</v>
      </c>
      <c r="R912" s="6" t="s">
        <v>169</v>
      </c>
      <c r="S912" s="17" t="s">
        <v>6260</v>
      </c>
      <c r="T912" s="17" t="s">
        <v>6261</v>
      </c>
      <c r="U912" s="173" t="s">
        <v>38</v>
      </c>
      <c r="V912" s="11" t="s">
        <v>6054</v>
      </c>
      <c r="W912" s="22" t="s">
        <v>6062</v>
      </c>
      <c r="X912" s="22" t="s">
        <v>6062</v>
      </c>
      <c r="Y912" s="22"/>
      <c r="Z912" s="7"/>
      <c r="AA912" s="7"/>
      <c r="AB912" s="23"/>
      <c r="AC912" s="26"/>
    </row>
    <row r="913" spans="1:29" ht="15.75" customHeight="1">
      <c r="A913" s="10" t="s">
        <v>6262</v>
      </c>
      <c r="B913" s="10" t="s">
        <v>4410</v>
      </c>
      <c r="C913" s="60" t="s">
        <v>1470</v>
      </c>
      <c r="D913" s="38"/>
      <c r="E913" s="13" t="s">
        <v>199</v>
      </c>
      <c r="F913" s="6" t="s">
        <v>677</v>
      </c>
      <c r="G913" s="6" t="str">
        <f ca="1">IFERROR(__xludf.DUMMYFUNCTION("CONCATENATE(B913,(VLOOKUP(C913,CATALOGOS!$F$2:$H$6,3,FALSE)),(VLOOKUP(V913,CATALOGOS!$J$2:$K$18,2,FALSE)),""-"",TO_TEXT(A913))"),"P22SI-0912")</f>
        <v>P22SI-0912</v>
      </c>
      <c r="H913" s="6" t="str">
        <f ca="1">IFERROR(__xludf.DUMMYFUNCTION("CONCATENATE($B913,(VLOOKUP($C913,CATALOGOS!$F$2:$H$6,3,FALSE)),(VLOOKUP($V913,CATALOGOS!$J$2:$K$18,2,FALSE)),""-"",TO_TEXT($A913))"),"P22SI-0912")</f>
        <v>P22SI-0912</v>
      </c>
      <c r="I913" s="6"/>
      <c r="J913" s="6" t="s">
        <v>6263</v>
      </c>
      <c r="K913" s="6" t="s">
        <v>6264</v>
      </c>
      <c r="L913" s="6" t="s">
        <v>6265</v>
      </c>
      <c r="M913" s="6" t="s">
        <v>6266</v>
      </c>
      <c r="N913" s="17"/>
      <c r="O913" s="17"/>
      <c r="P913" s="17" t="str">
        <f t="shared" si="6"/>
        <v>OK</v>
      </c>
      <c r="Q913" s="17" t="s">
        <v>682</v>
      </c>
      <c r="R913" s="6" t="s">
        <v>6267</v>
      </c>
      <c r="S913" s="46" t="s">
        <v>6268</v>
      </c>
      <c r="T913" s="32" t="s">
        <v>6269</v>
      </c>
      <c r="U913" s="173" t="s">
        <v>38</v>
      </c>
      <c r="V913" s="181" t="s">
        <v>1483</v>
      </c>
      <c r="W913" s="20" t="s">
        <v>1484</v>
      </c>
      <c r="X913" s="20" t="s">
        <v>1484</v>
      </c>
      <c r="Y913" s="20"/>
      <c r="Z913" s="7"/>
      <c r="AA913" s="7"/>
      <c r="AB913" s="26"/>
      <c r="AC913" s="26"/>
    </row>
    <row r="914" spans="1:29" ht="15.75" customHeight="1">
      <c r="A914" s="10" t="s">
        <v>6270</v>
      </c>
      <c r="B914" s="10" t="s">
        <v>4410</v>
      </c>
      <c r="C914" s="11" t="s">
        <v>6054</v>
      </c>
      <c r="D914" s="12"/>
      <c r="E914" s="13" t="s">
        <v>93</v>
      </c>
      <c r="F914" s="6" t="s">
        <v>6271</v>
      </c>
      <c r="G914" s="6" t="str">
        <f ca="1">IFERROR(__xludf.DUMMYFUNCTION("CONCATENATE(B914,(VLOOKUP(C914,CATALOGOS!$F$2:$H$6,3,FALSE)),(VLOOKUP(V914,CATALOGOS!$J$2:$K$18,2,FALSE)),""-"",TO_TEXT(A914))"),"P21DG-0913")</f>
        <v>P21DG-0913</v>
      </c>
      <c r="H914" s="6" t="str">
        <f ca="1">IFERROR(__xludf.DUMMYFUNCTION("CONCATENATE($B914,(VLOOKUP($C914,CATALOGOS!$F$2:$H$6,3,FALSE)),(VLOOKUP($V914,CATALOGOS!$J$2:$K$18,2,FALSE)),""-"",TO_TEXT($A914))"),"P21DG-0913")</f>
        <v>P21DG-0913</v>
      </c>
      <c r="I914" s="6"/>
      <c r="J914" s="6" t="s">
        <v>6272</v>
      </c>
      <c r="K914" s="6" t="s">
        <v>6273</v>
      </c>
      <c r="L914" s="6" t="s">
        <v>6274</v>
      </c>
      <c r="M914" s="6" t="s">
        <v>6275</v>
      </c>
      <c r="N914" s="17"/>
      <c r="O914" s="17"/>
      <c r="P914" s="17" t="str">
        <f t="shared" si="6"/>
        <v>OK</v>
      </c>
      <c r="Q914" s="17" t="s">
        <v>35</v>
      </c>
      <c r="R914" s="6" t="s">
        <v>35</v>
      </c>
      <c r="S914" s="17" t="s">
        <v>36</v>
      </c>
      <c r="T914" s="17" t="s">
        <v>6276</v>
      </c>
      <c r="U914" s="173" t="s">
        <v>38</v>
      </c>
      <c r="V914" s="11" t="s">
        <v>6054</v>
      </c>
      <c r="W914" s="22" t="s">
        <v>6277</v>
      </c>
      <c r="X914" s="22" t="s">
        <v>6277</v>
      </c>
      <c r="Y914" s="22"/>
      <c r="Z914" s="7"/>
      <c r="AA914" s="7"/>
      <c r="AB914" s="23"/>
      <c r="AC914" s="26"/>
    </row>
    <row r="915" spans="1:29" ht="15.75" customHeight="1">
      <c r="A915" s="10" t="s">
        <v>6278</v>
      </c>
      <c r="B915" s="10" t="s">
        <v>4410</v>
      </c>
      <c r="C915" s="11" t="s">
        <v>6054</v>
      </c>
      <c r="D915" s="12"/>
      <c r="E915" s="13" t="s">
        <v>378</v>
      </c>
      <c r="F915" s="6" t="s">
        <v>6279</v>
      </c>
      <c r="G915" s="6" t="str">
        <f ca="1">IFERROR(__xludf.DUMMYFUNCTION("CONCATENATE(B915,(VLOOKUP(C915,CATALOGOS!$F$2:$H$6,3,FALSE)),(VLOOKUP(V915,CATALOGOS!$J$2:$K$18,2,FALSE)),""-"",TO_TEXT(A915))"),"P21DG-0914")</f>
        <v>P21DG-0914</v>
      </c>
      <c r="H915" s="6" t="str">
        <f ca="1">IFERROR(__xludf.DUMMYFUNCTION("CONCATENATE($B915,(VLOOKUP($C915,CATALOGOS!$F$2:$H$6,3,FALSE)),(VLOOKUP($V915,CATALOGOS!$J$2:$K$18,2,FALSE)),""-"",TO_TEXT($A915))"),"P21DG-0914")</f>
        <v>P21DG-0914</v>
      </c>
      <c r="I915" s="6"/>
      <c r="J915" s="6" t="s">
        <v>6280</v>
      </c>
      <c r="K915" s="6" t="s">
        <v>6281</v>
      </c>
      <c r="L915" s="6" t="s">
        <v>6282</v>
      </c>
      <c r="M915" s="6" t="s">
        <v>6283</v>
      </c>
      <c r="N915" s="17"/>
      <c r="O915" s="17"/>
      <c r="P915" s="17" t="str">
        <f t="shared" si="6"/>
        <v>OK</v>
      </c>
      <c r="Q915" s="17" t="s">
        <v>35</v>
      </c>
      <c r="R915" s="6" t="s">
        <v>35</v>
      </c>
      <c r="S915" s="17" t="s">
        <v>36</v>
      </c>
      <c r="T915" s="17" t="s">
        <v>6284</v>
      </c>
      <c r="U915" s="173" t="s">
        <v>517</v>
      </c>
      <c r="V915" s="11" t="s">
        <v>6054</v>
      </c>
      <c r="W915" s="22" t="s">
        <v>6277</v>
      </c>
      <c r="X915" s="22" t="s">
        <v>6277</v>
      </c>
      <c r="Y915" s="22"/>
      <c r="Z915" s="6"/>
      <c r="AA915" s="6" t="s">
        <v>440</v>
      </c>
      <c r="AB915" s="23"/>
      <c r="AC915" s="26"/>
    </row>
    <row r="916" spans="1:29" ht="15.75" customHeight="1">
      <c r="A916" s="10" t="s">
        <v>6285</v>
      </c>
      <c r="B916" s="10" t="s">
        <v>27</v>
      </c>
      <c r="C916" s="63" t="s">
        <v>28</v>
      </c>
      <c r="D916" s="12"/>
      <c r="E916" s="13" t="s">
        <v>378</v>
      </c>
      <c r="F916" s="6" t="s">
        <v>6279</v>
      </c>
      <c r="G916" s="6" t="str">
        <f ca="1">IFERROR(__xludf.DUMMYFUNCTION("CONCATENATE(B916,(VLOOKUP(C916,CATALOGOS!$F$2:$H$6,3,FALSE)),(VLOOKUP(V916,CATALOGOS!$J$2:$K$18,2,FALSE)),""-"",TO_TEXT(A916))"),"P05DA-0915")</f>
        <v>P05DA-0915</v>
      </c>
      <c r="H916" s="6" t="str">
        <f ca="1">IFERROR(__xludf.DUMMYFUNCTION("CONCATENATE($B916,(VLOOKUP($C916,CATALOGOS!$F$2:$H$6,3,FALSE)),(VLOOKUP($V916,CATALOGOS!$J$2:$K$18,2,FALSE)),""-"",TO_TEXT($A916))"),"P05DA-0915")</f>
        <v>P05DA-0915</v>
      </c>
      <c r="I916" s="6"/>
      <c r="J916" s="6" t="s">
        <v>6286</v>
      </c>
      <c r="K916" s="6" t="s">
        <v>6287</v>
      </c>
      <c r="L916" s="6" t="s">
        <v>6288</v>
      </c>
      <c r="M916" s="43" t="s">
        <v>6289</v>
      </c>
      <c r="N916" s="17"/>
      <c r="O916" s="17"/>
      <c r="P916" s="17" t="str">
        <f t="shared" si="6"/>
        <v>OK</v>
      </c>
      <c r="Q916" s="17" t="s">
        <v>35</v>
      </c>
      <c r="R916" s="6" t="s">
        <v>35</v>
      </c>
      <c r="S916" s="17" t="s">
        <v>36</v>
      </c>
      <c r="T916" s="17" t="s">
        <v>6290</v>
      </c>
      <c r="U916" s="173" t="s">
        <v>38</v>
      </c>
      <c r="V916" s="11" t="s">
        <v>28</v>
      </c>
      <c r="W916" s="20" t="s">
        <v>40</v>
      </c>
      <c r="X916" s="20" t="s">
        <v>40</v>
      </c>
      <c r="Y916" s="20"/>
      <c r="Z916" s="6"/>
      <c r="AA916" s="6" t="s">
        <v>6291</v>
      </c>
      <c r="AB916" s="23"/>
      <c r="AC916" s="26"/>
    </row>
    <row r="917" spans="1:29" ht="15.75" customHeight="1">
      <c r="A917" s="10" t="s">
        <v>6292</v>
      </c>
      <c r="B917" s="10" t="s">
        <v>4410</v>
      </c>
      <c r="C917" s="11" t="s">
        <v>6054</v>
      </c>
      <c r="D917" s="12"/>
      <c r="E917" s="13" t="s">
        <v>93</v>
      </c>
      <c r="F917" s="6" t="s">
        <v>6293</v>
      </c>
      <c r="G917" s="6" t="str">
        <f ca="1">IFERROR(__xludf.DUMMYFUNCTION("CONCATENATE(B917,(VLOOKUP(C917,CATALOGOS!$F$2:$H$6,3,FALSE)),(VLOOKUP(V917,CATALOGOS!$J$2:$K$18,2,FALSE)),""-"",TO_TEXT(A917))"),"P21DG-0916")</f>
        <v>P21DG-0916</v>
      </c>
      <c r="H917" s="6" t="str">
        <f ca="1">IFERROR(__xludf.DUMMYFUNCTION("CONCATENATE($B917,(VLOOKUP($C917,CATALOGOS!$F$2:$H$6,3,FALSE)),(VLOOKUP($V917,CATALOGOS!$J$2:$K$18,2,FALSE)),""-"",TO_TEXT($A917))"),"P21DG-0916")</f>
        <v>P21DG-0916</v>
      </c>
      <c r="I917" s="6"/>
      <c r="J917" s="6" t="s">
        <v>6294</v>
      </c>
      <c r="K917" s="6" t="s">
        <v>6295</v>
      </c>
      <c r="L917" s="6" t="s">
        <v>6296</v>
      </c>
      <c r="M917" s="6" t="s">
        <v>6297</v>
      </c>
      <c r="N917" s="17"/>
      <c r="O917" s="17"/>
      <c r="P917" s="17" t="str">
        <f t="shared" si="6"/>
        <v>OK</v>
      </c>
      <c r="Q917" s="17" t="s">
        <v>35</v>
      </c>
      <c r="R917" s="6" t="s">
        <v>35</v>
      </c>
      <c r="S917" s="17" t="s">
        <v>36</v>
      </c>
      <c r="T917" s="17" t="s">
        <v>6298</v>
      </c>
      <c r="U917" s="173" t="s">
        <v>38</v>
      </c>
      <c r="V917" s="11" t="s">
        <v>6054</v>
      </c>
      <c r="W917" s="22" t="s">
        <v>6277</v>
      </c>
      <c r="X917" s="22" t="s">
        <v>6277</v>
      </c>
      <c r="Y917" s="22"/>
      <c r="Z917" s="7"/>
      <c r="AA917" s="7"/>
      <c r="AB917" s="23"/>
      <c r="AC917" s="26"/>
    </row>
    <row r="918" spans="1:29" ht="15.75" customHeight="1">
      <c r="A918" s="10" t="s">
        <v>6299</v>
      </c>
      <c r="B918" s="10" t="s">
        <v>4410</v>
      </c>
      <c r="C918" s="11" t="s">
        <v>6054</v>
      </c>
      <c r="D918" s="12"/>
      <c r="E918" s="13" t="s">
        <v>353</v>
      </c>
      <c r="F918" s="43" t="s">
        <v>6300</v>
      </c>
      <c r="G918" s="6" t="str">
        <f ca="1">IFERROR(__xludf.DUMMYFUNCTION("CONCATENATE(B918,(VLOOKUP(C918,CATALOGOS!$F$2:$H$6,3,FALSE)),(VLOOKUP(V918,CATALOGOS!$J$2:$K$18,2,FALSE)),""-"",TO_TEXT(A918))"),"P21DG-0917")</f>
        <v>P21DG-0917</v>
      </c>
      <c r="H918" s="6" t="str">
        <f ca="1">IFERROR(__xludf.DUMMYFUNCTION("CONCATENATE($B918,(VLOOKUP($C918,CATALOGOS!$F$2:$H$6,3,FALSE)),(VLOOKUP($V918,CATALOGOS!$J$2:$K$18,2,FALSE)),""-"",TO_TEXT($A918))"),"P21DG-0917")</f>
        <v>P21DG-0917</v>
      </c>
      <c r="I918" s="6"/>
      <c r="J918" s="6" t="s">
        <v>6301</v>
      </c>
      <c r="K918" s="6" t="s">
        <v>6302</v>
      </c>
      <c r="L918" s="6" t="s">
        <v>6303</v>
      </c>
      <c r="M918" s="6" t="s">
        <v>6304</v>
      </c>
      <c r="N918" s="17"/>
      <c r="O918" s="17"/>
      <c r="P918" s="17" t="str">
        <f t="shared" si="6"/>
        <v>OK</v>
      </c>
      <c r="Q918" s="17" t="s">
        <v>6305</v>
      </c>
      <c r="R918" s="6" t="s">
        <v>6306</v>
      </c>
      <c r="S918" s="17" t="s">
        <v>6307</v>
      </c>
      <c r="T918" s="10" t="s">
        <v>6308</v>
      </c>
      <c r="U918" s="173" t="s">
        <v>38</v>
      </c>
      <c r="V918" s="11" t="s">
        <v>6054</v>
      </c>
      <c r="W918" s="22" t="s">
        <v>6277</v>
      </c>
      <c r="X918" s="22" t="s">
        <v>6277</v>
      </c>
      <c r="Y918" s="22"/>
      <c r="Z918" s="7"/>
      <c r="AA918" s="7"/>
      <c r="AB918" s="23"/>
      <c r="AC918" s="26"/>
    </row>
    <row r="919" spans="1:29" ht="15.75" customHeight="1">
      <c r="A919" s="10" t="s">
        <v>6309</v>
      </c>
      <c r="B919" s="10" t="s">
        <v>4410</v>
      </c>
      <c r="C919" s="11" t="s">
        <v>6054</v>
      </c>
      <c r="D919" s="12"/>
      <c r="E919" s="13" t="s">
        <v>3521</v>
      </c>
      <c r="F919" s="6" t="s">
        <v>6310</v>
      </c>
      <c r="G919" s="6" t="str">
        <f ca="1">IFERROR(__xludf.DUMMYFUNCTION("CONCATENATE(B919,(VLOOKUP(C919,CATALOGOS!$F$2:$H$6,3,FALSE)),(VLOOKUP(V919,CATALOGOS!$J$2:$K$18,2,FALSE)),""-"",TO_TEXT(A919))"),"P21DG-0918")</f>
        <v>P21DG-0918</v>
      </c>
      <c r="H919" s="6" t="str">
        <f ca="1">IFERROR(__xludf.DUMMYFUNCTION("CONCATENATE($B919,(VLOOKUP($C919,CATALOGOS!$F$2:$H$6,3,FALSE)),(VLOOKUP($V919,CATALOGOS!$J$2:$K$18,2,FALSE)),""-"",TO_TEXT($A919))"),"P21DG-0918")</f>
        <v>P21DG-0918</v>
      </c>
      <c r="I919" s="6"/>
      <c r="J919" s="6" t="s">
        <v>6311</v>
      </c>
      <c r="K919" s="6" t="s">
        <v>6312</v>
      </c>
      <c r="L919" s="6" t="s">
        <v>6313</v>
      </c>
      <c r="M919" s="6" t="s">
        <v>6314</v>
      </c>
      <c r="N919" s="17"/>
      <c r="O919" s="17"/>
      <c r="P919" s="17" t="str">
        <f t="shared" si="6"/>
        <v>OK</v>
      </c>
      <c r="Q919" s="17" t="s">
        <v>35</v>
      </c>
      <c r="R919" s="6" t="s">
        <v>35</v>
      </c>
      <c r="S919" s="17" t="s">
        <v>36</v>
      </c>
      <c r="T919" s="17" t="s">
        <v>6315</v>
      </c>
      <c r="U919" s="173" t="s">
        <v>38</v>
      </c>
      <c r="V919" s="11" t="s">
        <v>6054</v>
      </c>
      <c r="W919" s="22" t="s">
        <v>6277</v>
      </c>
      <c r="X919" s="22" t="s">
        <v>6277</v>
      </c>
      <c r="Y919" s="22"/>
      <c r="Z919" s="7"/>
      <c r="AA919" s="7"/>
      <c r="AB919" s="23"/>
      <c r="AC919" s="26"/>
    </row>
    <row r="920" spans="1:29" ht="15.75" customHeight="1">
      <c r="A920" s="10" t="s">
        <v>6316</v>
      </c>
      <c r="B920" s="10" t="s">
        <v>4410</v>
      </c>
      <c r="C920" s="11" t="s">
        <v>6054</v>
      </c>
      <c r="D920" s="12"/>
      <c r="E920" s="13" t="s">
        <v>71</v>
      </c>
      <c r="F920" s="6" t="s">
        <v>6317</v>
      </c>
      <c r="G920" s="6" t="str">
        <f ca="1">IFERROR(__xludf.DUMMYFUNCTION("CONCATENATE(B920,(VLOOKUP(C920,CATALOGOS!$F$2:$H$6,3,FALSE)),(VLOOKUP(V920,CATALOGOS!$J$2:$K$18,2,FALSE)),""-"",TO_TEXT(A920))"),"P21DG-0919")</f>
        <v>P21DG-0919</v>
      </c>
      <c r="H920" s="6" t="str">
        <f ca="1">IFERROR(__xludf.DUMMYFUNCTION("CONCATENATE($B920,(VLOOKUP($C920,CATALOGOS!$F$2:$H$6,3,FALSE)),(VLOOKUP($V920,CATALOGOS!$J$2:$K$18,2,FALSE)),""-"",TO_TEXT($A920))"),"P21DG-0919")</f>
        <v>P21DG-0919</v>
      </c>
      <c r="I920" s="6"/>
      <c r="J920" s="6" t="s">
        <v>6318</v>
      </c>
      <c r="K920" s="6" t="s">
        <v>6319</v>
      </c>
      <c r="L920" s="6" t="s">
        <v>6320</v>
      </c>
      <c r="M920" s="6" t="s">
        <v>6321</v>
      </c>
      <c r="N920" s="17"/>
      <c r="O920" s="17"/>
      <c r="P920" s="17" t="str">
        <f t="shared" si="6"/>
        <v>OK</v>
      </c>
      <c r="Q920" s="17" t="s">
        <v>35</v>
      </c>
      <c r="R920" s="49" t="s">
        <v>35</v>
      </c>
      <c r="S920" s="17" t="s">
        <v>36</v>
      </c>
      <c r="T920" s="17" t="s">
        <v>6322</v>
      </c>
      <c r="U920" s="173" t="s">
        <v>38</v>
      </c>
      <c r="V920" s="11" t="s">
        <v>6054</v>
      </c>
      <c r="W920" s="22" t="s">
        <v>6277</v>
      </c>
      <c r="X920" s="22" t="s">
        <v>6277</v>
      </c>
      <c r="Y920" s="22"/>
      <c r="Z920" s="7"/>
      <c r="AA920" s="7"/>
      <c r="AB920" s="23"/>
      <c r="AC920" s="26"/>
    </row>
    <row r="921" spans="1:29" ht="15.75" customHeight="1">
      <c r="A921" s="10" t="s">
        <v>6323</v>
      </c>
      <c r="B921" s="10" t="s">
        <v>4410</v>
      </c>
      <c r="C921" s="11" t="s">
        <v>6054</v>
      </c>
      <c r="D921" s="12"/>
      <c r="E921" s="13" t="s">
        <v>93</v>
      </c>
      <c r="F921" s="6" t="s">
        <v>6324</v>
      </c>
      <c r="G921" s="6" t="str">
        <f ca="1">IFERROR(__xludf.DUMMYFUNCTION("CONCATENATE(B921,(VLOOKUP(C921,CATALOGOS!$F$2:$H$6,3,FALSE)),(VLOOKUP(V921,CATALOGOS!$J$2:$K$18,2,FALSE)),""-"",TO_TEXT(A921))"),"P21DG-0920")</f>
        <v>P21DG-0920</v>
      </c>
      <c r="H921" s="6" t="str">
        <f ca="1">IFERROR(__xludf.DUMMYFUNCTION("CONCATENATE($B921,(VLOOKUP($C921,CATALOGOS!$F$2:$H$6,3,FALSE)),(VLOOKUP($V921,CATALOGOS!$J$2:$K$18,2,FALSE)),""-"",TO_TEXT($A921))"),"P21DG-0920")</f>
        <v>P21DG-0920</v>
      </c>
      <c r="I921" s="6"/>
      <c r="J921" s="6" t="s">
        <v>6325</v>
      </c>
      <c r="K921" s="6" t="s">
        <v>6326</v>
      </c>
      <c r="L921" s="6" t="s">
        <v>6327</v>
      </c>
      <c r="M921" s="6" t="s">
        <v>6328</v>
      </c>
      <c r="N921" s="17"/>
      <c r="O921" s="17"/>
      <c r="P921" s="17" t="str">
        <f t="shared" si="6"/>
        <v>OK</v>
      </c>
      <c r="Q921" s="17" t="s">
        <v>35</v>
      </c>
      <c r="R921" s="6" t="s">
        <v>35</v>
      </c>
      <c r="S921" s="17" t="s">
        <v>36</v>
      </c>
      <c r="T921" s="17" t="s">
        <v>6329</v>
      </c>
      <c r="U921" s="173" t="s">
        <v>38</v>
      </c>
      <c r="V921" s="11" t="s">
        <v>6054</v>
      </c>
      <c r="W921" s="22" t="s">
        <v>6277</v>
      </c>
      <c r="X921" s="22" t="s">
        <v>6277</v>
      </c>
      <c r="Y921" s="22"/>
      <c r="Z921" s="7"/>
      <c r="AA921" s="7"/>
      <c r="AB921" s="23"/>
      <c r="AC921" s="26"/>
    </row>
    <row r="922" spans="1:29" ht="15.75" customHeight="1">
      <c r="A922" s="10" t="s">
        <v>6330</v>
      </c>
      <c r="B922" s="10" t="s">
        <v>4410</v>
      </c>
      <c r="C922" s="11" t="s">
        <v>6054</v>
      </c>
      <c r="D922" s="12"/>
      <c r="E922" s="13" t="s">
        <v>93</v>
      </c>
      <c r="F922" s="6" t="s">
        <v>6331</v>
      </c>
      <c r="G922" s="6" t="str">
        <f ca="1">IFERROR(__xludf.DUMMYFUNCTION("CONCATENATE(B922,(VLOOKUP(C922,CATALOGOS!$F$2:$H$6,3,FALSE)),(VLOOKUP(V922,CATALOGOS!$J$2:$K$18,2,FALSE)),""-"",TO_TEXT(A922))"),"P21DG-0921")</f>
        <v>P21DG-0921</v>
      </c>
      <c r="H922" s="6" t="str">
        <f ca="1">IFERROR(__xludf.DUMMYFUNCTION("CONCATENATE($B922,(VLOOKUP($C922,CATALOGOS!$F$2:$H$6,3,FALSE)),(VLOOKUP($V922,CATALOGOS!$J$2:$K$18,2,FALSE)),""-"",TO_TEXT($A922))"),"P21DG-0921")</f>
        <v>P21DG-0921</v>
      </c>
      <c r="I922" s="6"/>
      <c r="J922" s="6" t="s">
        <v>6332</v>
      </c>
      <c r="K922" s="6" t="s">
        <v>6333</v>
      </c>
      <c r="L922" s="6" t="s">
        <v>6334</v>
      </c>
      <c r="M922" s="6" t="s">
        <v>6335</v>
      </c>
      <c r="N922" s="17"/>
      <c r="O922" s="17"/>
      <c r="P922" s="17" t="str">
        <f t="shared" si="6"/>
        <v>OK</v>
      </c>
      <c r="Q922" s="17" t="s">
        <v>35</v>
      </c>
      <c r="R922" s="6" t="s">
        <v>35</v>
      </c>
      <c r="S922" s="17" t="s">
        <v>36</v>
      </c>
      <c r="T922" s="17" t="s">
        <v>6336</v>
      </c>
      <c r="U922" s="173" t="s">
        <v>38</v>
      </c>
      <c r="V922" s="11" t="s">
        <v>6054</v>
      </c>
      <c r="W922" s="22" t="s">
        <v>6277</v>
      </c>
      <c r="X922" s="22" t="s">
        <v>6277</v>
      </c>
      <c r="Y922" s="22"/>
      <c r="Z922" s="7"/>
      <c r="AA922" s="7"/>
      <c r="AB922" s="23"/>
      <c r="AC922" s="26"/>
    </row>
    <row r="923" spans="1:29" ht="15.75" customHeight="1">
      <c r="A923" s="10" t="s">
        <v>6337</v>
      </c>
      <c r="B923" s="10" t="s">
        <v>4410</v>
      </c>
      <c r="C923" s="11" t="s">
        <v>6054</v>
      </c>
      <c r="D923" s="12"/>
      <c r="E923" s="13" t="s">
        <v>6338</v>
      </c>
      <c r="F923" s="6" t="s">
        <v>6339</v>
      </c>
      <c r="G923" s="6" t="str">
        <f ca="1">IFERROR(__xludf.DUMMYFUNCTION("CONCATENATE(B923,(VLOOKUP(C923,CATALOGOS!$F$2:$H$6,3,FALSE)),(VLOOKUP(V923,CATALOGOS!$J$2:$K$18,2,FALSE)),""-"",TO_TEXT(A923))"),"P21DG-0922")</f>
        <v>P21DG-0922</v>
      </c>
      <c r="H923" s="6" t="str">
        <f ca="1">IFERROR(__xludf.DUMMYFUNCTION("CONCATENATE($B923,(VLOOKUP($C923,CATALOGOS!$F$2:$H$6,3,FALSE)),(VLOOKUP($V923,CATALOGOS!$J$2:$K$18,2,FALSE)),""-"",TO_TEXT($A923))"),"P21DG-0922")</f>
        <v>P21DG-0922</v>
      </c>
      <c r="I923" s="6"/>
      <c r="J923" s="6" t="s">
        <v>6340</v>
      </c>
      <c r="K923" s="6" t="s">
        <v>6341</v>
      </c>
      <c r="L923" s="6" t="s">
        <v>6342</v>
      </c>
      <c r="M923" s="6" t="s">
        <v>6343</v>
      </c>
      <c r="N923" s="17"/>
      <c r="O923" s="17"/>
      <c r="P923" s="17" t="str">
        <f t="shared" si="6"/>
        <v>OK</v>
      </c>
      <c r="Q923" s="17" t="s">
        <v>35</v>
      </c>
      <c r="R923" s="6" t="s">
        <v>35</v>
      </c>
      <c r="S923" s="17" t="s">
        <v>36</v>
      </c>
      <c r="T923" s="17" t="s">
        <v>85</v>
      </c>
      <c r="U923" s="173" t="s">
        <v>38</v>
      </c>
      <c r="V923" s="11" t="s">
        <v>6054</v>
      </c>
      <c r="W923" s="22" t="s">
        <v>6277</v>
      </c>
      <c r="X923" s="22" t="s">
        <v>6277</v>
      </c>
      <c r="Y923" s="22"/>
      <c r="Z923" s="7"/>
      <c r="AA923" s="7"/>
      <c r="AB923" s="23"/>
      <c r="AC923" s="26"/>
    </row>
    <row r="924" spans="1:29" ht="15.75" customHeight="1">
      <c r="A924" s="10" t="s">
        <v>6344</v>
      </c>
      <c r="B924" s="10" t="s">
        <v>4410</v>
      </c>
      <c r="C924" s="11" t="s">
        <v>6054</v>
      </c>
      <c r="D924" s="12"/>
      <c r="E924" s="13" t="s">
        <v>6345</v>
      </c>
      <c r="F924" s="6" t="s">
        <v>6346</v>
      </c>
      <c r="G924" s="6" t="str">
        <f ca="1">IFERROR(__xludf.DUMMYFUNCTION("CONCATENATE(B924,(VLOOKUP(C924,CATALOGOS!$F$2:$H$6,3,FALSE)),(VLOOKUP(V924,CATALOGOS!$J$2:$K$18,2,FALSE)),""-"",TO_TEXT(A924))"),"P21DG-0923")</f>
        <v>P21DG-0923</v>
      </c>
      <c r="H924" s="6" t="str">
        <f ca="1">IFERROR(__xludf.DUMMYFUNCTION("CONCATENATE($B924,(VLOOKUP($C924,CATALOGOS!$F$2:$H$6,3,FALSE)),(VLOOKUP($V924,CATALOGOS!$J$2:$K$18,2,FALSE)),""-"",TO_TEXT($A924))"),"P21DG-0923")</f>
        <v>P21DG-0923</v>
      </c>
      <c r="I924" s="6"/>
      <c r="J924" s="6" t="s">
        <v>6347</v>
      </c>
      <c r="K924" s="6" t="s">
        <v>6348</v>
      </c>
      <c r="L924" s="6" t="s">
        <v>6349</v>
      </c>
      <c r="M924" s="6" t="s">
        <v>6350</v>
      </c>
      <c r="N924" s="17"/>
      <c r="O924" s="17"/>
      <c r="P924" s="17" t="str">
        <f t="shared" si="6"/>
        <v>OK</v>
      </c>
      <c r="Q924" s="17" t="s">
        <v>35</v>
      </c>
      <c r="R924" s="6" t="s">
        <v>35</v>
      </c>
      <c r="S924" s="17" t="s">
        <v>36</v>
      </c>
      <c r="T924" s="17" t="s">
        <v>6351</v>
      </c>
      <c r="U924" s="173" t="s">
        <v>38</v>
      </c>
      <c r="V924" s="11" t="s">
        <v>6054</v>
      </c>
      <c r="W924" s="22" t="s">
        <v>6277</v>
      </c>
      <c r="X924" s="22" t="s">
        <v>6277</v>
      </c>
      <c r="Y924" s="22"/>
      <c r="Z924" s="7"/>
      <c r="AA924" s="7"/>
      <c r="AB924" s="23"/>
      <c r="AC924" s="26"/>
    </row>
    <row r="925" spans="1:29" ht="15.75" customHeight="1">
      <c r="A925" s="10" t="s">
        <v>6352</v>
      </c>
      <c r="B925" s="10" t="s">
        <v>4410</v>
      </c>
      <c r="C925" s="11" t="s">
        <v>6054</v>
      </c>
      <c r="D925" s="12"/>
      <c r="E925" s="13" t="s">
        <v>6353</v>
      </c>
      <c r="F925" s="43" t="s">
        <v>6354</v>
      </c>
      <c r="G925" s="6" t="str">
        <f ca="1">IFERROR(__xludf.DUMMYFUNCTION("CONCATENATE(B925,(VLOOKUP(C925,CATALOGOS!$F$2:$H$6,3,FALSE)),(VLOOKUP(V925,CATALOGOS!$J$2:$K$18,2,FALSE)),""-"",TO_TEXT(A925))"),"P21DG-0924")</f>
        <v>P21DG-0924</v>
      </c>
      <c r="H925" s="6" t="str">
        <f ca="1">IFERROR(__xludf.DUMMYFUNCTION("CONCATENATE($B925,(VLOOKUP($C925,CATALOGOS!$F$2:$H$6,3,FALSE)),(VLOOKUP($V925,CATALOGOS!$J$2:$K$18,2,FALSE)),""-"",TO_TEXT($A925))"),"P21DG-0924")</f>
        <v>P21DG-0924</v>
      </c>
      <c r="I925" s="6"/>
      <c r="J925" s="6" t="s">
        <v>6355</v>
      </c>
      <c r="K925" s="6" t="s">
        <v>6356</v>
      </c>
      <c r="L925" s="6" t="s">
        <v>6357</v>
      </c>
      <c r="M925" s="6" t="s">
        <v>6358</v>
      </c>
      <c r="N925" s="17"/>
      <c r="O925" s="17"/>
      <c r="P925" s="17" t="str">
        <f t="shared" si="6"/>
        <v>OK</v>
      </c>
      <c r="Q925" s="17" t="s">
        <v>6359</v>
      </c>
      <c r="R925" s="6" t="s">
        <v>6360</v>
      </c>
      <c r="S925" s="17" t="s">
        <v>6361</v>
      </c>
      <c r="T925" s="10" t="s">
        <v>6362</v>
      </c>
      <c r="U925" s="173" t="s">
        <v>38</v>
      </c>
      <c r="V925" s="11" t="s">
        <v>6054</v>
      </c>
      <c r="W925" s="22" t="s">
        <v>6277</v>
      </c>
      <c r="X925" s="22" t="s">
        <v>6277</v>
      </c>
      <c r="Y925" s="22"/>
      <c r="Z925" s="7"/>
      <c r="AA925" s="7"/>
      <c r="AB925" s="23"/>
      <c r="AC925" s="26"/>
    </row>
    <row r="926" spans="1:29" ht="15.75" customHeight="1">
      <c r="A926" s="10" t="s">
        <v>6363</v>
      </c>
      <c r="B926" s="10" t="s">
        <v>4410</v>
      </c>
      <c r="C926" s="11" t="s">
        <v>6054</v>
      </c>
      <c r="D926" s="12"/>
      <c r="E926" s="13" t="s">
        <v>2860</v>
      </c>
      <c r="F926" s="43" t="s">
        <v>2861</v>
      </c>
      <c r="G926" s="6" t="str">
        <f ca="1">IFERROR(__xludf.DUMMYFUNCTION("CONCATENATE(B926,(VLOOKUP(C926,CATALOGOS!$F$2:$H$6,3,FALSE)),(VLOOKUP(V926,CATALOGOS!$J$2:$K$18,2,FALSE)),""-"",TO_TEXT(A926))"),"P21DG-0925")</f>
        <v>P21DG-0925</v>
      </c>
      <c r="H926" s="6" t="str">
        <f ca="1">IFERROR(__xludf.DUMMYFUNCTION("CONCATENATE($B926,(VLOOKUP($C926,CATALOGOS!$F$2:$H$6,3,FALSE)),(VLOOKUP($V926,CATALOGOS!$J$2:$K$18,2,FALSE)),""-"",TO_TEXT($A926))"),"P21DG-0925")</f>
        <v>P21DG-0925</v>
      </c>
      <c r="I926" s="6"/>
      <c r="J926" s="6" t="s">
        <v>6364</v>
      </c>
      <c r="K926" s="6" t="s">
        <v>6365</v>
      </c>
      <c r="L926" s="6" t="s">
        <v>6366</v>
      </c>
      <c r="M926" s="6" t="s">
        <v>6367</v>
      </c>
      <c r="N926" s="17"/>
      <c r="O926" s="17"/>
      <c r="P926" s="17" t="str">
        <f t="shared" si="6"/>
        <v>OK</v>
      </c>
      <c r="Q926" s="17" t="s">
        <v>2866</v>
      </c>
      <c r="R926" s="6" t="s">
        <v>35</v>
      </c>
      <c r="S926" s="17" t="s">
        <v>36</v>
      </c>
      <c r="T926" s="17" t="s">
        <v>6368</v>
      </c>
      <c r="U926" s="173" t="s">
        <v>38</v>
      </c>
      <c r="V926" s="11" t="s">
        <v>6054</v>
      </c>
      <c r="W926" s="22" t="s">
        <v>6277</v>
      </c>
      <c r="X926" s="22" t="s">
        <v>6277</v>
      </c>
      <c r="Y926" s="22"/>
      <c r="Z926" s="7"/>
      <c r="AA926" s="7"/>
      <c r="AB926" s="23"/>
      <c r="AC926" s="26"/>
    </row>
    <row r="927" spans="1:29" ht="15.75" customHeight="1">
      <c r="A927" s="10" t="s">
        <v>6369</v>
      </c>
      <c r="B927" s="10" t="s">
        <v>4410</v>
      </c>
      <c r="C927" s="11" t="s">
        <v>6054</v>
      </c>
      <c r="D927" s="12"/>
      <c r="E927" s="13" t="s">
        <v>184</v>
      </c>
      <c r="F927" s="6" t="s">
        <v>6370</v>
      </c>
      <c r="G927" s="6" t="str">
        <f ca="1">IFERROR(__xludf.DUMMYFUNCTION("CONCATENATE(B927,(VLOOKUP(C927,CATALOGOS!$F$2:$H$6,3,FALSE)),(VLOOKUP(V927,CATALOGOS!$J$2:$K$18,2,FALSE)),""-"",TO_TEXT(A927))"),"P21DG-0926")</f>
        <v>P21DG-0926</v>
      </c>
      <c r="H927" s="6" t="str">
        <f ca="1">IFERROR(__xludf.DUMMYFUNCTION("CONCATENATE($B927,(VLOOKUP($C927,CATALOGOS!$F$2:$H$6,3,FALSE)),(VLOOKUP($V927,CATALOGOS!$J$2:$K$18,2,FALSE)),""-"",TO_TEXT($A927))"),"P21DG-0926")</f>
        <v>P21DG-0926</v>
      </c>
      <c r="I927" s="6"/>
      <c r="J927" s="6" t="s">
        <v>6371</v>
      </c>
      <c r="K927" s="6" t="s">
        <v>6372</v>
      </c>
      <c r="L927" s="6" t="s">
        <v>6373</v>
      </c>
      <c r="M927" s="6" t="s">
        <v>6374</v>
      </c>
      <c r="N927" s="17"/>
      <c r="O927" s="17"/>
      <c r="P927" s="17" t="str">
        <f t="shared" si="6"/>
        <v>OK</v>
      </c>
      <c r="Q927" s="17" t="s">
        <v>35</v>
      </c>
      <c r="R927" s="6" t="s">
        <v>35</v>
      </c>
      <c r="S927" s="17" t="s">
        <v>36</v>
      </c>
      <c r="T927" s="17" t="s">
        <v>6375</v>
      </c>
      <c r="U927" s="173" t="s">
        <v>38</v>
      </c>
      <c r="V927" s="11" t="s">
        <v>6054</v>
      </c>
      <c r="W927" s="22" t="s">
        <v>6277</v>
      </c>
      <c r="X927" s="22" t="s">
        <v>6277</v>
      </c>
      <c r="Y927" s="22"/>
      <c r="Z927" s="7"/>
      <c r="AA927" s="7"/>
      <c r="AB927" s="23"/>
      <c r="AC927" s="26"/>
    </row>
    <row r="928" spans="1:29" ht="15.75" customHeight="1">
      <c r="A928" s="10" t="s">
        <v>6376</v>
      </c>
      <c r="B928" s="10" t="s">
        <v>4410</v>
      </c>
      <c r="C928" s="11" t="s">
        <v>6054</v>
      </c>
      <c r="D928" s="12"/>
      <c r="E928" s="13" t="s">
        <v>184</v>
      </c>
      <c r="F928" s="6" t="s">
        <v>6370</v>
      </c>
      <c r="G928" s="6" t="str">
        <f ca="1">IFERROR(__xludf.DUMMYFUNCTION("CONCATENATE(B928,(VLOOKUP(C928,CATALOGOS!$F$2:$H$6,3,FALSE)),(VLOOKUP(V928,CATALOGOS!$J$2:$K$18,2,FALSE)),""-"",TO_TEXT(A928))"),"P21DG-0927")</f>
        <v>P21DG-0927</v>
      </c>
      <c r="H928" s="6" t="str">
        <f ca="1">IFERROR(__xludf.DUMMYFUNCTION("CONCATENATE($B928,(VLOOKUP($C928,CATALOGOS!$F$2:$H$6,3,FALSE)),(VLOOKUP($V928,CATALOGOS!$J$2:$K$18,2,FALSE)),""-"",TO_TEXT($A928))"),"P21DG-0927")</f>
        <v>P21DG-0927</v>
      </c>
      <c r="I928" s="6"/>
      <c r="J928" s="6" t="s">
        <v>6377</v>
      </c>
      <c r="K928" s="6" t="s">
        <v>6378</v>
      </c>
      <c r="L928" s="6" t="s">
        <v>6379</v>
      </c>
      <c r="M928" s="6" t="s">
        <v>6380</v>
      </c>
      <c r="N928" s="17"/>
      <c r="O928" s="17"/>
      <c r="P928" s="17" t="str">
        <f t="shared" si="6"/>
        <v>OK</v>
      </c>
      <c r="Q928" s="17" t="s">
        <v>35</v>
      </c>
      <c r="R928" s="6" t="s">
        <v>35</v>
      </c>
      <c r="S928" s="17" t="s">
        <v>36</v>
      </c>
      <c r="T928" s="17" t="s">
        <v>6381</v>
      </c>
      <c r="U928" s="173" t="s">
        <v>38</v>
      </c>
      <c r="V928" s="11" t="s">
        <v>6054</v>
      </c>
      <c r="W928" s="22" t="s">
        <v>6277</v>
      </c>
      <c r="X928" s="22" t="s">
        <v>6277</v>
      </c>
      <c r="Y928" s="22"/>
      <c r="Z928" s="7"/>
      <c r="AA928" s="7"/>
      <c r="AB928" s="23"/>
      <c r="AC928" s="26"/>
    </row>
    <row r="929" spans="1:29" ht="15.75" customHeight="1">
      <c r="A929" s="10" t="s">
        <v>6382</v>
      </c>
      <c r="B929" s="10" t="s">
        <v>4410</v>
      </c>
      <c r="C929" s="11" t="s">
        <v>6054</v>
      </c>
      <c r="D929" s="12"/>
      <c r="E929" s="13" t="s">
        <v>184</v>
      </c>
      <c r="F929" s="6" t="s">
        <v>6370</v>
      </c>
      <c r="G929" s="6" t="str">
        <f ca="1">IFERROR(__xludf.DUMMYFUNCTION("CONCATENATE(B929,(VLOOKUP(C929,CATALOGOS!$F$2:$H$6,3,FALSE)),(VLOOKUP(V929,CATALOGOS!$J$2:$K$18,2,FALSE)),""-"",TO_TEXT(A929))"),"P21DG-0928")</f>
        <v>P21DG-0928</v>
      </c>
      <c r="H929" s="6" t="str">
        <f ca="1">IFERROR(__xludf.DUMMYFUNCTION("CONCATENATE($B929,(VLOOKUP($C929,CATALOGOS!$F$2:$H$6,3,FALSE)),(VLOOKUP($V929,CATALOGOS!$J$2:$K$18,2,FALSE)),""-"",TO_TEXT($A929))"),"P21DG-0928")</f>
        <v>P21DG-0928</v>
      </c>
      <c r="I929" s="6"/>
      <c r="J929" s="6" t="s">
        <v>6383</v>
      </c>
      <c r="K929" s="6" t="s">
        <v>6384</v>
      </c>
      <c r="L929" s="6" t="s">
        <v>6385</v>
      </c>
      <c r="M929" s="6" t="s">
        <v>6386</v>
      </c>
      <c r="N929" s="17"/>
      <c r="O929" s="17"/>
      <c r="P929" s="17" t="str">
        <f t="shared" si="6"/>
        <v>OK</v>
      </c>
      <c r="Q929" s="17" t="s">
        <v>35</v>
      </c>
      <c r="R929" s="6" t="s">
        <v>35</v>
      </c>
      <c r="S929" s="17" t="s">
        <v>36</v>
      </c>
      <c r="T929" s="17" t="s">
        <v>6387</v>
      </c>
      <c r="U929" s="173" t="s">
        <v>38</v>
      </c>
      <c r="V929" s="11" t="s">
        <v>6054</v>
      </c>
      <c r="W929" s="22" t="s">
        <v>6277</v>
      </c>
      <c r="X929" s="22" t="s">
        <v>6277</v>
      </c>
      <c r="Y929" s="22"/>
      <c r="Z929" s="7"/>
      <c r="AA929" s="7"/>
      <c r="AB929" s="23"/>
      <c r="AC929" s="26"/>
    </row>
    <row r="930" spans="1:29" ht="15.75" customHeight="1">
      <c r="A930" s="10" t="s">
        <v>6388</v>
      </c>
      <c r="B930" s="10" t="s">
        <v>4410</v>
      </c>
      <c r="C930" s="11" t="s">
        <v>6054</v>
      </c>
      <c r="D930" s="12"/>
      <c r="E930" s="13" t="s">
        <v>184</v>
      </c>
      <c r="F930" s="6" t="s">
        <v>6370</v>
      </c>
      <c r="G930" s="6" t="str">
        <f ca="1">IFERROR(__xludf.DUMMYFUNCTION("CONCATENATE(B930,(VLOOKUP(C930,CATALOGOS!$F$2:$H$6,3,FALSE)),(VLOOKUP(V930,CATALOGOS!$J$2:$K$18,2,FALSE)),""-"",TO_TEXT(A930))"),"P21DG-0929")</f>
        <v>P21DG-0929</v>
      </c>
      <c r="H930" s="6" t="str">
        <f ca="1">IFERROR(__xludf.DUMMYFUNCTION("CONCATENATE($B930,(VLOOKUP($C930,CATALOGOS!$F$2:$H$6,3,FALSE)),(VLOOKUP($V930,CATALOGOS!$J$2:$K$18,2,FALSE)),""-"",TO_TEXT($A930))"),"P21DG-0929")</f>
        <v>P21DG-0929</v>
      </c>
      <c r="I930" s="6"/>
      <c r="J930" s="6" t="s">
        <v>6389</v>
      </c>
      <c r="K930" s="6" t="s">
        <v>6390</v>
      </c>
      <c r="L930" s="6" t="s">
        <v>6391</v>
      </c>
      <c r="M930" s="6" t="s">
        <v>6392</v>
      </c>
      <c r="N930" s="17"/>
      <c r="O930" s="17"/>
      <c r="P930" s="17" t="str">
        <f t="shared" si="6"/>
        <v>OK</v>
      </c>
      <c r="Q930" s="17" t="s">
        <v>35</v>
      </c>
      <c r="R930" s="6" t="s">
        <v>35</v>
      </c>
      <c r="S930" s="17" t="s">
        <v>36</v>
      </c>
      <c r="T930" s="17" t="s">
        <v>6393</v>
      </c>
      <c r="U930" s="173" t="s">
        <v>38</v>
      </c>
      <c r="V930" s="11" t="s">
        <v>6054</v>
      </c>
      <c r="W930" s="22" t="s">
        <v>6277</v>
      </c>
      <c r="X930" s="22" t="s">
        <v>6277</v>
      </c>
      <c r="Y930" s="22"/>
      <c r="Z930" s="7"/>
      <c r="AA930" s="7"/>
      <c r="AB930" s="23"/>
      <c r="AC930" s="26"/>
    </row>
    <row r="931" spans="1:29" ht="15.75" customHeight="1">
      <c r="A931" s="10" t="s">
        <v>6394</v>
      </c>
      <c r="B931" s="10" t="s">
        <v>4410</v>
      </c>
      <c r="C931" s="60" t="s">
        <v>4411</v>
      </c>
      <c r="D931" s="12"/>
      <c r="E931" s="13" t="s">
        <v>184</v>
      </c>
      <c r="F931" s="6" t="s">
        <v>6370</v>
      </c>
      <c r="G931" s="15" t="str">
        <f ca="1">IFERROR(__xludf.DUMMYFUNCTION("CONCATENATE(B931,(VLOOKUP(C931,CATALOGOS!$F$2:$H$6,3,FALSE)),(VLOOKUP(V931,CATALOGOS!$J$2:$K$18,2,FALSE)),""-"",TO_TEXT(A931))"),"P24SJ-0930")</f>
        <v>P24SJ-0930</v>
      </c>
      <c r="H931" s="6" t="str">
        <f ca="1">IFERROR(__xludf.DUMMYFUNCTION("CONCATENATE($B931,(VLOOKUP($C931,CATALOGOS!$F$2:$H$6,3,FALSE)),(VLOOKUP($V931,CATALOGOS!$J$2:$K$18,2,FALSE)),""-"",TO_TEXT($A931))"),"P24SJ-0930")</f>
        <v>P24SJ-0930</v>
      </c>
      <c r="I931" s="6"/>
      <c r="J931" s="6" t="s">
        <v>6395</v>
      </c>
      <c r="K931" s="6" t="s">
        <v>6396</v>
      </c>
      <c r="L931" s="6" t="s">
        <v>6397</v>
      </c>
      <c r="M931" s="6" t="s">
        <v>6398</v>
      </c>
      <c r="N931" s="17"/>
      <c r="O931" s="17"/>
      <c r="P931" s="17" t="str">
        <f t="shared" si="6"/>
        <v>OK</v>
      </c>
      <c r="Q931" s="17" t="s">
        <v>35</v>
      </c>
      <c r="R931" s="6" t="s">
        <v>35</v>
      </c>
      <c r="S931" s="17" t="s">
        <v>36</v>
      </c>
      <c r="T931" s="17" t="s">
        <v>6399</v>
      </c>
      <c r="U931" s="173" t="s">
        <v>38</v>
      </c>
      <c r="V931" s="11" t="s">
        <v>4411</v>
      </c>
      <c r="W931" s="20" t="s">
        <v>4935</v>
      </c>
      <c r="X931" s="20" t="s">
        <v>4935</v>
      </c>
      <c r="Y931" s="20"/>
      <c r="Z931" s="7"/>
      <c r="AA931" s="7"/>
      <c r="AB931" s="23"/>
      <c r="AC931" s="26"/>
    </row>
    <row r="932" spans="1:29" ht="15.75" customHeight="1">
      <c r="A932" s="10" t="s">
        <v>6400</v>
      </c>
      <c r="B932" s="10" t="s">
        <v>4410</v>
      </c>
      <c r="C932" s="11" t="s">
        <v>6054</v>
      </c>
      <c r="D932" s="12"/>
      <c r="E932" s="13" t="s">
        <v>184</v>
      </c>
      <c r="F932" s="6" t="s">
        <v>6370</v>
      </c>
      <c r="G932" s="6" t="str">
        <f ca="1">IFERROR(__xludf.DUMMYFUNCTION("CONCATENATE(B932,(VLOOKUP(C932,CATALOGOS!$F$2:$H$6,3,FALSE)),(VLOOKUP(V932,CATALOGOS!$J$2:$K$18,2,FALSE)),""-"",TO_TEXT(A932))"),"P21DG-0931")</f>
        <v>P21DG-0931</v>
      </c>
      <c r="H932" s="6" t="str">
        <f ca="1">IFERROR(__xludf.DUMMYFUNCTION("CONCATENATE($B932,(VLOOKUP($C932,CATALOGOS!$F$2:$H$6,3,FALSE)),(VLOOKUP($V932,CATALOGOS!$J$2:$K$18,2,FALSE)),""-"",TO_TEXT($A932))"),"P21DG-0931")</f>
        <v>P21DG-0931</v>
      </c>
      <c r="I932" s="6"/>
      <c r="J932" s="6" t="s">
        <v>6401</v>
      </c>
      <c r="K932" s="6" t="s">
        <v>6402</v>
      </c>
      <c r="L932" s="6" t="s">
        <v>6403</v>
      </c>
      <c r="M932" s="6" t="s">
        <v>6404</v>
      </c>
      <c r="N932" s="17"/>
      <c r="O932" s="17"/>
      <c r="P932" s="17" t="str">
        <f t="shared" si="6"/>
        <v>OK</v>
      </c>
      <c r="Q932" s="17" t="s">
        <v>35</v>
      </c>
      <c r="R932" s="6" t="s">
        <v>35</v>
      </c>
      <c r="S932" s="17" t="s">
        <v>36</v>
      </c>
      <c r="T932" s="17" t="s">
        <v>6405</v>
      </c>
      <c r="U932" s="173" t="s">
        <v>38</v>
      </c>
      <c r="V932" s="11" t="s">
        <v>6054</v>
      </c>
      <c r="W932" s="22" t="s">
        <v>6277</v>
      </c>
      <c r="X932" s="22" t="s">
        <v>6277</v>
      </c>
      <c r="Y932" s="22"/>
      <c r="Z932" s="7"/>
      <c r="AA932" s="7"/>
      <c r="AB932" s="23"/>
      <c r="AC932" s="26"/>
    </row>
    <row r="933" spans="1:29" ht="15.75" customHeight="1">
      <c r="A933" s="10" t="s">
        <v>6406</v>
      </c>
      <c r="B933" s="10" t="s">
        <v>4410</v>
      </c>
      <c r="C933" s="11" t="s">
        <v>6054</v>
      </c>
      <c r="D933" s="12"/>
      <c r="E933" s="13" t="s">
        <v>184</v>
      </c>
      <c r="F933" s="6" t="s">
        <v>6370</v>
      </c>
      <c r="G933" s="6" t="str">
        <f ca="1">IFERROR(__xludf.DUMMYFUNCTION("CONCATENATE(B933,(VLOOKUP(C933,CATALOGOS!$F$2:$H$6,3,FALSE)),(VLOOKUP(V933,CATALOGOS!$J$2:$K$18,2,FALSE)),""-"",TO_TEXT(A933))"),"P21DG-0932")</f>
        <v>P21DG-0932</v>
      </c>
      <c r="H933" s="6" t="str">
        <f ca="1">IFERROR(__xludf.DUMMYFUNCTION("CONCATENATE($B933,(VLOOKUP($C933,CATALOGOS!$F$2:$H$6,3,FALSE)),(VLOOKUP($V933,CATALOGOS!$J$2:$K$18,2,FALSE)),""-"",TO_TEXT($A933))"),"P21DG-0932")</f>
        <v>P21DG-0932</v>
      </c>
      <c r="I933" s="6"/>
      <c r="J933" s="6" t="s">
        <v>6407</v>
      </c>
      <c r="K933" s="6" t="s">
        <v>6408</v>
      </c>
      <c r="L933" s="6" t="s">
        <v>6409</v>
      </c>
      <c r="M933" s="6" t="s">
        <v>6410</v>
      </c>
      <c r="N933" s="17"/>
      <c r="O933" s="17"/>
      <c r="P933" s="17" t="str">
        <f t="shared" si="6"/>
        <v>OK</v>
      </c>
      <c r="Q933" s="17" t="s">
        <v>35</v>
      </c>
      <c r="R933" s="6" t="s">
        <v>35</v>
      </c>
      <c r="S933" s="17" t="s">
        <v>36</v>
      </c>
      <c r="T933" s="17" t="s">
        <v>6411</v>
      </c>
      <c r="U933" s="173" t="s">
        <v>38</v>
      </c>
      <c r="V933" s="11" t="s">
        <v>6054</v>
      </c>
      <c r="W933" s="22" t="s">
        <v>6277</v>
      </c>
      <c r="X933" s="22" t="s">
        <v>6277</v>
      </c>
      <c r="Y933" s="22"/>
      <c r="Z933" s="7"/>
      <c r="AA933" s="7"/>
      <c r="AB933" s="23"/>
      <c r="AC933" s="26"/>
    </row>
    <row r="934" spans="1:29" ht="15.75" customHeight="1">
      <c r="A934" s="10" t="s">
        <v>6412</v>
      </c>
      <c r="B934" s="10" t="s">
        <v>4410</v>
      </c>
      <c r="C934" s="11" t="s">
        <v>6054</v>
      </c>
      <c r="D934" s="12"/>
      <c r="E934" s="13" t="s">
        <v>184</v>
      </c>
      <c r="F934" s="6" t="s">
        <v>6370</v>
      </c>
      <c r="G934" s="6" t="str">
        <f ca="1">IFERROR(__xludf.DUMMYFUNCTION("CONCATENATE(B934,(VLOOKUP(C934,CATALOGOS!$F$2:$H$6,3,FALSE)),(VLOOKUP(V934,CATALOGOS!$J$2:$K$18,2,FALSE)),""-"",TO_TEXT(A934))"),"P21DG-0933")</f>
        <v>P21DG-0933</v>
      </c>
      <c r="H934" s="6" t="str">
        <f ca="1">IFERROR(__xludf.DUMMYFUNCTION("CONCATENATE($B934,(VLOOKUP($C934,CATALOGOS!$F$2:$H$6,3,FALSE)),(VLOOKUP($V934,CATALOGOS!$J$2:$K$18,2,FALSE)),""-"",TO_TEXT($A934))"),"P21DG-0933")</f>
        <v>P21DG-0933</v>
      </c>
      <c r="I934" s="6"/>
      <c r="J934" s="6" t="s">
        <v>6413</v>
      </c>
      <c r="K934" s="6" t="s">
        <v>6414</v>
      </c>
      <c r="L934" s="6" t="s">
        <v>6415</v>
      </c>
      <c r="M934" s="6" t="s">
        <v>6416</v>
      </c>
      <c r="N934" s="17"/>
      <c r="O934" s="17"/>
      <c r="P934" s="17" t="str">
        <f t="shared" si="6"/>
        <v>OK</v>
      </c>
      <c r="Q934" s="17" t="s">
        <v>35</v>
      </c>
      <c r="R934" s="6" t="s">
        <v>35</v>
      </c>
      <c r="S934" s="17" t="s">
        <v>36</v>
      </c>
      <c r="T934" s="17" t="s">
        <v>6417</v>
      </c>
      <c r="U934" s="173" t="s">
        <v>38</v>
      </c>
      <c r="V934" s="11" t="s">
        <v>6054</v>
      </c>
      <c r="W934" s="22" t="s">
        <v>6277</v>
      </c>
      <c r="X934" s="22" t="s">
        <v>6277</v>
      </c>
      <c r="Y934" s="22"/>
      <c r="Z934" s="7"/>
      <c r="AA934" s="7"/>
      <c r="AB934" s="23"/>
      <c r="AC934" s="26"/>
    </row>
    <row r="935" spans="1:29" ht="15.75" customHeight="1">
      <c r="A935" s="10" t="s">
        <v>6418</v>
      </c>
      <c r="B935" s="10" t="s">
        <v>4410</v>
      </c>
      <c r="C935" s="11" t="s">
        <v>6054</v>
      </c>
      <c r="D935" s="12"/>
      <c r="E935" s="13" t="s">
        <v>184</v>
      </c>
      <c r="F935" s="6" t="s">
        <v>6370</v>
      </c>
      <c r="G935" s="6" t="str">
        <f ca="1">IFERROR(__xludf.DUMMYFUNCTION("CONCATENATE(B935,(VLOOKUP(C935,CATALOGOS!$F$2:$H$6,3,FALSE)),(VLOOKUP(V935,CATALOGOS!$J$2:$K$18,2,FALSE)),""-"",TO_TEXT(A935))"),"P21DG-0934")</f>
        <v>P21DG-0934</v>
      </c>
      <c r="H935" s="6" t="str">
        <f ca="1">IFERROR(__xludf.DUMMYFUNCTION("CONCATENATE($B935,(VLOOKUP($C935,CATALOGOS!$F$2:$H$6,3,FALSE)),(VLOOKUP($V935,CATALOGOS!$J$2:$K$18,2,FALSE)),""-"",TO_TEXT($A935))"),"P21DG-0934")</f>
        <v>P21DG-0934</v>
      </c>
      <c r="I935" s="6"/>
      <c r="J935" s="6" t="s">
        <v>6419</v>
      </c>
      <c r="K935" s="6" t="s">
        <v>6420</v>
      </c>
      <c r="L935" s="6" t="s">
        <v>6421</v>
      </c>
      <c r="M935" s="6" t="s">
        <v>6422</v>
      </c>
      <c r="N935" s="17"/>
      <c r="O935" s="17"/>
      <c r="P935" s="17" t="str">
        <f t="shared" si="6"/>
        <v>OK</v>
      </c>
      <c r="Q935" s="17" t="s">
        <v>35</v>
      </c>
      <c r="R935" s="6" t="s">
        <v>35</v>
      </c>
      <c r="S935" s="17" t="s">
        <v>36</v>
      </c>
      <c r="T935" s="17" t="s">
        <v>6423</v>
      </c>
      <c r="U935" s="173" t="s">
        <v>38</v>
      </c>
      <c r="V935" s="11" t="s">
        <v>6054</v>
      </c>
      <c r="W935" s="22" t="s">
        <v>6277</v>
      </c>
      <c r="X935" s="22" t="s">
        <v>6277</v>
      </c>
      <c r="Y935" s="22"/>
      <c r="Z935" s="7"/>
      <c r="AA935" s="7"/>
      <c r="AB935" s="23"/>
      <c r="AC935" s="26"/>
    </row>
    <row r="936" spans="1:29" ht="15.75" customHeight="1">
      <c r="A936" s="10" t="s">
        <v>6424</v>
      </c>
      <c r="B936" s="10" t="s">
        <v>4410</v>
      </c>
      <c r="C936" s="11" t="s">
        <v>6054</v>
      </c>
      <c r="D936" s="12"/>
      <c r="E936" s="13" t="s">
        <v>184</v>
      </c>
      <c r="F936" s="6" t="s">
        <v>6370</v>
      </c>
      <c r="G936" s="6" t="str">
        <f ca="1">IFERROR(__xludf.DUMMYFUNCTION("CONCATENATE(B936,(VLOOKUP(C936,CATALOGOS!$F$2:$H$6,3,FALSE)),(VLOOKUP(V936,CATALOGOS!$J$2:$K$18,2,FALSE)),""-"",TO_TEXT(A936))"),"P21DG-0935")</f>
        <v>P21DG-0935</v>
      </c>
      <c r="H936" s="6" t="str">
        <f ca="1">IFERROR(__xludf.DUMMYFUNCTION("CONCATENATE($B936,(VLOOKUP($C936,CATALOGOS!$F$2:$H$6,3,FALSE)),(VLOOKUP($V936,CATALOGOS!$J$2:$K$18,2,FALSE)),""-"",TO_TEXT($A936))"),"P21DG-0935")</f>
        <v>P21DG-0935</v>
      </c>
      <c r="I936" s="6"/>
      <c r="J936" s="6" t="s">
        <v>6425</v>
      </c>
      <c r="K936" s="6" t="s">
        <v>6426</v>
      </c>
      <c r="L936" s="6" t="s">
        <v>6427</v>
      </c>
      <c r="M936" s="6" t="s">
        <v>6428</v>
      </c>
      <c r="N936" s="17"/>
      <c r="O936" s="17"/>
      <c r="P936" s="17" t="str">
        <f t="shared" si="6"/>
        <v>OK</v>
      </c>
      <c r="Q936" s="17" t="s">
        <v>35</v>
      </c>
      <c r="R936" s="6" t="s">
        <v>35</v>
      </c>
      <c r="S936" s="17" t="s">
        <v>36</v>
      </c>
      <c r="T936" s="17" t="s">
        <v>6429</v>
      </c>
      <c r="U936" s="173" t="s">
        <v>38</v>
      </c>
      <c r="V936" s="11" t="s">
        <v>6054</v>
      </c>
      <c r="W936" s="22" t="s">
        <v>6277</v>
      </c>
      <c r="X936" s="22" t="s">
        <v>6277</v>
      </c>
      <c r="Y936" s="22"/>
      <c r="Z936" s="7"/>
      <c r="AA936" s="7"/>
      <c r="AB936" s="23"/>
      <c r="AC936" s="26"/>
    </row>
    <row r="937" spans="1:29" ht="15.75" customHeight="1">
      <c r="A937" s="10" t="s">
        <v>6430</v>
      </c>
      <c r="B937" s="10" t="s">
        <v>4410</v>
      </c>
      <c r="C937" s="11" t="s">
        <v>6054</v>
      </c>
      <c r="D937" s="12"/>
      <c r="E937" s="13" t="s">
        <v>184</v>
      </c>
      <c r="F937" s="6" t="s">
        <v>6370</v>
      </c>
      <c r="G937" s="6" t="str">
        <f ca="1">IFERROR(__xludf.DUMMYFUNCTION("CONCATENATE(B937,(VLOOKUP(C937,CATALOGOS!$F$2:$H$6,3,FALSE)),(VLOOKUP(V937,CATALOGOS!$J$2:$K$18,2,FALSE)),""-"",TO_TEXT(A937))"),"P21DG-0936")</f>
        <v>P21DG-0936</v>
      </c>
      <c r="H937" s="6" t="str">
        <f ca="1">IFERROR(__xludf.DUMMYFUNCTION("CONCATENATE($B937,(VLOOKUP($C937,CATALOGOS!$F$2:$H$6,3,FALSE)),(VLOOKUP($V937,CATALOGOS!$J$2:$K$18,2,FALSE)),""-"",TO_TEXT($A937))"),"P21DG-0936")</f>
        <v>P21DG-0936</v>
      </c>
      <c r="I937" s="6"/>
      <c r="J937" s="6" t="s">
        <v>6431</v>
      </c>
      <c r="K937" s="6" t="s">
        <v>6432</v>
      </c>
      <c r="L937" s="6" t="s">
        <v>6433</v>
      </c>
      <c r="M937" s="6" t="s">
        <v>6434</v>
      </c>
      <c r="N937" s="17"/>
      <c r="O937" s="17"/>
      <c r="P937" s="17" t="str">
        <f t="shared" si="6"/>
        <v>OK</v>
      </c>
      <c r="Q937" s="17" t="s">
        <v>35</v>
      </c>
      <c r="R937" s="6" t="s">
        <v>35</v>
      </c>
      <c r="S937" s="17" t="s">
        <v>36</v>
      </c>
      <c r="T937" s="17" t="s">
        <v>6435</v>
      </c>
      <c r="U937" s="173" t="s">
        <v>38</v>
      </c>
      <c r="V937" s="11" t="s">
        <v>6054</v>
      </c>
      <c r="W937" s="22" t="s">
        <v>6277</v>
      </c>
      <c r="X937" s="22" t="s">
        <v>6277</v>
      </c>
      <c r="Y937" s="22"/>
      <c r="Z937" s="7"/>
      <c r="AA937" s="7"/>
      <c r="AB937" s="23"/>
      <c r="AC937" s="26"/>
    </row>
    <row r="938" spans="1:29" ht="15.75" customHeight="1">
      <c r="A938" s="10" t="s">
        <v>6436</v>
      </c>
      <c r="B938" s="10" t="s">
        <v>4410</v>
      </c>
      <c r="C938" s="11" t="s">
        <v>6054</v>
      </c>
      <c r="D938" s="12"/>
      <c r="E938" s="13" t="s">
        <v>184</v>
      </c>
      <c r="F938" s="6" t="s">
        <v>6370</v>
      </c>
      <c r="G938" s="6" t="str">
        <f ca="1">IFERROR(__xludf.DUMMYFUNCTION("CONCATENATE(B938,(VLOOKUP(C938,CATALOGOS!$F$2:$H$6,3,FALSE)),(VLOOKUP(V938,CATALOGOS!$J$2:$K$18,2,FALSE)),""-"",TO_TEXT(A938))"),"P21DG-0937")</f>
        <v>P21DG-0937</v>
      </c>
      <c r="H938" s="6" t="str">
        <f ca="1">IFERROR(__xludf.DUMMYFUNCTION("CONCATENATE($B938,(VLOOKUP($C938,CATALOGOS!$F$2:$H$6,3,FALSE)),(VLOOKUP($V938,CATALOGOS!$J$2:$K$18,2,FALSE)),""-"",TO_TEXT($A938))"),"P21DG-0937")</f>
        <v>P21DG-0937</v>
      </c>
      <c r="I938" s="6"/>
      <c r="J938" s="6" t="s">
        <v>6437</v>
      </c>
      <c r="K938" s="6" t="s">
        <v>6438</v>
      </c>
      <c r="L938" s="6" t="s">
        <v>6439</v>
      </c>
      <c r="M938" s="43" t="s">
        <v>6440</v>
      </c>
      <c r="N938" s="17"/>
      <c r="O938" s="17"/>
      <c r="P938" s="17" t="str">
        <f t="shared" si="6"/>
        <v>OK</v>
      </c>
      <c r="Q938" s="17" t="s">
        <v>35</v>
      </c>
      <c r="R938" s="6" t="s">
        <v>35</v>
      </c>
      <c r="S938" s="17" t="s">
        <v>36</v>
      </c>
      <c r="T938" s="17" t="s">
        <v>6441</v>
      </c>
      <c r="U938" s="173" t="s">
        <v>38</v>
      </c>
      <c r="V938" s="11" t="s">
        <v>6054</v>
      </c>
      <c r="W938" s="22" t="s">
        <v>6277</v>
      </c>
      <c r="X938" s="22" t="s">
        <v>6277</v>
      </c>
      <c r="Y938" s="22"/>
      <c r="Z938" s="7"/>
      <c r="AA938" s="7"/>
      <c r="AB938" s="23"/>
      <c r="AC938" s="26"/>
    </row>
    <row r="939" spans="1:29" ht="15.75" customHeight="1">
      <c r="A939" s="10" t="s">
        <v>6442</v>
      </c>
      <c r="B939" s="10" t="s">
        <v>4410</v>
      </c>
      <c r="C939" s="11" t="s">
        <v>6054</v>
      </c>
      <c r="D939" s="12"/>
      <c r="E939" s="13" t="s">
        <v>93</v>
      </c>
      <c r="F939" s="6" t="s">
        <v>6443</v>
      </c>
      <c r="G939" s="6" t="str">
        <f ca="1">IFERROR(__xludf.DUMMYFUNCTION("CONCATENATE(B939,(VLOOKUP(C939,CATALOGOS!$F$2:$H$6,3,FALSE)),(VLOOKUP(V939,CATALOGOS!$J$2:$K$18,2,FALSE)),""-"",TO_TEXT(A939))"),"P21DG-0938")</f>
        <v>P21DG-0938</v>
      </c>
      <c r="H939" s="6" t="str">
        <f ca="1">IFERROR(__xludf.DUMMYFUNCTION("CONCATENATE($B939,(VLOOKUP($C939,CATALOGOS!$F$2:$H$6,3,FALSE)),(VLOOKUP($V939,CATALOGOS!$J$2:$K$18,2,FALSE)),""-"",TO_TEXT($A939))"),"P21DG-0938")</f>
        <v>P21DG-0938</v>
      </c>
      <c r="I939" s="6"/>
      <c r="J939" s="6" t="s">
        <v>6444</v>
      </c>
      <c r="K939" s="6" t="s">
        <v>6445</v>
      </c>
      <c r="L939" s="6" t="s">
        <v>6446</v>
      </c>
      <c r="M939" s="6" t="s">
        <v>6447</v>
      </c>
      <c r="N939" s="17"/>
      <c r="O939" s="17"/>
      <c r="P939" s="17" t="str">
        <f t="shared" si="6"/>
        <v>OK</v>
      </c>
      <c r="Q939" s="17" t="s">
        <v>35</v>
      </c>
      <c r="R939" s="6" t="s">
        <v>35</v>
      </c>
      <c r="S939" s="17" t="s">
        <v>36</v>
      </c>
      <c r="T939" s="17" t="s">
        <v>6448</v>
      </c>
      <c r="U939" s="173" t="s">
        <v>38</v>
      </c>
      <c r="V939" s="11" t="s">
        <v>6054</v>
      </c>
      <c r="W939" s="22" t="s">
        <v>6277</v>
      </c>
      <c r="X939" s="22" t="s">
        <v>6277</v>
      </c>
      <c r="Y939" s="22"/>
      <c r="Z939" s="7"/>
      <c r="AA939" s="7"/>
      <c r="AB939" s="23"/>
      <c r="AC939" s="26"/>
    </row>
    <row r="940" spans="1:29" ht="15.75" customHeight="1">
      <c r="A940" s="10" t="s">
        <v>6449</v>
      </c>
      <c r="B940" s="10" t="s">
        <v>4410</v>
      </c>
      <c r="C940" s="11" t="s">
        <v>6054</v>
      </c>
      <c r="D940" s="12"/>
      <c r="E940" s="13" t="s">
        <v>93</v>
      </c>
      <c r="F940" s="6" t="s">
        <v>6450</v>
      </c>
      <c r="G940" s="6" t="str">
        <f ca="1">IFERROR(__xludf.DUMMYFUNCTION("CONCATENATE(B940,(VLOOKUP(C940,CATALOGOS!$F$2:$H$6,3,FALSE)),(VLOOKUP(V940,CATALOGOS!$J$2:$K$18,2,FALSE)),""-"",TO_TEXT(A940))"),"P21DG-0939")</f>
        <v>P21DG-0939</v>
      </c>
      <c r="H940" s="6" t="str">
        <f ca="1">IFERROR(__xludf.DUMMYFUNCTION("CONCATENATE($B940,(VLOOKUP($C940,CATALOGOS!$F$2:$H$6,3,FALSE)),(VLOOKUP($V940,CATALOGOS!$J$2:$K$18,2,FALSE)),""-"",TO_TEXT($A940))"),"P21DG-0939")</f>
        <v>P21DG-0939</v>
      </c>
      <c r="I940" s="6"/>
      <c r="J940" s="6" t="s">
        <v>6451</v>
      </c>
      <c r="K940" s="6" t="s">
        <v>6452</v>
      </c>
      <c r="L940" s="6" t="s">
        <v>6453</v>
      </c>
      <c r="M940" s="6" t="s">
        <v>6454</v>
      </c>
      <c r="N940" s="17"/>
      <c r="O940" s="17"/>
      <c r="P940" s="17" t="str">
        <f t="shared" si="6"/>
        <v>OK</v>
      </c>
      <c r="Q940" s="17" t="s">
        <v>35</v>
      </c>
      <c r="R940" s="6" t="s">
        <v>35</v>
      </c>
      <c r="S940" s="17" t="s">
        <v>36</v>
      </c>
      <c r="T940" s="17" t="s">
        <v>6455</v>
      </c>
      <c r="U940" s="173" t="s">
        <v>38</v>
      </c>
      <c r="V940" s="11" t="s">
        <v>6054</v>
      </c>
      <c r="W940" s="22" t="s">
        <v>6277</v>
      </c>
      <c r="X940" s="22" t="s">
        <v>6277</v>
      </c>
      <c r="Y940" s="22"/>
      <c r="Z940" s="7"/>
      <c r="AA940" s="7"/>
      <c r="AB940" s="23"/>
      <c r="AC940" s="26"/>
    </row>
    <row r="941" spans="1:29" ht="15.75" customHeight="1">
      <c r="A941" s="10" t="s">
        <v>6456</v>
      </c>
      <c r="B941" s="10" t="s">
        <v>4410</v>
      </c>
      <c r="C941" s="11" t="s">
        <v>6054</v>
      </c>
      <c r="D941" s="12"/>
      <c r="E941" s="13" t="s">
        <v>93</v>
      </c>
      <c r="F941" s="6" t="s">
        <v>6450</v>
      </c>
      <c r="G941" s="6" t="str">
        <f ca="1">IFERROR(__xludf.DUMMYFUNCTION("CONCATENATE(B941,(VLOOKUP(C941,CATALOGOS!$F$2:$H$6,3,FALSE)),(VLOOKUP(V941,CATALOGOS!$J$2:$K$18,2,FALSE)),""-"",TO_TEXT(A941))"),"P21DG-0940")</f>
        <v>P21DG-0940</v>
      </c>
      <c r="H941" s="6" t="str">
        <f ca="1">IFERROR(__xludf.DUMMYFUNCTION("CONCATENATE($B941,(VLOOKUP($C941,CATALOGOS!$F$2:$H$6,3,FALSE)),(VLOOKUP($V941,CATALOGOS!$J$2:$K$18,2,FALSE)),""-"",TO_TEXT($A941))"),"P21DG-0940")</f>
        <v>P21DG-0940</v>
      </c>
      <c r="I941" s="6"/>
      <c r="J941" s="6" t="s">
        <v>6457</v>
      </c>
      <c r="K941" s="6" t="s">
        <v>6458</v>
      </c>
      <c r="L941" s="6" t="s">
        <v>6459</v>
      </c>
      <c r="M941" s="6" t="s">
        <v>6460</v>
      </c>
      <c r="N941" s="17"/>
      <c r="O941" s="17"/>
      <c r="P941" s="17" t="str">
        <f t="shared" si="6"/>
        <v>OK</v>
      </c>
      <c r="Q941" s="17" t="s">
        <v>35</v>
      </c>
      <c r="R941" s="6" t="s">
        <v>35</v>
      </c>
      <c r="S941" s="17" t="s">
        <v>36</v>
      </c>
      <c r="T941" s="17" t="s">
        <v>6461</v>
      </c>
      <c r="U941" s="173" t="s">
        <v>38</v>
      </c>
      <c r="V941" s="11" t="s">
        <v>6054</v>
      </c>
      <c r="W941" s="22" t="s">
        <v>6277</v>
      </c>
      <c r="X941" s="22" t="s">
        <v>6277</v>
      </c>
      <c r="Y941" s="22"/>
      <c r="Z941" s="7"/>
      <c r="AA941" s="7"/>
      <c r="AB941" s="23"/>
      <c r="AC941" s="26"/>
    </row>
    <row r="942" spans="1:29" ht="15.75" customHeight="1">
      <c r="A942" s="10" t="s">
        <v>6462</v>
      </c>
      <c r="B942" s="10" t="s">
        <v>4410</v>
      </c>
      <c r="C942" s="11" t="s">
        <v>6054</v>
      </c>
      <c r="D942" s="12"/>
      <c r="E942" s="13" t="s">
        <v>93</v>
      </c>
      <c r="F942" s="6" t="s">
        <v>6443</v>
      </c>
      <c r="G942" s="6" t="str">
        <f ca="1">IFERROR(__xludf.DUMMYFUNCTION("CONCATENATE(B942,(VLOOKUP(C942,CATALOGOS!$F$2:$H$6,3,FALSE)),(VLOOKUP(V942,CATALOGOS!$J$2:$K$18,2,FALSE)),""-"",TO_TEXT(A942))"),"P21DG-0941")</f>
        <v>P21DG-0941</v>
      </c>
      <c r="H942" s="6" t="str">
        <f ca="1">IFERROR(__xludf.DUMMYFUNCTION("CONCATENATE($B942,(VLOOKUP($C942,CATALOGOS!$F$2:$H$6,3,FALSE)),(VLOOKUP($V942,CATALOGOS!$J$2:$K$18,2,FALSE)),""-"",TO_TEXT($A942))"),"P21DG-0941")</f>
        <v>P21DG-0941</v>
      </c>
      <c r="I942" s="6"/>
      <c r="J942" s="6" t="s">
        <v>6463</v>
      </c>
      <c r="K942" s="6" t="s">
        <v>6464</v>
      </c>
      <c r="L942" s="6" t="s">
        <v>6465</v>
      </c>
      <c r="M942" s="6" t="s">
        <v>6466</v>
      </c>
      <c r="N942" s="17"/>
      <c r="O942" s="17"/>
      <c r="P942" s="17" t="str">
        <f t="shared" si="6"/>
        <v>OK</v>
      </c>
      <c r="Q942" s="17" t="s">
        <v>35</v>
      </c>
      <c r="R942" s="6" t="s">
        <v>35</v>
      </c>
      <c r="S942" s="17" t="s">
        <v>36</v>
      </c>
      <c r="T942" s="17" t="s">
        <v>6467</v>
      </c>
      <c r="U942" s="173" t="s">
        <v>38</v>
      </c>
      <c r="V942" s="11" t="s">
        <v>6054</v>
      </c>
      <c r="W942" s="22" t="s">
        <v>6277</v>
      </c>
      <c r="X942" s="22" t="s">
        <v>6277</v>
      </c>
      <c r="Y942" s="22"/>
      <c r="Z942" s="7"/>
      <c r="AA942" s="7"/>
      <c r="AB942" s="23"/>
      <c r="AC942" s="26"/>
    </row>
    <row r="943" spans="1:29" ht="15.75" customHeight="1">
      <c r="A943" s="10" t="s">
        <v>6468</v>
      </c>
      <c r="B943" s="10" t="s">
        <v>4410</v>
      </c>
      <c r="C943" s="11" t="s">
        <v>6054</v>
      </c>
      <c r="D943" s="12"/>
      <c r="E943" s="13" t="s">
        <v>93</v>
      </c>
      <c r="F943" s="6" t="s">
        <v>6450</v>
      </c>
      <c r="G943" s="6" t="str">
        <f ca="1">IFERROR(__xludf.DUMMYFUNCTION("CONCATENATE(B943,(VLOOKUP(C943,CATALOGOS!$F$2:$H$6,3,FALSE)),(VLOOKUP(V943,CATALOGOS!$J$2:$K$18,2,FALSE)),""-"",TO_TEXT(A943))"),"P21DG-0942")</f>
        <v>P21DG-0942</v>
      </c>
      <c r="H943" s="6" t="str">
        <f ca="1">IFERROR(__xludf.DUMMYFUNCTION("CONCATENATE($B943,(VLOOKUP($C943,CATALOGOS!$F$2:$H$6,3,FALSE)),(VLOOKUP($V943,CATALOGOS!$J$2:$K$18,2,FALSE)),""-"",TO_TEXT($A943))"),"P21DG-0942")</f>
        <v>P21DG-0942</v>
      </c>
      <c r="I943" s="6"/>
      <c r="J943" s="6" t="s">
        <v>6469</v>
      </c>
      <c r="K943" s="6" t="s">
        <v>6470</v>
      </c>
      <c r="L943" s="6" t="s">
        <v>6471</v>
      </c>
      <c r="M943" s="6" t="s">
        <v>6472</v>
      </c>
      <c r="N943" s="17"/>
      <c r="O943" s="17"/>
      <c r="P943" s="17" t="str">
        <f t="shared" si="6"/>
        <v>OK</v>
      </c>
      <c r="Q943" s="17" t="s">
        <v>35</v>
      </c>
      <c r="R943" s="6" t="s">
        <v>35</v>
      </c>
      <c r="S943" s="17" t="s">
        <v>36</v>
      </c>
      <c r="T943" s="17" t="s">
        <v>6473</v>
      </c>
      <c r="U943" s="173" t="s">
        <v>38</v>
      </c>
      <c r="V943" s="11" t="s">
        <v>6054</v>
      </c>
      <c r="W943" s="22" t="s">
        <v>6277</v>
      </c>
      <c r="X943" s="22" t="s">
        <v>6277</v>
      </c>
      <c r="Y943" s="22"/>
      <c r="Z943" s="7"/>
      <c r="AA943" s="7"/>
      <c r="AB943" s="23"/>
      <c r="AC943" s="26"/>
    </row>
    <row r="944" spans="1:29" ht="15.75" customHeight="1">
      <c r="A944" s="10" t="s">
        <v>6474</v>
      </c>
      <c r="B944" s="10" t="s">
        <v>4410</v>
      </c>
      <c r="C944" s="11" t="s">
        <v>6054</v>
      </c>
      <c r="D944" s="12"/>
      <c r="E944" s="13" t="s">
        <v>93</v>
      </c>
      <c r="F944" s="6" t="s">
        <v>6450</v>
      </c>
      <c r="G944" s="6" t="str">
        <f ca="1">IFERROR(__xludf.DUMMYFUNCTION("CONCATENATE(B944,(VLOOKUP(C944,CATALOGOS!$F$2:$H$6,3,FALSE)),(VLOOKUP(V944,CATALOGOS!$J$2:$K$18,2,FALSE)),""-"",TO_TEXT(A944))"),"P21DG-0943")</f>
        <v>P21DG-0943</v>
      </c>
      <c r="H944" s="6" t="str">
        <f ca="1">IFERROR(__xludf.DUMMYFUNCTION("CONCATENATE($B944,(VLOOKUP($C944,CATALOGOS!$F$2:$H$6,3,FALSE)),(VLOOKUP($V944,CATALOGOS!$J$2:$K$18,2,FALSE)),""-"",TO_TEXT($A944))"),"P21DG-0943")</f>
        <v>P21DG-0943</v>
      </c>
      <c r="I944" s="6"/>
      <c r="J944" s="6" t="s">
        <v>6475</v>
      </c>
      <c r="K944" s="6" t="s">
        <v>6476</v>
      </c>
      <c r="L944" s="6" t="s">
        <v>6477</v>
      </c>
      <c r="M944" s="6" t="s">
        <v>6478</v>
      </c>
      <c r="N944" s="17"/>
      <c r="O944" s="17"/>
      <c r="P944" s="17" t="str">
        <f t="shared" si="6"/>
        <v>OK</v>
      </c>
      <c r="Q944" s="17" t="s">
        <v>35</v>
      </c>
      <c r="R944" s="6" t="s">
        <v>35</v>
      </c>
      <c r="S944" s="17" t="s">
        <v>36</v>
      </c>
      <c r="T944" s="17" t="s">
        <v>6479</v>
      </c>
      <c r="U944" s="173" t="s">
        <v>38</v>
      </c>
      <c r="V944" s="11" t="s">
        <v>6054</v>
      </c>
      <c r="W944" s="22" t="s">
        <v>6277</v>
      </c>
      <c r="X944" s="22" t="s">
        <v>6277</v>
      </c>
      <c r="Y944" s="22"/>
      <c r="Z944" s="7"/>
      <c r="AA944" s="7"/>
      <c r="AB944" s="23"/>
      <c r="AC944" s="26"/>
    </row>
    <row r="945" spans="1:29" ht="15.75" customHeight="1">
      <c r="A945" s="10" t="s">
        <v>6480</v>
      </c>
      <c r="B945" s="10" t="s">
        <v>27</v>
      </c>
      <c r="C945" s="60" t="s">
        <v>868</v>
      </c>
      <c r="D945" s="12"/>
      <c r="E945" s="13" t="s">
        <v>116</v>
      </c>
      <c r="F945" s="6" t="s">
        <v>920</v>
      </c>
      <c r="G945" s="15" t="str">
        <f ca="1">IFERROR(__xludf.DUMMYFUNCTION("CONCATENATE(B945,(VLOOKUP(C945,CATALOGOS!$F$2:$H$6,3,FALSE)),(VLOOKUP(V945,CATALOGOS!$J$2:$K$18,2,FALSE)),""-"",TO_TEXT(A945))"),"P03CV-0944")</f>
        <v>P03CV-0944</v>
      </c>
      <c r="H945" s="6" t="str">
        <f ca="1">IFERROR(__xludf.DUMMYFUNCTION("CONCATENATE($B945,(VLOOKUP($C945,CATALOGOS!$F$2:$H$6,3,FALSE)),(VLOOKUP($V945,CATALOGOS!$J$2:$K$18,2,FALSE)),""-"",TO_TEXT($A945))"),"P03CV-0944")</f>
        <v>P03CV-0944</v>
      </c>
      <c r="I945" s="6"/>
      <c r="J945" s="6" t="s">
        <v>6481</v>
      </c>
      <c r="K945" s="6" t="s">
        <v>6482</v>
      </c>
      <c r="L945" s="6" t="s">
        <v>6483</v>
      </c>
      <c r="M945" s="6" t="s">
        <v>6484</v>
      </c>
      <c r="N945" s="17"/>
      <c r="O945" s="17"/>
      <c r="P945" s="17" t="str">
        <f t="shared" si="6"/>
        <v>OK</v>
      </c>
      <c r="Q945" s="17" t="s">
        <v>35</v>
      </c>
      <c r="R945" s="6" t="s">
        <v>35</v>
      </c>
      <c r="S945" s="17" t="s">
        <v>36</v>
      </c>
      <c r="T945" s="17" t="s">
        <v>6485</v>
      </c>
      <c r="U945" s="173" t="s">
        <v>38</v>
      </c>
      <c r="V945" s="11" t="s">
        <v>875</v>
      </c>
      <c r="W945" s="20" t="s">
        <v>876</v>
      </c>
      <c r="X945" s="20" t="s">
        <v>876</v>
      </c>
      <c r="Y945" s="20"/>
      <c r="Z945" s="7"/>
      <c r="AA945" s="7"/>
      <c r="AB945" s="23"/>
      <c r="AC945" s="26"/>
    </row>
    <row r="946" spans="1:29" ht="15.75" customHeight="1">
      <c r="A946" s="10" t="s">
        <v>6486</v>
      </c>
      <c r="B946" s="10" t="s">
        <v>4410</v>
      </c>
      <c r="C946" s="11" t="s">
        <v>6054</v>
      </c>
      <c r="D946" s="12"/>
      <c r="E946" s="13" t="s">
        <v>93</v>
      </c>
      <c r="F946" s="6" t="s">
        <v>6487</v>
      </c>
      <c r="G946" s="6" t="str">
        <f ca="1">IFERROR(__xludf.DUMMYFUNCTION("CONCATENATE(B946,(VLOOKUP(C946,CATALOGOS!$F$2:$H$6,3,FALSE)),(VLOOKUP(V946,CATALOGOS!$J$2:$K$18,2,FALSE)),""-"",TO_TEXT(A946))"),"P21DG-0945")</f>
        <v>P21DG-0945</v>
      </c>
      <c r="H946" s="6" t="str">
        <f ca="1">IFERROR(__xludf.DUMMYFUNCTION("CONCATENATE($B946,(VLOOKUP($C946,CATALOGOS!$F$2:$H$6,3,FALSE)),(VLOOKUP($V946,CATALOGOS!$J$2:$K$18,2,FALSE)),""-"",TO_TEXT($A946))"),"P21DG-0945")</f>
        <v>P21DG-0945</v>
      </c>
      <c r="I946" s="6"/>
      <c r="J946" s="6" t="s">
        <v>6488</v>
      </c>
      <c r="K946" s="6" t="s">
        <v>6489</v>
      </c>
      <c r="L946" s="6" t="s">
        <v>6490</v>
      </c>
      <c r="M946" s="6" t="s">
        <v>6491</v>
      </c>
      <c r="N946" s="17"/>
      <c r="O946" s="17"/>
      <c r="P946" s="17" t="str">
        <f t="shared" si="6"/>
        <v>OK</v>
      </c>
      <c r="Q946" s="17" t="s">
        <v>35</v>
      </c>
      <c r="R946" s="6" t="s">
        <v>35</v>
      </c>
      <c r="S946" s="17" t="s">
        <v>36</v>
      </c>
      <c r="T946" s="17" t="s">
        <v>6492</v>
      </c>
      <c r="U946" s="173" t="s">
        <v>38</v>
      </c>
      <c r="V946" s="11" t="s">
        <v>6054</v>
      </c>
      <c r="W946" s="22" t="s">
        <v>6277</v>
      </c>
      <c r="X946" s="22" t="s">
        <v>6277</v>
      </c>
      <c r="Y946" s="22"/>
      <c r="Z946" s="7"/>
      <c r="AA946" s="7"/>
      <c r="AB946" s="23"/>
      <c r="AC946" s="26"/>
    </row>
    <row r="947" spans="1:29" ht="15.75" customHeight="1">
      <c r="A947" s="10" t="s">
        <v>6493</v>
      </c>
      <c r="B947" s="10" t="s">
        <v>4410</v>
      </c>
      <c r="C947" s="11" t="s">
        <v>6054</v>
      </c>
      <c r="D947" s="12"/>
      <c r="E947" s="13" t="s">
        <v>1199</v>
      </c>
      <c r="F947" s="43" t="s">
        <v>1199</v>
      </c>
      <c r="G947" s="6" t="str">
        <f ca="1">IFERROR(__xludf.DUMMYFUNCTION("CONCATENATE(B947,(VLOOKUP(C947,CATALOGOS!$F$2:$H$6,3,FALSE)),(VLOOKUP(V947,CATALOGOS!$J$2:$K$18,2,FALSE)),""-"",TO_TEXT(A947))"),"P21DG-0946")</f>
        <v>P21DG-0946</v>
      </c>
      <c r="H947" s="6" t="str">
        <f ca="1">IFERROR(__xludf.DUMMYFUNCTION("CONCATENATE($B947,(VLOOKUP($C947,CATALOGOS!$F$2:$H$6,3,FALSE)),(VLOOKUP($V947,CATALOGOS!$J$2:$K$18,2,FALSE)),""-"",TO_TEXT($A947))"),"P21DG-0946")</f>
        <v>P21DG-0946</v>
      </c>
      <c r="I947" s="6"/>
      <c r="J947" s="6" t="s">
        <v>6494</v>
      </c>
      <c r="K947" s="6" t="s">
        <v>6495</v>
      </c>
      <c r="L947" s="6" t="s">
        <v>6496</v>
      </c>
      <c r="M947" s="6" t="s">
        <v>6497</v>
      </c>
      <c r="N947" s="17"/>
      <c r="O947" s="17"/>
      <c r="P947" s="17" t="str">
        <f t="shared" si="6"/>
        <v>OK</v>
      </c>
      <c r="Q947" s="17" t="s">
        <v>205</v>
      </c>
      <c r="R947" s="6" t="s">
        <v>6498</v>
      </c>
      <c r="S947" s="17" t="s">
        <v>6499</v>
      </c>
      <c r="T947" s="17" t="s">
        <v>6500</v>
      </c>
      <c r="U947" s="173" t="s">
        <v>38</v>
      </c>
      <c r="V947" s="11" t="s">
        <v>6054</v>
      </c>
      <c r="W947" s="22" t="s">
        <v>6277</v>
      </c>
      <c r="X947" s="22" t="s">
        <v>6277</v>
      </c>
      <c r="Y947" s="22"/>
      <c r="Z947" s="7"/>
      <c r="AA947" s="7"/>
      <c r="AB947" s="23"/>
      <c r="AC947" s="26"/>
    </row>
    <row r="948" spans="1:29" ht="15.75" customHeight="1">
      <c r="A948" s="10" t="s">
        <v>6501</v>
      </c>
      <c r="B948" s="10" t="s">
        <v>1469</v>
      </c>
      <c r="C948" s="61" t="s">
        <v>1470</v>
      </c>
      <c r="D948" s="12"/>
      <c r="E948" s="13" t="s">
        <v>248</v>
      </c>
      <c r="F948" s="6" t="s">
        <v>248</v>
      </c>
      <c r="G948" s="6" t="str">
        <f ca="1">IFERROR(__xludf.DUMMYFUNCTION("CONCATENATE(B948,(VLOOKUP(C948,CATALOGOS!$F$2:$H$6,3,FALSE)),(VLOOKUP(V948,CATALOGOS!$J$2:$K$18,2,FALSE)),""-"",TO_TEXT(A948))"),"P12SI-0947")</f>
        <v>P12SI-0947</v>
      </c>
      <c r="H948" s="6" t="str">
        <f ca="1">IFERROR(__xludf.DUMMYFUNCTION("CONCATENATE($B948,(VLOOKUP($C948,CATALOGOS!$F$2:$H$6,3,FALSE)),(VLOOKUP($V948,CATALOGOS!$J$2:$K$18,2,FALSE)),""-"",TO_TEXT($A948))"),"P12SI-0947")</f>
        <v>P12SI-0947</v>
      </c>
      <c r="I948" s="6"/>
      <c r="J948" s="6" t="s">
        <v>6502</v>
      </c>
      <c r="K948" s="6" t="s">
        <v>6503</v>
      </c>
      <c r="L948" s="6" t="s">
        <v>6504</v>
      </c>
      <c r="M948" s="6" t="s">
        <v>6505</v>
      </c>
      <c r="N948" s="17"/>
      <c r="O948" s="17"/>
      <c r="P948" s="17" t="str">
        <f t="shared" si="6"/>
        <v>OK</v>
      </c>
      <c r="Q948" s="17" t="s">
        <v>6506</v>
      </c>
      <c r="R948" s="6" t="s">
        <v>6507</v>
      </c>
      <c r="S948" s="6" t="s">
        <v>6508</v>
      </c>
      <c r="T948" s="10" t="s">
        <v>6509</v>
      </c>
      <c r="U948" s="173" t="s">
        <v>38</v>
      </c>
      <c r="V948" s="181" t="s">
        <v>1483</v>
      </c>
      <c r="W948" s="20" t="s">
        <v>1484</v>
      </c>
      <c r="X948" s="20" t="s">
        <v>1484</v>
      </c>
      <c r="Y948" s="20"/>
      <c r="Z948" s="7"/>
      <c r="AA948" s="7"/>
      <c r="AB948" s="23"/>
      <c r="AC948" s="26"/>
    </row>
    <row r="949" spans="1:29" ht="15.75" customHeight="1">
      <c r="A949" s="10" t="s">
        <v>6510</v>
      </c>
      <c r="B949" s="10" t="s">
        <v>4410</v>
      </c>
      <c r="C949" s="61" t="s">
        <v>6054</v>
      </c>
      <c r="D949" s="12"/>
      <c r="E949" s="13" t="s">
        <v>162</v>
      </c>
      <c r="F949" s="6" t="s">
        <v>285</v>
      </c>
      <c r="G949" s="6" t="str">
        <f ca="1">IFERROR(__xludf.DUMMYFUNCTION("CONCATENATE(B949,(VLOOKUP(C949,CATALOGOS!$F$2:$H$6,3,FALSE)),(VLOOKUP(V949,CATALOGOS!$J$2:$K$18,2,FALSE)),""-"",TO_TEXT(A949))"),"P21DG-0948")</f>
        <v>P21DG-0948</v>
      </c>
      <c r="H949" s="6" t="str">
        <f ca="1">IFERROR(__xludf.DUMMYFUNCTION("CONCATENATE($B949,(VLOOKUP($C949,CATALOGOS!$F$2:$H$6,3,FALSE)),(VLOOKUP($V949,CATALOGOS!$J$2:$K$18,2,FALSE)),""-"",TO_TEXT($A949))"),"P21DG-0948")</f>
        <v>P21DG-0948</v>
      </c>
      <c r="I949" s="6"/>
      <c r="J949" s="6" t="s">
        <v>6511</v>
      </c>
      <c r="K949" s="6" t="s">
        <v>6512</v>
      </c>
      <c r="L949" s="6" t="s">
        <v>6513</v>
      </c>
      <c r="M949" s="6" t="s">
        <v>6514</v>
      </c>
      <c r="N949" s="17"/>
      <c r="O949" s="17"/>
      <c r="P949" s="17" t="str">
        <f t="shared" si="6"/>
        <v>OK</v>
      </c>
      <c r="Q949" s="17" t="s">
        <v>168</v>
      </c>
      <c r="R949" s="6" t="s">
        <v>169</v>
      </c>
      <c r="S949" s="17" t="s">
        <v>6515</v>
      </c>
      <c r="T949" s="10" t="s">
        <v>6516</v>
      </c>
      <c r="U949" s="173" t="s">
        <v>38</v>
      </c>
      <c r="V949" s="11" t="s">
        <v>6054</v>
      </c>
      <c r="W949" s="22" t="s">
        <v>6277</v>
      </c>
      <c r="X949" s="22" t="s">
        <v>6277</v>
      </c>
      <c r="Y949" s="22"/>
      <c r="Z949" s="7"/>
      <c r="AA949" s="7"/>
      <c r="AB949" s="23"/>
      <c r="AC949" s="26"/>
    </row>
    <row r="950" spans="1:29" ht="15.75" customHeight="1">
      <c r="A950" s="10" t="s">
        <v>6517</v>
      </c>
      <c r="B950" s="10" t="s">
        <v>4410</v>
      </c>
      <c r="C950" s="61" t="s">
        <v>6054</v>
      </c>
      <c r="D950" s="12"/>
      <c r="E950" s="13" t="s">
        <v>378</v>
      </c>
      <c r="F950" s="6" t="s">
        <v>379</v>
      </c>
      <c r="G950" s="6" t="str">
        <f ca="1">IFERROR(__xludf.DUMMYFUNCTION("CONCATENATE(B950,(VLOOKUP(C950,CATALOGOS!$F$2:$H$6,3,FALSE)),(VLOOKUP(V950,CATALOGOS!$J$2:$K$18,2,FALSE)),""-"",TO_TEXT(A950))"),"P21DG-0949")</f>
        <v>P21DG-0949</v>
      </c>
      <c r="H950" s="6" t="str">
        <f ca="1">IFERROR(__xludf.DUMMYFUNCTION("CONCATENATE($B950,(VLOOKUP($C950,CATALOGOS!$F$2:$H$6,3,FALSE)),(VLOOKUP($V950,CATALOGOS!$J$2:$K$18,2,FALSE)),""-"",TO_TEXT($A950))"),"P21DG-0949")</f>
        <v>P21DG-0949</v>
      </c>
      <c r="I950" s="6"/>
      <c r="J950" s="6" t="s">
        <v>6518</v>
      </c>
      <c r="K950" s="6" t="s">
        <v>6519</v>
      </c>
      <c r="L950" s="49" t="s">
        <v>6520</v>
      </c>
      <c r="M950" s="6" t="s">
        <v>6521</v>
      </c>
      <c r="N950" s="17"/>
      <c r="O950" s="17"/>
      <c r="P950" s="17" t="str">
        <f t="shared" si="6"/>
        <v>OK</v>
      </c>
      <c r="Q950" s="17" t="s">
        <v>35</v>
      </c>
      <c r="R950" s="6" t="s">
        <v>35</v>
      </c>
      <c r="S950" s="6" t="s">
        <v>36</v>
      </c>
      <c r="T950" s="17" t="s">
        <v>6522</v>
      </c>
      <c r="U950" s="173" t="s">
        <v>38</v>
      </c>
      <c r="V950" s="11" t="s">
        <v>6054</v>
      </c>
      <c r="W950" s="22" t="s">
        <v>6277</v>
      </c>
      <c r="X950" s="22" t="s">
        <v>6277</v>
      </c>
      <c r="Y950" s="22"/>
      <c r="Z950" s="36"/>
      <c r="AA950" s="36"/>
      <c r="AB950" s="23"/>
      <c r="AC950" s="33"/>
    </row>
    <row r="951" spans="1:29" ht="15.75" customHeight="1">
      <c r="A951" s="10" t="s">
        <v>6523</v>
      </c>
      <c r="B951" s="10" t="s">
        <v>4410</v>
      </c>
      <c r="C951" s="61" t="s">
        <v>6054</v>
      </c>
      <c r="D951" s="12"/>
      <c r="E951" s="13" t="s">
        <v>199</v>
      </c>
      <c r="F951" s="43" t="s">
        <v>1394</v>
      </c>
      <c r="G951" s="6" t="str">
        <f ca="1">IFERROR(__xludf.DUMMYFUNCTION("CONCATENATE(B951,(VLOOKUP(C951,CATALOGOS!$F$2:$H$6,3,FALSE)),(VLOOKUP(V951,CATALOGOS!$J$2:$K$18,2,FALSE)),""-"",TO_TEXT(A951))"),"P21DG-0950")</f>
        <v>P21DG-0950</v>
      </c>
      <c r="H951" s="6" t="str">
        <f ca="1">IFERROR(__xludf.DUMMYFUNCTION("CONCATENATE($B951,(VLOOKUP($C951,CATALOGOS!$F$2:$H$6,3,FALSE)),(VLOOKUP($V951,CATALOGOS!$J$2:$K$18,2,FALSE)),""-"",TO_TEXT($A951))"),"P21DG-0950")</f>
        <v>P21DG-0950</v>
      </c>
      <c r="I951" s="6"/>
      <c r="J951" s="6" t="s">
        <v>6524</v>
      </c>
      <c r="K951" s="6" t="s">
        <v>6525</v>
      </c>
      <c r="L951" s="6" t="s">
        <v>6526</v>
      </c>
      <c r="M951" s="6" t="s">
        <v>6527</v>
      </c>
      <c r="N951" s="17"/>
      <c r="O951" s="17"/>
      <c r="P951" s="17" t="str">
        <f t="shared" si="6"/>
        <v>OK</v>
      </c>
      <c r="Q951" s="17" t="s">
        <v>157</v>
      </c>
      <c r="R951" s="6" t="s">
        <v>6528</v>
      </c>
      <c r="S951" s="17" t="s">
        <v>6529</v>
      </c>
      <c r="T951" s="10" t="s">
        <v>6530</v>
      </c>
      <c r="U951" s="173" t="s">
        <v>38</v>
      </c>
      <c r="V951" s="11" t="s">
        <v>6054</v>
      </c>
      <c r="W951" s="22" t="s">
        <v>6277</v>
      </c>
      <c r="X951" s="22" t="s">
        <v>6277</v>
      </c>
      <c r="Y951" s="22"/>
      <c r="Z951" s="7"/>
      <c r="AA951" s="7"/>
      <c r="AB951" s="23"/>
      <c r="AC951" s="26"/>
    </row>
    <row r="952" spans="1:29" ht="15.75" customHeight="1">
      <c r="A952" s="10" t="s">
        <v>6531</v>
      </c>
      <c r="B952" s="10" t="s">
        <v>4410</v>
      </c>
      <c r="C952" s="61" t="s">
        <v>6054</v>
      </c>
      <c r="D952" s="38"/>
      <c r="E952" s="13" t="s">
        <v>151</v>
      </c>
      <c r="F952" s="6" t="s">
        <v>963</v>
      </c>
      <c r="G952" s="6" t="str">
        <f ca="1">IFERROR(__xludf.DUMMYFUNCTION("CONCATENATE(B952,(VLOOKUP(C952,CATALOGOS!$F$2:$H$6,3,FALSE)),(VLOOKUP(V952,CATALOGOS!$J$2:$K$18,2,FALSE)),""-"",TO_TEXT(A952))"),"P21DG-0951")</f>
        <v>P21DG-0951</v>
      </c>
      <c r="H952" s="6" t="str">
        <f ca="1">IFERROR(__xludf.DUMMYFUNCTION("CONCATENATE($B952,(VLOOKUP($C952,CATALOGOS!$F$2:$H$6,3,FALSE)),(VLOOKUP($V952,CATALOGOS!$J$2:$K$18,2,FALSE)),""-"",TO_TEXT($A952))"),"P21DG-0951")</f>
        <v>P21DG-0951</v>
      </c>
      <c r="I952" s="6"/>
      <c r="J952" s="6" t="s">
        <v>6532</v>
      </c>
      <c r="K952" s="6" t="s">
        <v>6533</v>
      </c>
      <c r="L952" s="6" t="s">
        <v>6534</v>
      </c>
      <c r="M952" s="6" t="s">
        <v>6535</v>
      </c>
      <c r="N952" s="17"/>
      <c r="O952" s="17"/>
      <c r="P952" s="17" t="str">
        <f t="shared" si="6"/>
        <v>OK</v>
      </c>
      <c r="Q952" s="17" t="s">
        <v>703</v>
      </c>
      <c r="R952" s="6" t="s">
        <v>6536</v>
      </c>
      <c r="S952" s="46" t="s">
        <v>6537</v>
      </c>
      <c r="T952" s="17" t="s">
        <v>6538</v>
      </c>
      <c r="U952" s="173" t="s">
        <v>38</v>
      </c>
      <c r="V952" s="11" t="s">
        <v>6054</v>
      </c>
      <c r="W952" s="22" t="s">
        <v>6277</v>
      </c>
      <c r="X952" s="22" t="s">
        <v>6277</v>
      </c>
      <c r="Y952" s="22"/>
      <c r="Z952" s="7"/>
      <c r="AA952" s="7"/>
      <c r="AB952" s="26"/>
      <c r="AC952" s="26"/>
    </row>
    <row r="953" spans="1:29" ht="15.75" customHeight="1">
      <c r="A953" s="10" t="s">
        <v>6539</v>
      </c>
      <c r="B953" s="10" t="s">
        <v>4410</v>
      </c>
      <c r="C953" s="61" t="s">
        <v>6054</v>
      </c>
      <c r="D953" s="12"/>
      <c r="E953" s="13" t="s">
        <v>116</v>
      </c>
      <c r="F953" s="6" t="s">
        <v>6540</v>
      </c>
      <c r="G953" s="6" t="str">
        <f ca="1">IFERROR(__xludf.DUMMYFUNCTION("CONCATENATE(B953,(VLOOKUP(C953,CATALOGOS!$F$2:$H$6,3,FALSE)),(VLOOKUP(V953,CATALOGOS!$J$2:$K$18,2,FALSE)),""-"",TO_TEXT(A953))"),"P21DG-0952")</f>
        <v>P21DG-0952</v>
      </c>
      <c r="H953" s="6" t="str">
        <f ca="1">IFERROR(__xludf.DUMMYFUNCTION("CONCATENATE($B953,(VLOOKUP($C953,CATALOGOS!$F$2:$H$6,3,FALSE)),(VLOOKUP($V953,CATALOGOS!$J$2:$K$18,2,FALSE)),""-"",TO_TEXT($A953))"),"P21DG-0952")</f>
        <v>P21DG-0952</v>
      </c>
      <c r="I953" s="6"/>
      <c r="J953" s="6" t="s">
        <v>6541</v>
      </c>
      <c r="K953" s="6" t="s">
        <v>6542</v>
      </c>
      <c r="L953" s="6" t="s">
        <v>6543</v>
      </c>
      <c r="M953" s="6" t="s">
        <v>6544</v>
      </c>
      <c r="N953" s="17"/>
      <c r="O953" s="17"/>
      <c r="P953" s="17" t="str">
        <f t="shared" si="6"/>
        <v>OK</v>
      </c>
      <c r="Q953" s="17" t="s">
        <v>35</v>
      </c>
      <c r="R953" s="6" t="s">
        <v>35</v>
      </c>
      <c r="S953" s="17" t="s">
        <v>36</v>
      </c>
      <c r="T953" s="17" t="s">
        <v>85</v>
      </c>
      <c r="U953" s="173" t="s">
        <v>38</v>
      </c>
      <c r="V953" s="11" t="s">
        <v>6054</v>
      </c>
      <c r="W953" s="20" t="s">
        <v>6546</v>
      </c>
      <c r="X953" s="20" t="s">
        <v>6546</v>
      </c>
      <c r="Y953" s="20"/>
      <c r="Z953" s="7"/>
      <c r="AA953" s="7"/>
      <c r="AB953" s="23"/>
      <c r="AC953" s="26"/>
    </row>
    <row r="954" spans="1:29" ht="15.75" customHeight="1">
      <c r="A954" s="10" t="s">
        <v>6547</v>
      </c>
      <c r="B954" s="10" t="s">
        <v>4410</v>
      </c>
      <c r="C954" s="61" t="s">
        <v>6054</v>
      </c>
      <c r="D954" s="12"/>
      <c r="E954" s="13" t="s">
        <v>43</v>
      </c>
      <c r="F954" s="43" t="s">
        <v>2581</v>
      </c>
      <c r="G954" s="6" t="str">
        <f ca="1">IFERROR(__xludf.DUMMYFUNCTION("CONCATENATE(B954,(VLOOKUP(C954,CATALOGOS!$F$2:$H$6,3,FALSE)),(VLOOKUP(V954,CATALOGOS!$J$2:$K$18,2,FALSE)),""-"",TO_TEXT(A954))"),"P21DG-0953")</f>
        <v>P21DG-0953</v>
      </c>
      <c r="H954" s="6" t="str">
        <f ca="1">IFERROR(__xludf.DUMMYFUNCTION("CONCATENATE($B954,(VLOOKUP($C954,CATALOGOS!$F$2:$H$6,3,FALSE)),(VLOOKUP($V954,CATALOGOS!$J$2:$K$18,2,FALSE)),""-"",TO_TEXT($A954))"),"P21DG-0953")</f>
        <v>P21DG-0953</v>
      </c>
      <c r="I954" s="6"/>
      <c r="J954" s="6" t="s">
        <v>6548</v>
      </c>
      <c r="K954" s="6" t="s">
        <v>6549</v>
      </c>
      <c r="L954" s="6" t="s">
        <v>6550</v>
      </c>
      <c r="M954" s="6" t="s">
        <v>6551</v>
      </c>
      <c r="N954" s="17"/>
      <c r="O954" s="17"/>
      <c r="P954" s="17" t="str">
        <f t="shared" si="6"/>
        <v>OK</v>
      </c>
      <c r="Q954" s="17" t="s">
        <v>49</v>
      </c>
      <c r="R954" s="6" t="s">
        <v>35</v>
      </c>
      <c r="S954" s="17" t="s">
        <v>36</v>
      </c>
      <c r="T954" s="17" t="s">
        <v>6552</v>
      </c>
      <c r="U954" s="173" t="s">
        <v>38</v>
      </c>
      <c r="V954" s="11" t="s">
        <v>6054</v>
      </c>
      <c r="W954" s="20" t="s">
        <v>6546</v>
      </c>
      <c r="X954" s="20" t="s">
        <v>6546</v>
      </c>
      <c r="Y954" s="20"/>
      <c r="Z954" s="7"/>
      <c r="AA954" s="7"/>
      <c r="AB954" s="23"/>
      <c r="AC954" s="26"/>
    </row>
    <row r="955" spans="1:29" ht="15.75" customHeight="1">
      <c r="A955" s="10" t="s">
        <v>6553</v>
      </c>
      <c r="B955" s="10" t="s">
        <v>4410</v>
      </c>
      <c r="C955" s="61" t="s">
        <v>6054</v>
      </c>
      <c r="D955" s="12"/>
      <c r="E955" s="13" t="s">
        <v>378</v>
      </c>
      <c r="F955" s="6" t="s">
        <v>6554</v>
      </c>
      <c r="G955" s="6" t="str">
        <f ca="1">IFERROR(__xludf.DUMMYFUNCTION("CONCATENATE(B955,(VLOOKUP(C955,CATALOGOS!$F$2:$H$6,3,FALSE)),(VLOOKUP(V955,CATALOGOS!$J$2:$K$18,2,FALSE)),""-"",TO_TEXT(A955))"),"P21DG-0954")</f>
        <v>P21DG-0954</v>
      </c>
      <c r="H955" s="6" t="str">
        <f ca="1">IFERROR(__xludf.DUMMYFUNCTION("CONCATENATE($B955,(VLOOKUP($C955,CATALOGOS!$F$2:$H$6,3,FALSE)),(VLOOKUP($V955,CATALOGOS!$J$2:$K$18,2,FALSE)),""-"",TO_TEXT($A955))"),"P21DG-0954")</f>
        <v>P21DG-0954</v>
      </c>
      <c r="I955" s="6"/>
      <c r="J955" s="6" t="s">
        <v>6555</v>
      </c>
      <c r="K955" s="6" t="s">
        <v>6556</v>
      </c>
      <c r="L955" s="6" t="s">
        <v>6557</v>
      </c>
      <c r="M955" s="6" t="s">
        <v>6558</v>
      </c>
      <c r="N955" s="17"/>
      <c r="O955" s="17"/>
      <c r="P955" s="17" t="str">
        <f t="shared" si="6"/>
        <v>OK</v>
      </c>
      <c r="Q955" s="17" t="s">
        <v>35</v>
      </c>
      <c r="R955" s="6" t="s">
        <v>35</v>
      </c>
      <c r="S955" s="17" t="s">
        <v>36</v>
      </c>
      <c r="T955" s="17" t="s">
        <v>6559</v>
      </c>
      <c r="U955" s="173" t="s">
        <v>38</v>
      </c>
      <c r="V955" s="11" t="s">
        <v>6054</v>
      </c>
      <c r="W955" s="20" t="s">
        <v>6546</v>
      </c>
      <c r="X955" s="20" t="s">
        <v>6546</v>
      </c>
      <c r="Y955" s="20"/>
      <c r="Z955" s="7"/>
      <c r="AA955" s="7"/>
      <c r="AB955" s="23"/>
      <c r="AC955" s="26"/>
    </row>
    <row r="956" spans="1:29" ht="15.75" customHeight="1">
      <c r="A956" s="10" t="s">
        <v>6560</v>
      </c>
      <c r="B956" s="10" t="s">
        <v>4410</v>
      </c>
      <c r="C956" s="61" t="s">
        <v>6054</v>
      </c>
      <c r="D956" s="12"/>
      <c r="E956" s="13" t="s">
        <v>353</v>
      </c>
      <c r="F956" s="43" t="s">
        <v>638</v>
      </c>
      <c r="G956" s="6" t="str">
        <f ca="1">IFERROR(__xludf.DUMMYFUNCTION("CONCATENATE(B956,(VLOOKUP(C956,CATALOGOS!$F$2:$H$6,3,FALSE)),(VLOOKUP(V956,CATALOGOS!$J$2:$K$18,2,FALSE)),""-"",TO_TEXT(A956))"),"P21DG-0955")</f>
        <v>P21DG-0955</v>
      </c>
      <c r="H956" s="6" t="str">
        <f ca="1">IFERROR(__xludf.DUMMYFUNCTION("CONCATENATE($B956,(VLOOKUP($C956,CATALOGOS!$F$2:$H$6,3,FALSE)),(VLOOKUP($V956,CATALOGOS!$J$2:$K$18,2,FALSE)),""-"",TO_TEXT($A956))"),"P21DG-0955")</f>
        <v>P21DG-0955</v>
      </c>
      <c r="I956" s="6"/>
      <c r="J956" s="6" t="s">
        <v>6561</v>
      </c>
      <c r="K956" s="6" t="s">
        <v>6562</v>
      </c>
      <c r="L956" s="6" t="s">
        <v>6563</v>
      </c>
      <c r="M956" s="6" t="s">
        <v>6564</v>
      </c>
      <c r="N956" s="17"/>
      <c r="O956" s="17"/>
      <c r="P956" s="17" t="str">
        <f t="shared" si="6"/>
        <v>OK</v>
      </c>
      <c r="Q956" s="17" t="s">
        <v>6565</v>
      </c>
      <c r="R956" s="6" t="s">
        <v>6566</v>
      </c>
      <c r="S956" s="6" t="s">
        <v>6567</v>
      </c>
      <c r="T956" s="10" t="s">
        <v>6568</v>
      </c>
      <c r="U956" s="173" t="s">
        <v>38</v>
      </c>
      <c r="V956" s="11" t="s">
        <v>6054</v>
      </c>
      <c r="W956" s="20" t="s">
        <v>6546</v>
      </c>
      <c r="X956" s="20" t="s">
        <v>6546</v>
      </c>
      <c r="Y956" s="20"/>
      <c r="Z956" s="6"/>
      <c r="AA956" s="6"/>
      <c r="AB956" s="23"/>
      <c r="AC956" s="33"/>
    </row>
    <row r="957" spans="1:29" ht="15.75" customHeight="1">
      <c r="A957" s="10" t="s">
        <v>6569</v>
      </c>
      <c r="B957" s="10" t="s">
        <v>4410</v>
      </c>
      <c r="C957" s="61" t="s">
        <v>6054</v>
      </c>
      <c r="D957" s="12"/>
      <c r="E957" s="13" t="s">
        <v>151</v>
      </c>
      <c r="F957" s="6" t="s">
        <v>6570</v>
      </c>
      <c r="G957" s="6" t="str">
        <f ca="1">IFERROR(__xludf.DUMMYFUNCTION("CONCATENATE(B957,(VLOOKUP(C957,CATALOGOS!$F$2:$H$6,3,FALSE)),(VLOOKUP(V957,CATALOGOS!$J$2:$K$18,2,FALSE)),""-"",TO_TEXT(A957))"),"P21DG-0956")</f>
        <v>P21DG-0956</v>
      </c>
      <c r="H957" s="6" t="str">
        <f ca="1">IFERROR(__xludf.DUMMYFUNCTION("CONCATENATE($B957,(VLOOKUP($C957,CATALOGOS!$F$2:$H$6,3,FALSE)),(VLOOKUP($V957,CATALOGOS!$J$2:$K$18,2,FALSE)),""-"",TO_TEXT($A957))"),"P21DG-0956")</f>
        <v>P21DG-0956</v>
      </c>
      <c r="I957" s="6"/>
      <c r="J957" s="6" t="s">
        <v>6571</v>
      </c>
      <c r="K957" s="6" t="s">
        <v>6572</v>
      </c>
      <c r="L957" s="6" t="s">
        <v>6573</v>
      </c>
      <c r="M957" s="6" t="s">
        <v>6574</v>
      </c>
      <c r="N957" s="17"/>
      <c r="O957" s="17"/>
      <c r="P957" s="17" t="str">
        <f t="shared" si="6"/>
        <v>OK</v>
      </c>
      <c r="Q957" s="17" t="s">
        <v>6575</v>
      </c>
      <c r="R957" s="6" t="s">
        <v>6576</v>
      </c>
      <c r="S957" s="17" t="s">
        <v>6577</v>
      </c>
      <c r="T957" s="10" t="s">
        <v>6578</v>
      </c>
      <c r="U957" s="173" t="s">
        <v>38</v>
      </c>
      <c r="V957" s="11" t="s">
        <v>6054</v>
      </c>
      <c r="W957" s="20" t="s">
        <v>6546</v>
      </c>
      <c r="X957" s="20" t="s">
        <v>6546</v>
      </c>
      <c r="Y957" s="20"/>
      <c r="Z957" s="7"/>
      <c r="AA957" s="7"/>
      <c r="AB957" s="23"/>
      <c r="AC957" s="26"/>
    </row>
    <row r="958" spans="1:29" ht="15.75" customHeight="1">
      <c r="A958" s="10" t="s">
        <v>6579</v>
      </c>
      <c r="B958" s="10" t="s">
        <v>4410</v>
      </c>
      <c r="C958" s="61" t="s">
        <v>6054</v>
      </c>
      <c r="D958" s="38"/>
      <c r="E958" s="13" t="s">
        <v>199</v>
      </c>
      <c r="F958" s="6" t="s">
        <v>199</v>
      </c>
      <c r="G958" s="6" t="str">
        <f ca="1">IFERROR(__xludf.DUMMYFUNCTION("CONCATENATE(B958,(VLOOKUP(C958,CATALOGOS!$F$2:$H$6,3,FALSE)),(VLOOKUP(V958,CATALOGOS!$J$2:$K$18,2,FALSE)),""-"",TO_TEXT(A958))"),"P21DG-0957")</f>
        <v>P21DG-0957</v>
      </c>
      <c r="H958" s="6" t="str">
        <f ca="1">IFERROR(__xludf.DUMMYFUNCTION("CONCATENATE($B958,(VLOOKUP($C958,CATALOGOS!$F$2:$H$6,3,FALSE)),(VLOOKUP($V958,CATALOGOS!$J$2:$K$18,2,FALSE)),""-"",TO_TEXT($A958))"),"P21DG-0957")</f>
        <v>P21DG-0957</v>
      </c>
      <c r="I958" s="6"/>
      <c r="J958" s="6" t="s">
        <v>6580</v>
      </c>
      <c r="K958" s="6" t="s">
        <v>6581</v>
      </c>
      <c r="L958" s="6" t="s">
        <v>6582</v>
      </c>
      <c r="M958" s="6" t="s">
        <v>6583</v>
      </c>
      <c r="N958" s="17"/>
      <c r="O958" s="17"/>
      <c r="P958" s="17" t="str">
        <f t="shared" si="6"/>
        <v>OK</v>
      </c>
      <c r="Q958" s="17" t="s">
        <v>205</v>
      </c>
      <c r="R958" s="6" t="s">
        <v>794</v>
      </c>
      <c r="S958" s="46" t="s">
        <v>6584</v>
      </c>
      <c r="T958" s="17" t="s">
        <v>6585</v>
      </c>
      <c r="U958" s="173" t="s">
        <v>38</v>
      </c>
      <c r="V958" s="11" t="s">
        <v>6054</v>
      </c>
      <c r="W958" s="20" t="s">
        <v>6546</v>
      </c>
      <c r="X958" s="20" t="s">
        <v>6546</v>
      </c>
      <c r="Y958" s="20"/>
      <c r="Z958" s="7"/>
      <c r="AA958" s="7"/>
      <c r="AB958" s="26"/>
      <c r="AC958" s="26"/>
    </row>
    <row r="959" spans="1:29" ht="15.75" customHeight="1">
      <c r="A959" s="10" t="s">
        <v>6586</v>
      </c>
      <c r="B959" s="10" t="s">
        <v>4410</v>
      </c>
      <c r="C959" s="61" t="s">
        <v>6054</v>
      </c>
      <c r="D959" s="12"/>
      <c r="E959" s="13" t="s">
        <v>5904</v>
      </c>
      <c r="F959" s="6" t="s">
        <v>6587</v>
      </c>
      <c r="G959" s="6" t="str">
        <f ca="1">IFERROR(__xludf.DUMMYFUNCTION("CONCATENATE(B959,(VLOOKUP(C959,CATALOGOS!$F$2:$H$6,3,FALSE)),(VLOOKUP(V959,CATALOGOS!$J$2:$K$18,2,FALSE)),""-"",TO_TEXT(A959))"),"P21DG-0958")</f>
        <v>P21DG-0958</v>
      </c>
      <c r="H959" s="6" t="str">
        <f ca="1">IFERROR(__xludf.DUMMYFUNCTION("CONCATENATE($B959,(VLOOKUP($C959,CATALOGOS!$F$2:$H$6,3,FALSE)),(VLOOKUP($V959,CATALOGOS!$J$2:$K$18,2,FALSE)),""-"",TO_TEXT($A959))"),"P21DG-0958")</f>
        <v>P21DG-0958</v>
      </c>
      <c r="I959" s="6"/>
      <c r="J959" s="6" t="s">
        <v>6588</v>
      </c>
      <c r="K959" s="6" t="s">
        <v>6589</v>
      </c>
      <c r="L959" s="6" t="s">
        <v>6590</v>
      </c>
      <c r="M959" s="6" t="s">
        <v>6591</v>
      </c>
      <c r="N959" s="17"/>
      <c r="O959" s="17"/>
      <c r="P959" s="17" t="str">
        <f t="shared" si="6"/>
        <v>OK</v>
      </c>
      <c r="Q959" s="17" t="s">
        <v>5918</v>
      </c>
      <c r="R959" s="6" t="s">
        <v>6592</v>
      </c>
      <c r="S959" s="17" t="s">
        <v>36</v>
      </c>
      <c r="T959" s="10" t="s">
        <v>6593</v>
      </c>
      <c r="U959" s="173" t="s">
        <v>38</v>
      </c>
      <c r="V959" s="11" t="s">
        <v>6054</v>
      </c>
      <c r="W959" s="22" t="s">
        <v>6594</v>
      </c>
      <c r="X959" s="22" t="s">
        <v>6594</v>
      </c>
      <c r="Y959" s="22"/>
      <c r="Z959" s="7"/>
      <c r="AA959" s="7"/>
      <c r="AB959" s="23"/>
      <c r="AC959" s="26"/>
    </row>
    <row r="960" spans="1:29" ht="15.75" customHeight="1">
      <c r="A960" s="10" t="s">
        <v>6595</v>
      </c>
      <c r="B960" s="10" t="s">
        <v>4410</v>
      </c>
      <c r="C960" s="61" t="s">
        <v>6054</v>
      </c>
      <c r="D960" s="12"/>
      <c r="E960" s="13" t="s">
        <v>501</v>
      </c>
      <c r="F960" s="6" t="s">
        <v>6596</v>
      </c>
      <c r="G960" s="6" t="str">
        <f ca="1">IFERROR(__xludf.DUMMYFUNCTION("CONCATENATE(B960,(VLOOKUP(C960,CATALOGOS!$F$2:$H$6,3,FALSE)),(VLOOKUP(V960,CATALOGOS!$J$2:$K$18,2,FALSE)),""-"",TO_TEXT(A960))"),"P21DG-0959")</f>
        <v>P21DG-0959</v>
      </c>
      <c r="H960" s="6" t="str">
        <f ca="1">IFERROR(__xludf.DUMMYFUNCTION("CONCATENATE($B960,(VLOOKUP($C960,CATALOGOS!$F$2:$H$6,3,FALSE)),(VLOOKUP($V960,CATALOGOS!$J$2:$K$18,2,FALSE)),""-"",TO_TEXT($A960))"),"P21DG-0959")</f>
        <v>P21DG-0959</v>
      </c>
      <c r="I960" s="6"/>
      <c r="J960" s="6" t="s">
        <v>6597</v>
      </c>
      <c r="K960" s="6" t="s">
        <v>6598</v>
      </c>
      <c r="L960" s="6" t="s">
        <v>6599</v>
      </c>
      <c r="M960" s="6" t="s">
        <v>6600</v>
      </c>
      <c r="N960" s="17"/>
      <c r="O960" s="17"/>
      <c r="P960" s="17" t="str">
        <f t="shared" si="6"/>
        <v>OK</v>
      </c>
      <c r="Q960" s="17" t="s">
        <v>35</v>
      </c>
      <c r="R960" s="6" t="s">
        <v>35</v>
      </c>
      <c r="S960" s="17" t="s">
        <v>36</v>
      </c>
      <c r="T960" s="17" t="s">
        <v>6601</v>
      </c>
      <c r="U960" s="173" t="s">
        <v>38</v>
      </c>
      <c r="V960" s="11" t="s">
        <v>6054</v>
      </c>
      <c r="W960" s="22" t="s">
        <v>6594</v>
      </c>
      <c r="X960" s="22" t="s">
        <v>6594</v>
      </c>
      <c r="Y960" s="22"/>
      <c r="Z960" s="7"/>
      <c r="AA960" s="7"/>
      <c r="AB960" s="23"/>
      <c r="AC960" s="26"/>
    </row>
    <row r="961" spans="1:29" ht="15.75" customHeight="1">
      <c r="A961" s="10" t="s">
        <v>6602</v>
      </c>
      <c r="B961" s="10" t="s">
        <v>4410</v>
      </c>
      <c r="C961" s="61" t="s">
        <v>6054</v>
      </c>
      <c r="D961" s="12"/>
      <c r="E961" s="13" t="s">
        <v>378</v>
      </c>
      <c r="F961" s="6" t="s">
        <v>878</v>
      </c>
      <c r="G961" s="6" t="str">
        <f ca="1">IFERROR(__xludf.DUMMYFUNCTION("CONCATENATE(B961,(VLOOKUP(C961,CATALOGOS!$F$2:$H$6,3,FALSE)),(VLOOKUP(V961,CATALOGOS!$J$2:$K$18,2,FALSE)),""-"",TO_TEXT(A961))"),"P21DG-0960")</f>
        <v>P21DG-0960</v>
      </c>
      <c r="H961" s="6" t="str">
        <f ca="1">IFERROR(__xludf.DUMMYFUNCTION("CONCATENATE($B961,(VLOOKUP($C961,CATALOGOS!$F$2:$H$6,3,FALSE)),(VLOOKUP($V961,CATALOGOS!$J$2:$K$18,2,FALSE)),""-"",TO_TEXT($A961))"),"P21DG-0960")</f>
        <v>P21DG-0960</v>
      </c>
      <c r="I961" s="6"/>
      <c r="J961" s="6" t="s">
        <v>6603</v>
      </c>
      <c r="K961" s="6" t="s">
        <v>6604</v>
      </c>
      <c r="L961" s="6" t="s">
        <v>6605</v>
      </c>
      <c r="M961" s="6" t="s">
        <v>141</v>
      </c>
      <c r="N961" s="17"/>
      <c r="O961" s="17"/>
      <c r="P961" s="17" t="str">
        <f t="shared" si="6"/>
        <v>REPETIDO</v>
      </c>
      <c r="Q961" s="17" t="s">
        <v>35</v>
      </c>
      <c r="R961" s="32" t="s">
        <v>35</v>
      </c>
      <c r="S961" s="17" t="s">
        <v>36</v>
      </c>
      <c r="T961" s="17" t="s">
        <v>6606</v>
      </c>
      <c r="U961" s="173" t="s">
        <v>38</v>
      </c>
      <c r="V961" s="11" t="s">
        <v>6054</v>
      </c>
      <c r="W961" s="22" t="s">
        <v>6594</v>
      </c>
      <c r="X961" s="22" t="s">
        <v>6594</v>
      </c>
      <c r="Y961" s="22"/>
      <c r="Z961" s="7"/>
      <c r="AA961" s="7"/>
      <c r="AB961" s="23"/>
      <c r="AC961" s="26"/>
    </row>
    <row r="962" spans="1:29" ht="15.75" customHeight="1">
      <c r="A962" s="10" t="s">
        <v>6607</v>
      </c>
      <c r="B962" s="10" t="s">
        <v>4410</v>
      </c>
      <c r="C962" s="61" t="s">
        <v>6054</v>
      </c>
      <c r="D962" s="12"/>
      <c r="E962" s="13" t="s">
        <v>5778</v>
      </c>
      <c r="F962" s="43" t="s">
        <v>6608</v>
      </c>
      <c r="G962" s="6" t="str">
        <f ca="1">IFERROR(__xludf.DUMMYFUNCTION("CONCATENATE(B962,(VLOOKUP(C962,CATALOGOS!$F$2:$H$6,3,FALSE)),(VLOOKUP(V962,CATALOGOS!$J$2:$K$18,2,FALSE)),""-"",TO_TEXT(A962))"),"P21DG-0961")</f>
        <v>P21DG-0961</v>
      </c>
      <c r="H962" s="6" t="str">
        <f ca="1">IFERROR(__xludf.DUMMYFUNCTION("CONCATENATE($B962,(VLOOKUP($C962,CATALOGOS!$F$2:$H$6,3,FALSE)),(VLOOKUP($V962,CATALOGOS!$J$2:$K$18,2,FALSE)),""-"",TO_TEXT($A962))"),"P21DG-0961")</f>
        <v>P21DG-0961</v>
      </c>
      <c r="I962" s="6"/>
      <c r="J962" s="6" t="s">
        <v>6609</v>
      </c>
      <c r="K962" s="6" t="s">
        <v>6610</v>
      </c>
      <c r="L962" s="6" t="s">
        <v>6611</v>
      </c>
      <c r="M962" s="6" t="s">
        <v>6612</v>
      </c>
      <c r="N962" s="17"/>
      <c r="O962" s="17"/>
      <c r="P962" s="17" t="str">
        <f t="shared" si="6"/>
        <v>OK</v>
      </c>
      <c r="Q962" s="17" t="s">
        <v>4035</v>
      </c>
      <c r="R962" s="6" t="s">
        <v>6613</v>
      </c>
      <c r="S962" s="17" t="s">
        <v>6614</v>
      </c>
      <c r="T962" s="10" t="s">
        <v>6615</v>
      </c>
      <c r="U962" s="173" t="s">
        <v>38</v>
      </c>
      <c r="V962" s="11" t="s">
        <v>6054</v>
      </c>
      <c r="W962" s="22" t="s">
        <v>6594</v>
      </c>
      <c r="X962" s="22" t="s">
        <v>6594</v>
      </c>
      <c r="Y962" s="22"/>
      <c r="Z962" s="7"/>
      <c r="AA962" s="7"/>
      <c r="AB962" s="23"/>
      <c r="AC962" s="26"/>
    </row>
    <row r="963" spans="1:29" ht="15.75" customHeight="1">
      <c r="A963" s="10" t="s">
        <v>6616</v>
      </c>
      <c r="B963" s="10" t="s">
        <v>4410</v>
      </c>
      <c r="C963" s="61" t="s">
        <v>6054</v>
      </c>
      <c r="D963" s="12"/>
      <c r="E963" s="13" t="s">
        <v>93</v>
      </c>
      <c r="F963" s="6" t="s">
        <v>6617</v>
      </c>
      <c r="G963" s="6" t="str">
        <f ca="1">IFERROR(__xludf.DUMMYFUNCTION("CONCATENATE(B963,(VLOOKUP(C963,CATALOGOS!$F$2:$H$6,3,FALSE)),(VLOOKUP(V963,CATALOGOS!$J$2:$K$18,2,FALSE)),""-"",TO_TEXT(A963))"),"P21DG-0962")</f>
        <v>P21DG-0962</v>
      </c>
      <c r="H963" s="6" t="str">
        <f ca="1">IFERROR(__xludf.DUMMYFUNCTION("CONCATENATE($B963,(VLOOKUP($C963,CATALOGOS!$F$2:$H$6,3,FALSE)),(VLOOKUP($V963,CATALOGOS!$J$2:$K$18,2,FALSE)),""-"",TO_TEXT($A963))"),"P21DG-0962")</f>
        <v>P21DG-0962</v>
      </c>
      <c r="I963" s="6"/>
      <c r="J963" s="6" t="s">
        <v>6618</v>
      </c>
      <c r="K963" s="6" t="s">
        <v>6619</v>
      </c>
      <c r="L963" s="6" t="s">
        <v>6620</v>
      </c>
      <c r="M963" s="6" t="s">
        <v>6621</v>
      </c>
      <c r="N963" s="17"/>
      <c r="O963" s="17"/>
      <c r="P963" s="17" t="str">
        <f t="shared" si="6"/>
        <v>OK</v>
      </c>
      <c r="Q963" s="17" t="s">
        <v>35</v>
      </c>
      <c r="R963" s="6" t="s">
        <v>35</v>
      </c>
      <c r="S963" s="17" t="s">
        <v>36</v>
      </c>
      <c r="T963" s="17" t="s">
        <v>6622</v>
      </c>
      <c r="U963" s="173" t="s">
        <v>38</v>
      </c>
      <c r="V963" s="11" t="s">
        <v>6054</v>
      </c>
      <c r="W963" s="22" t="s">
        <v>6594</v>
      </c>
      <c r="X963" s="22" t="s">
        <v>6594</v>
      </c>
      <c r="Y963" s="22"/>
      <c r="Z963" s="7"/>
      <c r="AA963" s="7"/>
      <c r="AB963" s="23"/>
      <c r="AC963" s="26"/>
    </row>
    <row r="964" spans="1:29" ht="15.75" customHeight="1">
      <c r="A964" s="10" t="s">
        <v>6623</v>
      </c>
      <c r="B964" s="10" t="s">
        <v>4410</v>
      </c>
      <c r="C964" s="61" t="s">
        <v>6054</v>
      </c>
      <c r="D964" s="12"/>
      <c r="E964" s="13" t="s">
        <v>93</v>
      </c>
      <c r="F964" s="6" t="s">
        <v>6617</v>
      </c>
      <c r="G964" s="6" t="str">
        <f ca="1">IFERROR(__xludf.DUMMYFUNCTION("CONCATENATE(B964,(VLOOKUP(C964,CATALOGOS!$F$2:$H$6,3,FALSE)),(VLOOKUP(V964,CATALOGOS!$J$2:$K$18,2,FALSE)),""-"",TO_TEXT(A964))"),"P21DG-0963")</f>
        <v>P21DG-0963</v>
      </c>
      <c r="H964" s="6" t="str">
        <f ca="1">IFERROR(__xludf.DUMMYFUNCTION("CONCATENATE($B964,(VLOOKUP($C964,CATALOGOS!$F$2:$H$6,3,FALSE)),(VLOOKUP($V964,CATALOGOS!$J$2:$K$18,2,FALSE)),""-"",TO_TEXT($A964))"),"P21DG-0963")</f>
        <v>P21DG-0963</v>
      </c>
      <c r="I964" s="6"/>
      <c r="J964" s="6" t="s">
        <v>6624</v>
      </c>
      <c r="K964" s="6" t="s">
        <v>6625</v>
      </c>
      <c r="L964" s="6" t="s">
        <v>6626</v>
      </c>
      <c r="M964" s="6" t="s">
        <v>6627</v>
      </c>
      <c r="N964" s="17"/>
      <c r="O964" s="17"/>
      <c r="P964" s="17" t="str">
        <f t="shared" si="6"/>
        <v>OK</v>
      </c>
      <c r="Q964" s="17" t="s">
        <v>35</v>
      </c>
      <c r="R964" s="6" t="s">
        <v>35</v>
      </c>
      <c r="S964" s="17" t="s">
        <v>36</v>
      </c>
      <c r="T964" s="17" t="s">
        <v>6628</v>
      </c>
      <c r="U964" s="173" t="s">
        <v>38</v>
      </c>
      <c r="V964" s="11" t="s">
        <v>6054</v>
      </c>
      <c r="W964" s="22" t="s">
        <v>6594</v>
      </c>
      <c r="X964" s="22" t="s">
        <v>6594</v>
      </c>
      <c r="Y964" s="22"/>
      <c r="Z964" s="7"/>
      <c r="AA964" s="7"/>
      <c r="AB964" s="23"/>
      <c r="AC964" s="26"/>
    </row>
    <row r="965" spans="1:29" ht="15.75" customHeight="1">
      <c r="A965" s="10" t="s">
        <v>6629</v>
      </c>
      <c r="B965" s="10" t="s">
        <v>4410</v>
      </c>
      <c r="C965" s="61" t="s">
        <v>6054</v>
      </c>
      <c r="D965" s="12"/>
      <c r="E965" s="13" t="s">
        <v>93</v>
      </c>
      <c r="F965" s="6" t="s">
        <v>6630</v>
      </c>
      <c r="G965" s="6" t="str">
        <f ca="1">IFERROR(__xludf.DUMMYFUNCTION("CONCATENATE(B965,(VLOOKUP(C965,CATALOGOS!$F$2:$H$6,3,FALSE)),(VLOOKUP(V965,CATALOGOS!$J$2:$K$18,2,FALSE)),""-"",TO_TEXT(A965))"),"P21DG-0964")</f>
        <v>P21DG-0964</v>
      </c>
      <c r="H965" s="6" t="str">
        <f ca="1">IFERROR(__xludf.DUMMYFUNCTION("CONCATENATE($B965,(VLOOKUP($C965,CATALOGOS!$F$2:$H$6,3,FALSE)),(VLOOKUP($V965,CATALOGOS!$J$2:$K$18,2,FALSE)),""-"",TO_TEXT($A965))"),"P21DG-0964")</f>
        <v>P21DG-0964</v>
      </c>
      <c r="I965" s="6"/>
      <c r="J965" s="6" t="s">
        <v>6631</v>
      </c>
      <c r="K965" s="6" t="s">
        <v>6632</v>
      </c>
      <c r="L965" s="6" t="s">
        <v>6633</v>
      </c>
      <c r="M965" s="6" t="s">
        <v>6634</v>
      </c>
      <c r="N965" s="17"/>
      <c r="O965" s="17"/>
      <c r="P965" s="17" t="str">
        <f t="shared" si="6"/>
        <v>OK</v>
      </c>
      <c r="Q965" s="17" t="s">
        <v>35</v>
      </c>
      <c r="R965" s="6" t="s">
        <v>35</v>
      </c>
      <c r="S965" s="17" t="s">
        <v>36</v>
      </c>
      <c r="T965" s="17" t="s">
        <v>85</v>
      </c>
      <c r="U965" s="173" t="s">
        <v>38</v>
      </c>
      <c r="V965" s="11" t="s">
        <v>6054</v>
      </c>
      <c r="W965" s="22" t="s">
        <v>6594</v>
      </c>
      <c r="X965" s="22" t="s">
        <v>6594</v>
      </c>
      <c r="Y965" s="22"/>
      <c r="Z965" s="7"/>
      <c r="AA965" s="7"/>
      <c r="AB965" s="23"/>
      <c r="AC965" s="26"/>
    </row>
    <row r="966" spans="1:29" ht="15.75" customHeight="1">
      <c r="A966" s="10" t="s">
        <v>6635</v>
      </c>
      <c r="B966" s="10" t="s">
        <v>4410</v>
      </c>
      <c r="C966" s="61" t="s">
        <v>6054</v>
      </c>
      <c r="D966" s="38"/>
      <c r="E966" s="13" t="s">
        <v>387</v>
      </c>
      <c r="F966" s="43" t="s">
        <v>387</v>
      </c>
      <c r="G966" s="6" t="str">
        <f ca="1">IFERROR(__xludf.DUMMYFUNCTION("CONCATENATE(B966,(VLOOKUP(C966,CATALOGOS!$F$2:$H$6,3,FALSE)),(VLOOKUP(V966,CATALOGOS!$J$2:$K$18,2,FALSE)),""-"",TO_TEXT(A966))"),"P21DG-0965")</f>
        <v>P21DG-0965</v>
      </c>
      <c r="H966" s="6" t="str">
        <f ca="1">IFERROR(__xludf.DUMMYFUNCTION("CONCATENATE($B966,(VLOOKUP($C966,CATALOGOS!$F$2:$H$6,3,FALSE)),(VLOOKUP($V966,CATALOGOS!$J$2:$K$18,2,FALSE)),""-"",TO_TEXT($A966))"),"P21DG-0965")</f>
        <v>P21DG-0965</v>
      </c>
      <c r="I966" s="6"/>
      <c r="J966" s="6" t="s">
        <v>6636</v>
      </c>
      <c r="K966" s="6" t="s">
        <v>6637</v>
      </c>
      <c r="L966" s="6" t="s">
        <v>6638</v>
      </c>
      <c r="M966" s="43" t="s">
        <v>6639</v>
      </c>
      <c r="N966" s="17"/>
      <c r="O966" s="17"/>
      <c r="P966" s="17" t="str">
        <f t="shared" si="6"/>
        <v>OK</v>
      </c>
      <c r="Q966" s="17" t="s">
        <v>5597</v>
      </c>
      <c r="R966" s="6" t="s">
        <v>5598</v>
      </c>
      <c r="S966" s="46" t="s">
        <v>6640</v>
      </c>
      <c r="T966" s="17" t="s">
        <v>6641</v>
      </c>
      <c r="U966" s="173" t="s">
        <v>38</v>
      </c>
      <c r="V966" s="11" t="s">
        <v>6054</v>
      </c>
      <c r="W966" s="22" t="s">
        <v>6594</v>
      </c>
      <c r="X966" s="22" t="s">
        <v>6594</v>
      </c>
      <c r="Y966" s="22"/>
      <c r="Z966" s="7"/>
      <c r="AA966" s="7"/>
      <c r="AB966" s="26"/>
      <c r="AC966" s="26"/>
    </row>
    <row r="967" spans="1:29" ht="15.75" customHeight="1">
      <c r="A967" s="10" t="s">
        <v>6642</v>
      </c>
      <c r="B967" s="10" t="s">
        <v>4410</v>
      </c>
      <c r="C967" s="61" t="s">
        <v>6054</v>
      </c>
      <c r="D967" s="12"/>
      <c r="E967" s="13" t="s">
        <v>93</v>
      </c>
      <c r="F967" s="6" t="s">
        <v>6146</v>
      </c>
      <c r="G967" s="6" t="str">
        <f ca="1">IFERROR(__xludf.DUMMYFUNCTION("CONCATENATE(B967,(VLOOKUP(C967,CATALOGOS!$F$2:$H$6,3,FALSE)),(VLOOKUP(V967,CATALOGOS!$J$2:$K$18,2,FALSE)),""-"",TO_TEXT(A967))"),"P21DG-0966")</f>
        <v>P21DG-0966</v>
      </c>
      <c r="H967" s="6" t="str">
        <f ca="1">IFERROR(__xludf.DUMMYFUNCTION("CONCATENATE($B967,(VLOOKUP($C967,CATALOGOS!$F$2:$H$6,3,FALSE)),(VLOOKUP($V967,CATALOGOS!$J$2:$K$18,2,FALSE)),""-"",TO_TEXT($A967))"),"P21DG-0966")</f>
        <v>P21DG-0966</v>
      </c>
      <c r="I967" s="6"/>
      <c r="J967" s="6" t="s">
        <v>6643</v>
      </c>
      <c r="K967" s="6" t="s">
        <v>6644</v>
      </c>
      <c r="L967" s="6" t="s">
        <v>6645</v>
      </c>
      <c r="M967" s="6" t="s">
        <v>6646</v>
      </c>
      <c r="N967" s="17"/>
      <c r="O967" s="17"/>
      <c r="P967" s="17" t="str">
        <f t="shared" si="6"/>
        <v>OK</v>
      </c>
      <c r="Q967" s="17" t="s">
        <v>35</v>
      </c>
      <c r="R967" s="6" t="s">
        <v>35</v>
      </c>
      <c r="S967" s="17" t="s">
        <v>36</v>
      </c>
      <c r="T967" s="17" t="s">
        <v>6647</v>
      </c>
      <c r="U967" s="173" t="s">
        <v>38</v>
      </c>
      <c r="V967" s="11" t="s">
        <v>6054</v>
      </c>
      <c r="W967" s="22" t="s">
        <v>6648</v>
      </c>
      <c r="X967" s="22" t="s">
        <v>6648</v>
      </c>
      <c r="Y967" s="22"/>
      <c r="Z967" s="7"/>
      <c r="AA967" s="7"/>
      <c r="AB967" s="23"/>
      <c r="AC967" s="26"/>
    </row>
    <row r="968" spans="1:29" ht="15.75" customHeight="1">
      <c r="A968" s="10" t="s">
        <v>6649</v>
      </c>
      <c r="B968" s="10" t="s">
        <v>4410</v>
      </c>
      <c r="C968" s="61" t="s">
        <v>6054</v>
      </c>
      <c r="D968" s="12"/>
      <c r="E968" s="13" t="s">
        <v>93</v>
      </c>
      <c r="F968" s="6" t="s">
        <v>6146</v>
      </c>
      <c r="G968" s="6" t="str">
        <f ca="1">IFERROR(__xludf.DUMMYFUNCTION("CONCATENATE(B968,(VLOOKUP(C968,CATALOGOS!$F$2:$H$6,3,FALSE)),(VLOOKUP(V968,CATALOGOS!$J$2:$K$18,2,FALSE)),""-"",TO_TEXT(A968))"),"P21DG-0967")</f>
        <v>P21DG-0967</v>
      </c>
      <c r="H968" s="6" t="str">
        <f ca="1">IFERROR(__xludf.DUMMYFUNCTION("CONCATENATE($B968,(VLOOKUP($C968,CATALOGOS!$F$2:$H$6,3,FALSE)),(VLOOKUP($V968,CATALOGOS!$J$2:$K$18,2,FALSE)),""-"",TO_TEXT($A968))"),"P21DG-0967")</f>
        <v>P21DG-0967</v>
      </c>
      <c r="I968" s="6"/>
      <c r="J968" s="6" t="s">
        <v>6650</v>
      </c>
      <c r="K968" s="6" t="s">
        <v>6651</v>
      </c>
      <c r="L968" s="6" t="s">
        <v>6652</v>
      </c>
      <c r="M968" s="6" t="s">
        <v>6653</v>
      </c>
      <c r="N968" s="17"/>
      <c r="O968" s="17"/>
      <c r="P968" s="17" t="str">
        <f t="shared" si="6"/>
        <v>OK</v>
      </c>
      <c r="Q968" s="17" t="s">
        <v>35</v>
      </c>
      <c r="R968" s="6" t="s">
        <v>35</v>
      </c>
      <c r="S968" s="17" t="s">
        <v>36</v>
      </c>
      <c r="T968" s="17" t="s">
        <v>6654</v>
      </c>
      <c r="U968" s="173" t="s">
        <v>38</v>
      </c>
      <c r="V968" s="11" t="s">
        <v>6054</v>
      </c>
      <c r="W968" s="22" t="s">
        <v>6648</v>
      </c>
      <c r="X968" s="22" t="s">
        <v>6648</v>
      </c>
      <c r="Y968" s="22"/>
      <c r="Z968" s="36"/>
      <c r="AA968" s="36"/>
      <c r="AB968" s="23"/>
      <c r="AC968" s="33"/>
    </row>
    <row r="969" spans="1:29" ht="15.75" customHeight="1">
      <c r="A969" s="10" t="s">
        <v>6655</v>
      </c>
      <c r="B969" s="10" t="s">
        <v>4410</v>
      </c>
      <c r="C969" s="61" t="s">
        <v>6054</v>
      </c>
      <c r="D969" s="12"/>
      <c r="E969" s="13" t="s">
        <v>93</v>
      </c>
      <c r="F969" s="6" t="s">
        <v>6656</v>
      </c>
      <c r="G969" s="6" t="str">
        <f ca="1">IFERROR(__xludf.DUMMYFUNCTION("CONCATENATE(B969,(VLOOKUP(C969,CATALOGOS!$F$2:$H$6,3,FALSE)),(VLOOKUP(V969,CATALOGOS!$J$2:$K$18,2,FALSE)),""-"",TO_TEXT(A969))"),"P21DG-0968")</f>
        <v>P21DG-0968</v>
      </c>
      <c r="H969" s="6" t="str">
        <f ca="1">IFERROR(__xludf.DUMMYFUNCTION("CONCATENATE($B969,(VLOOKUP($C969,CATALOGOS!$F$2:$H$6,3,FALSE)),(VLOOKUP($V969,CATALOGOS!$J$2:$K$18,2,FALSE)),""-"",TO_TEXT($A969))"),"P21DG-0968")</f>
        <v>P21DG-0968</v>
      </c>
      <c r="I969" s="6"/>
      <c r="J969" s="6" t="s">
        <v>6657</v>
      </c>
      <c r="K969" s="6" t="s">
        <v>6658</v>
      </c>
      <c r="L969" s="6" t="s">
        <v>6659</v>
      </c>
      <c r="M969" s="6" t="s">
        <v>6660</v>
      </c>
      <c r="N969" s="17"/>
      <c r="O969" s="17"/>
      <c r="P969" s="17" t="str">
        <f t="shared" si="6"/>
        <v>OK</v>
      </c>
      <c r="Q969" s="17" t="s">
        <v>35</v>
      </c>
      <c r="R969" s="6" t="s">
        <v>35</v>
      </c>
      <c r="S969" s="17" t="s">
        <v>36</v>
      </c>
      <c r="T969" s="17" t="s">
        <v>6661</v>
      </c>
      <c r="U969" s="173" t="s">
        <v>38</v>
      </c>
      <c r="V969" s="11" t="s">
        <v>6054</v>
      </c>
      <c r="W969" s="22" t="s">
        <v>6648</v>
      </c>
      <c r="X969" s="22" t="s">
        <v>6648</v>
      </c>
      <c r="Y969" s="22"/>
      <c r="Z969" s="7"/>
      <c r="AA969" s="7"/>
      <c r="AB969" s="23"/>
      <c r="AC969" s="26"/>
    </row>
    <row r="970" spans="1:29" ht="15.75" customHeight="1">
      <c r="A970" s="10" t="s">
        <v>6662</v>
      </c>
      <c r="B970" s="10" t="s">
        <v>4410</v>
      </c>
      <c r="C970" s="61" t="s">
        <v>6054</v>
      </c>
      <c r="D970" s="12"/>
      <c r="E970" s="13" t="s">
        <v>93</v>
      </c>
      <c r="F970" s="6" t="s">
        <v>6663</v>
      </c>
      <c r="G970" s="6" t="str">
        <f ca="1">IFERROR(__xludf.DUMMYFUNCTION("CONCATENATE(B970,(VLOOKUP(C970,CATALOGOS!$F$2:$H$6,3,FALSE)),(VLOOKUP(V970,CATALOGOS!$J$2:$K$18,2,FALSE)),""-"",TO_TEXT(A970))"),"P21DG-0969")</f>
        <v>P21DG-0969</v>
      </c>
      <c r="H970" s="6" t="str">
        <f ca="1">IFERROR(__xludf.DUMMYFUNCTION("CONCATENATE($B970,(VLOOKUP($C970,CATALOGOS!$F$2:$H$6,3,FALSE)),(VLOOKUP($V970,CATALOGOS!$J$2:$K$18,2,FALSE)),""-"",TO_TEXT($A970))"),"P21DG-0969")</f>
        <v>P21DG-0969</v>
      </c>
      <c r="I970" s="6"/>
      <c r="J970" s="6" t="s">
        <v>6664</v>
      </c>
      <c r="K970" s="6" t="s">
        <v>6665</v>
      </c>
      <c r="L970" s="6" t="s">
        <v>6666</v>
      </c>
      <c r="M970" s="6" t="s">
        <v>6667</v>
      </c>
      <c r="N970" s="17"/>
      <c r="O970" s="17"/>
      <c r="P970" s="17" t="str">
        <f t="shared" si="6"/>
        <v>OK</v>
      </c>
      <c r="Q970" s="17" t="s">
        <v>35</v>
      </c>
      <c r="R970" s="6" t="s">
        <v>35</v>
      </c>
      <c r="S970" s="17" t="s">
        <v>36</v>
      </c>
      <c r="T970" s="17" t="s">
        <v>6668</v>
      </c>
      <c r="U970" s="173" t="s">
        <v>38</v>
      </c>
      <c r="V970" s="11" t="s">
        <v>6054</v>
      </c>
      <c r="W970" s="22" t="s">
        <v>6648</v>
      </c>
      <c r="X970" s="22" t="s">
        <v>6648</v>
      </c>
      <c r="Y970" s="22"/>
      <c r="Z970" s="36"/>
      <c r="AA970" s="36"/>
      <c r="AB970" s="23"/>
      <c r="AC970" s="33"/>
    </row>
    <row r="971" spans="1:29" ht="15.75" customHeight="1">
      <c r="A971" s="10" t="s">
        <v>6669</v>
      </c>
      <c r="B971" s="10" t="s">
        <v>4410</v>
      </c>
      <c r="C971" s="61" t="s">
        <v>6054</v>
      </c>
      <c r="D971" s="12"/>
      <c r="E971" s="13" t="s">
        <v>6092</v>
      </c>
      <c r="F971" s="43" t="s">
        <v>6670</v>
      </c>
      <c r="G971" s="6" t="str">
        <f ca="1">IFERROR(__xludf.DUMMYFUNCTION("CONCATENATE(B971,(VLOOKUP(C971,CATALOGOS!$F$2:$H$6,3,FALSE)),(VLOOKUP(V971,CATALOGOS!$J$2:$K$18,2,FALSE)),""-"",TO_TEXT(A971))"),"P21DG-0970")</f>
        <v>P21DG-0970</v>
      </c>
      <c r="H971" s="6" t="str">
        <f ca="1">IFERROR(__xludf.DUMMYFUNCTION("CONCATENATE($B971,(VLOOKUP($C971,CATALOGOS!$F$2:$H$6,3,FALSE)),(VLOOKUP($V971,CATALOGOS!$J$2:$K$18,2,FALSE)),""-"",TO_TEXT($A971))"),"P21DG-0970")</f>
        <v>P21DG-0970</v>
      </c>
      <c r="I971" s="6"/>
      <c r="J971" s="6" t="s">
        <v>6671</v>
      </c>
      <c r="K971" s="6" t="s">
        <v>6672</v>
      </c>
      <c r="L971" s="6" t="s">
        <v>6673</v>
      </c>
      <c r="M971" s="6" t="s">
        <v>6674</v>
      </c>
      <c r="N971" s="17"/>
      <c r="O971" s="17"/>
      <c r="P971" s="17" t="str">
        <f t="shared" si="6"/>
        <v>OK</v>
      </c>
      <c r="Q971" s="17" t="s">
        <v>35</v>
      </c>
      <c r="R971" s="6" t="s">
        <v>35</v>
      </c>
      <c r="S971" s="17" t="s">
        <v>36</v>
      </c>
      <c r="T971" s="17" t="s">
        <v>6675</v>
      </c>
      <c r="U971" s="173" t="s">
        <v>38</v>
      </c>
      <c r="V971" s="11" t="s">
        <v>6054</v>
      </c>
      <c r="W971" s="22" t="s">
        <v>6648</v>
      </c>
      <c r="X971" s="22" t="s">
        <v>6648</v>
      </c>
      <c r="Y971" s="22"/>
      <c r="Z971" s="7"/>
      <c r="AA971" s="7"/>
      <c r="AB971" s="23"/>
      <c r="AC971" s="26"/>
    </row>
    <row r="972" spans="1:29" ht="15.75" customHeight="1">
      <c r="A972" s="10" t="s">
        <v>6676</v>
      </c>
      <c r="B972" s="10" t="s">
        <v>4410</v>
      </c>
      <c r="C972" s="61" t="s">
        <v>6054</v>
      </c>
      <c r="D972" s="38"/>
      <c r="E972" s="13" t="s">
        <v>43</v>
      </c>
      <c r="F972" s="43" t="s">
        <v>4929</v>
      </c>
      <c r="G972" s="15" t="str">
        <f ca="1">IFERROR(__xludf.DUMMYFUNCTION("CONCATENATE(B972,(VLOOKUP(C972,CATALOGOS!$F$2:$H$6,3,FALSE)),(VLOOKUP(V972,CATALOGOS!$J$2:$K$18,2,FALSE)),""-"",TO_TEXT(A972))"),"P21DG-0971")</f>
        <v>P21DG-0971</v>
      </c>
      <c r="H972" s="6" t="str">
        <f ca="1">IFERROR(__xludf.DUMMYFUNCTION("CONCATENATE($B972,(VLOOKUP($C972,CATALOGOS!$F$2:$H$6,3,FALSE)),(VLOOKUP($V972,CATALOGOS!$J$2:$K$18,2,FALSE)),""-"",TO_TEXT($A972))"),"P21DG-0971")</f>
        <v>P21DG-0971</v>
      </c>
      <c r="I972" s="6"/>
      <c r="J972" s="6" t="s">
        <v>6677</v>
      </c>
      <c r="K972" s="6" t="s">
        <v>6678</v>
      </c>
      <c r="L972" s="6" t="s">
        <v>6679</v>
      </c>
      <c r="M972" s="6" t="s">
        <v>6680</v>
      </c>
      <c r="N972" s="17"/>
      <c r="O972" s="17"/>
      <c r="P972" s="17" t="str">
        <f t="shared" si="6"/>
        <v>OK</v>
      </c>
      <c r="Q972" s="17" t="s">
        <v>406</v>
      </c>
      <c r="R972" s="6" t="s">
        <v>6681</v>
      </c>
      <c r="S972" s="46" t="s">
        <v>6682</v>
      </c>
      <c r="T972" s="17" t="s">
        <v>6683</v>
      </c>
      <c r="U972" s="173" t="s">
        <v>38</v>
      </c>
      <c r="V972" s="11" t="s">
        <v>6054</v>
      </c>
      <c r="W972" s="20" t="s">
        <v>6684</v>
      </c>
      <c r="X972" s="22" t="s">
        <v>6648</v>
      </c>
      <c r="Y972" s="22"/>
      <c r="Z972" s="7"/>
      <c r="AA972" s="7"/>
      <c r="AB972" s="26"/>
      <c r="AC972" s="26"/>
    </row>
    <row r="973" spans="1:29" ht="15.75" customHeight="1">
      <c r="A973" s="10" t="s">
        <v>6685</v>
      </c>
      <c r="B973" s="10" t="s">
        <v>4410</v>
      </c>
      <c r="C973" s="61" t="s">
        <v>6054</v>
      </c>
      <c r="D973" s="12"/>
      <c r="E973" s="13" t="s">
        <v>93</v>
      </c>
      <c r="F973" s="6" t="s">
        <v>6686</v>
      </c>
      <c r="G973" s="15" t="str">
        <f ca="1">IFERROR(__xludf.DUMMYFUNCTION("CONCATENATE(B973,(VLOOKUP(C973,CATALOGOS!$F$2:$H$6,3,FALSE)),(VLOOKUP(V973,CATALOGOS!$J$2:$K$18,2,FALSE)),""-"",TO_TEXT(A973))"),"P21DG-0972")</f>
        <v>P21DG-0972</v>
      </c>
      <c r="H973" s="6" t="str">
        <f ca="1">IFERROR(__xludf.DUMMYFUNCTION("CONCATENATE($B973,(VLOOKUP($C973,CATALOGOS!$F$2:$H$6,3,FALSE)),(VLOOKUP($V973,CATALOGOS!$J$2:$K$18,2,FALSE)),""-"",TO_TEXT($A973))"),"P21DG-0972")</f>
        <v>P21DG-0972</v>
      </c>
      <c r="I973" s="6"/>
      <c r="J973" s="6" t="s">
        <v>6687</v>
      </c>
      <c r="K973" s="6" t="s">
        <v>6688</v>
      </c>
      <c r="L973" s="6" t="s">
        <v>6689</v>
      </c>
      <c r="M973" s="6" t="s">
        <v>6690</v>
      </c>
      <c r="N973" s="17"/>
      <c r="O973" s="17"/>
      <c r="P973" s="17" t="str">
        <f t="shared" si="6"/>
        <v>OK</v>
      </c>
      <c r="Q973" s="17" t="s">
        <v>35</v>
      </c>
      <c r="R973" s="6" t="s">
        <v>35</v>
      </c>
      <c r="S973" s="17" t="s">
        <v>36</v>
      </c>
      <c r="T973" s="17" t="s">
        <v>6691</v>
      </c>
      <c r="U973" s="173" t="s">
        <v>38</v>
      </c>
      <c r="V973" s="11" t="s">
        <v>6054</v>
      </c>
      <c r="W973" s="20" t="s">
        <v>6684</v>
      </c>
      <c r="X973" s="20" t="s">
        <v>6684</v>
      </c>
      <c r="Y973" s="20"/>
      <c r="Z973" s="7"/>
      <c r="AA973" s="7"/>
      <c r="AB973" s="23"/>
      <c r="AC973" s="26"/>
    </row>
    <row r="974" spans="1:29" ht="15.75" customHeight="1">
      <c r="A974" s="10" t="s">
        <v>6692</v>
      </c>
      <c r="B974" s="10" t="s">
        <v>4410</v>
      </c>
      <c r="C974" s="61" t="s">
        <v>6054</v>
      </c>
      <c r="D974" s="12"/>
      <c r="E974" s="13" t="s">
        <v>93</v>
      </c>
      <c r="F974" s="6" t="s">
        <v>6686</v>
      </c>
      <c r="G974" s="15" t="str">
        <f ca="1">IFERROR(__xludf.DUMMYFUNCTION("CONCATENATE(B974,(VLOOKUP(C974,CATALOGOS!$F$2:$H$6,3,FALSE)),(VLOOKUP(V974,CATALOGOS!$J$2:$K$18,2,FALSE)),""-"",TO_TEXT(A974))"),"P21DG-0973")</f>
        <v>P21DG-0973</v>
      </c>
      <c r="H974" s="6" t="str">
        <f ca="1">IFERROR(__xludf.DUMMYFUNCTION("CONCATENATE($B974,(VLOOKUP($C974,CATALOGOS!$F$2:$H$6,3,FALSE)),(VLOOKUP($V974,CATALOGOS!$J$2:$K$18,2,FALSE)),""-"",TO_TEXT($A974))"),"P21DG-0973")</f>
        <v>P21DG-0973</v>
      </c>
      <c r="I974" s="6"/>
      <c r="J974" s="6" t="s">
        <v>6693</v>
      </c>
      <c r="K974" s="6" t="s">
        <v>6694</v>
      </c>
      <c r="L974" s="6" t="s">
        <v>6695</v>
      </c>
      <c r="M974" s="6" t="s">
        <v>6696</v>
      </c>
      <c r="N974" s="17"/>
      <c r="O974" s="17"/>
      <c r="P974" s="17" t="str">
        <f t="shared" si="6"/>
        <v>OK</v>
      </c>
      <c r="Q974" s="17" t="s">
        <v>35</v>
      </c>
      <c r="R974" s="6" t="s">
        <v>35</v>
      </c>
      <c r="S974" s="17" t="s">
        <v>36</v>
      </c>
      <c r="T974" s="17" t="s">
        <v>6697</v>
      </c>
      <c r="U974" s="173" t="s">
        <v>38</v>
      </c>
      <c r="V974" s="11" t="s">
        <v>6054</v>
      </c>
      <c r="W974" s="20" t="s">
        <v>6684</v>
      </c>
      <c r="X974" s="20" t="s">
        <v>6684</v>
      </c>
      <c r="Y974" s="20"/>
      <c r="Z974" s="7"/>
      <c r="AA974" s="7"/>
      <c r="AB974" s="23"/>
      <c r="AC974" s="26"/>
    </row>
    <row r="975" spans="1:29" ht="15.75" customHeight="1">
      <c r="A975" s="10" t="s">
        <v>6698</v>
      </c>
      <c r="B975" s="10" t="s">
        <v>4410</v>
      </c>
      <c r="C975" s="61" t="s">
        <v>6054</v>
      </c>
      <c r="D975" s="12"/>
      <c r="E975" s="13" t="s">
        <v>116</v>
      </c>
      <c r="F975" s="6" t="s">
        <v>6699</v>
      </c>
      <c r="G975" s="15" t="str">
        <f ca="1">IFERROR(__xludf.DUMMYFUNCTION("CONCATENATE(B975,(VLOOKUP(C975,CATALOGOS!$F$2:$H$6,3,FALSE)),(VLOOKUP(V975,CATALOGOS!$J$2:$K$18,2,FALSE)),""-"",TO_TEXT(A975))"),"P21DG-0974")</f>
        <v>P21DG-0974</v>
      </c>
      <c r="H975" s="6" t="str">
        <f ca="1">IFERROR(__xludf.DUMMYFUNCTION("CONCATENATE($B975,(VLOOKUP($C975,CATALOGOS!$F$2:$H$6,3,FALSE)),(VLOOKUP($V975,CATALOGOS!$J$2:$K$18,2,FALSE)),""-"",TO_TEXT($A975))"),"P21DG-0974")</f>
        <v>P21DG-0974</v>
      </c>
      <c r="I975" s="6"/>
      <c r="J975" s="6" t="s">
        <v>6700</v>
      </c>
      <c r="K975" s="6" t="s">
        <v>6701</v>
      </c>
      <c r="L975" s="6" t="s">
        <v>6702</v>
      </c>
      <c r="M975" s="6" t="s">
        <v>6703</v>
      </c>
      <c r="N975" s="17"/>
      <c r="O975" s="17"/>
      <c r="P975" s="17" t="str">
        <f t="shared" si="6"/>
        <v>OK</v>
      </c>
      <c r="Q975" s="17" t="s">
        <v>35</v>
      </c>
      <c r="R975" s="6" t="s">
        <v>35</v>
      </c>
      <c r="S975" s="17" t="s">
        <v>36</v>
      </c>
      <c r="T975" s="17" t="s">
        <v>6704</v>
      </c>
      <c r="U975" s="173" t="s">
        <v>38</v>
      </c>
      <c r="V975" s="11" t="s">
        <v>6054</v>
      </c>
      <c r="W975" s="20" t="s">
        <v>6684</v>
      </c>
      <c r="X975" s="20" t="s">
        <v>6684</v>
      </c>
      <c r="Y975" s="20"/>
      <c r="Z975" s="7"/>
      <c r="AA975" s="7"/>
      <c r="AB975" s="23"/>
      <c r="AC975" s="26"/>
    </row>
    <row r="976" spans="1:29" ht="15.75" customHeight="1">
      <c r="A976" s="10" t="s">
        <v>6705</v>
      </c>
      <c r="B976" s="10" t="s">
        <v>4410</v>
      </c>
      <c r="C976" s="61" t="s">
        <v>6054</v>
      </c>
      <c r="D976" s="12"/>
      <c r="E976" s="13" t="s">
        <v>62</v>
      </c>
      <c r="F976" s="6" t="s">
        <v>6706</v>
      </c>
      <c r="G976" s="15" t="str">
        <f ca="1">IFERROR(__xludf.DUMMYFUNCTION("CONCATENATE(B976,(VLOOKUP(C976,CATALOGOS!$F$2:$H$6,3,FALSE)),(VLOOKUP(V976,CATALOGOS!$J$2:$K$18,2,FALSE)),""-"",TO_TEXT(A976))"),"P21DG-0975")</f>
        <v>P21DG-0975</v>
      </c>
      <c r="H976" s="6" t="str">
        <f ca="1">IFERROR(__xludf.DUMMYFUNCTION("CONCATENATE($B976,(VLOOKUP($C976,CATALOGOS!$F$2:$H$6,3,FALSE)),(VLOOKUP($V976,CATALOGOS!$J$2:$K$18,2,FALSE)),""-"",TO_TEXT($A976))"),"P21DG-0975")</f>
        <v>P21DG-0975</v>
      </c>
      <c r="I976" s="6"/>
      <c r="J976" s="6" t="s">
        <v>6707</v>
      </c>
      <c r="K976" s="6" t="s">
        <v>6708</v>
      </c>
      <c r="L976" s="6" t="s">
        <v>6709</v>
      </c>
      <c r="M976" s="6" t="s">
        <v>6710</v>
      </c>
      <c r="N976" s="17"/>
      <c r="O976" s="17"/>
      <c r="P976" s="17" t="str">
        <f t="shared" si="6"/>
        <v>OK</v>
      </c>
      <c r="Q976" s="17" t="s">
        <v>35</v>
      </c>
      <c r="R976" s="6" t="s">
        <v>35</v>
      </c>
      <c r="S976" s="17" t="s">
        <v>36</v>
      </c>
      <c r="T976" s="17" t="s">
        <v>6711</v>
      </c>
      <c r="U976" s="173" t="s">
        <v>38</v>
      </c>
      <c r="V976" s="11" t="s">
        <v>6054</v>
      </c>
      <c r="W976" s="20" t="s">
        <v>6684</v>
      </c>
      <c r="X976" s="20" t="s">
        <v>6684</v>
      </c>
      <c r="Y976" s="20"/>
      <c r="Z976" s="7"/>
      <c r="AA976" s="7"/>
      <c r="AB976" s="23"/>
      <c r="AC976" s="26"/>
    </row>
    <row r="977" spans="1:29" ht="15.75" customHeight="1">
      <c r="A977" s="10" t="s">
        <v>6712</v>
      </c>
      <c r="B977" s="10" t="s">
        <v>4410</v>
      </c>
      <c r="C977" s="61" t="s">
        <v>6054</v>
      </c>
      <c r="D977" s="12"/>
      <c r="E977" s="13" t="s">
        <v>43</v>
      </c>
      <c r="F977" s="43" t="s">
        <v>457</v>
      </c>
      <c r="G977" s="64" t="str">
        <f ca="1">IFERROR(__xludf.DUMMYFUNCTION("CONCATENATE(B977,(VLOOKUP(C977,CATALOGOS!$F$2:$H$6,3,FALSE)),(VLOOKUP(V977,CATALOGOS!$J$2:$K$18,2,FALSE)),""-"",TO_TEXT(A977))"),"P21DG-0976")</f>
        <v>P21DG-0976</v>
      </c>
      <c r="H977" s="6" t="str">
        <f ca="1">IFERROR(__xludf.DUMMYFUNCTION("CONCATENATE($B977,(VLOOKUP($C977,CATALOGOS!$F$2:$H$6,3,FALSE)),(VLOOKUP($V977,CATALOGOS!$J$2:$K$18,2,FALSE)),""-"",TO_TEXT($A977))"),"P21DG-0976")</f>
        <v>P21DG-0976</v>
      </c>
      <c r="I977" s="6"/>
      <c r="J977" s="6" t="s">
        <v>6713</v>
      </c>
      <c r="K977" s="6" t="s">
        <v>6714</v>
      </c>
      <c r="L977" s="6" t="s">
        <v>6715</v>
      </c>
      <c r="M977" s="6" t="s">
        <v>6716</v>
      </c>
      <c r="N977" s="17"/>
      <c r="O977" s="17"/>
      <c r="P977" s="17" t="str">
        <f t="shared" si="6"/>
        <v>OK</v>
      </c>
      <c r="Q977" s="17" t="s">
        <v>406</v>
      </c>
      <c r="R977" s="6" t="s">
        <v>6717</v>
      </c>
      <c r="S977" s="17" t="s">
        <v>6682</v>
      </c>
      <c r="T977" s="10" t="s">
        <v>6718</v>
      </c>
      <c r="U977" s="184" t="s">
        <v>1304</v>
      </c>
      <c r="V977" s="11" t="s">
        <v>6054</v>
      </c>
      <c r="W977" s="20" t="s">
        <v>6684</v>
      </c>
      <c r="X977" s="20" t="s">
        <v>6684</v>
      </c>
      <c r="Y977" s="20"/>
      <c r="Z977" s="7"/>
      <c r="AA977" s="7"/>
      <c r="AB977" s="23"/>
      <c r="AC977" s="26"/>
    </row>
    <row r="978" spans="1:29" ht="15.75" customHeight="1">
      <c r="A978" s="10" t="s">
        <v>6719</v>
      </c>
      <c r="B978" s="10" t="s">
        <v>4410</v>
      </c>
      <c r="C978" s="61" t="s">
        <v>6054</v>
      </c>
      <c r="D978" s="12"/>
      <c r="E978" s="13" t="s">
        <v>353</v>
      </c>
      <c r="F978" s="43" t="s">
        <v>354</v>
      </c>
      <c r="G978" s="15" t="str">
        <f ca="1">IFERROR(__xludf.DUMMYFUNCTION("CONCATENATE(B978,(VLOOKUP(C978,CATALOGOS!$F$2:$H$6,3,FALSE)),(VLOOKUP(V978,CATALOGOS!$J$2:$K$18,2,FALSE)),""-"",TO_TEXT(A978))"),"P21DG-0977")</f>
        <v>P21DG-0977</v>
      </c>
      <c r="H978" s="6" t="str">
        <f ca="1">IFERROR(__xludf.DUMMYFUNCTION("CONCATENATE($B978,(VLOOKUP($C978,CATALOGOS!$F$2:$H$6,3,FALSE)),(VLOOKUP($V978,CATALOGOS!$J$2:$K$18,2,FALSE)),""-"",TO_TEXT($A978))"),"P21DG-0977")</f>
        <v>P21DG-0977</v>
      </c>
      <c r="I978" s="6"/>
      <c r="J978" s="6" t="s">
        <v>6720</v>
      </c>
      <c r="K978" s="6" t="s">
        <v>6721</v>
      </c>
      <c r="L978" s="6" t="s">
        <v>6722</v>
      </c>
      <c r="M978" s="6" t="s">
        <v>6723</v>
      </c>
      <c r="N978" s="17"/>
      <c r="O978" s="17"/>
      <c r="P978" s="17" t="str">
        <f t="shared" si="6"/>
        <v>OK</v>
      </c>
      <c r="Q978" s="17" t="s">
        <v>359</v>
      </c>
      <c r="R978" s="6" t="s">
        <v>6724</v>
      </c>
      <c r="S978" s="17" t="s">
        <v>6725</v>
      </c>
      <c r="T978" s="10" t="s">
        <v>6726</v>
      </c>
      <c r="U978" s="173" t="s">
        <v>38</v>
      </c>
      <c r="V978" s="11" t="s">
        <v>6054</v>
      </c>
      <c r="W978" s="20" t="s">
        <v>6684</v>
      </c>
      <c r="X978" s="20" t="s">
        <v>6684</v>
      </c>
      <c r="Y978" s="20"/>
      <c r="Z978" s="7"/>
      <c r="AA978" s="7"/>
      <c r="AB978" s="23"/>
      <c r="AC978" s="26"/>
    </row>
    <row r="979" spans="1:29" ht="15.75" customHeight="1">
      <c r="A979" s="10" t="s">
        <v>6727</v>
      </c>
      <c r="B979" s="10" t="s">
        <v>4410</v>
      </c>
      <c r="C979" s="61" t="s">
        <v>6054</v>
      </c>
      <c r="D979" s="12"/>
      <c r="E979" s="13" t="s">
        <v>199</v>
      </c>
      <c r="F979" s="6" t="s">
        <v>199</v>
      </c>
      <c r="G979" s="15" t="str">
        <f ca="1">IFERROR(__xludf.DUMMYFUNCTION("CONCATENATE(B979,(VLOOKUP(C979,CATALOGOS!$F$2:$H$6,3,FALSE)),(VLOOKUP(V979,CATALOGOS!$J$2:$K$18,2,FALSE)),""-"",TO_TEXT(A979))"),"P21DG-0978")</f>
        <v>P21DG-0978</v>
      </c>
      <c r="H979" s="6" t="str">
        <f ca="1">IFERROR(__xludf.DUMMYFUNCTION("CONCATENATE($B979,(VLOOKUP($C979,CATALOGOS!$F$2:$H$6,3,FALSE)),(VLOOKUP($V979,CATALOGOS!$J$2:$K$18,2,FALSE)),""-"",TO_TEXT($A979))"),"P21DG-0978")</f>
        <v>P21DG-0978</v>
      </c>
      <c r="I979" s="6"/>
      <c r="J979" s="6" t="s">
        <v>6728</v>
      </c>
      <c r="K979" s="6" t="s">
        <v>6729</v>
      </c>
      <c r="L979" s="6" t="s">
        <v>6730</v>
      </c>
      <c r="M979" s="6" t="s">
        <v>141</v>
      </c>
      <c r="N979" s="17"/>
      <c r="O979" s="17"/>
      <c r="P979" s="17" t="str">
        <f t="shared" si="6"/>
        <v>REPETIDO</v>
      </c>
      <c r="Q979" s="17" t="s">
        <v>205</v>
      </c>
      <c r="R979" s="32" t="s">
        <v>794</v>
      </c>
      <c r="S979" s="17" t="s">
        <v>6731</v>
      </c>
      <c r="T979" s="17" t="s">
        <v>6732</v>
      </c>
      <c r="U979" s="173" t="s">
        <v>38</v>
      </c>
      <c r="V979" s="11" t="s">
        <v>6054</v>
      </c>
      <c r="W979" s="20" t="s">
        <v>6684</v>
      </c>
      <c r="X979" s="20" t="s">
        <v>6684</v>
      </c>
      <c r="Y979" s="20"/>
      <c r="Z979" s="7"/>
      <c r="AA979" s="7"/>
      <c r="AB979" s="23"/>
      <c r="AC979" s="26"/>
    </row>
    <row r="980" spans="1:29" ht="15.75" customHeight="1">
      <c r="A980" s="10" t="s">
        <v>6733</v>
      </c>
      <c r="B980" s="10" t="s">
        <v>4410</v>
      </c>
      <c r="C980" s="61" t="s">
        <v>6054</v>
      </c>
      <c r="D980" s="12"/>
      <c r="E980" s="13" t="s">
        <v>151</v>
      </c>
      <c r="F980" s="6" t="s">
        <v>714</v>
      </c>
      <c r="G980" s="15" t="str">
        <f ca="1">IFERROR(__xludf.DUMMYFUNCTION("CONCATENATE(B980,(VLOOKUP(C980,CATALOGOS!$F$2:$H$6,3,FALSE)),(VLOOKUP(V980,CATALOGOS!$J$2:$K$18,2,FALSE)),""-"",TO_TEXT(A980))"),"P21DG-0979")</f>
        <v>P21DG-0979</v>
      </c>
      <c r="H980" s="6" t="str">
        <f ca="1">IFERROR(__xludf.DUMMYFUNCTION("CONCATENATE($B980,(VLOOKUP($C980,CATALOGOS!$F$2:$H$6,3,FALSE)),(VLOOKUP($V980,CATALOGOS!$J$2:$K$18,2,FALSE)),""-"",TO_TEXT($A980))"),"P21DG-0979")</f>
        <v>P21DG-0979</v>
      </c>
      <c r="I980" s="6"/>
      <c r="J980" s="6" t="s">
        <v>6734</v>
      </c>
      <c r="K980" s="6" t="s">
        <v>6735</v>
      </c>
      <c r="L980" s="6" t="s">
        <v>6736</v>
      </c>
      <c r="M980" s="6" t="s">
        <v>6737</v>
      </c>
      <c r="N980" s="17"/>
      <c r="O980" s="17"/>
      <c r="P980" s="17" t="str">
        <f t="shared" si="6"/>
        <v>OK</v>
      </c>
      <c r="Q980" s="17" t="s">
        <v>1220</v>
      </c>
      <c r="R980" s="6" t="s">
        <v>720</v>
      </c>
      <c r="S980" s="17" t="s">
        <v>6738</v>
      </c>
      <c r="T980" s="17" t="s">
        <v>6739</v>
      </c>
      <c r="U980" s="173" t="s">
        <v>38</v>
      </c>
      <c r="V980" s="19" t="s">
        <v>6054</v>
      </c>
      <c r="W980" s="20" t="s">
        <v>6684</v>
      </c>
      <c r="X980" s="20" t="s">
        <v>6684</v>
      </c>
      <c r="Y980" s="20"/>
      <c r="Z980" s="7"/>
      <c r="AA980" s="7"/>
      <c r="AB980" s="23"/>
      <c r="AC980" s="26"/>
    </row>
    <row r="981" spans="1:29" ht="15.75" customHeight="1">
      <c r="A981" s="10" t="s">
        <v>6740</v>
      </c>
      <c r="B981" s="10" t="s">
        <v>4410</v>
      </c>
      <c r="C981" s="61" t="s">
        <v>6054</v>
      </c>
      <c r="D981" s="12"/>
      <c r="E981" s="13" t="s">
        <v>162</v>
      </c>
      <c r="F981" s="43" t="s">
        <v>285</v>
      </c>
      <c r="G981" s="15" t="str">
        <f ca="1">IFERROR(__xludf.DUMMYFUNCTION("CONCATENATE(B981,(VLOOKUP(C981,CATALOGOS!$F$2:$H$6,3,FALSE)),(VLOOKUP(V981,CATALOGOS!$J$2:$K$18,2,FALSE)),""-"",TO_TEXT(A981))"),"P21DG-0980")</f>
        <v>P21DG-0980</v>
      </c>
      <c r="H981" s="6" t="str">
        <f ca="1">IFERROR(__xludf.DUMMYFUNCTION("CONCATENATE($B981,(VLOOKUP($C981,CATALOGOS!$F$2:$H$6,3,FALSE)),(VLOOKUP($V981,CATALOGOS!$J$2:$K$18,2,FALSE)),""-"",TO_TEXT($A981))"),"P21DG-0980")</f>
        <v>P21DG-0980</v>
      </c>
      <c r="I981" s="6"/>
      <c r="J981" s="6" t="s">
        <v>6741</v>
      </c>
      <c r="K981" s="6" t="s">
        <v>6742</v>
      </c>
      <c r="L981" s="6" t="s">
        <v>6743</v>
      </c>
      <c r="M981" s="6" t="s">
        <v>6744</v>
      </c>
      <c r="N981" s="17"/>
      <c r="O981" s="17"/>
      <c r="P981" s="17" t="str">
        <f t="shared" si="6"/>
        <v>OK</v>
      </c>
      <c r="Q981" s="17" t="s">
        <v>663</v>
      </c>
      <c r="R981" s="6" t="s">
        <v>664</v>
      </c>
      <c r="S981" s="17" t="s">
        <v>6745</v>
      </c>
      <c r="T981" s="17" t="s">
        <v>6746</v>
      </c>
      <c r="U981" s="173" t="s">
        <v>38</v>
      </c>
      <c r="V981" s="11" t="s">
        <v>6054</v>
      </c>
      <c r="W981" s="20" t="s">
        <v>6684</v>
      </c>
      <c r="X981" s="20" t="s">
        <v>6684</v>
      </c>
      <c r="Y981" s="20"/>
      <c r="Z981" s="7"/>
      <c r="AA981" s="7"/>
      <c r="AB981" s="23"/>
      <c r="AC981" s="26"/>
    </row>
    <row r="982" spans="1:29" ht="15.75" customHeight="1">
      <c r="A982" s="10" t="s">
        <v>6747</v>
      </c>
      <c r="B982" s="10" t="s">
        <v>4410</v>
      </c>
      <c r="C982" s="61" t="s">
        <v>6054</v>
      </c>
      <c r="D982" s="12"/>
      <c r="E982" s="13" t="s">
        <v>62</v>
      </c>
      <c r="F982" s="6" t="s">
        <v>6748</v>
      </c>
      <c r="G982" s="15" t="str">
        <f ca="1">IFERROR(__xludf.DUMMYFUNCTION("CONCATENATE(B982,(VLOOKUP(C982,CATALOGOS!$F$2:$H$6,3,FALSE)),(VLOOKUP(V982,CATALOGOS!$J$2:$K$18,2,FALSE)),""-"",TO_TEXT(A982))"),"P21DG-0981")</f>
        <v>P21DG-0981</v>
      </c>
      <c r="H982" s="6" t="str">
        <f ca="1">IFERROR(__xludf.DUMMYFUNCTION("CONCATENATE($B982,(VLOOKUP($C982,CATALOGOS!$F$2:$H$6,3,FALSE)),(VLOOKUP($V982,CATALOGOS!$J$2:$K$18,2,FALSE)),""-"",TO_TEXT($A982))"),"P21DG-0981")</f>
        <v>P21DG-0981</v>
      </c>
      <c r="I982" s="6"/>
      <c r="J982" s="6" t="s">
        <v>6749</v>
      </c>
      <c r="K982" s="6" t="s">
        <v>6750</v>
      </c>
      <c r="L982" s="6" t="s">
        <v>6751</v>
      </c>
      <c r="M982" s="6" t="s">
        <v>6752</v>
      </c>
      <c r="N982" s="17"/>
      <c r="O982" s="35" t="s">
        <v>6753</v>
      </c>
      <c r="P982" s="17" t="str">
        <f t="shared" si="6"/>
        <v>OK</v>
      </c>
      <c r="Q982" s="17" t="s">
        <v>35</v>
      </c>
      <c r="R982" s="32" t="s">
        <v>35</v>
      </c>
      <c r="S982" s="17" t="s">
        <v>36</v>
      </c>
      <c r="T982" s="17" t="s">
        <v>6754</v>
      </c>
      <c r="U982" s="173" t="s">
        <v>38</v>
      </c>
      <c r="V982" s="11" t="s">
        <v>6054</v>
      </c>
      <c r="W982" s="20" t="s">
        <v>6684</v>
      </c>
      <c r="X982" s="20" t="s">
        <v>6684</v>
      </c>
      <c r="Y982" s="20"/>
      <c r="Z982" s="7"/>
      <c r="AA982" s="7"/>
      <c r="AB982" s="23"/>
      <c r="AC982" s="26"/>
    </row>
    <row r="983" spans="1:29" ht="15.75" customHeight="1">
      <c r="A983" s="10" t="s">
        <v>6755</v>
      </c>
      <c r="B983" s="10" t="s">
        <v>4410</v>
      </c>
      <c r="C983" s="61" t="s">
        <v>6054</v>
      </c>
      <c r="D983" s="12"/>
      <c r="E983" s="13" t="s">
        <v>501</v>
      </c>
      <c r="F983" s="6" t="s">
        <v>6756</v>
      </c>
      <c r="G983" s="15" t="str">
        <f ca="1">IFERROR(__xludf.DUMMYFUNCTION("CONCATENATE(B983,(VLOOKUP(C983,CATALOGOS!$F$2:$H$6,3,FALSE)),(VLOOKUP(V983,CATALOGOS!$J$2:$K$18,2,FALSE)),""-"",TO_TEXT(A983))"),"P21DG-0982")</f>
        <v>P21DG-0982</v>
      </c>
      <c r="H983" s="6" t="str">
        <f ca="1">IFERROR(__xludf.DUMMYFUNCTION("CONCATENATE($B983,(VLOOKUP($C983,CATALOGOS!$F$2:$H$6,3,FALSE)),(VLOOKUP($V983,CATALOGOS!$J$2:$K$18,2,FALSE)),""-"",TO_TEXT($A983))"),"P21DG-0982")</f>
        <v>P21DG-0982</v>
      </c>
      <c r="I983" s="6"/>
      <c r="J983" s="6" t="s">
        <v>6757</v>
      </c>
      <c r="K983" s="6" t="s">
        <v>6758</v>
      </c>
      <c r="L983" s="6" t="s">
        <v>6759</v>
      </c>
      <c r="M983" s="6" t="s">
        <v>6760</v>
      </c>
      <c r="N983" s="17"/>
      <c r="O983" s="17"/>
      <c r="P983" s="17" t="str">
        <f t="shared" si="6"/>
        <v>OK</v>
      </c>
      <c r="Q983" s="17" t="s">
        <v>35</v>
      </c>
      <c r="R983" s="6" t="s">
        <v>35</v>
      </c>
      <c r="S983" s="17" t="s">
        <v>36</v>
      </c>
      <c r="T983" s="17" t="s">
        <v>6761</v>
      </c>
      <c r="U983" s="173" t="s">
        <v>38</v>
      </c>
      <c r="V983" s="11" t="s">
        <v>6054</v>
      </c>
      <c r="W983" s="20" t="s">
        <v>6684</v>
      </c>
      <c r="X983" s="20" t="s">
        <v>6684</v>
      </c>
      <c r="Y983" s="20"/>
      <c r="Z983" s="7"/>
      <c r="AA983" s="7"/>
      <c r="AB983" s="23"/>
      <c r="AC983" s="26"/>
    </row>
    <row r="984" spans="1:29" ht="15.75" customHeight="1">
      <c r="A984" s="10" t="s">
        <v>6762</v>
      </c>
      <c r="B984" s="10" t="s">
        <v>4410</v>
      </c>
      <c r="C984" s="61" t="s">
        <v>6054</v>
      </c>
      <c r="D984" s="12"/>
      <c r="E984" s="13" t="s">
        <v>378</v>
      </c>
      <c r="F984" s="43" t="s">
        <v>6763</v>
      </c>
      <c r="G984" s="15" t="str">
        <f ca="1">IFERROR(__xludf.DUMMYFUNCTION("CONCATENATE(B984,(VLOOKUP(C984,CATALOGOS!$F$2:$H$6,3,FALSE)),(VLOOKUP(V984,CATALOGOS!$J$2:$K$18,2,FALSE)),""-"",TO_TEXT(A984))"),"P21DG-0983")</f>
        <v>P21DG-0983</v>
      </c>
      <c r="H984" s="6" t="str">
        <f ca="1">IFERROR(__xludf.DUMMYFUNCTION("CONCATENATE($B984,(VLOOKUP($C984,CATALOGOS!$F$2:$H$6,3,FALSE)),(VLOOKUP($V984,CATALOGOS!$J$2:$K$18,2,FALSE)),""-"",TO_TEXT($A984))"),"P21DG-0983")</f>
        <v>P21DG-0983</v>
      </c>
      <c r="I984" s="6"/>
      <c r="J984" s="6" t="s">
        <v>6764</v>
      </c>
      <c r="K984" s="6" t="s">
        <v>6765</v>
      </c>
      <c r="L984" s="6" t="s">
        <v>6766</v>
      </c>
      <c r="M984" s="6" t="s">
        <v>6767</v>
      </c>
      <c r="N984" s="17"/>
      <c r="O984" s="17"/>
      <c r="P984" s="17" t="str">
        <f t="shared" si="6"/>
        <v>OK</v>
      </c>
      <c r="Q984" s="17" t="s">
        <v>35</v>
      </c>
      <c r="R984" s="6" t="s">
        <v>35</v>
      </c>
      <c r="S984" s="17" t="s">
        <v>36</v>
      </c>
      <c r="T984" s="17" t="s">
        <v>6768</v>
      </c>
      <c r="U984" s="173" t="s">
        <v>38</v>
      </c>
      <c r="V984" s="11" t="s">
        <v>6054</v>
      </c>
      <c r="W984" s="20" t="s">
        <v>6684</v>
      </c>
      <c r="X984" s="20" t="s">
        <v>6684</v>
      </c>
      <c r="Y984" s="20"/>
      <c r="Z984" s="7"/>
      <c r="AA984" s="7"/>
      <c r="AB984" s="23"/>
      <c r="AC984" s="26"/>
    </row>
    <row r="985" spans="1:29" ht="15.75" customHeight="1">
      <c r="A985" s="10" t="s">
        <v>6769</v>
      </c>
      <c r="B985" s="10" t="s">
        <v>4410</v>
      </c>
      <c r="C985" s="61" t="s">
        <v>6054</v>
      </c>
      <c r="D985" s="38"/>
      <c r="E985" s="13" t="s">
        <v>378</v>
      </c>
      <c r="F985" s="6" t="s">
        <v>1306</v>
      </c>
      <c r="G985" s="15" t="str">
        <f ca="1">IFERROR(__xludf.DUMMYFUNCTION("CONCATENATE(B985,(VLOOKUP(C985,CATALOGOS!$F$2:$H$6,3,FALSE)),(VLOOKUP(V985,CATALOGOS!$J$2:$K$18,2,FALSE)),""-"",TO_TEXT(A985))"),"P21DG-0984")</f>
        <v>P21DG-0984</v>
      </c>
      <c r="H985" s="6" t="str">
        <f ca="1">IFERROR(__xludf.DUMMYFUNCTION("CONCATENATE($B985,(VLOOKUP($C985,CATALOGOS!$F$2:$H$6,3,FALSE)),(VLOOKUP($V985,CATALOGOS!$J$2:$K$18,2,FALSE)),""-"",TO_TEXT($A985))"),"P21DG-0984")</f>
        <v>P21DG-0984</v>
      </c>
      <c r="I985" s="6"/>
      <c r="J985" s="6" t="s">
        <v>6770</v>
      </c>
      <c r="K985" s="6" t="s">
        <v>6771</v>
      </c>
      <c r="L985" s="6" t="s">
        <v>6772</v>
      </c>
      <c r="M985" s="6" t="s">
        <v>6773</v>
      </c>
      <c r="N985" s="17"/>
      <c r="O985" s="17"/>
      <c r="P985" s="17" t="str">
        <f t="shared" si="6"/>
        <v>OK</v>
      </c>
      <c r="Q985" s="17" t="s">
        <v>35</v>
      </c>
      <c r="R985" s="6" t="s">
        <v>35</v>
      </c>
      <c r="S985" s="46" t="s">
        <v>36</v>
      </c>
      <c r="T985" s="17" t="s">
        <v>6774</v>
      </c>
      <c r="U985" s="173" t="s">
        <v>38</v>
      </c>
      <c r="V985" s="11" t="s">
        <v>6054</v>
      </c>
      <c r="W985" s="20" t="s">
        <v>6684</v>
      </c>
      <c r="X985" s="20" t="s">
        <v>6684</v>
      </c>
      <c r="Y985" s="20"/>
      <c r="Z985" s="7"/>
      <c r="AA985" s="7"/>
      <c r="AB985" s="26"/>
      <c r="AC985" s="26"/>
    </row>
    <row r="986" spans="1:29" ht="15.75" customHeight="1">
      <c r="A986" s="10" t="s">
        <v>6775</v>
      </c>
      <c r="B986" s="10" t="s">
        <v>1469</v>
      </c>
      <c r="C986" s="61" t="s">
        <v>1470</v>
      </c>
      <c r="D986" s="12"/>
      <c r="E986" s="13" t="s">
        <v>162</v>
      </c>
      <c r="F986" s="6" t="s">
        <v>162</v>
      </c>
      <c r="G986" s="6" t="str">
        <f ca="1">IFERROR(__xludf.DUMMYFUNCTION("CONCATENATE(B986,(VLOOKUP(C986,CATALOGOS!$F$2:$H$6,3,FALSE)),(VLOOKUP(V986,CATALOGOS!$J$2:$K$18,2,FALSE)),""-"",TO_TEXT(A986))"),"P12DG-0985")</f>
        <v>P12DG-0985</v>
      </c>
      <c r="H986" s="6" t="str">
        <f ca="1">IFERROR(__xludf.DUMMYFUNCTION("CONCATENATE($B986,(VLOOKUP($C986,CATALOGOS!$F$2:$H$6,3,FALSE)),(VLOOKUP($V986,CATALOGOS!$J$2:$K$18,2,FALSE)),""-"",TO_TEXT($A986))"),"P12DG-0985")</f>
        <v>P12DG-0985</v>
      </c>
      <c r="I986" s="6"/>
      <c r="J986" s="6" t="s">
        <v>6776</v>
      </c>
      <c r="K986" s="6" t="s">
        <v>6777</v>
      </c>
      <c r="L986" s="37"/>
      <c r="M986" s="6" t="s">
        <v>6778</v>
      </c>
      <c r="N986" s="17"/>
      <c r="O986" s="17"/>
      <c r="P986" s="17" t="str">
        <f t="shared" si="6"/>
        <v>OK</v>
      </c>
      <c r="Q986" s="17" t="s">
        <v>663</v>
      </c>
      <c r="R986" s="6" t="s">
        <v>6779</v>
      </c>
      <c r="S986" s="6" t="s">
        <v>6780</v>
      </c>
      <c r="T986" s="10" t="s">
        <v>85</v>
      </c>
      <c r="U986" s="173" t="s">
        <v>38</v>
      </c>
      <c r="V986" s="11" t="s">
        <v>6054</v>
      </c>
      <c r="W986" s="20" t="s">
        <v>1484</v>
      </c>
      <c r="X986" s="20" t="s">
        <v>1484</v>
      </c>
      <c r="Y986" s="20"/>
      <c r="Z986" s="26"/>
      <c r="AA986" s="26"/>
      <c r="AB986" s="26"/>
      <c r="AC986" s="26"/>
    </row>
    <row r="987" spans="1:29" ht="15.75" customHeight="1">
      <c r="A987" s="10" t="s">
        <v>6781</v>
      </c>
      <c r="B987" s="10" t="s">
        <v>1469</v>
      </c>
      <c r="C987" s="61" t="s">
        <v>1470</v>
      </c>
      <c r="D987" s="12"/>
      <c r="E987" s="13" t="s">
        <v>162</v>
      </c>
      <c r="F987" s="6" t="s">
        <v>162</v>
      </c>
      <c r="G987" s="6" t="str">
        <f ca="1">IFERROR(__xludf.DUMMYFUNCTION("CONCATENATE(B987,(VLOOKUP(C987,CATALOGOS!$F$2:$H$6,3,FALSE)),(VLOOKUP(V987,CATALOGOS!$J$2:$K$18,2,FALSE)),""-"",TO_TEXT(A987))"),"P12DG-0986")</f>
        <v>P12DG-0986</v>
      </c>
      <c r="H987" s="6" t="str">
        <f ca="1">IFERROR(__xludf.DUMMYFUNCTION("CONCATENATE($B987,(VLOOKUP($C987,CATALOGOS!$F$2:$H$6,3,FALSE)),(VLOOKUP($V987,CATALOGOS!$J$2:$K$18,2,FALSE)),""-"",TO_TEXT($A987))"),"P12DG-0986")</f>
        <v>P12DG-0986</v>
      </c>
      <c r="I987" s="6"/>
      <c r="J987" s="6" t="s">
        <v>6782</v>
      </c>
      <c r="K987" s="6" t="s">
        <v>6783</v>
      </c>
      <c r="L987" s="54"/>
      <c r="M987" s="32" t="s">
        <v>6784</v>
      </c>
      <c r="N987" s="17"/>
      <c r="O987" s="17"/>
      <c r="P987" s="17" t="str">
        <f t="shared" si="6"/>
        <v>OK</v>
      </c>
      <c r="Q987" s="32" t="s">
        <v>663</v>
      </c>
      <c r="R987" s="6" t="s">
        <v>6785</v>
      </c>
      <c r="S987" s="17" t="s">
        <v>6786</v>
      </c>
      <c r="T987" s="6" t="s">
        <v>85</v>
      </c>
      <c r="U987" s="173" t="s">
        <v>38</v>
      </c>
      <c r="V987" s="11" t="s">
        <v>6054</v>
      </c>
      <c r="W987" s="20" t="s">
        <v>1484</v>
      </c>
      <c r="X987" s="20" t="s">
        <v>1484</v>
      </c>
      <c r="Y987" s="20"/>
      <c r="Z987" s="26"/>
      <c r="AA987" s="26"/>
      <c r="AB987" s="26"/>
      <c r="AC987" s="26"/>
    </row>
    <row r="988" spans="1:29" ht="15.75" customHeight="1">
      <c r="A988" s="10" t="s">
        <v>6787</v>
      </c>
      <c r="B988" s="10" t="s">
        <v>1469</v>
      </c>
      <c r="C988" s="61" t="s">
        <v>1470</v>
      </c>
      <c r="D988" s="12"/>
      <c r="E988" s="13" t="s">
        <v>162</v>
      </c>
      <c r="F988" s="6" t="s">
        <v>162</v>
      </c>
      <c r="G988" s="6" t="str">
        <f ca="1">IFERROR(__xludf.DUMMYFUNCTION("CONCATENATE(B988,(VLOOKUP(C988,CATALOGOS!$F$2:$H$6,3,FALSE)),(VLOOKUP(V988,CATALOGOS!$J$2:$K$18,2,FALSE)),""-"",TO_TEXT(A988))"),"P12DG-0987")</f>
        <v>P12DG-0987</v>
      </c>
      <c r="H988" s="6" t="str">
        <f ca="1">IFERROR(__xludf.DUMMYFUNCTION("CONCATENATE($B988,(VLOOKUP($C988,CATALOGOS!$F$2:$H$6,3,FALSE)),(VLOOKUP($V988,CATALOGOS!$J$2:$K$18,2,FALSE)),""-"",TO_TEXT($A988))"),"P12DG-0987")</f>
        <v>P12DG-0987</v>
      </c>
      <c r="I988" s="6"/>
      <c r="J988" s="6" t="s">
        <v>6788</v>
      </c>
      <c r="K988" s="6" t="s">
        <v>6789</v>
      </c>
      <c r="L988" s="54"/>
      <c r="M988" s="32" t="s">
        <v>6790</v>
      </c>
      <c r="N988" s="17"/>
      <c r="O988" s="17"/>
      <c r="P988" s="17" t="str">
        <f t="shared" si="6"/>
        <v>OK</v>
      </c>
      <c r="Q988" s="32" t="s">
        <v>663</v>
      </c>
      <c r="R988" s="6" t="s">
        <v>6779</v>
      </c>
      <c r="S988" s="17" t="s">
        <v>6791</v>
      </c>
      <c r="T988" s="6" t="s">
        <v>85</v>
      </c>
      <c r="U988" s="173" t="s">
        <v>38</v>
      </c>
      <c r="V988" s="11" t="s">
        <v>6054</v>
      </c>
      <c r="W988" s="20" t="s">
        <v>1484</v>
      </c>
      <c r="X988" s="20" t="s">
        <v>1484</v>
      </c>
      <c r="Y988" s="20"/>
      <c r="Z988" s="26"/>
      <c r="AA988" s="26"/>
      <c r="AB988" s="26"/>
      <c r="AC988" s="26"/>
    </row>
    <row r="989" spans="1:29" ht="15.75" customHeight="1">
      <c r="A989" s="10" t="s">
        <v>6792</v>
      </c>
      <c r="B989" s="10" t="s">
        <v>1469</v>
      </c>
      <c r="C989" s="61" t="s">
        <v>1470</v>
      </c>
      <c r="D989" s="12"/>
      <c r="E989" s="13" t="s">
        <v>162</v>
      </c>
      <c r="F989" s="6" t="s">
        <v>162</v>
      </c>
      <c r="G989" s="6" t="str">
        <f ca="1">IFERROR(__xludf.DUMMYFUNCTION("CONCATENATE(B989,(VLOOKUP(C989,CATALOGOS!$F$2:$H$6,3,FALSE)),(VLOOKUP(V989,CATALOGOS!$J$2:$K$18,2,FALSE)),""-"",TO_TEXT(A989))"),"P12DG-0988")</f>
        <v>P12DG-0988</v>
      </c>
      <c r="H989" s="6" t="str">
        <f ca="1">IFERROR(__xludf.DUMMYFUNCTION("CONCATENATE($B989,(VLOOKUP($C989,CATALOGOS!$F$2:$H$6,3,FALSE)),(VLOOKUP($V989,CATALOGOS!$J$2:$K$18,2,FALSE)),""-"",TO_TEXT($A989))"),"P12DG-0988")</f>
        <v>P12DG-0988</v>
      </c>
      <c r="I989" s="6"/>
      <c r="J989" s="6" t="s">
        <v>6793</v>
      </c>
      <c r="K989" s="6" t="s">
        <v>6794</v>
      </c>
      <c r="L989" s="54"/>
      <c r="M989" s="32" t="s">
        <v>6795</v>
      </c>
      <c r="N989" s="17"/>
      <c r="O989" s="17"/>
      <c r="P989" s="17" t="str">
        <f t="shared" si="6"/>
        <v>OK</v>
      </c>
      <c r="Q989" s="32" t="s">
        <v>663</v>
      </c>
      <c r="R989" s="6" t="s">
        <v>6779</v>
      </c>
      <c r="S989" s="17" t="s">
        <v>6796</v>
      </c>
      <c r="T989" s="6" t="s">
        <v>85</v>
      </c>
      <c r="U989" s="173" t="s">
        <v>38</v>
      </c>
      <c r="V989" s="11" t="s">
        <v>6054</v>
      </c>
      <c r="W989" s="20" t="s">
        <v>1484</v>
      </c>
      <c r="X989" s="20" t="s">
        <v>1484</v>
      </c>
      <c r="Y989" s="20"/>
      <c r="Z989" s="26"/>
      <c r="AA989" s="26"/>
      <c r="AB989" s="26"/>
      <c r="AC989" s="26"/>
    </row>
    <row r="990" spans="1:29" ht="15.75" customHeight="1">
      <c r="A990" s="10" t="s">
        <v>6797</v>
      </c>
      <c r="B990" s="20" t="s">
        <v>1469</v>
      </c>
      <c r="C990" s="61" t="s">
        <v>1470</v>
      </c>
      <c r="D990" s="38"/>
      <c r="E990" s="13" t="s">
        <v>162</v>
      </c>
      <c r="F990" s="6" t="s">
        <v>162</v>
      </c>
      <c r="G990" s="6" t="str">
        <f ca="1">IFERROR(__xludf.DUMMYFUNCTION("CONCATENATE(B990,(VLOOKUP(C990,CATALOGOS!$F$2:$H$6,3,FALSE)),(VLOOKUP(V990,CATALOGOS!$J$2:$K$18,2,FALSE)),""-"",TO_TEXT(A990))"),"P12DG-0989")</f>
        <v>P12DG-0989</v>
      </c>
      <c r="H990" s="6" t="str">
        <f ca="1">IFERROR(__xludf.DUMMYFUNCTION("CONCATENATE($B990,(VLOOKUP($C990,CATALOGOS!$F$2:$H$6,3,FALSE)),(VLOOKUP($V990,CATALOGOS!$J$2:$K$18,2,FALSE)),""-"",TO_TEXT($A990))"),"P12DG-0989")</f>
        <v>P12DG-0989</v>
      </c>
      <c r="I990" s="6"/>
      <c r="J990" s="6" t="s">
        <v>6798</v>
      </c>
      <c r="K990" s="6" t="s">
        <v>6799</v>
      </c>
      <c r="L990" s="72"/>
      <c r="M990" s="6" t="s">
        <v>6800</v>
      </c>
      <c r="N990" s="17"/>
      <c r="O990" s="17"/>
      <c r="P990" s="17" t="str">
        <f t="shared" si="6"/>
        <v>OK</v>
      </c>
      <c r="Q990" s="17" t="s">
        <v>663</v>
      </c>
      <c r="R990" s="6" t="s">
        <v>35</v>
      </c>
      <c r="S990" s="6" t="s">
        <v>36</v>
      </c>
      <c r="T990" s="32" t="s">
        <v>85</v>
      </c>
      <c r="U990" s="173" t="s">
        <v>38</v>
      </c>
      <c r="V990" s="11" t="s">
        <v>6054</v>
      </c>
      <c r="W990" s="20" t="s">
        <v>1484</v>
      </c>
      <c r="X990" s="20" t="s">
        <v>1484</v>
      </c>
      <c r="Y990" s="20"/>
      <c r="Z990" s="84"/>
      <c r="AA990" s="84"/>
      <c r="AB990" s="54"/>
      <c r="AC990" s="26"/>
    </row>
    <row r="991" spans="1:29" ht="15.75" customHeight="1">
      <c r="A991" s="10" t="s">
        <v>6801</v>
      </c>
      <c r="B991" s="10" t="s">
        <v>4410</v>
      </c>
      <c r="C991" s="61" t="s">
        <v>4411</v>
      </c>
      <c r="D991" s="12"/>
      <c r="E991" s="13" t="s">
        <v>43</v>
      </c>
      <c r="F991" s="43" t="s">
        <v>2581</v>
      </c>
      <c r="G991" s="6" t="str">
        <f ca="1">IFERROR(__xludf.DUMMYFUNCTION("CONCATENATE(B991,(VLOOKUP(C991,CATALOGOS!$F$2:$H$6,3,FALSE)),(VLOOKUP(V991,CATALOGOS!$J$2:$K$18,2,FALSE)),""-"",TO_TEXT(A991))"),"P24SJ-0990")</f>
        <v>P24SJ-0990</v>
      </c>
      <c r="H991" s="6" t="str">
        <f ca="1">IFERROR(__xludf.DUMMYFUNCTION("CONCATENATE($B991,(VLOOKUP($C991,CATALOGOS!$F$2:$H$6,3,FALSE)),(VLOOKUP($V991,CATALOGOS!$J$2:$K$18,2,FALSE)),""-"",TO_TEXT($A991))"),"P24SJ-0990")</f>
        <v>P24SJ-0990</v>
      </c>
      <c r="I991" s="6"/>
      <c r="J991" s="6" t="s">
        <v>6802</v>
      </c>
      <c r="K991" s="6" t="s">
        <v>5285</v>
      </c>
      <c r="L991" s="32" t="s">
        <v>5235</v>
      </c>
      <c r="M991" s="6" t="s">
        <v>141</v>
      </c>
      <c r="N991" s="17"/>
      <c r="O991" s="17"/>
      <c r="P991" s="17" t="str">
        <f t="shared" si="6"/>
        <v>REPETIDO</v>
      </c>
      <c r="Q991" s="17" t="s">
        <v>5237</v>
      </c>
      <c r="R991" s="32" t="s">
        <v>35</v>
      </c>
      <c r="S991" s="17" t="s">
        <v>36</v>
      </c>
      <c r="T991" s="17" t="s">
        <v>5239</v>
      </c>
      <c r="U991" s="173" t="s">
        <v>38</v>
      </c>
      <c r="V991" s="11" t="s">
        <v>4411</v>
      </c>
      <c r="W991" s="22" t="s">
        <v>4417</v>
      </c>
      <c r="X991" s="22" t="s">
        <v>4417</v>
      </c>
      <c r="Y991" s="22"/>
      <c r="Z991" s="7"/>
      <c r="AA991" s="7"/>
      <c r="AB991" s="23"/>
      <c r="AC991" s="26"/>
    </row>
    <row r="992" spans="1:29" ht="15.75" customHeight="1">
      <c r="A992" s="10" t="s">
        <v>6803</v>
      </c>
      <c r="B992" s="10" t="s">
        <v>4410</v>
      </c>
      <c r="C992" s="61" t="s">
        <v>4411</v>
      </c>
      <c r="D992" s="12"/>
      <c r="E992" s="13" t="s">
        <v>184</v>
      </c>
      <c r="F992" s="43" t="s">
        <v>6804</v>
      </c>
      <c r="G992" s="6" t="str">
        <f ca="1">IFERROR(__xludf.DUMMYFUNCTION("CONCATENATE(B992,(VLOOKUP(C992,CATALOGOS!$F$2:$H$6,3,FALSE)),(VLOOKUP(V992,CATALOGOS!$J$2:$K$18,2,FALSE)),""-"",TO_TEXT(A992))"),"P24SJ-0991")</f>
        <v>P24SJ-0991</v>
      </c>
      <c r="H992" s="6" t="str">
        <f ca="1">IFERROR(__xludf.DUMMYFUNCTION("CONCATENATE($B992,(VLOOKUP($C992,CATALOGOS!$F$2:$H$6,3,FALSE)),(VLOOKUP($V992,CATALOGOS!$J$2:$K$18,2,FALSE)),""-"",TO_TEXT($A992))"),"P24SJ-0991")</f>
        <v>P24SJ-0991</v>
      </c>
      <c r="I992" s="6"/>
      <c r="J992" s="6" t="s">
        <v>6805</v>
      </c>
      <c r="K992" s="6" t="s">
        <v>6806</v>
      </c>
      <c r="L992" s="32" t="s">
        <v>6807</v>
      </c>
      <c r="M992" s="6" t="s">
        <v>6808</v>
      </c>
      <c r="N992" s="17"/>
      <c r="O992" s="17"/>
      <c r="P992" s="17" t="str">
        <f t="shared" si="6"/>
        <v>OK</v>
      </c>
      <c r="Q992" s="17" t="s">
        <v>35</v>
      </c>
      <c r="R992" s="6" t="s">
        <v>35</v>
      </c>
      <c r="S992" s="17" t="s">
        <v>36</v>
      </c>
      <c r="T992" s="17" t="s">
        <v>6809</v>
      </c>
      <c r="U992" s="173" t="s">
        <v>38</v>
      </c>
      <c r="V992" s="11" t="s">
        <v>4411</v>
      </c>
      <c r="W992" s="22" t="s">
        <v>4417</v>
      </c>
      <c r="X992" s="22" t="s">
        <v>4417</v>
      </c>
      <c r="Y992" s="22"/>
      <c r="Z992" s="7"/>
      <c r="AA992" s="7"/>
      <c r="AB992" s="23"/>
      <c r="AC992" s="26"/>
    </row>
    <row r="993" spans="1:29" ht="15.75" customHeight="1">
      <c r="A993" s="10" t="s">
        <v>6810</v>
      </c>
      <c r="B993" s="10" t="s">
        <v>4410</v>
      </c>
      <c r="C993" s="61" t="s">
        <v>4411</v>
      </c>
      <c r="D993" s="12"/>
      <c r="E993" s="13" t="s">
        <v>116</v>
      </c>
      <c r="F993" s="43" t="s">
        <v>6811</v>
      </c>
      <c r="G993" s="15" t="str">
        <f ca="1">IFERROR(__xludf.DUMMYFUNCTION("CONCATENATE(B993,(VLOOKUP(C993,CATALOGOS!$F$2:$H$6,3,FALSE)),(VLOOKUP(V993,CATALOGOS!$J$2:$K$18,2,FALSE)),""-"",TO_TEXT(A993))"),"P24SJ-0992")</f>
        <v>P24SJ-0992</v>
      </c>
      <c r="H993" s="6" t="str">
        <f ca="1">IFERROR(__xludf.DUMMYFUNCTION("CONCATENATE($B993,(VLOOKUP($C993,CATALOGOS!$F$2:$H$6,3,FALSE)),(VLOOKUP($V993,CATALOGOS!$J$2:$K$18,2,FALSE)),""-"",TO_TEXT($A993))"),"P24SJ-0992")</f>
        <v>P24SJ-0992</v>
      </c>
      <c r="I993" s="6"/>
      <c r="J993" s="6" t="s">
        <v>6812</v>
      </c>
      <c r="K993" s="6" t="s">
        <v>6813</v>
      </c>
      <c r="L993" s="32" t="s">
        <v>4413</v>
      </c>
      <c r="M993" s="6" t="s">
        <v>6814</v>
      </c>
      <c r="N993" s="17"/>
      <c r="O993" s="17"/>
      <c r="P993" s="17" t="str">
        <f t="shared" si="6"/>
        <v>OK</v>
      </c>
      <c r="Q993" s="17" t="s">
        <v>35</v>
      </c>
      <c r="R993" s="6" t="s">
        <v>35</v>
      </c>
      <c r="S993" s="17" t="s">
        <v>36</v>
      </c>
      <c r="T993" s="17" t="s">
        <v>6815</v>
      </c>
      <c r="U993" s="173" t="s">
        <v>38</v>
      </c>
      <c r="V993" s="11" t="s">
        <v>4411</v>
      </c>
      <c r="W993" s="22" t="s">
        <v>4417</v>
      </c>
      <c r="X993" s="22" t="s">
        <v>4417</v>
      </c>
      <c r="Y993" s="20" t="s">
        <v>8444</v>
      </c>
      <c r="Z993" s="7"/>
      <c r="AA993" s="7"/>
      <c r="AB993" s="23"/>
      <c r="AC993" s="26"/>
    </row>
    <row r="994" spans="1:29" ht="15.75" customHeight="1">
      <c r="A994" s="10" t="s">
        <v>6816</v>
      </c>
      <c r="B994" s="10" t="s">
        <v>4410</v>
      </c>
      <c r="C994" s="61" t="s">
        <v>4411</v>
      </c>
      <c r="D994" s="12"/>
      <c r="E994" s="13" t="s">
        <v>248</v>
      </c>
      <c r="F994" s="43" t="s">
        <v>249</v>
      </c>
      <c r="G994" s="15" t="str">
        <f ca="1">IFERROR(__xludf.DUMMYFUNCTION("CONCATENATE(B994,(VLOOKUP(C994,CATALOGOS!$F$2:$H$6,3,FALSE)),(VLOOKUP(V994,CATALOGOS!$J$2:$K$18,2,FALSE)),""-"",TO_TEXT(A994))"),"P24SJ-0993")</f>
        <v>P24SJ-0993</v>
      </c>
      <c r="H994" s="6" t="str">
        <f ca="1">IFERROR(__xludf.DUMMYFUNCTION("CONCATENATE($B994,(VLOOKUP($C994,CATALOGOS!$F$2:$H$6,3,FALSE)),(VLOOKUP($V994,CATALOGOS!$J$2:$K$18,2,FALSE)),""-"",TO_TEXT($A994))"),"P24SJ-0993")</f>
        <v>P24SJ-0993</v>
      </c>
      <c r="I994" s="6"/>
      <c r="J994" s="6" t="s">
        <v>6817</v>
      </c>
      <c r="K994" s="6" t="s">
        <v>6818</v>
      </c>
      <c r="L994" s="32" t="s">
        <v>6819</v>
      </c>
      <c r="M994" s="6" t="s">
        <v>6820</v>
      </c>
      <c r="N994" s="17"/>
      <c r="O994" s="17"/>
      <c r="P994" s="17" t="str">
        <f t="shared" si="6"/>
        <v>OK</v>
      </c>
      <c r="Q994" s="17" t="s">
        <v>978</v>
      </c>
      <c r="R994" s="6" t="s">
        <v>979</v>
      </c>
      <c r="S994" s="17" t="s">
        <v>36</v>
      </c>
      <c r="T994" s="17" t="s">
        <v>6821</v>
      </c>
      <c r="U994" s="173" t="s">
        <v>38</v>
      </c>
      <c r="V994" s="11" t="s">
        <v>4411</v>
      </c>
      <c r="W994" s="22" t="s">
        <v>4417</v>
      </c>
      <c r="X994" s="22" t="s">
        <v>4417</v>
      </c>
      <c r="Y994" s="20" t="s">
        <v>8444</v>
      </c>
      <c r="Z994" s="7"/>
      <c r="AA994" s="7"/>
      <c r="AB994" s="23"/>
      <c r="AC994" s="26"/>
    </row>
    <row r="995" spans="1:29" ht="15.75" customHeight="1">
      <c r="A995" s="10" t="s">
        <v>6822</v>
      </c>
      <c r="B995" s="10" t="s">
        <v>4410</v>
      </c>
      <c r="C995" s="61" t="s">
        <v>4411</v>
      </c>
      <c r="D995" s="12"/>
      <c r="E995" s="13" t="s">
        <v>278</v>
      </c>
      <c r="F995" s="43" t="s">
        <v>278</v>
      </c>
      <c r="G995" s="15" t="str">
        <f ca="1">IFERROR(__xludf.DUMMYFUNCTION("CONCATENATE(B995,(VLOOKUP(C995,CATALOGOS!$F$2:$H$6,3,FALSE)),(VLOOKUP(V995,CATALOGOS!$J$2:$K$18,2,FALSE)),""-"",TO_TEXT(A995))"),"P24SJ-0994")</f>
        <v>P24SJ-0994</v>
      </c>
      <c r="H995" s="6" t="str">
        <f ca="1">IFERROR(__xludf.DUMMYFUNCTION("CONCATENATE($B995,(VLOOKUP($C995,CATALOGOS!$F$2:$H$6,3,FALSE)),(VLOOKUP($V995,CATALOGOS!$J$2:$K$18,2,FALSE)),""-"",TO_TEXT($A995))"),"P24SJ-0994")</f>
        <v>P24SJ-0994</v>
      </c>
      <c r="I995" s="6"/>
      <c r="J995" s="6" t="s">
        <v>6823</v>
      </c>
      <c r="K995" s="6" t="s">
        <v>6824</v>
      </c>
      <c r="L995" s="32" t="s">
        <v>6825</v>
      </c>
      <c r="M995" s="6" t="s">
        <v>6826</v>
      </c>
      <c r="N995" s="17"/>
      <c r="O995" s="17"/>
      <c r="P995" s="17" t="str">
        <f t="shared" si="6"/>
        <v>OK</v>
      </c>
      <c r="Q995" s="17" t="s">
        <v>35</v>
      </c>
      <c r="R995" s="6" t="s">
        <v>35</v>
      </c>
      <c r="S995" s="17" t="s">
        <v>36</v>
      </c>
      <c r="T995" s="17" t="s">
        <v>6827</v>
      </c>
      <c r="U995" s="173" t="s">
        <v>38</v>
      </c>
      <c r="V995" s="11" t="s">
        <v>4411</v>
      </c>
      <c r="W995" s="22" t="s">
        <v>4417</v>
      </c>
      <c r="X995" s="22" t="s">
        <v>4417</v>
      </c>
      <c r="Y995" s="22"/>
      <c r="Z995" s="7"/>
      <c r="AA995" s="7"/>
      <c r="AB995" s="23"/>
      <c r="AC995" s="26"/>
    </row>
    <row r="996" spans="1:29" ht="15.75" customHeight="1">
      <c r="A996" s="10" t="s">
        <v>6828</v>
      </c>
      <c r="B996" s="10" t="s">
        <v>4410</v>
      </c>
      <c r="C996" s="61" t="s">
        <v>4411</v>
      </c>
      <c r="D996" s="12"/>
      <c r="E996" s="13" t="s">
        <v>43</v>
      </c>
      <c r="F996" s="43" t="s">
        <v>2581</v>
      </c>
      <c r="G996" s="15" t="str">
        <f ca="1">IFERROR(__xludf.DUMMYFUNCTION("CONCATENATE(B996,(VLOOKUP(C996,CATALOGOS!$F$2:$H$6,3,FALSE)),(VLOOKUP(V996,CATALOGOS!$J$2:$K$18,2,FALSE)),""-"",TO_TEXT(A996))"),"P24SJ-0995")</f>
        <v>P24SJ-0995</v>
      </c>
      <c r="H996" s="6" t="str">
        <f ca="1">IFERROR(__xludf.DUMMYFUNCTION("CONCATENATE($B996,(VLOOKUP($C996,CATALOGOS!$F$2:$H$6,3,FALSE)),(VLOOKUP($V996,CATALOGOS!$J$2:$K$18,2,FALSE)),""-"",TO_TEXT($A996))"),"P24SJ-0995")</f>
        <v>P24SJ-0995</v>
      </c>
      <c r="I996" s="6"/>
      <c r="J996" s="6" t="s">
        <v>6829</v>
      </c>
      <c r="K996" s="6" t="s">
        <v>6830</v>
      </c>
      <c r="L996" s="32" t="s">
        <v>6831</v>
      </c>
      <c r="M996" s="6" t="s">
        <v>6832</v>
      </c>
      <c r="N996" s="17"/>
      <c r="O996" s="17"/>
      <c r="P996" s="17" t="str">
        <f t="shared" si="6"/>
        <v>OK</v>
      </c>
      <c r="Q996" s="17" t="s">
        <v>5237</v>
      </c>
      <c r="R996" s="6" t="s">
        <v>35</v>
      </c>
      <c r="S996" s="17" t="s">
        <v>36</v>
      </c>
      <c r="T996" s="35" t="s">
        <v>6833</v>
      </c>
      <c r="U996" s="173" t="s">
        <v>38</v>
      </c>
      <c r="V996" s="11" t="s">
        <v>4411</v>
      </c>
      <c r="W996" s="22" t="s">
        <v>4417</v>
      </c>
      <c r="X996" s="22" t="s">
        <v>4417</v>
      </c>
      <c r="Y996" s="22"/>
      <c r="Z996" s="7"/>
      <c r="AA996" s="7"/>
      <c r="AB996" s="23"/>
      <c r="AC996" s="26"/>
    </row>
    <row r="997" spans="1:29" ht="15.75" customHeight="1">
      <c r="A997" s="10" t="s">
        <v>6835</v>
      </c>
      <c r="B997" s="20" t="s">
        <v>4410</v>
      </c>
      <c r="C997" s="61" t="s">
        <v>4411</v>
      </c>
      <c r="D997" s="38"/>
      <c r="E997" s="13" t="s">
        <v>199</v>
      </c>
      <c r="F997" s="43" t="s">
        <v>6836</v>
      </c>
      <c r="G997" s="6" t="str">
        <f ca="1">IFERROR(__xludf.DUMMYFUNCTION("CONCATENATE(B997,(VLOOKUP(C997,CATALOGOS!$F$2:$H$6,3,FALSE)),(VLOOKUP(V997,CATALOGOS!$J$2:$K$18,2,FALSE)),""-"",TO_TEXT(A997))"),"P24SJ-0996")</f>
        <v>P24SJ-0996</v>
      </c>
      <c r="H997" s="6" t="str">
        <f ca="1">IFERROR(__xludf.DUMMYFUNCTION("CONCATENATE($B997,(VLOOKUP($C997,CATALOGOS!$F$2:$H$6,3,FALSE)),(VLOOKUP($V997,CATALOGOS!$J$2:$K$18,2,FALSE)),""-"",TO_TEXT($A997))"),"P24SJ-0996")</f>
        <v>P24SJ-0996</v>
      </c>
      <c r="I997" s="6"/>
      <c r="J997" s="6" t="s">
        <v>6837</v>
      </c>
      <c r="K997" s="6" t="s">
        <v>6838</v>
      </c>
      <c r="L997" s="49" t="s">
        <v>6839</v>
      </c>
      <c r="M997" s="6" t="s">
        <v>6840</v>
      </c>
      <c r="N997" s="17"/>
      <c r="O997" s="17"/>
      <c r="P997" s="17" t="str">
        <f t="shared" si="6"/>
        <v>OK</v>
      </c>
      <c r="Q997" s="17" t="s">
        <v>682</v>
      </c>
      <c r="R997" s="6" t="s">
        <v>35</v>
      </c>
      <c r="S997" s="46" t="s">
        <v>8445</v>
      </c>
      <c r="T997" s="35" t="s">
        <v>85</v>
      </c>
      <c r="U997" s="173" t="s">
        <v>38</v>
      </c>
      <c r="V997" s="11" t="s">
        <v>4411</v>
      </c>
      <c r="W997" s="22" t="s">
        <v>4417</v>
      </c>
      <c r="X997" s="22" t="s">
        <v>4417</v>
      </c>
      <c r="Y997" s="22"/>
      <c r="Z997" s="7"/>
      <c r="AA997" s="7"/>
      <c r="AB997" s="26"/>
      <c r="AC997" s="26"/>
    </row>
    <row r="998" spans="1:29" ht="15.75" customHeight="1">
      <c r="A998" s="10" t="s">
        <v>6842</v>
      </c>
      <c r="B998" s="10" t="s">
        <v>1469</v>
      </c>
      <c r="C998" s="61" t="s">
        <v>1470</v>
      </c>
      <c r="D998" s="12"/>
      <c r="E998" s="13" t="s">
        <v>378</v>
      </c>
      <c r="F998" s="6" t="s">
        <v>379</v>
      </c>
      <c r="G998" s="6" t="str">
        <f ca="1">IFERROR(__xludf.DUMMYFUNCTION("CONCATENATE(B998,(VLOOKUP(C998,CATALOGOS!$F$2:$H$6,3,FALSE)),(VLOOKUP(V998,CATALOGOS!$J$2:$K$18,2,FALSE)),""-"",TO_TEXT(A998))"),"P12PP-0997")</f>
        <v>P12PP-0997</v>
      </c>
      <c r="H998" s="6" t="str">
        <f ca="1">IFERROR(__xludf.DUMMYFUNCTION("CONCATENATE($B998,(VLOOKUP($C998,CATALOGOS!$F$2:$H$6,3,FALSE)),(VLOOKUP($V998,CATALOGOS!$J$2:$K$18,2,FALSE)),""-"",TO_TEXT($A998))"),"P12PP-0997")</f>
        <v>P12PP-0997</v>
      </c>
      <c r="I998" s="6"/>
      <c r="J998" s="6" t="s">
        <v>6843</v>
      </c>
      <c r="K998" s="37"/>
      <c r="L998" s="37"/>
      <c r="M998" s="6" t="s">
        <v>141</v>
      </c>
      <c r="N998" s="17"/>
      <c r="O998" s="17"/>
      <c r="P998" s="17"/>
      <c r="Q998" s="35" t="s">
        <v>6844</v>
      </c>
      <c r="R998" s="10" t="s">
        <v>6845</v>
      </c>
      <c r="S998" s="10" t="s">
        <v>36</v>
      </c>
      <c r="T998" s="10" t="s">
        <v>6846</v>
      </c>
      <c r="U998" s="173" t="s">
        <v>38</v>
      </c>
      <c r="V998" s="11" t="s">
        <v>1548</v>
      </c>
      <c r="W998" s="20" t="s">
        <v>1737</v>
      </c>
      <c r="X998" s="20" t="s">
        <v>1737</v>
      </c>
      <c r="Y998" s="20"/>
      <c r="Z998" s="26"/>
      <c r="AA998" s="26"/>
      <c r="AB998" s="26"/>
      <c r="AC998" s="26"/>
    </row>
    <row r="999" spans="1:29" ht="15.75" customHeight="1">
      <c r="A999" s="10" t="s">
        <v>6847</v>
      </c>
      <c r="B999" s="10" t="s">
        <v>1469</v>
      </c>
      <c r="C999" s="61" t="s">
        <v>1470</v>
      </c>
      <c r="D999" s="12"/>
      <c r="E999" s="13" t="s">
        <v>43</v>
      </c>
      <c r="F999" s="6" t="s">
        <v>6848</v>
      </c>
      <c r="G999" s="6" t="str">
        <f ca="1">IFERROR(__xludf.DUMMYFUNCTION("CONCATENATE(B999,(VLOOKUP(C999,CATALOGOS!$F$2:$H$6,3,FALSE)),(VLOOKUP(V999,CATALOGOS!$J$2:$K$18,2,FALSE)),""-"",TO_TEXT(A999))"),"P12PL-0998")</f>
        <v>P12PL-0998</v>
      </c>
      <c r="H999" s="6" t="str">
        <f ca="1">IFERROR(__xludf.DUMMYFUNCTION("CONCATENATE($B999,(VLOOKUP($C999,CATALOGOS!$F$2:$H$6,3,FALSE)),(VLOOKUP($V999,CATALOGOS!$J$2:$K$18,2,FALSE)),""-"",TO_TEXT($A999))"),"P12PL-0998")</f>
        <v>P12PL-0998</v>
      </c>
      <c r="I999" s="6"/>
      <c r="J999" s="6" t="s">
        <v>6849</v>
      </c>
      <c r="K999" s="37"/>
      <c r="L999" s="37"/>
      <c r="M999" s="6" t="s">
        <v>141</v>
      </c>
      <c r="N999" s="17"/>
      <c r="O999" s="17"/>
      <c r="P999" s="17"/>
      <c r="Q999" s="35" t="s">
        <v>1913</v>
      </c>
      <c r="R999" s="10" t="s">
        <v>6850</v>
      </c>
      <c r="S999" s="10" t="s">
        <v>36</v>
      </c>
      <c r="T999" s="10" t="s">
        <v>85</v>
      </c>
      <c r="U999" s="173" t="s">
        <v>38</v>
      </c>
      <c r="V999" s="11" t="s">
        <v>3091</v>
      </c>
      <c r="W999" s="20" t="s">
        <v>3092</v>
      </c>
      <c r="X999" s="20" t="s">
        <v>3092</v>
      </c>
      <c r="Y999" s="20"/>
      <c r="Z999" s="26"/>
      <c r="AA999" s="26"/>
      <c r="AB999" s="26"/>
      <c r="AC999" s="26"/>
    </row>
    <row r="1000" spans="1:29" ht="15.75" customHeight="1">
      <c r="A1000" s="10" t="s">
        <v>6851</v>
      </c>
      <c r="B1000" s="10" t="s">
        <v>1469</v>
      </c>
      <c r="C1000" s="61" t="s">
        <v>1470</v>
      </c>
      <c r="D1000" s="12"/>
      <c r="E1000" s="13" t="s">
        <v>378</v>
      </c>
      <c r="F1000" s="6" t="s">
        <v>379</v>
      </c>
      <c r="G1000" s="6" t="str">
        <f ca="1">IFERROR(__xludf.DUMMYFUNCTION("CONCATENATE(B1000,(VLOOKUP(C1000,CATALOGOS!$F$2:$H$6,3,FALSE)),(VLOOKUP(V1000,CATALOGOS!$J$2:$K$18,2,FALSE)),""-"",TO_TEXT(A1000))"),"P12SI-0999")</f>
        <v>P12SI-0999</v>
      </c>
      <c r="H1000" s="6" t="str">
        <f ca="1">IFERROR(__xludf.DUMMYFUNCTION("CONCATENATE($B1000,(VLOOKUP($C1000,CATALOGOS!$F$2:$H$6,3,FALSE)),(VLOOKUP($V1000,CATALOGOS!$J$2:$K$18,2,FALSE)),""-"",TO_TEXT($A1000))"),"P12SI-0999")</f>
        <v>P12SI-0999</v>
      </c>
      <c r="I1000" s="6"/>
      <c r="J1000" s="6" t="s">
        <v>6852</v>
      </c>
      <c r="K1000" s="37"/>
      <c r="L1000" s="37"/>
      <c r="M1000" s="6" t="s">
        <v>141</v>
      </c>
      <c r="N1000" s="17"/>
      <c r="O1000" s="17"/>
      <c r="P1000" s="17"/>
      <c r="Q1000" s="35" t="s">
        <v>35</v>
      </c>
      <c r="R1000" s="10" t="s">
        <v>35</v>
      </c>
      <c r="S1000" s="10" t="s">
        <v>36</v>
      </c>
      <c r="T1000" s="10" t="s">
        <v>6853</v>
      </c>
      <c r="U1000" s="173" t="s">
        <v>38</v>
      </c>
      <c r="V1000" s="181" t="s">
        <v>1483</v>
      </c>
      <c r="W1000" s="20" t="s">
        <v>2533</v>
      </c>
      <c r="X1000" s="20" t="s">
        <v>2533</v>
      </c>
      <c r="Y1000" s="20"/>
      <c r="Z1000" s="26"/>
      <c r="AA1000" s="26"/>
      <c r="AB1000" s="26"/>
      <c r="AC1000" s="26"/>
    </row>
    <row r="1001" spans="1:29" ht="15.75" customHeight="1">
      <c r="A1001" s="10" t="s">
        <v>6854</v>
      </c>
      <c r="B1001" s="10" t="s">
        <v>1469</v>
      </c>
      <c r="C1001" s="61" t="s">
        <v>1470</v>
      </c>
      <c r="D1001" s="12"/>
      <c r="E1001" s="13" t="s">
        <v>378</v>
      </c>
      <c r="F1001" s="6" t="s">
        <v>379</v>
      </c>
      <c r="G1001" s="6" t="str">
        <f ca="1">IFERROR(__xludf.DUMMYFUNCTION("CONCATENATE(B1001,(VLOOKUP(C1001,CATALOGOS!$F$2:$H$6,3,FALSE)),(VLOOKUP(V1001,CATALOGOS!$J$2:$K$18,2,FALSE)),""-"",TO_TEXT(A1001))"),"P12SI-1000")</f>
        <v>P12SI-1000</v>
      </c>
      <c r="H1001" s="6" t="str">
        <f ca="1">IFERROR(__xludf.DUMMYFUNCTION("CONCATENATE($B1001,(VLOOKUP($C1001,CATALOGOS!$F$2:$H$6,3,FALSE)),(VLOOKUP($V1001,CATALOGOS!$J$2:$K$18,2,FALSE)),""-"",TO_TEXT($A1001))"),"P12SI-1000")</f>
        <v>P12SI-1000</v>
      </c>
      <c r="I1001" s="6"/>
      <c r="J1001" s="6" t="s">
        <v>6855</v>
      </c>
      <c r="K1001" s="37"/>
      <c r="L1001" s="37"/>
      <c r="M1001" s="6" t="s">
        <v>141</v>
      </c>
      <c r="N1001" s="17"/>
      <c r="O1001" s="17"/>
      <c r="P1001" s="17"/>
      <c r="Q1001" s="35" t="s">
        <v>35</v>
      </c>
      <c r="R1001" s="10" t="s">
        <v>35</v>
      </c>
      <c r="S1001" s="10" t="s">
        <v>36</v>
      </c>
      <c r="T1001" s="10" t="s">
        <v>6856</v>
      </c>
      <c r="U1001" s="173" t="s">
        <v>38</v>
      </c>
      <c r="V1001" s="181" t="s">
        <v>1483</v>
      </c>
      <c r="W1001" s="20" t="s">
        <v>1484</v>
      </c>
      <c r="X1001" s="20" t="s">
        <v>1484</v>
      </c>
      <c r="Y1001" s="20"/>
      <c r="Z1001" s="26"/>
      <c r="AA1001" s="26"/>
      <c r="AB1001" s="26"/>
      <c r="AC1001" s="26"/>
    </row>
    <row r="1002" spans="1:29" ht="15.75" customHeight="1">
      <c r="A1002" s="10" t="s">
        <v>6857</v>
      </c>
      <c r="B1002" s="10" t="s">
        <v>1469</v>
      </c>
      <c r="C1002" s="61" t="s">
        <v>1470</v>
      </c>
      <c r="D1002" s="12"/>
      <c r="E1002" s="13" t="s">
        <v>151</v>
      </c>
      <c r="F1002" s="6" t="s">
        <v>6858</v>
      </c>
      <c r="G1002" s="6" t="str">
        <f ca="1">IFERROR(__xludf.DUMMYFUNCTION("CONCATENATE(B1002,(VLOOKUP(C1002,CATALOGOS!$F$2:$H$6,3,FALSE)),(VLOOKUP(V1002,CATALOGOS!$J$2:$K$18,2,FALSE)),""-"",TO_TEXT(A1002))"),"P12SI-1001")</f>
        <v>P12SI-1001</v>
      </c>
      <c r="H1002" s="6" t="str">
        <f ca="1">IFERROR(__xludf.DUMMYFUNCTION("CONCATENATE($B1002,(VLOOKUP($C1002,CATALOGOS!$F$2:$H$6,3,FALSE)),(VLOOKUP($V1002,CATALOGOS!$J$2:$K$18,2,FALSE)),""-"",TO_TEXT($A1002))"),"P12SI-1001")</f>
        <v>P12SI-1001</v>
      </c>
      <c r="I1002" s="6"/>
      <c r="J1002" s="6" t="s">
        <v>6859</v>
      </c>
      <c r="K1002" s="37"/>
      <c r="L1002" s="37"/>
      <c r="M1002" s="6" t="s">
        <v>141</v>
      </c>
      <c r="N1002" s="17"/>
      <c r="O1002" s="17"/>
      <c r="P1002" s="17"/>
      <c r="Q1002" s="35" t="s">
        <v>35</v>
      </c>
      <c r="R1002" s="10" t="s">
        <v>6860</v>
      </c>
      <c r="S1002" s="10" t="s">
        <v>6861</v>
      </c>
      <c r="T1002" s="10" t="s">
        <v>85</v>
      </c>
      <c r="U1002" s="173" t="s">
        <v>38</v>
      </c>
      <c r="V1002" s="181" t="s">
        <v>1483</v>
      </c>
      <c r="W1002" s="20" t="s">
        <v>2533</v>
      </c>
      <c r="X1002" s="20" t="s">
        <v>2533</v>
      </c>
      <c r="Y1002" s="20"/>
      <c r="Z1002" s="26"/>
      <c r="AA1002" s="26"/>
      <c r="AB1002" s="26"/>
      <c r="AC1002" s="26"/>
    </row>
    <row r="1003" spans="1:29" ht="15.75" customHeight="1">
      <c r="A1003" s="10" t="s">
        <v>6863</v>
      </c>
      <c r="B1003" s="10" t="s">
        <v>1469</v>
      </c>
      <c r="C1003" s="61" t="s">
        <v>1470</v>
      </c>
      <c r="D1003" s="12"/>
      <c r="E1003" s="13" t="s">
        <v>151</v>
      </c>
      <c r="F1003" s="6" t="s">
        <v>6858</v>
      </c>
      <c r="G1003" s="6" t="str">
        <f ca="1">IFERROR(__xludf.DUMMYFUNCTION("CONCATENATE(B1003,(VLOOKUP(C1003,CATALOGOS!$F$2:$H$6,3,FALSE)),(VLOOKUP(V1003,CATALOGOS!$J$2:$K$18,2,FALSE)),""-"",TO_TEXT(A1003))"),"P12SI-1002")</f>
        <v>P12SI-1002</v>
      </c>
      <c r="H1003" s="6" t="str">
        <f ca="1">IFERROR(__xludf.DUMMYFUNCTION("CONCATENATE($B1003,(VLOOKUP($C1003,CATALOGOS!$F$2:$H$6,3,FALSE)),(VLOOKUP($V1003,CATALOGOS!$J$2:$K$18,2,FALSE)),""-"",TO_TEXT($A1003))"),"P12SI-1002")</f>
        <v>P12SI-1002</v>
      </c>
      <c r="I1003" s="6"/>
      <c r="J1003" s="6" t="s">
        <v>6864</v>
      </c>
      <c r="K1003" s="37"/>
      <c r="L1003" s="37"/>
      <c r="M1003" s="6" t="s">
        <v>141</v>
      </c>
      <c r="N1003" s="17"/>
      <c r="O1003" s="17"/>
      <c r="P1003" s="17"/>
      <c r="Q1003" s="35" t="s">
        <v>2317</v>
      </c>
      <c r="R1003" s="10" t="s">
        <v>6860</v>
      </c>
      <c r="S1003" s="10" t="s">
        <v>6865</v>
      </c>
      <c r="T1003" s="10" t="s">
        <v>85</v>
      </c>
      <c r="U1003" s="173" t="s">
        <v>38</v>
      </c>
      <c r="V1003" s="181" t="s">
        <v>1483</v>
      </c>
      <c r="W1003" s="20" t="s">
        <v>3173</v>
      </c>
      <c r="X1003" s="20" t="s">
        <v>3173</v>
      </c>
      <c r="Y1003" s="20"/>
      <c r="Z1003" s="26"/>
      <c r="AA1003" s="26"/>
      <c r="AB1003" s="26"/>
      <c r="AC1003" s="26"/>
    </row>
    <row r="1004" spans="1:29" ht="15.75" customHeight="1">
      <c r="A1004" s="10" t="s">
        <v>6867</v>
      </c>
      <c r="B1004" s="10" t="s">
        <v>1469</v>
      </c>
      <c r="C1004" s="61" t="s">
        <v>1470</v>
      </c>
      <c r="D1004" s="12"/>
      <c r="E1004" s="13" t="s">
        <v>378</v>
      </c>
      <c r="F1004" s="6" t="s">
        <v>379</v>
      </c>
      <c r="G1004" s="6" t="str">
        <f ca="1">IFERROR(__xludf.DUMMYFUNCTION("CONCATENATE(B1004,(VLOOKUP(C1004,CATALOGOS!$F$2:$H$6,3,FALSE)),(VLOOKUP(V1004,CATALOGOS!$J$2:$K$18,2,FALSE)),""-"",TO_TEXT(A1004))"),"P12SI-1003")</f>
        <v>P12SI-1003</v>
      </c>
      <c r="H1004" s="6" t="str">
        <f ca="1">IFERROR(__xludf.DUMMYFUNCTION("CONCATENATE($B1004,(VLOOKUP($C1004,CATALOGOS!$F$2:$H$6,3,FALSE)),(VLOOKUP($V1004,CATALOGOS!$J$2:$K$18,2,FALSE)),""-"",TO_TEXT($A1004))"),"P12SI-1003")</f>
        <v>P12SI-1003</v>
      </c>
      <c r="I1004" s="6"/>
      <c r="J1004" s="6" t="s">
        <v>6868</v>
      </c>
      <c r="K1004" s="37"/>
      <c r="L1004" s="37"/>
      <c r="M1004" s="6" t="s">
        <v>141</v>
      </c>
      <c r="N1004" s="17"/>
      <c r="O1004" s="17"/>
      <c r="P1004" s="17"/>
      <c r="Q1004" s="35" t="s">
        <v>35</v>
      </c>
      <c r="R1004" s="10" t="s">
        <v>35</v>
      </c>
      <c r="S1004" s="10" t="s">
        <v>36</v>
      </c>
      <c r="T1004" s="10" t="s">
        <v>6869</v>
      </c>
      <c r="U1004" s="173" t="s">
        <v>38</v>
      </c>
      <c r="V1004" s="181" t="s">
        <v>1483</v>
      </c>
      <c r="W1004" s="20" t="s">
        <v>3173</v>
      </c>
      <c r="X1004" s="20" t="s">
        <v>3173</v>
      </c>
      <c r="Y1004" s="20"/>
      <c r="Z1004" s="26"/>
      <c r="AA1004" s="26"/>
      <c r="AB1004" s="26"/>
      <c r="AC1004" s="26"/>
    </row>
    <row r="1005" spans="1:29" ht="15.75" customHeight="1">
      <c r="A1005" s="10" t="s">
        <v>6870</v>
      </c>
      <c r="B1005" s="10" t="s">
        <v>4410</v>
      </c>
      <c r="C1005" s="61" t="s">
        <v>4411</v>
      </c>
      <c r="D1005" s="12"/>
      <c r="E1005" s="13" t="s">
        <v>184</v>
      </c>
      <c r="F1005" s="6" t="s">
        <v>6871</v>
      </c>
      <c r="G1005" s="15" t="str">
        <f ca="1">IFERROR(__xludf.DUMMYFUNCTION("CONCATENATE(B1005,(VLOOKUP(C1005,CATALOGOS!$F$2:$H$6,3,FALSE)),(VLOOKUP(V1005,CATALOGOS!$J$2:$K$18,2,FALSE)),""-"",TO_TEXT(A1005))"),"P24SJ-1004")</f>
        <v>P24SJ-1004</v>
      </c>
      <c r="H1005" s="6" t="str">
        <f ca="1">IFERROR(__xludf.DUMMYFUNCTION("CONCATENATE($B1005,(VLOOKUP($C1005,CATALOGOS!$F$2:$H$6,3,FALSE)),(VLOOKUP($V1005,CATALOGOS!$J$2:$K$18,2,FALSE)),""-"",TO_TEXT($A1005))"),"P24SJ-1004")</f>
        <v>P24SJ-1004</v>
      </c>
      <c r="I1005" s="6"/>
      <c r="J1005" s="6" t="s">
        <v>6872</v>
      </c>
      <c r="K1005" s="37"/>
      <c r="L1005" s="37"/>
      <c r="M1005" s="6" t="s">
        <v>141</v>
      </c>
      <c r="N1005" s="17"/>
      <c r="O1005" s="17"/>
      <c r="P1005" s="17"/>
      <c r="Q1005" s="35" t="s">
        <v>35</v>
      </c>
      <c r="R1005" s="10" t="s">
        <v>35</v>
      </c>
      <c r="S1005" s="10" t="s">
        <v>36</v>
      </c>
      <c r="T1005" s="10" t="s">
        <v>6873</v>
      </c>
      <c r="U1005" s="173" t="s">
        <v>38</v>
      </c>
      <c r="V1005" s="189" t="s">
        <v>4411</v>
      </c>
      <c r="W1005" s="20" t="s">
        <v>4935</v>
      </c>
      <c r="X1005" s="20" t="s">
        <v>4935</v>
      </c>
      <c r="Y1005" s="20"/>
      <c r="Z1005" s="26"/>
      <c r="AA1005" s="26"/>
      <c r="AB1005" s="26"/>
      <c r="AC1005" s="26"/>
    </row>
    <row r="1006" spans="1:29" ht="15.75" customHeight="1">
      <c r="A1006" s="10" t="s">
        <v>6874</v>
      </c>
      <c r="B1006" s="10" t="s">
        <v>4410</v>
      </c>
      <c r="C1006" s="61" t="s">
        <v>4411</v>
      </c>
      <c r="D1006" s="12"/>
      <c r="E1006" s="13" t="s">
        <v>184</v>
      </c>
      <c r="F1006" s="6" t="s">
        <v>6871</v>
      </c>
      <c r="G1006" s="15" t="str">
        <f ca="1">IFERROR(__xludf.DUMMYFUNCTION("CONCATENATE(B1006,(VLOOKUP(C1006,CATALOGOS!$F$2:$H$6,3,FALSE)),(VLOOKUP(V1006,CATALOGOS!$J$2:$K$18,2,FALSE)),""-"",TO_TEXT(A1006))"),"P24SJ-1005")</f>
        <v>P24SJ-1005</v>
      </c>
      <c r="H1006" s="6" t="str">
        <f ca="1">IFERROR(__xludf.DUMMYFUNCTION("CONCATENATE($B1006,(VLOOKUP($C1006,CATALOGOS!$F$2:$H$6,3,FALSE)),(VLOOKUP($V1006,CATALOGOS!$J$2:$K$18,2,FALSE)),""-"",TO_TEXT($A1006))"),"P24SJ-1005")</f>
        <v>P24SJ-1005</v>
      </c>
      <c r="I1006" s="6"/>
      <c r="J1006" s="6" t="s">
        <v>6875</v>
      </c>
      <c r="K1006" s="37"/>
      <c r="L1006" s="37"/>
      <c r="M1006" s="6" t="s">
        <v>141</v>
      </c>
      <c r="N1006" s="17"/>
      <c r="O1006" s="17"/>
      <c r="P1006" s="17"/>
      <c r="Q1006" s="35" t="s">
        <v>35</v>
      </c>
      <c r="R1006" s="10" t="s">
        <v>35</v>
      </c>
      <c r="S1006" s="10" t="s">
        <v>36</v>
      </c>
      <c r="T1006" s="10" t="s">
        <v>6876</v>
      </c>
      <c r="U1006" s="173" t="s">
        <v>38</v>
      </c>
      <c r="V1006" s="189" t="s">
        <v>4411</v>
      </c>
      <c r="W1006" s="20" t="s">
        <v>4935</v>
      </c>
      <c r="X1006" s="20" t="s">
        <v>4935</v>
      </c>
      <c r="Y1006" s="20"/>
      <c r="Z1006" s="26"/>
      <c r="AA1006" s="26"/>
      <c r="AB1006" s="26"/>
      <c r="AC1006" s="26"/>
    </row>
    <row r="1007" spans="1:29" ht="15.75" customHeight="1">
      <c r="A1007" s="10" t="s">
        <v>6877</v>
      </c>
      <c r="B1007" s="10" t="s">
        <v>4410</v>
      </c>
      <c r="C1007" s="61" t="s">
        <v>4411</v>
      </c>
      <c r="D1007" s="12"/>
      <c r="E1007" s="13" t="s">
        <v>43</v>
      </c>
      <c r="F1007" s="6" t="s">
        <v>6878</v>
      </c>
      <c r="G1007" s="15" t="str">
        <f ca="1">IFERROR(__xludf.DUMMYFUNCTION("CONCATENATE(B1007,(VLOOKUP(C1007,CATALOGOS!$F$2:$H$6,3,FALSE)),(VLOOKUP(V1007,CATALOGOS!$J$2:$K$18,2,FALSE)),""-"",TO_TEXT(A1007))"),"P24SJ-1006")</f>
        <v>P24SJ-1006</v>
      </c>
      <c r="H1007" s="6" t="str">
        <f ca="1">IFERROR(__xludf.DUMMYFUNCTION("CONCATENATE($B1007,(VLOOKUP($C1007,CATALOGOS!$F$2:$H$6,3,FALSE)),(VLOOKUP($V1007,CATALOGOS!$J$2:$K$18,2,FALSE)),""-"",TO_TEXT($A1007))"),"P24SJ-1006")</f>
        <v>P24SJ-1006</v>
      </c>
      <c r="I1007" s="6"/>
      <c r="J1007" s="6" t="s">
        <v>6879</v>
      </c>
      <c r="K1007" s="37"/>
      <c r="L1007" s="37"/>
      <c r="M1007" s="6" t="s">
        <v>141</v>
      </c>
      <c r="N1007" s="17"/>
      <c r="O1007" s="17"/>
      <c r="P1007" s="17"/>
      <c r="Q1007" s="35" t="s">
        <v>49</v>
      </c>
      <c r="R1007" s="10">
        <v>3196</v>
      </c>
      <c r="S1007" s="10" t="s">
        <v>36</v>
      </c>
      <c r="T1007" s="190" t="s">
        <v>6880</v>
      </c>
      <c r="U1007" s="173" t="s">
        <v>38</v>
      </c>
      <c r="V1007" s="189" t="s">
        <v>4411</v>
      </c>
      <c r="W1007" s="20" t="s">
        <v>4935</v>
      </c>
      <c r="X1007" s="20" t="s">
        <v>4935</v>
      </c>
      <c r="Y1007" s="20"/>
      <c r="Z1007" s="26"/>
      <c r="AA1007" s="26"/>
      <c r="AB1007" s="26"/>
      <c r="AC1007" s="26"/>
    </row>
    <row r="1008" spans="1:29" ht="15.75" customHeight="1">
      <c r="A1008" s="10" t="s">
        <v>6881</v>
      </c>
      <c r="B1008" s="10" t="s">
        <v>4410</v>
      </c>
      <c r="C1008" s="61" t="s">
        <v>4411</v>
      </c>
      <c r="D1008" s="12"/>
      <c r="E1008" s="13" t="s">
        <v>321</v>
      </c>
      <c r="F1008" s="6" t="s">
        <v>6882</v>
      </c>
      <c r="G1008" s="15" t="str">
        <f ca="1">IFERROR(__xludf.DUMMYFUNCTION("CONCATENATE(B1008,(VLOOKUP(C1008,CATALOGOS!$F$2:$H$6,3,FALSE)),(VLOOKUP(V1008,CATALOGOS!$J$2:$K$18,2,FALSE)),""-"",TO_TEXT(A1008))"),"P24SJ-1007")</f>
        <v>P24SJ-1007</v>
      </c>
      <c r="H1008" s="6" t="str">
        <f ca="1">IFERROR(__xludf.DUMMYFUNCTION("CONCATENATE($B1008,(VLOOKUP($C1008,CATALOGOS!$F$2:$H$6,3,FALSE)),(VLOOKUP($V1008,CATALOGOS!$J$2:$K$18,2,FALSE)),""-"",TO_TEXT($A1008))"),"P24SJ-1007")</f>
        <v>P24SJ-1007</v>
      </c>
      <c r="I1008" s="6"/>
      <c r="J1008" s="6" t="s">
        <v>6883</v>
      </c>
      <c r="K1008" s="37"/>
      <c r="L1008" s="37"/>
      <c r="M1008" s="6" t="s">
        <v>141</v>
      </c>
      <c r="N1008" s="17"/>
      <c r="O1008" s="17"/>
      <c r="P1008" s="17"/>
      <c r="Q1008" s="35" t="s">
        <v>6884</v>
      </c>
      <c r="R1008" s="10" t="s">
        <v>6885</v>
      </c>
      <c r="S1008" s="10" t="s">
        <v>36</v>
      </c>
      <c r="T1008" s="10" t="s">
        <v>85</v>
      </c>
      <c r="U1008" s="179" t="s">
        <v>517</v>
      </c>
      <c r="V1008" s="189" t="s">
        <v>4411</v>
      </c>
      <c r="W1008" s="20" t="s">
        <v>5138</v>
      </c>
      <c r="X1008" s="20" t="s">
        <v>5138</v>
      </c>
      <c r="Y1008" s="20"/>
      <c r="Z1008" s="26"/>
      <c r="AA1008" s="26"/>
      <c r="AB1008" s="26"/>
      <c r="AC1008" s="26"/>
    </row>
    <row r="1009" spans="1:29" ht="15.75" customHeight="1">
      <c r="A1009" s="10" t="s">
        <v>6886</v>
      </c>
      <c r="B1009" s="10" t="s">
        <v>4410</v>
      </c>
      <c r="C1009" s="61" t="s">
        <v>4411</v>
      </c>
      <c r="D1009" s="12"/>
      <c r="E1009" s="13" t="s">
        <v>184</v>
      </c>
      <c r="F1009" s="6" t="s">
        <v>927</v>
      </c>
      <c r="G1009" s="15" t="str">
        <f ca="1">IFERROR(__xludf.DUMMYFUNCTION("CONCATENATE(B1009,(VLOOKUP(C1009,CATALOGOS!$F$2:$H$6,3,FALSE)),(VLOOKUP(V1009,CATALOGOS!$J$2:$K$18,2,FALSE)),""-"",TO_TEXT(A1009))"),"P24SJ-1008")</f>
        <v>P24SJ-1008</v>
      </c>
      <c r="H1009" s="6" t="str">
        <f ca="1">IFERROR(__xludf.DUMMYFUNCTION("CONCATENATE($B1009,(VLOOKUP($C1009,CATALOGOS!$F$2:$H$6,3,FALSE)),(VLOOKUP($V1009,CATALOGOS!$J$2:$K$18,2,FALSE)),""-"",TO_TEXT($A1009))"),"P24SJ-1008")</f>
        <v>P24SJ-1008</v>
      </c>
      <c r="I1009" s="6"/>
      <c r="J1009" s="6" t="s">
        <v>6887</v>
      </c>
      <c r="K1009" s="37"/>
      <c r="L1009" s="37"/>
      <c r="M1009" s="6" t="s">
        <v>141</v>
      </c>
      <c r="N1009" s="17"/>
      <c r="O1009" s="17"/>
      <c r="P1009" s="17"/>
      <c r="Q1009" s="35" t="s">
        <v>35</v>
      </c>
      <c r="R1009" s="10" t="s">
        <v>35</v>
      </c>
      <c r="S1009" s="10" t="s">
        <v>36</v>
      </c>
      <c r="T1009" s="10" t="s">
        <v>6888</v>
      </c>
      <c r="U1009" s="173" t="s">
        <v>38</v>
      </c>
      <c r="V1009" s="189" t="s">
        <v>4411</v>
      </c>
      <c r="W1009" s="20" t="s">
        <v>5223</v>
      </c>
      <c r="X1009" s="20" t="s">
        <v>5223</v>
      </c>
      <c r="Y1009" s="20"/>
      <c r="Z1009" s="26"/>
      <c r="AA1009" s="26"/>
      <c r="AB1009" s="26"/>
      <c r="AC1009" s="26"/>
    </row>
    <row r="1010" spans="1:29" ht="15.75" customHeight="1">
      <c r="A1010" s="10" t="s">
        <v>6889</v>
      </c>
      <c r="B1010" s="10" t="s">
        <v>4410</v>
      </c>
      <c r="C1010" s="61" t="s">
        <v>4411</v>
      </c>
      <c r="D1010" s="12"/>
      <c r="E1010" s="13" t="s">
        <v>210</v>
      </c>
      <c r="F1010" s="6" t="s">
        <v>210</v>
      </c>
      <c r="G1010" s="15" t="str">
        <f ca="1">IFERROR(__xludf.DUMMYFUNCTION("CONCATENATE(B1010,(VLOOKUP(C1010,CATALOGOS!$F$2:$H$6,3,FALSE)),(VLOOKUP(V1010,CATALOGOS!$J$2:$K$18,2,FALSE)),""-"",TO_TEXT(A1010))"),"P24NV-1009")</f>
        <v>P24NV-1009</v>
      </c>
      <c r="H1010" s="6" t="str">
        <f ca="1">IFERROR(__xludf.DUMMYFUNCTION("CONCATENATE($B1010,(VLOOKUP($C1010,CATALOGOS!$F$2:$H$6,3,FALSE)),(VLOOKUP($V1010,CATALOGOS!$J$2:$K$18,2,FALSE)),""-"",TO_TEXT($A1010))"),"P24NV-1009")</f>
        <v>P24NV-1009</v>
      </c>
      <c r="I1010" s="6"/>
      <c r="J1010" s="6" t="s">
        <v>6890</v>
      </c>
      <c r="K1010" s="37"/>
      <c r="L1010" s="37"/>
      <c r="M1010" s="6" t="s">
        <v>141</v>
      </c>
      <c r="N1010" s="17"/>
      <c r="O1010" s="17"/>
      <c r="P1010" s="17"/>
      <c r="Q1010" s="35" t="s">
        <v>216</v>
      </c>
      <c r="R1010" s="10" t="s">
        <v>6891</v>
      </c>
      <c r="S1010" s="10" t="s">
        <v>6892</v>
      </c>
      <c r="T1010" s="10" t="s">
        <v>6893</v>
      </c>
      <c r="U1010" s="173" t="s">
        <v>38</v>
      </c>
      <c r="V1010" s="181" t="s">
        <v>5695</v>
      </c>
      <c r="W1010" s="20" t="s">
        <v>5696</v>
      </c>
      <c r="X1010" s="20" t="s">
        <v>5696</v>
      </c>
      <c r="Y1010" s="20"/>
      <c r="Z1010" s="26"/>
      <c r="AA1010" s="26"/>
      <c r="AB1010" s="26"/>
      <c r="AC1010" s="26"/>
    </row>
    <row r="1011" spans="1:29" ht="15.75" customHeight="1">
      <c r="A1011" s="10" t="s">
        <v>6894</v>
      </c>
      <c r="B1011" s="10" t="s">
        <v>4410</v>
      </c>
      <c r="C1011" s="61" t="s">
        <v>4411</v>
      </c>
      <c r="D1011" s="12"/>
      <c r="E1011" s="13" t="s">
        <v>2311</v>
      </c>
      <c r="F1011" s="6" t="s">
        <v>6895</v>
      </c>
      <c r="G1011" s="64" t="str">
        <f ca="1">IFERROR(__xludf.DUMMYFUNCTION("CONCATENATE(B1011,(VLOOKUP(C1011,CATALOGOS!$F$2:$H$6,3,FALSE)),(VLOOKUP(V1011,CATALOGOS!$J$2:$K$18,2,FALSE)),""-"",TO_TEXT(A1011))"),"P24NV-1010")</f>
        <v>P24NV-1010</v>
      </c>
      <c r="H1011" s="6" t="str">
        <f ca="1">IFERROR(__xludf.DUMMYFUNCTION("CONCATENATE($B1011,(VLOOKUP($C1011,CATALOGOS!$F$2:$H$6,3,FALSE)),(VLOOKUP($V1011,CATALOGOS!$J$2:$K$18,2,FALSE)),""-"",TO_TEXT($A1011))"),"P24NV-1010")</f>
        <v>P24NV-1010</v>
      </c>
      <c r="I1011" s="6"/>
      <c r="J1011" s="6" t="s">
        <v>6896</v>
      </c>
      <c r="K1011" s="37"/>
      <c r="L1011" s="37"/>
      <c r="M1011" s="6" t="s">
        <v>141</v>
      </c>
      <c r="N1011" s="17"/>
      <c r="O1011" s="17"/>
      <c r="P1011" s="17"/>
      <c r="Q1011" s="35" t="s">
        <v>682</v>
      </c>
      <c r="R1011" s="10" t="s">
        <v>6897</v>
      </c>
      <c r="S1011" s="10" t="s">
        <v>6898</v>
      </c>
      <c r="T1011" s="10" t="s">
        <v>6899</v>
      </c>
      <c r="U1011" s="173" t="s">
        <v>38</v>
      </c>
      <c r="V1011" s="181" t="s">
        <v>5695</v>
      </c>
      <c r="W1011" s="20" t="s">
        <v>5696</v>
      </c>
      <c r="X1011" s="20" t="s">
        <v>5696</v>
      </c>
      <c r="Y1011" s="20"/>
      <c r="Z1011" s="26"/>
      <c r="AA1011" s="26"/>
      <c r="AB1011" s="26"/>
      <c r="AC1011" s="26"/>
    </row>
    <row r="1012" spans="1:29" ht="15.75" customHeight="1">
      <c r="A1012" s="10" t="s">
        <v>6900</v>
      </c>
      <c r="B1012" s="10" t="s">
        <v>4410</v>
      </c>
      <c r="C1012" s="61" t="s">
        <v>4411</v>
      </c>
      <c r="D1012" s="12"/>
      <c r="E1012" s="13" t="s">
        <v>184</v>
      </c>
      <c r="F1012" s="6" t="s">
        <v>6901</v>
      </c>
      <c r="G1012" s="15" t="str">
        <f ca="1">IFERROR(__xludf.DUMMYFUNCTION("CONCATENATE(B1012,(VLOOKUP(C1012,CATALOGOS!$F$2:$H$6,3,FALSE)),(VLOOKUP(V1012,CATALOGOS!$J$2:$K$18,2,FALSE)),""-"",TO_TEXT(A1012))"),"P24CS-1011")</f>
        <v>P24CS-1011</v>
      </c>
      <c r="H1012" s="6" t="str">
        <f ca="1">IFERROR(__xludf.DUMMYFUNCTION("CONCATENATE($B1012,(VLOOKUP($C1012,CATALOGOS!$F$2:$H$6,3,FALSE)),(VLOOKUP($V1012,CATALOGOS!$J$2:$K$18,2,FALSE)),""-"",TO_TEXT($A1012))"),"P24CS-1011")</f>
        <v>P24CS-1011</v>
      </c>
      <c r="I1012" s="6"/>
      <c r="J1012" s="6" t="s">
        <v>6902</v>
      </c>
      <c r="K1012" s="37"/>
      <c r="L1012" s="37"/>
      <c r="M1012" s="6" t="s">
        <v>141</v>
      </c>
      <c r="N1012" s="17"/>
      <c r="O1012" s="17"/>
      <c r="P1012" s="17"/>
      <c r="Q1012" s="35" t="s">
        <v>35</v>
      </c>
      <c r="R1012" s="10" t="s">
        <v>35</v>
      </c>
      <c r="S1012" s="10" t="s">
        <v>36</v>
      </c>
      <c r="T1012" s="10" t="s">
        <v>6903</v>
      </c>
      <c r="U1012" s="173" t="s">
        <v>38</v>
      </c>
      <c r="V1012" s="189" t="s">
        <v>4979</v>
      </c>
      <c r="W1012" s="20" t="s">
        <v>4980</v>
      </c>
      <c r="X1012" s="20" t="s">
        <v>4980</v>
      </c>
      <c r="Y1012" s="20"/>
      <c r="Z1012" s="26"/>
      <c r="AA1012" s="26"/>
      <c r="AB1012" s="26"/>
      <c r="AC1012" s="26"/>
    </row>
    <row r="1013" spans="1:29" ht="15.75" customHeight="1">
      <c r="A1013" s="10" t="s">
        <v>6904</v>
      </c>
      <c r="B1013" s="10" t="s">
        <v>1469</v>
      </c>
      <c r="C1013" s="61" t="s">
        <v>1470</v>
      </c>
      <c r="D1013" s="12"/>
      <c r="E1013" s="13" t="s">
        <v>2502</v>
      </c>
      <c r="F1013" s="6" t="s">
        <v>6905</v>
      </c>
      <c r="G1013" s="6" t="str">
        <f ca="1">IFERROR(__xludf.DUMMYFUNCTION("CONCATENATE(B1013,(VLOOKUP(C1013,CATALOGOS!$F$2:$H$6,3,FALSE)),(VLOOKUP(V1013,CATALOGOS!$J$2:$K$18,2,FALSE)),""-"",TO_TEXT(A1013))"),"P12SI-1012")</f>
        <v>P12SI-1012</v>
      </c>
      <c r="H1013" s="6" t="str">
        <f ca="1">IFERROR(__xludf.DUMMYFUNCTION("CONCATENATE($B1013,(VLOOKUP($C1013,CATALOGOS!$F$2:$H$6,3,FALSE)),(VLOOKUP($V1013,CATALOGOS!$J$2:$K$18,2,FALSE)),""-"",TO_TEXT($A1013))"),"P12SI-1012")</f>
        <v>P12SI-1012</v>
      </c>
      <c r="I1013" s="6"/>
      <c r="J1013" s="6" t="s">
        <v>6906</v>
      </c>
      <c r="K1013" s="37"/>
      <c r="L1013" s="37"/>
      <c r="M1013" s="6" t="s">
        <v>141</v>
      </c>
      <c r="N1013" s="17"/>
      <c r="O1013" s="17"/>
      <c r="P1013" s="17"/>
      <c r="Q1013" s="35" t="s">
        <v>179</v>
      </c>
      <c r="R1013" s="10" t="s">
        <v>6907</v>
      </c>
      <c r="S1013" s="10" t="s">
        <v>6908</v>
      </c>
      <c r="T1013" s="10" t="s">
        <v>85</v>
      </c>
      <c r="U1013" s="173" t="s">
        <v>38</v>
      </c>
      <c r="V1013" s="181" t="s">
        <v>1483</v>
      </c>
      <c r="W1013" s="20" t="s">
        <v>1484</v>
      </c>
      <c r="X1013" s="20" t="s">
        <v>1484</v>
      </c>
      <c r="Y1013" s="20"/>
      <c r="Z1013" s="26"/>
      <c r="AA1013" s="26"/>
      <c r="AB1013" s="26"/>
      <c r="AC1013" s="26"/>
    </row>
    <row r="1014" spans="1:29" ht="15.75" customHeight="1">
      <c r="A1014" s="10" t="s">
        <v>6910</v>
      </c>
      <c r="B1014" s="86" t="s">
        <v>474</v>
      </c>
      <c r="C1014" s="86" t="s">
        <v>28</v>
      </c>
      <c r="E1014" s="86" t="s">
        <v>378</v>
      </c>
      <c r="F1014" s="86" t="s">
        <v>535</v>
      </c>
      <c r="G1014" s="6" t="str">
        <f ca="1">IFERROR(__xludf.DUMMYFUNCTION("CONCATENATE(B1014,(VLOOKUP(C1014,CATALOGOS!$F$2:$H$6,3,FALSE)),(VLOOKUP(V1014,CATALOGOS!$J$2:$K$18,2,FALSE)),""-"",TO_TEXT(A1014))"),"P35DA-1013")</f>
        <v>P35DA-1013</v>
      </c>
      <c r="H1014" s="6" t="str">
        <f ca="1">IFERROR(__xludf.DUMMYFUNCTION("CONCATENATE($B1014,(VLOOKUP($C1014,CATALOGOS!$F$2:$H$6,3,FALSE)),(VLOOKUP($V1014,CATALOGOS!$J$2:$K$18,2,FALSE)),""-"",TO_TEXT($A1014))"),"P35DA-1013")</f>
        <v>P35DA-1013</v>
      </c>
      <c r="I1014" s="6"/>
      <c r="J1014" s="6" t="s">
        <v>6911</v>
      </c>
      <c r="M1014" s="86" t="s">
        <v>141</v>
      </c>
      <c r="Q1014" s="86" t="s">
        <v>35</v>
      </c>
      <c r="R1014" s="86" t="s">
        <v>35</v>
      </c>
      <c r="S1014" s="86" t="s">
        <v>36</v>
      </c>
      <c r="T1014" s="86" t="s">
        <v>85</v>
      </c>
      <c r="U1014" s="86" t="s">
        <v>517</v>
      </c>
      <c r="V1014" s="86" t="s">
        <v>28</v>
      </c>
      <c r="W1014" s="86" t="s">
        <v>40</v>
      </c>
      <c r="X1014" s="86" t="s">
        <v>40</v>
      </c>
      <c r="Y1014" s="86"/>
      <c r="Z1014" s="26"/>
      <c r="AA1014" s="26"/>
      <c r="AB1014" s="26"/>
      <c r="AC1014" s="26"/>
    </row>
    <row r="1015" spans="1:29" ht="15.75" customHeight="1">
      <c r="A1015" s="10" t="s">
        <v>6912</v>
      </c>
      <c r="B1015" s="10" t="s">
        <v>27</v>
      </c>
      <c r="C1015" s="10" t="s">
        <v>28</v>
      </c>
      <c r="D1015" s="12"/>
      <c r="E1015" s="13" t="s">
        <v>62</v>
      </c>
      <c r="F1015" s="6" t="s">
        <v>6913</v>
      </c>
      <c r="G1015" s="6" t="str">
        <f ca="1">IFERROR(__xludf.DUMMYFUNCTION("CONCATENATE(B1015,(VLOOKUP(C1015,CATALOGOS!$F$2:$H$6,3,FALSE)),(VLOOKUP(V1015,CATALOGOS!$J$2:$K$18,2,FALSE)),""-"",TO_TEXT(A1015))"),"P05RM-1014")</f>
        <v>P05RM-1014</v>
      </c>
      <c r="H1015" s="6" t="str">
        <f ca="1">IFERROR(__xludf.DUMMYFUNCTION("CONCATENATE($B1015,(VLOOKUP($C1015,CATALOGOS!$F$2:$H$6,3,FALSE)),(VLOOKUP($V1015,CATALOGOS!$J$2:$K$18,2,FALSE)),""-"",TO_TEXT($A1015))"),"P05RM-1014")</f>
        <v>P05RM-1014</v>
      </c>
      <c r="I1015" s="6"/>
      <c r="J1015" s="6" t="s">
        <v>6914</v>
      </c>
      <c r="K1015" s="37"/>
      <c r="L1015" s="37"/>
      <c r="M1015" s="6" t="s">
        <v>141</v>
      </c>
      <c r="N1015" s="17"/>
      <c r="O1015" s="17"/>
      <c r="P1015" s="17"/>
      <c r="Q1015" s="35" t="s">
        <v>35</v>
      </c>
      <c r="R1015" s="10" t="s">
        <v>35</v>
      </c>
      <c r="S1015" s="10" t="s">
        <v>36</v>
      </c>
      <c r="T1015" s="10" t="s">
        <v>85</v>
      </c>
      <c r="U1015" s="173" t="s">
        <v>38</v>
      </c>
      <c r="V1015" s="189" t="s">
        <v>147</v>
      </c>
      <c r="W1015" s="20" t="s">
        <v>492</v>
      </c>
      <c r="X1015" s="20" t="s">
        <v>493</v>
      </c>
      <c r="Y1015" s="20"/>
      <c r="Z1015" s="26"/>
      <c r="AA1015" s="26"/>
      <c r="AB1015" s="26"/>
      <c r="AC1015" s="26"/>
    </row>
    <row r="1016" spans="1:29" ht="15.75" customHeight="1">
      <c r="A1016" s="10" t="s">
        <v>6915</v>
      </c>
      <c r="B1016" s="10" t="s">
        <v>27</v>
      </c>
      <c r="C1016" s="10" t="s">
        <v>1470</v>
      </c>
      <c r="D1016" s="12"/>
      <c r="E1016" s="13" t="s">
        <v>6916</v>
      </c>
      <c r="F1016" s="6" t="s">
        <v>6917</v>
      </c>
      <c r="G1016" s="15" t="str">
        <f ca="1">IFERROR(__xludf.DUMMYFUNCTION("CONCATENATE(B1016,(VLOOKUP(C1016,CATALOGOS!$F$2:$H$6,3,FALSE)),(VLOOKUP(V1016,CATALOGOS!$J$2:$K$18,2,FALSE)),""-"",TO_TEXT(A1016))"),"P02PP-1015")</f>
        <v>P02PP-1015</v>
      </c>
      <c r="H1016" s="6" t="str">
        <f ca="1">IFERROR(__xludf.DUMMYFUNCTION("CONCATENATE($B1016,(VLOOKUP($C1016,CATALOGOS!$F$2:$H$6,3,FALSE)),(VLOOKUP($V1016,CATALOGOS!$J$2:$K$18,2,FALSE)),""-"",TO_TEXT($A1016))"),"P02PP-1015")</f>
        <v>P02PP-1015</v>
      </c>
      <c r="I1016" s="6"/>
      <c r="J1016" s="6"/>
      <c r="K1016" s="37"/>
      <c r="L1016" s="37"/>
      <c r="M1016" s="6" t="s">
        <v>141</v>
      </c>
      <c r="N1016" s="17"/>
      <c r="O1016" s="17"/>
      <c r="P1016" s="17"/>
      <c r="Q1016" s="35" t="s">
        <v>6918</v>
      </c>
      <c r="R1016" s="10" t="s">
        <v>6919</v>
      </c>
      <c r="S1016" s="10">
        <v>41480</v>
      </c>
      <c r="T1016" s="10" t="s">
        <v>85</v>
      </c>
      <c r="U1016" s="191" t="s">
        <v>38</v>
      </c>
      <c r="V1016" s="189" t="s">
        <v>1548</v>
      </c>
      <c r="W1016" s="20" t="s">
        <v>1983</v>
      </c>
      <c r="X1016" s="20"/>
      <c r="Y1016" s="90"/>
      <c r="Z1016" s="26"/>
      <c r="AA1016" s="26"/>
      <c r="AB1016" s="26"/>
      <c r="AC1016" s="26"/>
    </row>
    <row r="1017" spans="1:29" ht="15.75" customHeight="1">
      <c r="A1017" s="10" t="s">
        <v>6921</v>
      </c>
      <c r="B1017" s="10" t="s">
        <v>27</v>
      </c>
      <c r="C1017" s="10" t="s">
        <v>1470</v>
      </c>
      <c r="D1017" s="12"/>
      <c r="E1017" s="13" t="s">
        <v>6916</v>
      </c>
      <c r="F1017" s="6" t="s">
        <v>6922</v>
      </c>
      <c r="G1017" s="15" t="str">
        <f ca="1">IFERROR(__xludf.DUMMYFUNCTION("CONCATENATE(B1017,(VLOOKUP(C1017,CATALOGOS!$F$2:$H$6,3,FALSE)),(VLOOKUP(V1017,CATALOGOS!$J$2:$K$18,2,FALSE)),""-"",TO_TEXT(A1017))"),"P02PP-1016")</f>
        <v>P02PP-1016</v>
      </c>
      <c r="H1017" s="6" t="str">
        <f ca="1">IFERROR(__xludf.DUMMYFUNCTION("CONCATENATE($B1017,(VLOOKUP($C1017,CATALOGOS!$F$2:$H$6,3,FALSE)),(VLOOKUP($V1017,CATALOGOS!$J$2:$K$18,2,FALSE)),""-"",TO_TEXT($A1017))"),"P02PP-1016")</f>
        <v>P02PP-1016</v>
      </c>
      <c r="I1017" s="6"/>
      <c r="J1017" s="6"/>
      <c r="K1017" s="37"/>
      <c r="L1017" s="37"/>
      <c r="M1017" s="6" t="s">
        <v>141</v>
      </c>
      <c r="N1017" s="17"/>
      <c r="O1017" s="17"/>
      <c r="P1017" s="17"/>
      <c r="Q1017" s="35" t="s">
        <v>6923</v>
      </c>
      <c r="R1017" s="10" t="s">
        <v>6924</v>
      </c>
      <c r="S1017" s="10" t="s">
        <v>6925</v>
      </c>
      <c r="T1017" s="10" t="s">
        <v>85</v>
      </c>
      <c r="U1017" s="191" t="s">
        <v>38</v>
      </c>
      <c r="V1017" s="189" t="s">
        <v>1548</v>
      </c>
      <c r="W1017" s="20" t="s">
        <v>1983</v>
      </c>
      <c r="X1017" s="20"/>
      <c r="Y1017" s="90"/>
      <c r="Z1017" s="26"/>
      <c r="AA1017" s="26"/>
      <c r="AB1017" s="26"/>
      <c r="AC1017" s="26"/>
    </row>
    <row r="1018" spans="1:29" ht="15.75" customHeight="1">
      <c r="A1018" s="10" t="s">
        <v>6927</v>
      </c>
      <c r="B1018" s="10" t="s">
        <v>27</v>
      </c>
      <c r="C1018" s="10" t="s">
        <v>1470</v>
      </c>
      <c r="D1018" s="12"/>
      <c r="E1018" s="13" t="s">
        <v>6928</v>
      </c>
      <c r="F1018" s="6" t="s">
        <v>6929</v>
      </c>
      <c r="G1018" s="15" t="str">
        <f ca="1">IFERROR(__xludf.DUMMYFUNCTION("CONCATENATE(B1018,(VLOOKUP(C1018,CATALOGOS!$F$2:$H$6,3,FALSE)),(VLOOKUP(V1018,CATALOGOS!$J$2:$K$18,2,FALSE)),""-"",TO_TEXT(A1018))"),"P02PP-1017")</f>
        <v>P02PP-1017</v>
      </c>
      <c r="H1018" s="6" t="str">
        <f ca="1">IFERROR(__xludf.DUMMYFUNCTION("CONCATENATE($B1018,(VLOOKUP($C1018,CATALOGOS!$F$2:$H$6,3,FALSE)),(VLOOKUP($V1018,CATALOGOS!$J$2:$K$18,2,FALSE)),""-"",TO_TEXT($A1018))"),"P02PP-1017")</f>
        <v>P02PP-1017</v>
      </c>
      <c r="I1018" s="6"/>
      <c r="J1018" s="6"/>
      <c r="K1018" s="37"/>
      <c r="L1018" s="37"/>
      <c r="M1018" s="6" t="s">
        <v>141</v>
      </c>
      <c r="N1018" s="17"/>
      <c r="O1018" s="17"/>
      <c r="P1018" s="17"/>
      <c r="Q1018" s="35" t="s">
        <v>6930</v>
      </c>
      <c r="R1018" s="10" t="s">
        <v>6931</v>
      </c>
      <c r="S1018" s="10">
        <v>264105</v>
      </c>
      <c r="T1018" s="10" t="s">
        <v>85</v>
      </c>
      <c r="U1018" s="191" t="s">
        <v>38</v>
      </c>
      <c r="V1018" s="189" t="s">
        <v>1548</v>
      </c>
      <c r="W1018" s="20" t="s">
        <v>1983</v>
      </c>
      <c r="X1018" s="20"/>
      <c r="Y1018" s="90"/>
      <c r="Z1018" s="26"/>
      <c r="AA1018" s="26"/>
      <c r="AB1018" s="26"/>
      <c r="AC1018" s="26"/>
    </row>
    <row r="1019" spans="1:29" ht="15.75" customHeight="1">
      <c r="A1019" s="10" t="s">
        <v>6933</v>
      </c>
      <c r="B1019" s="10" t="s">
        <v>27</v>
      </c>
      <c r="C1019" s="10" t="s">
        <v>868</v>
      </c>
      <c r="D1019" s="12"/>
      <c r="E1019" s="13" t="s">
        <v>199</v>
      </c>
      <c r="F1019" s="6" t="s">
        <v>199</v>
      </c>
      <c r="G1019" s="15" t="str">
        <f ca="1">IFERROR(__xludf.DUMMYFUNCTION("CONCATENATE(B1019,(VLOOKUP(C1019,CATALOGOS!$F$2:$H$6,3,FALSE)),(VLOOKUP(V1019,CATALOGOS!$J$2:$K$18,2,FALSE)),""-"",TO_TEXT(A1019))"),"P03CV-1018")</f>
        <v>P03CV-1018</v>
      </c>
      <c r="H1019" s="6" t="str">
        <f ca="1">IFERROR(__xludf.DUMMYFUNCTION("CONCATENATE($B1019,(VLOOKUP($C1019,CATALOGOS!$F$2:$H$6,3,FALSE)),(VLOOKUP($V1019,CATALOGOS!$J$2:$K$18,2,FALSE)),""-"",TO_TEXT($A1019))"),"P03CV-1018")</f>
        <v>P03CV-1018</v>
      </c>
      <c r="I1019" s="6"/>
      <c r="J1019" s="6"/>
      <c r="K1019" s="37"/>
      <c r="L1019" s="37"/>
      <c r="M1019" s="81"/>
      <c r="N1019" s="17"/>
      <c r="O1019" s="17"/>
      <c r="P1019" s="17"/>
      <c r="Q1019" s="35" t="s">
        <v>2748</v>
      </c>
      <c r="R1019" s="10" t="s">
        <v>6934</v>
      </c>
      <c r="S1019" s="10" t="s">
        <v>6935</v>
      </c>
      <c r="T1019" s="10" t="s">
        <v>85</v>
      </c>
      <c r="U1019" s="191" t="s">
        <v>38</v>
      </c>
      <c r="V1019" s="189" t="s">
        <v>875</v>
      </c>
      <c r="W1019" s="20" t="s">
        <v>1004</v>
      </c>
      <c r="X1019" s="90"/>
      <c r="Y1019" s="90"/>
      <c r="Z1019" s="26"/>
      <c r="AA1019" s="26"/>
      <c r="AB1019" s="26"/>
      <c r="AC1019" s="26"/>
    </row>
    <row r="1020" spans="1:29" ht="15.75" customHeight="1">
      <c r="A1020" s="10" t="s">
        <v>6937</v>
      </c>
      <c r="B1020" s="10" t="s">
        <v>27</v>
      </c>
      <c r="C1020" s="10" t="s">
        <v>868</v>
      </c>
      <c r="D1020" s="12"/>
      <c r="E1020" s="13" t="s">
        <v>151</v>
      </c>
      <c r="F1020" s="6" t="s">
        <v>6938</v>
      </c>
      <c r="G1020" s="15" t="str">
        <f ca="1">IFERROR(__xludf.DUMMYFUNCTION("CONCATENATE(B1020,(VLOOKUP(C1020,CATALOGOS!$F$2:$H$6,3,FALSE)),(VLOOKUP(V1020,CATALOGOS!$J$2:$K$18,2,FALSE)),""-"",TO_TEXT(A1020))"),"P03CV-1019")</f>
        <v>P03CV-1019</v>
      </c>
      <c r="H1020" s="6" t="str">
        <f ca="1">IFERROR(__xludf.DUMMYFUNCTION("CONCATENATE($B1020,(VLOOKUP($C1020,CATALOGOS!$F$2:$H$6,3,FALSE)),(VLOOKUP($V1020,CATALOGOS!$J$2:$K$18,2,FALSE)),""-"",TO_TEXT($A1020))"),"P03CV-1019")</f>
        <v>P03CV-1019</v>
      </c>
      <c r="I1020" s="6"/>
      <c r="J1020" s="6"/>
      <c r="K1020" s="37"/>
      <c r="L1020" s="37"/>
      <c r="M1020" s="81"/>
      <c r="N1020" s="17"/>
      <c r="O1020" s="17"/>
      <c r="P1020" s="17"/>
      <c r="Q1020" s="35" t="s">
        <v>2748</v>
      </c>
      <c r="R1020" s="10" t="s">
        <v>6939</v>
      </c>
      <c r="S1020" s="10" t="s">
        <v>8446</v>
      </c>
      <c r="T1020" s="10" t="s">
        <v>85</v>
      </c>
      <c r="U1020" s="191" t="s">
        <v>38</v>
      </c>
      <c r="V1020" s="189" t="s">
        <v>875</v>
      </c>
      <c r="W1020" s="20" t="s">
        <v>1004</v>
      </c>
      <c r="X1020" s="90"/>
      <c r="Y1020" s="90"/>
      <c r="Z1020" s="26"/>
      <c r="AA1020" s="26"/>
      <c r="AB1020" s="26"/>
      <c r="AC1020" s="26"/>
    </row>
    <row r="1021" spans="1:29" ht="15.75" customHeight="1">
      <c r="A1021" s="10" t="s">
        <v>6942</v>
      </c>
      <c r="B1021" s="10" t="s">
        <v>27</v>
      </c>
      <c r="C1021" s="10" t="s">
        <v>868</v>
      </c>
      <c r="D1021" s="12"/>
      <c r="E1021" s="13" t="s">
        <v>199</v>
      </c>
      <c r="F1021" s="6" t="s">
        <v>199</v>
      </c>
      <c r="G1021" s="15" t="str">
        <f ca="1">IFERROR(__xludf.DUMMYFUNCTION("CONCATENATE(B1021,(VLOOKUP(C1021,CATALOGOS!$F$2:$H$6,3,FALSE)),(VLOOKUP(V1021,CATALOGOS!$J$2:$K$18,2,FALSE)),""-"",TO_TEXT(A1021))"),"P03CV-1020")</f>
        <v>P03CV-1020</v>
      </c>
      <c r="H1021" s="6" t="str">
        <f ca="1">IFERROR(__xludf.DUMMYFUNCTION("CONCATENATE($B1021,(VLOOKUP($C1021,CATALOGOS!$F$2:$H$6,3,FALSE)),(VLOOKUP($V1021,CATALOGOS!$J$2:$K$18,2,FALSE)),""-"",TO_TEXT($A1021))"),"P03CV-1020")</f>
        <v>P03CV-1020</v>
      </c>
      <c r="I1021" s="6"/>
      <c r="J1021" s="6"/>
      <c r="K1021" s="37"/>
      <c r="L1021" s="37"/>
      <c r="M1021" s="81"/>
      <c r="N1021" s="17"/>
      <c r="O1021" s="17"/>
      <c r="P1021" s="17"/>
      <c r="Q1021" s="35" t="s">
        <v>2748</v>
      </c>
      <c r="R1021" s="10" t="s">
        <v>6934</v>
      </c>
      <c r="S1021" s="10" t="s">
        <v>6943</v>
      </c>
      <c r="T1021" s="10" t="s">
        <v>85</v>
      </c>
      <c r="U1021" s="191" t="s">
        <v>38</v>
      </c>
      <c r="V1021" s="189" t="s">
        <v>875</v>
      </c>
      <c r="W1021" s="20" t="s">
        <v>876</v>
      </c>
      <c r="X1021" s="90"/>
      <c r="Y1021" s="90"/>
      <c r="Z1021" s="26"/>
      <c r="AA1021" s="26"/>
      <c r="AB1021" s="26"/>
      <c r="AC1021" s="26"/>
    </row>
    <row r="1022" spans="1:29" ht="15.75" customHeight="1">
      <c r="A1022" s="10" t="s">
        <v>6945</v>
      </c>
      <c r="B1022" s="10" t="s">
        <v>27</v>
      </c>
      <c r="C1022" s="10" t="s">
        <v>868</v>
      </c>
      <c r="D1022" s="12"/>
      <c r="E1022" s="13" t="s">
        <v>151</v>
      </c>
      <c r="F1022" s="6" t="s">
        <v>6938</v>
      </c>
      <c r="G1022" s="15" t="str">
        <f ca="1">IFERROR(__xludf.DUMMYFUNCTION("CONCATENATE(B1022,(VLOOKUP(C1022,CATALOGOS!$F$2:$H$6,3,FALSE)),(VLOOKUP(V1022,CATALOGOS!$J$2:$K$18,2,FALSE)),""-"",TO_TEXT(A1022))"),"P03CV-1021")</f>
        <v>P03CV-1021</v>
      </c>
      <c r="H1022" s="6" t="str">
        <f ca="1">IFERROR(__xludf.DUMMYFUNCTION("CONCATENATE($B1022,(VLOOKUP($C1022,CATALOGOS!$F$2:$H$6,3,FALSE)),(VLOOKUP($V1022,CATALOGOS!$J$2:$K$18,2,FALSE)),""-"",TO_TEXT($A1022))"),"P03CV-1021")</f>
        <v>P03CV-1021</v>
      </c>
      <c r="I1022" s="6"/>
      <c r="J1022" s="6"/>
      <c r="K1022" s="37"/>
      <c r="L1022" s="37"/>
      <c r="M1022" s="81"/>
      <c r="N1022" s="17"/>
      <c r="O1022" s="17"/>
      <c r="P1022" s="17"/>
      <c r="Q1022" s="35" t="s">
        <v>2748</v>
      </c>
      <c r="R1022" s="10" t="s">
        <v>6939</v>
      </c>
      <c r="S1022" s="10" t="s">
        <v>8447</v>
      </c>
      <c r="T1022" s="10" t="s">
        <v>85</v>
      </c>
      <c r="U1022" s="191" t="s">
        <v>38</v>
      </c>
      <c r="V1022" s="189" t="s">
        <v>875</v>
      </c>
      <c r="W1022" s="20" t="s">
        <v>876</v>
      </c>
      <c r="X1022" s="90"/>
      <c r="Y1022" s="90"/>
      <c r="Z1022" s="26"/>
      <c r="AA1022" s="26"/>
      <c r="AB1022" s="26"/>
      <c r="AC1022" s="26"/>
    </row>
    <row r="1023" spans="1:29" ht="15.75" customHeight="1">
      <c r="A1023" s="10" t="s">
        <v>6948</v>
      </c>
      <c r="B1023" s="10" t="s">
        <v>1469</v>
      </c>
      <c r="C1023" s="10" t="s">
        <v>868</v>
      </c>
      <c r="D1023" s="12"/>
      <c r="E1023" s="13" t="s">
        <v>199</v>
      </c>
      <c r="F1023" s="6" t="s">
        <v>199</v>
      </c>
      <c r="G1023" s="15" t="str">
        <f ca="1">IFERROR(__xludf.DUMMYFUNCTION("CONCATENATE(B1023,(VLOOKUP(C1023,CATALOGOS!$F$2:$H$6,3,FALSE)),(VLOOKUP(V1023,CATALOGOS!$J$2:$K$18,2,FALSE)),""-"",TO_TEXT(A1023))"),"P13LP-1022")</f>
        <v>P13LP-1022</v>
      </c>
      <c r="H1023" s="6" t="str">
        <f ca="1">IFERROR(__xludf.DUMMYFUNCTION("CONCATENATE($B1023,(VLOOKUP($C1023,CATALOGOS!$F$2:$H$6,3,FALSE)),(VLOOKUP($V1023,CATALOGOS!$J$2:$K$18,2,FALSE)),""-"",TO_TEXT($A1023))"),"P13LP-1022")</f>
        <v>P13LP-1022</v>
      </c>
      <c r="I1023" s="6"/>
      <c r="J1023" s="6"/>
      <c r="K1023" s="37"/>
      <c r="L1023" s="37"/>
      <c r="M1023" s="81"/>
      <c r="N1023" s="17"/>
      <c r="O1023" s="17"/>
      <c r="P1023" s="17"/>
      <c r="Q1023" s="35" t="s">
        <v>2748</v>
      </c>
      <c r="R1023" s="10" t="s">
        <v>6934</v>
      </c>
      <c r="S1023" s="10" t="s">
        <v>6949</v>
      </c>
      <c r="T1023" s="10" t="s">
        <v>85</v>
      </c>
      <c r="U1023" s="191" t="s">
        <v>38</v>
      </c>
      <c r="V1023" s="189" t="s">
        <v>2328</v>
      </c>
      <c r="W1023" s="20" t="s">
        <v>3984</v>
      </c>
      <c r="X1023" s="90"/>
      <c r="Y1023" s="90"/>
      <c r="Z1023" s="26"/>
      <c r="AA1023" s="26"/>
      <c r="AB1023" s="26"/>
      <c r="AC1023" s="26"/>
    </row>
    <row r="1024" spans="1:29" ht="15.75" customHeight="1">
      <c r="A1024" s="10" t="s">
        <v>6951</v>
      </c>
      <c r="B1024" s="10" t="s">
        <v>1469</v>
      </c>
      <c r="C1024" s="10" t="s">
        <v>868</v>
      </c>
      <c r="D1024" s="12"/>
      <c r="E1024" s="13" t="s">
        <v>151</v>
      </c>
      <c r="F1024" s="6" t="s">
        <v>6938</v>
      </c>
      <c r="G1024" s="15" t="str">
        <f ca="1">IFERROR(__xludf.DUMMYFUNCTION("CONCATENATE(B1024,(VLOOKUP(C1024,CATALOGOS!$F$2:$H$6,3,FALSE)),(VLOOKUP(V1024,CATALOGOS!$J$2:$K$18,2,FALSE)),""-"",TO_TEXT(A1024))"),"P13LP-1023")</f>
        <v>P13LP-1023</v>
      </c>
      <c r="H1024" s="6" t="str">
        <f ca="1">IFERROR(__xludf.DUMMYFUNCTION("CONCATENATE($B1024,(VLOOKUP($C1024,CATALOGOS!$F$2:$H$6,3,FALSE)),(VLOOKUP($V1024,CATALOGOS!$J$2:$K$18,2,FALSE)),""-"",TO_TEXT($A1024))"),"P13LP-1023")</f>
        <v>P13LP-1023</v>
      </c>
      <c r="I1024" s="6"/>
      <c r="J1024" s="6"/>
      <c r="K1024" s="37"/>
      <c r="L1024" s="37"/>
      <c r="M1024" s="81"/>
      <c r="N1024" s="17"/>
      <c r="O1024" s="17"/>
      <c r="P1024" s="17"/>
      <c r="Q1024" s="35" t="s">
        <v>2748</v>
      </c>
      <c r="R1024" s="10" t="s">
        <v>6939</v>
      </c>
      <c r="S1024" s="10" t="s">
        <v>6952</v>
      </c>
      <c r="T1024" s="10" t="s">
        <v>85</v>
      </c>
      <c r="U1024" s="191" t="s">
        <v>38</v>
      </c>
      <c r="V1024" s="189" t="s">
        <v>2328</v>
      </c>
      <c r="W1024" s="20" t="s">
        <v>3984</v>
      </c>
      <c r="X1024" s="90"/>
      <c r="Y1024" s="90"/>
      <c r="Z1024" s="26"/>
      <c r="AA1024" s="26"/>
      <c r="AB1024" s="26"/>
      <c r="AC1024" s="26"/>
    </row>
    <row r="1025" spans="1:30" ht="15.75" customHeight="1">
      <c r="A1025" s="10" t="s">
        <v>6954</v>
      </c>
      <c r="B1025" s="10" t="s">
        <v>4410</v>
      </c>
      <c r="C1025" s="10" t="s">
        <v>4411</v>
      </c>
      <c r="D1025" s="12"/>
      <c r="E1025" s="13" t="s">
        <v>199</v>
      </c>
      <c r="F1025" s="6" t="s">
        <v>199</v>
      </c>
      <c r="G1025" s="15" t="str">
        <f ca="1">IFERROR(__xludf.DUMMYFUNCTION("CONCATENATE(B1025,(VLOOKUP(C1025,CATALOGOS!$F$2:$H$6,3,FALSE)),(VLOOKUP(V1025,CATALOGOS!$J$2:$K$18,2,FALSE)),""-"",TO_TEXT(A1025))"),"P24SJ-1024")</f>
        <v>P24SJ-1024</v>
      </c>
      <c r="H1025" s="6" t="str">
        <f ca="1">IFERROR(__xludf.DUMMYFUNCTION("CONCATENATE($B1025,(VLOOKUP($C1025,CATALOGOS!$F$2:$H$6,3,FALSE)),(VLOOKUP($V1025,CATALOGOS!$J$2:$K$18,2,FALSE)),""-"",TO_TEXT($A1025))"),"P24SJ-1024")</f>
        <v>P24SJ-1024</v>
      </c>
      <c r="I1025" s="6"/>
      <c r="J1025" s="6"/>
      <c r="K1025" s="37"/>
      <c r="L1025" s="37"/>
      <c r="M1025" s="81"/>
      <c r="N1025" s="17"/>
      <c r="O1025" s="17"/>
      <c r="P1025" s="17"/>
      <c r="Q1025" s="35" t="s">
        <v>2748</v>
      </c>
      <c r="R1025" s="10" t="s">
        <v>6934</v>
      </c>
      <c r="S1025" s="10" t="s">
        <v>8448</v>
      </c>
      <c r="T1025" s="10" t="s">
        <v>85</v>
      </c>
      <c r="U1025" s="191" t="s">
        <v>38</v>
      </c>
      <c r="V1025" s="189" t="s">
        <v>4411</v>
      </c>
      <c r="W1025" s="20" t="s">
        <v>5223</v>
      </c>
      <c r="X1025" s="90"/>
      <c r="Y1025" s="90"/>
      <c r="Z1025" s="26"/>
      <c r="AA1025" s="26"/>
      <c r="AB1025" s="26"/>
      <c r="AC1025" s="26"/>
    </row>
    <row r="1026" spans="1:30" ht="15.75" customHeight="1">
      <c r="A1026" s="10" t="s">
        <v>6957</v>
      </c>
      <c r="B1026" s="10" t="s">
        <v>4410</v>
      </c>
      <c r="C1026" s="10" t="s">
        <v>4411</v>
      </c>
      <c r="D1026" s="12"/>
      <c r="E1026" s="13" t="s">
        <v>151</v>
      </c>
      <c r="F1026" s="6" t="s">
        <v>6938</v>
      </c>
      <c r="G1026" s="15" t="str">
        <f ca="1">IFERROR(__xludf.DUMMYFUNCTION("CONCATENATE(B1026,(VLOOKUP(C1026,CATALOGOS!$F$2:$H$6,3,FALSE)),(VLOOKUP(V1026,CATALOGOS!$J$2:$K$18,2,FALSE)),""-"",TO_TEXT(A1026))"),"P24SJ-1025")</f>
        <v>P24SJ-1025</v>
      </c>
      <c r="H1026" s="6" t="str">
        <f ca="1">IFERROR(__xludf.DUMMYFUNCTION("CONCATENATE($B1026,(VLOOKUP($C1026,CATALOGOS!$F$2:$H$6,3,FALSE)),(VLOOKUP($V1026,CATALOGOS!$J$2:$K$18,2,FALSE)),""-"",TO_TEXT($A1026))"),"P24SJ-1025")</f>
        <v>P24SJ-1025</v>
      </c>
      <c r="I1026" s="6"/>
      <c r="J1026" s="6"/>
      <c r="K1026" s="37"/>
      <c r="L1026" s="37"/>
      <c r="M1026" s="81"/>
      <c r="N1026" s="17"/>
      <c r="O1026" s="17"/>
      <c r="P1026" s="17"/>
      <c r="Q1026" s="35" t="s">
        <v>2748</v>
      </c>
      <c r="R1026" s="10" t="s">
        <v>6939</v>
      </c>
      <c r="S1026" s="10" t="s">
        <v>6958</v>
      </c>
      <c r="T1026" s="10" t="s">
        <v>85</v>
      </c>
      <c r="U1026" s="191" t="s">
        <v>38</v>
      </c>
      <c r="V1026" s="189" t="s">
        <v>4411</v>
      </c>
      <c r="W1026" s="20" t="s">
        <v>5223</v>
      </c>
      <c r="X1026" s="90"/>
      <c r="Y1026" s="90"/>
      <c r="Z1026" s="26"/>
      <c r="AA1026" s="26"/>
      <c r="AB1026" s="26"/>
      <c r="AC1026" s="26"/>
    </row>
    <row r="1027" spans="1:30" ht="15.75" customHeight="1">
      <c r="A1027" s="10" t="s">
        <v>6960</v>
      </c>
      <c r="B1027" s="10" t="s">
        <v>1469</v>
      </c>
      <c r="C1027" s="10" t="s">
        <v>1470</v>
      </c>
      <c r="D1027" s="12"/>
      <c r="E1027" s="13" t="s">
        <v>2743</v>
      </c>
      <c r="F1027" s="6" t="s">
        <v>2743</v>
      </c>
      <c r="G1027" s="15" t="str">
        <f ca="1">IFERROR(__xludf.DUMMYFUNCTION("CONCATENATE(B1027,(VLOOKUP(C1027,CATALOGOS!$F$2:$H$6,3,FALSE)),(VLOOKUP(V1027,CATALOGOS!$J$2:$K$18,2,FALSE)),""-"",TO_TEXT(A1027))"),"#N/A")</f>
        <v>#N/A</v>
      </c>
      <c r="H1027" s="6" t="str">
        <f ca="1">IFERROR(__xludf.DUMMYFUNCTION("CONCATENATE($B1027,(VLOOKUP($C1027,CATALOGOS!$F$2:$H$6,3,FALSE)),(VLOOKUP($V1027,CATALOGOS!$J$2:$K$18,2,FALSE)),""-"",TO_TEXT($A1027))"),"#N/A")</f>
        <v>#N/A</v>
      </c>
      <c r="I1027" s="6"/>
      <c r="J1027" s="6"/>
      <c r="K1027" s="37"/>
      <c r="L1027" s="37"/>
      <c r="M1027" s="81"/>
      <c r="N1027" s="17"/>
      <c r="O1027" s="17"/>
      <c r="P1027" s="17"/>
      <c r="Q1027" s="35" t="s">
        <v>205</v>
      </c>
      <c r="R1027" s="10" t="s">
        <v>6961</v>
      </c>
      <c r="S1027" s="10" t="s">
        <v>6962</v>
      </c>
      <c r="T1027" s="10" t="s">
        <v>85</v>
      </c>
      <c r="U1027" s="191" t="s">
        <v>38</v>
      </c>
      <c r="V1027" s="192"/>
      <c r="W1027" s="90"/>
      <c r="X1027" s="90"/>
      <c r="Y1027" s="90"/>
      <c r="Z1027" s="26"/>
      <c r="AA1027" s="26"/>
      <c r="AB1027" s="26"/>
      <c r="AC1027" s="26"/>
    </row>
    <row r="1028" spans="1:30" ht="15.75" customHeight="1">
      <c r="A1028" s="10" t="s">
        <v>6963</v>
      </c>
      <c r="B1028" s="10" t="s">
        <v>27</v>
      </c>
      <c r="C1028" s="10" t="s">
        <v>6054</v>
      </c>
      <c r="D1028" s="12"/>
      <c r="E1028" s="13" t="s">
        <v>6964</v>
      </c>
      <c r="F1028" s="6" t="s">
        <v>6965</v>
      </c>
      <c r="G1028" s="15" t="str">
        <f ca="1">IFERROR(__xludf.DUMMYFUNCTION("CONCATENATE(B1028,(VLOOKUP(C1028,CATALOGOS!$F$2:$H$6,3,FALSE)),(VLOOKUP(V1028,CATALOGOS!$J$2:$K$18,2,FALSE)),""-"",TO_TEXT(A1028))"),"P01DG-1027")</f>
        <v>P01DG-1027</v>
      </c>
      <c r="H1028" s="6" t="str">
        <f ca="1">IFERROR(__xludf.DUMMYFUNCTION("CONCATENATE($B1028,(VLOOKUP($C1028,CATALOGOS!$F$2:$H$6,3,FALSE)),(VLOOKUP($V1028,CATALOGOS!$J$2:$K$18,2,FALSE)),""-"",TO_TEXT($A1028))"),"P01DG-1027")</f>
        <v>P01DG-1027</v>
      </c>
      <c r="I1028" s="6"/>
      <c r="J1028" s="6"/>
      <c r="K1028" s="37"/>
      <c r="L1028" s="37"/>
      <c r="M1028" s="86" t="s">
        <v>6966</v>
      </c>
      <c r="N1028" s="17"/>
      <c r="O1028" s="35" t="s">
        <v>6967</v>
      </c>
      <c r="P1028" s="17"/>
      <c r="Q1028" s="35" t="s">
        <v>6968</v>
      </c>
      <c r="R1028" s="10" t="s">
        <v>6969</v>
      </c>
      <c r="S1028" s="10" t="s">
        <v>6970</v>
      </c>
      <c r="T1028" s="10" t="s">
        <v>6971</v>
      </c>
      <c r="U1028" s="191" t="s">
        <v>100</v>
      </c>
      <c r="V1028" s="189" t="s">
        <v>6054</v>
      </c>
      <c r="W1028" s="20" t="s">
        <v>7503</v>
      </c>
      <c r="X1028" s="90"/>
      <c r="Y1028" s="90"/>
      <c r="Z1028" s="26"/>
      <c r="AA1028" s="26"/>
      <c r="AB1028" s="26"/>
      <c r="AC1028" s="26"/>
    </row>
    <row r="1029" spans="1:30" ht="15.75" customHeight="1">
      <c r="A1029" s="10" t="s">
        <v>6972</v>
      </c>
      <c r="B1029" s="10" t="s">
        <v>27</v>
      </c>
      <c r="C1029" s="10" t="s">
        <v>6054</v>
      </c>
      <c r="D1029" s="12"/>
      <c r="E1029" s="13" t="s">
        <v>6964</v>
      </c>
      <c r="F1029" s="6" t="s">
        <v>6973</v>
      </c>
      <c r="G1029" s="15" t="str">
        <f ca="1">IFERROR(__xludf.DUMMYFUNCTION("CONCATENATE(B1029,(VLOOKUP(C1029,CATALOGOS!$F$2:$H$6,3,FALSE)),(VLOOKUP(V1029,CATALOGOS!$J$2:$K$18,2,FALSE)),""-"",TO_TEXT(A1029))"),"P01DG-1028")</f>
        <v>P01DG-1028</v>
      </c>
      <c r="H1029" s="6" t="str">
        <f ca="1">IFERROR(__xludf.DUMMYFUNCTION("CONCATENATE($B1029,(VLOOKUP($C1029,CATALOGOS!$F$2:$H$6,3,FALSE)),(VLOOKUP($V1029,CATALOGOS!$J$2:$K$18,2,FALSE)),""-"",TO_TEXT($A1029))"),"P01DG-1028")</f>
        <v>P01DG-1028</v>
      </c>
      <c r="I1029" s="6"/>
      <c r="J1029" s="6"/>
      <c r="K1029" s="37"/>
      <c r="L1029" s="37"/>
      <c r="M1029" s="86" t="s">
        <v>6974</v>
      </c>
      <c r="N1029" s="17"/>
      <c r="O1029" s="35" t="s">
        <v>6975</v>
      </c>
      <c r="P1029" s="17"/>
      <c r="Q1029" s="35" t="s">
        <v>6976</v>
      </c>
      <c r="R1029" s="10" t="s">
        <v>6977</v>
      </c>
      <c r="S1029" s="10" t="s">
        <v>6978</v>
      </c>
      <c r="T1029" s="10" t="s">
        <v>6979</v>
      </c>
      <c r="U1029" s="191" t="s">
        <v>100</v>
      </c>
      <c r="V1029" s="189" t="s">
        <v>6054</v>
      </c>
      <c r="W1029" s="20" t="s">
        <v>7503</v>
      </c>
      <c r="X1029" s="90"/>
      <c r="Y1029" s="90"/>
      <c r="Z1029" s="26"/>
      <c r="AA1029" s="26"/>
      <c r="AB1029" s="26"/>
      <c r="AC1029" s="26"/>
    </row>
    <row r="1030" spans="1:30" ht="15.75" customHeight="1">
      <c r="A1030" s="10" t="s">
        <v>6981</v>
      </c>
      <c r="B1030" s="10" t="s">
        <v>27</v>
      </c>
      <c r="C1030" s="10" t="s">
        <v>6054</v>
      </c>
      <c r="D1030" s="12"/>
      <c r="E1030" s="13" t="s">
        <v>6964</v>
      </c>
      <c r="F1030" s="6" t="s">
        <v>6982</v>
      </c>
      <c r="G1030" s="15" t="str">
        <f ca="1">IFERROR(__xludf.DUMMYFUNCTION("CONCATENATE(B1030,(VLOOKUP(C1030,CATALOGOS!$F$2:$H$6,3,FALSE)),(VLOOKUP(V1030,CATALOGOS!$J$2:$K$18,2,FALSE)),""-"",TO_TEXT(A1030))"),"P01DG-1029")</f>
        <v>P01DG-1029</v>
      </c>
      <c r="H1030" s="6" t="str">
        <f ca="1">IFERROR(__xludf.DUMMYFUNCTION("CONCATENATE($B1030,(VLOOKUP($C1030,CATALOGOS!$F$2:$H$6,3,FALSE)),(VLOOKUP($V1030,CATALOGOS!$J$2:$K$18,2,FALSE)),""-"",TO_TEXT($A1030))"),"P01DG-1029")</f>
        <v>P01DG-1029</v>
      </c>
      <c r="I1030" s="6"/>
      <c r="J1030" s="6"/>
      <c r="K1030" s="37"/>
      <c r="L1030" s="37"/>
      <c r="M1030" s="86" t="s">
        <v>6983</v>
      </c>
      <c r="N1030" s="17"/>
      <c r="O1030" s="35" t="s">
        <v>6984</v>
      </c>
      <c r="P1030" s="17"/>
      <c r="Q1030" s="35" t="s">
        <v>6985</v>
      </c>
      <c r="R1030" s="10" t="s">
        <v>6986</v>
      </c>
      <c r="S1030" s="10" t="s">
        <v>6987</v>
      </c>
      <c r="T1030" s="10" t="s">
        <v>6988</v>
      </c>
      <c r="U1030" s="191" t="s">
        <v>100</v>
      </c>
      <c r="V1030" s="189" t="s">
        <v>6054</v>
      </c>
      <c r="W1030" s="20" t="s">
        <v>7503</v>
      </c>
      <c r="X1030" s="90"/>
      <c r="Y1030" s="90"/>
      <c r="Z1030" s="26"/>
      <c r="AA1030" s="26"/>
      <c r="AB1030" s="26"/>
      <c r="AC1030" s="26"/>
    </row>
    <row r="1031" spans="1:30" ht="15.75" customHeight="1">
      <c r="A1031" s="10" t="s">
        <v>6989</v>
      </c>
      <c r="B1031" s="10" t="s">
        <v>27</v>
      </c>
      <c r="C1031" s="10" t="s">
        <v>28</v>
      </c>
      <c r="D1031" s="12"/>
      <c r="E1031" s="13" t="s">
        <v>6964</v>
      </c>
      <c r="F1031" s="6" t="s">
        <v>6990</v>
      </c>
      <c r="G1031" s="15" t="str">
        <f ca="1">IFERROR(__xludf.DUMMYFUNCTION("CONCATENATE(B1031,(VLOOKUP(C1031,CATALOGOS!$F$2:$H$6,3,FALSE)),(VLOOKUP(V1031,CATALOGOS!$J$2:$K$18,2,FALSE)),""-"",TO_TEXT(A1031))"),"P05DA-1030")</f>
        <v>P05DA-1030</v>
      </c>
      <c r="H1031" s="6" t="str">
        <f ca="1">IFERROR(__xludf.DUMMYFUNCTION("CONCATENATE($B1031,(VLOOKUP($C1031,CATALOGOS!$F$2:$H$6,3,FALSE)),(VLOOKUP($V1031,CATALOGOS!$J$2:$K$18,2,FALSE)),""-"",TO_TEXT($A1031))"),"P05DA-1030")</f>
        <v>P05DA-1030</v>
      </c>
      <c r="I1031" s="6"/>
      <c r="J1031" s="6"/>
      <c r="K1031" s="37"/>
      <c r="L1031" s="37"/>
      <c r="M1031" s="86" t="s">
        <v>6991</v>
      </c>
      <c r="N1031" s="17"/>
      <c r="O1031" s="35" t="s">
        <v>6992</v>
      </c>
      <c r="P1031" s="17"/>
      <c r="Q1031" s="35" t="s">
        <v>6993</v>
      </c>
      <c r="R1031" s="10" t="s">
        <v>6994</v>
      </c>
      <c r="S1031" s="10" t="s">
        <v>6995</v>
      </c>
      <c r="T1031" s="10" t="s">
        <v>6996</v>
      </c>
      <c r="U1031" s="191" t="s">
        <v>517</v>
      </c>
      <c r="V1031" s="189" t="s">
        <v>28</v>
      </c>
      <c r="W1031" s="20" t="s">
        <v>40</v>
      </c>
      <c r="X1031" s="90"/>
      <c r="Y1031" s="90"/>
      <c r="Z1031" s="26"/>
      <c r="AA1031" s="26"/>
      <c r="AB1031" s="26"/>
      <c r="AC1031" s="26"/>
    </row>
    <row r="1032" spans="1:30" ht="15.75" customHeight="1">
      <c r="A1032" s="10" t="s">
        <v>6997</v>
      </c>
      <c r="B1032" s="10" t="s">
        <v>27</v>
      </c>
      <c r="C1032" s="10" t="s">
        <v>6054</v>
      </c>
      <c r="D1032" s="12"/>
      <c r="E1032" s="13" t="s">
        <v>6964</v>
      </c>
      <c r="F1032" s="6" t="s">
        <v>6998</v>
      </c>
      <c r="G1032" s="15" t="str">
        <f ca="1">IFERROR(__xludf.DUMMYFUNCTION("CONCATENATE(B1032,(VLOOKUP(C1032,CATALOGOS!$F$2:$H$6,3,FALSE)),(VLOOKUP(V1032,CATALOGOS!$J$2:$K$18,2,FALSE)),""-"",TO_TEXT(A1032))"),"P01DA-1031")</f>
        <v>P01DA-1031</v>
      </c>
      <c r="H1032" s="6" t="str">
        <f ca="1">IFERROR(__xludf.DUMMYFUNCTION("CONCATENATE($B1032,(VLOOKUP($C1032,CATALOGOS!$F$2:$H$6,3,FALSE)),(VLOOKUP($V1032,CATALOGOS!$J$2:$K$18,2,FALSE)),""-"",TO_TEXT($A1032))"),"P01DA-1031")</f>
        <v>P01DA-1031</v>
      </c>
      <c r="I1032" s="6"/>
      <c r="J1032" s="6"/>
      <c r="K1032" s="37"/>
      <c r="L1032" s="37"/>
      <c r="M1032" s="86" t="s">
        <v>6999</v>
      </c>
      <c r="N1032" s="17"/>
      <c r="O1032" s="35" t="s">
        <v>7000</v>
      </c>
      <c r="P1032" s="17"/>
      <c r="Q1032" s="35" t="s">
        <v>7001</v>
      </c>
      <c r="R1032" s="10" t="s">
        <v>7002</v>
      </c>
      <c r="S1032" s="10" t="s">
        <v>7003</v>
      </c>
      <c r="T1032" s="10" t="s">
        <v>7004</v>
      </c>
      <c r="U1032" s="191" t="s">
        <v>100</v>
      </c>
      <c r="V1032" s="189" t="s">
        <v>28</v>
      </c>
      <c r="W1032" s="20" t="s">
        <v>40</v>
      </c>
      <c r="X1032" s="90"/>
      <c r="Y1032" s="90"/>
      <c r="Z1032" s="26"/>
      <c r="AA1032" s="26"/>
      <c r="AB1032" s="26"/>
      <c r="AC1032" s="26"/>
    </row>
    <row r="1033" spans="1:30" ht="15.75" customHeight="1">
      <c r="A1033" s="113">
        <v>1032</v>
      </c>
      <c r="B1033" s="94" t="s">
        <v>1469</v>
      </c>
      <c r="C1033" s="94" t="s">
        <v>1470</v>
      </c>
      <c r="D1033" s="95"/>
      <c r="E1033" s="96" t="s">
        <v>7005</v>
      </c>
      <c r="F1033" s="114" t="s">
        <v>7006</v>
      </c>
      <c r="G1033" s="14" t="str">
        <f ca="1">IFERROR(__xludf.DUMMYFUNCTION("CONCATENATE(B1033,(VLOOKUP(C1033,CATALOGOS!$F$2:$H$6,3,FALSE)),(VLOOKUP(V1033,CATALOGOS!$J$2:$K$18,2,FALSE)),""-"",TO_TEXT(A1033))"),"P12PL-1032")</f>
        <v>P12PL-1032</v>
      </c>
      <c r="H1033" s="6" t="str">
        <f ca="1">IFERROR(__xludf.DUMMYFUNCTION("CONCATENATE($B1033,(VLOOKUP($C1033,CATALOGOS!$F$2:$H$6,3,FALSE)),(VLOOKUP($V1033,CATALOGOS!$J$2:$K$18,2,FALSE)),""-"",TO_TEXT($A1033))"),"P12PL-1032")</f>
        <v>P12PL-1032</v>
      </c>
      <c r="I1033" s="6"/>
      <c r="J1033" s="6"/>
      <c r="K1033" s="37"/>
      <c r="L1033" s="37"/>
      <c r="M1033" s="81"/>
      <c r="N1033" s="17"/>
      <c r="O1033" s="35"/>
      <c r="P1033" s="17"/>
      <c r="Q1033" s="98" t="s">
        <v>2748</v>
      </c>
      <c r="R1033" s="94" t="s">
        <v>7007</v>
      </c>
      <c r="S1033" s="94" t="s">
        <v>8449</v>
      </c>
      <c r="T1033" s="193" t="s">
        <v>85</v>
      </c>
      <c r="U1033" s="194" t="s">
        <v>38</v>
      </c>
      <c r="V1033" s="195" t="s">
        <v>3091</v>
      </c>
      <c r="W1033" s="101" t="s">
        <v>3151</v>
      </c>
      <c r="X1033" s="90"/>
      <c r="Y1033" s="90"/>
      <c r="Z1033" s="26"/>
      <c r="AA1033" s="26"/>
      <c r="AB1033" s="102"/>
      <c r="AC1033" s="102"/>
    </row>
    <row r="1034" spans="1:30" ht="15.75" customHeight="1">
      <c r="A1034" s="113">
        <v>1033</v>
      </c>
      <c r="B1034" s="94" t="s">
        <v>27</v>
      </c>
      <c r="C1034" s="94" t="s">
        <v>868</v>
      </c>
      <c r="D1034" s="95"/>
      <c r="E1034" s="96" t="s">
        <v>184</v>
      </c>
      <c r="F1034" s="114" t="s">
        <v>7087</v>
      </c>
      <c r="G1034" s="14" t="str">
        <f ca="1">IFERROR(__xludf.DUMMYFUNCTION("CONCATENATE(B1034,(VLOOKUP(C1034,CATALOGOS!$F$2:$H$6,3,FALSE)),(VLOOKUP(V1034,CATALOGOS!$J$2:$K$18,2,FALSE)),""-"",TO_TEXT(A1034))"),"P03CV-1033")</f>
        <v>P03CV-1033</v>
      </c>
      <c r="H1034" s="6" t="str">
        <f ca="1">IFERROR(__xludf.DUMMYFUNCTION("CONCATENATE($B1034,(VLOOKUP($C1034,CATALOGOS!$F$2:$H$6,3,FALSE)),(VLOOKUP($V1034,CATALOGOS!$J$2:$K$18,2,FALSE)),""-"",TO_TEXT($A1034))"),"P03CV-1033")</f>
        <v>P03CV-1033</v>
      </c>
      <c r="I1034" s="6"/>
      <c r="J1034" s="6"/>
      <c r="K1034" s="37"/>
      <c r="L1034" s="37"/>
      <c r="M1034" s="81"/>
      <c r="N1034" s="17"/>
      <c r="O1034" s="17"/>
      <c r="P1034" s="17"/>
      <c r="Q1034" s="98" t="s">
        <v>7088</v>
      </c>
      <c r="R1034" s="94" t="s">
        <v>7089</v>
      </c>
      <c r="S1034" s="94" t="s">
        <v>36</v>
      </c>
      <c r="T1034" s="196" t="s">
        <v>7130</v>
      </c>
      <c r="U1034" s="194" t="s">
        <v>38</v>
      </c>
      <c r="V1034" s="195" t="s">
        <v>875</v>
      </c>
      <c r="W1034" s="101" t="s">
        <v>4629</v>
      </c>
      <c r="X1034" s="90"/>
      <c r="Y1034" s="90"/>
      <c r="Z1034" s="26"/>
      <c r="AA1034" s="26"/>
      <c r="AB1034" s="104" t="s">
        <v>7098</v>
      </c>
      <c r="AC1034" s="105">
        <v>45274</v>
      </c>
    </row>
    <row r="1035" spans="1:30" ht="15.75" customHeight="1">
      <c r="A1035" s="113">
        <v>1034</v>
      </c>
      <c r="B1035" s="94" t="s">
        <v>27</v>
      </c>
      <c r="C1035" s="94" t="s">
        <v>28</v>
      </c>
      <c r="D1035" s="95"/>
      <c r="E1035" s="96" t="s">
        <v>8450</v>
      </c>
      <c r="F1035" s="114" t="s">
        <v>8451</v>
      </c>
      <c r="G1035" s="14" t="str">
        <f ca="1">IFERROR(__xludf.DUMMYFUNCTION("CONCATENATE(B1035,(VLOOKUP(C1035,CATALOGOS!$F$2:$H$6,3,FALSE)),(VLOOKUP(V1035,CATALOGOS!$J$2:$K$18,2,FALSE)),""-"",TO_TEXT(A1035))"),"P05DA-1034")</f>
        <v>P05DA-1034</v>
      </c>
      <c r="H1035" s="6" t="str">
        <f ca="1">IFERROR(__xludf.DUMMYFUNCTION("CONCATENATE($B1035,(VLOOKUP($C1035,CATALOGOS!$F$2:$H$6,3,FALSE)),(VLOOKUP($V1035,CATALOGOS!$J$2:$K$18,2,FALSE)),""-"",TO_TEXT($A1035))"),"P05DA-1034")</f>
        <v>P05DA-1034</v>
      </c>
      <c r="I1035" s="6"/>
      <c r="J1035" s="6"/>
      <c r="K1035" s="37"/>
      <c r="L1035" s="37"/>
      <c r="M1035" s="81"/>
      <c r="N1035" s="17"/>
      <c r="O1035" s="17"/>
      <c r="P1035" s="17"/>
      <c r="Q1035" s="98" t="s">
        <v>7013</v>
      </c>
      <c r="R1035" s="91" t="s">
        <v>7014</v>
      </c>
      <c r="S1035" s="91" t="s">
        <v>7015</v>
      </c>
      <c r="T1035" s="197" t="s">
        <v>7016</v>
      </c>
      <c r="U1035" s="194" t="s">
        <v>38</v>
      </c>
      <c r="V1035" s="195" t="s">
        <v>28</v>
      </c>
      <c r="W1035" s="101" t="s">
        <v>40</v>
      </c>
      <c r="X1035" s="90"/>
      <c r="Y1035" s="90"/>
      <c r="Z1035" s="26"/>
      <c r="AA1035" s="26"/>
      <c r="AB1035" s="104" t="s">
        <v>7017</v>
      </c>
      <c r="AC1035" s="106">
        <v>45266</v>
      </c>
    </row>
    <row r="1036" spans="1:30" ht="15.75" customHeight="1">
      <c r="A1036" s="113">
        <v>1035</v>
      </c>
      <c r="B1036" s="94" t="s">
        <v>27</v>
      </c>
      <c r="C1036" s="94" t="s">
        <v>28</v>
      </c>
      <c r="D1036" s="95"/>
      <c r="E1036" s="96" t="s">
        <v>8450</v>
      </c>
      <c r="F1036" s="114" t="s">
        <v>8451</v>
      </c>
      <c r="G1036" s="14" t="str">
        <f ca="1">IFERROR(__xludf.DUMMYFUNCTION("CONCATENATE(B1036,(VLOOKUP(C1036,CATALOGOS!$F$2:$H$6,3,FALSE)),(VLOOKUP(V1036,CATALOGOS!$J$2:$K$18,2,FALSE)),""-"",TO_TEXT(A1036))"),"P05DA-1035")</f>
        <v>P05DA-1035</v>
      </c>
      <c r="H1036" s="6" t="str">
        <f ca="1">IFERROR(__xludf.DUMMYFUNCTION("CONCATENATE($B1036,(VLOOKUP($C1036,CATALOGOS!$F$2:$H$6,3,FALSE)),(VLOOKUP($V1036,CATALOGOS!$J$2:$K$18,2,FALSE)),""-"",TO_TEXT($A1036))"),"P05DA-1035")</f>
        <v>P05DA-1035</v>
      </c>
      <c r="I1036" s="6"/>
      <c r="J1036" s="6"/>
      <c r="K1036" s="37"/>
      <c r="L1036" s="37"/>
      <c r="M1036" s="81"/>
      <c r="N1036" s="17"/>
      <c r="O1036" s="17"/>
      <c r="P1036" s="17"/>
      <c r="Q1036" s="98" t="s">
        <v>7013</v>
      </c>
      <c r="R1036" s="91" t="s">
        <v>7014</v>
      </c>
      <c r="S1036" s="91" t="s">
        <v>7018</v>
      </c>
      <c r="T1036" s="197" t="s">
        <v>7019</v>
      </c>
      <c r="U1036" s="194" t="s">
        <v>38</v>
      </c>
      <c r="V1036" s="195" t="s">
        <v>28</v>
      </c>
      <c r="W1036" s="101" t="s">
        <v>40</v>
      </c>
      <c r="X1036" s="90"/>
      <c r="Y1036" s="90"/>
      <c r="Z1036" s="26"/>
      <c r="AA1036" s="26"/>
      <c r="AB1036" s="104" t="s">
        <v>7017</v>
      </c>
      <c r="AC1036" s="106">
        <v>45266</v>
      </c>
      <c r="AD1036" s="86" t="s">
        <v>7020</v>
      </c>
    </row>
    <row r="1037" spans="1:30" ht="15.75" customHeight="1">
      <c r="A1037" s="113">
        <v>1036</v>
      </c>
      <c r="B1037" s="94" t="s">
        <v>27</v>
      </c>
      <c r="C1037" s="94" t="s">
        <v>28</v>
      </c>
      <c r="D1037" s="95"/>
      <c r="E1037" s="96" t="s">
        <v>7021</v>
      </c>
      <c r="F1037" s="114" t="s">
        <v>7021</v>
      </c>
      <c r="G1037" s="14" t="str">
        <f ca="1">IFERROR(__xludf.DUMMYFUNCTION("CONCATENATE(B1037,(VLOOKUP(C1037,CATALOGOS!$F$2:$H$6,3,FALSE)),(VLOOKUP(V1037,CATALOGOS!$J$2:$K$18,2,FALSE)),""-"",TO_TEXT(A1037))"),"P05RH-1036")</f>
        <v>P05RH-1036</v>
      </c>
      <c r="H1037" s="6" t="str">
        <f ca="1">IFERROR(__xludf.DUMMYFUNCTION("CONCATENATE($B1037,(VLOOKUP($C1037,CATALOGOS!$F$2:$H$6,3,FALSE)),(VLOOKUP($V1037,CATALOGOS!$J$2:$K$18,2,FALSE)),""-"",TO_TEXT($A1037))"),"P05RH-1036")</f>
        <v>P05RH-1036</v>
      </c>
      <c r="I1037" s="6"/>
      <c r="J1037" s="6"/>
      <c r="K1037" s="37"/>
      <c r="L1037" s="37"/>
      <c r="M1037" s="81"/>
      <c r="N1037" s="17"/>
      <c r="O1037" s="35"/>
      <c r="P1037" s="17"/>
      <c r="Q1037" s="98" t="s">
        <v>2403</v>
      </c>
      <c r="R1037" s="91" t="s">
        <v>7023</v>
      </c>
      <c r="S1037" s="91" t="s">
        <v>7024</v>
      </c>
      <c r="T1037" s="197" t="s">
        <v>7025</v>
      </c>
      <c r="U1037" s="194" t="s">
        <v>38</v>
      </c>
      <c r="V1037" s="195" t="s">
        <v>723</v>
      </c>
      <c r="W1037" s="101" t="s">
        <v>7026</v>
      </c>
      <c r="X1037" s="90"/>
      <c r="Y1037" s="90"/>
      <c r="Z1037" s="26"/>
      <c r="AA1037" s="26"/>
      <c r="AB1037" s="104" t="s">
        <v>7027</v>
      </c>
      <c r="AC1037" s="107">
        <v>45273</v>
      </c>
    </row>
    <row r="1038" spans="1:30" ht="15.75" customHeight="1">
      <c r="A1038" s="113">
        <v>1037</v>
      </c>
      <c r="B1038" s="94" t="s">
        <v>27</v>
      </c>
      <c r="C1038" s="94" t="s">
        <v>28</v>
      </c>
      <c r="D1038" s="95"/>
      <c r="E1038" s="96" t="s">
        <v>7005</v>
      </c>
      <c r="F1038" s="114" t="s">
        <v>7028</v>
      </c>
      <c r="G1038" s="14" t="str">
        <f ca="1">IFERROR(__xludf.DUMMYFUNCTION("CONCATENATE(B1038,(VLOOKUP(C1038,CATALOGOS!$F$2:$H$6,3,FALSE)),(VLOOKUP(V1038,CATALOGOS!$J$2:$K$18,2,FALSE)),""-"",TO_TEXT(A1038))"),"P05RH-1037")</f>
        <v>P05RH-1037</v>
      </c>
      <c r="H1038" s="6" t="str">
        <f ca="1">IFERROR(__xludf.DUMMYFUNCTION("CONCATENATE($B1038,(VLOOKUP($C1038,CATALOGOS!$F$2:$H$6,3,FALSE)),(VLOOKUP($V1038,CATALOGOS!$J$2:$K$18,2,FALSE)),""-"",TO_TEXT($A1038))"),"P05RH-1037")</f>
        <v>P05RH-1037</v>
      </c>
      <c r="I1038" s="6"/>
      <c r="J1038" s="6"/>
      <c r="K1038" s="37"/>
      <c r="L1038" s="37"/>
      <c r="M1038" s="81"/>
      <c r="N1038" s="17"/>
      <c r="O1038" s="17"/>
      <c r="P1038" s="17"/>
      <c r="Q1038" s="98" t="s">
        <v>2748</v>
      </c>
      <c r="R1038" s="91" t="s">
        <v>7029</v>
      </c>
      <c r="S1038" s="91" t="s">
        <v>7030</v>
      </c>
      <c r="T1038" s="197" t="s">
        <v>7031</v>
      </c>
      <c r="U1038" s="194" t="s">
        <v>38</v>
      </c>
      <c r="V1038" s="195" t="s">
        <v>723</v>
      </c>
      <c r="W1038" s="101" t="s">
        <v>724</v>
      </c>
      <c r="X1038" s="90"/>
      <c r="Y1038" s="90"/>
      <c r="Z1038" s="26"/>
      <c r="AA1038" s="26"/>
      <c r="AB1038" s="104" t="s">
        <v>7032</v>
      </c>
      <c r="AC1038" s="107">
        <v>45273</v>
      </c>
    </row>
    <row r="1039" spans="1:30" ht="15.75" customHeight="1">
      <c r="A1039" s="113">
        <v>1038</v>
      </c>
      <c r="B1039" s="94" t="s">
        <v>1469</v>
      </c>
      <c r="C1039" s="94" t="s">
        <v>1470</v>
      </c>
      <c r="D1039" s="95"/>
      <c r="E1039" s="96" t="s">
        <v>7033</v>
      </c>
      <c r="F1039" s="114" t="s">
        <v>7034</v>
      </c>
      <c r="G1039" s="14" t="str">
        <f ca="1">IFERROR(__xludf.DUMMYFUNCTION("CONCATENATE(B1039,(VLOOKUP(C1039,CATALOGOS!$F$2:$H$6,3,FALSE)),(VLOOKUP(V1039,CATALOGOS!$J$2:$K$18,2,FALSE)),""-"",TO_TEXT(A1039))"),"P12SI-1038")</f>
        <v>P12SI-1038</v>
      </c>
      <c r="H1039" s="6" t="str">
        <f ca="1">IFERROR(__xludf.DUMMYFUNCTION("CONCATENATE($B1039,(VLOOKUP($C1039,CATALOGOS!$F$2:$H$6,3,FALSE)),(VLOOKUP($V1039,CATALOGOS!$J$2:$K$18,2,FALSE)),""-"",TO_TEXT($A1039))"),"P12SI-1038")</f>
        <v>P12SI-1038</v>
      </c>
      <c r="I1039" s="6"/>
      <c r="J1039" s="6"/>
      <c r="K1039" s="37"/>
      <c r="L1039" s="37"/>
      <c r="M1039" s="81"/>
      <c r="N1039" s="17"/>
      <c r="O1039" s="35"/>
      <c r="P1039" s="17"/>
      <c r="Q1039" s="98" t="s">
        <v>216</v>
      </c>
      <c r="R1039" s="91" t="s">
        <v>7035</v>
      </c>
      <c r="S1039" s="91" t="s">
        <v>7036</v>
      </c>
      <c r="T1039" s="197" t="s">
        <v>7037</v>
      </c>
      <c r="U1039" s="194" t="s">
        <v>38</v>
      </c>
      <c r="V1039" s="195" t="s">
        <v>1483</v>
      </c>
      <c r="W1039" s="101" t="s">
        <v>1484</v>
      </c>
      <c r="X1039" s="90"/>
      <c r="Y1039" s="90"/>
      <c r="Z1039" s="26"/>
      <c r="AA1039" s="26"/>
      <c r="AB1039" s="101" t="s">
        <v>7038</v>
      </c>
      <c r="AC1039" s="107">
        <v>45273</v>
      </c>
    </row>
    <row r="1040" spans="1:30" ht="15.75" customHeight="1">
      <c r="A1040" s="113">
        <v>1039</v>
      </c>
      <c r="B1040" s="94" t="s">
        <v>1469</v>
      </c>
      <c r="C1040" s="94" t="s">
        <v>1470</v>
      </c>
      <c r="D1040" s="95"/>
      <c r="E1040" s="96" t="s">
        <v>248</v>
      </c>
      <c r="F1040" s="114" t="s">
        <v>7039</v>
      </c>
      <c r="G1040" s="14" t="str">
        <f ca="1">IFERROR(__xludf.DUMMYFUNCTION("CONCATENATE(B1040,(VLOOKUP(C1040,CATALOGOS!$F$2:$H$6,3,FALSE)),(VLOOKUP(V1040,CATALOGOS!$J$2:$K$18,2,FALSE)),""-"",TO_TEXT(A1040))"),"P12SI-1039")</f>
        <v>P12SI-1039</v>
      </c>
      <c r="H1040" s="6" t="str">
        <f ca="1">IFERROR(__xludf.DUMMYFUNCTION("CONCATENATE($B1040,(VLOOKUP($C1040,CATALOGOS!$F$2:$H$6,3,FALSE)),(VLOOKUP($V1040,CATALOGOS!$J$2:$K$18,2,FALSE)),""-"",TO_TEXT($A1040))"),"P12SI-1039")</f>
        <v>P12SI-1039</v>
      </c>
      <c r="I1040" s="6"/>
      <c r="J1040" s="6"/>
      <c r="K1040" s="37"/>
      <c r="L1040" s="37"/>
      <c r="M1040" s="81"/>
      <c r="N1040" s="17"/>
      <c r="O1040" s="35"/>
      <c r="P1040" s="17"/>
      <c r="Q1040" s="98" t="s">
        <v>7040</v>
      </c>
      <c r="R1040" s="94" t="s">
        <v>7041</v>
      </c>
      <c r="S1040" s="91" t="s">
        <v>7042</v>
      </c>
      <c r="T1040" s="197" t="s">
        <v>7043</v>
      </c>
      <c r="U1040" s="194" t="s">
        <v>38</v>
      </c>
      <c r="V1040" s="195" t="s">
        <v>1483</v>
      </c>
      <c r="W1040" s="101" t="s">
        <v>1484</v>
      </c>
      <c r="X1040" s="90"/>
      <c r="Y1040" s="90"/>
      <c r="Z1040" s="26"/>
      <c r="AA1040" s="26"/>
      <c r="AB1040" s="104" t="s">
        <v>7038</v>
      </c>
      <c r="AC1040" s="107">
        <v>45273</v>
      </c>
    </row>
    <row r="1041" spans="1:30" ht="15.75" customHeight="1">
      <c r="A1041" s="113">
        <v>1040</v>
      </c>
      <c r="B1041" s="94" t="s">
        <v>4410</v>
      </c>
      <c r="C1041" s="94" t="s">
        <v>6054</v>
      </c>
      <c r="D1041" s="95"/>
      <c r="E1041" s="96" t="s">
        <v>7044</v>
      </c>
      <c r="F1041" s="114" t="s">
        <v>7045</v>
      </c>
      <c r="G1041" s="14" t="str">
        <f ca="1">IFERROR(__xludf.DUMMYFUNCTION("CONCATENATE(B1041,(VLOOKUP(C1041,CATALOGOS!$F$2:$H$6,3,FALSE)),(VLOOKUP(V1041,CATALOGOS!$J$2:$K$18,2,FALSE)),""-"",TO_TEXT(A1041))"),"P21DG-1040")</f>
        <v>P21DG-1040</v>
      </c>
      <c r="H1041" s="6" t="str">
        <f ca="1">IFERROR(__xludf.DUMMYFUNCTION("CONCATENATE($B1041,(VLOOKUP($C1041,CATALOGOS!$F$2:$H$6,3,FALSE)),(VLOOKUP($V1041,CATALOGOS!$J$2:$K$18,2,FALSE)),""-"",TO_TEXT($A1041))"),"P21DG-1040")</f>
        <v>P21DG-1040</v>
      </c>
      <c r="I1041" s="6"/>
      <c r="J1041" s="6"/>
      <c r="K1041" s="37"/>
      <c r="L1041" s="37"/>
      <c r="M1041" s="81"/>
      <c r="N1041" s="17"/>
      <c r="O1041" s="35"/>
      <c r="P1041" s="17"/>
      <c r="Q1041" s="98" t="s">
        <v>7046</v>
      </c>
      <c r="R1041" s="91" t="s">
        <v>8452</v>
      </c>
      <c r="S1041" s="91" t="s">
        <v>7048</v>
      </c>
      <c r="T1041" s="197" t="s">
        <v>7049</v>
      </c>
      <c r="U1041" s="194" t="s">
        <v>38</v>
      </c>
      <c r="V1041" s="195" t="s">
        <v>6054</v>
      </c>
      <c r="W1041" s="101" t="s">
        <v>6062</v>
      </c>
      <c r="X1041" s="90"/>
      <c r="Y1041" s="90"/>
      <c r="Z1041" s="26"/>
      <c r="AA1041" s="26"/>
      <c r="AB1041" s="104" t="s">
        <v>7050</v>
      </c>
      <c r="AC1041" s="107">
        <v>45273</v>
      </c>
    </row>
    <row r="1042" spans="1:30" ht="15.75" customHeight="1">
      <c r="A1042" s="113">
        <v>1041</v>
      </c>
      <c r="B1042" s="94" t="s">
        <v>4410</v>
      </c>
      <c r="C1042" s="94" t="s">
        <v>6054</v>
      </c>
      <c r="D1042" s="95"/>
      <c r="E1042" s="96" t="s">
        <v>7051</v>
      </c>
      <c r="F1042" s="114" t="s">
        <v>7052</v>
      </c>
      <c r="G1042" s="14" t="str">
        <f ca="1">IFERROR(__xludf.DUMMYFUNCTION("CONCATENATE(B1042,(VLOOKUP(C1042,CATALOGOS!$F$2:$H$6,3,FALSE)),(VLOOKUP(V1042,CATALOGOS!$J$2:$K$18,2,FALSE)),""-"",TO_TEXT(A1042))"),"P21DG-1041")</f>
        <v>P21DG-1041</v>
      </c>
      <c r="H1042" s="6" t="str">
        <f ca="1">IFERROR(__xludf.DUMMYFUNCTION("CONCATENATE($B1042,(VLOOKUP($C1042,CATALOGOS!$F$2:$H$6,3,FALSE)),(VLOOKUP($V1042,CATALOGOS!$J$2:$K$18,2,FALSE)),""-"",TO_TEXT($A1042))"),"P21DG-1041")</f>
        <v>P21DG-1041</v>
      </c>
      <c r="I1042" s="6"/>
      <c r="J1042" s="6"/>
      <c r="K1042" s="37"/>
      <c r="L1042" s="37"/>
      <c r="M1042" s="81"/>
      <c r="N1042" s="17"/>
      <c r="O1042" s="17"/>
      <c r="P1042" s="17"/>
      <c r="Q1042" s="98" t="s">
        <v>3069</v>
      </c>
      <c r="R1042" s="94" t="s">
        <v>7053</v>
      </c>
      <c r="S1042" s="94" t="s">
        <v>7054</v>
      </c>
      <c r="T1042" s="198" t="s">
        <v>7055</v>
      </c>
      <c r="U1042" s="194" t="s">
        <v>38</v>
      </c>
      <c r="V1042" s="195" t="s">
        <v>6054</v>
      </c>
      <c r="W1042" s="101" t="s">
        <v>6062</v>
      </c>
      <c r="X1042" s="90"/>
      <c r="Y1042" s="90"/>
      <c r="Z1042" s="26"/>
      <c r="AA1042" s="26"/>
      <c r="AB1042" s="104" t="s">
        <v>7056</v>
      </c>
      <c r="AC1042" s="107">
        <v>45273</v>
      </c>
    </row>
    <row r="1043" spans="1:30" ht="15.75" customHeight="1">
      <c r="A1043" s="113">
        <v>1042</v>
      </c>
      <c r="B1043" s="94" t="s">
        <v>27</v>
      </c>
      <c r="C1043" s="94" t="s">
        <v>28</v>
      </c>
      <c r="D1043" s="95"/>
      <c r="E1043" s="96" t="s">
        <v>8453</v>
      </c>
      <c r="F1043" s="114" t="s">
        <v>7057</v>
      </c>
      <c r="G1043" s="14" t="str">
        <f ca="1">IFERROR(__xludf.DUMMYFUNCTION("CONCATENATE(B1043,(VLOOKUP(C1043,CATALOGOS!$F$2:$H$6,3,FALSE)),(VLOOKUP(V1043,CATALOGOS!$J$2:$K$18,2,FALSE)),""-"",TO_TEXT(A1043))"),"P05RH-1042")</f>
        <v>P05RH-1042</v>
      </c>
      <c r="H1043" s="6" t="str">
        <f ca="1">IFERROR(__xludf.DUMMYFUNCTION("CONCATENATE($B1043,(VLOOKUP($C1043,CATALOGOS!$F$2:$H$6,3,FALSE)),(VLOOKUP($V1043,CATALOGOS!$J$2:$K$18,2,FALSE)),""-"",TO_TEXT($A1043))"),"P05RH-1042")</f>
        <v>P05RH-1042</v>
      </c>
      <c r="I1043" s="6"/>
      <c r="J1043" s="36"/>
      <c r="K1043" s="37"/>
      <c r="L1043" s="37"/>
      <c r="M1043" s="81"/>
      <c r="N1043" s="108"/>
      <c r="O1043" s="108"/>
      <c r="P1043" s="108"/>
      <c r="Q1043" s="109" t="s">
        <v>2599</v>
      </c>
      <c r="R1043" s="91" t="s">
        <v>7058</v>
      </c>
      <c r="S1043" s="91" t="s">
        <v>7059</v>
      </c>
      <c r="T1043" s="197" t="s">
        <v>7060</v>
      </c>
      <c r="U1043" s="194" t="s">
        <v>38</v>
      </c>
      <c r="V1043" s="199" t="s">
        <v>723</v>
      </c>
      <c r="W1043" s="101" t="s">
        <v>724</v>
      </c>
      <c r="X1043" s="90"/>
      <c r="Y1043" s="90"/>
      <c r="Z1043" s="26"/>
      <c r="AA1043" s="26"/>
      <c r="AB1043" s="104" t="s">
        <v>7061</v>
      </c>
      <c r="AC1043" s="106">
        <v>45075</v>
      </c>
    </row>
    <row r="1044" spans="1:30" ht="15.75" customHeight="1">
      <c r="A1044" s="113">
        <v>1043</v>
      </c>
      <c r="B1044" s="94" t="s">
        <v>1469</v>
      </c>
      <c r="C1044" s="94" t="s">
        <v>868</v>
      </c>
      <c r="D1044" s="95"/>
      <c r="E1044" s="96" t="s">
        <v>7062</v>
      </c>
      <c r="F1044" s="114" t="s">
        <v>7063</v>
      </c>
      <c r="G1044" s="14" t="str">
        <f ca="1">IFERROR(__xludf.DUMMYFUNCTION("CONCATENATE(B1044,(VLOOKUP(C1044,CATALOGOS!$F$2:$H$6,3,FALSE)),(VLOOKUP(V1044,CATALOGOS!$J$2:$K$18,2,FALSE)),""-"",TO_TEXT(A1044))"),"P13SO-1043")</f>
        <v>P13SO-1043</v>
      </c>
      <c r="H1044" s="6" t="str">
        <f ca="1">IFERROR(__xludf.DUMMYFUNCTION("CONCATENATE($B1044,(VLOOKUP($C1044,CATALOGOS!$F$2:$H$6,3,FALSE)),(VLOOKUP($V1044,CATALOGOS!$J$2:$K$18,2,FALSE)),""-"",TO_TEXT($A1044))"),"P13SO-1043")</f>
        <v>P13SO-1043</v>
      </c>
      <c r="I1044" s="6"/>
      <c r="J1044" s="36"/>
      <c r="K1044" s="37"/>
      <c r="L1044" s="37"/>
      <c r="M1044" s="81"/>
      <c r="N1044" s="108"/>
      <c r="O1044" s="108"/>
      <c r="P1044" s="108"/>
      <c r="Q1044" s="98" t="s">
        <v>2748</v>
      </c>
      <c r="R1044" s="94" t="s">
        <v>8454</v>
      </c>
      <c r="S1044" s="115" t="s">
        <v>7080</v>
      </c>
      <c r="T1044" s="197" t="s">
        <v>7066</v>
      </c>
      <c r="U1044" s="194" t="s">
        <v>38</v>
      </c>
      <c r="V1044" s="199" t="s">
        <v>868</v>
      </c>
      <c r="W1044" s="101" t="s">
        <v>8455</v>
      </c>
      <c r="X1044" s="90"/>
      <c r="Y1044" s="90"/>
      <c r="Z1044" s="26"/>
      <c r="AA1044" s="26"/>
      <c r="AB1044" s="104" t="s">
        <v>7067</v>
      </c>
      <c r="AC1044" s="112">
        <v>45075</v>
      </c>
    </row>
    <row r="1045" spans="1:30" ht="15.75" customHeight="1">
      <c r="A1045" s="113">
        <v>1044</v>
      </c>
      <c r="B1045" s="94" t="s">
        <v>1469</v>
      </c>
      <c r="C1045" s="94" t="s">
        <v>868</v>
      </c>
      <c r="D1045" s="95"/>
      <c r="E1045" s="96" t="s">
        <v>151</v>
      </c>
      <c r="F1045" s="114" t="s">
        <v>8456</v>
      </c>
      <c r="G1045" s="14" t="str">
        <f ca="1">IFERROR(__xludf.DUMMYFUNCTION("CONCATENATE(B1045,(VLOOKUP(C1045,CATALOGOS!$F$2:$H$6,3,FALSE)),(VLOOKUP(V1045,CATALOGOS!$J$2:$K$18,2,FALSE)),""-"",TO_TEXT(A1045))"),"P13LP-1044")</f>
        <v>P13LP-1044</v>
      </c>
      <c r="H1045" s="6" t="str">
        <f ca="1">IFERROR(__xludf.DUMMYFUNCTION("CONCATENATE($B1045,(VLOOKUP($C1045,CATALOGOS!$F$2:$H$6,3,FALSE)),(VLOOKUP($V1045,CATALOGOS!$J$2:$K$18,2,FALSE)),""-"",TO_TEXT($A1045))"),"P13LP-1044")</f>
        <v>P13LP-1044</v>
      </c>
      <c r="I1045" s="6"/>
      <c r="J1045" s="36"/>
      <c r="K1045" s="37"/>
      <c r="L1045" s="37"/>
      <c r="M1045" s="81"/>
      <c r="N1045" s="108"/>
      <c r="O1045" s="108"/>
      <c r="P1045" s="108"/>
      <c r="Q1045" s="98" t="s">
        <v>2748</v>
      </c>
      <c r="R1045" s="94" t="s">
        <v>8457</v>
      </c>
      <c r="S1045" s="91" t="s">
        <v>8458</v>
      </c>
      <c r="T1045" s="197" t="s">
        <v>8459</v>
      </c>
      <c r="U1045" s="194" t="s">
        <v>38</v>
      </c>
      <c r="V1045" s="199" t="s">
        <v>2328</v>
      </c>
      <c r="W1045" s="101" t="s">
        <v>3984</v>
      </c>
      <c r="X1045" s="90"/>
      <c r="Y1045" s="90"/>
      <c r="Z1045" s="26"/>
      <c r="AA1045" s="26"/>
      <c r="AB1045" s="104" t="s">
        <v>7071</v>
      </c>
      <c r="AC1045" s="112">
        <v>45114</v>
      </c>
    </row>
    <row r="1046" spans="1:30" ht="15.75" customHeight="1">
      <c r="A1046" s="113">
        <v>1045</v>
      </c>
      <c r="B1046" s="94" t="s">
        <v>1469</v>
      </c>
      <c r="C1046" s="94" t="s">
        <v>868</v>
      </c>
      <c r="D1046" s="95"/>
      <c r="E1046" s="96" t="s">
        <v>199</v>
      </c>
      <c r="F1046" s="114" t="s">
        <v>7153</v>
      </c>
      <c r="G1046" s="14" t="str">
        <f ca="1">IFERROR(__xludf.DUMMYFUNCTION("CONCATENATE(B1046,(VLOOKUP(C1046,CATALOGOS!$F$2:$H$6,3,FALSE)),(VLOOKUP(V1046,CATALOGOS!$J$2:$K$18,2,FALSE)),""-"",TO_TEXT(A1046))"),"P13LP-1045")</f>
        <v>P13LP-1045</v>
      </c>
      <c r="H1046" s="6" t="str">
        <f ca="1">IFERROR(__xludf.DUMMYFUNCTION("CONCATENATE($B1046,(VLOOKUP($C1046,CATALOGOS!$F$2:$H$6,3,FALSE)),(VLOOKUP($V1046,CATALOGOS!$J$2:$K$18,2,FALSE)),""-"",TO_TEXT($A1046))"),"P13LP-1045")</f>
        <v>P13LP-1045</v>
      </c>
      <c r="I1046" s="6"/>
      <c r="J1046" s="36"/>
      <c r="K1046" s="37"/>
      <c r="L1046" s="37"/>
      <c r="M1046" s="81"/>
      <c r="N1046" s="108"/>
      <c r="O1046" s="108"/>
      <c r="P1046" s="108"/>
      <c r="Q1046" s="98" t="s">
        <v>2748</v>
      </c>
      <c r="R1046" s="91" t="s">
        <v>8460</v>
      </c>
      <c r="S1046" s="91" t="s">
        <v>8461</v>
      </c>
      <c r="T1046" s="197" t="s">
        <v>8462</v>
      </c>
      <c r="U1046" s="194" t="s">
        <v>38</v>
      </c>
      <c r="V1046" s="199" t="s">
        <v>2328</v>
      </c>
      <c r="W1046" s="101" t="s">
        <v>3984</v>
      </c>
      <c r="X1046" s="90"/>
      <c r="Y1046" s="90"/>
      <c r="Z1046" s="26"/>
      <c r="AA1046" s="26"/>
      <c r="AB1046" s="104" t="s">
        <v>7071</v>
      </c>
      <c r="AC1046" s="112">
        <v>45114</v>
      </c>
    </row>
    <row r="1047" spans="1:30" ht="15.75" customHeight="1">
      <c r="A1047" s="113">
        <v>1046</v>
      </c>
      <c r="B1047" s="94" t="s">
        <v>4410</v>
      </c>
      <c r="C1047" s="94" t="s">
        <v>4411</v>
      </c>
      <c r="D1047" s="95"/>
      <c r="E1047" s="96" t="s">
        <v>151</v>
      </c>
      <c r="F1047" s="114" t="s">
        <v>7073</v>
      </c>
      <c r="G1047" s="14" t="str">
        <f ca="1">IFERROR(__xludf.DUMMYFUNCTION("CONCATENATE(B1047,(VLOOKUP(C1047,CATALOGOS!$F$2:$H$6,3,FALSE)),(VLOOKUP(V1047,CATALOGOS!$J$2:$K$18,2,FALSE)),""-"",TO_TEXT(A1047))"),"P24SJ-1046")</f>
        <v>P24SJ-1046</v>
      </c>
      <c r="H1047" s="6" t="str">
        <f ca="1">IFERROR(__xludf.DUMMYFUNCTION("CONCATENATE($B1047,(VLOOKUP($C1047,CATALOGOS!$F$2:$H$6,3,FALSE)),(VLOOKUP($V1047,CATALOGOS!$J$2:$K$18,2,FALSE)),""-"",TO_TEXT($A1047))"),"P24SJ-1046")</f>
        <v>P24SJ-1046</v>
      </c>
      <c r="I1047" s="6"/>
      <c r="J1047" s="36"/>
      <c r="K1047" s="37"/>
      <c r="L1047" s="37"/>
      <c r="M1047" s="81"/>
      <c r="N1047" s="108"/>
      <c r="O1047" s="108"/>
      <c r="P1047" s="108"/>
      <c r="Q1047" s="98" t="s">
        <v>2317</v>
      </c>
      <c r="R1047" s="94" t="s">
        <v>8463</v>
      </c>
      <c r="S1047" s="91" t="s">
        <v>7075</v>
      </c>
      <c r="T1047" s="197" t="s">
        <v>7076</v>
      </c>
      <c r="U1047" s="194" t="s">
        <v>38</v>
      </c>
      <c r="V1047" s="199" t="s">
        <v>4411</v>
      </c>
      <c r="W1047" s="101" t="s">
        <v>4935</v>
      </c>
      <c r="X1047" s="90"/>
      <c r="Y1047" s="90"/>
      <c r="Z1047" s="26"/>
      <c r="AA1047" s="26"/>
      <c r="AB1047" s="104" t="s">
        <v>7077</v>
      </c>
      <c r="AC1047" s="112">
        <v>45166</v>
      </c>
    </row>
    <row r="1048" spans="1:30" ht="15.75" customHeight="1">
      <c r="A1048" s="113">
        <v>1047</v>
      </c>
      <c r="B1048" s="94" t="s">
        <v>1469</v>
      </c>
      <c r="C1048" s="94" t="s">
        <v>868</v>
      </c>
      <c r="D1048" s="95"/>
      <c r="E1048" s="96" t="s">
        <v>7005</v>
      </c>
      <c r="F1048" s="114" t="s">
        <v>7078</v>
      </c>
      <c r="G1048" s="14" t="str">
        <f ca="1">IFERROR(__xludf.DUMMYFUNCTION("CONCATENATE(B1048,(VLOOKUP(C1048,CATALOGOS!$F$2:$H$6,3,FALSE)),(VLOOKUP(V1048,CATALOGOS!$J$2:$K$18,2,FALSE)),""-"",TO_TEXT(A1048))"),"P13SO-1047")</f>
        <v>P13SO-1047</v>
      </c>
      <c r="H1048" s="6" t="str">
        <f ca="1">IFERROR(__xludf.DUMMYFUNCTION("CONCATENATE($B1048,(VLOOKUP($C1048,CATALOGOS!$F$2:$H$6,3,FALSE)),(VLOOKUP($V1048,CATALOGOS!$J$2:$K$18,2,FALSE)),""-"",TO_TEXT($A1048))"),"P13SO-1047")</f>
        <v>P13SO-1047</v>
      </c>
      <c r="I1048" s="6"/>
      <c r="J1048" s="36"/>
      <c r="K1048" s="37"/>
      <c r="L1048" s="37"/>
      <c r="M1048" s="81"/>
      <c r="N1048" s="108"/>
      <c r="O1048" s="108"/>
      <c r="P1048" s="108"/>
      <c r="Q1048" s="98" t="s">
        <v>2748</v>
      </c>
      <c r="R1048" s="91" t="s">
        <v>7079</v>
      </c>
      <c r="S1048" s="115" t="s">
        <v>7080</v>
      </c>
      <c r="T1048" s="197" t="s">
        <v>7081</v>
      </c>
      <c r="U1048" s="194" t="s">
        <v>38</v>
      </c>
      <c r="V1048" s="199" t="s">
        <v>868</v>
      </c>
      <c r="W1048" s="101" t="s">
        <v>8455</v>
      </c>
      <c r="X1048" s="90"/>
      <c r="Y1048" s="90"/>
      <c r="Z1048" s="26"/>
      <c r="AA1048" s="26"/>
      <c r="AB1048" s="104" t="s">
        <v>7082</v>
      </c>
      <c r="AC1048" s="112">
        <v>45175</v>
      </c>
    </row>
    <row r="1049" spans="1:30" ht="15.75" customHeight="1">
      <c r="A1049" s="113">
        <v>1048</v>
      </c>
      <c r="B1049" s="94" t="s">
        <v>1469</v>
      </c>
      <c r="C1049" s="94" t="s">
        <v>868</v>
      </c>
      <c r="D1049" s="95"/>
      <c r="E1049" s="96" t="s">
        <v>1275</v>
      </c>
      <c r="F1049" s="114" t="s">
        <v>8464</v>
      </c>
      <c r="G1049" s="14" t="str">
        <f ca="1">IFERROR(__xludf.DUMMYFUNCTION("CONCATENATE(B1049,(VLOOKUP(C1049,CATALOGOS!$F$2:$H$6,3,FALSE)),(VLOOKUP(V1049,CATALOGOS!$J$2:$K$18,2,FALSE)),""-"",TO_TEXT(A1049))"),"P13SO-1048")</f>
        <v>P13SO-1048</v>
      </c>
      <c r="H1049" s="6" t="str">
        <f ca="1">IFERROR(__xludf.DUMMYFUNCTION("CONCATENATE($B1049,(VLOOKUP($C1049,CATALOGOS!$F$2:$H$6,3,FALSE)),(VLOOKUP($V1049,CATALOGOS!$J$2:$K$18,2,FALSE)),""-"",TO_TEXT($A1049))"),"P13SO-1048")</f>
        <v>P13SO-1048</v>
      </c>
      <c r="I1049" s="6"/>
      <c r="J1049" s="36"/>
      <c r="K1049" s="37"/>
      <c r="L1049" s="37"/>
      <c r="M1049" s="81"/>
      <c r="N1049" s="108"/>
      <c r="O1049" s="108"/>
      <c r="P1049" s="108"/>
      <c r="Q1049" s="98" t="s">
        <v>2748</v>
      </c>
      <c r="R1049" s="91" t="s">
        <v>8465</v>
      </c>
      <c r="S1049" s="91" t="s">
        <v>7085</v>
      </c>
      <c r="T1049" s="197" t="s">
        <v>7086</v>
      </c>
      <c r="U1049" s="194" t="s">
        <v>38</v>
      </c>
      <c r="V1049" s="199" t="s">
        <v>868</v>
      </c>
      <c r="W1049" s="101" t="s">
        <v>8455</v>
      </c>
      <c r="X1049" s="90"/>
      <c r="Y1049" s="90"/>
      <c r="Z1049" s="26"/>
      <c r="AA1049" s="26"/>
      <c r="AB1049" s="104" t="s">
        <v>7082</v>
      </c>
      <c r="AC1049" s="112">
        <v>45175</v>
      </c>
    </row>
    <row r="1050" spans="1:30" ht="15.75" customHeight="1">
      <c r="A1050" s="113">
        <v>1049</v>
      </c>
      <c r="B1050" s="94" t="s">
        <v>1469</v>
      </c>
      <c r="C1050" s="94" t="s">
        <v>1470</v>
      </c>
      <c r="D1050" s="95"/>
      <c r="E1050" s="96" t="s">
        <v>184</v>
      </c>
      <c r="F1050" s="114" t="s">
        <v>7087</v>
      </c>
      <c r="G1050" s="14" t="str">
        <f ca="1">IFERROR(__xludf.DUMMYFUNCTION("CONCATENATE(B1050,(VLOOKUP(C1050,CATALOGOS!$F$2:$H$6,3,FALSE)),(VLOOKUP(V1050,CATALOGOS!$J$2:$K$18,2,FALSE)),""-"",TO_TEXT(A1050))"),"P12PP-1049")</f>
        <v>P12PP-1049</v>
      </c>
      <c r="H1050" s="6" t="str">
        <f ca="1">IFERROR(__xludf.DUMMYFUNCTION("CONCATENATE($B1050,(VLOOKUP($C1050,CATALOGOS!$F$2:$H$6,3,FALSE)),(VLOOKUP($V1050,CATALOGOS!$J$2:$K$18,2,FALSE)),""-"",TO_TEXT($A1050))"),"P12PP-1049")</f>
        <v>P12PP-1049</v>
      </c>
      <c r="I1050" s="6"/>
      <c r="J1050" s="36"/>
      <c r="K1050" s="37"/>
      <c r="L1050" s="37"/>
      <c r="M1050" s="81"/>
      <c r="N1050" s="108"/>
      <c r="O1050" s="108"/>
      <c r="P1050" s="108"/>
      <c r="Q1050" s="98" t="s">
        <v>7088</v>
      </c>
      <c r="R1050" s="94" t="s">
        <v>7089</v>
      </c>
      <c r="S1050" s="17" t="s">
        <v>36</v>
      </c>
      <c r="T1050" s="197" t="s">
        <v>7090</v>
      </c>
      <c r="U1050" s="173" t="s">
        <v>38</v>
      </c>
      <c r="V1050" s="199" t="s">
        <v>1548</v>
      </c>
      <c r="W1050" s="20" t="s">
        <v>687</v>
      </c>
      <c r="X1050" s="20" t="s">
        <v>1672</v>
      </c>
      <c r="Y1050" s="90"/>
      <c r="Z1050" s="26"/>
      <c r="AA1050" s="26"/>
      <c r="AB1050" s="104" t="s">
        <v>7091</v>
      </c>
      <c r="AC1050" s="101" t="s">
        <v>7092</v>
      </c>
    </row>
    <row r="1051" spans="1:30" ht="15.75" customHeight="1">
      <c r="A1051" s="113">
        <v>1050</v>
      </c>
      <c r="B1051" s="94" t="s">
        <v>4410</v>
      </c>
      <c r="C1051" s="94" t="s">
        <v>4411</v>
      </c>
      <c r="D1051" s="95"/>
      <c r="E1051" s="96" t="s">
        <v>184</v>
      </c>
      <c r="F1051" s="114" t="s">
        <v>7087</v>
      </c>
      <c r="G1051" s="14" t="str">
        <f ca="1">IFERROR(__xludf.DUMMYFUNCTION("CONCATENATE(B1051,(VLOOKUP(C1051,CATALOGOS!$F$2:$H$6,3,FALSE)),(VLOOKUP(V1051,CATALOGOS!$J$2:$K$18,2,FALSE)),""-"",TO_TEXT(A1051))"),"P24CA-1050")</f>
        <v>P24CA-1050</v>
      </c>
      <c r="H1051" s="6" t="str">
        <f ca="1">IFERROR(__xludf.DUMMYFUNCTION("CONCATENATE($B1051,(VLOOKUP($C1051,CATALOGOS!$F$2:$H$6,3,FALSE)),(VLOOKUP($V1051,CATALOGOS!$J$2:$K$18,2,FALSE)),""-"",TO_TEXT($A1051))"),"P24CA-1050")</f>
        <v>P24CA-1050</v>
      </c>
      <c r="I1051" s="6"/>
      <c r="J1051" s="36"/>
      <c r="K1051" s="37"/>
      <c r="L1051" s="37"/>
      <c r="M1051" s="81"/>
      <c r="N1051" s="108"/>
      <c r="O1051" s="108"/>
      <c r="P1051" s="108"/>
      <c r="Q1051" s="98" t="s">
        <v>7088</v>
      </c>
      <c r="R1051" s="94" t="s">
        <v>7089</v>
      </c>
      <c r="S1051" s="94" t="s">
        <v>7093</v>
      </c>
      <c r="T1051" s="197" t="s">
        <v>7094</v>
      </c>
      <c r="U1051" s="194" t="s">
        <v>38</v>
      </c>
      <c r="V1051" s="199" t="s">
        <v>4416</v>
      </c>
      <c r="W1051" s="101" t="s">
        <v>5584</v>
      </c>
      <c r="X1051" s="90"/>
      <c r="Y1051" s="90"/>
      <c r="Z1051" s="26"/>
      <c r="AA1051" s="26"/>
      <c r="AB1051" s="104" t="s">
        <v>7091</v>
      </c>
      <c r="AC1051" s="106">
        <v>45159</v>
      </c>
    </row>
    <row r="1052" spans="1:30" ht="15.75" customHeight="1">
      <c r="A1052" s="113">
        <v>1051</v>
      </c>
      <c r="B1052" s="94" t="s">
        <v>27</v>
      </c>
      <c r="C1052" s="94" t="s">
        <v>868</v>
      </c>
      <c r="D1052" s="95"/>
      <c r="E1052" s="96" t="s">
        <v>378</v>
      </c>
      <c r="F1052" s="114" t="s">
        <v>7095</v>
      </c>
      <c r="G1052" s="14" t="str">
        <f ca="1">IFERROR(__xludf.DUMMYFUNCTION("CONCATENATE(B1052,(VLOOKUP(C1052,CATALOGOS!$F$2:$H$6,3,FALSE)),(VLOOKUP(V1052,CATALOGOS!$J$2:$K$18,2,FALSE)),""-"",TO_TEXT(A1052))"),"P03CV-1051")</f>
        <v>P03CV-1051</v>
      </c>
      <c r="H1052" s="6" t="str">
        <f ca="1">IFERROR(__xludf.DUMMYFUNCTION("CONCATENATE($B1052,(VLOOKUP($C1052,CATALOGOS!$F$2:$H$6,3,FALSE)),(VLOOKUP($V1052,CATALOGOS!$J$2:$K$18,2,FALSE)),""-"",TO_TEXT($A1052))"),"P03CV-1051")</f>
        <v>P03CV-1051</v>
      </c>
      <c r="I1052" s="6"/>
      <c r="J1052" s="36"/>
      <c r="K1052" s="37"/>
      <c r="L1052" s="37"/>
      <c r="M1052" s="81"/>
      <c r="N1052" s="108"/>
      <c r="O1052" s="108"/>
      <c r="P1052" s="108"/>
      <c r="Q1052" s="98" t="s">
        <v>4684</v>
      </c>
      <c r="R1052" s="94" t="s">
        <v>7096</v>
      </c>
      <c r="S1052" s="94" t="s">
        <v>7093</v>
      </c>
      <c r="T1052" s="197" t="s">
        <v>7097</v>
      </c>
      <c r="U1052" s="194" t="s">
        <v>38</v>
      </c>
      <c r="V1052" s="199" t="s">
        <v>875</v>
      </c>
      <c r="W1052" s="101" t="s">
        <v>8466</v>
      </c>
      <c r="X1052" s="90"/>
      <c r="Y1052" s="90"/>
      <c r="Z1052" s="26"/>
      <c r="AA1052" s="26"/>
      <c r="AB1052" s="104" t="s">
        <v>7098</v>
      </c>
      <c r="AC1052" s="112">
        <v>45167</v>
      </c>
    </row>
    <row r="1053" spans="1:30" ht="15.75" customHeight="1">
      <c r="A1053" s="113">
        <v>1052</v>
      </c>
      <c r="B1053" s="94" t="s">
        <v>1469</v>
      </c>
      <c r="C1053" s="94" t="s">
        <v>868</v>
      </c>
      <c r="D1053" s="95"/>
      <c r="E1053" s="96" t="s">
        <v>378</v>
      </c>
      <c r="F1053" s="114" t="s">
        <v>7095</v>
      </c>
      <c r="G1053" s="14" t="str">
        <f ca="1">IFERROR(__xludf.DUMMYFUNCTION("CONCATENATE(B1053,(VLOOKUP(C1053,CATALOGOS!$F$2:$H$6,3,FALSE)),(VLOOKUP(V1053,CATALOGOS!$J$2:$K$18,2,FALSE)),""-"",TO_TEXT(A1053))"),"P13SO-1052")</f>
        <v>P13SO-1052</v>
      </c>
      <c r="H1053" s="6" t="str">
        <f ca="1">IFERROR(__xludf.DUMMYFUNCTION("CONCATENATE($B1053,(VLOOKUP($C1053,CATALOGOS!$F$2:$H$6,3,FALSE)),(VLOOKUP($V1053,CATALOGOS!$J$2:$K$18,2,FALSE)),""-"",TO_TEXT($A1053))"),"P13SO-1052")</f>
        <v>P13SO-1052</v>
      </c>
      <c r="I1053" s="6"/>
      <c r="J1053" s="36"/>
      <c r="K1053" s="37"/>
      <c r="L1053" s="37"/>
      <c r="M1053" s="81"/>
      <c r="N1053" s="108"/>
      <c r="O1053" s="108"/>
      <c r="P1053" s="108"/>
      <c r="Q1053" s="98" t="s">
        <v>4684</v>
      </c>
      <c r="R1053" s="94" t="s">
        <v>7096</v>
      </c>
      <c r="S1053" s="94" t="s">
        <v>7093</v>
      </c>
      <c r="T1053" s="197" t="s">
        <v>7099</v>
      </c>
      <c r="U1053" s="194" t="s">
        <v>38</v>
      </c>
      <c r="V1053" s="199" t="s">
        <v>868</v>
      </c>
      <c r="W1053" s="101" t="s">
        <v>1665</v>
      </c>
      <c r="X1053" s="90"/>
      <c r="Y1053" s="90"/>
      <c r="Z1053" s="26"/>
      <c r="AA1053" s="26"/>
      <c r="AB1053" s="101" t="s">
        <v>7098</v>
      </c>
      <c r="AC1053" s="112">
        <v>45167</v>
      </c>
    </row>
    <row r="1054" spans="1:30" ht="15.75" customHeight="1">
      <c r="A1054" s="113">
        <v>1053</v>
      </c>
      <c r="B1054" s="94" t="s">
        <v>1469</v>
      </c>
      <c r="C1054" s="94" t="s">
        <v>1470</v>
      </c>
      <c r="D1054" s="95"/>
      <c r="E1054" s="96" t="s">
        <v>378</v>
      </c>
      <c r="F1054" s="114" t="s">
        <v>7095</v>
      </c>
      <c r="G1054" s="14" t="str">
        <f ca="1">IFERROR(__xludf.DUMMYFUNCTION("CONCATENATE(B1054,(VLOOKUP(C1054,CATALOGOS!$F$2:$H$6,3,FALSE)),(VLOOKUP(V1054,CATALOGOS!$J$2:$K$18,2,FALSE)),""-"",TO_TEXT(A1054))"),"P12ST-1053")</f>
        <v>P12ST-1053</v>
      </c>
      <c r="H1054" s="6" t="str">
        <f ca="1">IFERROR(__xludf.DUMMYFUNCTION("CONCATENATE($B1054,(VLOOKUP($C1054,CATALOGOS!$F$2:$H$6,3,FALSE)),(VLOOKUP($V1054,CATALOGOS!$J$2:$K$18,2,FALSE)),""-"",TO_TEXT($A1054))"),"P12ST-1053")</f>
        <v>P12ST-1053</v>
      </c>
      <c r="I1054" s="6"/>
      <c r="J1054" s="36"/>
      <c r="K1054" s="37"/>
      <c r="L1054" s="37"/>
      <c r="M1054" s="81"/>
      <c r="N1054" s="108"/>
      <c r="O1054" s="108"/>
      <c r="P1054" s="108"/>
      <c r="Q1054" s="98" t="s">
        <v>4684</v>
      </c>
      <c r="R1054" s="94" t="s">
        <v>7096</v>
      </c>
      <c r="S1054" s="94" t="s">
        <v>7093</v>
      </c>
      <c r="T1054" s="197" t="s">
        <v>7100</v>
      </c>
      <c r="U1054" s="194" t="s">
        <v>38</v>
      </c>
      <c r="V1054" s="199" t="s">
        <v>1470</v>
      </c>
      <c r="W1054" s="101" t="s">
        <v>1477</v>
      </c>
      <c r="X1054" s="90"/>
      <c r="Y1054" s="90"/>
      <c r="Z1054" s="26"/>
      <c r="AA1054" s="26"/>
      <c r="AB1054" s="104" t="s">
        <v>7101</v>
      </c>
      <c r="AC1054" s="112">
        <v>45195</v>
      </c>
    </row>
    <row r="1055" spans="1:30" ht="15.75" customHeight="1">
      <c r="A1055" s="113">
        <v>1054</v>
      </c>
      <c r="B1055" s="94" t="s">
        <v>1469</v>
      </c>
      <c r="C1055" s="94" t="s">
        <v>1470</v>
      </c>
      <c r="D1055" s="95"/>
      <c r="E1055" s="116" t="s">
        <v>378</v>
      </c>
      <c r="F1055" s="200" t="s">
        <v>7095</v>
      </c>
      <c r="G1055" s="14" t="str">
        <f ca="1">IFERROR(__xludf.DUMMYFUNCTION("CONCATENATE(B1055,(VLOOKUP(C1055,CATALOGOS!$F$2:$H$6,3,FALSE)),(VLOOKUP(V1055,CATALOGOS!$J$2:$K$18,2,FALSE)),""-"",TO_TEXT(A1055))"),"P12ST-1054")</f>
        <v>P12ST-1054</v>
      </c>
      <c r="H1055" s="6" t="str">
        <f ca="1">IFERROR(__xludf.DUMMYFUNCTION("CONCATENATE($B1055,(VLOOKUP($C1055,CATALOGOS!$F$2:$H$6,3,FALSE)),(VLOOKUP($V1055,CATALOGOS!$J$2:$K$18,2,FALSE)),""-"",TO_TEXT($A1055))"),"P12ST-1054")</f>
        <v>P12ST-1054</v>
      </c>
      <c r="I1055" s="6"/>
      <c r="J1055" s="36"/>
      <c r="K1055" s="37"/>
      <c r="L1055" s="37"/>
      <c r="M1055" s="81"/>
      <c r="N1055" s="108"/>
      <c r="O1055" s="108"/>
      <c r="P1055" s="108"/>
      <c r="Q1055" s="98" t="s">
        <v>4684</v>
      </c>
      <c r="R1055" s="94" t="s">
        <v>7096</v>
      </c>
      <c r="S1055" s="94" t="s">
        <v>7093</v>
      </c>
      <c r="T1055" s="197" t="s">
        <v>7102</v>
      </c>
      <c r="U1055" s="194" t="s">
        <v>38</v>
      </c>
      <c r="V1055" s="199" t="s">
        <v>1470</v>
      </c>
      <c r="W1055" s="101" t="s">
        <v>1477</v>
      </c>
      <c r="X1055" s="90"/>
      <c r="Y1055" s="90"/>
      <c r="Z1055" s="26"/>
      <c r="AA1055" s="26"/>
      <c r="AB1055" s="101" t="s">
        <v>7101</v>
      </c>
      <c r="AC1055" s="112">
        <v>45195</v>
      </c>
    </row>
    <row r="1056" spans="1:30" ht="15.75" customHeight="1">
      <c r="A1056" s="113">
        <v>1055</v>
      </c>
      <c r="B1056" s="94" t="s">
        <v>27</v>
      </c>
      <c r="C1056" s="94" t="s">
        <v>28</v>
      </c>
      <c r="D1056" s="95"/>
      <c r="E1056" s="96" t="s">
        <v>184</v>
      </c>
      <c r="F1056" s="114" t="s">
        <v>7087</v>
      </c>
      <c r="G1056" s="14" t="str">
        <f ca="1">IFERROR(__xludf.DUMMYFUNCTION("CONCATENATE(B1056,(VLOOKUP(C1056,CATALOGOS!$F$2:$H$6,3,FALSE)),(VLOOKUP(V1056,CATALOGOS!$J$2:$K$18,2,FALSE)),""-"",TO_TEXT(A1056))"),"P05DA-1055")</f>
        <v>P05DA-1055</v>
      </c>
      <c r="H1056" s="6" t="str">
        <f ca="1">IFERROR(__xludf.DUMMYFUNCTION("CONCATENATE($B1056,(VLOOKUP($C1056,CATALOGOS!$F$2:$H$6,3,FALSE)),(VLOOKUP($V1056,CATALOGOS!$J$2:$K$18,2,FALSE)),""-"",TO_TEXT($A1056))"),"P05DA-1055")</f>
        <v>P05DA-1055</v>
      </c>
      <c r="I1056" s="6"/>
      <c r="J1056" s="36"/>
      <c r="K1056" s="37"/>
      <c r="L1056" s="37"/>
      <c r="M1056" s="81"/>
      <c r="N1056" s="108"/>
      <c r="O1056" s="108"/>
      <c r="P1056" s="108"/>
      <c r="Q1056" s="98" t="s">
        <v>7088</v>
      </c>
      <c r="R1056" s="94" t="s">
        <v>7089</v>
      </c>
      <c r="S1056" s="94" t="s">
        <v>7093</v>
      </c>
      <c r="T1056" s="201" t="s">
        <v>7130</v>
      </c>
      <c r="U1056" s="194" t="s">
        <v>38</v>
      </c>
      <c r="V1056" s="199" t="s">
        <v>28</v>
      </c>
      <c r="W1056" s="101" t="s">
        <v>332</v>
      </c>
      <c r="X1056" s="90"/>
      <c r="Y1056" s="90"/>
      <c r="Z1056" s="26"/>
      <c r="AA1056" s="26"/>
      <c r="AB1056" s="104" t="s">
        <v>7104</v>
      </c>
      <c r="AC1056" s="112">
        <v>45224</v>
      </c>
      <c r="AD1056" s="86" t="s">
        <v>7020</v>
      </c>
    </row>
    <row r="1057" spans="1:29" ht="15.75" customHeight="1">
      <c r="A1057" s="113">
        <v>1056</v>
      </c>
      <c r="B1057" s="94" t="s">
        <v>27</v>
      </c>
      <c r="C1057" s="94" t="s">
        <v>28</v>
      </c>
      <c r="D1057" s="95"/>
      <c r="E1057" s="96" t="s">
        <v>184</v>
      </c>
      <c r="F1057" s="114" t="s">
        <v>7087</v>
      </c>
      <c r="G1057" s="14" t="str">
        <f ca="1">IFERROR(__xludf.DUMMYFUNCTION("CONCATENATE(B1057,(VLOOKUP(C1057,CATALOGOS!$F$2:$H$6,3,FALSE)),(VLOOKUP(V1057,CATALOGOS!$J$2:$K$18,2,FALSE)),""-"",TO_TEXT(A1057))"),"P05DA-1056")</f>
        <v>P05DA-1056</v>
      </c>
      <c r="H1057" s="6" t="str">
        <f ca="1">IFERROR(__xludf.DUMMYFUNCTION("CONCATENATE($B1057,(VLOOKUP($C1057,CATALOGOS!$F$2:$H$6,3,FALSE)),(VLOOKUP($V1057,CATALOGOS!$J$2:$K$18,2,FALSE)),""-"",TO_TEXT($A1057))"),"P05DA-1056")</f>
        <v>P05DA-1056</v>
      </c>
      <c r="I1057" s="6"/>
      <c r="J1057" s="36"/>
      <c r="K1057" s="37"/>
      <c r="L1057" s="37"/>
      <c r="M1057" s="81"/>
      <c r="N1057" s="108"/>
      <c r="O1057" s="108"/>
      <c r="P1057" s="108"/>
      <c r="Q1057" s="98" t="s">
        <v>7088</v>
      </c>
      <c r="R1057" s="94" t="s">
        <v>7123</v>
      </c>
      <c r="S1057" s="94" t="s">
        <v>7093</v>
      </c>
      <c r="T1057" s="201" t="s">
        <v>7114</v>
      </c>
      <c r="U1057" s="194" t="s">
        <v>38</v>
      </c>
      <c r="V1057" s="199" t="s">
        <v>28</v>
      </c>
      <c r="W1057" s="101" t="s">
        <v>39</v>
      </c>
      <c r="X1057" s="90"/>
      <c r="Y1057" s="90"/>
      <c r="Z1057" s="26"/>
      <c r="AA1057" s="26"/>
      <c r="AB1057" s="104" t="s">
        <v>7104</v>
      </c>
      <c r="AC1057" s="112">
        <v>45224</v>
      </c>
    </row>
    <row r="1058" spans="1:29" ht="15.75" customHeight="1">
      <c r="A1058" s="113">
        <v>1057</v>
      </c>
      <c r="B1058" s="94" t="s">
        <v>27</v>
      </c>
      <c r="C1058" s="94" t="s">
        <v>868</v>
      </c>
      <c r="D1058" s="95"/>
      <c r="E1058" s="96" t="s">
        <v>184</v>
      </c>
      <c r="F1058" s="114" t="s">
        <v>7087</v>
      </c>
      <c r="G1058" s="14" t="str">
        <f ca="1">IFERROR(__xludf.DUMMYFUNCTION("CONCATENATE(B1058,(VLOOKUP(C1058,CATALOGOS!$F$2:$H$6,3,FALSE)),(VLOOKUP(V1058,CATALOGOS!$J$2:$K$18,2,FALSE)),""-"",TO_TEXT(A1058))"),"P03CV-1057")</f>
        <v>P03CV-1057</v>
      </c>
      <c r="H1058" s="6" t="str">
        <f ca="1">IFERROR(__xludf.DUMMYFUNCTION("CONCATENATE($B1058,(VLOOKUP($C1058,CATALOGOS!$F$2:$H$6,3,FALSE)),(VLOOKUP($V1058,CATALOGOS!$J$2:$K$18,2,FALSE)),""-"",TO_TEXT($A1058))"),"P03CV-1057")</f>
        <v>P03CV-1057</v>
      </c>
      <c r="I1058" s="6"/>
      <c r="J1058" s="36"/>
      <c r="K1058" s="37"/>
      <c r="L1058" s="37"/>
      <c r="M1058" s="81"/>
      <c r="N1058" s="108"/>
      <c r="O1058" s="108"/>
      <c r="P1058" s="108"/>
      <c r="Q1058" s="98" t="s">
        <v>7088</v>
      </c>
      <c r="R1058" s="94" t="s">
        <v>7123</v>
      </c>
      <c r="S1058" s="94" t="s">
        <v>7093</v>
      </c>
      <c r="T1058" s="201" t="s">
        <v>7114</v>
      </c>
      <c r="U1058" s="194" t="s">
        <v>38</v>
      </c>
      <c r="V1058" s="199" t="s">
        <v>875</v>
      </c>
      <c r="W1058" s="101" t="s">
        <v>876</v>
      </c>
      <c r="X1058" s="90"/>
      <c r="Y1058" s="90"/>
      <c r="Z1058" s="26"/>
      <c r="AA1058" s="26"/>
      <c r="AB1058" s="104" t="s">
        <v>7104</v>
      </c>
      <c r="AC1058" s="105">
        <v>45224</v>
      </c>
    </row>
    <row r="1059" spans="1:29" ht="15.75" customHeight="1">
      <c r="A1059" s="113">
        <v>1058</v>
      </c>
      <c r="B1059" s="94" t="s">
        <v>27</v>
      </c>
      <c r="C1059" s="94" t="s">
        <v>868</v>
      </c>
      <c r="D1059" s="95"/>
      <c r="E1059" s="96" t="s">
        <v>378</v>
      </c>
      <c r="F1059" s="114" t="s">
        <v>7095</v>
      </c>
      <c r="G1059" s="14" t="str">
        <f ca="1">IFERROR(__xludf.DUMMYFUNCTION("CONCATENATE(B1059,(VLOOKUP(C1059,CATALOGOS!$F$2:$H$6,3,FALSE)),(VLOOKUP(V1059,CATALOGOS!$J$2:$K$18,2,FALSE)),""-"",TO_TEXT(A1059))"),"P03CV-1058")</f>
        <v>P03CV-1058</v>
      </c>
      <c r="H1059" s="6" t="str">
        <f ca="1">IFERROR(__xludf.DUMMYFUNCTION("CONCATENATE($B1059,(VLOOKUP($C1059,CATALOGOS!$F$2:$H$6,3,FALSE)),(VLOOKUP($V1059,CATALOGOS!$J$2:$K$18,2,FALSE)),""-"",TO_TEXT($A1059))"),"P03CV-1058")</f>
        <v>P03CV-1058</v>
      </c>
      <c r="I1059" s="6"/>
      <c r="J1059" s="36"/>
      <c r="K1059" s="37"/>
      <c r="L1059" s="37"/>
      <c r="M1059" s="81"/>
      <c r="N1059" s="108"/>
      <c r="O1059" s="108"/>
      <c r="P1059" s="108"/>
      <c r="Q1059" s="98" t="s">
        <v>4684</v>
      </c>
      <c r="R1059" s="94" t="s">
        <v>7096</v>
      </c>
      <c r="S1059" s="94" t="s">
        <v>7093</v>
      </c>
      <c r="T1059" s="201" t="s">
        <v>7130</v>
      </c>
      <c r="U1059" s="194" t="s">
        <v>38</v>
      </c>
      <c r="V1059" s="199" t="s">
        <v>875</v>
      </c>
      <c r="W1059" s="101" t="s">
        <v>4629</v>
      </c>
      <c r="X1059" s="90"/>
      <c r="Y1059" s="90"/>
      <c r="Z1059" s="26"/>
      <c r="AA1059" s="26"/>
      <c r="AB1059" s="104" t="s">
        <v>7098</v>
      </c>
      <c r="AC1059" s="105">
        <v>45167</v>
      </c>
    </row>
    <row r="1060" spans="1:29" ht="15.75" customHeight="1">
      <c r="A1060" s="113">
        <v>1059</v>
      </c>
      <c r="B1060" s="94" t="s">
        <v>1469</v>
      </c>
      <c r="C1060" s="94" t="s">
        <v>868</v>
      </c>
      <c r="D1060" s="95"/>
      <c r="E1060" s="96" t="s">
        <v>378</v>
      </c>
      <c r="F1060" s="114" t="s">
        <v>7095</v>
      </c>
      <c r="G1060" s="14" t="str">
        <f ca="1">IFERROR(__xludf.DUMMYFUNCTION("CONCATENATE(B1060,(VLOOKUP(C1060,CATALOGOS!$F$2:$H$6,3,FALSE)),(VLOOKUP(V1060,CATALOGOS!$J$2:$K$18,2,FALSE)),""-"",TO_TEXT(A1060))"),"P13SO-1059")</f>
        <v>P13SO-1059</v>
      </c>
      <c r="H1060" s="6" t="str">
        <f ca="1">IFERROR(__xludf.DUMMYFUNCTION("CONCATENATE($B1060,(VLOOKUP($C1060,CATALOGOS!$F$2:$H$6,3,FALSE)),(VLOOKUP($V1060,CATALOGOS!$J$2:$K$18,2,FALSE)),""-"",TO_TEXT($A1060))"),"P13SO-1059")</f>
        <v>P13SO-1059</v>
      </c>
      <c r="I1060" s="6"/>
      <c r="J1060" s="36"/>
      <c r="K1060" s="37"/>
      <c r="L1060" s="37"/>
      <c r="M1060" s="81"/>
      <c r="N1060" s="108"/>
      <c r="O1060" s="108"/>
      <c r="P1060" s="108"/>
      <c r="Q1060" s="98" t="s">
        <v>4684</v>
      </c>
      <c r="R1060" s="94" t="s">
        <v>7096</v>
      </c>
      <c r="S1060" s="94" t="s">
        <v>7093</v>
      </c>
      <c r="T1060" s="201" t="s">
        <v>7114</v>
      </c>
      <c r="U1060" s="194" t="s">
        <v>38</v>
      </c>
      <c r="V1060" s="199" t="s">
        <v>868</v>
      </c>
      <c r="W1060" s="101" t="s">
        <v>1665</v>
      </c>
      <c r="X1060" s="90"/>
      <c r="Y1060" s="90"/>
      <c r="Z1060" s="26"/>
      <c r="AA1060" s="26"/>
      <c r="AB1060" s="104" t="s">
        <v>7098</v>
      </c>
      <c r="AC1060" s="112">
        <v>45167</v>
      </c>
    </row>
    <row r="1061" spans="1:29" ht="15.75" customHeight="1">
      <c r="A1061" s="113">
        <v>1060</v>
      </c>
      <c r="B1061" s="94" t="s">
        <v>1469</v>
      </c>
      <c r="C1061" s="94" t="s">
        <v>1470</v>
      </c>
      <c r="D1061" s="95"/>
      <c r="E1061" s="96" t="s">
        <v>378</v>
      </c>
      <c r="F1061" s="114" t="s">
        <v>7095</v>
      </c>
      <c r="G1061" s="14" t="str">
        <f ca="1">IFERROR(__xludf.DUMMYFUNCTION("CONCATENATE(B1061,(VLOOKUP(C1061,CATALOGOS!$F$2:$H$6,3,FALSE)),(VLOOKUP(V1061,CATALOGOS!$J$2:$K$18,2,FALSE)),""-"",TO_TEXT(A1061))"),"P12ST-1060")</f>
        <v>P12ST-1060</v>
      </c>
      <c r="H1061" s="6" t="str">
        <f ca="1">IFERROR(__xludf.DUMMYFUNCTION("CONCATENATE($B1061,(VLOOKUP($C1061,CATALOGOS!$F$2:$H$6,3,FALSE)),(VLOOKUP($V1061,CATALOGOS!$J$2:$K$18,2,FALSE)),""-"",TO_TEXT($A1061))"),"P12ST-1060")</f>
        <v>P12ST-1060</v>
      </c>
      <c r="I1061" s="6"/>
      <c r="J1061" s="36"/>
      <c r="K1061" s="37"/>
      <c r="L1061" s="37"/>
      <c r="M1061" s="81"/>
      <c r="N1061" s="108"/>
      <c r="O1061" s="108"/>
      <c r="P1061" s="108"/>
      <c r="Q1061" s="98" t="s">
        <v>4684</v>
      </c>
      <c r="R1061" s="94" t="s">
        <v>7096</v>
      </c>
      <c r="S1061" s="94" t="s">
        <v>7093</v>
      </c>
      <c r="T1061" s="201" t="s">
        <v>7130</v>
      </c>
      <c r="U1061" s="194" t="s">
        <v>38</v>
      </c>
      <c r="V1061" s="199" t="s">
        <v>1470</v>
      </c>
      <c r="W1061" s="101" t="s">
        <v>1477</v>
      </c>
      <c r="X1061" s="90"/>
      <c r="Y1061" s="90"/>
      <c r="Z1061" s="26"/>
      <c r="AA1061" s="26"/>
      <c r="AB1061" s="104" t="s">
        <v>7101</v>
      </c>
      <c r="AC1061" s="112">
        <v>45195</v>
      </c>
    </row>
    <row r="1062" spans="1:29" ht="15.75" customHeight="1">
      <c r="A1062" s="113">
        <v>1061</v>
      </c>
      <c r="B1062" s="94" t="s">
        <v>1469</v>
      </c>
      <c r="C1062" s="94" t="s">
        <v>1470</v>
      </c>
      <c r="D1062" s="95"/>
      <c r="E1062" s="96" t="s">
        <v>378</v>
      </c>
      <c r="F1062" s="114" t="s">
        <v>7095</v>
      </c>
      <c r="G1062" s="14" t="str">
        <f ca="1">IFERROR(__xludf.DUMMYFUNCTION("CONCATENATE(B1062,(VLOOKUP(C1062,CATALOGOS!$F$2:$H$6,3,FALSE)),(VLOOKUP(V1062,CATALOGOS!$J$2:$K$18,2,FALSE)),""-"",TO_TEXT(A1062))"),"P12ST-1061")</f>
        <v>P12ST-1061</v>
      </c>
      <c r="H1062" s="6" t="str">
        <f ca="1">IFERROR(__xludf.DUMMYFUNCTION("CONCATENATE($B1062,(VLOOKUP($C1062,CATALOGOS!$F$2:$H$6,3,FALSE)),(VLOOKUP($V1062,CATALOGOS!$J$2:$K$18,2,FALSE)),""-"",TO_TEXT($A1062))"),"P12ST-1061")</f>
        <v>P12ST-1061</v>
      </c>
      <c r="I1062" s="6"/>
      <c r="J1062" s="36"/>
      <c r="K1062" s="37"/>
      <c r="L1062" s="37"/>
      <c r="M1062" s="81"/>
      <c r="N1062" s="108"/>
      <c r="O1062" s="108"/>
      <c r="P1062" s="108"/>
      <c r="Q1062" s="98" t="s">
        <v>4684</v>
      </c>
      <c r="R1062" s="94" t="s">
        <v>7096</v>
      </c>
      <c r="S1062" s="94" t="s">
        <v>7093</v>
      </c>
      <c r="T1062" s="201" t="s">
        <v>7114</v>
      </c>
      <c r="U1062" s="194" t="s">
        <v>38</v>
      </c>
      <c r="V1062" s="199" t="s">
        <v>1470</v>
      </c>
      <c r="W1062" s="101" t="s">
        <v>1477</v>
      </c>
      <c r="X1062" s="90"/>
      <c r="Y1062" s="90"/>
      <c r="Z1062" s="26"/>
      <c r="AA1062" s="26"/>
      <c r="AB1062" s="104" t="s">
        <v>7101</v>
      </c>
      <c r="AC1062" s="112">
        <v>45195</v>
      </c>
    </row>
    <row r="1063" spans="1:29" ht="15.75" customHeight="1">
      <c r="A1063" s="113">
        <v>1062</v>
      </c>
      <c r="B1063" s="94" t="s">
        <v>27</v>
      </c>
      <c r="C1063" s="94" t="s">
        <v>28</v>
      </c>
      <c r="D1063" s="95"/>
      <c r="E1063" s="96" t="s">
        <v>184</v>
      </c>
      <c r="F1063" s="114" t="s">
        <v>7122</v>
      </c>
      <c r="G1063" s="14" t="str">
        <f ca="1">IFERROR(__xludf.DUMMYFUNCTION("CONCATENATE(B1063,(VLOOKUP(C1063,CATALOGOS!$F$2:$H$6,3,FALSE)),(VLOOKUP(V1063,CATALOGOS!$J$2:$K$18,2,FALSE)),""-"",TO_TEXT(A1063))"),"P05DA-1062")</f>
        <v>P05DA-1062</v>
      </c>
      <c r="H1063" s="6" t="str">
        <f ca="1">IFERROR(__xludf.DUMMYFUNCTION("CONCATENATE($B1063,(VLOOKUP($C1063,CATALOGOS!$F$2:$H$6,3,FALSE)),(VLOOKUP($V1063,CATALOGOS!$J$2:$K$18,2,FALSE)),""-"",TO_TEXT($A1063))"),"P05DA-1062")</f>
        <v>P05DA-1062</v>
      </c>
      <c r="I1063" s="36"/>
      <c r="J1063" s="36"/>
      <c r="K1063" s="37"/>
      <c r="L1063" s="37"/>
      <c r="M1063" s="81"/>
      <c r="N1063" s="108"/>
      <c r="O1063" s="108"/>
      <c r="P1063" s="108"/>
      <c r="Q1063" s="35" t="s">
        <v>7088</v>
      </c>
      <c r="R1063" s="10" t="s">
        <v>7123</v>
      </c>
      <c r="S1063" s="10" t="s">
        <v>36</v>
      </c>
      <c r="T1063" s="202" t="s">
        <v>8467</v>
      </c>
      <c r="U1063" s="194" t="s">
        <v>38</v>
      </c>
      <c r="V1063" s="11" t="s">
        <v>28</v>
      </c>
      <c r="W1063" s="20" t="s">
        <v>39</v>
      </c>
      <c r="X1063" s="90"/>
      <c r="Y1063" s="90"/>
      <c r="Z1063" s="26"/>
      <c r="AA1063" s="26"/>
      <c r="AB1063" s="22" t="s">
        <v>7104</v>
      </c>
      <c r="AC1063" s="119">
        <v>45224</v>
      </c>
    </row>
    <row r="1064" spans="1:29" ht="15.75" customHeight="1">
      <c r="A1064" s="113">
        <v>1063</v>
      </c>
      <c r="B1064" s="94" t="s">
        <v>27</v>
      </c>
      <c r="C1064" s="94" t="s">
        <v>868</v>
      </c>
      <c r="D1064" s="95"/>
      <c r="E1064" s="96" t="s">
        <v>184</v>
      </c>
      <c r="F1064" s="114" t="s">
        <v>7125</v>
      </c>
      <c r="G1064" s="14" t="str">
        <f ca="1">IFERROR(__xludf.DUMMYFUNCTION("CONCATENATE(B1064,(VLOOKUP(C1064,CATALOGOS!$F$2:$H$6,3,FALSE)),(VLOOKUP(V1064,CATALOGOS!$J$2:$K$18,2,FALSE)),""-"",TO_TEXT(A1064))"),"P03CV-1063")</f>
        <v>P03CV-1063</v>
      </c>
      <c r="H1064" s="6" t="str">
        <f ca="1">IFERROR(__xludf.DUMMYFUNCTION("CONCATENATE($B1064,(VLOOKUP($C1064,CATALOGOS!$F$2:$H$6,3,FALSE)),(VLOOKUP($V1064,CATALOGOS!$J$2:$K$18,2,FALSE)),""-"",TO_TEXT($A1064))"),"P03CV-1063")</f>
        <v>P03CV-1063</v>
      </c>
      <c r="I1064" s="36"/>
      <c r="J1064" s="36"/>
      <c r="K1064" s="37"/>
      <c r="L1064" s="37"/>
      <c r="M1064" s="81"/>
      <c r="N1064" s="108"/>
      <c r="O1064" s="108"/>
      <c r="P1064" s="108"/>
      <c r="Q1064" s="35" t="s">
        <v>7088</v>
      </c>
      <c r="R1064" s="10" t="s">
        <v>7123</v>
      </c>
      <c r="S1064" s="10" t="s">
        <v>36</v>
      </c>
      <c r="T1064" s="202" t="s">
        <v>7126</v>
      </c>
      <c r="U1064" s="194" t="s">
        <v>38</v>
      </c>
      <c r="V1064" s="11" t="s">
        <v>875</v>
      </c>
      <c r="W1064" s="20" t="s">
        <v>876</v>
      </c>
      <c r="X1064" s="90"/>
      <c r="Y1064" s="90"/>
      <c r="Z1064" s="26"/>
      <c r="AA1064" s="26"/>
      <c r="AB1064" s="22" t="s">
        <v>7104</v>
      </c>
      <c r="AC1064" s="119" t="s">
        <v>7127</v>
      </c>
    </row>
    <row r="1065" spans="1:29" ht="15.75" customHeight="1">
      <c r="A1065" s="113">
        <v>1064</v>
      </c>
      <c r="B1065" s="94" t="s">
        <v>27</v>
      </c>
      <c r="C1065" s="94" t="s">
        <v>868</v>
      </c>
      <c r="D1065" s="95"/>
      <c r="E1065" s="96" t="s">
        <v>378</v>
      </c>
      <c r="F1065" s="114" t="s">
        <v>7095</v>
      </c>
      <c r="G1065" s="14" t="str">
        <f ca="1">IFERROR(__xludf.DUMMYFUNCTION("CONCATENATE(B1065,(VLOOKUP(C1065,CATALOGOS!$F$2:$H$6,3,FALSE)),(VLOOKUP(V1065,CATALOGOS!$J$2:$K$18,2,FALSE)),""-"",TO_TEXT(A1065))"),"P03CV-1064")</f>
        <v>P03CV-1064</v>
      </c>
      <c r="H1065" s="6" t="str">
        <f ca="1">IFERROR(__xludf.DUMMYFUNCTION("CONCATENATE($B1065,(VLOOKUP($C1065,CATALOGOS!$F$2:$H$6,3,FALSE)),(VLOOKUP($V1065,CATALOGOS!$J$2:$K$18,2,FALSE)),""-"",TO_TEXT($A1065))"),"P03CV-1064")</f>
        <v>P03CV-1064</v>
      </c>
      <c r="I1065" s="36"/>
      <c r="J1065" s="36"/>
      <c r="K1065" s="37"/>
      <c r="L1065" s="37"/>
      <c r="M1065" s="81"/>
      <c r="N1065" s="108"/>
      <c r="O1065" s="108"/>
      <c r="P1065" s="108"/>
      <c r="Q1065" s="35" t="s">
        <v>4684</v>
      </c>
      <c r="R1065" s="10" t="s">
        <v>7096</v>
      </c>
      <c r="S1065" s="10" t="s">
        <v>36</v>
      </c>
      <c r="T1065" s="202" t="s">
        <v>7130</v>
      </c>
      <c r="U1065" s="194" t="s">
        <v>38</v>
      </c>
      <c r="V1065" s="11" t="s">
        <v>875</v>
      </c>
      <c r="W1065" s="20" t="s">
        <v>4629</v>
      </c>
      <c r="X1065" s="90"/>
      <c r="Y1065" s="90"/>
      <c r="Z1065" s="26"/>
      <c r="AA1065" s="26"/>
      <c r="AB1065" s="22" t="s">
        <v>7098</v>
      </c>
      <c r="AC1065" s="120">
        <v>45167</v>
      </c>
    </row>
    <row r="1066" spans="1:29" ht="15.75" customHeight="1">
      <c r="A1066" s="113">
        <v>1065</v>
      </c>
      <c r="B1066" s="94" t="s">
        <v>1469</v>
      </c>
      <c r="C1066" s="94" t="s">
        <v>868</v>
      </c>
      <c r="D1066" s="95"/>
      <c r="E1066" s="96" t="s">
        <v>378</v>
      </c>
      <c r="F1066" s="114" t="s">
        <v>7095</v>
      </c>
      <c r="G1066" s="14" t="str">
        <f ca="1">IFERROR(__xludf.DUMMYFUNCTION("CONCATENATE(B1066,(VLOOKUP(C1066,CATALOGOS!$F$2:$H$6,3,FALSE)),(VLOOKUP(V1066,CATALOGOS!$J$2:$K$18,2,FALSE)),""-"",TO_TEXT(A1066))"),"P13SO-1065")</f>
        <v>P13SO-1065</v>
      </c>
      <c r="H1066" s="6" t="str">
        <f ca="1">IFERROR(__xludf.DUMMYFUNCTION("CONCATENATE($B1066,(VLOOKUP($C1066,CATALOGOS!$F$2:$H$6,3,FALSE)),(VLOOKUP($V1066,CATALOGOS!$J$2:$K$18,2,FALSE)),""-"",TO_TEXT($A1066))"),"P13SO-1065")</f>
        <v>P13SO-1065</v>
      </c>
      <c r="I1066" s="36"/>
      <c r="J1066" s="36"/>
      <c r="K1066" s="37"/>
      <c r="L1066" s="37"/>
      <c r="M1066" s="81"/>
      <c r="N1066" s="108"/>
      <c r="O1066" s="108"/>
      <c r="P1066" s="108"/>
      <c r="Q1066" s="35" t="s">
        <v>4684</v>
      </c>
      <c r="R1066" s="10" t="s">
        <v>7096</v>
      </c>
      <c r="S1066" s="10" t="s">
        <v>36</v>
      </c>
      <c r="T1066" s="202" t="s">
        <v>7114</v>
      </c>
      <c r="U1066" s="194" t="s">
        <v>38</v>
      </c>
      <c r="V1066" s="11" t="s">
        <v>868</v>
      </c>
      <c r="W1066" s="20" t="s">
        <v>1665</v>
      </c>
      <c r="X1066" s="90"/>
      <c r="Y1066" s="90"/>
      <c r="Z1066" s="26"/>
      <c r="AA1066" s="26"/>
      <c r="AB1066" s="22" t="s">
        <v>7098</v>
      </c>
      <c r="AC1066" s="120">
        <v>45167</v>
      </c>
    </row>
    <row r="1067" spans="1:29" ht="15.75" customHeight="1">
      <c r="A1067" s="113">
        <v>1066</v>
      </c>
      <c r="B1067" s="94" t="s">
        <v>1469</v>
      </c>
      <c r="C1067" s="94" t="s">
        <v>1470</v>
      </c>
      <c r="D1067" s="95"/>
      <c r="E1067" s="96" t="s">
        <v>378</v>
      </c>
      <c r="F1067" s="114" t="s">
        <v>7095</v>
      </c>
      <c r="G1067" s="14" t="str">
        <f ca="1">IFERROR(__xludf.DUMMYFUNCTION("CONCATENATE(B1067,(VLOOKUP(C1067,CATALOGOS!$F$2:$H$6,3,FALSE)),(VLOOKUP(V1067,CATALOGOS!$J$2:$K$18,2,FALSE)),""-"",TO_TEXT(A1067))"),"P12ST-1066")</f>
        <v>P12ST-1066</v>
      </c>
      <c r="H1067" s="6" t="str">
        <f ca="1">IFERROR(__xludf.DUMMYFUNCTION("CONCATENATE($B1067,(VLOOKUP($C1067,CATALOGOS!$F$2:$H$6,3,FALSE)),(VLOOKUP($V1067,CATALOGOS!$J$2:$K$18,2,FALSE)),""-"",TO_TEXT($A1067))"),"P12ST-1066")</f>
        <v>P12ST-1066</v>
      </c>
      <c r="I1067" s="36"/>
      <c r="J1067" s="36"/>
      <c r="K1067" s="37"/>
      <c r="L1067" s="37"/>
      <c r="M1067" s="81"/>
      <c r="N1067" s="108"/>
      <c r="O1067" s="108"/>
      <c r="P1067" s="108"/>
      <c r="Q1067" s="35" t="s">
        <v>4684</v>
      </c>
      <c r="R1067" s="10" t="s">
        <v>7096</v>
      </c>
      <c r="S1067" s="10" t="s">
        <v>36</v>
      </c>
      <c r="T1067" s="202" t="s">
        <v>7130</v>
      </c>
      <c r="U1067" s="194" t="s">
        <v>38</v>
      </c>
      <c r="V1067" s="11" t="s">
        <v>1470</v>
      </c>
      <c r="W1067" s="20" t="s">
        <v>1477</v>
      </c>
      <c r="X1067" s="90"/>
      <c r="Y1067" s="90"/>
      <c r="Z1067" s="26"/>
      <c r="AA1067" s="26"/>
      <c r="AB1067" s="121" t="s">
        <v>7101</v>
      </c>
      <c r="AC1067" s="120">
        <v>45195</v>
      </c>
    </row>
    <row r="1068" spans="1:29" ht="15.75" customHeight="1">
      <c r="A1068" s="113">
        <v>1067</v>
      </c>
      <c r="B1068" s="94" t="s">
        <v>1469</v>
      </c>
      <c r="C1068" s="94" t="s">
        <v>1470</v>
      </c>
      <c r="D1068" s="95"/>
      <c r="E1068" s="96" t="s">
        <v>378</v>
      </c>
      <c r="F1068" s="114" t="s">
        <v>7095</v>
      </c>
      <c r="G1068" s="14" t="str">
        <f ca="1">IFERROR(__xludf.DUMMYFUNCTION("CONCATENATE(B1068,(VLOOKUP(C1068,CATALOGOS!$F$2:$H$6,3,FALSE)),(VLOOKUP(V1068,CATALOGOS!$J$2:$K$18,2,FALSE)),""-"",TO_TEXT(A1068))"),"P12ST-1067")</f>
        <v>P12ST-1067</v>
      </c>
      <c r="H1068" s="6" t="str">
        <f ca="1">IFERROR(__xludf.DUMMYFUNCTION("CONCATENATE($B1068,(VLOOKUP($C1068,CATALOGOS!$F$2:$H$6,3,FALSE)),(VLOOKUP($V1068,CATALOGOS!$J$2:$K$18,2,FALSE)),""-"",TO_TEXT($A1068))"),"P12ST-1067")</f>
        <v>P12ST-1067</v>
      </c>
      <c r="I1068" s="36"/>
      <c r="J1068" s="36"/>
      <c r="K1068" s="37"/>
      <c r="L1068" s="37"/>
      <c r="M1068" s="81"/>
      <c r="N1068" s="108"/>
      <c r="O1068" s="108"/>
      <c r="P1068" s="108"/>
      <c r="Q1068" s="35" t="s">
        <v>4684</v>
      </c>
      <c r="R1068" s="10" t="s">
        <v>7096</v>
      </c>
      <c r="S1068" s="10" t="s">
        <v>36</v>
      </c>
      <c r="T1068" s="202" t="s">
        <v>7114</v>
      </c>
      <c r="U1068" s="194" t="s">
        <v>38</v>
      </c>
      <c r="V1068" s="11" t="s">
        <v>1470</v>
      </c>
      <c r="W1068" s="20" t="s">
        <v>1477</v>
      </c>
      <c r="X1068" s="90"/>
      <c r="Y1068" s="90"/>
      <c r="Z1068" s="26"/>
      <c r="AA1068" s="26"/>
      <c r="AB1068" s="22" t="s">
        <v>7101</v>
      </c>
      <c r="AC1068" s="120">
        <v>45195</v>
      </c>
    </row>
    <row r="1069" spans="1:29" ht="15.75" customHeight="1">
      <c r="A1069" s="113">
        <v>1068</v>
      </c>
      <c r="B1069" s="94" t="s">
        <v>27</v>
      </c>
      <c r="C1069" s="94" t="s">
        <v>1470</v>
      </c>
      <c r="D1069" s="95"/>
      <c r="E1069" s="96" t="s">
        <v>6916</v>
      </c>
      <c r="F1069" s="114" t="s">
        <v>8468</v>
      </c>
      <c r="G1069" s="14" t="str">
        <f ca="1">IFERROR(__xludf.DUMMYFUNCTION("CONCATENATE(B1069,(VLOOKUP(C1069,CATALOGOS!$F$2:$H$6,3,FALSE)),(VLOOKUP(V1069,CATALOGOS!$J$2:$K$18,2,FALSE)),""-"",TO_TEXT(A1069))"),"P02PP-1068")</f>
        <v>P02PP-1068</v>
      </c>
      <c r="H1069" s="6" t="str">
        <f ca="1">IFERROR(__xludf.DUMMYFUNCTION("CONCATENATE($B1069,(VLOOKUP($C1069,CATALOGOS!$F$2:$H$6,3,FALSE)),(VLOOKUP($V1069,CATALOGOS!$J$2:$K$18,2,FALSE)),""-"",TO_TEXT($A1069))"),"P02PP-1068")</f>
        <v>P02PP-1068</v>
      </c>
      <c r="I1069" s="36"/>
      <c r="J1069" s="36"/>
      <c r="K1069" s="37"/>
      <c r="L1069" s="37"/>
      <c r="M1069" s="81"/>
      <c r="N1069" s="108"/>
      <c r="O1069" s="108"/>
      <c r="P1069" s="108"/>
      <c r="Q1069" s="35" t="s">
        <v>6923</v>
      </c>
      <c r="R1069" s="10" t="s">
        <v>6924</v>
      </c>
      <c r="S1069" s="32" t="s">
        <v>6925</v>
      </c>
      <c r="T1069" s="202" t="s">
        <v>6926</v>
      </c>
      <c r="U1069" s="194" t="s">
        <v>38</v>
      </c>
      <c r="V1069" s="11" t="s">
        <v>1548</v>
      </c>
      <c r="W1069" s="20" t="s">
        <v>1983</v>
      </c>
      <c r="X1069" s="90"/>
      <c r="Y1069" s="90"/>
      <c r="Z1069" s="26"/>
      <c r="AA1069" s="26"/>
      <c r="AB1069" s="22" t="s">
        <v>7136</v>
      </c>
      <c r="AC1069" s="120">
        <v>45030</v>
      </c>
    </row>
    <row r="1070" spans="1:29" ht="15.75" customHeight="1">
      <c r="A1070" s="113">
        <v>1069</v>
      </c>
      <c r="B1070" s="94" t="s">
        <v>27</v>
      </c>
      <c r="C1070" s="94" t="s">
        <v>1470</v>
      </c>
      <c r="D1070" s="95"/>
      <c r="E1070" s="96" t="s">
        <v>6916</v>
      </c>
      <c r="F1070" s="114" t="s">
        <v>8469</v>
      </c>
      <c r="G1070" s="14" t="str">
        <f ca="1">IFERROR(__xludf.DUMMYFUNCTION("CONCATENATE(B1070,(VLOOKUP(C1070,CATALOGOS!$F$2:$H$6,3,FALSE)),(VLOOKUP(V1070,CATALOGOS!$J$2:$K$18,2,FALSE)),""-"",TO_TEXT(A1070))"),"P02PP-1069")</f>
        <v>P02PP-1069</v>
      </c>
      <c r="H1070" s="6" t="str">
        <f ca="1">IFERROR(__xludf.DUMMYFUNCTION("CONCATENATE($B1070,(VLOOKUP($C1070,CATALOGOS!$F$2:$H$6,3,FALSE)),(VLOOKUP($V1070,CATALOGOS!$J$2:$K$18,2,FALSE)),""-"",TO_TEXT($A1070))"),"P02PP-1069")</f>
        <v>P02PP-1069</v>
      </c>
      <c r="I1070" s="36"/>
      <c r="J1070" s="36"/>
      <c r="K1070" s="37"/>
      <c r="L1070" s="37"/>
      <c r="M1070" s="81"/>
      <c r="N1070" s="108"/>
      <c r="O1070" s="108"/>
      <c r="P1070" s="108"/>
      <c r="Q1070" s="35" t="s">
        <v>6918</v>
      </c>
      <c r="R1070" s="10" t="s">
        <v>6919</v>
      </c>
      <c r="S1070" s="10">
        <v>41480</v>
      </c>
      <c r="T1070" s="203" t="s">
        <v>8470</v>
      </c>
      <c r="U1070" s="194" t="s">
        <v>38</v>
      </c>
      <c r="V1070" s="11" t="s">
        <v>1548</v>
      </c>
      <c r="W1070" s="20" t="s">
        <v>1983</v>
      </c>
      <c r="X1070" s="90"/>
      <c r="Y1070" s="90"/>
      <c r="Z1070" s="26"/>
      <c r="AA1070" s="26"/>
      <c r="AB1070" s="22" t="s">
        <v>7136</v>
      </c>
      <c r="AC1070" s="120">
        <v>45030</v>
      </c>
    </row>
    <row r="1071" spans="1:29" ht="15.75" customHeight="1">
      <c r="A1071" s="113">
        <v>1070</v>
      </c>
      <c r="B1071" s="10" t="s">
        <v>27</v>
      </c>
      <c r="C1071" s="10" t="s">
        <v>1470</v>
      </c>
      <c r="D1071" s="12"/>
      <c r="E1071" s="13" t="s">
        <v>8418</v>
      </c>
      <c r="F1071" s="6" t="s">
        <v>8471</v>
      </c>
      <c r="G1071" s="14" t="str">
        <f ca="1">IFERROR(__xludf.DUMMYFUNCTION("CONCATENATE(B1071,(VLOOKUP(C1071,CATALOGOS!$F$2:$H$6,3,FALSE)),(VLOOKUP(V1071,CATALOGOS!$J$2:$K$18,2,FALSE)),""-"",TO_TEXT(A1071))"),"P02PP-1070")</f>
        <v>P02PP-1070</v>
      </c>
      <c r="H1071" s="6" t="str">
        <f ca="1">IFERROR(__xludf.DUMMYFUNCTION("CONCATENATE($B1071,(VLOOKUP($C1071,CATALOGOS!$F$2:$H$6,3,FALSE)),(VLOOKUP($V1071,CATALOGOS!$J$2:$K$18,2,FALSE)),""-"",TO_TEXT($A1071))"),"P02PP-1070")</f>
        <v>P02PP-1070</v>
      </c>
      <c r="I1071" s="36"/>
      <c r="J1071" s="36"/>
      <c r="K1071" s="37"/>
      <c r="L1071" s="37"/>
      <c r="M1071" s="81"/>
      <c r="N1071" s="108"/>
      <c r="O1071" s="108"/>
      <c r="P1071" s="108"/>
      <c r="Q1071" s="35" t="s">
        <v>6930</v>
      </c>
      <c r="R1071" s="10" t="s">
        <v>6931</v>
      </c>
      <c r="S1071" s="10" t="s">
        <v>90</v>
      </c>
      <c r="T1071" s="204" t="s">
        <v>8472</v>
      </c>
      <c r="U1071" s="194" t="s">
        <v>38</v>
      </c>
      <c r="V1071" s="11" t="s">
        <v>1548</v>
      </c>
      <c r="W1071" s="20" t="s">
        <v>1983</v>
      </c>
      <c r="X1071" s="90"/>
      <c r="Y1071" s="90"/>
      <c r="Z1071" s="26"/>
      <c r="AA1071" s="26"/>
      <c r="AB1071" s="22" t="s">
        <v>7136</v>
      </c>
      <c r="AC1071" s="120">
        <v>45030</v>
      </c>
    </row>
    <row r="1072" spans="1:29" ht="15.75" customHeight="1">
      <c r="A1072" s="113">
        <v>1071</v>
      </c>
      <c r="B1072" s="10" t="s">
        <v>1469</v>
      </c>
      <c r="C1072" s="10" t="s">
        <v>1470</v>
      </c>
      <c r="D1072" s="12"/>
      <c r="E1072" s="13" t="s">
        <v>7144</v>
      </c>
      <c r="F1072" s="6" t="s">
        <v>8473</v>
      </c>
      <c r="G1072" s="14" t="str">
        <f ca="1">IFERROR(__xludf.DUMMYFUNCTION("CONCATENATE(B1072,(VLOOKUP(C1072,CATALOGOS!$F$2:$H$6,3,FALSE)),(VLOOKUP(V1072,CATALOGOS!$J$2:$K$18,2,FALSE)),""-"",TO_TEXT(A1072))"),"P12SI-1071")</f>
        <v>P12SI-1071</v>
      </c>
      <c r="H1072" s="6" t="str">
        <f ca="1">IFERROR(__xludf.DUMMYFUNCTION("CONCATENATE($B1072,(VLOOKUP($C1072,CATALOGOS!$F$2:$H$6,3,FALSE)),(VLOOKUP($V1072,CATALOGOS!$J$2:$K$18,2,FALSE)),""-"",TO_TEXT($A1072))"),"P12SI-1071")</f>
        <v>P12SI-1071</v>
      </c>
      <c r="I1072" s="36"/>
      <c r="J1072" s="36"/>
      <c r="K1072" s="37"/>
      <c r="L1072" s="37"/>
      <c r="M1072" s="81"/>
      <c r="N1072" s="108"/>
      <c r="O1072" s="108"/>
      <c r="P1072" s="108"/>
      <c r="Q1072" s="35" t="s">
        <v>2866</v>
      </c>
      <c r="R1072" s="32" t="s">
        <v>8474</v>
      </c>
      <c r="S1072" s="32" t="s">
        <v>8475</v>
      </c>
      <c r="T1072" s="203" t="s">
        <v>7148</v>
      </c>
      <c r="U1072" s="194" t="s">
        <v>38</v>
      </c>
      <c r="V1072" s="11" t="s">
        <v>1483</v>
      </c>
      <c r="W1072" s="20" t="s">
        <v>1484</v>
      </c>
      <c r="X1072" s="90"/>
      <c r="Y1072" s="90"/>
      <c r="Z1072" s="26"/>
      <c r="AA1072" s="20" t="s">
        <v>7139</v>
      </c>
      <c r="AB1072" s="22" t="s">
        <v>7140</v>
      </c>
      <c r="AC1072" s="120">
        <v>45189</v>
      </c>
    </row>
    <row r="1073" spans="1:29" ht="15.75" customHeight="1">
      <c r="A1073" s="113">
        <v>1072</v>
      </c>
      <c r="B1073" s="10" t="s">
        <v>27</v>
      </c>
      <c r="C1073" s="10" t="s">
        <v>1470</v>
      </c>
      <c r="D1073" s="12"/>
      <c r="E1073" s="13" t="s">
        <v>43</v>
      </c>
      <c r="F1073" s="6" t="s">
        <v>7141</v>
      </c>
      <c r="G1073" s="14" t="str">
        <f ca="1">IFERROR(__xludf.DUMMYFUNCTION("CONCATENATE(B1073,(VLOOKUP(C1073,CATALOGOS!$F$2:$H$6,3,FALSE)),(VLOOKUP(V1073,CATALOGOS!$J$2:$K$18,2,FALSE)),""-"",TO_TEXT(A1073))"),"P02PP-1072")</f>
        <v>P02PP-1072</v>
      </c>
      <c r="H1073" s="6" t="str">
        <f ca="1">IFERROR(__xludf.DUMMYFUNCTION("CONCATENATE($B1073,(VLOOKUP($C1073,CATALOGOS!$F$2:$H$6,3,FALSE)),(VLOOKUP($V1073,CATALOGOS!$J$2:$K$18,2,FALSE)),""-"",TO_TEXT($A1073))"),"P02PP-1072")</f>
        <v>P02PP-1072</v>
      </c>
      <c r="I1073" s="36"/>
      <c r="J1073" s="36"/>
      <c r="K1073" s="37"/>
      <c r="L1073" s="37"/>
      <c r="M1073" s="81"/>
      <c r="N1073" s="108"/>
      <c r="O1073" s="108"/>
      <c r="P1073" s="108"/>
      <c r="Q1073" s="35" t="s">
        <v>5477</v>
      </c>
      <c r="R1073" s="10" t="s">
        <v>35</v>
      </c>
      <c r="S1073" s="10" t="s">
        <v>36</v>
      </c>
      <c r="T1073" s="203" t="s">
        <v>7142</v>
      </c>
      <c r="U1073" s="194" t="s">
        <v>38</v>
      </c>
      <c r="V1073" s="11" t="s">
        <v>1548</v>
      </c>
      <c r="W1073" s="20" t="s">
        <v>1983</v>
      </c>
      <c r="X1073" s="90"/>
      <c r="Y1073" s="90"/>
      <c r="Z1073" s="26"/>
      <c r="AA1073" s="26"/>
      <c r="AB1073" s="22" t="s">
        <v>7143</v>
      </c>
      <c r="AC1073" s="123">
        <v>45159</v>
      </c>
    </row>
    <row r="1074" spans="1:29" ht="15.75" customHeight="1">
      <c r="A1074" s="113">
        <v>1073</v>
      </c>
      <c r="B1074" s="10" t="s">
        <v>1469</v>
      </c>
      <c r="C1074" s="10" t="s">
        <v>1470</v>
      </c>
      <c r="D1074" s="12"/>
      <c r="E1074" s="13" t="s">
        <v>7144</v>
      </c>
      <c r="F1074" s="6" t="s">
        <v>7145</v>
      </c>
      <c r="G1074" s="14" t="str">
        <f ca="1">IFERROR(__xludf.DUMMYFUNCTION("CONCATENATE(B1074,(VLOOKUP(C1074,CATALOGOS!$F$2:$H$6,3,FALSE)),(VLOOKUP(V1074,CATALOGOS!$J$2:$K$18,2,FALSE)),""-"",TO_TEXT(A1074))"),"P12SI-1073")</f>
        <v>P12SI-1073</v>
      </c>
      <c r="H1074" s="6" t="str">
        <f ca="1">IFERROR(__xludf.DUMMYFUNCTION("CONCATENATE($B1074,(VLOOKUP($C1074,CATALOGOS!$F$2:$H$6,3,FALSE)),(VLOOKUP($V1074,CATALOGOS!$J$2:$K$18,2,FALSE)),""-"",TO_TEXT($A1074))"),"P12SI-1073")</f>
        <v>P12SI-1073</v>
      </c>
      <c r="I1074" s="36"/>
      <c r="J1074" s="36"/>
      <c r="K1074" s="37"/>
      <c r="L1074" s="37"/>
      <c r="M1074" s="81"/>
      <c r="N1074" s="108"/>
      <c r="O1074" s="108"/>
      <c r="P1074" s="108"/>
      <c r="Q1074" s="35" t="s">
        <v>2866</v>
      </c>
      <c r="R1074" s="10" t="s">
        <v>8474</v>
      </c>
      <c r="S1074" s="32" t="s">
        <v>8475</v>
      </c>
      <c r="T1074" s="203" t="s">
        <v>7148</v>
      </c>
      <c r="U1074" s="194" t="s">
        <v>38</v>
      </c>
      <c r="V1074" s="11" t="s">
        <v>1483</v>
      </c>
      <c r="W1074" s="20" t="s">
        <v>1484</v>
      </c>
      <c r="X1074" s="90"/>
      <c r="Y1074" s="90"/>
      <c r="Z1074" s="26"/>
      <c r="AA1074" s="26"/>
      <c r="AB1074" s="22" t="s">
        <v>7140</v>
      </c>
      <c r="AC1074" s="120">
        <v>45189</v>
      </c>
    </row>
    <row r="1075" spans="1:29" ht="15.75" customHeight="1">
      <c r="A1075" s="113">
        <v>1074</v>
      </c>
      <c r="B1075" s="10" t="s">
        <v>1469</v>
      </c>
      <c r="C1075" s="10" t="s">
        <v>1470</v>
      </c>
      <c r="D1075" s="12"/>
      <c r="E1075" s="13" t="s">
        <v>151</v>
      </c>
      <c r="F1075" s="6" t="s">
        <v>7149</v>
      </c>
      <c r="G1075" s="14" t="str">
        <f ca="1">IFERROR(__xludf.DUMMYFUNCTION("CONCATENATE(B1075,(VLOOKUP(C1075,CATALOGOS!$F$2:$H$6,3,FALSE)),(VLOOKUP(V1075,CATALOGOS!$J$2:$K$18,2,FALSE)),""-"",TO_TEXT(A1075))"),"P12PL-1074")</f>
        <v>P12PL-1074</v>
      </c>
      <c r="H1075" s="6" t="str">
        <f ca="1">IFERROR(__xludf.DUMMYFUNCTION("CONCATENATE($B1075,(VLOOKUP($C1075,CATALOGOS!$F$2:$H$6,3,FALSE)),(VLOOKUP($V1075,CATALOGOS!$J$2:$K$18,2,FALSE)),""-"",TO_TEXT($A1075))"),"P12PL-1074")</f>
        <v>P12PL-1074</v>
      </c>
      <c r="I1075" s="36"/>
      <c r="J1075" s="36"/>
      <c r="K1075" s="37"/>
      <c r="L1075" s="37"/>
      <c r="M1075" s="81"/>
      <c r="N1075" s="108"/>
      <c r="O1075" s="108"/>
      <c r="P1075" s="108"/>
      <c r="Q1075" s="35" t="s">
        <v>2748</v>
      </c>
      <c r="R1075" s="32" t="s">
        <v>8476</v>
      </c>
      <c r="S1075" s="32" t="s">
        <v>7150</v>
      </c>
      <c r="T1075" s="203" t="s">
        <v>7151</v>
      </c>
      <c r="U1075" s="194" t="s">
        <v>38</v>
      </c>
      <c r="V1075" s="11" t="s">
        <v>3091</v>
      </c>
      <c r="W1075" s="20" t="s">
        <v>3151</v>
      </c>
      <c r="X1075" s="90"/>
      <c r="Y1075" s="90"/>
      <c r="Z1075" s="26"/>
      <c r="AA1075" s="26"/>
      <c r="AB1075" s="22" t="s">
        <v>7152</v>
      </c>
      <c r="AC1075" s="120">
        <v>45054</v>
      </c>
    </row>
    <row r="1076" spans="1:29" ht="15.75" customHeight="1">
      <c r="A1076" s="113">
        <v>1075</v>
      </c>
      <c r="B1076" s="10" t="s">
        <v>1469</v>
      </c>
      <c r="C1076" s="10" t="s">
        <v>1470</v>
      </c>
      <c r="D1076" s="12"/>
      <c r="E1076" s="13" t="s">
        <v>199</v>
      </c>
      <c r="F1076" s="6" t="s">
        <v>7153</v>
      </c>
      <c r="G1076" s="14" t="str">
        <f ca="1">IFERROR(__xludf.DUMMYFUNCTION("CONCATENATE(B1076,(VLOOKUP(C1076,CATALOGOS!$F$2:$H$6,3,FALSE)),(VLOOKUP(V1076,CATALOGOS!$J$2:$K$18,2,FALSE)),""-"",TO_TEXT(A1076))"),"P12PL-1075")</f>
        <v>P12PL-1075</v>
      </c>
      <c r="H1076" s="6" t="str">
        <f ca="1">IFERROR(__xludf.DUMMYFUNCTION("CONCATENATE($B1076,(VLOOKUP($C1076,CATALOGOS!$F$2:$H$6,3,FALSE)),(VLOOKUP($V1076,CATALOGOS!$J$2:$K$18,2,FALSE)),""-"",TO_TEXT($A1076))"),"P12PL-1075")</f>
        <v>P12PL-1075</v>
      </c>
      <c r="I1076" s="36"/>
      <c r="J1076" s="36"/>
      <c r="K1076" s="37"/>
      <c r="L1076" s="37"/>
      <c r="M1076" s="81"/>
      <c r="N1076" s="108"/>
      <c r="O1076" s="108"/>
      <c r="P1076" s="108"/>
      <c r="Q1076" s="35" t="s">
        <v>2748</v>
      </c>
      <c r="R1076" s="32" t="s">
        <v>7154</v>
      </c>
      <c r="S1076" s="32" t="s">
        <v>7155</v>
      </c>
      <c r="T1076" s="203" t="s">
        <v>7156</v>
      </c>
      <c r="U1076" s="194" t="s">
        <v>38</v>
      </c>
      <c r="V1076" s="11" t="s">
        <v>3091</v>
      </c>
      <c r="W1076" s="20" t="s">
        <v>3151</v>
      </c>
      <c r="X1076" s="90"/>
      <c r="Y1076" s="90"/>
      <c r="Z1076" s="26"/>
      <c r="AA1076" s="26"/>
      <c r="AB1076" s="22" t="s">
        <v>7152</v>
      </c>
      <c r="AC1076" s="120">
        <v>45054</v>
      </c>
    </row>
    <row r="1077" spans="1:29" ht="15.75" customHeight="1">
      <c r="A1077" s="113">
        <v>1076</v>
      </c>
      <c r="B1077" s="10" t="s">
        <v>1469</v>
      </c>
      <c r="C1077" s="10" t="s">
        <v>1470</v>
      </c>
      <c r="D1077" s="12"/>
      <c r="E1077" s="13" t="s">
        <v>151</v>
      </c>
      <c r="F1077" s="6" t="s">
        <v>7149</v>
      </c>
      <c r="G1077" s="14" t="str">
        <f ca="1">IFERROR(__xludf.DUMMYFUNCTION("CONCATENATE(B1077,(VLOOKUP(C1077,CATALOGOS!$F$2:$H$6,3,FALSE)),(VLOOKUP(V1077,CATALOGOS!$J$2:$K$18,2,FALSE)),""-"",TO_TEXT(A1077))"),"P12ST-1076")</f>
        <v>P12ST-1076</v>
      </c>
      <c r="H1077" s="6" t="str">
        <f ca="1">IFERROR(__xludf.DUMMYFUNCTION("CONCATENATE($B1077,(VLOOKUP($C1077,CATALOGOS!$F$2:$H$6,3,FALSE)),(VLOOKUP($V1077,CATALOGOS!$J$2:$K$18,2,FALSE)),""-"",TO_TEXT($A1077))"),"P12ST-1076")</f>
        <v>P12ST-1076</v>
      </c>
      <c r="I1077" s="36"/>
      <c r="J1077" s="36"/>
      <c r="K1077" s="37"/>
      <c r="L1077" s="37"/>
      <c r="M1077" s="81"/>
      <c r="N1077" s="108"/>
      <c r="O1077" s="108"/>
      <c r="P1077" s="108"/>
      <c r="Q1077" s="35" t="s">
        <v>2748</v>
      </c>
      <c r="R1077" s="32" t="s">
        <v>8477</v>
      </c>
      <c r="S1077" s="32" t="s">
        <v>7157</v>
      </c>
      <c r="T1077" s="203" t="s">
        <v>7158</v>
      </c>
      <c r="U1077" s="194" t="s">
        <v>38</v>
      </c>
      <c r="V1077" s="11" t="s">
        <v>1470</v>
      </c>
      <c r="W1077" s="20" t="s">
        <v>1477</v>
      </c>
      <c r="X1077" s="90"/>
      <c r="Y1077" s="90"/>
      <c r="Z1077" s="26"/>
      <c r="AA1077" s="26"/>
      <c r="AB1077" s="22" t="s">
        <v>7152</v>
      </c>
      <c r="AC1077" s="120">
        <v>45054</v>
      </c>
    </row>
    <row r="1078" spans="1:29" ht="15.75" customHeight="1">
      <c r="A1078" s="113">
        <v>1077</v>
      </c>
      <c r="B1078" s="12"/>
      <c r="C1078" s="12"/>
      <c r="D1078" s="12"/>
      <c r="E1078" s="205"/>
      <c r="F1078" s="36"/>
      <c r="G1078" s="14" t="str">
        <f ca="1">IFERROR(__xludf.DUMMYFUNCTION("CONCATENATE(B1078,(VLOOKUP(C1078,CATALOGOS!$F$2:$H$6,3,FALSE)),(VLOOKUP(V1078,CATALOGOS!$J$2:$K$18,2,FALSE)),""-"",TO_TEXT(A1078))"),"#N/A")</f>
        <v>#N/A</v>
      </c>
      <c r="H1078" s="6" t="str">
        <f ca="1">IFERROR(__xludf.DUMMYFUNCTION("CONCATENATE($B1078,(VLOOKUP($C1078,CATALOGOS!$F$2:$H$6,3,FALSE)),(VLOOKUP($V1078,CATALOGOS!$J$2:$K$18,2,FALSE)),""-"",TO_TEXT($A1078))"),"#N/A")</f>
        <v>#N/A</v>
      </c>
      <c r="I1078" s="36"/>
      <c r="J1078" s="36"/>
      <c r="K1078" s="37"/>
      <c r="L1078" s="37"/>
      <c r="M1078" s="81"/>
      <c r="N1078" s="108"/>
      <c r="O1078" s="108"/>
      <c r="P1078" s="108"/>
      <c r="Q1078" s="108"/>
      <c r="R1078" s="37"/>
      <c r="S1078" s="37"/>
      <c r="T1078" s="62"/>
      <c r="U1078" s="90"/>
      <c r="V1078" s="136"/>
      <c r="W1078" s="90"/>
      <c r="X1078" s="90"/>
      <c r="Y1078" s="90"/>
      <c r="Z1078" s="26"/>
      <c r="AA1078" s="26"/>
      <c r="AB1078" s="26"/>
      <c r="AC1078" s="26"/>
    </row>
    <row r="1079" spans="1:29" ht="15.75" customHeight="1">
      <c r="A1079" s="113">
        <v>1078</v>
      </c>
      <c r="B1079" s="12"/>
      <c r="C1079" s="12"/>
      <c r="D1079" s="12"/>
      <c r="E1079" s="205"/>
      <c r="F1079" s="36"/>
      <c r="G1079" s="14" t="str">
        <f ca="1">IFERROR(__xludf.DUMMYFUNCTION("CONCATENATE(B1079,(VLOOKUP(C1079,CATALOGOS!$F$2:$H$6,3,FALSE)),(VLOOKUP(V1079,CATALOGOS!$J$2:$K$18,2,FALSE)),""-"",TO_TEXT(A1079))"),"#N/A")</f>
        <v>#N/A</v>
      </c>
      <c r="H1079" s="6" t="str">
        <f ca="1">IFERROR(__xludf.DUMMYFUNCTION("CONCATENATE($B1079,(VLOOKUP($C1079,CATALOGOS!$F$2:$H$6,3,FALSE)),(VLOOKUP($V1079,CATALOGOS!$J$2:$K$18,2,FALSE)),""-"",TO_TEXT($A1079))"),"#N/A")</f>
        <v>#N/A</v>
      </c>
      <c r="I1079" s="36"/>
      <c r="J1079" s="36"/>
      <c r="K1079" s="37"/>
      <c r="L1079" s="37"/>
      <c r="M1079" s="81"/>
      <c r="N1079" s="108"/>
      <c r="O1079" s="108"/>
      <c r="P1079" s="108"/>
      <c r="Q1079" s="108"/>
      <c r="R1079" s="37"/>
      <c r="S1079" s="37"/>
      <c r="T1079" s="62"/>
      <c r="U1079" s="90"/>
      <c r="V1079" s="136"/>
      <c r="W1079" s="90"/>
      <c r="X1079" s="90"/>
      <c r="Y1079" s="90"/>
      <c r="Z1079" s="26"/>
      <c r="AA1079" s="26"/>
      <c r="AB1079" s="26"/>
      <c r="AC1079" s="26"/>
    </row>
    <row r="1080" spans="1:29" ht="15.75" customHeight="1">
      <c r="A1080" s="113">
        <v>1079</v>
      </c>
      <c r="B1080" s="12"/>
      <c r="C1080" s="12"/>
      <c r="D1080" s="12"/>
      <c r="E1080" s="205"/>
      <c r="F1080" s="36"/>
      <c r="G1080" s="14" t="str">
        <f ca="1">IFERROR(__xludf.DUMMYFUNCTION("CONCATENATE(B1080,(VLOOKUP(C1080,CATALOGOS!$F$2:$H$6,3,FALSE)),(VLOOKUP(V1080,CATALOGOS!$J$2:$K$18,2,FALSE)),""-"",TO_TEXT(A1080))"),"#N/A")</f>
        <v>#N/A</v>
      </c>
      <c r="H1080" s="6" t="str">
        <f ca="1">IFERROR(__xludf.DUMMYFUNCTION("CONCATENATE($B1080,(VLOOKUP($C1080,CATALOGOS!$F$2:$H$6,3,FALSE)),(VLOOKUP($V1080,CATALOGOS!$J$2:$K$18,2,FALSE)),""-"",TO_TEXT($A1080))"),"#N/A")</f>
        <v>#N/A</v>
      </c>
      <c r="I1080" s="36"/>
      <c r="J1080" s="36"/>
      <c r="K1080" s="37"/>
      <c r="L1080" s="37"/>
      <c r="M1080" s="81"/>
      <c r="N1080" s="108"/>
      <c r="O1080" s="108"/>
      <c r="P1080" s="108"/>
      <c r="Q1080" s="108"/>
      <c r="R1080" s="37"/>
      <c r="S1080" s="37"/>
      <c r="T1080" s="62"/>
      <c r="U1080" s="90"/>
      <c r="V1080" s="136"/>
      <c r="W1080" s="90"/>
      <c r="X1080" s="90"/>
      <c r="Y1080" s="90"/>
      <c r="Z1080" s="26"/>
      <c r="AA1080" s="26"/>
      <c r="AB1080" s="26"/>
      <c r="AC1080" s="26"/>
    </row>
    <row r="1081" spans="1:29" ht="15.75" customHeight="1">
      <c r="A1081" s="113">
        <v>1080</v>
      </c>
      <c r="B1081" s="12"/>
      <c r="C1081" s="12"/>
      <c r="D1081" s="12"/>
      <c r="E1081" s="205"/>
      <c r="F1081" s="36"/>
      <c r="G1081" s="14" t="str">
        <f ca="1">IFERROR(__xludf.DUMMYFUNCTION("CONCATENATE(B1081,(VLOOKUP(C1081,CATALOGOS!$F$2:$H$6,3,FALSE)),(VLOOKUP(V1081,CATALOGOS!$J$2:$K$18,2,FALSE)),""-"",TO_TEXT(A1081))"),"#N/A")</f>
        <v>#N/A</v>
      </c>
      <c r="H1081" s="6" t="str">
        <f ca="1">IFERROR(__xludf.DUMMYFUNCTION("CONCATENATE($B1081,(VLOOKUP($C1081,CATALOGOS!$F$2:$H$6,3,FALSE)),(VLOOKUP($V1081,CATALOGOS!$J$2:$K$18,2,FALSE)),""-"",TO_TEXT($A1081))"),"#N/A")</f>
        <v>#N/A</v>
      </c>
      <c r="I1081" s="36"/>
      <c r="J1081" s="36"/>
      <c r="K1081" s="37"/>
      <c r="L1081" s="37"/>
      <c r="M1081" s="81"/>
      <c r="N1081" s="108"/>
      <c r="O1081" s="108"/>
      <c r="P1081" s="108"/>
      <c r="Q1081" s="108"/>
      <c r="R1081" s="37"/>
      <c r="S1081" s="37"/>
      <c r="T1081" s="62"/>
      <c r="U1081" s="90"/>
      <c r="V1081" s="136"/>
      <c r="W1081" s="90"/>
      <c r="X1081" s="90"/>
      <c r="Y1081" s="90"/>
      <c r="Z1081" s="26"/>
      <c r="AA1081" s="26"/>
      <c r="AB1081" s="26"/>
      <c r="AC1081" s="26"/>
    </row>
    <row r="1082" spans="1:29" ht="15.75" customHeight="1">
      <c r="A1082" s="113">
        <v>1081</v>
      </c>
      <c r="B1082" s="12"/>
      <c r="C1082" s="12"/>
      <c r="D1082" s="125"/>
      <c r="E1082" s="126"/>
      <c r="F1082" s="128"/>
      <c r="G1082" s="14" t="str">
        <f ca="1">IFERROR(__xludf.DUMMYFUNCTION("CONCATENATE(B1082,(VLOOKUP(C1082,CATALOGOS!$F$2:$H$6,3,FALSE)),(VLOOKUP(V1082,CATALOGOS!$J$2:$K$18,2,FALSE)),""-"",TO_TEXT(A1082))"),"#N/A")</f>
        <v>#N/A</v>
      </c>
      <c r="H1082" s="6" t="str">
        <f ca="1">IFERROR(__xludf.DUMMYFUNCTION("CONCATENATE($B1082,(VLOOKUP($C1082,CATALOGOS!$F$2:$H$6,3,FALSE)),(VLOOKUP($V1082,CATALOGOS!$J$2:$K$18,2,FALSE)),""-"",TO_TEXT($A1082))"),"#N/A")</f>
        <v>#N/A</v>
      </c>
      <c r="I1082" s="128"/>
      <c r="J1082" s="128"/>
      <c r="K1082" s="129"/>
      <c r="L1082" s="129"/>
      <c r="M1082" s="129"/>
      <c r="N1082" s="129"/>
      <c r="O1082" s="129"/>
      <c r="P1082" s="129"/>
      <c r="Q1082" s="129"/>
      <c r="R1082" s="132"/>
      <c r="S1082" s="132"/>
      <c r="T1082" s="135"/>
      <c r="U1082" s="132"/>
      <c r="V1082" s="129"/>
      <c r="W1082" s="132"/>
      <c r="X1082" s="132"/>
      <c r="Y1082" s="132"/>
      <c r="Z1082" s="26"/>
      <c r="AA1082" s="26"/>
    </row>
    <row r="1083" spans="1:29" ht="15.75" customHeight="1">
      <c r="A1083" s="113">
        <v>1082</v>
      </c>
      <c r="B1083" s="12"/>
      <c r="C1083" s="12"/>
      <c r="D1083" s="125"/>
      <c r="E1083" s="126"/>
      <c r="F1083" s="128"/>
      <c r="G1083" s="14" t="str">
        <f ca="1">IFERROR(__xludf.DUMMYFUNCTION("CONCATENATE(B1083,(VLOOKUP(C1083,CATALOGOS!$F$2:$H$6,3,FALSE)),(VLOOKUP(V1083,CATALOGOS!$J$2:$K$18,2,FALSE)),""-"",TO_TEXT(A1083))"),"#N/A")</f>
        <v>#N/A</v>
      </c>
      <c r="H1083" s="6" t="str">
        <f ca="1">IFERROR(__xludf.DUMMYFUNCTION("CONCATENATE($B1083,(VLOOKUP($C1083,CATALOGOS!$F$2:$H$6,3,FALSE)),(VLOOKUP($V1083,CATALOGOS!$J$2:$K$18,2,FALSE)),""-"",TO_TEXT($A1083))"),"#N/A")</f>
        <v>#N/A</v>
      </c>
      <c r="I1083" s="128"/>
      <c r="J1083" s="128"/>
      <c r="K1083" s="129"/>
      <c r="L1083" s="129"/>
      <c r="M1083" s="129"/>
      <c r="N1083" s="129"/>
      <c r="O1083" s="129"/>
      <c r="P1083" s="129"/>
      <c r="Q1083" s="129"/>
      <c r="R1083" s="132"/>
      <c r="S1083" s="132"/>
      <c r="T1083" s="135"/>
      <c r="U1083" s="132"/>
      <c r="V1083" s="129"/>
      <c r="W1083" s="132"/>
      <c r="X1083" s="132"/>
      <c r="Y1083" s="132"/>
      <c r="Z1083" s="26"/>
      <c r="AA1083" s="26"/>
    </row>
    <row r="1084" spans="1:29" ht="15.75" customHeight="1">
      <c r="A1084" s="113">
        <v>1083</v>
      </c>
      <c r="B1084" s="12"/>
      <c r="C1084" s="12"/>
      <c r="D1084" s="125"/>
      <c r="E1084" s="126"/>
      <c r="F1084" s="128"/>
      <c r="G1084" s="14" t="str">
        <f ca="1">IFERROR(__xludf.DUMMYFUNCTION("CONCATENATE(B1084,(VLOOKUP(C1084,CATALOGOS!$F$2:$H$6,3,FALSE)),(VLOOKUP(V1084,CATALOGOS!$J$2:$K$18,2,FALSE)),""-"",TO_TEXT(A1084))"),"#N/A")</f>
        <v>#N/A</v>
      </c>
      <c r="H1084" s="6" t="str">
        <f ca="1">IFERROR(__xludf.DUMMYFUNCTION("CONCATENATE($B1084,(VLOOKUP($C1084,CATALOGOS!$F$2:$H$6,3,FALSE)),(VLOOKUP($V1084,CATALOGOS!$J$2:$K$18,2,FALSE)),""-"",TO_TEXT($A1084))"),"#N/A")</f>
        <v>#N/A</v>
      </c>
      <c r="I1084" s="128"/>
      <c r="J1084" s="128"/>
      <c r="K1084" s="129"/>
      <c r="L1084" s="129"/>
      <c r="M1084" s="129"/>
      <c r="N1084" s="129"/>
      <c r="O1084" s="129"/>
      <c r="P1084" s="129"/>
      <c r="Q1084" s="129"/>
      <c r="R1084" s="132"/>
      <c r="S1084" s="132"/>
      <c r="T1084" s="135"/>
      <c r="U1084" s="132"/>
      <c r="V1084" s="129"/>
      <c r="W1084" s="132"/>
      <c r="X1084" s="132"/>
      <c r="Y1084" s="132"/>
      <c r="Z1084" s="26"/>
      <c r="AA1084" s="26"/>
    </row>
    <row r="1085" spans="1:29" ht="15.75" customHeight="1">
      <c r="A1085" s="113">
        <v>1084</v>
      </c>
      <c r="B1085" s="12"/>
      <c r="C1085" s="12"/>
      <c r="D1085" s="125"/>
      <c r="E1085" s="126"/>
      <c r="F1085" s="128"/>
      <c r="G1085" s="14" t="str">
        <f ca="1">IFERROR(__xludf.DUMMYFUNCTION("CONCATENATE(B1085,(VLOOKUP(C1085,CATALOGOS!$F$2:$H$6,3,FALSE)),(VLOOKUP(V1085,CATALOGOS!$J$2:$K$18,2,FALSE)),""-"",TO_TEXT(A1085))"),"#N/A")</f>
        <v>#N/A</v>
      </c>
      <c r="H1085" s="6" t="str">
        <f ca="1">IFERROR(__xludf.DUMMYFUNCTION("CONCATENATE($B1085,(VLOOKUP($C1085,CATALOGOS!$F$2:$H$6,3,FALSE)),(VLOOKUP($V1085,CATALOGOS!$J$2:$K$18,2,FALSE)),""-"",TO_TEXT($A1085))"),"#N/A")</f>
        <v>#N/A</v>
      </c>
      <c r="I1085" s="128"/>
      <c r="J1085" s="128"/>
      <c r="K1085" s="129"/>
      <c r="L1085" s="129"/>
      <c r="M1085" s="129"/>
      <c r="N1085" s="129"/>
      <c r="O1085" s="129"/>
      <c r="P1085" s="129"/>
      <c r="Q1085" s="129"/>
      <c r="R1085" s="132"/>
      <c r="S1085" s="132"/>
      <c r="T1085" s="135"/>
      <c r="U1085" s="132"/>
      <c r="V1085" s="129"/>
      <c r="W1085" s="132"/>
      <c r="X1085" s="132"/>
      <c r="Y1085" s="132"/>
      <c r="Z1085" s="26"/>
      <c r="AA1085" s="26"/>
    </row>
    <row r="1086" spans="1:29" ht="15.75" customHeight="1">
      <c r="A1086" s="113">
        <v>1085</v>
      </c>
      <c r="B1086" s="12"/>
      <c r="C1086" s="12"/>
      <c r="D1086" s="125"/>
      <c r="E1086" s="126"/>
      <c r="F1086" s="128"/>
      <c r="G1086" s="14" t="str">
        <f ca="1">IFERROR(__xludf.DUMMYFUNCTION("CONCATENATE(B1086,(VLOOKUP(C1086,CATALOGOS!$F$2:$H$6,3,FALSE)),(VLOOKUP(V1086,CATALOGOS!$J$2:$K$18,2,FALSE)),""-"",TO_TEXT(A1086))"),"#N/A")</f>
        <v>#N/A</v>
      </c>
      <c r="H1086" s="6" t="str">
        <f ca="1">IFERROR(__xludf.DUMMYFUNCTION("CONCATENATE($B1086,(VLOOKUP($C1086,CATALOGOS!$F$2:$H$6,3,FALSE)),(VLOOKUP($V1086,CATALOGOS!$J$2:$K$18,2,FALSE)),""-"",TO_TEXT($A1086))"),"#N/A")</f>
        <v>#N/A</v>
      </c>
      <c r="I1086" s="128"/>
      <c r="J1086" s="128"/>
      <c r="K1086" s="129"/>
      <c r="L1086" s="129"/>
      <c r="M1086" s="129"/>
      <c r="N1086" s="129"/>
      <c r="O1086" s="129"/>
      <c r="P1086" s="129"/>
      <c r="Q1086" s="129"/>
      <c r="R1086" s="132"/>
      <c r="S1086" s="132"/>
      <c r="T1086" s="135"/>
      <c r="U1086" s="132"/>
      <c r="V1086" s="129"/>
      <c r="W1086" s="132"/>
      <c r="X1086" s="132"/>
      <c r="Y1086" s="132"/>
      <c r="Z1086" s="26"/>
      <c r="AA1086" s="26"/>
    </row>
    <row r="1087" spans="1:29" ht="15.75" customHeight="1">
      <c r="A1087" s="113">
        <v>1086</v>
      </c>
      <c r="B1087" s="12"/>
      <c r="C1087" s="12"/>
      <c r="D1087" s="125"/>
      <c r="E1087" s="126"/>
      <c r="F1087" s="128"/>
      <c r="G1087" s="14" t="str">
        <f ca="1">IFERROR(__xludf.DUMMYFUNCTION("CONCATENATE(B1087,(VLOOKUP(C1087,CATALOGOS!$F$2:$H$6,3,FALSE)),(VLOOKUP(V1087,CATALOGOS!$J$2:$K$18,2,FALSE)),""-"",TO_TEXT(A1087))"),"#N/A")</f>
        <v>#N/A</v>
      </c>
      <c r="H1087" s="6" t="str">
        <f ca="1">IFERROR(__xludf.DUMMYFUNCTION("CONCATENATE($B1087,(VLOOKUP($C1087,CATALOGOS!$F$2:$H$6,3,FALSE)),(VLOOKUP($V1087,CATALOGOS!$J$2:$K$18,2,FALSE)),""-"",TO_TEXT($A1087))"),"#N/A")</f>
        <v>#N/A</v>
      </c>
      <c r="I1087" s="128"/>
      <c r="J1087" s="128"/>
      <c r="K1087" s="129"/>
      <c r="L1087" s="129"/>
      <c r="M1087" s="129"/>
      <c r="N1087" s="129"/>
      <c r="O1087" s="129"/>
      <c r="P1087" s="129"/>
      <c r="Q1087" s="129"/>
      <c r="R1087" s="132"/>
      <c r="S1087" s="132"/>
      <c r="T1087" s="135"/>
      <c r="U1087" s="132"/>
      <c r="V1087" s="129"/>
      <c r="W1087" s="132"/>
      <c r="X1087" s="132"/>
      <c r="Y1087" s="132"/>
      <c r="Z1087" s="26"/>
      <c r="AA1087" s="26"/>
    </row>
    <row r="1088" spans="1:29" ht="15.75" customHeight="1">
      <c r="A1088" s="113">
        <v>1087</v>
      </c>
      <c r="B1088" s="12"/>
      <c r="C1088" s="12"/>
      <c r="D1088" s="125"/>
      <c r="E1088" s="126"/>
      <c r="F1088" s="128"/>
      <c r="G1088" s="14" t="str">
        <f ca="1">IFERROR(__xludf.DUMMYFUNCTION("CONCATENATE(B1088,(VLOOKUP(C1088,CATALOGOS!$F$2:$H$6,3,FALSE)),(VLOOKUP(V1088,CATALOGOS!$J$2:$K$18,2,FALSE)),""-"",TO_TEXT(A1088))"),"#N/A")</f>
        <v>#N/A</v>
      </c>
      <c r="H1088" s="6" t="str">
        <f ca="1">IFERROR(__xludf.DUMMYFUNCTION("CONCATENATE($B1088,(VLOOKUP($C1088,CATALOGOS!$F$2:$H$6,3,FALSE)),(VLOOKUP($V1088,CATALOGOS!$J$2:$K$18,2,FALSE)),""-"",TO_TEXT($A1088))"),"#N/A")</f>
        <v>#N/A</v>
      </c>
      <c r="I1088" s="128"/>
      <c r="J1088" s="128"/>
      <c r="K1088" s="129"/>
      <c r="L1088" s="129"/>
      <c r="M1088" s="129"/>
      <c r="N1088" s="129"/>
      <c r="O1088" s="129"/>
      <c r="P1088" s="129"/>
      <c r="Q1088" s="129"/>
      <c r="R1088" s="132"/>
      <c r="S1088" s="132"/>
      <c r="T1088" s="135"/>
      <c r="U1088" s="132"/>
      <c r="V1088" s="129"/>
      <c r="W1088" s="132"/>
      <c r="X1088" s="132"/>
      <c r="Y1088" s="132"/>
      <c r="Z1088" s="26"/>
      <c r="AA1088" s="26"/>
    </row>
    <row r="1089" spans="1:27" ht="15.75" customHeight="1">
      <c r="A1089" s="113">
        <v>1088</v>
      </c>
      <c r="B1089" s="12"/>
      <c r="C1089" s="12"/>
      <c r="D1089" s="125"/>
      <c r="E1089" s="126"/>
      <c r="F1089" s="128"/>
      <c r="G1089" s="14" t="str">
        <f ca="1">IFERROR(__xludf.DUMMYFUNCTION("CONCATENATE(B1089,(VLOOKUP(C1089,CATALOGOS!$F$2:$H$6,3,FALSE)),(VLOOKUP(V1089,CATALOGOS!$J$2:$K$18,2,FALSE)),""-"",TO_TEXT(A1089))"),"#N/A")</f>
        <v>#N/A</v>
      </c>
      <c r="H1089" s="6" t="str">
        <f ca="1">IFERROR(__xludf.DUMMYFUNCTION("CONCATENATE($B1089,(VLOOKUP($C1089,CATALOGOS!$F$2:$H$6,3,FALSE)),(VLOOKUP($V1089,CATALOGOS!$J$2:$K$18,2,FALSE)),""-"",TO_TEXT($A1089))"),"#N/A")</f>
        <v>#N/A</v>
      </c>
      <c r="I1089" s="128"/>
      <c r="J1089" s="128"/>
      <c r="K1089" s="129"/>
      <c r="L1089" s="129"/>
      <c r="M1089" s="129"/>
      <c r="N1089" s="129"/>
      <c r="O1089" s="129"/>
      <c r="P1089" s="129"/>
      <c r="Q1089" s="129"/>
      <c r="R1089" s="132"/>
      <c r="S1089" s="132"/>
      <c r="T1089" s="135"/>
      <c r="U1089" s="132"/>
      <c r="V1089" s="129"/>
      <c r="W1089" s="132"/>
      <c r="X1089" s="132"/>
      <c r="Y1089" s="132"/>
      <c r="Z1089" s="26"/>
      <c r="AA1089" s="26"/>
    </row>
    <row r="1090" spans="1:27" ht="15.75" customHeight="1">
      <c r="A1090" s="113">
        <v>1089</v>
      </c>
      <c r="B1090" s="12"/>
      <c r="C1090" s="12"/>
      <c r="D1090" s="125"/>
      <c r="E1090" s="126"/>
      <c r="F1090" s="128"/>
      <c r="G1090" s="14" t="str">
        <f ca="1">IFERROR(__xludf.DUMMYFUNCTION("CONCATENATE(B1090,(VLOOKUP(C1090,CATALOGOS!$F$2:$H$6,3,FALSE)),(VLOOKUP(V1090,CATALOGOS!$J$2:$K$18,2,FALSE)),""-"",TO_TEXT(A1090))"),"#N/A")</f>
        <v>#N/A</v>
      </c>
      <c r="H1090" s="6" t="str">
        <f ca="1">IFERROR(__xludf.DUMMYFUNCTION("CONCATENATE($B1090,(VLOOKUP($C1090,CATALOGOS!$F$2:$H$6,3,FALSE)),(VLOOKUP($V1090,CATALOGOS!$J$2:$K$18,2,FALSE)),""-"",TO_TEXT($A1090))"),"#N/A")</f>
        <v>#N/A</v>
      </c>
      <c r="I1090" s="128"/>
      <c r="J1090" s="128"/>
      <c r="K1090" s="129"/>
      <c r="L1090" s="129"/>
      <c r="M1090" s="129"/>
      <c r="N1090" s="129"/>
      <c r="O1090" s="129"/>
      <c r="P1090" s="129"/>
      <c r="Q1090" s="129"/>
      <c r="R1090" s="132"/>
      <c r="S1090" s="132"/>
      <c r="T1090" s="135"/>
      <c r="U1090" s="132"/>
      <c r="V1090" s="129"/>
      <c r="W1090" s="132"/>
      <c r="X1090" s="132"/>
      <c r="Y1090" s="132"/>
      <c r="Z1090" s="26"/>
      <c r="AA1090" s="26"/>
    </row>
    <row r="1091" spans="1:27" ht="15.75" customHeight="1">
      <c r="A1091" s="113">
        <v>1090</v>
      </c>
      <c r="B1091" s="12"/>
      <c r="C1091" s="12"/>
      <c r="D1091" s="125"/>
      <c r="E1091" s="126"/>
      <c r="F1091" s="128"/>
      <c r="G1091" s="14" t="str">
        <f ca="1">IFERROR(__xludf.DUMMYFUNCTION("CONCATENATE(B1091,(VLOOKUP(C1091,CATALOGOS!$F$2:$H$6,3,FALSE)),(VLOOKUP(V1091,CATALOGOS!$J$2:$K$18,2,FALSE)),""-"",TO_TEXT(A1091))"),"#N/A")</f>
        <v>#N/A</v>
      </c>
      <c r="H1091" s="6" t="str">
        <f ca="1">IFERROR(__xludf.DUMMYFUNCTION("CONCATENATE($B1091,(VLOOKUP($C1091,CATALOGOS!$F$2:$H$6,3,FALSE)),(VLOOKUP($V1091,CATALOGOS!$J$2:$K$18,2,FALSE)),""-"",TO_TEXT($A1091))"),"#N/A")</f>
        <v>#N/A</v>
      </c>
      <c r="I1091" s="128"/>
      <c r="J1091" s="128"/>
      <c r="K1091" s="129"/>
      <c r="L1091" s="129"/>
      <c r="M1091" s="129"/>
      <c r="N1091" s="129"/>
      <c r="O1091" s="129"/>
      <c r="P1091" s="129"/>
      <c r="Q1091" s="129"/>
      <c r="R1091" s="132"/>
      <c r="S1091" s="132"/>
      <c r="T1091" s="135"/>
      <c r="U1091" s="132"/>
      <c r="V1091" s="129"/>
      <c r="W1091" s="132"/>
      <c r="X1091" s="132"/>
      <c r="Y1091" s="132"/>
      <c r="Z1091" s="26"/>
      <c r="AA1091" s="26"/>
    </row>
    <row r="1092" spans="1:27" ht="15.75" customHeight="1">
      <c r="A1092" s="113">
        <v>1091</v>
      </c>
      <c r="B1092" s="12"/>
      <c r="C1092" s="12"/>
      <c r="D1092" s="125"/>
      <c r="E1092" s="126"/>
      <c r="F1092" s="128"/>
      <c r="G1092" s="14" t="str">
        <f ca="1">IFERROR(__xludf.DUMMYFUNCTION("CONCATENATE(B1092,(VLOOKUP(C1092,CATALOGOS!$F$2:$H$6,3,FALSE)),(VLOOKUP(V1092,CATALOGOS!$J$2:$K$18,2,FALSE)),""-"",TO_TEXT(A1092))"),"#N/A")</f>
        <v>#N/A</v>
      </c>
      <c r="H1092" s="6" t="str">
        <f ca="1">IFERROR(__xludf.DUMMYFUNCTION("CONCATENATE($B1092,(VLOOKUP($C1092,CATALOGOS!$F$2:$H$6,3,FALSE)),(VLOOKUP($V1092,CATALOGOS!$J$2:$K$18,2,FALSE)),""-"",TO_TEXT($A1092))"),"#N/A")</f>
        <v>#N/A</v>
      </c>
      <c r="I1092" s="128"/>
      <c r="J1092" s="128"/>
      <c r="K1092" s="129"/>
      <c r="L1092" s="129"/>
      <c r="M1092" s="129"/>
      <c r="N1092" s="129"/>
      <c r="O1092" s="129"/>
      <c r="P1092" s="129"/>
      <c r="Q1092" s="129"/>
      <c r="R1092" s="132"/>
      <c r="S1092" s="132"/>
      <c r="T1092" s="135"/>
      <c r="U1092" s="132"/>
      <c r="V1092" s="129"/>
      <c r="W1092" s="132"/>
      <c r="X1092" s="132"/>
      <c r="Y1092" s="132"/>
    </row>
    <row r="1093" spans="1:27" ht="15.75" customHeight="1">
      <c r="A1093" s="113">
        <v>1092</v>
      </c>
      <c r="B1093" s="12"/>
      <c r="C1093" s="12"/>
      <c r="D1093" s="125"/>
      <c r="E1093" s="126"/>
      <c r="F1093" s="128"/>
      <c r="G1093" s="14" t="str">
        <f ca="1">IFERROR(__xludf.DUMMYFUNCTION("CONCATENATE(B1093,(VLOOKUP(C1093,CATALOGOS!$F$2:$H$6,3,FALSE)),(VLOOKUP(V1093,CATALOGOS!$J$2:$K$18,2,FALSE)),""-"",TO_TEXT(A1093))"),"#N/A")</f>
        <v>#N/A</v>
      </c>
      <c r="H1093" s="6" t="str">
        <f ca="1">IFERROR(__xludf.DUMMYFUNCTION("CONCATENATE($B1093,(VLOOKUP($C1093,CATALOGOS!$F$2:$H$6,3,FALSE)),(VLOOKUP($V1093,CATALOGOS!$J$2:$K$18,2,FALSE)),""-"",TO_TEXT($A1093))"),"#N/A")</f>
        <v>#N/A</v>
      </c>
      <c r="I1093" s="128"/>
      <c r="J1093" s="128"/>
      <c r="K1093" s="129"/>
      <c r="L1093" s="129"/>
      <c r="M1093" s="129"/>
      <c r="N1093" s="129"/>
      <c r="O1093" s="129"/>
      <c r="P1093" s="129"/>
      <c r="Q1093" s="129"/>
      <c r="R1093" s="132"/>
      <c r="S1093" s="132"/>
      <c r="T1093" s="135"/>
      <c r="U1093" s="132"/>
      <c r="V1093" s="129"/>
      <c r="W1093" s="132"/>
      <c r="X1093" s="132"/>
      <c r="Y1093" s="132"/>
    </row>
    <row r="1094" spans="1:27" ht="15.75" customHeight="1">
      <c r="A1094" s="113">
        <v>1093</v>
      </c>
      <c r="B1094" s="12"/>
      <c r="C1094" s="12"/>
      <c r="D1094" s="125"/>
      <c r="E1094" s="126"/>
      <c r="F1094" s="128"/>
      <c r="G1094" s="14" t="str">
        <f ca="1">IFERROR(__xludf.DUMMYFUNCTION("CONCATENATE(B1094,(VLOOKUP(C1094,CATALOGOS!$F$2:$H$6,3,FALSE)),(VLOOKUP(V1094,CATALOGOS!$J$2:$K$18,2,FALSE)),""-"",TO_TEXT(A1094))"),"#N/A")</f>
        <v>#N/A</v>
      </c>
      <c r="H1094" s="6" t="str">
        <f ca="1">IFERROR(__xludf.DUMMYFUNCTION("CONCATENATE($B1094,(VLOOKUP($C1094,CATALOGOS!$F$2:$H$6,3,FALSE)),(VLOOKUP($V1094,CATALOGOS!$J$2:$K$18,2,FALSE)),""-"",TO_TEXT($A1094))"),"#N/A")</f>
        <v>#N/A</v>
      </c>
      <c r="I1094" s="128"/>
      <c r="J1094" s="128"/>
      <c r="K1094" s="129"/>
      <c r="L1094" s="129"/>
      <c r="M1094" s="129"/>
      <c r="N1094" s="129"/>
      <c r="O1094" s="129"/>
      <c r="P1094" s="129"/>
      <c r="Q1094" s="129"/>
      <c r="R1094" s="132"/>
      <c r="S1094" s="132"/>
      <c r="T1094" s="135"/>
      <c r="U1094" s="132"/>
      <c r="V1094" s="129"/>
      <c r="W1094" s="132"/>
      <c r="X1094" s="132"/>
      <c r="Y1094" s="132"/>
    </row>
    <row r="1095" spans="1:27" ht="15.75" customHeight="1">
      <c r="A1095" s="113">
        <v>1094</v>
      </c>
      <c r="B1095" s="12"/>
      <c r="C1095" s="12"/>
      <c r="D1095" s="125"/>
      <c r="E1095" s="126"/>
      <c r="F1095" s="128"/>
      <c r="G1095" s="14" t="str">
        <f ca="1">IFERROR(__xludf.DUMMYFUNCTION("CONCATENATE(B1095,(VLOOKUP(C1095,CATALOGOS!$F$2:$H$6,3,FALSE)),(VLOOKUP(V1095,CATALOGOS!$J$2:$K$18,2,FALSE)),""-"",TO_TEXT(A1095))"),"#N/A")</f>
        <v>#N/A</v>
      </c>
      <c r="H1095" s="6" t="str">
        <f ca="1">IFERROR(__xludf.DUMMYFUNCTION("CONCATENATE($B1095,(VLOOKUP($C1095,CATALOGOS!$F$2:$H$6,3,FALSE)),(VLOOKUP($V1095,CATALOGOS!$J$2:$K$18,2,FALSE)),""-"",TO_TEXT($A1095))"),"#N/A")</f>
        <v>#N/A</v>
      </c>
      <c r="I1095" s="128"/>
      <c r="J1095" s="128"/>
      <c r="K1095" s="129"/>
      <c r="L1095" s="129"/>
      <c r="M1095" s="129"/>
      <c r="N1095" s="129"/>
      <c r="O1095" s="129"/>
      <c r="P1095" s="129"/>
      <c r="Q1095" s="129"/>
      <c r="R1095" s="132"/>
      <c r="S1095" s="132"/>
      <c r="T1095" s="135"/>
      <c r="U1095" s="132"/>
      <c r="V1095" s="129"/>
      <c r="W1095" s="132"/>
      <c r="X1095" s="132"/>
      <c r="Y1095" s="132"/>
    </row>
    <row r="1096" spans="1:27" ht="15.75" customHeight="1">
      <c r="A1096" s="113">
        <v>1095</v>
      </c>
      <c r="B1096" s="12"/>
      <c r="C1096" s="12"/>
      <c r="D1096" s="125"/>
      <c r="E1096" s="126"/>
      <c r="F1096" s="128"/>
      <c r="G1096" s="14" t="str">
        <f ca="1">IFERROR(__xludf.DUMMYFUNCTION("CONCATENATE(B1096,(VLOOKUP(C1096,CATALOGOS!$F$2:$H$6,3,FALSE)),(VLOOKUP(V1096,CATALOGOS!$J$2:$K$18,2,FALSE)),""-"",TO_TEXT(A1096))"),"#N/A")</f>
        <v>#N/A</v>
      </c>
      <c r="H1096" s="6" t="str">
        <f ca="1">IFERROR(__xludf.DUMMYFUNCTION("CONCATENATE($B1096,(VLOOKUP($C1096,CATALOGOS!$F$2:$H$6,3,FALSE)),(VLOOKUP($V1096,CATALOGOS!$J$2:$K$18,2,FALSE)),""-"",TO_TEXT($A1096))"),"#N/A")</f>
        <v>#N/A</v>
      </c>
      <c r="I1096" s="128"/>
      <c r="J1096" s="128"/>
      <c r="K1096" s="129"/>
      <c r="L1096" s="129"/>
      <c r="M1096" s="129"/>
      <c r="N1096" s="129"/>
      <c r="O1096" s="129"/>
      <c r="P1096" s="129"/>
      <c r="Q1096" s="129"/>
      <c r="R1096" s="132"/>
      <c r="S1096" s="132"/>
      <c r="T1096" s="135"/>
      <c r="U1096" s="132"/>
      <c r="V1096" s="129"/>
      <c r="W1096" s="132"/>
      <c r="X1096" s="132"/>
      <c r="Y1096" s="132"/>
    </row>
    <row r="1097" spans="1:27" ht="15.75" customHeight="1">
      <c r="A1097" s="113">
        <v>1096</v>
      </c>
      <c r="B1097" s="12"/>
      <c r="C1097" s="12"/>
      <c r="D1097" s="125"/>
      <c r="E1097" s="126"/>
      <c r="F1097" s="128"/>
      <c r="G1097" s="14" t="str">
        <f ca="1">IFERROR(__xludf.DUMMYFUNCTION("CONCATENATE(B1097,(VLOOKUP(C1097,CATALOGOS!$F$2:$H$6,3,FALSE)),(VLOOKUP(V1097,CATALOGOS!$J$2:$K$18,2,FALSE)),""-"",TO_TEXT(A1097))"),"#N/A")</f>
        <v>#N/A</v>
      </c>
      <c r="H1097" s="6" t="str">
        <f ca="1">IFERROR(__xludf.DUMMYFUNCTION("CONCATENATE($B1097,(VLOOKUP($C1097,CATALOGOS!$F$2:$H$6,3,FALSE)),(VLOOKUP($V1097,CATALOGOS!$J$2:$K$18,2,FALSE)),""-"",TO_TEXT($A1097))"),"#N/A")</f>
        <v>#N/A</v>
      </c>
      <c r="I1097" s="128"/>
      <c r="J1097" s="128"/>
      <c r="K1097" s="129"/>
      <c r="L1097" s="129"/>
      <c r="M1097" s="129"/>
      <c r="N1097" s="129"/>
      <c r="O1097" s="129"/>
      <c r="P1097" s="129"/>
      <c r="Q1097" s="129"/>
      <c r="R1097" s="132"/>
      <c r="S1097" s="132"/>
      <c r="T1097" s="135"/>
      <c r="U1097" s="132"/>
      <c r="V1097" s="129"/>
      <c r="W1097" s="132"/>
      <c r="X1097" s="132"/>
      <c r="Y1097" s="132"/>
    </row>
    <row r="1098" spans="1:27" ht="15.75" customHeight="1">
      <c r="A1098" s="113">
        <v>1097</v>
      </c>
      <c r="B1098" s="12"/>
      <c r="C1098" s="12"/>
      <c r="D1098" s="125"/>
      <c r="E1098" s="126"/>
      <c r="F1098" s="128"/>
      <c r="G1098" s="14" t="str">
        <f ca="1">IFERROR(__xludf.DUMMYFUNCTION("CONCATENATE(B1098,(VLOOKUP(C1098,CATALOGOS!$F$2:$H$6,3,FALSE)),(VLOOKUP(V1098,CATALOGOS!$J$2:$K$18,2,FALSE)),""-"",TO_TEXT(A1098))"),"#N/A")</f>
        <v>#N/A</v>
      </c>
      <c r="H1098" s="6" t="str">
        <f ca="1">IFERROR(__xludf.DUMMYFUNCTION("CONCATENATE($B1098,(VLOOKUP($C1098,CATALOGOS!$F$2:$H$6,3,FALSE)),(VLOOKUP($V1098,CATALOGOS!$J$2:$K$18,2,FALSE)),""-"",TO_TEXT($A1098))"),"#N/A")</f>
        <v>#N/A</v>
      </c>
      <c r="I1098" s="128"/>
      <c r="J1098" s="128"/>
      <c r="K1098" s="129"/>
      <c r="L1098" s="129"/>
      <c r="M1098" s="129"/>
      <c r="N1098" s="129"/>
      <c r="O1098" s="129"/>
      <c r="P1098" s="129"/>
      <c r="Q1098" s="129"/>
      <c r="R1098" s="132"/>
      <c r="S1098" s="132"/>
      <c r="T1098" s="135"/>
      <c r="U1098" s="132"/>
      <c r="V1098" s="129"/>
      <c r="W1098" s="132"/>
      <c r="X1098" s="132"/>
      <c r="Y1098" s="132"/>
    </row>
    <row r="1099" spans="1:27" ht="15.75" customHeight="1">
      <c r="A1099" s="113">
        <v>1098</v>
      </c>
      <c r="B1099" s="12"/>
      <c r="C1099" s="12"/>
      <c r="D1099" s="125"/>
      <c r="E1099" s="126"/>
      <c r="F1099" s="128"/>
      <c r="G1099" s="14" t="str">
        <f ca="1">IFERROR(__xludf.DUMMYFUNCTION("CONCATENATE(B1099,(VLOOKUP(C1099,CATALOGOS!$F$2:$H$6,3,FALSE)),(VLOOKUP(V1099,CATALOGOS!$J$2:$K$18,2,FALSE)),""-"",TO_TEXT(A1099))"),"#N/A")</f>
        <v>#N/A</v>
      </c>
      <c r="H1099" s="6" t="str">
        <f ca="1">IFERROR(__xludf.DUMMYFUNCTION("CONCATENATE($B1099,(VLOOKUP($C1099,CATALOGOS!$F$2:$H$6,3,FALSE)),(VLOOKUP($V1099,CATALOGOS!$J$2:$K$18,2,FALSE)),""-"",TO_TEXT($A1099))"),"#N/A")</f>
        <v>#N/A</v>
      </c>
      <c r="I1099" s="128"/>
      <c r="J1099" s="128"/>
      <c r="K1099" s="129"/>
      <c r="L1099" s="129"/>
      <c r="M1099" s="129"/>
      <c r="N1099" s="129"/>
      <c r="O1099" s="129"/>
      <c r="P1099" s="129"/>
      <c r="Q1099" s="129"/>
      <c r="R1099" s="132"/>
      <c r="S1099" s="132"/>
      <c r="T1099" s="135"/>
      <c r="U1099" s="132"/>
      <c r="V1099" s="129"/>
      <c r="W1099" s="132"/>
      <c r="X1099" s="132"/>
      <c r="Y1099" s="132"/>
    </row>
    <row r="1100" spans="1:27" ht="15.75" customHeight="1">
      <c r="A1100" s="113">
        <v>1099</v>
      </c>
      <c r="B1100" s="12"/>
      <c r="C1100" s="12"/>
      <c r="D1100" s="125"/>
      <c r="E1100" s="126"/>
      <c r="F1100" s="128"/>
      <c r="G1100" s="14" t="str">
        <f ca="1">IFERROR(__xludf.DUMMYFUNCTION("CONCATENATE(B1100,(VLOOKUP(C1100,CATALOGOS!$F$2:$H$6,3,FALSE)),(VLOOKUP(V1100,CATALOGOS!$J$2:$K$18,2,FALSE)),""-"",TO_TEXT(A1100))"),"#N/A")</f>
        <v>#N/A</v>
      </c>
      <c r="H1100" s="6" t="str">
        <f ca="1">IFERROR(__xludf.DUMMYFUNCTION("CONCATENATE($B1100,(VLOOKUP($C1100,CATALOGOS!$F$2:$H$6,3,FALSE)),(VLOOKUP($V1100,CATALOGOS!$J$2:$K$18,2,FALSE)),""-"",TO_TEXT($A1100))"),"#N/A")</f>
        <v>#N/A</v>
      </c>
      <c r="I1100" s="128"/>
      <c r="J1100" s="128"/>
      <c r="K1100" s="129"/>
      <c r="L1100" s="129"/>
      <c r="M1100" s="129"/>
      <c r="N1100" s="129"/>
      <c r="O1100" s="129"/>
      <c r="P1100" s="129"/>
      <c r="Q1100" s="129"/>
      <c r="R1100" s="132"/>
      <c r="S1100" s="132"/>
      <c r="T1100" s="135"/>
      <c r="U1100" s="132"/>
      <c r="V1100" s="129"/>
      <c r="W1100" s="132"/>
      <c r="X1100" s="132"/>
      <c r="Y1100" s="132"/>
    </row>
    <row r="1101" spans="1:27" ht="15.75" customHeight="1">
      <c r="A1101" s="113">
        <v>1100</v>
      </c>
      <c r="B1101" s="12"/>
      <c r="C1101" s="12"/>
      <c r="D1101" s="125"/>
      <c r="E1101" s="126"/>
      <c r="F1101" s="128"/>
      <c r="G1101" s="14" t="str">
        <f ca="1">IFERROR(__xludf.DUMMYFUNCTION("CONCATENATE(B1101,(VLOOKUP(C1101,CATALOGOS!$F$2:$H$6,3,FALSE)),(VLOOKUP(V1101,CATALOGOS!$J$2:$K$18,2,FALSE)),""-"",TO_TEXT(A1101))"),"#N/A")</f>
        <v>#N/A</v>
      </c>
      <c r="H1101" s="6" t="str">
        <f ca="1">IFERROR(__xludf.DUMMYFUNCTION("CONCATENATE($B1101,(VLOOKUP($C1101,CATALOGOS!$F$2:$H$6,3,FALSE)),(VLOOKUP($V1101,CATALOGOS!$J$2:$K$18,2,FALSE)),""-"",TO_TEXT($A1101))"),"#N/A")</f>
        <v>#N/A</v>
      </c>
      <c r="I1101" s="128"/>
      <c r="J1101" s="128"/>
      <c r="K1101" s="129"/>
      <c r="L1101" s="129"/>
      <c r="M1101" s="129"/>
      <c r="N1101" s="129"/>
      <c r="O1101" s="129"/>
      <c r="P1101" s="129"/>
      <c r="Q1101" s="129"/>
      <c r="R1101" s="132"/>
      <c r="S1101" s="132"/>
      <c r="T1101" s="135"/>
      <c r="U1101" s="132"/>
      <c r="V1101" s="129"/>
      <c r="W1101" s="132"/>
      <c r="X1101" s="132"/>
      <c r="Y1101" s="132"/>
    </row>
    <row r="1102" spans="1:27" ht="15.75" customHeight="1">
      <c r="A1102" s="113">
        <v>1101</v>
      </c>
      <c r="B1102" s="12"/>
      <c r="C1102" s="12"/>
      <c r="D1102" s="125"/>
      <c r="E1102" s="126"/>
      <c r="F1102" s="128"/>
      <c r="G1102" s="14" t="str">
        <f ca="1">IFERROR(__xludf.DUMMYFUNCTION("CONCATENATE(B1102,(VLOOKUP(C1102,CATALOGOS!$F$2:$H$6,3,FALSE)),(VLOOKUP(V1102,CATALOGOS!$J$2:$K$18,2,FALSE)),""-"",TO_TEXT(A1102))"),"#N/A")</f>
        <v>#N/A</v>
      </c>
      <c r="H1102" s="6" t="str">
        <f ca="1">IFERROR(__xludf.DUMMYFUNCTION("CONCATENATE($B1102,(VLOOKUP($C1102,CATALOGOS!$F$2:$H$6,3,FALSE)),(VLOOKUP($V1102,CATALOGOS!$J$2:$K$18,2,FALSE)),""-"",TO_TEXT($A1102))"),"#N/A")</f>
        <v>#N/A</v>
      </c>
      <c r="I1102" s="128"/>
      <c r="J1102" s="128"/>
      <c r="K1102" s="129"/>
      <c r="L1102" s="129"/>
      <c r="M1102" s="129"/>
      <c r="N1102" s="129"/>
      <c r="O1102" s="129"/>
      <c r="P1102" s="129"/>
      <c r="Q1102" s="129"/>
      <c r="R1102" s="132"/>
      <c r="S1102" s="132"/>
      <c r="T1102" s="135"/>
      <c r="U1102" s="132"/>
      <c r="V1102" s="129"/>
      <c r="W1102" s="132"/>
      <c r="X1102" s="132"/>
      <c r="Y1102" s="132"/>
    </row>
    <row r="1103" spans="1:27" ht="15.75" customHeight="1">
      <c r="A1103" s="113">
        <v>1102</v>
      </c>
      <c r="B1103" s="12"/>
      <c r="C1103" s="12"/>
      <c r="D1103" s="125"/>
      <c r="E1103" s="126"/>
      <c r="F1103" s="128"/>
      <c r="G1103" s="14" t="str">
        <f ca="1">IFERROR(__xludf.DUMMYFUNCTION("CONCATENATE(B1103,(VLOOKUP(C1103,CATALOGOS!$F$2:$H$6,3,FALSE)),(VLOOKUP(V1103,CATALOGOS!$J$2:$K$18,2,FALSE)),""-"",TO_TEXT(A1103))"),"#N/A")</f>
        <v>#N/A</v>
      </c>
      <c r="H1103" s="6" t="str">
        <f ca="1">IFERROR(__xludf.DUMMYFUNCTION("CONCATENATE($B1103,(VLOOKUP($C1103,CATALOGOS!$F$2:$H$6,3,FALSE)),(VLOOKUP($V1103,CATALOGOS!$J$2:$K$18,2,FALSE)),""-"",TO_TEXT($A1103))"),"#N/A")</f>
        <v>#N/A</v>
      </c>
      <c r="I1103" s="128"/>
      <c r="J1103" s="128"/>
      <c r="K1103" s="129"/>
      <c r="L1103" s="129"/>
      <c r="M1103" s="129"/>
      <c r="N1103" s="129"/>
      <c r="O1103" s="129"/>
      <c r="P1103" s="129"/>
      <c r="Q1103" s="129"/>
      <c r="R1103" s="132"/>
      <c r="S1103" s="132"/>
      <c r="T1103" s="135"/>
      <c r="U1103" s="132"/>
      <c r="V1103" s="129"/>
      <c r="W1103" s="132"/>
      <c r="X1103" s="132"/>
      <c r="Y1103" s="132"/>
    </row>
    <row r="1104" spans="1:27" ht="15.75" customHeight="1">
      <c r="A1104" s="113">
        <v>1103</v>
      </c>
      <c r="B1104" s="12"/>
      <c r="C1104" s="12"/>
      <c r="D1104" s="125"/>
      <c r="E1104" s="126"/>
      <c r="F1104" s="128"/>
      <c r="G1104" s="14" t="str">
        <f ca="1">IFERROR(__xludf.DUMMYFUNCTION("CONCATENATE(B1104,(VLOOKUP(C1104,CATALOGOS!$F$2:$H$6,3,FALSE)),(VLOOKUP(V1104,CATALOGOS!$J$2:$K$18,2,FALSE)),""-"",TO_TEXT(A1104))"),"#N/A")</f>
        <v>#N/A</v>
      </c>
      <c r="H1104" s="6" t="str">
        <f ca="1">IFERROR(__xludf.DUMMYFUNCTION("CONCATENATE($B1104,(VLOOKUP($C1104,CATALOGOS!$F$2:$H$6,3,FALSE)),(VLOOKUP($V1104,CATALOGOS!$J$2:$K$18,2,FALSE)),""-"",TO_TEXT($A1104))"),"#N/A")</f>
        <v>#N/A</v>
      </c>
      <c r="I1104" s="128"/>
      <c r="J1104" s="128"/>
      <c r="K1104" s="129"/>
      <c r="L1104" s="129"/>
      <c r="M1104" s="129"/>
      <c r="N1104" s="129"/>
      <c r="O1104" s="129"/>
      <c r="P1104" s="129"/>
      <c r="Q1104" s="129"/>
      <c r="R1104" s="132"/>
      <c r="S1104" s="132"/>
      <c r="T1104" s="135"/>
      <c r="U1104" s="132"/>
      <c r="V1104" s="129"/>
      <c r="W1104" s="132"/>
      <c r="X1104" s="132"/>
      <c r="Y1104" s="132"/>
    </row>
    <row r="1105" spans="1:25" ht="15.75" customHeight="1">
      <c r="A1105" s="113">
        <v>1104</v>
      </c>
      <c r="B1105" s="12"/>
      <c r="C1105" s="12"/>
      <c r="D1105" s="125"/>
      <c r="E1105" s="126"/>
      <c r="F1105" s="128"/>
      <c r="G1105" s="14" t="str">
        <f ca="1">IFERROR(__xludf.DUMMYFUNCTION("CONCATENATE(B1105,(VLOOKUP(C1105,CATALOGOS!$F$2:$H$6,3,FALSE)),(VLOOKUP(V1105,CATALOGOS!$J$2:$K$18,2,FALSE)),""-"",TO_TEXT(A1105))"),"#N/A")</f>
        <v>#N/A</v>
      </c>
      <c r="H1105" s="6" t="str">
        <f ca="1">IFERROR(__xludf.DUMMYFUNCTION("CONCATENATE($B1105,(VLOOKUP($C1105,CATALOGOS!$F$2:$H$6,3,FALSE)),(VLOOKUP($V1105,CATALOGOS!$J$2:$K$18,2,FALSE)),""-"",TO_TEXT($A1105))"),"#N/A")</f>
        <v>#N/A</v>
      </c>
      <c r="I1105" s="128"/>
      <c r="J1105" s="128"/>
      <c r="K1105" s="129"/>
      <c r="L1105" s="129"/>
      <c r="M1105" s="129"/>
      <c r="N1105" s="129"/>
      <c r="O1105" s="129"/>
      <c r="P1105" s="129"/>
      <c r="Q1105" s="129"/>
      <c r="R1105" s="132"/>
      <c r="S1105" s="132"/>
      <c r="T1105" s="135"/>
      <c r="U1105" s="132"/>
      <c r="V1105" s="129"/>
      <c r="W1105" s="132"/>
      <c r="X1105" s="132"/>
      <c r="Y1105" s="132"/>
    </row>
    <row r="1106" spans="1:25" ht="15.75" customHeight="1">
      <c r="A1106" s="113">
        <v>1105</v>
      </c>
      <c r="B1106" s="12"/>
      <c r="C1106" s="12"/>
      <c r="D1106" s="125"/>
      <c r="E1106" s="126"/>
      <c r="F1106" s="128"/>
      <c r="G1106" s="14" t="str">
        <f ca="1">IFERROR(__xludf.DUMMYFUNCTION("CONCATENATE(B1106,(VLOOKUP(C1106,CATALOGOS!$F$2:$H$6,3,FALSE)),(VLOOKUP(V1106,CATALOGOS!$J$2:$K$18,2,FALSE)),""-"",TO_TEXT(A1106))"),"#N/A")</f>
        <v>#N/A</v>
      </c>
      <c r="H1106" s="6" t="str">
        <f ca="1">IFERROR(__xludf.DUMMYFUNCTION("CONCATENATE($B1106,(VLOOKUP($C1106,CATALOGOS!$F$2:$H$6,3,FALSE)),(VLOOKUP($V1106,CATALOGOS!$J$2:$K$18,2,FALSE)),""-"",TO_TEXT($A1106))"),"#N/A")</f>
        <v>#N/A</v>
      </c>
      <c r="I1106" s="128"/>
      <c r="J1106" s="128"/>
      <c r="K1106" s="129"/>
      <c r="L1106" s="129"/>
      <c r="M1106" s="129"/>
      <c r="N1106" s="129"/>
      <c r="O1106" s="129"/>
      <c r="P1106" s="129"/>
      <c r="Q1106" s="129"/>
      <c r="R1106" s="132"/>
      <c r="S1106" s="132"/>
      <c r="T1106" s="135"/>
      <c r="U1106" s="132"/>
      <c r="V1106" s="129"/>
      <c r="W1106" s="132"/>
      <c r="X1106" s="132"/>
      <c r="Y1106" s="132"/>
    </row>
    <row r="1107" spans="1:25" ht="15.75" customHeight="1">
      <c r="A1107" s="113">
        <v>1106</v>
      </c>
      <c r="B1107" s="12"/>
      <c r="C1107" s="12"/>
      <c r="D1107" s="125"/>
      <c r="E1107" s="126"/>
      <c r="F1107" s="128"/>
      <c r="G1107" s="14" t="str">
        <f ca="1">IFERROR(__xludf.DUMMYFUNCTION("CONCATENATE(B1107,(VLOOKUP(C1107,CATALOGOS!$F$2:$H$6,3,FALSE)),(VLOOKUP(V1107,CATALOGOS!$J$2:$K$18,2,FALSE)),""-"",TO_TEXT(A1107))"),"#N/A")</f>
        <v>#N/A</v>
      </c>
      <c r="H1107" s="6" t="str">
        <f ca="1">IFERROR(__xludf.DUMMYFUNCTION("CONCATENATE($B1107,(VLOOKUP($C1107,CATALOGOS!$F$2:$H$6,3,FALSE)),(VLOOKUP($V1107,CATALOGOS!$J$2:$K$18,2,FALSE)),""-"",TO_TEXT($A1107))"),"#N/A")</f>
        <v>#N/A</v>
      </c>
      <c r="I1107" s="128"/>
      <c r="J1107" s="128"/>
      <c r="K1107" s="129"/>
      <c r="L1107" s="129"/>
      <c r="M1107" s="129"/>
      <c r="N1107" s="129"/>
      <c r="O1107" s="129"/>
      <c r="P1107" s="129"/>
      <c r="Q1107" s="129"/>
      <c r="R1107" s="132"/>
      <c r="S1107" s="132"/>
      <c r="T1107" s="135"/>
      <c r="U1107" s="132"/>
      <c r="V1107" s="129"/>
      <c r="W1107" s="132"/>
      <c r="X1107" s="132"/>
      <c r="Y1107" s="132"/>
    </row>
    <row r="1108" spans="1:25" ht="15.75" customHeight="1">
      <c r="A1108" s="113">
        <v>1107</v>
      </c>
      <c r="B1108" s="12"/>
      <c r="C1108" s="12"/>
      <c r="D1108" s="125"/>
      <c r="E1108" s="126"/>
      <c r="F1108" s="128"/>
      <c r="G1108" s="14" t="str">
        <f ca="1">IFERROR(__xludf.DUMMYFUNCTION("CONCATENATE(B1108,(VLOOKUP(C1108,CATALOGOS!$F$2:$H$6,3,FALSE)),(VLOOKUP(V1108,CATALOGOS!$J$2:$K$18,2,FALSE)),""-"",TO_TEXT(A1108))"),"#N/A")</f>
        <v>#N/A</v>
      </c>
      <c r="H1108" s="6" t="str">
        <f ca="1">IFERROR(__xludf.DUMMYFUNCTION("CONCATENATE($B1108,(VLOOKUP($C1108,CATALOGOS!$F$2:$H$6,3,FALSE)),(VLOOKUP($V1108,CATALOGOS!$J$2:$K$18,2,FALSE)),""-"",TO_TEXT($A1108))"),"#N/A")</f>
        <v>#N/A</v>
      </c>
      <c r="I1108" s="128"/>
      <c r="J1108" s="128"/>
      <c r="K1108" s="129"/>
      <c r="L1108" s="129"/>
      <c r="M1108" s="129"/>
      <c r="N1108" s="129"/>
      <c r="O1108" s="129"/>
      <c r="P1108" s="129"/>
      <c r="Q1108" s="129"/>
      <c r="R1108" s="132"/>
      <c r="S1108" s="132"/>
      <c r="T1108" s="135"/>
      <c r="U1108" s="132"/>
      <c r="V1108" s="129"/>
      <c r="W1108" s="132"/>
      <c r="X1108" s="132"/>
      <c r="Y1108" s="132"/>
    </row>
    <row r="1109" spans="1:25" ht="15.75" customHeight="1">
      <c r="A1109" s="113">
        <v>1108</v>
      </c>
      <c r="B1109" s="12"/>
      <c r="C1109" s="12"/>
      <c r="D1109" s="125"/>
      <c r="E1109" s="126"/>
      <c r="F1109" s="128"/>
      <c r="G1109" s="14" t="str">
        <f ca="1">IFERROR(__xludf.DUMMYFUNCTION("CONCATENATE(B1109,(VLOOKUP(C1109,CATALOGOS!$F$2:$H$6,3,FALSE)),(VLOOKUP(V1109,CATALOGOS!$J$2:$K$18,2,FALSE)),""-"",TO_TEXT(A1109))"),"#N/A")</f>
        <v>#N/A</v>
      </c>
      <c r="H1109" s="6" t="str">
        <f ca="1">IFERROR(__xludf.DUMMYFUNCTION("CONCATENATE($B1109,(VLOOKUP($C1109,CATALOGOS!$F$2:$H$6,3,FALSE)),(VLOOKUP($V1109,CATALOGOS!$J$2:$K$18,2,FALSE)),""-"",TO_TEXT($A1109))"),"#N/A")</f>
        <v>#N/A</v>
      </c>
      <c r="I1109" s="128"/>
      <c r="J1109" s="128"/>
      <c r="K1109" s="129"/>
      <c r="L1109" s="129"/>
      <c r="M1109" s="129"/>
      <c r="N1109" s="129"/>
      <c r="O1109" s="129"/>
      <c r="P1109" s="129"/>
      <c r="Q1109" s="129"/>
      <c r="R1109" s="132"/>
      <c r="S1109" s="132"/>
      <c r="T1109" s="135"/>
      <c r="U1109" s="132"/>
      <c r="V1109" s="129"/>
      <c r="W1109" s="132"/>
      <c r="X1109" s="132"/>
      <c r="Y1109" s="132"/>
    </row>
    <row r="1110" spans="1:25" ht="15.75" customHeight="1">
      <c r="A1110" s="113">
        <v>1109</v>
      </c>
      <c r="B1110" s="12"/>
      <c r="C1110" s="12"/>
      <c r="D1110" s="125"/>
      <c r="E1110" s="126"/>
      <c r="F1110" s="128"/>
      <c r="G1110" s="14" t="str">
        <f ca="1">IFERROR(__xludf.DUMMYFUNCTION("CONCATENATE(B1110,(VLOOKUP(C1110,CATALOGOS!$F$2:$H$6,3,FALSE)),(VLOOKUP(V1110,CATALOGOS!$J$2:$K$18,2,FALSE)),""-"",TO_TEXT(A1110))"),"#N/A")</f>
        <v>#N/A</v>
      </c>
      <c r="H1110" s="6" t="str">
        <f ca="1">IFERROR(__xludf.DUMMYFUNCTION("CONCATENATE($B1110,(VLOOKUP($C1110,CATALOGOS!$F$2:$H$6,3,FALSE)),(VLOOKUP($V1110,CATALOGOS!$J$2:$K$18,2,FALSE)),""-"",TO_TEXT($A1110))"),"#N/A")</f>
        <v>#N/A</v>
      </c>
      <c r="I1110" s="128"/>
      <c r="J1110" s="128"/>
      <c r="K1110" s="129"/>
      <c r="L1110" s="129"/>
      <c r="M1110" s="129"/>
      <c r="N1110" s="129"/>
      <c r="O1110" s="129"/>
      <c r="P1110" s="129"/>
      <c r="Q1110" s="129"/>
      <c r="R1110" s="132"/>
      <c r="S1110" s="132"/>
      <c r="T1110" s="135"/>
      <c r="U1110" s="132"/>
      <c r="V1110" s="129"/>
      <c r="W1110" s="132"/>
      <c r="X1110" s="132"/>
      <c r="Y1110" s="132"/>
    </row>
    <row r="1111" spans="1:25" ht="15.75" customHeight="1">
      <c r="A1111" s="113">
        <v>1110</v>
      </c>
      <c r="B1111" s="12"/>
      <c r="C1111" s="12"/>
      <c r="D1111" s="125"/>
      <c r="E1111" s="126"/>
      <c r="F1111" s="128"/>
      <c r="G1111" s="14" t="str">
        <f ca="1">IFERROR(__xludf.DUMMYFUNCTION("CONCATENATE(B1111,(VLOOKUP(C1111,CATALOGOS!$F$2:$H$6,3,FALSE)),(VLOOKUP(V1111,CATALOGOS!$J$2:$K$18,2,FALSE)),""-"",TO_TEXT(A1111))"),"#N/A")</f>
        <v>#N/A</v>
      </c>
      <c r="H1111" s="6" t="str">
        <f ca="1">IFERROR(__xludf.DUMMYFUNCTION("CONCATENATE($B1111,(VLOOKUP($C1111,CATALOGOS!$F$2:$H$6,3,FALSE)),(VLOOKUP($V1111,CATALOGOS!$J$2:$K$18,2,FALSE)),""-"",TO_TEXT($A1111))"),"#N/A")</f>
        <v>#N/A</v>
      </c>
      <c r="I1111" s="128"/>
      <c r="J1111" s="128"/>
      <c r="K1111" s="129"/>
      <c r="L1111" s="129"/>
      <c r="M1111" s="129"/>
      <c r="N1111" s="129"/>
      <c r="O1111" s="129"/>
      <c r="P1111" s="129"/>
      <c r="Q1111" s="129"/>
      <c r="R1111" s="132"/>
      <c r="S1111" s="132"/>
      <c r="T1111" s="135"/>
      <c r="U1111" s="132"/>
      <c r="V1111" s="129"/>
      <c r="W1111" s="132"/>
      <c r="X1111" s="132"/>
      <c r="Y1111" s="132"/>
    </row>
    <row r="1112" spans="1:25" ht="15.75" customHeight="1">
      <c r="A1112" s="113">
        <v>1111</v>
      </c>
      <c r="B1112" s="12"/>
      <c r="C1112" s="12"/>
      <c r="D1112" s="125"/>
      <c r="E1112" s="126"/>
      <c r="F1112" s="128"/>
      <c r="G1112" s="14" t="str">
        <f ca="1">IFERROR(__xludf.DUMMYFUNCTION("CONCATENATE(B1112,(VLOOKUP(C1112,CATALOGOS!$F$2:$H$6,3,FALSE)),(VLOOKUP(V1112,CATALOGOS!$J$2:$K$18,2,FALSE)),""-"",TO_TEXT(A1112))"),"#N/A")</f>
        <v>#N/A</v>
      </c>
      <c r="H1112" s="6" t="str">
        <f ca="1">IFERROR(__xludf.DUMMYFUNCTION("CONCATENATE($B1112,(VLOOKUP($C1112,CATALOGOS!$F$2:$H$6,3,FALSE)),(VLOOKUP($V1112,CATALOGOS!$J$2:$K$18,2,FALSE)),""-"",TO_TEXT($A1112))"),"#N/A")</f>
        <v>#N/A</v>
      </c>
      <c r="I1112" s="128"/>
      <c r="J1112" s="128"/>
      <c r="K1112" s="129"/>
      <c r="L1112" s="129"/>
      <c r="M1112" s="129"/>
      <c r="N1112" s="129"/>
      <c r="O1112" s="129"/>
      <c r="P1112" s="129"/>
      <c r="Q1112" s="129"/>
      <c r="R1112" s="132"/>
      <c r="S1112" s="132"/>
      <c r="T1112" s="135"/>
      <c r="U1112" s="132"/>
      <c r="V1112" s="129"/>
      <c r="W1112" s="132"/>
      <c r="X1112" s="132"/>
      <c r="Y1112" s="132"/>
    </row>
    <row r="1113" spans="1:25" ht="15.75" customHeight="1">
      <c r="A1113" s="113">
        <v>1112</v>
      </c>
      <c r="B1113" s="12"/>
      <c r="C1113" s="12"/>
      <c r="D1113" s="125"/>
      <c r="E1113" s="126"/>
      <c r="F1113" s="128"/>
      <c r="G1113" s="14" t="str">
        <f ca="1">IFERROR(__xludf.DUMMYFUNCTION("CONCATENATE(B1113,(VLOOKUP(C1113,CATALOGOS!$F$2:$H$6,3,FALSE)),(VLOOKUP(V1113,CATALOGOS!$J$2:$K$18,2,FALSE)),""-"",TO_TEXT(A1113))"),"#N/A")</f>
        <v>#N/A</v>
      </c>
      <c r="H1113" s="6" t="str">
        <f ca="1">IFERROR(__xludf.DUMMYFUNCTION("CONCATENATE($B1113,(VLOOKUP($C1113,CATALOGOS!$F$2:$H$6,3,FALSE)),(VLOOKUP($V1113,CATALOGOS!$J$2:$K$18,2,FALSE)),""-"",TO_TEXT($A1113))"),"#N/A")</f>
        <v>#N/A</v>
      </c>
      <c r="I1113" s="128"/>
      <c r="J1113" s="128"/>
      <c r="K1113" s="129"/>
      <c r="L1113" s="129"/>
      <c r="M1113" s="129"/>
      <c r="N1113" s="129"/>
      <c r="O1113" s="129"/>
      <c r="P1113" s="129"/>
      <c r="Q1113" s="129"/>
      <c r="R1113" s="132"/>
      <c r="S1113" s="132"/>
      <c r="T1113" s="135"/>
      <c r="U1113" s="132"/>
      <c r="V1113" s="129"/>
      <c r="W1113" s="132"/>
      <c r="X1113" s="132"/>
      <c r="Y1113" s="132"/>
    </row>
    <row r="1114" spans="1:25" ht="15.75" customHeight="1">
      <c r="A1114" s="113">
        <v>1113</v>
      </c>
      <c r="B1114" s="12"/>
      <c r="C1114" s="12"/>
      <c r="D1114" s="125"/>
      <c r="E1114" s="126"/>
      <c r="F1114" s="128"/>
      <c r="G1114" s="14" t="str">
        <f ca="1">IFERROR(__xludf.DUMMYFUNCTION("CONCATENATE(B1114,(VLOOKUP(C1114,CATALOGOS!$F$2:$H$6,3,FALSE)),(VLOOKUP(V1114,CATALOGOS!$J$2:$K$18,2,FALSE)),""-"",TO_TEXT(A1114))"),"#N/A")</f>
        <v>#N/A</v>
      </c>
      <c r="H1114" s="6" t="str">
        <f ca="1">IFERROR(__xludf.DUMMYFUNCTION("CONCATENATE($B1114,(VLOOKUP($C1114,CATALOGOS!$F$2:$H$6,3,FALSE)),(VLOOKUP($V1114,CATALOGOS!$J$2:$K$18,2,FALSE)),""-"",TO_TEXT($A1114))"),"#N/A")</f>
        <v>#N/A</v>
      </c>
      <c r="I1114" s="128"/>
      <c r="J1114" s="128"/>
      <c r="K1114" s="129"/>
      <c r="L1114" s="129"/>
      <c r="M1114" s="129"/>
      <c r="N1114" s="129"/>
      <c r="O1114" s="129"/>
      <c r="P1114" s="129"/>
      <c r="Q1114" s="129"/>
      <c r="R1114" s="132"/>
      <c r="S1114" s="132"/>
      <c r="T1114" s="135"/>
      <c r="U1114" s="132"/>
      <c r="V1114" s="129"/>
      <c r="W1114" s="132"/>
      <c r="X1114" s="132"/>
      <c r="Y1114" s="132"/>
    </row>
    <row r="1115" spans="1:25" ht="15.75" customHeight="1">
      <c r="A1115" s="113">
        <v>1114</v>
      </c>
      <c r="B1115" s="12"/>
      <c r="C1115" s="12"/>
      <c r="D1115" s="125"/>
      <c r="E1115" s="126"/>
      <c r="F1115" s="128"/>
      <c r="G1115" s="14" t="str">
        <f ca="1">IFERROR(__xludf.DUMMYFUNCTION("CONCATENATE(B1115,(VLOOKUP(C1115,CATALOGOS!$F$2:$H$6,3,FALSE)),(VLOOKUP(V1115,CATALOGOS!$J$2:$K$18,2,FALSE)),""-"",TO_TEXT(A1115))"),"#N/A")</f>
        <v>#N/A</v>
      </c>
      <c r="H1115" s="6" t="str">
        <f ca="1">IFERROR(__xludf.DUMMYFUNCTION("CONCATENATE($B1115,(VLOOKUP($C1115,CATALOGOS!$F$2:$H$6,3,FALSE)),(VLOOKUP($V1115,CATALOGOS!$J$2:$K$18,2,FALSE)),""-"",TO_TEXT($A1115))"),"#N/A")</f>
        <v>#N/A</v>
      </c>
      <c r="I1115" s="128"/>
      <c r="J1115" s="128"/>
      <c r="K1115" s="129"/>
      <c r="L1115" s="129"/>
      <c r="M1115" s="129"/>
      <c r="N1115" s="129"/>
      <c r="O1115" s="129"/>
      <c r="P1115" s="129"/>
      <c r="Q1115" s="129"/>
      <c r="R1115" s="132"/>
      <c r="S1115" s="132"/>
      <c r="T1115" s="135"/>
      <c r="U1115" s="132"/>
      <c r="V1115" s="129"/>
      <c r="W1115" s="132"/>
      <c r="X1115" s="132"/>
      <c r="Y1115" s="132"/>
    </row>
    <row r="1116" spans="1:25" ht="15.75" customHeight="1">
      <c r="A1116" s="113">
        <v>1115</v>
      </c>
      <c r="B1116" s="12"/>
      <c r="C1116" s="12"/>
      <c r="D1116" s="125"/>
      <c r="E1116" s="126"/>
      <c r="F1116" s="128"/>
      <c r="G1116" s="14" t="str">
        <f ca="1">IFERROR(__xludf.DUMMYFUNCTION("CONCATENATE(B1116,(VLOOKUP(C1116,CATALOGOS!$F$2:$H$6,3,FALSE)),(VLOOKUP(V1116,CATALOGOS!$J$2:$K$18,2,FALSE)),""-"",TO_TEXT(A1116))"),"#N/A")</f>
        <v>#N/A</v>
      </c>
      <c r="H1116" s="6" t="str">
        <f ca="1">IFERROR(__xludf.DUMMYFUNCTION("CONCATENATE($B1116,(VLOOKUP($C1116,CATALOGOS!$F$2:$H$6,3,FALSE)),(VLOOKUP($V1116,CATALOGOS!$J$2:$K$18,2,FALSE)),""-"",TO_TEXT($A1116))"),"#N/A")</f>
        <v>#N/A</v>
      </c>
      <c r="I1116" s="128"/>
      <c r="J1116" s="128"/>
      <c r="K1116" s="129"/>
      <c r="L1116" s="129"/>
      <c r="M1116" s="129"/>
      <c r="N1116" s="129"/>
      <c r="O1116" s="129"/>
      <c r="P1116" s="129"/>
      <c r="Q1116" s="129"/>
      <c r="R1116" s="132"/>
      <c r="S1116" s="132"/>
      <c r="T1116" s="135"/>
      <c r="U1116" s="132"/>
      <c r="V1116" s="129"/>
      <c r="W1116" s="132"/>
      <c r="X1116" s="132"/>
      <c r="Y1116" s="132"/>
    </row>
    <row r="1117" spans="1:25" ht="15.75" customHeight="1">
      <c r="A1117" s="113">
        <v>1116</v>
      </c>
      <c r="B1117" s="12"/>
      <c r="C1117" s="12"/>
      <c r="D1117" s="125"/>
      <c r="E1117" s="126"/>
      <c r="F1117" s="128"/>
      <c r="G1117" s="14" t="str">
        <f ca="1">IFERROR(__xludf.DUMMYFUNCTION("CONCATENATE(B1117,(VLOOKUP(C1117,CATALOGOS!$F$2:$H$6,3,FALSE)),(VLOOKUP(V1117,CATALOGOS!$J$2:$K$18,2,FALSE)),""-"",TO_TEXT(A1117))"),"#N/A")</f>
        <v>#N/A</v>
      </c>
      <c r="H1117" s="6" t="str">
        <f ca="1">IFERROR(__xludf.DUMMYFUNCTION("CONCATENATE($B1117,(VLOOKUP($C1117,CATALOGOS!$F$2:$H$6,3,FALSE)),(VLOOKUP($V1117,CATALOGOS!$J$2:$K$18,2,FALSE)),""-"",TO_TEXT($A1117))"),"#N/A")</f>
        <v>#N/A</v>
      </c>
      <c r="I1117" s="128"/>
      <c r="J1117" s="128"/>
      <c r="K1117" s="129"/>
      <c r="L1117" s="129"/>
      <c r="M1117" s="129"/>
      <c r="N1117" s="129"/>
      <c r="O1117" s="129"/>
      <c r="P1117" s="129"/>
      <c r="Q1117" s="129"/>
      <c r="R1117" s="132"/>
      <c r="S1117" s="132"/>
      <c r="T1117" s="135"/>
      <c r="U1117" s="132"/>
      <c r="V1117" s="129"/>
      <c r="W1117" s="132"/>
      <c r="X1117" s="132"/>
      <c r="Y1117" s="132"/>
    </row>
    <row r="1118" spans="1:25" ht="15.75" customHeight="1">
      <c r="A1118" s="113">
        <v>1117</v>
      </c>
      <c r="B1118" s="12"/>
      <c r="C1118" s="12"/>
      <c r="D1118" s="125"/>
      <c r="E1118" s="126"/>
      <c r="F1118" s="128"/>
      <c r="G1118" s="14" t="str">
        <f ca="1">IFERROR(__xludf.DUMMYFUNCTION("CONCATENATE(B1118,(VLOOKUP(C1118,CATALOGOS!$F$2:$H$6,3,FALSE)),(VLOOKUP(V1118,CATALOGOS!$J$2:$K$18,2,FALSE)),""-"",TO_TEXT(A1118))"),"#N/A")</f>
        <v>#N/A</v>
      </c>
      <c r="H1118" s="6" t="str">
        <f ca="1">IFERROR(__xludf.DUMMYFUNCTION("CONCATENATE($B1118,(VLOOKUP($C1118,CATALOGOS!$F$2:$H$6,3,FALSE)),(VLOOKUP($V1118,CATALOGOS!$J$2:$K$18,2,FALSE)),""-"",TO_TEXT($A1118))"),"#N/A")</f>
        <v>#N/A</v>
      </c>
      <c r="I1118" s="128"/>
      <c r="J1118" s="128"/>
      <c r="K1118" s="129"/>
      <c r="L1118" s="129"/>
      <c r="M1118" s="129"/>
      <c r="N1118" s="129"/>
      <c r="O1118" s="129"/>
      <c r="P1118" s="129"/>
      <c r="Q1118" s="129"/>
      <c r="R1118" s="132"/>
      <c r="S1118" s="132"/>
      <c r="T1118" s="135"/>
      <c r="U1118" s="132"/>
      <c r="V1118" s="129"/>
      <c r="W1118" s="132"/>
      <c r="X1118" s="132"/>
      <c r="Y1118" s="132"/>
    </row>
    <row r="1119" spans="1:25" ht="15.75" customHeight="1">
      <c r="A1119" s="113">
        <v>1118</v>
      </c>
      <c r="B1119" s="12"/>
      <c r="C1119" s="12"/>
      <c r="D1119" s="125"/>
      <c r="E1119" s="126"/>
      <c r="F1119" s="128"/>
      <c r="G1119" s="14" t="str">
        <f ca="1">IFERROR(__xludf.DUMMYFUNCTION("CONCATENATE(B1119,(VLOOKUP(C1119,CATALOGOS!$F$2:$H$6,3,FALSE)),(VLOOKUP(V1119,CATALOGOS!$J$2:$K$18,2,FALSE)),""-"",TO_TEXT(A1119))"),"#N/A")</f>
        <v>#N/A</v>
      </c>
      <c r="H1119" s="6" t="str">
        <f ca="1">IFERROR(__xludf.DUMMYFUNCTION("CONCATENATE($B1119,(VLOOKUP($C1119,CATALOGOS!$F$2:$H$6,3,FALSE)),(VLOOKUP($V1119,CATALOGOS!$J$2:$K$18,2,FALSE)),""-"",TO_TEXT($A1119))"),"#N/A")</f>
        <v>#N/A</v>
      </c>
      <c r="I1119" s="128"/>
      <c r="J1119" s="128"/>
      <c r="K1119" s="129"/>
      <c r="L1119" s="129"/>
      <c r="M1119" s="129"/>
      <c r="N1119" s="129"/>
      <c r="O1119" s="129"/>
      <c r="P1119" s="129"/>
      <c r="Q1119" s="129"/>
      <c r="R1119" s="132"/>
      <c r="S1119" s="132"/>
      <c r="T1119" s="135"/>
      <c r="U1119" s="132"/>
      <c r="V1119" s="129"/>
      <c r="W1119" s="132"/>
      <c r="X1119" s="132"/>
      <c r="Y1119" s="132"/>
    </row>
    <row r="1120" spans="1:25" ht="15.75" customHeight="1">
      <c r="A1120" s="113">
        <v>1119</v>
      </c>
      <c r="B1120" s="12"/>
      <c r="C1120" s="12"/>
      <c r="D1120" s="125"/>
      <c r="E1120" s="126"/>
      <c r="F1120" s="128"/>
      <c r="G1120" s="14" t="str">
        <f ca="1">IFERROR(__xludf.DUMMYFUNCTION("CONCATENATE(B1120,(VLOOKUP(C1120,CATALOGOS!$F$2:$H$6,3,FALSE)),(VLOOKUP(V1120,CATALOGOS!$J$2:$K$18,2,FALSE)),""-"",TO_TEXT(A1120))"),"#N/A")</f>
        <v>#N/A</v>
      </c>
      <c r="H1120" s="6" t="str">
        <f ca="1">IFERROR(__xludf.DUMMYFUNCTION("CONCATENATE($B1120,(VLOOKUP($C1120,CATALOGOS!$F$2:$H$6,3,FALSE)),(VLOOKUP($V1120,CATALOGOS!$J$2:$K$18,2,FALSE)),""-"",TO_TEXT($A1120))"),"#N/A")</f>
        <v>#N/A</v>
      </c>
      <c r="I1120" s="128"/>
      <c r="J1120" s="128"/>
      <c r="K1120" s="129"/>
      <c r="L1120" s="129"/>
      <c r="M1120" s="129"/>
      <c r="N1120" s="129"/>
      <c r="O1120" s="129"/>
      <c r="P1120" s="129"/>
      <c r="Q1120" s="129"/>
      <c r="R1120" s="132"/>
      <c r="S1120" s="132"/>
      <c r="T1120" s="135"/>
      <c r="U1120" s="132"/>
      <c r="V1120" s="129"/>
      <c r="W1120" s="132"/>
      <c r="X1120" s="132"/>
      <c r="Y1120" s="132"/>
    </row>
    <row r="1121" spans="1:25" ht="15.75" customHeight="1">
      <c r="A1121" s="113">
        <v>1120</v>
      </c>
      <c r="B1121" s="12"/>
      <c r="C1121" s="12"/>
      <c r="D1121" s="125"/>
      <c r="E1121" s="126"/>
      <c r="F1121" s="128"/>
      <c r="G1121" s="14" t="str">
        <f ca="1">IFERROR(__xludf.DUMMYFUNCTION("CONCATENATE(B1121,(VLOOKUP(C1121,CATALOGOS!$F$2:$H$6,3,FALSE)),(VLOOKUP(V1121,CATALOGOS!$J$2:$K$18,2,FALSE)),""-"",TO_TEXT(A1121))"),"#N/A")</f>
        <v>#N/A</v>
      </c>
      <c r="H1121" s="6" t="str">
        <f ca="1">IFERROR(__xludf.DUMMYFUNCTION("CONCATENATE($B1121,(VLOOKUP($C1121,CATALOGOS!$F$2:$H$6,3,FALSE)),(VLOOKUP($V1121,CATALOGOS!$J$2:$K$18,2,FALSE)),""-"",TO_TEXT($A1121))"),"#N/A")</f>
        <v>#N/A</v>
      </c>
      <c r="I1121" s="128"/>
      <c r="J1121" s="128"/>
      <c r="K1121" s="129"/>
      <c r="L1121" s="129"/>
      <c r="M1121" s="129"/>
      <c r="N1121" s="129"/>
      <c r="O1121" s="129"/>
      <c r="P1121" s="129"/>
      <c r="Q1121" s="129"/>
      <c r="R1121" s="132"/>
      <c r="S1121" s="132"/>
      <c r="T1121" s="135"/>
      <c r="U1121" s="132"/>
      <c r="V1121" s="129"/>
      <c r="W1121" s="132"/>
      <c r="X1121" s="132"/>
      <c r="Y1121" s="132"/>
    </row>
    <row r="1122" spans="1:25" ht="15.75" customHeight="1">
      <c r="A1122" s="113">
        <v>1121</v>
      </c>
      <c r="B1122" s="12"/>
      <c r="C1122" s="12"/>
      <c r="D1122" s="125"/>
      <c r="E1122" s="126"/>
      <c r="F1122" s="128"/>
      <c r="G1122" s="14" t="str">
        <f ca="1">IFERROR(__xludf.DUMMYFUNCTION("CONCATENATE(B1122,(VLOOKUP(C1122,CATALOGOS!$F$2:$H$6,3,FALSE)),(VLOOKUP(V1122,CATALOGOS!$J$2:$K$18,2,FALSE)),""-"",TO_TEXT(A1122))"),"#N/A")</f>
        <v>#N/A</v>
      </c>
      <c r="H1122" s="6" t="str">
        <f ca="1">IFERROR(__xludf.DUMMYFUNCTION("CONCATENATE($B1122,(VLOOKUP($C1122,CATALOGOS!$F$2:$H$6,3,FALSE)),(VLOOKUP($V1122,CATALOGOS!$J$2:$K$18,2,FALSE)),""-"",TO_TEXT($A1122))"),"#N/A")</f>
        <v>#N/A</v>
      </c>
      <c r="I1122" s="128"/>
      <c r="J1122" s="128"/>
      <c r="K1122" s="129"/>
      <c r="L1122" s="129"/>
      <c r="M1122" s="129"/>
      <c r="N1122" s="129"/>
      <c r="O1122" s="129"/>
      <c r="P1122" s="129"/>
      <c r="Q1122" s="129"/>
      <c r="R1122" s="132"/>
      <c r="S1122" s="132"/>
      <c r="T1122" s="135"/>
      <c r="U1122" s="132"/>
      <c r="V1122" s="129"/>
      <c r="W1122" s="132"/>
      <c r="X1122" s="132"/>
      <c r="Y1122" s="132"/>
    </row>
    <row r="1123" spans="1:25" ht="15.75" customHeight="1">
      <c r="A1123" s="125"/>
      <c r="B1123" s="125"/>
      <c r="C1123" s="125"/>
      <c r="D1123" s="125"/>
      <c r="E1123" s="126"/>
      <c r="F1123" s="128"/>
      <c r="G1123" s="128"/>
      <c r="H1123" s="128"/>
      <c r="I1123" s="128"/>
      <c r="J1123" s="128"/>
      <c r="K1123" s="129"/>
      <c r="L1123" s="129"/>
      <c r="M1123" s="129"/>
      <c r="N1123" s="129"/>
      <c r="O1123" s="129"/>
      <c r="P1123" s="129"/>
      <c r="Q1123" s="129"/>
      <c r="R1123" s="132"/>
      <c r="S1123" s="132"/>
      <c r="T1123" s="135"/>
      <c r="U1123" s="132"/>
      <c r="V1123" s="129"/>
      <c r="W1123" s="20"/>
      <c r="X1123" s="132"/>
      <c r="Y1123" s="132"/>
    </row>
    <row r="1124" spans="1:25" ht="15.75" customHeight="1">
      <c r="A1124" s="125"/>
      <c r="B1124" s="125"/>
      <c r="C1124" s="125"/>
      <c r="D1124" s="125"/>
      <c r="E1124" s="126"/>
      <c r="F1124" s="128"/>
      <c r="G1124" s="128"/>
      <c r="H1124" s="128"/>
      <c r="I1124" s="128"/>
      <c r="J1124" s="128"/>
      <c r="K1124" s="129"/>
      <c r="L1124" s="129"/>
      <c r="M1124" s="129"/>
      <c r="N1124" s="129"/>
      <c r="O1124" s="129"/>
      <c r="P1124" s="129"/>
      <c r="Q1124" s="129"/>
      <c r="R1124" s="132"/>
      <c r="S1124" s="132"/>
      <c r="T1124" s="135"/>
      <c r="U1124" s="132"/>
      <c r="V1124" s="129"/>
      <c r="W1124" s="132"/>
      <c r="X1124" s="132"/>
      <c r="Y1124" s="132"/>
    </row>
    <row r="1125" spans="1:25" ht="15.75" customHeight="1">
      <c r="A1125" s="125"/>
      <c r="B1125" s="125"/>
      <c r="C1125" s="125"/>
      <c r="D1125" s="125"/>
      <c r="E1125" s="126"/>
      <c r="F1125" s="128"/>
      <c r="G1125" s="128"/>
      <c r="H1125" s="128"/>
      <c r="I1125" s="128"/>
      <c r="J1125" s="128"/>
      <c r="K1125" s="129"/>
      <c r="L1125" s="129"/>
      <c r="M1125" s="129"/>
      <c r="N1125" s="129"/>
      <c r="O1125" s="129"/>
      <c r="P1125" s="129"/>
      <c r="Q1125" s="129"/>
      <c r="R1125" s="132"/>
      <c r="S1125" s="132"/>
      <c r="T1125" s="135"/>
      <c r="U1125" s="132"/>
      <c r="V1125" s="129"/>
      <c r="W1125" s="132"/>
      <c r="X1125" s="132"/>
      <c r="Y1125" s="132"/>
    </row>
    <row r="1126" spans="1:25" ht="15.75" customHeight="1">
      <c r="A1126" s="125"/>
      <c r="B1126" s="125"/>
      <c r="C1126" s="125"/>
      <c r="D1126" s="125"/>
      <c r="E1126" s="126"/>
      <c r="F1126" s="128"/>
      <c r="G1126" s="128"/>
      <c r="H1126" s="128"/>
      <c r="I1126" s="128"/>
      <c r="J1126" s="128"/>
      <c r="K1126" s="129"/>
      <c r="L1126" s="129"/>
      <c r="M1126" s="129"/>
      <c r="N1126" s="129"/>
      <c r="O1126" s="129"/>
      <c r="P1126" s="129"/>
      <c r="Q1126" s="129"/>
      <c r="R1126" s="132"/>
      <c r="S1126" s="132"/>
      <c r="T1126" s="135"/>
      <c r="U1126" s="132"/>
      <c r="V1126" s="129"/>
      <c r="W1126" s="132"/>
      <c r="X1126" s="132"/>
      <c r="Y1126" s="132"/>
    </row>
    <row r="1127" spans="1:25" ht="15.75" customHeight="1">
      <c r="A1127" s="125"/>
      <c r="B1127" s="125"/>
      <c r="C1127" s="125"/>
      <c r="D1127" s="125"/>
      <c r="E1127" s="126"/>
      <c r="F1127" s="128"/>
      <c r="G1127" s="128"/>
      <c r="H1127" s="128"/>
      <c r="I1127" s="128"/>
      <c r="J1127" s="128"/>
      <c r="K1127" s="129"/>
      <c r="L1127" s="129"/>
      <c r="M1127" s="129"/>
      <c r="N1127" s="129"/>
      <c r="O1127" s="129"/>
      <c r="P1127" s="129"/>
      <c r="Q1127" s="129"/>
      <c r="R1127" s="132"/>
      <c r="S1127" s="132"/>
      <c r="T1127" s="135"/>
      <c r="U1127" s="132"/>
      <c r="V1127" s="129"/>
      <c r="W1127" s="132"/>
      <c r="X1127" s="132"/>
      <c r="Y1127" s="132"/>
    </row>
    <row r="1128" spans="1:25" ht="15.75" customHeight="1">
      <c r="A1128" s="125"/>
      <c r="B1128" s="125"/>
      <c r="C1128" s="125"/>
      <c r="D1128" s="125"/>
      <c r="E1128" s="126"/>
      <c r="F1128" s="128"/>
      <c r="G1128" s="128"/>
      <c r="H1128" s="128"/>
      <c r="I1128" s="128"/>
      <c r="J1128" s="128"/>
      <c r="K1128" s="129"/>
      <c r="L1128" s="129"/>
      <c r="M1128" s="129"/>
      <c r="N1128" s="129"/>
      <c r="O1128" s="129"/>
      <c r="P1128" s="129"/>
      <c r="Q1128" s="129"/>
      <c r="R1128" s="132"/>
      <c r="S1128" s="132"/>
      <c r="T1128" s="135"/>
      <c r="U1128" s="132"/>
      <c r="V1128" s="129"/>
      <c r="W1128" s="132"/>
      <c r="X1128" s="132"/>
      <c r="Y1128" s="132"/>
    </row>
    <row r="1129" spans="1:25" ht="15.75" customHeight="1">
      <c r="A1129" s="125"/>
      <c r="B1129" s="125"/>
      <c r="C1129" s="125"/>
      <c r="D1129" s="125"/>
      <c r="E1129" s="126"/>
      <c r="F1129" s="128"/>
      <c r="G1129" s="128"/>
      <c r="H1129" s="128"/>
      <c r="I1129" s="128"/>
      <c r="J1129" s="128"/>
      <c r="K1129" s="129"/>
      <c r="L1129" s="129"/>
      <c r="M1129" s="129"/>
      <c r="N1129" s="129"/>
      <c r="O1129" s="129"/>
      <c r="P1129" s="129"/>
      <c r="Q1129" s="129"/>
      <c r="R1129" s="132"/>
      <c r="S1129" s="132"/>
      <c r="T1129" s="135"/>
      <c r="U1129" s="132"/>
      <c r="V1129" s="129"/>
      <c r="W1129" s="132"/>
      <c r="X1129" s="132"/>
      <c r="Y1129" s="132"/>
    </row>
    <row r="1130" spans="1:25" ht="15.75" customHeight="1">
      <c r="A1130" s="125"/>
      <c r="B1130" s="125"/>
      <c r="C1130" s="125"/>
      <c r="D1130" s="125"/>
      <c r="E1130" s="126"/>
      <c r="F1130" s="128"/>
      <c r="G1130" s="128"/>
      <c r="H1130" s="128"/>
      <c r="I1130" s="128"/>
      <c r="J1130" s="128"/>
      <c r="K1130" s="129"/>
      <c r="L1130" s="129"/>
      <c r="M1130" s="129"/>
      <c r="N1130" s="129"/>
      <c r="O1130" s="129"/>
      <c r="P1130" s="129"/>
      <c r="Q1130" s="129"/>
      <c r="R1130" s="132"/>
      <c r="S1130" s="132"/>
      <c r="T1130" s="135"/>
      <c r="U1130" s="132"/>
      <c r="V1130" s="129"/>
      <c r="W1130" s="132"/>
      <c r="X1130" s="132"/>
      <c r="Y1130" s="132"/>
    </row>
    <row r="1131" spans="1:25" ht="15.75" customHeight="1">
      <c r="A1131" s="125"/>
      <c r="B1131" s="125"/>
      <c r="C1131" s="125"/>
      <c r="D1131" s="125"/>
      <c r="E1131" s="126"/>
      <c r="F1131" s="128"/>
      <c r="G1131" s="128"/>
      <c r="H1131" s="128"/>
      <c r="I1131" s="128"/>
      <c r="J1131" s="128"/>
      <c r="K1131" s="129"/>
      <c r="L1131" s="129"/>
      <c r="M1131" s="129"/>
      <c r="N1131" s="129"/>
      <c r="O1131" s="129"/>
      <c r="P1131" s="129"/>
      <c r="Q1131" s="129"/>
      <c r="R1131" s="132"/>
      <c r="S1131" s="132"/>
      <c r="T1131" s="135"/>
      <c r="U1131" s="132"/>
      <c r="V1131" s="129"/>
      <c r="W1131" s="132"/>
      <c r="X1131" s="132"/>
      <c r="Y1131" s="132"/>
    </row>
    <row r="1132" spans="1:25" ht="15.75" customHeight="1">
      <c r="A1132" s="125"/>
      <c r="B1132" s="125"/>
      <c r="C1132" s="125"/>
      <c r="D1132" s="125"/>
      <c r="E1132" s="126"/>
      <c r="F1132" s="128"/>
      <c r="G1132" s="128"/>
      <c r="H1132" s="128"/>
      <c r="I1132" s="128"/>
      <c r="J1132" s="128"/>
      <c r="K1132" s="129"/>
      <c r="L1132" s="129"/>
      <c r="M1132" s="129"/>
      <c r="N1132" s="129"/>
      <c r="O1132" s="129"/>
      <c r="P1132" s="129"/>
      <c r="Q1132" s="129"/>
      <c r="R1132" s="132"/>
      <c r="S1132" s="132"/>
      <c r="T1132" s="135"/>
      <c r="U1132" s="132"/>
      <c r="V1132" s="129"/>
      <c r="W1132" s="132"/>
      <c r="X1132" s="132"/>
      <c r="Y1132" s="132"/>
    </row>
    <row r="1133" spans="1:25" ht="15.75" customHeight="1">
      <c r="A1133" s="125"/>
      <c r="B1133" s="125"/>
      <c r="C1133" s="125"/>
      <c r="D1133" s="125"/>
      <c r="E1133" s="126"/>
      <c r="F1133" s="128"/>
      <c r="G1133" s="128"/>
      <c r="H1133" s="128"/>
      <c r="I1133" s="128"/>
      <c r="J1133" s="128"/>
      <c r="K1133" s="129"/>
      <c r="L1133" s="129"/>
      <c r="M1133" s="129"/>
      <c r="N1133" s="129"/>
      <c r="O1133" s="129"/>
      <c r="P1133" s="129"/>
      <c r="Q1133" s="129"/>
      <c r="R1133" s="132"/>
      <c r="S1133" s="132"/>
      <c r="T1133" s="135"/>
      <c r="U1133" s="132"/>
      <c r="V1133" s="129"/>
      <c r="W1133" s="132"/>
      <c r="X1133" s="132"/>
      <c r="Y1133" s="132"/>
    </row>
    <row r="1134" spans="1:25" ht="15.75" customHeight="1">
      <c r="A1134" s="125"/>
      <c r="B1134" s="125"/>
      <c r="C1134" s="125"/>
      <c r="D1134" s="125"/>
      <c r="E1134" s="126"/>
      <c r="F1134" s="128"/>
      <c r="G1134" s="128"/>
      <c r="H1134" s="128"/>
      <c r="I1134" s="128"/>
      <c r="J1134" s="128"/>
      <c r="K1134" s="129"/>
      <c r="L1134" s="129"/>
      <c r="M1134" s="129"/>
      <c r="N1134" s="129"/>
      <c r="O1134" s="129"/>
      <c r="P1134" s="129"/>
      <c r="Q1134" s="129"/>
      <c r="R1134" s="132"/>
      <c r="S1134" s="132"/>
      <c r="T1134" s="135"/>
      <c r="U1134" s="132"/>
      <c r="V1134" s="129"/>
      <c r="W1134" s="132"/>
      <c r="X1134" s="132"/>
      <c r="Y1134" s="132"/>
    </row>
    <row r="1135" spans="1:25" ht="15.75" customHeight="1">
      <c r="A1135" s="125"/>
      <c r="B1135" s="125"/>
      <c r="C1135" s="125"/>
      <c r="D1135" s="125"/>
      <c r="E1135" s="126"/>
      <c r="F1135" s="128"/>
      <c r="G1135" s="128"/>
      <c r="H1135" s="128"/>
      <c r="I1135" s="128"/>
      <c r="J1135" s="128"/>
      <c r="K1135" s="129"/>
      <c r="L1135" s="129"/>
      <c r="M1135" s="129"/>
      <c r="N1135" s="129"/>
      <c r="O1135" s="129"/>
      <c r="P1135" s="129"/>
      <c r="Q1135" s="129"/>
      <c r="R1135" s="132"/>
      <c r="S1135" s="132"/>
      <c r="T1135" s="135"/>
      <c r="U1135" s="132"/>
      <c r="V1135" s="129"/>
      <c r="W1135" s="132"/>
      <c r="X1135" s="132"/>
      <c r="Y1135" s="132"/>
    </row>
    <row r="1136" spans="1:25" ht="15.75" customHeight="1">
      <c r="A1136" s="125"/>
      <c r="B1136" s="125"/>
      <c r="C1136" s="125"/>
      <c r="D1136" s="125"/>
      <c r="E1136" s="126"/>
      <c r="F1136" s="128"/>
      <c r="G1136" s="128"/>
      <c r="H1136" s="128"/>
      <c r="I1136" s="128"/>
      <c r="J1136" s="128"/>
      <c r="K1136" s="129"/>
      <c r="L1136" s="129"/>
      <c r="M1136" s="129"/>
      <c r="N1136" s="129"/>
      <c r="O1136" s="129"/>
      <c r="P1136" s="129"/>
      <c r="Q1136" s="129"/>
      <c r="R1136" s="132"/>
      <c r="S1136" s="132"/>
      <c r="T1136" s="135"/>
      <c r="U1136" s="132"/>
      <c r="V1136" s="129"/>
      <c r="W1136" s="132"/>
      <c r="X1136" s="132"/>
      <c r="Y1136" s="132"/>
    </row>
    <row r="1137" spans="1:25" ht="15.75" customHeight="1">
      <c r="A1137" s="125"/>
      <c r="B1137" s="125"/>
      <c r="C1137" s="125"/>
      <c r="D1137" s="125"/>
      <c r="E1137" s="126"/>
      <c r="F1137" s="128"/>
      <c r="G1137" s="128"/>
      <c r="H1137" s="128"/>
      <c r="I1137" s="128"/>
      <c r="J1137" s="128"/>
      <c r="K1137" s="129"/>
      <c r="L1137" s="129"/>
      <c r="M1137" s="129"/>
      <c r="N1137" s="129"/>
      <c r="O1137" s="129"/>
      <c r="P1137" s="129"/>
      <c r="Q1137" s="129"/>
      <c r="R1137" s="132"/>
      <c r="S1137" s="132"/>
      <c r="T1137" s="135"/>
      <c r="U1137" s="132"/>
      <c r="V1137" s="129"/>
      <c r="W1137" s="132"/>
      <c r="X1137" s="132"/>
      <c r="Y1137" s="132"/>
    </row>
    <row r="1138" spans="1:25" ht="15.75" customHeight="1">
      <c r="A1138" s="125"/>
      <c r="B1138" s="125"/>
      <c r="C1138" s="125"/>
      <c r="D1138" s="125"/>
      <c r="E1138" s="126"/>
      <c r="F1138" s="128"/>
      <c r="G1138" s="128"/>
      <c r="H1138" s="128"/>
      <c r="I1138" s="128"/>
      <c r="J1138" s="128"/>
      <c r="K1138" s="129"/>
      <c r="L1138" s="129"/>
      <c r="M1138" s="129"/>
      <c r="N1138" s="129"/>
      <c r="O1138" s="129"/>
      <c r="P1138" s="129"/>
      <c r="Q1138" s="129"/>
      <c r="R1138" s="132"/>
      <c r="S1138" s="132"/>
      <c r="T1138" s="135"/>
      <c r="U1138" s="132"/>
      <c r="V1138" s="129"/>
      <c r="W1138" s="132"/>
      <c r="X1138" s="132"/>
      <c r="Y1138" s="132"/>
    </row>
    <row r="1139" spans="1:25" ht="15.75" customHeight="1">
      <c r="A1139" s="125"/>
      <c r="B1139" s="125"/>
      <c r="C1139" s="125"/>
      <c r="D1139" s="125"/>
      <c r="E1139" s="126"/>
      <c r="F1139" s="128"/>
      <c r="G1139" s="128"/>
      <c r="H1139" s="128"/>
      <c r="I1139" s="128"/>
      <c r="J1139" s="128"/>
      <c r="K1139" s="129"/>
      <c r="L1139" s="129"/>
      <c r="M1139" s="129"/>
      <c r="N1139" s="129"/>
      <c r="O1139" s="129"/>
      <c r="P1139" s="129"/>
      <c r="Q1139" s="129"/>
      <c r="R1139" s="132"/>
      <c r="S1139" s="132"/>
      <c r="T1139" s="135"/>
      <c r="U1139" s="132"/>
      <c r="V1139" s="129"/>
      <c r="W1139" s="132"/>
      <c r="X1139" s="132"/>
      <c r="Y1139" s="132"/>
    </row>
    <row r="1140" spans="1:25" ht="15.75" customHeight="1">
      <c r="A1140" s="125"/>
      <c r="B1140" s="125"/>
      <c r="C1140" s="125"/>
      <c r="D1140" s="125"/>
      <c r="E1140" s="126"/>
      <c r="F1140" s="128"/>
      <c r="G1140" s="128"/>
      <c r="H1140" s="128"/>
      <c r="I1140" s="128"/>
      <c r="J1140" s="128"/>
      <c r="K1140" s="129"/>
      <c r="L1140" s="129"/>
      <c r="M1140" s="129"/>
      <c r="N1140" s="129"/>
      <c r="O1140" s="129"/>
      <c r="P1140" s="129"/>
      <c r="Q1140" s="129"/>
      <c r="R1140" s="132"/>
      <c r="S1140" s="132"/>
      <c r="T1140" s="135"/>
      <c r="U1140" s="132"/>
      <c r="V1140" s="129"/>
      <c r="W1140" s="132"/>
      <c r="X1140" s="132"/>
      <c r="Y1140" s="132"/>
    </row>
    <row r="1141" spans="1:25" ht="15.75" customHeight="1">
      <c r="A1141" s="125"/>
      <c r="B1141" s="125"/>
      <c r="C1141" s="125"/>
      <c r="D1141" s="125"/>
      <c r="E1141" s="126"/>
      <c r="F1141" s="128"/>
      <c r="G1141" s="128"/>
      <c r="H1141" s="128"/>
      <c r="I1141" s="128"/>
      <c r="J1141" s="128"/>
      <c r="K1141" s="129"/>
      <c r="L1141" s="129"/>
      <c r="M1141" s="129"/>
      <c r="N1141" s="129"/>
      <c r="O1141" s="129"/>
      <c r="P1141" s="129"/>
      <c r="Q1141" s="129"/>
      <c r="R1141" s="132"/>
      <c r="S1141" s="132"/>
      <c r="T1141" s="135"/>
      <c r="U1141" s="132"/>
      <c r="V1141" s="129"/>
      <c r="W1141" s="132"/>
      <c r="X1141" s="132"/>
      <c r="Y1141" s="132"/>
    </row>
    <row r="1142" spans="1:25" ht="15.75" customHeight="1">
      <c r="A1142" s="125"/>
      <c r="B1142" s="125"/>
      <c r="C1142" s="125"/>
      <c r="D1142" s="125"/>
      <c r="E1142" s="126"/>
      <c r="F1142" s="128"/>
      <c r="G1142" s="128"/>
      <c r="H1142" s="128"/>
      <c r="I1142" s="128"/>
      <c r="J1142" s="128"/>
      <c r="K1142" s="129"/>
      <c r="L1142" s="129"/>
      <c r="M1142" s="129"/>
      <c r="N1142" s="129"/>
      <c r="O1142" s="129"/>
      <c r="P1142" s="129"/>
      <c r="Q1142" s="129"/>
      <c r="R1142" s="132"/>
      <c r="S1142" s="132"/>
      <c r="T1142" s="135"/>
      <c r="U1142" s="132"/>
      <c r="V1142" s="129"/>
      <c r="W1142" s="132"/>
      <c r="X1142" s="132"/>
      <c r="Y1142" s="132"/>
    </row>
    <row r="1143" spans="1:25" ht="15.75" customHeight="1">
      <c r="A1143" s="125"/>
      <c r="B1143" s="125"/>
      <c r="C1143" s="125"/>
      <c r="D1143" s="125"/>
      <c r="E1143" s="126"/>
      <c r="F1143" s="128"/>
      <c r="G1143" s="128"/>
      <c r="H1143" s="128"/>
      <c r="I1143" s="128"/>
      <c r="J1143" s="128"/>
      <c r="K1143" s="129"/>
      <c r="L1143" s="129"/>
      <c r="M1143" s="129"/>
      <c r="N1143" s="129"/>
      <c r="O1143" s="129"/>
      <c r="P1143" s="129"/>
      <c r="Q1143" s="129"/>
      <c r="R1143" s="132"/>
      <c r="S1143" s="132"/>
      <c r="T1143" s="135"/>
      <c r="U1143" s="132"/>
      <c r="V1143" s="129"/>
      <c r="W1143" s="132"/>
      <c r="X1143" s="132"/>
      <c r="Y1143" s="132"/>
    </row>
    <row r="1144" spans="1:25" ht="15.75" customHeight="1">
      <c r="A1144" s="125"/>
      <c r="B1144" s="125"/>
      <c r="C1144" s="125"/>
      <c r="D1144" s="125"/>
      <c r="E1144" s="126"/>
      <c r="F1144" s="128"/>
      <c r="G1144" s="128"/>
      <c r="H1144" s="128"/>
      <c r="I1144" s="128"/>
      <c r="J1144" s="128"/>
      <c r="K1144" s="129"/>
      <c r="L1144" s="129"/>
      <c r="M1144" s="129"/>
      <c r="N1144" s="129"/>
      <c r="O1144" s="129"/>
      <c r="P1144" s="129"/>
      <c r="Q1144" s="129"/>
      <c r="R1144" s="132"/>
      <c r="S1144" s="132"/>
      <c r="T1144" s="135"/>
      <c r="U1144" s="132"/>
      <c r="V1144" s="129"/>
      <c r="W1144" s="132"/>
      <c r="X1144" s="132"/>
      <c r="Y1144" s="132"/>
    </row>
    <row r="1145" spans="1:25" ht="15.75" customHeight="1">
      <c r="A1145" s="125"/>
      <c r="B1145" s="125"/>
      <c r="C1145" s="125"/>
      <c r="D1145" s="125"/>
      <c r="E1145" s="126"/>
      <c r="F1145" s="128"/>
      <c r="G1145" s="128"/>
      <c r="H1145" s="128"/>
      <c r="I1145" s="128"/>
      <c r="J1145" s="128"/>
      <c r="K1145" s="129"/>
      <c r="L1145" s="129"/>
      <c r="M1145" s="129"/>
      <c r="N1145" s="129"/>
      <c r="O1145" s="129"/>
      <c r="P1145" s="129"/>
      <c r="Q1145" s="129"/>
      <c r="R1145" s="132"/>
      <c r="S1145" s="132"/>
      <c r="T1145" s="135"/>
      <c r="U1145" s="132"/>
      <c r="V1145" s="129"/>
      <c r="W1145" s="132"/>
      <c r="X1145" s="132"/>
      <c r="Y1145" s="132"/>
    </row>
    <row r="1146" spans="1:25" ht="15.75" customHeight="1">
      <c r="A1146" s="125"/>
      <c r="B1146" s="125"/>
      <c r="C1146" s="125"/>
      <c r="D1146" s="125"/>
      <c r="E1146" s="126"/>
      <c r="F1146" s="128"/>
      <c r="G1146" s="128"/>
      <c r="H1146" s="128"/>
      <c r="I1146" s="128"/>
      <c r="J1146" s="128"/>
      <c r="K1146" s="129"/>
      <c r="L1146" s="129"/>
      <c r="M1146" s="129"/>
      <c r="N1146" s="129"/>
      <c r="O1146" s="129"/>
      <c r="P1146" s="129"/>
      <c r="Q1146" s="129"/>
      <c r="R1146" s="132"/>
      <c r="S1146" s="132"/>
      <c r="T1146" s="135"/>
      <c r="U1146" s="132"/>
      <c r="V1146" s="129"/>
      <c r="W1146" s="132"/>
      <c r="X1146" s="132"/>
      <c r="Y1146" s="132"/>
    </row>
    <row r="1147" spans="1:25" ht="15.75" customHeight="1">
      <c r="A1147" s="125"/>
      <c r="B1147" s="125"/>
      <c r="C1147" s="125"/>
      <c r="D1147" s="125"/>
      <c r="E1147" s="126"/>
      <c r="F1147" s="128"/>
      <c r="G1147" s="128"/>
      <c r="H1147" s="128"/>
      <c r="I1147" s="128"/>
      <c r="J1147" s="128"/>
      <c r="K1147" s="129"/>
      <c r="L1147" s="129"/>
      <c r="M1147" s="129"/>
      <c r="N1147" s="129"/>
      <c r="O1147" s="129"/>
      <c r="P1147" s="129"/>
      <c r="Q1147" s="129"/>
      <c r="R1147" s="132"/>
      <c r="S1147" s="132"/>
      <c r="T1147" s="135"/>
      <c r="U1147" s="132"/>
      <c r="V1147" s="129"/>
      <c r="W1147" s="132"/>
      <c r="X1147" s="132"/>
      <c r="Y1147" s="132"/>
    </row>
    <row r="1148" spans="1:25" ht="15.75" customHeight="1">
      <c r="A1148" s="125"/>
      <c r="B1148" s="125"/>
      <c r="C1148" s="125"/>
      <c r="D1148" s="125"/>
      <c r="E1148" s="126"/>
      <c r="F1148" s="128"/>
      <c r="G1148" s="128"/>
      <c r="H1148" s="128"/>
      <c r="I1148" s="128"/>
      <c r="J1148" s="128"/>
      <c r="K1148" s="129"/>
      <c r="L1148" s="129"/>
      <c r="M1148" s="129"/>
      <c r="N1148" s="129"/>
      <c r="O1148" s="129"/>
      <c r="P1148" s="129"/>
      <c r="Q1148" s="129"/>
      <c r="R1148" s="132"/>
      <c r="S1148" s="132"/>
      <c r="T1148" s="135"/>
      <c r="U1148" s="132"/>
      <c r="V1148" s="129"/>
      <c r="W1148" s="132"/>
      <c r="X1148" s="132"/>
      <c r="Y1148" s="132"/>
    </row>
    <row r="1149" spans="1:25" ht="15.75" customHeight="1">
      <c r="A1149" s="125"/>
      <c r="B1149" s="125"/>
      <c r="C1149" s="125"/>
      <c r="D1149" s="125"/>
      <c r="E1149" s="126"/>
      <c r="F1149" s="128"/>
      <c r="G1149" s="128"/>
      <c r="H1149" s="128"/>
      <c r="I1149" s="128"/>
      <c r="J1149" s="128"/>
      <c r="K1149" s="129"/>
      <c r="L1149" s="129"/>
      <c r="M1149" s="129"/>
      <c r="N1149" s="129"/>
      <c r="O1149" s="129"/>
      <c r="P1149" s="129"/>
      <c r="Q1149" s="129"/>
      <c r="R1149" s="132"/>
      <c r="S1149" s="132"/>
      <c r="T1149" s="135"/>
      <c r="U1149" s="132"/>
      <c r="V1149" s="129"/>
      <c r="W1149" s="132"/>
      <c r="X1149" s="132"/>
      <c r="Y1149" s="132"/>
    </row>
    <row r="1150" spans="1:25" ht="15.75" customHeight="1">
      <c r="A1150" s="125"/>
      <c r="B1150" s="125"/>
      <c r="C1150" s="125"/>
      <c r="D1150" s="125"/>
      <c r="E1150" s="126"/>
      <c r="F1150" s="128"/>
      <c r="G1150" s="128"/>
      <c r="H1150" s="128"/>
      <c r="I1150" s="128"/>
      <c r="J1150" s="128"/>
      <c r="K1150" s="129"/>
      <c r="L1150" s="129"/>
      <c r="M1150" s="129"/>
      <c r="N1150" s="129"/>
      <c r="O1150" s="129"/>
      <c r="P1150" s="129"/>
      <c r="Q1150" s="129"/>
      <c r="R1150" s="132"/>
      <c r="S1150" s="132"/>
      <c r="T1150" s="135"/>
      <c r="U1150" s="132"/>
      <c r="V1150" s="129"/>
      <c r="W1150" s="132"/>
      <c r="X1150" s="132"/>
      <c r="Y1150" s="132"/>
    </row>
    <row r="1151" spans="1:25" ht="15.75" customHeight="1">
      <c r="A1151" s="125"/>
      <c r="B1151" s="125"/>
      <c r="C1151" s="125"/>
      <c r="D1151" s="125"/>
      <c r="E1151" s="126"/>
      <c r="F1151" s="128"/>
      <c r="G1151" s="128"/>
      <c r="H1151" s="128"/>
      <c r="I1151" s="128"/>
      <c r="J1151" s="128"/>
      <c r="K1151" s="129"/>
      <c r="L1151" s="129"/>
      <c r="M1151" s="129"/>
      <c r="N1151" s="129"/>
      <c r="O1151" s="129"/>
      <c r="P1151" s="129"/>
      <c r="Q1151" s="129"/>
      <c r="R1151" s="132"/>
      <c r="S1151" s="132"/>
      <c r="T1151" s="135"/>
      <c r="U1151" s="132"/>
      <c r="V1151" s="129"/>
      <c r="W1151" s="132"/>
      <c r="X1151" s="132"/>
      <c r="Y1151" s="132"/>
    </row>
    <row r="1152" spans="1:25" ht="15.75" customHeight="1">
      <c r="A1152" s="125"/>
      <c r="B1152" s="125"/>
      <c r="C1152" s="125"/>
      <c r="D1152" s="125"/>
      <c r="E1152" s="126"/>
      <c r="F1152" s="128"/>
      <c r="G1152" s="128"/>
      <c r="H1152" s="128"/>
      <c r="I1152" s="128"/>
      <c r="J1152" s="128"/>
      <c r="K1152" s="129"/>
      <c r="L1152" s="129"/>
      <c r="M1152" s="129"/>
      <c r="N1152" s="129"/>
      <c r="O1152" s="129"/>
      <c r="P1152" s="129"/>
      <c r="Q1152" s="129"/>
      <c r="R1152" s="132"/>
      <c r="S1152" s="132"/>
      <c r="T1152" s="135"/>
      <c r="U1152" s="132"/>
      <c r="V1152" s="129"/>
      <c r="W1152" s="132"/>
      <c r="X1152" s="132"/>
      <c r="Y1152" s="132"/>
    </row>
    <row r="1153" spans="1:25" ht="15.75" customHeight="1">
      <c r="A1153" s="125"/>
      <c r="B1153" s="125"/>
      <c r="C1153" s="125"/>
      <c r="D1153" s="125"/>
      <c r="E1153" s="126"/>
      <c r="F1153" s="128"/>
      <c r="G1153" s="128"/>
      <c r="H1153" s="128"/>
      <c r="I1153" s="128"/>
      <c r="J1153" s="128"/>
      <c r="K1153" s="129"/>
      <c r="L1153" s="129"/>
      <c r="M1153" s="129"/>
      <c r="N1153" s="129"/>
      <c r="O1153" s="129"/>
      <c r="P1153" s="129"/>
      <c r="Q1153" s="129"/>
      <c r="R1153" s="132"/>
      <c r="S1153" s="132"/>
      <c r="T1153" s="135"/>
      <c r="U1153" s="132"/>
      <c r="V1153" s="129"/>
      <c r="W1153" s="132"/>
      <c r="X1153" s="132"/>
      <c r="Y1153" s="132"/>
    </row>
    <row r="1154" spans="1:25" ht="15.75" customHeight="1">
      <c r="A1154" s="125"/>
      <c r="B1154" s="125"/>
      <c r="C1154" s="125"/>
      <c r="D1154" s="125"/>
      <c r="E1154" s="126"/>
      <c r="F1154" s="128"/>
      <c r="G1154" s="128"/>
      <c r="H1154" s="128"/>
      <c r="I1154" s="128"/>
      <c r="J1154" s="128"/>
      <c r="K1154" s="129"/>
      <c r="L1154" s="129"/>
      <c r="M1154" s="129"/>
      <c r="N1154" s="129"/>
      <c r="O1154" s="129"/>
      <c r="P1154" s="129"/>
      <c r="Q1154" s="129"/>
      <c r="R1154" s="132"/>
      <c r="S1154" s="132"/>
      <c r="T1154" s="135"/>
      <c r="U1154" s="132"/>
      <c r="V1154" s="129"/>
      <c r="W1154" s="132"/>
      <c r="X1154" s="132"/>
      <c r="Y1154" s="132"/>
    </row>
    <row r="1155" spans="1:25" ht="15.75" customHeight="1">
      <c r="A1155" s="125"/>
      <c r="B1155" s="125"/>
      <c r="C1155" s="125"/>
      <c r="D1155" s="125"/>
      <c r="E1155" s="126"/>
      <c r="F1155" s="128"/>
      <c r="G1155" s="128"/>
      <c r="H1155" s="128"/>
      <c r="I1155" s="128"/>
      <c r="J1155" s="128"/>
      <c r="K1155" s="129"/>
      <c r="L1155" s="129"/>
      <c r="M1155" s="129"/>
      <c r="N1155" s="129"/>
      <c r="O1155" s="129"/>
      <c r="P1155" s="129"/>
      <c r="Q1155" s="129"/>
      <c r="R1155" s="132"/>
      <c r="S1155" s="132"/>
      <c r="T1155" s="135"/>
      <c r="U1155" s="132"/>
      <c r="V1155" s="129"/>
      <c r="W1155" s="132"/>
      <c r="X1155" s="132"/>
      <c r="Y1155" s="132"/>
    </row>
    <row r="1156" spans="1:25" ht="15.75" customHeight="1">
      <c r="A1156" s="125"/>
      <c r="B1156" s="125"/>
      <c r="C1156" s="125"/>
      <c r="D1156" s="125"/>
      <c r="E1156" s="126"/>
      <c r="F1156" s="128"/>
      <c r="G1156" s="128"/>
      <c r="H1156" s="128"/>
      <c r="I1156" s="128"/>
      <c r="J1156" s="128"/>
      <c r="K1156" s="129"/>
      <c r="L1156" s="129"/>
      <c r="M1156" s="129"/>
      <c r="N1156" s="129"/>
      <c r="O1156" s="129"/>
      <c r="P1156" s="129"/>
      <c r="Q1156" s="129"/>
      <c r="R1156" s="132"/>
      <c r="S1156" s="132"/>
      <c r="T1156" s="135"/>
      <c r="U1156" s="132"/>
      <c r="V1156" s="129"/>
      <c r="W1156" s="132"/>
      <c r="X1156" s="132"/>
      <c r="Y1156" s="132"/>
    </row>
    <row r="1157" spans="1:25" ht="15.75" customHeight="1">
      <c r="A1157" s="125"/>
      <c r="B1157" s="125"/>
      <c r="C1157" s="125"/>
      <c r="D1157" s="125"/>
      <c r="E1157" s="126"/>
      <c r="F1157" s="128"/>
      <c r="G1157" s="128"/>
      <c r="H1157" s="128"/>
      <c r="I1157" s="128"/>
      <c r="J1157" s="128"/>
      <c r="K1157" s="129"/>
      <c r="L1157" s="129"/>
      <c r="M1157" s="129"/>
      <c r="N1157" s="129"/>
      <c r="O1157" s="129"/>
      <c r="P1157" s="129"/>
      <c r="Q1157" s="129"/>
      <c r="R1157" s="132"/>
      <c r="S1157" s="132"/>
      <c r="T1157" s="135"/>
      <c r="U1157" s="132"/>
      <c r="V1157" s="129"/>
      <c r="W1157" s="132"/>
      <c r="X1157" s="132"/>
      <c r="Y1157" s="132"/>
    </row>
    <row r="1158" spans="1:25" ht="15.75" customHeight="1">
      <c r="A1158" s="125"/>
      <c r="B1158" s="125"/>
      <c r="C1158" s="125"/>
      <c r="D1158" s="125"/>
      <c r="E1158" s="126"/>
      <c r="F1158" s="128"/>
      <c r="G1158" s="128"/>
      <c r="H1158" s="128"/>
      <c r="I1158" s="128"/>
      <c r="J1158" s="128"/>
      <c r="K1158" s="129"/>
      <c r="L1158" s="129"/>
      <c r="M1158" s="129"/>
      <c r="N1158" s="129"/>
      <c r="O1158" s="129"/>
      <c r="P1158" s="129"/>
      <c r="Q1158" s="129"/>
      <c r="R1158" s="132"/>
      <c r="S1158" s="132"/>
      <c r="T1158" s="135"/>
      <c r="U1158" s="132"/>
      <c r="V1158" s="129"/>
      <c r="W1158" s="132"/>
      <c r="X1158" s="132"/>
      <c r="Y1158" s="132"/>
    </row>
    <row r="1159" spans="1:25" ht="15.75" customHeight="1">
      <c r="A1159" s="125"/>
      <c r="B1159" s="125"/>
      <c r="C1159" s="125"/>
      <c r="D1159" s="125"/>
      <c r="E1159" s="126"/>
      <c r="F1159" s="128"/>
      <c r="G1159" s="128"/>
      <c r="H1159" s="128"/>
      <c r="I1159" s="128"/>
      <c r="J1159" s="128"/>
      <c r="K1159" s="129"/>
      <c r="L1159" s="129"/>
      <c r="M1159" s="129"/>
      <c r="N1159" s="129"/>
      <c r="O1159" s="129"/>
      <c r="P1159" s="129"/>
      <c r="Q1159" s="129"/>
      <c r="R1159" s="132"/>
      <c r="S1159" s="132"/>
      <c r="T1159" s="135"/>
      <c r="U1159" s="132"/>
      <c r="V1159" s="129"/>
      <c r="W1159" s="132"/>
      <c r="X1159" s="132"/>
      <c r="Y1159" s="132"/>
    </row>
    <row r="1160" spans="1:25" ht="15.75" customHeight="1">
      <c r="A1160" s="125"/>
      <c r="B1160" s="125"/>
      <c r="C1160" s="125"/>
      <c r="D1160" s="125"/>
      <c r="E1160" s="126"/>
      <c r="F1160" s="128"/>
      <c r="G1160" s="128"/>
      <c r="H1160" s="128"/>
      <c r="I1160" s="128"/>
      <c r="J1160" s="128"/>
      <c r="K1160" s="129"/>
      <c r="L1160" s="129"/>
      <c r="M1160" s="129"/>
      <c r="N1160" s="129"/>
      <c r="O1160" s="129"/>
      <c r="P1160" s="129"/>
      <c r="Q1160" s="129"/>
      <c r="R1160" s="132"/>
      <c r="S1160" s="132"/>
      <c r="T1160" s="135"/>
      <c r="U1160" s="132"/>
      <c r="V1160" s="129"/>
      <c r="W1160" s="132"/>
      <c r="X1160" s="132"/>
      <c r="Y1160" s="132"/>
    </row>
    <row r="1161" spans="1:25" ht="15.75" customHeight="1">
      <c r="A1161" s="125"/>
      <c r="B1161" s="125"/>
      <c r="C1161" s="125"/>
      <c r="D1161" s="125"/>
      <c r="E1161" s="126"/>
      <c r="F1161" s="128"/>
      <c r="G1161" s="128"/>
      <c r="H1161" s="128"/>
      <c r="I1161" s="128"/>
      <c r="J1161" s="128"/>
      <c r="K1161" s="129"/>
      <c r="L1161" s="129"/>
      <c r="M1161" s="129"/>
      <c r="N1161" s="129"/>
      <c r="O1161" s="129"/>
      <c r="P1161" s="129"/>
      <c r="Q1161" s="129"/>
      <c r="R1161" s="132"/>
      <c r="S1161" s="132"/>
      <c r="T1161" s="135"/>
      <c r="U1161" s="132"/>
      <c r="V1161" s="129"/>
      <c r="W1161" s="132"/>
      <c r="X1161" s="132"/>
      <c r="Y1161" s="132"/>
    </row>
    <row r="1162" spans="1:25" ht="15.75" customHeight="1">
      <c r="A1162" s="125"/>
      <c r="B1162" s="125"/>
      <c r="C1162" s="125"/>
      <c r="D1162" s="125"/>
      <c r="E1162" s="126"/>
      <c r="F1162" s="128"/>
      <c r="G1162" s="128"/>
      <c r="H1162" s="128"/>
      <c r="I1162" s="128"/>
      <c r="J1162" s="128"/>
      <c r="K1162" s="129"/>
      <c r="L1162" s="129"/>
      <c r="M1162" s="129"/>
      <c r="N1162" s="129"/>
      <c r="O1162" s="129"/>
      <c r="P1162" s="129"/>
      <c r="Q1162" s="129"/>
      <c r="R1162" s="132"/>
      <c r="S1162" s="132"/>
      <c r="T1162" s="135"/>
      <c r="U1162" s="132"/>
      <c r="V1162" s="129"/>
      <c r="W1162" s="132"/>
      <c r="X1162" s="132"/>
      <c r="Y1162" s="132"/>
    </row>
    <row r="1163" spans="1:25" ht="15.75" customHeight="1">
      <c r="A1163" s="125"/>
      <c r="B1163" s="125"/>
      <c r="C1163" s="125"/>
      <c r="D1163" s="125"/>
      <c r="E1163" s="126"/>
      <c r="F1163" s="128"/>
      <c r="G1163" s="128"/>
      <c r="H1163" s="128"/>
      <c r="I1163" s="128"/>
      <c r="J1163" s="128"/>
      <c r="K1163" s="129"/>
      <c r="L1163" s="129"/>
      <c r="M1163" s="129"/>
      <c r="N1163" s="129"/>
      <c r="O1163" s="129"/>
      <c r="P1163" s="129"/>
      <c r="Q1163" s="129"/>
      <c r="R1163" s="132"/>
      <c r="S1163" s="132"/>
      <c r="T1163" s="135"/>
      <c r="U1163" s="132"/>
      <c r="V1163" s="129"/>
      <c r="W1163" s="132"/>
      <c r="X1163" s="132"/>
      <c r="Y1163" s="132"/>
    </row>
    <row r="1164" spans="1:25" ht="15.75" customHeight="1">
      <c r="A1164" s="125"/>
      <c r="B1164" s="125"/>
      <c r="C1164" s="125"/>
      <c r="D1164" s="125"/>
      <c r="E1164" s="126"/>
      <c r="F1164" s="128"/>
      <c r="G1164" s="128"/>
      <c r="H1164" s="128"/>
      <c r="I1164" s="128"/>
      <c r="J1164" s="128"/>
      <c r="K1164" s="129"/>
      <c r="L1164" s="129"/>
      <c r="M1164" s="129"/>
      <c r="N1164" s="129"/>
      <c r="O1164" s="129"/>
      <c r="P1164" s="129"/>
      <c r="Q1164" s="129"/>
      <c r="R1164" s="132"/>
      <c r="S1164" s="132"/>
      <c r="T1164" s="135"/>
      <c r="U1164" s="132"/>
      <c r="V1164" s="129"/>
      <c r="W1164" s="132"/>
      <c r="X1164" s="132"/>
      <c r="Y1164" s="132"/>
    </row>
    <row r="1165" spans="1:25" ht="15.75" customHeight="1">
      <c r="A1165" s="125"/>
      <c r="B1165" s="125"/>
      <c r="C1165" s="125"/>
      <c r="D1165" s="125"/>
      <c r="E1165" s="126"/>
      <c r="F1165" s="128"/>
      <c r="G1165" s="128"/>
      <c r="H1165" s="128"/>
      <c r="I1165" s="128"/>
      <c r="J1165" s="128"/>
      <c r="K1165" s="129"/>
      <c r="L1165" s="129"/>
      <c r="M1165" s="129"/>
      <c r="N1165" s="129"/>
      <c r="O1165" s="129"/>
      <c r="P1165" s="129"/>
      <c r="Q1165" s="129"/>
      <c r="R1165" s="132"/>
      <c r="S1165" s="132"/>
      <c r="T1165" s="135"/>
      <c r="U1165" s="132"/>
      <c r="V1165" s="129"/>
      <c r="W1165" s="132"/>
      <c r="X1165" s="132"/>
      <c r="Y1165" s="132"/>
    </row>
    <row r="1166" spans="1:25" ht="15.75" customHeight="1">
      <c r="A1166" s="125"/>
      <c r="B1166" s="125"/>
      <c r="C1166" s="125"/>
      <c r="D1166" s="125"/>
      <c r="E1166" s="126"/>
      <c r="F1166" s="128"/>
      <c r="G1166" s="128"/>
      <c r="H1166" s="128"/>
      <c r="I1166" s="128"/>
      <c r="J1166" s="128"/>
      <c r="K1166" s="129"/>
      <c r="L1166" s="129"/>
      <c r="M1166" s="129"/>
      <c r="N1166" s="129"/>
      <c r="O1166" s="129"/>
      <c r="P1166" s="129"/>
      <c r="Q1166" s="129"/>
      <c r="R1166" s="132"/>
      <c r="S1166" s="132"/>
      <c r="T1166" s="135"/>
      <c r="U1166" s="132"/>
      <c r="V1166" s="129"/>
      <c r="W1166" s="132"/>
      <c r="X1166" s="132"/>
      <c r="Y1166" s="132"/>
    </row>
    <row r="1167" spans="1:25" ht="15.75" customHeight="1">
      <c r="A1167" s="125"/>
      <c r="B1167" s="125"/>
      <c r="C1167" s="125"/>
      <c r="D1167" s="125"/>
      <c r="E1167" s="126"/>
      <c r="F1167" s="128"/>
      <c r="G1167" s="128"/>
      <c r="H1167" s="128"/>
      <c r="I1167" s="128"/>
      <c r="J1167" s="128"/>
      <c r="K1167" s="129"/>
      <c r="L1167" s="129"/>
      <c r="M1167" s="129"/>
      <c r="N1167" s="129"/>
      <c r="O1167" s="129"/>
      <c r="P1167" s="129"/>
      <c r="Q1167" s="129"/>
      <c r="R1167" s="132"/>
      <c r="S1167" s="132"/>
      <c r="T1167" s="135"/>
      <c r="U1167" s="132"/>
      <c r="V1167" s="129"/>
      <c r="W1167" s="132"/>
      <c r="X1167" s="132"/>
      <c r="Y1167" s="132"/>
    </row>
    <row r="1168" spans="1:25" ht="15.75" customHeight="1">
      <c r="A1168" s="125"/>
      <c r="B1168" s="125"/>
      <c r="C1168" s="125"/>
      <c r="D1168" s="125"/>
      <c r="E1168" s="126"/>
      <c r="F1168" s="128"/>
      <c r="G1168" s="128"/>
      <c r="H1168" s="128"/>
      <c r="I1168" s="128"/>
      <c r="J1168" s="128"/>
      <c r="K1168" s="129"/>
      <c r="L1168" s="129"/>
      <c r="M1168" s="129"/>
      <c r="N1168" s="129"/>
      <c r="O1168" s="129"/>
      <c r="P1168" s="129"/>
      <c r="Q1168" s="129"/>
      <c r="R1168" s="132"/>
      <c r="S1168" s="132"/>
      <c r="T1168" s="135"/>
      <c r="U1168" s="132"/>
      <c r="V1168" s="129"/>
      <c r="W1168" s="132"/>
      <c r="X1168" s="132"/>
      <c r="Y1168" s="132"/>
    </row>
    <row r="1169" spans="1:25" ht="15.75" customHeight="1">
      <c r="A1169" s="125"/>
      <c r="B1169" s="125"/>
      <c r="C1169" s="125"/>
      <c r="D1169" s="125"/>
      <c r="E1169" s="126"/>
      <c r="F1169" s="128"/>
      <c r="G1169" s="128"/>
      <c r="H1169" s="128"/>
      <c r="I1169" s="128"/>
      <c r="J1169" s="128"/>
      <c r="K1169" s="129"/>
      <c r="L1169" s="129"/>
      <c r="M1169" s="129"/>
      <c r="N1169" s="129"/>
      <c r="O1169" s="129"/>
      <c r="P1169" s="129"/>
      <c r="Q1169" s="129"/>
      <c r="R1169" s="132"/>
      <c r="S1169" s="132"/>
      <c r="T1169" s="135"/>
      <c r="U1169" s="132"/>
      <c r="V1169" s="129"/>
      <c r="W1169" s="132"/>
      <c r="X1169" s="132"/>
      <c r="Y1169" s="132"/>
    </row>
    <row r="1170" spans="1:25" ht="15.75" customHeight="1">
      <c r="A1170" s="125"/>
      <c r="B1170" s="125"/>
      <c r="C1170" s="125"/>
      <c r="D1170" s="125"/>
      <c r="E1170" s="126"/>
      <c r="F1170" s="128"/>
      <c r="G1170" s="128"/>
      <c r="H1170" s="128"/>
      <c r="I1170" s="128"/>
      <c r="J1170" s="128"/>
      <c r="K1170" s="129"/>
      <c r="L1170" s="129"/>
      <c r="M1170" s="129"/>
      <c r="N1170" s="129"/>
      <c r="O1170" s="129"/>
      <c r="P1170" s="129"/>
      <c r="Q1170" s="129"/>
      <c r="R1170" s="132"/>
      <c r="S1170" s="132"/>
      <c r="T1170" s="135"/>
      <c r="U1170" s="132"/>
      <c r="V1170" s="129"/>
      <c r="W1170" s="132"/>
      <c r="X1170" s="132"/>
      <c r="Y1170" s="132"/>
    </row>
    <row r="1171" spans="1:25" ht="15.75" customHeight="1">
      <c r="A1171" s="125"/>
      <c r="B1171" s="125"/>
      <c r="C1171" s="125"/>
      <c r="D1171" s="125"/>
      <c r="E1171" s="126"/>
      <c r="F1171" s="128"/>
      <c r="G1171" s="128"/>
      <c r="H1171" s="128"/>
      <c r="I1171" s="128"/>
      <c r="J1171" s="128"/>
      <c r="K1171" s="129"/>
      <c r="L1171" s="129"/>
      <c r="M1171" s="129"/>
      <c r="N1171" s="129"/>
      <c r="O1171" s="129"/>
      <c r="P1171" s="129"/>
      <c r="Q1171" s="129"/>
      <c r="R1171" s="132"/>
      <c r="S1171" s="132"/>
      <c r="T1171" s="135"/>
      <c r="U1171" s="132"/>
      <c r="V1171" s="129"/>
      <c r="W1171" s="132"/>
      <c r="X1171" s="132"/>
      <c r="Y1171" s="132"/>
    </row>
    <row r="1172" spans="1:25" ht="15.75" customHeight="1">
      <c r="A1172" s="125"/>
      <c r="B1172" s="125"/>
      <c r="C1172" s="125"/>
      <c r="D1172" s="125"/>
      <c r="E1172" s="126"/>
      <c r="F1172" s="128"/>
      <c r="G1172" s="128"/>
      <c r="H1172" s="128"/>
      <c r="I1172" s="128"/>
      <c r="J1172" s="128"/>
      <c r="K1172" s="129"/>
      <c r="L1172" s="129"/>
      <c r="M1172" s="129"/>
      <c r="N1172" s="129"/>
      <c r="O1172" s="129"/>
      <c r="P1172" s="129"/>
      <c r="Q1172" s="129"/>
      <c r="R1172" s="132"/>
      <c r="S1172" s="132"/>
      <c r="T1172" s="135"/>
      <c r="U1172" s="132"/>
      <c r="V1172" s="129"/>
      <c r="W1172" s="132"/>
      <c r="X1172" s="132"/>
      <c r="Y1172" s="132"/>
    </row>
    <row r="1173" spans="1:25" ht="15.75" customHeight="1">
      <c r="A1173" s="125"/>
      <c r="B1173" s="125"/>
      <c r="C1173" s="125"/>
      <c r="D1173" s="125"/>
      <c r="E1173" s="126"/>
      <c r="F1173" s="128"/>
      <c r="G1173" s="128"/>
      <c r="H1173" s="128"/>
      <c r="I1173" s="128"/>
      <c r="J1173" s="128"/>
      <c r="K1173" s="129"/>
      <c r="L1173" s="129"/>
      <c r="M1173" s="129"/>
      <c r="N1173" s="129"/>
      <c r="O1173" s="129"/>
      <c r="P1173" s="129"/>
      <c r="Q1173" s="129"/>
      <c r="R1173" s="132"/>
      <c r="S1173" s="132"/>
      <c r="T1173" s="135"/>
      <c r="U1173" s="132"/>
      <c r="V1173" s="129"/>
      <c r="W1173" s="132"/>
      <c r="X1173" s="132"/>
      <c r="Y1173" s="132"/>
    </row>
    <row r="1174" spans="1:25" ht="15.75" customHeight="1">
      <c r="A1174" s="125"/>
      <c r="B1174" s="125"/>
      <c r="C1174" s="125"/>
      <c r="D1174" s="125"/>
      <c r="E1174" s="126"/>
      <c r="F1174" s="128"/>
      <c r="G1174" s="128"/>
      <c r="H1174" s="128"/>
      <c r="I1174" s="128"/>
      <c r="J1174" s="128"/>
      <c r="K1174" s="129"/>
      <c r="L1174" s="129"/>
      <c r="M1174" s="129"/>
      <c r="N1174" s="129"/>
      <c r="O1174" s="129"/>
      <c r="P1174" s="129"/>
      <c r="Q1174" s="129"/>
      <c r="R1174" s="132"/>
      <c r="S1174" s="132"/>
      <c r="T1174" s="135"/>
      <c r="U1174" s="132"/>
      <c r="V1174" s="129"/>
      <c r="W1174" s="132"/>
      <c r="X1174" s="132"/>
      <c r="Y1174" s="132"/>
    </row>
    <row r="1175" spans="1:25" ht="15.75" customHeight="1">
      <c r="A1175" s="125"/>
      <c r="B1175" s="125"/>
      <c r="C1175" s="125"/>
      <c r="D1175" s="125"/>
      <c r="E1175" s="126"/>
      <c r="F1175" s="128"/>
      <c r="G1175" s="128"/>
      <c r="H1175" s="128"/>
      <c r="I1175" s="128"/>
      <c r="J1175" s="128"/>
      <c r="K1175" s="129"/>
      <c r="L1175" s="129"/>
      <c r="M1175" s="129"/>
      <c r="N1175" s="129"/>
      <c r="O1175" s="129"/>
      <c r="P1175" s="129"/>
      <c r="Q1175" s="129"/>
      <c r="R1175" s="132"/>
      <c r="S1175" s="132"/>
      <c r="T1175" s="135"/>
      <c r="U1175" s="132"/>
      <c r="V1175" s="129"/>
      <c r="W1175" s="132"/>
      <c r="X1175" s="132"/>
      <c r="Y1175" s="132"/>
    </row>
    <row r="1176" spans="1:25" ht="15.75" customHeight="1">
      <c r="A1176" s="125"/>
      <c r="B1176" s="125"/>
      <c r="C1176" s="125"/>
      <c r="D1176" s="125"/>
      <c r="E1176" s="126"/>
      <c r="F1176" s="128"/>
      <c r="G1176" s="128"/>
      <c r="H1176" s="128"/>
      <c r="I1176" s="128"/>
      <c r="J1176" s="128"/>
      <c r="K1176" s="129"/>
      <c r="L1176" s="129"/>
      <c r="M1176" s="129"/>
      <c r="N1176" s="129"/>
      <c r="O1176" s="129"/>
      <c r="P1176" s="129"/>
      <c r="Q1176" s="129"/>
      <c r="R1176" s="132"/>
      <c r="S1176" s="132"/>
      <c r="T1176" s="135"/>
      <c r="U1176" s="132"/>
      <c r="V1176" s="129"/>
      <c r="W1176" s="132"/>
      <c r="X1176" s="132"/>
      <c r="Y1176" s="132"/>
    </row>
    <row r="1177" spans="1:25" ht="15.75" customHeight="1">
      <c r="A1177" s="125"/>
      <c r="B1177" s="125"/>
      <c r="C1177" s="125"/>
      <c r="D1177" s="125"/>
      <c r="E1177" s="126"/>
      <c r="F1177" s="128"/>
      <c r="G1177" s="128"/>
      <c r="H1177" s="128"/>
      <c r="I1177" s="128"/>
      <c r="J1177" s="128"/>
      <c r="K1177" s="129"/>
      <c r="L1177" s="129"/>
      <c r="M1177" s="129"/>
      <c r="N1177" s="129"/>
      <c r="O1177" s="129"/>
      <c r="P1177" s="129"/>
      <c r="Q1177" s="129"/>
      <c r="R1177" s="132"/>
      <c r="S1177" s="132"/>
      <c r="T1177" s="135"/>
      <c r="U1177" s="132"/>
      <c r="V1177" s="129"/>
      <c r="W1177" s="132"/>
      <c r="X1177" s="132"/>
      <c r="Y1177" s="132"/>
    </row>
    <row r="1178" spans="1:25" ht="15.75" customHeight="1">
      <c r="A1178" s="125"/>
      <c r="B1178" s="125"/>
      <c r="C1178" s="125"/>
      <c r="D1178" s="125"/>
      <c r="E1178" s="126"/>
      <c r="F1178" s="128"/>
      <c r="G1178" s="128"/>
      <c r="H1178" s="128"/>
      <c r="I1178" s="128"/>
      <c r="J1178" s="128"/>
      <c r="K1178" s="129"/>
      <c r="L1178" s="129"/>
      <c r="M1178" s="129"/>
      <c r="N1178" s="129"/>
      <c r="O1178" s="129"/>
      <c r="P1178" s="129"/>
      <c r="Q1178" s="129"/>
      <c r="R1178" s="132"/>
      <c r="S1178" s="132"/>
      <c r="T1178" s="135"/>
      <c r="U1178" s="132"/>
      <c r="V1178" s="129"/>
      <c r="W1178" s="132"/>
      <c r="X1178" s="132"/>
      <c r="Y1178" s="132"/>
    </row>
    <row r="1179" spans="1:25" ht="15.75" customHeight="1">
      <c r="A1179" s="125"/>
      <c r="B1179" s="125"/>
      <c r="C1179" s="125"/>
      <c r="D1179" s="125"/>
      <c r="E1179" s="126"/>
      <c r="F1179" s="128"/>
      <c r="G1179" s="128"/>
      <c r="H1179" s="128"/>
      <c r="I1179" s="128"/>
      <c r="J1179" s="128"/>
      <c r="K1179" s="129"/>
      <c r="L1179" s="129"/>
      <c r="M1179" s="129"/>
      <c r="N1179" s="129"/>
      <c r="O1179" s="129"/>
      <c r="P1179" s="129"/>
      <c r="Q1179" s="129"/>
      <c r="R1179" s="132"/>
      <c r="S1179" s="132"/>
      <c r="T1179" s="135"/>
      <c r="U1179" s="132"/>
      <c r="V1179" s="129"/>
      <c r="W1179" s="132"/>
      <c r="X1179" s="132"/>
      <c r="Y1179" s="132"/>
    </row>
    <row r="1180" spans="1:25" ht="15.75" customHeight="1">
      <c r="A1180" s="125"/>
      <c r="B1180" s="125"/>
      <c r="C1180" s="125"/>
      <c r="D1180" s="125"/>
      <c r="E1180" s="126"/>
      <c r="F1180" s="128"/>
      <c r="G1180" s="128"/>
      <c r="H1180" s="128"/>
      <c r="I1180" s="128"/>
      <c r="J1180" s="128"/>
      <c r="K1180" s="129"/>
      <c r="L1180" s="129"/>
      <c r="M1180" s="129"/>
      <c r="N1180" s="129"/>
      <c r="O1180" s="129"/>
      <c r="P1180" s="129"/>
      <c r="Q1180" s="129"/>
      <c r="R1180" s="132"/>
      <c r="S1180" s="132"/>
      <c r="T1180" s="135"/>
      <c r="U1180" s="132"/>
      <c r="V1180" s="129"/>
      <c r="W1180" s="132"/>
      <c r="X1180" s="132"/>
      <c r="Y1180" s="132"/>
    </row>
    <row r="1181" spans="1:25" ht="15.75" customHeight="1">
      <c r="A1181" s="125"/>
      <c r="B1181" s="125"/>
      <c r="C1181" s="125"/>
      <c r="D1181" s="125"/>
      <c r="E1181" s="126"/>
      <c r="F1181" s="128"/>
      <c r="G1181" s="128"/>
      <c r="H1181" s="128"/>
      <c r="I1181" s="128"/>
      <c r="J1181" s="128"/>
      <c r="K1181" s="129"/>
      <c r="L1181" s="129"/>
      <c r="M1181" s="129"/>
      <c r="N1181" s="129"/>
      <c r="O1181" s="129"/>
      <c r="P1181" s="129"/>
      <c r="Q1181" s="129"/>
      <c r="R1181" s="132"/>
      <c r="S1181" s="132"/>
      <c r="T1181" s="135"/>
      <c r="U1181" s="132"/>
      <c r="V1181" s="129"/>
      <c r="W1181" s="132"/>
      <c r="X1181" s="132"/>
      <c r="Y1181" s="132"/>
    </row>
    <row r="1182" spans="1:25" ht="15.75" customHeight="1">
      <c r="A1182" s="125"/>
      <c r="B1182" s="125"/>
      <c r="C1182" s="125"/>
      <c r="D1182" s="125"/>
      <c r="E1182" s="126"/>
      <c r="F1182" s="128"/>
      <c r="G1182" s="128"/>
      <c r="H1182" s="128"/>
      <c r="I1182" s="128"/>
      <c r="J1182" s="128"/>
      <c r="K1182" s="129"/>
      <c r="L1182" s="129"/>
      <c r="M1182" s="129"/>
      <c r="N1182" s="129"/>
      <c r="O1182" s="129"/>
      <c r="P1182" s="129"/>
      <c r="Q1182" s="129"/>
      <c r="R1182" s="132"/>
      <c r="S1182" s="132"/>
      <c r="T1182" s="135"/>
      <c r="U1182" s="132"/>
      <c r="V1182" s="129"/>
      <c r="W1182" s="132"/>
      <c r="X1182" s="132"/>
      <c r="Y1182" s="132"/>
    </row>
    <row r="1183" spans="1:25" ht="15.75" customHeight="1">
      <c r="A1183" s="125"/>
      <c r="B1183" s="125"/>
      <c r="C1183" s="125"/>
      <c r="D1183" s="125"/>
      <c r="E1183" s="126"/>
      <c r="F1183" s="128"/>
      <c r="G1183" s="128"/>
      <c r="H1183" s="128"/>
      <c r="I1183" s="128"/>
      <c r="J1183" s="128"/>
      <c r="K1183" s="129"/>
      <c r="L1183" s="129"/>
      <c r="M1183" s="129"/>
      <c r="N1183" s="129"/>
      <c r="O1183" s="129"/>
      <c r="P1183" s="129"/>
      <c r="Q1183" s="129"/>
      <c r="R1183" s="132"/>
      <c r="S1183" s="132"/>
      <c r="T1183" s="135"/>
      <c r="U1183" s="132"/>
      <c r="V1183" s="129"/>
      <c r="W1183" s="132"/>
      <c r="X1183" s="132"/>
      <c r="Y1183" s="132"/>
    </row>
    <row r="1184" spans="1:25" ht="15.75" customHeight="1">
      <c r="A1184" s="125"/>
      <c r="B1184" s="125"/>
      <c r="C1184" s="125"/>
      <c r="D1184" s="125"/>
      <c r="E1184" s="126"/>
      <c r="F1184" s="128"/>
      <c r="G1184" s="128"/>
      <c r="H1184" s="128"/>
      <c r="I1184" s="128"/>
      <c r="J1184" s="128"/>
      <c r="K1184" s="129"/>
      <c r="L1184" s="129"/>
      <c r="M1184" s="129"/>
      <c r="N1184" s="129"/>
      <c r="O1184" s="129"/>
      <c r="P1184" s="129"/>
      <c r="Q1184" s="129"/>
      <c r="R1184" s="132"/>
      <c r="S1184" s="132"/>
      <c r="T1184" s="135"/>
      <c r="U1184" s="132"/>
      <c r="V1184" s="129"/>
      <c r="W1184" s="132"/>
      <c r="X1184" s="132"/>
      <c r="Y1184" s="132"/>
    </row>
    <row r="1185" spans="1:25" ht="15.75" customHeight="1">
      <c r="A1185" s="125"/>
      <c r="B1185" s="125"/>
      <c r="C1185" s="125"/>
      <c r="D1185" s="125"/>
      <c r="E1185" s="126"/>
      <c r="F1185" s="128"/>
      <c r="G1185" s="128"/>
      <c r="H1185" s="128"/>
      <c r="I1185" s="128"/>
      <c r="J1185" s="128"/>
      <c r="K1185" s="129"/>
      <c r="L1185" s="129"/>
      <c r="M1185" s="129"/>
      <c r="N1185" s="129"/>
      <c r="O1185" s="129"/>
      <c r="P1185" s="129"/>
      <c r="Q1185" s="129"/>
      <c r="R1185" s="132"/>
      <c r="S1185" s="132"/>
      <c r="T1185" s="135"/>
      <c r="U1185" s="132"/>
      <c r="V1185" s="129"/>
      <c r="W1185" s="132"/>
      <c r="X1185" s="132"/>
      <c r="Y1185" s="132"/>
    </row>
    <row r="1186" spans="1:25" ht="15.75" customHeight="1">
      <c r="A1186" s="125"/>
      <c r="B1186" s="125"/>
      <c r="C1186" s="125"/>
      <c r="D1186" s="125"/>
      <c r="E1186" s="126"/>
      <c r="F1186" s="128"/>
      <c r="G1186" s="128"/>
      <c r="H1186" s="128"/>
      <c r="I1186" s="128"/>
      <c r="J1186" s="128"/>
      <c r="K1186" s="129"/>
      <c r="L1186" s="129"/>
      <c r="M1186" s="129"/>
      <c r="N1186" s="129"/>
      <c r="O1186" s="129"/>
      <c r="P1186" s="129"/>
      <c r="Q1186" s="129"/>
      <c r="R1186" s="132"/>
      <c r="S1186" s="132"/>
      <c r="T1186" s="135"/>
      <c r="U1186" s="132"/>
      <c r="V1186" s="129"/>
      <c r="W1186" s="132"/>
      <c r="X1186" s="132"/>
      <c r="Y1186" s="132"/>
    </row>
    <row r="1187" spans="1:25" ht="15.75" customHeight="1">
      <c r="A1187" s="125"/>
      <c r="B1187" s="125"/>
      <c r="C1187" s="125"/>
      <c r="D1187" s="125"/>
      <c r="E1187" s="126"/>
      <c r="F1187" s="128"/>
      <c r="G1187" s="128"/>
      <c r="H1187" s="128"/>
      <c r="I1187" s="128"/>
      <c r="J1187" s="128"/>
      <c r="K1187" s="129"/>
      <c r="L1187" s="129"/>
      <c r="M1187" s="129"/>
      <c r="N1187" s="129"/>
      <c r="O1187" s="129"/>
      <c r="P1187" s="129"/>
      <c r="Q1187" s="129"/>
      <c r="R1187" s="132"/>
      <c r="S1187" s="132"/>
      <c r="T1187" s="135"/>
      <c r="U1187" s="132"/>
      <c r="V1187" s="129"/>
      <c r="W1187" s="132"/>
      <c r="X1187" s="132"/>
      <c r="Y1187" s="132"/>
    </row>
    <row r="1188" spans="1:25" ht="15.75" customHeight="1">
      <c r="A1188" s="125"/>
      <c r="B1188" s="125"/>
      <c r="C1188" s="125"/>
      <c r="D1188" s="125"/>
      <c r="E1188" s="126"/>
      <c r="F1188" s="128"/>
      <c r="G1188" s="128"/>
      <c r="H1188" s="128"/>
      <c r="I1188" s="128"/>
      <c r="J1188" s="128"/>
      <c r="K1188" s="129"/>
      <c r="L1188" s="129"/>
      <c r="M1188" s="129"/>
      <c r="N1188" s="129"/>
      <c r="O1188" s="129"/>
      <c r="P1188" s="129"/>
      <c r="Q1188" s="129"/>
      <c r="R1188" s="132"/>
      <c r="S1188" s="132"/>
      <c r="T1188" s="135"/>
      <c r="U1188" s="132"/>
      <c r="V1188" s="129"/>
      <c r="W1188" s="132"/>
      <c r="X1188" s="132"/>
      <c r="Y1188" s="132"/>
    </row>
    <row r="1189" spans="1:25" ht="15.75" customHeight="1">
      <c r="A1189" s="125"/>
      <c r="B1189" s="125"/>
      <c r="C1189" s="125"/>
      <c r="D1189" s="125"/>
      <c r="E1189" s="126"/>
      <c r="F1189" s="128"/>
      <c r="G1189" s="128"/>
      <c r="H1189" s="128"/>
      <c r="I1189" s="128"/>
      <c r="J1189" s="128"/>
      <c r="K1189" s="129"/>
      <c r="L1189" s="129"/>
      <c r="M1189" s="129"/>
      <c r="N1189" s="129"/>
      <c r="O1189" s="129"/>
      <c r="P1189" s="129"/>
      <c r="Q1189" s="129"/>
      <c r="R1189" s="132"/>
      <c r="S1189" s="132"/>
      <c r="T1189" s="135"/>
      <c r="U1189" s="132"/>
      <c r="V1189" s="129"/>
      <c r="W1189" s="132"/>
      <c r="X1189" s="132"/>
      <c r="Y1189" s="132"/>
    </row>
    <row r="1190" spans="1:25" ht="15.75" customHeight="1">
      <c r="A1190" s="125"/>
      <c r="B1190" s="125"/>
      <c r="C1190" s="125"/>
      <c r="D1190" s="125"/>
      <c r="E1190" s="126"/>
      <c r="F1190" s="128"/>
      <c r="G1190" s="128"/>
      <c r="H1190" s="128"/>
      <c r="I1190" s="128"/>
      <c r="J1190" s="128"/>
      <c r="K1190" s="129"/>
      <c r="L1190" s="129"/>
      <c r="M1190" s="129"/>
      <c r="N1190" s="129"/>
      <c r="O1190" s="129"/>
      <c r="P1190" s="129"/>
      <c r="Q1190" s="129"/>
      <c r="R1190" s="132"/>
      <c r="S1190" s="132"/>
      <c r="T1190" s="135"/>
      <c r="U1190" s="132"/>
      <c r="V1190" s="129"/>
      <c r="W1190" s="132"/>
      <c r="X1190" s="132"/>
      <c r="Y1190" s="132"/>
    </row>
    <row r="1191" spans="1:25" ht="15.75" customHeight="1">
      <c r="A1191" s="125"/>
      <c r="B1191" s="125"/>
      <c r="C1191" s="125"/>
      <c r="D1191" s="125"/>
      <c r="E1191" s="126"/>
      <c r="F1191" s="128"/>
      <c r="G1191" s="128"/>
      <c r="H1191" s="128"/>
      <c r="I1191" s="128"/>
      <c r="J1191" s="128"/>
      <c r="K1191" s="129"/>
      <c r="L1191" s="129"/>
      <c r="M1191" s="129"/>
      <c r="N1191" s="129"/>
      <c r="O1191" s="129"/>
      <c r="P1191" s="129"/>
      <c r="Q1191" s="129"/>
      <c r="R1191" s="132"/>
      <c r="S1191" s="132"/>
      <c r="T1191" s="135"/>
      <c r="U1191" s="132"/>
      <c r="V1191" s="129"/>
      <c r="W1191" s="132"/>
      <c r="X1191" s="132"/>
      <c r="Y1191" s="132"/>
    </row>
    <row r="1192" spans="1:25" ht="15.75" customHeight="1">
      <c r="A1192" s="125"/>
      <c r="B1192" s="125"/>
      <c r="C1192" s="125"/>
      <c r="D1192" s="125"/>
      <c r="E1192" s="126"/>
      <c r="F1192" s="128"/>
      <c r="G1192" s="128"/>
      <c r="H1192" s="128"/>
      <c r="I1192" s="128"/>
      <c r="J1192" s="128"/>
      <c r="K1192" s="129"/>
      <c r="L1192" s="129"/>
      <c r="M1192" s="129"/>
      <c r="N1192" s="129"/>
      <c r="O1192" s="129"/>
      <c r="P1192" s="129"/>
      <c r="Q1192" s="129"/>
      <c r="R1192" s="132"/>
      <c r="S1192" s="132"/>
      <c r="T1192" s="135"/>
      <c r="U1192" s="132"/>
      <c r="V1192" s="129"/>
      <c r="W1192" s="132"/>
      <c r="X1192" s="132"/>
      <c r="Y1192" s="132"/>
    </row>
    <row r="1193" spans="1:25" ht="15.75" customHeight="1">
      <c r="A1193" s="125"/>
      <c r="B1193" s="125"/>
      <c r="C1193" s="125"/>
      <c r="D1193" s="125"/>
      <c r="E1193" s="126"/>
      <c r="F1193" s="128"/>
      <c r="G1193" s="128"/>
      <c r="H1193" s="128"/>
      <c r="I1193" s="128"/>
      <c r="J1193" s="128"/>
      <c r="K1193" s="129"/>
      <c r="L1193" s="129"/>
      <c r="M1193" s="129"/>
      <c r="N1193" s="129"/>
      <c r="O1193" s="129"/>
      <c r="P1193" s="129"/>
      <c r="Q1193" s="129"/>
      <c r="R1193" s="132"/>
      <c r="S1193" s="132"/>
      <c r="T1193" s="135"/>
      <c r="U1193" s="132"/>
      <c r="V1193" s="129"/>
      <c r="W1193" s="132"/>
      <c r="X1193" s="132"/>
      <c r="Y1193" s="132"/>
    </row>
    <row r="1194" spans="1:25" ht="15.75" customHeight="1">
      <c r="A1194" s="125"/>
      <c r="B1194" s="125"/>
      <c r="C1194" s="125"/>
      <c r="D1194" s="125"/>
      <c r="E1194" s="126"/>
      <c r="F1194" s="128"/>
      <c r="G1194" s="128"/>
      <c r="H1194" s="128"/>
      <c r="I1194" s="128"/>
      <c r="J1194" s="128"/>
      <c r="K1194" s="129"/>
      <c r="L1194" s="129"/>
      <c r="M1194" s="129"/>
      <c r="N1194" s="129"/>
      <c r="O1194" s="129"/>
      <c r="P1194" s="129"/>
      <c r="Q1194" s="129"/>
      <c r="R1194" s="132"/>
      <c r="S1194" s="132"/>
      <c r="T1194" s="135"/>
      <c r="U1194" s="132"/>
      <c r="V1194" s="129"/>
      <c r="W1194" s="132"/>
      <c r="X1194" s="132"/>
      <c r="Y1194" s="132"/>
    </row>
    <row r="1195" spans="1:25" ht="15.75" customHeight="1">
      <c r="A1195" s="125"/>
      <c r="B1195" s="125"/>
      <c r="C1195" s="125"/>
      <c r="D1195" s="125"/>
      <c r="E1195" s="126"/>
      <c r="F1195" s="128"/>
      <c r="G1195" s="128"/>
      <c r="H1195" s="128"/>
      <c r="I1195" s="128"/>
      <c r="J1195" s="128"/>
      <c r="K1195" s="129"/>
      <c r="L1195" s="129"/>
      <c r="M1195" s="129"/>
      <c r="N1195" s="129"/>
      <c r="O1195" s="129"/>
      <c r="P1195" s="129"/>
      <c r="Q1195" s="129"/>
      <c r="R1195" s="132"/>
      <c r="S1195" s="132"/>
      <c r="T1195" s="135"/>
      <c r="U1195" s="132"/>
      <c r="V1195" s="129"/>
      <c r="W1195" s="132"/>
      <c r="X1195" s="132"/>
      <c r="Y1195" s="132"/>
    </row>
    <row r="1196" spans="1:25" ht="15.75" customHeight="1">
      <c r="A1196" s="125"/>
      <c r="B1196" s="125"/>
      <c r="C1196" s="125"/>
      <c r="D1196" s="125"/>
      <c r="E1196" s="126"/>
      <c r="F1196" s="128"/>
      <c r="G1196" s="128"/>
      <c r="H1196" s="128"/>
      <c r="I1196" s="128"/>
      <c r="J1196" s="128"/>
      <c r="K1196" s="129"/>
      <c r="L1196" s="129"/>
      <c r="M1196" s="129"/>
      <c r="N1196" s="129"/>
      <c r="O1196" s="129"/>
      <c r="P1196" s="129"/>
      <c r="Q1196" s="129"/>
      <c r="R1196" s="132"/>
      <c r="S1196" s="132"/>
      <c r="T1196" s="135"/>
      <c r="U1196" s="132"/>
      <c r="V1196" s="129"/>
      <c r="W1196" s="132"/>
      <c r="X1196" s="132"/>
      <c r="Y1196" s="132"/>
    </row>
    <row r="1197" spans="1:25" ht="15.75" customHeight="1">
      <c r="A1197" s="125"/>
      <c r="B1197" s="125"/>
      <c r="C1197" s="125"/>
      <c r="D1197" s="125"/>
      <c r="E1197" s="126"/>
      <c r="F1197" s="128"/>
      <c r="G1197" s="128"/>
      <c r="H1197" s="128"/>
      <c r="I1197" s="128"/>
      <c r="J1197" s="128"/>
      <c r="K1197" s="129"/>
      <c r="L1197" s="129"/>
      <c r="M1197" s="129"/>
      <c r="N1197" s="129"/>
      <c r="O1197" s="129"/>
      <c r="P1197" s="129"/>
      <c r="Q1197" s="129"/>
      <c r="R1197" s="132"/>
      <c r="S1197" s="132"/>
      <c r="T1197" s="135"/>
      <c r="U1197" s="132"/>
      <c r="V1197" s="129"/>
      <c r="W1197" s="132"/>
      <c r="X1197" s="132"/>
      <c r="Y1197" s="132"/>
    </row>
    <row r="1198" spans="1:25" ht="15.75" customHeight="1">
      <c r="A1198" s="125"/>
      <c r="B1198" s="125"/>
      <c r="C1198" s="125"/>
      <c r="D1198" s="125"/>
      <c r="E1198" s="126"/>
      <c r="F1198" s="128"/>
      <c r="G1198" s="128"/>
      <c r="H1198" s="128"/>
      <c r="I1198" s="128"/>
      <c r="J1198" s="128"/>
      <c r="K1198" s="129"/>
      <c r="L1198" s="129"/>
      <c r="M1198" s="129"/>
      <c r="N1198" s="129"/>
      <c r="O1198" s="129"/>
      <c r="P1198" s="129"/>
      <c r="Q1198" s="129"/>
      <c r="R1198" s="132"/>
      <c r="S1198" s="132"/>
      <c r="T1198" s="135"/>
      <c r="U1198" s="132"/>
      <c r="V1198" s="129"/>
      <c r="W1198" s="132"/>
      <c r="X1198" s="132"/>
      <c r="Y1198" s="132"/>
    </row>
    <row r="1199" spans="1:25" ht="15.75" customHeight="1">
      <c r="A1199" s="125"/>
      <c r="B1199" s="125"/>
      <c r="C1199" s="125"/>
      <c r="D1199" s="125"/>
      <c r="E1199" s="126"/>
      <c r="F1199" s="128"/>
      <c r="G1199" s="128"/>
      <c r="H1199" s="128"/>
      <c r="I1199" s="128"/>
      <c r="J1199" s="128"/>
      <c r="K1199" s="129"/>
      <c r="L1199" s="129"/>
      <c r="M1199" s="129"/>
      <c r="N1199" s="129"/>
      <c r="O1199" s="129"/>
      <c r="P1199" s="129"/>
      <c r="Q1199" s="129"/>
      <c r="R1199" s="132"/>
      <c r="S1199" s="132"/>
      <c r="T1199" s="135"/>
      <c r="U1199" s="132"/>
      <c r="V1199" s="129"/>
      <c r="W1199" s="132"/>
      <c r="X1199" s="132"/>
      <c r="Y1199" s="132"/>
    </row>
    <row r="1200" spans="1:25" ht="15.75" customHeight="1">
      <c r="A1200" s="125"/>
      <c r="B1200" s="125"/>
      <c r="C1200" s="125"/>
      <c r="D1200" s="125"/>
      <c r="E1200" s="126"/>
      <c r="F1200" s="128"/>
      <c r="G1200" s="128"/>
      <c r="H1200" s="128"/>
      <c r="I1200" s="128"/>
      <c r="J1200" s="128"/>
      <c r="K1200" s="129"/>
      <c r="L1200" s="129"/>
      <c r="M1200" s="129"/>
      <c r="N1200" s="129"/>
      <c r="O1200" s="129"/>
      <c r="P1200" s="129"/>
      <c r="Q1200" s="129"/>
      <c r="R1200" s="132"/>
      <c r="S1200" s="132"/>
      <c r="T1200" s="135"/>
      <c r="U1200" s="132"/>
      <c r="V1200" s="129"/>
      <c r="W1200" s="132"/>
      <c r="X1200" s="132"/>
      <c r="Y1200" s="132"/>
    </row>
    <row r="1201" spans="1:25" ht="15.75" customHeight="1">
      <c r="A1201" s="125"/>
      <c r="B1201" s="125"/>
      <c r="C1201" s="125"/>
      <c r="D1201" s="125"/>
      <c r="E1201" s="126"/>
      <c r="F1201" s="128"/>
      <c r="G1201" s="128"/>
      <c r="H1201" s="128"/>
      <c r="I1201" s="128"/>
      <c r="J1201" s="128"/>
      <c r="K1201" s="129"/>
      <c r="L1201" s="129"/>
      <c r="M1201" s="129"/>
      <c r="N1201" s="129"/>
      <c r="O1201" s="129"/>
      <c r="P1201" s="129"/>
      <c r="Q1201" s="129"/>
      <c r="R1201" s="132"/>
      <c r="S1201" s="132"/>
      <c r="T1201" s="135"/>
      <c r="U1201" s="132"/>
      <c r="V1201" s="129"/>
      <c r="W1201" s="132"/>
      <c r="X1201" s="132"/>
      <c r="Y1201" s="132"/>
    </row>
    <row r="1202" spans="1:25" ht="15.75" customHeight="1">
      <c r="A1202" s="125"/>
      <c r="B1202" s="125"/>
      <c r="C1202" s="125"/>
      <c r="D1202" s="125"/>
      <c r="E1202" s="126"/>
      <c r="F1202" s="128"/>
      <c r="G1202" s="128"/>
      <c r="H1202" s="128"/>
      <c r="I1202" s="128"/>
      <c r="J1202" s="128"/>
      <c r="K1202" s="129"/>
      <c r="L1202" s="129"/>
      <c r="M1202" s="129"/>
      <c r="N1202" s="129"/>
      <c r="O1202" s="129"/>
      <c r="P1202" s="129"/>
      <c r="Q1202" s="129"/>
      <c r="R1202" s="132"/>
      <c r="S1202" s="132"/>
      <c r="T1202" s="135"/>
      <c r="U1202" s="132"/>
      <c r="V1202" s="129"/>
      <c r="W1202" s="132"/>
      <c r="X1202" s="132"/>
      <c r="Y1202" s="132"/>
    </row>
    <row r="1203" spans="1:25" ht="15.75" customHeight="1">
      <c r="A1203" s="125"/>
      <c r="B1203" s="125"/>
      <c r="C1203" s="125"/>
      <c r="D1203" s="125"/>
      <c r="E1203" s="126"/>
      <c r="F1203" s="128"/>
      <c r="G1203" s="128"/>
      <c r="H1203" s="128"/>
      <c r="I1203" s="128"/>
      <c r="J1203" s="128"/>
      <c r="K1203" s="129"/>
      <c r="L1203" s="129"/>
      <c r="M1203" s="129"/>
      <c r="N1203" s="129"/>
      <c r="O1203" s="129"/>
      <c r="P1203" s="129"/>
      <c r="Q1203" s="129"/>
      <c r="R1203" s="132"/>
      <c r="S1203" s="132"/>
      <c r="T1203" s="135"/>
      <c r="U1203" s="132"/>
      <c r="V1203" s="129"/>
      <c r="W1203" s="132"/>
      <c r="X1203" s="132"/>
      <c r="Y1203" s="132"/>
    </row>
    <row r="1204" spans="1:25" ht="15.75" customHeight="1">
      <c r="A1204" s="125"/>
      <c r="B1204" s="125"/>
      <c r="C1204" s="125"/>
      <c r="D1204" s="125"/>
      <c r="E1204" s="126"/>
      <c r="F1204" s="128"/>
      <c r="G1204" s="128"/>
      <c r="H1204" s="128"/>
      <c r="I1204" s="128"/>
      <c r="J1204" s="128"/>
      <c r="K1204" s="129"/>
      <c r="L1204" s="129"/>
      <c r="M1204" s="129"/>
      <c r="N1204" s="129"/>
      <c r="O1204" s="129"/>
      <c r="P1204" s="129"/>
      <c r="Q1204" s="129"/>
      <c r="R1204" s="132"/>
      <c r="S1204" s="132"/>
      <c r="T1204" s="135"/>
      <c r="U1204" s="132"/>
      <c r="V1204" s="129"/>
      <c r="W1204" s="132"/>
      <c r="X1204" s="132"/>
      <c r="Y1204" s="132"/>
    </row>
    <row r="1205" spans="1:25" ht="15.75" customHeight="1">
      <c r="A1205" s="125"/>
      <c r="B1205" s="125"/>
      <c r="C1205" s="125"/>
      <c r="D1205" s="125"/>
      <c r="E1205" s="126"/>
      <c r="F1205" s="128"/>
      <c r="G1205" s="128"/>
      <c r="H1205" s="128"/>
      <c r="I1205" s="128"/>
      <c r="J1205" s="128"/>
      <c r="K1205" s="129"/>
      <c r="L1205" s="129"/>
      <c r="M1205" s="129"/>
      <c r="N1205" s="129"/>
      <c r="O1205" s="129"/>
      <c r="P1205" s="129"/>
      <c r="Q1205" s="129"/>
      <c r="R1205" s="132"/>
      <c r="S1205" s="132"/>
      <c r="T1205" s="135"/>
      <c r="U1205" s="132"/>
      <c r="V1205" s="129"/>
      <c r="W1205" s="132"/>
      <c r="X1205" s="132"/>
      <c r="Y1205" s="132"/>
    </row>
    <row r="1206" spans="1:25" ht="15.75" customHeight="1">
      <c r="A1206" s="125"/>
      <c r="B1206" s="125"/>
      <c r="C1206" s="125"/>
      <c r="D1206" s="125"/>
      <c r="E1206" s="126"/>
      <c r="F1206" s="128"/>
      <c r="G1206" s="128"/>
      <c r="H1206" s="128"/>
      <c r="I1206" s="128"/>
      <c r="J1206" s="128"/>
      <c r="K1206" s="129"/>
      <c r="L1206" s="129"/>
      <c r="M1206" s="129"/>
      <c r="N1206" s="129"/>
      <c r="O1206" s="129"/>
      <c r="P1206" s="129"/>
      <c r="Q1206" s="129"/>
      <c r="R1206" s="132"/>
      <c r="S1206" s="132"/>
      <c r="T1206" s="135"/>
      <c r="U1206" s="132"/>
      <c r="V1206" s="129"/>
      <c r="W1206" s="132"/>
      <c r="X1206" s="132"/>
      <c r="Y1206" s="132"/>
    </row>
    <row r="1207" spans="1:25" ht="15.75" customHeight="1">
      <c r="A1207" s="125"/>
      <c r="B1207" s="125"/>
      <c r="C1207" s="125"/>
      <c r="D1207" s="125"/>
      <c r="E1207" s="126"/>
      <c r="F1207" s="128"/>
      <c r="G1207" s="128"/>
      <c r="H1207" s="128"/>
      <c r="I1207" s="128"/>
      <c r="J1207" s="128"/>
      <c r="K1207" s="129"/>
      <c r="L1207" s="129"/>
      <c r="M1207" s="129"/>
      <c r="N1207" s="129"/>
      <c r="O1207" s="129"/>
      <c r="P1207" s="129"/>
      <c r="Q1207" s="129"/>
      <c r="R1207" s="132"/>
      <c r="S1207" s="132"/>
      <c r="T1207" s="135"/>
      <c r="U1207" s="132"/>
      <c r="V1207" s="129"/>
      <c r="W1207" s="132"/>
      <c r="X1207" s="132"/>
      <c r="Y1207" s="132"/>
    </row>
    <row r="1208" spans="1:25" ht="15.75" customHeight="1">
      <c r="A1208" s="125"/>
      <c r="B1208" s="125"/>
      <c r="C1208" s="125"/>
      <c r="D1208" s="125"/>
      <c r="E1208" s="126"/>
      <c r="F1208" s="128"/>
      <c r="G1208" s="128"/>
      <c r="H1208" s="128"/>
      <c r="I1208" s="128"/>
      <c r="J1208" s="128"/>
      <c r="K1208" s="129"/>
      <c r="L1208" s="129"/>
      <c r="M1208" s="129"/>
      <c r="N1208" s="129"/>
      <c r="O1208" s="129"/>
      <c r="P1208" s="129"/>
      <c r="Q1208" s="129"/>
      <c r="R1208" s="132"/>
      <c r="S1208" s="132"/>
      <c r="T1208" s="135"/>
      <c r="U1208" s="132"/>
      <c r="V1208" s="129"/>
      <c r="W1208" s="132"/>
      <c r="X1208" s="132"/>
      <c r="Y1208" s="132"/>
    </row>
    <row r="1209" spans="1:25" ht="15.75" customHeight="1">
      <c r="A1209" s="125"/>
      <c r="B1209" s="125"/>
      <c r="C1209" s="125"/>
      <c r="D1209" s="125"/>
      <c r="E1209" s="126"/>
      <c r="F1209" s="128"/>
      <c r="G1209" s="128"/>
      <c r="H1209" s="128"/>
      <c r="I1209" s="128"/>
      <c r="J1209" s="128"/>
      <c r="K1209" s="129"/>
      <c r="L1209" s="129"/>
      <c r="M1209" s="129"/>
      <c r="N1209" s="129"/>
      <c r="O1209" s="129"/>
      <c r="P1209" s="129"/>
      <c r="Q1209" s="129"/>
      <c r="R1209" s="132"/>
      <c r="S1209" s="132"/>
      <c r="T1209" s="135"/>
      <c r="U1209" s="132"/>
      <c r="V1209" s="129"/>
      <c r="W1209" s="132"/>
      <c r="X1209" s="132"/>
      <c r="Y1209" s="132"/>
    </row>
    <row r="1210" spans="1:25" ht="15.75" customHeight="1">
      <c r="A1210" s="125"/>
      <c r="B1210" s="125"/>
      <c r="C1210" s="125"/>
      <c r="D1210" s="125"/>
      <c r="E1210" s="126"/>
      <c r="F1210" s="128"/>
      <c r="G1210" s="128"/>
      <c r="H1210" s="128"/>
      <c r="I1210" s="128"/>
      <c r="J1210" s="128"/>
      <c r="K1210" s="129"/>
      <c r="L1210" s="129"/>
      <c r="M1210" s="129"/>
      <c r="N1210" s="129"/>
      <c r="O1210" s="129"/>
      <c r="P1210" s="129"/>
      <c r="Q1210" s="129"/>
      <c r="R1210" s="132"/>
      <c r="S1210" s="132"/>
      <c r="T1210" s="135"/>
      <c r="U1210" s="132"/>
      <c r="V1210" s="129"/>
      <c r="W1210" s="132"/>
      <c r="X1210" s="132"/>
      <c r="Y1210" s="132"/>
    </row>
    <row r="1211" spans="1:25" ht="15.75" customHeight="1">
      <c r="A1211" s="125"/>
      <c r="B1211" s="125"/>
      <c r="C1211" s="125"/>
      <c r="D1211" s="125"/>
      <c r="E1211" s="126"/>
      <c r="F1211" s="128"/>
      <c r="G1211" s="128"/>
      <c r="H1211" s="128"/>
      <c r="I1211" s="128"/>
      <c r="J1211" s="128"/>
      <c r="K1211" s="129"/>
      <c r="L1211" s="129"/>
      <c r="M1211" s="129"/>
      <c r="N1211" s="129"/>
      <c r="O1211" s="129"/>
      <c r="P1211" s="129"/>
      <c r="Q1211" s="129"/>
      <c r="R1211" s="132"/>
      <c r="S1211" s="132"/>
      <c r="T1211" s="135"/>
      <c r="U1211" s="132"/>
      <c r="V1211" s="129"/>
      <c r="W1211" s="132"/>
      <c r="X1211" s="132"/>
      <c r="Y1211" s="132"/>
    </row>
    <row r="1212" spans="1:25" ht="15.75" customHeight="1">
      <c r="A1212" s="125"/>
      <c r="B1212" s="125"/>
      <c r="C1212" s="125"/>
      <c r="D1212" s="125"/>
      <c r="E1212" s="126"/>
      <c r="F1212" s="128"/>
      <c r="G1212" s="128"/>
      <c r="H1212" s="128"/>
      <c r="I1212" s="128"/>
      <c r="J1212" s="128"/>
      <c r="K1212" s="129"/>
      <c r="L1212" s="129"/>
      <c r="M1212" s="129"/>
      <c r="N1212" s="129"/>
      <c r="O1212" s="129"/>
      <c r="P1212" s="129"/>
      <c r="Q1212" s="129"/>
      <c r="R1212" s="132"/>
      <c r="S1212" s="132"/>
      <c r="T1212" s="135"/>
      <c r="U1212" s="132"/>
      <c r="V1212" s="129"/>
      <c r="W1212" s="132"/>
      <c r="X1212" s="132"/>
      <c r="Y1212" s="132"/>
    </row>
    <row r="1213" spans="1:25" ht="15.75" customHeight="1">
      <c r="A1213" s="125"/>
      <c r="B1213" s="125"/>
      <c r="C1213" s="125"/>
      <c r="D1213" s="125"/>
      <c r="E1213" s="126"/>
      <c r="F1213" s="128"/>
      <c r="G1213" s="128"/>
      <c r="H1213" s="128"/>
      <c r="I1213" s="128"/>
      <c r="J1213" s="128"/>
      <c r="K1213" s="129"/>
      <c r="L1213" s="129"/>
      <c r="M1213" s="129"/>
      <c r="N1213" s="129"/>
      <c r="O1213" s="129"/>
      <c r="P1213" s="129"/>
      <c r="Q1213" s="129"/>
      <c r="R1213" s="132"/>
      <c r="S1213" s="132"/>
      <c r="T1213" s="135"/>
      <c r="U1213" s="132"/>
      <c r="V1213" s="129"/>
      <c r="W1213" s="132"/>
      <c r="X1213" s="132"/>
      <c r="Y1213" s="132"/>
    </row>
    <row r="1214" spans="1:25" ht="15.75" customHeight="1">
      <c r="A1214" s="125"/>
      <c r="B1214" s="125"/>
      <c r="C1214" s="125"/>
      <c r="D1214" s="125"/>
      <c r="E1214" s="126"/>
      <c r="F1214" s="128"/>
      <c r="G1214" s="128"/>
      <c r="H1214" s="128"/>
      <c r="I1214" s="128"/>
      <c r="J1214" s="128"/>
      <c r="K1214" s="129"/>
      <c r="L1214" s="129"/>
      <c r="M1214" s="129"/>
      <c r="N1214" s="129"/>
      <c r="O1214" s="129"/>
      <c r="P1214" s="129"/>
      <c r="Q1214" s="129"/>
      <c r="R1214" s="132"/>
      <c r="S1214" s="132"/>
      <c r="T1214" s="135"/>
      <c r="U1214" s="132"/>
      <c r="V1214" s="129"/>
      <c r="W1214" s="132"/>
      <c r="X1214" s="132"/>
      <c r="Y1214" s="132"/>
    </row>
    <row r="1215" spans="1:25" ht="15.75" customHeight="1">
      <c r="A1215" s="125"/>
      <c r="B1215" s="125"/>
      <c r="C1215" s="125"/>
      <c r="D1215" s="125"/>
      <c r="E1215" s="126"/>
      <c r="F1215" s="128"/>
      <c r="G1215" s="128"/>
      <c r="H1215" s="128"/>
      <c r="I1215" s="128"/>
      <c r="J1215" s="128"/>
      <c r="K1215" s="129"/>
      <c r="L1215" s="129"/>
      <c r="M1215" s="129"/>
      <c r="N1215" s="129"/>
      <c r="O1215" s="129"/>
      <c r="P1215" s="129"/>
      <c r="Q1215" s="129"/>
      <c r="R1215" s="132"/>
      <c r="S1215" s="132"/>
      <c r="T1215" s="135"/>
      <c r="U1215" s="132"/>
      <c r="V1215" s="129"/>
      <c r="W1215" s="132"/>
      <c r="X1215" s="132"/>
      <c r="Y1215" s="132"/>
    </row>
    <row r="1216" spans="1:25" ht="15.75" customHeight="1">
      <c r="A1216" s="125"/>
      <c r="B1216" s="125"/>
      <c r="C1216" s="125"/>
      <c r="D1216" s="125"/>
      <c r="E1216" s="126"/>
      <c r="F1216" s="128"/>
      <c r="G1216" s="128"/>
      <c r="H1216" s="128"/>
      <c r="I1216" s="128"/>
      <c r="J1216" s="128"/>
      <c r="K1216" s="129"/>
      <c r="L1216" s="129"/>
      <c r="M1216" s="129"/>
      <c r="N1216" s="129"/>
      <c r="O1216" s="129"/>
      <c r="P1216" s="129"/>
      <c r="Q1216" s="129"/>
      <c r="R1216" s="132"/>
      <c r="S1216" s="132"/>
      <c r="T1216" s="135"/>
      <c r="U1216" s="132"/>
      <c r="V1216" s="129"/>
      <c r="W1216" s="132"/>
      <c r="X1216" s="132"/>
      <c r="Y1216" s="132"/>
    </row>
    <row r="1217" spans="1:25" ht="15.75" customHeight="1">
      <c r="A1217" s="125"/>
      <c r="B1217" s="125"/>
      <c r="C1217" s="125"/>
      <c r="D1217" s="125"/>
      <c r="E1217" s="126"/>
      <c r="F1217" s="128"/>
      <c r="G1217" s="128"/>
      <c r="H1217" s="128"/>
      <c r="I1217" s="128"/>
      <c r="J1217" s="128"/>
      <c r="K1217" s="129"/>
      <c r="L1217" s="129"/>
      <c r="M1217" s="129"/>
      <c r="N1217" s="129"/>
      <c r="O1217" s="129"/>
      <c r="P1217" s="129"/>
      <c r="Q1217" s="129"/>
      <c r="R1217" s="132"/>
      <c r="S1217" s="132"/>
      <c r="T1217" s="135"/>
      <c r="U1217" s="132"/>
      <c r="V1217" s="129"/>
      <c r="W1217" s="132"/>
      <c r="X1217" s="132"/>
      <c r="Y1217" s="132"/>
    </row>
    <row r="1218" spans="1:25" ht="15.75" customHeight="1">
      <c r="A1218" s="125"/>
      <c r="B1218" s="125"/>
      <c r="C1218" s="125"/>
      <c r="D1218" s="125"/>
      <c r="E1218" s="126"/>
      <c r="F1218" s="128"/>
      <c r="G1218" s="128"/>
      <c r="H1218" s="128"/>
      <c r="I1218" s="128"/>
      <c r="J1218" s="128"/>
      <c r="K1218" s="129"/>
      <c r="L1218" s="129"/>
      <c r="M1218" s="129"/>
      <c r="N1218" s="129"/>
      <c r="O1218" s="129"/>
      <c r="P1218" s="129"/>
      <c r="Q1218" s="129"/>
      <c r="R1218" s="132"/>
      <c r="S1218" s="132"/>
      <c r="T1218" s="135"/>
      <c r="U1218" s="132"/>
      <c r="V1218" s="129"/>
      <c r="W1218" s="132"/>
      <c r="X1218" s="132"/>
      <c r="Y1218" s="132"/>
    </row>
    <row r="1219" spans="1:25" ht="15.75" customHeight="1">
      <c r="A1219" s="125"/>
      <c r="B1219" s="125"/>
      <c r="C1219" s="125"/>
      <c r="D1219" s="125"/>
      <c r="E1219" s="126"/>
      <c r="F1219" s="128"/>
      <c r="G1219" s="128"/>
      <c r="H1219" s="128"/>
      <c r="I1219" s="128"/>
      <c r="J1219" s="128"/>
      <c r="K1219" s="129"/>
      <c r="L1219" s="129"/>
      <c r="M1219" s="129"/>
      <c r="N1219" s="129"/>
      <c r="O1219" s="129"/>
      <c r="P1219" s="129"/>
      <c r="Q1219" s="129"/>
      <c r="R1219" s="132"/>
      <c r="S1219" s="132"/>
      <c r="T1219" s="135"/>
      <c r="U1219" s="132"/>
      <c r="V1219" s="129"/>
      <c r="W1219" s="132"/>
      <c r="X1219" s="132"/>
      <c r="Y1219" s="132"/>
    </row>
    <row r="1220" spans="1:25" ht="15.75" customHeight="1">
      <c r="A1220" s="125"/>
      <c r="B1220" s="125"/>
      <c r="C1220" s="125"/>
      <c r="D1220" s="125"/>
      <c r="E1220" s="126"/>
      <c r="F1220" s="128"/>
      <c r="G1220" s="128"/>
      <c r="H1220" s="128"/>
      <c r="I1220" s="128"/>
      <c r="J1220" s="128"/>
      <c r="K1220" s="129"/>
      <c r="L1220" s="129"/>
      <c r="M1220" s="129"/>
      <c r="N1220" s="129"/>
      <c r="O1220" s="129"/>
      <c r="P1220" s="129"/>
      <c r="Q1220" s="129"/>
      <c r="R1220" s="132"/>
      <c r="S1220" s="132"/>
      <c r="T1220" s="135"/>
      <c r="U1220" s="132"/>
      <c r="V1220" s="129"/>
      <c r="W1220" s="132"/>
      <c r="X1220" s="132"/>
      <c r="Y1220" s="132"/>
    </row>
    <row r="1221" spans="1:25" ht="15.75" customHeight="1">
      <c r="A1221" s="125"/>
      <c r="B1221" s="125"/>
      <c r="C1221" s="125"/>
      <c r="D1221" s="125"/>
      <c r="E1221" s="126"/>
      <c r="F1221" s="128"/>
      <c r="G1221" s="128"/>
      <c r="H1221" s="128"/>
      <c r="I1221" s="128"/>
      <c r="J1221" s="128"/>
      <c r="K1221" s="129"/>
      <c r="L1221" s="129"/>
      <c r="M1221" s="129"/>
      <c r="N1221" s="129"/>
      <c r="O1221" s="129"/>
      <c r="P1221" s="129"/>
      <c r="Q1221" s="129"/>
      <c r="R1221" s="132"/>
      <c r="S1221" s="132"/>
      <c r="T1221" s="135"/>
      <c r="U1221" s="132"/>
      <c r="V1221" s="129"/>
      <c r="W1221" s="132"/>
      <c r="X1221" s="132"/>
      <c r="Y1221" s="132"/>
    </row>
    <row r="1222" spans="1:25" ht="15.75" customHeight="1">
      <c r="A1222" s="125"/>
      <c r="B1222" s="125"/>
      <c r="C1222" s="125"/>
      <c r="D1222" s="125"/>
      <c r="E1222" s="126"/>
      <c r="F1222" s="128"/>
      <c r="G1222" s="128"/>
      <c r="H1222" s="128"/>
      <c r="I1222" s="128"/>
      <c r="J1222" s="128"/>
      <c r="K1222" s="129"/>
      <c r="L1222" s="129"/>
      <c r="M1222" s="129"/>
      <c r="N1222" s="129"/>
      <c r="O1222" s="129"/>
      <c r="P1222" s="129"/>
      <c r="Q1222" s="129"/>
      <c r="R1222" s="132"/>
      <c r="S1222" s="132"/>
      <c r="T1222" s="135"/>
      <c r="U1222" s="132"/>
      <c r="V1222" s="129"/>
      <c r="W1222" s="132"/>
      <c r="X1222" s="132"/>
      <c r="Y1222" s="132"/>
    </row>
    <row r="1223" spans="1:25" ht="15.75" customHeight="1">
      <c r="A1223" s="125"/>
      <c r="B1223" s="125"/>
      <c r="C1223" s="125"/>
      <c r="D1223" s="125"/>
      <c r="E1223" s="126"/>
      <c r="F1223" s="128"/>
      <c r="G1223" s="128"/>
      <c r="H1223" s="128"/>
      <c r="I1223" s="128"/>
      <c r="J1223" s="128"/>
      <c r="K1223" s="129"/>
      <c r="L1223" s="129"/>
      <c r="M1223" s="129"/>
      <c r="N1223" s="129"/>
      <c r="O1223" s="129"/>
      <c r="P1223" s="129"/>
      <c r="Q1223" s="129"/>
      <c r="R1223" s="132"/>
      <c r="S1223" s="132"/>
      <c r="T1223" s="135"/>
      <c r="U1223" s="132"/>
      <c r="V1223" s="129"/>
      <c r="W1223" s="132"/>
      <c r="X1223" s="132"/>
      <c r="Y1223" s="132"/>
    </row>
    <row r="1224" spans="1:25" ht="15.75" customHeight="1">
      <c r="A1224" s="125"/>
      <c r="B1224" s="125"/>
      <c r="C1224" s="125"/>
      <c r="D1224" s="125"/>
      <c r="E1224" s="126"/>
      <c r="F1224" s="128"/>
      <c r="G1224" s="128"/>
      <c r="H1224" s="128"/>
      <c r="I1224" s="128"/>
      <c r="J1224" s="128"/>
      <c r="K1224" s="129"/>
      <c r="L1224" s="129"/>
      <c r="M1224" s="129"/>
      <c r="N1224" s="129"/>
      <c r="O1224" s="129"/>
      <c r="P1224" s="129"/>
      <c r="Q1224" s="129"/>
      <c r="R1224" s="132"/>
      <c r="S1224" s="132"/>
      <c r="T1224" s="135"/>
      <c r="U1224" s="132"/>
      <c r="V1224" s="129"/>
      <c r="W1224" s="132"/>
      <c r="X1224" s="132"/>
      <c r="Y1224" s="132"/>
    </row>
    <row r="1225" spans="1:25" ht="15.75" customHeight="1">
      <c r="A1225" s="125"/>
      <c r="B1225" s="125"/>
      <c r="C1225" s="125"/>
      <c r="D1225" s="125"/>
      <c r="E1225" s="126"/>
      <c r="F1225" s="128"/>
      <c r="G1225" s="128"/>
      <c r="H1225" s="128"/>
      <c r="I1225" s="128"/>
      <c r="J1225" s="128"/>
      <c r="K1225" s="129"/>
      <c r="L1225" s="129"/>
      <c r="M1225" s="129"/>
      <c r="N1225" s="129"/>
      <c r="O1225" s="129"/>
      <c r="P1225" s="129"/>
      <c r="Q1225" s="129"/>
      <c r="R1225" s="132"/>
      <c r="S1225" s="132"/>
      <c r="T1225" s="135"/>
      <c r="U1225" s="132"/>
      <c r="V1225" s="129"/>
      <c r="W1225" s="132"/>
      <c r="X1225" s="132"/>
      <c r="Y1225" s="132"/>
    </row>
    <row r="1226" spans="1:25" ht="15.75" customHeight="1">
      <c r="A1226" s="125"/>
      <c r="B1226" s="125"/>
      <c r="C1226" s="125"/>
      <c r="D1226" s="125"/>
      <c r="E1226" s="126"/>
      <c r="F1226" s="128"/>
      <c r="G1226" s="128"/>
      <c r="H1226" s="128"/>
      <c r="I1226" s="128"/>
      <c r="J1226" s="128"/>
      <c r="K1226" s="129"/>
      <c r="L1226" s="129"/>
      <c r="M1226" s="129"/>
      <c r="N1226" s="129"/>
      <c r="O1226" s="129"/>
      <c r="P1226" s="129"/>
      <c r="Q1226" s="129"/>
      <c r="R1226" s="132"/>
      <c r="S1226" s="132"/>
      <c r="T1226" s="135"/>
      <c r="U1226" s="132"/>
      <c r="V1226" s="129"/>
      <c r="W1226" s="132"/>
      <c r="X1226" s="132"/>
      <c r="Y1226" s="132"/>
    </row>
    <row r="1227" spans="1:25" ht="15.75" customHeight="1">
      <c r="A1227" s="125"/>
      <c r="B1227" s="125"/>
      <c r="C1227" s="125"/>
      <c r="D1227" s="125"/>
      <c r="E1227" s="126"/>
      <c r="F1227" s="128"/>
      <c r="G1227" s="128"/>
      <c r="H1227" s="128"/>
      <c r="I1227" s="128"/>
      <c r="J1227" s="128"/>
      <c r="K1227" s="129"/>
      <c r="L1227" s="129"/>
      <c r="M1227" s="129"/>
      <c r="N1227" s="129"/>
      <c r="O1227" s="129"/>
      <c r="P1227" s="129"/>
      <c r="Q1227" s="129"/>
      <c r="R1227" s="132"/>
      <c r="S1227" s="132"/>
      <c r="T1227" s="135"/>
      <c r="U1227" s="132"/>
      <c r="V1227" s="129"/>
      <c r="W1227" s="132"/>
      <c r="X1227" s="132"/>
      <c r="Y1227" s="132"/>
    </row>
    <row r="1228" spans="1:25" ht="15.75" customHeight="1">
      <c r="A1228" s="125"/>
      <c r="B1228" s="125"/>
      <c r="C1228" s="125"/>
      <c r="D1228" s="125"/>
      <c r="E1228" s="126"/>
      <c r="F1228" s="128"/>
      <c r="G1228" s="128"/>
      <c r="H1228" s="128"/>
      <c r="I1228" s="128"/>
      <c r="J1228" s="128"/>
      <c r="K1228" s="129"/>
      <c r="L1228" s="129"/>
      <c r="M1228" s="129"/>
      <c r="N1228" s="129"/>
      <c r="O1228" s="129"/>
      <c r="P1228" s="129"/>
      <c r="Q1228" s="129"/>
      <c r="R1228" s="132"/>
      <c r="S1228" s="132"/>
      <c r="T1228" s="135"/>
      <c r="U1228" s="132"/>
      <c r="V1228" s="129"/>
      <c r="W1228" s="132"/>
      <c r="X1228" s="132"/>
      <c r="Y1228" s="132"/>
    </row>
    <row r="1229" spans="1:25" ht="15.75" customHeight="1">
      <c r="A1229" s="125"/>
      <c r="B1229" s="125"/>
      <c r="C1229" s="125"/>
      <c r="D1229" s="125"/>
      <c r="E1229" s="126"/>
      <c r="F1229" s="128"/>
      <c r="G1229" s="128"/>
      <c r="H1229" s="128"/>
      <c r="I1229" s="128"/>
      <c r="J1229" s="128"/>
      <c r="K1229" s="129"/>
      <c r="L1229" s="129"/>
      <c r="M1229" s="129"/>
      <c r="N1229" s="129"/>
      <c r="O1229" s="129"/>
      <c r="P1229" s="129"/>
      <c r="Q1229" s="129"/>
      <c r="R1229" s="132"/>
      <c r="S1229" s="132"/>
      <c r="T1229" s="135"/>
      <c r="U1229" s="132"/>
      <c r="V1229" s="129"/>
      <c r="W1229" s="132"/>
      <c r="X1229" s="132"/>
      <c r="Y1229" s="132"/>
    </row>
    <row r="1230" spans="1:25" ht="15.75" customHeight="1">
      <c r="A1230" s="125"/>
      <c r="B1230" s="125"/>
      <c r="C1230" s="125"/>
      <c r="D1230" s="125"/>
      <c r="E1230" s="126"/>
      <c r="F1230" s="128"/>
      <c r="G1230" s="128"/>
      <c r="H1230" s="128"/>
      <c r="I1230" s="128"/>
      <c r="J1230" s="128"/>
      <c r="K1230" s="129"/>
      <c r="L1230" s="129"/>
      <c r="M1230" s="129"/>
      <c r="N1230" s="129"/>
      <c r="O1230" s="129"/>
      <c r="P1230" s="129"/>
      <c r="Q1230" s="129"/>
      <c r="R1230" s="132"/>
      <c r="S1230" s="132"/>
      <c r="T1230" s="135"/>
      <c r="U1230" s="132"/>
      <c r="V1230" s="129"/>
      <c r="W1230" s="132"/>
      <c r="X1230" s="132"/>
      <c r="Y1230" s="132"/>
    </row>
    <row r="1231" spans="1:25" ht="15.75" customHeight="1">
      <c r="A1231" s="125"/>
      <c r="B1231" s="125"/>
      <c r="C1231" s="125"/>
      <c r="D1231" s="125"/>
      <c r="E1231" s="126"/>
      <c r="F1231" s="128"/>
      <c r="G1231" s="128"/>
      <c r="H1231" s="128"/>
      <c r="I1231" s="128"/>
      <c r="J1231" s="128"/>
      <c r="K1231" s="129"/>
      <c r="L1231" s="129"/>
      <c r="M1231" s="129"/>
      <c r="N1231" s="129"/>
      <c r="O1231" s="129"/>
      <c r="P1231" s="129"/>
      <c r="Q1231" s="129"/>
      <c r="R1231" s="132"/>
      <c r="S1231" s="132"/>
      <c r="T1231" s="135"/>
      <c r="U1231" s="132"/>
      <c r="V1231" s="129"/>
      <c r="W1231" s="132"/>
      <c r="X1231" s="132"/>
      <c r="Y1231" s="132"/>
    </row>
    <row r="1232" spans="1:25" ht="15.75" customHeight="1">
      <c r="A1232" s="125"/>
      <c r="B1232" s="125"/>
      <c r="C1232" s="125"/>
      <c r="D1232" s="125"/>
      <c r="E1232" s="126"/>
      <c r="F1232" s="128"/>
      <c r="G1232" s="128"/>
      <c r="H1232" s="128"/>
      <c r="I1232" s="128"/>
      <c r="J1232" s="128"/>
      <c r="K1232" s="129"/>
      <c r="L1232" s="129"/>
      <c r="M1232" s="129"/>
      <c r="N1232" s="129"/>
      <c r="O1232" s="129"/>
      <c r="P1232" s="129"/>
      <c r="Q1232" s="129"/>
      <c r="R1232" s="132"/>
      <c r="S1232" s="132"/>
      <c r="T1232" s="135"/>
      <c r="U1232" s="132"/>
      <c r="V1232" s="129"/>
      <c r="W1232" s="132"/>
      <c r="X1232" s="132"/>
      <c r="Y1232" s="132"/>
    </row>
    <row r="1233" spans="1:25" ht="15.75" customHeight="1">
      <c r="A1233" s="125"/>
      <c r="B1233" s="125"/>
      <c r="C1233" s="125"/>
      <c r="D1233" s="125"/>
      <c r="E1233" s="126"/>
      <c r="F1233" s="128"/>
      <c r="G1233" s="128"/>
      <c r="H1233" s="128"/>
      <c r="I1233" s="128"/>
      <c r="J1233" s="128"/>
      <c r="K1233" s="129"/>
      <c r="L1233" s="129"/>
      <c r="M1233" s="129"/>
      <c r="N1233" s="129"/>
      <c r="O1233" s="129"/>
      <c r="P1233" s="129"/>
      <c r="Q1233" s="129"/>
      <c r="R1233" s="132"/>
      <c r="S1233" s="132"/>
      <c r="T1233" s="135"/>
      <c r="U1233" s="132"/>
      <c r="V1233" s="129"/>
      <c r="W1233" s="132"/>
      <c r="X1233" s="132"/>
      <c r="Y1233" s="132"/>
    </row>
    <row r="1234" spans="1:25" ht="15.75" customHeight="1">
      <c r="A1234" s="125"/>
      <c r="B1234" s="125"/>
      <c r="C1234" s="125"/>
      <c r="D1234" s="125"/>
      <c r="E1234" s="126"/>
      <c r="F1234" s="128"/>
      <c r="G1234" s="128"/>
      <c r="H1234" s="128"/>
      <c r="I1234" s="128"/>
      <c r="J1234" s="128"/>
      <c r="K1234" s="129"/>
      <c r="L1234" s="129"/>
      <c r="M1234" s="129"/>
      <c r="N1234" s="129"/>
      <c r="O1234" s="129"/>
      <c r="P1234" s="129"/>
      <c r="Q1234" s="129"/>
      <c r="R1234" s="132"/>
      <c r="S1234" s="132"/>
      <c r="T1234" s="135"/>
      <c r="U1234" s="132"/>
      <c r="V1234" s="129"/>
      <c r="W1234" s="132"/>
      <c r="X1234" s="132"/>
      <c r="Y1234" s="132"/>
    </row>
    <row r="1235" spans="1:25" ht="15.75" customHeight="1">
      <c r="A1235" s="125"/>
      <c r="B1235" s="125"/>
      <c r="C1235" s="125"/>
      <c r="D1235" s="125"/>
      <c r="E1235" s="126"/>
      <c r="F1235" s="128"/>
      <c r="G1235" s="128"/>
      <c r="H1235" s="128"/>
      <c r="I1235" s="128"/>
      <c r="J1235" s="128"/>
      <c r="K1235" s="129"/>
      <c r="L1235" s="129"/>
      <c r="M1235" s="129"/>
      <c r="N1235" s="129"/>
      <c r="O1235" s="129"/>
      <c r="P1235" s="129"/>
      <c r="Q1235" s="129"/>
      <c r="R1235" s="132"/>
      <c r="S1235" s="132"/>
      <c r="T1235" s="135"/>
      <c r="U1235" s="132"/>
      <c r="V1235" s="129"/>
      <c r="W1235" s="132"/>
      <c r="X1235" s="132"/>
      <c r="Y1235" s="132"/>
    </row>
    <row r="1236" spans="1:25" ht="15.75" customHeight="1">
      <c r="A1236" s="125"/>
      <c r="B1236" s="125"/>
      <c r="C1236" s="125"/>
      <c r="D1236" s="125"/>
      <c r="E1236" s="126"/>
      <c r="F1236" s="128"/>
      <c r="G1236" s="128"/>
      <c r="H1236" s="128"/>
      <c r="I1236" s="128"/>
      <c r="J1236" s="128"/>
      <c r="K1236" s="129"/>
      <c r="L1236" s="129"/>
      <c r="M1236" s="129"/>
      <c r="N1236" s="129"/>
      <c r="O1236" s="129"/>
      <c r="P1236" s="129"/>
      <c r="Q1236" s="129"/>
      <c r="R1236" s="132"/>
      <c r="S1236" s="132"/>
      <c r="T1236" s="135"/>
      <c r="U1236" s="132"/>
      <c r="V1236" s="129"/>
      <c r="W1236" s="132"/>
      <c r="X1236" s="132"/>
      <c r="Y1236" s="132"/>
    </row>
    <row r="1237" spans="1:25" ht="15.75" customHeight="1">
      <c r="A1237" s="125"/>
      <c r="B1237" s="125"/>
      <c r="C1237" s="125"/>
      <c r="D1237" s="125"/>
      <c r="E1237" s="126"/>
      <c r="F1237" s="128"/>
      <c r="G1237" s="128"/>
      <c r="H1237" s="128"/>
      <c r="I1237" s="128"/>
      <c r="J1237" s="128"/>
      <c r="K1237" s="129"/>
      <c r="L1237" s="129"/>
      <c r="M1237" s="129"/>
      <c r="N1237" s="129"/>
      <c r="O1237" s="129"/>
      <c r="P1237" s="129"/>
      <c r="Q1237" s="129"/>
      <c r="R1237" s="132"/>
      <c r="S1237" s="132"/>
      <c r="T1237" s="135"/>
      <c r="U1237" s="132"/>
      <c r="V1237" s="129"/>
      <c r="W1237" s="132"/>
      <c r="X1237" s="132"/>
      <c r="Y1237" s="132"/>
    </row>
    <row r="1238" spans="1:25" ht="15.75" customHeight="1">
      <c r="A1238" s="125"/>
      <c r="B1238" s="125"/>
      <c r="C1238" s="125"/>
      <c r="D1238" s="125"/>
      <c r="E1238" s="126"/>
      <c r="F1238" s="128"/>
      <c r="G1238" s="128"/>
      <c r="H1238" s="128"/>
      <c r="I1238" s="128"/>
      <c r="J1238" s="128"/>
      <c r="K1238" s="129"/>
      <c r="L1238" s="129"/>
      <c r="M1238" s="129"/>
      <c r="N1238" s="129"/>
      <c r="O1238" s="129"/>
      <c r="P1238" s="129"/>
      <c r="Q1238" s="129"/>
      <c r="R1238" s="132"/>
      <c r="S1238" s="132"/>
      <c r="T1238" s="135"/>
      <c r="U1238" s="132"/>
      <c r="V1238" s="129"/>
      <c r="W1238" s="132"/>
      <c r="X1238" s="132"/>
      <c r="Y1238" s="132"/>
    </row>
    <row r="1239" spans="1:25" ht="15.75" customHeight="1">
      <c r="A1239" s="125"/>
      <c r="B1239" s="125"/>
      <c r="C1239" s="125"/>
      <c r="D1239" s="125"/>
      <c r="E1239" s="126"/>
      <c r="F1239" s="128"/>
      <c r="G1239" s="128"/>
      <c r="H1239" s="128"/>
      <c r="I1239" s="128"/>
      <c r="J1239" s="128"/>
      <c r="K1239" s="129"/>
      <c r="L1239" s="129"/>
      <c r="M1239" s="129"/>
      <c r="N1239" s="129"/>
      <c r="O1239" s="129"/>
      <c r="P1239" s="129"/>
      <c r="Q1239" s="129"/>
      <c r="R1239" s="132"/>
      <c r="S1239" s="132"/>
      <c r="T1239" s="135"/>
      <c r="U1239" s="132"/>
      <c r="V1239" s="129"/>
      <c r="W1239" s="132"/>
      <c r="X1239" s="132"/>
      <c r="Y1239" s="132"/>
    </row>
    <row r="1240" spans="1:25" ht="15.75" customHeight="1">
      <c r="A1240" s="125"/>
      <c r="B1240" s="125"/>
      <c r="C1240" s="125"/>
      <c r="D1240" s="125"/>
      <c r="E1240" s="126"/>
      <c r="F1240" s="128"/>
      <c r="G1240" s="128"/>
      <c r="H1240" s="128"/>
      <c r="I1240" s="128"/>
      <c r="J1240" s="128"/>
      <c r="K1240" s="129"/>
      <c r="L1240" s="129"/>
      <c r="M1240" s="129"/>
      <c r="N1240" s="129"/>
      <c r="O1240" s="129"/>
      <c r="P1240" s="129"/>
      <c r="Q1240" s="129"/>
      <c r="R1240" s="132"/>
      <c r="S1240" s="132"/>
      <c r="T1240" s="135"/>
      <c r="U1240" s="132"/>
      <c r="V1240" s="129"/>
      <c r="W1240" s="132"/>
      <c r="X1240" s="132"/>
      <c r="Y1240" s="132"/>
    </row>
    <row r="1241" spans="1:25" ht="15.75" customHeight="1">
      <c r="A1241" s="125"/>
      <c r="B1241" s="125"/>
      <c r="C1241" s="125"/>
      <c r="D1241" s="125"/>
      <c r="E1241" s="126"/>
      <c r="F1241" s="128"/>
      <c r="G1241" s="128"/>
      <c r="H1241" s="128"/>
      <c r="I1241" s="128"/>
      <c r="J1241" s="128"/>
      <c r="K1241" s="129"/>
      <c r="L1241" s="129"/>
      <c r="M1241" s="129"/>
      <c r="N1241" s="129"/>
      <c r="O1241" s="129"/>
      <c r="P1241" s="129"/>
      <c r="Q1241" s="129"/>
      <c r="R1241" s="132"/>
      <c r="S1241" s="132"/>
      <c r="T1241" s="135"/>
      <c r="U1241" s="132"/>
      <c r="V1241" s="129"/>
      <c r="W1241" s="132"/>
      <c r="X1241" s="132"/>
      <c r="Y1241" s="132"/>
    </row>
    <row r="1242" spans="1:25" ht="15.75" customHeight="1">
      <c r="A1242" s="125"/>
      <c r="B1242" s="125"/>
      <c r="C1242" s="125"/>
      <c r="D1242" s="125"/>
      <c r="E1242" s="126"/>
      <c r="F1242" s="128"/>
      <c r="G1242" s="128"/>
      <c r="H1242" s="128"/>
      <c r="I1242" s="128"/>
      <c r="J1242" s="128"/>
      <c r="K1242" s="129"/>
      <c r="L1242" s="129"/>
      <c r="M1242" s="129"/>
      <c r="N1242" s="129"/>
      <c r="O1242" s="129"/>
      <c r="P1242" s="129"/>
      <c r="Q1242" s="129"/>
      <c r="R1242" s="132"/>
      <c r="S1242" s="132"/>
      <c r="T1242" s="135"/>
      <c r="U1242" s="132"/>
      <c r="V1242" s="129"/>
      <c r="W1242" s="132"/>
      <c r="X1242" s="132"/>
      <c r="Y1242" s="132"/>
    </row>
    <row r="1243" spans="1:25" ht="15.75" customHeight="1">
      <c r="A1243" s="125"/>
      <c r="B1243" s="125"/>
      <c r="C1243" s="125"/>
      <c r="D1243" s="125"/>
      <c r="E1243" s="126"/>
      <c r="F1243" s="128"/>
      <c r="G1243" s="128"/>
      <c r="H1243" s="128"/>
      <c r="I1243" s="128"/>
      <c r="J1243" s="128"/>
      <c r="K1243" s="129"/>
      <c r="L1243" s="129"/>
      <c r="M1243" s="129"/>
      <c r="N1243" s="129"/>
      <c r="O1243" s="129"/>
      <c r="P1243" s="129"/>
      <c r="Q1243" s="129"/>
      <c r="R1243" s="132"/>
      <c r="S1243" s="132"/>
      <c r="T1243" s="135"/>
      <c r="U1243" s="132"/>
      <c r="V1243" s="129"/>
      <c r="W1243" s="132"/>
      <c r="X1243" s="132"/>
      <c r="Y1243" s="132"/>
    </row>
    <row r="1244" spans="1:25" ht="15.75" customHeight="1">
      <c r="A1244" s="125"/>
      <c r="B1244" s="125"/>
      <c r="C1244" s="125"/>
      <c r="D1244" s="125"/>
      <c r="E1244" s="126"/>
      <c r="F1244" s="128"/>
      <c r="G1244" s="128"/>
      <c r="H1244" s="128"/>
      <c r="I1244" s="128"/>
      <c r="J1244" s="128"/>
      <c r="K1244" s="129"/>
      <c r="L1244" s="129"/>
      <c r="M1244" s="129"/>
      <c r="N1244" s="129"/>
      <c r="O1244" s="129"/>
      <c r="P1244" s="129"/>
      <c r="Q1244" s="129"/>
      <c r="R1244" s="132"/>
      <c r="S1244" s="132"/>
      <c r="T1244" s="135"/>
      <c r="U1244" s="132"/>
      <c r="V1244" s="129"/>
      <c r="W1244" s="132"/>
      <c r="X1244" s="132"/>
      <c r="Y1244" s="132"/>
    </row>
    <row r="1245" spans="1:25" ht="15.75" customHeight="1">
      <c r="A1245" s="125"/>
      <c r="B1245" s="125"/>
      <c r="C1245" s="125"/>
      <c r="D1245" s="125"/>
      <c r="E1245" s="126"/>
      <c r="F1245" s="128"/>
      <c r="G1245" s="128"/>
      <c r="H1245" s="128"/>
      <c r="I1245" s="128"/>
      <c r="J1245" s="128"/>
      <c r="K1245" s="129"/>
      <c r="L1245" s="129"/>
      <c r="M1245" s="129"/>
      <c r="N1245" s="129"/>
      <c r="O1245" s="129"/>
      <c r="P1245" s="129"/>
      <c r="Q1245" s="129"/>
      <c r="R1245" s="132"/>
      <c r="S1245" s="132"/>
      <c r="T1245" s="135"/>
      <c r="U1245" s="132"/>
      <c r="V1245" s="129"/>
      <c r="W1245" s="132"/>
      <c r="X1245" s="132"/>
      <c r="Y1245" s="132"/>
    </row>
    <row r="1246" spans="1:25" ht="15.75" customHeight="1">
      <c r="A1246" s="125"/>
      <c r="B1246" s="125"/>
      <c r="C1246" s="125"/>
      <c r="D1246" s="125"/>
      <c r="E1246" s="126"/>
      <c r="F1246" s="128"/>
      <c r="G1246" s="128"/>
      <c r="H1246" s="128"/>
      <c r="I1246" s="128"/>
      <c r="J1246" s="128"/>
      <c r="K1246" s="129"/>
      <c r="L1246" s="129"/>
      <c r="M1246" s="129"/>
      <c r="N1246" s="129"/>
      <c r="O1246" s="129"/>
      <c r="P1246" s="129"/>
      <c r="Q1246" s="129"/>
      <c r="R1246" s="132"/>
      <c r="S1246" s="132"/>
      <c r="T1246" s="135"/>
      <c r="U1246" s="132"/>
      <c r="V1246" s="129"/>
      <c r="W1246" s="132"/>
      <c r="X1246" s="132"/>
      <c r="Y1246" s="132"/>
    </row>
    <row r="1247" spans="1:25" ht="15.75" customHeight="1">
      <c r="A1247" s="125"/>
      <c r="B1247" s="125"/>
      <c r="C1247" s="125"/>
      <c r="D1247" s="125"/>
      <c r="E1247" s="126"/>
      <c r="F1247" s="128"/>
      <c r="G1247" s="128"/>
      <c r="H1247" s="128"/>
      <c r="I1247" s="128"/>
      <c r="J1247" s="128"/>
      <c r="K1247" s="129"/>
      <c r="L1247" s="129"/>
      <c r="M1247" s="129"/>
      <c r="N1247" s="129"/>
      <c r="O1247" s="129"/>
      <c r="P1247" s="129"/>
      <c r="Q1247" s="129"/>
      <c r="R1247" s="132"/>
      <c r="S1247" s="132"/>
      <c r="T1247" s="135"/>
      <c r="U1247" s="132"/>
      <c r="V1247" s="129"/>
      <c r="W1247" s="132"/>
      <c r="X1247" s="132"/>
      <c r="Y1247" s="132"/>
    </row>
    <row r="1248" spans="1:25" ht="15.75" customHeight="1">
      <c r="A1248" s="125"/>
      <c r="B1248" s="125"/>
      <c r="C1248" s="125"/>
      <c r="D1248" s="125"/>
      <c r="E1248" s="126"/>
      <c r="F1248" s="128"/>
      <c r="G1248" s="128"/>
      <c r="H1248" s="128"/>
      <c r="I1248" s="128"/>
      <c r="J1248" s="128"/>
      <c r="K1248" s="129"/>
      <c r="L1248" s="129"/>
      <c r="M1248" s="129"/>
      <c r="N1248" s="129"/>
      <c r="O1248" s="129"/>
      <c r="P1248" s="129"/>
      <c r="Q1248" s="129"/>
      <c r="R1248" s="132"/>
      <c r="S1248" s="132"/>
      <c r="T1248" s="135"/>
      <c r="U1248" s="132"/>
      <c r="V1248" s="129"/>
      <c r="W1248" s="132"/>
      <c r="X1248" s="132"/>
      <c r="Y1248" s="132"/>
    </row>
    <row r="1249" spans="1:25" ht="15.75" customHeight="1">
      <c r="A1249" s="125"/>
      <c r="B1249" s="125"/>
      <c r="C1249" s="125"/>
      <c r="D1249" s="125"/>
      <c r="E1249" s="126"/>
      <c r="F1249" s="128"/>
      <c r="G1249" s="128"/>
      <c r="H1249" s="128"/>
      <c r="I1249" s="128"/>
      <c r="J1249" s="128"/>
      <c r="K1249" s="129"/>
      <c r="L1249" s="129"/>
      <c r="M1249" s="129"/>
      <c r="N1249" s="129"/>
      <c r="O1249" s="129"/>
      <c r="P1249" s="129"/>
      <c r="Q1249" s="129"/>
      <c r="R1249" s="132"/>
      <c r="S1249" s="132"/>
      <c r="T1249" s="135"/>
      <c r="U1249" s="132"/>
      <c r="V1249" s="129"/>
      <c r="W1249" s="132"/>
      <c r="X1249" s="132"/>
      <c r="Y1249" s="132"/>
    </row>
    <row r="1250" spans="1:25" ht="15.75" customHeight="1">
      <c r="A1250" s="125"/>
      <c r="B1250" s="125"/>
      <c r="C1250" s="125"/>
      <c r="D1250" s="125"/>
      <c r="E1250" s="126"/>
      <c r="F1250" s="128"/>
      <c r="G1250" s="128"/>
      <c r="H1250" s="128"/>
      <c r="I1250" s="128"/>
      <c r="J1250" s="128"/>
      <c r="K1250" s="129"/>
      <c r="L1250" s="129"/>
      <c r="M1250" s="129"/>
      <c r="N1250" s="129"/>
      <c r="O1250" s="129"/>
      <c r="P1250" s="129"/>
      <c r="Q1250" s="129"/>
      <c r="R1250" s="132"/>
      <c r="S1250" s="132"/>
      <c r="T1250" s="135"/>
      <c r="U1250" s="132"/>
      <c r="V1250" s="129"/>
      <c r="W1250" s="132"/>
      <c r="X1250" s="132"/>
      <c r="Y1250" s="132"/>
    </row>
    <row r="1251" spans="1:25" ht="15.75" customHeight="1">
      <c r="A1251" s="125"/>
      <c r="B1251" s="125"/>
      <c r="C1251" s="125"/>
      <c r="D1251" s="125"/>
      <c r="E1251" s="126"/>
      <c r="F1251" s="128"/>
      <c r="G1251" s="128"/>
      <c r="H1251" s="128"/>
      <c r="I1251" s="128"/>
      <c r="J1251" s="128"/>
      <c r="K1251" s="129"/>
      <c r="L1251" s="129"/>
      <c r="M1251" s="129"/>
      <c r="N1251" s="129"/>
      <c r="O1251" s="129"/>
      <c r="P1251" s="129"/>
      <c r="Q1251" s="129"/>
      <c r="R1251" s="132"/>
      <c r="S1251" s="132"/>
      <c r="T1251" s="135"/>
      <c r="U1251" s="132"/>
      <c r="V1251" s="129"/>
      <c r="W1251" s="132"/>
      <c r="X1251" s="132"/>
      <c r="Y1251" s="132"/>
    </row>
    <row r="1252" spans="1:25" ht="15.75" customHeight="1">
      <c r="A1252" s="125"/>
      <c r="B1252" s="125"/>
      <c r="C1252" s="125"/>
      <c r="D1252" s="125"/>
      <c r="E1252" s="126"/>
      <c r="F1252" s="128"/>
      <c r="G1252" s="128"/>
      <c r="H1252" s="128"/>
      <c r="I1252" s="128"/>
      <c r="J1252" s="128"/>
      <c r="K1252" s="129"/>
      <c r="L1252" s="129"/>
      <c r="M1252" s="129"/>
      <c r="N1252" s="129"/>
      <c r="O1252" s="129"/>
      <c r="P1252" s="129"/>
      <c r="Q1252" s="129"/>
      <c r="R1252" s="132"/>
      <c r="S1252" s="132"/>
      <c r="T1252" s="135"/>
      <c r="U1252" s="132"/>
      <c r="V1252" s="129"/>
      <c r="W1252" s="132"/>
      <c r="X1252" s="132"/>
      <c r="Y1252" s="132"/>
    </row>
    <row r="1253" spans="1:25" ht="15.75" customHeight="1">
      <c r="A1253" s="125"/>
      <c r="B1253" s="125"/>
      <c r="C1253" s="125"/>
      <c r="D1253" s="125"/>
      <c r="E1253" s="126"/>
      <c r="F1253" s="128"/>
      <c r="G1253" s="128"/>
      <c r="H1253" s="128"/>
      <c r="I1253" s="128"/>
      <c r="J1253" s="128"/>
      <c r="K1253" s="129"/>
      <c r="L1253" s="129"/>
      <c r="M1253" s="129"/>
      <c r="N1253" s="129"/>
      <c r="O1253" s="129"/>
      <c r="P1253" s="129"/>
      <c r="Q1253" s="129"/>
      <c r="R1253" s="132"/>
      <c r="S1253" s="132"/>
      <c r="T1253" s="135"/>
      <c r="U1253" s="132"/>
      <c r="V1253" s="129"/>
      <c r="W1253" s="132"/>
      <c r="X1253" s="132"/>
      <c r="Y1253" s="132"/>
    </row>
    <row r="1254" spans="1:25" ht="15.75" customHeight="1">
      <c r="A1254" s="125"/>
      <c r="B1254" s="125"/>
      <c r="C1254" s="125"/>
      <c r="D1254" s="125"/>
      <c r="E1254" s="126"/>
      <c r="F1254" s="128"/>
      <c r="G1254" s="128"/>
      <c r="H1254" s="128"/>
      <c r="I1254" s="128"/>
      <c r="J1254" s="128"/>
      <c r="K1254" s="129"/>
      <c r="L1254" s="129"/>
      <c r="M1254" s="129"/>
      <c r="N1254" s="129"/>
      <c r="O1254" s="129"/>
      <c r="P1254" s="129"/>
      <c r="Q1254" s="129"/>
      <c r="R1254" s="132"/>
      <c r="S1254" s="132"/>
      <c r="T1254" s="135"/>
      <c r="U1254" s="132"/>
      <c r="V1254" s="129"/>
      <c r="W1254" s="132"/>
      <c r="X1254" s="132"/>
      <c r="Y1254" s="132"/>
    </row>
    <row r="1255" spans="1:25" ht="15.75" customHeight="1">
      <c r="A1255" s="125"/>
      <c r="B1255" s="125"/>
      <c r="C1255" s="125"/>
      <c r="D1255" s="125"/>
      <c r="E1255" s="126"/>
      <c r="F1255" s="128"/>
      <c r="G1255" s="128"/>
      <c r="H1255" s="128"/>
      <c r="I1255" s="128"/>
      <c r="J1255" s="128"/>
      <c r="K1255" s="129"/>
      <c r="L1255" s="129"/>
      <c r="M1255" s="129"/>
      <c r="N1255" s="129"/>
      <c r="O1255" s="129"/>
      <c r="P1255" s="129"/>
      <c r="Q1255" s="129"/>
      <c r="R1255" s="132"/>
      <c r="S1255" s="132"/>
      <c r="T1255" s="135"/>
      <c r="U1255" s="132"/>
      <c r="V1255" s="129"/>
      <c r="W1255" s="132"/>
      <c r="X1255" s="132"/>
      <c r="Y1255" s="132"/>
    </row>
    <row r="1256" spans="1:25" ht="15.75" customHeight="1">
      <c r="A1256" s="125"/>
      <c r="B1256" s="125"/>
      <c r="C1256" s="125"/>
      <c r="D1256" s="125"/>
      <c r="E1256" s="126"/>
      <c r="F1256" s="128"/>
      <c r="G1256" s="128"/>
      <c r="H1256" s="128"/>
      <c r="I1256" s="128"/>
      <c r="J1256" s="128"/>
      <c r="K1256" s="129"/>
      <c r="L1256" s="129"/>
      <c r="M1256" s="129"/>
      <c r="N1256" s="129"/>
      <c r="O1256" s="129"/>
      <c r="P1256" s="129"/>
      <c r="Q1256" s="129"/>
      <c r="R1256" s="132"/>
      <c r="S1256" s="132"/>
      <c r="T1256" s="135"/>
      <c r="U1256" s="132"/>
      <c r="V1256" s="129"/>
      <c r="W1256" s="132"/>
      <c r="X1256" s="132"/>
      <c r="Y1256" s="132"/>
    </row>
    <row r="1257" spans="1:25" ht="15.75" customHeight="1">
      <c r="A1257" s="125"/>
      <c r="B1257" s="125"/>
      <c r="C1257" s="125"/>
      <c r="D1257" s="125"/>
      <c r="E1257" s="126"/>
      <c r="F1257" s="128"/>
      <c r="G1257" s="128"/>
      <c r="H1257" s="128"/>
      <c r="I1257" s="128"/>
      <c r="J1257" s="128"/>
      <c r="K1257" s="129"/>
      <c r="L1257" s="129"/>
      <c r="M1257" s="129"/>
      <c r="N1257" s="129"/>
      <c r="O1257" s="129"/>
      <c r="P1257" s="129"/>
      <c r="Q1257" s="129"/>
      <c r="R1257" s="132"/>
      <c r="S1257" s="132"/>
      <c r="T1257" s="135"/>
      <c r="U1257" s="132"/>
      <c r="V1257" s="129"/>
      <c r="W1257" s="132"/>
      <c r="X1257" s="132"/>
      <c r="Y1257" s="132"/>
    </row>
    <row r="1258" spans="1:25" ht="15.75" customHeight="1">
      <c r="A1258" s="125"/>
      <c r="B1258" s="125"/>
      <c r="C1258" s="125"/>
      <c r="D1258" s="125"/>
      <c r="E1258" s="126"/>
      <c r="F1258" s="128"/>
      <c r="G1258" s="128"/>
      <c r="H1258" s="128"/>
      <c r="I1258" s="128"/>
      <c r="J1258" s="128"/>
      <c r="K1258" s="129"/>
      <c r="L1258" s="129"/>
      <c r="M1258" s="129"/>
      <c r="N1258" s="129"/>
      <c r="O1258" s="129"/>
      <c r="P1258" s="129"/>
      <c r="Q1258" s="129"/>
      <c r="R1258" s="132"/>
      <c r="S1258" s="132"/>
      <c r="T1258" s="135"/>
      <c r="U1258" s="132"/>
      <c r="V1258" s="129"/>
      <c r="W1258" s="132"/>
      <c r="X1258" s="132"/>
      <c r="Y1258" s="132"/>
    </row>
    <row r="1259" spans="1:25" ht="15.75" customHeight="1">
      <c r="A1259" s="125"/>
      <c r="B1259" s="125"/>
      <c r="C1259" s="125"/>
      <c r="D1259" s="125"/>
      <c r="E1259" s="126"/>
      <c r="F1259" s="128"/>
      <c r="G1259" s="128"/>
      <c r="H1259" s="128"/>
      <c r="I1259" s="128"/>
      <c r="J1259" s="128"/>
      <c r="K1259" s="129"/>
      <c r="L1259" s="129"/>
      <c r="M1259" s="129"/>
      <c r="N1259" s="129"/>
      <c r="O1259" s="129"/>
      <c r="P1259" s="129"/>
      <c r="Q1259" s="129"/>
      <c r="R1259" s="132"/>
      <c r="S1259" s="132"/>
      <c r="T1259" s="135"/>
      <c r="U1259" s="132"/>
      <c r="V1259" s="129"/>
      <c r="W1259" s="132"/>
      <c r="X1259" s="132"/>
      <c r="Y1259" s="132"/>
    </row>
    <row r="1260" spans="1:25" ht="15.75" customHeight="1">
      <c r="A1260" s="125"/>
      <c r="B1260" s="125"/>
      <c r="C1260" s="125"/>
      <c r="D1260" s="125"/>
      <c r="E1260" s="126"/>
      <c r="F1260" s="128"/>
      <c r="G1260" s="128"/>
      <c r="H1260" s="128"/>
      <c r="I1260" s="128"/>
      <c r="J1260" s="128"/>
      <c r="K1260" s="129"/>
      <c r="L1260" s="129"/>
      <c r="M1260" s="129"/>
      <c r="N1260" s="129"/>
      <c r="O1260" s="129"/>
      <c r="P1260" s="129"/>
      <c r="Q1260" s="129"/>
      <c r="R1260" s="132"/>
      <c r="S1260" s="132"/>
      <c r="T1260" s="135"/>
      <c r="U1260" s="132"/>
      <c r="V1260" s="129"/>
      <c r="W1260" s="132"/>
      <c r="X1260" s="132"/>
      <c r="Y1260" s="132"/>
    </row>
    <row r="1261" spans="1:25" ht="15.75" customHeight="1">
      <c r="A1261" s="125"/>
      <c r="B1261" s="125"/>
      <c r="C1261" s="125"/>
      <c r="D1261" s="125"/>
      <c r="E1261" s="126"/>
      <c r="F1261" s="128"/>
      <c r="G1261" s="128"/>
      <c r="H1261" s="128"/>
      <c r="I1261" s="128"/>
      <c r="J1261" s="128"/>
      <c r="K1261" s="129"/>
      <c r="L1261" s="129"/>
      <c r="M1261" s="129"/>
      <c r="N1261" s="129"/>
      <c r="O1261" s="129"/>
      <c r="P1261" s="129"/>
      <c r="Q1261" s="129"/>
      <c r="R1261" s="132"/>
      <c r="S1261" s="132"/>
      <c r="T1261" s="135"/>
      <c r="U1261" s="132"/>
      <c r="V1261" s="129"/>
      <c r="W1261" s="132"/>
      <c r="X1261" s="132"/>
      <c r="Y1261" s="132"/>
    </row>
    <row r="1262" spans="1:25" ht="15.75" customHeight="1">
      <c r="A1262" s="125"/>
      <c r="B1262" s="125"/>
      <c r="C1262" s="125"/>
      <c r="D1262" s="125"/>
      <c r="E1262" s="126"/>
      <c r="F1262" s="128"/>
      <c r="G1262" s="128"/>
      <c r="H1262" s="128"/>
      <c r="I1262" s="128"/>
      <c r="J1262" s="128"/>
      <c r="K1262" s="129"/>
      <c r="L1262" s="129"/>
      <c r="M1262" s="129"/>
      <c r="N1262" s="129"/>
      <c r="O1262" s="129"/>
      <c r="P1262" s="129"/>
      <c r="Q1262" s="129"/>
      <c r="R1262" s="132"/>
      <c r="S1262" s="132"/>
      <c r="T1262" s="135"/>
      <c r="U1262" s="132"/>
      <c r="V1262" s="129"/>
      <c r="W1262" s="132"/>
      <c r="X1262" s="132"/>
      <c r="Y1262" s="132"/>
    </row>
    <row r="1263" spans="1:25" ht="15.75" customHeight="1">
      <c r="A1263" s="125"/>
      <c r="B1263" s="125"/>
      <c r="C1263" s="125"/>
      <c r="D1263" s="125"/>
      <c r="E1263" s="126"/>
      <c r="F1263" s="128"/>
      <c r="G1263" s="128"/>
      <c r="H1263" s="128"/>
      <c r="I1263" s="128"/>
      <c r="J1263" s="128"/>
      <c r="K1263" s="129"/>
      <c r="L1263" s="129"/>
      <c r="M1263" s="129"/>
      <c r="N1263" s="129"/>
      <c r="O1263" s="129"/>
      <c r="P1263" s="129"/>
      <c r="Q1263" s="129"/>
      <c r="R1263" s="132"/>
      <c r="S1263" s="132"/>
      <c r="T1263" s="135"/>
      <c r="U1263" s="132"/>
      <c r="V1263" s="129"/>
      <c r="W1263" s="132"/>
      <c r="X1263" s="132"/>
      <c r="Y1263" s="132"/>
    </row>
    <row r="1264" spans="1:25" ht="15.75" customHeight="1">
      <c r="A1264" s="125"/>
      <c r="B1264" s="125"/>
      <c r="C1264" s="125"/>
      <c r="D1264" s="125"/>
      <c r="E1264" s="126"/>
      <c r="F1264" s="128"/>
      <c r="G1264" s="128"/>
      <c r="H1264" s="128"/>
      <c r="I1264" s="128"/>
      <c r="J1264" s="128"/>
      <c r="K1264" s="129"/>
      <c r="L1264" s="129"/>
      <c r="M1264" s="129"/>
      <c r="N1264" s="129"/>
      <c r="O1264" s="129"/>
      <c r="P1264" s="129"/>
      <c r="Q1264" s="129"/>
      <c r="R1264" s="132"/>
      <c r="S1264" s="132"/>
      <c r="T1264" s="135"/>
      <c r="U1264" s="132"/>
      <c r="V1264" s="129"/>
      <c r="W1264" s="132"/>
      <c r="X1264" s="132"/>
      <c r="Y1264" s="132"/>
    </row>
    <row r="1265" spans="1:25" ht="15.75" customHeight="1">
      <c r="A1265" s="125"/>
      <c r="B1265" s="125"/>
      <c r="C1265" s="125"/>
      <c r="D1265" s="125"/>
      <c r="E1265" s="126"/>
      <c r="F1265" s="128"/>
      <c r="G1265" s="128"/>
      <c r="H1265" s="128"/>
      <c r="I1265" s="128"/>
      <c r="J1265" s="128"/>
      <c r="K1265" s="129"/>
      <c r="L1265" s="129"/>
      <c r="M1265" s="129"/>
      <c r="N1265" s="129"/>
      <c r="O1265" s="129"/>
      <c r="P1265" s="129"/>
      <c r="Q1265" s="129"/>
      <c r="R1265" s="132"/>
      <c r="S1265" s="132"/>
      <c r="T1265" s="135"/>
      <c r="U1265" s="132"/>
      <c r="V1265" s="129"/>
      <c r="W1265" s="132"/>
      <c r="X1265" s="132"/>
      <c r="Y1265" s="132"/>
    </row>
    <row r="1266" spans="1:25" ht="15.75" customHeight="1">
      <c r="A1266" s="125"/>
      <c r="B1266" s="125"/>
      <c r="C1266" s="125"/>
      <c r="D1266" s="125"/>
      <c r="E1266" s="126"/>
      <c r="F1266" s="128"/>
      <c r="G1266" s="128"/>
      <c r="H1266" s="128"/>
      <c r="I1266" s="128"/>
      <c r="J1266" s="128"/>
      <c r="K1266" s="129"/>
      <c r="L1266" s="129"/>
      <c r="M1266" s="129"/>
      <c r="N1266" s="129"/>
      <c r="O1266" s="129"/>
      <c r="P1266" s="129"/>
      <c r="Q1266" s="129"/>
      <c r="R1266" s="132"/>
      <c r="S1266" s="132"/>
      <c r="T1266" s="135"/>
      <c r="U1266" s="132"/>
      <c r="V1266" s="129"/>
      <c r="W1266" s="132"/>
      <c r="X1266" s="132"/>
      <c r="Y1266" s="132"/>
    </row>
    <row r="1267" spans="1:25" ht="15.75" customHeight="1">
      <c r="A1267" s="125"/>
      <c r="B1267" s="125"/>
      <c r="C1267" s="125"/>
      <c r="D1267" s="125"/>
      <c r="E1267" s="126"/>
      <c r="F1267" s="128"/>
      <c r="G1267" s="128"/>
      <c r="H1267" s="128"/>
      <c r="I1267" s="128"/>
      <c r="J1267" s="128"/>
      <c r="K1267" s="129"/>
      <c r="L1267" s="129"/>
      <c r="M1267" s="129"/>
      <c r="N1267" s="129"/>
      <c r="O1267" s="129"/>
      <c r="P1267" s="129"/>
      <c r="Q1267" s="129"/>
      <c r="R1267" s="132"/>
      <c r="S1267" s="132"/>
      <c r="T1267" s="135"/>
      <c r="U1267" s="132"/>
      <c r="V1267" s="129"/>
      <c r="W1267" s="132"/>
      <c r="X1267" s="132"/>
      <c r="Y1267" s="132"/>
    </row>
    <row r="1268" spans="1:25" ht="15.75" customHeight="1">
      <c r="A1268" s="125"/>
      <c r="B1268" s="125"/>
      <c r="C1268" s="125"/>
      <c r="D1268" s="125"/>
      <c r="E1268" s="126"/>
      <c r="F1268" s="128"/>
      <c r="G1268" s="128"/>
      <c r="H1268" s="128"/>
      <c r="I1268" s="128"/>
      <c r="J1268" s="128"/>
      <c r="K1268" s="129"/>
      <c r="L1268" s="129"/>
      <c r="M1268" s="129"/>
      <c r="N1268" s="129"/>
      <c r="O1268" s="129"/>
      <c r="P1268" s="129"/>
      <c r="Q1268" s="129"/>
      <c r="R1268" s="132"/>
      <c r="S1268" s="132"/>
      <c r="T1268" s="135"/>
      <c r="U1268" s="132"/>
      <c r="V1268" s="129"/>
      <c r="W1268" s="132"/>
      <c r="X1268" s="132"/>
      <c r="Y1268" s="132"/>
    </row>
    <row r="1269" spans="1:25" ht="15.75" customHeight="1">
      <c r="A1269" s="125"/>
      <c r="B1269" s="125"/>
      <c r="C1269" s="125"/>
      <c r="D1269" s="125"/>
      <c r="E1269" s="126"/>
      <c r="F1269" s="128"/>
      <c r="G1269" s="128"/>
      <c r="H1269" s="128"/>
      <c r="I1269" s="128"/>
      <c r="J1269" s="128"/>
      <c r="K1269" s="129"/>
      <c r="L1269" s="129"/>
      <c r="M1269" s="129"/>
      <c r="N1269" s="129"/>
      <c r="O1269" s="129"/>
      <c r="P1269" s="129"/>
      <c r="Q1269" s="129"/>
      <c r="R1269" s="132"/>
      <c r="S1269" s="132"/>
      <c r="T1269" s="135"/>
      <c r="U1269" s="132"/>
      <c r="V1269" s="129"/>
      <c r="W1269" s="132"/>
      <c r="X1269" s="132"/>
      <c r="Y1269" s="132"/>
    </row>
    <row r="1270" spans="1:25" ht="15.75" customHeight="1">
      <c r="A1270" s="125"/>
      <c r="B1270" s="125"/>
      <c r="C1270" s="125"/>
      <c r="D1270" s="125"/>
      <c r="E1270" s="126"/>
      <c r="F1270" s="128"/>
      <c r="G1270" s="128"/>
      <c r="H1270" s="128"/>
      <c r="I1270" s="128"/>
      <c r="J1270" s="128"/>
      <c r="K1270" s="129"/>
      <c r="L1270" s="129"/>
      <c r="M1270" s="129"/>
      <c r="N1270" s="129"/>
      <c r="O1270" s="129"/>
      <c r="P1270" s="129"/>
      <c r="Q1270" s="129"/>
      <c r="R1270" s="132"/>
      <c r="S1270" s="132"/>
      <c r="T1270" s="135"/>
      <c r="U1270" s="132"/>
      <c r="V1270" s="129"/>
      <c r="W1270" s="132"/>
      <c r="X1270" s="132"/>
      <c r="Y1270" s="132"/>
    </row>
    <row r="1271" spans="1:25" ht="15.75" customHeight="1">
      <c r="A1271" s="125"/>
      <c r="B1271" s="125"/>
      <c r="C1271" s="125"/>
      <c r="D1271" s="125"/>
      <c r="E1271" s="126"/>
      <c r="F1271" s="128"/>
      <c r="G1271" s="128"/>
      <c r="H1271" s="128"/>
      <c r="I1271" s="128"/>
      <c r="J1271" s="128"/>
      <c r="K1271" s="129"/>
      <c r="L1271" s="129"/>
      <c r="M1271" s="129"/>
      <c r="N1271" s="129"/>
      <c r="O1271" s="129"/>
      <c r="P1271" s="129"/>
      <c r="Q1271" s="129"/>
      <c r="R1271" s="132"/>
      <c r="S1271" s="132"/>
      <c r="T1271" s="135"/>
      <c r="U1271" s="132"/>
      <c r="V1271" s="129"/>
      <c r="W1271" s="132"/>
      <c r="X1271" s="132"/>
      <c r="Y1271" s="132"/>
    </row>
    <row r="1272" spans="1:25" ht="15.75" customHeight="1">
      <c r="A1272" s="125"/>
      <c r="B1272" s="125"/>
      <c r="C1272" s="125"/>
      <c r="D1272" s="125"/>
      <c r="E1272" s="126"/>
      <c r="F1272" s="128"/>
      <c r="G1272" s="128"/>
      <c r="H1272" s="128"/>
      <c r="I1272" s="128"/>
      <c r="J1272" s="128"/>
      <c r="K1272" s="129"/>
      <c r="L1272" s="129"/>
      <c r="M1272" s="129"/>
      <c r="N1272" s="129"/>
      <c r="O1272" s="129"/>
      <c r="P1272" s="129"/>
      <c r="Q1272" s="129"/>
      <c r="R1272" s="132"/>
      <c r="S1272" s="132"/>
      <c r="T1272" s="135"/>
      <c r="U1272" s="132"/>
      <c r="V1272" s="129"/>
      <c r="W1272" s="132"/>
      <c r="X1272" s="132"/>
      <c r="Y1272" s="132"/>
    </row>
    <row r="1273" spans="1:25" ht="15.75" customHeight="1">
      <c r="A1273" s="125"/>
      <c r="B1273" s="125"/>
      <c r="C1273" s="125"/>
      <c r="D1273" s="125"/>
      <c r="E1273" s="126"/>
      <c r="F1273" s="128"/>
      <c r="G1273" s="128"/>
      <c r="H1273" s="128"/>
      <c r="I1273" s="128"/>
      <c r="J1273" s="128"/>
      <c r="K1273" s="129"/>
      <c r="L1273" s="129"/>
      <c r="M1273" s="129"/>
      <c r="N1273" s="129"/>
      <c r="O1273" s="129"/>
      <c r="P1273" s="129"/>
      <c r="Q1273" s="129"/>
      <c r="R1273" s="132"/>
      <c r="S1273" s="132"/>
      <c r="T1273" s="135"/>
      <c r="U1273" s="132"/>
      <c r="V1273" s="129"/>
      <c r="W1273" s="132"/>
      <c r="X1273" s="132"/>
      <c r="Y1273" s="132"/>
    </row>
    <row r="1274" spans="1:25" ht="15.75" customHeight="1">
      <c r="A1274" s="125"/>
      <c r="B1274" s="125"/>
      <c r="C1274" s="125"/>
      <c r="D1274" s="125"/>
      <c r="E1274" s="126"/>
      <c r="F1274" s="128"/>
      <c r="G1274" s="128"/>
      <c r="H1274" s="128"/>
      <c r="I1274" s="128"/>
      <c r="J1274" s="128"/>
      <c r="K1274" s="129"/>
      <c r="L1274" s="129"/>
      <c r="M1274" s="129"/>
      <c r="N1274" s="129"/>
      <c r="O1274" s="129"/>
      <c r="P1274" s="129"/>
      <c r="Q1274" s="129"/>
      <c r="R1274" s="132"/>
      <c r="S1274" s="132"/>
      <c r="T1274" s="135"/>
      <c r="U1274" s="132"/>
      <c r="V1274" s="129"/>
      <c r="W1274" s="132"/>
      <c r="X1274" s="132"/>
      <c r="Y1274" s="132"/>
    </row>
    <row r="1275" spans="1:25" ht="15.75" customHeight="1">
      <c r="A1275" s="125"/>
      <c r="B1275" s="125"/>
      <c r="C1275" s="125"/>
      <c r="D1275" s="125"/>
      <c r="E1275" s="126"/>
      <c r="F1275" s="128"/>
      <c r="G1275" s="128"/>
      <c r="H1275" s="128"/>
      <c r="I1275" s="128"/>
      <c r="J1275" s="128"/>
      <c r="K1275" s="129"/>
      <c r="L1275" s="129"/>
      <c r="M1275" s="129"/>
      <c r="N1275" s="129"/>
      <c r="O1275" s="129"/>
      <c r="P1275" s="129"/>
      <c r="Q1275" s="129"/>
      <c r="R1275" s="132"/>
      <c r="S1275" s="132"/>
      <c r="T1275" s="135"/>
      <c r="U1275" s="132"/>
      <c r="V1275" s="129"/>
      <c r="W1275" s="132"/>
      <c r="X1275" s="132"/>
      <c r="Y1275" s="132"/>
    </row>
    <row r="1276" spans="1:25" ht="15.75" customHeight="1">
      <c r="A1276" s="125"/>
      <c r="B1276" s="125"/>
      <c r="C1276" s="125"/>
      <c r="D1276" s="125"/>
      <c r="E1276" s="126"/>
      <c r="F1276" s="128"/>
      <c r="G1276" s="128"/>
      <c r="H1276" s="128"/>
      <c r="I1276" s="128"/>
      <c r="J1276" s="128"/>
      <c r="K1276" s="129"/>
      <c r="L1276" s="129"/>
      <c r="M1276" s="129"/>
      <c r="N1276" s="129"/>
      <c r="O1276" s="129"/>
      <c r="P1276" s="129"/>
      <c r="Q1276" s="129"/>
      <c r="R1276" s="132"/>
      <c r="S1276" s="132"/>
      <c r="T1276" s="135"/>
      <c r="U1276" s="132"/>
      <c r="V1276" s="129"/>
      <c r="W1276" s="132"/>
      <c r="X1276" s="132"/>
      <c r="Y1276" s="132"/>
    </row>
    <row r="1277" spans="1:25" ht="15.75" customHeight="1">
      <c r="A1277" s="125"/>
      <c r="B1277" s="125"/>
      <c r="C1277" s="125"/>
      <c r="D1277" s="125"/>
      <c r="E1277" s="126"/>
      <c r="F1277" s="128"/>
      <c r="G1277" s="128"/>
      <c r="H1277" s="128"/>
      <c r="I1277" s="128"/>
      <c r="J1277" s="128"/>
      <c r="K1277" s="129"/>
      <c r="L1277" s="129"/>
      <c r="M1277" s="129"/>
      <c r="N1277" s="129"/>
      <c r="O1277" s="129"/>
      <c r="P1277" s="129"/>
      <c r="Q1277" s="129"/>
      <c r="R1277" s="132"/>
      <c r="S1277" s="132"/>
      <c r="T1277" s="135"/>
      <c r="U1277" s="132"/>
      <c r="V1277" s="129"/>
      <c r="W1277" s="132"/>
      <c r="X1277" s="132"/>
      <c r="Y1277" s="132"/>
    </row>
    <row r="1278" spans="1:25" ht="15.75" customHeight="1">
      <c r="A1278" s="125"/>
      <c r="B1278" s="125"/>
      <c r="C1278" s="125"/>
      <c r="D1278" s="125"/>
      <c r="E1278" s="126"/>
      <c r="F1278" s="128"/>
      <c r="G1278" s="128"/>
      <c r="H1278" s="128"/>
      <c r="I1278" s="128"/>
      <c r="J1278" s="128"/>
      <c r="K1278" s="129"/>
      <c r="L1278" s="129"/>
      <c r="M1278" s="129"/>
      <c r="N1278" s="129"/>
      <c r="O1278" s="129"/>
      <c r="P1278" s="129"/>
      <c r="Q1278" s="129"/>
      <c r="R1278" s="132"/>
      <c r="S1278" s="132"/>
      <c r="T1278" s="135"/>
      <c r="U1278" s="132"/>
      <c r="V1278" s="129"/>
      <c r="W1278" s="132"/>
      <c r="X1278" s="132"/>
      <c r="Y1278" s="132"/>
    </row>
    <row r="1279" spans="1:25" ht="15.75" customHeight="1">
      <c r="A1279" s="125"/>
      <c r="B1279" s="125"/>
      <c r="C1279" s="125"/>
      <c r="D1279" s="125"/>
      <c r="E1279" s="126"/>
      <c r="F1279" s="128"/>
      <c r="G1279" s="128"/>
      <c r="H1279" s="128"/>
      <c r="I1279" s="128"/>
      <c r="J1279" s="128"/>
      <c r="K1279" s="129"/>
      <c r="L1279" s="129"/>
      <c r="M1279" s="129"/>
      <c r="N1279" s="129"/>
      <c r="O1279" s="129"/>
      <c r="P1279" s="129"/>
      <c r="Q1279" s="129"/>
      <c r="R1279" s="132"/>
      <c r="S1279" s="132"/>
      <c r="T1279" s="135"/>
      <c r="U1279" s="132"/>
      <c r="V1279" s="129"/>
      <c r="W1279" s="132"/>
      <c r="X1279" s="132"/>
      <c r="Y1279" s="132"/>
    </row>
    <row r="1280" spans="1:25" ht="15.75" customHeight="1">
      <c r="A1280" s="125"/>
      <c r="B1280" s="125"/>
      <c r="C1280" s="125"/>
      <c r="D1280" s="125"/>
      <c r="E1280" s="126"/>
      <c r="F1280" s="128"/>
      <c r="G1280" s="128"/>
      <c r="H1280" s="128"/>
      <c r="I1280" s="128"/>
      <c r="J1280" s="128"/>
      <c r="K1280" s="129"/>
      <c r="L1280" s="129"/>
      <c r="M1280" s="129"/>
      <c r="N1280" s="129"/>
      <c r="O1280" s="129"/>
      <c r="P1280" s="129"/>
      <c r="Q1280" s="129"/>
      <c r="R1280" s="132"/>
      <c r="S1280" s="132"/>
      <c r="T1280" s="135"/>
      <c r="U1280" s="132"/>
      <c r="V1280" s="129"/>
      <c r="W1280" s="132"/>
      <c r="X1280" s="132"/>
      <c r="Y1280" s="132"/>
    </row>
    <row r="1281" spans="1:25" ht="15.75" customHeight="1">
      <c r="A1281" s="125"/>
      <c r="B1281" s="125"/>
      <c r="C1281" s="125"/>
      <c r="D1281" s="125"/>
      <c r="E1281" s="126"/>
      <c r="F1281" s="128"/>
      <c r="G1281" s="128"/>
      <c r="H1281" s="128"/>
      <c r="I1281" s="128"/>
      <c r="J1281" s="128"/>
      <c r="K1281" s="129"/>
      <c r="L1281" s="129"/>
      <c r="M1281" s="129"/>
      <c r="N1281" s="129"/>
      <c r="O1281" s="129"/>
      <c r="P1281" s="129"/>
      <c r="Q1281" s="129"/>
      <c r="R1281" s="132"/>
      <c r="S1281" s="132"/>
      <c r="T1281" s="135"/>
      <c r="U1281" s="132"/>
      <c r="V1281" s="129"/>
      <c r="W1281" s="132"/>
      <c r="X1281" s="132"/>
      <c r="Y1281" s="132"/>
    </row>
    <row r="1282" spans="1:25" ht="15.75" customHeight="1">
      <c r="A1282" s="125"/>
      <c r="B1282" s="125"/>
      <c r="C1282" s="125"/>
      <c r="D1282" s="125"/>
      <c r="E1282" s="126"/>
      <c r="F1282" s="128"/>
      <c r="G1282" s="128"/>
      <c r="H1282" s="128"/>
      <c r="I1282" s="128"/>
      <c r="J1282" s="128"/>
      <c r="K1282" s="129"/>
      <c r="L1282" s="129"/>
      <c r="M1282" s="129"/>
      <c r="N1282" s="129"/>
      <c r="O1282" s="129"/>
      <c r="P1282" s="129"/>
      <c r="Q1282" s="129"/>
      <c r="R1282" s="132"/>
      <c r="S1282" s="132"/>
      <c r="T1282" s="135"/>
      <c r="U1282" s="132"/>
      <c r="V1282" s="129"/>
      <c r="W1282" s="132"/>
      <c r="X1282" s="132"/>
      <c r="Y1282" s="132"/>
    </row>
    <row r="1283" spans="1:25" ht="15.75" customHeight="1">
      <c r="A1283" s="125"/>
      <c r="B1283" s="125"/>
      <c r="C1283" s="125"/>
      <c r="D1283" s="125"/>
      <c r="E1283" s="126"/>
      <c r="F1283" s="128"/>
      <c r="G1283" s="128"/>
      <c r="H1283" s="128"/>
      <c r="I1283" s="128"/>
      <c r="J1283" s="128"/>
      <c r="K1283" s="129"/>
      <c r="L1283" s="129"/>
      <c r="M1283" s="129"/>
      <c r="N1283" s="129"/>
      <c r="O1283" s="129"/>
      <c r="P1283" s="129"/>
      <c r="Q1283" s="129"/>
      <c r="R1283" s="132"/>
      <c r="S1283" s="132"/>
      <c r="T1283" s="135"/>
      <c r="U1283" s="132"/>
      <c r="V1283" s="129"/>
      <c r="W1283" s="132"/>
      <c r="X1283" s="132"/>
      <c r="Y1283" s="132"/>
    </row>
    <row r="1284" spans="1:25" ht="15.75" customHeight="1">
      <c r="A1284" s="125"/>
      <c r="B1284" s="125"/>
      <c r="C1284" s="125"/>
      <c r="D1284" s="125"/>
      <c r="E1284" s="126"/>
      <c r="F1284" s="128"/>
      <c r="G1284" s="128"/>
      <c r="H1284" s="128"/>
      <c r="I1284" s="128"/>
      <c r="J1284" s="128"/>
      <c r="K1284" s="129"/>
      <c r="L1284" s="129"/>
      <c r="M1284" s="129"/>
      <c r="N1284" s="129"/>
      <c r="O1284" s="129"/>
      <c r="P1284" s="129"/>
      <c r="Q1284" s="129"/>
      <c r="R1284" s="132"/>
      <c r="S1284" s="132"/>
      <c r="T1284" s="135"/>
      <c r="U1284" s="132"/>
      <c r="V1284" s="129"/>
      <c r="W1284" s="132"/>
      <c r="X1284" s="132"/>
      <c r="Y1284" s="132"/>
    </row>
    <row r="1285" spans="1:25" ht="15.75" customHeight="1">
      <c r="A1285" s="125"/>
      <c r="B1285" s="125"/>
      <c r="C1285" s="125"/>
      <c r="D1285" s="125"/>
      <c r="E1285" s="126"/>
      <c r="F1285" s="128"/>
      <c r="G1285" s="128"/>
      <c r="H1285" s="128"/>
      <c r="I1285" s="128"/>
      <c r="J1285" s="128"/>
      <c r="K1285" s="129"/>
      <c r="L1285" s="129"/>
      <c r="M1285" s="129"/>
      <c r="N1285" s="129"/>
      <c r="O1285" s="129"/>
      <c r="P1285" s="129"/>
      <c r="Q1285" s="129"/>
      <c r="R1285" s="132"/>
      <c r="S1285" s="132"/>
      <c r="T1285" s="135"/>
      <c r="U1285" s="132"/>
      <c r="V1285" s="129"/>
      <c r="W1285" s="132"/>
      <c r="X1285" s="132"/>
      <c r="Y1285" s="132"/>
    </row>
    <row r="1286" spans="1:25" ht="15.75" customHeight="1">
      <c r="A1286" s="125"/>
      <c r="B1286" s="125"/>
      <c r="C1286" s="125"/>
      <c r="D1286" s="125"/>
      <c r="E1286" s="126"/>
      <c r="F1286" s="128"/>
      <c r="G1286" s="128"/>
      <c r="H1286" s="128"/>
      <c r="I1286" s="128"/>
      <c r="J1286" s="128"/>
      <c r="K1286" s="129"/>
      <c r="L1286" s="129"/>
      <c r="M1286" s="129"/>
      <c r="N1286" s="129"/>
      <c r="O1286" s="129"/>
      <c r="P1286" s="129"/>
      <c r="Q1286" s="129"/>
      <c r="R1286" s="132"/>
      <c r="S1286" s="132"/>
      <c r="T1286" s="135"/>
      <c r="U1286" s="132"/>
      <c r="V1286" s="129"/>
      <c r="W1286" s="132"/>
      <c r="X1286" s="132"/>
      <c r="Y1286" s="132"/>
    </row>
    <row r="1287" spans="1:25" ht="15.75" customHeight="1">
      <c r="A1287" s="125"/>
      <c r="B1287" s="125"/>
      <c r="C1287" s="125"/>
      <c r="D1287" s="125"/>
      <c r="E1287" s="126"/>
      <c r="F1287" s="128"/>
      <c r="G1287" s="128"/>
      <c r="H1287" s="128"/>
      <c r="I1287" s="128"/>
      <c r="J1287" s="128"/>
      <c r="K1287" s="129"/>
      <c r="L1287" s="129"/>
      <c r="M1287" s="129"/>
      <c r="N1287" s="129"/>
      <c r="O1287" s="129"/>
      <c r="P1287" s="129"/>
      <c r="Q1287" s="129"/>
      <c r="R1287" s="132"/>
      <c r="S1287" s="132"/>
      <c r="T1287" s="135"/>
      <c r="U1287" s="132"/>
      <c r="V1287" s="129"/>
      <c r="W1287" s="132"/>
      <c r="X1287" s="132"/>
      <c r="Y1287" s="132"/>
    </row>
    <row r="1288" spans="1:25" ht="15.75" customHeight="1">
      <c r="A1288" s="125"/>
      <c r="B1288" s="125"/>
      <c r="C1288" s="125"/>
      <c r="D1288" s="125"/>
      <c r="E1288" s="126"/>
      <c r="F1288" s="128"/>
      <c r="G1288" s="128"/>
      <c r="H1288" s="128"/>
      <c r="I1288" s="128"/>
      <c r="J1288" s="128"/>
      <c r="K1288" s="129"/>
      <c r="L1288" s="129"/>
      <c r="M1288" s="129"/>
      <c r="N1288" s="129"/>
      <c r="O1288" s="129"/>
      <c r="P1288" s="129"/>
      <c r="Q1288" s="129"/>
      <c r="R1288" s="132"/>
      <c r="S1288" s="132"/>
      <c r="T1288" s="135"/>
      <c r="U1288" s="132"/>
      <c r="V1288" s="129"/>
      <c r="W1288" s="132"/>
      <c r="X1288" s="132"/>
      <c r="Y1288" s="132"/>
    </row>
    <row r="1289" spans="1:25" ht="15.75" customHeight="1">
      <c r="A1289" s="125"/>
      <c r="B1289" s="125"/>
      <c r="C1289" s="125"/>
      <c r="D1289" s="125"/>
      <c r="E1289" s="126"/>
      <c r="F1289" s="128"/>
      <c r="G1289" s="128"/>
      <c r="H1289" s="128"/>
      <c r="I1289" s="128"/>
      <c r="J1289" s="128"/>
      <c r="K1289" s="129"/>
      <c r="L1289" s="129"/>
      <c r="M1289" s="129"/>
      <c r="N1289" s="129"/>
      <c r="O1289" s="129"/>
      <c r="P1289" s="129"/>
      <c r="Q1289" s="129"/>
      <c r="R1289" s="132"/>
      <c r="S1289" s="132"/>
      <c r="T1289" s="135"/>
      <c r="U1289" s="132"/>
      <c r="V1289" s="129"/>
      <c r="W1289" s="132"/>
      <c r="X1289" s="132"/>
      <c r="Y1289" s="132"/>
    </row>
    <row r="1290" spans="1:25" ht="15.75" customHeight="1">
      <c r="A1290" s="125"/>
      <c r="B1290" s="125"/>
      <c r="C1290" s="125"/>
      <c r="D1290" s="125"/>
      <c r="E1290" s="126"/>
      <c r="F1290" s="128"/>
      <c r="G1290" s="128"/>
      <c r="H1290" s="128"/>
      <c r="I1290" s="128"/>
      <c r="J1290" s="128"/>
      <c r="K1290" s="129"/>
      <c r="L1290" s="129"/>
      <c r="M1290" s="129"/>
      <c r="N1290" s="129"/>
      <c r="O1290" s="129"/>
      <c r="P1290" s="129"/>
      <c r="Q1290" s="129"/>
      <c r="R1290" s="132"/>
      <c r="S1290" s="132"/>
      <c r="T1290" s="135"/>
      <c r="U1290" s="132"/>
      <c r="V1290" s="129"/>
      <c r="W1290" s="132"/>
      <c r="X1290" s="132"/>
      <c r="Y1290" s="132"/>
    </row>
    <row r="1291" spans="1:25" ht="15.75" customHeight="1">
      <c r="A1291" s="125"/>
      <c r="B1291" s="125"/>
      <c r="C1291" s="125"/>
      <c r="D1291" s="125"/>
      <c r="E1291" s="126"/>
      <c r="F1291" s="128"/>
      <c r="G1291" s="128"/>
      <c r="H1291" s="128"/>
      <c r="I1291" s="128"/>
      <c r="J1291" s="128"/>
      <c r="K1291" s="129"/>
      <c r="L1291" s="129"/>
      <c r="M1291" s="129"/>
      <c r="N1291" s="129"/>
      <c r="O1291" s="129"/>
      <c r="P1291" s="129"/>
      <c r="Q1291" s="129"/>
      <c r="R1291" s="132"/>
      <c r="S1291" s="132"/>
      <c r="T1291" s="135"/>
      <c r="U1291" s="132"/>
      <c r="V1291" s="129"/>
      <c r="W1291" s="132"/>
      <c r="X1291" s="132"/>
      <c r="Y1291" s="132"/>
    </row>
    <row r="1292" spans="1:25" ht="15.75" customHeight="1">
      <c r="A1292" s="125"/>
      <c r="B1292" s="125"/>
      <c r="C1292" s="125"/>
      <c r="D1292" s="125"/>
      <c r="E1292" s="126"/>
      <c r="F1292" s="128"/>
      <c r="G1292" s="128"/>
      <c r="H1292" s="128"/>
      <c r="I1292" s="128"/>
      <c r="J1292" s="128"/>
      <c r="K1292" s="129"/>
      <c r="L1292" s="129"/>
      <c r="M1292" s="129"/>
      <c r="N1292" s="129"/>
      <c r="O1292" s="129"/>
      <c r="P1292" s="129"/>
      <c r="Q1292" s="129"/>
      <c r="R1292" s="132"/>
      <c r="S1292" s="132"/>
      <c r="T1292" s="135"/>
      <c r="U1292" s="132"/>
      <c r="V1292" s="129"/>
      <c r="W1292" s="132"/>
      <c r="X1292" s="132"/>
      <c r="Y1292" s="132"/>
    </row>
    <row r="1293" spans="1:25" ht="15.75" customHeight="1">
      <c r="A1293" s="125"/>
      <c r="B1293" s="125"/>
      <c r="C1293" s="125"/>
      <c r="D1293" s="125"/>
      <c r="E1293" s="126"/>
      <c r="F1293" s="128"/>
      <c r="G1293" s="128"/>
      <c r="H1293" s="128"/>
      <c r="I1293" s="128"/>
      <c r="J1293" s="128"/>
      <c r="K1293" s="129"/>
      <c r="L1293" s="129"/>
      <c r="M1293" s="129"/>
      <c r="N1293" s="129"/>
      <c r="O1293" s="129"/>
      <c r="P1293" s="129"/>
      <c r="Q1293" s="129"/>
      <c r="R1293" s="132"/>
      <c r="S1293" s="132"/>
      <c r="T1293" s="135"/>
      <c r="U1293" s="132"/>
      <c r="V1293" s="129"/>
      <c r="W1293" s="132"/>
      <c r="X1293" s="132"/>
      <c r="Y1293" s="132"/>
    </row>
    <row r="1294" spans="1:25" ht="15.75" customHeight="1">
      <c r="A1294" s="125"/>
      <c r="B1294" s="125"/>
      <c r="C1294" s="125"/>
      <c r="D1294" s="125"/>
      <c r="E1294" s="126"/>
      <c r="F1294" s="128"/>
      <c r="G1294" s="128"/>
      <c r="H1294" s="128"/>
      <c r="I1294" s="128"/>
      <c r="J1294" s="128"/>
      <c r="K1294" s="129"/>
      <c r="L1294" s="129"/>
      <c r="M1294" s="129"/>
      <c r="N1294" s="129"/>
      <c r="O1294" s="129"/>
      <c r="P1294" s="129"/>
      <c r="Q1294" s="129"/>
      <c r="R1294" s="132"/>
      <c r="S1294" s="132"/>
      <c r="T1294" s="135"/>
      <c r="U1294" s="132"/>
      <c r="V1294" s="129"/>
      <c r="W1294" s="132"/>
      <c r="X1294" s="132"/>
      <c r="Y1294" s="132"/>
    </row>
    <row r="1295" spans="1:25" ht="15.75" customHeight="1">
      <c r="A1295" s="125"/>
      <c r="B1295" s="125"/>
      <c r="C1295" s="125"/>
      <c r="D1295" s="125"/>
      <c r="E1295" s="126"/>
      <c r="F1295" s="128"/>
      <c r="G1295" s="128"/>
      <c r="H1295" s="128"/>
      <c r="I1295" s="128"/>
      <c r="J1295" s="128"/>
      <c r="K1295" s="129"/>
      <c r="L1295" s="129"/>
      <c r="M1295" s="129"/>
      <c r="N1295" s="129"/>
      <c r="O1295" s="129"/>
      <c r="P1295" s="129"/>
      <c r="Q1295" s="129"/>
      <c r="R1295" s="132"/>
      <c r="S1295" s="132"/>
      <c r="T1295" s="135"/>
      <c r="U1295" s="132"/>
      <c r="V1295" s="129"/>
      <c r="W1295" s="132"/>
      <c r="X1295" s="132"/>
      <c r="Y1295" s="132"/>
    </row>
    <row r="1296" spans="1:25" ht="15.75" customHeight="1">
      <c r="A1296" s="125"/>
      <c r="B1296" s="125"/>
      <c r="C1296" s="125"/>
      <c r="D1296" s="125"/>
      <c r="E1296" s="126"/>
      <c r="F1296" s="128"/>
      <c r="G1296" s="128"/>
      <c r="H1296" s="128"/>
      <c r="I1296" s="128"/>
      <c r="J1296" s="128"/>
      <c r="K1296" s="129"/>
      <c r="L1296" s="129"/>
      <c r="M1296" s="129"/>
      <c r="N1296" s="129"/>
      <c r="O1296" s="129"/>
      <c r="P1296" s="129"/>
      <c r="Q1296" s="129"/>
      <c r="R1296" s="132"/>
      <c r="S1296" s="132"/>
      <c r="T1296" s="135"/>
      <c r="U1296" s="132"/>
      <c r="V1296" s="129"/>
      <c r="W1296" s="132"/>
      <c r="X1296" s="132"/>
      <c r="Y1296" s="132"/>
    </row>
    <row r="1297" spans="1:25" ht="15.75" customHeight="1">
      <c r="A1297" s="125"/>
      <c r="B1297" s="125"/>
      <c r="C1297" s="125"/>
      <c r="D1297" s="125"/>
      <c r="E1297" s="126"/>
      <c r="F1297" s="128"/>
      <c r="G1297" s="128"/>
      <c r="H1297" s="128"/>
      <c r="I1297" s="128"/>
      <c r="J1297" s="128"/>
      <c r="K1297" s="129"/>
      <c r="L1297" s="129"/>
      <c r="M1297" s="129"/>
      <c r="N1297" s="129"/>
      <c r="O1297" s="129"/>
      <c r="P1297" s="129"/>
      <c r="Q1297" s="129"/>
      <c r="R1297" s="132"/>
      <c r="S1297" s="132"/>
      <c r="T1297" s="135"/>
      <c r="U1297" s="132"/>
      <c r="V1297" s="129"/>
      <c r="W1297" s="132"/>
      <c r="X1297" s="132"/>
      <c r="Y1297" s="132"/>
    </row>
    <row r="1298" spans="1:25" ht="15.75" customHeight="1">
      <c r="A1298" s="125"/>
      <c r="B1298" s="125"/>
      <c r="C1298" s="125"/>
      <c r="D1298" s="125"/>
      <c r="E1298" s="126"/>
      <c r="F1298" s="128"/>
      <c r="G1298" s="128"/>
      <c r="H1298" s="128"/>
      <c r="I1298" s="128"/>
      <c r="J1298" s="128"/>
      <c r="K1298" s="129"/>
      <c r="L1298" s="129"/>
      <c r="M1298" s="129"/>
      <c r="N1298" s="129"/>
      <c r="O1298" s="129"/>
      <c r="P1298" s="129"/>
      <c r="Q1298" s="129"/>
      <c r="R1298" s="132"/>
      <c r="S1298" s="132"/>
      <c r="T1298" s="135"/>
      <c r="U1298" s="132"/>
      <c r="V1298" s="129"/>
      <c r="W1298" s="132"/>
      <c r="X1298" s="132"/>
      <c r="Y1298" s="132"/>
    </row>
    <row r="1299" spans="1:25" ht="15.75" customHeight="1">
      <c r="A1299" s="125"/>
      <c r="B1299" s="125"/>
      <c r="C1299" s="125"/>
      <c r="D1299" s="125"/>
      <c r="E1299" s="126"/>
      <c r="F1299" s="128"/>
      <c r="G1299" s="128"/>
      <c r="H1299" s="128"/>
      <c r="I1299" s="128"/>
      <c r="J1299" s="128"/>
      <c r="K1299" s="129"/>
      <c r="L1299" s="129"/>
      <c r="M1299" s="129"/>
      <c r="N1299" s="129"/>
      <c r="O1299" s="129"/>
      <c r="P1299" s="129"/>
      <c r="Q1299" s="129"/>
      <c r="R1299" s="132"/>
      <c r="S1299" s="132"/>
      <c r="T1299" s="135"/>
      <c r="U1299" s="132"/>
      <c r="V1299" s="129"/>
      <c r="W1299" s="132"/>
      <c r="X1299" s="132"/>
      <c r="Y1299" s="132"/>
    </row>
    <row r="1300" spans="1:25" ht="15.75" customHeight="1">
      <c r="A1300" s="125"/>
      <c r="B1300" s="125"/>
      <c r="C1300" s="125"/>
      <c r="D1300" s="125"/>
      <c r="E1300" s="126"/>
      <c r="F1300" s="128"/>
      <c r="G1300" s="128"/>
      <c r="H1300" s="128"/>
      <c r="I1300" s="128"/>
      <c r="J1300" s="128"/>
      <c r="K1300" s="129"/>
      <c r="L1300" s="129"/>
      <c r="M1300" s="129"/>
      <c r="N1300" s="129"/>
      <c r="O1300" s="129"/>
      <c r="P1300" s="129"/>
      <c r="Q1300" s="129"/>
      <c r="R1300" s="132"/>
      <c r="S1300" s="132"/>
      <c r="T1300" s="135"/>
      <c r="U1300" s="132"/>
      <c r="V1300" s="129"/>
      <c r="W1300" s="132"/>
      <c r="X1300" s="132"/>
      <c r="Y1300" s="132"/>
    </row>
    <row r="1301" spans="1:25" ht="15.75" customHeight="1">
      <c r="A1301" s="125"/>
      <c r="B1301" s="125"/>
      <c r="C1301" s="125"/>
      <c r="D1301" s="125"/>
      <c r="E1301" s="126"/>
      <c r="F1301" s="128"/>
      <c r="G1301" s="128"/>
      <c r="H1301" s="128"/>
      <c r="I1301" s="128"/>
      <c r="J1301" s="128"/>
      <c r="K1301" s="129"/>
      <c r="L1301" s="129"/>
      <c r="M1301" s="129"/>
      <c r="N1301" s="129"/>
      <c r="O1301" s="129"/>
      <c r="P1301" s="129"/>
      <c r="Q1301" s="129"/>
      <c r="R1301" s="132"/>
      <c r="S1301" s="132"/>
      <c r="T1301" s="135"/>
      <c r="U1301" s="132"/>
      <c r="V1301" s="129"/>
      <c r="W1301" s="132"/>
      <c r="X1301" s="132"/>
      <c r="Y1301" s="132"/>
    </row>
    <row r="1302" spans="1:25" ht="15.75" customHeight="1">
      <c r="A1302" s="125"/>
      <c r="B1302" s="125"/>
      <c r="C1302" s="125"/>
      <c r="D1302" s="125"/>
      <c r="E1302" s="126"/>
      <c r="F1302" s="128"/>
      <c r="G1302" s="128"/>
      <c r="H1302" s="128"/>
      <c r="I1302" s="128"/>
      <c r="J1302" s="128"/>
      <c r="K1302" s="129"/>
      <c r="L1302" s="129"/>
      <c r="M1302" s="129"/>
      <c r="N1302" s="129"/>
      <c r="O1302" s="129"/>
      <c r="P1302" s="129"/>
      <c r="Q1302" s="129"/>
      <c r="R1302" s="132"/>
      <c r="S1302" s="132"/>
      <c r="T1302" s="135"/>
      <c r="U1302" s="132"/>
      <c r="V1302" s="129"/>
      <c r="W1302" s="132"/>
      <c r="X1302" s="132"/>
      <c r="Y1302" s="132"/>
    </row>
    <row r="1303" spans="1:25" ht="15.75" customHeight="1">
      <c r="A1303" s="125"/>
      <c r="B1303" s="125"/>
      <c r="C1303" s="125"/>
      <c r="D1303" s="125"/>
      <c r="E1303" s="126"/>
      <c r="F1303" s="128"/>
      <c r="G1303" s="128"/>
      <c r="H1303" s="128"/>
      <c r="I1303" s="128"/>
      <c r="J1303" s="128"/>
      <c r="K1303" s="129"/>
      <c r="L1303" s="129"/>
      <c r="M1303" s="129"/>
      <c r="N1303" s="129"/>
      <c r="O1303" s="129"/>
      <c r="P1303" s="129"/>
      <c r="Q1303" s="129"/>
      <c r="R1303" s="132"/>
      <c r="S1303" s="132"/>
      <c r="T1303" s="135"/>
      <c r="U1303" s="132"/>
      <c r="V1303" s="129"/>
      <c r="W1303" s="132"/>
      <c r="X1303" s="132"/>
      <c r="Y1303" s="132"/>
    </row>
    <row r="1304" spans="1:25" ht="15.75" customHeight="1">
      <c r="A1304" s="125"/>
      <c r="B1304" s="125"/>
      <c r="C1304" s="125"/>
      <c r="D1304" s="125"/>
      <c r="E1304" s="126"/>
      <c r="F1304" s="128"/>
      <c r="G1304" s="128"/>
      <c r="H1304" s="128"/>
      <c r="I1304" s="128"/>
      <c r="J1304" s="128"/>
      <c r="K1304" s="129"/>
      <c r="L1304" s="129"/>
      <c r="M1304" s="129"/>
      <c r="N1304" s="129"/>
      <c r="O1304" s="129"/>
      <c r="P1304" s="129"/>
      <c r="Q1304" s="129"/>
      <c r="R1304" s="132"/>
      <c r="S1304" s="132"/>
      <c r="T1304" s="135"/>
      <c r="U1304" s="132"/>
      <c r="V1304" s="129"/>
      <c r="W1304" s="132"/>
      <c r="X1304" s="132"/>
      <c r="Y1304" s="132"/>
    </row>
    <row r="1305" spans="1:25" ht="15.75" customHeight="1">
      <c r="A1305" s="125"/>
      <c r="B1305" s="125"/>
      <c r="C1305" s="125"/>
      <c r="D1305" s="125"/>
      <c r="E1305" s="126"/>
      <c r="F1305" s="128"/>
      <c r="G1305" s="128"/>
      <c r="H1305" s="128"/>
      <c r="I1305" s="128"/>
      <c r="J1305" s="128"/>
      <c r="K1305" s="129"/>
      <c r="L1305" s="129"/>
      <c r="M1305" s="129"/>
      <c r="N1305" s="129"/>
      <c r="O1305" s="129"/>
      <c r="P1305" s="129"/>
      <c r="Q1305" s="129"/>
      <c r="R1305" s="132"/>
      <c r="S1305" s="132"/>
      <c r="T1305" s="135"/>
      <c r="U1305" s="132"/>
      <c r="V1305" s="129"/>
      <c r="W1305" s="132"/>
      <c r="X1305" s="132"/>
      <c r="Y1305" s="132"/>
    </row>
    <row r="1306" spans="1:25" ht="15.75" customHeight="1">
      <c r="A1306" s="125"/>
      <c r="B1306" s="125"/>
      <c r="C1306" s="125"/>
      <c r="D1306" s="125"/>
      <c r="E1306" s="126"/>
      <c r="F1306" s="128"/>
      <c r="G1306" s="128"/>
      <c r="H1306" s="128"/>
      <c r="I1306" s="128"/>
      <c r="J1306" s="128"/>
      <c r="K1306" s="129"/>
      <c r="L1306" s="129"/>
      <c r="M1306" s="129"/>
      <c r="N1306" s="129"/>
      <c r="O1306" s="129"/>
      <c r="P1306" s="129"/>
      <c r="Q1306" s="129"/>
      <c r="R1306" s="132"/>
      <c r="S1306" s="132"/>
      <c r="T1306" s="135"/>
      <c r="U1306" s="132"/>
      <c r="V1306" s="129"/>
      <c r="W1306" s="132"/>
      <c r="X1306" s="132"/>
      <c r="Y1306" s="132"/>
    </row>
    <row r="1307" spans="1:25" ht="15.75" customHeight="1">
      <c r="A1307" s="125"/>
      <c r="B1307" s="125"/>
      <c r="C1307" s="125"/>
      <c r="D1307" s="125"/>
      <c r="E1307" s="126"/>
      <c r="F1307" s="128"/>
      <c r="G1307" s="128"/>
      <c r="H1307" s="128"/>
      <c r="I1307" s="128"/>
      <c r="J1307" s="128"/>
      <c r="K1307" s="129"/>
      <c r="L1307" s="129"/>
      <c r="M1307" s="129"/>
      <c r="N1307" s="129"/>
      <c r="O1307" s="129"/>
      <c r="P1307" s="129"/>
      <c r="Q1307" s="129"/>
      <c r="R1307" s="132"/>
      <c r="S1307" s="132"/>
      <c r="T1307" s="135"/>
      <c r="U1307" s="132"/>
      <c r="V1307" s="129"/>
      <c r="W1307" s="132"/>
      <c r="X1307" s="132"/>
      <c r="Y1307" s="132"/>
    </row>
    <row r="1308" spans="1:25" ht="15.75" customHeight="1">
      <c r="A1308" s="125"/>
      <c r="B1308" s="125"/>
      <c r="C1308" s="125"/>
      <c r="D1308" s="125"/>
      <c r="E1308" s="126"/>
      <c r="F1308" s="128"/>
      <c r="G1308" s="128"/>
      <c r="H1308" s="128"/>
      <c r="I1308" s="128"/>
      <c r="J1308" s="128"/>
      <c r="K1308" s="129"/>
      <c r="L1308" s="129"/>
      <c r="M1308" s="129"/>
      <c r="N1308" s="129"/>
      <c r="O1308" s="129"/>
      <c r="P1308" s="129"/>
      <c r="Q1308" s="129"/>
      <c r="R1308" s="132"/>
      <c r="S1308" s="132"/>
      <c r="T1308" s="135"/>
      <c r="U1308" s="132"/>
      <c r="V1308" s="129"/>
      <c r="W1308" s="132"/>
      <c r="X1308" s="132"/>
      <c r="Y1308" s="132"/>
    </row>
    <row r="1309" spans="1:25" ht="15.75" customHeight="1">
      <c r="A1309" s="125"/>
      <c r="B1309" s="125"/>
      <c r="C1309" s="125"/>
      <c r="D1309" s="125"/>
      <c r="E1309" s="126"/>
      <c r="F1309" s="128"/>
      <c r="G1309" s="128"/>
      <c r="H1309" s="128"/>
      <c r="I1309" s="128"/>
      <c r="J1309" s="128"/>
      <c r="K1309" s="129"/>
      <c r="L1309" s="129"/>
      <c r="M1309" s="129"/>
      <c r="N1309" s="129"/>
      <c r="O1309" s="129"/>
      <c r="P1309" s="129"/>
      <c r="Q1309" s="129"/>
      <c r="R1309" s="132"/>
      <c r="S1309" s="132"/>
      <c r="T1309" s="135"/>
      <c r="U1309" s="132"/>
      <c r="V1309" s="129"/>
      <c r="W1309" s="132"/>
      <c r="X1309" s="132"/>
      <c r="Y1309" s="132"/>
    </row>
    <row r="1310" spans="1:25" ht="15.75" customHeight="1">
      <c r="A1310" s="125"/>
      <c r="B1310" s="125"/>
      <c r="C1310" s="125"/>
      <c r="D1310" s="125"/>
      <c r="E1310" s="126"/>
      <c r="F1310" s="128"/>
      <c r="G1310" s="128"/>
      <c r="H1310" s="128"/>
      <c r="I1310" s="128"/>
      <c r="J1310" s="128"/>
      <c r="K1310" s="129"/>
      <c r="L1310" s="129"/>
      <c r="M1310" s="129"/>
      <c r="N1310" s="129"/>
      <c r="O1310" s="129"/>
      <c r="P1310" s="129"/>
      <c r="Q1310" s="129"/>
      <c r="R1310" s="132"/>
      <c r="S1310" s="132"/>
      <c r="T1310" s="135"/>
      <c r="U1310" s="132"/>
      <c r="V1310" s="129"/>
      <c r="W1310" s="132"/>
      <c r="X1310" s="132"/>
      <c r="Y1310" s="132"/>
    </row>
    <row r="1311" spans="1:25" ht="15.75" customHeight="1">
      <c r="A1311" s="125"/>
      <c r="B1311" s="125"/>
      <c r="C1311" s="125"/>
      <c r="D1311" s="125"/>
      <c r="E1311" s="126"/>
      <c r="F1311" s="128"/>
      <c r="G1311" s="128"/>
      <c r="H1311" s="128"/>
      <c r="I1311" s="128"/>
      <c r="J1311" s="128"/>
      <c r="K1311" s="129"/>
      <c r="L1311" s="129"/>
      <c r="M1311" s="129"/>
      <c r="N1311" s="129"/>
      <c r="O1311" s="129"/>
      <c r="P1311" s="129"/>
      <c r="Q1311" s="129"/>
      <c r="R1311" s="132"/>
      <c r="S1311" s="132"/>
      <c r="T1311" s="135"/>
      <c r="U1311" s="132"/>
      <c r="V1311" s="129"/>
      <c r="W1311" s="132"/>
      <c r="X1311" s="132"/>
      <c r="Y1311" s="132"/>
    </row>
    <row r="1312" spans="1:25" ht="15.75" customHeight="1">
      <c r="A1312" s="125"/>
      <c r="B1312" s="125"/>
      <c r="C1312" s="125"/>
      <c r="D1312" s="125"/>
      <c r="E1312" s="126"/>
      <c r="F1312" s="128"/>
      <c r="G1312" s="128"/>
      <c r="H1312" s="128"/>
      <c r="I1312" s="128"/>
      <c r="J1312" s="128"/>
      <c r="K1312" s="129"/>
      <c r="L1312" s="129"/>
      <c r="M1312" s="129"/>
      <c r="N1312" s="129"/>
      <c r="O1312" s="129"/>
      <c r="P1312" s="129"/>
      <c r="Q1312" s="129"/>
      <c r="R1312" s="132"/>
      <c r="S1312" s="132"/>
      <c r="T1312" s="135"/>
      <c r="U1312" s="132"/>
      <c r="V1312" s="129"/>
      <c r="W1312" s="132"/>
      <c r="X1312" s="132"/>
      <c r="Y1312" s="132"/>
    </row>
    <row r="1313" spans="1:25" ht="15.75" customHeight="1">
      <c r="A1313" s="125"/>
      <c r="B1313" s="125"/>
      <c r="C1313" s="125"/>
      <c r="D1313" s="125"/>
      <c r="E1313" s="126"/>
      <c r="F1313" s="128"/>
      <c r="G1313" s="128"/>
      <c r="H1313" s="128"/>
      <c r="I1313" s="128"/>
      <c r="J1313" s="128"/>
      <c r="K1313" s="129"/>
      <c r="L1313" s="129"/>
      <c r="M1313" s="129"/>
      <c r="N1313" s="129"/>
      <c r="O1313" s="129"/>
      <c r="P1313" s="129"/>
      <c r="Q1313" s="129"/>
      <c r="R1313" s="132"/>
      <c r="S1313" s="132"/>
      <c r="T1313" s="135"/>
      <c r="U1313" s="132"/>
      <c r="V1313" s="129"/>
      <c r="W1313" s="132"/>
      <c r="X1313" s="132"/>
      <c r="Y1313" s="132"/>
    </row>
    <row r="1314" spans="1:25" ht="15.75" customHeight="1">
      <c r="A1314" s="125"/>
      <c r="B1314" s="125"/>
      <c r="C1314" s="125"/>
      <c r="D1314" s="125"/>
      <c r="E1314" s="126"/>
      <c r="F1314" s="128"/>
      <c r="G1314" s="128"/>
      <c r="H1314" s="128"/>
      <c r="I1314" s="128"/>
      <c r="J1314" s="128"/>
      <c r="K1314" s="129"/>
      <c r="L1314" s="129"/>
      <c r="M1314" s="129"/>
      <c r="N1314" s="129"/>
      <c r="O1314" s="129"/>
      <c r="P1314" s="129"/>
      <c r="Q1314" s="129"/>
      <c r="R1314" s="132"/>
      <c r="S1314" s="132"/>
      <c r="T1314" s="135"/>
      <c r="U1314" s="132"/>
      <c r="V1314" s="129"/>
      <c r="W1314" s="132"/>
      <c r="X1314" s="132"/>
      <c r="Y1314" s="132"/>
    </row>
    <row r="1315" spans="1:25" ht="15.75" customHeight="1">
      <c r="A1315" s="125"/>
      <c r="B1315" s="125"/>
      <c r="C1315" s="125"/>
      <c r="D1315" s="125"/>
      <c r="E1315" s="126"/>
      <c r="F1315" s="128"/>
      <c r="G1315" s="128"/>
      <c r="H1315" s="128"/>
      <c r="I1315" s="128"/>
      <c r="J1315" s="128"/>
      <c r="K1315" s="129"/>
      <c r="L1315" s="129"/>
      <c r="M1315" s="129"/>
      <c r="N1315" s="129"/>
      <c r="O1315" s="129"/>
      <c r="P1315" s="129"/>
      <c r="Q1315" s="129"/>
      <c r="R1315" s="132"/>
      <c r="S1315" s="132"/>
      <c r="T1315" s="135"/>
      <c r="U1315" s="132"/>
      <c r="V1315" s="129"/>
      <c r="W1315" s="132"/>
      <c r="X1315" s="132"/>
      <c r="Y1315" s="132"/>
    </row>
    <row r="1316" spans="1:25" ht="15.75" customHeight="1">
      <c r="A1316" s="125"/>
      <c r="B1316" s="125"/>
      <c r="C1316" s="125"/>
      <c r="D1316" s="125"/>
      <c r="E1316" s="126"/>
      <c r="F1316" s="128"/>
      <c r="G1316" s="128"/>
      <c r="H1316" s="128"/>
      <c r="I1316" s="128"/>
      <c r="J1316" s="128"/>
      <c r="K1316" s="129"/>
      <c r="L1316" s="129"/>
      <c r="M1316" s="129"/>
      <c r="N1316" s="129"/>
      <c r="O1316" s="129"/>
      <c r="P1316" s="129"/>
      <c r="Q1316" s="129"/>
      <c r="R1316" s="132"/>
      <c r="S1316" s="132"/>
      <c r="T1316" s="135"/>
      <c r="U1316" s="132"/>
      <c r="V1316" s="129"/>
      <c r="W1316" s="132"/>
      <c r="X1316" s="132"/>
      <c r="Y1316" s="132"/>
    </row>
    <row r="1317" spans="1:25" ht="15.75" customHeight="1">
      <c r="A1317" s="125"/>
      <c r="B1317" s="125"/>
      <c r="C1317" s="125"/>
      <c r="D1317" s="125"/>
      <c r="E1317" s="126"/>
      <c r="F1317" s="128"/>
      <c r="G1317" s="128"/>
      <c r="H1317" s="128"/>
      <c r="I1317" s="128"/>
      <c r="J1317" s="128"/>
      <c r="K1317" s="129"/>
      <c r="L1317" s="129"/>
      <c r="M1317" s="129"/>
      <c r="N1317" s="129"/>
      <c r="O1317" s="129"/>
      <c r="P1317" s="129"/>
      <c r="Q1317" s="129"/>
      <c r="R1317" s="132"/>
      <c r="S1317" s="132"/>
      <c r="T1317" s="135"/>
      <c r="U1317" s="132"/>
      <c r="V1317" s="129"/>
      <c r="W1317" s="132"/>
      <c r="X1317" s="132"/>
      <c r="Y1317" s="132"/>
    </row>
    <row r="1318" spans="1:25" ht="15.75" customHeight="1">
      <c r="A1318" s="125"/>
      <c r="B1318" s="125"/>
      <c r="C1318" s="125"/>
      <c r="D1318" s="125"/>
      <c r="E1318" s="126"/>
      <c r="F1318" s="128"/>
      <c r="G1318" s="128"/>
      <c r="H1318" s="128"/>
      <c r="I1318" s="128"/>
      <c r="J1318" s="128"/>
      <c r="K1318" s="129"/>
      <c r="L1318" s="129"/>
      <c r="M1318" s="129"/>
      <c r="N1318" s="129"/>
      <c r="O1318" s="129"/>
      <c r="P1318" s="129"/>
      <c r="Q1318" s="129"/>
      <c r="R1318" s="132"/>
      <c r="S1318" s="132"/>
      <c r="T1318" s="135"/>
      <c r="U1318" s="132"/>
      <c r="V1318" s="129"/>
      <c r="W1318" s="132"/>
      <c r="X1318" s="132"/>
      <c r="Y1318" s="132"/>
    </row>
    <row r="1319" spans="1:25" ht="15.75" customHeight="1">
      <c r="A1319" s="125"/>
      <c r="B1319" s="125"/>
      <c r="C1319" s="125"/>
      <c r="D1319" s="125"/>
      <c r="E1319" s="126"/>
      <c r="F1319" s="128"/>
      <c r="G1319" s="128"/>
      <c r="H1319" s="128"/>
      <c r="I1319" s="128"/>
      <c r="J1319" s="128"/>
      <c r="K1319" s="129"/>
      <c r="L1319" s="129"/>
      <c r="M1319" s="129"/>
      <c r="N1319" s="129"/>
      <c r="O1319" s="129"/>
      <c r="P1319" s="129"/>
      <c r="Q1319" s="129"/>
      <c r="R1319" s="132"/>
      <c r="S1319" s="132"/>
      <c r="T1319" s="135"/>
      <c r="U1319" s="132"/>
      <c r="V1319" s="129"/>
      <c r="W1319" s="132"/>
      <c r="X1319" s="132"/>
      <c r="Y1319" s="132"/>
    </row>
    <row r="1320" spans="1:25" ht="15.75" customHeight="1">
      <c r="A1320" s="125"/>
      <c r="B1320" s="125"/>
      <c r="C1320" s="125"/>
      <c r="D1320" s="125"/>
      <c r="E1320" s="126"/>
      <c r="F1320" s="128"/>
      <c r="G1320" s="128"/>
      <c r="H1320" s="128"/>
      <c r="I1320" s="128"/>
      <c r="J1320" s="128"/>
      <c r="K1320" s="129"/>
      <c r="L1320" s="129"/>
      <c r="M1320" s="129"/>
      <c r="N1320" s="129"/>
      <c r="O1320" s="129"/>
      <c r="P1320" s="129"/>
      <c r="Q1320" s="129"/>
      <c r="R1320" s="132"/>
      <c r="S1320" s="132"/>
      <c r="T1320" s="135"/>
      <c r="U1320" s="132"/>
      <c r="V1320" s="129"/>
      <c r="W1320" s="132"/>
      <c r="X1320" s="132"/>
      <c r="Y1320" s="132"/>
    </row>
    <row r="1321" spans="1:25" ht="15.75" customHeight="1">
      <c r="A1321" s="125"/>
      <c r="B1321" s="125"/>
      <c r="C1321" s="125"/>
      <c r="D1321" s="125"/>
      <c r="E1321" s="126"/>
      <c r="F1321" s="128"/>
      <c r="G1321" s="128"/>
      <c r="H1321" s="128"/>
      <c r="I1321" s="128"/>
      <c r="J1321" s="128"/>
      <c r="K1321" s="129"/>
      <c r="L1321" s="129"/>
      <c r="M1321" s="129"/>
      <c r="N1321" s="129"/>
      <c r="O1321" s="129"/>
      <c r="P1321" s="129"/>
      <c r="Q1321" s="129"/>
      <c r="R1321" s="132"/>
      <c r="S1321" s="132"/>
      <c r="T1321" s="135"/>
      <c r="U1321" s="132"/>
      <c r="V1321" s="129"/>
      <c r="W1321" s="132"/>
      <c r="X1321" s="132"/>
      <c r="Y1321" s="132"/>
    </row>
    <row r="1322" spans="1:25" ht="15.75" customHeight="1">
      <c r="A1322" s="125"/>
      <c r="B1322" s="125"/>
      <c r="C1322" s="125"/>
      <c r="D1322" s="125"/>
      <c r="E1322" s="126"/>
      <c r="F1322" s="128"/>
      <c r="G1322" s="128"/>
      <c r="H1322" s="128"/>
      <c r="I1322" s="128"/>
      <c r="J1322" s="128"/>
      <c r="K1322" s="129"/>
      <c r="L1322" s="129"/>
      <c r="M1322" s="129"/>
      <c r="N1322" s="129"/>
      <c r="O1322" s="129"/>
      <c r="P1322" s="129"/>
      <c r="Q1322" s="129"/>
      <c r="R1322" s="132"/>
      <c r="S1322" s="132"/>
      <c r="T1322" s="135"/>
      <c r="U1322" s="132"/>
      <c r="V1322" s="129"/>
      <c r="W1322" s="132"/>
      <c r="X1322" s="132"/>
      <c r="Y1322" s="132"/>
    </row>
    <row r="1323" spans="1:25" ht="15.75" customHeight="1">
      <c r="A1323" s="125"/>
      <c r="B1323" s="125"/>
      <c r="C1323" s="125"/>
      <c r="D1323" s="125"/>
      <c r="E1323" s="126"/>
      <c r="F1323" s="128"/>
      <c r="G1323" s="128"/>
      <c r="H1323" s="128"/>
      <c r="I1323" s="128"/>
      <c r="J1323" s="128"/>
      <c r="K1323" s="129"/>
      <c r="L1323" s="129"/>
      <c r="M1323" s="129"/>
      <c r="N1323" s="129"/>
      <c r="O1323" s="129"/>
      <c r="P1323" s="129"/>
      <c r="Q1323" s="129"/>
      <c r="R1323" s="132"/>
      <c r="S1323" s="132"/>
      <c r="T1323" s="135"/>
      <c r="U1323" s="132"/>
      <c r="V1323" s="129"/>
      <c r="W1323" s="132"/>
      <c r="X1323" s="132"/>
      <c r="Y1323" s="132"/>
    </row>
    <row r="1324" spans="1:25" ht="15.75" customHeight="1">
      <c r="A1324" s="125"/>
      <c r="B1324" s="125"/>
      <c r="C1324" s="125"/>
      <c r="D1324" s="125"/>
      <c r="E1324" s="126"/>
      <c r="F1324" s="128"/>
      <c r="G1324" s="128"/>
      <c r="H1324" s="128"/>
      <c r="I1324" s="128"/>
      <c r="J1324" s="128"/>
      <c r="K1324" s="129"/>
      <c r="L1324" s="129"/>
      <c r="M1324" s="129"/>
      <c r="N1324" s="129"/>
      <c r="O1324" s="129"/>
      <c r="P1324" s="129"/>
      <c r="Q1324" s="129"/>
      <c r="R1324" s="132"/>
      <c r="S1324" s="132"/>
      <c r="T1324" s="135"/>
      <c r="U1324" s="132"/>
      <c r="V1324" s="129"/>
      <c r="W1324" s="132"/>
      <c r="X1324" s="132"/>
      <c r="Y1324" s="132"/>
    </row>
    <row r="1325" spans="1:25" ht="15.75" customHeight="1">
      <c r="A1325" s="125"/>
      <c r="B1325" s="125"/>
      <c r="C1325" s="125"/>
      <c r="D1325" s="125"/>
      <c r="E1325" s="126"/>
      <c r="F1325" s="128"/>
      <c r="G1325" s="128"/>
      <c r="H1325" s="128"/>
      <c r="I1325" s="128"/>
      <c r="J1325" s="128"/>
      <c r="K1325" s="129"/>
      <c r="L1325" s="129"/>
      <c r="M1325" s="129"/>
      <c r="N1325" s="129"/>
      <c r="O1325" s="129"/>
      <c r="P1325" s="129"/>
      <c r="Q1325" s="129"/>
      <c r="R1325" s="132"/>
      <c r="S1325" s="132"/>
      <c r="T1325" s="135"/>
      <c r="U1325" s="132"/>
      <c r="V1325" s="129"/>
      <c r="W1325" s="132"/>
      <c r="X1325" s="132"/>
      <c r="Y1325" s="132"/>
    </row>
    <row r="1326" spans="1:25" ht="15.75" customHeight="1">
      <c r="A1326" s="125"/>
      <c r="B1326" s="125"/>
      <c r="C1326" s="125"/>
      <c r="D1326" s="125"/>
      <c r="E1326" s="126"/>
      <c r="F1326" s="128"/>
      <c r="G1326" s="128"/>
      <c r="H1326" s="128"/>
      <c r="I1326" s="128"/>
      <c r="J1326" s="128"/>
      <c r="K1326" s="129"/>
      <c r="L1326" s="129"/>
      <c r="M1326" s="129"/>
      <c r="N1326" s="129"/>
      <c r="O1326" s="129"/>
      <c r="P1326" s="129"/>
      <c r="Q1326" s="129"/>
      <c r="R1326" s="132"/>
      <c r="S1326" s="132"/>
      <c r="T1326" s="135"/>
      <c r="U1326" s="132"/>
      <c r="V1326" s="129"/>
      <c r="W1326" s="132"/>
      <c r="X1326" s="132"/>
      <c r="Y1326" s="132"/>
    </row>
    <row r="1327" spans="1:25" ht="15.75" customHeight="1">
      <c r="A1327" s="125"/>
      <c r="B1327" s="125"/>
      <c r="C1327" s="125"/>
      <c r="D1327" s="125"/>
      <c r="E1327" s="126"/>
      <c r="F1327" s="128"/>
      <c r="G1327" s="128"/>
      <c r="H1327" s="128"/>
      <c r="I1327" s="128"/>
      <c r="J1327" s="128"/>
      <c r="K1327" s="129"/>
      <c r="L1327" s="129"/>
      <c r="M1327" s="129"/>
      <c r="N1327" s="129"/>
      <c r="O1327" s="129"/>
      <c r="P1327" s="129"/>
      <c r="Q1327" s="129"/>
      <c r="R1327" s="132"/>
      <c r="S1327" s="132"/>
      <c r="T1327" s="135"/>
      <c r="U1327" s="132"/>
      <c r="V1327" s="129"/>
      <c r="W1327" s="132"/>
      <c r="X1327" s="132"/>
      <c r="Y1327" s="132"/>
    </row>
    <row r="1328" spans="1:25" ht="15.75" customHeight="1">
      <c r="A1328" s="125"/>
      <c r="B1328" s="125"/>
      <c r="C1328" s="125"/>
      <c r="D1328" s="125"/>
      <c r="E1328" s="126"/>
      <c r="F1328" s="128"/>
      <c r="G1328" s="128"/>
      <c r="H1328" s="128"/>
      <c r="I1328" s="128"/>
      <c r="J1328" s="128"/>
      <c r="K1328" s="129"/>
      <c r="L1328" s="129"/>
      <c r="M1328" s="129"/>
      <c r="N1328" s="129"/>
      <c r="O1328" s="129"/>
      <c r="P1328" s="129"/>
      <c r="Q1328" s="129"/>
      <c r="R1328" s="132"/>
      <c r="S1328" s="132"/>
      <c r="T1328" s="135"/>
      <c r="U1328" s="132"/>
      <c r="V1328" s="129"/>
      <c r="W1328" s="132"/>
      <c r="X1328" s="132"/>
      <c r="Y1328" s="132"/>
    </row>
    <row r="1329" spans="1:25" ht="15.75" customHeight="1">
      <c r="A1329" s="125"/>
      <c r="B1329" s="125"/>
      <c r="C1329" s="125"/>
      <c r="D1329" s="125"/>
      <c r="E1329" s="126"/>
      <c r="F1329" s="128"/>
      <c r="G1329" s="128"/>
      <c r="H1329" s="128"/>
      <c r="I1329" s="128"/>
      <c r="J1329" s="128"/>
      <c r="K1329" s="129"/>
      <c r="L1329" s="129"/>
      <c r="M1329" s="129"/>
      <c r="N1329" s="129"/>
      <c r="O1329" s="129"/>
      <c r="P1329" s="129"/>
      <c r="Q1329" s="129"/>
      <c r="R1329" s="132"/>
      <c r="S1329" s="132"/>
      <c r="T1329" s="135"/>
      <c r="U1329" s="132"/>
      <c r="V1329" s="129"/>
      <c r="W1329" s="132"/>
      <c r="X1329" s="132"/>
      <c r="Y1329" s="132"/>
    </row>
    <row r="1330" spans="1:25" ht="15.75" customHeight="1">
      <c r="A1330" s="125"/>
      <c r="B1330" s="125"/>
      <c r="C1330" s="125"/>
      <c r="D1330" s="125"/>
      <c r="E1330" s="126"/>
      <c r="F1330" s="128"/>
      <c r="G1330" s="128"/>
      <c r="H1330" s="128"/>
      <c r="I1330" s="128"/>
      <c r="J1330" s="128"/>
      <c r="K1330" s="129"/>
      <c r="L1330" s="129"/>
      <c r="M1330" s="129"/>
      <c r="N1330" s="129"/>
      <c r="O1330" s="129"/>
      <c r="P1330" s="129"/>
      <c r="Q1330" s="129"/>
      <c r="R1330" s="132"/>
      <c r="S1330" s="132"/>
      <c r="T1330" s="135"/>
      <c r="U1330" s="132"/>
      <c r="V1330" s="129"/>
      <c r="W1330" s="132"/>
      <c r="X1330" s="132"/>
      <c r="Y1330" s="132"/>
    </row>
    <row r="1331" spans="1:25" ht="15.75" customHeight="1">
      <c r="A1331" s="125"/>
      <c r="B1331" s="125"/>
      <c r="C1331" s="125"/>
      <c r="D1331" s="125"/>
      <c r="E1331" s="126"/>
      <c r="F1331" s="128"/>
      <c r="G1331" s="128"/>
      <c r="H1331" s="128"/>
      <c r="I1331" s="128"/>
      <c r="J1331" s="128"/>
      <c r="K1331" s="129"/>
      <c r="L1331" s="129"/>
      <c r="M1331" s="129"/>
      <c r="N1331" s="129"/>
      <c r="O1331" s="129"/>
      <c r="P1331" s="129"/>
      <c r="Q1331" s="129"/>
      <c r="R1331" s="132"/>
      <c r="S1331" s="132"/>
      <c r="T1331" s="135"/>
      <c r="U1331" s="132"/>
      <c r="V1331" s="129"/>
      <c r="W1331" s="132"/>
      <c r="X1331" s="132"/>
      <c r="Y1331" s="132"/>
    </row>
    <row r="1332" spans="1:25" ht="15.75" customHeight="1">
      <c r="A1332" s="125"/>
      <c r="B1332" s="125"/>
      <c r="C1332" s="125"/>
      <c r="D1332" s="125"/>
      <c r="E1332" s="126"/>
      <c r="F1332" s="128"/>
      <c r="G1332" s="128"/>
      <c r="H1332" s="128"/>
      <c r="I1332" s="128"/>
      <c r="J1332" s="128"/>
      <c r="K1332" s="129"/>
      <c r="L1332" s="129"/>
      <c r="M1332" s="129"/>
      <c r="N1332" s="129"/>
      <c r="O1332" s="129"/>
      <c r="P1332" s="129"/>
      <c r="Q1332" s="129"/>
      <c r="R1332" s="132"/>
      <c r="S1332" s="132"/>
      <c r="T1332" s="135"/>
      <c r="U1332" s="132"/>
      <c r="V1332" s="129"/>
      <c r="W1332" s="132"/>
      <c r="X1332" s="132"/>
      <c r="Y1332" s="132"/>
    </row>
    <row r="1333" spans="1:25" ht="15.75" customHeight="1">
      <c r="A1333" s="125"/>
      <c r="B1333" s="125"/>
      <c r="C1333" s="125"/>
      <c r="D1333" s="125"/>
      <c r="E1333" s="126"/>
      <c r="F1333" s="128"/>
      <c r="G1333" s="128"/>
      <c r="H1333" s="128"/>
      <c r="I1333" s="128"/>
      <c r="J1333" s="128"/>
      <c r="K1333" s="129"/>
      <c r="L1333" s="129"/>
      <c r="M1333" s="129"/>
      <c r="N1333" s="129"/>
      <c r="O1333" s="129"/>
      <c r="P1333" s="129"/>
      <c r="Q1333" s="129"/>
      <c r="R1333" s="132"/>
      <c r="S1333" s="132"/>
      <c r="T1333" s="135"/>
      <c r="U1333" s="132"/>
      <c r="V1333" s="129"/>
      <c r="W1333" s="132"/>
      <c r="X1333" s="132"/>
      <c r="Y1333" s="132"/>
    </row>
    <row r="1334" spans="1:25" ht="15.75" customHeight="1">
      <c r="A1334" s="125"/>
      <c r="B1334" s="125"/>
      <c r="C1334" s="125"/>
      <c r="D1334" s="125"/>
      <c r="E1334" s="126"/>
      <c r="F1334" s="128"/>
      <c r="G1334" s="128"/>
      <c r="H1334" s="128"/>
      <c r="I1334" s="128"/>
      <c r="J1334" s="128"/>
      <c r="K1334" s="129"/>
      <c r="L1334" s="129"/>
      <c r="M1334" s="129"/>
      <c r="N1334" s="129"/>
      <c r="O1334" s="129"/>
      <c r="P1334" s="129"/>
      <c r="Q1334" s="129"/>
      <c r="R1334" s="132"/>
      <c r="S1334" s="132"/>
      <c r="T1334" s="135"/>
      <c r="U1334" s="132"/>
      <c r="V1334" s="129"/>
      <c r="W1334" s="132"/>
      <c r="X1334" s="132"/>
      <c r="Y1334" s="132"/>
    </row>
    <row r="1335" spans="1:25" ht="15.75" customHeight="1">
      <c r="A1335" s="125"/>
      <c r="B1335" s="125"/>
      <c r="C1335" s="125"/>
      <c r="D1335" s="125"/>
      <c r="E1335" s="126"/>
      <c r="F1335" s="128"/>
      <c r="G1335" s="128"/>
      <c r="H1335" s="128"/>
      <c r="I1335" s="128"/>
      <c r="J1335" s="128"/>
      <c r="K1335" s="129"/>
      <c r="L1335" s="129"/>
      <c r="M1335" s="129"/>
      <c r="N1335" s="129"/>
      <c r="O1335" s="129"/>
      <c r="P1335" s="129"/>
      <c r="Q1335" s="129"/>
      <c r="R1335" s="132"/>
      <c r="S1335" s="132"/>
      <c r="T1335" s="135"/>
      <c r="U1335" s="132"/>
      <c r="V1335" s="129"/>
      <c r="W1335" s="132"/>
      <c r="X1335" s="132"/>
      <c r="Y1335" s="132"/>
    </row>
    <row r="1336" spans="1:25" ht="15.75" customHeight="1">
      <c r="A1336" s="125"/>
      <c r="B1336" s="125"/>
      <c r="C1336" s="125"/>
      <c r="D1336" s="125"/>
      <c r="E1336" s="126"/>
      <c r="F1336" s="128"/>
      <c r="G1336" s="128"/>
      <c r="H1336" s="128"/>
      <c r="I1336" s="128"/>
      <c r="J1336" s="128"/>
      <c r="K1336" s="129"/>
      <c r="L1336" s="129"/>
      <c r="M1336" s="129"/>
      <c r="N1336" s="129"/>
      <c r="O1336" s="129"/>
      <c r="P1336" s="129"/>
      <c r="Q1336" s="129"/>
      <c r="R1336" s="132"/>
      <c r="S1336" s="132"/>
      <c r="T1336" s="135"/>
      <c r="U1336" s="132"/>
      <c r="V1336" s="129"/>
      <c r="W1336" s="132"/>
      <c r="X1336" s="132"/>
      <c r="Y1336" s="132"/>
    </row>
    <row r="1337" spans="1:25" ht="15.75" customHeight="1">
      <c r="A1337" s="125"/>
      <c r="B1337" s="125"/>
      <c r="C1337" s="125"/>
      <c r="D1337" s="125"/>
      <c r="E1337" s="126"/>
      <c r="F1337" s="128"/>
      <c r="G1337" s="128"/>
      <c r="H1337" s="128"/>
      <c r="I1337" s="128"/>
      <c r="J1337" s="128"/>
      <c r="K1337" s="129"/>
      <c r="L1337" s="129"/>
      <c r="M1337" s="129"/>
      <c r="N1337" s="129"/>
      <c r="O1337" s="129"/>
      <c r="P1337" s="129"/>
      <c r="Q1337" s="129"/>
      <c r="R1337" s="132"/>
      <c r="S1337" s="132"/>
      <c r="T1337" s="135"/>
      <c r="U1337" s="132"/>
      <c r="V1337" s="129"/>
      <c r="W1337" s="132"/>
      <c r="X1337" s="132"/>
      <c r="Y1337" s="132"/>
    </row>
    <row r="1338" spans="1:25" ht="15.75" customHeight="1">
      <c r="A1338" s="125"/>
      <c r="B1338" s="125"/>
      <c r="C1338" s="125"/>
      <c r="D1338" s="125"/>
      <c r="E1338" s="126"/>
      <c r="F1338" s="128"/>
      <c r="G1338" s="128"/>
      <c r="H1338" s="128"/>
      <c r="I1338" s="128"/>
      <c r="J1338" s="128"/>
      <c r="K1338" s="129"/>
      <c r="L1338" s="129"/>
      <c r="M1338" s="129"/>
      <c r="N1338" s="129"/>
      <c r="O1338" s="129"/>
      <c r="P1338" s="129"/>
      <c r="Q1338" s="129"/>
      <c r="R1338" s="132"/>
      <c r="S1338" s="132"/>
      <c r="T1338" s="135"/>
      <c r="U1338" s="132"/>
      <c r="V1338" s="129"/>
      <c r="W1338" s="132"/>
      <c r="X1338" s="132"/>
      <c r="Y1338" s="132"/>
    </row>
    <row r="1339" spans="1:25" ht="15.75" customHeight="1">
      <c r="A1339" s="125"/>
      <c r="B1339" s="125"/>
      <c r="C1339" s="125"/>
      <c r="D1339" s="125"/>
      <c r="E1339" s="126"/>
      <c r="F1339" s="128"/>
      <c r="G1339" s="128"/>
      <c r="H1339" s="128"/>
      <c r="I1339" s="128"/>
      <c r="J1339" s="128"/>
      <c r="K1339" s="129"/>
      <c r="L1339" s="129"/>
      <c r="M1339" s="129"/>
      <c r="N1339" s="129"/>
      <c r="O1339" s="129"/>
      <c r="P1339" s="129"/>
      <c r="Q1339" s="129"/>
      <c r="R1339" s="132"/>
      <c r="S1339" s="132"/>
      <c r="T1339" s="135"/>
      <c r="U1339" s="132"/>
      <c r="V1339" s="129"/>
      <c r="W1339" s="132"/>
      <c r="X1339" s="132"/>
      <c r="Y1339" s="132"/>
    </row>
    <row r="1340" spans="1:25" ht="15.75" customHeight="1">
      <c r="A1340" s="125"/>
      <c r="B1340" s="125"/>
      <c r="C1340" s="125"/>
      <c r="D1340" s="125"/>
      <c r="E1340" s="126"/>
      <c r="F1340" s="128"/>
      <c r="G1340" s="128"/>
      <c r="H1340" s="128"/>
      <c r="I1340" s="128"/>
      <c r="J1340" s="128"/>
      <c r="K1340" s="129"/>
      <c r="L1340" s="129"/>
      <c r="M1340" s="129"/>
      <c r="N1340" s="129"/>
      <c r="O1340" s="129"/>
      <c r="P1340" s="129"/>
      <c r="Q1340" s="129"/>
      <c r="R1340" s="132"/>
      <c r="S1340" s="132"/>
      <c r="T1340" s="135"/>
      <c r="U1340" s="132"/>
      <c r="V1340" s="129"/>
      <c r="W1340" s="132"/>
      <c r="X1340" s="132"/>
      <c r="Y1340" s="132"/>
    </row>
    <row r="1341" spans="1:25" ht="15.75" customHeight="1">
      <c r="A1341" s="125"/>
      <c r="B1341" s="125"/>
      <c r="C1341" s="125"/>
      <c r="D1341" s="125"/>
      <c r="E1341" s="126"/>
      <c r="F1341" s="128"/>
      <c r="G1341" s="128"/>
      <c r="H1341" s="128"/>
      <c r="I1341" s="128"/>
      <c r="J1341" s="128"/>
      <c r="K1341" s="129"/>
      <c r="L1341" s="129"/>
      <c r="M1341" s="129"/>
      <c r="N1341" s="129"/>
      <c r="O1341" s="129"/>
      <c r="P1341" s="129"/>
      <c r="Q1341" s="129"/>
      <c r="R1341" s="132"/>
      <c r="S1341" s="132"/>
      <c r="T1341" s="135"/>
      <c r="U1341" s="132"/>
      <c r="V1341" s="129"/>
      <c r="W1341" s="132"/>
      <c r="X1341" s="132"/>
      <c r="Y1341" s="132"/>
    </row>
    <row r="1342" spans="1:25" ht="15.75" customHeight="1">
      <c r="A1342" s="125"/>
      <c r="B1342" s="125"/>
      <c r="C1342" s="125"/>
      <c r="D1342" s="125"/>
      <c r="E1342" s="126"/>
      <c r="F1342" s="128"/>
      <c r="G1342" s="128"/>
      <c r="H1342" s="128"/>
      <c r="I1342" s="128"/>
      <c r="J1342" s="128"/>
      <c r="K1342" s="129"/>
      <c r="L1342" s="129"/>
      <c r="M1342" s="129"/>
      <c r="N1342" s="129"/>
      <c r="O1342" s="129"/>
      <c r="P1342" s="129"/>
      <c r="Q1342" s="129"/>
      <c r="R1342" s="132"/>
      <c r="S1342" s="132"/>
      <c r="T1342" s="135"/>
      <c r="U1342" s="132"/>
      <c r="V1342" s="129"/>
      <c r="W1342" s="132"/>
      <c r="X1342" s="132"/>
      <c r="Y1342" s="132"/>
    </row>
    <row r="1343" spans="1:25" ht="15.75" customHeight="1">
      <c r="A1343" s="125"/>
      <c r="B1343" s="125"/>
      <c r="C1343" s="125"/>
      <c r="D1343" s="125"/>
      <c r="E1343" s="126"/>
      <c r="F1343" s="128"/>
      <c r="G1343" s="128"/>
      <c r="H1343" s="128"/>
      <c r="I1343" s="128"/>
      <c r="J1343" s="128"/>
      <c r="K1343" s="129"/>
      <c r="L1343" s="129"/>
      <c r="M1343" s="129"/>
      <c r="N1343" s="129"/>
      <c r="O1343" s="129"/>
      <c r="P1343" s="129"/>
      <c r="Q1343" s="129"/>
      <c r="R1343" s="132"/>
      <c r="S1343" s="132"/>
      <c r="T1343" s="135"/>
      <c r="U1343" s="132"/>
      <c r="V1343" s="129"/>
      <c r="W1343" s="132"/>
      <c r="X1343" s="132"/>
      <c r="Y1343" s="132"/>
    </row>
    <row r="1344" spans="1:25" ht="15.75" customHeight="1">
      <c r="A1344" s="125"/>
      <c r="B1344" s="125"/>
      <c r="C1344" s="125"/>
      <c r="D1344" s="125"/>
      <c r="E1344" s="126"/>
      <c r="F1344" s="128"/>
      <c r="G1344" s="128"/>
      <c r="H1344" s="128"/>
      <c r="I1344" s="128"/>
      <c r="J1344" s="128"/>
      <c r="K1344" s="129"/>
      <c r="L1344" s="129"/>
      <c r="M1344" s="129"/>
      <c r="N1344" s="129"/>
      <c r="O1344" s="129"/>
      <c r="P1344" s="129"/>
      <c r="Q1344" s="129"/>
      <c r="R1344" s="132"/>
      <c r="S1344" s="132"/>
      <c r="T1344" s="135"/>
      <c r="U1344" s="132"/>
      <c r="V1344" s="129"/>
      <c r="W1344" s="132"/>
      <c r="X1344" s="132"/>
      <c r="Y1344" s="132"/>
    </row>
    <row r="1345" spans="1:25" ht="15.75" customHeight="1">
      <c r="A1345" s="125"/>
      <c r="B1345" s="125"/>
      <c r="C1345" s="125"/>
      <c r="D1345" s="125"/>
      <c r="E1345" s="126"/>
      <c r="F1345" s="128"/>
      <c r="G1345" s="128"/>
      <c r="H1345" s="128"/>
      <c r="I1345" s="128"/>
      <c r="J1345" s="128"/>
      <c r="K1345" s="129"/>
      <c r="L1345" s="129"/>
      <c r="M1345" s="129"/>
      <c r="N1345" s="129"/>
      <c r="O1345" s="129"/>
      <c r="P1345" s="129"/>
      <c r="Q1345" s="129"/>
      <c r="R1345" s="132"/>
      <c r="S1345" s="132"/>
      <c r="T1345" s="135"/>
      <c r="U1345" s="132"/>
      <c r="V1345" s="129"/>
      <c r="W1345" s="132"/>
      <c r="X1345" s="132"/>
      <c r="Y1345" s="132"/>
    </row>
    <row r="1346" spans="1:25" ht="15.75" customHeight="1">
      <c r="A1346" s="125"/>
      <c r="B1346" s="125"/>
      <c r="C1346" s="125"/>
      <c r="D1346" s="125"/>
      <c r="E1346" s="126"/>
      <c r="F1346" s="128"/>
      <c r="G1346" s="128"/>
      <c r="H1346" s="128"/>
      <c r="I1346" s="128"/>
      <c r="J1346" s="128"/>
      <c r="K1346" s="129"/>
      <c r="L1346" s="129"/>
      <c r="M1346" s="129"/>
      <c r="N1346" s="129"/>
      <c r="O1346" s="129"/>
      <c r="P1346" s="129"/>
      <c r="Q1346" s="129"/>
      <c r="R1346" s="132"/>
      <c r="S1346" s="132"/>
      <c r="T1346" s="135"/>
      <c r="U1346" s="132"/>
      <c r="V1346" s="129"/>
      <c r="W1346" s="132"/>
      <c r="X1346" s="132"/>
      <c r="Y1346" s="132"/>
    </row>
    <row r="1347" spans="1:25" ht="15.75" customHeight="1">
      <c r="A1347" s="125"/>
      <c r="B1347" s="125"/>
      <c r="C1347" s="125"/>
      <c r="D1347" s="125"/>
      <c r="E1347" s="126"/>
      <c r="F1347" s="128"/>
      <c r="G1347" s="128"/>
      <c r="H1347" s="128"/>
      <c r="I1347" s="128"/>
      <c r="J1347" s="128"/>
      <c r="K1347" s="129"/>
      <c r="L1347" s="129"/>
      <c r="M1347" s="129"/>
      <c r="N1347" s="129"/>
      <c r="O1347" s="129"/>
      <c r="P1347" s="129"/>
      <c r="Q1347" s="129"/>
      <c r="R1347" s="132"/>
      <c r="S1347" s="132"/>
      <c r="T1347" s="135"/>
      <c r="U1347" s="132"/>
      <c r="V1347" s="129"/>
      <c r="W1347" s="132"/>
      <c r="X1347" s="132"/>
      <c r="Y1347" s="132"/>
    </row>
    <row r="1348" spans="1:25" ht="15.75" customHeight="1">
      <c r="A1348" s="125"/>
      <c r="B1348" s="125"/>
      <c r="C1348" s="125"/>
      <c r="D1348" s="125"/>
      <c r="E1348" s="126"/>
      <c r="F1348" s="128"/>
      <c r="G1348" s="128"/>
      <c r="H1348" s="128"/>
      <c r="I1348" s="128"/>
      <c r="J1348" s="128"/>
      <c r="K1348" s="129"/>
      <c r="L1348" s="129"/>
      <c r="M1348" s="129"/>
      <c r="N1348" s="129"/>
      <c r="O1348" s="129"/>
      <c r="P1348" s="129"/>
      <c r="Q1348" s="129"/>
      <c r="R1348" s="132"/>
      <c r="S1348" s="132"/>
      <c r="T1348" s="135"/>
      <c r="U1348" s="132"/>
      <c r="V1348" s="129"/>
      <c r="W1348" s="132"/>
      <c r="X1348" s="132"/>
      <c r="Y1348" s="132"/>
    </row>
    <row r="1349" spans="1:25" ht="15.75" customHeight="1">
      <c r="A1349" s="125"/>
      <c r="B1349" s="125"/>
      <c r="C1349" s="125"/>
      <c r="D1349" s="125"/>
      <c r="E1349" s="126"/>
      <c r="F1349" s="128"/>
      <c r="G1349" s="128"/>
      <c r="H1349" s="128"/>
      <c r="I1349" s="128"/>
      <c r="J1349" s="128"/>
      <c r="K1349" s="129"/>
      <c r="L1349" s="129"/>
      <c r="M1349" s="129"/>
      <c r="N1349" s="129"/>
      <c r="O1349" s="129"/>
      <c r="P1349" s="129"/>
      <c r="Q1349" s="129"/>
      <c r="R1349" s="132"/>
      <c r="S1349" s="132"/>
      <c r="T1349" s="135"/>
      <c r="U1349" s="132"/>
      <c r="V1349" s="129"/>
      <c r="W1349" s="132"/>
      <c r="X1349" s="132"/>
      <c r="Y1349" s="132"/>
    </row>
    <row r="1350" spans="1:25" ht="15.75" customHeight="1">
      <c r="A1350" s="125"/>
      <c r="B1350" s="125"/>
      <c r="C1350" s="125"/>
      <c r="D1350" s="125"/>
      <c r="E1350" s="126"/>
      <c r="F1350" s="128"/>
      <c r="G1350" s="128"/>
      <c r="H1350" s="128"/>
      <c r="I1350" s="128"/>
      <c r="J1350" s="128"/>
      <c r="K1350" s="129"/>
      <c r="L1350" s="129"/>
      <c r="M1350" s="129"/>
      <c r="N1350" s="129"/>
      <c r="O1350" s="129"/>
      <c r="P1350" s="129"/>
      <c r="Q1350" s="129"/>
      <c r="R1350" s="132"/>
      <c r="S1350" s="132"/>
      <c r="T1350" s="135"/>
      <c r="U1350" s="132"/>
      <c r="V1350" s="129"/>
      <c r="W1350" s="132"/>
      <c r="X1350" s="132"/>
      <c r="Y1350" s="132"/>
    </row>
    <row r="1351" spans="1:25" ht="15.75" customHeight="1">
      <c r="A1351" s="125"/>
      <c r="B1351" s="125"/>
      <c r="C1351" s="125"/>
      <c r="D1351" s="125"/>
      <c r="E1351" s="126"/>
      <c r="F1351" s="128"/>
      <c r="G1351" s="128"/>
      <c r="H1351" s="128"/>
      <c r="I1351" s="128"/>
      <c r="J1351" s="128"/>
      <c r="K1351" s="129"/>
      <c r="L1351" s="129"/>
      <c r="M1351" s="129"/>
      <c r="N1351" s="129"/>
      <c r="O1351" s="129"/>
      <c r="P1351" s="129"/>
      <c r="Q1351" s="129"/>
      <c r="R1351" s="132"/>
      <c r="S1351" s="132"/>
      <c r="T1351" s="135"/>
      <c r="U1351" s="132"/>
      <c r="V1351" s="129"/>
      <c r="W1351" s="132"/>
      <c r="X1351" s="132"/>
      <c r="Y1351" s="132"/>
    </row>
    <row r="1352" spans="1:25" ht="15.75" customHeight="1">
      <c r="A1352" s="125"/>
      <c r="B1352" s="125"/>
      <c r="C1352" s="125"/>
      <c r="D1352" s="125"/>
      <c r="E1352" s="126"/>
      <c r="F1352" s="128"/>
      <c r="G1352" s="128"/>
      <c r="H1352" s="128"/>
      <c r="I1352" s="128"/>
      <c r="J1352" s="128"/>
      <c r="K1352" s="129"/>
      <c r="L1352" s="129"/>
      <c r="M1352" s="129"/>
      <c r="N1352" s="129"/>
      <c r="O1352" s="129"/>
      <c r="P1352" s="129"/>
      <c r="Q1352" s="129"/>
      <c r="R1352" s="132"/>
      <c r="S1352" s="132"/>
      <c r="T1352" s="135"/>
      <c r="U1352" s="132"/>
      <c r="V1352" s="129"/>
      <c r="W1352" s="132"/>
      <c r="X1352" s="132"/>
      <c r="Y1352" s="132"/>
    </row>
    <row r="1353" spans="1:25" ht="15.75" customHeight="1">
      <c r="A1353" s="125"/>
      <c r="B1353" s="125"/>
      <c r="C1353" s="125"/>
      <c r="D1353" s="125"/>
      <c r="E1353" s="126"/>
      <c r="F1353" s="128"/>
      <c r="G1353" s="128"/>
      <c r="H1353" s="128"/>
      <c r="I1353" s="128"/>
      <c r="J1353" s="128"/>
      <c r="K1353" s="129"/>
      <c r="L1353" s="129"/>
      <c r="M1353" s="129"/>
      <c r="N1353" s="129"/>
      <c r="O1353" s="129"/>
      <c r="P1353" s="129"/>
      <c r="Q1353" s="129"/>
      <c r="R1353" s="132"/>
      <c r="S1353" s="132"/>
      <c r="T1353" s="135"/>
      <c r="U1353" s="132"/>
      <c r="V1353" s="129"/>
      <c r="W1353" s="132"/>
      <c r="X1353" s="132"/>
      <c r="Y1353" s="132"/>
    </row>
    <row r="1354" spans="1:25" ht="15.75" customHeight="1">
      <c r="A1354" s="125"/>
      <c r="B1354" s="125"/>
      <c r="C1354" s="125"/>
      <c r="D1354" s="125"/>
      <c r="E1354" s="126"/>
      <c r="F1354" s="128"/>
      <c r="G1354" s="128"/>
      <c r="H1354" s="128"/>
      <c r="I1354" s="128"/>
      <c r="J1354" s="128"/>
      <c r="K1354" s="129"/>
      <c r="L1354" s="129"/>
      <c r="M1354" s="129"/>
      <c r="N1354" s="129"/>
      <c r="O1354" s="129"/>
      <c r="P1354" s="129"/>
      <c r="Q1354" s="129"/>
      <c r="R1354" s="132"/>
      <c r="S1354" s="132"/>
      <c r="T1354" s="135"/>
      <c r="U1354" s="132"/>
      <c r="V1354" s="129"/>
      <c r="W1354" s="132"/>
      <c r="X1354" s="132"/>
      <c r="Y1354" s="132"/>
    </row>
    <row r="1355" spans="1:25" ht="15.75" customHeight="1">
      <c r="A1355" s="125"/>
      <c r="B1355" s="125"/>
      <c r="C1355" s="125"/>
      <c r="D1355" s="125"/>
      <c r="E1355" s="126"/>
      <c r="F1355" s="128"/>
      <c r="G1355" s="128"/>
      <c r="H1355" s="128"/>
      <c r="I1355" s="128"/>
      <c r="J1355" s="128"/>
      <c r="K1355" s="129"/>
      <c r="L1355" s="129"/>
      <c r="M1355" s="129"/>
      <c r="N1355" s="129"/>
      <c r="O1355" s="129"/>
      <c r="P1355" s="129"/>
      <c r="Q1355" s="129"/>
      <c r="R1355" s="132"/>
      <c r="S1355" s="132"/>
      <c r="T1355" s="135"/>
      <c r="U1355" s="132"/>
      <c r="V1355" s="129"/>
      <c r="W1355" s="132"/>
      <c r="X1355" s="132"/>
      <c r="Y1355" s="132"/>
    </row>
    <row r="1356" spans="1:25" ht="15.75" customHeight="1">
      <c r="A1356" s="125"/>
      <c r="B1356" s="125"/>
      <c r="C1356" s="125"/>
      <c r="D1356" s="125"/>
      <c r="E1356" s="126"/>
      <c r="F1356" s="128"/>
      <c r="G1356" s="128"/>
      <c r="H1356" s="128"/>
      <c r="I1356" s="128"/>
      <c r="J1356" s="128"/>
      <c r="K1356" s="129"/>
      <c r="L1356" s="129"/>
      <c r="M1356" s="129"/>
      <c r="N1356" s="129"/>
      <c r="O1356" s="129"/>
      <c r="P1356" s="129"/>
      <c r="Q1356" s="129"/>
      <c r="R1356" s="132"/>
      <c r="S1356" s="132"/>
      <c r="T1356" s="135"/>
      <c r="U1356" s="132"/>
      <c r="V1356" s="129"/>
      <c r="W1356" s="132"/>
      <c r="X1356" s="132"/>
      <c r="Y1356" s="132"/>
    </row>
    <row r="1357" spans="1:25" ht="15.75" customHeight="1">
      <c r="A1357" s="125"/>
      <c r="B1357" s="125"/>
      <c r="C1357" s="125"/>
      <c r="D1357" s="125"/>
      <c r="E1357" s="126"/>
      <c r="F1357" s="128"/>
      <c r="G1357" s="128"/>
      <c r="H1357" s="128"/>
      <c r="I1357" s="128"/>
      <c r="J1357" s="128"/>
      <c r="K1357" s="129"/>
      <c r="L1357" s="129"/>
      <c r="M1357" s="129"/>
      <c r="N1357" s="129"/>
      <c r="O1357" s="129"/>
      <c r="P1357" s="129"/>
      <c r="Q1357" s="129"/>
      <c r="R1357" s="132"/>
      <c r="S1357" s="132"/>
      <c r="T1357" s="135"/>
      <c r="U1357" s="132"/>
      <c r="V1357" s="129"/>
      <c r="W1357" s="132"/>
      <c r="X1357" s="132"/>
      <c r="Y1357" s="132"/>
    </row>
    <row r="1358" spans="1:25" ht="15.75" customHeight="1">
      <c r="A1358" s="125"/>
      <c r="B1358" s="125"/>
      <c r="C1358" s="125"/>
      <c r="D1358" s="125"/>
      <c r="E1358" s="126"/>
      <c r="F1358" s="128"/>
      <c r="G1358" s="128"/>
      <c r="H1358" s="128"/>
      <c r="I1358" s="128"/>
      <c r="J1358" s="128"/>
      <c r="K1358" s="129"/>
      <c r="L1358" s="129"/>
      <c r="M1358" s="129"/>
      <c r="N1358" s="129"/>
      <c r="O1358" s="129"/>
      <c r="P1358" s="129"/>
      <c r="Q1358" s="129"/>
      <c r="R1358" s="132"/>
      <c r="S1358" s="132"/>
      <c r="T1358" s="135"/>
      <c r="U1358" s="132"/>
      <c r="V1358" s="129"/>
      <c r="W1358" s="132"/>
      <c r="X1358" s="132"/>
      <c r="Y1358" s="132"/>
    </row>
    <row r="1359" spans="1:25" ht="15.75" customHeight="1">
      <c r="A1359" s="125"/>
      <c r="B1359" s="125"/>
      <c r="C1359" s="125"/>
      <c r="D1359" s="125"/>
      <c r="E1359" s="126"/>
      <c r="F1359" s="128"/>
      <c r="G1359" s="128"/>
      <c r="H1359" s="128"/>
      <c r="I1359" s="128"/>
      <c r="J1359" s="128"/>
      <c r="K1359" s="129"/>
      <c r="L1359" s="129"/>
      <c r="M1359" s="129"/>
      <c r="N1359" s="129"/>
      <c r="O1359" s="129"/>
      <c r="P1359" s="129"/>
      <c r="Q1359" s="129"/>
      <c r="R1359" s="132"/>
      <c r="S1359" s="132"/>
      <c r="T1359" s="135"/>
      <c r="U1359" s="132"/>
      <c r="V1359" s="129"/>
      <c r="W1359" s="132"/>
      <c r="X1359" s="132"/>
      <c r="Y1359" s="132"/>
    </row>
    <row r="1360" spans="1:25" ht="15.75" customHeight="1">
      <c r="A1360" s="125"/>
      <c r="B1360" s="125"/>
      <c r="C1360" s="125"/>
      <c r="D1360" s="125"/>
      <c r="E1360" s="126"/>
      <c r="F1360" s="128"/>
      <c r="G1360" s="128"/>
      <c r="H1360" s="128"/>
      <c r="I1360" s="128"/>
      <c r="J1360" s="128"/>
      <c r="K1360" s="129"/>
      <c r="L1360" s="129"/>
      <c r="M1360" s="129"/>
      <c r="N1360" s="129"/>
      <c r="O1360" s="129"/>
      <c r="P1360" s="129"/>
      <c r="Q1360" s="129"/>
      <c r="R1360" s="132"/>
      <c r="S1360" s="132"/>
      <c r="T1360" s="135"/>
      <c r="U1360" s="132"/>
      <c r="V1360" s="129"/>
      <c r="W1360" s="132"/>
      <c r="X1360" s="132"/>
      <c r="Y1360" s="132"/>
    </row>
    <row r="1361" spans="1:25" ht="15.75" customHeight="1">
      <c r="A1361" s="125"/>
      <c r="B1361" s="125"/>
      <c r="C1361" s="125"/>
      <c r="D1361" s="125"/>
      <c r="E1361" s="126"/>
      <c r="F1361" s="128"/>
      <c r="G1361" s="128"/>
      <c r="H1361" s="128"/>
      <c r="I1361" s="128"/>
      <c r="J1361" s="128"/>
      <c r="K1361" s="129"/>
      <c r="L1361" s="129"/>
      <c r="M1361" s="129"/>
      <c r="N1361" s="129"/>
      <c r="O1361" s="129"/>
      <c r="P1361" s="129"/>
      <c r="Q1361" s="129"/>
      <c r="R1361" s="132"/>
      <c r="S1361" s="132"/>
      <c r="T1361" s="135"/>
      <c r="U1361" s="132"/>
      <c r="V1361" s="129"/>
      <c r="W1361" s="132"/>
      <c r="X1361" s="132"/>
      <c r="Y1361" s="132"/>
    </row>
    <row r="1362" spans="1:25" ht="15.75" customHeight="1">
      <c r="A1362" s="125"/>
      <c r="B1362" s="125"/>
      <c r="C1362" s="125"/>
      <c r="D1362" s="125"/>
      <c r="E1362" s="126"/>
      <c r="F1362" s="128"/>
      <c r="G1362" s="128"/>
      <c r="H1362" s="128"/>
      <c r="I1362" s="128"/>
      <c r="J1362" s="128"/>
      <c r="K1362" s="129"/>
      <c r="L1362" s="129"/>
      <c r="M1362" s="129"/>
      <c r="N1362" s="129"/>
      <c r="O1362" s="129"/>
      <c r="P1362" s="129"/>
      <c r="Q1362" s="129"/>
      <c r="R1362" s="132"/>
      <c r="S1362" s="132"/>
      <c r="T1362" s="135"/>
      <c r="U1362" s="132"/>
      <c r="V1362" s="129"/>
      <c r="W1362" s="132"/>
      <c r="X1362" s="132"/>
      <c r="Y1362" s="132"/>
    </row>
    <row r="1363" spans="1:25" ht="15.75" customHeight="1">
      <c r="A1363" s="125"/>
      <c r="B1363" s="125"/>
      <c r="C1363" s="125"/>
      <c r="D1363" s="125"/>
      <c r="E1363" s="126"/>
      <c r="F1363" s="128"/>
      <c r="G1363" s="128"/>
      <c r="H1363" s="128"/>
      <c r="I1363" s="128"/>
      <c r="J1363" s="128"/>
      <c r="K1363" s="129"/>
      <c r="L1363" s="129"/>
      <c r="M1363" s="129"/>
      <c r="N1363" s="129"/>
      <c r="O1363" s="129"/>
      <c r="P1363" s="129"/>
      <c r="Q1363" s="129"/>
      <c r="R1363" s="132"/>
      <c r="S1363" s="132"/>
      <c r="T1363" s="135"/>
      <c r="U1363" s="132"/>
      <c r="V1363" s="129"/>
      <c r="W1363" s="132"/>
      <c r="X1363" s="132"/>
      <c r="Y1363" s="132"/>
    </row>
    <row r="1364" spans="1:25" ht="15.75" customHeight="1">
      <c r="A1364" s="125"/>
      <c r="B1364" s="125"/>
      <c r="C1364" s="125"/>
      <c r="D1364" s="125"/>
      <c r="E1364" s="126"/>
      <c r="F1364" s="128"/>
      <c r="G1364" s="128"/>
      <c r="H1364" s="128"/>
      <c r="I1364" s="128"/>
      <c r="J1364" s="128"/>
      <c r="K1364" s="129"/>
      <c r="L1364" s="129"/>
      <c r="M1364" s="129"/>
      <c r="N1364" s="129"/>
      <c r="O1364" s="129"/>
      <c r="P1364" s="129"/>
      <c r="Q1364" s="129"/>
      <c r="R1364" s="132"/>
      <c r="S1364" s="132"/>
      <c r="T1364" s="135"/>
      <c r="U1364" s="132"/>
      <c r="V1364" s="129"/>
      <c r="W1364" s="132"/>
      <c r="X1364" s="132"/>
      <c r="Y1364" s="132"/>
    </row>
    <row r="1365" spans="1:25" ht="15.75" customHeight="1">
      <c r="A1365" s="125"/>
      <c r="B1365" s="125"/>
      <c r="C1365" s="125"/>
      <c r="D1365" s="125"/>
      <c r="E1365" s="126"/>
      <c r="F1365" s="128"/>
      <c r="G1365" s="128"/>
      <c r="H1365" s="128"/>
      <c r="I1365" s="128"/>
      <c r="J1365" s="128"/>
      <c r="K1365" s="129"/>
      <c r="L1365" s="129"/>
      <c r="M1365" s="129"/>
      <c r="N1365" s="129"/>
      <c r="O1365" s="129"/>
      <c r="P1365" s="129"/>
      <c r="Q1365" s="129"/>
      <c r="R1365" s="132"/>
      <c r="S1365" s="132"/>
      <c r="T1365" s="135"/>
      <c r="U1365" s="132"/>
      <c r="V1365" s="129"/>
      <c r="W1365" s="132"/>
      <c r="X1365" s="132"/>
      <c r="Y1365" s="132"/>
    </row>
    <row r="1366" spans="1:25" ht="15.75" customHeight="1">
      <c r="A1366" s="125"/>
      <c r="B1366" s="125"/>
      <c r="C1366" s="125"/>
      <c r="D1366" s="125"/>
      <c r="E1366" s="126"/>
      <c r="F1366" s="128"/>
      <c r="G1366" s="128"/>
      <c r="H1366" s="128"/>
      <c r="I1366" s="128"/>
      <c r="J1366" s="128"/>
      <c r="K1366" s="129"/>
      <c r="L1366" s="129"/>
      <c r="M1366" s="129"/>
      <c r="N1366" s="129"/>
      <c r="O1366" s="129"/>
      <c r="P1366" s="129"/>
      <c r="Q1366" s="129"/>
      <c r="R1366" s="132"/>
      <c r="S1366" s="132"/>
      <c r="T1366" s="135"/>
      <c r="U1366" s="132"/>
      <c r="V1366" s="129"/>
      <c r="W1366" s="132"/>
      <c r="X1366" s="132"/>
      <c r="Y1366" s="132"/>
    </row>
    <row r="1367" spans="1:25" ht="15.75" customHeight="1">
      <c r="A1367" s="125"/>
      <c r="B1367" s="125"/>
      <c r="C1367" s="125"/>
      <c r="D1367" s="125"/>
      <c r="E1367" s="126"/>
      <c r="F1367" s="128"/>
      <c r="G1367" s="128"/>
      <c r="H1367" s="128"/>
      <c r="I1367" s="128"/>
      <c r="J1367" s="128"/>
      <c r="K1367" s="129"/>
      <c r="L1367" s="129"/>
      <c r="M1367" s="129"/>
      <c r="N1367" s="129"/>
      <c r="O1367" s="129"/>
      <c r="P1367" s="129"/>
      <c r="Q1367" s="129"/>
      <c r="R1367" s="132"/>
      <c r="S1367" s="132"/>
      <c r="T1367" s="135"/>
      <c r="U1367" s="132"/>
      <c r="V1367" s="129"/>
      <c r="W1367" s="132"/>
      <c r="X1367" s="132"/>
      <c r="Y1367" s="132"/>
    </row>
    <row r="1368" spans="1:25" ht="15.75" customHeight="1">
      <c r="A1368" s="125"/>
      <c r="B1368" s="125"/>
      <c r="C1368" s="125"/>
      <c r="D1368" s="125"/>
      <c r="E1368" s="126"/>
      <c r="F1368" s="128"/>
      <c r="G1368" s="128"/>
      <c r="H1368" s="128"/>
      <c r="I1368" s="128"/>
      <c r="J1368" s="128"/>
      <c r="K1368" s="129"/>
      <c r="L1368" s="129"/>
      <c r="M1368" s="129"/>
      <c r="N1368" s="129"/>
      <c r="O1368" s="129"/>
      <c r="P1368" s="129"/>
      <c r="Q1368" s="129"/>
      <c r="R1368" s="132"/>
      <c r="S1368" s="132"/>
      <c r="T1368" s="135"/>
      <c r="U1368" s="132"/>
      <c r="V1368" s="129"/>
      <c r="W1368" s="132"/>
      <c r="X1368" s="132"/>
      <c r="Y1368" s="132"/>
    </row>
    <row r="1369" spans="1:25" ht="15.75" customHeight="1">
      <c r="A1369" s="125"/>
      <c r="B1369" s="125"/>
      <c r="C1369" s="125"/>
      <c r="D1369" s="125"/>
      <c r="E1369" s="126"/>
      <c r="F1369" s="128"/>
      <c r="G1369" s="128"/>
      <c r="H1369" s="128"/>
      <c r="I1369" s="128"/>
      <c r="J1369" s="128"/>
      <c r="K1369" s="129"/>
      <c r="L1369" s="129"/>
      <c r="M1369" s="129"/>
      <c r="N1369" s="129"/>
      <c r="O1369" s="129"/>
      <c r="P1369" s="129"/>
      <c r="Q1369" s="129"/>
      <c r="R1369" s="132"/>
      <c r="S1369" s="132"/>
      <c r="T1369" s="135"/>
      <c r="U1369" s="132"/>
      <c r="V1369" s="129"/>
      <c r="W1369" s="132"/>
      <c r="X1369" s="132"/>
      <c r="Y1369" s="132"/>
    </row>
    <row r="1370" spans="1:25" ht="15.75" customHeight="1">
      <c r="A1370" s="125"/>
      <c r="B1370" s="125"/>
      <c r="C1370" s="125"/>
      <c r="D1370" s="125"/>
      <c r="E1370" s="126"/>
      <c r="F1370" s="128"/>
      <c r="G1370" s="128"/>
      <c r="H1370" s="128"/>
      <c r="I1370" s="128"/>
      <c r="J1370" s="128"/>
      <c r="K1370" s="129"/>
      <c r="L1370" s="129"/>
      <c r="M1370" s="129"/>
      <c r="N1370" s="129"/>
      <c r="O1370" s="129"/>
      <c r="P1370" s="129"/>
      <c r="Q1370" s="129"/>
      <c r="R1370" s="132"/>
      <c r="S1370" s="132"/>
      <c r="T1370" s="135"/>
      <c r="U1370" s="132"/>
      <c r="V1370" s="129"/>
      <c r="W1370" s="132"/>
      <c r="X1370" s="132"/>
      <c r="Y1370" s="132"/>
    </row>
    <row r="1371" spans="1:25" ht="15.75" customHeight="1">
      <c r="A1371" s="125"/>
      <c r="B1371" s="125"/>
      <c r="C1371" s="125"/>
      <c r="D1371" s="125"/>
      <c r="E1371" s="126"/>
      <c r="F1371" s="128"/>
      <c r="G1371" s="128"/>
      <c r="H1371" s="128"/>
      <c r="I1371" s="128"/>
      <c r="J1371" s="128"/>
      <c r="K1371" s="129"/>
      <c r="L1371" s="129"/>
      <c r="M1371" s="129"/>
      <c r="N1371" s="129"/>
      <c r="O1371" s="129"/>
      <c r="P1371" s="129"/>
      <c r="Q1371" s="129"/>
      <c r="R1371" s="132"/>
      <c r="S1371" s="132"/>
      <c r="T1371" s="135"/>
      <c r="U1371" s="132"/>
      <c r="V1371" s="129"/>
      <c r="W1371" s="132"/>
      <c r="X1371" s="132"/>
      <c r="Y1371" s="132"/>
    </row>
    <row r="1372" spans="1:25" ht="15.75" customHeight="1">
      <c r="A1372" s="125"/>
      <c r="B1372" s="125"/>
      <c r="C1372" s="125"/>
      <c r="D1372" s="125"/>
      <c r="E1372" s="126"/>
      <c r="F1372" s="128"/>
      <c r="G1372" s="128"/>
      <c r="H1372" s="128"/>
      <c r="I1372" s="128"/>
      <c r="J1372" s="128"/>
      <c r="K1372" s="129"/>
      <c r="L1372" s="129"/>
      <c r="M1372" s="129"/>
      <c r="N1372" s="129"/>
      <c r="O1372" s="129"/>
      <c r="P1372" s="129"/>
      <c r="Q1372" s="129"/>
      <c r="R1372" s="132"/>
      <c r="S1372" s="132"/>
      <c r="T1372" s="135"/>
      <c r="U1372" s="132"/>
      <c r="V1372" s="129"/>
      <c r="W1372" s="132"/>
      <c r="X1372" s="132"/>
      <c r="Y1372" s="132"/>
    </row>
    <row r="1373" spans="1:25" ht="15.75" customHeight="1">
      <c r="A1373" s="125"/>
      <c r="B1373" s="125"/>
      <c r="C1373" s="125"/>
      <c r="D1373" s="125"/>
      <c r="E1373" s="126"/>
      <c r="F1373" s="128"/>
      <c r="G1373" s="128"/>
      <c r="H1373" s="128"/>
      <c r="I1373" s="128"/>
      <c r="J1373" s="128"/>
      <c r="K1373" s="129"/>
      <c r="L1373" s="129"/>
      <c r="M1373" s="129"/>
      <c r="N1373" s="129"/>
      <c r="O1373" s="129"/>
      <c r="P1373" s="129"/>
      <c r="Q1373" s="129"/>
      <c r="R1373" s="132"/>
      <c r="S1373" s="132"/>
      <c r="T1373" s="135"/>
      <c r="U1373" s="132"/>
      <c r="V1373" s="129"/>
      <c r="W1373" s="132"/>
      <c r="X1373" s="132"/>
      <c r="Y1373" s="132"/>
    </row>
    <row r="1374" spans="1:25" ht="15.75" customHeight="1">
      <c r="A1374" s="125"/>
      <c r="B1374" s="125"/>
      <c r="C1374" s="125"/>
      <c r="D1374" s="125"/>
      <c r="E1374" s="126"/>
      <c r="F1374" s="128"/>
      <c r="G1374" s="128"/>
      <c r="H1374" s="128"/>
      <c r="I1374" s="128"/>
      <c r="J1374" s="128"/>
      <c r="K1374" s="129"/>
      <c r="L1374" s="129"/>
      <c r="M1374" s="129"/>
      <c r="N1374" s="129"/>
      <c r="O1374" s="129"/>
      <c r="P1374" s="129"/>
      <c r="Q1374" s="129"/>
      <c r="R1374" s="132"/>
      <c r="S1374" s="132"/>
      <c r="T1374" s="135"/>
      <c r="U1374" s="132"/>
      <c r="V1374" s="129"/>
      <c r="W1374" s="132"/>
      <c r="X1374" s="132"/>
      <c r="Y1374" s="132"/>
    </row>
    <row r="1375" spans="1:25" ht="15.75" customHeight="1">
      <c r="A1375" s="125"/>
      <c r="B1375" s="125"/>
      <c r="C1375" s="125"/>
      <c r="D1375" s="125"/>
      <c r="E1375" s="126"/>
      <c r="F1375" s="128"/>
      <c r="G1375" s="128"/>
      <c r="H1375" s="128"/>
      <c r="I1375" s="128"/>
      <c r="J1375" s="128"/>
      <c r="K1375" s="129"/>
      <c r="L1375" s="129"/>
      <c r="M1375" s="129"/>
      <c r="N1375" s="129"/>
      <c r="O1375" s="129"/>
      <c r="P1375" s="129"/>
      <c r="Q1375" s="129"/>
      <c r="R1375" s="132"/>
      <c r="S1375" s="132"/>
      <c r="T1375" s="135"/>
      <c r="U1375" s="132"/>
      <c r="V1375" s="129"/>
      <c r="W1375" s="132"/>
      <c r="X1375" s="132"/>
      <c r="Y1375" s="132"/>
    </row>
    <row r="1376" spans="1:25" ht="15.75" customHeight="1">
      <c r="A1376" s="125"/>
      <c r="B1376" s="125"/>
      <c r="C1376" s="125"/>
      <c r="D1376" s="125"/>
      <c r="E1376" s="126"/>
      <c r="F1376" s="128"/>
      <c r="G1376" s="128"/>
      <c r="H1376" s="128"/>
      <c r="I1376" s="128"/>
      <c r="J1376" s="128"/>
      <c r="K1376" s="129"/>
      <c r="L1376" s="129"/>
      <c r="M1376" s="129"/>
      <c r="N1376" s="129"/>
      <c r="O1376" s="129"/>
      <c r="P1376" s="129"/>
      <c r="Q1376" s="129"/>
      <c r="R1376" s="132"/>
      <c r="S1376" s="132"/>
      <c r="T1376" s="135"/>
      <c r="U1376" s="132"/>
      <c r="V1376" s="129"/>
      <c r="W1376" s="132"/>
      <c r="X1376" s="132"/>
      <c r="Y1376" s="132"/>
    </row>
    <row r="1377" spans="1:25" ht="15.75" customHeight="1">
      <c r="A1377" s="125"/>
      <c r="B1377" s="125"/>
      <c r="C1377" s="125"/>
      <c r="D1377" s="125"/>
      <c r="E1377" s="126"/>
      <c r="F1377" s="128"/>
      <c r="G1377" s="128"/>
      <c r="H1377" s="128"/>
      <c r="I1377" s="128"/>
      <c r="J1377" s="128"/>
      <c r="K1377" s="129"/>
      <c r="L1377" s="129"/>
      <c r="M1377" s="129"/>
      <c r="N1377" s="129"/>
      <c r="O1377" s="129"/>
      <c r="P1377" s="129"/>
      <c r="Q1377" s="129"/>
      <c r="R1377" s="132"/>
      <c r="S1377" s="132"/>
      <c r="T1377" s="135"/>
      <c r="U1377" s="132"/>
      <c r="V1377" s="129"/>
      <c r="W1377" s="132"/>
      <c r="X1377" s="132"/>
      <c r="Y1377" s="132"/>
    </row>
    <row r="1378" spans="1:25" ht="15.75" customHeight="1">
      <c r="A1378" s="125"/>
      <c r="B1378" s="125"/>
      <c r="C1378" s="125"/>
      <c r="D1378" s="125"/>
      <c r="E1378" s="126"/>
      <c r="F1378" s="128"/>
      <c r="G1378" s="128"/>
      <c r="H1378" s="128"/>
      <c r="I1378" s="128"/>
      <c r="J1378" s="128"/>
      <c r="K1378" s="129"/>
      <c r="L1378" s="129"/>
      <c r="M1378" s="129"/>
      <c r="N1378" s="129"/>
      <c r="O1378" s="129"/>
      <c r="P1378" s="129"/>
      <c r="Q1378" s="129"/>
      <c r="R1378" s="132"/>
      <c r="S1378" s="132"/>
      <c r="T1378" s="135"/>
      <c r="U1378" s="132"/>
      <c r="V1378" s="129"/>
      <c r="W1378" s="132"/>
      <c r="X1378" s="132"/>
      <c r="Y1378" s="132"/>
    </row>
    <row r="1379" spans="1:25" ht="15.75" customHeight="1">
      <c r="A1379" s="125"/>
      <c r="B1379" s="125"/>
      <c r="C1379" s="125"/>
      <c r="D1379" s="125"/>
      <c r="E1379" s="126"/>
      <c r="F1379" s="128"/>
      <c r="G1379" s="128"/>
      <c r="H1379" s="128"/>
      <c r="I1379" s="128"/>
      <c r="J1379" s="128"/>
      <c r="K1379" s="129"/>
      <c r="L1379" s="129"/>
      <c r="M1379" s="129"/>
      <c r="N1379" s="129"/>
      <c r="O1379" s="129"/>
      <c r="P1379" s="129"/>
      <c r="Q1379" s="129"/>
      <c r="R1379" s="132"/>
      <c r="S1379" s="132"/>
      <c r="T1379" s="135"/>
      <c r="U1379" s="132"/>
      <c r="V1379" s="129"/>
      <c r="W1379" s="132"/>
      <c r="X1379" s="132"/>
      <c r="Y1379" s="132"/>
    </row>
    <row r="1380" spans="1:25" ht="15.75" customHeight="1">
      <c r="A1380" s="125"/>
      <c r="B1380" s="125"/>
      <c r="C1380" s="125"/>
      <c r="D1380" s="125"/>
      <c r="E1380" s="126"/>
      <c r="F1380" s="128"/>
      <c r="G1380" s="128"/>
      <c r="H1380" s="128"/>
      <c r="I1380" s="128"/>
      <c r="J1380" s="128"/>
      <c r="K1380" s="129"/>
      <c r="L1380" s="129"/>
      <c r="M1380" s="129"/>
      <c r="N1380" s="129"/>
      <c r="O1380" s="129"/>
      <c r="P1380" s="129"/>
      <c r="Q1380" s="129"/>
      <c r="R1380" s="132"/>
      <c r="S1380" s="132"/>
      <c r="T1380" s="135"/>
      <c r="U1380" s="132"/>
      <c r="V1380" s="129"/>
      <c r="W1380" s="132"/>
      <c r="X1380" s="132"/>
      <c r="Y1380" s="132"/>
    </row>
    <row r="1381" spans="1:25" ht="15.75" customHeight="1">
      <c r="A1381" s="125"/>
      <c r="B1381" s="125"/>
      <c r="C1381" s="125"/>
      <c r="D1381" s="125"/>
      <c r="E1381" s="126"/>
      <c r="F1381" s="128"/>
      <c r="G1381" s="128"/>
      <c r="H1381" s="128"/>
      <c r="I1381" s="128"/>
      <c r="J1381" s="128"/>
      <c r="K1381" s="129"/>
      <c r="L1381" s="129"/>
      <c r="M1381" s="129"/>
      <c r="N1381" s="129"/>
      <c r="O1381" s="129"/>
      <c r="P1381" s="129"/>
      <c r="Q1381" s="129"/>
      <c r="R1381" s="132"/>
      <c r="S1381" s="132"/>
      <c r="T1381" s="135"/>
      <c r="U1381" s="132"/>
      <c r="V1381" s="129"/>
      <c r="W1381" s="132"/>
      <c r="X1381" s="132"/>
      <c r="Y1381" s="132"/>
    </row>
    <row r="1382" spans="1:25" ht="15.75" customHeight="1">
      <c r="A1382" s="125"/>
      <c r="B1382" s="125"/>
      <c r="C1382" s="125"/>
      <c r="D1382" s="125"/>
      <c r="E1382" s="126"/>
      <c r="F1382" s="128"/>
      <c r="G1382" s="128"/>
      <c r="H1382" s="128"/>
      <c r="I1382" s="128"/>
      <c r="J1382" s="128"/>
      <c r="K1382" s="129"/>
      <c r="L1382" s="129"/>
      <c r="M1382" s="129"/>
      <c r="N1382" s="129"/>
      <c r="O1382" s="129"/>
      <c r="P1382" s="129"/>
      <c r="Q1382" s="129"/>
      <c r="R1382" s="132"/>
      <c r="S1382" s="132"/>
      <c r="T1382" s="135"/>
      <c r="U1382" s="132"/>
      <c r="V1382" s="129"/>
      <c r="W1382" s="132"/>
      <c r="X1382" s="132"/>
      <c r="Y1382" s="132"/>
    </row>
    <row r="1383" spans="1:25" ht="15.75" customHeight="1">
      <c r="A1383" s="125"/>
      <c r="B1383" s="125"/>
      <c r="C1383" s="125"/>
      <c r="D1383" s="125"/>
      <c r="E1383" s="126"/>
      <c r="F1383" s="128"/>
      <c r="G1383" s="128"/>
      <c r="H1383" s="128"/>
      <c r="I1383" s="128"/>
      <c r="J1383" s="128"/>
      <c r="K1383" s="129"/>
      <c r="L1383" s="129"/>
      <c r="M1383" s="129"/>
      <c r="N1383" s="129"/>
      <c r="O1383" s="129"/>
      <c r="P1383" s="129"/>
      <c r="Q1383" s="129"/>
      <c r="R1383" s="132"/>
      <c r="S1383" s="132"/>
      <c r="T1383" s="135"/>
      <c r="U1383" s="132"/>
      <c r="V1383" s="129"/>
      <c r="W1383" s="132"/>
      <c r="X1383" s="132"/>
      <c r="Y1383" s="132"/>
    </row>
    <row r="1384" spans="1:25" ht="15.75" customHeight="1">
      <c r="A1384" s="125"/>
      <c r="B1384" s="125"/>
      <c r="C1384" s="125"/>
      <c r="D1384" s="125"/>
      <c r="E1384" s="126"/>
      <c r="F1384" s="128"/>
      <c r="G1384" s="128"/>
      <c r="H1384" s="128"/>
      <c r="I1384" s="128"/>
      <c r="J1384" s="128"/>
      <c r="K1384" s="129"/>
      <c r="L1384" s="129"/>
      <c r="M1384" s="129"/>
      <c r="N1384" s="129"/>
      <c r="O1384" s="129"/>
      <c r="P1384" s="129"/>
      <c r="Q1384" s="129"/>
      <c r="R1384" s="132"/>
      <c r="S1384" s="132"/>
      <c r="T1384" s="135"/>
      <c r="U1384" s="132"/>
      <c r="V1384" s="129"/>
      <c r="W1384" s="132"/>
      <c r="X1384" s="132"/>
      <c r="Y1384" s="132"/>
    </row>
    <row r="1385" spans="1:25" ht="15.75" customHeight="1">
      <c r="A1385" s="125"/>
      <c r="B1385" s="125"/>
      <c r="C1385" s="125"/>
      <c r="D1385" s="125"/>
      <c r="E1385" s="126"/>
      <c r="F1385" s="128"/>
      <c r="G1385" s="128"/>
      <c r="H1385" s="128"/>
      <c r="I1385" s="128"/>
      <c r="J1385" s="128"/>
      <c r="K1385" s="129"/>
      <c r="L1385" s="129"/>
      <c r="M1385" s="129"/>
      <c r="N1385" s="129"/>
      <c r="O1385" s="129"/>
      <c r="P1385" s="129"/>
      <c r="Q1385" s="129"/>
      <c r="R1385" s="132"/>
      <c r="S1385" s="132"/>
      <c r="T1385" s="135"/>
      <c r="U1385" s="132"/>
      <c r="V1385" s="129"/>
      <c r="W1385" s="132"/>
      <c r="X1385" s="132"/>
      <c r="Y1385" s="132"/>
    </row>
    <row r="1386" spans="1:25" ht="15.75" customHeight="1">
      <c r="A1386" s="125"/>
      <c r="B1386" s="125"/>
      <c r="C1386" s="125"/>
      <c r="D1386" s="125"/>
      <c r="E1386" s="126"/>
      <c r="F1386" s="128"/>
      <c r="G1386" s="128"/>
      <c r="H1386" s="128"/>
      <c r="I1386" s="128"/>
      <c r="J1386" s="128"/>
      <c r="K1386" s="129"/>
      <c r="L1386" s="129"/>
      <c r="M1386" s="129"/>
      <c r="N1386" s="129"/>
      <c r="O1386" s="129"/>
      <c r="P1386" s="129"/>
      <c r="Q1386" s="129"/>
      <c r="R1386" s="132"/>
      <c r="S1386" s="132"/>
      <c r="T1386" s="135"/>
      <c r="U1386" s="132"/>
      <c r="V1386" s="129"/>
      <c r="W1386" s="132"/>
      <c r="X1386" s="132"/>
      <c r="Y1386" s="132"/>
    </row>
    <row r="1387" spans="1:25" ht="15.75" customHeight="1">
      <c r="A1387" s="125"/>
      <c r="B1387" s="125"/>
      <c r="C1387" s="125"/>
      <c r="D1387" s="125"/>
      <c r="E1387" s="126"/>
      <c r="F1387" s="128"/>
      <c r="G1387" s="128"/>
      <c r="H1387" s="128"/>
      <c r="I1387" s="128"/>
      <c r="J1387" s="128"/>
      <c r="K1387" s="129"/>
      <c r="L1387" s="129"/>
      <c r="M1387" s="129"/>
      <c r="N1387" s="129"/>
      <c r="O1387" s="129"/>
      <c r="P1387" s="129"/>
      <c r="Q1387" s="129"/>
      <c r="R1387" s="132"/>
      <c r="S1387" s="132"/>
      <c r="T1387" s="135"/>
      <c r="U1387" s="132"/>
      <c r="V1387" s="129"/>
      <c r="W1387" s="132"/>
      <c r="X1387" s="132"/>
      <c r="Y1387" s="132"/>
    </row>
    <row r="1388" spans="1:25" ht="15.75" customHeight="1">
      <c r="A1388" s="125"/>
      <c r="B1388" s="125"/>
      <c r="C1388" s="125"/>
      <c r="D1388" s="125"/>
      <c r="E1388" s="126"/>
      <c r="F1388" s="128"/>
      <c r="G1388" s="128"/>
      <c r="H1388" s="128"/>
      <c r="I1388" s="128"/>
      <c r="J1388" s="128"/>
      <c r="K1388" s="129"/>
      <c r="L1388" s="129"/>
      <c r="M1388" s="129"/>
      <c r="N1388" s="129"/>
      <c r="O1388" s="129"/>
      <c r="P1388" s="129"/>
      <c r="Q1388" s="129"/>
      <c r="R1388" s="132"/>
      <c r="S1388" s="132"/>
      <c r="T1388" s="135"/>
      <c r="U1388" s="132"/>
      <c r="V1388" s="129"/>
      <c r="W1388" s="132"/>
      <c r="X1388" s="132"/>
      <c r="Y1388" s="132"/>
    </row>
    <row r="1389" spans="1:25" ht="15.75" customHeight="1">
      <c r="A1389" s="125"/>
      <c r="B1389" s="125"/>
      <c r="C1389" s="125"/>
      <c r="D1389" s="125"/>
      <c r="E1389" s="126"/>
      <c r="F1389" s="128"/>
      <c r="G1389" s="128"/>
      <c r="H1389" s="128"/>
      <c r="I1389" s="128"/>
      <c r="J1389" s="128"/>
      <c r="K1389" s="129"/>
      <c r="L1389" s="129"/>
      <c r="M1389" s="129"/>
      <c r="N1389" s="129"/>
      <c r="O1389" s="129"/>
      <c r="P1389" s="129"/>
      <c r="Q1389" s="129"/>
      <c r="R1389" s="132"/>
      <c r="S1389" s="132"/>
      <c r="T1389" s="135"/>
      <c r="U1389" s="132"/>
      <c r="V1389" s="129"/>
      <c r="W1389" s="132"/>
      <c r="X1389" s="132"/>
      <c r="Y1389" s="132"/>
    </row>
    <row r="1390" spans="1:25" ht="15.75" customHeight="1">
      <c r="A1390" s="125"/>
      <c r="B1390" s="125"/>
      <c r="C1390" s="125"/>
      <c r="D1390" s="125"/>
      <c r="E1390" s="126"/>
      <c r="F1390" s="128"/>
      <c r="G1390" s="128"/>
      <c r="H1390" s="128"/>
      <c r="I1390" s="128"/>
      <c r="J1390" s="128"/>
      <c r="K1390" s="129"/>
      <c r="L1390" s="129"/>
      <c r="M1390" s="129"/>
      <c r="N1390" s="129"/>
      <c r="O1390" s="129"/>
      <c r="P1390" s="129"/>
      <c r="Q1390" s="129"/>
      <c r="R1390" s="132"/>
      <c r="S1390" s="132"/>
      <c r="T1390" s="135"/>
      <c r="U1390" s="132"/>
      <c r="V1390" s="129"/>
      <c r="W1390" s="132"/>
      <c r="X1390" s="132"/>
      <c r="Y1390" s="132"/>
    </row>
    <row r="1391" spans="1:25" ht="15.75" customHeight="1">
      <c r="A1391" s="125"/>
      <c r="B1391" s="125"/>
      <c r="C1391" s="125"/>
      <c r="D1391" s="125"/>
      <c r="E1391" s="126"/>
      <c r="F1391" s="128"/>
      <c r="G1391" s="128"/>
      <c r="H1391" s="128"/>
      <c r="I1391" s="128"/>
      <c r="J1391" s="128"/>
      <c r="K1391" s="129"/>
      <c r="L1391" s="129"/>
      <c r="M1391" s="129"/>
      <c r="N1391" s="129"/>
      <c r="O1391" s="129"/>
      <c r="P1391" s="129"/>
      <c r="Q1391" s="129"/>
      <c r="R1391" s="132"/>
      <c r="S1391" s="132"/>
      <c r="T1391" s="135"/>
      <c r="U1391" s="132"/>
      <c r="V1391" s="129"/>
      <c r="W1391" s="132"/>
      <c r="X1391" s="132"/>
      <c r="Y1391" s="132"/>
    </row>
    <row r="1392" spans="1:25" ht="15.75" customHeight="1">
      <c r="A1392" s="125"/>
      <c r="B1392" s="125"/>
      <c r="C1392" s="125"/>
      <c r="D1392" s="125"/>
      <c r="E1392" s="126"/>
      <c r="F1392" s="128"/>
      <c r="G1392" s="128"/>
      <c r="H1392" s="128"/>
      <c r="I1392" s="128"/>
      <c r="J1392" s="128"/>
      <c r="K1392" s="129"/>
      <c r="L1392" s="129"/>
      <c r="M1392" s="129"/>
      <c r="N1392" s="129"/>
      <c r="O1392" s="129"/>
      <c r="P1392" s="129"/>
      <c r="Q1392" s="129"/>
      <c r="R1392" s="132"/>
      <c r="S1392" s="132"/>
      <c r="T1392" s="135"/>
      <c r="U1392" s="132"/>
      <c r="V1392" s="129"/>
      <c r="W1392" s="132"/>
      <c r="X1392" s="132"/>
      <c r="Y1392" s="132"/>
    </row>
    <row r="1393" spans="1:25" ht="15.75" customHeight="1">
      <c r="A1393" s="125"/>
      <c r="B1393" s="125"/>
      <c r="C1393" s="125"/>
      <c r="D1393" s="125"/>
      <c r="E1393" s="126"/>
      <c r="F1393" s="128"/>
      <c r="G1393" s="128"/>
      <c r="H1393" s="128"/>
      <c r="I1393" s="128"/>
      <c r="J1393" s="128"/>
      <c r="K1393" s="129"/>
      <c r="L1393" s="129"/>
      <c r="M1393" s="129"/>
      <c r="N1393" s="129"/>
      <c r="O1393" s="129"/>
      <c r="P1393" s="129"/>
      <c r="Q1393" s="129"/>
      <c r="R1393" s="132"/>
      <c r="S1393" s="132"/>
      <c r="T1393" s="135"/>
      <c r="U1393" s="132"/>
      <c r="V1393" s="129"/>
      <c r="W1393" s="132"/>
      <c r="X1393" s="132"/>
      <c r="Y1393" s="132"/>
    </row>
    <row r="1394" spans="1:25" ht="15.75" customHeight="1">
      <c r="A1394" s="125"/>
      <c r="B1394" s="125"/>
      <c r="C1394" s="125"/>
      <c r="D1394" s="125"/>
      <c r="E1394" s="126"/>
      <c r="F1394" s="128"/>
      <c r="G1394" s="128"/>
      <c r="H1394" s="128"/>
      <c r="I1394" s="128"/>
      <c r="J1394" s="128"/>
      <c r="K1394" s="129"/>
      <c r="L1394" s="129"/>
      <c r="M1394" s="129"/>
      <c r="N1394" s="129"/>
      <c r="O1394" s="129"/>
      <c r="P1394" s="129"/>
      <c r="Q1394" s="129"/>
      <c r="R1394" s="132"/>
      <c r="S1394" s="132"/>
      <c r="T1394" s="135"/>
      <c r="U1394" s="132"/>
      <c r="V1394" s="129"/>
      <c r="W1394" s="132"/>
      <c r="X1394" s="132"/>
      <c r="Y1394" s="132"/>
    </row>
    <row r="1395" spans="1:25" ht="15.75" customHeight="1">
      <c r="A1395" s="125"/>
      <c r="B1395" s="125"/>
      <c r="C1395" s="125"/>
      <c r="D1395" s="125"/>
      <c r="E1395" s="126"/>
      <c r="F1395" s="128"/>
      <c r="G1395" s="128"/>
      <c r="H1395" s="128"/>
      <c r="I1395" s="128"/>
      <c r="J1395" s="128"/>
      <c r="K1395" s="129"/>
      <c r="L1395" s="129"/>
      <c r="M1395" s="129"/>
      <c r="N1395" s="129"/>
      <c r="O1395" s="129"/>
      <c r="P1395" s="129"/>
      <c r="Q1395" s="129"/>
      <c r="R1395" s="132"/>
      <c r="S1395" s="132"/>
      <c r="T1395" s="135"/>
      <c r="U1395" s="132"/>
      <c r="V1395" s="129"/>
      <c r="W1395" s="132"/>
      <c r="X1395" s="132"/>
      <c r="Y1395" s="132"/>
    </row>
    <row r="1396" spans="1:25" ht="15.75" customHeight="1">
      <c r="A1396" s="125"/>
      <c r="B1396" s="125"/>
      <c r="C1396" s="125"/>
      <c r="D1396" s="125"/>
      <c r="E1396" s="126"/>
      <c r="F1396" s="128"/>
      <c r="G1396" s="128"/>
      <c r="H1396" s="128"/>
      <c r="I1396" s="128"/>
      <c r="J1396" s="128"/>
      <c r="K1396" s="129"/>
      <c r="L1396" s="129"/>
      <c r="M1396" s="129"/>
      <c r="N1396" s="129"/>
      <c r="O1396" s="129"/>
      <c r="P1396" s="129"/>
      <c r="Q1396" s="129"/>
      <c r="R1396" s="132"/>
      <c r="S1396" s="132"/>
      <c r="T1396" s="135"/>
      <c r="U1396" s="132"/>
      <c r="V1396" s="129"/>
      <c r="W1396" s="132"/>
      <c r="X1396" s="132"/>
      <c r="Y1396" s="132"/>
    </row>
    <row r="1397" spans="1:25" ht="15.75" customHeight="1">
      <c r="A1397" s="125"/>
      <c r="B1397" s="125"/>
      <c r="C1397" s="125"/>
      <c r="D1397" s="125"/>
      <c r="E1397" s="126"/>
      <c r="F1397" s="128"/>
      <c r="G1397" s="128"/>
      <c r="H1397" s="128"/>
      <c r="I1397" s="128"/>
      <c r="J1397" s="128"/>
      <c r="K1397" s="129"/>
      <c r="L1397" s="129"/>
      <c r="M1397" s="129"/>
      <c r="N1397" s="129"/>
      <c r="O1397" s="129"/>
      <c r="P1397" s="129"/>
      <c r="Q1397" s="129"/>
      <c r="R1397" s="132"/>
      <c r="S1397" s="132"/>
      <c r="T1397" s="135"/>
      <c r="U1397" s="132"/>
      <c r="V1397" s="129"/>
      <c r="W1397" s="132"/>
      <c r="X1397" s="132"/>
      <c r="Y1397" s="132"/>
    </row>
    <row r="1398" spans="1:25" ht="15.75" customHeight="1">
      <c r="A1398" s="125"/>
      <c r="B1398" s="125"/>
      <c r="C1398" s="125"/>
      <c r="D1398" s="125"/>
      <c r="E1398" s="126"/>
      <c r="F1398" s="128"/>
      <c r="G1398" s="128"/>
      <c r="H1398" s="128"/>
      <c r="I1398" s="128"/>
      <c r="J1398" s="128"/>
      <c r="K1398" s="129"/>
      <c r="L1398" s="129"/>
      <c r="M1398" s="129"/>
      <c r="N1398" s="129"/>
      <c r="O1398" s="129"/>
      <c r="P1398" s="129"/>
      <c r="Q1398" s="129"/>
      <c r="R1398" s="132"/>
      <c r="S1398" s="132"/>
      <c r="T1398" s="135"/>
      <c r="U1398" s="132"/>
      <c r="V1398" s="129"/>
      <c r="W1398" s="132"/>
      <c r="X1398" s="132"/>
      <c r="Y1398" s="132"/>
    </row>
    <row r="1399" spans="1:25" ht="15.75" customHeight="1">
      <c r="A1399" s="125"/>
      <c r="B1399" s="125"/>
      <c r="C1399" s="125"/>
      <c r="D1399" s="125"/>
      <c r="E1399" s="126"/>
      <c r="F1399" s="128"/>
      <c r="G1399" s="128"/>
      <c r="H1399" s="128"/>
      <c r="I1399" s="128"/>
      <c r="J1399" s="128"/>
      <c r="K1399" s="129"/>
      <c r="L1399" s="129"/>
      <c r="M1399" s="129"/>
      <c r="N1399" s="129"/>
      <c r="O1399" s="129"/>
      <c r="P1399" s="129"/>
      <c r="Q1399" s="129"/>
      <c r="R1399" s="132"/>
      <c r="S1399" s="132"/>
      <c r="T1399" s="135"/>
      <c r="U1399" s="132"/>
      <c r="V1399" s="129"/>
      <c r="W1399" s="132"/>
      <c r="X1399" s="132"/>
      <c r="Y1399" s="132"/>
    </row>
    <row r="1400" spans="1:25" ht="15.75" customHeight="1">
      <c r="A1400" s="125"/>
      <c r="B1400" s="125"/>
      <c r="C1400" s="125"/>
      <c r="D1400" s="125"/>
      <c r="E1400" s="126"/>
      <c r="F1400" s="128"/>
      <c r="G1400" s="128"/>
      <c r="H1400" s="128"/>
      <c r="I1400" s="128"/>
      <c r="J1400" s="128"/>
      <c r="K1400" s="129"/>
      <c r="L1400" s="129"/>
      <c r="M1400" s="129"/>
      <c r="N1400" s="129"/>
      <c r="O1400" s="129"/>
      <c r="P1400" s="129"/>
      <c r="Q1400" s="129"/>
      <c r="R1400" s="132"/>
      <c r="S1400" s="132"/>
      <c r="T1400" s="135"/>
      <c r="U1400" s="132"/>
      <c r="V1400" s="129"/>
      <c r="W1400" s="132"/>
      <c r="X1400" s="132"/>
      <c r="Y1400" s="132"/>
    </row>
    <row r="1401" spans="1:25" ht="15.75" customHeight="1">
      <c r="A1401" s="125"/>
      <c r="B1401" s="125"/>
      <c r="C1401" s="125"/>
      <c r="D1401" s="125"/>
      <c r="E1401" s="126"/>
      <c r="F1401" s="128"/>
      <c r="G1401" s="128"/>
      <c r="H1401" s="128"/>
      <c r="I1401" s="128"/>
      <c r="J1401" s="128"/>
      <c r="K1401" s="129"/>
      <c r="L1401" s="129"/>
      <c r="M1401" s="129"/>
      <c r="N1401" s="129"/>
      <c r="O1401" s="129"/>
      <c r="P1401" s="129"/>
      <c r="Q1401" s="129"/>
      <c r="R1401" s="132"/>
      <c r="S1401" s="132"/>
      <c r="T1401" s="135"/>
      <c r="U1401" s="132"/>
      <c r="V1401" s="129"/>
      <c r="W1401" s="132"/>
      <c r="X1401" s="132"/>
      <c r="Y1401" s="132"/>
    </row>
    <row r="1402" spans="1:25" ht="15.75" customHeight="1">
      <c r="A1402" s="125"/>
      <c r="B1402" s="125"/>
      <c r="C1402" s="125"/>
      <c r="D1402" s="125"/>
      <c r="E1402" s="126"/>
      <c r="F1402" s="128"/>
      <c r="G1402" s="128"/>
      <c r="H1402" s="128"/>
      <c r="I1402" s="128"/>
      <c r="J1402" s="128"/>
      <c r="K1402" s="129"/>
      <c r="L1402" s="129"/>
      <c r="M1402" s="129"/>
      <c r="N1402" s="129"/>
      <c r="O1402" s="129"/>
      <c r="P1402" s="129"/>
      <c r="Q1402" s="129"/>
      <c r="R1402" s="132"/>
      <c r="S1402" s="132"/>
      <c r="T1402" s="135"/>
      <c r="U1402" s="132"/>
      <c r="V1402" s="129"/>
      <c r="W1402" s="132"/>
      <c r="X1402" s="132"/>
      <c r="Y1402" s="132"/>
    </row>
    <row r="1403" spans="1:25" ht="15.75" customHeight="1">
      <c r="A1403" s="125"/>
      <c r="B1403" s="125"/>
      <c r="C1403" s="125"/>
      <c r="D1403" s="125"/>
      <c r="E1403" s="126"/>
      <c r="F1403" s="128"/>
      <c r="G1403" s="128"/>
      <c r="H1403" s="128"/>
      <c r="I1403" s="128"/>
      <c r="J1403" s="128"/>
      <c r="K1403" s="129"/>
      <c r="L1403" s="129"/>
      <c r="M1403" s="129"/>
      <c r="N1403" s="129"/>
      <c r="O1403" s="129"/>
      <c r="P1403" s="129"/>
      <c r="Q1403" s="129"/>
      <c r="R1403" s="132"/>
      <c r="S1403" s="132"/>
      <c r="T1403" s="135"/>
      <c r="U1403" s="132"/>
      <c r="V1403" s="129"/>
      <c r="W1403" s="132"/>
      <c r="X1403" s="132"/>
      <c r="Y1403" s="132"/>
    </row>
    <row r="1404" spans="1:25" ht="15.75" customHeight="1">
      <c r="A1404" s="125"/>
      <c r="B1404" s="125"/>
      <c r="C1404" s="125"/>
      <c r="D1404" s="125"/>
      <c r="E1404" s="126"/>
      <c r="F1404" s="128"/>
      <c r="G1404" s="128"/>
      <c r="H1404" s="128"/>
      <c r="I1404" s="128"/>
      <c r="J1404" s="128"/>
      <c r="K1404" s="129"/>
      <c r="L1404" s="129"/>
      <c r="M1404" s="129"/>
      <c r="N1404" s="129"/>
      <c r="O1404" s="129"/>
      <c r="P1404" s="129"/>
      <c r="Q1404" s="129"/>
      <c r="R1404" s="132"/>
      <c r="S1404" s="132"/>
      <c r="T1404" s="135"/>
      <c r="U1404" s="132"/>
      <c r="V1404" s="129"/>
      <c r="W1404" s="132"/>
      <c r="X1404" s="132"/>
      <c r="Y1404" s="132"/>
    </row>
    <row r="1405" spans="1:25" ht="15.75" customHeight="1">
      <c r="A1405" s="125"/>
      <c r="B1405" s="125"/>
      <c r="C1405" s="125"/>
      <c r="D1405" s="125"/>
      <c r="E1405" s="126"/>
      <c r="F1405" s="128"/>
      <c r="G1405" s="128"/>
      <c r="H1405" s="128"/>
      <c r="I1405" s="128"/>
      <c r="J1405" s="128"/>
      <c r="K1405" s="129"/>
      <c r="L1405" s="129"/>
      <c r="M1405" s="129"/>
      <c r="N1405" s="129"/>
      <c r="O1405" s="129"/>
      <c r="P1405" s="129"/>
      <c r="Q1405" s="129"/>
      <c r="R1405" s="132"/>
      <c r="S1405" s="132"/>
      <c r="T1405" s="135"/>
      <c r="U1405" s="132"/>
      <c r="V1405" s="129"/>
      <c r="W1405" s="132"/>
      <c r="X1405" s="132"/>
      <c r="Y1405" s="132"/>
    </row>
    <row r="1406" spans="1:25" ht="15.75" customHeight="1">
      <c r="A1406" s="125"/>
      <c r="B1406" s="125"/>
      <c r="C1406" s="125"/>
      <c r="D1406" s="125"/>
      <c r="E1406" s="126"/>
      <c r="F1406" s="128"/>
      <c r="G1406" s="128"/>
      <c r="H1406" s="128"/>
      <c r="I1406" s="128"/>
      <c r="J1406" s="128"/>
      <c r="K1406" s="129"/>
      <c r="L1406" s="129"/>
      <c r="M1406" s="129"/>
      <c r="N1406" s="129"/>
      <c r="O1406" s="129"/>
      <c r="P1406" s="129"/>
      <c r="Q1406" s="129"/>
      <c r="R1406" s="132"/>
      <c r="S1406" s="132"/>
      <c r="T1406" s="135"/>
      <c r="U1406" s="132"/>
      <c r="V1406" s="129"/>
      <c r="W1406" s="132"/>
      <c r="X1406" s="132"/>
      <c r="Y1406" s="132"/>
    </row>
    <row r="1407" spans="1:25" ht="15.75" customHeight="1">
      <c r="A1407" s="125"/>
      <c r="B1407" s="125"/>
      <c r="C1407" s="125"/>
      <c r="D1407" s="125"/>
      <c r="E1407" s="126"/>
      <c r="F1407" s="128"/>
      <c r="G1407" s="128"/>
      <c r="H1407" s="128"/>
      <c r="I1407" s="128"/>
      <c r="J1407" s="128"/>
      <c r="K1407" s="129"/>
      <c r="L1407" s="129"/>
      <c r="M1407" s="129"/>
      <c r="N1407" s="129"/>
      <c r="O1407" s="129"/>
      <c r="P1407" s="129"/>
      <c r="Q1407" s="129"/>
      <c r="R1407" s="132"/>
      <c r="S1407" s="132"/>
      <c r="T1407" s="135"/>
      <c r="U1407" s="132"/>
      <c r="V1407" s="129"/>
      <c r="W1407" s="132"/>
      <c r="X1407" s="132"/>
      <c r="Y1407" s="132"/>
    </row>
    <row r="1408" spans="1:25" ht="15.75" customHeight="1">
      <c r="A1408" s="125"/>
      <c r="B1408" s="125"/>
      <c r="C1408" s="125"/>
      <c r="D1408" s="125"/>
      <c r="E1408" s="126"/>
      <c r="F1408" s="128"/>
      <c r="G1408" s="128"/>
      <c r="H1408" s="128"/>
      <c r="I1408" s="128"/>
      <c r="J1408" s="128"/>
      <c r="K1408" s="129"/>
      <c r="L1408" s="129"/>
      <c r="M1408" s="129"/>
      <c r="N1408" s="129"/>
      <c r="O1408" s="129"/>
      <c r="P1408" s="129"/>
      <c r="Q1408" s="129"/>
      <c r="R1408" s="132"/>
      <c r="S1408" s="132"/>
      <c r="T1408" s="135"/>
      <c r="U1408" s="132"/>
      <c r="V1408" s="129"/>
      <c r="W1408" s="132"/>
      <c r="X1408" s="132"/>
      <c r="Y1408" s="132"/>
    </row>
    <row r="1409" spans="1:25" ht="15.75" customHeight="1">
      <c r="A1409" s="125"/>
      <c r="B1409" s="125"/>
      <c r="C1409" s="125"/>
      <c r="D1409" s="125"/>
      <c r="E1409" s="126"/>
      <c r="F1409" s="128"/>
      <c r="G1409" s="128"/>
      <c r="H1409" s="128"/>
      <c r="I1409" s="128"/>
      <c r="J1409" s="128"/>
      <c r="K1409" s="129"/>
      <c r="L1409" s="129"/>
      <c r="M1409" s="129"/>
      <c r="N1409" s="129"/>
      <c r="O1409" s="129"/>
      <c r="P1409" s="129"/>
      <c r="Q1409" s="129"/>
      <c r="R1409" s="132"/>
      <c r="S1409" s="132"/>
      <c r="T1409" s="135"/>
      <c r="U1409" s="132"/>
      <c r="V1409" s="129"/>
      <c r="W1409" s="132"/>
      <c r="X1409" s="132"/>
      <c r="Y1409" s="132"/>
    </row>
    <row r="1410" spans="1:25" ht="15.75" customHeight="1">
      <c r="A1410" s="125"/>
      <c r="B1410" s="125"/>
      <c r="C1410" s="125"/>
      <c r="D1410" s="125"/>
      <c r="E1410" s="126"/>
      <c r="F1410" s="128"/>
      <c r="G1410" s="128"/>
      <c r="H1410" s="128"/>
      <c r="I1410" s="128"/>
      <c r="J1410" s="128"/>
      <c r="K1410" s="129"/>
      <c r="L1410" s="129"/>
      <c r="M1410" s="129"/>
      <c r="N1410" s="129"/>
      <c r="O1410" s="129"/>
      <c r="P1410" s="129"/>
      <c r="Q1410" s="129"/>
      <c r="R1410" s="132"/>
      <c r="S1410" s="132"/>
      <c r="T1410" s="135"/>
      <c r="U1410" s="132"/>
      <c r="V1410" s="129"/>
      <c r="W1410" s="132"/>
      <c r="X1410" s="132"/>
      <c r="Y1410" s="132"/>
    </row>
    <row r="1411" spans="1:25" ht="15.75" customHeight="1">
      <c r="A1411" s="125"/>
      <c r="B1411" s="125"/>
      <c r="C1411" s="125"/>
      <c r="D1411" s="125"/>
      <c r="E1411" s="126"/>
      <c r="F1411" s="128"/>
      <c r="G1411" s="128"/>
      <c r="H1411" s="128"/>
      <c r="I1411" s="128"/>
      <c r="J1411" s="128"/>
      <c r="K1411" s="129"/>
      <c r="L1411" s="129"/>
      <c r="M1411" s="129"/>
      <c r="N1411" s="129"/>
      <c r="O1411" s="129"/>
      <c r="P1411" s="129"/>
      <c r="Q1411" s="129"/>
      <c r="R1411" s="132"/>
      <c r="S1411" s="132"/>
      <c r="T1411" s="135"/>
      <c r="U1411" s="132"/>
      <c r="V1411" s="129"/>
      <c r="W1411" s="132"/>
      <c r="X1411" s="132"/>
      <c r="Y1411" s="132"/>
    </row>
    <row r="1412" spans="1:25" ht="15.75" customHeight="1">
      <c r="A1412" s="125"/>
      <c r="B1412" s="125"/>
      <c r="C1412" s="125"/>
      <c r="D1412" s="125"/>
      <c r="E1412" s="126"/>
      <c r="F1412" s="128"/>
      <c r="G1412" s="128"/>
      <c r="H1412" s="128"/>
      <c r="I1412" s="128"/>
      <c r="J1412" s="128"/>
      <c r="K1412" s="129"/>
      <c r="L1412" s="129"/>
      <c r="M1412" s="129"/>
      <c r="N1412" s="129"/>
      <c r="O1412" s="129"/>
      <c r="P1412" s="129"/>
      <c r="Q1412" s="129"/>
      <c r="R1412" s="132"/>
      <c r="S1412" s="132"/>
      <c r="T1412" s="135"/>
      <c r="U1412" s="132"/>
      <c r="V1412" s="129"/>
      <c r="W1412" s="132"/>
      <c r="X1412" s="132"/>
      <c r="Y1412" s="132"/>
    </row>
    <row r="1413" spans="1:25" ht="15.75" customHeight="1">
      <c r="A1413" s="125"/>
      <c r="B1413" s="125"/>
      <c r="C1413" s="125"/>
      <c r="D1413" s="125"/>
      <c r="E1413" s="126"/>
      <c r="F1413" s="128"/>
      <c r="G1413" s="128"/>
      <c r="H1413" s="128"/>
      <c r="I1413" s="128"/>
      <c r="J1413" s="128"/>
      <c r="K1413" s="129"/>
      <c r="L1413" s="129"/>
      <c r="M1413" s="129"/>
      <c r="N1413" s="129"/>
      <c r="O1413" s="129"/>
      <c r="P1413" s="129"/>
      <c r="Q1413" s="129"/>
      <c r="R1413" s="132"/>
      <c r="S1413" s="132"/>
      <c r="T1413" s="135"/>
      <c r="U1413" s="132"/>
      <c r="V1413" s="129"/>
      <c r="W1413" s="132"/>
      <c r="X1413" s="132"/>
      <c r="Y1413" s="132"/>
    </row>
    <row r="1414" spans="1:25" ht="15.75" customHeight="1">
      <c r="A1414" s="125"/>
      <c r="B1414" s="125"/>
      <c r="C1414" s="125"/>
      <c r="D1414" s="125"/>
      <c r="E1414" s="126"/>
      <c r="F1414" s="128"/>
      <c r="G1414" s="128"/>
      <c r="H1414" s="128"/>
      <c r="I1414" s="128"/>
      <c r="J1414" s="128"/>
      <c r="K1414" s="129"/>
      <c r="L1414" s="129"/>
      <c r="M1414" s="129"/>
      <c r="N1414" s="129"/>
      <c r="O1414" s="129"/>
      <c r="P1414" s="129"/>
      <c r="Q1414" s="129"/>
      <c r="R1414" s="132"/>
      <c r="S1414" s="132"/>
      <c r="T1414" s="135"/>
      <c r="U1414" s="132"/>
      <c r="V1414" s="129"/>
      <c r="W1414" s="132"/>
      <c r="X1414" s="132"/>
      <c r="Y1414" s="132"/>
    </row>
    <row r="1415" spans="1:25" ht="15.75" customHeight="1">
      <c r="A1415" s="125"/>
      <c r="B1415" s="125"/>
      <c r="C1415" s="125"/>
      <c r="D1415" s="125"/>
      <c r="E1415" s="126"/>
      <c r="F1415" s="128"/>
      <c r="G1415" s="128"/>
      <c r="H1415" s="128"/>
      <c r="I1415" s="128"/>
      <c r="J1415" s="128"/>
      <c r="K1415" s="129"/>
      <c r="L1415" s="129"/>
      <c r="M1415" s="129"/>
      <c r="N1415" s="129"/>
      <c r="O1415" s="129"/>
      <c r="P1415" s="129"/>
      <c r="Q1415" s="129"/>
      <c r="R1415" s="132"/>
      <c r="S1415" s="132"/>
      <c r="T1415" s="135"/>
      <c r="U1415" s="132"/>
      <c r="V1415" s="129"/>
      <c r="W1415" s="132"/>
      <c r="X1415" s="132"/>
      <c r="Y1415" s="132"/>
    </row>
    <row r="1416" spans="1:25" ht="15.75" customHeight="1">
      <c r="A1416" s="125"/>
      <c r="B1416" s="125"/>
      <c r="C1416" s="125"/>
      <c r="D1416" s="125"/>
      <c r="E1416" s="126"/>
      <c r="F1416" s="128"/>
      <c r="G1416" s="128"/>
      <c r="H1416" s="128"/>
      <c r="I1416" s="128"/>
      <c r="J1416" s="128"/>
      <c r="K1416" s="129"/>
      <c r="L1416" s="129"/>
      <c r="M1416" s="129"/>
      <c r="N1416" s="129"/>
      <c r="O1416" s="129"/>
      <c r="P1416" s="129"/>
      <c r="Q1416" s="129"/>
      <c r="R1416" s="132"/>
      <c r="S1416" s="132"/>
      <c r="T1416" s="135"/>
      <c r="U1416" s="132"/>
      <c r="V1416" s="129"/>
      <c r="W1416" s="132"/>
      <c r="X1416" s="132"/>
      <c r="Y1416" s="132"/>
    </row>
    <row r="1417" spans="1:25" ht="15.75" customHeight="1">
      <c r="A1417" s="125"/>
      <c r="B1417" s="125"/>
      <c r="C1417" s="125"/>
      <c r="D1417" s="125"/>
      <c r="E1417" s="126"/>
      <c r="F1417" s="128"/>
      <c r="G1417" s="128"/>
      <c r="H1417" s="128"/>
      <c r="I1417" s="128"/>
      <c r="J1417" s="128"/>
      <c r="K1417" s="129"/>
      <c r="L1417" s="129"/>
      <c r="M1417" s="129"/>
      <c r="N1417" s="129"/>
      <c r="O1417" s="129"/>
      <c r="P1417" s="129"/>
      <c r="Q1417" s="129"/>
      <c r="R1417" s="132"/>
      <c r="S1417" s="132"/>
      <c r="T1417" s="135"/>
      <c r="U1417" s="132"/>
      <c r="V1417" s="129"/>
      <c r="W1417" s="132"/>
      <c r="X1417" s="132"/>
      <c r="Y1417" s="132"/>
    </row>
    <row r="1418" spans="1:25" ht="15.75" customHeight="1">
      <c r="A1418" s="125"/>
      <c r="B1418" s="125"/>
      <c r="C1418" s="125"/>
      <c r="D1418" s="125"/>
      <c r="E1418" s="126"/>
      <c r="F1418" s="128"/>
      <c r="G1418" s="128"/>
      <c r="H1418" s="128"/>
      <c r="I1418" s="128"/>
      <c r="J1418" s="128"/>
      <c r="K1418" s="129"/>
      <c r="L1418" s="129"/>
      <c r="M1418" s="129"/>
      <c r="N1418" s="129"/>
      <c r="O1418" s="129"/>
      <c r="P1418" s="129"/>
      <c r="Q1418" s="129"/>
      <c r="R1418" s="132"/>
      <c r="S1418" s="132"/>
      <c r="T1418" s="135"/>
      <c r="U1418" s="132"/>
      <c r="V1418" s="129"/>
      <c r="W1418" s="132"/>
      <c r="X1418" s="132"/>
      <c r="Y1418" s="132"/>
    </row>
    <row r="1419" spans="1:25" ht="15.75" customHeight="1">
      <c r="A1419" s="125"/>
      <c r="B1419" s="125"/>
      <c r="C1419" s="125"/>
      <c r="D1419" s="125"/>
      <c r="E1419" s="126"/>
      <c r="F1419" s="128"/>
      <c r="G1419" s="128"/>
      <c r="H1419" s="128"/>
      <c r="I1419" s="128"/>
      <c r="J1419" s="128"/>
      <c r="K1419" s="129"/>
      <c r="L1419" s="129"/>
      <c r="M1419" s="129"/>
      <c r="N1419" s="129"/>
      <c r="O1419" s="129"/>
      <c r="P1419" s="129"/>
      <c r="Q1419" s="129"/>
      <c r="R1419" s="132"/>
      <c r="S1419" s="132"/>
      <c r="T1419" s="135"/>
      <c r="U1419" s="132"/>
      <c r="V1419" s="129"/>
      <c r="W1419" s="132"/>
      <c r="X1419" s="132"/>
      <c r="Y1419" s="132"/>
    </row>
    <row r="1420" spans="1:25" ht="15.75" customHeight="1">
      <c r="A1420" s="125"/>
      <c r="B1420" s="125"/>
      <c r="C1420" s="125"/>
      <c r="D1420" s="125"/>
      <c r="E1420" s="126"/>
      <c r="F1420" s="128"/>
      <c r="G1420" s="128"/>
      <c r="H1420" s="128"/>
      <c r="I1420" s="128"/>
      <c r="J1420" s="128"/>
      <c r="K1420" s="129"/>
      <c r="L1420" s="129"/>
      <c r="M1420" s="129"/>
      <c r="N1420" s="129"/>
      <c r="O1420" s="129"/>
      <c r="P1420" s="129"/>
      <c r="Q1420" s="129"/>
      <c r="R1420" s="132"/>
      <c r="S1420" s="132"/>
      <c r="T1420" s="135"/>
      <c r="U1420" s="132"/>
      <c r="V1420" s="129"/>
      <c r="W1420" s="132"/>
      <c r="X1420" s="132"/>
      <c r="Y1420" s="132"/>
    </row>
    <row r="1421" spans="1:25" ht="15.75" customHeight="1">
      <c r="A1421" s="125"/>
      <c r="B1421" s="125"/>
      <c r="C1421" s="125"/>
      <c r="D1421" s="125"/>
      <c r="E1421" s="126"/>
      <c r="F1421" s="128"/>
      <c r="G1421" s="128"/>
      <c r="H1421" s="128"/>
      <c r="I1421" s="128"/>
      <c r="J1421" s="128"/>
      <c r="K1421" s="129"/>
      <c r="L1421" s="129"/>
      <c r="M1421" s="129"/>
      <c r="N1421" s="129"/>
      <c r="O1421" s="129"/>
      <c r="P1421" s="129"/>
      <c r="Q1421" s="129"/>
      <c r="R1421" s="132"/>
      <c r="S1421" s="132"/>
      <c r="T1421" s="135"/>
      <c r="U1421" s="132"/>
      <c r="V1421" s="129"/>
      <c r="W1421" s="132"/>
      <c r="X1421" s="132"/>
      <c r="Y1421" s="132"/>
    </row>
    <row r="1422" spans="1:25" ht="15.75" customHeight="1">
      <c r="A1422" s="125"/>
      <c r="B1422" s="125"/>
      <c r="C1422" s="125"/>
      <c r="D1422" s="125"/>
      <c r="E1422" s="126"/>
      <c r="F1422" s="128"/>
      <c r="G1422" s="128"/>
      <c r="H1422" s="128"/>
      <c r="I1422" s="128"/>
      <c r="J1422" s="128"/>
      <c r="K1422" s="129"/>
      <c r="L1422" s="129"/>
      <c r="M1422" s="129"/>
      <c r="N1422" s="129"/>
      <c r="O1422" s="129"/>
      <c r="P1422" s="129"/>
      <c r="Q1422" s="129"/>
      <c r="R1422" s="132"/>
      <c r="S1422" s="132"/>
      <c r="T1422" s="135"/>
      <c r="U1422" s="132"/>
      <c r="V1422" s="129"/>
      <c r="W1422" s="132"/>
      <c r="X1422" s="132"/>
      <c r="Y1422" s="132"/>
    </row>
    <row r="1423" spans="1:25" ht="15.75" customHeight="1">
      <c r="A1423" s="125"/>
      <c r="B1423" s="125"/>
      <c r="C1423" s="125"/>
      <c r="D1423" s="125"/>
      <c r="E1423" s="126"/>
      <c r="F1423" s="128"/>
      <c r="G1423" s="128"/>
      <c r="H1423" s="128"/>
      <c r="I1423" s="128"/>
      <c r="J1423" s="128"/>
      <c r="K1423" s="129"/>
      <c r="L1423" s="129"/>
      <c r="M1423" s="129"/>
      <c r="N1423" s="129"/>
      <c r="O1423" s="129"/>
      <c r="P1423" s="129"/>
      <c r="Q1423" s="129"/>
      <c r="R1423" s="132"/>
      <c r="S1423" s="132"/>
      <c r="T1423" s="135"/>
      <c r="U1423" s="132"/>
      <c r="V1423" s="129"/>
      <c r="W1423" s="132"/>
      <c r="X1423" s="132"/>
      <c r="Y1423" s="132"/>
    </row>
    <row r="1424" spans="1:25" ht="15.75" customHeight="1">
      <c r="A1424" s="125"/>
      <c r="B1424" s="125"/>
      <c r="C1424" s="125"/>
      <c r="D1424" s="125"/>
      <c r="E1424" s="126"/>
      <c r="F1424" s="128"/>
      <c r="G1424" s="128"/>
      <c r="H1424" s="128"/>
      <c r="I1424" s="128"/>
      <c r="J1424" s="128"/>
      <c r="K1424" s="129"/>
      <c r="L1424" s="129"/>
      <c r="M1424" s="129"/>
      <c r="N1424" s="129"/>
      <c r="O1424" s="129"/>
      <c r="P1424" s="129"/>
      <c r="Q1424" s="129"/>
      <c r="R1424" s="132"/>
      <c r="S1424" s="132"/>
      <c r="T1424" s="135"/>
      <c r="U1424" s="132"/>
      <c r="V1424" s="129"/>
      <c r="W1424" s="132"/>
      <c r="X1424" s="132"/>
      <c r="Y1424" s="132"/>
    </row>
    <row r="1425" spans="1:25" ht="15.75" customHeight="1">
      <c r="A1425" s="125"/>
      <c r="B1425" s="125"/>
      <c r="C1425" s="125"/>
      <c r="D1425" s="125"/>
      <c r="E1425" s="126"/>
      <c r="F1425" s="128"/>
      <c r="G1425" s="128"/>
      <c r="H1425" s="128"/>
      <c r="I1425" s="128"/>
      <c r="J1425" s="128"/>
      <c r="K1425" s="129"/>
      <c r="L1425" s="129"/>
      <c r="M1425" s="129"/>
      <c r="N1425" s="129"/>
      <c r="O1425" s="129"/>
      <c r="P1425" s="129"/>
      <c r="Q1425" s="129"/>
      <c r="R1425" s="132"/>
      <c r="S1425" s="132"/>
      <c r="T1425" s="135"/>
      <c r="U1425" s="132"/>
      <c r="V1425" s="129"/>
      <c r="W1425" s="132"/>
      <c r="X1425" s="132"/>
      <c r="Y1425" s="132"/>
    </row>
    <row r="1426" spans="1:25" ht="15.75" customHeight="1">
      <c r="A1426" s="125"/>
      <c r="B1426" s="125"/>
      <c r="C1426" s="125"/>
      <c r="D1426" s="125"/>
      <c r="E1426" s="126"/>
      <c r="F1426" s="128"/>
      <c r="G1426" s="128"/>
      <c r="H1426" s="128"/>
      <c r="I1426" s="128"/>
      <c r="J1426" s="128"/>
      <c r="K1426" s="129"/>
      <c r="L1426" s="129"/>
      <c r="M1426" s="129"/>
      <c r="N1426" s="129"/>
      <c r="O1426" s="129"/>
      <c r="P1426" s="129"/>
      <c r="Q1426" s="129"/>
      <c r="R1426" s="132"/>
      <c r="S1426" s="132"/>
      <c r="T1426" s="135"/>
      <c r="U1426" s="132"/>
      <c r="V1426" s="129"/>
      <c r="W1426" s="132"/>
      <c r="X1426" s="132"/>
      <c r="Y1426" s="132"/>
    </row>
    <row r="1427" spans="1:25" ht="15.75" customHeight="1">
      <c r="A1427" s="125"/>
      <c r="B1427" s="125"/>
      <c r="C1427" s="125"/>
      <c r="D1427" s="125"/>
      <c r="E1427" s="126"/>
      <c r="F1427" s="128"/>
      <c r="G1427" s="128"/>
      <c r="H1427" s="128"/>
      <c r="I1427" s="128"/>
      <c r="J1427" s="128"/>
      <c r="K1427" s="129"/>
      <c r="L1427" s="129"/>
      <c r="M1427" s="129"/>
      <c r="N1427" s="129"/>
      <c r="O1427" s="129"/>
      <c r="P1427" s="129"/>
      <c r="Q1427" s="129"/>
      <c r="R1427" s="132"/>
      <c r="S1427" s="132"/>
      <c r="T1427" s="135"/>
      <c r="U1427" s="132"/>
      <c r="V1427" s="129"/>
      <c r="W1427" s="132"/>
      <c r="X1427" s="132"/>
      <c r="Y1427" s="132"/>
    </row>
    <row r="1428" spans="1:25" ht="15.75" customHeight="1">
      <c r="A1428" s="125"/>
      <c r="B1428" s="125"/>
      <c r="C1428" s="125"/>
      <c r="D1428" s="125"/>
      <c r="E1428" s="126"/>
      <c r="F1428" s="128"/>
      <c r="G1428" s="128"/>
      <c r="H1428" s="128"/>
      <c r="I1428" s="128"/>
      <c r="J1428" s="128"/>
      <c r="K1428" s="129"/>
      <c r="L1428" s="129"/>
      <c r="M1428" s="129"/>
      <c r="N1428" s="129"/>
      <c r="O1428" s="129"/>
      <c r="P1428" s="129"/>
      <c r="Q1428" s="129"/>
      <c r="R1428" s="132"/>
      <c r="S1428" s="132"/>
      <c r="T1428" s="135"/>
      <c r="U1428" s="132"/>
      <c r="V1428" s="129"/>
      <c r="W1428" s="132"/>
      <c r="X1428" s="132"/>
      <c r="Y1428" s="132"/>
    </row>
    <row r="1429" spans="1:25" ht="15.75" customHeight="1">
      <c r="A1429" s="125"/>
      <c r="B1429" s="125"/>
      <c r="C1429" s="125"/>
      <c r="D1429" s="125"/>
      <c r="E1429" s="126"/>
      <c r="F1429" s="128"/>
      <c r="G1429" s="128"/>
      <c r="H1429" s="128"/>
      <c r="I1429" s="128"/>
      <c r="J1429" s="128"/>
      <c r="K1429" s="129"/>
      <c r="L1429" s="129"/>
      <c r="M1429" s="129"/>
      <c r="N1429" s="129"/>
      <c r="O1429" s="129"/>
      <c r="P1429" s="129"/>
      <c r="Q1429" s="129"/>
      <c r="R1429" s="132"/>
      <c r="S1429" s="132"/>
      <c r="T1429" s="135"/>
      <c r="U1429" s="132"/>
      <c r="V1429" s="129"/>
      <c r="W1429" s="132"/>
      <c r="X1429" s="132"/>
      <c r="Y1429" s="132"/>
    </row>
    <row r="1430" spans="1:25" ht="15.75" customHeight="1">
      <c r="A1430" s="125"/>
      <c r="B1430" s="125"/>
      <c r="C1430" s="125"/>
      <c r="D1430" s="125"/>
      <c r="E1430" s="126"/>
      <c r="F1430" s="128"/>
      <c r="G1430" s="128"/>
      <c r="H1430" s="128"/>
      <c r="I1430" s="128"/>
      <c r="J1430" s="128"/>
      <c r="K1430" s="129"/>
      <c r="L1430" s="129"/>
      <c r="M1430" s="129"/>
      <c r="N1430" s="129"/>
      <c r="O1430" s="129"/>
      <c r="P1430" s="129"/>
      <c r="Q1430" s="129"/>
      <c r="R1430" s="132"/>
      <c r="S1430" s="132"/>
      <c r="T1430" s="135"/>
      <c r="U1430" s="132"/>
      <c r="V1430" s="129"/>
      <c r="W1430" s="132"/>
      <c r="X1430" s="132"/>
      <c r="Y1430" s="132"/>
    </row>
    <row r="1431" spans="1:25" ht="15.75" customHeight="1">
      <c r="A1431" s="125"/>
      <c r="B1431" s="125"/>
      <c r="C1431" s="125"/>
      <c r="D1431" s="125"/>
      <c r="E1431" s="126"/>
      <c r="F1431" s="128"/>
      <c r="G1431" s="128"/>
      <c r="H1431" s="128"/>
      <c r="I1431" s="128"/>
      <c r="J1431" s="128"/>
      <c r="K1431" s="129"/>
      <c r="L1431" s="129"/>
      <c r="M1431" s="129"/>
      <c r="N1431" s="129"/>
      <c r="O1431" s="129"/>
      <c r="P1431" s="129"/>
      <c r="Q1431" s="129"/>
      <c r="R1431" s="132"/>
      <c r="S1431" s="132"/>
      <c r="T1431" s="135"/>
      <c r="U1431" s="132"/>
      <c r="V1431" s="129"/>
      <c r="W1431" s="132"/>
      <c r="X1431" s="132"/>
      <c r="Y1431" s="132"/>
    </row>
    <row r="1432" spans="1:25" ht="15.75" customHeight="1">
      <c r="A1432" s="125"/>
      <c r="B1432" s="125"/>
      <c r="C1432" s="125"/>
      <c r="D1432" s="125"/>
      <c r="E1432" s="126"/>
      <c r="F1432" s="128"/>
      <c r="G1432" s="128"/>
      <c r="H1432" s="128"/>
      <c r="I1432" s="128"/>
      <c r="J1432" s="128"/>
      <c r="K1432" s="129"/>
      <c r="L1432" s="129"/>
      <c r="M1432" s="129"/>
      <c r="N1432" s="129"/>
      <c r="O1432" s="129"/>
      <c r="P1432" s="129"/>
      <c r="Q1432" s="129"/>
      <c r="R1432" s="132"/>
      <c r="S1432" s="132"/>
      <c r="T1432" s="135"/>
      <c r="U1432" s="132"/>
      <c r="V1432" s="129"/>
      <c r="W1432" s="132"/>
      <c r="X1432" s="132"/>
      <c r="Y1432" s="132"/>
    </row>
    <row r="1433" spans="1:25" ht="15.75" customHeight="1">
      <c r="A1433" s="125"/>
      <c r="B1433" s="125"/>
      <c r="C1433" s="125"/>
      <c r="D1433" s="125"/>
      <c r="E1433" s="126"/>
      <c r="F1433" s="128"/>
      <c r="G1433" s="128"/>
      <c r="H1433" s="128"/>
      <c r="I1433" s="128"/>
      <c r="J1433" s="128"/>
      <c r="K1433" s="129"/>
      <c r="L1433" s="129"/>
      <c r="M1433" s="129"/>
      <c r="N1433" s="129"/>
      <c r="O1433" s="129"/>
      <c r="P1433" s="129"/>
      <c r="Q1433" s="129"/>
      <c r="R1433" s="132"/>
      <c r="S1433" s="132"/>
      <c r="T1433" s="135"/>
      <c r="U1433" s="132"/>
      <c r="V1433" s="129"/>
      <c r="W1433" s="132"/>
      <c r="X1433" s="132"/>
      <c r="Y1433" s="132"/>
    </row>
    <row r="1434" spans="1:25" ht="15.75" customHeight="1">
      <c r="A1434" s="125"/>
      <c r="B1434" s="125"/>
      <c r="C1434" s="125"/>
      <c r="D1434" s="125"/>
      <c r="E1434" s="126"/>
      <c r="F1434" s="128"/>
      <c r="G1434" s="128"/>
      <c r="H1434" s="128"/>
      <c r="I1434" s="128"/>
      <c r="J1434" s="128"/>
      <c r="K1434" s="129"/>
      <c r="L1434" s="129"/>
      <c r="M1434" s="129"/>
      <c r="N1434" s="129"/>
      <c r="O1434" s="129"/>
      <c r="P1434" s="129"/>
      <c r="Q1434" s="129"/>
      <c r="R1434" s="132"/>
      <c r="S1434" s="132"/>
      <c r="T1434" s="135"/>
      <c r="U1434" s="132"/>
      <c r="V1434" s="129"/>
      <c r="W1434" s="132"/>
      <c r="X1434" s="132"/>
      <c r="Y1434" s="132"/>
    </row>
    <row r="1435" spans="1:25" ht="15.75" customHeight="1">
      <c r="A1435" s="125"/>
      <c r="B1435" s="125"/>
      <c r="C1435" s="125"/>
      <c r="D1435" s="125"/>
      <c r="E1435" s="126"/>
      <c r="F1435" s="128"/>
      <c r="G1435" s="128"/>
      <c r="H1435" s="128"/>
      <c r="I1435" s="128"/>
      <c r="J1435" s="128"/>
      <c r="K1435" s="129"/>
      <c r="L1435" s="129"/>
      <c r="M1435" s="129"/>
      <c r="N1435" s="129"/>
      <c r="O1435" s="129"/>
      <c r="P1435" s="129"/>
      <c r="Q1435" s="129"/>
      <c r="R1435" s="132"/>
      <c r="S1435" s="132"/>
      <c r="T1435" s="135"/>
      <c r="U1435" s="132"/>
      <c r="V1435" s="129"/>
      <c r="W1435" s="132"/>
      <c r="X1435" s="132"/>
      <c r="Y1435" s="132"/>
    </row>
    <row r="1436" spans="1:25" ht="15.75" customHeight="1">
      <c r="A1436" s="125"/>
      <c r="B1436" s="125"/>
      <c r="C1436" s="125"/>
      <c r="D1436" s="125"/>
      <c r="E1436" s="126"/>
      <c r="F1436" s="128"/>
      <c r="G1436" s="128"/>
      <c r="H1436" s="128"/>
      <c r="I1436" s="128"/>
      <c r="J1436" s="128"/>
      <c r="K1436" s="129"/>
      <c r="L1436" s="129"/>
      <c r="M1436" s="129"/>
      <c r="N1436" s="129"/>
      <c r="O1436" s="129"/>
      <c r="P1436" s="129"/>
      <c r="Q1436" s="129"/>
      <c r="R1436" s="132"/>
      <c r="S1436" s="132"/>
      <c r="T1436" s="135"/>
      <c r="U1436" s="132"/>
      <c r="V1436" s="129"/>
      <c r="W1436" s="132"/>
      <c r="X1436" s="132"/>
      <c r="Y1436" s="132"/>
    </row>
    <row r="1437" spans="1:25" ht="15.75" customHeight="1">
      <c r="A1437" s="125"/>
      <c r="B1437" s="125"/>
      <c r="C1437" s="125"/>
      <c r="D1437" s="125"/>
      <c r="E1437" s="126"/>
      <c r="F1437" s="128"/>
      <c r="G1437" s="128"/>
      <c r="H1437" s="128"/>
      <c r="I1437" s="128"/>
      <c r="J1437" s="128"/>
      <c r="K1437" s="129"/>
      <c r="L1437" s="129"/>
      <c r="M1437" s="129"/>
      <c r="N1437" s="129"/>
      <c r="O1437" s="129"/>
      <c r="P1437" s="129"/>
      <c r="Q1437" s="129"/>
      <c r="R1437" s="132"/>
      <c r="S1437" s="132"/>
      <c r="T1437" s="135"/>
      <c r="U1437" s="132"/>
      <c r="V1437" s="129"/>
      <c r="W1437" s="132"/>
      <c r="X1437" s="132"/>
      <c r="Y1437" s="132"/>
    </row>
    <row r="1438" spans="1:25" ht="15.75" customHeight="1">
      <c r="A1438" s="125"/>
      <c r="B1438" s="125"/>
      <c r="C1438" s="125"/>
      <c r="D1438" s="125"/>
      <c r="E1438" s="126"/>
      <c r="F1438" s="128"/>
      <c r="G1438" s="128"/>
      <c r="H1438" s="128"/>
      <c r="I1438" s="128"/>
      <c r="J1438" s="128"/>
      <c r="K1438" s="129"/>
      <c r="L1438" s="129"/>
      <c r="M1438" s="129"/>
      <c r="N1438" s="129"/>
      <c r="O1438" s="129"/>
      <c r="P1438" s="129"/>
      <c r="Q1438" s="129"/>
      <c r="R1438" s="132"/>
      <c r="S1438" s="132"/>
      <c r="T1438" s="135"/>
      <c r="U1438" s="132"/>
      <c r="V1438" s="129"/>
      <c r="W1438" s="132"/>
      <c r="X1438" s="132"/>
      <c r="Y1438" s="132"/>
    </row>
    <row r="1439" spans="1:25" ht="15.75" customHeight="1">
      <c r="A1439" s="125"/>
      <c r="B1439" s="125"/>
      <c r="C1439" s="125"/>
      <c r="D1439" s="125"/>
      <c r="E1439" s="126"/>
      <c r="F1439" s="128"/>
      <c r="G1439" s="128"/>
      <c r="H1439" s="128"/>
      <c r="I1439" s="128"/>
      <c r="J1439" s="128"/>
      <c r="K1439" s="129"/>
      <c r="L1439" s="129"/>
      <c r="M1439" s="129"/>
      <c r="N1439" s="129"/>
      <c r="O1439" s="129"/>
      <c r="P1439" s="129"/>
      <c r="Q1439" s="129"/>
      <c r="R1439" s="132"/>
      <c r="S1439" s="132"/>
      <c r="T1439" s="135"/>
      <c r="U1439" s="132"/>
      <c r="V1439" s="129"/>
      <c r="W1439" s="132"/>
      <c r="X1439" s="132"/>
      <c r="Y1439" s="132"/>
    </row>
    <row r="1440" spans="1:25" ht="15.75" customHeight="1">
      <c r="A1440" s="125"/>
      <c r="B1440" s="125"/>
      <c r="C1440" s="125"/>
      <c r="D1440" s="125"/>
      <c r="E1440" s="126"/>
      <c r="F1440" s="128"/>
      <c r="G1440" s="128"/>
      <c r="H1440" s="128"/>
      <c r="I1440" s="128"/>
      <c r="J1440" s="128"/>
      <c r="K1440" s="129"/>
      <c r="L1440" s="129"/>
      <c r="M1440" s="129"/>
      <c r="N1440" s="129"/>
      <c r="O1440" s="129"/>
      <c r="P1440" s="129"/>
      <c r="Q1440" s="129"/>
      <c r="R1440" s="132"/>
      <c r="S1440" s="132"/>
      <c r="T1440" s="135"/>
      <c r="U1440" s="132"/>
      <c r="V1440" s="129"/>
      <c r="W1440" s="132"/>
      <c r="X1440" s="132"/>
      <c r="Y1440" s="132"/>
    </row>
    <row r="1441" spans="1:25" ht="15.75" customHeight="1">
      <c r="A1441" s="125"/>
      <c r="B1441" s="125"/>
      <c r="C1441" s="125"/>
      <c r="D1441" s="125"/>
      <c r="E1441" s="126"/>
      <c r="F1441" s="128"/>
      <c r="G1441" s="128"/>
      <c r="H1441" s="128"/>
      <c r="I1441" s="128"/>
      <c r="J1441" s="128"/>
      <c r="K1441" s="129"/>
      <c r="L1441" s="129"/>
      <c r="M1441" s="129"/>
      <c r="N1441" s="129"/>
      <c r="O1441" s="129"/>
      <c r="P1441" s="129"/>
      <c r="Q1441" s="129"/>
      <c r="R1441" s="132"/>
      <c r="S1441" s="132"/>
      <c r="T1441" s="135"/>
      <c r="U1441" s="132"/>
      <c r="V1441" s="129"/>
      <c r="W1441" s="132"/>
      <c r="X1441" s="132"/>
      <c r="Y1441" s="132"/>
    </row>
    <row r="1442" spans="1:25" ht="15.75" customHeight="1">
      <c r="A1442" s="125"/>
      <c r="B1442" s="125"/>
      <c r="C1442" s="125"/>
      <c r="D1442" s="125"/>
      <c r="E1442" s="126"/>
      <c r="F1442" s="128"/>
      <c r="G1442" s="128"/>
      <c r="H1442" s="128"/>
      <c r="I1442" s="128"/>
      <c r="J1442" s="128"/>
      <c r="K1442" s="129"/>
      <c r="L1442" s="129"/>
      <c r="M1442" s="129"/>
      <c r="N1442" s="129"/>
      <c r="O1442" s="129"/>
      <c r="P1442" s="129"/>
      <c r="Q1442" s="129"/>
      <c r="R1442" s="132"/>
      <c r="S1442" s="132"/>
      <c r="T1442" s="135"/>
      <c r="U1442" s="132"/>
      <c r="V1442" s="129"/>
      <c r="W1442" s="132"/>
      <c r="X1442" s="132"/>
      <c r="Y1442" s="132"/>
    </row>
    <row r="1443" spans="1:25" ht="15.75" customHeight="1">
      <c r="A1443" s="125"/>
      <c r="B1443" s="125"/>
      <c r="C1443" s="125"/>
      <c r="D1443" s="125"/>
      <c r="E1443" s="126"/>
      <c r="F1443" s="128"/>
      <c r="G1443" s="128"/>
      <c r="H1443" s="128"/>
      <c r="I1443" s="128"/>
      <c r="J1443" s="128"/>
      <c r="K1443" s="129"/>
      <c r="L1443" s="129"/>
      <c r="M1443" s="129"/>
      <c r="N1443" s="129"/>
      <c r="O1443" s="129"/>
      <c r="P1443" s="129"/>
      <c r="Q1443" s="129"/>
      <c r="R1443" s="132"/>
      <c r="S1443" s="132"/>
      <c r="T1443" s="135"/>
      <c r="U1443" s="132"/>
      <c r="V1443" s="129"/>
      <c r="W1443" s="132"/>
      <c r="X1443" s="132"/>
      <c r="Y1443" s="132"/>
    </row>
    <row r="1444" spans="1:25" ht="15.75" customHeight="1">
      <c r="A1444" s="125"/>
      <c r="B1444" s="125"/>
      <c r="C1444" s="125"/>
      <c r="D1444" s="125"/>
      <c r="E1444" s="126"/>
      <c r="F1444" s="128"/>
      <c r="G1444" s="128"/>
      <c r="H1444" s="128"/>
      <c r="I1444" s="128"/>
      <c r="J1444" s="128"/>
      <c r="K1444" s="129"/>
      <c r="L1444" s="129"/>
      <c r="M1444" s="129"/>
      <c r="N1444" s="129"/>
      <c r="O1444" s="129"/>
      <c r="P1444" s="129"/>
      <c r="Q1444" s="129"/>
      <c r="R1444" s="132"/>
      <c r="S1444" s="132"/>
      <c r="T1444" s="135"/>
      <c r="U1444" s="132"/>
      <c r="V1444" s="129"/>
      <c r="W1444" s="132"/>
      <c r="X1444" s="132"/>
      <c r="Y1444" s="132"/>
    </row>
    <row r="1445" spans="1:25" ht="15.75" customHeight="1">
      <c r="A1445" s="125"/>
      <c r="B1445" s="125"/>
      <c r="C1445" s="125"/>
      <c r="D1445" s="125"/>
      <c r="E1445" s="126"/>
      <c r="F1445" s="128"/>
      <c r="G1445" s="128"/>
      <c r="H1445" s="128"/>
      <c r="I1445" s="128"/>
      <c r="J1445" s="128"/>
      <c r="K1445" s="129"/>
      <c r="L1445" s="129"/>
      <c r="M1445" s="129"/>
      <c r="N1445" s="129"/>
      <c r="O1445" s="129"/>
      <c r="P1445" s="129"/>
      <c r="Q1445" s="129"/>
      <c r="R1445" s="132"/>
      <c r="S1445" s="132"/>
      <c r="T1445" s="135"/>
      <c r="U1445" s="132"/>
      <c r="V1445" s="129"/>
      <c r="W1445" s="132"/>
      <c r="X1445" s="132"/>
      <c r="Y1445" s="132"/>
    </row>
    <row r="1446" spans="1:25" ht="15.75" customHeight="1">
      <c r="A1446" s="125"/>
      <c r="B1446" s="125"/>
      <c r="C1446" s="125"/>
      <c r="D1446" s="125"/>
      <c r="E1446" s="126"/>
      <c r="F1446" s="128"/>
      <c r="G1446" s="128"/>
      <c r="H1446" s="128"/>
      <c r="I1446" s="128"/>
      <c r="J1446" s="128"/>
      <c r="K1446" s="129"/>
      <c r="L1446" s="129"/>
      <c r="M1446" s="129"/>
      <c r="N1446" s="129"/>
      <c r="O1446" s="129"/>
      <c r="P1446" s="129"/>
      <c r="Q1446" s="129"/>
      <c r="R1446" s="132"/>
      <c r="S1446" s="132"/>
      <c r="T1446" s="135"/>
      <c r="U1446" s="132"/>
      <c r="V1446" s="129"/>
      <c r="W1446" s="132"/>
      <c r="X1446" s="132"/>
      <c r="Y1446" s="132"/>
    </row>
    <row r="1447" spans="1:25" ht="15.75" customHeight="1">
      <c r="A1447" s="125"/>
      <c r="B1447" s="125"/>
      <c r="C1447" s="125"/>
      <c r="D1447" s="125"/>
      <c r="E1447" s="126"/>
      <c r="F1447" s="128"/>
      <c r="G1447" s="128"/>
      <c r="H1447" s="128"/>
      <c r="I1447" s="128"/>
      <c r="J1447" s="128"/>
      <c r="K1447" s="129"/>
      <c r="L1447" s="129"/>
      <c r="M1447" s="129"/>
      <c r="N1447" s="129"/>
      <c r="O1447" s="129"/>
      <c r="P1447" s="129"/>
      <c r="Q1447" s="129"/>
      <c r="R1447" s="132"/>
      <c r="S1447" s="132"/>
      <c r="T1447" s="135"/>
      <c r="U1447" s="132"/>
      <c r="V1447" s="129"/>
      <c r="W1447" s="132"/>
      <c r="X1447" s="132"/>
      <c r="Y1447" s="132"/>
    </row>
    <row r="1448" spans="1:25" ht="15.75" customHeight="1">
      <c r="A1448" s="125"/>
      <c r="B1448" s="125"/>
      <c r="C1448" s="125"/>
      <c r="D1448" s="125"/>
      <c r="E1448" s="126"/>
      <c r="F1448" s="128"/>
      <c r="G1448" s="128"/>
      <c r="H1448" s="128"/>
      <c r="I1448" s="128"/>
      <c r="J1448" s="128"/>
      <c r="K1448" s="129"/>
      <c r="L1448" s="129"/>
      <c r="M1448" s="129"/>
      <c r="N1448" s="129"/>
      <c r="O1448" s="129"/>
      <c r="P1448" s="129"/>
      <c r="Q1448" s="129"/>
      <c r="R1448" s="132"/>
      <c r="S1448" s="132"/>
      <c r="T1448" s="135"/>
      <c r="U1448" s="132"/>
      <c r="V1448" s="129"/>
      <c r="W1448" s="132"/>
      <c r="X1448" s="132"/>
      <c r="Y1448" s="132"/>
    </row>
    <row r="1449" spans="1:25" ht="15.75" customHeight="1">
      <c r="A1449" s="125"/>
      <c r="B1449" s="125"/>
      <c r="C1449" s="125"/>
      <c r="D1449" s="125"/>
      <c r="E1449" s="126"/>
      <c r="F1449" s="128"/>
      <c r="G1449" s="128"/>
      <c r="H1449" s="128"/>
      <c r="I1449" s="128"/>
      <c r="J1449" s="128"/>
      <c r="K1449" s="129"/>
      <c r="L1449" s="129"/>
      <c r="M1449" s="129"/>
      <c r="N1449" s="129"/>
      <c r="O1449" s="129"/>
      <c r="P1449" s="129"/>
      <c r="Q1449" s="129"/>
      <c r="R1449" s="132"/>
      <c r="S1449" s="132"/>
      <c r="T1449" s="135"/>
      <c r="U1449" s="132"/>
      <c r="V1449" s="129"/>
      <c r="W1449" s="132"/>
      <c r="X1449" s="132"/>
      <c r="Y1449" s="132"/>
    </row>
    <row r="1450" spans="1:25" ht="15.75" customHeight="1">
      <c r="A1450" s="125"/>
      <c r="B1450" s="125"/>
      <c r="C1450" s="125"/>
      <c r="D1450" s="125"/>
      <c r="E1450" s="126"/>
      <c r="F1450" s="128"/>
      <c r="G1450" s="128"/>
      <c r="H1450" s="128"/>
      <c r="I1450" s="128"/>
      <c r="J1450" s="128"/>
      <c r="K1450" s="129"/>
      <c r="L1450" s="129"/>
      <c r="M1450" s="129"/>
      <c r="N1450" s="129"/>
      <c r="O1450" s="129"/>
      <c r="P1450" s="129"/>
      <c r="Q1450" s="129"/>
      <c r="R1450" s="132"/>
      <c r="S1450" s="132"/>
      <c r="T1450" s="135"/>
      <c r="U1450" s="132"/>
      <c r="V1450" s="129"/>
      <c r="W1450" s="132"/>
      <c r="X1450" s="132"/>
      <c r="Y1450" s="132"/>
    </row>
    <row r="1451" spans="1:25" ht="15.75" customHeight="1">
      <c r="A1451" s="125"/>
      <c r="B1451" s="125"/>
      <c r="C1451" s="125"/>
      <c r="D1451" s="125"/>
      <c r="E1451" s="126"/>
      <c r="F1451" s="128"/>
      <c r="G1451" s="128"/>
      <c r="H1451" s="128"/>
      <c r="I1451" s="128"/>
      <c r="J1451" s="128"/>
      <c r="K1451" s="129"/>
      <c r="L1451" s="129"/>
      <c r="M1451" s="129"/>
      <c r="N1451" s="129"/>
      <c r="O1451" s="129"/>
      <c r="P1451" s="129"/>
      <c r="Q1451" s="129"/>
      <c r="R1451" s="132"/>
      <c r="S1451" s="132"/>
      <c r="T1451" s="135"/>
      <c r="U1451" s="132"/>
      <c r="V1451" s="129"/>
      <c r="W1451" s="132"/>
      <c r="X1451" s="132"/>
      <c r="Y1451" s="132"/>
    </row>
    <row r="1452" spans="1:25" ht="15.75" customHeight="1">
      <c r="A1452" s="125"/>
      <c r="B1452" s="125"/>
      <c r="C1452" s="125"/>
      <c r="D1452" s="125"/>
      <c r="E1452" s="126"/>
      <c r="F1452" s="128"/>
      <c r="G1452" s="128"/>
      <c r="H1452" s="128"/>
      <c r="I1452" s="128"/>
      <c r="J1452" s="128"/>
      <c r="K1452" s="129"/>
      <c r="L1452" s="129"/>
      <c r="M1452" s="129"/>
      <c r="N1452" s="129"/>
      <c r="O1452" s="129"/>
      <c r="P1452" s="129"/>
      <c r="Q1452" s="129"/>
      <c r="R1452" s="132"/>
      <c r="S1452" s="132"/>
      <c r="T1452" s="135"/>
      <c r="U1452" s="132"/>
      <c r="V1452" s="129"/>
      <c r="W1452" s="132"/>
      <c r="X1452" s="132"/>
      <c r="Y1452" s="132"/>
    </row>
    <row r="1453" spans="1:25" ht="15.75" customHeight="1">
      <c r="A1453" s="125"/>
      <c r="B1453" s="125"/>
      <c r="C1453" s="125"/>
      <c r="D1453" s="125"/>
      <c r="E1453" s="126"/>
      <c r="F1453" s="128"/>
      <c r="G1453" s="128"/>
      <c r="H1453" s="128"/>
      <c r="I1453" s="128"/>
      <c r="J1453" s="128"/>
      <c r="K1453" s="129"/>
      <c r="L1453" s="129"/>
      <c r="M1453" s="129"/>
      <c r="N1453" s="129"/>
      <c r="O1453" s="129"/>
      <c r="P1453" s="129"/>
      <c r="Q1453" s="129"/>
      <c r="R1453" s="132"/>
      <c r="S1453" s="132"/>
      <c r="T1453" s="135"/>
      <c r="U1453" s="132"/>
      <c r="V1453" s="129"/>
      <c r="W1453" s="132"/>
      <c r="X1453" s="132"/>
      <c r="Y1453" s="132"/>
    </row>
    <row r="1454" spans="1:25" ht="15.75" customHeight="1">
      <c r="A1454" s="125"/>
      <c r="B1454" s="125"/>
      <c r="C1454" s="125"/>
      <c r="D1454" s="125"/>
      <c r="E1454" s="126"/>
      <c r="F1454" s="128"/>
      <c r="G1454" s="128"/>
      <c r="H1454" s="128"/>
      <c r="I1454" s="128"/>
      <c r="J1454" s="128"/>
      <c r="K1454" s="129"/>
      <c r="L1454" s="129"/>
      <c r="M1454" s="129"/>
      <c r="N1454" s="129"/>
      <c r="O1454" s="129"/>
      <c r="P1454" s="129"/>
      <c r="Q1454" s="129"/>
      <c r="R1454" s="132"/>
      <c r="S1454" s="132"/>
      <c r="T1454" s="135"/>
      <c r="U1454" s="132"/>
      <c r="V1454" s="129"/>
      <c r="W1454" s="132"/>
      <c r="X1454" s="132"/>
      <c r="Y1454" s="132"/>
    </row>
    <row r="1455" spans="1:25" ht="15.75" customHeight="1">
      <c r="A1455" s="125"/>
      <c r="B1455" s="125"/>
      <c r="C1455" s="125"/>
      <c r="D1455" s="125"/>
      <c r="E1455" s="126"/>
      <c r="F1455" s="128"/>
      <c r="G1455" s="128"/>
      <c r="H1455" s="128"/>
      <c r="I1455" s="128"/>
      <c r="J1455" s="128"/>
      <c r="K1455" s="129"/>
      <c r="L1455" s="129"/>
      <c r="M1455" s="129"/>
      <c r="N1455" s="129"/>
      <c r="O1455" s="129"/>
      <c r="P1455" s="129"/>
      <c r="Q1455" s="129"/>
      <c r="R1455" s="132"/>
      <c r="S1455" s="132"/>
      <c r="T1455" s="135"/>
      <c r="U1455" s="132"/>
      <c r="V1455" s="129"/>
      <c r="W1455" s="132"/>
      <c r="X1455" s="132"/>
      <c r="Y1455" s="132"/>
    </row>
    <row r="1456" spans="1:25" ht="15.75" customHeight="1">
      <c r="A1456" s="125"/>
      <c r="B1456" s="125"/>
      <c r="C1456" s="125"/>
      <c r="D1456" s="125"/>
      <c r="E1456" s="126"/>
      <c r="F1456" s="128"/>
      <c r="G1456" s="128"/>
      <c r="H1456" s="128"/>
      <c r="I1456" s="128"/>
      <c r="J1456" s="128"/>
      <c r="K1456" s="129"/>
      <c r="L1456" s="129"/>
      <c r="M1456" s="129"/>
      <c r="N1456" s="129"/>
      <c r="O1456" s="129"/>
      <c r="P1456" s="129"/>
      <c r="Q1456" s="129"/>
      <c r="R1456" s="132"/>
      <c r="S1456" s="132"/>
      <c r="T1456" s="135"/>
      <c r="U1456" s="132"/>
      <c r="V1456" s="129"/>
      <c r="W1456" s="132"/>
      <c r="X1456" s="132"/>
      <c r="Y1456" s="132"/>
    </row>
    <row r="1457" spans="1:25" ht="15.75" customHeight="1">
      <c r="A1457" s="125"/>
      <c r="B1457" s="125"/>
      <c r="C1457" s="125"/>
      <c r="D1457" s="125"/>
      <c r="E1457" s="126"/>
      <c r="F1457" s="128"/>
      <c r="G1457" s="128"/>
      <c r="H1457" s="128"/>
      <c r="I1457" s="128"/>
      <c r="J1457" s="128"/>
      <c r="K1457" s="129"/>
      <c r="L1457" s="129"/>
      <c r="M1457" s="129"/>
      <c r="N1457" s="129"/>
      <c r="O1457" s="129"/>
      <c r="P1457" s="129"/>
      <c r="Q1457" s="129"/>
      <c r="R1457" s="132"/>
      <c r="S1457" s="132"/>
      <c r="T1457" s="135"/>
      <c r="U1457" s="132"/>
      <c r="V1457" s="129"/>
      <c r="W1457" s="132"/>
      <c r="X1457" s="132"/>
      <c r="Y1457" s="132"/>
    </row>
    <row r="1458" spans="1:25" ht="15.75" customHeight="1">
      <c r="A1458" s="125"/>
      <c r="B1458" s="125"/>
      <c r="C1458" s="125"/>
      <c r="D1458" s="125"/>
      <c r="E1458" s="126"/>
      <c r="F1458" s="128"/>
      <c r="G1458" s="128"/>
      <c r="H1458" s="128"/>
      <c r="I1458" s="128"/>
      <c r="J1458" s="128"/>
      <c r="K1458" s="129"/>
      <c r="L1458" s="129"/>
      <c r="M1458" s="129"/>
      <c r="N1458" s="129"/>
      <c r="O1458" s="129"/>
      <c r="P1458" s="129"/>
      <c r="Q1458" s="129"/>
      <c r="R1458" s="132"/>
      <c r="S1458" s="132"/>
      <c r="T1458" s="135"/>
      <c r="U1458" s="132"/>
      <c r="V1458" s="129"/>
      <c r="W1458" s="132"/>
      <c r="X1458" s="132"/>
      <c r="Y1458" s="132"/>
    </row>
    <row r="1459" spans="1:25" ht="15.75" customHeight="1">
      <c r="A1459" s="125"/>
      <c r="B1459" s="125"/>
      <c r="C1459" s="125"/>
      <c r="D1459" s="125"/>
      <c r="E1459" s="126"/>
      <c r="F1459" s="128"/>
      <c r="G1459" s="128"/>
      <c r="H1459" s="128"/>
      <c r="I1459" s="128"/>
      <c r="J1459" s="128"/>
      <c r="K1459" s="129"/>
      <c r="L1459" s="129"/>
      <c r="M1459" s="129"/>
      <c r="N1459" s="129"/>
      <c r="O1459" s="129"/>
      <c r="P1459" s="129"/>
      <c r="Q1459" s="129"/>
      <c r="R1459" s="132"/>
      <c r="S1459" s="132"/>
      <c r="T1459" s="135"/>
      <c r="U1459" s="132"/>
      <c r="V1459" s="129"/>
      <c r="W1459" s="132"/>
      <c r="X1459" s="132"/>
      <c r="Y1459" s="132"/>
    </row>
    <row r="1460" spans="1:25" ht="15.75" customHeight="1">
      <c r="A1460" s="125"/>
      <c r="B1460" s="125"/>
      <c r="C1460" s="125"/>
      <c r="D1460" s="125"/>
      <c r="E1460" s="126"/>
      <c r="F1460" s="128"/>
      <c r="G1460" s="128"/>
      <c r="H1460" s="128"/>
      <c r="I1460" s="128"/>
      <c r="J1460" s="128"/>
      <c r="K1460" s="129"/>
      <c r="L1460" s="129"/>
      <c r="M1460" s="129"/>
      <c r="N1460" s="129"/>
      <c r="O1460" s="129"/>
      <c r="P1460" s="129"/>
      <c r="Q1460" s="129"/>
      <c r="R1460" s="132"/>
      <c r="S1460" s="132"/>
      <c r="T1460" s="135"/>
      <c r="U1460" s="132"/>
      <c r="V1460" s="129"/>
      <c r="W1460" s="132"/>
      <c r="X1460" s="132"/>
      <c r="Y1460" s="132"/>
    </row>
    <row r="1461" spans="1:25" ht="15.75" customHeight="1">
      <c r="A1461" s="125"/>
      <c r="B1461" s="125"/>
      <c r="C1461" s="125"/>
      <c r="D1461" s="125"/>
      <c r="E1461" s="126"/>
      <c r="F1461" s="128"/>
      <c r="G1461" s="128"/>
      <c r="H1461" s="128"/>
      <c r="I1461" s="128"/>
      <c r="J1461" s="128"/>
      <c r="K1461" s="129"/>
      <c r="L1461" s="129"/>
      <c r="M1461" s="129"/>
      <c r="N1461" s="129"/>
      <c r="O1461" s="129"/>
      <c r="P1461" s="129"/>
      <c r="Q1461" s="129"/>
      <c r="R1461" s="132"/>
      <c r="S1461" s="132"/>
      <c r="T1461" s="135"/>
      <c r="U1461" s="132"/>
      <c r="V1461" s="129"/>
      <c r="W1461" s="132"/>
      <c r="X1461" s="132"/>
      <c r="Y1461" s="132"/>
    </row>
    <row r="1462" spans="1:25" ht="15.75" customHeight="1">
      <c r="A1462" s="125"/>
      <c r="B1462" s="125"/>
      <c r="C1462" s="125"/>
      <c r="D1462" s="125"/>
      <c r="E1462" s="126"/>
      <c r="F1462" s="128"/>
      <c r="G1462" s="128"/>
      <c r="H1462" s="128"/>
      <c r="I1462" s="128"/>
      <c r="J1462" s="128"/>
      <c r="K1462" s="129"/>
      <c r="L1462" s="129"/>
      <c r="M1462" s="129"/>
      <c r="N1462" s="129"/>
      <c r="O1462" s="129"/>
      <c r="P1462" s="129"/>
      <c r="Q1462" s="129"/>
      <c r="R1462" s="132"/>
      <c r="S1462" s="132"/>
      <c r="T1462" s="135"/>
      <c r="U1462" s="132"/>
      <c r="V1462" s="129"/>
      <c r="W1462" s="132"/>
      <c r="X1462" s="132"/>
      <c r="Y1462" s="132"/>
    </row>
    <row r="1463" spans="1:25" ht="15.75" customHeight="1">
      <c r="A1463" s="125"/>
      <c r="B1463" s="125"/>
      <c r="C1463" s="125"/>
      <c r="D1463" s="125"/>
      <c r="E1463" s="126"/>
      <c r="F1463" s="128"/>
      <c r="G1463" s="128"/>
      <c r="H1463" s="128"/>
      <c r="I1463" s="128"/>
      <c r="J1463" s="128"/>
      <c r="K1463" s="129"/>
      <c r="L1463" s="129"/>
      <c r="M1463" s="129"/>
      <c r="N1463" s="129"/>
      <c r="O1463" s="129"/>
      <c r="P1463" s="129"/>
      <c r="Q1463" s="129"/>
      <c r="R1463" s="132"/>
      <c r="S1463" s="132"/>
      <c r="T1463" s="135"/>
      <c r="U1463" s="132"/>
      <c r="V1463" s="129"/>
      <c r="W1463" s="132"/>
      <c r="X1463" s="132"/>
      <c r="Y1463" s="132"/>
    </row>
    <row r="1464" spans="1:25" ht="15.75" customHeight="1">
      <c r="A1464" s="125"/>
      <c r="B1464" s="125"/>
      <c r="C1464" s="125"/>
      <c r="D1464" s="125"/>
      <c r="E1464" s="126"/>
      <c r="F1464" s="128"/>
      <c r="G1464" s="128"/>
      <c r="H1464" s="128"/>
      <c r="I1464" s="128"/>
      <c r="J1464" s="128"/>
      <c r="K1464" s="129"/>
      <c r="L1464" s="129"/>
      <c r="M1464" s="129"/>
      <c r="N1464" s="129"/>
      <c r="O1464" s="129"/>
      <c r="P1464" s="129"/>
      <c r="Q1464" s="129"/>
      <c r="R1464" s="132"/>
      <c r="S1464" s="132"/>
      <c r="T1464" s="135"/>
      <c r="U1464" s="132"/>
      <c r="V1464" s="129"/>
      <c r="W1464" s="132"/>
      <c r="X1464" s="132"/>
      <c r="Y1464" s="132"/>
    </row>
    <row r="1465" spans="1:25" ht="15.75" customHeight="1">
      <c r="A1465" s="125"/>
      <c r="B1465" s="125"/>
      <c r="C1465" s="125"/>
      <c r="D1465" s="125"/>
      <c r="E1465" s="126"/>
      <c r="F1465" s="128"/>
      <c r="G1465" s="128"/>
      <c r="H1465" s="128"/>
      <c r="I1465" s="128"/>
      <c r="J1465" s="128"/>
      <c r="K1465" s="129"/>
      <c r="L1465" s="129"/>
      <c r="M1465" s="129"/>
      <c r="N1465" s="129"/>
      <c r="O1465" s="129"/>
      <c r="P1465" s="129"/>
      <c r="Q1465" s="129"/>
      <c r="R1465" s="132"/>
      <c r="S1465" s="132"/>
      <c r="T1465" s="135"/>
      <c r="U1465" s="132"/>
      <c r="V1465" s="129"/>
      <c r="W1465" s="132"/>
      <c r="X1465" s="132"/>
      <c r="Y1465" s="132"/>
    </row>
    <row r="1466" spans="1:25" ht="15.75" customHeight="1">
      <c r="A1466" s="125"/>
      <c r="B1466" s="125"/>
      <c r="C1466" s="125"/>
      <c r="D1466" s="125"/>
      <c r="E1466" s="126"/>
      <c r="F1466" s="128"/>
      <c r="G1466" s="128"/>
      <c r="H1466" s="128"/>
      <c r="I1466" s="128"/>
      <c r="J1466" s="128"/>
      <c r="K1466" s="129"/>
      <c r="L1466" s="129"/>
      <c r="M1466" s="129"/>
      <c r="N1466" s="129"/>
      <c r="O1466" s="129"/>
      <c r="P1466" s="129"/>
      <c r="Q1466" s="129"/>
      <c r="R1466" s="132"/>
      <c r="S1466" s="132"/>
      <c r="T1466" s="135"/>
      <c r="U1466" s="132"/>
      <c r="V1466" s="129"/>
      <c r="W1466" s="132"/>
      <c r="X1466" s="132"/>
      <c r="Y1466" s="132"/>
    </row>
    <row r="1467" spans="1:25" ht="15.75" customHeight="1">
      <c r="A1467" s="125"/>
      <c r="B1467" s="125"/>
      <c r="C1467" s="125"/>
      <c r="D1467" s="125"/>
      <c r="E1467" s="126"/>
      <c r="F1467" s="128"/>
      <c r="G1467" s="128"/>
      <c r="H1467" s="128"/>
      <c r="I1467" s="128"/>
      <c r="J1467" s="128"/>
      <c r="K1467" s="129"/>
      <c r="L1467" s="129"/>
      <c r="M1467" s="129"/>
      <c r="N1467" s="129"/>
      <c r="O1467" s="129"/>
      <c r="P1467" s="129"/>
      <c r="Q1467" s="129"/>
      <c r="R1467" s="132"/>
      <c r="S1467" s="132"/>
      <c r="T1467" s="135"/>
      <c r="U1467" s="132"/>
      <c r="V1467" s="129"/>
      <c r="W1467" s="132"/>
      <c r="X1467" s="132"/>
      <c r="Y1467" s="132"/>
    </row>
    <row r="1468" spans="1:25" ht="15.75" customHeight="1">
      <c r="A1468" s="125"/>
      <c r="B1468" s="125"/>
      <c r="C1468" s="125"/>
      <c r="D1468" s="125"/>
      <c r="E1468" s="126"/>
      <c r="F1468" s="128"/>
      <c r="G1468" s="128"/>
      <c r="H1468" s="128"/>
      <c r="I1468" s="128"/>
      <c r="J1468" s="128"/>
      <c r="K1468" s="129"/>
      <c r="L1468" s="129"/>
      <c r="M1468" s="129"/>
      <c r="N1468" s="129"/>
      <c r="O1468" s="129"/>
      <c r="P1468" s="129"/>
      <c r="Q1468" s="129"/>
      <c r="R1468" s="132"/>
      <c r="S1468" s="132"/>
      <c r="T1468" s="135"/>
      <c r="U1468" s="132"/>
      <c r="V1468" s="129"/>
      <c r="W1468" s="132"/>
      <c r="X1468" s="132"/>
      <c r="Y1468" s="132"/>
    </row>
    <row r="1469" spans="1:25" ht="15.75" customHeight="1">
      <c r="A1469" s="125"/>
      <c r="B1469" s="125"/>
      <c r="C1469" s="125"/>
      <c r="D1469" s="125"/>
      <c r="E1469" s="126"/>
      <c r="F1469" s="128"/>
      <c r="G1469" s="128"/>
      <c r="H1469" s="128"/>
      <c r="I1469" s="128"/>
      <c r="J1469" s="128"/>
      <c r="K1469" s="129"/>
      <c r="L1469" s="129"/>
      <c r="M1469" s="129"/>
      <c r="N1469" s="129"/>
      <c r="O1469" s="129"/>
      <c r="P1469" s="129"/>
      <c r="Q1469" s="129"/>
      <c r="R1469" s="132"/>
      <c r="S1469" s="132"/>
      <c r="T1469" s="135"/>
      <c r="U1469" s="132"/>
      <c r="V1469" s="129"/>
      <c r="W1469" s="132"/>
      <c r="X1469" s="132"/>
      <c r="Y1469" s="132"/>
    </row>
    <row r="1470" spans="1:25" ht="15.75" customHeight="1">
      <c r="A1470" s="125"/>
      <c r="B1470" s="125"/>
      <c r="C1470" s="125"/>
      <c r="D1470" s="125"/>
      <c r="E1470" s="126"/>
      <c r="F1470" s="128"/>
      <c r="G1470" s="128"/>
      <c r="H1470" s="128"/>
      <c r="I1470" s="128"/>
      <c r="J1470" s="128"/>
      <c r="K1470" s="129"/>
      <c r="L1470" s="129"/>
      <c r="M1470" s="129"/>
      <c r="N1470" s="129"/>
      <c r="O1470" s="129"/>
      <c r="P1470" s="129"/>
      <c r="Q1470" s="129"/>
      <c r="R1470" s="132"/>
      <c r="S1470" s="132"/>
      <c r="T1470" s="135"/>
      <c r="U1470" s="132"/>
      <c r="V1470" s="129"/>
      <c r="W1470" s="132"/>
      <c r="X1470" s="132"/>
      <c r="Y1470" s="132"/>
    </row>
    <row r="1471" spans="1:25" ht="15.75" customHeight="1">
      <c r="A1471" s="125"/>
      <c r="B1471" s="125"/>
      <c r="C1471" s="125"/>
      <c r="D1471" s="125"/>
      <c r="E1471" s="126"/>
      <c r="F1471" s="128"/>
      <c r="G1471" s="128"/>
      <c r="H1471" s="128"/>
      <c r="I1471" s="128"/>
      <c r="J1471" s="128"/>
      <c r="K1471" s="129"/>
      <c r="L1471" s="129"/>
      <c r="M1471" s="129"/>
      <c r="N1471" s="129"/>
      <c r="O1471" s="129"/>
      <c r="P1471" s="129"/>
      <c r="Q1471" s="129"/>
      <c r="R1471" s="132"/>
      <c r="S1471" s="132"/>
      <c r="T1471" s="135"/>
      <c r="U1471" s="132"/>
      <c r="V1471" s="129"/>
      <c r="W1471" s="132"/>
      <c r="X1471" s="132"/>
      <c r="Y1471" s="132"/>
    </row>
    <row r="1472" spans="1:25" ht="15.75" customHeight="1">
      <c r="A1472" s="125"/>
      <c r="B1472" s="125"/>
      <c r="C1472" s="125"/>
      <c r="D1472" s="125"/>
      <c r="E1472" s="126"/>
      <c r="F1472" s="128"/>
      <c r="G1472" s="128"/>
      <c r="H1472" s="128"/>
      <c r="I1472" s="128"/>
      <c r="J1472" s="128"/>
      <c r="K1472" s="129"/>
      <c r="L1472" s="129"/>
      <c r="M1472" s="129"/>
      <c r="N1472" s="129"/>
      <c r="O1472" s="129"/>
      <c r="P1472" s="129"/>
      <c r="Q1472" s="129"/>
      <c r="R1472" s="132"/>
      <c r="S1472" s="132"/>
      <c r="T1472" s="135"/>
      <c r="U1472" s="132"/>
      <c r="V1472" s="129"/>
      <c r="W1472" s="132"/>
      <c r="X1472" s="132"/>
      <c r="Y1472" s="132"/>
    </row>
    <row r="1473" spans="1:25" ht="15.75" customHeight="1">
      <c r="A1473" s="125"/>
      <c r="B1473" s="125"/>
      <c r="C1473" s="125"/>
      <c r="D1473" s="125"/>
      <c r="E1473" s="126"/>
      <c r="F1473" s="128"/>
      <c r="G1473" s="128"/>
      <c r="H1473" s="128"/>
      <c r="I1473" s="128"/>
      <c r="J1473" s="128"/>
      <c r="K1473" s="129"/>
      <c r="L1473" s="129"/>
      <c r="M1473" s="129"/>
      <c r="N1473" s="129"/>
      <c r="O1473" s="129"/>
      <c r="P1473" s="129"/>
      <c r="Q1473" s="129"/>
      <c r="R1473" s="132"/>
      <c r="S1473" s="132"/>
      <c r="T1473" s="135"/>
      <c r="U1473" s="132"/>
      <c r="V1473" s="129"/>
      <c r="W1473" s="132"/>
      <c r="X1473" s="132"/>
      <c r="Y1473" s="132"/>
    </row>
    <row r="1474" spans="1:25" ht="15.75" customHeight="1">
      <c r="A1474" s="125"/>
      <c r="B1474" s="125"/>
      <c r="C1474" s="125"/>
      <c r="D1474" s="125"/>
      <c r="E1474" s="126"/>
      <c r="F1474" s="128"/>
      <c r="G1474" s="128"/>
      <c r="H1474" s="128"/>
      <c r="I1474" s="128"/>
      <c r="J1474" s="128"/>
      <c r="K1474" s="129"/>
      <c r="L1474" s="129"/>
      <c r="M1474" s="129"/>
      <c r="N1474" s="129"/>
      <c r="O1474" s="129"/>
      <c r="P1474" s="129"/>
      <c r="Q1474" s="129"/>
      <c r="R1474" s="132"/>
      <c r="S1474" s="132"/>
      <c r="T1474" s="135"/>
      <c r="U1474" s="132"/>
      <c r="V1474" s="129"/>
      <c r="W1474" s="132"/>
      <c r="X1474" s="132"/>
      <c r="Y1474" s="132"/>
    </row>
    <row r="1475" spans="1:25" ht="15.75" customHeight="1">
      <c r="A1475" s="125"/>
      <c r="B1475" s="125"/>
      <c r="C1475" s="125"/>
      <c r="D1475" s="125"/>
      <c r="E1475" s="126"/>
      <c r="F1475" s="128"/>
      <c r="G1475" s="128"/>
      <c r="H1475" s="128"/>
      <c r="I1475" s="128"/>
      <c r="J1475" s="128"/>
      <c r="K1475" s="129"/>
      <c r="L1475" s="129"/>
      <c r="M1475" s="129"/>
      <c r="N1475" s="129"/>
      <c r="O1475" s="129"/>
      <c r="P1475" s="129"/>
      <c r="Q1475" s="129"/>
      <c r="R1475" s="132"/>
      <c r="S1475" s="132"/>
      <c r="T1475" s="135"/>
      <c r="U1475" s="132"/>
      <c r="V1475" s="129"/>
      <c r="W1475" s="132"/>
      <c r="X1475" s="132"/>
      <c r="Y1475" s="132"/>
    </row>
    <row r="1476" spans="1:25" ht="15.75" customHeight="1">
      <c r="A1476" s="125"/>
      <c r="B1476" s="125"/>
      <c r="C1476" s="125"/>
      <c r="D1476" s="125"/>
      <c r="E1476" s="126"/>
      <c r="F1476" s="128"/>
      <c r="G1476" s="128"/>
      <c r="H1476" s="128"/>
      <c r="I1476" s="128"/>
      <c r="J1476" s="128"/>
      <c r="K1476" s="129"/>
      <c r="L1476" s="129"/>
      <c r="M1476" s="129"/>
      <c r="N1476" s="129"/>
      <c r="O1476" s="129"/>
      <c r="P1476" s="129"/>
      <c r="Q1476" s="129"/>
      <c r="R1476" s="132"/>
      <c r="S1476" s="132"/>
      <c r="T1476" s="135"/>
      <c r="U1476" s="132"/>
      <c r="V1476" s="129"/>
      <c r="W1476" s="132"/>
      <c r="X1476" s="132"/>
      <c r="Y1476" s="132"/>
    </row>
    <row r="1477" spans="1:25" ht="15.75" customHeight="1">
      <c r="A1477" s="125"/>
      <c r="B1477" s="125"/>
      <c r="C1477" s="125"/>
      <c r="D1477" s="125"/>
      <c r="E1477" s="126"/>
      <c r="F1477" s="128"/>
      <c r="G1477" s="128"/>
      <c r="H1477" s="128"/>
      <c r="I1477" s="128"/>
      <c r="J1477" s="128"/>
      <c r="K1477" s="129"/>
      <c r="L1477" s="129"/>
      <c r="M1477" s="129"/>
      <c r="N1477" s="129"/>
      <c r="O1477" s="129"/>
      <c r="P1477" s="129"/>
      <c r="Q1477" s="129"/>
      <c r="R1477" s="132"/>
      <c r="S1477" s="132"/>
      <c r="T1477" s="135"/>
      <c r="U1477" s="132"/>
      <c r="V1477" s="129"/>
      <c r="W1477" s="132"/>
      <c r="X1477" s="132"/>
      <c r="Y1477" s="132"/>
    </row>
    <row r="1478" spans="1:25" ht="15.75" customHeight="1">
      <c r="A1478" s="125"/>
      <c r="B1478" s="125"/>
      <c r="C1478" s="125"/>
      <c r="D1478" s="125"/>
      <c r="E1478" s="126"/>
      <c r="F1478" s="128"/>
      <c r="G1478" s="128"/>
      <c r="H1478" s="128"/>
      <c r="I1478" s="128"/>
      <c r="J1478" s="128"/>
      <c r="K1478" s="129"/>
      <c r="L1478" s="129"/>
      <c r="M1478" s="129"/>
      <c r="N1478" s="129"/>
      <c r="O1478" s="129"/>
      <c r="P1478" s="129"/>
      <c r="Q1478" s="129"/>
      <c r="R1478" s="132"/>
      <c r="S1478" s="132"/>
      <c r="T1478" s="135"/>
      <c r="U1478" s="132"/>
      <c r="V1478" s="129"/>
      <c r="W1478" s="132"/>
      <c r="X1478" s="132"/>
      <c r="Y1478" s="132"/>
    </row>
    <row r="1479" spans="1:25" ht="15.75" customHeight="1">
      <c r="A1479" s="125"/>
      <c r="B1479" s="125"/>
      <c r="C1479" s="125"/>
      <c r="D1479" s="125"/>
      <c r="E1479" s="126"/>
      <c r="F1479" s="128"/>
      <c r="G1479" s="128"/>
      <c r="H1479" s="128"/>
      <c r="I1479" s="128"/>
      <c r="J1479" s="128"/>
      <c r="K1479" s="129"/>
      <c r="L1479" s="129"/>
      <c r="M1479" s="129"/>
      <c r="N1479" s="129"/>
      <c r="O1479" s="129"/>
      <c r="P1479" s="129"/>
      <c r="Q1479" s="129"/>
      <c r="R1479" s="132"/>
      <c r="S1479" s="132"/>
      <c r="T1479" s="135"/>
      <c r="U1479" s="132"/>
      <c r="V1479" s="129"/>
      <c r="W1479" s="132"/>
      <c r="X1479" s="132"/>
      <c r="Y1479" s="132"/>
    </row>
    <row r="1480" spans="1:25" ht="15.75" customHeight="1">
      <c r="A1480" s="125"/>
      <c r="B1480" s="125"/>
      <c r="C1480" s="125"/>
      <c r="D1480" s="125"/>
      <c r="E1480" s="126"/>
      <c r="F1480" s="128"/>
      <c r="G1480" s="128"/>
      <c r="H1480" s="128"/>
      <c r="I1480" s="128"/>
      <c r="J1480" s="128"/>
      <c r="K1480" s="129"/>
      <c r="L1480" s="129"/>
      <c r="M1480" s="129"/>
      <c r="N1480" s="129"/>
      <c r="O1480" s="129"/>
      <c r="P1480" s="129"/>
      <c r="Q1480" s="129"/>
      <c r="R1480" s="132"/>
      <c r="S1480" s="132"/>
      <c r="T1480" s="135"/>
      <c r="U1480" s="132"/>
      <c r="V1480" s="129"/>
      <c r="W1480" s="132"/>
      <c r="X1480" s="132"/>
      <c r="Y1480" s="132"/>
    </row>
    <row r="1481" spans="1:25" ht="15.75" customHeight="1">
      <c r="A1481" s="125"/>
      <c r="B1481" s="125"/>
      <c r="C1481" s="125"/>
      <c r="D1481" s="125"/>
      <c r="E1481" s="126"/>
      <c r="F1481" s="128"/>
      <c r="G1481" s="128"/>
      <c r="H1481" s="128"/>
      <c r="I1481" s="128"/>
      <c r="J1481" s="128"/>
      <c r="K1481" s="129"/>
      <c r="L1481" s="129"/>
      <c r="M1481" s="129"/>
      <c r="N1481" s="129"/>
      <c r="O1481" s="129"/>
      <c r="P1481" s="129"/>
      <c r="Q1481" s="129"/>
      <c r="R1481" s="132"/>
      <c r="S1481" s="132"/>
      <c r="T1481" s="135"/>
      <c r="U1481" s="132"/>
      <c r="V1481" s="129"/>
      <c r="W1481" s="132"/>
      <c r="X1481" s="132"/>
      <c r="Y1481" s="132"/>
    </row>
  </sheetData>
  <autoFilter ref="A1:AE1122"/>
  <dataValidations count="3">
    <dataValidation type="list" allowBlank="1" sqref="C2:C1122">
      <formula1>#REF!</formula1>
    </dataValidation>
    <dataValidation type="list" allowBlank="1" sqref="V2:V1081">
      <formula1>#REF!</formula1>
    </dataValidation>
    <dataValidation type="list" allowBlank="1" sqref="B2:B1122">
      <formula1>#REF!</formula1>
    </dataValidation>
  </dataValidations>
  <pageMargins left="0.25" right="0.25" top="0.75" bottom="0.75" header="0" footer="0"/>
  <pageSetup paperSize="5" fitToHeight="0" orientation="landscape"/>
  <headerFooter>
    <oddHeader>&amp;CINVENTARIO DELEGACIÓN ADMINISTRATIVA</oddHeader>
  </headerFooter>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fitToPage="1"/>
  </sheetPr>
  <dimension ref="A1:L1030"/>
  <sheetViews>
    <sheetView workbookViewId="0"/>
  </sheetViews>
  <sheetFormatPr baseColWidth="10" defaultColWidth="12.5703125" defaultRowHeight="15.75" customHeight="1"/>
  <cols>
    <col min="1" max="1" width="8.42578125" customWidth="1"/>
    <col min="2" max="2" width="26.42578125" customWidth="1"/>
    <col min="3" max="3" width="21.5703125" customWidth="1"/>
    <col min="5" max="5" width="18.140625" customWidth="1"/>
    <col min="11" max="11" width="15" customWidth="1"/>
    <col min="12" max="12" width="42.28515625" customWidth="1"/>
  </cols>
  <sheetData>
    <row r="1" spans="1:12" ht="12.75">
      <c r="A1" s="86" t="s">
        <v>0</v>
      </c>
      <c r="B1" s="86" t="s">
        <v>8478</v>
      </c>
      <c r="C1" s="86" t="s">
        <v>8479</v>
      </c>
      <c r="D1" s="86" t="s">
        <v>8480</v>
      </c>
      <c r="E1" s="86" t="s">
        <v>8481</v>
      </c>
    </row>
    <row r="2" spans="1:12" ht="12.75" hidden="1">
      <c r="A2" s="167" t="str">
        <f>'030523 INVENTARIO'!A2</f>
        <v>0001</v>
      </c>
      <c r="B2" s="167" t="str">
        <f>'030523 INVENTARIO'!T2</f>
        <v>82DK0511010005000583333</v>
      </c>
      <c r="C2" s="167" t="str">
        <f t="shared" ref="C2:C1020" si="0">MID(B2,18,6)</f>
        <v>583333</v>
      </c>
      <c r="D2" s="167" t="str">
        <f>IF(VLOOKUP(C2,'Patrimonio 2023'!$C$2:$C$1128,1,FALSE) = C2, "Encontrado", "no")</f>
        <v>Encontrado</v>
      </c>
      <c r="E2" s="167" t="str">
        <f>VLOOKUP($A2,'030523 INVENTARIO'!$A$2:$Y$1148,5,FALSE)</f>
        <v>CREDENZA</v>
      </c>
      <c r="F2" s="167" t="str">
        <f>VLOOKUP($A2,'030523 INVENTARIO'!$A$2:$Y$1148,6,FALSE)</f>
        <v>CREDENZA DE MADERA 120X40</v>
      </c>
      <c r="G2" s="167" t="str">
        <f ca="1">VLOOKUP($A2,'030523 INVENTARIO'!$A$2:$Y$1148,8,FALSE)</f>
        <v>P05DA-0001</v>
      </c>
      <c r="H2" s="168" t="str">
        <f>VLOOKUP($A2,'030523 INVENTARIO'!$A$2:$Y$1148,17,FALSE)</f>
        <v>S/M</v>
      </c>
      <c r="I2" s="167" t="str">
        <f>VLOOKUP($A2,'030523 INVENTARIO'!$A$2:$Y$1148,18,FALSE)</f>
        <v>S/M</v>
      </c>
      <c r="J2" s="167" t="str">
        <f>VLOOKUP($A2,'030523 INVENTARIO'!$A$2:$Y$1148,19,FALSE)</f>
        <v>SIN SERIE</v>
      </c>
      <c r="K2" s="167" t="str">
        <f>VLOOKUP($A2,'030523 INVENTARIO'!$A$2:$Y$1148,20,FALSE)</f>
        <v>82DK0511010005000583333</v>
      </c>
      <c r="L2" s="167" t="str">
        <f>VLOOKUP($A2,'030523 INVENTARIO'!$A$2:$Y$1148,23,FALSE)</f>
        <v>SARA ARCELIA LOPEZ NAVARRO</v>
      </c>
    </row>
    <row r="3" spans="1:12" ht="12.75" hidden="1">
      <c r="A3" s="167" t="str">
        <f>'030523 INVENTARIO'!A3</f>
        <v>0002</v>
      </c>
      <c r="B3" s="167" t="str">
        <f>'030523 INVENTARIO'!T3</f>
        <v>82DH0519010043000649374</v>
      </c>
      <c r="C3" s="167" t="str">
        <f t="shared" si="0"/>
        <v>649374</v>
      </c>
      <c r="D3" s="167" t="str">
        <f>IF(VLOOKUP(C3,'Patrimonio 2023'!$C$2:$C$1128,1,FALSE) = C3, "Encontrado", "no")</f>
        <v>Encontrado</v>
      </c>
      <c r="E3" s="167" t="str">
        <f>VLOOKUP($A3,'030523 INVENTARIO'!$A$2:$Y$1148,5,FALSE)</f>
        <v>VENTILADOR</v>
      </c>
      <c r="F3" s="167" t="str">
        <f>VLOOKUP($A3,'030523 INVENTARIO'!$A$2:$Y$1148,6,FALSE)</f>
        <v>VENTILADOR DE TORRE NEGRO</v>
      </c>
      <c r="G3" s="167" t="str">
        <f ca="1">VLOOKUP($A3,'030523 INVENTARIO'!$A$2:$Y$1148,8,FALSE)</f>
        <v>P05DA-0002</v>
      </c>
      <c r="H3" s="168" t="str">
        <f>VLOOKUP($A3,'030523 INVENTARIO'!$A$2:$Y$1148,17,FALSE)</f>
        <v>MYTEK</v>
      </c>
      <c r="I3" s="167">
        <f>VLOOKUP($A3,'030523 INVENTARIO'!$A$2:$Y$1148,18,FALSE)</f>
        <v>3358</v>
      </c>
      <c r="J3" s="167" t="str">
        <f>VLOOKUP($A3,'030523 INVENTARIO'!$A$2:$Y$1148,19,FALSE)</f>
        <v>SIN SERIE</v>
      </c>
      <c r="K3" s="167" t="str">
        <f>VLOOKUP($A3,'030523 INVENTARIO'!$A$2:$Y$1148,20,FALSE)</f>
        <v>82DH0519010043000649374</v>
      </c>
      <c r="L3" s="167" t="str">
        <f>VLOOKUP($A3,'030523 INVENTARIO'!$A$2:$Y$1148,23,FALSE)</f>
        <v>ROSAURA MENDEZ SALGADO</v>
      </c>
    </row>
    <row r="4" spans="1:12" ht="12.75" hidden="1">
      <c r="A4" s="167" t="str">
        <f>'030523 INVENTARIO'!A4</f>
        <v>0003</v>
      </c>
      <c r="B4" s="167" t="str">
        <f>'030523 INVENTARIO'!T4</f>
        <v>82DH0529030003000564534</v>
      </c>
      <c r="C4" s="167" t="str">
        <f t="shared" si="0"/>
        <v>564534</v>
      </c>
      <c r="D4" s="167" t="str">
        <f>IF(VLOOKUP(C4,'Patrimonio 2023'!$C$2:$C$1128,1,FALSE) = C4, "Encontrado", "no")</f>
        <v>Encontrado</v>
      </c>
      <c r="E4" s="167" t="str">
        <f>VLOOKUP($A4,'030523 INVENTARIO'!$A$2:$Y$1148,5,FALSE)</f>
        <v>PIZARRON</v>
      </c>
      <c r="F4" s="167" t="str">
        <f>VLOOKUP($A4,'030523 INVENTARIO'!$A$2:$Y$1148,6,FALSE)</f>
        <v>PIZARRON BLANCO 90X60 CM</v>
      </c>
      <c r="G4" s="167" t="str">
        <f ca="1">VLOOKUP($A4,'030523 INVENTARIO'!$A$2:$Y$1148,8,FALSE)</f>
        <v>P05DA-0003</v>
      </c>
      <c r="H4" s="168" t="str">
        <f>VLOOKUP($A4,'030523 INVENTARIO'!$A$2:$Y$1148,17,FALSE)</f>
        <v>S/M</v>
      </c>
      <c r="I4" s="167" t="str">
        <f>VLOOKUP($A4,'030523 INVENTARIO'!$A$2:$Y$1148,18,FALSE)</f>
        <v>S/M</v>
      </c>
      <c r="J4" s="167" t="str">
        <f>VLOOKUP($A4,'030523 INVENTARIO'!$A$2:$Y$1148,19,FALSE)</f>
        <v>SIN SERIE</v>
      </c>
      <c r="K4" s="167" t="str">
        <f>VLOOKUP($A4,'030523 INVENTARIO'!$A$2:$Y$1148,20,FALSE)</f>
        <v>82DH0529030003000564534</v>
      </c>
      <c r="L4" s="167" t="str">
        <f>VLOOKUP($A4,'030523 INVENTARIO'!$A$2:$Y$1148,23,FALSE)</f>
        <v>ROSAURA MENDEZ SALGADO</v>
      </c>
    </row>
    <row r="5" spans="1:12" ht="12.75" hidden="1">
      <c r="A5" s="167" t="str">
        <f>'030523 INVENTARIO'!A5</f>
        <v>0004</v>
      </c>
      <c r="B5" s="167" t="str">
        <f>'030523 INVENTARIO'!T5</f>
        <v>82DK0511010001000581343</v>
      </c>
      <c r="C5" s="167" t="str">
        <f t="shared" si="0"/>
        <v>581343</v>
      </c>
      <c r="D5" s="167" t="str">
        <f>IF(VLOOKUP(C5,'Patrimonio 2023'!$C$2:$C$1128,1,FALSE) = C5, "Encontrado", "no")</f>
        <v>Encontrado</v>
      </c>
      <c r="E5" s="167" t="str">
        <f>VLOOKUP($A5,'030523 INVENTARIO'!$A$2:$Y$1148,5,FALSE)</f>
        <v>ARCHIVERO</v>
      </c>
      <c r="F5" s="167" t="str">
        <f>VLOOKUP($A5,'030523 INVENTARIO'!$A$2:$Y$1148,6,FALSE)</f>
        <v>ARCHIVERO DE MADERA 4 CAJONES</v>
      </c>
      <c r="G5" s="167" t="str">
        <f ca="1">VLOOKUP($A5,'030523 INVENTARIO'!$A$2:$Y$1148,8,FALSE)</f>
        <v>P05DA-0004</v>
      </c>
      <c r="H5" s="168" t="str">
        <f>VLOOKUP($A5,'030523 INVENTARIO'!$A$2:$Y$1148,17,FALSE)</f>
        <v>S/M</v>
      </c>
      <c r="I5" s="167" t="str">
        <f>VLOOKUP($A5,'030523 INVENTARIO'!$A$2:$Y$1148,18,FALSE)</f>
        <v>S/M</v>
      </c>
      <c r="J5" s="167" t="str">
        <f>VLOOKUP($A5,'030523 INVENTARIO'!$A$2:$Y$1148,19,FALSE)</f>
        <v>SIN SERIE</v>
      </c>
      <c r="K5" s="167" t="str">
        <f>VLOOKUP($A5,'030523 INVENTARIO'!$A$2:$Y$1148,20,FALSE)</f>
        <v>82DK0511010001000581343</v>
      </c>
      <c r="L5" s="167" t="str">
        <f>VLOOKUP($A5,'030523 INVENTARIO'!$A$2:$Y$1148,23,FALSE)</f>
        <v>SARA ARCELIA LOPEZ NAVARRO</v>
      </c>
    </row>
    <row r="6" spans="1:12" ht="12.75" hidden="1">
      <c r="A6" s="167" t="str">
        <f>'030523 INVENTARIO'!A6</f>
        <v>0005</v>
      </c>
      <c r="B6" s="167" t="str">
        <f>'030523 INVENTARIO'!T6</f>
        <v>82DH0511010008000535423</v>
      </c>
      <c r="C6" s="167" t="str">
        <f t="shared" si="0"/>
        <v>535423</v>
      </c>
      <c r="D6" s="167" t="str">
        <f>IF(VLOOKUP(C6,'Patrimonio 2023'!$C$2:$C$1128,1,FALSE) = C6, "Encontrado", "no")</f>
        <v>Encontrado</v>
      </c>
      <c r="E6" s="167" t="str">
        <f>VLOOKUP($A6,'030523 INVENTARIO'!$A$2:$Y$1148,5,FALSE)</f>
        <v>LIBRERO</v>
      </c>
      <c r="F6" s="167" t="str">
        <f>VLOOKUP($A6,'030523 INVENTARIO'!$A$2:$Y$1148,6,FALSE)</f>
        <v>LIBRERO DE MADERA</v>
      </c>
      <c r="G6" s="167" t="str">
        <f ca="1">VLOOKUP($A6,'030523 INVENTARIO'!$A$2:$Y$1148,8,FALSE)</f>
        <v>P05DA-0005</v>
      </c>
      <c r="H6" s="168" t="str">
        <f>VLOOKUP($A6,'030523 INVENTARIO'!$A$2:$Y$1148,17,FALSE)</f>
        <v>S/M</v>
      </c>
      <c r="I6" s="167" t="str">
        <f>VLOOKUP($A6,'030523 INVENTARIO'!$A$2:$Y$1148,18,FALSE)</f>
        <v>S/M</v>
      </c>
      <c r="J6" s="167" t="str">
        <f>VLOOKUP($A6,'030523 INVENTARIO'!$A$2:$Y$1148,19,FALSE)</f>
        <v>SIN SERIE</v>
      </c>
      <c r="K6" s="167" t="str">
        <f>VLOOKUP($A6,'030523 INVENTARIO'!$A$2:$Y$1148,20,FALSE)</f>
        <v>82DH0511010008000535423</v>
      </c>
      <c r="L6" s="167" t="str">
        <f>VLOOKUP($A6,'030523 INVENTARIO'!$A$2:$Y$1148,23,FALSE)</f>
        <v>ROSAURA MENDEZ SALGADO</v>
      </c>
    </row>
    <row r="7" spans="1:12" ht="12.75" hidden="1">
      <c r="A7" s="167" t="str">
        <f>'030523 INVENTARIO'!A7</f>
        <v>0006</v>
      </c>
      <c r="B7" s="167" t="str">
        <f>'030523 INVENTARIO'!T7</f>
        <v>SIN RESGUARDO</v>
      </c>
      <c r="C7" s="167" t="str">
        <f t="shared" si="0"/>
        <v/>
      </c>
      <c r="D7" s="167" t="e">
        <f>IF(VLOOKUP(C7,'Patrimonio 2023'!$C$2:$C$1128,1,FALSE) = C7, "Encontrado", "no")</f>
        <v>#N/A</v>
      </c>
      <c r="E7" s="167" t="str">
        <f>VLOOKUP($A7,'030523 INVENTARIO'!$A$2:$Y$1148,5,FALSE)</f>
        <v>LOCKER</v>
      </c>
      <c r="F7" s="167" t="str">
        <f>VLOOKUP($A7,'030523 INVENTARIO'!$A$2:$Y$1148,6,FALSE)</f>
        <v>LOCKER DE MADERA DOS PUERTAS 194X79X43</v>
      </c>
      <c r="G7" s="167" t="str">
        <f ca="1">VLOOKUP($A7,'030523 INVENTARIO'!$A$2:$Y$1148,8,FALSE)</f>
        <v>P05DA-0006</v>
      </c>
      <c r="H7" s="168" t="str">
        <f>VLOOKUP($A7,'030523 INVENTARIO'!$A$2:$Y$1148,17,FALSE)</f>
        <v>S/M</v>
      </c>
      <c r="I7" s="167" t="str">
        <f>VLOOKUP($A7,'030523 INVENTARIO'!$A$2:$Y$1148,18,FALSE)</f>
        <v>S/M</v>
      </c>
      <c r="J7" s="167" t="str">
        <f>VLOOKUP($A7,'030523 INVENTARIO'!$A$2:$Y$1148,19,FALSE)</f>
        <v>SIN SERIE</v>
      </c>
      <c r="K7" s="167" t="str">
        <f>VLOOKUP($A7,'030523 INVENTARIO'!$A$2:$Y$1148,20,FALSE)</f>
        <v>SIN RESGUARDO</v>
      </c>
      <c r="L7" s="167" t="str">
        <f>VLOOKUP($A7,'030523 INVENTARIO'!$A$2:$Y$1148,23,FALSE)</f>
        <v>ROSAURA MENDEZ SALGADO</v>
      </c>
    </row>
    <row r="8" spans="1:12" ht="12.75" hidden="1">
      <c r="A8" s="167" t="e">
        <f t="shared" ref="A8:B8" si="1">#REF!</f>
        <v>#REF!</v>
      </c>
      <c r="B8" s="167" t="e">
        <f t="shared" si="1"/>
        <v>#REF!</v>
      </c>
      <c r="C8" s="167" t="e">
        <f t="shared" si="0"/>
        <v>#REF!</v>
      </c>
      <c r="D8" s="167" t="e">
        <f>IF(VLOOKUP(C8,'Patrimonio 2023'!$C$2:$C$1128,1,FALSE) = C8, "Encontrado", "no")</f>
        <v>#REF!</v>
      </c>
      <c r="E8" s="167" t="e">
        <f>VLOOKUP($A8,'030523 INVENTARIO'!$A$2:$Y$1148,5,FALSE)</f>
        <v>#REF!</v>
      </c>
      <c r="F8" s="167" t="e">
        <f>VLOOKUP($A8,'030523 INVENTARIO'!$A$2:$Y$1148,6,FALSE)</f>
        <v>#REF!</v>
      </c>
      <c r="G8" s="167" t="e">
        <f>VLOOKUP($A8,'030523 INVENTARIO'!$A$2:$Y$1148,8,FALSE)</f>
        <v>#REF!</v>
      </c>
      <c r="H8" s="167" t="e">
        <f>VLOOKUP($A8,'030523 INVENTARIO'!$A$2:$Y$1148,17,FALSE)</f>
        <v>#REF!</v>
      </c>
      <c r="I8" s="167" t="e">
        <f>VLOOKUP($A8,'030523 INVENTARIO'!$A$2:$Y$1148,18,FALSE)</f>
        <v>#REF!</v>
      </c>
      <c r="J8" s="167" t="e">
        <f>VLOOKUP($A8,'030523 INVENTARIO'!$A$2:$Y$1148,19,FALSE)</f>
        <v>#REF!</v>
      </c>
      <c r="K8" s="167" t="e">
        <f>VLOOKUP($A8,'030523 INVENTARIO'!$A$2:$Y$1148,20,FALSE)</f>
        <v>#REF!</v>
      </c>
      <c r="L8" s="167" t="e">
        <f>VLOOKUP($A8,'030523 INVENTARIO'!$A$2:$Y$1148,23,FALSE)</f>
        <v>#REF!</v>
      </c>
    </row>
    <row r="9" spans="1:12" ht="12.75" hidden="1">
      <c r="A9" s="167" t="str">
        <f>'030523 INVENTARIO'!A9</f>
        <v>0008</v>
      </c>
      <c r="B9" s="167" t="str">
        <f>'030523 INVENTARIO'!T9</f>
        <v>82DK0531010065000564835</v>
      </c>
      <c r="C9" s="167" t="str">
        <f t="shared" si="0"/>
        <v>564835</v>
      </c>
      <c r="D9" s="167" t="str">
        <f>IF(VLOOKUP(C9,'Patrimonio 2023'!$C$2:$C$1128,1,FALSE) = C9, "Encontrado", "no")</f>
        <v>Encontrado</v>
      </c>
      <c r="E9" s="167" t="str">
        <f>VLOOKUP($A9,'030523 INVENTARIO'!$A$2:$Y$1148,5,FALSE)</f>
        <v>MESA</v>
      </c>
      <c r="F9" s="167" t="str">
        <f>VLOOKUP($A9,'030523 INVENTARIO'!$A$2:$Y$1148,6,FALSE)</f>
        <v>MESA DE MADERA CON BASE DE METAL 80X60X50</v>
      </c>
      <c r="G9" s="167" t="str">
        <f ca="1">VLOOKUP($A9,'030523 INVENTARIO'!$A$2:$Y$1148,8,FALSE)</f>
        <v>P05DA-0008</v>
      </c>
      <c r="H9" s="168" t="str">
        <f>VLOOKUP($A9,'030523 INVENTARIO'!$A$2:$Y$1148,17,FALSE)</f>
        <v>S/M</v>
      </c>
      <c r="I9" s="167" t="str">
        <f>VLOOKUP($A9,'030523 INVENTARIO'!$A$2:$Y$1148,18,FALSE)</f>
        <v>S/M</v>
      </c>
      <c r="J9" s="167" t="str">
        <f>VLOOKUP($A9,'030523 INVENTARIO'!$A$2:$Y$1148,19,FALSE)</f>
        <v>SIN SERIE</v>
      </c>
      <c r="K9" s="167" t="str">
        <f>VLOOKUP($A9,'030523 INVENTARIO'!$A$2:$Y$1148,20,FALSE)</f>
        <v>82DK0531010065000564835</v>
      </c>
      <c r="L9" s="167" t="str">
        <f>VLOOKUP($A9,'030523 INVENTARIO'!$A$2:$Y$1148,23,FALSE)</f>
        <v>ROSAURA MENDEZ SALGADO</v>
      </c>
    </row>
    <row r="10" spans="1:12" ht="12.75" hidden="1">
      <c r="A10" s="167" t="str">
        <f>'030523 INVENTARIO'!A10</f>
        <v>0009</v>
      </c>
      <c r="B10" s="167" t="str">
        <f>'030523 INVENTARIO'!T10</f>
        <v>82DH0511010001000649513</v>
      </c>
      <c r="C10" s="167" t="str">
        <f t="shared" si="0"/>
        <v>649513</v>
      </c>
      <c r="D10" s="167" t="str">
        <f>IF(VLOOKUP(C10,'Patrimonio 2023'!$C$2:$C$1128,1,FALSE) = C10, "Encontrado", "no")</f>
        <v>Encontrado</v>
      </c>
      <c r="E10" s="167" t="str">
        <f>VLOOKUP($A10,'030523 INVENTARIO'!$A$2:$Y$1148,5,FALSE)</f>
        <v>ARCHIVERO</v>
      </c>
      <c r="F10" s="167" t="str">
        <f>VLOOKUP($A10,'030523 INVENTARIO'!$A$2:$Y$1148,6,FALSE)</f>
        <v>ARCHIVERO DE MADERA 2 CAJONES 76X100X56</v>
      </c>
      <c r="G10" s="167" t="str">
        <f ca="1">VLOOKUP($A10,'030523 INVENTARIO'!$A$2:$Y$1148,8,FALSE)</f>
        <v>P05DA-0009</v>
      </c>
      <c r="H10" s="168" t="str">
        <f>VLOOKUP($A10,'030523 INVENTARIO'!$A$2:$Y$1148,17,FALSE)</f>
        <v>S/M</v>
      </c>
      <c r="I10" s="167" t="str">
        <f>VLOOKUP($A10,'030523 INVENTARIO'!$A$2:$Y$1148,18,FALSE)</f>
        <v>S/M</v>
      </c>
      <c r="J10" s="167" t="str">
        <f>VLOOKUP($A10,'030523 INVENTARIO'!$A$2:$Y$1148,19,FALSE)</f>
        <v>SIN SERIE</v>
      </c>
      <c r="K10" s="167" t="str">
        <f>VLOOKUP($A10,'030523 INVENTARIO'!$A$2:$Y$1148,20,FALSE)</f>
        <v>82DH0511010001000649513</v>
      </c>
      <c r="L10" s="167" t="str">
        <f>VLOOKUP($A10,'030523 INVENTARIO'!$A$2:$Y$1148,23,FALSE)</f>
        <v>ROSAURA MENDEZ SALGADO</v>
      </c>
    </row>
    <row r="11" spans="1:12" ht="12.75" hidden="1">
      <c r="A11" s="167" t="str">
        <f>'030523 INVENTARIO'!A11</f>
        <v>0010</v>
      </c>
      <c r="B11" s="167" t="str">
        <f>'030523 INVENTARIO'!T11</f>
        <v>82DH0511010005000651084</v>
      </c>
      <c r="C11" s="167" t="str">
        <f t="shared" si="0"/>
        <v>651084</v>
      </c>
      <c r="D11" s="167" t="str">
        <f>IF(VLOOKUP(C11,'Patrimonio 2023'!$C$2:$C$1128,1,FALSE) = C11, "Encontrado", "no")</f>
        <v>Encontrado</v>
      </c>
      <c r="E11" s="167" t="str">
        <f>VLOOKUP($A11,'030523 INVENTARIO'!$A$2:$Y$1148,5,FALSE)</f>
        <v>CREDENZA</v>
      </c>
      <c r="F11" s="167" t="str">
        <f>VLOOKUP($A11,'030523 INVENTARIO'!$A$2:$Y$1148,6,FALSE)</f>
        <v>CREDENZA DE MADERA 4 PUERTAS</v>
      </c>
      <c r="G11" s="167" t="str">
        <f ca="1">VLOOKUP($A11,'030523 INVENTARIO'!$A$2:$Y$1148,8,FALSE)</f>
        <v>P05DA-0010</v>
      </c>
      <c r="H11" s="168" t="str">
        <f>VLOOKUP($A11,'030523 INVENTARIO'!$A$2:$Y$1148,17,FALSE)</f>
        <v>S/M</v>
      </c>
      <c r="I11" s="167" t="str">
        <f>VLOOKUP($A11,'030523 INVENTARIO'!$A$2:$Y$1148,18,FALSE)</f>
        <v>S/M</v>
      </c>
      <c r="J11" s="167" t="str">
        <f>VLOOKUP($A11,'030523 INVENTARIO'!$A$2:$Y$1148,19,FALSE)</f>
        <v>SIN SERIE</v>
      </c>
      <c r="K11" s="167" t="str">
        <f>VLOOKUP($A11,'030523 INVENTARIO'!$A$2:$Y$1148,20,FALSE)</f>
        <v>82DH0511010005000651084</v>
      </c>
      <c r="L11" s="167" t="str">
        <f>VLOOKUP($A11,'030523 INVENTARIO'!$A$2:$Y$1148,23,FALSE)</f>
        <v>ROSAURA MENDEZ SALGADO</v>
      </c>
    </row>
    <row r="12" spans="1:12" ht="12.75" hidden="1">
      <c r="A12" s="167" t="str">
        <f>'030523 INVENTARIO'!A12</f>
        <v>0011</v>
      </c>
      <c r="B12" s="167" t="str">
        <f>'030523 INVENTARIO'!T12</f>
        <v>82DH0511010006000518529</v>
      </c>
      <c r="C12" s="167" t="str">
        <f t="shared" si="0"/>
        <v>518529</v>
      </c>
      <c r="D12" s="167" t="str">
        <f>IF(VLOOKUP(C12,'Patrimonio 2023'!$C$2:$C$1128,1,FALSE) = C12, "Encontrado", "no")</f>
        <v>Encontrado</v>
      </c>
      <c r="E12" s="167" t="str">
        <f>VLOOKUP($A12,'030523 INVENTARIO'!$A$2:$Y$1148,5,FALSE)</f>
        <v>ESCRITORIO</v>
      </c>
      <c r="F12" s="167" t="str">
        <f>VLOOKUP($A12,'030523 INVENTARIO'!$A$2:$Y$1148,6,FALSE)</f>
        <v>ESCRITORIO DE MADERA</v>
      </c>
      <c r="G12" s="167" t="str">
        <f ca="1">VLOOKUP($A12,'030523 INVENTARIO'!$A$2:$Y$1148,8,FALSE)</f>
        <v>P05DA-0011</v>
      </c>
      <c r="H12" s="168" t="str">
        <f>VLOOKUP($A12,'030523 INVENTARIO'!$A$2:$Y$1148,17,FALSE)</f>
        <v>S/M</v>
      </c>
      <c r="I12" s="167" t="str">
        <f>VLOOKUP($A12,'030523 INVENTARIO'!$A$2:$Y$1148,18,FALSE)</f>
        <v>S/M</v>
      </c>
      <c r="J12" s="167" t="str">
        <f>VLOOKUP($A12,'030523 INVENTARIO'!$A$2:$Y$1148,19,FALSE)</f>
        <v>SIN SERIE</v>
      </c>
      <c r="K12" s="167" t="str">
        <f>VLOOKUP($A12,'030523 INVENTARIO'!$A$2:$Y$1148,20,FALSE)</f>
        <v>82DH0511010006000518529</v>
      </c>
      <c r="L12" s="167" t="str">
        <f>VLOOKUP($A12,'030523 INVENTARIO'!$A$2:$Y$1148,23,FALSE)</f>
        <v>ROSAURA MENDEZ SALGADO</v>
      </c>
    </row>
    <row r="13" spans="1:12" ht="12.75" hidden="1">
      <c r="A13" s="167" t="str">
        <f>'030523 INVENTARIO'!A13</f>
        <v>0012</v>
      </c>
      <c r="B13" s="167" t="str">
        <f>'030523 INVENTARIO'!T13</f>
        <v>82DH0531010065000564882</v>
      </c>
      <c r="C13" s="167" t="str">
        <f t="shared" si="0"/>
        <v>564882</v>
      </c>
      <c r="D13" s="167" t="str">
        <f>IF(VLOOKUP(C13,'Patrimonio 2023'!$C$2:$C$1128,1,FALSE) = C13, "Encontrado", "no")</f>
        <v>Encontrado</v>
      </c>
      <c r="E13" s="167" t="str">
        <f>VLOOKUP($A13,'030523 INVENTARIO'!$A$2:$Y$1148,5,FALSE)</f>
        <v>ESCRITORIO</v>
      </c>
      <c r="F13" s="167" t="str">
        <f>VLOOKUP($A13,'030523 INVENTARIO'!$A$2:$Y$1148,6,FALSE)</f>
        <v>ESCRITORIO COMPLEMENTO</v>
      </c>
      <c r="G13" s="167" t="str">
        <f ca="1">VLOOKUP($A13,'030523 INVENTARIO'!$A$2:$Y$1148,8,FALSE)</f>
        <v>P05DA-0012</v>
      </c>
      <c r="H13" s="168" t="str">
        <f>VLOOKUP($A13,'030523 INVENTARIO'!$A$2:$Y$1148,17,FALSE)</f>
        <v>S/M</v>
      </c>
      <c r="I13" s="167" t="str">
        <f>VLOOKUP($A13,'030523 INVENTARIO'!$A$2:$Y$1148,18,FALSE)</f>
        <v>S/M</v>
      </c>
      <c r="J13" s="167" t="str">
        <f>VLOOKUP($A13,'030523 INVENTARIO'!$A$2:$Y$1148,19,FALSE)</f>
        <v>SIN SERIE</v>
      </c>
      <c r="K13" s="167" t="str">
        <f>VLOOKUP($A13,'030523 INVENTARIO'!$A$2:$Y$1148,20,FALSE)</f>
        <v>82DH0531010065000564882</v>
      </c>
      <c r="L13" s="167" t="str">
        <f>VLOOKUP($A13,'030523 INVENTARIO'!$A$2:$Y$1148,23,FALSE)</f>
        <v>ROSAURA MENDEZ SALGADO</v>
      </c>
    </row>
    <row r="14" spans="1:12" ht="12.75" hidden="1">
      <c r="A14" s="167" t="str">
        <f>'030523 INVENTARIO'!A14</f>
        <v>0013</v>
      </c>
      <c r="B14" s="167" t="str">
        <f>'030523 INVENTARIO'!T14</f>
        <v>82DH0511010006000583468</v>
      </c>
      <c r="C14" s="167" t="str">
        <f t="shared" si="0"/>
        <v>583468</v>
      </c>
      <c r="D14" s="167" t="str">
        <f>IF(VLOOKUP(C14,'Patrimonio 2023'!$C$2:$C$1128,1,FALSE) = C14, "Encontrado", "no")</f>
        <v>Encontrado</v>
      </c>
      <c r="E14" s="167" t="str">
        <f>VLOOKUP($A14,'030523 INVENTARIO'!$A$2:$Y$1148,5,FALSE)</f>
        <v>ESCRITORIO</v>
      </c>
      <c r="F14" s="167" t="str">
        <f>VLOOKUP($A14,'030523 INVENTARIO'!$A$2:$Y$1148,6,FALSE)</f>
        <v>ESCRITORIO DE MADERA TIPO ISLA 4 PIEZAS</v>
      </c>
      <c r="G14" s="167" t="str">
        <f ca="1">VLOOKUP($A14,'030523 INVENTARIO'!$A$2:$Y$1148,8,FALSE)</f>
        <v>P05DA-0013</v>
      </c>
      <c r="H14" s="168" t="str">
        <f>VLOOKUP($A14,'030523 INVENTARIO'!$A$2:$Y$1148,17,FALSE)</f>
        <v>S/M</v>
      </c>
      <c r="I14" s="167" t="str">
        <f>VLOOKUP($A14,'030523 INVENTARIO'!$A$2:$Y$1148,18,FALSE)</f>
        <v>S/M</v>
      </c>
      <c r="J14" s="167" t="str">
        <f>VLOOKUP($A14,'030523 INVENTARIO'!$A$2:$Y$1148,19,FALSE)</f>
        <v>SIN SERIE</v>
      </c>
      <c r="K14" s="167" t="str">
        <f>VLOOKUP($A14,'030523 INVENTARIO'!$A$2:$Y$1148,20,FALSE)</f>
        <v>82DH0511010006000583468</v>
      </c>
      <c r="L14" s="167" t="str">
        <f>VLOOKUP($A14,'030523 INVENTARIO'!$A$2:$Y$1148,23,FALSE)</f>
        <v>ROSAURA MENDEZ SALGADO</v>
      </c>
    </row>
    <row r="15" spans="1:12" ht="12.75" hidden="1">
      <c r="A15" s="167" t="str">
        <f>'030523 INVENTARIO'!A15</f>
        <v>0014</v>
      </c>
      <c r="B15" s="167" t="str">
        <f>'030523 INVENTARIO'!T15</f>
        <v>82DJ0515010014000539048</v>
      </c>
      <c r="C15" s="167" t="str">
        <f t="shared" si="0"/>
        <v>539048</v>
      </c>
      <c r="D15" s="167" t="str">
        <f>IF(VLOOKUP(C15,'Patrimonio 2023'!$C$2:$C$1128,1,FALSE) = C15, "Encontrado", "no")</f>
        <v>Encontrado</v>
      </c>
      <c r="E15" s="167" t="str">
        <f>VLOOKUP($A15,'030523 INVENTARIO'!$A$2:$Y$1148,5,FALSE)</f>
        <v>MULTIFUNCIONAL</v>
      </c>
      <c r="F15" s="167" t="str">
        <f>VLOOKUP($A15,'030523 INVENTARIO'!$A$2:$Y$1148,6,FALSE)</f>
        <v>IMPRESORA MULTIFUNCIONAL</v>
      </c>
      <c r="G15" s="167" t="str">
        <f ca="1">VLOOKUP($A15,'030523 INVENTARIO'!$A$2:$Y$1148,8,FALSE)</f>
        <v>P05RM-0014</v>
      </c>
      <c r="H15" s="168" t="str">
        <f>VLOOKUP($A15,'030523 INVENTARIO'!$A$2:$Y$1148,17,FALSE)</f>
        <v>CANON</v>
      </c>
      <c r="I15" s="167" t="str">
        <f>VLOOKUP($A15,'030523 INVENTARIO'!$A$2:$Y$1148,18,FALSE)</f>
        <v>PIXMA-MP280</v>
      </c>
      <c r="J15" s="167" t="str">
        <f>VLOOKUP($A15,'030523 INVENTARIO'!$A$2:$Y$1148,19,FALSE)</f>
        <v>LHWC04690</v>
      </c>
      <c r="K15" s="167" t="str">
        <f>VLOOKUP($A15,'030523 INVENTARIO'!$A$2:$Y$1148,20,FALSE)</f>
        <v>82DJ0515010014000539048</v>
      </c>
      <c r="L15" s="167" t="str">
        <f>VLOOKUP($A15,'030523 INVENTARIO'!$A$2:$Y$1148,23,FALSE)</f>
        <v xml:space="preserve">BLANCA ELIZABETH ALCANTAR </v>
      </c>
    </row>
    <row r="16" spans="1:12" ht="12.75" hidden="1">
      <c r="A16" s="167" t="str">
        <f>'030523 INVENTARIO'!A16</f>
        <v>0015</v>
      </c>
      <c r="B16" s="167" t="str">
        <f>'030523 INVENTARIO'!T16</f>
        <v>82DK0515010013000650653</v>
      </c>
      <c r="C16" s="167" t="str">
        <f t="shared" si="0"/>
        <v>650653</v>
      </c>
      <c r="D16" s="167" t="str">
        <f>IF(VLOOKUP(C16,'Patrimonio 2023'!$C$2:$C$1128,1,FALSE) = C16, "Encontrado", "no")</f>
        <v>Encontrado</v>
      </c>
      <c r="E16" s="167" t="str">
        <f>VLOOKUP($A16,'030523 INVENTARIO'!$A$2:$Y$1148,5,FALSE)</f>
        <v>MONITOR</v>
      </c>
      <c r="F16" s="167" t="str">
        <f>VLOOKUP($A16,'030523 INVENTARIO'!$A$2:$Y$1148,6,FALSE)</f>
        <v>MONITOR 19.5"</v>
      </c>
      <c r="G16" s="167" t="str">
        <f ca="1">VLOOKUP($A16,'030523 INVENTARIO'!$A$2:$Y$1148,8,FALSE)</f>
        <v>P05DA-0015</v>
      </c>
      <c r="H16" s="168" t="str">
        <f>VLOOKUP($A16,'030523 INVENTARIO'!$A$2:$Y$1148,17,FALSE)</f>
        <v>GHIA</v>
      </c>
      <c r="I16" s="167" t="str">
        <f>VLOOKUP($A16,'030523 INVENTARIO'!$A$2:$Y$1148,18,FALSE)</f>
        <v>MG2017</v>
      </c>
      <c r="J16" s="167" t="str">
        <f>VLOOKUP($A16,'030523 INVENTARIO'!$A$2:$Y$1148,19,FALSE)</f>
        <v>CMG2017180130136801823</v>
      </c>
      <c r="K16" s="167" t="str">
        <f>VLOOKUP($A16,'030523 INVENTARIO'!$A$2:$Y$1148,20,FALSE)</f>
        <v>82DK0515010013000650653</v>
      </c>
      <c r="L16" s="167" t="str">
        <f>VLOOKUP($A16,'030523 INVENTARIO'!$A$2:$Y$1148,23,FALSE)</f>
        <v>ROSAURA MENDEZ SALGADO</v>
      </c>
    </row>
    <row r="17" spans="1:12" ht="12.75" hidden="1">
      <c r="A17" s="167" t="str">
        <f>'030523 INVENTARIO'!A17</f>
        <v>0016</v>
      </c>
      <c r="B17" s="167" t="str">
        <f>'030523 INVENTARIO'!T17</f>
        <v>82DH0565010001000577963</v>
      </c>
      <c r="C17" s="167" t="str">
        <f t="shared" si="0"/>
        <v>577963</v>
      </c>
      <c r="D17" s="167" t="str">
        <f>IF(VLOOKUP(C17,'Patrimonio 2023'!$C$2:$C$1128,1,FALSE) = C17, "Encontrado", "no")</f>
        <v>Encontrado</v>
      </c>
      <c r="E17" s="167" t="str">
        <f>VLOOKUP($A17,'030523 INVENTARIO'!$A$2:$Y$1148,5,FALSE)</f>
        <v>TELEFONO</v>
      </c>
      <c r="F17" s="167" t="str">
        <f>VLOOKUP($A17,'030523 INVENTARIO'!$A$2:$Y$1148,6,FALSE)</f>
        <v>TELEFONO GRIS IP</v>
      </c>
      <c r="G17" s="167" t="str">
        <f ca="1">VLOOKUP($A17,'030523 INVENTARIO'!$A$2:$Y$1148,8,FALSE)</f>
        <v>P05DA-0016</v>
      </c>
      <c r="H17" s="168" t="str">
        <f>VLOOKUP($A17,'030523 INVENTARIO'!$A$2:$Y$1148,17,FALSE)</f>
        <v>LINKSYS</v>
      </c>
      <c r="I17" s="167" t="str">
        <f>VLOOKUP($A17,'030523 INVENTARIO'!$A$2:$Y$1148,18,FALSE)</f>
        <v>SPA942</v>
      </c>
      <c r="J17" s="167" t="str">
        <f>VLOOKUP($A17,'030523 INVENTARIO'!$A$2:$Y$1148,19,FALSE)</f>
        <v>4LO00H118469</v>
      </c>
      <c r="K17" s="167" t="str">
        <f>VLOOKUP($A17,'030523 INVENTARIO'!$A$2:$Y$1148,20,FALSE)</f>
        <v>82DH0565010001000577963</v>
      </c>
      <c r="L17" s="167" t="str">
        <f>VLOOKUP($A17,'030523 INVENTARIO'!$A$2:$Y$1148,23,FALSE)</f>
        <v>ROSAURA MENDEZ SALGADO</v>
      </c>
    </row>
    <row r="18" spans="1:12" ht="12.75" hidden="1">
      <c r="A18" s="167" t="str">
        <f>'030523 INVENTARIO'!A18</f>
        <v>0017</v>
      </c>
      <c r="B18" s="167" t="str">
        <f>'030523 INVENTARIO'!T18</f>
        <v>82DH0519010038000649356</v>
      </c>
      <c r="C18" s="167" t="str">
        <f t="shared" si="0"/>
        <v>649356</v>
      </c>
      <c r="D18" s="167" t="str">
        <f>IF(VLOOKUP(C18,'Patrimonio 2023'!$C$2:$C$1128,1,FALSE) = C18, "Encontrado", "no")</f>
        <v>Encontrado</v>
      </c>
      <c r="E18" s="167" t="str">
        <f>VLOOKUP($A18,'030523 INVENTARIO'!$A$2:$Y$1148,5,FALSE)</f>
        <v>FRIGOBAR</v>
      </c>
      <c r="F18" s="167" t="str">
        <f>VLOOKUP($A18,'030523 INVENTARIO'!$A$2:$Y$1148,6,FALSE)</f>
        <v>FRIGOBAR GRIS 2 PIES</v>
      </c>
      <c r="G18" s="167" t="str">
        <f ca="1">VLOOKUP($A18,'030523 INVENTARIO'!$A$2:$Y$1148,8,FALSE)</f>
        <v>P05DA-0017</v>
      </c>
      <c r="H18" s="168" t="str">
        <f>VLOOKUP($A18,'030523 INVENTARIO'!$A$2:$Y$1148,17,FALSE)</f>
        <v>HISENSE</v>
      </c>
      <c r="I18" s="167" t="str">
        <f>VLOOKUP($A18,'030523 INVENTARIO'!$A$2:$Y$1148,18,FALSE)</f>
        <v>RR16D6ALX</v>
      </c>
      <c r="J18" s="167" t="str">
        <f>VLOOKUP($A18,'030523 INVENTARIO'!$A$2:$Y$1148,19,FALSE)</f>
        <v>32KHS61295</v>
      </c>
      <c r="K18" s="167" t="str">
        <f>VLOOKUP($A18,'030523 INVENTARIO'!$A$2:$Y$1148,20,FALSE)</f>
        <v>82DH0519010038000649356</v>
      </c>
      <c r="L18" s="167" t="str">
        <f>VLOOKUP($A18,'030523 INVENTARIO'!$A$2:$Y$1148,23,FALSE)</f>
        <v>ROSAURA MENDEZ SALGADO</v>
      </c>
    </row>
    <row r="19" spans="1:12" ht="12.75" hidden="1">
      <c r="A19" s="167" t="str">
        <f>'030523 INVENTARIO'!A19</f>
        <v>0018</v>
      </c>
      <c r="B19" s="167" t="str">
        <f>'030523 INVENTARIO'!T19</f>
        <v>82DH0511010016000649519</v>
      </c>
      <c r="C19" s="167" t="str">
        <f t="shared" si="0"/>
        <v>649519</v>
      </c>
      <c r="D19" s="167" t="str">
        <f>IF(VLOOKUP(C19,'Patrimonio 2023'!$C$2:$C$1128,1,FALSE) = C19, "Encontrado", "no")</f>
        <v>Encontrado</v>
      </c>
      <c r="E19" s="167" t="str">
        <f>VLOOKUP($A19,'030523 INVENTARIO'!$A$2:$Y$1148,5,FALSE)</f>
        <v>SILLON</v>
      </c>
      <c r="F19" s="167" t="str">
        <f>VLOOKUP($A19,'030523 INVENTARIO'!$A$2:$Y$1148,6,FALSE)</f>
        <v>SILLON NEGRO VINIPIEL CON RUEDAS</v>
      </c>
      <c r="G19" s="167" t="str">
        <f ca="1">VLOOKUP($A19,'030523 INVENTARIO'!$A$2:$Y$1148,8,FALSE)</f>
        <v>P05DA-0018</v>
      </c>
      <c r="H19" s="168" t="str">
        <f>VLOOKUP($A19,'030523 INVENTARIO'!$A$2:$Y$1148,17,FALSE)</f>
        <v>S/M</v>
      </c>
      <c r="I19" s="167" t="str">
        <f>VLOOKUP($A19,'030523 INVENTARIO'!$A$2:$Y$1148,18,FALSE)</f>
        <v>S/M</v>
      </c>
      <c r="J19" s="167" t="str">
        <f>VLOOKUP($A19,'030523 INVENTARIO'!$A$2:$Y$1148,19,FALSE)</f>
        <v>SIN SERIE</v>
      </c>
      <c r="K19" s="167" t="str">
        <f>VLOOKUP($A19,'030523 INVENTARIO'!$A$2:$Y$1148,20,FALSE)</f>
        <v>82DH0511010016000649519</v>
      </c>
      <c r="L19" s="167" t="str">
        <f>VLOOKUP($A19,'030523 INVENTARIO'!$A$2:$Y$1148,23,FALSE)</f>
        <v>ROSAURA MENDEZ SALGADO</v>
      </c>
    </row>
    <row r="20" spans="1:12" ht="12.75" hidden="1">
      <c r="A20" s="167" t="str">
        <f>'030523 INVENTARIO'!A20</f>
        <v>0019</v>
      </c>
      <c r="B20" s="167" t="str">
        <f>'030523 INVENTARIO'!T20</f>
        <v>82DH0529030005000649516</v>
      </c>
      <c r="C20" s="167" t="str">
        <f t="shared" si="0"/>
        <v>649516</v>
      </c>
      <c r="D20" s="167" t="str">
        <f>IF(VLOOKUP(C20,'Patrimonio 2023'!$C$2:$C$1128,1,FALSE) = C20, "Encontrado", "no")</f>
        <v>Encontrado</v>
      </c>
      <c r="E20" s="167" t="str">
        <f>VLOOKUP($A20,'030523 INVENTARIO'!$A$2:$Y$1148,5,FALSE)</f>
        <v>PIZARRON</v>
      </c>
      <c r="F20" s="167" t="str">
        <f>VLOOKUP($A20,'030523 INVENTARIO'!$A$2:$Y$1148,6,FALSE)</f>
        <v>PIZARRON DE CORCHO 90X60</v>
      </c>
      <c r="G20" s="167" t="str">
        <f ca="1">VLOOKUP($A20,'030523 INVENTARIO'!$A$2:$Y$1148,8,FALSE)</f>
        <v>P05DA-0019</v>
      </c>
      <c r="H20" s="168" t="str">
        <f>VLOOKUP($A20,'030523 INVENTARIO'!$A$2:$Y$1148,17,FALSE)</f>
        <v>S/M</v>
      </c>
      <c r="I20" s="167" t="str">
        <f>VLOOKUP($A20,'030523 INVENTARIO'!$A$2:$Y$1148,18,FALSE)</f>
        <v>S/M</v>
      </c>
      <c r="J20" s="167" t="str">
        <f>VLOOKUP($A20,'030523 INVENTARIO'!$A$2:$Y$1148,19,FALSE)</f>
        <v>SIN SERIE</v>
      </c>
      <c r="K20" s="167" t="str">
        <f>VLOOKUP($A20,'030523 INVENTARIO'!$A$2:$Y$1148,20,FALSE)</f>
        <v>82DH0529030005000649516</v>
      </c>
      <c r="L20" s="167" t="str">
        <f>VLOOKUP($A20,'030523 INVENTARIO'!$A$2:$Y$1148,23,FALSE)</f>
        <v>ROSAURA MENDEZ SALGADO</v>
      </c>
    </row>
    <row r="21" spans="1:12" ht="12.75" hidden="1">
      <c r="A21" s="167" t="str">
        <f>'030523 INVENTARIO'!A21</f>
        <v>0020</v>
      </c>
      <c r="B21" s="167" t="str">
        <f>'030523 INVENTARIO'!T21</f>
        <v>82DH0515010003000649385</v>
      </c>
      <c r="C21" s="167" t="str">
        <f t="shared" si="0"/>
        <v>649385</v>
      </c>
      <c r="D21" s="167" t="str">
        <f>IF(VLOOKUP(C21,'Patrimonio 2023'!$C$2:$C$1128,1,FALSE) = C21, "Encontrado", "no")</f>
        <v>Encontrado</v>
      </c>
      <c r="E21" s="167" t="str">
        <f>VLOOKUP($A21,'030523 INVENTARIO'!$A$2:$Y$1148,5,FALSE)</f>
        <v>COMPUTADORA DE ESCRITORIO</v>
      </c>
      <c r="F21" s="167" t="str">
        <f>VLOOKUP($A21,'030523 INVENTARIO'!$A$2:$Y$1148,6,FALSE)</f>
        <v>COMPUTADORA ALL IN ONE BLANCA CON BASE METALICA</v>
      </c>
      <c r="G21" s="167" t="str">
        <f ca="1">VLOOKUP($A21,'030523 INVENTARIO'!$A$2:$Y$1148,8,FALSE)</f>
        <v>P05DA-0020</v>
      </c>
      <c r="H21" s="168" t="str">
        <f>VLOOKUP($A21,'030523 INVENTARIO'!$A$2:$Y$1148,17,FALSE)</f>
        <v>HP</v>
      </c>
      <c r="I21" s="167" t="str">
        <f>VLOOKUP($A21,'030523 INVENTARIO'!$A$2:$Y$1148,18,FALSE)</f>
        <v>24R007LA</v>
      </c>
      <c r="J21" s="167" t="str">
        <f>VLOOKUP($A21,'030523 INVENTARIO'!$A$2:$Y$1148,19,FALSE)</f>
        <v>8CC8100Z2W</v>
      </c>
      <c r="K21" s="167" t="str">
        <f>VLOOKUP($A21,'030523 INVENTARIO'!$A$2:$Y$1148,20,FALSE)</f>
        <v>82DH0515010003000649385</v>
      </c>
      <c r="L21" s="167" t="str">
        <f>VLOOKUP($A21,'030523 INVENTARIO'!$A$2:$Y$1148,23,FALSE)</f>
        <v>ROSAURA MENDEZ SALGADO</v>
      </c>
    </row>
    <row r="22" spans="1:12" ht="12.75" hidden="1">
      <c r="A22" s="167" t="str">
        <f>'030523 INVENTARIO'!A22</f>
        <v>0021</v>
      </c>
      <c r="B22" s="167" t="str">
        <f>'030523 INVENTARIO'!T22</f>
        <v>82DH0515010006000649398</v>
      </c>
      <c r="C22" s="167" t="str">
        <f t="shared" si="0"/>
        <v>649398</v>
      </c>
      <c r="D22" s="167" t="str">
        <f>IF(VLOOKUP(C22,'Patrimonio 2023'!$C$2:$C$1128,1,FALSE) = C22, "Encontrado", "no")</f>
        <v>Encontrado</v>
      </c>
      <c r="E22" s="167" t="str">
        <f>VLOOKUP($A22,'030523 INVENTARIO'!$A$2:$Y$1148,5,FALSE)</f>
        <v>DISCO DURO</v>
      </c>
      <c r="F22" s="167" t="str">
        <f>VLOOKUP($A22,'030523 INVENTARIO'!$A$2:$Y$1148,6,FALSE)</f>
        <v>DISCO DURO EXTERNO 1TB</v>
      </c>
      <c r="G22" s="167" t="str">
        <f ca="1">VLOOKUP($A22,'030523 INVENTARIO'!$A$2:$Y$1148,8,FALSE)</f>
        <v>P05DA-0021</v>
      </c>
      <c r="H22" s="168" t="str">
        <f>VLOOKUP($A22,'030523 INVENTARIO'!$A$2:$Y$1148,17,FALSE)</f>
        <v>ADATA</v>
      </c>
      <c r="I22" s="167" t="str">
        <f>VLOOKUP($A22,'030523 INVENTARIO'!$A$2:$Y$1148,18,FALSE)</f>
        <v>HV100</v>
      </c>
      <c r="J22" s="167" t="str">
        <f>VLOOKUP($A22,'030523 INVENTARIO'!$A$2:$Y$1148,19,FALSE)</f>
        <v>1G0820150836</v>
      </c>
      <c r="K22" s="167" t="str">
        <f>VLOOKUP($A22,'030523 INVENTARIO'!$A$2:$Y$1148,20,FALSE)</f>
        <v>82DH0515010006000649398</v>
      </c>
      <c r="L22" s="167" t="str">
        <f>VLOOKUP($A22,'030523 INVENTARIO'!$A$2:$Y$1148,23,FALSE)</f>
        <v>ROSAURA MENDEZ SALGADO</v>
      </c>
    </row>
    <row r="23" spans="1:12" ht="12.75" hidden="1">
      <c r="A23" s="167" t="str">
        <f>'030523 INVENTARIO'!A23</f>
        <v>0022</v>
      </c>
      <c r="B23" s="167" t="str">
        <f>'030523 INVENTARIO'!T23</f>
        <v>82DH0511010016000515614</v>
      </c>
      <c r="C23" s="167" t="str">
        <f t="shared" si="0"/>
        <v>515614</v>
      </c>
      <c r="D23" s="167" t="str">
        <f>IF(VLOOKUP(C23,'Patrimonio 2023'!$C$2:$C$1128,1,FALSE) = C23, "Encontrado", "no")</f>
        <v>Encontrado</v>
      </c>
      <c r="E23" s="167" t="str">
        <f>VLOOKUP($A23,'030523 INVENTARIO'!$A$2:$Y$1148,5,FALSE)</f>
        <v>SILLON</v>
      </c>
      <c r="F23" s="167" t="str">
        <f>VLOOKUP($A23,'030523 INVENTARIO'!$A$2:$Y$1148,6,FALSE)</f>
        <v>SILLON NEGO VINIPIEL CON BASE METALICA</v>
      </c>
      <c r="G23" s="167" t="str">
        <f ca="1">VLOOKUP($A23,'030523 INVENTARIO'!$A$2:$Y$1148,8,FALSE)</f>
        <v>P05DA-0022</v>
      </c>
      <c r="H23" s="168" t="str">
        <f>VLOOKUP($A23,'030523 INVENTARIO'!$A$2:$Y$1148,17,FALSE)</f>
        <v>S/M</v>
      </c>
      <c r="I23" s="167" t="str">
        <f>VLOOKUP($A23,'030523 INVENTARIO'!$A$2:$Y$1148,18,FALSE)</f>
        <v>S/M</v>
      </c>
      <c r="J23" s="167" t="str">
        <f>VLOOKUP($A23,'030523 INVENTARIO'!$A$2:$Y$1148,19,FALSE)</f>
        <v>SIN SERIE</v>
      </c>
      <c r="K23" s="167" t="str">
        <f>VLOOKUP($A23,'030523 INVENTARIO'!$A$2:$Y$1148,20,FALSE)</f>
        <v>82DH0511010016000515614</v>
      </c>
      <c r="L23" s="167" t="str">
        <f>VLOOKUP($A23,'030523 INVENTARIO'!$A$2:$Y$1148,23,FALSE)</f>
        <v>ROSAURA MENDEZ SALGADO</v>
      </c>
    </row>
    <row r="24" spans="1:12" ht="12.75" hidden="1">
      <c r="A24" s="167" t="str">
        <f>'030523 INVENTARIO'!A24</f>
        <v>0023</v>
      </c>
      <c r="B24" s="168" t="str">
        <f>'030523 INVENTARIO'!T24</f>
        <v>82DH0511010016000515612</v>
      </c>
      <c r="C24" s="167" t="str">
        <f t="shared" si="0"/>
        <v>515612</v>
      </c>
      <c r="D24" s="167" t="str">
        <f>IF(VLOOKUP(C24,'Patrimonio 2023'!$C$2:$C$1128,1,FALSE) = C24, "Encontrado", "no")</f>
        <v>Encontrado</v>
      </c>
      <c r="E24" s="167" t="str">
        <f>VLOOKUP($A24,'030523 INVENTARIO'!$A$2:$Y$1148,5,FALSE)</f>
        <v>SILLON</v>
      </c>
      <c r="F24" s="167" t="str">
        <f>VLOOKUP($A24,'030523 INVENTARIO'!$A$2:$Y$1148,6,FALSE)</f>
        <v>SILLON NEGO VINIPIEL CON BASE METALICA</v>
      </c>
      <c r="G24" s="167" t="str">
        <f ca="1">VLOOKUP($A24,'030523 INVENTARIO'!$A$2:$Y$1148,8,FALSE)</f>
        <v>P05DA-0023</v>
      </c>
      <c r="H24" s="168" t="str">
        <f>VLOOKUP($A24,'030523 INVENTARIO'!$A$2:$Y$1148,17,FALSE)</f>
        <v>S/M</v>
      </c>
      <c r="I24" s="167" t="str">
        <f>VLOOKUP($A24,'030523 INVENTARIO'!$A$2:$Y$1148,18,FALSE)</f>
        <v>S/M</v>
      </c>
      <c r="J24" s="168" t="str">
        <f>VLOOKUP($A24,'030523 INVENTARIO'!$A$2:$Y$1148,19,FALSE)</f>
        <v>SIN SERIE</v>
      </c>
      <c r="K24" s="168" t="str">
        <f>VLOOKUP($A24,'030523 INVENTARIO'!$A$2:$Y$1148,20,FALSE)</f>
        <v>82DH0511010016000515612</v>
      </c>
      <c r="L24" s="167" t="str">
        <f>VLOOKUP($A24,'030523 INVENTARIO'!$A$2:$Y$1148,23,FALSE)</f>
        <v>ROSAURA MENDEZ SALGADO</v>
      </c>
    </row>
    <row r="25" spans="1:12" ht="12.75" hidden="1">
      <c r="A25" s="167" t="str">
        <f>'030523 INVENTARIO'!A25</f>
        <v>0024</v>
      </c>
      <c r="B25" s="168" t="str">
        <f>'030523 INVENTARIO'!T25</f>
        <v>82DH0512010018000566902</v>
      </c>
      <c r="C25" s="167" t="str">
        <f t="shared" si="0"/>
        <v>566902</v>
      </c>
      <c r="D25" s="167" t="str">
        <f>IF(VLOOKUP(C25,'Patrimonio 2023'!$C$2:$C$1128,1,FALSE) = C25, "Encontrado", "no")</f>
        <v>Encontrado</v>
      </c>
      <c r="E25" s="167" t="str">
        <f>VLOOKUP($A25,'030523 INVENTARIO'!$A$2:$Y$1148,5,FALSE)</f>
        <v>PERCHERO</v>
      </c>
      <c r="F25" s="167" t="str">
        <f>VLOOKUP($A25,'030523 INVENTARIO'!$A$2:$Y$1148,6,FALSE)</f>
        <v>PERCHERO NEGRO</v>
      </c>
      <c r="G25" s="167" t="str">
        <f ca="1">VLOOKUP($A25,'030523 INVENTARIO'!$A$2:$Y$1148,8,FALSE)</f>
        <v>P05DA-0024</v>
      </c>
      <c r="H25" s="168" t="str">
        <f>VLOOKUP($A25,'030523 INVENTARIO'!$A$2:$Y$1148,17,FALSE)</f>
        <v>S/M</v>
      </c>
      <c r="I25" s="167" t="str">
        <f>VLOOKUP($A25,'030523 INVENTARIO'!$A$2:$Y$1148,18,FALSE)</f>
        <v>S/M</v>
      </c>
      <c r="J25" s="168" t="str">
        <f>VLOOKUP($A25,'030523 INVENTARIO'!$A$2:$Y$1148,19,FALSE)</f>
        <v>SIN SERIE</v>
      </c>
      <c r="K25" s="168" t="str">
        <f>VLOOKUP($A25,'030523 INVENTARIO'!$A$2:$Y$1148,20,FALSE)</f>
        <v>82DH0512010018000566902</v>
      </c>
      <c r="L25" s="167" t="str">
        <f>VLOOKUP($A25,'030523 INVENTARIO'!$A$2:$Y$1148,23,FALSE)</f>
        <v>ROSAURA MENDEZ SALGADO</v>
      </c>
    </row>
    <row r="26" spans="1:12" ht="12.75" hidden="1">
      <c r="A26" s="167" t="str">
        <f>'030523 INVENTARIO'!A26</f>
        <v>0025</v>
      </c>
      <c r="B26" s="167" t="str">
        <f>'030523 INVENTARIO'!T26</f>
        <v>SIN RESGUARDO</v>
      </c>
      <c r="C26" s="167" t="str">
        <f t="shared" si="0"/>
        <v/>
      </c>
      <c r="D26" s="167" t="e">
        <f>IF(VLOOKUP(C26,'Patrimonio 2023'!$C$2:$C$1128,1,FALSE) = C26, "Encontrado", "no")</f>
        <v>#N/A</v>
      </c>
      <c r="E26" s="167" t="str">
        <f>VLOOKUP($A26,'030523 INVENTARIO'!$A$2:$Y$1148,5,FALSE)</f>
        <v>TRITURADORA DE PAPEL</v>
      </c>
      <c r="F26" s="167" t="str">
        <f>VLOOKUP($A26,'030523 INVENTARIO'!$A$2:$Y$1148,6,FALSE)</f>
        <v>TRITURADORA DE PAPEL</v>
      </c>
      <c r="G26" s="167" t="str">
        <f ca="1">VLOOKUP($A26,'030523 INVENTARIO'!$A$2:$Y$1148,8,FALSE)</f>
        <v>P05DA-0025</v>
      </c>
      <c r="H26" s="168" t="str">
        <f>VLOOKUP($A26,'030523 INVENTARIO'!$A$2:$Y$1148,17,FALSE)</f>
        <v>ROYAL</v>
      </c>
      <c r="I26" s="167" t="str">
        <f>VLOOKUP($A26,'030523 INVENTARIO'!$A$2:$Y$1148,18,FALSE)</f>
        <v>1216X</v>
      </c>
      <c r="J26" s="167" t="str">
        <f>VLOOKUP($A26,'030523 INVENTARIO'!$A$2:$Y$1148,19,FALSE)</f>
        <v>SIN SERIE</v>
      </c>
      <c r="K26" s="167" t="str">
        <f>VLOOKUP($A26,'030523 INVENTARIO'!$A$2:$Y$1148,20,FALSE)</f>
        <v>SIN RESGUARDO</v>
      </c>
      <c r="L26" s="167" t="str">
        <f>VLOOKUP($A26,'030523 INVENTARIO'!$A$2:$Y$1148,23,FALSE)</f>
        <v>ROSAURA MENDEZ SALGADO</v>
      </c>
    </row>
    <row r="27" spans="1:12" ht="12.75" hidden="1">
      <c r="A27" s="167" t="str">
        <f>'030523 INVENTARIO'!A27</f>
        <v>0026</v>
      </c>
      <c r="B27" s="167" t="str">
        <f>'030523 INVENTARIO'!T27</f>
        <v>82DH0515010016000522299</v>
      </c>
      <c r="C27" s="167" t="str">
        <f t="shared" si="0"/>
        <v>522299</v>
      </c>
      <c r="D27" s="167" t="str">
        <f>IF(VLOOKUP(C27,'Patrimonio 2023'!$C$2:$C$1128,1,FALSE) = C27, "Encontrado", "no")</f>
        <v>Encontrado</v>
      </c>
      <c r="E27" s="167" t="str">
        <f>VLOOKUP($A27,'030523 INVENTARIO'!$A$2:$Y$1148,5,FALSE)</f>
        <v>NO BREAK</v>
      </c>
      <c r="F27" s="167" t="str">
        <f>VLOOKUP($A27,'030523 INVENTARIO'!$A$2:$Y$1148,6,FALSE)</f>
        <v>NO BREAK NEGRO</v>
      </c>
      <c r="G27" s="167" t="str">
        <f ca="1">VLOOKUP($A27,'030523 INVENTARIO'!$A$2:$Y$1148,8,FALSE)</f>
        <v>P05DA-0026</v>
      </c>
      <c r="H27" s="168" t="str">
        <f>VLOOKUP($A27,'030523 INVENTARIO'!$A$2:$Y$1148,17,FALSE)</f>
        <v>CDP</v>
      </c>
      <c r="I27" s="167" t="str">
        <f>VLOOKUP($A27,'030523 INVENTARIO'!$A$2:$Y$1148,18,FALSE)</f>
        <v>B-UPR706120VAC</v>
      </c>
      <c r="J27" s="167">
        <f>VLOOKUP($A27,'030523 INVENTARIO'!$A$2:$Y$1148,19,FALSE)</f>
        <v>5827700022</v>
      </c>
      <c r="K27" s="167" t="str">
        <f>VLOOKUP($A27,'030523 INVENTARIO'!$A$2:$Y$1148,20,FALSE)</f>
        <v>82DH0515010016000522299</v>
      </c>
      <c r="L27" s="167" t="str">
        <f>VLOOKUP($A27,'030523 INVENTARIO'!$A$2:$Y$1148,23,FALSE)</f>
        <v>ROSAURA MENDEZ SALGADO</v>
      </c>
    </row>
    <row r="28" spans="1:12" ht="12.75" hidden="1">
      <c r="A28" s="167" t="str">
        <f>'030523 INVENTARIO'!A28</f>
        <v>0027</v>
      </c>
      <c r="B28" s="168" t="str">
        <f>'030523 INVENTARIO'!T28</f>
        <v>82DK0511010016000649505</v>
      </c>
      <c r="C28" s="167" t="str">
        <f t="shared" si="0"/>
        <v>649505</v>
      </c>
      <c r="D28" s="167" t="str">
        <f>IF(VLOOKUP(C28,'Patrimonio 2023'!$C$2:$C$1128,1,FALSE) = C28, "Encontrado", "no")</f>
        <v>Encontrado</v>
      </c>
      <c r="E28" s="167" t="str">
        <f>VLOOKUP($A28,'030523 INVENTARIO'!$A$2:$Y$1148,5,FALSE)</f>
        <v>SILLON</v>
      </c>
      <c r="F28" s="167" t="str">
        <f>VLOOKUP($A28,'030523 INVENTARIO'!$A$2:$Y$1148,6,FALSE)</f>
        <v>SILLON DE VINIPIEL CON RUEDAS</v>
      </c>
      <c r="G28" s="167" t="str">
        <f ca="1">VLOOKUP($A28,'030523 INVENTARIO'!$A$2:$Y$1148,8,FALSE)</f>
        <v>P05RM-0027</v>
      </c>
      <c r="H28" s="168" t="str">
        <f>VLOOKUP($A28,'030523 INVENTARIO'!$A$2:$Y$1148,17,FALSE)</f>
        <v>S/M</v>
      </c>
      <c r="I28" s="167" t="str">
        <f>VLOOKUP($A28,'030523 INVENTARIO'!$A$2:$Y$1148,18,FALSE)</f>
        <v>S/M</v>
      </c>
      <c r="J28" s="168" t="str">
        <f>VLOOKUP($A28,'030523 INVENTARIO'!$A$2:$Y$1148,19,FALSE)</f>
        <v>SIN SERIE</v>
      </c>
      <c r="K28" s="168" t="str">
        <f>VLOOKUP($A28,'030523 INVENTARIO'!$A$2:$Y$1148,20,FALSE)</f>
        <v>82DK0511010016000649505</v>
      </c>
      <c r="L28" s="167" t="str">
        <f>VLOOKUP($A28,'030523 INVENTARIO'!$A$2:$Y$1148,23,FALSE)</f>
        <v>ANTONIO CESAR REYES LOPEZ</v>
      </c>
    </row>
    <row r="29" spans="1:12" ht="12.75" hidden="1">
      <c r="A29" s="167" t="e">
        <f t="shared" ref="A29:B29" si="2">#REF!</f>
        <v>#REF!</v>
      </c>
      <c r="B29" s="167" t="e">
        <f t="shared" si="2"/>
        <v>#REF!</v>
      </c>
      <c r="C29" s="167" t="e">
        <f t="shared" si="0"/>
        <v>#REF!</v>
      </c>
      <c r="D29" s="167" t="e">
        <f>IF(VLOOKUP(C29,'Patrimonio 2023'!$C$2:$C$1128,1,FALSE) = C29, "Encontrado", "no")</f>
        <v>#REF!</v>
      </c>
      <c r="E29" s="167" t="e">
        <f>VLOOKUP($A29,'030523 INVENTARIO'!$A$2:$Y$1148,5,FALSE)</f>
        <v>#REF!</v>
      </c>
      <c r="F29" s="167" t="e">
        <f>VLOOKUP($A29,'030523 INVENTARIO'!$A$2:$Y$1148,6,FALSE)</f>
        <v>#REF!</v>
      </c>
      <c r="G29" s="167" t="e">
        <f>VLOOKUP($A29,'030523 INVENTARIO'!$A$2:$Y$1148,8,FALSE)</f>
        <v>#REF!</v>
      </c>
      <c r="H29" s="167" t="e">
        <f>VLOOKUP($A29,'030523 INVENTARIO'!$A$2:$Y$1148,17,FALSE)</f>
        <v>#REF!</v>
      </c>
      <c r="I29" s="167" t="e">
        <f>VLOOKUP($A29,'030523 INVENTARIO'!$A$2:$Y$1148,18,FALSE)</f>
        <v>#REF!</v>
      </c>
      <c r="J29" s="167" t="e">
        <f>VLOOKUP($A29,'030523 INVENTARIO'!$A$2:$Y$1148,19,FALSE)</f>
        <v>#REF!</v>
      </c>
      <c r="K29" s="167" t="e">
        <f>VLOOKUP($A29,'030523 INVENTARIO'!$A$2:$Y$1148,20,FALSE)</f>
        <v>#REF!</v>
      </c>
      <c r="L29" s="167" t="e">
        <f>VLOOKUP($A29,'030523 INVENTARIO'!$A$2:$Y$1148,23,FALSE)</f>
        <v>#REF!</v>
      </c>
    </row>
    <row r="30" spans="1:12" ht="12.75" hidden="1">
      <c r="A30" s="167" t="e">
        <f t="shared" ref="A30:B30" si="3">#REF!</f>
        <v>#REF!</v>
      </c>
      <c r="B30" s="167" t="e">
        <f t="shared" si="3"/>
        <v>#REF!</v>
      </c>
      <c r="C30" s="167" t="e">
        <f t="shared" si="0"/>
        <v>#REF!</v>
      </c>
      <c r="D30" s="167" t="e">
        <f>IF(VLOOKUP(C30,'Patrimonio 2023'!$C$2:$C$1128,1,FALSE) = C30, "Encontrado", "no")</f>
        <v>#REF!</v>
      </c>
      <c r="E30" s="167" t="e">
        <f>VLOOKUP($A30,'030523 INVENTARIO'!$A$2:$Y$1148,5,FALSE)</f>
        <v>#REF!</v>
      </c>
      <c r="F30" s="167" t="e">
        <f>VLOOKUP($A30,'030523 INVENTARIO'!$A$2:$Y$1148,6,FALSE)</f>
        <v>#REF!</v>
      </c>
      <c r="G30" s="167" t="e">
        <f>VLOOKUP($A30,'030523 INVENTARIO'!$A$2:$Y$1148,8,FALSE)</f>
        <v>#REF!</v>
      </c>
      <c r="H30" s="167" t="e">
        <f>VLOOKUP($A30,'030523 INVENTARIO'!$A$2:$Y$1148,17,FALSE)</f>
        <v>#REF!</v>
      </c>
      <c r="I30" s="167" t="e">
        <f>VLOOKUP($A30,'030523 INVENTARIO'!$A$2:$Y$1148,18,FALSE)</f>
        <v>#REF!</v>
      </c>
      <c r="J30" s="167" t="e">
        <f>VLOOKUP($A30,'030523 INVENTARIO'!$A$2:$Y$1148,19,FALSE)</f>
        <v>#REF!</v>
      </c>
      <c r="K30" s="167" t="e">
        <f>VLOOKUP($A30,'030523 INVENTARIO'!$A$2:$Y$1148,20,FALSE)</f>
        <v>#REF!</v>
      </c>
      <c r="L30" s="167" t="e">
        <f>VLOOKUP($A30,'030523 INVENTARIO'!$A$2:$Y$1148,23,FALSE)</f>
        <v>#REF!</v>
      </c>
    </row>
    <row r="31" spans="1:12" ht="12.75" hidden="1">
      <c r="A31" s="167" t="str">
        <f>'030523 INVENTARIO'!A31</f>
        <v>0030</v>
      </c>
      <c r="B31" s="168" t="str">
        <f>'030523 INVENTARIO'!T31</f>
        <v>82DK0515010033000566418</v>
      </c>
      <c r="C31" s="167" t="str">
        <f t="shared" si="0"/>
        <v>566418</v>
      </c>
      <c r="D31" s="167" t="str">
        <f>IF(VLOOKUP(C31,'Patrimonio 2023'!$C$2:$C$1128,1,FALSE) = C31, "Encontrado", "no")</f>
        <v>Encontrado</v>
      </c>
      <c r="E31" s="167" t="str">
        <f>VLOOKUP($A31,'030523 INVENTARIO'!$A$2:$Y$1148,5,FALSE)</f>
        <v>COMPLEMENTO DE EQUIPO DE MADERA</v>
      </c>
      <c r="F31" s="168" t="str">
        <f>VLOOKUP($A31,'030523 INVENTARIO'!$A$2:$Y$1148,6,FALSE)</f>
        <v>COMPLEMENTO DE EQUIPO DE MADERA</v>
      </c>
      <c r="G31" s="167" t="str">
        <f ca="1">VLOOKUP($A31,'030523 INVENTARIO'!$A$2:$Y$1148,8,FALSE)</f>
        <v>P05DA-0030</v>
      </c>
      <c r="H31" s="168" t="str">
        <f>VLOOKUP($A31,'030523 INVENTARIO'!$A$2:$Y$1148,17,FALSE)</f>
        <v>S/M</v>
      </c>
      <c r="I31" s="167" t="str">
        <f>VLOOKUP($A31,'030523 INVENTARIO'!$A$2:$Y$1148,18,FALSE)</f>
        <v>S/M</v>
      </c>
      <c r="J31" s="168" t="str">
        <f>VLOOKUP($A31,'030523 INVENTARIO'!$A$2:$Y$1148,19,FALSE)</f>
        <v>SIN SERIE</v>
      </c>
      <c r="K31" s="168" t="str">
        <f>VLOOKUP($A31,'030523 INVENTARIO'!$A$2:$Y$1148,20,FALSE)</f>
        <v>82DK0515010033000566418</v>
      </c>
      <c r="L31" s="167" t="str">
        <f>VLOOKUP($A31,'030523 INVENTARIO'!$A$2:$Y$1148,23,FALSE)</f>
        <v>SARA ARCELIA LOPEZ NAVARRO</v>
      </c>
    </row>
    <row r="32" spans="1:12" ht="12.75" hidden="1">
      <c r="A32" s="167" t="str">
        <f>'030523 INVENTARIO'!A32</f>
        <v>0031</v>
      </c>
      <c r="B32" s="168" t="str">
        <f>'030523 INVENTARIO'!T32</f>
        <v>82DK0565010001000533366</v>
      </c>
      <c r="C32" s="167" t="str">
        <f t="shared" si="0"/>
        <v>533366</v>
      </c>
      <c r="D32" s="167" t="str">
        <f>IF(VLOOKUP(C32,'Patrimonio 2023'!$C$2:$C$1128,1,FALSE) = C32, "Encontrado", "no")</f>
        <v>Encontrado</v>
      </c>
      <c r="E32" s="167" t="str">
        <f>VLOOKUP($A32,'030523 INVENTARIO'!$A$2:$Y$1148,5,FALSE)</f>
        <v>TELEFONO</v>
      </c>
      <c r="F32" s="167" t="str">
        <f>VLOOKUP($A32,'030523 INVENTARIO'!$A$2:$Y$1148,6,FALSE)</f>
        <v>TELEFONO GRIS</v>
      </c>
      <c r="G32" s="167" t="str">
        <f ca="1">VLOOKUP($A32,'030523 INVENTARIO'!$A$2:$Y$1148,8,FALSE)</f>
        <v>P05DA-0031</v>
      </c>
      <c r="H32" s="168" t="str">
        <f>VLOOKUP($A32,'030523 INVENTARIO'!$A$2:$Y$1148,17,FALSE)</f>
        <v>LINKSYS</v>
      </c>
      <c r="I32" s="167" t="str">
        <f>VLOOKUP($A32,'030523 INVENTARIO'!$A$2:$Y$1148,18,FALSE)</f>
        <v>SPA942</v>
      </c>
      <c r="J32" s="168" t="str">
        <f>VLOOKUP($A32,'030523 INVENTARIO'!$A$2:$Y$1148,19,FALSE)</f>
        <v>4LO00H118467</v>
      </c>
      <c r="K32" s="168" t="str">
        <f>VLOOKUP($A32,'030523 INVENTARIO'!$A$2:$Y$1148,20,FALSE)</f>
        <v>82DK0565010001000533366</v>
      </c>
      <c r="L32" s="167" t="str">
        <f>VLOOKUP($A32,'030523 INVENTARIO'!$A$2:$Y$1148,23,FALSE)</f>
        <v>SARA ARCELIA LOPEZ NAVARRO</v>
      </c>
    </row>
    <row r="33" spans="1:12" ht="12.75" hidden="1">
      <c r="A33" s="167" t="str">
        <f>'030523 INVENTARIO'!A33</f>
        <v>0032</v>
      </c>
      <c r="B33" s="167" t="str">
        <f>'030523 INVENTARIO'!T33</f>
        <v>SIN RESGUARDO</v>
      </c>
      <c r="C33" s="167" t="str">
        <f t="shared" si="0"/>
        <v/>
      </c>
      <c r="D33" s="167" t="e">
        <f>IF(VLOOKUP(C33,'Patrimonio 2023'!$C$2:$C$1128,1,FALSE) = C33, "Encontrado", "no")</f>
        <v>#N/A</v>
      </c>
      <c r="E33" s="167" t="str">
        <f>VLOOKUP($A33,'030523 INVENTARIO'!$A$2:$Y$1148,5,FALSE)</f>
        <v>MONITOR</v>
      </c>
      <c r="F33" s="167" t="str">
        <f>VLOOKUP($A33,'030523 INVENTARIO'!$A$2:$Y$1148,6,FALSE)</f>
        <v>MONITOR 21.5"</v>
      </c>
      <c r="G33" s="167" t="str">
        <f ca="1">VLOOKUP($A33,'030523 INVENTARIO'!$A$2:$Y$1148,8,FALSE)</f>
        <v>P05DA-0032</v>
      </c>
      <c r="H33" s="168" t="str">
        <f>VLOOKUP($A33,'030523 INVENTARIO'!$A$2:$Y$1148,17,FALSE)</f>
        <v>ACER</v>
      </c>
      <c r="I33" s="167" t="str">
        <f>VLOOKUP($A33,'030523 INVENTARIO'!$A$2:$Y$1148,18,FALSE)</f>
        <v>V226HQL</v>
      </c>
      <c r="J33" s="167" t="str">
        <f>VLOOKUP($A33,'030523 INVENTARIO'!$A$2:$Y$1148,19,FALSE)</f>
        <v>MMTASAA007109004253P00</v>
      </c>
      <c r="K33" s="167" t="str">
        <f>VLOOKUP($A33,'030523 INVENTARIO'!$A$2:$Y$1148,20,FALSE)</f>
        <v>SIN RESGUARDO</v>
      </c>
      <c r="L33" s="167" t="str">
        <f>VLOOKUP($A33,'030523 INVENTARIO'!$A$2:$Y$1148,23,FALSE)</f>
        <v>SARA ARCELIA LOPEZ NAVARRO</v>
      </c>
    </row>
    <row r="34" spans="1:12" ht="12.75" hidden="1">
      <c r="A34" s="167" t="str">
        <f>'030523 INVENTARIO'!A34</f>
        <v>0033</v>
      </c>
      <c r="B34" s="167" t="str">
        <f>'030523 INVENTARIO'!T34</f>
        <v>82DI0515010016000564608</v>
      </c>
      <c r="C34" s="167" t="str">
        <f t="shared" si="0"/>
        <v>564608</v>
      </c>
      <c r="D34" s="167" t="str">
        <f>IF(VLOOKUP(C34,'Patrimonio 2023'!$C$2:$C$1128,1,FALSE) = C34, "Encontrado", "no")</f>
        <v>Encontrado</v>
      </c>
      <c r="E34" s="167" t="str">
        <f>VLOOKUP($A34,'030523 INVENTARIO'!$A$2:$Y$1148,5,FALSE)</f>
        <v>NO BREAK</v>
      </c>
      <c r="F34" s="167" t="str">
        <f>VLOOKUP($A34,'030523 INVENTARIO'!$A$2:$Y$1148,6,FALSE)</f>
        <v>NO BREAK</v>
      </c>
      <c r="G34" s="167" t="str">
        <f ca="1">VLOOKUP($A34,'030523 INVENTARIO'!$A$2:$Y$1148,8,FALSE)</f>
        <v>P05DA-0033</v>
      </c>
      <c r="H34" s="168" t="str">
        <f>VLOOKUP($A34,'030523 INVENTARIO'!$A$2:$Y$1148,17,FALSE)</f>
        <v>TRIPP LITE</v>
      </c>
      <c r="I34" s="167" t="str">
        <f>VLOOKUP($A34,'030523 INVENTARIO'!$A$2:$Y$1148,18,FALSE)</f>
        <v>INTERNET550U</v>
      </c>
      <c r="J34" s="167" t="str">
        <f>VLOOKUP($A34,'030523 INVENTARIO'!$A$2:$Y$1148,19,FALSE)</f>
        <v>2218GY0BC785701322</v>
      </c>
      <c r="K34" s="167" t="str">
        <f>VLOOKUP($A34,'030523 INVENTARIO'!$A$2:$Y$1148,20,FALSE)</f>
        <v>82DI0515010016000564608</v>
      </c>
      <c r="L34" s="167" t="str">
        <f>VLOOKUP($A34,'030523 INVENTARIO'!$A$2:$Y$1148,23,FALSE)</f>
        <v>SARA ARCELIA LOPEZ NAVARRO</v>
      </c>
    </row>
    <row r="35" spans="1:12" ht="12.75" hidden="1">
      <c r="A35" s="167" t="str">
        <f>'030523 INVENTARIO'!A35</f>
        <v>0034</v>
      </c>
      <c r="B35" s="168" t="str">
        <f>'030523 INVENTARIO'!T35</f>
        <v>82DK0531010065000580345</v>
      </c>
      <c r="C35" s="167" t="str">
        <f t="shared" si="0"/>
        <v>580345</v>
      </c>
      <c r="D35" s="167" t="str">
        <f>IF(VLOOKUP(C35,'Patrimonio 2023'!$C$2:$C$1128,1,FALSE) = C35, "Encontrado", "no")</f>
        <v>Encontrado</v>
      </c>
      <c r="E35" s="167" t="str">
        <f>VLOOKUP($A35,'030523 INVENTARIO'!$A$2:$Y$1148,5,FALSE)</f>
        <v>MESA</v>
      </c>
      <c r="F35" s="167" t="str">
        <f>VLOOKUP($A35,'030523 INVENTARIO'!$A$2:$Y$1148,6,FALSE)</f>
        <v>MESA DE MADERA CON BASE DE METAL BAJA 60X40X37</v>
      </c>
      <c r="G35" s="167" t="str">
        <f ca="1">VLOOKUP($A35,'030523 INVENTARIO'!$A$2:$Y$1148,8,FALSE)</f>
        <v>P05DA-0034</v>
      </c>
      <c r="H35" s="168" t="str">
        <f>VLOOKUP($A35,'030523 INVENTARIO'!$A$2:$Y$1148,17,FALSE)</f>
        <v>S/M</v>
      </c>
      <c r="I35" s="167" t="str">
        <f>VLOOKUP($A35,'030523 INVENTARIO'!$A$2:$Y$1148,18,FALSE)</f>
        <v>S/M</v>
      </c>
      <c r="J35" s="168" t="str">
        <f>VLOOKUP($A35,'030523 INVENTARIO'!$A$2:$Y$1148,19,FALSE)</f>
        <v>SIN SERIE</v>
      </c>
      <c r="K35" s="168" t="str">
        <f>VLOOKUP($A35,'030523 INVENTARIO'!$A$2:$Y$1148,20,FALSE)</f>
        <v>82DK0531010065000580345</v>
      </c>
      <c r="L35" s="167" t="str">
        <f>VLOOKUP($A35,'030523 INVENTARIO'!$A$2:$Y$1148,23,FALSE)</f>
        <v>SARA ARCELIA LOPEZ NAVARRO</v>
      </c>
    </row>
    <row r="36" spans="1:12" ht="12.75" hidden="1">
      <c r="A36" s="167" t="str">
        <f>'030523 INVENTARIO'!A36</f>
        <v>0035</v>
      </c>
      <c r="B36" s="167" t="str">
        <f>'030523 INVENTARIO'!T36</f>
        <v>82DH0531010094000516615</v>
      </c>
      <c r="C36" s="167" t="str">
        <f t="shared" si="0"/>
        <v>516615</v>
      </c>
      <c r="D36" s="167" t="str">
        <f>IF(VLOOKUP(C36,'Patrimonio 2023'!$C$2:$C$1128,1,FALSE) = C36, "Encontrado", "no")</f>
        <v>Encontrado</v>
      </c>
      <c r="E36" s="167" t="str">
        <f>VLOOKUP($A36,'030523 INVENTARIO'!$A$2:$Y$1148,5,FALSE)</f>
        <v>VENTILADOR</v>
      </c>
      <c r="F36" s="167" t="str">
        <f>VLOOKUP($A36,'030523 INVENTARIO'!$A$2:$Y$1148,6,FALSE)</f>
        <v>VENTILADOR CHICO GRIS</v>
      </c>
      <c r="G36" s="167" t="str">
        <f ca="1">VLOOKUP($A36,'030523 INVENTARIO'!$A$2:$Y$1148,8,FALSE)</f>
        <v>P05DA-0035</v>
      </c>
      <c r="H36" s="168" t="str">
        <f>VLOOKUP($A36,'030523 INVENTARIO'!$A$2:$Y$1148,17,FALSE)</f>
        <v>SEVILLE CLASSICS</v>
      </c>
      <c r="I36" s="167">
        <f>VLOOKUP($A36,'030523 INVENTARIO'!$A$2:$Y$1148,18,FALSE)</f>
        <v>10188</v>
      </c>
      <c r="J36" s="167" t="str">
        <f>VLOOKUP($A36,'030523 INVENTARIO'!$A$2:$Y$1148,19,FALSE)</f>
        <v>SIN SERIE</v>
      </c>
      <c r="K36" s="167" t="str">
        <f>VLOOKUP($A36,'030523 INVENTARIO'!$A$2:$Y$1148,20,FALSE)</f>
        <v>82DH0531010094000516615</v>
      </c>
      <c r="L36" s="167" t="str">
        <f>VLOOKUP($A36,'030523 INVENTARIO'!$A$2:$Y$1148,23,FALSE)</f>
        <v>SARA ARCELIA LOPEZ NAVARRO</v>
      </c>
    </row>
    <row r="37" spans="1:12" ht="12.75" hidden="1">
      <c r="A37" s="167" t="str">
        <f>'030523 INVENTARIO'!A37</f>
        <v>0036</v>
      </c>
      <c r="B37" s="167" t="str">
        <f>'030523 INVENTARIO'!T37</f>
        <v>SIN RESGUARDO</v>
      </c>
      <c r="C37" s="167" t="str">
        <f t="shared" si="0"/>
        <v/>
      </c>
      <c r="D37" s="167" t="e">
        <f>IF(VLOOKUP(C37,'Patrimonio 2023'!$C$2:$C$1128,1,FALSE) = C37, "Encontrado", "no")</f>
        <v>#N/A</v>
      </c>
      <c r="E37" s="167" t="str">
        <f>VLOOKUP($A37,'030523 INVENTARIO'!$A$2:$Y$1148,5,FALSE)</f>
        <v>TAJALAPIZ</v>
      </c>
      <c r="F37" s="167" t="str">
        <f>VLOOKUP($A37,'030523 INVENTARIO'!$A$2:$Y$1148,6,FALSE)</f>
        <v>TAJALAPIZ ELECTRICO</v>
      </c>
      <c r="G37" s="167" t="str">
        <f ca="1">VLOOKUP($A37,'030523 INVENTARIO'!$A$2:$Y$1148,8,FALSE)</f>
        <v>P05DA-0036</v>
      </c>
      <c r="H37" s="168" t="str">
        <f>VLOOKUP($A37,'030523 INVENTARIO'!$A$2:$Y$1148,17,FALSE)</f>
        <v>RIHAN</v>
      </c>
      <c r="I37" s="167" t="str">
        <f>VLOOKUP($A37,'030523 INVENTARIO'!$A$2:$Y$1148,18,FALSE)</f>
        <v>TY835</v>
      </c>
      <c r="J37" s="167" t="str">
        <f>VLOOKUP($A37,'030523 INVENTARIO'!$A$2:$Y$1148,19,FALSE)</f>
        <v>SIN SERIE</v>
      </c>
      <c r="K37" s="167" t="str">
        <f>VLOOKUP($A37,'030523 INVENTARIO'!$A$2:$Y$1148,20,FALSE)</f>
        <v>SIN RESGUARDO</v>
      </c>
      <c r="L37" s="167" t="str">
        <f>VLOOKUP($A37,'030523 INVENTARIO'!$A$2:$Y$1148,23,FALSE)</f>
        <v>SARA ARCELIA LOPEZ NAVARRO</v>
      </c>
    </row>
    <row r="38" spans="1:12" ht="12.75" hidden="1">
      <c r="A38" s="167" t="str">
        <f>'030523 INVENTARIO'!A38</f>
        <v>0037</v>
      </c>
      <c r="B38" s="167" t="str">
        <f>'030523 INVENTARIO'!T38</f>
        <v>SIN RESGUARDO</v>
      </c>
      <c r="C38" s="167" t="str">
        <f t="shared" si="0"/>
        <v/>
      </c>
      <c r="D38" s="167" t="e">
        <f>IF(VLOOKUP(C38,'Patrimonio 2023'!$C$2:$C$1128,1,FALSE) = C38, "Encontrado", "no")</f>
        <v>#N/A</v>
      </c>
      <c r="E38" s="167" t="str">
        <f>VLOOKUP($A38,'030523 INVENTARIO'!$A$2:$Y$1148,5,FALSE)</f>
        <v>MONITOR</v>
      </c>
      <c r="F38" s="167" t="str">
        <f>VLOOKUP($A38,'030523 INVENTARIO'!$A$2:$Y$1148,6,FALSE)</f>
        <v>MONITOR 21.5"</v>
      </c>
      <c r="G38" s="167" t="str">
        <f ca="1">VLOOKUP($A38,'030523 INVENTARIO'!$A$2:$Y$1148,8,FALSE)</f>
        <v>P05DA-0037</v>
      </c>
      <c r="H38" s="168" t="str">
        <f>VLOOKUP($A38,'030523 INVENTARIO'!$A$2:$Y$1148,17,FALSE)</f>
        <v>ACER</v>
      </c>
      <c r="I38" s="167" t="str">
        <f>VLOOKUP($A38,'030523 INVENTARIO'!$A$2:$Y$1148,18,FALSE)</f>
        <v>V226HQL</v>
      </c>
      <c r="J38" s="167" t="str">
        <f>VLOOKUP($A38,'030523 INVENTARIO'!$A$2:$Y$1148,19,FALSE)</f>
        <v>MMLXLAA0250480B49C4273</v>
      </c>
      <c r="K38" s="167" t="str">
        <f>VLOOKUP($A38,'030523 INVENTARIO'!$A$2:$Y$1148,20,FALSE)</f>
        <v>SIN RESGUARDO</v>
      </c>
      <c r="L38" s="167" t="str">
        <f>VLOOKUP($A38,'030523 INVENTARIO'!$A$2:$Y$1148,23,FALSE)</f>
        <v>MARIA MARTHA CASTAÑEDA REYES</v>
      </c>
    </row>
    <row r="39" spans="1:12" ht="12.75" hidden="1">
      <c r="A39" s="167" t="str">
        <f>'030523 INVENTARIO'!A39</f>
        <v>0038</v>
      </c>
      <c r="B39" s="168" t="str">
        <f>'030523 INVENTARIO'!T39</f>
        <v>82DK0565010001000538211</v>
      </c>
      <c r="C39" s="167" t="str">
        <f t="shared" si="0"/>
        <v>538211</v>
      </c>
      <c r="D39" s="167" t="str">
        <f>IF(VLOOKUP(C39,'Patrimonio 2023'!$C$2:$C$1128,1,FALSE) = C39, "Encontrado", "no")</f>
        <v>Encontrado</v>
      </c>
      <c r="E39" s="167" t="str">
        <f>VLOOKUP($A39,'030523 INVENTARIO'!$A$2:$Y$1148,5,FALSE)</f>
        <v>TELEFONO</v>
      </c>
      <c r="F39" s="167" t="str">
        <f>VLOOKUP($A39,'030523 INVENTARIO'!$A$2:$Y$1148,6,FALSE)</f>
        <v>TELEFONO GRIS</v>
      </c>
      <c r="G39" s="167" t="str">
        <f ca="1">VLOOKUP($A39,'030523 INVENTARIO'!$A$2:$Y$1148,8,FALSE)</f>
        <v>P05RM-0038</v>
      </c>
      <c r="H39" s="168" t="str">
        <f>VLOOKUP($A39,'030523 INVENTARIO'!$A$2:$Y$1148,17,FALSE)</f>
        <v>LINKSYS</v>
      </c>
      <c r="I39" s="167" t="str">
        <f>VLOOKUP($A39,'030523 INVENTARIO'!$A$2:$Y$1148,18,FALSE)</f>
        <v>SPA942</v>
      </c>
      <c r="J39" s="168" t="str">
        <f>VLOOKUP($A39,'030523 INVENTARIO'!$A$2:$Y$1148,19,FALSE)</f>
        <v>4LO00H118285</v>
      </c>
      <c r="K39" s="168" t="str">
        <f>VLOOKUP($A39,'030523 INVENTARIO'!$A$2:$Y$1148,20,FALSE)</f>
        <v>82DK0565010001000538211</v>
      </c>
      <c r="L39" s="167" t="str">
        <f>VLOOKUP($A39,'030523 INVENTARIO'!$A$2:$Y$1148,23,FALSE)</f>
        <v>BLANCA ELIZABETH ALCANTAR (OFICINA)</v>
      </c>
    </row>
    <row r="40" spans="1:12" ht="12.75" hidden="1">
      <c r="A40" s="167" t="str">
        <f>'030523 INVENTARIO'!A40</f>
        <v>0039</v>
      </c>
      <c r="B40" s="167" t="str">
        <f>'030523 INVENTARIO'!T40</f>
        <v>SIN RESGUARDO</v>
      </c>
      <c r="C40" s="167" t="str">
        <f t="shared" si="0"/>
        <v/>
      </c>
      <c r="D40" s="167" t="e">
        <f>IF(VLOOKUP(C40,'Patrimonio 2023'!$C$2:$C$1128,1,FALSE) = C40, "Encontrado", "no")</f>
        <v>#N/A</v>
      </c>
      <c r="E40" s="167" t="str">
        <f>VLOOKUP($A40,'030523 INVENTARIO'!$A$2:$Y$1148,5,FALSE)</f>
        <v>COMPUTADORA DE ESCRITORIO</v>
      </c>
      <c r="F40" s="167" t="str">
        <f>VLOOKUP($A40,'030523 INVENTARIO'!$A$2:$Y$1148,6,FALSE)</f>
        <v>COMPUTADORA DE ESCRITORIO</v>
      </c>
      <c r="G40" s="167" t="str">
        <f ca="1">VLOOKUP($A40,'030523 INVENTARIO'!$A$2:$Y$1148,8,FALSE)</f>
        <v>P05DA-0039</v>
      </c>
      <c r="H40" s="168" t="str">
        <f>VLOOKUP($A40,'030523 INVENTARIO'!$A$2:$Y$1148,17,FALSE)</f>
        <v>ACTECK</v>
      </c>
      <c r="I40" s="167" t="str">
        <f>VLOOKUP($A40,'030523 INVENTARIO'!$A$2:$Y$1148,18,FALSE)</f>
        <v>LINX</v>
      </c>
      <c r="J40" s="167">
        <f>VLOOKUP($A40,'030523 INVENTARIO'!$A$2:$Y$1148,19,FALSE)</f>
        <v>11392903011586</v>
      </c>
      <c r="K40" s="167" t="str">
        <f>VLOOKUP($A40,'030523 INVENTARIO'!$A$2:$Y$1148,20,FALSE)</f>
        <v>SIN RESGUARDO</v>
      </c>
      <c r="L40" s="167" t="str">
        <f>VLOOKUP($A40,'030523 INVENTARIO'!$A$2:$Y$1148,23,FALSE)</f>
        <v>MARIA MARTHA CASTAÑEDA REYES</v>
      </c>
    </row>
    <row r="41" spans="1:12" ht="12.75" hidden="1">
      <c r="A41" s="167" t="str">
        <f>'030523 INVENTARIO'!A41</f>
        <v>0040</v>
      </c>
      <c r="B41" s="168" t="str">
        <f>'030523 INVENTARIO'!T41</f>
        <v>82DK0511010001000518524</v>
      </c>
      <c r="C41" s="167" t="str">
        <f t="shared" si="0"/>
        <v>518524</v>
      </c>
      <c r="D41" s="167" t="str">
        <f>IF(VLOOKUP(C41,'Patrimonio 2023'!$C$2:$C$1128,1,FALSE) = C41, "Encontrado", "no")</f>
        <v>Encontrado</v>
      </c>
      <c r="E41" s="167" t="str">
        <f>VLOOKUP($A41,'030523 INVENTARIO'!$A$2:$Y$1148,5,FALSE)</f>
        <v>ARCHIVERO</v>
      </c>
      <c r="F41" s="167" t="str">
        <f>VLOOKUP($A41,'030523 INVENTARIO'!$A$2:$Y$1148,6,FALSE)</f>
        <v>ARCHIVERO GRIS CON 3 GAVETAS</v>
      </c>
      <c r="G41" s="167" t="str">
        <f ca="1">VLOOKUP($A41,'030523 INVENTARIO'!$A$2:$Y$1148,8,FALSE)</f>
        <v>P05DA-0040</v>
      </c>
      <c r="H41" s="168" t="str">
        <f>VLOOKUP($A41,'030523 INVENTARIO'!$A$2:$Y$1148,17,FALSE)</f>
        <v>S/M</v>
      </c>
      <c r="I41" s="167" t="str">
        <f>VLOOKUP($A41,'030523 INVENTARIO'!$A$2:$Y$1148,18,FALSE)</f>
        <v>S/M</v>
      </c>
      <c r="J41" s="168" t="str">
        <f>VLOOKUP($A41,'030523 INVENTARIO'!$A$2:$Y$1148,19,FALSE)</f>
        <v>SIN SERIE</v>
      </c>
      <c r="K41" s="168" t="str">
        <f>VLOOKUP($A41,'030523 INVENTARIO'!$A$2:$Y$1148,20,FALSE)</f>
        <v>82DK0511010001000518524</v>
      </c>
      <c r="L41" s="167" t="str">
        <f>VLOOKUP($A41,'030523 INVENTARIO'!$A$2:$Y$1148,23,FALSE)</f>
        <v>MARIA MARTHA CASTAÑEDA REYES</v>
      </c>
    </row>
    <row r="42" spans="1:12" ht="12.75" hidden="1">
      <c r="A42" s="167" t="str">
        <f>'030523 INVENTARIO'!A42</f>
        <v>0041</v>
      </c>
      <c r="B42" s="168" t="str">
        <f>'030523 INVENTARIO'!T42</f>
        <v>82DK0515010020000650900</v>
      </c>
      <c r="C42" s="167" t="str">
        <f t="shared" si="0"/>
        <v>650900</v>
      </c>
      <c r="D42" s="167" t="str">
        <f>IF(VLOOKUP(C42,'Patrimonio 2023'!$C$2:$C$1128,1,FALSE) = C42, "Encontrado", "no")</f>
        <v>Encontrado</v>
      </c>
      <c r="E42" s="167" t="str">
        <f>VLOOKUP($A42,'030523 INVENTARIO'!$A$2:$Y$1148,5,FALSE)</f>
        <v>REGULADOR DE VOLTAJE</v>
      </c>
      <c r="F42" s="167" t="str">
        <f>VLOOKUP($A42,'030523 INVENTARIO'!$A$2:$Y$1148,6,FALSE)</f>
        <v>REGULADOR NEGRO</v>
      </c>
      <c r="G42" s="167" t="str">
        <f ca="1">VLOOKUP($A42,'030523 INVENTARIO'!$A$2:$Y$1148,8,FALSE)</f>
        <v>P05DA-0041</v>
      </c>
      <c r="H42" s="168" t="str">
        <f>VLOOKUP($A42,'030523 INVENTARIO'!$A$2:$Y$1148,17,FALSE)</f>
        <v>KOBLENZ</v>
      </c>
      <c r="I42" s="167" t="str">
        <f>VLOOKUP($A42,'030523 INVENTARIO'!$A$2:$Y$1148,18,FALSE)</f>
        <v>RS/1400I</v>
      </c>
      <c r="J42" s="168" t="str">
        <f>VLOOKUP($A42,'030523 INVENTARIO'!$A$2:$Y$1148,19,FALSE)</f>
        <v>16-10-39231</v>
      </c>
      <c r="K42" s="168" t="str">
        <f>VLOOKUP($A42,'030523 INVENTARIO'!$A$2:$Y$1148,20,FALSE)</f>
        <v>82DK0515010020000650900</v>
      </c>
      <c r="L42" s="167" t="str">
        <f>VLOOKUP($A42,'030523 INVENTARIO'!$A$2:$Y$1148,23,FALSE)</f>
        <v>MARIA MARTHA CASTAÑEDA REYES</v>
      </c>
    </row>
    <row r="43" spans="1:12" ht="12.75" hidden="1">
      <c r="A43" s="167" t="str">
        <f>'030523 INVENTARIO'!A43</f>
        <v>0042</v>
      </c>
      <c r="B43" s="168" t="str">
        <f>'030523 INVENTARIO'!T43</f>
        <v>82DK0511010006000518530</v>
      </c>
      <c r="C43" s="167" t="str">
        <f t="shared" si="0"/>
        <v>518530</v>
      </c>
      <c r="D43" s="167" t="str">
        <f>IF(VLOOKUP(C43,'Patrimonio 2023'!$C$2:$C$1128,1,FALSE) = C43, "Encontrado", "no")</f>
        <v>Encontrado</v>
      </c>
      <c r="E43" s="167" t="str">
        <f>VLOOKUP($A43,'030523 INVENTARIO'!$A$2:$Y$1148,5,FALSE)</f>
        <v>ESCRITORIO</v>
      </c>
      <c r="F43" s="167" t="str">
        <f>VLOOKUP($A43,'030523 INVENTARIO'!$A$2:$Y$1148,6,FALSE)</f>
        <v>ESCRITORIO DE MADERA 140X60</v>
      </c>
      <c r="G43" s="167" t="str">
        <f ca="1">VLOOKUP($A43,'030523 INVENTARIO'!$A$2:$Y$1148,8,FALSE)</f>
        <v>P05DA-0042</v>
      </c>
      <c r="H43" s="168" t="str">
        <f>VLOOKUP($A43,'030523 INVENTARIO'!$A$2:$Y$1148,17,FALSE)</f>
        <v>S/M</v>
      </c>
      <c r="I43" s="167" t="str">
        <f>VLOOKUP($A43,'030523 INVENTARIO'!$A$2:$Y$1148,18,FALSE)</f>
        <v>S/M</v>
      </c>
      <c r="J43" s="168" t="str">
        <f>VLOOKUP($A43,'030523 INVENTARIO'!$A$2:$Y$1148,19,FALSE)</f>
        <v>SIN SERIE</v>
      </c>
      <c r="K43" s="168" t="str">
        <f>VLOOKUP($A43,'030523 INVENTARIO'!$A$2:$Y$1148,20,FALSE)</f>
        <v>82DK0511010006000518530</v>
      </c>
      <c r="L43" s="167" t="str">
        <f>VLOOKUP($A43,'030523 INVENTARIO'!$A$2:$Y$1148,23,FALSE)</f>
        <v>MARIA MARTHA CASTAÑEDA REYES</v>
      </c>
    </row>
    <row r="44" spans="1:12" ht="12.75" hidden="1">
      <c r="A44" s="167" t="str">
        <f>'030523 INVENTARIO'!A44</f>
        <v>0043</v>
      </c>
      <c r="B44" s="168" t="str">
        <f>'030523 INVENTARIO'!T44</f>
        <v>82DK0531010065000564832</v>
      </c>
      <c r="C44" s="167" t="str">
        <f t="shared" si="0"/>
        <v>564832</v>
      </c>
      <c r="D44" s="167" t="str">
        <f>IF(VLOOKUP(C44,'Patrimonio 2023'!$C$2:$C$1128,1,FALSE) = C44, "Encontrado", "no")</f>
        <v>Encontrado</v>
      </c>
      <c r="E44" s="167" t="str">
        <f>VLOOKUP($A44,'030523 INVENTARIO'!$A$2:$Y$1148,5,FALSE)</f>
        <v>MESA</v>
      </c>
      <c r="F44" s="167" t="str">
        <f>VLOOKUP($A44,'030523 INVENTARIO'!$A$2:$Y$1148,6,FALSE)</f>
        <v>MESA COMPLEMENTO DE ESCRITORIO 160X60</v>
      </c>
      <c r="G44" s="167" t="str">
        <f ca="1">VLOOKUP($A44,'030523 INVENTARIO'!$A$2:$Y$1148,8,FALSE)</f>
        <v>P05DA-0043</v>
      </c>
      <c r="H44" s="168" t="str">
        <f>VLOOKUP($A44,'030523 INVENTARIO'!$A$2:$Y$1148,17,FALSE)</f>
        <v>S/M</v>
      </c>
      <c r="I44" s="167" t="str">
        <f>VLOOKUP($A44,'030523 INVENTARIO'!$A$2:$Y$1148,18,FALSE)</f>
        <v>S/M</v>
      </c>
      <c r="J44" s="168" t="str">
        <f>VLOOKUP($A44,'030523 INVENTARIO'!$A$2:$Y$1148,19,FALSE)</f>
        <v>SIN SERIE</v>
      </c>
      <c r="K44" s="168" t="str">
        <f>VLOOKUP($A44,'030523 INVENTARIO'!$A$2:$Y$1148,20,FALSE)</f>
        <v>82DK0531010065000564832</v>
      </c>
      <c r="L44" s="167" t="str">
        <f>VLOOKUP($A44,'030523 INVENTARIO'!$A$2:$Y$1148,23,FALSE)</f>
        <v>MARIA MARTHA CASTAÑEDA REYES</v>
      </c>
    </row>
    <row r="45" spans="1:12" ht="12.75" hidden="1">
      <c r="A45" s="167" t="str">
        <f>'030523 INVENTARIO'!A45</f>
        <v>0044</v>
      </c>
      <c r="B45" s="168" t="str">
        <f>'030523 INVENTARIO'!T45</f>
        <v>82DK0511010017000522763</v>
      </c>
      <c r="C45" s="167" t="str">
        <f t="shared" si="0"/>
        <v>522763</v>
      </c>
      <c r="D45" s="167" t="str">
        <f>IF(VLOOKUP(C45,'Patrimonio 2023'!$C$2:$C$1128,1,FALSE) = C45, "Encontrado", "no")</f>
        <v>Encontrado</v>
      </c>
      <c r="E45" s="167" t="str">
        <f>VLOOKUP($A45,'030523 INVENTARIO'!$A$2:$Y$1148,5,FALSE)</f>
        <v>SILLA</v>
      </c>
      <c r="F45" s="167" t="str">
        <f>VLOOKUP($A45,'030523 INVENTARIO'!$A$2:$Y$1148,6,FALSE)</f>
        <v>SILLA NEGRA CON RUEDAS</v>
      </c>
      <c r="G45" s="167" t="str">
        <f ca="1">VLOOKUP($A45,'030523 INVENTARIO'!$A$2:$Y$1148,8,FALSE)</f>
        <v>P05RM-0044</v>
      </c>
      <c r="H45" s="168" t="str">
        <f>VLOOKUP($A45,'030523 INVENTARIO'!$A$2:$Y$1148,17,FALSE)</f>
        <v>S/M</v>
      </c>
      <c r="I45" s="167" t="str">
        <f>VLOOKUP($A45,'030523 INVENTARIO'!$A$2:$Y$1148,18,FALSE)</f>
        <v>S/M</v>
      </c>
      <c r="J45" s="168" t="str">
        <f>VLOOKUP($A45,'030523 INVENTARIO'!$A$2:$Y$1148,19,FALSE)</f>
        <v>SIN SERIE</v>
      </c>
      <c r="K45" s="168" t="str">
        <f>VLOOKUP($A45,'030523 INVENTARIO'!$A$2:$Y$1148,20,FALSE)</f>
        <v>82DK0511010017000522763</v>
      </c>
      <c r="L45" s="167" t="str">
        <f>VLOOKUP($A45,'030523 INVENTARIO'!$A$2:$Y$1148,23,FALSE)</f>
        <v>BLANCA ELIZABETH ALCANTAR GUERRERO</v>
      </c>
    </row>
    <row r="46" spans="1:12" ht="12.75" hidden="1">
      <c r="A46" s="167" t="str">
        <f>'030523 INVENTARIO'!A46</f>
        <v>0045</v>
      </c>
      <c r="B46" s="167" t="str">
        <f>'030523 INVENTARIO'!T46</f>
        <v>SIN RESGUARDO</v>
      </c>
      <c r="C46" s="167" t="str">
        <f t="shared" si="0"/>
        <v/>
      </c>
      <c r="D46" s="167" t="e">
        <f>IF(VLOOKUP(C46,'Patrimonio 2023'!$C$2:$C$1128,1,FALSE) = C46, "Encontrado", "no")</f>
        <v>#N/A</v>
      </c>
      <c r="E46" s="167" t="str">
        <f>VLOOKUP($A46,'030523 INVENTARIO'!$A$2:$Y$1148,5,FALSE)</f>
        <v>CAFETERA</v>
      </c>
      <c r="F46" s="167" t="str">
        <f>VLOOKUP($A46,'030523 INVENTARIO'!$A$2:$Y$1148,6,FALSE)</f>
        <v>CAFETERA</v>
      </c>
      <c r="G46" s="167" t="str">
        <f ca="1">VLOOKUP($A46,'030523 INVENTARIO'!$A$2:$Y$1148,8,FALSE)</f>
        <v>P05DA-0045</v>
      </c>
      <c r="H46" s="168" t="str">
        <f>VLOOKUP($A46,'030523 INVENTARIO'!$A$2:$Y$1148,17,FALSE)</f>
        <v>HAMILTON BEACH</v>
      </c>
      <c r="I46" s="167">
        <f>VLOOKUP($A46,'030523 INVENTARIO'!$A$2:$Y$1148,18,FALSE)</f>
        <v>40514</v>
      </c>
      <c r="J46" s="167" t="str">
        <f>VLOOKUP($A46,'030523 INVENTARIO'!$A$2:$Y$1148,19,FALSE)</f>
        <v>A2151BW</v>
      </c>
      <c r="K46" s="167" t="str">
        <f>VLOOKUP($A46,'030523 INVENTARIO'!$A$2:$Y$1148,20,FALSE)</f>
        <v>SIN RESGUARDO</v>
      </c>
      <c r="L46" s="167" t="str">
        <f>VLOOKUP($A46,'030523 INVENTARIO'!$A$2:$Y$1148,23,FALSE)</f>
        <v>ROSAURA MENDEZ SALGADO (AREAS COMUNES)</v>
      </c>
    </row>
    <row r="47" spans="1:12" ht="12.75" hidden="1">
      <c r="A47" s="167" t="str">
        <f>'030523 INVENTARIO'!A47</f>
        <v>0046</v>
      </c>
      <c r="B47" s="167" t="str">
        <f>'030523 INVENTARIO'!T47</f>
        <v>82DH0531010065000564868</v>
      </c>
      <c r="C47" s="167" t="str">
        <f t="shared" si="0"/>
        <v>564868</v>
      </c>
      <c r="D47" s="167" t="str">
        <f>IF(VLOOKUP(C47,'Patrimonio 2023'!$C$2:$C$1128,1,FALSE) = C47, "Encontrado", "no")</f>
        <v>Encontrado</v>
      </c>
      <c r="E47" s="167" t="str">
        <f>VLOOKUP($A47,'030523 INVENTARIO'!$A$2:$Y$1148,5,FALSE)</f>
        <v>MESA</v>
      </c>
      <c r="F47" s="167" t="str">
        <f>VLOOKUP($A47,'030523 INVENTARIO'!$A$2:$Y$1148,6,FALSE)</f>
        <v>MESA DE MADERA CHICA CON RUEDAS 60X40</v>
      </c>
      <c r="G47" s="167" t="str">
        <f ca="1">VLOOKUP($A47,'030523 INVENTARIO'!$A$2:$Y$1148,8,FALSE)</f>
        <v>P05DA-0046</v>
      </c>
      <c r="H47" s="168" t="str">
        <f>VLOOKUP($A47,'030523 INVENTARIO'!$A$2:$Y$1148,17,FALSE)</f>
        <v>S/M</v>
      </c>
      <c r="I47" s="167" t="str">
        <f>VLOOKUP($A47,'030523 INVENTARIO'!$A$2:$Y$1148,18,FALSE)</f>
        <v>S/M</v>
      </c>
      <c r="J47" s="167" t="str">
        <f>VLOOKUP($A47,'030523 INVENTARIO'!$A$2:$Y$1148,19,FALSE)</f>
        <v>SIN SERIE</v>
      </c>
      <c r="K47" s="167" t="str">
        <f>VLOOKUP($A47,'030523 INVENTARIO'!$A$2:$Y$1148,20,FALSE)</f>
        <v>82DH0531010065000564868</v>
      </c>
      <c r="L47" s="167" t="str">
        <f>VLOOKUP($A47,'030523 INVENTARIO'!$A$2:$Y$1148,23,FALSE)</f>
        <v>ROSAURA MENDEZ SALGADO (AREAS COMUNES)</v>
      </c>
    </row>
    <row r="48" spans="1:12" ht="12.75" hidden="1">
      <c r="A48" s="167" t="str">
        <f>'030523 INVENTARIO'!A48</f>
        <v>0047</v>
      </c>
      <c r="B48" s="168" t="str">
        <f>'030523 INVENTARIO'!T48</f>
        <v>82DH0519010043000650639</v>
      </c>
      <c r="C48" s="167" t="str">
        <f t="shared" si="0"/>
        <v>650639</v>
      </c>
      <c r="D48" s="167" t="str">
        <f>IF(VLOOKUP(C48,'Patrimonio 2023'!$C$2:$C$1128,1,FALSE) = C48, "Encontrado", "no")</f>
        <v>Encontrado</v>
      </c>
      <c r="E48" s="167" t="str">
        <f>VLOOKUP($A48,'030523 INVENTARIO'!$A$2:$Y$1148,5,FALSE)</f>
        <v>VENTILADOR</v>
      </c>
      <c r="F48" s="167" t="str">
        <f>VLOOKUP($A48,'030523 INVENTARIO'!$A$2:$Y$1148,6,FALSE)</f>
        <v>VENTILADOR GRIS  DE PARED</v>
      </c>
      <c r="G48" s="167" t="str">
        <f ca="1">VLOOKUP($A48,'030523 INVENTARIO'!$A$2:$Y$1148,8,FALSE)</f>
        <v>P05DA-0047</v>
      </c>
      <c r="H48" s="168" t="str">
        <f>VLOOKUP($A48,'030523 INVENTARIO'!$A$2:$Y$1148,17,FALSE)</f>
        <v>NAVIA</v>
      </c>
      <c r="I48" s="167" t="str">
        <f>VLOOKUP($A48,'030523 INVENTARIO'!$A$2:$Y$1148,18,FALSE)</f>
        <v>VPN/018</v>
      </c>
      <c r="J48" s="168" t="str">
        <f>VLOOKUP($A48,'030523 INVENTARIO'!$A$2:$Y$1148,19,FALSE)</f>
        <v>1704186496</v>
      </c>
      <c r="K48" s="168" t="str">
        <f>VLOOKUP($A48,'030523 INVENTARIO'!$A$2:$Y$1148,20,FALSE)</f>
        <v>82DH0519010043000650639</v>
      </c>
      <c r="L48" s="167" t="str">
        <f>VLOOKUP($A48,'030523 INVENTARIO'!$A$2:$Y$1148,23,FALSE)</f>
        <v>ROSAURA MENDEZ SALGADO (AREAS COMUNES)</v>
      </c>
    </row>
    <row r="49" spans="1:12" ht="12.75" hidden="1">
      <c r="A49" s="167" t="str">
        <f>'030523 INVENTARIO'!A49</f>
        <v>0048</v>
      </c>
      <c r="B49" s="168" t="str">
        <f>'030523 INVENTARIO'!T49</f>
        <v>82DH0519010043000650640</v>
      </c>
      <c r="C49" s="167" t="str">
        <f t="shared" si="0"/>
        <v>650640</v>
      </c>
      <c r="D49" s="167" t="str">
        <f>IF(VLOOKUP(C49,'Patrimonio 2023'!$C$2:$C$1128,1,FALSE) = C49, "Encontrado", "no")</f>
        <v>Encontrado</v>
      </c>
      <c r="E49" s="167" t="str">
        <f>VLOOKUP($A49,'030523 INVENTARIO'!$A$2:$Y$1148,5,FALSE)</f>
        <v>VENTILADOR</v>
      </c>
      <c r="F49" s="167" t="str">
        <f>VLOOKUP($A49,'030523 INVENTARIO'!$A$2:$Y$1148,6,FALSE)</f>
        <v>VENTILADOR GRIS  DE PARED</v>
      </c>
      <c r="G49" s="167" t="str">
        <f ca="1">VLOOKUP($A49,'030523 INVENTARIO'!$A$2:$Y$1148,8,FALSE)</f>
        <v>P05DA-0048</v>
      </c>
      <c r="H49" s="168" t="str">
        <f>VLOOKUP($A49,'030523 INVENTARIO'!$A$2:$Y$1148,17,FALSE)</f>
        <v>NAVIA</v>
      </c>
      <c r="I49" s="167" t="str">
        <f>VLOOKUP($A49,'030523 INVENTARIO'!$A$2:$Y$1148,18,FALSE)</f>
        <v>VPN/018</v>
      </c>
      <c r="J49" s="168" t="str">
        <f>VLOOKUP($A49,'030523 INVENTARIO'!$A$2:$Y$1148,19,FALSE)</f>
        <v>12332</v>
      </c>
      <c r="K49" s="168" t="str">
        <f>VLOOKUP($A49,'030523 INVENTARIO'!$A$2:$Y$1148,20,FALSE)</f>
        <v>82DH0519010043000650640</v>
      </c>
      <c r="L49" s="167" t="str">
        <f>VLOOKUP($A49,'030523 INVENTARIO'!$A$2:$Y$1148,23,FALSE)</f>
        <v>ROSAURA MENDEZ SALGADO (AREAS COMUNES)</v>
      </c>
    </row>
    <row r="50" spans="1:12" ht="12.75" hidden="1">
      <c r="A50" s="167" t="str">
        <f>'030523 INVENTARIO'!A50</f>
        <v>0049</v>
      </c>
      <c r="B50" s="168" t="str">
        <f>'030523 INVENTARIO'!T50</f>
        <v>82DH0519010043000649367</v>
      </c>
      <c r="C50" s="167" t="str">
        <f t="shared" si="0"/>
        <v>649367</v>
      </c>
      <c r="D50" s="167" t="str">
        <f>IF(VLOOKUP(C50,'Patrimonio 2023'!$C$2:$C$1128,1,FALSE) = C50, "Encontrado", "no")</f>
        <v>Encontrado</v>
      </c>
      <c r="E50" s="167" t="str">
        <f>VLOOKUP($A50,'030523 INVENTARIO'!$A$2:$Y$1148,5,FALSE)</f>
        <v>VENTILADOR</v>
      </c>
      <c r="F50" s="167" t="str">
        <f>VLOOKUP($A50,'030523 INVENTARIO'!$A$2:$Y$1148,6,FALSE)</f>
        <v>VENTILADOR GRIS  DE PARED</v>
      </c>
      <c r="G50" s="167" t="str">
        <f ca="1">VLOOKUP($A50,'030523 INVENTARIO'!$A$2:$Y$1148,8,FALSE)</f>
        <v>P05DA-0049</v>
      </c>
      <c r="H50" s="168" t="str">
        <f>VLOOKUP($A50,'030523 INVENTARIO'!$A$2:$Y$1148,17,FALSE)</f>
        <v>NAVIA</v>
      </c>
      <c r="I50" s="167" t="str">
        <f>VLOOKUP($A50,'030523 INVENTARIO'!$A$2:$Y$1148,18,FALSE)</f>
        <v>VPN/018</v>
      </c>
      <c r="J50" s="168" t="str">
        <f>VLOOKUP($A50,'030523 INVENTARIO'!$A$2:$Y$1148,19,FALSE)</f>
        <v>12626</v>
      </c>
      <c r="K50" s="168" t="str">
        <f>VLOOKUP($A50,'030523 INVENTARIO'!$A$2:$Y$1148,20,FALSE)</f>
        <v>82DH0519010043000649367</v>
      </c>
      <c r="L50" s="167" t="str">
        <f>VLOOKUP($A50,'030523 INVENTARIO'!$A$2:$Y$1148,23,FALSE)</f>
        <v>ROSAURA MENDEZ SALGADO (AREAS COMUNES)</v>
      </c>
    </row>
    <row r="51" spans="1:12" ht="12.75" hidden="1">
      <c r="A51" s="167" t="str">
        <f>'030523 INVENTARIO'!A51</f>
        <v>0050</v>
      </c>
      <c r="B51" s="168" t="str">
        <f>'030523 INVENTARIO'!T51</f>
        <v>82DH0511010003000518526</v>
      </c>
      <c r="C51" s="167" t="str">
        <f t="shared" si="0"/>
        <v>518526</v>
      </c>
      <c r="D51" s="167" t="str">
        <f>IF(VLOOKUP(C51,'Patrimonio 2023'!$C$2:$C$1128,1,FALSE) = C51, "Encontrado", "no")</f>
        <v>Encontrado</v>
      </c>
      <c r="E51" s="167" t="str">
        <f>VLOOKUP($A51,'030523 INVENTARIO'!$A$2:$Y$1148,5,FALSE)</f>
        <v>BANCO</v>
      </c>
      <c r="F51" s="168" t="str">
        <f>VLOOKUP($A51,'030523 INVENTARIO'!$A$2:$Y$1148,6,FALSE)</f>
        <v>BANCO DE MADERA</v>
      </c>
      <c r="G51" s="167" t="str">
        <f ca="1">VLOOKUP($A51,'030523 INVENTARIO'!$A$2:$Y$1148,8,FALSE)</f>
        <v>P05DA-0050</v>
      </c>
      <c r="H51" s="168" t="str">
        <f>VLOOKUP($A51,'030523 INVENTARIO'!$A$2:$Y$1148,17,FALSE)</f>
        <v>S/M</v>
      </c>
      <c r="I51" s="167" t="str">
        <f>VLOOKUP($A51,'030523 INVENTARIO'!$A$2:$Y$1148,18,FALSE)</f>
        <v>S/M</v>
      </c>
      <c r="J51" s="168" t="str">
        <f>VLOOKUP($A51,'030523 INVENTARIO'!$A$2:$Y$1148,19,FALSE)</f>
        <v>SIN SERIE</v>
      </c>
      <c r="K51" s="168" t="str">
        <f>VLOOKUP($A51,'030523 INVENTARIO'!$A$2:$Y$1148,20,FALSE)</f>
        <v>82DH0511010003000518526</v>
      </c>
      <c r="L51" s="167" t="str">
        <f>VLOOKUP($A51,'030523 INVENTARIO'!$A$2:$Y$1148,23,FALSE)</f>
        <v>ROSAURA MENDEZ SALGADO (AREAS COMUNES)</v>
      </c>
    </row>
    <row r="52" spans="1:12" ht="12.75" hidden="1">
      <c r="A52" s="167" t="str">
        <f>'030523 INVENTARIO'!A52</f>
        <v>0051</v>
      </c>
      <c r="B52" s="168" t="str">
        <f>'030523 INVENTARIO'!T52</f>
        <v>82DH0511010017000649517</v>
      </c>
      <c r="C52" s="167" t="str">
        <f t="shared" si="0"/>
        <v>649517</v>
      </c>
      <c r="D52" s="167" t="str">
        <f>IF(VLOOKUP(C52,'Patrimonio 2023'!$C$2:$C$1128,1,FALSE) = C52, "Encontrado", "no")</f>
        <v>Encontrado</v>
      </c>
      <c r="E52" s="167" t="str">
        <f>VLOOKUP($A52,'030523 INVENTARIO'!$A$2:$Y$1148,5,FALSE)</f>
        <v>SILLA</v>
      </c>
      <c r="F52" s="168" t="str">
        <f>VLOOKUP($A52,'030523 INVENTARIO'!$A$2:$Y$1148,6,FALSE)</f>
        <v>SILLA CON RUEDAS CAFES</v>
      </c>
      <c r="G52" s="167" t="str">
        <f ca="1">VLOOKUP($A52,'030523 INVENTARIO'!$A$2:$Y$1148,8,FALSE)</f>
        <v>P05RM-0051</v>
      </c>
      <c r="H52" s="168" t="str">
        <f>VLOOKUP($A52,'030523 INVENTARIO'!$A$2:$Y$1148,17,FALSE)</f>
        <v>S/M</v>
      </c>
      <c r="I52" s="167" t="str">
        <f>VLOOKUP($A52,'030523 INVENTARIO'!$A$2:$Y$1148,18,FALSE)</f>
        <v>S/M</v>
      </c>
      <c r="J52" s="168" t="str">
        <f>VLOOKUP($A52,'030523 INVENTARIO'!$A$2:$Y$1148,19,FALSE)</f>
        <v>SIN SERIE</v>
      </c>
      <c r="K52" s="168" t="str">
        <f>VLOOKUP($A52,'030523 INVENTARIO'!$A$2:$Y$1148,20,FALSE)</f>
        <v>82DH0511010017000649517</v>
      </c>
      <c r="L52" s="167" t="str">
        <f>VLOOKUP($A52,'030523 INVENTARIO'!$A$2:$Y$1148,23,FALSE)</f>
        <v>BLANCA ELIZABETH ALCANTAR GUERRERO</v>
      </c>
    </row>
    <row r="53" spans="1:12" ht="12.75" hidden="1">
      <c r="A53" s="167" t="str">
        <f>'030523 INVENTARIO'!A53</f>
        <v>0052</v>
      </c>
      <c r="B53" s="168" t="str">
        <f>'030523 INVENTARIO'!T53</f>
        <v>82DH0531010065000564845</v>
      </c>
      <c r="C53" s="167" t="str">
        <f t="shared" si="0"/>
        <v>564845</v>
      </c>
      <c r="D53" s="167" t="str">
        <f>IF(VLOOKUP(C53,'Patrimonio 2023'!$C$2:$C$1128,1,FALSE) = C53, "Encontrado", "no")</f>
        <v>Encontrado</v>
      </c>
      <c r="E53" s="167" t="str">
        <f>VLOOKUP($A53,'030523 INVENTARIO'!$A$2:$Y$1148,5,FALSE)</f>
        <v>MESA</v>
      </c>
      <c r="F53" s="168" t="str">
        <f>VLOOKUP($A53,'030523 INVENTARIO'!$A$2:$Y$1148,6,FALSE)</f>
        <v>MESA DE METAL NEGRO CON RUEDAS</v>
      </c>
      <c r="G53" s="167" t="str">
        <f ca="1">VLOOKUP($A53,'030523 INVENTARIO'!$A$2:$Y$1148,8,FALSE)</f>
        <v>P05DA-0052</v>
      </c>
      <c r="H53" s="168" t="str">
        <f>VLOOKUP($A53,'030523 INVENTARIO'!$A$2:$Y$1148,17,FALSE)</f>
        <v>S/M</v>
      </c>
      <c r="I53" s="167" t="str">
        <f>VLOOKUP($A53,'030523 INVENTARIO'!$A$2:$Y$1148,18,FALSE)</f>
        <v>S/M</v>
      </c>
      <c r="J53" s="168" t="str">
        <f>VLOOKUP($A53,'030523 INVENTARIO'!$A$2:$Y$1148,19,FALSE)</f>
        <v>SIN SERIE</v>
      </c>
      <c r="K53" s="168" t="str">
        <f>VLOOKUP($A53,'030523 INVENTARIO'!$A$2:$Y$1148,20,FALSE)</f>
        <v>82DH0531010065000564845</v>
      </c>
      <c r="L53" s="167" t="str">
        <f>VLOOKUP($A53,'030523 INVENTARIO'!$A$2:$Y$1148,23,FALSE)</f>
        <v>ROSAURA MENDEZ SALGADO (AREAS COMUNES)</v>
      </c>
    </row>
    <row r="54" spans="1:12" ht="12.75" hidden="1">
      <c r="A54" s="167" t="str">
        <f>'030523 INVENTARIO'!A54</f>
        <v>0053</v>
      </c>
      <c r="B54" s="168" t="str">
        <f>'030523 INVENTARIO'!T54</f>
        <v>82DH0512010014000649515</v>
      </c>
      <c r="C54" s="167" t="str">
        <f t="shared" si="0"/>
        <v>649515</v>
      </c>
      <c r="D54" s="167" t="str">
        <f>IF(VLOOKUP(C54,'Patrimonio 2023'!$C$2:$C$1128,1,FALSE) = C54, "Encontrado", "no")</f>
        <v>Encontrado</v>
      </c>
      <c r="E54" s="167" t="str">
        <f>VLOOKUP($A54,'030523 INVENTARIO'!$A$2:$Y$1148,5,FALSE)</f>
        <v>SILLON</v>
      </c>
      <c r="F54" s="167" t="str">
        <f>VLOOKUP($A54,'030523 INVENTARIO'!$A$2:$Y$1148,6,FALSE)</f>
        <v>SILLÓN DE TELA ALTO</v>
      </c>
      <c r="G54" s="167" t="str">
        <f ca="1">VLOOKUP($A54,'030523 INVENTARIO'!$A$2:$Y$1148,8,FALSE)</f>
        <v>P05DA-0053</v>
      </c>
      <c r="H54" s="168" t="str">
        <f>VLOOKUP($A54,'030523 INVENTARIO'!$A$2:$Y$1148,17,FALSE)</f>
        <v>S/M</v>
      </c>
      <c r="I54" s="167" t="str">
        <f>VLOOKUP($A54,'030523 INVENTARIO'!$A$2:$Y$1148,18,FALSE)</f>
        <v>S/M</v>
      </c>
      <c r="J54" s="168" t="str">
        <f>VLOOKUP($A54,'030523 INVENTARIO'!$A$2:$Y$1148,19,FALSE)</f>
        <v>SIN SERIE</v>
      </c>
      <c r="K54" s="168" t="str">
        <f>VLOOKUP($A54,'030523 INVENTARIO'!$A$2:$Y$1148,20,FALSE)</f>
        <v>82DH0512010014000649515</v>
      </c>
      <c r="L54" s="167" t="str">
        <f>VLOOKUP($A54,'030523 INVENTARIO'!$A$2:$Y$1148,23,FALSE)</f>
        <v>ROSAURA MENDEZ SALGADO (AREAS COMUNES)</v>
      </c>
    </row>
    <row r="55" spans="1:12" ht="12.75" hidden="1">
      <c r="A55" s="167" t="str">
        <f>'030523 INVENTARIO'!A55</f>
        <v>0054</v>
      </c>
      <c r="B55" s="168" t="str">
        <f>'030523 INVENTARIO'!T55</f>
        <v>82DH0531010094000649529</v>
      </c>
      <c r="C55" s="167" t="str">
        <f t="shared" si="0"/>
        <v>649529</v>
      </c>
      <c r="D55" s="167" t="str">
        <f>IF(VLOOKUP(C55,'Patrimonio 2023'!$C$2:$C$1128,1,FALSE) = C55, "Encontrado", "no")</f>
        <v>Encontrado</v>
      </c>
      <c r="E55" s="167" t="str">
        <f>VLOOKUP($A55,'030523 INVENTARIO'!$A$2:$Y$1148,5,FALSE)</f>
        <v>VENTILADOR</v>
      </c>
      <c r="F55" s="168" t="str">
        <f>VLOOKUP($A55,'030523 INVENTARIO'!$A$2:$Y$1148,6,FALSE)</f>
        <v>VENTILADOR GRIS</v>
      </c>
      <c r="G55" s="167" t="str">
        <f ca="1">VLOOKUP($A55,'030523 INVENTARIO'!$A$2:$Y$1148,8,FALSE)</f>
        <v>P05DA-0054</v>
      </c>
      <c r="H55" s="168" t="str">
        <f>VLOOKUP($A55,'030523 INVENTARIO'!$A$2:$Y$1148,17,FALSE)</f>
        <v>SEVALLE CLASIC</v>
      </c>
      <c r="I55" s="167" t="str">
        <f>VLOOKUP($A55,'030523 INVENTARIO'!$A$2:$Y$1148,18,FALSE)</f>
        <v>S/M</v>
      </c>
      <c r="J55" s="168" t="str">
        <f>VLOOKUP($A55,'030523 INVENTARIO'!$A$2:$Y$1148,19,FALSE)</f>
        <v>CADPE-DA-0032</v>
      </c>
      <c r="K55" s="168" t="str">
        <f>VLOOKUP($A55,'030523 INVENTARIO'!$A$2:$Y$1148,20,FALSE)</f>
        <v>82DH0531010094000649529</v>
      </c>
      <c r="L55" s="167" t="str">
        <f>VLOOKUP($A55,'030523 INVENTARIO'!$A$2:$Y$1148,23,FALSE)</f>
        <v>ROSAURA MENDEZ SALGADO (AREAS COMUNES)</v>
      </c>
    </row>
    <row r="56" spans="1:12" ht="12.75" hidden="1">
      <c r="A56" s="167" t="str">
        <f>'030523 INVENTARIO'!A56</f>
        <v>0055</v>
      </c>
      <c r="B56" s="168" t="str">
        <f>'030523 INVENTARIO'!T56</f>
        <v>82DH0511010015000649511</v>
      </c>
      <c r="C56" s="167" t="str">
        <f t="shared" si="0"/>
        <v>649511</v>
      </c>
      <c r="D56" s="167" t="str">
        <f>IF(VLOOKUP(C56,'Patrimonio 2023'!$C$2:$C$1128,1,FALSE) = C56, "Encontrado", "no")</f>
        <v>Encontrado</v>
      </c>
      <c r="E56" s="167" t="str">
        <f>VLOOKUP($A56,'030523 INVENTARIO'!$A$2:$Y$1148,5,FALSE)</f>
        <v>RECIBIDOR</v>
      </c>
      <c r="F56" s="167" t="str">
        <f>VLOOKUP($A56,'030523 INVENTARIO'!$A$2:$Y$1148,6,FALSE)</f>
        <v>RECIBIDOR DE MADERA</v>
      </c>
      <c r="G56" s="167" t="str">
        <f ca="1">VLOOKUP($A56,'030523 INVENTARIO'!$A$2:$Y$1148,8,FALSE)</f>
        <v>P05DA-0055</v>
      </c>
      <c r="H56" s="168" t="str">
        <f>VLOOKUP($A56,'030523 INVENTARIO'!$A$2:$Y$1148,17,FALSE)</f>
        <v>S/M</v>
      </c>
      <c r="I56" s="167" t="str">
        <f>VLOOKUP($A56,'030523 INVENTARIO'!$A$2:$Y$1148,18,FALSE)</f>
        <v>S/M</v>
      </c>
      <c r="J56" s="168" t="str">
        <f>VLOOKUP($A56,'030523 INVENTARIO'!$A$2:$Y$1148,19,FALSE)</f>
        <v>SIN SERIE</v>
      </c>
      <c r="K56" s="168" t="str">
        <f>VLOOKUP($A56,'030523 INVENTARIO'!$A$2:$Y$1148,20,FALSE)</f>
        <v>82DH0511010015000649511</v>
      </c>
      <c r="L56" s="167" t="str">
        <f>VLOOKUP($A56,'030523 INVENTARIO'!$A$2:$Y$1148,23,FALSE)</f>
        <v>ROSAURA MENDEZ SALGADO (AREAS COMUNES)</v>
      </c>
    </row>
    <row r="57" spans="1:12" ht="12.75" hidden="1">
      <c r="A57" s="167" t="str">
        <f>'030523 INVENTARIO'!A57</f>
        <v>0056</v>
      </c>
      <c r="B57" s="168" t="str">
        <f>'030523 INVENTARIO'!T57</f>
        <v>82DH0515010020000650634</v>
      </c>
      <c r="C57" s="167" t="str">
        <f t="shared" si="0"/>
        <v>650634</v>
      </c>
      <c r="D57" s="167" t="str">
        <f>IF(VLOOKUP(C57,'Patrimonio 2023'!$C$2:$C$1128,1,FALSE) = C57, "Encontrado", "no")</f>
        <v>Encontrado</v>
      </c>
      <c r="E57" s="167" t="str">
        <f>VLOOKUP($A57,'030523 INVENTARIO'!$A$2:$Y$1148,5,FALSE)</f>
        <v>REGULADOR DE VOLTAJE</v>
      </c>
      <c r="F57" s="168" t="str">
        <f>VLOOKUP($A57,'030523 INVENTARIO'!$A$2:$Y$1148,6,FALSE)</f>
        <v>REGULADOR (IMPRESORA)</v>
      </c>
      <c r="G57" s="167" t="str">
        <f ca="1">VLOOKUP($A57,'030523 INVENTARIO'!$A$2:$Y$1148,8,FALSE)</f>
        <v>P35RM-0056</v>
      </c>
      <c r="H57" s="168" t="str">
        <f>VLOOKUP($A57,'030523 INVENTARIO'!$A$2:$Y$1148,17,FALSE)</f>
        <v>COMPLET</v>
      </c>
      <c r="I57" s="167">
        <f>VLOOKUP($A57,'030523 INVENTARIO'!$A$2:$Y$1148,18,FALSE)</f>
        <v>1300</v>
      </c>
      <c r="J57" s="168" t="str">
        <f>VLOOKUP($A57,'030523 INVENTARIO'!$A$2:$Y$1148,19,FALSE)</f>
        <v>501693402278</v>
      </c>
      <c r="K57" s="168" t="str">
        <f>VLOOKUP($A57,'030523 INVENTARIO'!$A$2:$Y$1148,20,FALSE)</f>
        <v>82DH0515010020000650634</v>
      </c>
      <c r="L57" s="167" t="str">
        <f>VLOOKUP($A57,'030523 INVENTARIO'!$A$2:$Y$1148,23,FALSE)</f>
        <v>BLANCA ELIZABETH ALCANTAR (ALMACEN)</v>
      </c>
    </row>
    <row r="58" spans="1:12" ht="12.75" hidden="1">
      <c r="A58" s="167" t="str">
        <f>'030523 INVENTARIO'!A58</f>
        <v>0057</v>
      </c>
      <c r="B58" s="168" t="str">
        <f>'030523 INVENTARIO'!T58</f>
        <v>82DH0531010065000580346</v>
      </c>
      <c r="C58" s="167" t="str">
        <f t="shared" si="0"/>
        <v>580346</v>
      </c>
      <c r="D58" s="167" t="str">
        <f>IF(VLOOKUP(C58,'Patrimonio 2023'!$C$2:$C$1128,1,FALSE) = C58, "Encontrado", "no")</f>
        <v>Encontrado</v>
      </c>
      <c r="E58" s="167" t="str">
        <f>VLOOKUP($A58,'030523 INVENTARIO'!$A$2:$Y$1148,5,FALSE)</f>
        <v>MESA</v>
      </c>
      <c r="F58" s="168" t="str">
        <f>VLOOKUP($A58,'030523 INVENTARIO'!$A$2:$Y$1148,6,FALSE)</f>
        <v>MESA DE MADERA CON BASE DE METAL CAOBA</v>
      </c>
      <c r="G58" s="167" t="str">
        <f ca="1">VLOOKUP($A58,'030523 INVENTARIO'!$A$2:$Y$1148,8,FALSE)</f>
        <v>P05RM-0057</v>
      </c>
      <c r="H58" s="168" t="str">
        <f>VLOOKUP($A58,'030523 INVENTARIO'!$A$2:$Y$1148,17,FALSE)</f>
        <v>S/M</v>
      </c>
      <c r="I58" s="167" t="str">
        <f>VLOOKUP($A58,'030523 INVENTARIO'!$A$2:$Y$1148,18,FALSE)</f>
        <v>S/M</v>
      </c>
      <c r="J58" s="168" t="str">
        <f>VLOOKUP($A58,'030523 INVENTARIO'!$A$2:$Y$1148,19,FALSE)</f>
        <v>SIN SERIE</v>
      </c>
      <c r="K58" s="168" t="str">
        <f>VLOOKUP($A58,'030523 INVENTARIO'!$A$2:$Y$1148,20,FALSE)</f>
        <v>82DH0531010065000580346</v>
      </c>
      <c r="L58" s="167" t="str">
        <f>VLOOKUP($A58,'030523 INVENTARIO'!$A$2:$Y$1148,23,FALSE)</f>
        <v>BLANCA ELIZABETH ALCANTAR</v>
      </c>
    </row>
    <row r="59" spans="1:12" ht="12.75" hidden="1">
      <c r="A59" s="167" t="str">
        <f>'030523 INVENTARIO'!A59</f>
        <v>0058</v>
      </c>
      <c r="B59" s="168" t="str">
        <f>'030523 INVENTARIO'!T59</f>
        <v>82DH0511010003000582612</v>
      </c>
      <c r="C59" s="167" t="str">
        <f t="shared" si="0"/>
        <v>582612</v>
      </c>
      <c r="D59" s="167" t="str">
        <f>IF(VLOOKUP(C59,'Patrimonio 2023'!$C$2:$C$1128,1,FALSE) = C59, "Encontrado", "no")</f>
        <v>Encontrado</v>
      </c>
      <c r="E59" s="167" t="str">
        <f>VLOOKUP($A59,'030523 INVENTARIO'!$A$2:$Y$1148,5,FALSE)</f>
        <v>BANCO</v>
      </c>
      <c r="F59" s="168" t="str">
        <f>VLOOKUP($A59,'030523 INVENTARIO'!$A$2:$Y$1148,6,FALSE)</f>
        <v>BANCO DE MADERA</v>
      </c>
      <c r="G59" s="167" t="str">
        <f ca="1">VLOOKUP($A59,'030523 INVENTARIO'!$A$2:$Y$1148,8,FALSE)</f>
        <v>P05DA-0058</v>
      </c>
      <c r="H59" s="168" t="str">
        <f>VLOOKUP($A59,'030523 INVENTARIO'!$A$2:$Y$1148,17,FALSE)</f>
        <v>S/M</v>
      </c>
      <c r="I59" s="167" t="str">
        <f>VLOOKUP($A59,'030523 INVENTARIO'!$A$2:$Y$1148,18,FALSE)</f>
        <v>S/M</v>
      </c>
      <c r="J59" s="168" t="str">
        <f>VLOOKUP($A59,'030523 INVENTARIO'!$A$2:$Y$1148,19,FALSE)</f>
        <v>SIN SERIE</v>
      </c>
      <c r="K59" s="168" t="str">
        <f>VLOOKUP($A59,'030523 INVENTARIO'!$A$2:$Y$1148,20,FALSE)</f>
        <v>82DH0511010003000582612</v>
      </c>
      <c r="L59" s="167" t="str">
        <f>VLOOKUP($A59,'030523 INVENTARIO'!$A$2:$Y$1148,23,FALSE)</f>
        <v>ROSAURA MENDEZ SALGADO (AREAS COMUNES)</v>
      </c>
    </row>
    <row r="60" spans="1:12" ht="12.75" hidden="1">
      <c r="A60" s="167" t="str">
        <f>'030523 INVENTARIO'!A60</f>
        <v>0059</v>
      </c>
      <c r="B60" s="168" t="str">
        <f>'030523 INVENTARIO'!T60</f>
        <v>82DH0511010009000584145</v>
      </c>
      <c r="C60" s="167" t="str">
        <f t="shared" si="0"/>
        <v>584145</v>
      </c>
      <c r="D60" s="167" t="str">
        <f>IF(VLOOKUP(C60,'Patrimonio 2023'!$C$2:$C$1128,1,FALSE) = C60, "Encontrado", "no")</f>
        <v>Encontrado</v>
      </c>
      <c r="E60" s="167" t="str">
        <f>VLOOKUP($A60,'030523 INVENTARIO'!$A$2:$Y$1148,5,FALSE)</f>
        <v>ESTANTE O ANAQUEL</v>
      </c>
      <c r="F60" s="167" t="str">
        <f>VLOOKUP($A60,'030523 INVENTARIO'!$A$2:$Y$1148,6,FALSE)</f>
        <v>ANAQUEL GRIS DE 2 PUERTAS</v>
      </c>
      <c r="G60" s="167" t="str">
        <f ca="1">VLOOKUP($A60,'030523 INVENTARIO'!$A$2:$Y$1148,8,FALSE)</f>
        <v>P05RM-0059</v>
      </c>
      <c r="H60" s="168" t="str">
        <f>VLOOKUP($A60,'030523 INVENTARIO'!$A$2:$Y$1148,17,FALSE)</f>
        <v>S/M</v>
      </c>
      <c r="I60" s="167" t="str">
        <f>VLOOKUP($A60,'030523 INVENTARIO'!$A$2:$Y$1148,18,FALSE)</f>
        <v>S/M</v>
      </c>
      <c r="J60" s="168" t="str">
        <f>VLOOKUP($A60,'030523 INVENTARIO'!$A$2:$Y$1148,19,FALSE)</f>
        <v>SIN SERIE</v>
      </c>
      <c r="K60" s="168" t="str">
        <f>VLOOKUP($A60,'030523 INVENTARIO'!$A$2:$Y$1148,20,FALSE)</f>
        <v>82DH0511010009000584145</v>
      </c>
      <c r="L60" s="167" t="str">
        <f>VLOOKUP($A60,'030523 INVENTARIO'!$A$2:$Y$1148,23,FALSE)</f>
        <v>BLANCA ELIZABETH ALCANTAR</v>
      </c>
    </row>
    <row r="61" spans="1:12" ht="12.75" hidden="1">
      <c r="A61" s="167" t="str">
        <f>'030523 INVENTARIO'!A61</f>
        <v>0060</v>
      </c>
      <c r="B61" s="168" t="str">
        <f>'030523 INVENTARIO'!T61</f>
        <v>82DH0511010017000518537</v>
      </c>
      <c r="C61" s="167" t="str">
        <f t="shared" si="0"/>
        <v>518537</v>
      </c>
      <c r="D61" s="167" t="str">
        <f>IF(VLOOKUP(C61,'Patrimonio 2023'!$C$2:$C$1128,1,FALSE) = C61, "Encontrado", "no")</f>
        <v>Encontrado</v>
      </c>
      <c r="E61" s="167" t="str">
        <f>VLOOKUP($A61,'030523 INVENTARIO'!$A$2:$Y$1148,5,FALSE)</f>
        <v>SILLA</v>
      </c>
      <c r="F61" s="168" t="str">
        <f>VLOOKUP($A61,'030523 INVENTARIO'!$A$2:$Y$1148,6,FALSE)</f>
        <v>SILLA DE TELA CAFÉ</v>
      </c>
      <c r="G61" s="167" t="str">
        <f ca="1">VLOOKUP($A61,'030523 INVENTARIO'!$A$2:$Y$1148,8,FALSE)</f>
        <v>P35DA-0060</v>
      </c>
      <c r="H61" s="168" t="str">
        <f>VLOOKUP($A61,'030523 INVENTARIO'!$A$2:$Y$1148,17,FALSE)</f>
        <v>S/M</v>
      </c>
      <c r="I61" s="167" t="str">
        <f>VLOOKUP($A61,'030523 INVENTARIO'!$A$2:$Y$1148,18,FALSE)</f>
        <v>S/M</v>
      </c>
      <c r="J61" s="168" t="str">
        <f>VLOOKUP($A61,'030523 INVENTARIO'!$A$2:$Y$1148,19,FALSE)</f>
        <v>SIN SERIE</v>
      </c>
      <c r="K61" s="168" t="str">
        <f>VLOOKUP($A61,'030523 INVENTARIO'!$A$2:$Y$1148,20,FALSE)</f>
        <v>82DH0511010017000518537</v>
      </c>
      <c r="L61" s="167" t="str">
        <f>VLOOKUP($A61,'030523 INVENTARIO'!$A$2:$Y$1148,23,FALSE)</f>
        <v>ROSAURA MENDEZ SALGADO (AREAS COMUNES)</v>
      </c>
    </row>
    <row r="62" spans="1:12" ht="12.75" hidden="1">
      <c r="A62" s="167" t="str">
        <f>'030523 INVENTARIO'!A62</f>
        <v>0061</v>
      </c>
      <c r="B62" s="168" t="str">
        <f>'030523 INVENTARIO'!T62</f>
        <v>82DH0511010017000518536</v>
      </c>
      <c r="C62" s="167" t="str">
        <f t="shared" si="0"/>
        <v>518536</v>
      </c>
      <c r="D62" s="167" t="str">
        <f>IF(VLOOKUP(C62,'Patrimonio 2023'!$C$2:$C$1128,1,FALSE) = C62, "Encontrado", "no")</f>
        <v>Encontrado</v>
      </c>
      <c r="E62" s="167" t="str">
        <f>VLOOKUP($A62,'030523 INVENTARIO'!$A$2:$Y$1148,5,FALSE)</f>
        <v>SILLA</v>
      </c>
      <c r="F62" s="167" t="str">
        <f>VLOOKUP($A62,'030523 INVENTARIO'!$A$2:$Y$1148,6,FALSE)</f>
        <v>SILLA DE PIEL NEGRA</v>
      </c>
      <c r="G62" s="167" t="str">
        <f ca="1">VLOOKUP($A62,'030523 INVENTARIO'!$A$2:$Y$1148,8,FALSE)</f>
        <v>P05RM-0061</v>
      </c>
      <c r="H62" s="168" t="str">
        <f>VLOOKUP($A62,'030523 INVENTARIO'!$A$2:$Y$1148,17,FALSE)</f>
        <v>S/M</v>
      </c>
      <c r="I62" s="167" t="str">
        <f>VLOOKUP($A62,'030523 INVENTARIO'!$A$2:$Y$1148,18,FALSE)</f>
        <v>S/M</v>
      </c>
      <c r="J62" s="168" t="str">
        <f>VLOOKUP($A62,'030523 INVENTARIO'!$A$2:$Y$1148,19,FALSE)</f>
        <v>SIN SERIE</v>
      </c>
      <c r="K62" s="168" t="str">
        <f>VLOOKUP($A62,'030523 INVENTARIO'!$A$2:$Y$1148,20,FALSE)</f>
        <v>82DH0511010017000518536</v>
      </c>
      <c r="L62" s="167" t="str">
        <f>VLOOKUP($A62,'030523 INVENTARIO'!$A$2:$Y$1148,23,FALSE)</f>
        <v>BLANCA ELIZABETH ALCANTAR GUERRERO</v>
      </c>
    </row>
    <row r="63" spans="1:12" ht="12.75" hidden="1">
      <c r="A63" s="167" t="str">
        <f>'030523 INVENTARIO'!A63</f>
        <v>0062</v>
      </c>
      <c r="B63" s="168" t="str">
        <f>'030523 INVENTARIO'!T63</f>
        <v>82DH0531010065000580349</v>
      </c>
      <c r="C63" s="167" t="str">
        <f t="shared" si="0"/>
        <v>580349</v>
      </c>
      <c r="D63" s="167" t="str">
        <f>IF(VLOOKUP(C63,'Patrimonio 2023'!$C$2:$C$1128,1,FALSE) = C63, "Encontrado", "no")</f>
        <v>Encontrado</v>
      </c>
      <c r="E63" s="167" t="str">
        <f>VLOOKUP($A63,'030523 INVENTARIO'!$A$2:$Y$1148,5,FALSE)</f>
        <v>MESA</v>
      </c>
      <c r="F63" s="167" t="str">
        <f>VLOOKUP($A63,'030523 INVENTARIO'!$A$2:$Y$1148,6,FALSE)</f>
        <v>MESA DE MADERA CON BASE DE METAL</v>
      </c>
      <c r="G63" s="167" t="str">
        <f ca="1">VLOOKUP($A63,'030523 INVENTARIO'!$A$2:$Y$1148,8,FALSE)</f>
        <v>P05DA-0062</v>
      </c>
      <c r="H63" s="168" t="str">
        <f>VLOOKUP($A63,'030523 INVENTARIO'!$A$2:$Y$1148,17,FALSE)</f>
        <v>S/M</v>
      </c>
      <c r="I63" s="167" t="str">
        <f>VLOOKUP($A63,'030523 INVENTARIO'!$A$2:$Y$1148,18,FALSE)</f>
        <v>S/M</v>
      </c>
      <c r="J63" s="168" t="str">
        <f>VLOOKUP($A63,'030523 INVENTARIO'!$A$2:$Y$1148,19,FALSE)</f>
        <v>SIN SERIE</v>
      </c>
      <c r="K63" s="168" t="str">
        <f>VLOOKUP($A63,'030523 INVENTARIO'!$A$2:$Y$1148,20,FALSE)</f>
        <v>82DH0531010065000580349</v>
      </c>
      <c r="L63" s="167" t="str">
        <f>VLOOKUP($A63,'030523 INVENTARIO'!$A$2:$Y$1148,23,FALSE)</f>
        <v>ROSAURA MENDEZ SALGADO (AREAS COMUNES)</v>
      </c>
    </row>
    <row r="64" spans="1:12" ht="12.75" hidden="1">
      <c r="A64" s="167" t="str">
        <f>'030523 INVENTARIO'!A64</f>
        <v>0063</v>
      </c>
      <c r="B64" s="168" t="str">
        <f>'030523 INVENTARIO'!T64</f>
        <v>82DH0511010017000518534</v>
      </c>
      <c r="C64" s="167" t="str">
        <f t="shared" si="0"/>
        <v>518534</v>
      </c>
      <c r="D64" s="167" t="str">
        <f>IF(VLOOKUP(C64,'Patrimonio 2023'!$C$2:$C$1128,1,FALSE) = C64, "Encontrado", "no")</f>
        <v>Encontrado</v>
      </c>
      <c r="E64" s="167" t="str">
        <f>VLOOKUP($A64,'030523 INVENTARIO'!$A$2:$Y$1148,5,FALSE)</f>
        <v>SILLA</v>
      </c>
      <c r="F64" s="167" t="str">
        <f>VLOOKUP($A64,'030523 INVENTARIO'!$A$2:$Y$1148,6,FALSE)</f>
        <v>SILLA DE TELA CAFE</v>
      </c>
      <c r="G64" s="167" t="str">
        <f ca="1">VLOOKUP($A64,'030523 INVENTARIO'!$A$2:$Y$1148,8,FALSE)</f>
        <v>P35DA-0063</v>
      </c>
      <c r="H64" s="168" t="str">
        <f>VLOOKUP($A64,'030523 INVENTARIO'!$A$2:$Y$1148,17,FALSE)</f>
        <v>S/M</v>
      </c>
      <c r="I64" s="167" t="str">
        <f>VLOOKUP($A64,'030523 INVENTARIO'!$A$2:$Y$1148,18,FALSE)</f>
        <v>S/M</v>
      </c>
      <c r="J64" s="168" t="str">
        <f>VLOOKUP($A64,'030523 INVENTARIO'!$A$2:$Y$1148,19,FALSE)</f>
        <v>SIN SERIE</v>
      </c>
      <c r="K64" s="168" t="str">
        <f>VLOOKUP($A64,'030523 INVENTARIO'!$A$2:$Y$1148,20,FALSE)</f>
        <v>82DH0511010017000518534</v>
      </c>
      <c r="L64" s="167" t="str">
        <f>VLOOKUP($A64,'030523 INVENTARIO'!$A$2:$Y$1148,23,FALSE)</f>
        <v>ROSAURA MENDEZ SALGADO (AREAS COMUNES)</v>
      </c>
    </row>
    <row r="65" spans="1:12" ht="12.75" hidden="1">
      <c r="A65" s="167" t="str">
        <f>'030523 INVENTARIO'!A65</f>
        <v>0064</v>
      </c>
      <c r="B65" s="168" t="str">
        <f>'030523 INVENTARIO'!T65</f>
        <v>82DH0511010010000651071</v>
      </c>
      <c r="C65" s="167" t="str">
        <f t="shared" si="0"/>
        <v>651071</v>
      </c>
      <c r="D65" s="167" t="str">
        <f>IF(VLOOKUP(C65,'Patrimonio 2023'!$C$2:$C$1128,1,FALSE) = C65, "Encontrado", "no")</f>
        <v>Encontrado</v>
      </c>
      <c r="E65" s="167" t="str">
        <f>VLOOKUP($A65,'030523 INVENTARIO'!$A$2:$Y$1148,5,FALSE)</f>
        <v>MESA</v>
      </c>
      <c r="F65" s="167" t="str">
        <f>VLOOKUP($A65,'030523 INVENTARIO'!$A$2:$Y$1148,6,FALSE)</f>
        <v>MESA DE MADERA CHICA 60X50</v>
      </c>
      <c r="G65" s="167" t="str">
        <f ca="1">VLOOKUP($A65,'030523 INVENTARIO'!$A$2:$Y$1148,8,FALSE)</f>
        <v>P05DA-0064</v>
      </c>
      <c r="H65" s="168" t="str">
        <f>VLOOKUP($A65,'030523 INVENTARIO'!$A$2:$Y$1148,17,FALSE)</f>
        <v>S/M</v>
      </c>
      <c r="I65" s="167" t="str">
        <f>VLOOKUP($A65,'030523 INVENTARIO'!$A$2:$Y$1148,18,FALSE)</f>
        <v>S/M</v>
      </c>
      <c r="J65" s="168" t="str">
        <f>VLOOKUP($A65,'030523 INVENTARIO'!$A$2:$Y$1148,19,FALSE)</f>
        <v>SIN SERIE</v>
      </c>
      <c r="K65" s="168" t="str">
        <f>VLOOKUP($A65,'030523 INVENTARIO'!$A$2:$Y$1148,20,FALSE)</f>
        <v>82DH0511010010000651071</v>
      </c>
      <c r="L65" s="167" t="str">
        <f>VLOOKUP($A65,'030523 INVENTARIO'!$A$2:$Y$1148,23,FALSE)</f>
        <v>ROSAURA MENDEZ SALGADO (AREAS COMUNES)</v>
      </c>
    </row>
    <row r="66" spans="1:12" ht="12.75" hidden="1">
      <c r="A66" s="167" t="str">
        <f>'030523 INVENTARIO'!A66</f>
        <v>0065</v>
      </c>
      <c r="B66" s="168" t="str">
        <f>'030523 INVENTARIO'!T66</f>
        <v>82DH0511010015000518532</v>
      </c>
      <c r="C66" s="167" t="str">
        <f t="shared" si="0"/>
        <v>518532</v>
      </c>
      <c r="D66" s="167" t="str">
        <f>IF(VLOOKUP(C66,'Patrimonio 2023'!$C$2:$C$1128,1,FALSE) = C66, "Encontrado", "no")</f>
        <v>Encontrado</v>
      </c>
      <c r="E66" s="167" t="str">
        <f>VLOOKUP($A66,'030523 INVENTARIO'!$A$2:$Y$1148,5,FALSE)</f>
        <v>RECIBIDOR</v>
      </c>
      <c r="F66" s="167" t="str">
        <f>VLOOKUP($A66,'030523 INVENTARIO'!$A$2:$Y$1148,6,FALSE)</f>
        <v>RECIBIDOR DE TRES PLAZAS COLOR AZUL</v>
      </c>
      <c r="G66" s="167" t="str">
        <f ca="1">VLOOKUP($A66,'030523 INVENTARIO'!$A$2:$Y$1148,8,FALSE)</f>
        <v>P05DA-0065</v>
      </c>
      <c r="H66" s="168" t="str">
        <f>VLOOKUP($A66,'030523 INVENTARIO'!$A$2:$Y$1148,17,FALSE)</f>
        <v>S/M</v>
      </c>
      <c r="I66" s="167" t="str">
        <f>VLOOKUP($A66,'030523 INVENTARIO'!$A$2:$Y$1148,18,FALSE)</f>
        <v>S/M</v>
      </c>
      <c r="J66" s="168" t="str">
        <f>VLOOKUP($A66,'030523 INVENTARIO'!$A$2:$Y$1148,19,FALSE)</f>
        <v>SIN SERIE</v>
      </c>
      <c r="K66" s="168" t="str">
        <f>VLOOKUP($A66,'030523 INVENTARIO'!$A$2:$Y$1148,20,FALSE)</f>
        <v>82DH0511010015000518532</v>
      </c>
      <c r="L66" s="167" t="str">
        <f>VLOOKUP($A66,'030523 INVENTARIO'!$A$2:$Y$1148,23,FALSE)</f>
        <v>ROSAURA MENDEZ SALGADO (AREAS COMUNES)</v>
      </c>
    </row>
    <row r="67" spans="1:12" ht="12.75" hidden="1">
      <c r="A67" s="167" t="str">
        <f>'030523 INVENTARIO'!A67</f>
        <v>0066</v>
      </c>
      <c r="B67" s="168" t="str">
        <f>'030523 INVENTARIO'!T67</f>
        <v>82DH0529030005000649521</v>
      </c>
      <c r="C67" s="167" t="str">
        <f t="shared" si="0"/>
        <v>649521</v>
      </c>
      <c r="D67" s="167" t="str">
        <f>IF(VLOOKUP(C67,'Patrimonio 2023'!$C$2:$C$1128,1,FALSE) = C67, "Encontrado", "no")</f>
        <v>Encontrado</v>
      </c>
      <c r="E67" s="167" t="str">
        <f>VLOOKUP($A67,'030523 INVENTARIO'!$A$2:$Y$1148,5,FALSE)</f>
        <v>PIZARRON</v>
      </c>
      <c r="F67" s="167" t="str">
        <f>VLOOKUP($A67,'030523 INVENTARIO'!$A$2:$Y$1148,6,FALSE)</f>
        <v>PIZARRON DE TELA</v>
      </c>
      <c r="G67" s="167" t="str">
        <f ca="1">VLOOKUP($A67,'030523 INVENTARIO'!$A$2:$Y$1148,8,FALSE)</f>
        <v>P05DA-0066</v>
      </c>
      <c r="H67" s="168" t="str">
        <f>VLOOKUP($A67,'030523 INVENTARIO'!$A$2:$Y$1148,17,FALSE)</f>
        <v>S/M</v>
      </c>
      <c r="I67" s="167" t="str">
        <f>VLOOKUP($A67,'030523 INVENTARIO'!$A$2:$Y$1148,18,FALSE)</f>
        <v>S/M</v>
      </c>
      <c r="J67" s="168" t="str">
        <f>VLOOKUP($A67,'030523 INVENTARIO'!$A$2:$Y$1148,19,FALSE)</f>
        <v>SIN SERIE</v>
      </c>
      <c r="K67" s="168" t="str">
        <f>VLOOKUP($A67,'030523 INVENTARIO'!$A$2:$Y$1148,20,FALSE)</f>
        <v>82DH0529030005000649521</v>
      </c>
      <c r="L67" s="167" t="str">
        <f>VLOOKUP($A67,'030523 INVENTARIO'!$A$2:$Y$1148,23,FALSE)</f>
        <v>ROSAURA MENDEZ SALGADO (AREAS COMUNES)</v>
      </c>
    </row>
    <row r="68" spans="1:12" ht="12.75" hidden="1">
      <c r="A68" s="167" t="str">
        <f>'030523 INVENTARIO'!A68</f>
        <v>0067</v>
      </c>
      <c r="B68" s="168" t="str">
        <f>'030523 INVENTARIO'!T68</f>
        <v>SIN RESGUARDO</v>
      </c>
      <c r="C68" s="167" t="str">
        <f t="shared" si="0"/>
        <v/>
      </c>
      <c r="D68" s="167" t="e">
        <f>IF(VLOOKUP(C68,'Patrimonio 2023'!$C$2:$C$1128,1,FALSE) = C68, "Encontrado", "no")</f>
        <v>#N/A</v>
      </c>
      <c r="E68" s="167" t="str">
        <f>VLOOKUP($A68,'030523 INVENTARIO'!$A$2:$Y$1148,5,FALSE)</f>
        <v>COMPLEMENTARIO DE EQUIPO DE COMEDOR Y COCINA</v>
      </c>
      <c r="F68" s="167" t="str">
        <f>VLOOKUP($A68,'030523 INVENTARIO'!$A$2:$Y$1148,6,FALSE)</f>
        <v>TARJA</v>
      </c>
      <c r="G68" s="167" t="str">
        <f ca="1">VLOOKUP($A68,'030523 INVENTARIO'!$A$2:$Y$1148,8,FALSE)</f>
        <v>P05DA-0067</v>
      </c>
      <c r="H68" s="168" t="str">
        <f>VLOOKUP($A68,'030523 INVENTARIO'!$A$2:$Y$1148,17,FALSE)</f>
        <v>S/M</v>
      </c>
      <c r="I68" s="167" t="str">
        <f>VLOOKUP($A68,'030523 INVENTARIO'!$A$2:$Y$1148,18,FALSE)</f>
        <v>S/M</v>
      </c>
      <c r="J68" s="168" t="str">
        <f>VLOOKUP($A68,'030523 INVENTARIO'!$A$2:$Y$1148,19,FALSE)</f>
        <v>SIN SERIE</v>
      </c>
      <c r="K68" s="168" t="str">
        <f>VLOOKUP($A68,'030523 INVENTARIO'!$A$2:$Y$1148,20,FALSE)</f>
        <v>SIN RESGUARDO</v>
      </c>
      <c r="L68" s="167" t="str">
        <f>VLOOKUP($A68,'030523 INVENTARIO'!$A$2:$Y$1148,23,FALSE)</f>
        <v>ROSAURA MENDEZ SALGADO (AREAS COMUNES)</v>
      </c>
    </row>
    <row r="69" spans="1:12" ht="12.75" hidden="1">
      <c r="A69" s="167" t="str">
        <f>'030523 INVENTARIO'!A69</f>
        <v>0068</v>
      </c>
      <c r="B69" s="168" t="str">
        <f>'030523 INVENTARIO'!T69</f>
        <v>82DK0511010009000584144</v>
      </c>
      <c r="C69" s="167" t="str">
        <f t="shared" si="0"/>
        <v>584144</v>
      </c>
      <c r="D69" s="167" t="str">
        <f>IF(VLOOKUP(C69,'Patrimonio 2023'!$C$2:$C$1128,1,FALSE) = C69, "Encontrado", "no")</f>
        <v>Encontrado</v>
      </c>
      <c r="E69" s="167" t="str">
        <f>VLOOKUP($A69,'030523 INVENTARIO'!$A$2:$Y$1148,5,FALSE)</f>
        <v>ESTANTE O ANAQUEL</v>
      </c>
      <c r="F69" s="167" t="str">
        <f>VLOOKUP($A69,'030523 INVENTARIO'!$A$2:$Y$1148,6,FALSE)</f>
        <v>ANAQUEL GRIS DE 2 PUERTAS 180X84X50</v>
      </c>
      <c r="G69" s="167" t="str">
        <f ca="1">VLOOKUP($A69,'030523 INVENTARIO'!$A$2:$Y$1148,8,FALSE)</f>
        <v>P05RM-0068</v>
      </c>
      <c r="H69" s="168" t="str">
        <f>VLOOKUP($A69,'030523 INVENTARIO'!$A$2:$Y$1148,17,FALSE)</f>
        <v>S/M</v>
      </c>
      <c r="I69" s="167" t="str">
        <f>VLOOKUP($A69,'030523 INVENTARIO'!$A$2:$Y$1148,18,FALSE)</f>
        <v>S/M</v>
      </c>
      <c r="J69" s="168" t="str">
        <f>VLOOKUP($A69,'030523 INVENTARIO'!$A$2:$Y$1148,19,FALSE)</f>
        <v>SIN SERIE</v>
      </c>
      <c r="K69" s="168" t="str">
        <f>VLOOKUP($A69,'030523 INVENTARIO'!$A$2:$Y$1148,20,FALSE)</f>
        <v>82DK0511010009000584144</v>
      </c>
      <c r="L69" s="167" t="str">
        <f>VLOOKUP($A69,'030523 INVENTARIO'!$A$2:$Y$1148,23,FALSE)</f>
        <v>BLANCA ELIZABETH ALCANTAR</v>
      </c>
    </row>
    <row r="70" spans="1:12" ht="12.75" hidden="1">
      <c r="A70" s="167" t="str">
        <f>'030523 INVENTARIO'!A70</f>
        <v>0069</v>
      </c>
      <c r="B70" s="168" t="str">
        <f>'030523 INVENTARIO'!T70</f>
        <v>82DK0511010001000649470</v>
      </c>
      <c r="C70" s="167" t="str">
        <f t="shared" si="0"/>
        <v>649470</v>
      </c>
      <c r="D70" s="167" t="str">
        <f>IF(VLOOKUP(C70,'Patrimonio 2023'!$C$2:$C$1128,1,FALSE) = C70, "Encontrado", "no")</f>
        <v>Encontrado</v>
      </c>
      <c r="E70" s="167" t="str">
        <f>VLOOKUP($A70,'030523 INVENTARIO'!$A$2:$Y$1148,5,FALSE)</f>
        <v>ESTANTE O ANAQUEL</v>
      </c>
      <c r="F70" s="167" t="str">
        <f>VLOOKUP($A70,'030523 INVENTARIO'!$A$2:$Y$1148,6,FALSE)</f>
        <v>ANAQUEL GRIS DE 2 PUERTAS 160X88X40</v>
      </c>
      <c r="G70" s="167" t="str">
        <f ca="1">VLOOKUP($A70,'030523 INVENTARIO'!$A$2:$Y$1148,8,FALSE)</f>
        <v>P05RM-0069</v>
      </c>
      <c r="H70" s="168" t="str">
        <f>VLOOKUP($A70,'030523 INVENTARIO'!$A$2:$Y$1148,17,FALSE)</f>
        <v>S/M</v>
      </c>
      <c r="I70" s="167" t="str">
        <f>VLOOKUP($A70,'030523 INVENTARIO'!$A$2:$Y$1148,18,FALSE)</f>
        <v>S/M</v>
      </c>
      <c r="J70" s="168" t="str">
        <f>VLOOKUP($A70,'030523 INVENTARIO'!$A$2:$Y$1148,19,FALSE)</f>
        <v>SIN SERIE</v>
      </c>
      <c r="K70" s="168" t="str">
        <f>VLOOKUP($A70,'030523 INVENTARIO'!$A$2:$Y$1148,20,FALSE)</f>
        <v>82DK0511010001000649470</v>
      </c>
      <c r="L70" s="167" t="str">
        <f>VLOOKUP($A70,'030523 INVENTARIO'!$A$2:$Y$1148,23,FALSE)</f>
        <v>BLANCA ELIZABETH ALCANTAR</v>
      </c>
    </row>
    <row r="71" spans="1:12" ht="12.75" hidden="1">
      <c r="A71" s="167" t="str">
        <f>'030523 INVENTARIO'!A71</f>
        <v>0070</v>
      </c>
      <c r="B71" s="168" t="str">
        <f>'030523 INVENTARIO'!T71</f>
        <v>82DK0511010001000581678</v>
      </c>
      <c r="C71" s="167" t="str">
        <f t="shared" si="0"/>
        <v>581678</v>
      </c>
      <c r="D71" s="167" t="str">
        <f>IF(VLOOKUP(C71,'Patrimonio 2023'!$C$2:$C$1128,1,FALSE) = C71, "Encontrado", "no")</f>
        <v>Encontrado</v>
      </c>
      <c r="E71" s="167" t="str">
        <f>VLOOKUP($A71,'030523 INVENTARIO'!$A$2:$Y$1148,5,FALSE)</f>
        <v>ARCHIVERO</v>
      </c>
      <c r="F71" s="167" t="str">
        <f>VLOOKUP($A71,'030523 INVENTARIO'!$A$2:$Y$1148,6,FALSE)</f>
        <v>ARCHIVERO DE MADERA DE 3 CAJONES 92X49X60</v>
      </c>
      <c r="G71" s="167" t="str">
        <f ca="1">VLOOKUP($A71,'030523 INVENTARIO'!$A$2:$Y$1148,8,FALSE)</f>
        <v>P05RM-0070</v>
      </c>
      <c r="H71" s="168" t="str">
        <f>VLOOKUP($A71,'030523 INVENTARIO'!$A$2:$Y$1148,17,FALSE)</f>
        <v>S/M</v>
      </c>
      <c r="I71" s="167" t="str">
        <f>VLOOKUP($A71,'030523 INVENTARIO'!$A$2:$Y$1148,18,FALSE)</f>
        <v>S/M</v>
      </c>
      <c r="J71" s="168" t="str">
        <f>VLOOKUP($A71,'030523 INVENTARIO'!$A$2:$Y$1148,19,FALSE)</f>
        <v>SIN SERIE</v>
      </c>
      <c r="K71" s="168" t="str">
        <f>VLOOKUP($A71,'030523 INVENTARIO'!$A$2:$Y$1148,20,FALSE)</f>
        <v>82DK0511010001000581678</v>
      </c>
      <c r="L71" s="167" t="str">
        <f>VLOOKUP($A71,'030523 INVENTARIO'!$A$2:$Y$1148,23,FALSE)</f>
        <v>BLANCA ELIZABETH ALCANTAR</v>
      </c>
    </row>
    <row r="72" spans="1:12" ht="12.75" hidden="1">
      <c r="A72" s="167" t="str">
        <f>'030523 INVENTARIO'!A72</f>
        <v>0071</v>
      </c>
      <c r="B72" s="168" t="str">
        <f>'030523 INVENTARIO'!T72</f>
        <v>82DK0511010010000649464</v>
      </c>
      <c r="C72" s="167" t="str">
        <f t="shared" si="0"/>
        <v>649464</v>
      </c>
      <c r="D72" s="167" t="str">
        <f>IF(VLOOKUP(C72,'Patrimonio 2023'!$C$2:$C$1128,1,FALSE) = C72, "Encontrado", "no")</f>
        <v>Encontrado</v>
      </c>
      <c r="E72" s="167" t="str">
        <f>VLOOKUP($A72,'030523 INVENTARIO'!$A$2:$Y$1148,5,FALSE)</f>
        <v>MESA</v>
      </c>
      <c r="F72" s="167" t="str">
        <f>VLOOKUP($A72,'030523 INVENTARIO'!$A$2:$Y$1148,6,FALSE)</f>
        <v>MESA DE MADERA COLOR CAOBA CHICA 75X60</v>
      </c>
      <c r="G72" s="167" t="str">
        <f ca="1">VLOOKUP($A72,'030523 INVENTARIO'!$A$2:$Y$1148,8,FALSE)</f>
        <v>P05RM-0071</v>
      </c>
      <c r="H72" s="168" t="str">
        <f>VLOOKUP($A72,'030523 INVENTARIO'!$A$2:$Y$1148,17,FALSE)</f>
        <v>S/M</v>
      </c>
      <c r="I72" s="167" t="str">
        <f>VLOOKUP($A72,'030523 INVENTARIO'!$A$2:$Y$1148,18,FALSE)</f>
        <v>S/M</v>
      </c>
      <c r="J72" s="168" t="str">
        <f>VLOOKUP($A72,'030523 INVENTARIO'!$A$2:$Y$1148,19,FALSE)</f>
        <v>SIN SERIE</v>
      </c>
      <c r="K72" s="168" t="str">
        <f>VLOOKUP($A72,'030523 INVENTARIO'!$A$2:$Y$1148,20,FALSE)</f>
        <v>82DK0511010010000649464</v>
      </c>
      <c r="L72" s="167" t="str">
        <f>VLOOKUP($A72,'030523 INVENTARIO'!$A$2:$Y$1148,23,FALSE)</f>
        <v>BLANCA ELIZABETH ALCANTAR</v>
      </c>
    </row>
    <row r="73" spans="1:12" ht="12.75" hidden="1">
      <c r="A73" s="167" t="str">
        <f>'030523 INVENTARIO'!A73</f>
        <v>0072</v>
      </c>
      <c r="B73" s="168" t="str">
        <f>'030523 INVENTARIO'!T73</f>
        <v>82DK0511010006000649463</v>
      </c>
      <c r="C73" s="167" t="str">
        <f t="shared" si="0"/>
        <v>649463</v>
      </c>
      <c r="D73" s="167" t="str">
        <f>IF(VLOOKUP(C73,'Patrimonio 2023'!$C$2:$C$1128,1,FALSE) = C73, "Encontrado", "no")</f>
        <v>Encontrado</v>
      </c>
      <c r="E73" s="167" t="str">
        <f>VLOOKUP($A73,'030523 INVENTARIO'!$A$2:$Y$1148,5,FALSE)</f>
        <v>ESCRITORIO</v>
      </c>
      <c r="F73" s="167" t="str">
        <f>VLOOKUP($A73,'030523 INVENTARIO'!$A$2:$Y$1148,6,FALSE)</f>
        <v>ESCRITORIO DE MADERA DE 2 PIEZAS TIPO "L"</v>
      </c>
      <c r="G73" s="167" t="str">
        <f ca="1">VLOOKUP($A73,'030523 INVENTARIO'!$A$2:$Y$1148,8,FALSE)</f>
        <v>P05RM-0072</v>
      </c>
      <c r="H73" s="168" t="str">
        <f>VLOOKUP($A73,'030523 INVENTARIO'!$A$2:$Y$1148,17,FALSE)</f>
        <v>S/M</v>
      </c>
      <c r="I73" s="167" t="str">
        <f>VLOOKUP($A73,'030523 INVENTARIO'!$A$2:$Y$1148,18,FALSE)</f>
        <v>S/M</v>
      </c>
      <c r="J73" s="168" t="str">
        <f>VLOOKUP($A73,'030523 INVENTARIO'!$A$2:$Y$1148,19,FALSE)</f>
        <v>SIN SERIE</v>
      </c>
      <c r="K73" s="168" t="str">
        <f>VLOOKUP($A73,'030523 INVENTARIO'!$A$2:$Y$1148,20,FALSE)</f>
        <v>82DK0511010006000649463</v>
      </c>
      <c r="L73" s="167" t="str">
        <f>VLOOKUP($A73,'030523 INVENTARIO'!$A$2:$Y$1148,23,FALSE)</f>
        <v>BLANCA ELIZABETH ALCANTAR</v>
      </c>
    </row>
    <row r="74" spans="1:12" ht="12.75" hidden="1">
      <c r="A74" s="167" t="str">
        <f>'030523 INVENTARIO'!A74</f>
        <v>0073</v>
      </c>
      <c r="B74" s="168" t="str">
        <f>'030523 INVENTARIO'!T74</f>
        <v>82DK0511010017000516337</v>
      </c>
      <c r="C74" s="167" t="str">
        <f t="shared" si="0"/>
        <v>516337</v>
      </c>
      <c r="D74" s="167" t="str">
        <f>IF(VLOOKUP(C74,'Patrimonio 2023'!$C$2:$C$1128,1,FALSE) = C74, "Encontrado", "no")</f>
        <v>Encontrado</v>
      </c>
      <c r="E74" s="167" t="str">
        <f>VLOOKUP($A74,'030523 INVENTARIO'!$A$2:$Y$1148,5,FALSE)</f>
        <v>SILLA</v>
      </c>
      <c r="F74" s="167" t="str">
        <f>VLOOKUP($A74,'030523 INVENTARIO'!$A$2:$Y$1148,6,FALSE)</f>
        <v>SILLA NEGRA DE TELA</v>
      </c>
      <c r="G74" s="167" t="str">
        <f ca="1">VLOOKUP($A74,'030523 INVENTARIO'!$A$2:$Y$1148,8,FALSE)</f>
        <v>P05RM-0073</v>
      </c>
      <c r="H74" s="168" t="str">
        <f>VLOOKUP($A74,'030523 INVENTARIO'!$A$2:$Y$1148,17,FALSE)</f>
        <v>S/M</v>
      </c>
      <c r="I74" s="167" t="str">
        <f>VLOOKUP($A74,'030523 INVENTARIO'!$A$2:$Y$1148,18,FALSE)</f>
        <v>S/M</v>
      </c>
      <c r="J74" s="168" t="str">
        <f>VLOOKUP($A74,'030523 INVENTARIO'!$A$2:$Y$1148,19,FALSE)</f>
        <v>SIN SERIE</v>
      </c>
      <c r="K74" s="168" t="str">
        <f>VLOOKUP($A74,'030523 INVENTARIO'!$A$2:$Y$1148,20,FALSE)</f>
        <v>82DK0511010017000516337</v>
      </c>
      <c r="L74" s="167" t="str">
        <f>VLOOKUP($A74,'030523 INVENTARIO'!$A$2:$Y$1148,23,FALSE)</f>
        <v>BLANCA ELIZABETH ALCANTAR</v>
      </c>
    </row>
    <row r="75" spans="1:12" ht="12.75" hidden="1">
      <c r="A75" s="167" t="str">
        <f>'030523 INVENTARIO'!A75</f>
        <v>0074</v>
      </c>
      <c r="B75" s="168" t="str">
        <f>'030523 INVENTARIO'!T75</f>
        <v>82DK0511010017000649473</v>
      </c>
      <c r="C75" s="167" t="str">
        <f t="shared" si="0"/>
        <v>649473</v>
      </c>
      <c r="D75" s="167" t="str">
        <f>IF(VLOOKUP(C75,'Patrimonio 2023'!$C$2:$C$1128,1,FALSE) = C75, "Encontrado", "no")</f>
        <v>Encontrado</v>
      </c>
      <c r="E75" s="167" t="str">
        <f>VLOOKUP($A75,'030523 INVENTARIO'!$A$2:$Y$1148,5,FALSE)</f>
        <v>SILLA</v>
      </c>
      <c r="F75" s="167" t="str">
        <f>VLOOKUP($A75,'030523 INVENTARIO'!$A$2:$Y$1148,6,FALSE)</f>
        <v>SILLA NEGRA DE TELA</v>
      </c>
      <c r="G75" s="167" t="str">
        <f ca="1">VLOOKUP($A75,'030523 INVENTARIO'!$A$2:$Y$1148,8,FALSE)</f>
        <v>P05RM-0074</v>
      </c>
      <c r="H75" s="168" t="str">
        <f>VLOOKUP($A75,'030523 INVENTARIO'!$A$2:$Y$1148,17,FALSE)</f>
        <v>S/M</v>
      </c>
      <c r="I75" s="167" t="str">
        <f>VLOOKUP($A75,'030523 INVENTARIO'!$A$2:$Y$1148,18,FALSE)</f>
        <v>S/M</v>
      </c>
      <c r="J75" s="168" t="str">
        <f>VLOOKUP($A75,'030523 INVENTARIO'!$A$2:$Y$1148,19,FALSE)</f>
        <v>SIN SERIE</v>
      </c>
      <c r="K75" s="168" t="str">
        <f>VLOOKUP($A75,'030523 INVENTARIO'!$A$2:$Y$1148,20,FALSE)</f>
        <v>82DK0511010017000649473</v>
      </c>
      <c r="L75" s="167" t="str">
        <f>VLOOKUP($A75,'030523 INVENTARIO'!$A$2:$Y$1148,23,FALSE)</f>
        <v>BLANCA ELIZABETH ALCANTAR</v>
      </c>
    </row>
    <row r="76" spans="1:12" ht="12.75" hidden="1">
      <c r="A76" s="167" t="str">
        <f>'030523 INVENTARIO'!A76</f>
        <v>0075</v>
      </c>
      <c r="B76" s="167" t="str">
        <f>'030523 INVENTARIO'!T76</f>
        <v>82DK0515010013000650654</v>
      </c>
      <c r="C76" s="167" t="str">
        <f t="shared" si="0"/>
        <v>650654</v>
      </c>
      <c r="D76" s="167" t="str">
        <f>IF(VLOOKUP(C76,'Patrimonio 2023'!$C$2:$C$1128,1,FALSE) = C76, "Encontrado", "no")</f>
        <v>Encontrado</v>
      </c>
      <c r="E76" s="167" t="str">
        <f>VLOOKUP($A76,'030523 INVENTARIO'!$A$2:$Y$1148,5,FALSE)</f>
        <v>MONITOR</v>
      </c>
      <c r="F76" s="167" t="str">
        <f>VLOOKUP($A76,'030523 INVENTARIO'!$A$2:$Y$1148,6,FALSE)</f>
        <v>MONITOR 19.5"</v>
      </c>
      <c r="G76" s="167" t="str">
        <f ca="1">VLOOKUP($A76,'030523 INVENTARIO'!$A$2:$Y$1148,8,FALSE)</f>
        <v>P05RM-0075</v>
      </c>
      <c r="H76" s="168" t="str">
        <f>VLOOKUP($A76,'030523 INVENTARIO'!$A$2:$Y$1148,17,FALSE)</f>
        <v>GHIA</v>
      </c>
      <c r="I76" s="167" t="str">
        <f>VLOOKUP($A76,'030523 INVENTARIO'!$A$2:$Y$1148,18,FALSE)</f>
        <v>MG2017</v>
      </c>
      <c r="J76" s="168" t="str">
        <f>VLOOKUP($A76,'030523 INVENTARIO'!$A$2:$Y$1148,19,FALSE)</f>
        <v>SIN SERIE</v>
      </c>
      <c r="K76" s="167" t="str">
        <f>VLOOKUP($A76,'030523 INVENTARIO'!$A$2:$Y$1148,20,FALSE)</f>
        <v>82DK0515010013000650654</v>
      </c>
      <c r="L76" s="167" t="str">
        <f>VLOOKUP($A76,'030523 INVENTARIO'!$A$2:$Y$1148,23,FALSE)</f>
        <v>BLANCA ELIZABETH ALCANTAR</v>
      </c>
    </row>
    <row r="77" spans="1:12" ht="12.75" hidden="1">
      <c r="A77" s="167" t="str">
        <f>'030523 INVENTARIO'!A77</f>
        <v>0076</v>
      </c>
      <c r="B77" s="168" t="str">
        <f>'030523 INVENTARIO'!T77</f>
        <v>82DK0515010001000650658</v>
      </c>
      <c r="C77" s="167" t="str">
        <f t="shared" si="0"/>
        <v>650658</v>
      </c>
      <c r="D77" s="167" t="str">
        <f>IF(VLOOKUP(C77,'Patrimonio 2023'!$C$2:$C$1128,1,FALSE) = C77, "Encontrado", "no")</f>
        <v>Encontrado</v>
      </c>
      <c r="E77" s="167" t="str">
        <f>VLOOKUP($A77,'030523 INVENTARIO'!$A$2:$Y$1148,5,FALSE)</f>
        <v>COMPUTADORA DE ESCRITORIO</v>
      </c>
      <c r="F77" s="167" t="str">
        <f>VLOOKUP($A77,'030523 INVENTARIO'!$A$2:$Y$1148,6,FALSE)</f>
        <v>COMPUTADORA DE ESCRITORIO</v>
      </c>
      <c r="G77" s="167" t="str">
        <f ca="1">VLOOKUP($A77,'030523 INVENTARIO'!$A$2:$Y$1148,8,FALSE)</f>
        <v>P05RM-0076</v>
      </c>
      <c r="H77" s="168" t="str">
        <f>VLOOKUP($A77,'030523 INVENTARIO'!$A$2:$Y$1148,17,FALSE)</f>
        <v>GHIA</v>
      </c>
      <c r="I77" s="167">
        <f>VLOOKUP($A77,'030523 INVENTARIO'!$A$2:$Y$1148,18,FALSE)</f>
        <v>2378</v>
      </c>
      <c r="J77" s="168" t="str">
        <f>VLOOKUP($A77,'030523 INVENTARIO'!$A$2:$Y$1148,19,FALSE)</f>
        <v>337841</v>
      </c>
      <c r="K77" s="168" t="str">
        <f>VLOOKUP($A77,'030523 INVENTARIO'!$A$2:$Y$1148,20,FALSE)</f>
        <v>82DK0515010001000650658</v>
      </c>
      <c r="L77" s="167" t="str">
        <f>VLOOKUP($A77,'030523 INVENTARIO'!$A$2:$Y$1148,23,FALSE)</f>
        <v>BLANCA ELIZABETH ALCANTAR</v>
      </c>
    </row>
    <row r="78" spans="1:12" ht="12.75" hidden="1">
      <c r="A78" s="167" t="str">
        <f>'030523 INVENTARIO'!A78</f>
        <v>0077</v>
      </c>
      <c r="B78" s="167" t="str">
        <f>'030523 INVENTARIO'!T78</f>
        <v>82DK0515010013000650648</v>
      </c>
      <c r="C78" s="167" t="str">
        <f t="shared" si="0"/>
        <v>650648</v>
      </c>
      <c r="D78" s="167" t="str">
        <f>IF(VLOOKUP(C78,'Patrimonio 2023'!$C$2:$C$1128,1,FALSE) = C78, "Encontrado", "no")</f>
        <v>Encontrado</v>
      </c>
      <c r="E78" s="167" t="str">
        <f>VLOOKUP($A78,'030523 INVENTARIO'!$A$2:$Y$1148,5,FALSE)</f>
        <v>MONITOR</v>
      </c>
      <c r="F78" s="167" t="str">
        <f>VLOOKUP($A78,'030523 INVENTARIO'!$A$2:$Y$1148,6,FALSE)</f>
        <v>MONITOR 19.5"</v>
      </c>
      <c r="G78" s="167" t="str">
        <f ca="1">VLOOKUP($A78,'030523 INVENTARIO'!$A$2:$Y$1148,8,FALSE)</f>
        <v>P05RM-0077</v>
      </c>
      <c r="H78" s="168" t="str">
        <f>VLOOKUP($A78,'030523 INVENTARIO'!$A$2:$Y$1148,17,FALSE)</f>
        <v>GHIA</v>
      </c>
      <c r="I78" s="167" t="str">
        <f>VLOOKUP($A78,'030523 INVENTARIO'!$A$2:$Y$1148,18,FALSE)</f>
        <v>MG2017</v>
      </c>
      <c r="J78" s="168" t="str">
        <f>VLOOKUP($A78,'030523 INVENTARIO'!$A$2:$Y$1148,19,FALSE)</f>
        <v>CMG201718013680011</v>
      </c>
      <c r="K78" s="167" t="str">
        <f>VLOOKUP($A78,'030523 INVENTARIO'!$A$2:$Y$1148,20,FALSE)</f>
        <v>82DK0515010013000650648</v>
      </c>
      <c r="L78" s="167" t="str">
        <f>VLOOKUP($A78,'030523 INVENTARIO'!$A$2:$Y$1148,23,FALSE)</f>
        <v>BLANCA ELIZABETH ALCANTAR</v>
      </c>
    </row>
    <row r="79" spans="1:12" ht="12.75" hidden="1">
      <c r="A79" s="167" t="str">
        <f>'030523 INVENTARIO'!A79</f>
        <v>0078</v>
      </c>
      <c r="B79" s="168" t="str">
        <f>'030523 INVENTARIO'!T79</f>
        <v>82DK0515010020000650894</v>
      </c>
      <c r="C79" s="167" t="str">
        <f t="shared" si="0"/>
        <v>650894</v>
      </c>
      <c r="D79" s="167" t="str">
        <f>IF(VLOOKUP(C79,'Patrimonio 2023'!$C$2:$C$1128,1,FALSE) = C79, "Encontrado", "no")</f>
        <v>Encontrado</v>
      </c>
      <c r="E79" s="167" t="str">
        <f>VLOOKUP($A79,'030523 INVENTARIO'!$A$2:$Y$1148,5,FALSE)</f>
        <v>REGULADOR DE VOLTAJE</v>
      </c>
      <c r="F79" s="168" t="str">
        <f>VLOOKUP($A79,'030523 INVENTARIO'!$A$2:$Y$1148,6,FALSE)</f>
        <v>REGULADOR</v>
      </c>
      <c r="G79" s="167" t="str">
        <f ca="1">VLOOKUP($A79,'030523 INVENTARIO'!$A$2:$Y$1148,8,FALSE)</f>
        <v>P05RM-0078</v>
      </c>
      <c r="H79" s="168" t="str">
        <f>VLOOKUP($A79,'030523 INVENTARIO'!$A$2:$Y$1148,17,FALSE)</f>
        <v>KOBLENZ</v>
      </c>
      <c r="I79" s="167" t="str">
        <f>VLOOKUP($A79,'030523 INVENTARIO'!$A$2:$Y$1148,18,FALSE)</f>
        <v>RS/1400I</v>
      </c>
      <c r="J79" s="168" t="str">
        <f>VLOOKUP($A79,'030523 INVENTARIO'!$A$2:$Y$1148,19,FALSE)</f>
        <v>16-10-39223</v>
      </c>
      <c r="K79" s="168" t="str">
        <f>VLOOKUP($A79,'030523 INVENTARIO'!$A$2:$Y$1148,20,FALSE)</f>
        <v>82DK0515010020000650894</v>
      </c>
      <c r="L79" s="167" t="str">
        <f>VLOOKUP($A79,'030523 INVENTARIO'!$A$2:$Y$1148,23,FALSE)</f>
        <v>BLANCA ELIZABETH ALCANTAR</v>
      </c>
    </row>
    <row r="80" spans="1:12" ht="12.75" hidden="1">
      <c r="A80" s="167" t="str">
        <f>'030523 INVENTARIO'!A80</f>
        <v>0079</v>
      </c>
      <c r="B80" s="168" t="str">
        <f>'030523 INVENTARIO'!T80</f>
        <v>82DH0511010010000649757</v>
      </c>
      <c r="C80" s="167" t="str">
        <f t="shared" si="0"/>
        <v>649757</v>
      </c>
      <c r="D80" s="167" t="str">
        <f>IF(VLOOKUP(C80,'Patrimonio 2023'!$C$2:$C$1128,1,FALSE) = C80, "Encontrado", "no")</f>
        <v>Encontrado</v>
      </c>
      <c r="E80" s="167" t="str">
        <f>VLOOKUP($A80,'030523 INVENTARIO'!$A$2:$Y$1148,5,FALSE)</f>
        <v>MESA</v>
      </c>
      <c r="F80" s="167" t="str">
        <f>VLOOKUP($A80,'030523 INVENTARIO'!$A$2:$Y$1148,6,FALSE)</f>
        <v>MESA DE MADERA CHICA 66X40</v>
      </c>
      <c r="G80" s="167" t="str">
        <f ca="1">VLOOKUP($A80,'030523 INVENTARIO'!$A$2:$Y$1148,8,FALSE)</f>
        <v>P05RM-0079</v>
      </c>
      <c r="H80" s="168" t="str">
        <f>VLOOKUP($A80,'030523 INVENTARIO'!$A$2:$Y$1148,17,FALSE)</f>
        <v>S/M</v>
      </c>
      <c r="I80" s="167" t="str">
        <f>VLOOKUP($A80,'030523 INVENTARIO'!$A$2:$Y$1148,18,FALSE)</f>
        <v>S/M</v>
      </c>
      <c r="J80" s="168" t="str">
        <f>VLOOKUP($A80,'030523 INVENTARIO'!$A$2:$Y$1148,19,FALSE)</f>
        <v>SIN SERIE</v>
      </c>
      <c r="K80" s="168" t="str">
        <f>VLOOKUP($A80,'030523 INVENTARIO'!$A$2:$Y$1148,20,FALSE)</f>
        <v>82DH0511010010000649757</v>
      </c>
      <c r="L80" s="167" t="str">
        <f>VLOOKUP($A80,'030523 INVENTARIO'!$A$2:$Y$1148,23,FALSE)</f>
        <v>BLANCA ELIZABETH ALCANTAR</v>
      </c>
    </row>
    <row r="81" spans="1:12" ht="12.75" hidden="1">
      <c r="A81" s="167" t="str">
        <f>'030523 INVENTARIO'!A81</f>
        <v>0080</v>
      </c>
      <c r="B81" s="168" t="str">
        <f>'030523 INVENTARIO'!T81</f>
        <v>82DK0511010016000649465</v>
      </c>
      <c r="C81" s="167" t="str">
        <f t="shared" si="0"/>
        <v>649465</v>
      </c>
      <c r="D81" s="167" t="str">
        <f>IF(VLOOKUP(C81,'Patrimonio 2023'!$C$2:$C$1128,1,FALSE) = C81, "Encontrado", "no")</f>
        <v>Encontrado</v>
      </c>
      <c r="E81" s="167" t="str">
        <f>VLOOKUP($A81,'030523 INVENTARIO'!$A$2:$Y$1148,5,FALSE)</f>
        <v>SILLON</v>
      </c>
      <c r="F81" s="167" t="str">
        <f>VLOOKUP($A81,'030523 INVENTARIO'!$A$2:$Y$1148,6,FALSE)</f>
        <v>SILLON NEGRO  CON RUEDAS</v>
      </c>
      <c r="G81" s="167" t="str">
        <f ca="1">VLOOKUP($A81,'030523 INVENTARIO'!$A$2:$Y$1148,8,FALSE)</f>
        <v>P05RM-0080</v>
      </c>
      <c r="H81" s="168" t="str">
        <f>VLOOKUP($A81,'030523 INVENTARIO'!$A$2:$Y$1148,17,FALSE)</f>
        <v>S/M</v>
      </c>
      <c r="I81" s="167" t="str">
        <f>VLOOKUP($A81,'030523 INVENTARIO'!$A$2:$Y$1148,18,FALSE)</f>
        <v>S/M</v>
      </c>
      <c r="J81" s="168" t="str">
        <f>VLOOKUP($A81,'030523 INVENTARIO'!$A$2:$Y$1148,19,FALSE)</f>
        <v>SIN SERIE</v>
      </c>
      <c r="K81" s="168" t="str">
        <f>VLOOKUP($A81,'030523 INVENTARIO'!$A$2:$Y$1148,20,FALSE)</f>
        <v>82DK0511010016000649465</v>
      </c>
      <c r="L81" s="167" t="str">
        <f>VLOOKUP($A81,'030523 INVENTARIO'!$A$2:$Y$1148,23,FALSE)</f>
        <v>BLANCA ELIZABETH ALCANTAR</v>
      </c>
    </row>
    <row r="82" spans="1:12" ht="12.75" hidden="1">
      <c r="A82" s="167" t="str">
        <f>'030523 INVENTARIO'!A82</f>
        <v>0081</v>
      </c>
      <c r="B82" s="168" t="str">
        <f>'030523 INVENTARIO'!T82</f>
        <v>SIN RESGUARDO</v>
      </c>
      <c r="C82" s="167" t="str">
        <f t="shared" si="0"/>
        <v/>
      </c>
      <c r="D82" s="167" t="e">
        <f>IF(VLOOKUP(C82,'Patrimonio 2023'!$C$2:$C$1128,1,FALSE) = C82, "Encontrado", "no")</f>
        <v>#N/A</v>
      </c>
      <c r="E82" s="167" t="str">
        <f>VLOOKUP($A82,'030523 INVENTARIO'!$A$2:$Y$1148,5,FALSE)</f>
        <v>TELEFONO</v>
      </c>
      <c r="F82" s="167" t="str">
        <f>VLOOKUP($A82,'030523 INVENTARIO'!$A$2:$Y$1148,6,FALSE)</f>
        <v>TELEFONO</v>
      </c>
      <c r="G82" s="167" t="str">
        <f ca="1">VLOOKUP($A82,'030523 INVENTARIO'!$A$2:$Y$1148,8,FALSE)</f>
        <v>P05RM-0081</v>
      </c>
      <c r="H82" s="168" t="str">
        <f>VLOOKUP($A82,'030523 INVENTARIO'!$A$2:$Y$1148,17,FALSE)</f>
        <v>CISCO</v>
      </c>
      <c r="I82" s="167" t="str">
        <f>VLOOKUP($A82,'030523 INVENTARIO'!$A$2:$Y$1148,18,FALSE)</f>
        <v>SPA504G</v>
      </c>
      <c r="J82" s="168" t="str">
        <f>VLOOKUP($A82,'030523 INVENTARIO'!$A$2:$Y$1148,19,FALSE)</f>
        <v>CCQ17280CNA</v>
      </c>
      <c r="K82" s="168" t="str">
        <f>VLOOKUP($A82,'030523 INVENTARIO'!$A$2:$Y$1148,20,FALSE)</f>
        <v>SIN RESGUARDO</v>
      </c>
      <c r="L82" s="167" t="str">
        <f>VLOOKUP($A82,'030523 INVENTARIO'!$A$2:$Y$1148,23,FALSE)</f>
        <v>BLANCA ELIZABETH ALCANTAR</v>
      </c>
    </row>
    <row r="83" spans="1:12" ht="12.75" hidden="1">
      <c r="A83" s="167" t="str">
        <f>'030523 INVENTARIO'!A83</f>
        <v>0082</v>
      </c>
      <c r="B83" s="168" t="str">
        <f>'030523 INVENTARIO'!T83</f>
        <v>82DK0531010094000581182</v>
      </c>
      <c r="C83" s="167" t="str">
        <f t="shared" si="0"/>
        <v>581182</v>
      </c>
      <c r="D83" s="167" t="str">
        <f>IF(VLOOKUP(C83,'Patrimonio 2023'!$C$2:$C$1128,1,FALSE) = C83, "Encontrado", "no")</f>
        <v>Encontrado</v>
      </c>
      <c r="E83" s="167" t="str">
        <f>VLOOKUP($A83,'030523 INVENTARIO'!$A$2:$Y$1148,5,FALSE)</f>
        <v>VENTILADOR</v>
      </c>
      <c r="F83" s="167" t="str">
        <f>VLOOKUP($A83,'030523 INVENTARIO'!$A$2:$Y$1148,6,FALSE)</f>
        <v>VENTILADOR BEIGE DE PEDESTAL</v>
      </c>
      <c r="G83" s="167" t="str">
        <f ca="1">VLOOKUP($A83,'030523 INVENTARIO'!$A$2:$Y$1148,8,FALSE)</f>
        <v>P05RM-0082</v>
      </c>
      <c r="H83" s="168" t="str">
        <f>VLOOKUP($A83,'030523 INVENTARIO'!$A$2:$Y$1148,17,FALSE)</f>
        <v>BLACK &amp; DECKER</v>
      </c>
      <c r="I83" s="167" t="str">
        <f>VLOOKUP($A83,'030523 INVENTARIO'!$A$2:$Y$1148,18,FALSE)</f>
        <v>LP4016</v>
      </c>
      <c r="J83" s="168" t="str">
        <f>VLOOKUP($A83,'030523 INVENTARIO'!$A$2:$Y$1148,19,FALSE)</f>
        <v>BDV16PM</v>
      </c>
      <c r="K83" s="168" t="str">
        <f>VLOOKUP($A83,'030523 INVENTARIO'!$A$2:$Y$1148,20,FALSE)</f>
        <v>82DK0531010094000581182</v>
      </c>
      <c r="L83" s="167" t="str">
        <f>VLOOKUP($A83,'030523 INVENTARIO'!$A$2:$Y$1148,23,FALSE)</f>
        <v>BLANCA ELIZABETH ALCANTAR</v>
      </c>
    </row>
    <row r="84" spans="1:12" ht="12.75">
      <c r="A84" s="167" t="str">
        <f>'030523 INVENTARIO'!A84</f>
        <v>0083</v>
      </c>
      <c r="B84" s="167" t="str">
        <f>'030523 INVENTARIO'!T84</f>
        <v>82DI0515010003000649493</v>
      </c>
      <c r="C84" s="167" t="str">
        <f t="shared" si="0"/>
        <v>649493</v>
      </c>
      <c r="D84" s="167" t="e">
        <f>IF(VLOOKUP(C84,'Patrimonio 2023'!$C$2:$C$1128,1,FALSE) = C84, "Encontrado", "no")</f>
        <v>#N/A</v>
      </c>
      <c r="E84" s="167" t="str">
        <f>VLOOKUP($A84,'030523 INVENTARIO'!$A$2:$Y$1148,5,FALSE)</f>
        <v>COMPUTADORA DE ESCRITORIO</v>
      </c>
      <c r="F84" s="167" t="str">
        <f>VLOOKUP($A84,'030523 INVENTARIO'!$A$2:$Y$1148,6,FALSE)</f>
        <v>COMPUTADORA TODO EN UNO BLANCO</v>
      </c>
      <c r="G84" s="167" t="str">
        <f ca="1">VLOOKUP($A84,'030523 INVENTARIO'!$A$2:$Y$1148,8,FALSE)</f>
        <v>P05RM-0083</v>
      </c>
      <c r="H84" s="168" t="str">
        <f>VLOOKUP($A84,'030523 INVENTARIO'!$A$2:$Y$1148,17,FALSE)</f>
        <v>LENOVO</v>
      </c>
      <c r="I84" s="167" t="str">
        <f>VLOOKUP($A84,'030523 INVENTARIO'!$A$2:$Y$1148,18,FALSE)</f>
        <v>C240</v>
      </c>
      <c r="J84" s="167" t="str">
        <f>VLOOKUP($A84,'030523 INVENTARIO'!$A$2:$Y$1148,19,FALSE)</f>
        <v>CS01273371</v>
      </c>
      <c r="K84" s="167" t="str">
        <f>VLOOKUP($A84,'030523 INVENTARIO'!$A$2:$Y$1148,20,FALSE)</f>
        <v>82DI0515010003000649493</v>
      </c>
      <c r="L84" s="167" t="str">
        <f>VLOOKUP($A84,'030523 INVENTARIO'!$A$2:$Y$1148,23,FALSE)</f>
        <v>ESIQUIO NAVA ORTEGA</v>
      </c>
    </row>
    <row r="85" spans="1:12" ht="12.75" hidden="1">
      <c r="A85" s="167" t="str">
        <f>'030523 INVENTARIO'!A85</f>
        <v>0084</v>
      </c>
      <c r="B85" s="168" t="str">
        <f>'030523 INVENTARIO'!T85</f>
        <v>82DH0515010014000649522</v>
      </c>
      <c r="C85" s="167" t="str">
        <f t="shared" si="0"/>
        <v>649522</v>
      </c>
      <c r="D85" s="167" t="str">
        <f>IF(VLOOKUP(C85,'Patrimonio 2023'!$C$2:$C$1128,1,FALSE) = C85, "Encontrado", "no")</f>
        <v>Encontrado</v>
      </c>
      <c r="E85" s="167" t="str">
        <f>VLOOKUP($A85,'030523 INVENTARIO'!$A$2:$Y$1148,5,FALSE)</f>
        <v>MULTIFUNCIONAL</v>
      </c>
      <c r="F85" s="167" t="str">
        <f>VLOOKUP($A85,'030523 INVENTARIO'!$A$2:$Y$1148,6,FALSE)</f>
        <v>MULTIFUNCIONAL NEGRO</v>
      </c>
      <c r="G85" s="167" t="str">
        <f ca="1">VLOOKUP($A85,'030523 INVENTARIO'!$A$2:$Y$1148,8,FALSE)</f>
        <v>P05RM-0084</v>
      </c>
      <c r="H85" s="168" t="str">
        <f>VLOOKUP($A85,'030523 INVENTARIO'!$A$2:$Y$1148,17,FALSE)</f>
        <v>HP</v>
      </c>
      <c r="I85" s="167" t="str">
        <f>VLOOKUP($A85,'030523 INVENTARIO'!$A$2:$Y$1148,18,FALSE)</f>
        <v>OFFICEJET 8710</v>
      </c>
      <c r="J85" s="168" t="str">
        <f>VLOOKUP($A85,'030523 INVENTARIO'!$A$2:$Y$1148,19,FALSE)</f>
        <v>CN634BM0F0</v>
      </c>
      <c r="K85" s="168" t="str">
        <f>VLOOKUP($A85,'030523 INVENTARIO'!$A$2:$Y$1148,20,FALSE)</f>
        <v>82DH0515010014000649522</v>
      </c>
      <c r="L85" s="167" t="str">
        <f>VLOOKUP($A85,'030523 INVENTARIO'!$A$2:$Y$1148,23,FALSE)</f>
        <v>BLANCA ELIZABETH ALCANTAR (ALMACEN)</v>
      </c>
    </row>
    <row r="86" spans="1:12" ht="12.75" hidden="1">
      <c r="A86" s="167" t="str">
        <f>'030523 INVENTARIO'!A86</f>
        <v>0085</v>
      </c>
      <c r="B86" s="168" t="str">
        <f>'030523 INVENTARIO'!T86</f>
        <v>82DK0511010017000522763</v>
      </c>
      <c r="C86" s="167" t="str">
        <f t="shared" si="0"/>
        <v>522763</v>
      </c>
      <c r="D86" s="167" t="str">
        <f>IF(VLOOKUP(C86,'Patrimonio 2023'!$C$2:$C$1128,1,FALSE) = C86, "Encontrado", "no")</f>
        <v>Encontrado</v>
      </c>
      <c r="E86" s="167" t="str">
        <f>VLOOKUP($A86,'030523 INVENTARIO'!$A$2:$Y$1148,5,FALSE)</f>
        <v>MONITOR</v>
      </c>
      <c r="F86" s="167" t="str">
        <f>VLOOKUP($A86,'030523 INVENTARIO'!$A$2:$Y$1148,6,FALSE)</f>
        <v>MONITOR 15.6"</v>
      </c>
      <c r="G86" s="167" t="str">
        <f ca="1">VLOOKUP($A86,'030523 INVENTARIO'!$A$2:$Y$1148,8,FALSE)</f>
        <v>P05RM-0085</v>
      </c>
      <c r="H86" s="168" t="str">
        <f>VLOOKUP($A86,'030523 INVENTARIO'!$A$2:$Y$1148,17,FALSE)</f>
        <v>SAMSUNG</v>
      </c>
      <c r="I86" s="167" t="str">
        <f>VLOOKUP($A86,'030523 INVENTARIO'!$A$2:$Y$1148,18,FALSE)</f>
        <v>632NW</v>
      </c>
      <c r="J86" s="167" t="str">
        <f>VLOOKUP($A86,'030523 INVENTARIO'!$A$2:$Y$1148,19,FALSE)</f>
        <v>PE16H9NQ212081E</v>
      </c>
      <c r="K86" s="168" t="str">
        <f>VLOOKUP($A86,'030523 INVENTARIO'!$A$2:$Y$1148,20,FALSE)</f>
        <v>82DK0511010017000522763</v>
      </c>
      <c r="L86" s="167" t="str">
        <f>VLOOKUP($A86,'030523 INVENTARIO'!$A$2:$Y$1148,23,FALSE)</f>
        <v>BLANCA ELIZABETH ALCANTAR (ALMACEN)</v>
      </c>
    </row>
    <row r="87" spans="1:12" ht="12.75" hidden="1">
      <c r="A87" s="167" t="str">
        <f>'030523 INVENTARIO'!A87</f>
        <v>0086</v>
      </c>
      <c r="B87" s="167" t="str">
        <f>'030523 INVENTARIO'!T87</f>
        <v>82DK0515010013000651086</v>
      </c>
      <c r="C87" s="167" t="str">
        <f t="shared" si="0"/>
        <v>651086</v>
      </c>
      <c r="D87" s="167" t="str">
        <f>IF(VLOOKUP(C87,'Patrimonio 2023'!$C$2:$C$1128,1,FALSE) = C87, "Encontrado", "no")</f>
        <v>Encontrado</v>
      </c>
      <c r="E87" s="167" t="str">
        <f>VLOOKUP($A87,'030523 INVENTARIO'!$A$2:$Y$1148,5,FALSE)</f>
        <v>MONITOR</v>
      </c>
      <c r="F87" s="167" t="str">
        <f>VLOOKUP($A87,'030523 INVENTARIO'!$A$2:$Y$1148,6,FALSE)</f>
        <v>MONITOR 15.6"</v>
      </c>
      <c r="G87" s="167" t="str">
        <f ca="1">VLOOKUP($A87,'030523 INVENTARIO'!$A$2:$Y$1148,8,FALSE)</f>
        <v>P05RM-0086</v>
      </c>
      <c r="H87" s="168" t="str">
        <f>VLOOKUP($A87,'030523 INVENTARIO'!$A$2:$Y$1148,17,FALSE)</f>
        <v>SAMSUNG</v>
      </c>
      <c r="I87" s="167" t="str">
        <f>VLOOKUP($A87,'030523 INVENTARIO'!$A$2:$Y$1148,18,FALSE)</f>
        <v>632NW</v>
      </c>
      <c r="J87" s="167" t="str">
        <f>VLOOKUP($A87,'030523 INVENTARIO'!$A$2:$Y$1148,19,FALSE)</f>
        <v>PE16H9NQ210115T</v>
      </c>
      <c r="K87" s="167" t="str">
        <f>VLOOKUP($A87,'030523 INVENTARIO'!$A$2:$Y$1148,20,FALSE)</f>
        <v>82DK0515010013000651086</v>
      </c>
      <c r="L87" s="167" t="str">
        <f>VLOOKUP($A87,'030523 INVENTARIO'!$A$2:$Y$1148,23,FALSE)</f>
        <v>BLANCA ELIZABETH ALCANTAR (ALMACEN)</v>
      </c>
    </row>
    <row r="88" spans="1:12" ht="12.75" hidden="1">
      <c r="A88" s="167" t="str">
        <f>'030523 INVENTARIO'!A88</f>
        <v>0087</v>
      </c>
      <c r="B88" s="168" t="str">
        <f>'030523 INVENTARIO'!T88</f>
        <v>82DH0565010041000530469</v>
      </c>
      <c r="C88" s="167" t="str">
        <f t="shared" si="0"/>
        <v>530469</v>
      </c>
      <c r="D88" s="167" t="str">
        <f>IF(VLOOKUP(C88,'Patrimonio 2023'!$C$2:$C$1128,1,FALSE) = C88, "Encontrado", "no")</f>
        <v>Encontrado</v>
      </c>
      <c r="E88" s="167" t="str">
        <f>VLOOKUP($A88,'030523 INVENTARIO'!$A$2:$Y$1148,5,FALSE)</f>
        <v>MONITOR</v>
      </c>
      <c r="F88" s="167" t="str">
        <f>VLOOKUP($A88,'030523 INVENTARIO'!$A$2:$Y$1148,6,FALSE)</f>
        <v>MONITOR 19"</v>
      </c>
      <c r="G88" s="167" t="str">
        <f ca="1">VLOOKUP($A88,'030523 INVENTARIO'!$A$2:$Y$1148,8,FALSE)</f>
        <v>P05RH-0087</v>
      </c>
      <c r="H88" s="168" t="str">
        <f>VLOOKUP($A88,'030523 INVENTARIO'!$A$2:$Y$1148,17,FALSE)</f>
        <v>HP COMPAQ</v>
      </c>
      <c r="I88" s="167" t="str">
        <f>VLOOKUP($A88,'030523 INVENTARIO'!$A$2:$Y$1148,18,FALSE)</f>
        <v>WF1907</v>
      </c>
      <c r="J88" s="168" t="str">
        <f>VLOOKUP($A88,'030523 INVENTARIO'!$A$2:$Y$1148,19,FALSE)</f>
        <v>CNC816Y3C5</v>
      </c>
      <c r="K88" s="168" t="str">
        <f>VLOOKUP($A88,'030523 INVENTARIO'!$A$2:$Y$1148,20,FALSE)</f>
        <v>82DH0565010041000530469</v>
      </c>
      <c r="L88" s="167" t="str">
        <f>VLOOKUP($A88,'030523 INVENTARIO'!$A$2:$Y$1148,23,FALSE)</f>
        <v>TANIA XIOMARA PEÑA ESTRADA</v>
      </c>
    </row>
    <row r="89" spans="1:12" ht="12.75" hidden="1">
      <c r="A89" s="167" t="str">
        <f>'030523 INVENTARIO'!A89</f>
        <v>0088</v>
      </c>
      <c r="B89" s="168" t="str">
        <f>'030523 INVENTARIO'!T89</f>
        <v>82DK0511010028000584045</v>
      </c>
      <c r="C89" s="167" t="str">
        <f t="shared" si="0"/>
        <v>584045</v>
      </c>
      <c r="D89" s="167" t="str">
        <f>IF(VLOOKUP(C89,'Patrimonio 2023'!$C$2:$C$1128,1,FALSE) = C89, "Encontrado", "no")</f>
        <v>Encontrado</v>
      </c>
      <c r="E89" s="167" t="str">
        <f>VLOOKUP($A89,'030523 INVENTARIO'!$A$2:$Y$1148,5,FALSE)</f>
        <v>ESTANTE O ANAQUEL</v>
      </c>
      <c r="F89" s="167" t="str">
        <f>VLOOKUP($A89,'030523 INVENTARIO'!$A$2:$Y$1148,6,FALSE)</f>
        <v>ESTANTE DE METAL CON 4 CHAROLAS 221X92</v>
      </c>
      <c r="G89" s="167" t="str">
        <f ca="1">VLOOKUP($A89,'030523 INVENTARIO'!$A$2:$Y$1148,8,FALSE)</f>
        <v>P05RM-0088</v>
      </c>
      <c r="H89" s="168" t="str">
        <f>VLOOKUP($A89,'030523 INVENTARIO'!$A$2:$Y$1148,17,FALSE)</f>
        <v>S/M</v>
      </c>
      <c r="I89" s="167" t="str">
        <f>VLOOKUP($A89,'030523 INVENTARIO'!$A$2:$Y$1148,18,FALSE)</f>
        <v>S/M</v>
      </c>
      <c r="J89" s="168" t="str">
        <f>VLOOKUP($A89,'030523 INVENTARIO'!$A$2:$Y$1148,19,FALSE)</f>
        <v>SIN SERIE</v>
      </c>
      <c r="K89" s="168" t="str">
        <f>VLOOKUP($A89,'030523 INVENTARIO'!$A$2:$Y$1148,20,FALSE)</f>
        <v>82DK0511010028000584045</v>
      </c>
      <c r="L89" s="167" t="str">
        <f>VLOOKUP($A89,'030523 INVENTARIO'!$A$2:$Y$1148,23,FALSE)</f>
        <v>BLANCA ELIZABETH ALCANTAR (ALMACEN)</v>
      </c>
    </row>
    <row r="90" spans="1:12" ht="12.75" hidden="1">
      <c r="A90" s="167" t="str">
        <f>'030523 INVENTARIO'!A90</f>
        <v>0089</v>
      </c>
      <c r="B90" s="167" t="str">
        <f>'030523 INVENTARIO'!T90</f>
        <v>SIN RESGUARDO</v>
      </c>
      <c r="C90" s="167" t="str">
        <f t="shared" si="0"/>
        <v/>
      </c>
      <c r="D90" s="167" t="e">
        <f>IF(VLOOKUP(C90,'Patrimonio 2023'!$C$2:$C$1128,1,FALSE) = C90, "Encontrado", "no")</f>
        <v>#N/A</v>
      </c>
      <c r="E90" s="167" t="str">
        <f>VLOOKUP($A90,'030523 INVENTARIO'!$A$2:$Y$1148,5,FALSE)</f>
        <v>DISCO DURO</v>
      </c>
      <c r="F90" s="167" t="str">
        <f>VLOOKUP($A90,'030523 INVENTARIO'!$A$2:$Y$1148,6,FALSE)</f>
        <v>DISCO DURO EXTERNO 2TB COLOR AZUL</v>
      </c>
      <c r="G90" s="167" t="str">
        <f ca="1">VLOOKUP($A90,'030523 INVENTARIO'!$A$2:$Y$1148,8,FALSE)</f>
        <v>P05RM-0089</v>
      </c>
      <c r="H90" s="168" t="str">
        <f>VLOOKUP($A90,'030523 INVENTARIO'!$A$2:$Y$1148,17,FALSE)</f>
        <v>ADATA</v>
      </c>
      <c r="I90" s="167" t="str">
        <f>VLOOKUP($A90,'030523 INVENTARIO'!$A$2:$Y$1148,18,FALSE)</f>
        <v>HV300</v>
      </c>
      <c r="J90" s="167">
        <f>VLOOKUP($A90,'030523 INVENTARIO'!$A$2:$Y$1148,19,FALSE)</f>
        <v>194708563</v>
      </c>
      <c r="K90" s="167" t="str">
        <f>VLOOKUP($A90,'030523 INVENTARIO'!$A$2:$Y$1148,20,FALSE)</f>
        <v>SIN RESGUARDO</v>
      </c>
      <c r="L90" s="167" t="str">
        <f>VLOOKUP($A90,'030523 INVENTARIO'!$A$2:$Y$1148,23,FALSE)</f>
        <v>BLANCA ELIZABETH ALCANTAR (ALMACEN)</v>
      </c>
    </row>
    <row r="91" spans="1:12" ht="12.75" hidden="1">
      <c r="A91" s="167" t="str">
        <f>'030523 INVENTARIO'!A91</f>
        <v>0090</v>
      </c>
      <c r="B91" s="167" t="str">
        <f>'030523 INVENTARIO'!T91</f>
        <v>SIN RESGUARDO</v>
      </c>
      <c r="C91" s="167" t="str">
        <f t="shared" si="0"/>
        <v/>
      </c>
      <c r="D91" s="167" t="e">
        <f>IF(VLOOKUP(C91,'Patrimonio 2023'!$C$2:$C$1128,1,FALSE) = C91, "Encontrado", "no")</f>
        <v>#N/A</v>
      </c>
      <c r="E91" s="167" t="str">
        <f>VLOOKUP($A91,'030523 INVENTARIO'!$A$2:$Y$1148,5,FALSE)</f>
        <v>PIZARRON</v>
      </c>
      <c r="F91" s="167" t="str">
        <f>VLOOKUP($A91,'030523 INVENTARIO'!$A$2:$Y$1148,6,FALSE)</f>
        <v>PIZARRON CHICO 90X60</v>
      </c>
      <c r="G91" s="167" t="str">
        <f ca="1">VLOOKUP($A91,'030523 INVENTARIO'!$A$2:$Y$1148,8,FALSE)</f>
        <v>P05RM-0090</v>
      </c>
      <c r="H91" s="168" t="str">
        <f>VLOOKUP($A91,'030523 INVENTARIO'!$A$2:$Y$1148,17,FALSE)</f>
        <v>S/M</v>
      </c>
      <c r="I91" s="167" t="str">
        <f>VLOOKUP($A91,'030523 INVENTARIO'!$A$2:$Y$1148,18,FALSE)</f>
        <v>S/M</v>
      </c>
      <c r="J91" s="167" t="str">
        <f>VLOOKUP($A91,'030523 INVENTARIO'!$A$2:$Y$1148,19,FALSE)</f>
        <v>SIN SERIE</v>
      </c>
      <c r="K91" s="167" t="str">
        <f>VLOOKUP($A91,'030523 INVENTARIO'!$A$2:$Y$1148,20,FALSE)</f>
        <v>SIN RESGUARDO</v>
      </c>
      <c r="L91" s="167" t="str">
        <f>VLOOKUP($A91,'030523 INVENTARIO'!$A$2:$Y$1148,23,FALSE)</f>
        <v>BLANCA ELIZABETH ALCANTAR (ALMACEN)</v>
      </c>
    </row>
    <row r="92" spans="1:12" ht="12.75" hidden="1">
      <c r="A92" s="167" t="str">
        <f>'030523 INVENTARIO'!A92</f>
        <v>0091</v>
      </c>
      <c r="B92" s="168" t="str">
        <f>'030523 INVENTARIO'!T92</f>
        <v>82DK0531010065000564801</v>
      </c>
      <c r="C92" s="167" t="str">
        <f t="shared" si="0"/>
        <v>564801</v>
      </c>
      <c r="D92" s="167" t="str">
        <f>IF(VLOOKUP(C92,'Patrimonio 2023'!$C$2:$C$1128,1,FALSE) = C92, "Encontrado", "no")</f>
        <v>Encontrado</v>
      </c>
      <c r="E92" s="167" t="str">
        <f>VLOOKUP($A92,'030523 INVENTARIO'!$A$2:$Y$1148,5,FALSE)</f>
        <v>MESA</v>
      </c>
      <c r="F92" s="167" t="str">
        <f>VLOOKUP($A92,'030523 INVENTARIO'!$A$2:$Y$1148,6,FALSE)</f>
        <v>MESA DE COPIADORA CON BASE DE METAL 120X60</v>
      </c>
      <c r="G92" s="167" t="str">
        <f ca="1">VLOOKUP($A92,'030523 INVENTARIO'!$A$2:$Y$1148,8,FALSE)</f>
        <v>P05RM-0091</v>
      </c>
      <c r="H92" s="168" t="str">
        <f>VLOOKUP($A92,'030523 INVENTARIO'!$A$2:$Y$1148,17,FALSE)</f>
        <v>S/M</v>
      </c>
      <c r="I92" s="167" t="str">
        <f>VLOOKUP($A92,'030523 INVENTARIO'!$A$2:$Y$1148,18,FALSE)</f>
        <v>S/M</v>
      </c>
      <c r="J92" s="168" t="str">
        <f>VLOOKUP($A92,'030523 INVENTARIO'!$A$2:$Y$1148,19,FALSE)</f>
        <v>SIN SERIE</v>
      </c>
      <c r="K92" s="168" t="str">
        <f>VLOOKUP($A92,'030523 INVENTARIO'!$A$2:$Y$1148,20,FALSE)</f>
        <v>82DK0531010065000564801</v>
      </c>
      <c r="L92" s="167" t="str">
        <f>VLOOKUP($A92,'030523 INVENTARIO'!$A$2:$Y$1148,23,FALSE)</f>
        <v>BLANCA ELIZABETH ALCANTAR (ALMACEN)</v>
      </c>
    </row>
    <row r="93" spans="1:12" ht="12.75" hidden="1">
      <c r="A93" s="167" t="str">
        <f>'030523 INVENTARIO'!A93</f>
        <v>0092</v>
      </c>
      <c r="B93" s="168" t="str">
        <f>'030523 INVENTARIO'!T93</f>
        <v>82DH0511010010000649532</v>
      </c>
      <c r="C93" s="167" t="str">
        <f t="shared" si="0"/>
        <v>649532</v>
      </c>
      <c r="D93" s="167" t="str">
        <f>IF(VLOOKUP(C93,'Patrimonio 2023'!$C$2:$C$1128,1,FALSE) = C93, "Encontrado", "no")</f>
        <v>Encontrado</v>
      </c>
      <c r="E93" s="167" t="str">
        <f>VLOOKUP($A93,'030523 INVENTARIO'!$A$2:$Y$1148,5,FALSE)</f>
        <v>MESA</v>
      </c>
      <c r="F93" s="167" t="str">
        <f>VLOOKUP($A93,'030523 INVENTARIO'!$A$2:$Y$1148,6,FALSE)</f>
        <v>MESA DE MADERA CON BASE DE METAL CHICA 120X60</v>
      </c>
      <c r="G93" s="167" t="str">
        <f ca="1">VLOOKUP($A93,'030523 INVENTARIO'!$A$2:$Y$1148,8,FALSE)</f>
        <v>P05RM-0092</v>
      </c>
      <c r="H93" s="168" t="str">
        <f>VLOOKUP($A93,'030523 INVENTARIO'!$A$2:$Y$1148,17,FALSE)</f>
        <v>S/M</v>
      </c>
      <c r="I93" s="167" t="str">
        <f>VLOOKUP($A93,'030523 INVENTARIO'!$A$2:$Y$1148,18,FALSE)</f>
        <v>S/M</v>
      </c>
      <c r="J93" s="168" t="str">
        <f>VLOOKUP($A93,'030523 INVENTARIO'!$A$2:$Y$1148,19,FALSE)</f>
        <v>SIN SERIE</v>
      </c>
      <c r="K93" s="168" t="str">
        <f>VLOOKUP($A93,'030523 INVENTARIO'!$A$2:$Y$1148,20,FALSE)</f>
        <v>82DH0511010010000649532</v>
      </c>
      <c r="L93" s="167" t="str">
        <f>VLOOKUP($A93,'030523 INVENTARIO'!$A$2:$Y$1148,23,FALSE)</f>
        <v>BLANCA ELIZABETH ALCANTAR (ALMACEN)</v>
      </c>
    </row>
    <row r="94" spans="1:12" ht="12.75" hidden="1">
      <c r="A94" s="167" t="str">
        <f>'030523 INVENTARIO'!A94</f>
        <v>0093</v>
      </c>
      <c r="B94" s="168" t="str">
        <f>'030523 INVENTARIO'!T94</f>
        <v>82DK0511010010000651098</v>
      </c>
      <c r="C94" s="167" t="str">
        <f t="shared" si="0"/>
        <v>651098</v>
      </c>
      <c r="D94" s="167" t="str">
        <f>IF(VLOOKUP(C94,'Patrimonio 2023'!$C$2:$C$1128,1,FALSE) = C94, "Encontrado", "no")</f>
        <v>Encontrado</v>
      </c>
      <c r="E94" s="167" t="str">
        <f>VLOOKUP($A94,'030523 INVENTARIO'!$A$2:$Y$1148,5,FALSE)</f>
        <v>MESA</v>
      </c>
      <c r="F94" s="167" t="str">
        <f>VLOOKUP($A94,'030523 INVENTARIO'!$A$2:$Y$1148,6,FALSE)</f>
        <v>MESA DE MADERA CON BASE DE METAL CAOBA 120X60</v>
      </c>
      <c r="G94" s="167" t="str">
        <f ca="1">VLOOKUP($A94,'030523 INVENTARIO'!$A$2:$Y$1148,8,FALSE)</f>
        <v>P05RM-0093</v>
      </c>
      <c r="H94" s="168" t="str">
        <f>VLOOKUP($A94,'030523 INVENTARIO'!$A$2:$Y$1148,17,FALSE)</f>
        <v>S/M</v>
      </c>
      <c r="I94" s="167" t="str">
        <f>VLOOKUP($A94,'030523 INVENTARIO'!$A$2:$Y$1148,18,FALSE)</f>
        <v>S/M</v>
      </c>
      <c r="J94" s="168" t="str">
        <f>VLOOKUP($A94,'030523 INVENTARIO'!$A$2:$Y$1148,19,FALSE)</f>
        <v>SIN SERIE</v>
      </c>
      <c r="K94" s="168" t="str">
        <f>VLOOKUP($A94,'030523 INVENTARIO'!$A$2:$Y$1148,20,FALSE)</f>
        <v>82DK0511010010000651098</v>
      </c>
      <c r="L94" s="167" t="str">
        <f>VLOOKUP($A94,'030523 INVENTARIO'!$A$2:$Y$1148,23,FALSE)</f>
        <v>BLANCA ELIZABETH ALCANTAR (ALMACEN)</v>
      </c>
    </row>
    <row r="95" spans="1:12" ht="12.75" hidden="1">
      <c r="A95" s="167" t="str">
        <f>'030523 INVENTARIO'!A95</f>
        <v>0094</v>
      </c>
      <c r="B95" s="168" t="str">
        <f>'030523 INVENTARIO'!T95</f>
        <v>82DK0531010065000564855</v>
      </c>
      <c r="C95" s="167" t="str">
        <f t="shared" si="0"/>
        <v>564855</v>
      </c>
      <c r="D95" s="167" t="str">
        <f>IF(VLOOKUP(C95,'Patrimonio 2023'!$C$2:$C$1128,1,FALSE) = C95, "Encontrado", "no")</f>
        <v>Encontrado</v>
      </c>
      <c r="E95" s="167" t="str">
        <f>VLOOKUP($A95,'030523 INVENTARIO'!$A$2:$Y$1148,5,FALSE)</f>
        <v>MESA</v>
      </c>
      <c r="F95" s="167" t="str">
        <f>VLOOKUP($A95,'030523 INVENTARIO'!$A$2:$Y$1148,6,FALSE)</f>
        <v>MESA DE MADERA CON BASE DE METAL CHICA 80X60</v>
      </c>
      <c r="G95" s="167" t="str">
        <f ca="1">VLOOKUP($A95,'030523 INVENTARIO'!$A$2:$Y$1148,8,FALSE)</f>
        <v>P05DA-0094</v>
      </c>
      <c r="H95" s="168" t="str">
        <f>VLOOKUP($A95,'030523 INVENTARIO'!$A$2:$Y$1148,17,FALSE)</f>
        <v>S/M</v>
      </c>
      <c r="I95" s="167" t="str">
        <f>VLOOKUP($A95,'030523 INVENTARIO'!$A$2:$Y$1148,18,FALSE)</f>
        <v>S/M</v>
      </c>
      <c r="J95" s="168" t="str">
        <f>VLOOKUP($A95,'030523 INVENTARIO'!$A$2:$Y$1148,19,FALSE)</f>
        <v>SIN SERIE</v>
      </c>
      <c r="K95" s="168" t="str">
        <f>VLOOKUP($A95,'030523 INVENTARIO'!$A$2:$Y$1148,20,FALSE)</f>
        <v>82DK0531010065000564855</v>
      </c>
      <c r="L95" s="167" t="str">
        <f>VLOOKUP($A95,'030523 INVENTARIO'!$A$2:$Y$1148,23,FALSE)</f>
        <v>ROSAURA MENDEZ SALGADO (AREAS COMUNES)</v>
      </c>
    </row>
    <row r="96" spans="1:12" ht="12.75" hidden="1">
      <c r="A96" s="167" t="str">
        <f>'030523 INVENTARIO'!A96</f>
        <v>0095</v>
      </c>
      <c r="B96" s="168" t="str">
        <f>'030523 INVENTARIO'!T96</f>
        <v>82DH0531010065000564880</v>
      </c>
      <c r="C96" s="167" t="str">
        <f t="shared" si="0"/>
        <v>564880</v>
      </c>
      <c r="D96" s="167" t="str">
        <f>IF(VLOOKUP(C96,'Patrimonio 2023'!$C$2:$C$1128,1,FALSE) = C96, "Encontrado", "no")</f>
        <v>Encontrado</v>
      </c>
      <c r="E96" s="167" t="str">
        <f>VLOOKUP($A96,'030523 INVENTARIO'!$A$2:$Y$1148,5,FALSE)</f>
        <v>MESA</v>
      </c>
      <c r="F96" s="167" t="str">
        <f>VLOOKUP($A96,'030523 INVENTARIO'!$A$2:$Y$1148,6,FALSE)</f>
        <v>MESA/TABLON DE PLASTICO BLANCO 243X76</v>
      </c>
      <c r="G96" s="167" t="str">
        <f ca="1">VLOOKUP($A96,'030523 INVENTARIO'!$A$2:$Y$1148,8,FALSE)</f>
        <v>P05RM-0095</v>
      </c>
      <c r="H96" s="168" t="str">
        <f>VLOOKUP($A96,'030523 INVENTARIO'!$A$2:$Y$1148,17,FALSE)</f>
        <v>S/M</v>
      </c>
      <c r="I96" s="167" t="str">
        <f>VLOOKUP($A96,'030523 INVENTARIO'!$A$2:$Y$1148,18,FALSE)</f>
        <v>S/M</v>
      </c>
      <c r="J96" s="168" t="str">
        <f>VLOOKUP($A96,'030523 INVENTARIO'!$A$2:$Y$1148,19,FALSE)</f>
        <v>SIN SERIE</v>
      </c>
      <c r="K96" s="168" t="str">
        <f>VLOOKUP($A96,'030523 INVENTARIO'!$A$2:$Y$1148,20,FALSE)</f>
        <v>82DH0531010065000564880</v>
      </c>
      <c r="L96" s="167" t="str">
        <f>VLOOKUP($A96,'030523 INVENTARIO'!$A$2:$Y$1148,23,FALSE)</f>
        <v>BLANCA ELIZABETH ALCANTAR (ALMACEN)</v>
      </c>
    </row>
    <row r="97" spans="1:12" ht="12.75" hidden="1">
      <c r="A97" s="167" t="str">
        <f>'030523 INVENTARIO'!A97</f>
        <v>0096</v>
      </c>
      <c r="B97" s="167" t="str">
        <f>'030523 INVENTARIO'!T97</f>
        <v>SIN RESGUARDO</v>
      </c>
      <c r="C97" s="167" t="str">
        <f t="shared" si="0"/>
        <v/>
      </c>
      <c r="D97" s="167" t="e">
        <f>IF(VLOOKUP(C97,'Patrimonio 2023'!$C$2:$C$1128,1,FALSE) = C97, "Encontrado", "no")</f>
        <v>#N/A</v>
      </c>
      <c r="E97" s="167" t="str">
        <f>VLOOKUP($A97,'030523 INVENTARIO'!$A$2:$Y$1148,5,FALSE)</f>
        <v>MESA</v>
      </c>
      <c r="F97" s="167" t="str">
        <f>VLOOKUP($A97,'030523 INVENTARIO'!$A$2:$Y$1148,6,FALSE)</f>
        <v>MESA/TABLON DE PLASTICO BLANCO CHICA 120X60</v>
      </c>
      <c r="G97" s="167" t="str">
        <f ca="1">VLOOKUP($A97,'030523 INVENTARIO'!$A$2:$Y$1148,8,FALSE)</f>
        <v>P05RM-0096</v>
      </c>
      <c r="H97" s="168" t="str">
        <f>VLOOKUP($A97,'030523 INVENTARIO'!$A$2:$Y$1148,17,FALSE)</f>
        <v>S/M</v>
      </c>
      <c r="I97" s="167" t="str">
        <f>VLOOKUP($A97,'030523 INVENTARIO'!$A$2:$Y$1148,18,FALSE)</f>
        <v>S/M</v>
      </c>
      <c r="J97" s="167" t="str">
        <f>VLOOKUP($A97,'030523 INVENTARIO'!$A$2:$Y$1148,19,FALSE)</f>
        <v>SIN SERIE</v>
      </c>
      <c r="K97" s="167" t="str">
        <f>VLOOKUP($A97,'030523 INVENTARIO'!$A$2:$Y$1148,20,FALSE)</f>
        <v>SIN RESGUARDO</v>
      </c>
      <c r="L97" s="167" t="str">
        <f>VLOOKUP($A97,'030523 INVENTARIO'!$A$2:$Y$1148,23,FALSE)</f>
        <v>BLANCA ELIZABETH ALCANTAR (ALMACEN)</v>
      </c>
    </row>
    <row r="98" spans="1:12" ht="12.75" hidden="1">
      <c r="A98" s="167" t="str">
        <f>'030523 INVENTARIO'!A98</f>
        <v>0097</v>
      </c>
      <c r="B98" s="168" t="str">
        <f>'030523 INVENTARIO'!T98</f>
        <v>82DH0511010009000584143</v>
      </c>
      <c r="C98" s="167" t="str">
        <f t="shared" si="0"/>
        <v>584143</v>
      </c>
      <c r="D98" s="167" t="str">
        <f>IF(VLOOKUP(C98,'Patrimonio 2023'!$C$2:$C$1128,1,FALSE) = C98, "Encontrado", "no")</f>
        <v>Encontrado</v>
      </c>
      <c r="E98" s="167" t="str">
        <f>VLOOKUP($A98,'030523 INVENTARIO'!$A$2:$Y$1148,5,FALSE)</f>
        <v>ESTANTE O ANAQUEL</v>
      </c>
      <c r="F98" s="167" t="str">
        <f>VLOOKUP($A98,'030523 INVENTARIO'!$A$2:$Y$1148,6,FALSE)</f>
        <v>ANAQUEL CREMA DE 2 PUERTAS 160X60X40</v>
      </c>
      <c r="G98" s="167" t="str">
        <f ca="1">VLOOKUP($A98,'030523 INVENTARIO'!$A$2:$Y$1148,8,FALSE)</f>
        <v>P05RM-0097</v>
      </c>
      <c r="H98" s="168" t="str">
        <f>VLOOKUP($A98,'030523 INVENTARIO'!$A$2:$Y$1148,17,FALSE)</f>
        <v>S/M</v>
      </c>
      <c r="I98" s="167" t="str">
        <f>VLOOKUP($A98,'030523 INVENTARIO'!$A$2:$Y$1148,18,FALSE)</f>
        <v>S/M</v>
      </c>
      <c r="J98" s="168" t="str">
        <f>VLOOKUP($A98,'030523 INVENTARIO'!$A$2:$Y$1148,19,FALSE)</f>
        <v>SIN SERIE</v>
      </c>
      <c r="K98" s="168" t="str">
        <f>VLOOKUP($A98,'030523 INVENTARIO'!$A$2:$Y$1148,20,FALSE)</f>
        <v>82DH0511010009000584143</v>
      </c>
      <c r="L98" s="167" t="str">
        <f>VLOOKUP($A98,'030523 INVENTARIO'!$A$2:$Y$1148,23,FALSE)</f>
        <v>BLANCA ELIZABETH ALCANTAR (ALMACEN)</v>
      </c>
    </row>
    <row r="99" spans="1:12" ht="12.75" hidden="1">
      <c r="A99" s="167" t="str">
        <f>'030523 INVENTARIO'!A99</f>
        <v>0098</v>
      </c>
      <c r="B99" s="168" t="str">
        <f>'030523 INVENTARIO'!T99</f>
        <v>82DH0515010001000535436</v>
      </c>
      <c r="C99" s="167" t="str">
        <f t="shared" si="0"/>
        <v>535436</v>
      </c>
      <c r="D99" s="167" t="str">
        <f>IF(VLOOKUP(C99,'Patrimonio 2023'!$C$2:$C$1128,1,FALSE) = C99, "Encontrado", "no")</f>
        <v>Encontrado</v>
      </c>
      <c r="E99" s="167" t="str">
        <f>VLOOKUP($A99,'030523 INVENTARIO'!$A$2:$Y$1148,5,FALSE)</f>
        <v>COMPUTADORA DE ESCRITORIO</v>
      </c>
      <c r="F99" s="167" t="str">
        <f>VLOOKUP($A99,'030523 INVENTARIO'!$A$2:$Y$1148,6,FALSE)</f>
        <v>COMPUTADORA DE ESCRITORIO</v>
      </c>
      <c r="G99" s="167" t="str">
        <f ca="1">VLOOKUP($A99,'030523 INVENTARIO'!$A$2:$Y$1148,8,FALSE)</f>
        <v>P05RM-0098</v>
      </c>
      <c r="H99" s="168" t="str">
        <f>VLOOKUP($A99,'030523 INVENTARIO'!$A$2:$Y$1148,17,FALSE)</f>
        <v>HP</v>
      </c>
      <c r="I99" s="167" t="str">
        <f>VLOOKUP($A99,'030523 INVENTARIO'!$A$2:$Y$1148,18,FALSE)</f>
        <v>DC7800</v>
      </c>
      <c r="J99" s="168" t="str">
        <f>VLOOKUP($A99,'030523 INVENTARIO'!$A$2:$Y$1148,19,FALSE)</f>
        <v>MXJ819034C</v>
      </c>
      <c r="K99" s="168" t="str">
        <f>VLOOKUP($A99,'030523 INVENTARIO'!$A$2:$Y$1148,20,FALSE)</f>
        <v>82DH0515010001000535436</v>
      </c>
      <c r="L99" s="167" t="str">
        <f>VLOOKUP($A99,'030523 INVENTARIO'!$A$2:$Y$1148,23,FALSE)</f>
        <v>BLANCA ELIZABETH ALCANTAR (ALMACEN)</v>
      </c>
    </row>
    <row r="100" spans="1:12" ht="12.75">
      <c r="A100" s="167" t="str">
        <f>'030523 INVENTARIO'!A100</f>
        <v>0099</v>
      </c>
      <c r="B100" s="167" t="str">
        <f>'030523 INVENTARIO'!T100</f>
        <v>82DH0515010003000649764</v>
      </c>
      <c r="C100" s="167" t="str">
        <f t="shared" si="0"/>
        <v>649764</v>
      </c>
      <c r="D100" s="167" t="e">
        <f>IF(VLOOKUP(C100,'Patrimonio 2023'!$C$2:$C$1128,1,FALSE) = C100, "Encontrado", "no")</f>
        <v>#N/A</v>
      </c>
      <c r="E100" s="167" t="str">
        <f>VLOOKUP($A100,'030523 INVENTARIO'!$A$2:$Y$1148,5,FALSE)</f>
        <v>COMPUTADORA DE ESCRITORIO</v>
      </c>
      <c r="F100" s="167" t="str">
        <f>VLOOKUP($A100,'030523 INVENTARIO'!$A$2:$Y$1148,6,FALSE)</f>
        <v>COMPUTADORA TODO EN UNO BLANCA</v>
      </c>
      <c r="G100" s="167" t="str">
        <f ca="1">VLOOKUP($A100,'030523 INVENTARIO'!$A$2:$Y$1148,8,FALSE)</f>
        <v>P05RM-0099</v>
      </c>
      <c r="H100" s="168" t="str">
        <f>VLOOKUP($A100,'030523 INVENTARIO'!$A$2:$Y$1148,17,FALSE)</f>
        <v>HP</v>
      </c>
      <c r="I100" s="167" t="str">
        <f>VLOOKUP($A100,'030523 INVENTARIO'!$A$2:$Y$1148,18,FALSE)</f>
        <v>20-E002LA RTL8188EENF</v>
      </c>
      <c r="J100" s="168" t="str">
        <f>VLOOKUP($A100,'030523 INVENTARIO'!$A$2:$Y$1148,19,FALSE)</f>
        <v>8CC5390N8C</v>
      </c>
      <c r="K100" s="167" t="str">
        <f>VLOOKUP($A100,'030523 INVENTARIO'!$A$2:$Y$1148,20,FALSE)</f>
        <v>82DH0515010003000649764</v>
      </c>
      <c r="L100" s="167" t="str">
        <f>VLOOKUP($A100,'030523 INVENTARIO'!$A$2:$Y$1148,23,FALSE)</f>
        <v>BLANCA ELIZABETH ALCANTAR (ALMACEN)</v>
      </c>
    </row>
    <row r="101" spans="1:12" ht="12.75" hidden="1">
      <c r="A101" s="167" t="str">
        <f>'030523 INVENTARIO'!A101</f>
        <v>0100</v>
      </c>
      <c r="B101" s="168" t="str">
        <f>'030523 INVENTARIO'!T101</f>
        <v>82DI0515010001000539017</v>
      </c>
      <c r="C101" s="167" t="str">
        <f t="shared" si="0"/>
        <v>539017</v>
      </c>
      <c r="D101" s="167" t="str">
        <f>IF(VLOOKUP(C101,'Patrimonio 2023'!$C$2:$C$1128,1,FALSE) = C101, "Encontrado", "no")</f>
        <v>Encontrado</v>
      </c>
      <c r="E101" s="167" t="str">
        <f>VLOOKUP($A101,'030523 INVENTARIO'!$A$2:$Y$1148,5,FALSE)</f>
        <v>COMPUTADORA DE ESCRITORIO</v>
      </c>
      <c r="F101" s="167" t="str">
        <f>VLOOKUP($A101,'030523 INVENTARIO'!$A$2:$Y$1148,6,FALSE)</f>
        <v>COMPUTADORA DE ESCRITORIO</v>
      </c>
      <c r="G101" s="167" t="str">
        <f ca="1">VLOOKUP($A101,'030523 INVENTARIO'!$A$2:$Y$1148,8,FALSE)</f>
        <v>P05RM-0100</v>
      </c>
      <c r="H101" s="168" t="str">
        <f>VLOOKUP($A101,'030523 INVENTARIO'!$A$2:$Y$1148,17,FALSE)</f>
        <v>HP</v>
      </c>
      <c r="I101" s="167" t="str">
        <f>VLOOKUP($A101,'030523 INVENTARIO'!$A$2:$Y$1148,18,FALSE)</f>
        <v>DC7800</v>
      </c>
      <c r="J101" s="168" t="str">
        <f>VLOOKUP($A101,'030523 INVENTARIO'!$A$2:$Y$1148,19,FALSE)</f>
        <v>MXJ84200G1</v>
      </c>
      <c r="K101" s="168" t="str">
        <f>VLOOKUP($A101,'030523 INVENTARIO'!$A$2:$Y$1148,20,FALSE)</f>
        <v>82DI0515010001000539017</v>
      </c>
      <c r="L101" s="167" t="str">
        <f>VLOOKUP($A101,'030523 INVENTARIO'!$A$2:$Y$1148,23,FALSE)</f>
        <v>BLANCA ELIZABETH ALCANTAR (ALMACEN)</v>
      </c>
    </row>
    <row r="102" spans="1:12" ht="12.75">
      <c r="A102" s="167" t="str">
        <f>'030523 INVENTARIO'!A102</f>
        <v>0101</v>
      </c>
      <c r="B102" s="167" t="str">
        <f>'030523 INVENTARIO'!T102</f>
        <v>82DH0515010001000535454</v>
      </c>
      <c r="C102" s="167" t="str">
        <f t="shared" si="0"/>
        <v>535454</v>
      </c>
      <c r="D102" s="167" t="e">
        <f>IF(VLOOKUP(C102,'Patrimonio 2023'!$C$2:$C$1128,1,FALSE) = C102, "Encontrado", "no")</f>
        <v>#N/A</v>
      </c>
      <c r="E102" s="167" t="str">
        <f>VLOOKUP($A102,'030523 INVENTARIO'!$A$2:$Y$1148,5,FALSE)</f>
        <v>COMPUTADORA DE ESCRITORIO</v>
      </c>
      <c r="F102" s="167" t="str">
        <f>VLOOKUP($A102,'030523 INVENTARIO'!$A$2:$Y$1148,6,FALSE)</f>
        <v>COMPUTADORA DE ESCRITORIO</v>
      </c>
      <c r="G102" s="167" t="str">
        <f ca="1">VLOOKUP($A102,'030523 INVENTARIO'!$A$2:$Y$1148,8,FALSE)</f>
        <v>P05RM-0101</v>
      </c>
      <c r="H102" s="168" t="str">
        <f>VLOOKUP($A102,'030523 INVENTARIO'!$A$2:$Y$1148,17,FALSE)</f>
        <v>HP</v>
      </c>
      <c r="I102" s="167" t="str">
        <f>VLOOKUP($A102,'030523 INVENTARIO'!$A$2:$Y$1148,18,FALSE)</f>
        <v>DC7800</v>
      </c>
      <c r="J102" s="167" t="str">
        <f>VLOOKUP($A102,'030523 INVENTARIO'!$A$2:$Y$1148,19,FALSE)</f>
        <v>MXJ8190365</v>
      </c>
      <c r="K102" s="167" t="str">
        <f>VLOOKUP($A102,'030523 INVENTARIO'!$A$2:$Y$1148,20,FALSE)</f>
        <v>82DH0515010001000535454</v>
      </c>
      <c r="L102" s="167" t="str">
        <f>VLOOKUP($A102,'030523 INVENTARIO'!$A$2:$Y$1148,23,FALSE)</f>
        <v>BLANCA ELIZABETH ALCANTAR (ALMACEN)</v>
      </c>
    </row>
    <row r="103" spans="1:12" ht="12.75">
      <c r="A103" s="167" t="str">
        <f>'030523 INVENTARIO'!A103</f>
        <v>0102</v>
      </c>
      <c r="B103" s="168" t="str">
        <f>'030523 INVENTARIO'!T103</f>
        <v>82DH0515010001000539039</v>
      </c>
      <c r="C103" s="167" t="str">
        <f t="shared" si="0"/>
        <v>539039</v>
      </c>
      <c r="D103" s="167" t="e">
        <f>IF(VLOOKUP(C103,'Patrimonio 2023'!$C$2:$C$1128,1,FALSE) = C103, "Encontrado", "no")</f>
        <v>#N/A</v>
      </c>
      <c r="E103" s="167" t="str">
        <f>VLOOKUP($A103,'030523 INVENTARIO'!$A$2:$Y$1148,5,FALSE)</f>
        <v>COMPUTADORA DE ESCRITORIO</v>
      </c>
      <c r="F103" s="167" t="str">
        <f>VLOOKUP($A103,'030523 INVENTARIO'!$A$2:$Y$1148,6,FALSE)</f>
        <v>COMPUTADORA DE ESCRITORIO</v>
      </c>
      <c r="G103" s="167" t="str">
        <f ca="1">VLOOKUP($A103,'030523 INVENTARIO'!$A$2:$Y$1148,8,FALSE)</f>
        <v>P05RM-0102</v>
      </c>
      <c r="H103" s="168" t="str">
        <f>VLOOKUP($A103,'030523 INVENTARIO'!$A$2:$Y$1148,17,FALSE)</f>
        <v>HP</v>
      </c>
      <c r="I103" s="167" t="str">
        <f>VLOOKUP($A103,'030523 INVENTARIO'!$A$2:$Y$1148,18,FALSE)</f>
        <v>DC7800</v>
      </c>
      <c r="J103" s="168" t="str">
        <f>VLOOKUP($A103,'030523 INVENTARIO'!$A$2:$Y$1148,19,FALSE)</f>
        <v>MXJ8190350</v>
      </c>
      <c r="K103" s="168" t="str">
        <f>VLOOKUP($A103,'030523 INVENTARIO'!$A$2:$Y$1148,20,FALSE)</f>
        <v>82DH0515010001000539039</v>
      </c>
      <c r="L103" s="167" t="str">
        <f>VLOOKUP($A103,'030523 INVENTARIO'!$A$2:$Y$1148,23,FALSE)</f>
        <v>BLANCA ELIZABETH ALCANTAR (ALMACEN)</v>
      </c>
    </row>
    <row r="104" spans="1:12" ht="12.75" hidden="1">
      <c r="A104" s="167" t="str">
        <f>'030523 INVENTARIO'!A104</f>
        <v>0103</v>
      </c>
      <c r="B104" s="167" t="str">
        <f>'030523 INVENTARIO'!T104</f>
        <v>SIN RESGUARDO</v>
      </c>
      <c r="C104" s="167" t="str">
        <f t="shared" si="0"/>
        <v/>
      </c>
      <c r="D104" s="167" t="e">
        <f>IF(VLOOKUP(C104,'Patrimonio 2023'!$C$2:$C$1128,1,FALSE) = C104, "Encontrado", "no")</f>
        <v>#N/A</v>
      </c>
      <c r="E104" s="167" t="str">
        <f>VLOOKUP($A104,'030523 INVENTARIO'!$A$2:$Y$1148,5,FALSE)</f>
        <v>REGULADOR DE VOLTAJE</v>
      </c>
      <c r="F104" s="167" t="str">
        <f>VLOOKUP($A104,'030523 INVENTARIO'!$A$2:$Y$1148,6,FALSE)</f>
        <v>REGULADOR NEGRO</v>
      </c>
      <c r="G104" s="167" t="str">
        <f ca="1">VLOOKUP($A104,'030523 INVENTARIO'!$A$2:$Y$1148,8,FALSE)</f>
        <v>P05RM-0103</v>
      </c>
      <c r="H104" s="168" t="str">
        <f>VLOOKUP($A104,'030523 INVENTARIO'!$A$2:$Y$1148,17,FALSE)</f>
        <v>APC</v>
      </c>
      <c r="I104" s="167" t="str">
        <f>VLOOKUP($A104,'030523 INVENTARIO'!$A$2:$Y$1148,18,FALSE)</f>
        <v>BE350G-LM</v>
      </c>
      <c r="J104" s="167" t="str">
        <f>VLOOKUP($A104,'030523 INVENTARIO'!$A$2:$Y$1148,19,FALSE)</f>
        <v>4B1439P1139</v>
      </c>
      <c r="K104" s="167" t="str">
        <f>VLOOKUP($A104,'030523 INVENTARIO'!$A$2:$Y$1148,20,FALSE)</f>
        <v>SIN RESGUARDO</v>
      </c>
      <c r="L104" s="167" t="str">
        <f>VLOOKUP($A104,'030523 INVENTARIO'!$A$2:$Y$1148,23,FALSE)</f>
        <v>BLANCA ELIZABETH ALCANTAR (ALMACEN)</v>
      </c>
    </row>
    <row r="105" spans="1:12" ht="12.75" hidden="1">
      <c r="A105" s="167" t="str">
        <f>'030523 INVENTARIO'!A105</f>
        <v>0104</v>
      </c>
      <c r="B105" s="167" t="str">
        <f>'030523 INVENTARIO'!T105</f>
        <v>SIN RESGUARDO</v>
      </c>
      <c r="C105" s="167" t="str">
        <f t="shared" si="0"/>
        <v/>
      </c>
      <c r="D105" s="167" t="e">
        <f>IF(VLOOKUP(C105,'Patrimonio 2023'!$C$2:$C$1128,1,FALSE) = C105, "Encontrado", "no")</f>
        <v>#N/A</v>
      </c>
      <c r="E105" s="167" t="str">
        <f>VLOOKUP($A105,'030523 INVENTARIO'!$A$2:$Y$1148,5,FALSE)</f>
        <v>SILLA</v>
      </c>
      <c r="F105" s="167" t="str">
        <f>VLOOKUP($A105,'030523 INVENTARIO'!$A$2:$Y$1148,6,FALSE)</f>
        <v>SILLA DE MADERA PEQUEÑA</v>
      </c>
      <c r="G105" s="167" t="str">
        <f ca="1">VLOOKUP($A105,'030523 INVENTARIO'!$A$2:$Y$1148,8,FALSE)</f>
        <v>P05RM-0104</v>
      </c>
      <c r="H105" s="168" t="str">
        <f>VLOOKUP($A105,'030523 INVENTARIO'!$A$2:$Y$1148,17,FALSE)</f>
        <v>S/M</v>
      </c>
      <c r="I105" s="167" t="str">
        <f>VLOOKUP($A105,'030523 INVENTARIO'!$A$2:$Y$1148,18,FALSE)</f>
        <v>S/M</v>
      </c>
      <c r="J105" s="167" t="str">
        <f>VLOOKUP($A105,'030523 INVENTARIO'!$A$2:$Y$1148,19,FALSE)</f>
        <v>SIN SERIE</v>
      </c>
      <c r="K105" s="167" t="str">
        <f>VLOOKUP($A105,'030523 INVENTARIO'!$A$2:$Y$1148,20,FALSE)</f>
        <v>SIN RESGUARDO</v>
      </c>
      <c r="L105" s="167" t="str">
        <f>VLOOKUP($A105,'030523 INVENTARIO'!$A$2:$Y$1148,23,FALSE)</f>
        <v>BLANCA ELIZABETH ALCANTAR (ALMACEN)</v>
      </c>
    </row>
    <row r="106" spans="1:12" ht="12.75" hidden="1">
      <c r="A106" s="167" t="str">
        <f>'030523 INVENTARIO'!A106</f>
        <v>0105</v>
      </c>
      <c r="B106" s="168" t="str">
        <f>'030523 INVENTARIO'!T106</f>
        <v>82DK0567010020000566042</v>
      </c>
      <c r="C106" s="167" t="str">
        <f t="shared" si="0"/>
        <v>566042</v>
      </c>
      <c r="D106" s="167" t="str">
        <f>IF(VLOOKUP(C106,'Patrimonio 2023'!$C$2:$C$1128,1,FALSE) = C106, "Encontrado", "no")</f>
        <v>Encontrado</v>
      </c>
      <c r="E106" s="167" t="str">
        <f>VLOOKUP($A106,'030523 INVENTARIO'!$A$2:$Y$1148,5,FALSE)</f>
        <v>ESCALERA</v>
      </c>
      <c r="F106" s="168" t="str">
        <f>VLOOKUP($A106,'030523 INVENTARIO'!$A$2:$Y$1148,6,FALSE)</f>
        <v>ESCALERA DE DOS ESCALONES</v>
      </c>
      <c r="G106" s="167" t="str">
        <f ca="1">VLOOKUP($A106,'030523 INVENTARIO'!$A$2:$Y$1148,8,FALSE)</f>
        <v>P05RM-0105</v>
      </c>
      <c r="H106" s="168" t="str">
        <f>VLOOKUP($A106,'030523 INVENTARIO'!$A$2:$Y$1148,17,FALSE)</f>
        <v>CUPRUM</v>
      </c>
      <c r="I106" s="167" t="str">
        <f>VLOOKUP($A106,'030523 INVENTARIO'!$A$2:$Y$1148,18,FALSE)</f>
        <v>S/M</v>
      </c>
      <c r="J106" s="167" t="str">
        <f>VLOOKUP($A106,'030523 INVENTARIO'!$A$2:$Y$1148,19,FALSE)</f>
        <v>SIN SERIE</v>
      </c>
      <c r="K106" s="168" t="str">
        <f>VLOOKUP($A106,'030523 INVENTARIO'!$A$2:$Y$1148,20,FALSE)</f>
        <v>82DK0567010020000566042</v>
      </c>
      <c r="L106" s="167" t="str">
        <f>VLOOKUP($A106,'030523 INVENTARIO'!$A$2:$Y$1148,23,FALSE)</f>
        <v>BLANCA ELIZABETH ALCANTAR (ALMACEN)</v>
      </c>
    </row>
    <row r="107" spans="1:12" ht="12.75">
      <c r="A107" s="167" t="str">
        <f>'030523 INVENTARIO'!A107</f>
        <v>0106</v>
      </c>
      <c r="B107" s="168" t="str">
        <f>'030523 INVENTARIO'!T107</f>
        <v>82DH0519010025000566156</v>
      </c>
      <c r="C107" s="167" t="str">
        <f t="shared" si="0"/>
        <v>566156</v>
      </c>
      <c r="D107" s="167" t="e">
        <f>IF(VLOOKUP(C107,'Patrimonio 2023'!$C$2:$C$1128,1,FALSE) = C107, "Encontrado", "no")</f>
        <v>#N/A</v>
      </c>
      <c r="E107" s="167" t="str">
        <f>VLOOKUP($A107,'030523 INVENTARIO'!$A$2:$Y$1148,5,FALSE)</f>
        <v>GUILLOTINA</v>
      </c>
      <c r="F107" s="167" t="str">
        <f>VLOOKUP($A107,'030523 INVENTARIO'!$A$2:$Y$1148,6,FALSE)</f>
        <v>GUILLOTINA</v>
      </c>
      <c r="G107" s="167" t="str">
        <f ca="1">VLOOKUP($A107,'030523 INVENTARIO'!$A$2:$Y$1148,8,FALSE)</f>
        <v>P05DA-0106</v>
      </c>
      <c r="H107" s="168" t="str">
        <f>VLOOKUP($A107,'030523 INVENTARIO'!$A$2:$Y$1148,17,FALSE)</f>
        <v>S/M</v>
      </c>
      <c r="I107" s="167" t="str">
        <f>VLOOKUP($A107,'030523 INVENTARIO'!$A$2:$Y$1148,18,FALSE)</f>
        <v>S/M</v>
      </c>
      <c r="J107" s="168" t="str">
        <f>VLOOKUP($A107,'030523 INVENTARIO'!$A$2:$Y$1148,19,FALSE)</f>
        <v>SIN SERIE</v>
      </c>
      <c r="K107" s="168" t="str">
        <f>VLOOKUP($A107,'030523 INVENTARIO'!$A$2:$Y$1148,20,FALSE)</f>
        <v>82DH0519010025000566156</v>
      </c>
      <c r="L107" s="167" t="str">
        <f>VLOOKUP($A107,'030523 INVENTARIO'!$A$2:$Y$1148,23,FALSE)</f>
        <v>HUMBERTO HERNANDEZ OLIVO</v>
      </c>
    </row>
    <row r="108" spans="1:12" ht="12.75" hidden="1">
      <c r="A108" s="167" t="str">
        <f>'030523 INVENTARIO'!A108</f>
        <v>0107</v>
      </c>
      <c r="B108" s="167" t="str">
        <f>'030523 INVENTARIO'!T108</f>
        <v>82DH0519010017000565655</v>
      </c>
      <c r="C108" s="167" t="str">
        <f t="shared" si="0"/>
        <v>565655</v>
      </c>
      <c r="D108" s="167" t="str">
        <f>IF(VLOOKUP(C108,'Patrimonio 2023'!$C$2:$C$1128,1,FALSE) = C108, "Encontrado", "no")</f>
        <v>Encontrado</v>
      </c>
      <c r="E108" s="167" t="str">
        <f>VLOOKUP($A108,'030523 INVENTARIO'!$A$2:$Y$1148,5,FALSE)</f>
        <v>ENGARGOLADORA</v>
      </c>
      <c r="F108" s="168" t="str">
        <f>VLOOKUP($A108,'030523 INVENTARIO'!$A$2:$Y$1148,6,FALSE)</f>
        <v>ENGARGOLADORA METAL GRIS</v>
      </c>
      <c r="G108" s="167" t="str">
        <f ca="1">VLOOKUP($A108,'030523 INVENTARIO'!$A$2:$Y$1148,8,FALSE)</f>
        <v>P05DA-0107</v>
      </c>
      <c r="H108" s="168" t="str">
        <f>VLOOKUP($A108,'030523 INVENTARIO'!$A$2:$Y$1148,17,FALSE)</f>
        <v>GBC</v>
      </c>
      <c r="I108" s="167" t="str">
        <f>VLOOKUP($A108,'030523 INVENTARIO'!$A$2:$Y$1148,18,FALSE)</f>
        <v>KOMBO</v>
      </c>
      <c r="J108" s="167" t="str">
        <f>VLOOKUP($A108,'030523 INVENTARIO'!$A$2:$Y$1148,19,FALSE)</f>
        <v>QDP0234</v>
      </c>
      <c r="K108" s="167" t="str">
        <f>VLOOKUP($A108,'030523 INVENTARIO'!$A$2:$Y$1148,20,FALSE)</f>
        <v>82DH0519010017000565655</v>
      </c>
      <c r="L108" s="167" t="str">
        <f>VLOOKUP($A108,'030523 INVENTARIO'!$A$2:$Y$1148,23,FALSE)</f>
        <v>HUMBERTO HERNANDEZ OLIVO</v>
      </c>
    </row>
    <row r="109" spans="1:12" ht="12.75" hidden="1">
      <c r="A109" s="167" t="str">
        <f>'030523 INVENTARIO'!A109</f>
        <v>0108</v>
      </c>
      <c r="B109" s="168" t="str">
        <f>'030523 INVENTARIO'!T109</f>
        <v>82DK0531010065000564787</v>
      </c>
      <c r="C109" s="167" t="str">
        <f t="shared" si="0"/>
        <v>564787</v>
      </c>
      <c r="D109" s="167" t="str">
        <f>IF(VLOOKUP(C109,'Patrimonio 2023'!$C$2:$C$1128,1,FALSE) = C109, "Encontrado", "no")</f>
        <v>Encontrado</v>
      </c>
      <c r="E109" s="167" t="str">
        <f>VLOOKUP($A109,'030523 INVENTARIO'!$A$2:$Y$1148,5,FALSE)</f>
        <v>MESA</v>
      </c>
      <c r="F109" s="167" t="str">
        <f>VLOOKUP($A109,'030523 INVENTARIO'!$A$2:$Y$1148,6,FALSE)</f>
        <v>MESA/TABLON PEGABLE CHICA 120X60</v>
      </c>
      <c r="G109" s="167" t="str">
        <f ca="1">VLOOKUP($A109,'030523 INVENTARIO'!$A$2:$Y$1148,8,FALSE)</f>
        <v>P05DA-0108</v>
      </c>
      <c r="H109" s="168" t="str">
        <f>VLOOKUP($A109,'030523 INVENTARIO'!$A$2:$Y$1148,17,FALSE)</f>
        <v>S/M</v>
      </c>
      <c r="I109" s="167" t="str">
        <f>VLOOKUP($A109,'030523 INVENTARIO'!$A$2:$Y$1148,18,FALSE)</f>
        <v>S/M</v>
      </c>
      <c r="J109" s="168" t="str">
        <f>VLOOKUP($A109,'030523 INVENTARIO'!$A$2:$Y$1148,19,FALSE)</f>
        <v>SIN SERIE</v>
      </c>
      <c r="K109" s="168" t="str">
        <f>VLOOKUP($A109,'030523 INVENTARIO'!$A$2:$Y$1148,20,FALSE)</f>
        <v>82DK0531010065000564787</v>
      </c>
      <c r="L109" s="167" t="str">
        <f>VLOOKUP($A109,'030523 INVENTARIO'!$A$2:$Y$1148,23,FALSE)</f>
        <v>HUMBERTO HERNANDEZ OLIVO</v>
      </c>
    </row>
    <row r="110" spans="1:12" ht="12.75" hidden="1">
      <c r="A110" s="167" t="str">
        <f>'030523 INVENTARIO'!A110</f>
        <v>0109</v>
      </c>
      <c r="B110" s="168" t="str">
        <f>'030523 INVENTARIO'!T110</f>
        <v>82DH0531010065000564848</v>
      </c>
      <c r="C110" s="167" t="str">
        <f t="shared" si="0"/>
        <v>564848</v>
      </c>
      <c r="D110" s="167" t="str">
        <f>IF(VLOOKUP(C110,'Patrimonio 2023'!$C$2:$C$1128,1,FALSE) = C110, "Encontrado", "no")</f>
        <v>Encontrado</v>
      </c>
      <c r="E110" s="167" t="str">
        <f>VLOOKUP($A110,'030523 INVENTARIO'!$A$2:$Y$1148,5,FALSE)</f>
        <v>MESA</v>
      </c>
      <c r="F110" s="167" t="str">
        <f>VLOOKUP($A110,'030523 INVENTARIO'!$A$2:$Y$1148,6,FALSE)</f>
        <v>MESA DE MADERA CON BASE DE METAL 120X60</v>
      </c>
      <c r="G110" s="167" t="str">
        <f ca="1">VLOOKUP($A110,'030523 INVENTARIO'!$A$2:$Y$1148,8,FALSE)</f>
        <v>P03CV-0109</v>
      </c>
      <c r="H110" s="168" t="str">
        <f>VLOOKUP($A110,'030523 INVENTARIO'!$A$2:$Y$1148,17,FALSE)</f>
        <v>S/M</v>
      </c>
      <c r="I110" s="167" t="str">
        <f>VLOOKUP($A110,'030523 INVENTARIO'!$A$2:$Y$1148,18,FALSE)</f>
        <v>S/M</v>
      </c>
      <c r="J110" s="168" t="str">
        <f>VLOOKUP($A110,'030523 INVENTARIO'!$A$2:$Y$1148,19,FALSE)</f>
        <v>SIN SERIE</v>
      </c>
      <c r="K110" s="168" t="str">
        <f>VLOOKUP($A110,'030523 INVENTARIO'!$A$2:$Y$1148,20,FALSE)</f>
        <v>82DH0531010065000564848</v>
      </c>
      <c r="L110" s="167" t="str">
        <f>VLOOKUP($A110,'030523 INVENTARIO'!$A$2:$Y$1148,23,FALSE)</f>
        <v>VICTOR HUGO HERNANDEZ PALACIOS</v>
      </c>
    </row>
    <row r="111" spans="1:12" ht="12.75" hidden="1">
      <c r="A111" s="167" t="str">
        <f>'030523 INVENTARIO'!A111</f>
        <v>0110</v>
      </c>
      <c r="B111" s="168" t="str">
        <f>'030523 INVENTARIO'!T111</f>
        <v>82DK0511010017000522806</v>
      </c>
      <c r="C111" s="167" t="str">
        <f t="shared" si="0"/>
        <v>522806</v>
      </c>
      <c r="D111" s="167" t="str">
        <f>IF(VLOOKUP(C111,'Patrimonio 2023'!$C$2:$C$1128,1,FALSE) = C111, "Encontrado", "no")</f>
        <v>Encontrado</v>
      </c>
      <c r="E111" s="167" t="str">
        <f>VLOOKUP($A111,'030523 INVENTARIO'!$A$2:$Y$1148,5,FALSE)</f>
        <v>SILLA</v>
      </c>
      <c r="F111" s="167" t="str">
        <f>VLOOKUP($A111,'030523 INVENTARIO'!$A$2:$Y$1148,6,FALSE)</f>
        <v>SILLA DE TELA NEGRA FIJA</v>
      </c>
      <c r="G111" s="167" t="str">
        <f ca="1">VLOOKUP($A111,'030523 INVENTARIO'!$A$2:$Y$1148,8,FALSE)</f>
        <v>P05DA-0110</v>
      </c>
      <c r="H111" s="168" t="str">
        <f>VLOOKUP($A111,'030523 INVENTARIO'!$A$2:$Y$1148,17,FALSE)</f>
        <v>S/M</v>
      </c>
      <c r="I111" s="167" t="str">
        <f>VLOOKUP($A111,'030523 INVENTARIO'!$A$2:$Y$1148,18,FALSE)</f>
        <v>S/M</v>
      </c>
      <c r="J111" s="168" t="str">
        <f>VLOOKUP($A111,'030523 INVENTARIO'!$A$2:$Y$1148,19,FALSE)</f>
        <v>SIN SERIE</v>
      </c>
      <c r="K111" s="168" t="str">
        <f>VLOOKUP($A111,'030523 INVENTARIO'!$A$2:$Y$1148,20,FALSE)</f>
        <v>82DK0511010017000522806</v>
      </c>
      <c r="L111" s="167" t="str">
        <f>VLOOKUP($A111,'030523 INVENTARIO'!$A$2:$Y$1148,23,FALSE)</f>
        <v>HUMBERTO HERNANDEZ OLIVO</v>
      </c>
    </row>
    <row r="112" spans="1:12" ht="12.75" hidden="1">
      <c r="A112" s="167" t="str">
        <f>'030523 INVENTARIO'!A112</f>
        <v>0111</v>
      </c>
      <c r="B112" s="168" t="str">
        <f>'030523 INVENTARIO'!T112</f>
        <v>82DK0531010094000564892</v>
      </c>
      <c r="C112" s="167" t="str">
        <f t="shared" si="0"/>
        <v>564892</v>
      </c>
      <c r="D112" s="167" t="str">
        <f>IF(VLOOKUP(C112,'Patrimonio 2023'!$C$2:$C$1128,1,FALSE) = C112, "Encontrado", "no")</f>
        <v>Encontrado</v>
      </c>
      <c r="E112" s="167" t="str">
        <f>VLOOKUP($A112,'030523 INVENTARIO'!$A$2:$Y$1148,5,FALSE)</f>
        <v>VENTILADOR</v>
      </c>
      <c r="F112" s="167" t="str">
        <f>VLOOKUP($A112,'030523 INVENTARIO'!$A$2:$Y$1148,6,FALSE)</f>
        <v>VENTILADOR GRIS DE TORRE</v>
      </c>
      <c r="G112" s="167" t="str">
        <f ca="1">VLOOKUP($A112,'030523 INVENTARIO'!$A$2:$Y$1148,8,FALSE)</f>
        <v>P05DA-0111</v>
      </c>
      <c r="H112" s="168" t="str">
        <f>VLOOKUP($A112,'030523 INVENTARIO'!$A$2:$Y$1148,17,FALSE)</f>
        <v>SERVILLE</v>
      </c>
      <c r="I112" s="167" t="str">
        <f>VLOOKUP($A112,'030523 INVENTARIO'!$A$2:$Y$1148,18,FALSE)</f>
        <v>S/M</v>
      </c>
      <c r="J112" s="168" t="str">
        <f>VLOOKUP($A112,'030523 INVENTARIO'!$A$2:$Y$1148,19,FALSE)</f>
        <v>SIN SERIE</v>
      </c>
      <c r="K112" s="168" t="str">
        <f>VLOOKUP($A112,'030523 INVENTARIO'!$A$2:$Y$1148,20,FALSE)</f>
        <v>82DK0531010094000564892</v>
      </c>
      <c r="L112" s="167" t="str">
        <f>VLOOKUP($A112,'030523 INVENTARIO'!$A$2:$Y$1148,23,FALSE)</f>
        <v>HUMBERTO HERNANDEZ OLIVO</v>
      </c>
    </row>
    <row r="113" spans="1:12" ht="12.75" hidden="1">
      <c r="A113" s="167" t="str">
        <f>'030523 INVENTARIO'!A113</f>
        <v>0112</v>
      </c>
      <c r="B113" s="168" t="str">
        <f>'030523 INVENTARIO'!T113</f>
        <v>SIN RESGUARDO</v>
      </c>
      <c r="C113" s="167" t="str">
        <f t="shared" si="0"/>
        <v/>
      </c>
      <c r="D113" s="167" t="e">
        <f>IF(VLOOKUP(C113,'Patrimonio 2023'!$C$2:$C$1128,1,FALSE) = C113, "Encontrado", "no")</f>
        <v>#N/A</v>
      </c>
      <c r="E113" s="167" t="str">
        <f>VLOOKUP($A113,'030523 INVENTARIO'!$A$2:$Y$1148,5,FALSE)</f>
        <v>VENTILADOR</v>
      </c>
      <c r="F113" s="167" t="str">
        <f>VLOOKUP($A113,'030523 INVENTARIO'!$A$2:$Y$1148,6,FALSE)</f>
        <v>VENTILADOR DE PEDESTAL CON ASPAS DE METAL</v>
      </c>
      <c r="G113" s="167" t="str">
        <f ca="1">VLOOKUP($A113,'030523 INVENTARIO'!$A$2:$Y$1148,8,FALSE)</f>
        <v>P05DA-0112</v>
      </c>
      <c r="H113" s="168" t="str">
        <f>VLOOKUP($A113,'030523 INVENTARIO'!$A$2:$Y$1148,17,FALSE)</f>
        <v>ATVIO</v>
      </c>
      <c r="I113" s="167" t="str">
        <f>VLOOKUP($A113,'030523 INVENTARIO'!$A$2:$Y$1148,18,FALSE)</f>
        <v>FD-40MGUN</v>
      </c>
      <c r="J113" s="167" t="str">
        <f>VLOOKUP($A113,'030523 INVENTARIO'!$A$2:$Y$1148,19,FALSE)</f>
        <v>SIN SERIE</v>
      </c>
      <c r="K113" s="168" t="str">
        <f>VLOOKUP($A113,'030523 INVENTARIO'!$A$2:$Y$1148,20,FALSE)</f>
        <v>SIN RESGUARDO</v>
      </c>
      <c r="L113" s="167" t="str">
        <f>VLOOKUP($A113,'030523 INVENTARIO'!$A$2:$Y$1148,23,FALSE)</f>
        <v>HUMBERTO HERNANDEZ OLIVO</v>
      </c>
    </row>
    <row r="114" spans="1:12" ht="12.75" hidden="1">
      <c r="A114" s="167" t="str">
        <f>'030523 INVENTARIO'!A114</f>
        <v>0113</v>
      </c>
      <c r="B114" s="167" t="str">
        <f>'030523 INVENTARIO'!T114</f>
        <v>SIN RESGUARDO</v>
      </c>
      <c r="C114" s="167" t="str">
        <f t="shared" si="0"/>
        <v/>
      </c>
      <c r="D114" s="167" t="e">
        <f>IF(VLOOKUP(C114,'Patrimonio 2023'!$C$2:$C$1128,1,FALSE) = C114, "Encontrado", "no")</f>
        <v>#N/A</v>
      </c>
      <c r="E114" s="167" t="str">
        <f>VLOOKUP($A114,'030523 INVENTARIO'!$A$2:$Y$1148,5,FALSE)</f>
        <v>PIZARRON</v>
      </c>
      <c r="F114" s="167" t="str">
        <f>VLOOKUP($A114,'030523 INVENTARIO'!$A$2:$Y$1148,6,FALSE)</f>
        <v>PIZARRON BLANCO 90X90</v>
      </c>
      <c r="G114" s="167" t="str">
        <f ca="1">VLOOKUP($A114,'030523 INVENTARIO'!$A$2:$Y$1148,8,FALSE)</f>
        <v>P05DA-0113</v>
      </c>
      <c r="H114" s="168" t="str">
        <f>VLOOKUP($A114,'030523 INVENTARIO'!$A$2:$Y$1148,17,FALSE)</f>
        <v>S/M</v>
      </c>
      <c r="I114" s="167" t="str">
        <f>VLOOKUP($A114,'030523 INVENTARIO'!$A$2:$Y$1148,18,FALSE)</f>
        <v>S/M</v>
      </c>
      <c r="J114" s="167" t="str">
        <f>VLOOKUP($A114,'030523 INVENTARIO'!$A$2:$Y$1148,19,FALSE)</f>
        <v>SIN SERIE</v>
      </c>
      <c r="K114" s="167" t="str">
        <f>VLOOKUP($A114,'030523 INVENTARIO'!$A$2:$Y$1148,20,FALSE)</f>
        <v>SIN RESGUARDO</v>
      </c>
      <c r="L114" s="167" t="str">
        <f>VLOOKUP($A114,'030523 INVENTARIO'!$A$2:$Y$1148,23,FALSE)</f>
        <v>HUMBERTO HERNANDEZ OLIVO</v>
      </c>
    </row>
    <row r="115" spans="1:12" ht="12.75" hidden="1">
      <c r="A115" s="167" t="str">
        <f>'030523 INVENTARIO'!A115</f>
        <v>0114</v>
      </c>
      <c r="B115" s="167" t="str">
        <f>'030523 INVENTARIO'!T115</f>
        <v>82DK0515010013000650651</v>
      </c>
      <c r="C115" s="167" t="str">
        <f t="shared" si="0"/>
        <v>650651</v>
      </c>
      <c r="D115" s="167" t="str">
        <f>IF(VLOOKUP(C115,'Patrimonio 2023'!$C$2:$C$1128,1,FALSE) = C115, "Encontrado", "no")</f>
        <v>Encontrado</v>
      </c>
      <c r="E115" s="167" t="str">
        <f>VLOOKUP($A115,'030523 INVENTARIO'!$A$2:$Y$1148,5,FALSE)</f>
        <v>MONITOR</v>
      </c>
      <c r="F115" s="167" t="str">
        <f>VLOOKUP($A115,'030523 INVENTARIO'!$A$2:$Y$1148,6,FALSE)</f>
        <v>MONITOR 19.5"</v>
      </c>
      <c r="G115" s="167" t="str">
        <f ca="1">VLOOKUP($A115,'030523 INVENTARIO'!$A$2:$Y$1148,8,FALSE)</f>
        <v>P05DA-0114</v>
      </c>
      <c r="H115" s="168" t="str">
        <f>VLOOKUP($A115,'030523 INVENTARIO'!$A$2:$Y$1148,17,FALSE)</f>
        <v>GHIA</v>
      </c>
      <c r="I115" s="167" t="str">
        <f>VLOOKUP($A115,'030523 INVENTARIO'!$A$2:$Y$1148,18,FALSE)</f>
        <v>MG2017</v>
      </c>
      <c r="J115" s="168" t="str">
        <f>VLOOKUP($A115,'030523 INVENTARIO'!$A$2:$Y$1148,19,FALSE)</f>
        <v>CMG2017180136800446</v>
      </c>
      <c r="K115" s="167" t="str">
        <f>VLOOKUP($A115,'030523 INVENTARIO'!$A$2:$Y$1148,20,FALSE)</f>
        <v>82DK0515010013000650651</v>
      </c>
      <c r="L115" s="167" t="str">
        <f>VLOOKUP($A115,'030523 INVENTARIO'!$A$2:$Y$1148,23,FALSE)</f>
        <v>HUMBERTO HERNANDEZ OLIVO</v>
      </c>
    </row>
    <row r="116" spans="1:12" ht="12.75" hidden="1">
      <c r="A116" s="167" t="str">
        <f>'030523 INVENTARIO'!A116</f>
        <v>0115</v>
      </c>
      <c r="B116" s="168" t="str">
        <f>'030523 INVENTARIO'!T116</f>
        <v>82DK0515010013000649466</v>
      </c>
      <c r="C116" s="167" t="str">
        <f t="shared" si="0"/>
        <v>649466</v>
      </c>
      <c r="D116" s="167" t="str">
        <f>IF(VLOOKUP(C116,'Patrimonio 2023'!$C$2:$C$1128,1,FALSE) = C116, "Encontrado", "no")</f>
        <v>Encontrado</v>
      </c>
      <c r="E116" s="167" t="str">
        <f>VLOOKUP($A116,'030523 INVENTARIO'!$A$2:$Y$1148,5,FALSE)</f>
        <v>MONITOR</v>
      </c>
      <c r="F116" s="167" t="str">
        <f>VLOOKUP($A116,'030523 INVENTARIO'!$A$2:$Y$1148,6,FALSE)</f>
        <v>MONITOR 19"</v>
      </c>
      <c r="G116" s="167" t="str">
        <f ca="1">VLOOKUP($A116,'030523 INVENTARIO'!$A$2:$Y$1148,8,FALSE)</f>
        <v>P05DA-0115</v>
      </c>
      <c r="H116" s="168" t="str">
        <f>VLOOKUP($A116,'030523 INVENTARIO'!$A$2:$Y$1148,17,FALSE)</f>
        <v>HP</v>
      </c>
      <c r="I116" s="167" t="str">
        <f>VLOOKUP($A116,'030523 INVENTARIO'!$A$2:$Y$1148,18,FALSE)</f>
        <v>W1907</v>
      </c>
      <c r="J116" s="168" t="str">
        <f>VLOOKUP($A116,'030523 INVENTARIO'!$A$2:$Y$1148,19,FALSE)</f>
        <v>SNN71304NS</v>
      </c>
      <c r="K116" s="168" t="str">
        <f>VLOOKUP($A116,'030523 INVENTARIO'!$A$2:$Y$1148,20,FALSE)</f>
        <v>82DK0515010013000649466</v>
      </c>
      <c r="L116" s="167" t="str">
        <f>VLOOKUP($A116,'030523 INVENTARIO'!$A$2:$Y$1148,23,FALSE)</f>
        <v>HUMBERTO HERNANDEZ OLIVO</v>
      </c>
    </row>
    <row r="117" spans="1:12" ht="12.75" hidden="1">
      <c r="A117" s="167" t="str">
        <f>'030523 INVENTARIO'!A117</f>
        <v>0116</v>
      </c>
      <c r="B117" s="168" t="str">
        <f>'030523 INVENTARIO'!T117</f>
        <v>82DK0511010006000518510</v>
      </c>
      <c r="C117" s="167" t="str">
        <f t="shared" si="0"/>
        <v>518510</v>
      </c>
      <c r="D117" s="167" t="str">
        <f>IF(VLOOKUP(C117,'Patrimonio 2023'!$C$2:$C$1128,1,FALSE) = C117, "Encontrado", "no")</f>
        <v>Encontrado</v>
      </c>
      <c r="E117" s="167" t="str">
        <f>VLOOKUP($A117,'030523 INVENTARIO'!$A$2:$Y$1148,5,FALSE)</f>
        <v>ESCRITORIO</v>
      </c>
      <c r="F117" s="167" t="str">
        <f>VLOOKUP($A117,'030523 INVENTARIO'!$A$2:$Y$1148,6,FALSE)</f>
        <v>ESCRITORIO DE MADERA CON 2 CAJONES 120X60</v>
      </c>
      <c r="G117" s="167" t="str">
        <f ca="1">VLOOKUP($A117,'030523 INVENTARIO'!$A$2:$Y$1148,8,FALSE)</f>
        <v>P05DA-0116</v>
      </c>
      <c r="H117" s="168" t="str">
        <f>VLOOKUP($A117,'030523 INVENTARIO'!$A$2:$Y$1148,17,FALSE)</f>
        <v>S/M</v>
      </c>
      <c r="I117" s="167" t="str">
        <f>VLOOKUP($A117,'030523 INVENTARIO'!$A$2:$Y$1148,18,FALSE)</f>
        <v>S/M</v>
      </c>
      <c r="J117" s="168" t="str">
        <f>VLOOKUP($A117,'030523 INVENTARIO'!$A$2:$Y$1148,19,FALSE)</f>
        <v>SIN SERIE</v>
      </c>
      <c r="K117" s="168" t="str">
        <f>VLOOKUP($A117,'030523 INVENTARIO'!$A$2:$Y$1148,20,FALSE)</f>
        <v>82DK0511010006000518510</v>
      </c>
      <c r="L117" s="167" t="str">
        <f>VLOOKUP($A117,'030523 INVENTARIO'!$A$2:$Y$1148,23,FALSE)</f>
        <v>HUMBERTO HERNANDEZ OLIVO</v>
      </c>
    </row>
    <row r="118" spans="1:12" ht="12.75" hidden="1">
      <c r="A118" s="167" t="str">
        <f>'030523 INVENTARIO'!A118</f>
        <v>0117</v>
      </c>
      <c r="B118" s="168" t="str">
        <f>'030523 INVENTARIO'!T118</f>
        <v>82DK0511010016000649469</v>
      </c>
      <c r="C118" s="167" t="str">
        <f t="shared" si="0"/>
        <v>649469</v>
      </c>
      <c r="D118" s="167" t="str">
        <f>IF(VLOOKUP(C118,'Patrimonio 2023'!$C$2:$C$1128,1,FALSE) = C118, "Encontrado", "no")</f>
        <v>Encontrado</v>
      </c>
      <c r="E118" s="167" t="str">
        <f>VLOOKUP($A118,'030523 INVENTARIO'!$A$2:$Y$1148,5,FALSE)</f>
        <v>SILLON</v>
      </c>
      <c r="F118" s="167" t="str">
        <f>VLOOKUP($A118,'030523 INVENTARIO'!$A$2:$Y$1148,6,FALSE)</f>
        <v>SILLÓN NEGRO CON RUEDAS</v>
      </c>
      <c r="G118" s="167" t="str">
        <f ca="1">VLOOKUP($A118,'030523 INVENTARIO'!$A$2:$Y$1148,8,FALSE)</f>
        <v>P05DA-0117</v>
      </c>
      <c r="H118" s="168" t="str">
        <f>VLOOKUP($A118,'030523 INVENTARIO'!$A$2:$Y$1148,17,FALSE)</f>
        <v>S/M</v>
      </c>
      <c r="I118" s="167" t="str">
        <f>VLOOKUP($A118,'030523 INVENTARIO'!$A$2:$Y$1148,18,FALSE)</f>
        <v>S/M</v>
      </c>
      <c r="J118" s="168" t="str">
        <f>VLOOKUP($A118,'030523 INVENTARIO'!$A$2:$Y$1148,19,FALSE)</f>
        <v>SIN SERIE</v>
      </c>
      <c r="K118" s="168" t="str">
        <f>VLOOKUP($A118,'030523 INVENTARIO'!$A$2:$Y$1148,20,FALSE)</f>
        <v>82DK0511010016000649469</v>
      </c>
      <c r="L118" s="167" t="str">
        <f>VLOOKUP($A118,'030523 INVENTARIO'!$A$2:$Y$1148,23,FALSE)</f>
        <v>HUMBERTO HERNANDEZ OLIVO</v>
      </c>
    </row>
    <row r="119" spans="1:12" ht="12.75" hidden="1">
      <c r="A119" s="167" t="str">
        <f>'030523 INVENTARIO'!A119</f>
        <v>0118</v>
      </c>
      <c r="B119" s="167" t="str">
        <f>'030523 INVENTARIO'!T119</f>
        <v>82DK0515010020000650898</v>
      </c>
      <c r="C119" s="167" t="str">
        <f t="shared" si="0"/>
        <v>650898</v>
      </c>
      <c r="D119" s="167" t="str">
        <f>IF(VLOOKUP(C119,'Patrimonio 2023'!$C$2:$C$1128,1,FALSE) = C119, "Encontrado", "no")</f>
        <v>Encontrado</v>
      </c>
      <c r="E119" s="167" t="str">
        <f>VLOOKUP($A119,'030523 INVENTARIO'!$A$2:$Y$1148,5,FALSE)</f>
        <v>REGULADOR DE VOLTAJE</v>
      </c>
      <c r="F119" s="167" t="str">
        <f>VLOOKUP($A119,'030523 INVENTARIO'!$A$2:$Y$1148,6,FALSE)</f>
        <v>REGULADOR</v>
      </c>
      <c r="G119" s="167" t="str">
        <f ca="1">VLOOKUP($A119,'030523 INVENTARIO'!$A$2:$Y$1148,8,FALSE)</f>
        <v>P05DA-0118</v>
      </c>
      <c r="H119" s="168" t="str">
        <f>VLOOKUP($A119,'030523 INVENTARIO'!$A$2:$Y$1148,17,FALSE)</f>
        <v>KOBLENZ</v>
      </c>
      <c r="I119" s="167" t="str">
        <f>VLOOKUP($A119,'030523 INVENTARIO'!$A$2:$Y$1148,18,FALSE)</f>
        <v>RS1400I</v>
      </c>
      <c r="J119" s="168" t="str">
        <f>VLOOKUP($A119,'030523 INVENTARIO'!$A$2:$Y$1148,19,FALSE)</f>
        <v>161039228</v>
      </c>
      <c r="K119" s="167" t="str">
        <f>VLOOKUP($A119,'030523 INVENTARIO'!$A$2:$Y$1148,20,FALSE)</f>
        <v>82DK0515010020000650898</v>
      </c>
      <c r="L119" s="167" t="str">
        <f>VLOOKUP($A119,'030523 INVENTARIO'!$A$2:$Y$1148,23,FALSE)</f>
        <v>HUMBERTO HERNANDEZ OLIVO</v>
      </c>
    </row>
    <row r="120" spans="1:12" ht="12.75" hidden="1">
      <c r="A120" s="167" t="str">
        <f>'030523 INVENTARIO'!A120</f>
        <v>0119</v>
      </c>
      <c r="B120" s="168" t="str">
        <f>'030523 INVENTARIO'!T120</f>
        <v>82DK0515010001000650661</v>
      </c>
      <c r="C120" s="167" t="str">
        <f t="shared" si="0"/>
        <v>650661</v>
      </c>
      <c r="D120" s="167" t="str">
        <f>IF(VLOOKUP(C120,'Patrimonio 2023'!$C$2:$C$1128,1,FALSE) = C120, "Encontrado", "no")</f>
        <v>Encontrado</v>
      </c>
      <c r="E120" s="167" t="str">
        <f>VLOOKUP($A120,'030523 INVENTARIO'!$A$2:$Y$1148,5,FALSE)</f>
        <v>COMPUTADORA DE ESCRITORIO</v>
      </c>
      <c r="F120" s="167" t="str">
        <f>VLOOKUP($A120,'030523 INVENTARIO'!$A$2:$Y$1148,6,FALSE)</f>
        <v>COMPUTADORA DE ESCRITORIO</v>
      </c>
      <c r="G120" s="167" t="str">
        <f ca="1">VLOOKUP($A120,'030523 INVENTARIO'!$A$2:$Y$1148,8,FALSE)</f>
        <v>P05DA-0119</v>
      </c>
      <c r="H120" s="168" t="str">
        <f>VLOOKUP($A120,'030523 INVENTARIO'!$A$2:$Y$1148,17,FALSE)</f>
        <v>GHIA</v>
      </c>
      <c r="I120" s="167">
        <f>VLOOKUP($A120,'030523 INVENTARIO'!$A$2:$Y$1148,18,FALSE)</f>
        <v>2378</v>
      </c>
      <c r="J120" s="168" t="str">
        <f>VLOOKUP($A120,'030523 INVENTARIO'!$A$2:$Y$1148,19,FALSE)</f>
        <v>337734</v>
      </c>
      <c r="K120" s="168" t="str">
        <f>VLOOKUP($A120,'030523 INVENTARIO'!$A$2:$Y$1148,20,FALSE)</f>
        <v>82DK0515010001000650661</v>
      </c>
      <c r="L120" s="167" t="str">
        <f>VLOOKUP($A120,'030523 INVENTARIO'!$A$2:$Y$1148,23,FALSE)</f>
        <v>HUMBERTO HERNANDEZ OLIVO</v>
      </c>
    </row>
    <row r="121" spans="1:12" ht="12.75" hidden="1">
      <c r="A121" s="167" t="str">
        <f>'030523 INVENTARIO'!A121</f>
        <v>0120</v>
      </c>
      <c r="B121" s="168" t="str">
        <f>'030523 INVENTARIO'!T121</f>
        <v>SIN RESGUARDO</v>
      </c>
      <c r="C121" s="167" t="str">
        <f t="shared" si="0"/>
        <v/>
      </c>
      <c r="D121" s="167" t="e">
        <f>IF(VLOOKUP(C121,'Patrimonio 2023'!$C$2:$C$1128,1,FALSE) = C121, "Encontrado", "no")</f>
        <v>#N/A</v>
      </c>
      <c r="E121" s="167" t="str">
        <f>VLOOKUP($A121,'030523 INVENTARIO'!$A$2:$Y$1148,5,FALSE)</f>
        <v>DISCO DURO</v>
      </c>
      <c r="F121" s="167" t="str">
        <f>VLOOKUP($A121,'030523 INVENTARIO'!$A$2:$Y$1148,6,FALSE)</f>
        <v>DISCO DURO EXTERNO 2TB COLOR NEGRO</v>
      </c>
      <c r="G121" s="167" t="str">
        <f ca="1">VLOOKUP($A121,'030523 INVENTARIO'!$A$2:$Y$1148,8,FALSE)</f>
        <v>P05DA-0120</v>
      </c>
      <c r="H121" s="168" t="str">
        <f>VLOOKUP($A121,'030523 INVENTARIO'!$A$2:$Y$1148,17,FALSE)</f>
        <v>ADATA</v>
      </c>
      <c r="I121" s="167" t="str">
        <f>VLOOKUP($A121,'030523 INVENTARIO'!$A$2:$Y$1148,18,FALSE)</f>
        <v>HV300</v>
      </c>
      <c r="J121" s="168" t="str">
        <f>VLOOKUP($A121,'030523 INVENTARIO'!$A$2:$Y$1148,19,FALSE)</f>
        <v>1K4120170690</v>
      </c>
      <c r="K121" s="168" t="str">
        <f>VLOOKUP($A121,'030523 INVENTARIO'!$A$2:$Y$1148,20,FALSE)</f>
        <v>SIN RESGUARDO</v>
      </c>
      <c r="L121" s="167" t="str">
        <f>VLOOKUP($A121,'030523 INVENTARIO'!$A$2:$Y$1148,23,FALSE)</f>
        <v>HUMBERTO HERNANDEZ OLIVO</v>
      </c>
    </row>
    <row r="122" spans="1:12" ht="12.75" hidden="1">
      <c r="A122" s="167" t="str">
        <f>'030523 INVENTARIO'!A122</f>
        <v>0121</v>
      </c>
      <c r="B122" s="168" t="str">
        <f>'030523 INVENTARIO'!T122</f>
        <v>82DK0511010017000651090</v>
      </c>
      <c r="C122" s="167" t="str">
        <f t="shared" si="0"/>
        <v>651090</v>
      </c>
      <c r="D122" s="167" t="str">
        <f>IF(VLOOKUP(C122,'Patrimonio 2023'!$C$2:$C$1128,1,FALSE) = C122, "Encontrado", "no")</f>
        <v>Encontrado</v>
      </c>
      <c r="E122" s="167" t="str">
        <f>VLOOKUP($A122,'030523 INVENTARIO'!$A$2:$Y$1148,5,FALSE)</f>
        <v>SILLA</v>
      </c>
      <c r="F122" s="167" t="str">
        <f>VLOOKUP($A122,'030523 INVENTARIO'!$A$2:$Y$1148,6,FALSE)</f>
        <v>SILLA GRIS PLEGABLE</v>
      </c>
      <c r="G122" s="167" t="str">
        <f ca="1">VLOOKUP($A122,'030523 INVENTARIO'!$A$2:$Y$1148,8,FALSE)</f>
        <v>P05DA-0121</v>
      </c>
      <c r="H122" s="168" t="str">
        <f>VLOOKUP($A122,'030523 INVENTARIO'!$A$2:$Y$1148,17,FALSE)</f>
        <v>S/M</v>
      </c>
      <c r="I122" s="167" t="str">
        <f>VLOOKUP($A122,'030523 INVENTARIO'!$A$2:$Y$1148,18,FALSE)</f>
        <v>S/M</v>
      </c>
      <c r="J122" s="168" t="str">
        <f>VLOOKUP($A122,'030523 INVENTARIO'!$A$2:$Y$1148,19,FALSE)</f>
        <v>SIN SERIE</v>
      </c>
      <c r="K122" s="168" t="str">
        <f>VLOOKUP($A122,'030523 INVENTARIO'!$A$2:$Y$1148,20,FALSE)</f>
        <v>82DK0511010017000651090</v>
      </c>
      <c r="L122" s="167" t="str">
        <f>VLOOKUP($A122,'030523 INVENTARIO'!$A$2:$Y$1148,23,FALSE)</f>
        <v>HUMBERTO HERNANDEZ OLIVO</v>
      </c>
    </row>
    <row r="123" spans="1:12" ht="12.75" hidden="1">
      <c r="A123" s="167" t="str">
        <f>'030523 INVENTARIO'!A123</f>
        <v>0122</v>
      </c>
      <c r="B123" s="167" t="str">
        <f>'030523 INVENTARIO'!T123</f>
        <v>82DK0515010013000649467</v>
      </c>
      <c r="C123" s="167" t="str">
        <f t="shared" si="0"/>
        <v>649467</v>
      </c>
      <c r="D123" s="167" t="str">
        <f>IF(VLOOKUP(C123,'Patrimonio 2023'!$C$2:$C$1128,1,FALSE) = C123, "Encontrado", "no")</f>
        <v>Encontrado</v>
      </c>
      <c r="E123" s="167" t="str">
        <f>VLOOKUP($A123,'030523 INVENTARIO'!$A$2:$Y$1148,5,FALSE)</f>
        <v>MONITOR</v>
      </c>
      <c r="F123" s="167" t="str">
        <f>VLOOKUP($A123,'030523 INVENTARIO'!$A$2:$Y$1148,6,FALSE)</f>
        <v>MONITOR 18.5"</v>
      </c>
      <c r="G123" s="167" t="str">
        <f ca="1">VLOOKUP($A123,'030523 INVENTARIO'!$A$2:$Y$1148,8,FALSE)</f>
        <v>P05RM-0122</v>
      </c>
      <c r="H123" s="168" t="str">
        <f>VLOOKUP($A123,'030523 INVENTARIO'!$A$2:$Y$1148,17,FALSE)</f>
        <v>SAMSUNG</v>
      </c>
      <c r="I123" s="167" t="str">
        <f>VLOOKUP($A123,'030523 INVENTARIO'!$A$2:$Y$1148,18,FALSE)</f>
        <v>S19B150N</v>
      </c>
      <c r="J123" s="168" t="str">
        <f>VLOOKUP($A123,'030523 INVENTARIO'!$A$2:$Y$1148,19,FALSE)</f>
        <v>ZUMLHTHC806810V</v>
      </c>
      <c r="K123" s="167" t="str">
        <f>VLOOKUP($A123,'030523 INVENTARIO'!$A$2:$Y$1148,20,FALSE)</f>
        <v>82DK0515010013000649467</v>
      </c>
      <c r="L123" s="167" t="str">
        <f>VLOOKUP($A123,'030523 INVENTARIO'!$A$2:$Y$1148,23,FALSE)</f>
        <v>BLANCA ELIZABETH ALCANTAR GUERRERO</v>
      </c>
    </row>
    <row r="124" spans="1:12" ht="12.75" hidden="1">
      <c r="A124" s="167" t="str">
        <f>'030523 INVENTARIO'!A124</f>
        <v>0123</v>
      </c>
      <c r="B124" s="168" t="str">
        <f>'030523 INVENTARIO'!T124</f>
        <v>82DK0515010016000649426</v>
      </c>
      <c r="C124" s="167" t="str">
        <f t="shared" si="0"/>
        <v>649426</v>
      </c>
      <c r="D124" s="167" t="str">
        <f>IF(VLOOKUP(C124,'Patrimonio 2023'!$C$2:$C$1128,1,FALSE) = C124, "Encontrado", "no")</f>
        <v>Encontrado</v>
      </c>
      <c r="E124" s="167" t="str">
        <f>VLOOKUP($A124,'030523 INVENTARIO'!$A$2:$Y$1148,5,FALSE)</f>
        <v>NO BREAK</v>
      </c>
      <c r="F124" s="167" t="str">
        <f>VLOOKUP($A124,'030523 INVENTARIO'!$A$2:$Y$1148,6,FALSE)</f>
        <v>NO BREAK  NEGRO</v>
      </c>
      <c r="G124" s="167" t="str">
        <f ca="1">VLOOKUP($A124,'030523 INVENTARIO'!$A$2:$Y$1148,8,FALSE)</f>
        <v>P05RM-0123</v>
      </c>
      <c r="H124" s="168" t="str">
        <f>VLOOKUP($A124,'030523 INVENTARIO'!$A$2:$Y$1148,17,FALSE)</f>
        <v>FORZA</v>
      </c>
      <c r="I124" s="167" t="str">
        <f>VLOOKUP($A124,'030523 INVENTARIO'!$A$2:$Y$1148,18,FALSE)</f>
        <v>NT751</v>
      </c>
      <c r="J124" s="168" t="str">
        <f>VLOOKUP($A124,'030523 INVENTARIO'!$A$2:$Y$1148,19,FALSE)</f>
        <v>190522502261</v>
      </c>
      <c r="K124" s="168" t="str">
        <f>VLOOKUP($A124,'030523 INVENTARIO'!$A$2:$Y$1148,20,FALSE)</f>
        <v>82DK0515010016000649426</v>
      </c>
      <c r="L124" s="167" t="str">
        <f>VLOOKUP($A124,'030523 INVENTARIO'!$A$2:$Y$1148,23,FALSE)</f>
        <v>ESIQUIO NAVA ORTEGA</v>
      </c>
    </row>
    <row r="125" spans="1:12" ht="12.75" hidden="1">
      <c r="A125" s="167" t="str">
        <f>'030523 INVENTARIO'!A125</f>
        <v>0124</v>
      </c>
      <c r="B125" s="168" t="str">
        <f>'030523 INVENTARIO'!T125</f>
        <v>82DK0531010065000564826</v>
      </c>
      <c r="C125" s="167" t="str">
        <f t="shared" si="0"/>
        <v>564826</v>
      </c>
      <c r="D125" s="167" t="str">
        <f>IF(VLOOKUP(C125,'Patrimonio 2023'!$C$2:$C$1128,1,FALSE) = C125, "Encontrado", "no")</f>
        <v>Encontrado</v>
      </c>
      <c r="E125" s="167" t="str">
        <f>VLOOKUP($A125,'030523 INVENTARIO'!$A$2:$Y$1148,5,FALSE)</f>
        <v>MESA</v>
      </c>
      <c r="F125" s="167" t="str">
        <f>VLOOKUP($A125,'030523 INVENTARIO'!$A$2:$Y$1148,6,FALSE)</f>
        <v>MESA DE MADERA CON BASE DE METAL 120X60</v>
      </c>
      <c r="G125" s="167" t="str">
        <f ca="1">VLOOKUP($A125,'030523 INVENTARIO'!$A$2:$Y$1148,8,FALSE)</f>
        <v>P05RM-0124</v>
      </c>
      <c r="H125" s="168" t="str">
        <f>VLOOKUP($A125,'030523 INVENTARIO'!$A$2:$Y$1148,17,FALSE)</f>
        <v>S/M</v>
      </c>
      <c r="I125" s="167" t="str">
        <f>VLOOKUP($A125,'030523 INVENTARIO'!$A$2:$Y$1148,18,FALSE)</f>
        <v>S/M</v>
      </c>
      <c r="J125" s="168" t="str">
        <f>VLOOKUP($A125,'030523 INVENTARIO'!$A$2:$Y$1148,19,FALSE)</f>
        <v>SIN SERIE</v>
      </c>
      <c r="K125" s="168" t="str">
        <f>VLOOKUP($A125,'030523 INVENTARIO'!$A$2:$Y$1148,20,FALSE)</f>
        <v>82DK0531010065000564826</v>
      </c>
      <c r="L125" s="167" t="str">
        <f>VLOOKUP($A125,'030523 INVENTARIO'!$A$2:$Y$1148,23,FALSE)</f>
        <v>ESIQUIO NAVA ORTEGA</v>
      </c>
    </row>
    <row r="126" spans="1:12" ht="12.75" hidden="1">
      <c r="A126" s="167" t="str">
        <f>'030523 INVENTARIO'!A126</f>
        <v>0125</v>
      </c>
      <c r="B126" s="168" t="str">
        <f>'030523 INVENTARIO'!T126</f>
        <v>82DK0515010001000539080</v>
      </c>
      <c r="C126" s="167" t="str">
        <f t="shared" si="0"/>
        <v>539080</v>
      </c>
      <c r="D126" s="167" t="str">
        <f>IF(VLOOKUP(C126,'Patrimonio 2023'!$C$2:$C$1128,1,FALSE) = C126, "Encontrado", "no")</f>
        <v>Encontrado</v>
      </c>
      <c r="E126" s="167" t="str">
        <f>VLOOKUP($A126,'030523 INVENTARIO'!$A$2:$Y$1148,5,FALSE)</f>
        <v>COMPUTADORA DE ESCRITORIO</v>
      </c>
      <c r="F126" s="167" t="str">
        <f>VLOOKUP($A126,'030523 INVENTARIO'!$A$2:$Y$1148,6,FALSE)</f>
        <v>COMPUTADORA DE ESCRITORIO</v>
      </c>
      <c r="G126" s="167" t="str">
        <f ca="1">VLOOKUP($A126,'030523 INVENTARIO'!$A$2:$Y$1148,8,FALSE)</f>
        <v>P05RM-0125</v>
      </c>
      <c r="H126" s="168" t="str">
        <f>VLOOKUP($A126,'030523 INVENTARIO'!$A$2:$Y$1148,17,FALSE)</f>
        <v>HP</v>
      </c>
      <c r="I126" s="167" t="str">
        <f>VLOOKUP($A126,'030523 INVENTARIO'!$A$2:$Y$1148,18,FALSE)</f>
        <v>DX2300</v>
      </c>
      <c r="J126" s="168" t="str">
        <f>VLOOKUP($A126,'030523 INVENTARIO'!$A$2:$Y$1148,19,FALSE)</f>
        <v>MXL81103W6</v>
      </c>
      <c r="K126" s="168" t="str">
        <f>VLOOKUP($A126,'030523 INVENTARIO'!$A$2:$Y$1148,20,FALSE)</f>
        <v>82DK0515010001000539080</v>
      </c>
      <c r="L126" s="167" t="str">
        <f>VLOOKUP($A126,'030523 INVENTARIO'!$A$2:$Y$1148,23,FALSE)</f>
        <v>ESIQUIO NAVA ORTEGA</v>
      </c>
    </row>
    <row r="127" spans="1:12" ht="12.75" hidden="1">
      <c r="A127" s="167" t="str">
        <f>'030523 INVENTARIO'!A127</f>
        <v>0126</v>
      </c>
      <c r="B127" s="168" t="str">
        <f>'030523 INVENTARIO'!T127</f>
        <v>82DK0565010041000539119</v>
      </c>
      <c r="C127" s="167" t="str">
        <f t="shared" si="0"/>
        <v>539119</v>
      </c>
      <c r="D127" s="167" t="str">
        <f>IF(VLOOKUP(C127,'Patrimonio 2023'!$C$2:$C$1128,1,FALSE) = C127, "Encontrado", "no")</f>
        <v>Encontrado</v>
      </c>
      <c r="E127" s="167" t="str">
        <f>VLOOKUP($A127,'030523 INVENTARIO'!$A$2:$Y$1148,5,FALSE)</f>
        <v>MONITOR</v>
      </c>
      <c r="F127" s="167" t="str">
        <f>VLOOKUP($A127,'030523 INVENTARIO'!$A$2:$Y$1148,6,FALSE)</f>
        <v>MONITOR 18.5"</v>
      </c>
      <c r="G127" s="167" t="str">
        <f ca="1">VLOOKUP($A127,'030523 INVENTARIO'!$A$2:$Y$1148,8,FALSE)</f>
        <v>P03CV-0126</v>
      </c>
      <c r="H127" s="168" t="str">
        <f>VLOOKUP($A127,'030523 INVENTARIO'!$A$2:$Y$1148,17,FALSE)</f>
        <v>ACER</v>
      </c>
      <c r="I127" s="167" t="str">
        <f>VLOOKUP($A127,'030523 INVENTARIO'!$A$2:$Y$1148,18,FALSE)</f>
        <v>P186HX</v>
      </c>
      <c r="J127" s="168" t="str">
        <f>VLOOKUP($A127,'030523 INVENTARIO'!$A$2:$Y$1148,19,FALSE)</f>
        <v>20601267443</v>
      </c>
      <c r="K127" s="168" t="str">
        <f>VLOOKUP($A127,'030523 INVENTARIO'!$A$2:$Y$1148,20,FALSE)</f>
        <v>82DK0565010041000539119</v>
      </c>
      <c r="L127" s="167" t="str">
        <f>VLOOKUP($A127,'030523 INVENTARIO'!$A$2:$Y$1148,23,FALSE)</f>
        <v>BLANCA ELIZABETH ALCANTAR GUERRERO</v>
      </c>
    </row>
    <row r="128" spans="1:12" ht="12.75" hidden="1">
      <c r="A128" s="167" t="str">
        <f>'030523 INVENTARIO'!A128</f>
        <v>0127</v>
      </c>
      <c r="B128" s="168" t="str">
        <f>'030523 INVENTARIO'!T128</f>
        <v>82DK0511010016000515615</v>
      </c>
      <c r="C128" s="167" t="str">
        <f t="shared" si="0"/>
        <v>515615</v>
      </c>
      <c r="D128" s="167" t="str">
        <f>IF(VLOOKUP(C128,'Patrimonio 2023'!$C$2:$C$1128,1,FALSE) = C128, "Encontrado", "no")</f>
        <v>Encontrado</v>
      </c>
      <c r="E128" s="167" t="str">
        <f>VLOOKUP($A128,'030523 INVENTARIO'!$A$2:$Y$1148,5,FALSE)</f>
        <v>SILLA</v>
      </c>
      <c r="F128" s="167" t="str">
        <f>VLOOKUP($A128,'030523 INVENTARIO'!$A$2:$Y$1148,6,FALSE)</f>
        <v>SILLA  CON RUEDAS NEGRA</v>
      </c>
      <c r="G128" s="167" t="str">
        <f ca="1">VLOOKUP($A128,'030523 INVENTARIO'!$A$2:$Y$1148,8,FALSE)</f>
        <v>P05RM-0127</v>
      </c>
      <c r="H128" s="168" t="str">
        <f>VLOOKUP($A128,'030523 INVENTARIO'!$A$2:$Y$1148,17,FALSE)</f>
        <v>S/M</v>
      </c>
      <c r="I128" s="167" t="str">
        <f>VLOOKUP($A128,'030523 INVENTARIO'!$A$2:$Y$1148,18,FALSE)</f>
        <v>S/M</v>
      </c>
      <c r="J128" s="168" t="str">
        <f>VLOOKUP($A128,'030523 INVENTARIO'!$A$2:$Y$1148,19,FALSE)</f>
        <v>SIN SERIE</v>
      </c>
      <c r="K128" s="168" t="str">
        <f>VLOOKUP($A128,'030523 INVENTARIO'!$A$2:$Y$1148,20,FALSE)</f>
        <v>82DK0511010016000515615</v>
      </c>
      <c r="L128" s="167" t="str">
        <f>VLOOKUP($A128,'030523 INVENTARIO'!$A$2:$Y$1148,23,FALSE)</f>
        <v>BLANCA ELIZABETH ALCANTAR GUERRERO</v>
      </c>
    </row>
    <row r="129" spans="1:12" ht="12.75" hidden="1">
      <c r="A129" s="167" t="str">
        <f>'030523 INVENTARIO'!A129</f>
        <v>0128</v>
      </c>
      <c r="B129" s="167" t="str">
        <f>'030523 INVENTARIO'!T129</f>
        <v>SIN RESGUARDO</v>
      </c>
      <c r="C129" s="167" t="str">
        <f t="shared" si="0"/>
        <v/>
      </c>
      <c r="D129" s="167" t="e">
        <f>IF(VLOOKUP(C129,'Patrimonio 2023'!$C$2:$C$1128,1,FALSE) = C129, "Encontrado", "no")</f>
        <v>#N/A</v>
      </c>
      <c r="E129" s="167" t="str">
        <f>VLOOKUP($A129,'030523 INVENTARIO'!$A$2:$Y$1148,5,FALSE)</f>
        <v>ESCRITORIO</v>
      </c>
      <c r="F129" s="167" t="str">
        <f>VLOOKUP($A129,'030523 INVENTARIO'!$A$2:$Y$1148,6,FALSE)</f>
        <v>ESCRITORIO DE MADERA CON 2 CAJONES 120X75</v>
      </c>
      <c r="G129" s="167" t="str">
        <f ca="1">VLOOKUP($A129,'030523 INVENTARIO'!$A$2:$Y$1148,8,FALSE)</f>
        <v>P05RM-0128</v>
      </c>
      <c r="H129" s="168" t="str">
        <f>VLOOKUP($A129,'030523 INVENTARIO'!$A$2:$Y$1148,17,FALSE)</f>
        <v>S/M</v>
      </c>
      <c r="I129" s="167" t="str">
        <f>VLOOKUP($A129,'030523 INVENTARIO'!$A$2:$Y$1148,18,FALSE)</f>
        <v>S/M</v>
      </c>
      <c r="J129" s="167" t="str">
        <f>VLOOKUP($A129,'030523 INVENTARIO'!$A$2:$Y$1148,19,FALSE)</f>
        <v>SIN SERIE</v>
      </c>
      <c r="K129" s="167" t="str">
        <f>VLOOKUP($A129,'030523 INVENTARIO'!$A$2:$Y$1148,20,FALSE)</f>
        <v>SIN RESGUARDO</v>
      </c>
      <c r="L129" s="167" t="str">
        <f>VLOOKUP($A129,'030523 INVENTARIO'!$A$2:$Y$1148,23,FALSE)</f>
        <v>ANTONIO CESAR REYES LOPEZ</v>
      </c>
    </row>
    <row r="130" spans="1:12" ht="12.75" hidden="1">
      <c r="A130" s="167" t="str">
        <f>'030523 INVENTARIO'!A130</f>
        <v>0129</v>
      </c>
      <c r="B130" s="168" t="str">
        <f>'030523 INVENTARIO'!T130</f>
        <v>82DL0511010016000649775</v>
      </c>
      <c r="C130" s="167" t="str">
        <f t="shared" si="0"/>
        <v>649775</v>
      </c>
      <c r="D130" s="167" t="str">
        <f>IF(VLOOKUP(C130,'Patrimonio 2023'!$C$2:$C$1128,1,FALSE) = C130, "Encontrado", "no")</f>
        <v>Encontrado</v>
      </c>
      <c r="E130" s="167" t="str">
        <f>VLOOKUP($A130,'030523 INVENTARIO'!$A$2:$Y$1148,5,FALSE)</f>
        <v>SILLON</v>
      </c>
      <c r="F130" s="167" t="str">
        <f>VLOOKUP($A130,'030523 INVENTARIO'!$A$2:$Y$1148,6,FALSE)</f>
        <v>SILLON DE TELA NEGRO CON RUEDAS</v>
      </c>
      <c r="G130" s="167" t="str">
        <f ca="1">VLOOKUP($A130,'030523 INVENTARIO'!$A$2:$Y$1148,8,FALSE)</f>
        <v>P05RM-0129</v>
      </c>
      <c r="H130" s="168" t="str">
        <f>VLOOKUP($A130,'030523 INVENTARIO'!$A$2:$Y$1148,17,FALSE)</f>
        <v>S/M</v>
      </c>
      <c r="I130" s="167" t="str">
        <f>VLOOKUP($A130,'030523 INVENTARIO'!$A$2:$Y$1148,18,FALSE)</f>
        <v>S/M</v>
      </c>
      <c r="J130" s="168" t="str">
        <f>VLOOKUP($A130,'030523 INVENTARIO'!$A$2:$Y$1148,19,FALSE)</f>
        <v>SIN SERIE</v>
      </c>
      <c r="K130" s="168" t="str">
        <f>VLOOKUP($A130,'030523 INVENTARIO'!$A$2:$Y$1148,20,FALSE)</f>
        <v>82DL0511010016000649775</v>
      </c>
      <c r="L130" s="167" t="str">
        <f>VLOOKUP($A130,'030523 INVENTARIO'!$A$2:$Y$1148,23,FALSE)</f>
        <v>BLANCA ELIZABETH ALCANTAR GUERRERO</v>
      </c>
    </row>
    <row r="131" spans="1:12" ht="12.75" hidden="1">
      <c r="A131" s="167" t="str">
        <f>'030523 INVENTARIO'!A131</f>
        <v>0130</v>
      </c>
      <c r="B131" s="168" t="str">
        <f>'030523 INVENTARIO'!T131</f>
        <v>82DL0515010003000649774</v>
      </c>
      <c r="C131" s="167" t="str">
        <f t="shared" si="0"/>
        <v>649774</v>
      </c>
      <c r="D131" s="167" t="str">
        <f>IF(VLOOKUP(C131,'Patrimonio 2023'!$C$2:$C$1128,1,FALSE) = C131, "Encontrado", "no")</f>
        <v>Encontrado</v>
      </c>
      <c r="E131" s="167" t="str">
        <f>VLOOKUP($A131,'030523 INVENTARIO'!$A$2:$Y$1148,5,FALSE)</f>
        <v>COMPUTADORA DE ESCRITORIO</v>
      </c>
      <c r="F131" s="167" t="str">
        <f>VLOOKUP($A131,'030523 INVENTARIO'!$A$2:$Y$1148,6,FALSE)</f>
        <v>COMPUTADORA DE ESCRITORIO</v>
      </c>
      <c r="G131" s="167" t="str">
        <f ca="1">VLOOKUP($A131,'030523 INVENTARIO'!$A$2:$Y$1148,8,FALSE)</f>
        <v>P05RM-0130</v>
      </c>
      <c r="H131" s="168" t="str">
        <f>VLOOKUP($A131,'030523 INVENTARIO'!$A$2:$Y$1148,17,FALSE)</f>
        <v>ACER</v>
      </c>
      <c r="I131" s="167" t="str">
        <f>VLOOKUP($A131,'030523 INVENTARIO'!$A$2:$Y$1148,18,FALSE)</f>
        <v>AX3390</v>
      </c>
      <c r="J131" s="168" t="str">
        <f>VLOOKUP($A131,'030523 INVENTARIO'!$A$2:$Y$1148,19,FALSE)</f>
        <v>DTSLRAL00124302890300</v>
      </c>
      <c r="K131" s="168" t="str">
        <f>VLOOKUP($A131,'030523 INVENTARIO'!$A$2:$Y$1148,20,FALSE)</f>
        <v>82DL0515010003000649774</v>
      </c>
      <c r="L131" s="167" t="str">
        <f>VLOOKUP($A131,'030523 INVENTARIO'!$A$2:$Y$1148,23,FALSE)</f>
        <v>ANTONIO CESAR REYES LOPEZ</v>
      </c>
    </row>
    <row r="132" spans="1:12" ht="12.75" hidden="1">
      <c r="A132" s="167" t="str">
        <f>'030523 INVENTARIO'!A132</f>
        <v>0131</v>
      </c>
      <c r="B132" s="168" t="str">
        <f>'030523 INVENTARIO'!T132</f>
        <v>82DL0515010013000649776</v>
      </c>
      <c r="C132" s="167" t="str">
        <f t="shared" si="0"/>
        <v>649776</v>
      </c>
      <c r="D132" s="167" t="str">
        <f>IF(VLOOKUP(C132,'Patrimonio 2023'!$C$2:$C$1128,1,FALSE) = C132, "Encontrado", "no")</f>
        <v>Encontrado</v>
      </c>
      <c r="E132" s="167" t="str">
        <f>VLOOKUP($A132,'030523 INVENTARIO'!$A$2:$Y$1148,5,FALSE)</f>
        <v>MONITOR</v>
      </c>
      <c r="F132" s="167" t="str">
        <f>VLOOKUP($A132,'030523 INVENTARIO'!$A$2:$Y$1148,6,FALSE)</f>
        <v>MONITOR 18.5"</v>
      </c>
      <c r="G132" s="167" t="str">
        <f ca="1">VLOOKUP($A132,'030523 INVENTARIO'!$A$2:$Y$1148,8,FALSE)</f>
        <v>P05RM-0131</v>
      </c>
      <c r="H132" s="168" t="str">
        <f>VLOOKUP($A132,'030523 INVENTARIO'!$A$2:$Y$1148,17,FALSE)</f>
        <v>ACER</v>
      </c>
      <c r="I132" s="167" t="str">
        <f>VLOOKUP($A132,'030523 INVENTARIO'!$A$2:$Y$1148,18,FALSE)</f>
        <v>G185HV</v>
      </c>
      <c r="J132" s="168" t="str">
        <f>VLOOKUP($A132,'030523 INVENTARIO'!$A$2:$Y$1148,19,FALSE)</f>
        <v>MMLNTAN001243049184208</v>
      </c>
      <c r="K132" s="168" t="str">
        <f>VLOOKUP($A132,'030523 INVENTARIO'!$A$2:$Y$1148,20,FALSE)</f>
        <v>82DL0515010013000649776</v>
      </c>
      <c r="L132" s="167" t="str">
        <f>VLOOKUP($A132,'030523 INVENTARIO'!$A$2:$Y$1148,23,FALSE)</f>
        <v>ANTONIO CESAR REYES LOPEZ</v>
      </c>
    </row>
    <row r="133" spans="1:12" ht="12.75" hidden="1">
      <c r="A133" s="167" t="str">
        <f>'030523 INVENTARIO'!A133</f>
        <v>0132</v>
      </c>
      <c r="B133" s="168" t="str">
        <f>'030523 INVENTARIO'!T133</f>
        <v>82DH0515010020000649441</v>
      </c>
      <c r="C133" s="167" t="str">
        <f t="shared" si="0"/>
        <v>649441</v>
      </c>
      <c r="D133" s="167" t="str">
        <f>IF(VLOOKUP(C133,'Patrimonio 2023'!$C$2:$C$1128,1,FALSE) = C133, "Encontrado", "no")</f>
        <v>Encontrado</v>
      </c>
      <c r="E133" s="167" t="str">
        <f>VLOOKUP($A133,'030523 INVENTARIO'!$A$2:$Y$1148,5,FALSE)</f>
        <v>REGULADOR DE VOLTAJE</v>
      </c>
      <c r="F133" s="168" t="str">
        <f>VLOOKUP($A133,'030523 INVENTARIO'!$A$2:$Y$1148,6,FALSE)</f>
        <v>REGULADOR NEGRO</v>
      </c>
      <c r="G133" s="167" t="str">
        <f ca="1">VLOOKUP($A133,'030523 INVENTARIO'!$A$2:$Y$1148,8,FALSE)</f>
        <v>P03CV-0132</v>
      </c>
      <c r="H133" s="168" t="str">
        <f>VLOOKUP($A133,'030523 INVENTARIO'!$A$2:$Y$1148,17,FALSE)</f>
        <v>KOBLENZ</v>
      </c>
      <c r="I133" s="167">
        <f>VLOOKUP($A133,'030523 INVENTARIO'!$A$2:$Y$1148,18,FALSE)</f>
        <v>1350</v>
      </c>
      <c r="J133" s="168" t="str">
        <f>VLOOKUP($A133,'030523 INVENTARIO'!$A$2:$Y$1148,19,FALSE)</f>
        <v>161139011</v>
      </c>
      <c r="K133" s="168" t="str">
        <f>VLOOKUP($A133,'030523 INVENTARIO'!$A$2:$Y$1148,20,FALSE)</f>
        <v>82DH0515010020000649441</v>
      </c>
      <c r="L133" s="167" t="str">
        <f>VLOOKUP($A133,'030523 INVENTARIO'!$A$2:$Y$1148,23,FALSE)</f>
        <v>VICTOR HUGO HERNANDEZ PALACIOS</v>
      </c>
    </row>
    <row r="134" spans="1:12" ht="12.75" hidden="1">
      <c r="A134" s="167" t="str">
        <f>'030523 INVENTARIO'!A134</f>
        <v>0133</v>
      </c>
      <c r="B134" s="168" t="str">
        <f>'030523 INVENTARIO'!T134</f>
        <v>82DK0511010020000651093</v>
      </c>
      <c r="C134" s="167" t="str">
        <f t="shared" si="0"/>
        <v>651093</v>
      </c>
      <c r="D134" s="167" t="str">
        <f>IF(VLOOKUP(C134,'Patrimonio 2023'!$C$2:$C$1128,1,FALSE) = C134, "Encontrado", "no")</f>
        <v>Encontrado</v>
      </c>
      <c r="E134" s="167" t="str">
        <f>VLOOKUP($A134,'030523 INVENTARIO'!$A$2:$Y$1148,5,FALSE)</f>
        <v>ESTANTE O ANAQUEL</v>
      </c>
      <c r="F134" s="167" t="str">
        <f>VLOOKUP($A134,'030523 INVENTARIO'!$A$2:$Y$1148,6,FALSE)</f>
        <v>ESTANTE DE METAL CON 5 CHAROLAS</v>
      </c>
      <c r="G134" s="167" t="str">
        <f ca="1">VLOOKUP($A134,'030523 INVENTARIO'!$A$2:$Y$1148,8,FALSE)</f>
        <v>P05DA-0133</v>
      </c>
      <c r="H134" s="168" t="str">
        <f>VLOOKUP($A134,'030523 INVENTARIO'!$A$2:$Y$1148,17,FALSE)</f>
        <v>S/M</v>
      </c>
      <c r="I134" s="167" t="str">
        <f>VLOOKUP($A134,'030523 INVENTARIO'!$A$2:$Y$1148,18,FALSE)</f>
        <v>S/M</v>
      </c>
      <c r="J134" s="168" t="str">
        <f>VLOOKUP($A134,'030523 INVENTARIO'!$A$2:$Y$1148,19,FALSE)</f>
        <v>SIN SERIE</v>
      </c>
      <c r="K134" s="168" t="str">
        <f>VLOOKUP($A134,'030523 INVENTARIO'!$A$2:$Y$1148,20,FALSE)</f>
        <v>82DK0511010020000651093</v>
      </c>
      <c r="L134" s="167" t="str">
        <f>VLOOKUP($A134,'030523 INVENTARIO'!$A$2:$Y$1148,23,FALSE)</f>
        <v>HUMBERTO HERNANDEZ OLIVO</v>
      </c>
    </row>
    <row r="135" spans="1:12" ht="12.75" hidden="1">
      <c r="A135" s="167" t="str">
        <f>'030523 INVENTARIO'!A135</f>
        <v>0134</v>
      </c>
      <c r="B135" s="168" t="str">
        <f>'030523 INVENTARIO'!T135</f>
        <v>82DK0511010020000651095</v>
      </c>
      <c r="C135" s="167" t="str">
        <f t="shared" si="0"/>
        <v>651095</v>
      </c>
      <c r="D135" s="167" t="str">
        <f>IF(VLOOKUP(C135,'Patrimonio 2023'!$C$2:$C$1128,1,FALSE) = C135, "Encontrado", "no")</f>
        <v>Encontrado</v>
      </c>
      <c r="E135" s="167" t="str">
        <f>VLOOKUP($A135,'030523 INVENTARIO'!$A$2:$Y$1148,5,FALSE)</f>
        <v>ESTANTE O ANAQUEL</v>
      </c>
      <c r="F135" s="167" t="str">
        <f>VLOOKUP($A135,'030523 INVENTARIO'!$A$2:$Y$1148,6,FALSE)</f>
        <v>ESTANTE DE METAL CON 5 CHAROLAS</v>
      </c>
      <c r="G135" s="167" t="str">
        <f ca="1">VLOOKUP($A135,'030523 INVENTARIO'!$A$2:$Y$1148,8,FALSE)</f>
        <v>P05DA-0134</v>
      </c>
      <c r="H135" s="168" t="str">
        <f>VLOOKUP($A135,'030523 INVENTARIO'!$A$2:$Y$1148,17,FALSE)</f>
        <v>S/M</v>
      </c>
      <c r="I135" s="167" t="str">
        <f>VLOOKUP($A135,'030523 INVENTARIO'!$A$2:$Y$1148,18,FALSE)</f>
        <v>S/M</v>
      </c>
      <c r="J135" s="168" t="str">
        <f>VLOOKUP($A135,'030523 INVENTARIO'!$A$2:$Y$1148,19,FALSE)</f>
        <v>SIN SERIE</v>
      </c>
      <c r="K135" s="168" t="str">
        <f>VLOOKUP($A135,'030523 INVENTARIO'!$A$2:$Y$1148,20,FALSE)</f>
        <v>82DK0511010020000651095</v>
      </c>
      <c r="L135" s="167" t="str">
        <f>VLOOKUP($A135,'030523 INVENTARIO'!$A$2:$Y$1148,23,FALSE)</f>
        <v>HUMBERTO HERNANDEZ OLIVO</v>
      </c>
    </row>
    <row r="136" spans="1:12" ht="12.75" hidden="1">
      <c r="A136" s="167" t="str">
        <f>'030523 INVENTARIO'!A136</f>
        <v>0135</v>
      </c>
      <c r="B136" s="168" t="str">
        <f>'030523 INVENTARIO'!T136</f>
        <v>82DK0511010020000048005</v>
      </c>
      <c r="C136" s="167" t="str">
        <f t="shared" si="0"/>
        <v>048005</v>
      </c>
      <c r="D136" s="167" t="str">
        <f>IF(VLOOKUP(C136,'Patrimonio 2023'!$C$2:$C$1128,1,FALSE) = C136, "Encontrado", "no")</f>
        <v>Encontrado</v>
      </c>
      <c r="E136" s="167" t="str">
        <f>VLOOKUP($A136,'030523 INVENTARIO'!$A$2:$Y$1148,5,FALSE)</f>
        <v>ESTANTE O ANAQUEL</v>
      </c>
      <c r="F136" s="167" t="str">
        <f>VLOOKUP($A136,'030523 INVENTARIO'!$A$2:$Y$1148,6,FALSE)</f>
        <v>ESTANTE DE METAL  CON 7 CHAROLAS</v>
      </c>
      <c r="G136" s="167" t="str">
        <f ca="1">VLOOKUP($A136,'030523 INVENTARIO'!$A$2:$Y$1148,8,FALSE)</f>
        <v>P05DA-0135</v>
      </c>
      <c r="H136" s="168" t="str">
        <f>VLOOKUP($A136,'030523 INVENTARIO'!$A$2:$Y$1148,17,FALSE)</f>
        <v>S/M</v>
      </c>
      <c r="I136" s="167" t="str">
        <f>VLOOKUP($A136,'030523 INVENTARIO'!$A$2:$Y$1148,18,FALSE)</f>
        <v>S/M</v>
      </c>
      <c r="J136" s="168" t="str">
        <f>VLOOKUP($A136,'030523 INVENTARIO'!$A$2:$Y$1148,19,FALSE)</f>
        <v>SIN SERIE</v>
      </c>
      <c r="K136" s="168" t="str">
        <f>VLOOKUP($A136,'030523 INVENTARIO'!$A$2:$Y$1148,20,FALSE)</f>
        <v>82DK0511010020000048005</v>
      </c>
      <c r="L136" s="167" t="str">
        <f>VLOOKUP($A136,'030523 INVENTARIO'!$A$2:$Y$1148,23,FALSE)</f>
        <v>HUMBERTO HERNANDEZ OLIVO</v>
      </c>
    </row>
    <row r="137" spans="1:12" ht="12.75" hidden="1">
      <c r="A137" s="167" t="str">
        <f>'030523 INVENTARIO'!A137</f>
        <v>0136</v>
      </c>
      <c r="B137" s="168" t="str">
        <f>'030523 INVENTARIO'!T137</f>
        <v>82DK0511010020000651097</v>
      </c>
      <c r="C137" s="167" t="str">
        <f t="shared" si="0"/>
        <v>651097</v>
      </c>
      <c r="D137" s="167" t="str">
        <f>IF(VLOOKUP(C137,'Patrimonio 2023'!$C$2:$C$1128,1,FALSE) = C137, "Encontrado", "no")</f>
        <v>Encontrado</v>
      </c>
      <c r="E137" s="167" t="str">
        <f>VLOOKUP($A137,'030523 INVENTARIO'!$A$2:$Y$1148,5,FALSE)</f>
        <v>ESTANTE O ANAQUEL</v>
      </c>
      <c r="F137" s="167" t="str">
        <f>VLOOKUP($A137,'030523 INVENTARIO'!$A$2:$Y$1148,6,FALSE)</f>
        <v>ESTANTE DE METAL CON 5 CHAROLAS</v>
      </c>
      <c r="G137" s="167" t="str">
        <f ca="1">VLOOKUP($A137,'030523 INVENTARIO'!$A$2:$Y$1148,8,FALSE)</f>
        <v>P05DA-0136</v>
      </c>
      <c r="H137" s="168" t="str">
        <f>VLOOKUP($A137,'030523 INVENTARIO'!$A$2:$Y$1148,17,FALSE)</f>
        <v>S/M</v>
      </c>
      <c r="I137" s="167" t="str">
        <f>VLOOKUP($A137,'030523 INVENTARIO'!$A$2:$Y$1148,18,FALSE)</f>
        <v>S/M</v>
      </c>
      <c r="J137" s="168" t="str">
        <f>VLOOKUP($A137,'030523 INVENTARIO'!$A$2:$Y$1148,19,FALSE)</f>
        <v>SIN SERIE</v>
      </c>
      <c r="K137" s="168" t="str">
        <f>VLOOKUP($A137,'030523 INVENTARIO'!$A$2:$Y$1148,20,FALSE)</f>
        <v>82DK0511010020000651097</v>
      </c>
      <c r="L137" s="167" t="str">
        <f>VLOOKUP($A137,'030523 INVENTARIO'!$A$2:$Y$1148,23,FALSE)</f>
        <v>HUMBERTO HERNANDEZ OLIVO</v>
      </c>
    </row>
    <row r="138" spans="1:12" ht="12.75" hidden="1">
      <c r="A138" s="167" t="str">
        <f>'030523 INVENTARIO'!A138</f>
        <v>0137</v>
      </c>
      <c r="B138" s="168" t="str">
        <f>'030523 INVENTARIO'!T138</f>
        <v>82DK0511010020000651094</v>
      </c>
      <c r="C138" s="167" t="str">
        <f t="shared" si="0"/>
        <v>651094</v>
      </c>
      <c r="D138" s="167" t="str">
        <f>IF(VLOOKUP(C138,'Patrimonio 2023'!$C$2:$C$1128,1,FALSE) = C138, "Encontrado", "no")</f>
        <v>Encontrado</v>
      </c>
      <c r="E138" s="167" t="str">
        <f>VLOOKUP($A138,'030523 INVENTARIO'!$A$2:$Y$1148,5,FALSE)</f>
        <v>ESTANTE O ANAQUEL</v>
      </c>
      <c r="F138" s="167" t="str">
        <f>VLOOKUP($A138,'030523 INVENTARIO'!$A$2:$Y$1148,6,FALSE)</f>
        <v>ESTANTE DE METAL CON 5 CHAROLAS</v>
      </c>
      <c r="G138" s="167" t="str">
        <f ca="1">VLOOKUP($A138,'030523 INVENTARIO'!$A$2:$Y$1148,8,FALSE)</f>
        <v>P05DA-0137</v>
      </c>
      <c r="H138" s="168" t="str">
        <f>VLOOKUP($A138,'030523 INVENTARIO'!$A$2:$Y$1148,17,FALSE)</f>
        <v>S/M</v>
      </c>
      <c r="I138" s="167" t="str">
        <f>VLOOKUP($A138,'030523 INVENTARIO'!$A$2:$Y$1148,18,FALSE)</f>
        <v>S/M</v>
      </c>
      <c r="J138" s="168" t="str">
        <f>VLOOKUP($A138,'030523 INVENTARIO'!$A$2:$Y$1148,19,FALSE)</f>
        <v>SIN SERIE</v>
      </c>
      <c r="K138" s="168" t="str">
        <f>VLOOKUP($A138,'030523 INVENTARIO'!$A$2:$Y$1148,20,FALSE)</f>
        <v>82DK0511010020000651094</v>
      </c>
      <c r="L138" s="167" t="str">
        <f>VLOOKUP($A138,'030523 INVENTARIO'!$A$2:$Y$1148,23,FALSE)</f>
        <v>HUMBERTO HERNANDEZ OLIVO</v>
      </c>
    </row>
    <row r="139" spans="1:12" ht="12.75" hidden="1">
      <c r="A139" s="167" t="str">
        <f>'030523 INVENTARIO'!A139</f>
        <v>0138</v>
      </c>
      <c r="B139" s="168" t="str">
        <f>'030523 INVENTARIO'!T139</f>
        <v>82DK0511010020000651092</v>
      </c>
      <c r="C139" s="167" t="str">
        <f t="shared" si="0"/>
        <v>651092</v>
      </c>
      <c r="D139" s="167" t="str">
        <f>IF(VLOOKUP(C139,'Patrimonio 2023'!$C$2:$C$1128,1,FALSE) = C139, "Encontrado", "no")</f>
        <v>Encontrado</v>
      </c>
      <c r="E139" s="167" t="str">
        <f>VLOOKUP($A139,'030523 INVENTARIO'!$A$2:$Y$1148,5,FALSE)</f>
        <v>ESTANTE O ANAQUEL</v>
      </c>
      <c r="F139" s="167" t="str">
        <f>VLOOKUP($A139,'030523 INVENTARIO'!$A$2:$Y$1148,6,FALSE)</f>
        <v>ESTANTE DE METAL CON 5 CHAROLAS</v>
      </c>
      <c r="G139" s="167" t="str">
        <f ca="1">VLOOKUP($A139,'030523 INVENTARIO'!$A$2:$Y$1148,8,FALSE)</f>
        <v>P05DA-0138</v>
      </c>
      <c r="H139" s="168" t="str">
        <f>VLOOKUP($A139,'030523 INVENTARIO'!$A$2:$Y$1148,17,FALSE)</f>
        <v>S/M</v>
      </c>
      <c r="I139" s="167" t="str">
        <f>VLOOKUP($A139,'030523 INVENTARIO'!$A$2:$Y$1148,18,FALSE)</f>
        <v>S/M</v>
      </c>
      <c r="J139" s="168" t="str">
        <f>VLOOKUP($A139,'030523 INVENTARIO'!$A$2:$Y$1148,19,FALSE)</f>
        <v>SIN SERIE</v>
      </c>
      <c r="K139" s="168" t="str">
        <f>VLOOKUP($A139,'030523 INVENTARIO'!$A$2:$Y$1148,20,FALSE)</f>
        <v>82DK0511010020000651092</v>
      </c>
      <c r="L139" s="167" t="str">
        <f>VLOOKUP($A139,'030523 INVENTARIO'!$A$2:$Y$1148,23,FALSE)</f>
        <v>HUMBERTO HERNANDEZ OLIVO</v>
      </c>
    </row>
    <row r="140" spans="1:12" ht="12.75" hidden="1">
      <c r="A140" s="167" t="str">
        <f>'030523 INVENTARIO'!A140</f>
        <v>0139</v>
      </c>
      <c r="B140" s="168" t="str">
        <f>'030523 INVENTARIO'!T140</f>
        <v>82DK0511010020000651096</v>
      </c>
      <c r="C140" s="167" t="str">
        <f t="shared" si="0"/>
        <v>651096</v>
      </c>
      <c r="D140" s="167" t="str">
        <f>IF(VLOOKUP(C140,'Patrimonio 2023'!$C$2:$C$1128,1,FALSE) = C140, "Encontrado", "no")</f>
        <v>Encontrado</v>
      </c>
      <c r="E140" s="167" t="str">
        <f>VLOOKUP($A140,'030523 INVENTARIO'!$A$2:$Y$1148,5,FALSE)</f>
        <v>ESTANTE O ANAQUEL</v>
      </c>
      <c r="F140" s="167" t="str">
        <f>VLOOKUP($A140,'030523 INVENTARIO'!$A$2:$Y$1148,6,FALSE)</f>
        <v>ESTANTE DE METAL CON 5 CHAROLAS</v>
      </c>
      <c r="G140" s="167" t="str">
        <f ca="1">VLOOKUP($A140,'030523 INVENTARIO'!$A$2:$Y$1148,8,FALSE)</f>
        <v>P05DA-0139</v>
      </c>
      <c r="H140" s="168" t="str">
        <f>VLOOKUP($A140,'030523 INVENTARIO'!$A$2:$Y$1148,17,FALSE)</f>
        <v>S/M</v>
      </c>
      <c r="I140" s="167" t="str">
        <f>VLOOKUP($A140,'030523 INVENTARIO'!$A$2:$Y$1148,18,FALSE)</f>
        <v>S/M</v>
      </c>
      <c r="J140" s="168" t="str">
        <f>VLOOKUP($A140,'030523 INVENTARIO'!$A$2:$Y$1148,19,FALSE)</f>
        <v>SIN SERIE</v>
      </c>
      <c r="K140" s="168" t="str">
        <f>VLOOKUP($A140,'030523 INVENTARIO'!$A$2:$Y$1148,20,FALSE)</f>
        <v>82DK0511010020000651096</v>
      </c>
      <c r="L140" s="167" t="str">
        <f>VLOOKUP($A140,'030523 INVENTARIO'!$A$2:$Y$1148,23,FALSE)</f>
        <v>HUMBERTO HERNANDEZ OLIVO</v>
      </c>
    </row>
    <row r="141" spans="1:12" ht="12.75" hidden="1">
      <c r="A141" s="167" t="str">
        <f>'030523 INVENTARIO'!A141</f>
        <v>0140</v>
      </c>
      <c r="B141" s="167" t="str">
        <f>'030523 INVENTARIO'!T141</f>
        <v>82DH0511010020000048004</v>
      </c>
      <c r="C141" s="167" t="str">
        <f t="shared" si="0"/>
        <v>048004</v>
      </c>
      <c r="D141" s="167" t="str">
        <f>IF(VLOOKUP(C141,'Patrimonio 2023'!$C$2:$C$1128,1,FALSE) = C141, "Encontrado", "no")</f>
        <v>Encontrado</v>
      </c>
      <c r="E141" s="167" t="str">
        <f>VLOOKUP($A141,'030523 INVENTARIO'!$A$2:$Y$1148,5,FALSE)</f>
        <v>ESTANTE O ANAQUEL</v>
      </c>
      <c r="F141" s="167" t="str">
        <f>VLOOKUP($A141,'030523 INVENTARIO'!$A$2:$Y$1148,6,FALSE)</f>
        <v>ESTANTE DE METAL CON 7 CHAROLAS</v>
      </c>
      <c r="G141" s="167" t="str">
        <f ca="1">VLOOKUP($A141,'030523 INVENTARIO'!$A$2:$Y$1148,8,FALSE)</f>
        <v>P05DA-0140</v>
      </c>
      <c r="H141" s="168" t="str">
        <f>VLOOKUP($A141,'030523 INVENTARIO'!$A$2:$Y$1148,17,FALSE)</f>
        <v>S/M</v>
      </c>
      <c r="I141" s="167" t="str">
        <f>VLOOKUP($A141,'030523 INVENTARIO'!$A$2:$Y$1148,18,FALSE)</f>
        <v>S/M</v>
      </c>
      <c r="J141" s="167" t="str">
        <f>VLOOKUP($A141,'030523 INVENTARIO'!$A$2:$Y$1148,19,FALSE)</f>
        <v>SIN SERIE</v>
      </c>
      <c r="K141" s="167" t="str">
        <f>VLOOKUP($A141,'030523 INVENTARIO'!$A$2:$Y$1148,20,FALSE)</f>
        <v>82DH0511010020000048004</v>
      </c>
      <c r="L141" s="167" t="str">
        <f>VLOOKUP($A141,'030523 INVENTARIO'!$A$2:$Y$1148,23,FALSE)</f>
        <v>HUMBERTO HERNANDEZ OLIVO</v>
      </c>
    </row>
    <row r="142" spans="1:12" ht="12.75" hidden="1">
      <c r="A142" s="167" t="str">
        <f>'030523 INVENTARIO'!A142</f>
        <v>0141</v>
      </c>
      <c r="B142" s="167" t="str">
        <f>'030523 INVENTARIO'!T142</f>
        <v>82DH0511010020000048003</v>
      </c>
      <c r="C142" s="167" t="str">
        <f t="shared" si="0"/>
        <v>048003</v>
      </c>
      <c r="D142" s="167" t="str">
        <f>IF(VLOOKUP(C142,'Patrimonio 2023'!$C$2:$C$1128,1,FALSE) = C142, "Encontrado", "no")</f>
        <v>Encontrado</v>
      </c>
      <c r="E142" s="167" t="str">
        <f>VLOOKUP($A142,'030523 INVENTARIO'!$A$2:$Y$1148,5,FALSE)</f>
        <v>ESTANTE O ANAQUEL</v>
      </c>
      <c r="F142" s="167" t="str">
        <f>VLOOKUP($A142,'030523 INVENTARIO'!$A$2:$Y$1148,6,FALSE)</f>
        <v>ESTANTE DE METAL CON 7 CHAROLAS</v>
      </c>
      <c r="G142" s="167" t="str">
        <f ca="1">VLOOKUP($A142,'030523 INVENTARIO'!$A$2:$Y$1148,8,FALSE)</f>
        <v>P05DA-0141</v>
      </c>
      <c r="H142" s="168" t="str">
        <f>VLOOKUP($A142,'030523 INVENTARIO'!$A$2:$Y$1148,17,FALSE)</f>
        <v>S/M</v>
      </c>
      <c r="I142" s="167" t="str">
        <f>VLOOKUP($A142,'030523 INVENTARIO'!$A$2:$Y$1148,18,FALSE)</f>
        <v>S/M</v>
      </c>
      <c r="J142" s="167" t="str">
        <f>VLOOKUP($A142,'030523 INVENTARIO'!$A$2:$Y$1148,19,FALSE)</f>
        <v>SIN SERIE</v>
      </c>
      <c r="K142" s="167" t="str">
        <f>VLOOKUP($A142,'030523 INVENTARIO'!$A$2:$Y$1148,20,FALSE)</f>
        <v>82DH0511010020000048003</v>
      </c>
      <c r="L142" s="167" t="str">
        <f>VLOOKUP($A142,'030523 INVENTARIO'!$A$2:$Y$1148,23,FALSE)</f>
        <v>HUMBERTO HERNANDEZ OLIVO</v>
      </c>
    </row>
    <row r="143" spans="1:12" ht="12.75" hidden="1">
      <c r="A143" s="167" t="str">
        <f>'030523 INVENTARIO'!A143</f>
        <v>0142</v>
      </c>
      <c r="B143" s="167" t="str">
        <f>'030523 INVENTARIO'!T143</f>
        <v>82DK0511010020000651091</v>
      </c>
      <c r="C143" s="167" t="str">
        <f t="shared" si="0"/>
        <v>651091</v>
      </c>
      <c r="D143" s="167" t="str">
        <f>IF(VLOOKUP(C143,'Patrimonio 2023'!$C$2:$C$1128,1,FALSE) = C143, "Encontrado", "no")</f>
        <v>Encontrado</v>
      </c>
      <c r="E143" s="167" t="str">
        <f>VLOOKUP($A143,'030523 INVENTARIO'!$A$2:$Y$1148,5,FALSE)</f>
        <v>ESTANTE O ANAQUEL</v>
      </c>
      <c r="F143" s="167" t="str">
        <f>VLOOKUP($A143,'030523 INVENTARIO'!$A$2:$Y$1148,6,FALSE)</f>
        <v>ESTANTE DE METAL CON 7 CHAROLAS</v>
      </c>
      <c r="G143" s="167" t="str">
        <f ca="1">VLOOKUP($A143,'030523 INVENTARIO'!$A$2:$Y$1148,8,FALSE)</f>
        <v>P05DA-0142</v>
      </c>
      <c r="H143" s="168" t="str">
        <f>VLOOKUP($A143,'030523 INVENTARIO'!$A$2:$Y$1148,17,FALSE)</f>
        <v>S/M</v>
      </c>
      <c r="I143" s="167" t="str">
        <f>VLOOKUP($A143,'030523 INVENTARIO'!$A$2:$Y$1148,18,FALSE)</f>
        <v>S/M</v>
      </c>
      <c r="J143" s="167" t="str">
        <f>VLOOKUP($A143,'030523 INVENTARIO'!$A$2:$Y$1148,19,FALSE)</f>
        <v>SIN SERIE</v>
      </c>
      <c r="K143" s="167" t="str">
        <f>VLOOKUP($A143,'030523 INVENTARIO'!$A$2:$Y$1148,20,FALSE)</f>
        <v>82DK0511010020000651091</v>
      </c>
      <c r="L143" s="167" t="str">
        <f>VLOOKUP($A143,'030523 INVENTARIO'!$A$2:$Y$1148,23,FALSE)</f>
        <v>HUMBERTO HERNANDEZ OLIVO</v>
      </c>
    </row>
    <row r="144" spans="1:12" ht="12.75" hidden="1">
      <c r="A144" s="167" t="str">
        <f>'030523 INVENTARIO'!A144</f>
        <v>0143</v>
      </c>
      <c r="B144" s="167" t="str">
        <f>'030523 INVENTARIO'!T144</f>
        <v>82DK0511010020000649468</v>
      </c>
      <c r="C144" s="167" t="str">
        <f t="shared" si="0"/>
        <v>649468</v>
      </c>
      <c r="D144" s="167" t="str">
        <f>IF(VLOOKUP(C144,'Patrimonio 2023'!$C$2:$C$1128,1,FALSE) = C144, "Encontrado", "no")</f>
        <v>Encontrado</v>
      </c>
      <c r="E144" s="167" t="str">
        <f>VLOOKUP($A144,'030523 INVENTARIO'!$A$2:$Y$1148,5,FALSE)</f>
        <v>ESTANTE O ANAQUEL</v>
      </c>
      <c r="F144" s="167" t="str">
        <f>VLOOKUP($A144,'030523 INVENTARIO'!$A$2:$Y$1148,6,FALSE)</f>
        <v>ESTANTE DE METAL CON 7 CHAROLAS</v>
      </c>
      <c r="G144" s="167" t="str">
        <f ca="1">VLOOKUP($A144,'030523 INVENTARIO'!$A$2:$Y$1148,8,FALSE)</f>
        <v>P05DA-0143</v>
      </c>
      <c r="H144" s="168" t="str">
        <f>VLOOKUP($A144,'030523 INVENTARIO'!$A$2:$Y$1148,17,FALSE)</f>
        <v>S/M</v>
      </c>
      <c r="I144" s="167" t="str">
        <f>VLOOKUP($A144,'030523 INVENTARIO'!$A$2:$Y$1148,18,FALSE)</f>
        <v>S/M</v>
      </c>
      <c r="J144" s="167" t="str">
        <f>VLOOKUP($A144,'030523 INVENTARIO'!$A$2:$Y$1148,19,FALSE)</f>
        <v>SIN SERIE</v>
      </c>
      <c r="K144" s="167" t="str">
        <f>VLOOKUP($A144,'030523 INVENTARIO'!$A$2:$Y$1148,20,FALSE)</f>
        <v>82DK0511010020000649468</v>
      </c>
      <c r="L144" s="167" t="str">
        <f>VLOOKUP($A144,'030523 INVENTARIO'!$A$2:$Y$1148,23,FALSE)</f>
        <v>HUMBERTO HERNANDEZ OLIVO</v>
      </c>
    </row>
    <row r="145" spans="1:12" ht="12.75" hidden="1">
      <c r="A145" s="167" t="str">
        <f>'030523 INVENTARIO'!A145</f>
        <v>0144</v>
      </c>
      <c r="B145" s="167" t="str">
        <f>'030523 INVENTARIO'!T145</f>
        <v>82DK0511010020000649471</v>
      </c>
      <c r="C145" s="167" t="str">
        <f t="shared" si="0"/>
        <v>649471</v>
      </c>
      <c r="D145" s="167" t="str">
        <f>IF(VLOOKUP(C145,'Patrimonio 2023'!$C$2:$C$1128,1,FALSE) = C145, "Encontrado", "no")</f>
        <v>Encontrado</v>
      </c>
      <c r="E145" s="167" t="str">
        <f>VLOOKUP($A145,'030523 INVENTARIO'!$A$2:$Y$1148,5,FALSE)</f>
        <v>ESTANTE O ANAQUEL</v>
      </c>
      <c r="F145" s="167" t="str">
        <f>VLOOKUP($A145,'030523 INVENTARIO'!$A$2:$Y$1148,6,FALSE)</f>
        <v>ESTANTE DE METAL CON 7 CHAROLAS</v>
      </c>
      <c r="G145" s="167" t="str">
        <f ca="1">VLOOKUP($A145,'030523 INVENTARIO'!$A$2:$Y$1148,8,FALSE)</f>
        <v>P05DA-0144</v>
      </c>
      <c r="H145" s="168" t="str">
        <f>VLOOKUP($A145,'030523 INVENTARIO'!$A$2:$Y$1148,17,FALSE)</f>
        <v>S/M</v>
      </c>
      <c r="I145" s="167" t="str">
        <f>VLOOKUP($A145,'030523 INVENTARIO'!$A$2:$Y$1148,18,FALSE)</f>
        <v>S/M</v>
      </c>
      <c r="J145" s="167" t="str">
        <f>VLOOKUP($A145,'030523 INVENTARIO'!$A$2:$Y$1148,19,FALSE)</f>
        <v>SIN SERIE</v>
      </c>
      <c r="K145" s="167" t="str">
        <f>VLOOKUP($A145,'030523 INVENTARIO'!$A$2:$Y$1148,20,FALSE)</f>
        <v>82DK0511010020000649471</v>
      </c>
      <c r="L145" s="167" t="str">
        <f>VLOOKUP($A145,'030523 INVENTARIO'!$A$2:$Y$1148,23,FALSE)</f>
        <v>HUMBERTO HERNANDEZ OLIVO</v>
      </c>
    </row>
    <row r="146" spans="1:12" ht="12.75" hidden="1">
      <c r="A146" s="167" t="str">
        <f>'030523 INVENTARIO'!A146</f>
        <v>0145</v>
      </c>
      <c r="B146" s="167" t="str">
        <f>'030523 INVENTARIO'!T146</f>
        <v>82DK0511010020000649472</v>
      </c>
      <c r="C146" s="167" t="str">
        <f t="shared" si="0"/>
        <v>649472</v>
      </c>
      <c r="D146" s="167" t="str">
        <f>IF(VLOOKUP(C146,'Patrimonio 2023'!$C$2:$C$1128,1,FALSE) = C146, "Encontrado", "no")</f>
        <v>Encontrado</v>
      </c>
      <c r="E146" s="167" t="str">
        <f>VLOOKUP($A146,'030523 INVENTARIO'!$A$2:$Y$1148,5,FALSE)</f>
        <v>ESTANTE O ANAQUEL</v>
      </c>
      <c r="F146" s="167" t="str">
        <f>VLOOKUP($A146,'030523 INVENTARIO'!$A$2:$Y$1148,6,FALSE)</f>
        <v>ESTANTE DE METAL CON 7 CHAROLAS</v>
      </c>
      <c r="G146" s="167" t="str">
        <f ca="1">VLOOKUP($A146,'030523 INVENTARIO'!$A$2:$Y$1148,8,FALSE)</f>
        <v>P05DA-0145</v>
      </c>
      <c r="H146" s="168" t="str">
        <f>VLOOKUP($A146,'030523 INVENTARIO'!$A$2:$Y$1148,17,FALSE)</f>
        <v>S/M</v>
      </c>
      <c r="I146" s="167" t="str">
        <f>VLOOKUP($A146,'030523 INVENTARIO'!$A$2:$Y$1148,18,FALSE)</f>
        <v>S/M</v>
      </c>
      <c r="J146" s="167" t="str">
        <f>VLOOKUP($A146,'030523 INVENTARIO'!$A$2:$Y$1148,19,FALSE)</f>
        <v>SIN SERIE</v>
      </c>
      <c r="K146" s="167" t="str">
        <f>VLOOKUP($A146,'030523 INVENTARIO'!$A$2:$Y$1148,20,FALSE)</f>
        <v>82DK0511010020000649472</v>
      </c>
      <c r="L146" s="167" t="str">
        <f>VLOOKUP($A146,'030523 INVENTARIO'!$A$2:$Y$1148,23,FALSE)</f>
        <v>HUMBERTO HERNANDEZ OLIVO</v>
      </c>
    </row>
    <row r="147" spans="1:12" ht="12.75" hidden="1">
      <c r="A147" s="167" t="str">
        <f>'030523 INVENTARIO'!A147</f>
        <v>0146</v>
      </c>
      <c r="B147" s="167" t="str">
        <f>'030523 INVENTARIO'!T147</f>
        <v>82DK0511010020000649478</v>
      </c>
      <c r="C147" s="167" t="str">
        <f t="shared" si="0"/>
        <v>649478</v>
      </c>
      <c r="D147" s="167" t="str">
        <f>IF(VLOOKUP(C147,'Patrimonio 2023'!$C$2:$C$1128,1,FALSE) = C147, "Encontrado", "no")</f>
        <v>Encontrado</v>
      </c>
      <c r="E147" s="167" t="str">
        <f>VLOOKUP($A147,'030523 INVENTARIO'!$A$2:$Y$1148,5,FALSE)</f>
        <v>ESTANTE O ANAQUEL</v>
      </c>
      <c r="F147" s="167" t="str">
        <f>VLOOKUP($A147,'030523 INVENTARIO'!$A$2:$Y$1148,6,FALSE)</f>
        <v>ESTANTE DE METAL CON 7 CHAROLAS</v>
      </c>
      <c r="G147" s="167" t="str">
        <f ca="1">VLOOKUP($A147,'030523 INVENTARIO'!$A$2:$Y$1148,8,FALSE)</f>
        <v>P05DA-0146</v>
      </c>
      <c r="H147" s="168" t="str">
        <f>VLOOKUP($A147,'030523 INVENTARIO'!$A$2:$Y$1148,17,FALSE)</f>
        <v>S/M</v>
      </c>
      <c r="I147" s="167" t="str">
        <f>VLOOKUP($A147,'030523 INVENTARIO'!$A$2:$Y$1148,18,FALSE)</f>
        <v>S/M</v>
      </c>
      <c r="J147" s="167" t="str">
        <f>VLOOKUP($A147,'030523 INVENTARIO'!$A$2:$Y$1148,19,FALSE)</f>
        <v>SIN SERIE</v>
      </c>
      <c r="K147" s="167" t="str">
        <f>VLOOKUP($A147,'030523 INVENTARIO'!$A$2:$Y$1148,20,FALSE)</f>
        <v>82DK0511010020000649478</v>
      </c>
      <c r="L147" s="167" t="str">
        <f>VLOOKUP($A147,'030523 INVENTARIO'!$A$2:$Y$1148,23,FALSE)</f>
        <v>HUMBERTO HERNANDEZ OLIVO</v>
      </c>
    </row>
    <row r="148" spans="1:12" ht="12.75" hidden="1">
      <c r="A148" s="167" t="str">
        <f>'030523 INVENTARIO'!A148</f>
        <v>0147</v>
      </c>
      <c r="B148" s="167" t="str">
        <f>'030523 INVENTARIO'!T148</f>
        <v>82DK0511010020000649462</v>
      </c>
      <c r="C148" s="167" t="str">
        <f t="shared" si="0"/>
        <v>649462</v>
      </c>
      <c r="D148" s="167" t="str">
        <f>IF(VLOOKUP(C148,'Patrimonio 2023'!$C$2:$C$1128,1,FALSE) = C148, "Encontrado", "no")</f>
        <v>Encontrado</v>
      </c>
      <c r="E148" s="167" t="str">
        <f>VLOOKUP($A148,'030523 INVENTARIO'!$A$2:$Y$1148,5,FALSE)</f>
        <v>ESTANTE O ANAQUEL</v>
      </c>
      <c r="F148" s="167" t="str">
        <f>VLOOKUP($A148,'030523 INVENTARIO'!$A$2:$Y$1148,6,FALSE)</f>
        <v>ESTANTE DE METAL CON 7 CHAROLAS</v>
      </c>
      <c r="G148" s="167" t="str">
        <f ca="1">VLOOKUP($A148,'030523 INVENTARIO'!$A$2:$Y$1148,8,FALSE)</f>
        <v>P05DA-0147</v>
      </c>
      <c r="H148" s="168" t="str">
        <f>VLOOKUP($A148,'030523 INVENTARIO'!$A$2:$Y$1148,17,FALSE)</f>
        <v>S/M</v>
      </c>
      <c r="I148" s="167" t="str">
        <f>VLOOKUP($A148,'030523 INVENTARIO'!$A$2:$Y$1148,18,FALSE)</f>
        <v>S/M</v>
      </c>
      <c r="J148" s="167" t="str">
        <f>VLOOKUP($A148,'030523 INVENTARIO'!$A$2:$Y$1148,19,FALSE)</f>
        <v>SIN SERIE</v>
      </c>
      <c r="K148" s="167" t="str">
        <f>VLOOKUP($A148,'030523 INVENTARIO'!$A$2:$Y$1148,20,FALSE)</f>
        <v>82DK0511010020000649462</v>
      </c>
      <c r="L148" s="167" t="str">
        <f>VLOOKUP($A148,'030523 INVENTARIO'!$A$2:$Y$1148,23,FALSE)</f>
        <v>HUMBERTO HERNANDEZ OLIVO</v>
      </c>
    </row>
    <row r="149" spans="1:12" ht="12.75" hidden="1">
      <c r="A149" s="167" t="str">
        <f>'030523 INVENTARIO'!A149</f>
        <v>0148</v>
      </c>
      <c r="B149" s="167" t="str">
        <f>'030523 INVENTARIO'!T149</f>
        <v>SIN RESGUARDO</v>
      </c>
      <c r="C149" s="167" t="str">
        <f t="shared" si="0"/>
        <v/>
      </c>
      <c r="D149" s="167" t="e">
        <f>IF(VLOOKUP(C149,'Patrimonio 2023'!$C$2:$C$1128,1,FALSE) = C149, "Encontrado", "no")</f>
        <v>#N/A</v>
      </c>
      <c r="E149" s="167" t="str">
        <f>VLOOKUP($A149,'030523 INVENTARIO'!$A$2:$Y$1148,5,FALSE)</f>
        <v>ESTANTE O ANAQUEL</v>
      </c>
      <c r="F149" s="167" t="str">
        <f>VLOOKUP($A149,'030523 INVENTARIO'!$A$2:$Y$1148,6,FALSE)</f>
        <v>ESTANTE DE METAL CON 7 CHAROLAS</v>
      </c>
      <c r="G149" s="167" t="str">
        <f ca="1">VLOOKUP($A149,'030523 INVENTARIO'!$A$2:$Y$1148,8,FALSE)</f>
        <v>P05DA-0148</v>
      </c>
      <c r="H149" s="168" t="str">
        <f>VLOOKUP($A149,'030523 INVENTARIO'!$A$2:$Y$1148,17,FALSE)</f>
        <v>S/M</v>
      </c>
      <c r="I149" s="167" t="str">
        <f>VLOOKUP($A149,'030523 INVENTARIO'!$A$2:$Y$1148,18,FALSE)</f>
        <v>S/M</v>
      </c>
      <c r="J149" s="167" t="str">
        <f>VLOOKUP($A149,'030523 INVENTARIO'!$A$2:$Y$1148,19,FALSE)</f>
        <v>SIN SERIE</v>
      </c>
      <c r="K149" s="167" t="str">
        <f>VLOOKUP($A149,'030523 INVENTARIO'!$A$2:$Y$1148,20,FALSE)</f>
        <v>SIN RESGUARDO</v>
      </c>
      <c r="L149" s="167" t="str">
        <f>VLOOKUP($A149,'030523 INVENTARIO'!$A$2:$Y$1148,23,FALSE)</f>
        <v>HUMBERTO HERNANDEZ OLIVO</v>
      </c>
    </row>
    <row r="150" spans="1:12" ht="12.75" hidden="1">
      <c r="A150" s="167" t="str">
        <f>'030523 INVENTARIO'!A150</f>
        <v>0149</v>
      </c>
      <c r="B150" s="168" t="str">
        <f>'030523 INVENTARIO'!T150</f>
        <v>82DK0515010013000651088</v>
      </c>
      <c r="C150" s="167" t="str">
        <f t="shared" si="0"/>
        <v>651088</v>
      </c>
      <c r="D150" s="167" t="str">
        <f>IF(VLOOKUP(C150,'Patrimonio 2023'!$C$2:$C$1128,1,FALSE) = C150, "Encontrado", "no")</f>
        <v>Encontrado</v>
      </c>
      <c r="E150" s="167" t="str">
        <f>VLOOKUP($A150,'030523 INVENTARIO'!$A$2:$Y$1148,5,FALSE)</f>
        <v>MONITOR</v>
      </c>
      <c r="F150" s="167" t="str">
        <f>VLOOKUP($A150,'030523 INVENTARIO'!$A$2:$Y$1148,6,FALSE)</f>
        <v>MONITOR 15.6"</v>
      </c>
      <c r="G150" s="167" t="str">
        <f ca="1">VLOOKUP($A150,'030523 INVENTARIO'!$A$2:$Y$1148,8,FALSE)</f>
        <v>P05RM-0149</v>
      </c>
      <c r="H150" s="168" t="str">
        <f>VLOOKUP($A150,'030523 INVENTARIO'!$A$2:$Y$1148,17,FALSE)</f>
        <v>ACER</v>
      </c>
      <c r="I150" s="167" t="str">
        <f>VLOOKUP($A150,'030523 INVENTARIO'!$A$2:$Y$1148,18,FALSE)</f>
        <v>P166HQL</v>
      </c>
      <c r="J150" s="168" t="str">
        <f>VLOOKUP($A150,'030523 INVENTARIO'!$A$2:$Y$1148,19,FALSE)</f>
        <v>MMLTYAA00362205C284206</v>
      </c>
      <c r="K150" s="168" t="str">
        <f>VLOOKUP($A150,'030523 INVENTARIO'!$A$2:$Y$1148,20,FALSE)</f>
        <v>82DK0515010013000651088</v>
      </c>
      <c r="L150" s="167" t="str">
        <f>VLOOKUP($A150,'030523 INVENTARIO'!$A$2:$Y$1148,23,FALSE)</f>
        <v>BLANCA ELIZABETH ALCANTAR (ALMACEN)</v>
      </c>
    </row>
    <row r="151" spans="1:12" ht="12.75" hidden="1">
      <c r="A151" s="167" t="str">
        <f>'030523 INVENTARIO'!A151</f>
        <v>0150</v>
      </c>
      <c r="B151" s="168" t="str">
        <f>'030523 INVENTARIO'!T151</f>
        <v>82DK0515010013000651089</v>
      </c>
      <c r="C151" s="167" t="str">
        <f t="shared" si="0"/>
        <v>651089</v>
      </c>
      <c r="D151" s="167" t="str">
        <f>IF(VLOOKUP(C151,'Patrimonio 2023'!$C$2:$C$1128,1,FALSE) = C151, "Encontrado", "no")</f>
        <v>Encontrado</v>
      </c>
      <c r="E151" s="167" t="str">
        <f>VLOOKUP($A151,'030523 INVENTARIO'!$A$2:$Y$1148,5,FALSE)</f>
        <v>MONITOR</v>
      </c>
      <c r="F151" s="167" t="str">
        <f>VLOOKUP($A151,'030523 INVENTARIO'!$A$2:$Y$1148,6,FALSE)</f>
        <v>MONITOR 15.6"</v>
      </c>
      <c r="G151" s="167" t="str">
        <f ca="1">VLOOKUP($A151,'030523 INVENTARIO'!$A$2:$Y$1148,8,FALSE)</f>
        <v>P05RM-0150</v>
      </c>
      <c r="H151" s="168" t="str">
        <f>VLOOKUP($A151,'030523 INVENTARIO'!$A$2:$Y$1148,17,FALSE)</f>
        <v>ACER</v>
      </c>
      <c r="I151" s="167" t="str">
        <f>VLOOKUP($A151,'030523 INVENTARIO'!$A$2:$Y$1148,18,FALSE)</f>
        <v>P166HQL</v>
      </c>
      <c r="J151" s="168" t="str">
        <f>VLOOKUP($A151,'030523 INVENTARIO'!$A$2:$Y$1148,19,FALSE)</f>
        <v>MMLTYAA00362205C094206</v>
      </c>
      <c r="K151" s="168" t="str">
        <f>VLOOKUP($A151,'030523 INVENTARIO'!$A$2:$Y$1148,20,FALSE)</f>
        <v>82DK0515010013000651089</v>
      </c>
      <c r="L151" s="167" t="str">
        <f>VLOOKUP($A151,'030523 INVENTARIO'!$A$2:$Y$1148,23,FALSE)</f>
        <v>BLANCA ELIZABETH ALCANTAR (ALMACEN)</v>
      </c>
    </row>
    <row r="152" spans="1:12" ht="12.75" hidden="1">
      <c r="A152" s="167" t="str">
        <f>'030523 INVENTARIO'!A152</f>
        <v>0151</v>
      </c>
      <c r="B152" s="168" t="str">
        <f>'030523 INVENTARIO'!T152</f>
        <v>82DK0519010003000649403</v>
      </c>
      <c r="C152" s="167" t="str">
        <f t="shared" si="0"/>
        <v>649403</v>
      </c>
      <c r="D152" s="167" t="str">
        <f>IF(VLOOKUP(C152,'Patrimonio 2023'!$C$2:$C$1128,1,FALSE) = C152, "Encontrado", "no")</f>
        <v>Encontrado</v>
      </c>
      <c r="E152" s="167" t="str">
        <f>VLOOKUP($A152,'030523 INVENTARIO'!$A$2:$Y$1148,5,FALSE)</f>
        <v>ASPIRADORA</v>
      </c>
      <c r="F152" s="167" t="str">
        <f>VLOOKUP($A152,'030523 INVENTARIO'!$A$2:$Y$1148,6,FALSE)</f>
        <v>ASPIRADAORA</v>
      </c>
      <c r="G152" s="167" t="str">
        <f ca="1">VLOOKUP($A152,'030523 INVENTARIO'!$A$2:$Y$1148,8,FALSE)</f>
        <v>P05RM-0151</v>
      </c>
      <c r="H152" s="168" t="str">
        <f>VLOOKUP($A152,'030523 INVENTARIO'!$A$2:$Y$1148,17,FALSE)</f>
        <v>KOBLENZ</v>
      </c>
      <c r="I152" s="167" t="str">
        <f>VLOOKUP($A152,'030523 INVENTARIO'!$A$2:$Y$1148,18,FALSE)</f>
        <v>WD/350K2M</v>
      </c>
      <c r="J152" s="168" t="str">
        <f>VLOOKUP($A152,'030523 INVENTARIO'!$A$2:$Y$1148,19,FALSE)</f>
        <v>SIN SERIE</v>
      </c>
      <c r="K152" s="168" t="str">
        <f>VLOOKUP($A152,'030523 INVENTARIO'!$A$2:$Y$1148,20,FALSE)</f>
        <v>82DK0519010003000649403</v>
      </c>
      <c r="L152" s="167" t="str">
        <f>VLOOKUP($A152,'030523 INVENTARIO'!$A$2:$Y$1148,23,FALSE)</f>
        <v>BLANCA ELIZABETH ALCANTAR (ALMACEN)</v>
      </c>
    </row>
    <row r="153" spans="1:12" ht="12.75" hidden="1">
      <c r="A153" s="167" t="str">
        <f>'030523 INVENTARIO'!A153</f>
        <v>0152</v>
      </c>
      <c r="B153" s="168" t="str">
        <f>'030523 INVENTARIO'!T153</f>
        <v>82DH0515010013000649765</v>
      </c>
      <c r="C153" s="167" t="str">
        <f t="shared" si="0"/>
        <v>649765</v>
      </c>
      <c r="D153" s="167" t="str">
        <f>IF(VLOOKUP(C153,'Patrimonio 2023'!$C$2:$C$1128,1,FALSE) = C153, "Encontrado", "no")</f>
        <v>Encontrado</v>
      </c>
      <c r="E153" s="167" t="str">
        <f>VLOOKUP($A153,'030523 INVENTARIO'!$A$2:$Y$1148,5,FALSE)</f>
        <v>MONITOR</v>
      </c>
      <c r="F153" s="167" t="str">
        <f>VLOOKUP($A153,'030523 INVENTARIO'!$A$2:$Y$1148,6,FALSE)</f>
        <v>MONITOR 18.5"</v>
      </c>
      <c r="G153" s="167" t="str">
        <f ca="1">VLOOKUP($A153,'030523 INVENTARIO'!$A$2:$Y$1148,8,FALSE)</f>
        <v>P05RM-0152</v>
      </c>
      <c r="H153" s="168" t="str">
        <f>VLOOKUP($A153,'030523 INVENTARIO'!$A$2:$Y$1148,17,FALSE)</f>
        <v>HP</v>
      </c>
      <c r="I153" s="167" t="str">
        <f>VLOOKUP($A153,'030523 INVENTARIO'!$A$2:$Y$1148,18,FALSE)</f>
        <v>V193B</v>
      </c>
      <c r="J153" s="168" t="str">
        <f>VLOOKUP($A153,'030523 INVENTARIO'!$A$2:$Y$1148,19,FALSE)</f>
        <v>3CQ542053B</v>
      </c>
      <c r="K153" s="168" t="str">
        <f>VLOOKUP($A153,'030523 INVENTARIO'!$A$2:$Y$1148,20,FALSE)</f>
        <v>82DH0515010013000649765</v>
      </c>
      <c r="L153" s="167" t="str">
        <f>VLOOKUP($A153,'030523 INVENTARIO'!$A$2:$Y$1148,23,FALSE)</f>
        <v>BLANCA ELIZABETH ALCANTAR (ALMACEN)</v>
      </c>
    </row>
    <row r="154" spans="1:12" ht="12.75" hidden="1">
      <c r="A154" s="167" t="str">
        <f>'030523 INVENTARIO'!A154</f>
        <v>0153</v>
      </c>
      <c r="B154" s="168" t="str">
        <f>'030523 INVENTARIO'!T154</f>
        <v>82DK0511010001000518525</v>
      </c>
      <c r="C154" s="167" t="str">
        <f t="shared" si="0"/>
        <v>518525</v>
      </c>
      <c r="D154" s="167" t="str">
        <f>IF(VLOOKUP(C154,'Patrimonio 2023'!$C$2:$C$1128,1,FALSE) = C154, "Encontrado", "no")</f>
        <v>Encontrado</v>
      </c>
      <c r="E154" s="167" t="str">
        <f>VLOOKUP($A154,'030523 INVENTARIO'!$A$2:$Y$1148,5,FALSE)</f>
        <v>ARCHIVERO</v>
      </c>
      <c r="F154" s="167" t="str">
        <f>VLOOKUP($A154,'030523 INVENTARIO'!$A$2:$Y$1148,6,FALSE)</f>
        <v>ARCHIVERO DE MADERA CON 4 CAJONES 124X50X60</v>
      </c>
      <c r="G154" s="167" t="str">
        <f ca="1">VLOOKUP($A154,'030523 INVENTARIO'!$A$2:$Y$1148,8,FALSE)</f>
        <v>P05RH-0153</v>
      </c>
      <c r="H154" s="168" t="str">
        <f>VLOOKUP($A154,'030523 INVENTARIO'!$A$2:$Y$1148,17,FALSE)</f>
        <v>S/M</v>
      </c>
      <c r="I154" s="167" t="str">
        <f>VLOOKUP($A154,'030523 INVENTARIO'!$A$2:$Y$1148,18,FALSE)</f>
        <v>S/M</v>
      </c>
      <c r="J154" s="168" t="str">
        <f>VLOOKUP($A154,'030523 INVENTARIO'!$A$2:$Y$1148,19,FALSE)</f>
        <v>SIN SERIE</v>
      </c>
      <c r="K154" s="168" t="str">
        <f>VLOOKUP($A154,'030523 INVENTARIO'!$A$2:$Y$1148,20,FALSE)</f>
        <v>82DK0511010001000518525</v>
      </c>
      <c r="L154" s="167" t="str">
        <f>VLOOKUP($A154,'030523 INVENTARIO'!$A$2:$Y$1148,23,FALSE)</f>
        <v>MARIA DEL CARMEN QUINTERO VALOIS</v>
      </c>
    </row>
    <row r="155" spans="1:12" ht="12.75" hidden="1">
      <c r="A155" s="167" t="str">
        <f>'030523 INVENTARIO'!A155</f>
        <v>0154</v>
      </c>
      <c r="B155" s="168" t="str">
        <f>'030523 INVENTARIO'!T155</f>
        <v>82DK0511010005000649483</v>
      </c>
      <c r="C155" s="167" t="str">
        <f t="shared" si="0"/>
        <v>649483</v>
      </c>
      <c r="D155" s="167" t="str">
        <f>IF(VLOOKUP(C155,'Patrimonio 2023'!$C$2:$C$1128,1,FALSE) = C155, "Encontrado", "no")</f>
        <v>Encontrado</v>
      </c>
      <c r="E155" s="167" t="str">
        <f>VLOOKUP($A155,'030523 INVENTARIO'!$A$2:$Y$1148,5,FALSE)</f>
        <v>CREDENZA</v>
      </c>
      <c r="F155" s="168" t="str">
        <f>VLOOKUP($A155,'030523 INVENTARIO'!$A$2:$Y$1148,6,FALSE)</f>
        <v>CREDENZA DE MADERA</v>
      </c>
      <c r="G155" s="167" t="str">
        <f ca="1">VLOOKUP($A155,'030523 INVENTARIO'!$A$2:$Y$1148,8,FALSE)</f>
        <v>P05RH-0154</v>
      </c>
      <c r="H155" s="168" t="str">
        <f>VLOOKUP($A155,'030523 INVENTARIO'!$A$2:$Y$1148,17,FALSE)</f>
        <v>S/M</v>
      </c>
      <c r="I155" s="167" t="str">
        <f>VLOOKUP($A155,'030523 INVENTARIO'!$A$2:$Y$1148,18,FALSE)</f>
        <v>S/M</v>
      </c>
      <c r="J155" s="168" t="str">
        <f>VLOOKUP($A155,'030523 INVENTARIO'!$A$2:$Y$1148,19,FALSE)</f>
        <v>SIN SERIE</v>
      </c>
      <c r="K155" s="168" t="str">
        <f>VLOOKUP($A155,'030523 INVENTARIO'!$A$2:$Y$1148,20,FALSE)</f>
        <v>82DK0511010005000649483</v>
      </c>
      <c r="L155" s="167" t="str">
        <f>VLOOKUP($A155,'030523 INVENTARIO'!$A$2:$Y$1148,23,FALSE)</f>
        <v>MARIA DEL CARMEN QUINTERO VALOIS</v>
      </c>
    </row>
    <row r="156" spans="1:12" ht="12.75" hidden="1">
      <c r="A156" s="167" t="str">
        <f>'030523 INVENTARIO'!A156</f>
        <v>0155</v>
      </c>
      <c r="B156" s="168" t="str">
        <f>'030523 INVENTARIO'!T156</f>
        <v>82DK0512010011000584051</v>
      </c>
      <c r="C156" s="167" t="str">
        <f t="shared" si="0"/>
        <v>584051</v>
      </c>
      <c r="D156" s="167" t="str">
        <f>IF(VLOOKUP(C156,'Patrimonio 2023'!$C$2:$C$1128,1,FALSE) = C156, "Encontrado", "no")</f>
        <v>Encontrado</v>
      </c>
      <c r="E156" s="167" t="str">
        <f>VLOOKUP($A156,'030523 INVENTARIO'!$A$2:$Y$1148,5,FALSE)</f>
        <v>MESA</v>
      </c>
      <c r="F156" s="167" t="str">
        <f>VLOOKUP($A156,'030523 INVENTARIO'!$A$2:$Y$1148,6,FALSE)</f>
        <v>MESA COMPLEMENTO</v>
      </c>
      <c r="G156" s="167" t="str">
        <f ca="1">VLOOKUP($A156,'030523 INVENTARIO'!$A$2:$Y$1148,8,FALSE)</f>
        <v>P05RH-0155</v>
      </c>
      <c r="H156" s="168" t="str">
        <f>VLOOKUP($A156,'030523 INVENTARIO'!$A$2:$Y$1148,17,FALSE)</f>
        <v>S/M</v>
      </c>
      <c r="I156" s="167" t="str">
        <f>VLOOKUP($A156,'030523 INVENTARIO'!$A$2:$Y$1148,18,FALSE)</f>
        <v>S/M</v>
      </c>
      <c r="J156" s="168" t="str">
        <f>VLOOKUP($A156,'030523 INVENTARIO'!$A$2:$Y$1148,19,FALSE)</f>
        <v>SIN SERIE</v>
      </c>
      <c r="K156" s="168" t="str">
        <f>VLOOKUP($A156,'030523 INVENTARIO'!$A$2:$Y$1148,20,FALSE)</f>
        <v>82DK0512010011000584051</v>
      </c>
      <c r="L156" s="167" t="str">
        <f>VLOOKUP($A156,'030523 INVENTARIO'!$A$2:$Y$1148,23,FALSE)</f>
        <v>MARIA DEL CARMEN QUINTERO VALOIS</v>
      </c>
    </row>
    <row r="157" spans="1:12" ht="12.75" hidden="1">
      <c r="A157" s="167" t="str">
        <f>'030523 INVENTARIO'!A157</f>
        <v>0156</v>
      </c>
      <c r="B157" s="168" t="str">
        <f>'030523 INVENTARIO'!T157</f>
        <v>82DK0511010006000649489</v>
      </c>
      <c r="C157" s="167" t="str">
        <f t="shared" si="0"/>
        <v>649489</v>
      </c>
      <c r="D157" s="167" t="str">
        <f>IF(VLOOKUP(C157,'Patrimonio 2023'!$C$2:$C$1128,1,FALSE) = C157, "Encontrado", "no")</f>
        <v>Encontrado</v>
      </c>
      <c r="E157" s="167" t="str">
        <f>VLOOKUP($A157,'030523 INVENTARIO'!$A$2:$Y$1148,5,FALSE)</f>
        <v>ESCRITORIO</v>
      </c>
      <c r="F157" s="167" t="str">
        <f>VLOOKUP($A157,'030523 INVENTARIO'!$A$2:$Y$1148,6,FALSE)</f>
        <v>ESCRITORIO DE MADERA DE 3 PIEZAS TIPO ISLA</v>
      </c>
      <c r="G157" s="167" t="str">
        <f ca="1">VLOOKUP($A157,'030523 INVENTARIO'!$A$2:$Y$1148,8,FALSE)</f>
        <v>P05RM-0156</v>
      </c>
      <c r="H157" s="168" t="str">
        <f>VLOOKUP($A157,'030523 INVENTARIO'!$A$2:$Y$1148,17,FALSE)</f>
        <v>S/M</v>
      </c>
      <c r="I157" s="167" t="str">
        <f>VLOOKUP($A157,'030523 INVENTARIO'!$A$2:$Y$1148,18,FALSE)</f>
        <v>S/M</v>
      </c>
      <c r="J157" s="168" t="str">
        <f>VLOOKUP($A157,'030523 INVENTARIO'!$A$2:$Y$1148,19,FALSE)</f>
        <v>SIN SERIE</v>
      </c>
      <c r="K157" s="168" t="str">
        <f>VLOOKUP($A157,'030523 INVENTARIO'!$A$2:$Y$1148,20,FALSE)</f>
        <v>82DK0511010006000649489</v>
      </c>
      <c r="L157" s="167" t="str">
        <f>VLOOKUP($A157,'030523 INVENTARIO'!$A$2:$Y$1148,23,FALSE)</f>
        <v>AMERICA LISETH MARTINEZ CRUZ</v>
      </c>
    </row>
    <row r="158" spans="1:12" ht="12.75" hidden="1">
      <c r="A158" s="167" t="str">
        <f>'030523 INVENTARIO'!A158</f>
        <v>0157</v>
      </c>
      <c r="B158" s="168" t="str">
        <f>'030523 INVENTARIO'!T158</f>
        <v>82DH0511010017000649528</v>
      </c>
      <c r="C158" s="167" t="str">
        <f t="shared" si="0"/>
        <v>649528</v>
      </c>
      <c r="D158" s="167" t="str">
        <f>IF(VLOOKUP(C158,'Patrimonio 2023'!$C$2:$C$1128,1,FALSE) = C158, "Encontrado", "no")</f>
        <v>Encontrado</v>
      </c>
      <c r="E158" s="167" t="str">
        <f>VLOOKUP($A158,'030523 INVENTARIO'!$A$2:$Y$1148,5,FALSE)</f>
        <v>SILLA</v>
      </c>
      <c r="F158" s="167" t="str">
        <f>VLOOKUP($A158,'030523 INVENTARIO'!$A$2:$Y$1148,6,FALSE)</f>
        <v>SILLA DE TELA NEGRA FIJA</v>
      </c>
      <c r="G158" s="167" t="str">
        <f ca="1">VLOOKUP($A158,'030523 INVENTARIO'!$A$2:$Y$1148,8,FALSE)</f>
        <v>P05RH-0157</v>
      </c>
      <c r="H158" s="168" t="str">
        <f>VLOOKUP($A158,'030523 INVENTARIO'!$A$2:$Y$1148,17,FALSE)</f>
        <v>S/M</v>
      </c>
      <c r="I158" s="167" t="str">
        <f>VLOOKUP($A158,'030523 INVENTARIO'!$A$2:$Y$1148,18,FALSE)</f>
        <v>S/M</v>
      </c>
      <c r="J158" s="168" t="str">
        <f>VLOOKUP($A158,'030523 INVENTARIO'!$A$2:$Y$1148,19,FALSE)</f>
        <v>SIN SERIE</v>
      </c>
      <c r="K158" s="168" t="str">
        <f>VLOOKUP($A158,'030523 INVENTARIO'!$A$2:$Y$1148,20,FALSE)</f>
        <v>82DH0511010017000649528</v>
      </c>
      <c r="L158" s="167" t="str">
        <f>VLOOKUP($A158,'030523 INVENTARIO'!$A$2:$Y$1148,23,FALSE)</f>
        <v>MARIA DEL CARMEN QUINTERO VALOIS</v>
      </c>
    </row>
    <row r="159" spans="1:12" ht="12.75" hidden="1">
      <c r="A159" s="167" t="str">
        <f>'030523 INVENTARIO'!A159</f>
        <v>0158</v>
      </c>
      <c r="B159" s="168" t="str">
        <f>'030523 INVENTARIO'!T159</f>
        <v>82DK0511010017000516288</v>
      </c>
      <c r="C159" s="167" t="str">
        <f t="shared" si="0"/>
        <v>516288</v>
      </c>
      <c r="D159" s="167" t="str">
        <f>IF(VLOOKUP(C159,'Patrimonio 2023'!$C$2:$C$1128,1,FALSE) = C159, "Encontrado", "no")</f>
        <v>Encontrado</v>
      </c>
      <c r="E159" s="167" t="str">
        <f>VLOOKUP($A159,'030523 INVENTARIO'!$A$2:$Y$1148,5,FALSE)</f>
        <v>SILLA</v>
      </c>
      <c r="F159" s="167" t="str">
        <f>VLOOKUP($A159,'030523 INVENTARIO'!$A$2:$Y$1148,6,FALSE)</f>
        <v>SILLA DE TELA NEGRA FIJA</v>
      </c>
      <c r="G159" s="167" t="str">
        <f ca="1">VLOOKUP($A159,'030523 INVENTARIO'!$A$2:$Y$1148,8,FALSE)</f>
        <v>P05RH-0158</v>
      </c>
      <c r="H159" s="167" t="str">
        <f>VLOOKUP($A159,'030523 INVENTARIO'!$A$2:$Y$1148,17,FALSE)</f>
        <v>S/M</v>
      </c>
      <c r="I159" s="167" t="str">
        <f>VLOOKUP($A159,'030523 INVENTARIO'!$A$2:$Y$1148,18,FALSE)</f>
        <v>S/M</v>
      </c>
      <c r="J159" s="168" t="str">
        <f>VLOOKUP($A159,'030523 INVENTARIO'!$A$2:$Y$1148,19,FALSE)</f>
        <v>SIN SERIE</v>
      </c>
      <c r="K159" s="168" t="str">
        <f>VLOOKUP($A159,'030523 INVENTARIO'!$A$2:$Y$1148,20,FALSE)</f>
        <v>82DK0511010017000516288</v>
      </c>
      <c r="L159" s="167" t="str">
        <f>VLOOKUP($A159,'030523 INVENTARIO'!$A$2:$Y$1148,23,FALSE)</f>
        <v>MARIA DEL CARMEN QUINTERO VALOIS</v>
      </c>
    </row>
    <row r="160" spans="1:12" ht="12.75" hidden="1">
      <c r="A160" s="167" t="str">
        <f>'030523 INVENTARIO'!A160</f>
        <v>0159</v>
      </c>
      <c r="B160" s="168" t="str">
        <f>'030523 INVENTARIO'!T160</f>
        <v>82DK0515010010000649480</v>
      </c>
      <c r="C160" s="167" t="str">
        <f t="shared" si="0"/>
        <v>649480</v>
      </c>
      <c r="D160" s="167" t="str">
        <f>IF(VLOOKUP(C160,'Patrimonio 2023'!$C$2:$C$1128,1,FALSE) = C160, "Encontrado", "no")</f>
        <v>Encontrado</v>
      </c>
      <c r="E160" s="167" t="str">
        <f>VLOOKUP($A160,'030523 INVENTARIO'!$A$2:$Y$1148,5,FALSE)</f>
        <v>IMPRESORA</v>
      </c>
      <c r="F160" s="167" t="str">
        <f>VLOOKUP($A160,'030523 INVENTARIO'!$A$2:$Y$1148,6,FALSE)</f>
        <v>IMPRESORA NEGRA</v>
      </c>
      <c r="G160" s="167" t="str">
        <f ca="1">VLOOKUP($A160,'030523 INVENTARIO'!$A$2:$Y$1148,8,FALSE)</f>
        <v>P05RH-0159</v>
      </c>
      <c r="H160" s="168" t="str">
        <f>VLOOKUP($A160,'030523 INVENTARIO'!$A$2:$Y$1148,17,FALSE)</f>
        <v>HP</v>
      </c>
      <c r="I160" s="167" t="str">
        <f>VLOOKUP($A160,'030523 INVENTARIO'!$A$2:$Y$1148,18,FALSE)</f>
        <v>DESKJET</v>
      </c>
      <c r="J160" s="168" t="str">
        <f>VLOOKUP($A160,'030523 INVENTARIO'!$A$2:$Y$1148,19,FALSE)</f>
        <v>L1280-80021</v>
      </c>
      <c r="K160" s="168" t="str">
        <f>VLOOKUP($A160,'030523 INVENTARIO'!$A$2:$Y$1148,20,FALSE)</f>
        <v>82DK0515010010000649480</v>
      </c>
      <c r="L160" s="167" t="str">
        <f>VLOOKUP($A160,'030523 INVENTARIO'!$A$2:$Y$1148,23,FALSE)</f>
        <v>MARIA DEL CARMEN QUINTERO VALOIS</v>
      </c>
    </row>
    <row r="161" spans="1:12" ht="12.75" hidden="1">
      <c r="A161" s="167" t="str">
        <f>'030523 INVENTARIO'!A161</f>
        <v>0160</v>
      </c>
      <c r="B161" s="168" t="str">
        <f>'030523 INVENTARIO'!T161</f>
        <v>82DK0565010001000649481</v>
      </c>
      <c r="C161" s="167" t="str">
        <f t="shared" si="0"/>
        <v>649481</v>
      </c>
      <c r="D161" s="167" t="str">
        <f>IF(VLOOKUP(C161,'Patrimonio 2023'!$C$2:$C$1128,1,FALSE) = C161, "Encontrado", "no")</f>
        <v>Encontrado</v>
      </c>
      <c r="E161" s="167" t="str">
        <f>VLOOKUP($A161,'030523 INVENTARIO'!$A$2:$Y$1148,5,FALSE)</f>
        <v>TELEFONO</v>
      </c>
      <c r="F161" s="167" t="str">
        <f>VLOOKUP($A161,'030523 INVENTARIO'!$A$2:$Y$1148,6,FALSE)</f>
        <v>TELEFONO GRIS</v>
      </c>
      <c r="G161" s="167" t="str">
        <f ca="1">VLOOKUP($A161,'030523 INVENTARIO'!$A$2:$Y$1148,8,FALSE)</f>
        <v>P05RH-0160</v>
      </c>
      <c r="H161" s="168" t="str">
        <f>VLOOKUP($A161,'030523 INVENTARIO'!$A$2:$Y$1148,17,FALSE)</f>
        <v>CISCO</v>
      </c>
      <c r="I161" s="167" t="str">
        <f>VLOOKUP($A161,'030523 INVENTARIO'!$A$2:$Y$1148,18,FALSE)</f>
        <v>SPA504G</v>
      </c>
      <c r="J161" s="168" t="str">
        <f>VLOOKUP($A161,'030523 INVENTARIO'!$A$2:$Y$1148,19,FALSE)</f>
        <v>CCQ172806OH</v>
      </c>
      <c r="K161" s="168" t="str">
        <f>VLOOKUP($A161,'030523 INVENTARIO'!$A$2:$Y$1148,20,FALSE)</f>
        <v>82DK0565010001000649481</v>
      </c>
      <c r="L161" s="167" t="str">
        <f>VLOOKUP($A161,'030523 INVENTARIO'!$A$2:$Y$1148,23,FALSE)</f>
        <v>MARIA DEL CARMEN QUINTERO VALOIS</v>
      </c>
    </row>
    <row r="162" spans="1:12" ht="12.75" hidden="1">
      <c r="A162" s="167" t="str">
        <f>'030523 INVENTARIO'!A162</f>
        <v>0161</v>
      </c>
      <c r="B162" s="167" t="str">
        <f>'030523 INVENTARIO'!T162</f>
        <v>82DH0565010041000539111</v>
      </c>
      <c r="C162" s="167" t="str">
        <f t="shared" si="0"/>
        <v>539111</v>
      </c>
      <c r="D162" s="167" t="str">
        <f>IF(VLOOKUP(C162,'Patrimonio 2023'!$C$2:$C$1128,1,FALSE) = C162, "Encontrado", "no")</f>
        <v>Encontrado</v>
      </c>
      <c r="E162" s="167" t="str">
        <f>VLOOKUP($A162,'030523 INVENTARIO'!$A$2:$Y$1148,5,FALSE)</f>
        <v>MONITOR</v>
      </c>
      <c r="F162" s="167" t="str">
        <f>VLOOKUP($A162,'030523 INVENTARIO'!$A$2:$Y$1148,6,FALSE)</f>
        <v>MONITOR 19"</v>
      </c>
      <c r="G162" s="167" t="str">
        <f ca="1">VLOOKUP($A162,'030523 INVENTARIO'!$A$2:$Y$1148,8,FALSE)</f>
        <v>P05RH-0161</v>
      </c>
      <c r="H162" s="168" t="str">
        <f>VLOOKUP($A162,'030523 INVENTARIO'!$A$2:$Y$1148,17,FALSE)</f>
        <v>COMPAQ</v>
      </c>
      <c r="I162" s="167" t="str">
        <f>VLOOKUP($A162,'030523 INVENTARIO'!$A$2:$Y$1148,18,FALSE)</f>
        <v>WF1907</v>
      </c>
      <c r="J162" s="168" t="str">
        <f>VLOOKUP($A162,'030523 INVENTARIO'!$A$2:$Y$1148,19,FALSE)</f>
        <v>CNC812Y9H6</v>
      </c>
      <c r="K162" s="167" t="str">
        <f>VLOOKUP($A162,'030523 INVENTARIO'!$A$2:$Y$1148,20,FALSE)</f>
        <v>82DH0565010041000539111</v>
      </c>
      <c r="L162" s="167" t="str">
        <f>VLOOKUP($A162,'030523 INVENTARIO'!$A$2:$Y$1148,23,FALSE)</f>
        <v>MARIA DEL CARMEN QUINTERO VALOIS</v>
      </c>
    </row>
    <row r="163" spans="1:12" ht="12.75" hidden="1">
      <c r="A163" s="167" t="str">
        <f>'030523 INVENTARIO'!A163</f>
        <v>0162</v>
      </c>
      <c r="B163" s="167" t="str">
        <f>'030523 INVENTARIO'!T163</f>
        <v>SIN RESGUARDO</v>
      </c>
      <c r="C163" s="167" t="str">
        <f t="shared" si="0"/>
        <v/>
      </c>
      <c r="D163" s="167" t="e">
        <f>IF(VLOOKUP(C163,'Patrimonio 2023'!$C$2:$C$1128,1,FALSE) = C163, "Encontrado", "no")</f>
        <v>#N/A</v>
      </c>
      <c r="E163" s="167" t="str">
        <f>VLOOKUP($A163,'030523 INVENTARIO'!$A$2:$Y$1148,5,FALSE)</f>
        <v>MONITOR</v>
      </c>
      <c r="F163" s="167" t="str">
        <f>VLOOKUP($A163,'030523 INVENTARIO'!$A$2:$Y$1148,6,FALSE)</f>
        <v>MONITOR 21.5"</v>
      </c>
      <c r="G163" s="167" t="str">
        <f ca="1">VLOOKUP($A163,'030523 INVENTARIO'!$A$2:$Y$1148,8,FALSE)</f>
        <v>P05RH-0162</v>
      </c>
      <c r="H163" s="168" t="str">
        <f>VLOOKUP($A163,'030523 INVENTARIO'!$A$2:$Y$1148,17,FALSE)</f>
        <v>ACER</v>
      </c>
      <c r="I163" s="167" t="str">
        <f>VLOOKUP($A163,'030523 INVENTARIO'!$A$2:$Y$1148,18,FALSE)</f>
        <v>V226HQL</v>
      </c>
      <c r="J163" s="167" t="str">
        <f>VLOOKUP($A163,'030523 INVENTARIO'!$A$2:$Y$1148,19,FALSE)</f>
        <v>MMLXLAA0250480B4A24273</v>
      </c>
      <c r="K163" s="167" t="str">
        <f>VLOOKUP($A163,'030523 INVENTARIO'!$A$2:$Y$1148,20,FALSE)</f>
        <v>SIN RESGUARDO</v>
      </c>
      <c r="L163" s="167" t="str">
        <f>VLOOKUP($A163,'030523 INVENTARIO'!$A$2:$Y$1148,23,FALSE)</f>
        <v>MARIA DEL CARMEN QUINTERO VALOIS</v>
      </c>
    </row>
    <row r="164" spans="1:12" ht="12.75" hidden="1">
      <c r="A164" s="167" t="str">
        <f>'030523 INVENTARIO'!A164</f>
        <v>0163</v>
      </c>
      <c r="B164" s="168" t="str">
        <f>'030523 INVENTARIO'!T164</f>
        <v>82DK0515010016000649425</v>
      </c>
      <c r="C164" s="167" t="str">
        <f t="shared" si="0"/>
        <v>649425</v>
      </c>
      <c r="D164" s="167" t="str">
        <f>IF(VLOOKUP(C164,'Patrimonio 2023'!$C$2:$C$1128,1,FALSE) = C164, "Encontrado", "no")</f>
        <v>Encontrado</v>
      </c>
      <c r="E164" s="167" t="str">
        <f>VLOOKUP($A164,'030523 INVENTARIO'!$A$2:$Y$1148,5,FALSE)</f>
        <v>NO BREAK</v>
      </c>
      <c r="F164" s="167" t="str">
        <f>VLOOKUP($A164,'030523 INVENTARIO'!$A$2:$Y$1148,6,FALSE)</f>
        <v>NO BREAK NEGRO</v>
      </c>
      <c r="G164" s="167" t="str">
        <f ca="1">VLOOKUP($A164,'030523 INVENTARIO'!$A$2:$Y$1148,8,FALSE)</f>
        <v>P05RH-0163</v>
      </c>
      <c r="H164" s="168" t="str">
        <f>VLOOKUP($A164,'030523 INVENTARIO'!$A$2:$Y$1148,17,FALSE)</f>
        <v>FORZA</v>
      </c>
      <c r="I164" s="167" t="str">
        <f>VLOOKUP($A164,'030523 INVENTARIO'!$A$2:$Y$1148,18,FALSE)</f>
        <v>NT751</v>
      </c>
      <c r="J164" s="168" t="str">
        <f>VLOOKUP($A164,'030523 INVENTARIO'!$A$2:$Y$1148,19,FALSE)</f>
        <v>190522502263</v>
      </c>
      <c r="K164" s="168" t="str">
        <f>VLOOKUP($A164,'030523 INVENTARIO'!$A$2:$Y$1148,20,FALSE)</f>
        <v>82DK0515010016000649425</v>
      </c>
      <c r="L164" s="167" t="str">
        <f>VLOOKUP($A164,'030523 INVENTARIO'!$A$2:$Y$1148,23,FALSE)</f>
        <v>MARIA DEL CARMEN QUINTERO VALOIS</v>
      </c>
    </row>
    <row r="165" spans="1:12" ht="12.75" hidden="1">
      <c r="A165" s="167" t="str">
        <f>'030523 INVENTARIO'!A165</f>
        <v>0164</v>
      </c>
      <c r="B165" s="167" t="str">
        <f>'030523 INVENTARIO'!T165</f>
        <v>SIN RESGUARDO</v>
      </c>
      <c r="C165" s="167" t="str">
        <f t="shared" si="0"/>
        <v/>
      </c>
      <c r="D165" s="167" t="e">
        <f>IF(VLOOKUP(C165,'Patrimonio 2023'!$C$2:$C$1128,1,FALSE) = C165, "Encontrado", "no")</f>
        <v>#N/A</v>
      </c>
      <c r="E165" s="167" t="str">
        <f>VLOOKUP($A165,'030523 INVENTARIO'!$A$2:$Y$1148,5,FALSE)</f>
        <v>COMPUTADORA DE ESCRITORIO</v>
      </c>
      <c r="F165" s="167" t="str">
        <f>VLOOKUP($A165,'030523 INVENTARIO'!$A$2:$Y$1148,6,FALSE)</f>
        <v>COMPUTADORA DE ESCRITORIO</v>
      </c>
      <c r="G165" s="167" t="str">
        <f ca="1">VLOOKUP($A165,'030523 INVENTARIO'!$A$2:$Y$1148,8,FALSE)</f>
        <v>P05RH-0164</v>
      </c>
      <c r="H165" s="168" t="str">
        <f>VLOOKUP($A165,'030523 INVENTARIO'!$A$2:$Y$1148,17,FALSE)</f>
        <v>ACTECK</v>
      </c>
      <c r="I165" s="167" t="str">
        <f>VLOOKUP($A165,'030523 INVENTARIO'!$A$2:$Y$1148,18,FALSE)</f>
        <v>LINX</v>
      </c>
      <c r="J165" s="167">
        <f>VLOOKUP($A165,'030523 INVENTARIO'!$A$2:$Y$1148,19,FALSE)</f>
        <v>11392903014316</v>
      </c>
      <c r="K165" s="167" t="str">
        <f>VLOOKUP($A165,'030523 INVENTARIO'!$A$2:$Y$1148,20,FALSE)</f>
        <v>SIN RESGUARDO</v>
      </c>
      <c r="L165" s="167" t="str">
        <f>VLOOKUP($A165,'030523 INVENTARIO'!$A$2:$Y$1148,23,FALSE)</f>
        <v>MARIA DEL CARMEN QUINTERO VALOIS</v>
      </c>
    </row>
    <row r="166" spans="1:12" ht="12.75" hidden="1">
      <c r="A166" s="167" t="str">
        <f>'030523 INVENTARIO'!A166</f>
        <v>0165</v>
      </c>
      <c r="B166" s="168" t="str">
        <f>'030523 INVENTARIO'!T166</f>
        <v>82DH0515010033000564669</v>
      </c>
      <c r="C166" s="167" t="str">
        <f t="shared" si="0"/>
        <v>564669</v>
      </c>
      <c r="D166" s="167" t="str">
        <f>IF(VLOOKUP(C166,'Patrimonio 2023'!$C$2:$C$1128,1,FALSE) = C166, "Encontrado", "no")</f>
        <v>Encontrado</v>
      </c>
      <c r="E166" s="167" t="str">
        <f>VLOOKUP($A166,'030523 INVENTARIO'!$A$2:$Y$1148,5,FALSE)</f>
        <v>COMPLEMENTARIO DE EQUIPO DE COMPUTO</v>
      </c>
      <c r="F166" s="168" t="str">
        <f>VLOOKUP($A166,'030523 INVENTARIO'!$A$2:$Y$1148,6,FALSE)</f>
        <v>COMPLEMENTO DE EQUIPO DE MADERA</v>
      </c>
      <c r="G166" s="167" t="str">
        <f ca="1">VLOOKUP($A166,'030523 INVENTARIO'!$A$2:$Y$1148,8,FALSE)</f>
        <v>P05RH-0165</v>
      </c>
      <c r="H166" s="168" t="str">
        <f>VLOOKUP($A166,'030523 INVENTARIO'!$A$2:$Y$1148,17,FALSE)</f>
        <v>S/M</v>
      </c>
      <c r="I166" s="167" t="str">
        <f>VLOOKUP($A166,'030523 INVENTARIO'!$A$2:$Y$1148,18,FALSE)</f>
        <v>S/M</v>
      </c>
      <c r="J166" s="168" t="str">
        <f>VLOOKUP($A166,'030523 INVENTARIO'!$A$2:$Y$1148,19,FALSE)</f>
        <v>SIN SERIE</v>
      </c>
      <c r="K166" s="168" t="str">
        <f>VLOOKUP($A166,'030523 INVENTARIO'!$A$2:$Y$1148,20,FALSE)</f>
        <v>82DH0515010033000564669</v>
      </c>
      <c r="L166" s="167" t="str">
        <f>VLOOKUP($A166,'030523 INVENTARIO'!$A$2:$Y$1148,23,FALSE)</f>
        <v>MARIA DEL CARMEN QUINTERO VALOIS</v>
      </c>
    </row>
    <row r="167" spans="1:12" ht="12.75" hidden="1">
      <c r="A167" s="167" t="str">
        <f>'030523 INVENTARIO'!A167</f>
        <v>0166</v>
      </c>
      <c r="B167" s="168" t="str">
        <f>'030523 INVENTARIO'!T167</f>
        <v>82DK0511010017000649482</v>
      </c>
      <c r="C167" s="167" t="str">
        <f t="shared" si="0"/>
        <v>649482</v>
      </c>
      <c r="D167" s="167" t="str">
        <f>IF(VLOOKUP(C167,'Patrimonio 2023'!$C$2:$C$1128,1,FALSE) = C167, "Encontrado", "no")</f>
        <v>Encontrado</v>
      </c>
      <c r="E167" s="167" t="str">
        <f>VLOOKUP($A167,'030523 INVENTARIO'!$A$2:$Y$1148,5,FALSE)</f>
        <v>SILLA</v>
      </c>
      <c r="F167" s="167" t="str">
        <f>VLOOKUP($A167,'030523 INVENTARIO'!$A$2:$Y$1148,6,FALSE)</f>
        <v>SILLA NEGRA CON RUEDAS</v>
      </c>
      <c r="G167" s="167" t="str">
        <f ca="1">VLOOKUP($A167,'030523 INVENTARIO'!$A$2:$Y$1148,8,FALSE)</f>
        <v>P05RH-0166</v>
      </c>
      <c r="H167" s="168" t="str">
        <f>VLOOKUP($A167,'030523 INVENTARIO'!$A$2:$Y$1148,17,FALSE)</f>
        <v>S/M</v>
      </c>
      <c r="I167" s="167" t="str">
        <f>VLOOKUP($A167,'030523 INVENTARIO'!$A$2:$Y$1148,18,FALSE)</f>
        <v>S/M</v>
      </c>
      <c r="J167" s="168" t="str">
        <f>VLOOKUP($A167,'030523 INVENTARIO'!$A$2:$Y$1148,19,FALSE)</f>
        <v>SIN SERIE</v>
      </c>
      <c r="K167" s="168" t="str">
        <f>VLOOKUP($A167,'030523 INVENTARIO'!$A$2:$Y$1148,20,FALSE)</f>
        <v>82DK0511010017000649482</v>
      </c>
      <c r="L167" s="167" t="str">
        <f>VLOOKUP($A167,'030523 INVENTARIO'!$A$2:$Y$1148,23,FALSE)</f>
        <v>MARIA DEL CARMEN QUINTERO VALOIS</v>
      </c>
    </row>
    <row r="168" spans="1:12" ht="12.75" hidden="1">
      <c r="A168" s="167" t="str">
        <f>'030523 INVENTARIO'!A168</f>
        <v>0167</v>
      </c>
      <c r="B168" s="168" t="str">
        <f>'030523 INVENTARIO'!T168</f>
        <v>82DK0511010001000518519</v>
      </c>
      <c r="C168" s="167" t="str">
        <f t="shared" si="0"/>
        <v>518519</v>
      </c>
      <c r="D168" s="167" t="str">
        <f>IF(VLOOKUP(C168,'Patrimonio 2023'!$C$2:$C$1128,1,FALSE) = C168, "Encontrado", "no")</f>
        <v>Encontrado</v>
      </c>
      <c r="E168" s="167" t="str">
        <f>VLOOKUP($A168,'030523 INVENTARIO'!$A$2:$Y$1148,5,FALSE)</f>
        <v>ARCHIVERO</v>
      </c>
      <c r="F168" s="167" t="str">
        <f>VLOOKUP($A168,'030523 INVENTARIO'!$A$2:$Y$1148,6,FALSE)</f>
        <v>ARCHIVERO DE METAL CON 3 CAJONES 105X47X72</v>
      </c>
      <c r="G168" s="167" t="str">
        <f ca="1">VLOOKUP($A168,'030523 INVENTARIO'!$A$2:$Y$1148,8,FALSE)</f>
        <v>P05RH-0167</v>
      </c>
      <c r="H168" s="168" t="str">
        <f>VLOOKUP($A168,'030523 INVENTARIO'!$A$2:$Y$1148,17,FALSE)</f>
        <v>S/M</v>
      </c>
      <c r="I168" s="167" t="str">
        <f>VLOOKUP($A168,'030523 INVENTARIO'!$A$2:$Y$1148,18,FALSE)</f>
        <v>S/M</v>
      </c>
      <c r="J168" s="168" t="str">
        <f>VLOOKUP($A168,'030523 INVENTARIO'!$A$2:$Y$1148,19,FALSE)</f>
        <v>SIN SERIE</v>
      </c>
      <c r="K168" s="168" t="str">
        <f>VLOOKUP($A168,'030523 INVENTARIO'!$A$2:$Y$1148,20,FALSE)</f>
        <v>82DK0511010001000518519</v>
      </c>
      <c r="L168" s="167" t="str">
        <f>VLOOKUP($A168,'030523 INVENTARIO'!$A$2:$Y$1148,23,FALSE)</f>
        <v>MARIA DEL CARMEN QUINTERO VALOIS</v>
      </c>
    </row>
    <row r="169" spans="1:12" ht="12.75" hidden="1">
      <c r="A169" s="167" t="str">
        <f>'030523 INVENTARIO'!A169</f>
        <v>0168</v>
      </c>
      <c r="B169" s="168" t="str">
        <f>'030523 INVENTARIO'!T169</f>
        <v>82DK0511010001000533168</v>
      </c>
      <c r="C169" s="167" t="str">
        <f t="shared" si="0"/>
        <v>533168</v>
      </c>
      <c r="D169" s="167" t="str">
        <f>IF(VLOOKUP(C169,'Patrimonio 2023'!$C$2:$C$1128,1,FALSE) = C169, "Encontrado", "no")</f>
        <v>Encontrado</v>
      </c>
      <c r="E169" s="167" t="str">
        <f>VLOOKUP($A169,'030523 INVENTARIO'!$A$2:$Y$1148,5,FALSE)</f>
        <v>ARCHIVERO</v>
      </c>
      <c r="F169" s="167" t="str">
        <f>VLOOKUP($A169,'030523 INVENTARIO'!$A$2:$Y$1148,6,FALSE)</f>
        <v>ARCHIVERO  DE MADERA  CON 2 CAJONES 66X50X61</v>
      </c>
      <c r="G169" s="167" t="str">
        <f ca="1">VLOOKUP($A169,'030523 INVENTARIO'!$A$2:$Y$1148,8,FALSE)</f>
        <v>P05RH-0168</v>
      </c>
      <c r="H169" s="168" t="str">
        <f>VLOOKUP($A169,'030523 INVENTARIO'!$A$2:$Y$1148,17,FALSE)</f>
        <v>S/M</v>
      </c>
      <c r="I169" s="167" t="str">
        <f>VLOOKUP($A169,'030523 INVENTARIO'!$A$2:$Y$1148,18,FALSE)</f>
        <v>S/M</v>
      </c>
      <c r="J169" s="168" t="str">
        <f>VLOOKUP($A169,'030523 INVENTARIO'!$A$2:$Y$1148,19,FALSE)</f>
        <v>SIN SERIE</v>
      </c>
      <c r="K169" s="168" t="str">
        <f>VLOOKUP($A169,'030523 INVENTARIO'!$A$2:$Y$1148,20,FALSE)</f>
        <v>82DK0511010001000533168</v>
      </c>
      <c r="L169" s="167" t="str">
        <f>VLOOKUP($A169,'030523 INVENTARIO'!$A$2:$Y$1148,23,FALSE)</f>
        <v>MARIA DEL CARMEN QUINTERO VALOIS</v>
      </c>
    </row>
    <row r="170" spans="1:12" ht="12.75" hidden="1">
      <c r="A170" s="167" t="str">
        <f>'030523 INVENTARIO'!A170</f>
        <v>0169</v>
      </c>
      <c r="B170" s="168" t="str">
        <f>'030523 INVENTARIO'!T170</f>
        <v>82DK0519010043000649479</v>
      </c>
      <c r="C170" s="167" t="str">
        <f t="shared" si="0"/>
        <v>649479</v>
      </c>
      <c r="D170" s="167" t="str">
        <f>IF(VLOOKUP(C170,'Patrimonio 2023'!$C$2:$C$1128,1,FALSE) = C170, "Encontrado", "no")</f>
        <v>Encontrado</v>
      </c>
      <c r="E170" s="167" t="str">
        <f>VLOOKUP($A170,'030523 INVENTARIO'!$A$2:$Y$1148,5,FALSE)</f>
        <v>VENTILADOR</v>
      </c>
      <c r="F170" s="167" t="str">
        <f>VLOOKUP($A170,'030523 INVENTARIO'!$A$2:$Y$1148,6,FALSE)</f>
        <v>VENTILADOR GRIS DE TORRE</v>
      </c>
      <c r="G170" s="167" t="str">
        <f ca="1">VLOOKUP($A170,'030523 INVENTARIO'!$A$2:$Y$1148,8,FALSE)</f>
        <v>P05RH-0169</v>
      </c>
      <c r="H170" s="168" t="str">
        <f>VLOOKUP($A170,'030523 INVENTARIO'!$A$2:$Y$1148,17,FALSE)</f>
        <v>NAVIA</v>
      </c>
      <c r="I170" s="167" t="str">
        <f>VLOOKUP($A170,'030523 INVENTARIO'!$A$2:$Y$1148,18,FALSE)</f>
        <v>VTM-012</v>
      </c>
      <c r="J170" s="168" t="str">
        <f>VLOOKUP($A170,'030523 INVENTARIO'!$A$2:$Y$1148,19,FALSE)</f>
        <v>T004112</v>
      </c>
      <c r="K170" s="168" t="str">
        <f>VLOOKUP($A170,'030523 INVENTARIO'!$A$2:$Y$1148,20,FALSE)</f>
        <v>82DK0519010043000649479</v>
      </c>
      <c r="L170" s="167" t="str">
        <f>VLOOKUP($A170,'030523 INVENTARIO'!$A$2:$Y$1148,23,FALSE)</f>
        <v>MARIA DEL CARMEN QUINTERO VALOIS</v>
      </c>
    </row>
    <row r="171" spans="1:12" ht="12.75" hidden="1">
      <c r="A171" s="167" t="str">
        <f>'030523 INVENTARIO'!A171</f>
        <v>0170</v>
      </c>
      <c r="B171" s="168" t="str">
        <f>'030523 INVENTARIO'!T171</f>
        <v>82DK0515010002000649383</v>
      </c>
      <c r="C171" s="167" t="str">
        <f t="shared" si="0"/>
        <v>649383</v>
      </c>
      <c r="D171" s="167" t="str">
        <f>IF(VLOOKUP(C171,'Patrimonio 2023'!$C$2:$C$1128,1,FALSE) = C171, "Encontrado", "no")</f>
        <v>Encontrado</v>
      </c>
      <c r="E171" s="167" t="str">
        <f>VLOOKUP($A171,'030523 INVENTARIO'!$A$2:$Y$1148,5,FALSE)</f>
        <v>COMPUTADORA PORTATIL</v>
      </c>
      <c r="F171" s="167" t="str">
        <f>VLOOKUP($A171,'030523 INVENTARIO'!$A$2:$Y$1148,6,FALSE)</f>
        <v>COMPUTADORA PORTATIL TOUCH</v>
      </c>
      <c r="G171" s="167" t="str">
        <f ca="1">VLOOKUP($A171,'030523 INVENTARIO'!$A$2:$Y$1148,8,FALSE)</f>
        <v>P05RH-0170</v>
      </c>
      <c r="H171" s="168" t="str">
        <f>VLOOKUP($A171,'030523 INVENTARIO'!$A$2:$Y$1148,17,FALSE)</f>
        <v>LENOVO</v>
      </c>
      <c r="I171" s="167" t="str">
        <f>VLOOKUP($A171,'030523 INVENTARIO'!$A$2:$Y$1148,18,FALSE)</f>
        <v>YOGA 8057</v>
      </c>
      <c r="J171" s="168" t="str">
        <f>VLOOKUP($A171,'030523 INVENTARIO'!$A$2:$Y$1148,19,FALSE)</f>
        <v>MP17FXMT</v>
      </c>
      <c r="K171" s="168" t="str">
        <f>VLOOKUP($A171,'030523 INVENTARIO'!$A$2:$Y$1148,20,FALSE)</f>
        <v>82DK0515010002000649383</v>
      </c>
      <c r="L171" s="167" t="str">
        <f>VLOOKUP($A171,'030523 INVENTARIO'!$A$2:$Y$1148,23,FALSE)</f>
        <v>MARIA DEL CARMEN QUINTERO VALOIS</v>
      </c>
    </row>
    <row r="172" spans="1:12" ht="12.75" hidden="1">
      <c r="A172" s="167" t="str">
        <f>'030523 INVENTARIO'!A172</f>
        <v>0171</v>
      </c>
      <c r="B172" s="168" t="str">
        <f>'030523 INVENTARIO'!T172</f>
        <v>82DK0531010065000580343</v>
      </c>
      <c r="C172" s="167" t="str">
        <f t="shared" si="0"/>
        <v>580343</v>
      </c>
      <c r="D172" s="167" t="str">
        <f>IF(VLOOKUP(C172,'Patrimonio 2023'!$C$2:$C$1128,1,FALSE) = C172, "Encontrado", "no")</f>
        <v>Encontrado</v>
      </c>
      <c r="E172" s="167" t="str">
        <f>VLOOKUP($A172,'030523 INVENTARIO'!$A$2:$Y$1148,5,FALSE)</f>
        <v>MESA</v>
      </c>
      <c r="F172" s="167" t="str">
        <f>VLOOKUP($A172,'030523 INVENTARIO'!$A$2:$Y$1148,6,FALSE)</f>
        <v>MESA COMPLEMENTO 160X60</v>
      </c>
      <c r="G172" s="167" t="str">
        <f ca="1">VLOOKUP($A172,'030523 INVENTARIO'!$A$2:$Y$1148,8,FALSE)</f>
        <v>P05RH-0171</v>
      </c>
      <c r="H172" s="168" t="str">
        <f>VLOOKUP($A172,'030523 INVENTARIO'!$A$2:$Y$1148,17,FALSE)</f>
        <v>S/M</v>
      </c>
      <c r="I172" s="167" t="str">
        <f>VLOOKUP($A172,'030523 INVENTARIO'!$A$2:$Y$1148,18,FALSE)</f>
        <v>S/M</v>
      </c>
      <c r="J172" s="168" t="str">
        <f>VLOOKUP($A172,'030523 INVENTARIO'!$A$2:$Y$1148,19,FALSE)</f>
        <v>SIN SERIE</v>
      </c>
      <c r="K172" s="168" t="str">
        <f>VLOOKUP($A172,'030523 INVENTARIO'!$A$2:$Y$1148,20,FALSE)</f>
        <v>82DK0531010065000580343</v>
      </c>
      <c r="L172" s="167" t="str">
        <f>VLOOKUP($A172,'030523 INVENTARIO'!$A$2:$Y$1148,23,FALSE)</f>
        <v>TANIA XIOMARA PEÑA ESTRADA</v>
      </c>
    </row>
    <row r="173" spans="1:12" ht="12.75" hidden="1">
      <c r="A173" s="167" t="str">
        <f>'030523 INVENTARIO'!A173</f>
        <v>0172</v>
      </c>
      <c r="B173" s="167" t="str">
        <f>'030523 INVENTARIO'!T173</f>
        <v>82DK0511010017000649486</v>
      </c>
      <c r="C173" s="167" t="str">
        <f t="shared" si="0"/>
        <v>649486</v>
      </c>
      <c r="D173" s="167" t="str">
        <f>IF(VLOOKUP(C173,'Patrimonio 2023'!$C$2:$C$1128,1,FALSE) = C173, "Encontrado", "no")</f>
        <v>Encontrado</v>
      </c>
      <c r="E173" s="167" t="str">
        <f>VLOOKUP($A173,'030523 INVENTARIO'!$A$2:$Y$1148,5,FALSE)</f>
        <v>SILLA</v>
      </c>
      <c r="F173" s="167" t="str">
        <f>VLOOKUP($A173,'030523 INVENTARIO'!$A$2:$Y$1148,6,FALSE)</f>
        <v>SILLA CON RUEDAS NEGRA</v>
      </c>
      <c r="G173" s="167" t="str">
        <f ca="1">VLOOKUP($A173,'030523 INVENTARIO'!$A$2:$Y$1148,8,FALSE)</f>
        <v>P05RH-0172</v>
      </c>
      <c r="H173" s="168" t="str">
        <f>VLOOKUP($A173,'030523 INVENTARIO'!$A$2:$Y$1148,17,FALSE)</f>
        <v>S/M</v>
      </c>
      <c r="I173" s="167" t="str">
        <f>VLOOKUP($A173,'030523 INVENTARIO'!$A$2:$Y$1148,18,FALSE)</f>
        <v>S/M</v>
      </c>
      <c r="J173" s="167" t="str">
        <f>VLOOKUP($A173,'030523 INVENTARIO'!$A$2:$Y$1148,19,FALSE)</f>
        <v>SIN SERIE</v>
      </c>
      <c r="K173" s="167" t="str">
        <f>VLOOKUP($A173,'030523 INVENTARIO'!$A$2:$Y$1148,20,FALSE)</f>
        <v>82DK0511010017000649486</v>
      </c>
      <c r="L173" s="167" t="str">
        <f>VLOOKUP($A173,'030523 INVENTARIO'!$A$2:$Y$1148,23,FALSE)</f>
        <v>TANIA XIOMARA PEÑA ESTRADA</v>
      </c>
    </row>
    <row r="174" spans="1:12" ht="12.75" hidden="1">
      <c r="A174" s="167" t="str">
        <f>'030523 INVENTARIO'!A174</f>
        <v>0175</v>
      </c>
      <c r="B174" s="168" t="str">
        <f>'030523 INVENTARIO'!T174</f>
        <v>82DH0515010013000649651</v>
      </c>
      <c r="C174" s="167" t="str">
        <f t="shared" si="0"/>
        <v>649651</v>
      </c>
      <c r="D174" s="167" t="str">
        <f>IF(VLOOKUP(C174,'Patrimonio 2023'!$C$2:$C$1128,1,FALSE) = C174, "Encontrado", "no")</f>
        <v>Encontrado</v>
      </c>
      <c r="E174" s="167" t="str">
        <f>VLOOKUP($A174,'030523 INVENTARIO'!$A$2:$Y$1148,5,FALSE)</f>
        <v>MONITOR</v>
      </c>
      <c r="F174" s="167" t="str">
        <f>VLOOKUP($A174,'030523 INVENTARIO'!$A$2:$Y$1148,6,FALSE)</f>
        <v>MONITOR 19.5"</v>
      </c>
      <c r="G174" s="167" t="str">
        <f ca="1">VLOOKUP($A174,'030523 INVENTARIO'!$A$2:$Y$1148,8,FALSE)</f>
        <v>P05RM-0175</v>
      </c>
      <c r="H174" s="168" t="str">
        <f>VLOOKUP($A174,'030523 INVENTARIO'!$A$2:$Y$1148,17,FALSE)</f>
        <v>GHIA</v>
      </c>
      <c r="I174" s="167" t="str">
        <f>VLOOKUP($A174,'030523 INVENTARIO'!$A$2:$Y$1148,18,FALSE)</f>
        <v>MG2016</v>
      </c>
      <c r="J174" s="168" t="str">
        <f>VLOOKUP($A174,'030523 INVENTARIO'!$A$2:$Y$1148,19,FALSE)</f>
        <v>SIN SERIE</v>
      </c>
      <c r="K174" s="168" t="str">
        <f>VLOOKUP($A174,'030523 INVENTARIO'!$A$2:$Y$1148,20,FALSE)</f>
        <v>82DH0515010013000649651</v>
      </c>
      <c r="L174" s="167" t="str">
        <f>VLOOKUP($A174,'030523 INVENTARIO'!$A$2:$Y$1148,23,FALSE)</f>
        <v>BLANCA ELIZABETH ALCANTAR (ALMACEN)</v>
      </c>
    </row>
    <row r="175" spans="1:12" ht="12.75" hidden="1">
      <c r="A175" s="167" t="str">
        <f>'030523 INVENTARIO'!A175</f>
        <v>0173</v>
      </c>
      <c r="B175" s="168" t="str">
        <f>'030523 INVENTARIO'!T175</f>
        <v>82DK0511010017000649485</v>
      </c>
      <c r="C175" s="167" t="str">
        <f t="shared" si="0"/>
        <v>649485</v>
      </c>
      <c r="D175" s="167" t="str">
        <f>IF(VLOOKUP(C175,'Patrimonio 2023'!$C$2:$C$1128,1,FALSE) = C175, "Encontrado", "no")</f>
        <v>Encontrado</v>
      </c>
      <c r="E175" s="167" t="str">
        <f>VLOOKUP($A175,'030523 INVENTARIO'!$A$2:$Y$1148,5,FALSE)</f>
        <v>SILLA</v>
      </c>
      <c r="F175" s="167" t="str">
        <f>VLOOKUP($A175,'030523 INVENTARIO'!$A$2:$Y$1148,6,FALSE)</f>
        <v>SILLA NEGRA DE TELA FIJA</v>
      </c>
      <c r="G175" s="167" t="str">
        <f ca="1">VLOOKUP($A175,'030523 INVENTARIO'!$A$2:$Y$1148,8,FALSE)</f>
        <v>P05RH-0173</v>
      </c>
      <c r="H175" s="168" t="str">
        <f>VLOOKUP($A175,'030523 INVENTARIO'!$A$2:$Y$1148,17,FALSE)</f>
        <v>S/M</v>
      </c>
      <c r="I175" s="167" t="str">
        <f>VLOOKUP($A175,'030523 INVENTARIO'!$A$2:$Y$1148,18,FALSE)</f>
        <v>S/M</v>
      </c>
      <c r="J175" s="168" t="str">
        <f>VLOOKUP($A175,'030523 INVENTARIO'!$A$2:$Y$1148,19,FALSE)</f>
        <v>SIN SERIE</v>
      </c>
      <c r="K175" s="168" t="str">
        <f>VLOOKUP($A175,'030523 INVENTARIO'!$A$2:$Y$1148,20,FALSE)</f>
        <v>82DK0511010017000649485</v>
      </c>
      <c r="L175" s="167" t="str">
        <f>VLOOKUP($A175,'030523 INVENTARIO'!$A$2:$Y$1148,23,FALSE)</f>
        <v>TANIA XIOMARA PEÑA ESTRADA</v>
      </c>
    </row>
    <row r="176" spans="1:12" ht="12.75" hidden="1">
      <c r="A176" s="167" t="str">
        <f>'030523 INVENTARIO'!A176</f>
        <v>0174</v>
      </c>
      <c r="B176" s="168" t="str">
        <f>'030523 INVENTARIO'!T176</f>
        <v>82DK0511010006000583483</v>
      </c>
      <c r="C176" s="167" t="str">
        <f t="shared" si="0"/>
        <v>583483</v>
      </c>
      <c r="D176" s="167" t="str">
        <f>IF(VLOOKUP(C176,'Patrimonio 2023'!$C$2:$C$1128,1,FALSE) = C176, "Encontrado", "no")</f>
        <v>Encontrado</v>
      </c>
      <c r="E176" s="167" t="str">
        <f>VLOOKUP($A176,'030523 INVENTARIO'!$A$2:$Y$1148,5,FALSE)</f>
        <v>ESCRITORIO</v>
      </c>
      <c r="F176" s="167" t="str">
        <f>VLOOKUP($A176,'030523 INVENTARIO'!$A$2:$Y$1148,6,FALSE)</f>
        <v>ESCRITORIO DE MADERA 140X60</v>
      </c>
      <c r="G176" s="167" t="str">
        <f ca="1">VLOOKUP($A176,'030523 INVENTARIO'!$A$2:$Y$1148,8,FALSE)</f>
        <v>P05RH-0174</v>
      </c>
      <c r="H176" s="168" t="str">
        <f>VLOOKUP($A176,'030523 INVENTARIO'!$A$2:$Y$1148,17,FALSE)</f>
        <v>S/M</v>
      </c>
      <c r="I176" s="167" t="str">
        <f>VLOOKUP($A176,'030523 INVENTARIO'!$A$2:$Y$1148,18,FALSE)</f>
        <v>S/M</v>
      </c>
      <c r="J176" s="168" t="str">
        <f>VLOOKUP($A176,'030523 INVENTARIO'!$A$2:$Y$1148,19,FALSE)</f>
        <v>SIN SERIE</v>
      </c>
      <c r="K176" s="168" t="str">
        <f>VLOOKUP($A176,'030523 INVENTARIO'!$A$2:$Y$1148,20,FALSE)</f>
        <v>82DK0511010006000583483</v>
      </c>
      <c r="L176" s="167" t="str">
        <f>VLOOKUP($A176,'030523 INVENTARIO'!$A$2:$Y$1148,23,FALSE)</f>
        <v>TANIA XIOMARA PEÑA ESTRADA</v>
      </c>
    </row>
    <row r="177" spans="1:12" ht="12.75" hidden="1">
      <c r="A177" s="167" t="str">
        <f>'030523 INVENTARIO'!A177</f>
        <v>0176</v>
      </c>
      <c r="B177" s="168" t="str">
        <f>'030523 INVENTARIO'!T177</f>
        <v>82DK0515010001000650663</v>
      </c>
      <c r="C177" s="167" t="str">
        <f t="shared" si="0"/>
        <v>650663</v>
      </c>
      <c r="D177" s="167" t="str">
        <f>IF(VLOOKUP(C177,'Patrimonio 2023'!$C$2:$C$1128,1,FALSE) = C177, "Encontrado", "no")</f>
        <v>Encontrado</v>
      </c>
      <c r="E177" s="167" t="str">
        <f>VLOOKUP($A177,'030523 INVENTARIO'!$A$2:$Y$1148,5,FALSE)</f>
        <v>COMPUTADORA DE ESCRITORIO</v>
      </c>
      <c r="F177" s="167" t="str">
        <f>VLOOKUP($A177,'030523 INVENTARIO'!$A$2:$Y$1148,6,FALSE)</f>
        <v>COMPUTADORA DE ESCRITORIO</v>
      </c>
      <c r="G177" s="167" t="str">
        <f ca="1">VLOOKUP($A177,'030523 INVENTARIO'!$A$2:$Y$1148,8,FALSE)</f>
        <v>P05RH-0176</v>
      </c>
      <c r="H177" s="168" t="str">
        <f>VLOOKUP($A177,'030523 INVENTARIO'!$A$2:$Y$1148,17,FALSE)</f>
        <v>GHIA</v>
      </c>
      <c r="I177" s="167">
        <f>VLOOKUP($A177,'030523 INVENTARIO'!$A$2:$Y$1148,18,FALSE)</f>
        <v>2378</v>
      </c>
      <c r="J177" s="168" t="str">
        <f>VLOOKUP($A177,'030523 INVENTARIO'!$A$2:$Y$1148,19,FALSE)</f>
        <v>337738</v>
      </c>
      <c r="K177" s="168" t="str">
        <f>VLOOKUP($A177,'030523 INVENTARIO'!$A$2:$Y$1148,20,FALSE)</f>
        <v>82DK0515010001000650663</v>
      </c>
      <c r="L177" s="167" t="str">
        <f>VLOOKUP($A177,'030523 INVENTARIO'!$A$2:$Y$1148,23,FALSE)</f>
        <v>TANIA XIOMARA PEÑA ESTRADA</v>
      </c>
    </row>
    <row r="178" spans="1:12" ht="12.75" hidden="1">
      <c r="A178" s="167" t="str">
        <f>'030523 INVENTARIO'!A178</f>
        <v>0177</v>
      </c>
      <c r="B178" s="168" t="str">
        <f>'030523 INVENTARIO'!T178</f>
        <v>82DK0515010014000539050</v>
      </c>
      <c r="C178" s="167" t="str">
        <f t="shared" si="0"/>
        <v>539050</v>
      </c>
      <c r="D178" s="167" t="str">
        <f>IF(VLOOKUP(C178,'Patrimonio 2023'!$C$2:$C$1128,1,FALSE) = C178, "Encontrado", "no")</f>
        <v>Encontrado</v>
      </c>
      <c r="E178" s="167" t="str">
        <f>VLOOKUP($A178,'030523 INVENTARIO'!$A$2:$Y$1148,5,FALSE)</f>
        <v>MULTIFUNCIONAL</v>
      </c>
      <c r="F178" s="167" t="str">
        <f>VLOOKUP($A178,'030523 INVENTARIO'!$A$2:$Y$1148,6,FALSE)</f>
        <v>MULTIFUNCIONAL NEGRO</v>
      </c>
      <c r="G178" s="167" t="str">
        <f ca="1">VLOOKUP($A178,'030523 INVENTARIO'!$A$2:$Y$1148,8,FALSE)</f>
        <v>P05RH-0177</v>
      </c>
      <c r="H178" s="168" t="str">
        <f>VLOOKUP($A178,'030523 INVENTARIO'!$A$2:$Y$1148,17,FALSE)</f>
        <v>CANON</v>
      </c>
      <c r="I178" s="167" t="str">
        <f>VLOOKUP($A178,'030523 INVENTARIO'!$A$2:$Y$1148,18,FALSE)</f>
        <v>MP280</v>
      </c>
      <c r="J178" s="167" t="str">
        <f>VLOOKUP($A178,'030523 INVENTARIO'!$A$2:$Y$1148,19,FALSE)</f>
        <v>LHWC02634</v>
      </c>
      <c r="K178" s="168" t="str">
        <f>VLOOKUP($A178,'030523 INVENTARIO'!$A$2:$Y$1148,20,FALSE)</f>
        <v>82DK0515010014000539050</v>
      </c>
      <c r="L178" s="167" t="str">
        <f>VLOOKUP($A178,'030523 INVENTARIO'!$A$2:$Y$1148,23,FALSE)</f>
        <v>TANIA XIOMARA PEÑA ESTRADA</v>
      </c>
    </row>
    <row r="179" spans="1:12" ht="12.75" hidden="1">
      <c r="A179" s="167" t="str">
        <f>'030523 INVENTARIO'!A179</f>
        <v>0178</v>
      </c>
      <c r="B179" s="168" t="str">
        <f>'030523 INVENTARIO'!T179</f>
        <v>82DK0515010020000650899</v>
      </c>
      <c r="C179" s="167" t="str">
        <f t="shared" si="0"/>
        <v>650899</v>
      </c>
      <c r="D179" s="167" t="str">
        <f>IF(VLOOKUP(C179,'Patrimonio 2023'!$C$2:$C$1128,1,FALSE) = C179, "Encontrado", "no")</f>
        <v>Encontrado</v>
      </c>
      <c r="E179" s="167" t="str">
        <f>VLOOKUP($A179,'030523 INVENTARIO'!$A$2:$Y$1148,5,FALSE)</f>
        <v>REGULADOR DE VOLTAJE</v>
      </c>
      <c r="F179" s="168" t="str">
        <f>VLOOKUP($A179,'030523 INVENTARIO'!$A$2:$Y$1148,6,FALSE)</f>
        <v>REGULADOR</v>
      </c>
      <c r="G179" s="167" t="str">
        <f ca="1">VLOOKUP($A179,'030523 INVENTARIO'!$A$2:$Y$1148,8,FALSE)</f>
        <v>P05RH-0178</v>
      </c>
      <c r="H179" s="168" t="str">
        <f>VLOOKUP($A179,'030523 INVENTARIO'!$A$2:$Y$1148,17,FALSE)</f>
        <v>KOBLENZ</v>
      </c>
      <c r="I179" s="167" t="str">
        <f>VLOOKUP($A179,'030523 INVENTARIO'!$A$2:$Y$1148,18,FALSE)</f>
        <v>RS/1400I</v>
      </c>
      <c r="J179" s="168" t="str">
        <f>VLOOKUP($A179,'030523 INVENTARIO'!$A$2:$Y$1148,19,FALSE)</f>
        <v>16-10-39226</v>
      </c>
      <c r="K179" s="168" t="str">
        <f>VLOOKUP($A179,'030523 INVENTARIO'!$A$2:$Y$1148,20,FALSE)</f>
        <v>82DK0515010020000650899</v>
      </c>
      <c r="L179" s="167" t="str">
        <f>VLOOKUP($A179,'030523 INVENTARIO'!$A$2:$Y$1148,23,FALSE)</f>
        <v>TANIA XIOMARA PEÑA ESTRADA</v>
      </c>
    </row>
    <row r="180" spans="1:12" ht="12.75" hidden="1">
      <c r="A180" s="167" t="str">
        <f>'030523 INVENTARIO'!A180</f>
        <v>0179</v>
      </c>
      <c r="B180" s="168" t="str">
        <f>'030523 INVENTARIO'!T180</f>
        <v>82DH0515010033000566420</v>
      </c>
      <c r="C180" s="167" t="str">
        <f t="shared" si="0"/>
        <v>566420</v>
      </c>
      <c r="D180" s="167" t="str">
        <f>IF(VLOOKUP(C180,'Patrimonio 2023'!$C$2:$C$1128,1,FALSE) = C180, "Encontrado", "no")</f>
        <v>Encontrado</v>
      </c>
      <c r="E180" s="167" t="str">
        <f>VLOOKUP($A180,'030523 INVENTARIO'!$A$2:$Y$1148,5,FALSE)</f>
        <v>COMPLEMENTARIO DE EQUIPO DE COMPUTO</v>
      </c>
      <c r="F180" s="167" t="str">
        <f>VLOOKUP($A180,'030523 INVENTARIO'!$A$2:$Y$1148,6,FALSE)</f>
        <v>COMPLEMENTO DE EQUIPO DE MADERA</v>
      </c>
      <c r="G180" s="167" t="str">
        <f ca="1">VLOOKUP($A180,'030523 INVENTARIO'!$A$2:$Y$1148,8,FALSE)</f>
        <v>P05RH-0179</v>
      </c>
      <c r="H180" s="168" t="str">
        <f>VLOOKUP($A180,'030523 INVENTARIO'!$A$2:$Y$1148,17,FALSE)</f>
        <v>S/M</v>
      </c>
      <c r="I180" s="167" t="str">
        <f>VLOOKUP($A180,'030523 INVENTARIO'!$A$2:$Y$1148,18,FALSE)</f>
        <v>S/M</v>
      </c>
      <c r="J180" s="168" t="str">
        <f>VLOOKUP($A180,'030523 INVENTARIO'!$A$2:$Y$1148,19,FALSE)</f>
        <v>SIN SERIE</v>
      </c>
      <c r="K180" s="168" t="str">
        <f>VLOOKUP($A180,'030523 INVENTARIO'!$A$2:$Y$1148,20,FALSE)</f>
        <v>82DH0515010033000566420</v>
      </c>
      <c r="L180" s="167" t="str">
        <f>VLOOKUP($A180,'030523 INVENTARIO'!$A$2:$Y$1148,23,FALSE)</f>
        <v>TANIA XIOMARA PEÑA ESTRADA</v>
      </c>
    </row>
    <row r="181" spans="1:12" ht="12.75" hidden="1">
      <c r="A181" s="167" t="str">
        <f>'030523 INVENTARIO'!A181</f>
        <v>0180</v>
      </c>
      <c r="B181" s="167" t="str">
        <f>'030523 INVENTARIO'!T181</f>
        <v>SIN RESGUARDO</v>
      </c>
      <c r="C181" s="167" t="str">
        <f t="shared" si="0"/>
        <v/>
      </c>
      <c r="D181" s="167" t="e">
        <f>IF(VLOOKUP(C181,'Patrimonio 2023'!$C$2:$C$1128,1,FALSE) = C181, "Encontrado", "no")</f>
        <v>#N/A</v>
      </c>
      <c r="E181" s="167" t="str">
        <f>VLOOKUP($A181,'030523 INVENTARIO'!$A$2:$Y$1148,5,FALSE)</f>
        <v>ESCRITORIO</v>
      </c>
      <c r="F181" s="167" t="str">
        <f>VLOOKUP($A181,'030523 INVENTARIO'!$A$2:$Y$1148,6,FALSE)</f>
        <v>ESCRITORIO 120X75</v>
      </c>
      <c r="G181" s="167" t="str">
        <f ca="1">VLOOKUP($A181,'030523 INVENTARIO'!$A$2:$Y$1148,8,FALSE)</f>
        <v>P05RH-0180</v>
      </c>
      <c r="H181" s="168" t="str">
        <f>VLOOKUP($A181,'030523 INVENTARIO'!$A$2:$Y$1148,17,FALSE)</f>
        <v>S/M</v>
      </c>
      <c r="I181" s="167" t="str">
        <f>VLOOKUP($A181,'030523 INVENTARIO'!$A$2:$Y$1148,18,FALSE)</f>
        <v>S/M</v>
      </c>
      <c r="J181" s="167" t="str">
        <f>VLOOKUP($A181,'030523 INVENTARIO'!$A$2:$Y$1148,19,FALSE)</f>
        <v>SIN SERIE</v>
      </c>
      <c r="K181" s="167" t="str">
        <f>VLOOKUP($A181,'030523 INVENTARIO'!$A$2:$Y$1148,20,FALSE)</f>
        <v>SIN RESGUARDO</v>
      </c>
      <c r="L181" s="167" t="str">
        <f>VLOOKUP($A181,'030523 INVENTARIO'!$A$2:$Y$1148,23,FALSE)</f>
        <v>ALMA ROSA MARTINEZ RUIZ</v>
      </c>
    </row>
    <row r="182" spans="1:12" ht="12.75" hidden="1">
      <c r="A182" s="167" t="str">
        <f>'030523 INVENTARIO'!A182</f>
        <v>0181</v>
      </c>
      <c r="B182" s="167" t="str">
        <f>'030523 INVENTARIO'!T182</f>
        <v>SIN RESGUARDO</v>
      </c>
      <c r="C182" s="167" t="str">
        <f t="shared" si="0"/>
        <v/>
      </c>
      <c r="D182" s="167" t="e">
        <f>IF(VLOOKUP(C182,'Patrimonio 2023'!$C$2:$C$1128,1,FALSE) = C182, "Encontrado", "no")</f>
        <v>#N/A</v>
      </c>
      <c r="E182" s="167" t="str">
        <f>VLOOKUP($A182,'030523 INVENTARIO'!$A$2:$Y$1148,5,FALSE)</f>
        <v>MONITOR</v>
      </c>
      <c r="F182" s="167" t="str">
        <f>VLOOKUP($A182,'030523 INVENTARIO'!$A$2:$Y$1148,6,FALSE)</f>
        <v>MONITOR 21.5"</v>
      </c>
      <c r="G182" s="167" t="str">
        <f ca="1">VLOOKUP($A182,'030523 INVENTARIO'!$A$2:$Y$1148,8,FALSE)</f>
        <v>P05RH-0181</v>
      </c>
      <c r="H182" s="168" t="str">
        <f>VLOOKUP($A182,'030523 INVENTARIO'!$A$2:$Y$1148,17,FALSE)</f>
        <v>ACER</v>
      </c>
      <c r="I182" s="167" t="str">
        <f>VLOOKUP($A182,'030523 INVENTARIO'!$A$2:$Y$1148,18,FALSE)</f>
        <v>V226HQL</v>
      </c>
      <c r="J182" s="167" t="str">
        <f>VLOOKUP($A182,'030523 INVENTARIO'!$A$2:$Y$1148,19,FALSE)</f>
        <v>MMTASAA007109006923P00</v>
      </c>
      <c r="K182" s="167" t="str">
        <f>VLOOKUP($A182,'030523 INVENTARIO'!$A$2:$Y$1148,20,FALSE)</f>
        <v>SIN RESGUARDO</v>
      </c>
      <c r="L182" s="167" t="str">
        <f>VLOOKUP($A182,'030523 INVENTARIO'!$A$2:$Y$1148,23,FALSE)</f>
        <v>ALMA ROSA MARTINEZ RUIZ</v>
      </c>
    </row>
    <row r="183" spans="1:12" ht="12.75" hidden="1">
      <c r="A183" s="167" t="str">
        <f>'030523 INVENTARIO'!A183</f>
        <v>0182</v>
      </c>
      <c r="B183" s="167" t="str">
        <f>'030523 INVENTARIO'!T183</f>
        <v>SIN RESGUARDO</v>
      </c>
      <c r="C183" s="167" t="str">
        <f t="shared" si="0"/>
        <v/>
      </c>
      <c r="D183" s="167" t="e">
        <f>IF(VLOOKUP(C183,'Patrimonio 2023'!$C$2:$C$1128,1,FALSE) = C183, "Encontrado", "no")</f>
        <v>#N/A</v>
      </c>
      <c r="E183" s="167" t="str">
        <f>VLOOKUP($A183,'030523 INVENTARIO'!$A$2:$Y$1148,5,FALSE)</f>
        <v>COMPUTADORA DE ESCRITORIO</v>
      </c>
      <c r="F183" s="167" t="str">
        <f>VLOOKUP($A183,'030523 INVENTARIO'!$A$2:$Y$1148,6,FALSE)</f>
        <v>COMPUTADORA DE ESCRITORIO</v>
      </c>
      <c r="G183" s="167" t="str">
        <f ca="1">VLOOKUP($A183,'030523 INVENTARIO'!$A$2:$Y$1148,8,FALSE)</f>
        <v>P05RH-0182</v>
      </c>
      <c r="H183" s="168" t="str">
        <f>VLOOKUP($A183,'030523 INVENTARIO'!$A$2:$Y$1148,17,FALSE)</f>
        <v>ACTECK</v>
      </c>
      <c r="I183" s="167" t="str">
        <f>VLOOKUP($A183,'030523 INVENTARIO'!$A$2:$Y$1148,18,FALSE)</f>
        <v>LINX</v>
      </c>
      <c r="J183" s="167">
        <f>VLOOKUP($A183,'030523 INVENTARIO'!$A$2:$Y$1148,19,FALSE)</f>
        <v>11392903015062</v>
      </c>
      <c r="K183" s="167" t="str">
        <f>VLOOKUP($A183,'030523 INVENTARIO'!$A$2:$Y$1148,20,FALSE)</f>
        <v>SIN RESGUARDO</v>
      </c>
      <c r="L183" s="167" t="str">
        <f>VLOOKUP($A183,'030523 INVENTARIO'!$A$2:$Y$1148,23,FALSE)</f>
        <v>ALMA ROSA MARTINEZ RUIZ</v>
      </c>
    </row>
    <row r="184" spans="1:12" ht="12.75" hidden="1">
      <c r="A184" s="167" t="str">
        <f>'030523 INVENTARIO'!A184</f>
        <v>0183</v>
      </c>
      <c r="B184" s="168" t="str">
        <f>'030523 INVENTARIO'!T184</f>
        <v>82DK0511010017000522767</v>
      </c>
      <c r="C184" s="167" t="str">
        <f t="shared" si="0"/>
        <v>522767</v>
      </c>
      <c r="D184" s="167" t="str">
        <f>IF(VLOOKUP(C184,'Patrimonio 2023'!$C$2:$C$1128,1,FALSE) = C184, "Encontrado", "no")</f>
        <v>Encontrado</v>
      </c>
      <c r="E184" s="167" t="str">
        <f>VLOOKUP($A184,'030523 INVENTARIO'!$A$2:$Y$1148,5,FALSE)</f>
        <v>SILLA</v>
      </c>
      <c r="F184" s="167" t="str">
        <f>VLOOKUP($A184,'030523 INVENTARIO'!$A$2:$Y$1148,6,FALSE)</f>
        <v>SILLA NEGRA CON RUEDAS</v>
      </c>
      <c r="G184" s="167" t="str">
        <f ca="1">VLOOKUP($A184,'030523 INVENTARIO'!$A$2:$Y$1148,8,FALSE)</f>
        <v>P05RH-0183</v>
      </c>
      <c r="H184" s="168" t="str">
        <f>VLOOKUP($A184,'030523 INVENTARIO'!$A$2:$Y$1148,17,FALSE)</f>
        <v>S/M</v>
      </c>
      <c r="I184" s="167" t="str">
        <f>VLOOKUP($A184,'030523 INVENTARIO'!$A$2:$Y$1148,18,FALSE)</f>
        <v>S/M</v>
      </c>
      <c r="J184" s="168" t="str">
        <f>VLOOKUP($A184,'030523 INVENTARIO'!$A$2:$Y$1148,19,FALSE)</f>
        <v>SIN SERIE</v>
      </c>
      <c r="K184" s="168" t="str">
        <f>VLOOKUP($A184,'030523 INVENTARIO'!$A$2:$Y$1148,20,FALSE)</f>
        <v>82DK0511010017000522767</v>
      </c>
      <c r="L184" s="167" t="str">
        <f>VLOOKUP($A184,'030523 INVENTARIO'!$A$2:$Y$1148,23,FALSE)</f>
        <v>ALMA ROSA MARTINEZ RUIZ</v>
      </c>
    </row>
    <row r="185" spans="1:12" ht="12.75">
      <c r="A185" s="167" t="str">
        <f>'030523 INVENTARIO'!A185</f>
        <v>0184</v>
      </c>
      <c r="B185" s="167" t="str">
        <f>'030523 INVENTARIO'!T185</f>
        <v>82DJ0515010016000539062</v>
      </c>
      <c r="C185" s="167" t="str">
        <f t="shared" si="0"/>
        <v>539062</v>
      </c>
      <c r="D185" s="167" t="e">
        <f>IF(VLOOKUP(C185,'Patrimonio 2023'!$C$2:$C$1128,1,FALSE) = C185, "Encontrado", "no")</f>
        <v>#N/A</v>
      </c>
      <c r="E185" s="167" t="str">
        <f>VLOOKUP($A185,'030523 INVENTARIO'!$A$2:$Y$1148,5,FALSE)</f>
        <v>REGULADOR DE VOLTAJE</v>
      </c>
      <c r="F185" s="167" t="str">
        <f>VLOOKUP($A185,'030523 INVENTARIO'!$A$2:$Y$1148,6,FALSE)</f>
        <v>REGULADOR NEGRO</v>
      </c>
      <c r="G185" s="167" t="str">
        <f ca="1">VLOOKUP($A185,'030523 INVENTARIO'!$A$2:$Y$1148,8,FALSE)</f>
        <v>P05RH-0184</v>
      </c>
      <c r="H185" s="168" t="str">
        <f>VLOOKUP($A185,'030523 INVENTARIO'!$A$2:$Y$1148,17,FALSE)</f>
        <v>TRIPPLITE</v>
      </c>
      <c r="I185" s="167" t="str">
        <f>VLOOKUP($A185,'030523 INVENTARIO'!$A$2:$Y$1148,18,FALSE)</f>
        <v>INTERNET550U</v>
      </c>
      <c r="J185" s="167" t="str">
        <f>VLOOKUP($A185,'030523 INVENTARIO'!$A$2:$Y$1148,19,FALSE)</f>
        <v>9730CY0BC575600755</v>
      </c>
      <c r="K185" s="167" t="str">
        <f>VLOOKUP($A185,'030523 INVENTARIO'!$A$2:$Y$1148,20,FALSE)</f>
        <v>82DJ0515010016000539062</v>
      </c>
      <c r="L185" s="167" t="str">
        <f>VLOOKUP($A185,'030523 INVENTARIO'!$A$2:$Y$1148,23,FALSE)</f>
        <v>ALMA ROSA MARTINEZ RUIZ</v>
      </c>
    </row>
    <row r="186" spans="1:12" ht="12.75" hidden="1">
      <c r="A186" s="167" t="str">
        <f>'030523 INVENTARIO'!A186</f>
        <v>0185</v>
      </c>
      <c r="B186" s="168" t="str">
        <f>'030523 INVENTARIO'!T186</f>
        <v>82DK0515010033000564663</v>
      </c>
      <c r="C186" s="167" t="str">
        <f t="shared" si="0"/>
        <v>564663</v>
      </c>
      <c r="D186" s="167" t="str">
        <f>IF(VLOOKUP(C186,'Patrimonio 2023'!$C$2:$C$1128,1,FALSE) = C186, "Encontrado", "no")</f>
        <v>Encontrado</v>
      </c>
      <c r="E186" s="167" t="str">
        <f>VLOOKUP($A186,'030523 INVENTARIO'!$A$2:$Y$1148,5,FALSE)</f>
        <v>COMPLEMENTARIO DE EQUIPO DE COMPUTO</v>
      </c>
      <c r="F186" s="168" t="str">
        <f>VLOOKUP($A186,'030523 INVENTARIO'!$A$2:$Y$1148,6,FALSE)</f>
        <v>COMPLEMENTO DE EQUIPO DE MADERA</v>
      </c>
      <c r="G186" s="167" t="str">
        <f ca="1">VLOOKUP($A186,'030523 INVENTARIO'!$A$2:$Y$1148,8,FALSE)</f>
        <v>P05RH-0185</v>
      </c>
      <c r="H186" s="168" t="str">
        <f>VLOOKUP($A186,'030523 INVENTARIO'!$A$2:$Y$1148,17,FALSE)</f>
        <v>S/M</v>
      </c>
      <c r="I186" s="167" t="str">
        <f>VLOOKUP($A186,'030523 INVENTARIO'!$A$2:$Y$1148,18,FALSE)</f>
        <v>S/M</v>
      </c>
      <c r="J186" s="168" t="str">
        <f>VLOOKUP($A186,'030523 INVENTARIO'!$A$2:$Y$1148,19,FALSE)</f>
        <v>SIN SERIE</v>
      </c>
      <c r="K186" s="168" t="str">
        <f>VLOOKUP($A186,'030523 INVENTARIO'!$A$2:$Y$1148,20,FALSE)</f>
        <v>82DK0515010033000564663</v>
      </c>
      <c r="L186" s="167" t="str">
        <f>VLOOKUP($A186,'030523 INVENTARIO'!$A$2:$Y$1148,23,FALSE)</f>
        <v>ALMA ROSA MARTINEZ RUIZ</v>
      </c>
    </row>
    <row r="187" spans="1:12" ht="12.75" hidden="1">
      <c r="A187" s="167" t="str">
        <f>'030523 INVENTARIO'!A187</f>
        <v>0186</v>
      </c>
      <c r="B187" s="168" t="str">
        <f>'030523 INVENTARIO'!T187</f>
        <v>82DK0531010065000564833</v>
      </c>
      <c r="C187" s="167" t="str">
        <f t="shared" si="0"/>
        <v>564833</v>
      </c>
      <c r="D187" s="167" t="str">
        <f>IF(VLOOKUP(C187,'Patrimonio 2023'!$C$2:$C$1128,1,FALSE) = C187, "Encontrado", "no")</f>
        <v>Encontrado</v>
      </c>
      <c r="E187" s="167" t="str">
        <f>VLOOKUP($A187,'030523 INVENTARIO'!$A$2:$Y$1148,5,FALSE)</f>
        <v>MESA</v>
      </c>
      <c r="F187" s="167" t="str">
        <f>VLOOKUP($A187,'030523 INVENTARIO'!$A$2:$Y$1148,6,FALSE)</f>
        <v>MESA DE MADERA COMPLEMENTO 160X60</v>
      </c>
      <c r="G187" s="167" t="str">
        <f ca="1">VLOOKUP($A187,'030523 INVENTARIO'!$A$2:$Y$1148,8,FALSE)</f>
        <v>P05RH-0186</v>
      </c>
      <c r="H187" s="168" t="str">
        <f>VLOOKUP($A187,'030523 INVENTARIO'!$A$2:$Y$1148,17,FALSE)</f>
        <v>S/M</v>
      </c>
      <c r="I187" s="167" t="str">
        <f>VLOOKUP($A187,'030523 INVENTARIO'!$A$2:$Y$1148,18,FALSE)</f>
        <v>S/M</v>
      </c>
      <c r="J187" s="168" t="str">
        <f>VLOOKUP($A187,'030523 INVENTARIO'!$A$2:$Y$1148,19,FALSE)</f>
        <v>SIN SERIE</v>
      </c>
      <c r="K187" s="168" t="str">
        <f>VLOOKUP($A187,'030523 INVENTARIO'!$A$2:$Y$1148,20,FALSE)</f>
        <v>82DK0531010065000564833</v>
      </c>
      <c r="L187" s="167" t="str">
        <f>VLOOKUP($A187,'030523 INVENTARIO'!$A$2:$Y$1148,23,FALSE)</f>
        <v>JULIO CESAR AVALOS BECERRA</v>
      </c>
    </row>
    <row r="188" spans="1:12" ht="12.75" hidden="1">
      <c r="A188" s="167" t="str">
        <f>'030523 INVENTARIO'!A188</f>
        <v>0187</v>
      </c>
      <c r="B188" s="168" t="str">
        <f>'030523 INVENTARIO'!T188</f>
        <v>82DK0511010006000518527</v>
      </c>
      <c r="C188" s="167" t="str">
        <f t="shared" si="0"/>
        <v>518527</v>
      </c>
      <c r="D188" s="167" t="str">
        <f>IF(VLOOKUP(C188,'Patrimonio 2023'!$C$2:$C$1128,1,FALSE) = C188, "Encontrado", "no")</f>
        <v>Encontrado</v>
      </c>
      <c r="E188" s="167" t="str">
        <f>VLOOKUP($A188,'030523 INVENTARIO'!$A$2:$Y$1148,5,FALSE)</f>
        <v>ESCRITORIO</v>
      </c>
      <c r="F188" s="167" t="str">
        <f>VLOOKUP($A188,'030523 INVENTARIO'!$A$2:$Y$1148,6,FALSE)</f>
        <v>ESCRITORIO DE MADERA 140X60</v>
      </c>
      <c r="G188" s="167" t="str">
        <f ca="1">VLOOKUP($A188,'030523 INVENTARIO'!$A$2:$Y$1148,8,FALSE)</f>
        <v>P05RH-0187</v>
      </c>
      <c r="H188" s="168" t="str">
        <f>VLOOKUP($A188,'030523 INVENTARIO'!$A$2:$Y$1148,17,FALSE)</f>
        <v>S/M</v>
      </c>
      <c r="I188" s="167" t="str">
        <f>VLOOKUP($A188,'030523 INVENTARIO'!$A$2:$Y$1148,18,FALSE)</f>
        <v>S/M</v>
      </c>
      <c r="J188" s="168" t="str">
        <f>VLOOKUP($A188,'030523 INVENTARIO'!$A$2:$Y$1148,19,FALSE)</f>
        <v>SIN SERIE</v>
      </c>
      <c r="K188" s="168" t="str">
        <f>VLOOKUP($A188,'030523 INVENTARIO'!$A$2:$Y$1148,20,FALSE)</f>
        <v>82DK0511010006000518527</v>
      </c>
      <c r="L188" s="167" t="str">
        <f>VLOOKUP($A188,'030523 INVENTARIO'!$A$2:$Y$1148,23,FALSE)</f>
        <v>JULIO CESAR AVALOS BECERRA</v>
      </c>
    </row>
    <row r="189" spans="1:12" ht="12.75" hidden="1">
      <c r="A189" s="167" t="str">
        <f>'030523 INVENTARIO'!A189</f>
        <v>0188</v>
      </c>
      <c r="B189" s="168" t="str">
        <f>'030523 INVENTARIO'!T189</f>
        <v>82DK0515010001000535501</v>
      </c>
      <c r="C189" s="167" t="str">
        <f t="shared" si="0"/>
        <v>535501</v>
      </c>
      <c r="D189" s="167" t="str">
        <f>IF(VLOOKUP(C189,'Patrimonio 2023'!$C$2:$C$1128,1,FALSE) = C189, "Encontrado", "no")</f>
        <v>Encontrado</v>
      </c>
      <c r="E189" s="167" t="str">
        <f>VLOOKUP($A189,'030523 INVENTARIO'!$A$2:$Y$1148,5,FALSE)</f>
        <v>COMPUTADORA DE ESCRITORIO</v>
      </c>
      <c r="F189" s="168" t="str">
        <f>VLOOKUP($A189,'030523 INVENTARIO'!$A$2:$Y$1148,6,FALSE)</f>
        <v>COMPUTADORA NEGRO</v>
      </c>
      <c r="G189" s="167" t="str">
        <f ca="1">VLOOKUP($A189,'030523 INVENTARIO'!$A$2:$Y$1148,8,FALSE)</f>
        <v>P05RH-0188</v>
      </c>
      <c r="H189" s="168" t="str">
        <f>VLOOKUP($A189,'030523 INVENTARIO'!$A$2:$Y$1148,17,FALSE)</f>
        <v>ACER</v>
      </c>
      <c r="I189" s="167" t="str">
        <f>VLOOKUP($A189,'030523 INVENTARIO'!$A$2:$Y$1148,18,FALSE)</f>
        <v>ASPIRE X3990</v>
      </c>
      <c r="J189" s="168" t="str">
        <f>VLOOKUP($A189,'030523 INVENTARIO'!$A$2:$Y$1148,19,FALSE)</f>
        <v>DTSGKAL003207089629200</v>
      </c>
      <c r="K189" s="168" t="str">
        <f>VLOOKUP($A189,'030523 INVENTARIO'!$A$2:$Y$1148,20,FALSE)</f>
        <v>82DK0515010001000535501</v>
      </c>
      <c r="L189" s="167" t="str">
        <f>VLOOKUP($A189,'030523 INVENTARIO'!$A$2:$Y$1148,23,FALSE)</f>
        <v>JULIO CESAR AVALOS BECERRA</v>
      </c>
    </row>
    <row r="190" spans="1:12" ht="12.75" hidden="1">
      <c r="A190" s="167" t="str">
        <f>'030523 INVENTARIO'!A190</f>
        <v>0189</v>
      </c>
      <c r="B190" s="168" t="str">
        <f>'030523 INVENTARIO'!T190</f>
        <v>82DK0565010041000539116</v>
      </c>
      <c r="C190" s="167" t="str">
        <f t="shared" si="0"/>
        <v>539116</v>
      </c>
      <c r="D190" s="167" t="str">
        <f>IF(VLOOKUP(C190,'Patrimonio 2023'!$C$2:$C$1128,1,FALSE) = C190, "Encontrado", "no")</f>
        <v>Encontrado</v>
      </c>
      <c r="E190" s="167" t="str">
        <f>VLOOKUP($A190,'030523 INVENTARIO'!$A$2:$Y$1148,5,FALSE)</f>
        <v>MONITOR</v>
      </c>
      <c r="F190" s="167" t="str">
        <f>VLOOKUP($A190,'030523 INVENTARIO'!$A$2:$Y$1148,6,FALSE)</f>
        <v>MONITOR 18.5"</v>
      </c>
      <c r="G190" s="167" t="str">
        <f ca="1">VLOOKUP($A190,'030523 INVENTARIO'!$A$2:$Y$1148,8,FALSE)</f>
        <v>P05RH-0189</v>
      </c>
      <c r="H190" s="168" t="str">
        <f>VLOOKUP($A190,'030523 INVENTARIO'!$A$2:$Y$1148,17,FALSE)</f>
        <v>ACER</v>
      </c>
      <c r="I190" s="167" t="str">
        <f>VLOOKUP($A190,'030523 INVENTARIO'!$A$2:$Y$1148,18,FALSE)</f>
        <v>P186HV</v>
      </c>
      <c r="J190" s="168" t="str">
        <f>VLOOKUP($A190,'030523 INVENTARIO'!$A$2:$Y$1148,19,FALSE)</f>
        <v>20200725443</v>
      </c>
      <c r="K190" s="168" t="str">
        <f>VLOOKUP($A190,'030523 INVENTARIO'!$A$2:$Y$1148,20,FALSE)</f>
        <v>82DK0565010041000539116</v>
      </c>
      <c r="L190" s="167" t="str">
        <f>VLOOKUP($A190,'030523 INVENTARIO'!$A$2:$Y$1148,23,FALSE)</f>
        <v>JULIO CESAR AVALOS BECERRA</v>
      </c>
    </row>
    <row r="191" spans="1:12" ht="12.75" hidden="1">
      <c r="A191" s="167" t="str">
        <f>'030523 INVENTARIO'!A191</f>
        <v>0190</v>
      </c>
      <c r="B191" s="167" t="str">
        <f>'030523 INVENTARIO'!T191</f>
        <v>82DH0515010020000649442</v>
      </c>
      <c r="C191" s="167" t="str">
        <f t="shared" si="0"/>
        <v>649442</v>
      </c>
      <c r="D191" s="167" t="str">
        <f>IF(VLOOKUP(C191,'Patrimonio 2023'!$C$2:$C$1128,1,FALSE) = C191, "Encontrado", "no")</f>
        <v>Encontrado</v>
      </c>
      <c r="E191" s="167" t="str">
        <f>VLOOKUP($A191,'030523 INVENTARIO'!$A$2:$Y$1148,5,FALSE)</f>
        <v>REGULADOR DE VOLTAJE</v>
      </c>
      <c r="F191" s="167" t="str">
        <f>VLOOKUP($A191,'030523 INVENTARIO'!$A$2:$Y$1148,6,FALSE)</f>
        <v>REGULADOR</v>
      </c>
      <c r="G191" s="167" t="str">
        <f ca="1">VLOOKUP($A191,'030523 INVENTARIO'!$A$2:$Y$1148,8,FALSE)</f>
        <v>P05RH-0190</v>
      </c>
      <c r="H191" s="168" t="str">
        <f>VLOOKUP($A191,'030523 INVENTARIO'!$A$2:$Y$1148,17,FALSE)</f>
        <v>KOBLENZ</v>
      </c>
      <c r="I191" s="167" t="str">
        <f>VLOOKUP($A191,'030523 INVENTARIO'!$A$2:$Y$1148,18,FALSE)</f>
        <v>BP-1350-I</v>
      </c>
      <c r="J191" s="167">
        <f>VLOOKUP($A191,'030523 INVENTARIO'!$A$2:$Y$1148,19,FALSE)</f>
        <v>161139013</v>
      </c>
      <c r="K191" s="167" t="str">
        <f>VLOOKUP($A191,'030523 INVENTARIO'!$A$2:$Y$1148,20,FALSE)</f>
        <v>82DH0515010020000649442</v>
      </c>
      <c r="L191" s="167" t="str">
        <f>VLOOKUP($A191,'030523 INVENTARIO'!$A$2:$Y$1148,23,FALSE)</f>
        <v>JULIO CESAR AVALOS BECERRA</v>
      </c>
    </row>
    <row r="192" spans="1:12" ht="12.75" hidden="1">
      <c r="A192" s="167" t="str">
        <f>'030523 INVENTARIO'!A192</f>
        <v>0191</v>
      </c>
      <c r="B192" s="168" t="str">
        <f>'030523 INVENTARIO'!T192</f>
        <v>82DK0511010017000516302</v>
      </c>
      <c r="C192" s="167" t="str">
        <f t="shared" si="0"/>
        <v>516302</v>
      </c>
      <c r="D192" s="167" t="str">
        <f>IF(VLOOKUP(C192,'Patrimonio 2023'!$C$2:$C$1128,1,FALSE) = C192, "Encontrado", "no")</f>
        <v>Encontrado</v>
      </c>
      <c r="E192" s="167" t="str">
        <f>VLOOKUP($A192,'030523 INVENTARIO'!$A$2:$Y$1148,5,FALSE)</f>
        <v>SILLA</v>
      </c>
      <c r="F192" s="167" t="str">
        <f>VLOOKUP($A192,'030523 INVENTARIO'!$A$2:$Y$1148,6,FALSE)</f>
        <v>SILLA  CON RUEDAS NEGRA</v>
      </c>
      <c r="G192" s="167" t="str">
        <f ca="1">VLOOKUP($A192,'030523 INVENTARIO'!$A$2:$Y$1148,8,FALSE)</f>
        <v>P05RH-0191</v>
      </c>
      <c r="H192" s="168" t="str">
        <f>VLOOKUP($A192,'030523 INVENTARIO'!$A$2:$Y$1148,17,FALSE)</f>
        <v>S/M</v>
      </c>
      <c r="I192" s="167" t="str">
        <f>VLOOKUP($A192,'030523 INVENTARIO'!$A$2:$Y$1148,18,FALSE)</f>
        <v>S/M</v>
      </c>
      <c r="J192" s="168" t="str">
        <f>VLOOKUP($A192,'030523 INVENTARIO'!$A$2:$Y$1148,19,FALSE)</f>
        <v>SIN SERIE</v>
      </c>
      <c r="K192" s="168" t="str">
        <f>VLOOKUP($A192,'030523 INVENTARIO'!$A$2:$Y$1148,20,FALSE)</f>
        <v>82DK0511010017000516302</v>
      </c>
      <c r="L192" s="167" t="str">
        <f>VLOOKUP($A192,'030523 INVENTARIO'!$A$2:$Y$1148,23,FALSE)</f>
        <v>JULIO CESAR AVALOS BECERRA</v>
      </c>
    </row>
    <row r="193" spans="1:12" ht="12.75" hidden="1">
      <c r="A193" s="167" t="str">
        <f>'030523 INVENTARIO'!A193</f>
        <v>0192</v>
      </c>
      <c r="B193" s="168" t="str">
        <f>'030523 INVENTARIO'!T193</f>
        <v>82DH0511010006000651085</v>
      </c>
      <c r="C193" s="167" t="str">
        <f t="shared" si="0"/>
        <v>651085</v>
      </c>
      <c r="D193" s="167" t="str">
        <f>IF(VLOOKUP(C193,'Patrimonio 2023'!$C$2:$C$1128,1,FALSE) = C193, "Encontrado", "no")</f>
        <v>Encontrado</v>
      </c>
      <c r="E193" s="167" t="str">
        <f>VLOOKUP($A193,'030523 INVENTARIO'!$A$2:$Y$1148,5,FALSE)</f>
        <v>ESCRITORIO</v>
      </c>
      <c r="F193" s="167" t="str">
        <f>VLOOKUP($A193,'030523 INVENTARIO'!$A$2:$Y$1148,6,FALSE)</f>
        <v>ESCRITORIO DE MADERA 140X60</v>
      </c>
      <c r="G193" s="167" t="str">
        <f ca="1">VLOOKUP($A193,'030523 INVENTARIO'!$A$2:$Y$1148,8,FALSE)</f>
        <v>P05RH-0192</v>
      </c>
      <c r="H193" s="168" t="str">
        <f>VLOOKUP($A193,'030523 INVENTARIO'!$A$2:$Y$1148,17,FALSE)</f>
        <v>S/M</v>
      </c>
      <c r="I193" s="167" t="str">
        <f>VLOOKUP($A193,'030523 INVENTARIO'!$A$2:$Y$1148,18,FALSE)</f>
        <v>S/M</v>
      </c>
      <c r="J193" s="168" t="str">
        <f>VLOOKUP($A193,'030523 INVENTARIO'!$A$2:$Y$1148,19,FALSE)</f>
        <v>SIN SERIE</v>
      </c>
      <c r="K193" s="168" t="str">
        <f>VLOOKUP($A193,'030523 INVENTARIO'!$A$2:$Y$1148,20,FALSE)</f>
        <v>82DH0511010006000651085</v>
      </c>
      <c r="L193" s="167" t="str">
        <f>VLOOKUP($A193,'030523 INVENTARIO'!$A$2:$Y$1148,23,FALSE)</f>
        <v>ALBERTO MANZO SILVA</v>
      </c>
    </row>
    <row r="194" spans="1:12" ht="12.75" hidden="1">
      <c r="A194" s="167" t="str">
        <f>'030523 INVENTARIO'!A194</f>
        <v>0193</v>
      </c>
      <c r="B194" s="167" t="str">
        <f>'030523 INVENTARIO'!T194</f>
        <v>82DK0515010003000649539</v>
      </c>
      <c r="C194" s="167" t="str">
        <f t="shared" si="0"/>
        <v>649539</v>
      </c>
      <c r="D194" s="167" t="str">
        <f>IF(VLOOKUP(C194,'Patrimonio 2023'!$C$2:$C$1128,1,FALSE) = C194, "Encontrado", "no")</f>
        <v>Encontrado</v>
      </c>
      <c r="E194" s="167" t="str">
        <f>VLOOKUP($A194,'030523 INVENTARIO'!$A$2:$Y$1148,5,FALSE)</f>
        <v>COMPUTADORA DE ESCRITORIO</v>
      </c>
      <c r="F194" s="167" t="str">
        <f>VLOOKUP($A194,'030523 INVENTARIO'!$A$2:$Y$1148,6,FALSE)</f>
        <v>COMPUTADORA TODO EN UNO BLANCO</v>
      </c>
      <c r="G194" s="167" t="str">
        <f ca="1">VLOOKUP($A194,'030523 INVENTARIO'!$A$2:$Y$1148,8,FALSE)</f>
        <v>P05RH-0193</v>
      </c>
      <c r="H194" s="168" t="str">
        <f>VLOOKUP($A194,'030523 INVENTARIO'!$A$2:$Y$1148,17,FALSE)</f>
        <v>LENOVO</v>
      </c>
      <c r="I194" s="167" t="str">
        <f>VLOOKUP($A194,'030523 INVENTARIO'!$A$2:$Y$1148,18,FALSE)</f>
        <v>CS0503210F 310-20IAP</v>
      </c>
      <c r="J194" s="168" t="str">
        <f>VLOOKUP($A194,'030523 INVENTARIO'!$A$2:$Y$1148,19,FALSE)</f>
        <v>CS02527760</v>
      </c>
      <c r="K194" s="167" t="str">
        <f>VLOOKUP($A194,'030523 INVENTARIO'!$A$2:$Y$1148,20,FALSE)</f>
        <v>82DK0515010003000649539</v>
      </c>
      <c r="L194" s="167" t="str">
        <f>VLOOKUP($A194,'030523 INVENTARIO'!$A$2:$Y$1148,23,FALSE)</f>
        <v>ALBERTO MANZO SILVA</v>
      </c>
    </row>
    <row r="195" spans="1:12" ht="12.75" hidden="1">
      <c r="A195" s="167" t="str">
        <f>'030523 INVENTARIO'!A195</f>
        <v>0194</v>
      </c>
      <c r="B195" s="167" t="str">
        <f>'030523 INVENTARIO'!T195</f>
        <v>82DK0515010016000649490</v>
      </c>
      <c r="C195" s="167" t="str">
        <f t="shared" si="0"/>
        <v>649490</v>
      </c>
      <c r="D195" s="167" t="str">
        <f>IF(VLOOKUP(C195,'Patrimonio 2023'!$C$2:$C$1128,1,FALSE) = C195, "Encontrado", "no")</f>
        <v>Encontrado</v>
      </c>
      <c r="E195" s="167" t="str">
        <f>VLOOKUP($A195,'030523 INVENTARIO'!$A$2:$Y$1148,5,FALSE)</f>
        <v>NO BREAK</v>
      </c>
      <c r="F195" s="167" t="str">
        <f>VLOOKUP($A195,'030523 INVENTARIO'!$A$2:$Y$1148,6,FALSE)</f>
        <v>NO BREAK</v>
      </c>
      <c r="G195" s="167" t="str">
        <f ca="1">VLOOKUP($A195,'030523 INVENTARIO'!$A$2:$Y$1148,8,FALSE)</f>
        <v>P05RM-0194</v>
      </c>
      <c r="H195" s="168" t="str">
        <f>VLOOKUP($A195,'030523 INVENTARIO'!$A$2:$Y$1148,17,FALSE)</f>
        <v>TRIPP LITE</v>
      </c>
      <c r="I195" s="167" t="str">
        <f>VLOOKUP($A195,'030523 INVENTARIO'!$A$2:$Y$1148,18,FALSE)</f>
        <v>INTERNET550U</v>
      </c>
      <c r="J195" s="168" t="str">
        <f>VLOOKUP($A195,'030523 INVENTARIO'!$A$2:$Y$1148,19,FALSE)</f>
        <v>9730CY0BC575600710</v>
      </c>
      <c r="K195" s="167" t="str">
        <f>VLOOKUP($A195,'030523 INVENTARIO'!$A$2:$Y$1148,20,FALSE)</f>
        <v>82DK0515010016000649490</v>
      </c>
      <c r="L195" s="167" t="str">
        <f>VLOOKUP($A195,'030523 INVENTARIO'!$A$2:$Y$1148,23,FALSE)</f>
        <v>AMERICA LISETH MARTINEZ CRUZ</v>
      </c>
    </row>
    <row r="196" spans="1:12" ht="12.75" hidden="1">
      <c r="A196" s="167" t="str">
        <f>'030523 INVENTARIO'!A196</f>
        <v>0195</v>
      </c>
      <c r="B196" s="168" t="str">
        <f>'030523 INVENTARIO'!T196</f>
        <v>82DK0511010006000534680</v>
      </c>
      <c r="C196" s="167" t="str">
        <f t="shared" si="0"/>
        <v>534680</v>
      </c>
      <c r="D196" s="167" t="str">
        <f>IF(VLOOKUP(C196,'Patrimonio 2023'!$C$2:$C$1128,1,FALSE) = C196, "Encontrado", "no")</f>
        <v>Encontrado</v>
      </c>
      <c r="E196" s="167" t="str">
        <f>VLOOKUP($A196,'030523 INVENTARIO'!$A$2:$Y$1148,5,FALSE)</f>
        <v>ESCRITORIO</v>
      </c>
      <c r="F196" s="167" t="str">
        <f>VLOOKUP($A196,'030523 INVENTARIO'!$A$2:$Y$1148,6,FALSE)</f>
        <v>ESCRITORIO DE MADERA DE 2 PIEZAS</v>
      </c>
      <c r="G196" s="167" t="str">
        <f ca="1">VLOOKUP($A196,'030523 INVENTARIO'!$A$2:$Y$1148,8,FALSE)</f>
        <v>P05RM-0195</v>
      </c>
      <c r="H196" s="168" t="str">
        <f>VLOOKUP($A196,'030523 INVENTARIO'!$A$2:$Y$1148,17,FALSE)</f>
        <v>S/M</v>
      </c>
      <c r="I196" s="167" t="str">
        <f>VLOOKUP($A196,'030523 INVENTARIO'!$A$2:$Y$1148,18,FALSE)</f>
        <v>S/M</v>
      </c>
      <c r="J196" s="168" t="str">
        <f>VLOOKUP($A196,'030523 INVENTARIO'!$A$2:$Y$1148,19,FALSE)</f>
        <v>SIN SERIE</v>
      </c>
      <c r="K196" s="168" t="str">
        <f>VLOOKUP($A196,'030523 INVENTARIO'!$A$2:$Y$1148,20,FALSE)</f>
        <v>82DK0511010006000534680</v>
      </c>
      <c r="L196" s="167" t="str">
        <f>VLOOKUP($A196,'030523 INVENTARIO'!$A$2:$Y$1148,23,FALSE)</f>
        <v>AMERICA LISETH MARTINEZ CRUZ</v>
      </c>
    </row>
    <row r="197" spans="1:12" ht="12.75" hidden="1">
      <c r="A197" s="167" t="str">
        <f>'030523 INVENTARIO'!A197</f>
        <v>0196</v>
      </c>
      <c r="B197" s="168" t="str">
        <f>'030523 INVENTARIO'!T197</f>
        <v>82DJ0511010017000516341</v>
      </c>
      <c r="C197" s="167" t="str">
        <f t="shared" si="0"/>
        <v>516341</v>
      </c>
      <c r="D197" s="167" t="str">
        <f>IF(VLOOKUP(C197,'Patrimonio 2023'!$C$2:$C$1128,1,FALSE) = C197, "Encontrado", "no")</f>
        <v>Encontrado</v>
      </c>
      <c r="E197" s="167" t="str">
        <f>VLOOKUP($A197,'030523 INVENTARIO'!$A$2:$Y$1148,5,FALSE)</f>
        <v>SILLA</v>
      </c>
      <c r="F197" s="167" t="str">
        <f>VLOOKUP($A197,'030523 INVENTARIO'!$A$2:$Y$1148,6,FALSE)</f>
        <v>SILLA NEGRA DE TELA CON RUEDAS</v>
      </c>
      <c r="G197" s="167" t="str">
        <f ca="1">VLOOKUP($A197,'030523 INVENTARIO'!$A$2:$Y$1148,8,FALSE)</f>
        <v>P05RM-0196</v>
      </c>
      <c r="H197" s="168" t="str">
        <f>VLOOKUP($A197,'030523 INVENTARIO'!$A$2:$Y$1148,17,FALSE)</f>
        <v>S/M</v>
      </c>
      <c r="I197" s="167" t="str">
        <f>VLOOKUP($A197,'030523 INVENTARIO'!$A$2:$Y$1148,18,FALSE)</f>
        <v>S/M</v>
      </c>
      <c r="J197" s="168" t="str">
        <f>VLOOKUP($A197,'030523 INVENTARIO'!$A$2:$Y$1148,19,FALSE)</f>
        <v>SIN SERIE</v>
      </c>
      <c r="K197" s="168" t="str">
        <f>VLOOKUP($A197,'030523 INVENTARIO'!$A$2:$Y$1148,20,FALSE)</f>
        <v>82DJ0511010017000516341</v>
      </c>
      <c r="L197" s="167" t="str">
        <f>VLOOKUP($A197,'030523 INVENTARIO'!$A$2:$Y$1148,23,FALSE)</f>
        <v>AMERICA LISETH MARTINEZ CRUZ</v>
      </c>
    </row>
    <row r="198" spans="1:12" ht="12.75" hidden="1">
      <c r="A198" s="167" t="str">
        <f>'030523 INVENTARIO'!A198</f>
        <v>0197</v>
      </c>
      <c r="B198" s="168" t="str">
        <f>'030523 INVENTARIO'!T198</f>
        <v>82DK0511010017000522771</v>
      </c>
      <c r="C198" s="167" t="str">
        <f t="shared" si="0"/>
        <v>522771</v>
      </c>
      <c r="D198" s="167" t="str">
        <f>IF(VLOOKUP(C198,'Patrimonio 2023'!$C$2:$C$1128,1,FALSE) = C198, "Encontrado", "no")</f>
        <v>Encontrado</v>
      </c>
      <c r="E198" s="167" t="str">
        <f>VLOOKUP($A198,'030523 INVENTARIO'!$A$2:$Y$1148,5,FALSE)</f>
        <v>SILLA</v>
      </c>
      <c r="F198" s="167" t="str">
        <f>VLOOKUP($A198,'030523 INVENTARIO'!$A$2:$Y$1148,6,FALSE)</f>
        <v>SILLA NEGRA DE TELA FIJA</v>
      </c>
      <c r="G198" s="167" t="str">
        <f ca="1">VLOOKUP($A198,'030523 INVENTARIO'!$A$2:$Y$1148,8,FALSE)</f>
        <v>P05RH-0197</v>
      </c>
      <c r="H198" s="168" t="str">
        <f>VLOOKUP($A198,'030523 INVENTARIO'!$A$2:$Y$1148,17,FALSE)</f>
        <v>S/M</v>
      </c>
      <c r="I198" s="167" t="str">
        <f>VLOOKUP($A198,'030523 INVENTARIO'!$A$2:$Y$1148,18,FALSE)</f>
        <v>S/M</v>
      </c>
      <c r="J198" s="168" t="str">
        <f>VLOOKUP($A198,'030523 INVENTARIO'!$A$2:$Y$1148,19,FALSE)</f>
        <v>SIN SERIE</v>
      </c>
      <c r="K198" s="168" t="str">
        <f>VLOOKUP($A198,'030523 INVENTARIO'!$A$2:$Y$1148,20,FALSE)</f>
        <v>82DK0511010017000522771</v>
      </c>
      <c r="L198" s="167" t="str">
        <f>VLOOKUP($A198,'030523 INVENTARIO'!$A$2:$Y$1148,23,FALSE)</f>
        <v>MARIA DEL CARMEN QUINTERO VALOIS (SECRETARIA)</v>
      </c>
    </row>
    <row r="199" spans="1:12" ht="12.75" hidden="1">
      <c r="A199" s="167" t="str">
        <f>'030523 INVENTARIO'!A199</f>
        <v>0198</v>
      </c>
      <c r="B199" s="167" t="str">
        <f>'030523 INVENTARIO'!T199</f>
        <v>82DH0511010017000649527</v>
      </c>
      <c r="C199" s="167" t="str">
        <f t="shared" si="0"/>
        <v>649527</v>
      </c>
      <c r="D199" s="167" t="str">
        <f>IF(VLOOKUP(C199,'Patrimonio 2023'!$C$2:$C$1128,1,FALSE) = C199, "Encontrado", "no")</f>
        <v>Encontrado</v>
      </c>
      <c r="E199" s="167" t="str">
        <f>VLOOKUP($A199,'030523 INVENTARIO'!$A$2:$Y$1148,5,FALSE)</f>
        <v>SILLA</v>
      </c>
      <c r="F199" s="167" t="str">
        <f>VLOOKUP($A199,'030523 INVENTARIO'!$A$2:$Y$1148,6,FALSE)</f>
        <v>SILLA DE TELA NEGRA SEMIEJECUTIVA</v>
      </c>
      <c r="G199" s="167" t="str">
        <f ca="1">VLOOKUP($A199,'030523 INVENTARIO'!$A$2:$Y$1148,8,FALSE)</f>
        <v>P05DA-0198</v>
      </c>
      <c r="H199" s="168" t="str">
        <f>VLOOKUP($A199,'030523 INVENTARIO'!$A$2:$Y$1148,17,FALSE)</f>
        <v>S/M</v>
      </c>
      <c r="I199" s="167" t="str">
        <f>VLOOKUP($A199,'030523 INVENTARIO'!$A$2:$Y$1148,18,FALSE)</f>
        <v>S/M</v>
      </c>
      <c r="J199" s="167" t="str">
        <f>VLOOKUP($A199,'030523 INVENTARIO'!$A$2:$Y$1148,19,FALSE)</f>
        <v>SIN SERIE</v>
      </c>
      <c r="K199" s="167" t="str">
        <f>VLOOKUP($A199,'030523 INVENTARIO'!$A$2:$Y$1148,20,FALSE)</f>
        <v>82DH0511010017000649527</v>
      </c>
      <c r="L199" s="167" t="str">
        <f>VLOOKUP($A199,'030523 INVENTARIO'!$A$2:$Y$1148,23,FALSE)</f>
        <v>HUMBERTO HERNANDEZ OLIVO</v>
      </c>
    </row>
    <row r="200" spans="1:12" ht="12.75" hidden="1">
      <c r="A200" s="167" t="str">
        <f>'030523 INVENTARIO'!A200</f>
        <v>0199</v>
      </c>
      <c r="B200" s="168" t="str">
        <f>'030523 INVENTARIO'!T200</f>
        <v>82DH0511010005000583322</v>
      </c>
      <c r="C200" s="167" t="str">
        <f t="shared" si="0"/>
        <v>583322</v>
      </c>
      <c r="D200" s="167" t="str">
        <f>IF(VLOOKUP(C200,'Patrimonio 2023'!$C$2:$C$1128,1,FALSE) = C200, "Encontrado", "no")</f>
        <v>Encontrado</v>
      </c>
      <c r="E200" s="167" t="str">
        <f>VLOOKUP($A200,'030523 INVENTARIO'!$A$2:$Y$1148,5,FALSE)</f>
        <v>CREDENZA</v>
      </c>
      <c r="F200" s="167" t="str">
        <f>VLOOKUP($A200,'030523 INVENTARIO'!$A$2:$Y$1148,6,FALSE)</f>
        <v>CREDENZA DE MADERA 74X173X46</v>
      </c>
      <c r="G200" s="167" t="str">
        <f ca="1">VLOOKUP($A200,'030523 INVENTARIO'!$A$2:$Y$1148,8,FALSE)</f>
        <v>P12ST-0199</v>
      </c>
      <c r="H200" s="168" t="str">
        <f>VLOOKUP($A200,'030523 INVENTARIO'!$A$2:$Y$1148,17,FALSE)</f>
        <v>S/M</v>
      </c>
      <c r="I200" s="167" t="str">
        <f>VLOOKUP($A200,'030523 INVENTARIO'!$A$2:$Y$1148,18,FALSE)</f>
        <v>S/M</v>
      </c>
      <c r="J200" s="168" t="str">
        <f>VLOOKUP($A200,'030523 INVENTARIO'!$A$2:$Y$1148,19,FALSE)</f>
        <v>SIN SERIE</v>
      </c>
      <c r="K200" s="168" t="str">
        <f>VLOOKUP($A200,'030523 INVENTARIO'!$A$2:$Y$1148,20,FALSE)</f>
        <v>82DH0511010005000583322</v>
      </c>
      <c r="L200" s="167" t="str">
        <f>VLOOKUP($A200,'030523 INVENTARIO'!$A$2:$Y$1148,23,FALSE)</f>
        <v>SANDRA OLIVIA REYNA MARIN</v>
      </c>
    </row>
    <row r="201" spans="1:12" ht="12.75" hidden="1">
      <c r="A201" s="167" t="str">
        <f>'030523 INVENTARIO'!A201</f>
        <v>0200</v>
      </c>
      <c r="B201" s="168" t="str">
        <f>'030523 INVENTARIO'!T201</f>
        <v>SIN RESGUARDO</v>
      </c>
      <c r="C201" s="167" t="str">
        <f t="shared" si="0"/>
        <v/>
      </c>
      <c r="D201" s="167" t="e">
        <f>IF(VLOOKUP(C201,'Patrimonio 2023'!$C$2:$C$1128,1,FALSE) = C201, "Encontrado", "no")</f>
        <v>#N/A</v>
      </c>
      <c r="E201" s="167" t="str">
        <f>VLOOKUP($A201,'030523 INVENTARIO'!$A$2:$Y$1148,5,FALSE)</f>
        <v>SILLA</v>
      </c>
      <c r="F201" s="167" t="str">
        <f>VLOOKUP($A201,'030523 INVENTARIO'!$A$2:$Y$1148,6,FALSE)</f>
        <v>SILLA DE TELA NEGRA FIJA</v>
      </c>
      <c r="G201" s="167" t="str">
        <f ca="1">VLOOKUP($A201,'030523 INVENTARIO'!$A$2:$Y$1148,8,FALSE)</f>
        <v>P12SI-0200</v>
      </c>
      <c r="H201" s="168" t="str">
        <f>VLOOKUP($A201,'030523 INVENTARIO'!$A$2:$Y$1148,17,FALSE)</f>
        <v>S/M</v>
      </c>
      <c r="I201" s="167" t="str">
        <f>VLOOKUP($A201,'030523 INVENTARIO'!$A$2:$Y$1148,18,FALSE)</f>
        <v>S/M</v>
      </c>
      <c r="J201" s="168" t="str">
        <f>VLOOKUP($A201,'030523 INVENTARIO'!$A$2:$Y$1148,19,FALSE)</f>
        <v>SIN SERIE</v>
      </c>
      <c r="K201" s="168" t="str">
        <f>VLOOKUP($A201,'030523 INVENTARIO'!$A$2:$Y$1148,20,FALSE)</f>
        <v>SIN RESGUARDO</v>
      </c>
      <c r="L201" s="167" t="str">
        <f>VLOOKUP($A201,'030523 INVENTARIO'!$A$2:$Y$1148,23,FALSE)</f>
        <v>CHRISTIAN ZARCO MERCADO</v>
      </c>
    </row>
    <row r="202" spans="1:12" ht="12.75" hidden="1">
      <c r="A202" s="167" t="str">
        <f>'030523 INVENTARIO'!A202</f>
        <v>0201</v>
      </c>
      <c r="B202" s="168" t="str">
        <f>'030523 INVENTARIO'!T202</f>
        <v>SIN RESGUARDO</v>
      </c>
      <c r="C202" s="167" t="str">
        <f t="shared" si="0"/>
        <v/>
      </c>
      <c r="D202" s="167" t="e">
        <f>IF(VLOOKUP(C202,'Patrimonio 2023'!$C$2:$C$1128,1,FALSE) = C202, "Encontrado", "no")</f>
        <v>#N/A</v>
      </c>
      <c r="E202" s="167" t="str">
        <f>VLOOKUP($A202,'030523 INVENTARIO'!$A$2:$Y$1148,5,FALSE)</f>
        <v>PIZARRON</v>
      </c>
      <c r="F202" s="167" t="str">
        <f>VLOOKUP($A202,'030523 INVENTARIO'!$A$2:$Y$1148,6,FALSE)</f>
        <v>PIZARRON CON CORCHO 60X40</v>
      </c>
      <c r="G202" s="167" t="str">
        <f ca="1">VLOOKUP($A202,'030523 INVENTARIO'!$A$2:$Y$1148,8,FALSE)</f>
        <v>P12ST-0201</v>
      </c>
      <c r="H202" s="168" t="str">
        <f>VLOOKUP($A202,'030523 INVENTARIO'!$A$2:$Y$1148,17,FALSE)</f>
        <v>S/M</v>
      </c>
      <c r="I202" s="167" t="str">
        <f>VLOOKUP($A202,'030523 INVENTARIO'!$A$2:$Y$1148,18,FALSE)</f>
        <v>S/M</v>
      </c>
      <c r="J202" s="168" t="str">
        <f>VLOOKUP($A202,'030523 INVENTARIO'!$A$2:$Y$1148,19,FALSE)</f>
        <v>SIN SERIE</v>
      </c>
      <c r="K202" s="168" t="str">
        <f>VLOOKUP($A202,'030523 INVENTARIO'!$A$2:$Y$1148,20,FALSE)</f>
        <v>SIN RESGUARDO</v>
      </c>
      <c r="L202" s="167" t="str">
        <f>VLOOKUP($A202,'030523 INVENTARIO'!$A$2:$Y$1148,23,FALSE)</f>
        <v>SANDRA OLIVIA REYNA MARIN</v>
      </c>
    </row>
    <row r="203" spans="1:12" ht="12.75" hidden="1">
      <c r="A203" s="167" t="str">
        <f>'030523 INVENTARIO'!A203</f>
        <v>0202</v>
      </c>
      <c r="B203" s="168" t="str">
        <f>'030523 INVENTARIO'!T203</f>
        <v>82DJ0519010043000649363</v>
      </c>
      <c r="C203" s="167" t="str">
        <f t="shared" si="0"/>
        <v>649363</v>
      </c>
      <c r="D203" s="167" t="str">
        <f>IF(VLOOKUP(C203,'Patrimonio 2023'!$C$2:$C$1128,1,FALSE) = C203, "Encontrado", "no")</f>
        <v>Encontrado</v>
      </c>
      <c r="E203" s="167" t="str">
        <f>VLOOKUP($A203,'030523 INVENTARIO'!$A$2:$Y$1148,5,FALSE)</f>
        <v>VENTILADOR</v>
      </c>
      <c r="F203" s="167" t="str">
        <f>VLOOKUP($A203,'030523 INVENTARIO'!$A$2:$Y$1148,6,FALSE)</f>
        <v>VENTILADOR GRIS DE PARED</v>
      </c>
      <c r="G203" s="167" t="str">
        <f ca="1">VLOOKUP($A203,'030523 INVENTARIO'!$A$2:$Y$1148,8,FALSE)</f>
        <v>P12ST-0202</v>
      </c>
      <c r="H203" s="168" t="str">
        <f>VLOOKUP($A203,'030523 INVENTARIO'!$A$2:$Y$1148,17,FALSE)</f>
        <v>NAVIA</v>
      </c>
      <c r="I203" s="167" t="str">
        <f>VLOOKUP($A203,'030523 INVENTARIO'!$A$2:$Y$1148,18,FALSE)</f>
        <v>VPN/018</v>
      </c>
      <c r="J203" s="168" t="str">
        <f>VLOOKUP($A203,'030523 INVENTARIO'!$A$2:$Y$1148,19,FALSE)</f>
        <v>SIN SERIE</v>
      </c>
      <c r="K203" s="168" t="str">
        <f>VLOOKUP($A203,'030523 INVENTARIO'!$A$2:$Y$1148,20,FALSE)</f>
        <v>82DJ0519010043000649363</v>
      </c>
      <c r="L203" s="167" t="str">
        <f>VLOOKUP($A203,'030523 INVENTARIO'!$A$2:$Y$1148,23,FALSE)</f>
        <v>SANDRA OLIVIA REYNA MARIN</v>
      </c>
    </row>
    <row r="204" spans="1:12" ht="12.75" hidden="1">
      <c r="A204" s="167" t="str">
        <f>'030523 INVENTARIO'!A204</f>
        <v>0203</v>
      </c>
      <c r="B204" s="168" t="str">
        <f>'030523 INVENTARIO'!T204</f>
        <v>82DH0511010006000564906</v>
      </c>
      <c r="C204" s="167" t="str">
        <f t="shared" si="0"/>
        <v>564906</v>
      </c>
      <c r="D204" s="167" t="str">
        <f>IF(VLOOKUP(C204,'Patrimonio 2023'!$C$2:$C$1128,1,FALSE) = C204, "Encontrado", "no")</f>
        <v>Encontrado</v>
      </c>
      <c r="E204" s="167" t="str">
        <f>VLOOKUP($A204,'030523 INVENTARIO'!$A$2:$Y$1148,5,FALSE)</f>
        <v>ESCRITORIO</v>
      </c>
      <c r="F204" s="167" t="str">
        <f>VLOOKUP($A204,'030523 INVENTARIO'!$A$2:$Y$1148,6,FALSE)</f>
        <v>ESCRITORIO DE MADERA TIPO ISLA 4 PIEZAS</v>
      </c>
      <c r="G204" s="167" t="str">
        <f ca="1">VLOOKUP($A204,'030523 INVENTARIO'!$A$2:$Y$1148,8,FALSE)</f>
        <v>P12ST-0203</v>
      </c>
      <c r="H204" s="168" t="str">
        <f>VLOOKUP($A204,'030523 INVENTARIO'!$A$2:$Y$1148,17,FALSE)</f>
        <v>S/M</v>
      </c>
      <c r="I204" s="167" t="str">
        <f>VLOOKUP($A204,'030523 INVENTARIO'!$A$2:$Y$1148,18,FALSE)</f>
        <v>S/M</v>
      </c>
      <c r="J204" s="168" t="str">
        <f>VLOOKUP($A204,'030523 INVENTARIO'!$A$2:$Y$1148,19,FALSE)</f>
        <v>SIN SERIE</v>
      </c>
      <c r="K204" s="168" t="str">
        <f>VLOOKUP($A204,'030523 INVENTARIO'!$A$2:$Y$1148,20,FALSE)</f>
        <v>82DH0511010006000564906</v>
      </c>
      <c r="L204" s="167" t="str">
        <f>VLOOKUP($A204,'030523 INVENTARIO'!$A$2:$Y$1148,23,FALSE)</f>
        <v>SANDRA OLIVIA REYNA MARIN</v>
      </c>
    </row>
    <row r="205" spans="1:12" ht="12.75" hidden="1">
      <c r="A205" s="167" t="str">
        <f>'030523 INVENTARIO'!A205</f>
        <v>0204</v>
      </c>
      <c r="B205" s="168" t="str">
        <f>'030523 INVENTARIO'!T205</f>
        <v>82DH0511010008000649461</v>
      </c>
      <c r="C205" s="167" t="str">
        <f t="shared" si="0"/>
        <v>649461</v>
      </c>
      <c r="D205" s="167" t="str">
        <f>IF(VLOOKUP(C205,'Patrimonio 2023'!$C$2:$C$1128,1,FALSE) = C205, "Encontrado", "no")</f>
        <v>Encontrado</v>
      </c>
      <c r="E205" s="167" t="str">
        <f>VLOOKUP($A205,'030523 INVENTARIO'!$A$2:$Y$1148,5,FALSE)</f>
        <v>LIBRERO</v>
      </c>
      <c r="F205" s="167" t="str">
        <f>VLOOKUP($A205,'030523 INVENTARIO'!$A$2:$Y$1148,6,FALSE)</f>
        <v>LIBRERO DE MADERA</v>
      </c>
      <c r="G205" s="167" t="str">
        <f ca="1">VLOOKUP($A205,'030523 INVENTARIO'!$A$2:$Y$1148,8,FALSE)</f>
        <v>P12ST-0204</v>
      </c>
      <c r="H205" s="168" t="str">
        <f>VLOOKUP($A205,'030523 INVENTARIO'!$A$2:$Y$1148,17,FALSE)</f>
        <v>S/M</v>
      </c>
      <c r="I205" s="167" t="str">
        <f>VLOOKUP($A205,'030523 INVENTARIO'!$A$2:$Y$1148,18,FALSE)</f>
        <v>S/M</v>
      </c>
      <c r="J205" s="168" t="str">
        <f>VLOOKUP($A205,'030523 INVENTARIO'!$A$2:$Y$1148,19,FALSE)</f>
        <v>SIN SERIE</v>
      </c>
      <c r="K205" s="168" t="str">
        <f>VLOOKUP($A205,'030523 INVENTARIO'!$A$2:$Y$1148,20,FALSE)</f>
        <v>82DH0511010008000649461</v>
      </c>
      <c r="L205" s="167" t="str">
        <f>VLOOKUP($A205,'030523 INVENTARIO'!$A$2:$Y$1148,23,FALSE)</f>
        <v>SANDRA OLIVIA REYNA MARIN</v>
      </c>
    </row>
    <row r="206" spans="1:12" ht="12.75" hidden="1">
      <c r="A206" s="167" t="str">
        <f>'030523 INVENTARIO'!A206</f>
        <v>0205</v>
      </c>
      <c r="B206" s="168" t="str">
        <f>'030523 INVENTARIO'!T206</f>
        <v>82DJ0511010029000649459</v>
      </c>
      <c r="C206" s="167" t="str">
        <f t="shared" si="0"/>
        <v>649459</v>
      </c>
      <c r="D206" s="167" t="str">
        <f>IF(VLOOKUP(C206,'Patrimonio 2023'!$C$2:$C$1128,1,FALSE) = C206, "Encontrado", "no")</f>
        <v>Encontrado</v>
      </c>
      <c r="E206" s="167" t="str">
        <f>VLOOKUP($A206,'030523 INVENTARIO'!$A$2:$Y$1148,5,FALSE)</f>
        <v>ESCRITORIO</v>
      </c>
      <c r="F206" s="167" t="str">
        <f>VLOOKUP($A206,'030523 INVENTARIO'!$A$2:$Y$1148,6,FALSE)</f>
        <v>MODULO DE MADERA</v>
      </c>
      <c r="G206" s="167" t="str">
        <f ca="1">VLOOKUP($A206,'030523 INVENTARIO'!$A$2:$Y$1148,8,FALSE)</f>
        <v>P12ST-0205</v>
      </c>
      <c r="H206" s="168" t="str">
        <f>VLOOKUP($A206,'030523 INVENTARIO'!$A$2:$Y$1148,17,FALSE)</f>
        <v>S/M</v>
      </c>
      <c r="I206" s="167" t="str">
        <f>VLOOKUP($A206,'030523 INVENTARIO'!$A$2:$Y$1148,18,FALSE)</f>
        <v>S/M</v>
      </c>
      <c r="J206" s="168" t="str">
        <f>VLOOKUP($A206,'030523 INVENTARIO'!$A$2:$Y$1148,19,FALSE)</f>
        <v>SIN SERIE</v>
      </c>
      <c r="K206" s="168" t="str">
        <f>VLOOKUP($A206,'030523 INVENTARIO'!$A$2:$Y$1148,20,FALSE)</f>
        <v>82DJ0511010029000649459</v>
      </c>
      <c r="L206" s="167" t="str">
        <f>VLOOKUP($A206,'030523 INVENTARIO'!$A$2:$Y$1148,23,FALSE)</f>
        <v>SANDRA OLIVIA REYNA MARIN</v>
      </c>
    </row>
    <row r="207" spans="1:12" ht="12.75" hidden="1">
      <c r="A207" s="167" t="str">
        <f>'030523 INVENTARIO'!A207</f>
        <v>0206</v>
      </c>
      <c r="B207" s="168" t="str">
        <f>'030523 INVENTARIO'!T207</f>
        <v>82DH0511010006000649460</v>
      </c>
      <c r="C207" s="167" t="str">
        <f t="shared" si="0"/>
        <v>649460</v>
      </c>
      <c r="D207" s="167" t="str">
        <f>IF(VLOOKUP(C207,'Patrimonio 2023'!$C$2:$C$1128,1,FALSE) = C207, "Encontrado", "no")</f>
        <v>Encontrado</v>
      </c>
      <c r="E207" s="167" t="str">
        <f>VLOOKUP($A207,'030523 INVENTARIO'!$A$2:$Y$1148,5,FALSE)</f>
        <v>ESCRITORIO</v>
      </c>
      <c r="F207" s="167" t="str">
        <f>VLOOKUP($A207,'030523 INVENTARIO'!$A$2:$Y$1148,6,FALSE)</f>
        <v>ESCRITORIO DE MADERA</v>
      </c>
      <c r="G207" s="167" t="str">
        <f ca="1">VLOOKUP($A207,'030523 INVENTARIO'!$A$2:$Y$1148,8,FALSE)</f>
        <v>P12ST-0206</v>
      </c>
      <c r="H207" s="168" t="str">
        <f>VLOOKUP($A207,'030523 INVENTARIO'!$A$2:$Y$1148,17,FALSE)</f>
        <v>S/M</v>
      </c>
      <c r="I207" s="167" t="str">
        <f>VLOOKUP($A207,'030523 INVENTARIO'!$A$2:$Y$1148,18,FALSE)</f>
        <v>S/M</v>
      </c>
      <c r="J207" s="168" t="str">
        <f>VLOOKUP($A207,'030523 INVENTARIO'!$A$2:$Y$1148,19,FALSE)</f>
        <v>SIN SERIE</v>
      </c>
      <c r="K207" s="168" t="str">
        <f>VLOOKUP($A207,'030523 INVENTARIO'!$A$2:$Y$1148,20,FALSE)</f>
        <v>82DH0511010006000649460</v>
      </c>
      <c r="L207" s="167" t="str">
        <f>VLOOKUP($A207,'030523 INVENTARIO'!$A$2:$Y$1148,23,FALSE)</f>
        <v>SANDRA OLIVIA REYNA MARIN</v>
      </c>
    </row>
    <row r="208" spans="1:12" ht="12.75" hidden="1">
      <c r="A208" s="167" t="str">
        <f>'030523 INVENTARIO'!A208</f>
        <v>0207</v>
      </c>
      <c r="B208" s="168" t="str">
        <f>'030523 INVENTARIO'!T208</f>
        <v>82DH0511010016000515600</v>
      </c>
      <c r="C208" s="167" t="str">
        <f t="shared" si="0"/>
        <v>515600</v>
      </c>
      <c r="D208" s="167" t="str">
        <f>IF(VLOOKUP(C208,'Patrimonio 2023'!$C$2:$C$1128,1,FALSE) = C208, "Encontrado", "no")</f>
        <v>Encontrado</v>
      </c>
      <c r="E208" s="167" t="str">
        <f>VLOOKUP($A208,'030523 INVENTARIO'!$A$2:$Y$1148,5,FALSE)</f>
        <v>SILLON</v>
      </c>
      <c r="F208" s="168" t="str">
        <f>VLOOKUP($A208,'030523 INVENTARIO'!$A$2:$Y$1148,6,FALSE)</f>
        <v>SILLON CAFÉ CON RUEDAS (RETAPIZADO)</v>
      </c>
      <c r="G208" s="167" t="str">
        <f ca="1">VLOOKUP($A208,'030523 INVENTARIO'!$A$2:$Y$1148,8,FALSE)</f>
        <v>P12ST-0207</v>
      </c>
      <c r="H208" s="168" t="str">
        <f>VLOOKUP($A208,'030523 INVENTARIO'!$A$2:$Y$1148,17,FALSE)</f>
        <v>S/M</v>
      </c>
      <c r="I208" s="167" t="str">
        <f>VLOOKUP($A208,'030523 INVENTARIO'!$A$2:$Y$1148,18,FALSE)</f>
        <v>S/M</v>
      </c>
      <c r="J208" s="168" t="str">
        <f>VLOOKUP($A208,'030523 INVENTARIO'!$A$2:$Y$1148,19,FALSE)</f>
        <v>SIN SERIE</v>
      </c>
      <c r="K208" s="168" t="str">
        <f>VLOOKUP($A208,'030523 INVENTARIO'!$A$2:$Y$1148,20,FALSE)</f>
        <v>82DH0511010016000515600</v>
      </c>
      <c r="L208" s="167" t="str">
        <f>VLOOKUP($A208,'030523 INVENTARIO'!$A$2:$Y$1148,23,FALSE)</f>
        <v>SANDRA OLIVIA REYNA MARIN</v>
      </c>
    </row>
    <row r="209" spans="1:12" ht="12.75" hidden="1">
      <c r="A209" s="167" t="str">
        <f>'030523 INVENTARIO'!A209</f>
        <v>0208</v>
      </c>
      <c r="B209" s="168" t="str">
        <f>'030523 INVENTARIO'!T209</f>
        <v>82DI0515010001000535446</v>
      </c>
      <c r="C209" s="167" t="str">
        <f t="shared" si="0"/>
        <v>535446</v>
      </c>
      <c r="D209" s="167" t="str">
        <f>IF(VLOOKUP(C209,'Patrimonio 2023'!$C$2:$C$1128,1,FALSE) = C209, "Encontrado", "no")</f>
        <v>Encontrado</v>
      </c>
      <c r="E209" s="167" t="str">
        <f>VLOOKUP($A209,'030523 INVENTARIO'!$A$2:$Y$1148,5,FALSE)</f>
        <v>COMPUTADORA DE ESCRITORIO</v>
      </c>
      <c r="F209" s="167" t="str">
        <f>VLOOKUP($A209,'030523 INVENTARIO'!$A$2:$Y$1148,6,FALSE)</f>
        <v>COMPUTADORA DE ESCRITORIO</v>
      </c>
      <c r="G209" s="167" t="str">
        <f ca="1">VLOOKUP($A209,'030523 INVENTARIO'!$A$2:$Y$1148,8,FALSE)</f>
        <v>P12ST-0208</v>
      </c>
      <c r="H209" s="168" t="str">
        <f>VLOOKUP($A209,'030523 INVENTARIO'!$A$2:$Y$1148,17,FALSE)</f>
        <v>HP</v>
      </c>
      <c r="I209" s="167" t="str">
        <f>VLOOKUP($A209,'030523 INVENTARIO'!$A$2:$Y$1148,18,FALSE)</f>
        <v>PRO 6300</v>
      </c>
      <c r="J209" s="168" t="str">
        <f>VLOOKUP($A209,'030523 INVENTARIO'!$A$2:$Y$1148,19,FALSE)</f>
        <v>MXL25001F6</v>
      </c>
      <c r="K209" s="168" t="str">
        <f>VLOOKUP($A209,'030523 INVENTARIO'!$A$2:$Y$1148,20,FALSE)</f>
        <v>82DI0515010001000535446</v>
      </c>
      <c r="L209" s="167" t="str">
        <f>VLOOKUP($A209,'030523 INVENTARIO'!$A$2:$Y$1148,23,FALSE)</f>
        <v>SANDRA OLIVIA REYNA MARIN</v>
      </c>
    </row>
    <row r="210" spans="1:12" ht="12.75" hidden="1">
      <c r="A210" s="167" t="str">
        <f>'030523 INVENTARIO'!A210</f>
        <v>0209</v>
      </c>
      <c r="B210" s="168" t="str">
        <f>'030523 INVENTARIO'!T210</f>
        <v>82DI0565010041000522226</v>
      </c>
      <c r="C210" s="167" t="str">
        <f t="shared" si="0"/>
        <v>522226</v>
      </c>
      <c r="D210" s="167" t="str">
        <f>IF(VLOOKUP(C210,'Patrimonio 2023'!$C$2:$C$1128,1,FALSE) = C210, "Encontrado", "no")</f>
        <v>Encontrado</v>
      </c>
      <c r="E210" s="167" t="str">
        <f>VLOOKUP($A210,'030523 INVENTARIO'!$A$2:$Y$1148,5,FALSE)</f>
        <v>MONITOR</v>
      </c>
      <c r="F210" s="167" t="str">
        <f>VLOOKUP($A210,'030523 INVENTARIO'!$A$2:$Y$1148,6,FALSE)</f>
        <v>MONITOR 19"</v>
      </c>
      <c r="G210" s="167" t="str">
        <f ca="1">VLOOKUP($A210,'030523 INVENTARIO'!$A$2:$Y$1148,8,FALSE)</f>
        <v>P12ST-0209</v>
      </c>
      <c r="H210" s="168" t="str">
        <f>VLOOKUP($A210,'030523 INVENTARIO'!$A$2:$Y$1148,17,FALSE)</f>
        <v>HP COMPAQ</v>
      </c>
      <c r="I210" s="167" t="str">
        <f>VLOOKUP($A210,'030523 INVENTARIO'!$A$2:$Y$1148,18,FALSE)</f>
        <v>WF1907</v>
      </c>
      <c r="J210" s="168" t="str">
        <f>VLOOKUP($A210,'030523 INVENTARIO'!$A$2:$Y$1148,19,FALSE)</f>
        <v>CNN81301OS</v>
      </c>
      <c r="K210" s="168" t="str">
        <f>VLOOKUP($A210,'030523 INVENTARIO'!$A$2:$Y$1148,20,FALSE)</f>
        <v>82DI0565010041000522226</v>
      </c>
      <c r="L210" s="167" t="str">
        <f>VLOOKUP($A210,'030523 INVENTARIO'!$A$2:$Y$1148,23,FALSE)</f>
        <v>SANDRA OLIVIA REYNA MARIN</v>
      </c>
    </row>
    <row r="211" spans="1:12" ht="12.75" hidden="1">
      <c r="A211" s="167" t="str">
        <f>'030523 INVENTARIO'!A211</f>
        <v>0210</v>
      </c>
      <c r="B211" s="168" t="str">
        <f>'030523 INVENTARIO'!T211</f>
        <v>82DH0565010001000533072</v>
      </c>
      <c r="C211" s="167" t="str">
        <f t="shared" si="0"/>
        <v>533072</v>
      </c>
      <c r="D211" s="167" t="str">
        <f>IF(VLOOKUP(C211,'Patrimonio 2023'!$C$2:$C$1128,1,FALSE) = C211, "Encontrado", "no")</f>
        <v>Encontrado</v>
      </c>
      <c r="E211" s="167" t="str">
        <f>VLOOKUP($A211,'030523 INVENTARIO'!$A$2:$Y$1148,5,FALSE)</f>
        <v>TELEFONO</v>
      </c>
      <c r="F211" s="167" t="str">
        <f>VLOOKUP($A211,'030523 INVENTARIO'!$A$2:$Y$1148,6,FALSE)</f>
        <v>TELEFONO GRIS</v>
      </c>
      <c r="G211" s="167" t="str">
        <f ca="1">VLOOKUP($A211,'030523 INVENTARIO'!$A$2:$Y$1148,8,FALSE)</f>
        <v>P12PP-0210</v>
      </c>
      <c r="H211" s="168" t="str">
        <f>VLOOKUP($A211,'030523 INVENTARIO'!$A$2:$Y$1148,17,FALSE)</f>
        <v>CISCO</v>
      </c>
      <c r="I211" s="167" t="str">
        <f>VLOOKUP($A211,'030523 INVENTARIO'!$A$2:$Y$1148,18,FALSE)</f>
        <v>SPA504G</v>
      </c>
      <c r="J211" s="168" t="str">
        <f>VLOOKUP($A211,'030523 INVENTARIO'!$A$2:$Y$1148,19,FALSE)</f>
        <v>CCQ18330BDM</v>
      </c>
      <c r="K211" s="168" t="str">
        <f>VLOOKUP($A211,'030523 INVENTARIO'!$A$2:$Y$1148,20,FALSE)</f>
        <v>82DH0565010001000533072</v>
      </c>
      <c r="L211" s="167" t="str">
        <f>VLOOKUP($A211,'030523 INVENTARIO'!$A$2:$Y$1148,23,FALSE)</f>
        <v>LIZBETH ZAMORA CERVANTES</v>
      </c>
    </row>
    <row r="212" spans="1:12" ht="12.75" hidden="1">
      <c r="A212" s="167" t="str">
        <f>'030523 INVENTARIO'!A212</f>
        <v>0211</v>
      </c>
      <c r="B212" s="168" t="str">
        <f>'030523 INVENTARIO'!T212</f>
        <v>82DH0515010002000649384</v>
      </c>
      <c r="C212" s="167" t="str">
        <f t="shared" si="0"/>
        <v>649384</v>
      </c>
      <c r="D212" s="167" t="str">
        <f>IF(VLOOKUP(C212,'Patrimonio 2023'!$C$2:$C$1128,1,FALSE) = C212, "Encontrado", "no")</f>
        <v>Encontrado</v>
      </c>
      <c r="E212" s="167" t="str">
        <f>VLOOKUP($A212,'030523 INVENTARIO'!$A$2:$Y$1148,5,FALSE)</f>
        <v>COMPUTADORA PORTATIL</v>
      </c>
      <c r="F212" s="168" t="str">
        <f>VLOOKUP($A212,'030523 INVENTARIO'!$A$2:$Y$1148,6,FALSE)</f>
        <v>COMPUTADORA PORTATIL GRIS</v>
      </c>
      <c r="G212" s="167" t="str">
        <f ca="1">VLOOKUP($A212,'030523 INVENTARIO'!$A$2:$Y$1148,8,FALSE)</f>
        <v>P05DA-0211</v>
      </c>
      <c r="H212" s="168" t="str">
        <f>VLOOKUP($A212,'030523 INVENTARIO'!$A$2:$Y$1148,17,FALSE)</f>
        <v>HP</v>
      </c>
      <c r="I212" s="167" t="str">
        <f>VLOOKUP($A212,'030523 INVENTARIO'!$A$2:$Y$1148,18,FALSE)</f>
        <v>15/BS011LA</v>
      </c>
      <c r="J212" s="168" t="str">
        <f>VLOOKUP($A212,'030523 INVENTARIO'!$A$2:$Y$1148,19,FALSE)</f>
        <v>CND730471F</v>
      </c>
      <c r="K212" s="168" t="str">
        <f>VLOOKUP($A212,'030523 INVENTARIO'!$A$2:$Y$1148,20,FALSE)</f>
        <v>82DH0515010002000649384</v>
      </c>
      <c r="L212" s="167" t="str">
        <f>VLOOKUP($A212,'030523 INVENTARIO'!$A$2:$Y$1148,23,FALSE)</f>
        <v>ROSAURA MENDEZ SALGADO</v>
      </c>
    </row>
    <row r="213" spans="1:12" ht="12.75" hidden="1">
      <c r="A213" s="167" t="str">
        <f>'030523 INVENTARIO'!A213</f>
        <v>0212</v>
      </c>
      <c r="B213" s="168" t="str">
        <f>'030523 INVENTARIO'!T213</f>
        <v>82DH0511010016000518522</v>
      </c>
      <c r="C213" s="167" t="str">
        <f t="shared" si="0"/>
        <v>518522</v>
      </c>
      <c r="D213" s="167" t="str">
        <f>IF(VLOOKUP(C213,'Patrimonio 2023'!$C$2:$C$1128,1,FALSE) = C213, "Encontrado", "no")</f>
        <v>Encontrado</v>
      </c>
      <c r="E213" s="167" t="str">
        <f>VLOOKUP($A213,'030523 INVENTARIO'!$A$2:$Y$1148,5,FALSE)</f>
        <v>SILLON</v>
      </c>
      <c r="F213" s="168" t="str">
        <f>VLOOKUP($A213,'030523 INVENTARIO'!$A$2:$Y$1148,6,FALSE)</f>
        <v>SILLON DE RECIBIDOR AZUL</v>
      </c>
      <c r="G213" s="167" t="str">
        <f ca="1">VLOOKUP($A213,'030523 INVENTARIO'!$A$2:$Y$1148,8,FALSE)</f>
        <v>P12ST-0212</v>
      </c>
      <c r="H213" s="168" t="str">
        <f>VLOOKUP($A213,'030523 INVENTARIO'!$A$2:$Y$1148,17,FALSE)</f>
        <v>S/M</v>
      </c>
      <c r="I213" s="167" t="str">
        <f>VLOOKUP($A213,'030523 INVENTARIO'!$A$2:$Y$1148,18,FALSE)</f>
        <v>S/M</v>
      </c>
      <c r="J213" s="168" t="str">
        <f>VLOOKUP($A213,'030523 INVENTARIO'!$A$2:$Y$1148,19,FALSE)</f>
        <v>SIN SERIE</v>
      </c>
      <c r="K213" s="168" t="str">
        <f>VLOOKUP($A213,'030523 INVENTARIO'!$A$2:$Y$1148,20,FALSE)</f>
        <v>82DH0511010016000518522</v>
      </c>
      <c r="L213" s="167" t="str">
        <f>VLOOKUP($A213,'030523 INVENTARIO'!$A$2:$Y$1148,23,FALSE)</f>
        <v>SANDRA OLIVIA REYNA MARIN</v>
      </c>
    </row>
    <row r="214" spans="1:12" ht="12.75" hidden="1">
      <c r="A214" s="167" t="str">
        <f>'030523 INVENTARIO'!A214</f>
        <v>0213</v>
      </c>
      <c r="B214" s="168" t="str">
        <f>'030523 INVENTARIO'!T214</f>
        <v>82DH0511010016000518521</v>
      </c>
      <c r="C214" s="167" t="str">
        <f t="shared" si="0"/>
        <v>518521</v>
      </c>
      <c r="D214" s="167" t="str">
        <f>IF(VLOOKUP(C214,'Patrimonio 2023'!$C$2:$C$1128,1,FALSE) = C214, "Encontrado", "no")</f>
        <v>Encontrado</v>
      </c>
      <c r="E214" s="167" t="str">
        <f>VLOOKUP($A214,'030523 INVENTARIO'!$A$2:$Y$1148,5,FALSE)</f>
        <v>SILLON</v>
      </c>
      <c r="F214" s="168" t="str">
        <f>VLOOKUP($A214,'030523 INVENTARIO'!$A$2:$Y$1148,6,FALSE)</f>
        <v>SILLON DE RECIBIDOR AZUL</v>
      </c>
      <c r="G214" s="167" t="str">
        <f ca="1">VLOOKUP($A214,'030523 INVENTARIO'!$A$2:$Y$1148,8,FALSE)</f>
        <v>P12ST-0213</v>
      </c>
      <c r="H214" s="168" t="str">
        <f>VLOOKUP($A214,'030523 INVENTARIO'!$A$2:$Y$1148,17,FALSE)</f>
        <v>S/M</v>
      </c>
      <c r="I214" s="167" t="str">
        <f>VLOOKUP($A214,'030523 INVENTARIO'!$A$2:$Y$1148,18,FALSE)</f>
        <v>S/M</v>
      </c>
      <c r="J214" s="168" t="str">
        <f>VLOOKUP($A214,'030523 INVENTARIO'!$A$2:$Y$1148,19,FALSE)</f>
        <v>SIN SERIE</v>
      </c>
      <c r="K214" s="168" t="str">
        <f>VLOOKUP($A214,'030523 INVENTARIO'!$A$2:$Y$1148,20,FALSE)</f>
        <v>82DH0511010016000518521</v>
      </c>
      <c r="L214" s="167" t="str">
        <f>VLOOKUP($A214,'030523 INVENTARIO'!$A$2:$Y$1148,23,FALSE)</f>
        <v>SANDRA OLIVIA REYNA MARIN</v>
      </c>
    </row>
    <row r="215" spans="1:12" ht="12.75" hidden="1">
      <c r="A215" s="167" t="str">
        <f>'030523 INVENTARIO'!A215</f>
        <v>0214</v>
      </c>
      <c r="B215" s="167" t="str">
        <f>'030523 INVENTARIO'!T215</f>
        <v>SIN RESGUARDO</v>
      </c>
      <c r="C215" s="167" t="str">
        <f t="shared" si="0"/>
        <v/>
      </c>
      <c r="D215" s="167" t="e">
        <f>IF(VLOOKUP(C215,'Patrimonio 2023'!$C$2:$C$1128,1,FALSE) = C215, "Encontrado", "no")</f>
        <v>#N/A</v>
      </c>
      <c r="E215" s="167" t="str">
        <f>VLOOKUP($A215,'030523 INVENTARIO'!$A$2:$Y$1148,5,FALSE)</f>
        <v>CAFETERA</v>
      </c>
      <c r="F215" s="167" t="str">
        <f>VLOOKUP($A215,'030523 INVENTARIO'!$A$2:$Y$1148,6,FALSE)</f>
        <v>CAFETERA</v>
      </c>
      <c r="G215" s="167" t="str">
        <f ca="1">VLOOKUP($A215,'030523 INVENTARIO'!$A$2:$Y$1148,8,FALSE)</f>
        <v>P12ST-0214</v>
      </c>
      <c r="H215" s="168" t="str">
        <f>VLOOKUP($A215,'030523 INVENTARIO'!$A$2:$Y$1148,17,FALSE)</f>
        <v>HAMILTON BEACH</v>
      </c>
      <c r="I215" s="167">
        <f>VLOOKUP($A215,'030523 INVENTARIO'!$A$2:$Y$1148,18,FALSE)</f>
        <v>40514</v>
      </c>
      <c r="J215" s="167" t="str">
        <f>VLOOKUP($A215,'030523 INVENTARIO'!$A$2:$Y$1148,19,FALSE)</f>
        <v>A3851BW</v>
      </c>
      <c r="K215" s="167" t="str">
        <f>VLOOKUP($A215,'030523 INVENTARIO'!$A$2:$Y$1148,20,FALSE)</f>
        <v>SIN RESGUARDO</v>
      </c>
      <c r="L215" s="167" t="str">
        <f>VLOOKUP($A215,'030523 INVENTARIO'!$A$2:$Y$1148,23,FALSE)</f>
        <v>SANDRA OLIVIA REYNA MARIN</v>
      </c>
    </row>
    <row r="216" spans="1:12" ht="12.75" hidden="1">
      <c r="A216" s="167" t="str">
        <f>'030523 INVENTARIO'!A216</f>
        <v>0215</v>
      </c>
      <c r="B216" s="168" t="str">
        <f>'030523 INVENTARIO'!T216</f>
        <v>SIN RESGUARDO</v>
      </c>
      <c r="C216" s="167" t="str">
        <f t="shared" si="0"/>
        <v/>
      </c>
      <c r="D216" s="167" t="e">
        <f>IF(VLOOKUP(C216,'Patrimonio 2023'!$C$2:$C$1128,1,FALSE) = C216, "Encontrado", "no")</f>
        <v>#N/A</v>
      </c>
      <c r="E216" s="167" t="str">
        <f>VLOOKUP($A216,'030523 INVENTARIO'!$A$2:$Y$1148,5,FALSE)</f>
        <v>MESA</v>
      </c>
      <c r="F216" s="167" t="str">
        <f>VLOOKUP($A216,'030523 INVENTARIO'!$A$2:$Y$1148,6,FALSE)</f>
        <v>MESA NARANJA CON BASE DE METAL</v>
      </c>
      <c r="G216" s="167" t="str">
        <f ca="1">VLOOKUP($A216,'030523 INVENTARIO'!$A$2:$Y$1148,8,FALSE)</f>
        <v>P12ST-0215</v>
      </c>
      <c r="H216" s="168" t="str">
        <f>VLOOKUP($A216,'030523 INVENTARIO'!$A$2:$Y$1148,17,FALSE)</f>
        <v>S/M</v>
      </c>
      <c r="I216" s="167" t="str">
        <f>VLOOKUP($A216,'030523 INVENTARIO'!$A$2:$Y$1148,18,FALSE)</f>
        <v>S/M</v>
      </c>
      <c r="J216" s="168" t="str">
        <f>VLOOKUP($A216,'030523 INVENTARIO'!$A$2:$Y$1148,19,FALSE)</f>
        <v>SIN SERIE</v>
      </c>
      <c r="K216" s="168" t="str">
        <f>VLOOKUP($A216,'030523 INVENTARIO'!$A$2:$Y$1148,20,FALSE)</f>
        <v>SIN RESGUARDO</v>
      </c>
      <c r="L216" s="167" t="str">
        <f>VLOOKUP($A216,'030523 INVENTARIO'!$A$2:$Y$1148,23,FALSE)</f>
        <v>SANDRA OLIVIA REYNA MARIN</v>
      </c>
    </row>
    <row r="217" spans="1:12" ht="12.75" hidden="1">
      <c r="A217" s="167" t="str">
        <f>'030523 INVENTARIO'!A217</f>
        <v>0216</v>
      </c>
      <c r="B217" s="168" t="str">
        <f>'030523 INVENTARIO'!T217</f>
        <v>82DH0519010043000649364</v>
      </c>
      <c r="C217" s="167" t="str">
        <f t="shared" si="0"/>
        <v>649364</v>
      </c>
      <c r="D217" s="167" t="str">
        <f>IF(VLOOKUP(C217,'Patrimonio 2023'!$C$2:$C$1128,1,FALSE) = C217, "Encontrado", "no")</f>
        <v>Encontrado</v>
      </c>
      <c r="E217" s="167" t="str">
        <f>VLOOKUP($A217,'030523 INVENTARIO'!$A$2:$Y$1148,5,FALSE)</f>
        <v>VENTILADOR</v>
      </c>
      <c r="F217" s="168" t="str">
        <f>VLOOKUP($A217,'030523 INVENTARIO'!$A$2:$Y$1148,6,FALSE)</f>
        <v>VENTILADOR GRIS DE PARED</v>
      </c>
      <c r="G217" s="167" t="str">
        <f ca="1">VLOOKUP($A217,'030523 INVENTARIO'!$A$2:$Y$1148,8,FALSE)</f>
        <v>P12ST-0216</v>
      </c>
      <c r="H217" s="168" t="str">
        <f>VLOOKUP($A217,'030523 INVENTARIO'!$A$2:$Y$1148,17,FALSE)</f>
        <v>NAVIA</v>
      </c>
      <c r="I217" s="167" t="str">
        <f>VLOOKUP($A217,'030523 INVENTARIO'!$A$2:$Y$1148,18,FALSE)</f>
        <v>VPN/018</v>
      </c>
      <c r="J217" s="168" t="str">
        <f>VLOOKUP($A217,'030523 INVENTARIO'!$A$2:$Y$1148,19,FALSE)</f>
        <v>SIN SERIE</v>
      </c>
      <c r="K217" s="168" t="str">
        <f>VLOOKUP($A217,'030523 INVENTARIO'!$A$2:$Y$1148,20,FALSE)</f>
        <v>82DH0519010043000649364</v>
      </c>
      <c r="L217" s="167" t="str">
        <f>VLOOKUP($A217,'030523 INVENTARIO'!$A$2:$Y$1148,23,FALSE)</f>
        <v>SANDRA OLIVIA REYNA MARIN</v>
      </c>
    </row>
    <row r="218" spans="1:12" ht="12.75" hidden="1">
      <c r="A218" s="167" t="str">
        <f>'030523 INVENTARIO'!A218</f>
        <v>0217</v>
      </c>
      <c r="B218" s="168" t="str">
        <f>'030523 INVENTARIO'!T218</f>
        <v>82DK0511010020000649630</v>
      </c>
      <c r="C218" s="167" t="str">
        <f t="shared" si="0"/>
        <v>649630</v>
      </c>
      <c r="D218" s="167" t="str">
        <f>IF(VLOOKUP(C218,'Patrimonio 2023'!$C$2:$C$1128,1,FALSE) = C218, "Encontrado", "no")</f>
        <v>Encontrado</v>
      </c>
      <c r="E218" s="167" t="str">
        <f>VLOOKUP($A218,'030523 INVENTARIO'!$A$2:$Y$1148,5,FALSE)</f>
        <v>ESTANTE O ANAQUEL</v>
      </c>
      <c r="F218" s="167" t="str">
        <f>VLOOKUP($A218,'030523 INVENTARIO'!$A$2:$Y$1148,6,FALSE)</f>
        <v>ANAQUEL DE MADERA DOS PUERTAS 164X81X42</v>
      </c>
      <c r="G218" s="167" t="str">
        <f ca="1">VLOOKUP($A218,'030523 INVENTARIO'!$A$2:$Y$1148,8,FALSE)</f>
        <v>P12PP-0217</v>
      </c>
      <c r="H218" s="168" t="str">
        <f>VLOOKUP($A218,'030523 INVENTARIO'!$A$2:$Y$1148,17,FALSE)</f>
        <v>S/M</v>
      </c>
      <c r="I218" s="167" t="str">
        <f>VLOOKUP($A218,'030523 INVENTARIO'!$A$2:$Y$1148,18,FALSE)</f>
        <v>S/M</v>
      </c>
      <c r="J218" s="168" t="str">
        <f>VLOOKUP($A218,'030523 INVENTARIO'!$A$2:$Y$1148,19,FALSE)</f>
        <v>SIN SERIE</v>
      </c>
      <c r="K218" s="168" t="str">
        <f>VLOOKUP($A218,'030523 INVENTARIO'!$A$2:$Y$1148,20,FALSE)</f>
        <v>82DK0511010020000649630</v>
      </c>
      <c r="L218" s="167" t="str">
        <f>VLOOKUP($A218,'030523 INVENTARIO'!$A$2:$Y$1148,23,FALSE)</f>
        <v>KENIA ITZEL GARCIA BEDOLLA</v>
      </c>
    </row>
    <row r="219" spans="1:12" ht="12.75" hidden="1">
      <c r="A219" s="167" t="str">
        <f>'030523 INVENTARIO'!A219</f>
        <v>0218</v>
      </c>
      <c r="B219" s="168" t="str">
        <f>'030523 INVENTARIO'!T219</f>
        <v>82DK0515010014000651112</v>
      </c>
      <c r="C219" s="167" t="str">
        <f t="shared" si="0"/>
        <v>651112</v>
      </c>
      <c r="D219" s="167" t="str">
        <f>IF(VLOOKUP(C219,'Patrimonio 2023'!$C$2:$C$1128,1,FALSE) = C219, "Encontrado", "no")</f>
        <v>Encontrado</v>
      </c>
      <c r="E219" s="167" t="str">
        <f>VLOOKUP($A219,'030523 INVENTARIO'!$A$2:$Y$1148,5,FALSE)</f>
        <v>MULTIFUNCIONAL</v>
      </c>
      <c r="F219" s="167" t="str">
        <f>VLOOKUP($A219,'030523 INVENTARIO'!$A$2:$Y$1148,6,FALSE)</f>
        <v>IMPRESORA MULTIFUNCIONAL</v>
      </c>
      <c r="G219" s="167" t="str">
        <f ca="1">VLOOKUP($A219,'030523 INVENTARIO'!$A$2:$Y$1148,8,FALSE)</f>
        <v>P12PP-0218</v>
      </c>
      <c r="H219" s="168" t="str">
        <f>VLOOKUP($A219,'030523 INVENTARIO'!$A$2:$Y$1148,17,FALSE)</f>
        <v>RICOH</v>
      </c>
      <c r="I219" s="167" t="str">
        <f>VLOOKUP($A219,'030523 INVENTARIO'!$A$2:$Y$1148,18,FALSE)</f>
        <v>SP377SFNWX</v>
      </c>
      <c r="J219" s="168" t="str">
        <f>VLOOKUP($A219,'030523 INVENTARIO'!$A$2:$Y$1148,19,FALSE)</f>
        <v>Y937Q310268</v>
      </c>
      <c r="K219" s="168" t="str">
        <f>VLOOKUP($A219,'030523 INVENTARIO'!$A$2:$Y$1148,20,FALSE)</f>
        <v>82DK0515010014000651112</v>
      </c>
      <c r="L219" s="167" t="str">
        <f>VLOOKUP($A219,'030523 INVENTARIO'!$A$2:$Y$1148,23,FALSE)</f>
        <v>KENIA ITZEL GARCIA BEDOLLA</v>
      </c>
    </row>
    <row r="220" spans="1:12" ht="12.75" hidden="1">
      <c r="A220" s="167" t="str">
        <f>'030523 INVENTARIO'!A220</f>
        <v>0219</v>
      </c>
      <c r="B220" s="168" t="str">
        <f>'030523 INVENTARIO'!T220</f>
        <v>82DJ0565010001000538210</v>
      </c>
      <c r="C220" s="167" t="str">
        <f t="shared" si="0"/>
        <v>538210</v>
      </c>
      <c r="D220" s="167" t="str">
        <f>IF(VLOOKUP(C220,'Patrimonio 2023'!$C$2:$C$1128,1,FALSE) = C220, "Encontrado", "no")</f>
        <v>Encontrado</v>
      </c>
      <c r="E220" s="167" t="str">
        <f>VLOOKUP($A220,'030523 INVENTARIO'!$A$2:$Y$1148,5,FALSE)</f>
        <v>TELEFONO</v>
      </c>
      <c r="F220" s="168" t="str">
        <f>VLOOKUP($A220,'030523 INVENTARIO'!$A$2:$Y$1148,6,FALSE)</f>
        <v>TELEFONO GRIS</v>
      </c>
      <c r="G220" s="167" t="str">
        <f ca="1">VLOOKUP($A220,'030523 INVENTARIO'!$A$2:$Y$1148,8,FALSE)</f>
        <v>P12PP-0219</v>
      </c>
      <c r="H220" s="168" t="str">
        <f>VLOOKUP($A220,'030523 INVENTARIO'!$A$2:$Y$1148,17,FALSE)</f>
        <v>LINKSYS</v>
      </c>
      <c r="I220" s="167" t="str">
        <f>VLOOKUP($A220,'030523 INVENTARIO'!$A$2:$Y$1148,18,FALSE)</f>
        <v>SPA942</v>
      </c>
      <c r="J220" s="168" t="str">
        <f>VLOOKUP($A220,'030523 INVENTARIO'!$A$2:$Y$1148,19,FALSE)</f>
        <v>4LO00H118474</v>
      </c>
      <c r="K220" s="168" t="str">
        <f>VLOOKUP($A220,'030523 INVENTARIO'!$A$2:$Y$1148,20,FALSE)</f>
        <v>82DJ0565010001000538210</v>
      </c>
      <c r="L220" s="167" t="str">
        <f>VLOOKUP($A220,'030523 INVENTARIO'!$A$2:$Y$1148,23,FALSE)</f>
        <v>KENIA ITZEL GARCIA BEDOLLA</v>
      </c>
    </row>
    <row r="221" spans="1:12" ht="12.75" hidden="1">
      <c r="A221" s="167" t="str">
        <f>'030523 INVENTARIO'!A221</f>
        <v>0220</v>
      </c>
      <c r="B221" s="168" t="str">
        <f>'030523 INVENTARIO'!T221</f>
        <v>82DK0515010013000649570</v>
      </c>
      <c r="C221" s="167" t="str">
        <f t="shared" si="0"/>
        <v>649570</v>
      </c>
      <c r="D221" s="167" t="str">
        <f>IF(VLOOKUP(C221,'Patrimonio 2023'!$C$2:$C$1128,1,FALSE) = C221, "Encontrado", "no")</f>
        <v>Encontrado</v>
      </c>
      <c r="E221" s="167" t="str">
        <f>VLOOKUP($A221,'030523 INVENTARIO'!$A$2:$Y$1148,5,FALSE)</f>
        <v>MONITOR</v>
      </c>
      <c r="F221" s="167" t="str">
        <f>VLOOKUP($A221,'030523 INVENTARIO'!$A$2:$Y$1148,6,FALSE)</f>
        <v>MONITOR 19.5"</v>
      </c>
      <c r="G221" s="167" t="str">
        <f ca="1">VLOOKUP($A221,'030523 INVENTARIO'!$A$2:$Y$1148,8,FALSE)</f>
        <v>P12PP-0220</v>
      </c>
      <c r="H221" s="168" t="str">
        <f>VLOOKUP($A221,'030523 INVENTARIO'!$A$2:$Y$1148,17,FALSE)</f>
        <v>ACER</v>
      </c>
      <c r="I221" s="167" t="str">
        <f>VLOOKUP($A221,'030523 INVENTARIO'!$A$2:$Y$1148,18,FALSE)</f>
        <v>V206HQL</v>
      </c>
      <c r="J221" s="168" t="str">
        <f>VLOOKUP($A221,'030523 INVENTARIO'!$A$2:$Y$1148,19,FALSE)</f>
        <v>55301208542</v>
      </c>
      <c r="K221" s="168" t="str">
        <f>VLOOKUP($A221,'030523 INVENTARIO'!$A$2:$Y$1148,20,FALSE)</f>
        <v>82DK0515010013000649570</v>
      </c>
      <c r="L221" s="167" t="str">
        <f>VLOOKUP($A221,'030523 INVENTARIO'!$A$2:$Y$1148,23,FALSE)</f>
        <v>KENIA ITZEL GARCIA BEDOLLA</v>
      </c>
    </row>
    <row r="222" spans="1:12" ht="12.75" hidden="1">
      <c r="A222" s="167" t="str">
        <f>'030523 INVENTARIO'!A222</f>
        <v>0221</v>
      </c>
      <c r="B222" s="168" t="str">
        <f>'030523 INVENTARIO'!T222</f>
        <v>SIN RESGUARDO</v>
      </c>
      <c r="C222" s="167" t="str">
        <f t="shared" si="0"/>
        <v/>
      </c>
      <c r="D222" s="167" t="e">
        <f>IF(VLOOKUP(C222,'Patrimonio 2023'!$C$2:$C$1128,1,FALSE) = C222, "Encontrado", "no")</f>
        <v>#N/A</v>
      </c>
      <c r="E222" s="167" t="str">
        <f>VLOOKUP($A222,'030523 INVENTARIO'!$A$2:$Y$1148,5,FALSE)</f>
        <v>MONITOR</v>
      </c>
      <c r="F222" s="167" t="str">
        <f>VLOOKUP($A222,'030523 INVENTARIO'!$A$2:$Y$1148,6,FALSE)</f>
        <v>MONITOR 21.5"</v>
      </c>
      <c r="G222" s="167" t="str">
        <f ca="1">VLOOKUP($A222,'030523 INVENTARIO'!$A$2:$Y$1148,8,FALSE)</f>
        <v>P12PP-0221</v>
      </c>
      <c r="H222" s="168" t="str">
        <f>VLOOKUP($A222,'030523 INVENTARIO'!$A$2:$Y$1148,17,FALSE)</f>
        <v>ACER</v>
      </c>
      <c r="I222" s="167" t="str">
        <f>VLOOKUP($A222,'030523 INVENTARIO'!$A$2:$Y$1148,18,FALSE)</f>
        <v>V226HQL</v>
      </c>
      <c r="J222" s="168" t="str">
        <f>VLOOKUP($A222,'030523 INVENTARIO'!$A$2:$Y$1148,19,FALSE)</f>
        <v>MMTASAA0070520596D3P00</v>
      </c>
      <c r="K222" s="168" t="str">
        <f>VLOOKUP($A222,'030523 INVENTARIO'!$A$2:$Y$1148,20,FALSE)</f>
        <v>SIN RESGUARDO</v>
      </c>
      <c r="L222" s="167" t="str">
        <f>VLOOKUP($A222,'030523 INVENTARIO'!$A$2:$Y$1148,23,FALSE)</f>
        <v>KENIA ITZEL GARCIA BEDOLLA</v>
      </c>
    </row>
    <row r="223" spans="1:12" ht="12.75" hidden="1">
      <c r="A223" s="167" t="str">
        <f>'030523 INVENTARIO'!A223</f>
        <v>0222</v>
      </c>
      <c r="B223" s="167" t="str">
        <f>'030523 INVENTARIO'!T223</f>
        <v>SIN RESGUARDO</v>
      </c>
      <c r="C223" s="167" t="str">
        <f t="shared" si="0"/>
        <v/>
      </c>
      <c r="D223" s="167" t="e">
        <f>IF(VLOOKUP(C223,'Patrimonio 2023'!$C$2:$C$1128,1,FALSE) = C223, "Encontrado", "no")</f>
        <v>#N/A</v>
      </c>
      <c r="E223" s="167" t="str">
        <f>VLOOKUP($A223,'030523 INVENTARIO'!$A$2:$Y$1148,5,FALSE)</f>
        <v>COMPUTADORA DE ESCRITORIO</v>
      </c>
      <c r="F223" s="167" t="str">
        <f>VLOOKUP($A223,'030523 INVENTARIO'!$A$2:$Y$1148,6,FALSE)</f>
        <v>COMPUTADORA DE ESCRITORIO</v>
      </c>
      <c r="G223" s="167" t="str">
        <f ca="1">VLOOKUP($A223,'030523 INVENTARIO'!$A$2:$Y$1148,8,FALSE)</f>
        <v>P12PP-0222</v>
      </c>
      <c r="H223" s="168" t="str">
        <f>VLOOKUP($A223,'030523 INVENTARIO'!$A$2:$Y$1148,17,FALSE)</f>
        <v>ACTECK</v>
      </c>
      <c r="I223" s="167" t="str">
        <f>VLOOKUP($A223,'030523 INVENTARIO'!$A$2:$Y$1148,18,FALSE)</f>
        <v>LINX</v>
      </c>
      <c r="J223" s="168" t="str">
        <f>VLOOKUP($A223,'030523 INVENTARIO'!$A$2:$Y$1148,19,FALSE)</f>
        <v>011392903011614</v>
      </c>
      <c r="K223" s="167" t="str">
        <f>VLOOKUP($A223,'030523 INVENTARIO'!$A$2:$Y$1148,20,FALSE)</f>
        <v>SIN RESGUARDO</v>
      </c>
      <c r="L223" s="167" t="str">
        <f>VLOOKUP($A223,'030523 INVENTARIO'!$A$2:$Y$1148,23,FALSE)</f>
        <v>KENIA ITZEL GARCIA BEDOLLA</v>
      </c>
    </row>
    <row r="224" spans="1:12" ht="12.75" hidden="1">
      <c r="A224" s="167" t="str">
        <f>'030523 INVENTARIO'!A224</f>
        <v>0223</v>
      </c>
      <c r="B224" s="168" t="str">
        <f>'030523 INVENTARIO'!T224</f>
        <v>82DK0515010033000564661</v>
      </c>
      <c r="C224" s="167" t="str">
        <f t="shared" si="0"/>
        <v>564661</v>
      </c>
      <c r="D224" s="167" t="str">
        <f>IF(VLOOKUP(C224,'Patrimonio 2023'!$C$2:$C$1128,1,FALSE) = C224, "Encontrado", "no")</f>
        <v>Encontrado</v>
      </c>
      <c r="E224" s="167" t="str">
        <f>VLOOKUP($A224,'030523 INVENTARIO'!$A$2:$Y$1148,5,FALSE)</f>
        <v>COMPLEMENTARIO DE EQUIPO DE COMUPUTO</v>
      </c>
      <c r="F224" s="168" t="str">
        <f>VLOOKUP($A224,'030523 INVENTARIO'!$A$2:$Y$1148,6,FALSE)</f>
        <v>COMPLEMENTO DE EQUIPO DE MADERA</v>
      </c>
      <c r="G224" s="167" t="str">
        <f ca="1">VLOOKUP($A224,'030523 INVENTARIO'!$A$2:$Y$1148,8,FALSE)</f>
        <v>P12PP-0223</v>
      </c>
      <c r="H224" s="168" t="str">
        <f>VLOOKUP($A224,'030523 INVENTARIO'!$A$2:$Y$1148,17,FALSE)</f>
        <v>S/M</v>
      </c>
      <c r="I224" s="167" t="str">
        <f>VLOOKUP($A224,'030523 INVENTARIO'!$A$2:$Y$1148,18,FALSE)</f>
        <v>S/M</v>
      </c>
      <c r="J224" s="168" t="str">
        <f>VLOOKUP($A224,'030523 INVENTARIO'!$A$2:$Y$1148,19,FALSE)</f>
        <v>SIN SERIE</v>
      </c>
      <c r="K224" s="168" t="str">
        <f>VLOOKUP($A224,'030523 INVENTARIO'!$A$2:$Y$1148,20,FALSE)</f>
        <v>82DK0515010033000564661</v>
      </c>
      <c r="L224" s="167" t="str">
        <f>VLOOKUP($A224,'030523 INVENTARIO'!$A$2:$Y$1148,23,FALSE)</f>
        <v>KENIA ITZEL GARCIA BEDOLLA</v>
      </c>
    </row>
    <row r="225" spans="1:12" ht="12.75" hidden="1">
      <c r="A225" s="167" t="str">
        <f>'030523 INVENTARIO'!A225</f>
        <v>0224</v>
      </c>
      <c r="B225" s="168" t="str">
        <f>'030523 INVENTARIO'!T225</f>
        <v>82DK0511010006000649632</v>
      </c>
      <c r="C225" s="167" t="str">
        <f t="shared" si="0"/>
        <v>649632</v>
      </c>
      <c r="D225" s="167" t="str">
        <f>IF(VLOOKUP(C225,'Patrimonio 2023'!$C$2:$C$1128,1,FALSE) = C225, "Encontrado", "no")</f>
        <v>Encontrado</v>
      </c>
      <c r="E225" s="167" t="str">
        <f>VLOOKUP($A225,'030523 INVENTARIO'!$A$2:$Y$1148,5,FALSE)</f>
        <v>ESCRITORIO</v>
      </c>
      <c r="F225" s="167" t="str">
        <f>VLOOKUP($A225,'030523 INVENTARIO'!$A$2:$Y$1148,6,FALSE)</f>
        <v>ESCRITORIO DE MADERA TIPO ISLA 4 PIEZAS</v>
      </c>
      <c r="G225" s="167" t="str">
        <f ca="1">VLOOKUP($A225,'030523 INVENTARIO'!$A$2:$Y$1148,8,FALSE)</f>
        <v>P12PP-0224</v>
      </c>
      <c r="H225" s="168" t="str">
        <f>VLOOKUP($A225,'030523 INVENTARIO'!$A$2:$Y$1148,17,FALSE)</f>
        <v>S/M</v>
      </c>
      <c r="I225" s="167" t="str">
        <f>VLOOKUP($A225,'030523 INVENTARIO'!$A$2:$Y$1148,18,FALSE)</f>
        <v>S/M</v>
      </c>
      <c r="J225" s="168" t="str">
        <f>VLOOKUP($A225,'030523 INVENTARIO'!$A$2:$Y$1148,19,FALSE)</f>
        <v>SIN SERIE</v>
      </c>
      <c r="K225" s="168" t="str">
        <f>VLOOKUP($A225,'030523 INVENTARIO'!$A$2:$Y$1148,20,FALSE)</f>
        <v>82DK0511010006000649632</v>
      </c>
      <c r="L225" s="167" t="str">
        <f>VLOOKUP($A225,'030523 INVENTARIO'!$A$2:$Y$1148,23,FALSE)</f>
        <v>KENIA ITZEL GARCIA BEDOLLA</v>
      </c>
    </row>
    <row r="226" spans="1:12" ht="12.75" hidden="1">
      <c r="A226" s="167" t="str">
        <f>'030523 INVENTARIO'!A226</f>
        <v>0225</v>
      </c>
      <c r="B226" s="167" t="str">
        <f>'030523 INVENTARIO'!T226</f>
        <v>SIN RESGUARDO</v>
      </c>
      <c r="C226" s="167" t="str">
        <f t="shared" si="0"/>
        <v/>
      </c>
      <c r="D226" s="167" t="e">
        <f>IF(VLOOKUP(C226,'Patrimonio 2023'!$C$2:$C$1128,1,FALSE) = C226, "Encontrado", "no")</f>
        <v>#N/A</v>
      </c>
      <c r="E226" s="167" t="str">
        <f>VLOOKUP($A226,'030523 INVENTARIO'!$A$2:$Y$1148,5,FALSE)</f>
        <v>MESA</v>
      </c>
      <c r="F226" s="167" t="str">
        <f>VLOOKUP($A226,'030523 INVENTARIO'!$A$2:$Y$1148,6,FALSE)</f>
        <v>MESA COMPLEMENTO</v>
      </c>
      <c r="G226" s="167" t="str">
        <f ca="1">VLOOKUP($A226,'030523 INVENTARIO'!$A$2:$Y$1148,8,FALSE)</f>
        <v>P12PP-0225</v>
      </c>
      <c r="H226" s="168" t="str">
        <f>VLOOKUP($A226,'030523 INVENTARIO'!$A$2:$Y$1148,17,FALSE)</f>
        <v>S/M</v>
      </c>
      <c r="I226" s="167" t="str">
        <f>VLOOKUP($A226,'030523 INVENTARIO'!$A$2:$Y$1148,18,FALSE)</f>
        <v>S/M</v>
      </c>
      <c r="J226" s="167" t="str">
        <f>VLOOKUP($A226,'030523 INVENTARIO'!$A$2:$Y$1148,19,FALSE)</f>
        <v>SIN SERIE</v>
      </c>
      <c r="K226" s="167" t="str">
        <f>VLOOKUP($A226,'030523 INVENTARIO'!$A$2:$Y$1148,20,FALSE)</f>
        <v>SIN RESGUARDO</v>
      </c>
      <c r="L226" s="167" t="str">
        <f>VLOOKUP($A226,'030523 INVENTARIO'!$A$2:$Y$1148,23,FALSE)</f>
        <v>KENIA ITZEL GARCIA BEDOLLA</v>
      </c>
    </row>
    <row r="227" spans="1:12" ht="12.75" hidden="1">
      <c r="A227" s="167" t="str">
        <f>'030523 INVENTARIO'!A227</f>
        <v>0226</v>
      </c>
      <c r="B227" s="168" t="str">
        <f>'030523 INVENTARIO'!T227</f>
        <v>82DK0511010005000649633</v>
      </c>
      <c r="C227" s="167" t="str">
        <f t="shared" si="0"/>
        <v>649633</v>
      </c>
      <c r="D227" s="167" t="str">
        <f>IF(VLOOKUP(C227,'Patrimonio 2023'!$C$2:$C$1128,1,FALSE) = C227, "Encontrado", "no")</f>
        <v>Encontrado</v>
      </c>
      <c r="E227" s="167" t="str">
        <f>VLOOKUP($A227,'030523 INVENTARIO'!$A$2:$Y$1148,5,FALSE)</f>
        <v>CREDENZA</v>
      </c>
      <c r="F227" s="168" t="str">
        <f>VLOOKUP($A227,'030523 INVENTARIO'!$A$2:$Y$1148,6,FALSE)</f>
        <v>CREDENZA DE MADERA</v>
      </c>
      <c r="G227" s="167" t="str">
        <f ca="1">VLOOKUP($A227,'030523 INVENTARIO'!$A$2:$Y$1148,8,FALSE)</f>
        <v>P12PP-0226</v>
      </c>
      <c r="H227" s="168" t="str">
        <f>VLOOKUP($A227,'030523 INVENTARIO'!$A$2:$Y$1148,17,FALSE)</f>
        <v>S/M</v>
      </c>
      <c r="I227" s="167" t="str">
        <f>VLOOKUP($A227,'030523 INVENTARIO'!$A$2:$Y$1148,18,FALSE)</f>
        <v>S/M</v>
      </c>
      <c r="J227" s="168" t="str">
        <f>VLOOKUP($A227,'030523 INVENTARIO'!$A$2:$Y$1148,19,FALSE)</f>
        <v>SIN SERIE</v>
      </c>
      <c r="K227" s="168" t="str">
        <f>VLOOKUP($A227,'030523 INVENTARIO'!$A$2:$Y$1148,20,FALSE)</f>
        <v>82DK0511010005000649633</v>
      </c>
      <c r="L227" s="167" t="str">
        <f>VLOOKUP($A227,'030523 INVENTARIO'!$A$2:$Y$1148,23,FALSE)</f>
        <v>KENIA ITZEL GARCIA BEDOLLA</v>
      </c>
    </row>
    <row r="228" spans="1:12" ht="12.75" hidden="1">
      <c r="A228" s="167" t="str">
        <f>'030523 INVENTARIO'!A228</f>
        <v>0227</v>
      </c>
      <c r="B228" s="167" t="str">
        <f>'030523 INVENTARIO'!T228</f>
        <v>SIN RESGUARDO</v>
      </c>
      <c r="C228" s="167" t="str">
        <f t="shared" si="0"/>
        <v/>
      </c>
      <c r="D228" s="167" t="e">
        <f>IF(VLOOKUP(C228,'Patrimonio 2023'!$C$2:$C$1128,1,FALSE) = C228, "Encontrado", "no")</f>
        <v>#N/A</v>
      </c>
      <c r="E228" s="167" t="str">
        <f>VLOOKUP($A228,'030523 INVENTARIO'!$A$2:$Y$1148,5,FALSE)</f>
        <v>ESCRITORIO</v>
      </c>
      <c r="F228" s="167" t="str">
        <f>VLOOKUP($A228,'030523 INVENTARIO'!$A$2:$Y$1148,6,FALSE)</f>
        <v>ESCRITORIO DE MADERA</v>
      </c>
      <c r="G228" s="167" t="str">
        <f ca="1">VLOOKUP($A228,'030523 INVENTARIO'!$A$2:$Y$1148,8,FALSE)</f>
        <v>P12PP-0227</v>
      </c>
      <c r="H228" s="168" t="str">
        <f>VLOOKUP($A228,'030523 INVENTARIO'!$A$2:$Y$1148,17,FALSE)</f>
        <v>S/M</v>
      </c>
      <c r="I228" s="167" t="str">
        <f>VLOOKUP($A228,'030523 INVENTARIO'!$A$2:$Y$1148,18,FALSE)</f>
        <v>S/M</v>
      </c>
      <c r="J228" s="167" t="str">
        <f>VLOOKUP($A228,'030523 INVENTARIO'!$A$2:$Y$1148,19,FALSE)</f>
        <v>SIN SERIE</v>
      </c>
      <c r="K228" s="167" t="str">
        <f>VLOOKUP($A228,'030523 INVENTARIO'!$A$2:$Y$1148,20,FALSE)</f>
        <v>SIN RESGUARDO</v>
      </c>
      <c r="L228" s="167" t="str">
        <f>VLOOKUP($A228,'030523 INVENTARIO'!$A$2:$Y$1148,23,FALSE)</f>
        <v>KENIA ITZEL GARCIA BEDOLLA</v>
      </c>
    </row>
    <row r="229" spans="1:12" ht="12.75" hidden="1">
      <c r="A229" s="167" t="str">
        <f>'030523 INVENTARIO'!A229</f>
        <v>0228</v>
      </c>
      <c r="B229" s="168" t="str">
        <f>'030523 INVENTARIO'!T229</f>
        <v>82DK0511010017000522707</v>
      </c>
      <c r="C229" s="167" t="str">
        <f t="shared" si="0"/>
        <v>522707</v>
      </c>
      <c r="D229" s="167" t="str">
        <f>IF(VLOOKUP(C229,'Patrimonio 2023'!$C$2:$C$1128,1,FALSE) = C229, "Encontrado", "no")</f>
        <v>Encontrado</v>
      </c>
      <c r="E229" s="167" t="str">
        <f>VLOOKUP($A229,'030523 INVENTARIO'!$A$2:$Y$1148,5,FALSE)</f>
        <v>SILLON</v>
      </c>
      <c r="F229" s="168" t="str">
        <f>VLOOKUP($A229,'030523 INVENTARIO'!$A$2:$Y$1148,6,FALSE)</f>
        <v>SILLÓN NEGRO CON RUEDAS</v>
      </c>
      <c r="G229" s="167" t="str">
        <f ca="1">VLOOKUP($A229,'030523 INVENTARIO'!$A$2:$Y$1148,8,FALSE)</f>
        <v>P13SO-0228</v>
      </c>
      <c r="H229" s="168" t="str">
        <f>VLOOKUP($A229,'030523 INVENTARIO'!$A$2:$Y$1148,17,FALSE)</f>
        <v>S/M</v>
      </c>
      <c r="I229" s="167" t="str">
        <f>VLOOKUP($A229,'030523 INVENTARIO'!$A$2:$Y$1148,18,FALSE)</f>
        <v>S/M</v>
      </c>
      <c r="J229" s="168" t="str">
        <f>VLOOKUP($A229,'030523 INVENTARIO'!$A$2:$Y$1148,19,FALSE)</f>
        <v>SIN SERIE</v>
      </c>
      <c r="K229" s="168" t="str">
        <f>VLOOKUP($A229,'030523 INVENTARIO'!$A$2:$Y$1148,20,FALSE)</f>
        <v>82DK0511010017000522707</v>
      </c>
      <c r="L229" s="167" t="str">
        <f>VLOOKUP($A229,'030523 INVENTARIO'!$A$2:$Y$1148,23,FALSE)</f>
        <v>ANA BERTHA ORTIZ VILLEGAS</v>
      </c>
    </row>
    <row r="230" spans="1:12" ht="12.75" hidden="1">
      <c r="A230" s="167" t="str">
        <f>'030523 INVENTARIO'!A230</f>
        <v>0229</v>
      </c>
      <c r="B230" s="168" t="str">
        <f>'030523 INVENTARIO'!T230</f>
        <v>82DK0511010017000649571</v>
      </c>
      <c r="C230" s="167" t="str">
        <f t="shared" si="0"/>
        <v>649571</v>
      </c>
      <c r="D230" s="167" t="str">
        <f>IF(VLOOKUP(C230,'Patrimonio 2023'!$C$2:$C$1128,1,FALSE) = C230, "Encontrado", "no")</f>
        <v>Encontrado</v>
      </c>
      <c r="E230" s="167" t="str">
        <f>VLOOKUP($A230,'030523 INVENTARIO'!$A$2:$Y$1148,5,FALSE)</f>
        <v>SILLA</v>
      </c>
      <c r="F230" s="168" t="str">
        <f>VLOOKUP($A230,'030523 INVENTARIO'!$A$2:$Y$1148,6,FALSE)</f>
        <v>SILLA DE MADERA PEQUEÑA</v>
      </c>
      <c r="G230" s="167" t="str">
        <f ca="1">VLOOKUP($A230,'030523 INVENTARIO'!$A$2:$Y$1148,8,FALSE)</f>
        <v>P12PP-0229</v>
      </c>
      <c r="H230" s="168" t="str">
        <f>VLOOKUP($A230,'030523 INVENTARIO'!$A$2:$Y$1148,17,FALSE)</f>
        <v>S/M</v>
      </c>
      <c r="I230" s="167" t="str">
        <f>VLOOKUP($A230,'030523 INVENTARIO'!$A$2:$Y$1148,18,FALSE)</f>
        <v>S/M</v>
      </c>
      <c r="J230" s="168" t="str">
        <f>VLOOKUP($A230,'030523 INVENTARIO'!$A$2:$Y$1148,19,FALSE)</f>
        <v>SIN SERIE</v>
      </c>
      <c r="K230" s="168" t="str">
        <f>VLOOKUP($A230,'030523 INVENTARIO'!$A$2:$Y$1148,20,FALSE)</f>
        <v>82DK0511010017000649571</v>
      </c>
      <c r="L230" s="167" t="str">
        <f>VLOOKUP($A230,'030523 INVENTARIO'!$A$2:$Y$1148,23,FALSE)</f>
        <v>SANDRA GUADALUPE LARA VELAZQUEZ</v>
      </c>
    </row>
    <row r="231" spans="1:12" ht="12.75" hidden="1">
      <c r="A231" s="167" t="str">
        <f>'030523 INVENTARIO'!A231</f>
        <v>0230</v>
      </c>
      <c r="B231" s="168" t="str">
        <f>'030523 INVENTARIO'!T231</f>
        <v>82DK0511010017000516342</v>
      </c>
      <c r="C231" s="167" t="str">
        <f t="shared" si="0"/>
        <v>516342</v>
      </c>
      <c r="D231" s="167" t="str">
        <f>IF(VLOOKUP(C231,'Patrimonio 2023'!$C$2:$C$1128,1,FALSE) = C231, "Encontrado", "no")</f>
        <v>Encontrado</v>
      </c>
      <c r="E231" s="167" t="str">
        <f>VLOOKUP($A231,'030523 INVENTARIO'!$A$2:$Y$1148,5,FALSE)</f>
        <v>SILLA</v>
      </c>
      <c r="F231" s="168" t="str">
        <f>VLOOKUP($A231,'030523 INVENTARIO'!$A$2:$Y$1148,6,FALSE)</f>
        <v>SILLA NEGRA CON BASE DE METAL</v>
      </c>
      <c r="G231" s="167" t="str">
        <f ca="1">VLOOKUP($A231,'030523 INVENTARIO'!$A$2:$Y$1148,8,FALSE)</f>
        <v>P12PP-0230</v>
      </c>
      <c r="H231" s="168" t="str">
        <f>VLOOKUP($A231,'030523 INVENTARIO'!$A$2:$Y$1148,17,FALSE)</f>
        <v>S/M</v>
      </c>
      <c r="I231" s="167" t="str">
        <f>VLOOKUP($A231,'030523 INVENTARIO'!$A$2:$Y$1148,18,FALSE)</f>
        <v>S/M</v>
      </c>
      <c r="J231" s="168" t="str">
        <f>VLOOKUP($A231,'030523 INVENTARIO'!$A$2:$Y$1148,19,FALSE)</f>
        <v>SIN SERIE</v>
      </c>
      <c r="K231" s="168" t="str">
        <f>VLOOKUP($A231,'030523 INVENTARIO'!$A$2:$Y$1148,20,FALSE)</f>
        <v>82DK0511010017000516342</v>
      </c>
      <c r="L231" s="167" t="str">
        <f>VLOOKUP($A231,'030523 INVENTARIO'!$A$2:$Y$1148,23,FALSE)</f>
        <v>KENIA ITZEL GARCIA BEDOLLA</v>
      </c>
    </row>
    <row r="232" spans="1:12" ht="12.75" hidden="1">
      <c r="A232" s="167" t="str">
        <f>'030523 INVENTARIO'!A232</f>
        <v>0231</v>
      </c>
      <c r="B232" s="168" t="str">
        <f>'030523 INVENTARIO'!T232</f>
        <v>82DK0529030003000517070</v>
      </c>
      <c r="C232" s="167" t="str">
        <f t="shared" si="0"/>
        <v>517070</v>
      </c>
      <c r="D232" s="167" t="str">
        <f>IF(VLOOKUP(C232,'Patrimonio 2023'!$C$2:$C$1128,1,FALSE) = C232, "Encontrado", "no")</f>
        <v>Encontrado</v>
      </c>
      <c r="E232" s="167" t="str">
        <f>VLOOKUP($A232,'030523 INVENTARIO'!$A$2:$Y$1148,5,FALSE)</f>
        <v>PIZARRON</v>
      </c>
      <c r="F232" s="167" t="str">
        <f>VLOOKUP($A232,'030523 INVENTARIO'!$A$2:$Y$1148,6,FALSE)</f>
        <v>PIZARRON DE CORCHO 160X40</v>
      </c>
      <c r="G232" s="167" t="str">
        <f ca="1">VLOOKUP($A232,'030523 INVENTARIO'!$A$2:$Y$1148,8,FALSE)</f>
        <v>P12PP-0231</v>
      </c>
      <c r="H232" s="168" t="str">
        <f>VLOOKUP($A232,'030523 INVENTARIO'!$A$2:$Y$1148,17,FALSE)</f>
        <v>S/M</v>
      </c>
      <c r="I232" s="167" t="str">
        <f>VLOOKUP($A232,'030523 INVENTARIO'!$A$2:$Y$1148,18,FALSE)</f>
        <v>S/M</v>
      </c>
      <c r="J232" s="168" t="str">
        <f>VLOOKUP($A232,'030523 INVENTARIO'!$A$2:$Y$1148,19,FALSE)</f>
        <v>SIN SERIE</v>
      </c>
      <c r="K232" s="168" t="str">
        <f>VLOOKUP($A232,'030523 INVENTARIO'!$A$2:$Y$1148,20,FALSE)</f>
        <v>82DK0529030003000517070</v>
      </c>
      <c r="L232" s="167" t="str">
        <f>VLOOKUP($A232,'030523 INVENTARIO'!$A$2:$Y$1148,23,FALSE)</f>
        <v>KENIA ITZEL GARCIA BEDOLLA</v>
      </c>
    </row>
    <row r="233" spans="1:12" ht="12.75" hidden="1">
      <c r="A233" s="167" t="str">
        <f>'030523 INVENTARIO'!A233</f>
        <v>0232</v>
      </c>
      <c r="B233" s="168" t="str">
        <f>'030523 INVENTARIO'!T233</f>
        <v>82DK0519010043000649631</v>
      </c>
      <c r="C233" s="167" t="str">
        <f t="shared" si="0"/>
        <v>649631</v>
      </c>
      <c r="D233" s="167" t="str">
        <f>IF(VLOOKUP(C233,'Patrimonio 2023'!$C$2:$C$1128,1,FALSE) = C233, "Encontrado", "no")</f>
        <v>Encontrado</v>
      </c>
      <c r="E233" s="167" t="str">
        <f>VLOOKUP($A233,'030523 INVENTARIO'!$A$2:$Y$1148,5,FALSE)</f>
        <v>VENTILADOR</v>
      </c>
      <c r="F233" s="168" t="str">
        <f>VLOOKUP($A233,'030523 INVENTARIO'!$A$2:$Y$1148,6,FALSE)</f>
        <v>VENTILADOR BLANCO DE PEDESTAL</v>
      </c>
      <c r="G233" s="167" t="str">
        <f ca="1">VLOOKUP($A233,'030523 INVENTARIO'!$A$2:$Y$1148,8,FALSE)</f>
        <v>P12PP-0232</v>
      </c>
      <c r="H233" s="168" t="str">
        <f>VLOOKUP($A233,'030523 INVENTARIO'!$A$2:$Y$1148,17,FALSE)</f>
        <v>HURRICANE</v>
      </c>
      <c r="I233" s="167">
        <f>VLOOKUP($A233,'030523 INVENTARIO'!$A$2:$Y$1148,18,FALSE)</f>
        <v>3141</v>
      </c>
      <c r="J233" s="168" t="str">
        <f>VLOOKUP($A233,'030523 INVENTARIO'!$A$2:$Y$1148,19,FALSE)</f>
        <v>SIN SERIE</v>
      </c>
      <c r="K233" s="168" t="str">
        <f>VLOOKUP($A233,'030523 INVENTARIO'!$A$2:$Y$1148,20,FALSE)</f>
        <v>82DK0519010043000649631</v>
      </c>
      <c r="L233" s="167" t="str">
        <f>VLOOKUP($A233,'030523 INVENTARIO'!$A$2:$Y$1148,23,FALSE)</f>
        <v>KENIA ITZEL GARCIA BEDOLLA</v>
      </c>
    </row>
    <row r="234" spans="1:12" ht="12.75" hidden="1">
      <c r="A234" s="167" t="str">
        <f>'030523 INVENTARIO'!A234</f>
        <v>0233</v>
      </c>
      <c r="B234" s="168" t="str">
        <f>'030523 INVENTARIO'!T234</f>
        <v>82DK0531010065000564824</v>
      </c>
      <c r="C234" s="167" t="str">
        <f t="shared" si="0"/>
        <v>564824</v>
      </c>
      <c r="D234" s="167" t="str">
        <f>IF(VLOOKUP(C234,'Patrimonio 2023'!$C$2:$C$1128,1,FALSE) = C234, "Encontrado", "no")</f>
        <v>Encontrado</v>
      </c>
      <c r="E234" s="167" t="str">
        <f>VLOOKUP($A234,'030523 INVENTARIO'!$A$2:$Y$1148,5,FALSE)</f>
        <v>MESA</v>
      </c>
      <c r="F234" s="168" t="str">
        <f>VLOOKUP($A234,'030523 INVENTARIO'!$A$2:$Y$1148,6,FALSE)</f>
        <v>MESA DE MADERA CON BASE DE METAL 60X40</v>
      </c>
      <c r="G234" s="167" t="str">
        <f ca="1">VLOOKUP($A234,'030523 INVENTARIO'!$A$2:$Y$1148,8,FALSE)</f>
        <v>P12PP-0233</v>
      </c>
      <c r="H234" s="168" t="str">
        <f>VLOOKUP($A234,'030523 INVENTARIO'!$A$2:$Y$1148,17,FALSE)</f>
        <v>S/M</v>
      </c>
      <c r="I234" s="167" t="str">
        <f>VLOOKUP($A234,'030523 INVENTARIO'!$A$2:$Y$1148,18,FALSE)</f>
        <v>S/M</v>
      </c>
      <c r="J234" s="168" t="str">
        <f>VLOOKUP($A234,'030523 INVENTARIO'!$A$2:$Y$1148,19,FALSE)</f>
        <v>SIN SERIE</v>
      </c>
      <c r="K234" s="168" t="str">
        <f>VLOOKUP($A234,'030523 INVENTARIO'!$A$2:$Y$1148,20,FALSE)</f>
        <v>82DK0531010065000564824</v>
      </c>
      <c r="L234" s="167" t="str">
        <f>VLOOKUP($A234,'030523 INVENTARIO'!$A$2:$Y$1148,23,FALSE)</f>
        <v>LIZBETH ZAMORA CERVANTES</v>
      </c>
    </row>
    <row r="235" spans="1:12" ht="12.75" hidden="1">
      <c r="A235" s="167" t="str">
        <f>'030523 INVENTARIO'!A235</f>
        <v>0234</v>
      </c>
      <c r="B235" s="168" t="str">
        <f>'030523 INVENTARIO'!T235</f>
        <v>82DK0511010017000539075</v>
      </c>
      <c r="C235" s="167" t="str">
        <f t="shared" si="0"/>
        <v>539075</v>
      </c>
      <c r="D235" s="167" t="str">
        <f>IF(VLOOKUP(C235,'Patrimonio 2023'!$C$2:$C$1128,1,FALSE) = C235, "Encontrado", "no")</f>
        <v>Encontrado</v>
      </c>
      <c r="E235" s="167" t="str">
        <f>VLOOKUP($A235,'030523 INVENTARIO'!$A$2:$Y$1148,5,FALSE)</f>
        <v>SILLA</v>
      </c>
      <c r="F235" s="168" t="str">
        <f>VLOOKUP($A235,'030523 INVENTARIO'!$A$2:$Y$1148,6,FALSE)</f>
        <v>SILLA DE TELA AZUL</v>
      </c>
      <c r="G235" s="167" t="str">
        <f ca="1">VLOOKUP($A235,'030523 INVENTARIO'!$A$2:$Y$1148,8,FALSE)</f>
        <v>P12PP-0234</v>
      </c>
      <c r="H235" s="168" t="str">
        <f>VLOOKUP($A235,'030523 INVENTARIO'!$A$2:$Y$1148,17,FALSE)</f>
        <v>S/M</v>
      </c>
      <c r="I235" s="167" t="str">
        <f>VLOOKUP($A235,'030523 INVENTARIO'!$A$2:$Y$1148,18,FALSE)</f>
        <v>S/M</v>
      </c>
      <c r="J235" s="168" t="str">
        <f>VLOOKUP($A235,'030523 INVENTARIO'!$A$2:$Y$1148,19,FALSE)</f>
        <v>SIN SERIE</v>
      </c>
      <c r="K235" s="168" t="str">
        <f>VLOOKUP($A235,'030523 INVENTARIO'!$A$2:$Y$1148,20,FALSE)</f>
        <v>82DK0511010017000539075</v>
      </c>
      <c r="L235" s="167" t="str">
        <f>VLOOKUP($A235,'030523 INVENTARIO'!$A$2:$Y$1148,23,FALSE)</f>
        <v>KENIA ITZEL GARCIA BEDOLLA</v>
      </c>
    </row>
    <row r="236" spans="1:12" ht="12.75" hidden="1">
      <c r="A236" s="167" t="str">
        <f>'030523 INVENTARIO'!A236</f>
        <v>0235</v>
      </c>
      <c r="B236" s="168" t="str">
        <f>'030523 INVENTARIO'!T236</f>
        <v>82DK0511010017000539078</v>
      </c>
      <c r="C236" s="167" t="str">
        <f t="shared" si="0"/>
        <v>539078</v>
      </c>
      <c r="D236" s="167" t="str">
        <f>IF(VLOOKUP(C236,'Patrimonio 2023'!$C$2:$C$1128,1,FALSE) = C236, "Encontrado", "no")</f>
        <v>Encontrado</v>
      </c>
      <c r="E236" s="167" t="str">
        <f>VLOOKUP($A236,'030523 INVENTARIO'!$A$2:$Y$1148,5,FALSE)</f>
        <v>SILLA</v>
      </c>
      <c r="F236" s="168" t="str">
        <f>VLOOKUP($A236,'030523 INVENTARIO'!$A$2:$Y$1148,6,FALSE)</f>
        <v>SILLA DE TELA AZUL</v>
      </c>
      <c r="G236" s="167" t="str">
        <f ca="1">VLOOKUP($A236,'030523 INVENTARIO'!$A$2:$Y$1148,8,FALSE)</f>
        <v>P12PP-0235</v>
      </c>
      <c r="H236" s="168" t="str">
        <f>VLOOKUP($A236,'030523 INVENTARIO'!$A$2:$Y$1148,17,FALSE)</f>
        <v>S/M</v>
      </c>
      <c r="I236" s="167" t="str">
        <f>VLOOKUP($A236,'030523 INVENTARIO'!$A$2:$Y$1148,18,FALSE)</f>
        <v>S/M</v>
      </c>
      <c r="J236" s="168" t="str">
        <f>VLOOKUP($A236,'030523 INVENTARIO'!$A$2:$Y$1148,19,FALSE)</f>
        <v>SIN SERIE</v>
      </c>
      <c r="K236" s="168" t="str">
        <f>VLOOKUP($A236,'030523 INVENTARIO'!$A$2:$Y$1148,20,FALSE)</f>
        <v>82DK0511010017000539078</v>
      </c>
      <c r="L236" s="167" t="str">
        <f>VLOOKUP($A236,'030523 INVENTARIO'!$A$2:$Y$1148,23,FALSE)</f>
        <v>KENIA ITZEL GARCIA BEDOLLA</v>
      </c>
    </row>
    <row r="237" spans="1:12" ht="12.75" hidden="1">
      <c r="A237" s="167" t="str">
        <f>'030523 INVENTARIO'!A237</f>
        <v>0236</v>
      </c>
      <c r="B237" s="168" t="str">
        <f>'030523 INVENTARIO'!T237</f>
        <v>SIN RESGUARDO</v>
      </c>
      <c r="C237" s="167" t="str">
        <f t="shared" si="0"/>
        <v/>
      </c>
      <c r="D237" s="167" t="e">
        <f>IF(VLOOKUP(C237,'Patrimonio 2023'!$C$2:$C$1128,1,FALSE) = C237, "Encontrado", "no")</f>
        <v>#N/A</v>
      </c>
      <c r="E237" s="167" t="str">
        <f>VLOOKUP($A237,'030523 INVENTARIO'!$A$2:$Y$1148,5,FALSE)</f>
        <v>ARCHIVERO</v>
      </c>
      <c r="F237" s="168" t="str">
        <f>VLOOKUP($A237,'030523 INVENTARIO'!$A$2:$Y$1148,6,FALSE)</f>
        <v>ARCHIVERO DE METAL GRIS CON 3 CAJONES</v>
      </c>
      <c r="G237" s="167" t="str">
        <f ca="1">VLOOKUP($A237,'030523 INVENTARIO'!$A$2:$Y$1148,8,FALSE)</f>
        <v>P12PP-0236</v>
      </c>
      <c r="H237" s="168" t="str">
        <f>VLOOKUP($A237,'030523 INVENTARIO'!$A$2:$Y$1148,17,FALSE)</f>
        <v>S/M</v>
      </c>
      <c r="I237" s="167" t="str">
        <f>VLOOKUP($A237,'030523 INVENTARIO'!$A$2:$Y$1148,18,FALSE)</f>
        <v>S/M</v>
      </c>
      <c r="J237" s="168" t="str">
        <f>VLOOKUP($A237,'030523 INVENTARIO'!$A$2:$Y$1148,19,FALSE)</f>
        <v>SIN SERIE</v>
      </c>
      <c r="K237" s="168" t="str">
        <f>VLOOKUP($A237,'030523 INVENTARIO'!$A$2:$Y$1148,20,FALSE)</f>
        <v>SIN RESGUARDO</v>
      </c>
      <c r="L237" s="167" t="str">
        <f>VLOOKUP($A237,'030523 INVENTARIO'!$A$2:$Y$1148,23,FALSE)</f>
        <v>KENIA ITZEL GARCIA BEDOLLA</v>
      </c>
    </row>
    <row r="238" spans="1:12" ht="12.75" hidden="1">
      <c r="A238" s="167" t="str">
        <f>'030523 INVENTARIO'!A238</f>
        <v>0237</v>
      </c>
      <c r="B238" s="168" t="str">
        <f>'030523 INVENTARIO'!T238</f>
        <v>82DK0515010016000649569</v>
      </c>
      <c r="C238" s="167" t="str">
        <f t="shared" si="0"/>
        <v>649569</v>
      </c>
      <c r="D238" s="167" t="str">
        <f>IF(VLOOKUP(C238,'Patrimonio 2023'!$C$2:$C$1128,1,FALSE) = C238, "Encontrado", "no")</f>
        <v>Encontrado</v>
      </c>
      <c r="E238" s="167" t="str">
        <f>VLOOKUP($A238,'030523 INVENTARIO'!$A$2:$Y$1148,5,FALSE)</f>
        <v>NO BREAK</v>
      </c>
      <c r="F238" s="168" t="str">
        <f>VLOOKUP($A238,'030523 INVENTARIO'!$A$2:$Y$1148,6,FALSE)</f>
        <v>NO BREAK NEGRO</v>
      </c>
      <c r="G238" s="167" t="str">
        <f ca="1">VLOOKUP($A238,'030523 INVENTARIO'!$A$2:$Y$1148,8,FALSE)</f>
        <v>P12PP-0237</v>
      </c>
      <c r="H238" s="168" t="str">
        <f>VLOOKUP($A238,'030523 INVENTARIO'!$A$2:$Y$1148,17,FALSE)</f>
        <v>TRIPP LITE</v>
      </c>
      <c r="I238" s="167" t="str">
        <f>VLOOKUP($A238,'030523 INVENTARIO'!$A$2:$Y$1148,18,FALSE)</f>
        <v>INTERNT550U</v>
      </c>
      <c r="J238" s="168" t="str">
        <f>VLOOKUP($A238,'030523 INVENTARIO'!$A$2:$Y$1148,19,FALSE)</f>
        <v>9730CY0BC575600778</v>
      </c>
      <c r="K238" s="168" t="str">
        <f>VLOOKUP($A238,'030523 INVENTARIO'!$A$2:$Y$1148,20,FALSE)</f>
        <v>82DK0515010016000649569</v>
      </c>
      <c r="L238" s="167" t="str">
        <f>VLOOKUP($A238,'030523 INVENTARIO'!$A$2:$Y$1148,23,FALSE)</f>
        <v>KENIA ITZEL GARCIA BEDOLLA</v>
      </c>
    </row>
    <row r="239" spans="1:12" ht="12.75" hidden="1">
      <c r="A239" s="167" t="str">
        <f>'030523 INVENTARIO'!A239</f>
        <v>0238</v>
      </c>
      <c r="B239" s="168" t="str">
        <f>'030523 INVENTARIO'!T239</f>
        <v>82DK0511010006000583463</v>
      </c>
      <c r="C239" s="167" t="str">
        <f t="shared" si="0"/>
        <v>583463</v>
      </c>
      <c r="D239" s="167" t="str">
        <f>IF(VLOOKUP(C239,'Patrimonio 2023'!$C$2:$C$1128,1,FALSE) = C239, "Encontrado", "no")</f>
        <v>Encontrado</v>
      </c>
      <c r="E239" s="167" t="str">
        <f>VLOOKUP($A239,'030523 INVENTARIO'!$A$2:$Y$1148,5,FALSE)</f>
        <v>ESCRITORIO</v>
      </c>
      <c r="F239" s="167" t="str">
        <f>VLOOKUP($A239,'030523 INVENTARIO'!$A$2:$Y$1148,6,FALSE)</f>
        <v>ESCRITORIO DE MADERA 160X40</v>
      </c>
      <c r="G239" s="167" t="str">
        <f ca="1">VLOOKUP($A239,'030523 INVENTARIO'!$A$2:$Y$1148,8,FALSE)</f>
        <v>P12PP-0238</v>
      </c>
      <c r="H239" s="168" t="str">
        <f>VLOOKUP($A239,'030523 INVENTARIO'!$A$2:$Y$1148,17,FALSE)</f>
        <v>S/M</v>
      </c>
      <c r="I239" s="167" t="str">
        <f>VLOOKUP($A239,'030523 INVENTARIO'!$A$2:$Y$1148,18,FALSE)</f>
        <v>S/M</v>
      </c>
      <c r="J239" s="168" t="str">
        <f>VLOOKUP($A239,'030523 INVENTARIO'!$A$2:$Y$1148,19,FALSE)</f>
        <v>SIN SERIE</v>
      </c>
      <c r="K239" s="168" t="str">
        <f>VLOOKUP($A239,'030523 INVENTARIO'!$A$2:$Y$1148,20,FALSE)</f>
        <v>82DK0511010006000583463</v>
      </c>
      <c r="L239" s="167" t="str">
        <f>VLOOKUP($A239,'030523 INVENTARIO'!$A$2:$Y$1148,23,FALSE)</f>
        <v>SUREYMA YADIRA LUNA CONTRERAS</v>
      </c>
    </row>
    <row r="240" spans="1:12" ht="12.75" hidden="1">
      <c r="A240" s="167" t="str">
        <f>'030523 INVENTARIO'!A240</f>
        <v>0239</v>
      </c>
      <c r="B240" s="168" t="str">
        <f>'030523 INVENTARIO'!T240</f>
        <v>82DK0531010065000564817</v>
      </c>
      <c r="C240" s="167" t="str">
        <f t="shared" si="0"/>
        <v>564817</v>
      </c>
      <c r="D240" s="167" t="str">
        <f>IF(VLOOKUP(C240,'Patrimonio 2023'!$C$2:$C$1128,1,FALSE) = C240, "Encontrado", "no")</f>
        <v>Encontrado</v>
      </c>
      <c r="E240" s="167" t="str">
        <f>VLOOKUP($A240,'030523 INVENTARIO'!$A$2:$Y$1148,5,FALSE)</f>
        <v>MESA</v>
      </c>
      <c r="F240" s="167" t="str">
        <f>VLOOKUP($A240,'030523 INVENTARIO'!$A$2:$Y$1148,6,FALSE)</f>
        <v>MESA COMPLEMENTO TIPO BALA 160X60</v>
      </c>
      <c r="G240" s="167" t="str">
        <f ca="1">VLOOKUP($A240,'030523 INVENTARIO'!$A$2:$Y$1148,8,FALSE)</f>
        <v>P12PP-0239</v>
      </c>
      <c r="H240" s="168" t="str">
        <f>VLOOKUP($A240,'030523 INVENTARIO'!$A$2:$Y$1148,17,FALSE)</f>
        <v>S/M</v>
      </c>
      <c r="I240" s="167" t="str">
        <f>VLOOKUP($A240,'030523 INVENTARIO'!$A$2:$Y$1148,18,FALSE)</f>
        <v>S/M</v>
      </c>
      <c r="J240" s="168" t="str">
        <f>VLOOKUP($A240,'030523 INVENTARIO'!$A$2:$Y$1148,19,FALSE)</f>
        <v>SIN SERIE</v>
      </c>
      <c r="K240" s="168" t="str">
        <f>VLOOKUP($A240,'030523 INVENTARIO'!$A$2:$Y$1148,20,FALSE)</f>
        <v>82DK0531010065000564817</v>
      </c>
      <c r="L240" s="167" t="str">
        <f>VLOOKUP($A240,'030523 INVENTARIO'!$A$2:$Y$1148,23,FALSE)</f>
        <v>SUREYMA YADIRA LUNA CONTRERAS</v>
      </c>
    </row>
    <row r="241" spans="1:12" ht="12.75">
      <c r="A241" s="167" t="str">
        <f>'030523 INVENTARIO'!A241</f>
        <v>0240</v>
      </c>
      <c r="B241" s="168" t="str">
        <f>'030523 INVENTARIO'!T241</f>
        <v>82DK0515010003000649382</v>
      </c>
      <c r="C241" s="167" t="str">
        <f t="shared" si="0"/>
        <v>649382</v>
      </c>
      <c r="D241" s="167" t="e">
        <f>IF(VLOOKUP(C241,'Patrimonio 2023'!$C$2:$C$1128,1,FALSE) = C241, "Encontrado", "no")</f>
        <v>#N/A</v>
      </c>
      <c r="E241" s="167" t="str">
        <f>VLOOKUP($A241,'030523 INVENTARIO'!$A$2:$Y$1148,5,FALSE)</f>
        <v>COMPUTADORA DE ESCRITORIO</v>
      </c>
      <c r="F241" s="167" t="str">
        <f>VLOOKUP($A241,'030523 INVENTARIO'!$A$2:$Y$1148,6,FALSE)</f>
        <v>COMPUTADORA TODO EN UNO NEGRA</v>
      </c>
      <c r="G241" s="167" t="str">
        <f ca="1">VLOOKUP($A241,'030523 INVENTARIO'!$A$2:$Y$1148,8,FALSE)</f>
        <v>P12PP-0240</v>
      </c>
      <c r="H241" s="168" t="str">
        <f>VLOOKUP($A241,'030523 INVENTARIO'!$A$2:$Y$1148,17,FALSE)</f>
        <v>LENOVO</v>
      </c>
      <c r="I241" s="167" t="str">
        <f>VLOOKUP($A241,'030523 INVENTARIO'!$A$2:$Y$1148,18,FALSE)</f>
        <v>S200Z</v>
      </c>
      <c r="J241" s="168" t="str">
        <f>VLOOKUP($A241,'030523 INVENTARIO'!$A$2:$Y$1148,19,FALSE)</f>
        <v>MPI5495C</v>
      </c>
      <c r="K241" s="168" t="str">
        <f>VLOOKUP($A241,'030523 INVENTARIO'!$A$2:$Y$1148,20,FALSE)</f>
        <v>82DK0515010003000649382</v>
      </c>
      <c r="L241" s="167" t="str">
        <f>VLOOKUP($A241,'030523 INVENTARIO'!$A$2:$Y$1148,23,FALSE)</f>
        <v>SUREYMA YADIRA LUNA CONTRERAS</v>
      </c>
    </row>
    <row r="242" spans="1:12" ht="12.75" hidden="1">
      <c r="A242" s="167" t="str">
        <f>'030523 INVENTARIO'!A242</f>
        <v>0241</v>
      </c>
      <c r="B242" s="168" t="str">
        <f>'030523 INVENTARIO'!T242</f>
        <v>82DK0515010016000539067</v>
      </c>
      <c r="C242" s="167" t="str">
        <f t="shared" si="0"/>
        <v>539067</v>
      </c>
      <c r="D242" s="167" t="str">
        <f>IF(VLOOKUP(C242,'Patrimonio 2023'!$C$2:$C$1128,1,FALSE) = C242, "Encontrado", "no")</f>
        <v>Encontrado</v>
      </c>
      <c r="E242" s="167" t="str">
        <f>VLOOKUP($A242,'030523 INVENTARIO'!$A$2:$Y$1148,5,FALSE)</f>
        <v>NO BREAK</v>
      </c>
      <c r="F242" s="167" t="str">
        <f>VLOOKUP($A242,'030523 INVENTARIO'!$A$2:$Y$1148,6,FALSE)</f>
        <v>NO BREAK NEGRO</v>
      </c>
      <c r="G242" s="167" t="str">
        <f ca="1">VLOOKUP($A242,'030523 INVENTARIO'!$A$2:$Y$1148,8,FALSE)</f>
        <v>P12PP-0241</v>
      </c>
      <c r="H242" s="167" t="str">
        <f>VLOOKUP($A242,'030523 INVENTARIO'!$A$2:$Y$1148,17,FALSE)</f>
        <v>TRIPP LITE</v>
      </c>
      <c r="I242" s="167" t="str">
        <f>VLOOKUP($A242,'030523 INVENTARIO'!$A$2:$Y$1148,18,FALSE)</f>
        <v>INTERNET550U</v>
      </c>
      <c r="J242" s="168" t="str">
        <f>VLOOKUP($A242,'030523 INVENTARIO'!$A$2:$Y$1148,19,FALSE)</f>
        <v>9730CY0BC575600809</v>
      </c>
      <c r="K242" s="168" t="str">
        <f>VLOOKUP($A242,'030523 INVENTARIO'!$A$2:$Y$1148,20,FALSE)</f>
        <v>82DK0515010016000539067</v>
      </c>
      <c r="L242" s="167" t="str">
        <f>VLOOKUP($A242,'030523 INVENTARIO'!$A$2:$Y$1148,23,FALSE)</f>
        <v>SANDRA GUADALUPE LARA VELAZQUEZ</v>
      </c>
    </row>
    <row r="243" spans="1:12" ht="12.75" hidden="1">
      <c r="A243" s="167" t="str">
        <f>'030523 INVENTARIO'!A243</f>
        <v>0242</v>
      </c>
      <c r="B243" s="168" t="str">
        <f>'030523 INVENTARIO'!T243</f>
        <v>82DJ0511010006000583458</v>
      </c>
      <c r="C243" s="167" t="str">
        <f t="shared" si="0"/>
        <v>583458</v>
      </c>
      <c r="D243" s="167" t="str">
        <f>IF(VLOOKUP(C243,'Patrimonio 2023'!$C$2:$C$1128,1,FALSE) = C243, "Encontrado", "no")</f>
        <v>Encontrado</v>
      </c>
      <c r="E243" s="167" t="str">
        <f>VLOOKUP($A243,'030523 INVENTARIO'!$A$2:$Y$1148,5,FALSE)</f>
        <v>ESCRITORIO</v>
      </c>
      <c r="F243" s="167" t="str">
        <f>VLOOKUP($A243,'030523 INVENTARIO'!$A$2:$Y$1148,6,FALSE)</f>
        <v>ESCRITORIO DE MADERA 160X40</v>
      </c>
      <c r="G243" s="167" t="str">
        <f ca="1">VLOOKUP($A243,'030523 INVENTARIO'!$A$2:$Y$1148,8,FALSE)</f>
        <v>P12PP-0242</v>
      </c>
      <c r="H243" s="168" t="str">
        <f>VLOOKUP($A243,'030523 INVENTARIO'!$A$2:$Y$1148,17,FALSE)</f>
        <v>S/M</v>
      </c>
      <c r="I243" s="167" t="str">
        <f>VLOOKUP($A243,'030523 INVENTARIO'!$A$2:$Y$1148,18,FALSE)</f>
        <v>S/M</v>
      </c>
      <c r="J243" s="168" t="str">
        <f>VLOOKUP($A243,'030523 INVENTARIO'!$A$2:$Y$1148,19,FALSE)</f>
        <v>SIN SERIE</v>
      </c>
      <c r="K243" s="168" t="str">
        <f>VLOOKUP($A243,'030523 INVENTARIO'!$A$2:$Y$1148,20,FALSE)</f>
        <v>82DJ0511010006000583458</v>
      </c>
      <c r="L243" s="167" t="str">
        <f>VLOOKUP($A243,'030523 INVENTARIO'!$A$2:$Y$1148,23,FALSE)</f>
        <v>SANDRA GUADALUPE LARA VELAZQUEZ</v>
      </c>
    </row>
    <row r="244" spans="1:12" ht="12.75" hidden="1">
      <c r="A244" s="167" t="str">
        <f>'030523 INVENTARIO'!A244</f>
        <v>0243</v>
      </c>
      <c r="B244" s="168" t="str">
        <f>'030523 INVENTARIO'!T244</f>
        <v>82DJ0531010065000564820</v>
      </c>
      <c r="C244" s="167" t="str">
        <f t="shared" si="0"/>
        <v>564820</v>
      </c>
      <c r="D244" s="167" t="str">
        <f>IF(VLOOKUP(C244,'Patrimonio 2023'!$C$2:$C$1128,1,FALSE) = C244, "Encontrado", "no")</f>
        <v>Encontrado</v>
      </c>
      <c r="E244" s="167" t="str">
        <f>VLOOKUP($A244,'030523 INVENTARIO'!$A$2:$Y$1148,5,FALSE)</f>
        <v>MESA</v>
      </c>
      <c r="F244" s="167" t="str">
        <f>VLOOKUP($A244,'030523 INVENTARIO'!$A$2:$Y$1148,6,FALSE)</f>
        <v>MESA COMPLEMENTO TIPO BALA 160X60</v>
      </c>
      <c r="G244" s="167" t="str">
        <f ca="1">VLOOKUP($A244,'030523 INVENTARIO'!$A$2:$Y$1148,8,FALSE)</f>
        <v>P12PP-0243</v>
      </c>
      <c r="H244" s="168" t="str">
        <f>VLOOKUP($A244,'030523 INVENTARIO'!$A$2:$Y$1148,17,FALSE)</f>
        <v>S/M</v>
      </c>
      <c r="I244" s="167" t="str">
        <f>VLOOKUP($A244,'030523 INVENTARIO'!$A$2:$Y$1148,18,FALSE)</f>
        <v>S/M</v>
      </c>
      <c r="J244" s="168" t="str">
        <f>VLOOKUP($A244,'030523 INVENTARIO'!$A$2:$Y$1148,19,FALSE)</f>
        <v>SIN SERIE</v>
      </c>
      <c r="K244" s="168" t="str">
        <f>VLOOKUP($A244,'030523 INVENTARIO'!$A$2:$Y$1148,20,FALSE)</f>
        <v>82DJ0531010065000564820</v>
      </c>
      <c r="L244" s="167" t="str">
        <f>VLOOKUP($A244,'030523 INVENTARIO'!$A$2:$Y$1148,23,FALSE)</f>
        <v>SANDRA GUADALUPE LARA VELAZQUEZ</v>
      </c>
    </row>
    <row r="245" spans="1:12" ht="12.75" hidden="1">
      <c r="A245" s="167" t="str">
        <f>'030523 INVENTARIO'!A245</f>
        <v>0244</v>
      </c>
      <c r="B245" s="168" t="str">
        <f>'030523 INVENTARIO'!T245</f>
        <v>82DJ0515010033000564675</v>
      </c>
      <c r="C245" s="167" t="str">
        <f t="shared" si="0"/>
        <v>564675</v>
      </c>
      <c r="D245" s="167" t="str">
        <f>IF(VLOOKUP(C245,'Patrimonio 2023'!$C$2:$C$1128,1,FALSE) = C245, "Encontrado", "no")</f>
        <v>Encontrado</v>
      </c>
      <c r="E245" s="167" t="str">
        <f>VLOOKUP($A245,'030523 INVENTARIO'!$A$2:$Y$1148,5,FALSE)</f>
        <v>COMPLEMENTARIO DE EQUIPO DE COMPUTO</v>
      </c>
      <c r="F245" s="168" t="str">
        <f>VLOOKUP($A245,'030523 INVENTARIO'!$A$2:$Y$1148,6,FALSE)</f>
        <v>COMPLEMENTO DE EQUIPO DE MADERA</v>
      </c>
      <c r="G245" s="167" t="str">
        <f ca="1">VLOOKUP($A245,'030523 INVENTARIO'!$A$2:$Y$1148,8,FALSE)</f>
        <v>P12PP-0244</v>
      </c>
      <c r="H245" s="168" t="str">
        <f>VLOOKUP($A245,'030523 INVENTARIO'!$A$2:$Y$1148,17,FALSE)</f>
        <v>S/M</v>
      </c>
      <c r="I245" s="167" t="str">
        <f>VLOOKUP($A245,'030523 INVENTARIO'!$A$2:$Y$1148,18,FALSE)</f>
        <v>S/M</v>
      </c>
      <c r="J245" s="168" t="str">
        <f>VLOOKUP($A245,'030523 INVENTARIO'!$A$2:$Y$1148,19,FALSE)</f>
        <v>SIN SERIE</v>
      </c>
      <c r="K245" s="168" t="str">
        <f>VLOOKUP($A245,'030523 INVENTARIO'!$A$2:$Y$1148,20,FALSE)</f>
        <v>82DJ0515010033000564675</v>
      </c>
      <c r="L245" s="167" t="str">
        <f>VLOOKUP($A245,'030523 INVENTARIO'!$A$2:$Y$1148,23,FALSE)</f>
        <v>SANDRA GUADALUPE LARA VELAZQUEZ</v>
      </c>
    </row>
    <row r="246" spans="1:12" ht="12.75" hidden="1">
      <c r="A246" s="167" t="str">
        <f>'030523 INVENTARIO'!A246</f>
        <v>0245</v>
      </c>
      <c r="B246" s="167" t="str">
        <f>'030523 INVENTARIO'!T246</f>
        <v>SIN RESGUARDO</v>
      </c>
      <c r="C246" s="167" t="str">
        <f t="shared" si="0"/>
        <v/>
      </c>
      <c r="D246" s="167" t="e">
        <f>IF(VLOOKUP(C246,'Patrimonio 2023'!$C$2:$C$1128,1,FALSE) = C246, "Encontrado", "no")</f>
        <v>#N/A</v>
      </c>
      <c r="E246" s="167" t="str">
        <f>VLOOKUP($A246,'030523 INVENTARIO'!$A$2:$Y$1148,5,FALSE)</f>
        <v>COMPUTADORA DE ESCRITORIO</v>
      </c>
      <c r="F246" s="167" t="str">
        <f>VLOOKUP($A246,'030523 INVENTARIO'!$A$2:$Y$1148,6,FALSE)</f>
        <v>COMPUTADORA DE ESCRITORIO</v>
      </c>
      <c r="G246" s="167" t="str">
        <f ca="1">VLOOKUP($A246,'030523 INVENTARIO'!$A$2:$Y$1148,8,FALSE)</f>
        <v>P12PP-0245</v>
      </c>
      <c r="H246" s="168" t="str">
        <f>VLOOKUP($A246,'030523 INVENTARIO'!$A$2:$Y$1148,17,FALSE)</f>
        <v>ACTECK</v>
      </c>
      <c r="I246" s="167" t="str">
        <f>VLOOKUP($A246,'030523 INVENTARIO'!$A$2:$Y$1148,18,FALSE)</f>
        <v>LINX</v>
      </c>
      <c r="J246" s="168" t="str">
        <f>VLOOKUP($A246,'030523 INVENTARIO'!$A$2:$Y$1148,19,FALSE)</f>
        <v>011392903014913</v>
      </c>
      <c r="K246" s="167" t="str">
        <f>VLOOKUP($A246,'030523 INVENTARIO'!$A$2:$Y$1148,20,FALSE)</f>
        <v>SIN RESGUARDO</v>
      </c>
      <c r="L246" s="167" t="str">
        <f>VLOOKUP($A246,'030523 INVENTARIO'!$A$2:$Y$1148,23,FALSE)</f>
        <v>SANDRA GUADALUPE LARA VELAZQUEZ</v>
      </c>
    </row>
    <row r="247" spans="1:12" ht="12.75" hidden="1">
      <c r="A247" s="167" t="str">
        <f>'030523 INVENTARIO'!A247</f>
        <v>0246</v>
      </c>
      <c r="B247" s="168" t="str">
        <f>'030523 INVENTARIO'!T247</f>
        <v>SIN RESGUARDO</v>
      </c>
      <c r="C247" s="167" t="str">
        <f t="shared" si="0"/>
        <v/>
      </c>
      <c r="D247" s="167" t="e">
        <f>IF(VLOOKUP(C247,'Patrimonio 2023'!$C$2:$C$1128,1,FALSE) = C247, "Encontrado", "no")</f>
        <v>#N/A</v>
      </c>
      <c r="E247" s="167" t="str">
        <f>VLOOKUP($A247,'030523 INVENTARIO'!$A$2:$Y$1148,5,FALSE)</f>
        <v>MONITOR</v>
      </c>
      <c r="F247" s="167" t="str">
        <f>VLOOKUP($A247,'030523 INVENTARIO'!$A$2:$Y$1148,6,FALSE)</f>
        <v>MONITOR 21.5"</v>
      </c>
      <c r="G247" s="167" t="str">
        <f ca="1">VLOOKUP($A247,'030523 INVENTARIO'!$A$2:$Y$1148,8,FALSE)</f>
        <v>P12PP-0246</v>
      </c>
      <c r="H247" s="168" t="str">
        <f>VLOOKUP($A247,'030523 INVENTARIO'!$A$2:$Y$1148,17,FALSE)</f>
        <v>ACER</v>
      </c>
      <c r="I247" s="167" t="str">
        <f>VLOOKUP($A247,'030523 INVENTARIO'!$A$2:$Y$1148,18,FALSE)</f>
        <v>V226HQL</v>
      </c>
      <c r="J247" s="168" t="str">
        <f>VLOOKUP($A247,'030523 INVENTARIO'!$A$2:$Y$1148,19,FALSE)</f>
        <v>MMTASAA007109004CC3P00</v>
      </c>
      <c r="K247" s="168" t="str">
        <f>VLOOKUP($A247,'030523 INVENTARIO'!$A$2:$Y$1148,20,FALSE)</f>
        <v>SIN RESGUARDO</v>
      </c>
      <c r="L247" s="167" t="str">
        <f>VLOOKUP($A247,'030523 INVENTARIO'!$A$2:$Y$1148,23,FALSE)</f>
        <v>SANDRA GUADALUPE LARA VELAZQUEZ</v>
      </c>
    </row>
    <row r="248" spans="1:12" ht="12.75" hidden="1">
      <c r="A248" s="167" t="str">
        <f>'030523 INVENTARIO'!A248</f>
        <v>0247</v>
      </c>
      <c r="B248" s="168" t="str">
        <f>'030523 INVENTARIO'!T248</f>
        <v>82DJ0515010016000649434</v>
      </c>
      <c r="C248" s="167" t="str">
        <f t="shared" si="0"/>
        <v>649434</v>
      </c>
      <c r="D248" s="167" t="str">
        <f>IF(VLOOKUP(C248,'Patrimonio 2023'!$C$2:$C$1128,1,FALSE) = C248, "Encontrado", "no")</f>
        <v>Encontrado</v>
      </c>
      <c r="E248" s="167" t="str">
        <f>VLOOKUP($A248,'030523 INVENTARIO'!$A$2:$Y$1148,5,FALSE)</f>
        <v>NO BREAK</v>
      </c>
      <c r="F248" s="168" t="str">
        <f>VLOOKUP($A248,'030523 INVENTARIO'!$A$2:$Y$1148,6,FALSE)</f>
        <v>NO BREAK</v>
      </c>
      <c r="G248" s="167" t="str">
        <f ca="1">VLOOKUP($A248,'030523 INVENTARIO'!$A$2:$Y$1148,8,FALSE)</f>
        <v>P12PP-0247</v>
      </c>
      <c r="H248" s="168" t="str">
        <f>VLOOKUP($A248,'030523 INVENTARIO'!$A$2:$Y$1148,17,FALSE)</f>
        <v>FORZA</v>
      </c>
      <c r="I248" s="167" t="str">
        <f>VLOOKUP($A248,'030523 INVENTARIO'!$A$2:$Y$1148,18,FALSE)</f>
        <v>NT751</v>
      </c>
      <c r="J248" s="168" t="str">
        <f>VLOOKUP($A248,'030523 INVENTARIO'!$A$2:$Y$1148,19,FALSE)</f>
        <v>190222505755</v>
      </c>
      <c r="K248" s="168" t="str">
        <f>VLOOKUP($A248,'030523 INVENTARIO'!$A$2:$Y$1148,20,FALSE)</f>
        <v>82DJ0515010016000649434</v>
      </c>
      <c r="L248" s="167" t="str">
        <f>VLOOKUP($A248,'030523 INVENTARIO'!$A$2:$Y$1148,23,FALSE)</f>
        <v>SUREYMA YADIRA LUNA CONTRERAS</v>
      </c>
    </row>
    <row r="249" spans="1:12" ht="12.75" hidden="1">
      <c r="A249" s="167" t="str">
        <f>'030523 INVENTARIO'!A249</f>
        <v>0248</v>
      </c>
      <c r="B249" s="167" t="str">
        <f>'030523 INVENTARIO'!T249</f>
        <v>SIN RESGUARDO</v>
      </c>
      <c r="C249" s="167" t="str">
        <f t="shared" si="0"/>
        <v/>
      </c>
      <c r="D249" s="167" t="e">
        <f>IF(VLOOKUP(C249,'Patrimonio 2023'!$C$2:$C$1128,1,FALSE) = C249, "Encontrado", "no")</f>
        <v>#N/A</v>
      </c>
      <c r="E249" s="167" t="str">
        <f>VLOOKUP($A249,'030523 INVENTARIO'!$A$2:$Y$1148,5,FALSE)</f>
        <v>SILLA</v>
      </c>
      <c r="F249" s="167" t="str">
        <f>VLOOKUP($A249,'030523 INVENTARIO'!$A$2:$Y$1148,6,FALSE)</f>
        <v>SILLA NEGRA DE TELA CON RUEDAS</v>
      </c>
      <c r="G249" s="167" t="str">
        <f ca="1">VLOOKUP($A249,'030523 INVENTARIO'!$A$2:$Y$1148,8,FALSE)</f>
        <v>P12PP-0248</v>
      </c>
      <c r="H249" s="168" t="str">
        <f>VLOOKUP($A249,'030523 INVENTARIO'!$A$2:$Y$1148,17,FALSE)</f>
        <v>S/M</v>
      </c>
      <c r="I249" s="167" t="str">
        <f>VLOOKUP($A249,'030523 INVENTARIO'!$A$2:$Y$1148,18,FALSE)</f>
        <v>S/M</v>
      </c>
      <c r="J249" s="167" t="str">
        <f>VLOOKUP($A249,'030523 INVENTARIO'!$A$2:$Y$1148,19,FALSE)</f>
        <v>SIN SERIE</v>
      </c>
      <c r="K249" s="167" t="str">
        <f>VLOOKUP($A249,'030523 INVENTARIO'!$A$2:$Y$1148,20,FALSE)</f>
        <v>SIN RESGUARDO</v>
      </c>
      <c r="L249" s="167" t="str">
        <f>VLOOKUP($A249,'030523 INVENTARIO'!$A$2:$Y$1148,23,FALSE)</f>
        <v>KENIA ITZEL GARCIA BEDOLLA</v>
      </c>
    </row>
    <row r="250" spans="1:12" ht="12.75" hidden="1">
      <c r="A250" s="167" t="str">
        <f>'030523 INVENTARIO'!A250</f>
        <v>0249</v>
      </c>
      <c r="B250" s="168" t="str">
        <f>'030523 INVENTARIO'!T250</f>
        <v>82DK0511010017000539074</v>
      </c>
      <c r="C250" s="167" t="str">
        <f t="shared" si="0"/>
        <v>539074</v>
      </c>
      <c r="D250" s="167" t="str">
        <f>IF(VLOOKUP(C250,'Patrimonio 2023'!$C$2:$C$1128,1,FALSE) = C250, "Encontrado", "no")</f>
        <v>Encontrado</v>
      </c>
      <c r="E250" s="167" t="str">
        <f>VLOOKUP($A250,'030523 INVENTARIO'!$A$2:$Y$1148,5,FALSE)</f>
        <v>SILLA</v>
      </c>
      <c r="F250" s="167" t="str">
        <f>VLOOKUP($A250,'030523 INVENTARIO'!$A$2:$Y$1148,6,FALSE)</f>
        <v>SILLA DE TELA NEGRA FIJA</v>
      </c>
      <c r="G250" s="167" t="str">
        <f ca="1">VLOOKUP($A250,'030523 INVENTARIO'!$A$2:$Y$1148,8,FALSE)</f>
        <v>P12PP-0249</v>
      </c>
      <c r="H250" s="168" t="str">
        <f>VLOOKUP($A250,'030523 INVENTARIO'!$A$2:$Y$1148,17,FALSE)</f>
        <v>S/M</v>
      </c>
      <c r="I250" s="167" t="str">
        <f>VLOOKUP($A250,'030523 INVENTARIO'!$A$2:$Y$1148,18,FALSE)</f>
        <v>S/M</v>
      </c>
      <c r="J250" s="168" t="str">
        <f>VLOOKUP($A250,'030523 INVENTARIO'!$A$2:$Y$1148,19,FALSE)</f>
        <v>SIN SERIE</v>
      </c>
      <c r="K250" s="168" t="str">
        <f>VLOOKUP($A250,'030523 INVENTARIO'!$A$2:$Y$1148,20,FALSE)</f>
        <v>82DK0511010017000539074</v>
      </c>
      <c r="L250" s="167" t="str">
        <f>VLOOKUP($A250,'030523 INVENTARIO'!$A$2:$Y$1148,23,FALSE)</f>
        <v>SUREYMA YADIRA LUNA CONTRERAS</v>
      </c>
    </row>
    <row r="251" spans="1:12" ht="12.75" hidden="1">
      <c r="A251" s="167" t="str">
        <f>'030523 INVENTARIO'!A251</f>
        <v>0250</v>
      </c>
      <c r="B251" s="168" t="str">
        <f>'030523 INVENTARIO'!T251</f>
        <v>82DJ0511010017000522723</v>
      </c>
      <c r="C251" s="167" t="str">
        <f t="shared" si="0"/>
        <v>522723</v>
      </c>
      <c r="D251" s="167" t="str">
        <f>IF(VLOOKUP(C251,'Patrimonio 2023'!$C$2:$C$1128,1,FALSE) = C251, "Encontrado", "no")</f>
        <v>Encontrado</v>
      </c>
      <c r="E251" s="167" t="str">
        <f>VLOOKUP($A251,'030523 INVENTARIO'!$A$2:$Y$1148,5,FALSE)</f>
        <v>SILLA</v>
      </c>
      <c r="F251" s="167" t="str">
        <f>VLOOKUP($A251,'030523 INVENTARIO'!$A$2:$Y$1148,6,FALSE)</f>
        <v>SILLA DE TELA NEGRA FIJA</v>
      </c>
      <c r="G251" s="167" t="str">
        <f ca="1">VLOOKUP($A251,'030523 INVENTARIO'!$A$2:$Y$1148,8,FALSE)</f>
        <v>P12PP-0250</v>
      </c>
      <c r="H251" s="168" t="str">
        <f>VLOOKUP($A251,'030523 INVENTARIO'!$A$2:$Y$1148,17,FALSE)</f>
        <v>S/M</v>
      </c>
      <c r="I251" s="167" t="str">
        <f>VLOOKUP($A251,'030523 INVENTARIO'!$A$2:$Y$1148,18,FALSE)</f>
        <v>S/M</v>
      </c>
      <c r="J251" s="168" t="str">
        <f>VLOOKUP($A251,'030523 INVENTARIO'!$A$2:$Y$1148,19,FALSE)</f>
        <v>SIN SERIE</v>
      </c>
      <c r="K251" s="168" t="str">
        <f>VLOOKUP($A251,'030523 INVENTARIO'!$A$2:$Y$1148,20,FALSE)</f>
        <v>82DJ0511010017000522723</v>
      </c>
      <c r="L251" s="167" t="str">
        <f>VLOOKUP($A251,'030523 INVENTARIO'!$A$2:$Y$1148,23,FALSE)</f>
        <v>SANDRA GUADALUPE LARA VELAZQUEZ</v>
      </c>
    </row>
    <row r="252" spans="1:12" ht="12.75" hidden="1">
      <c r="A252" s="167" t="str">
        <f>'030523 INVENTARIO'!A252</f>
        <v>0251</v>
      </c>
      <c r="B252" s="168" t="str">
        <f>'030523 INVENTARIO'!T252</f>
        <v>82DJ0511010017000516280</v>
      </c>
      <c r="C252" s="167" t="str">
        <f t="shared" si="0"/>
        <v>516280</v>
      </c>
      <c r="D252" s="167" t="str">
        <f>IF(VLOOKUP(C252,'Patrimonio 2023'!$C$2:$C$1128,1,FALSE) = C252, "Encontrado", "no")</f>
        <v>Encontrado</v>
      </c>
      <c r="E252" s="167" t="str">
        <f>VLOOKUP($A252,'030523 INVENTARIO'!$A$2:$Y$1148,5,FALSE)</f>
        <v>SILLA</v>
      </c>
      <c r="F252" s="167" t="str">
        <f>VLOOKUP($A252,'030523 INVENTARIO'!$A$2:$Y$1148,6,FALSE)</f>
        <v>SILLA DE TELA NEGRA FIJA</v>
      </c>
      <c r="G252" s="167" t="str">
        <f ca="1">VLOOKUP($A252,'030523 INVENTARIO'!$A$2:$Y$1148,8,FALSE)</f>
        <v>P12PP-0251</v>
      </c>
      <c r="H252" s="168" t="str">
        <f>VLOOKUP($A252,'030523 INVENTARIO'!$A$2:$Y$1148,17,FALSE)</f>
        <v>S/M</v>
      </c>
      <c r="I252" s="167" t="str">
        <f>VLOOKUP($A252,'030523 INVENTARIO'!$A$2:$Y$1148,18,FALSE)</f>
        <v>S/M</v>
      </c>
      <c r="J252" s="168" t="str">
        <f>VLOOKUP($A252,'030523 INVENTARIO'!$A$2:$Y$1148,19,FALSE)</f>
        <v>SIN SERIE</v>
      </c>
      <c r="K252" s="168" t="str">
        <f>VLOOKUP($A252,'030523 INVENTARIO'!$A$2:$Y$1148,20,FALSE)</f>
        <v>82DJ0511010017000516280</v>
      </c>
      <c r="L252" s="167" t="str">
        <f>VLOOKUP($A252,'030523 INVENTARIO'!$A$2:$Y$1148,23,FALSE)</f>
        <v>SANDRA GUADALUPE LARA VELAZQUEZ</v>
      </c>
    </row>
    <row r="253" spans="1:12" ht="12.75" hidden="1">
      <c r="A253" s="167" t="str">
        <f>'030523 INVENTARIO'!A253</f>
        <v>0252</v>
      </c>
      <c r="B253" s="168" t="str">
        <f>'030523 INVENTARIO'!T253</f>
        <v>82DK0511010017000516227</v>
      </c>
      <c r="C253" s="167" t="str">
        <f t="shared" si="0"/>
        <v>516227</v>
      </c>
      <c r="D253" s="167" t="str">
        <f>IF(VLOOKUP(C253,'Patrimonio 2023'!$C$2:$C$1128,1,FALSE) = C253, "Encontrado", "no")</f>
        <v>Encontrado</v>
      </c>
      <c r="E253" s="167" t="str">
        <f>VLOOKUP($A253,'030523 INVENTARIO'!$A$2:$Y$1148,5,FALSE)</f>
        <v>SILLA</v>
      </c>
      <c r="F253" s="167" t="str">
        <f>VLOOKUP($A253,'030523 INVENTARIO'!$A$2:$Y$1148,6,FALSE)</f>
        <v>SILLA DE TELA NEGRA FIJA</v>
      </c>
      <c r="G253" s="167" t="str">
        <f ca="1">VLOOKUP($A253,'030523 INVENTARIO'!$A$2:$Y$1148,8,FALSE)</f>
        <v>P12PP-0252</v>
      </c>
      <c r="H253" s="168" t="str">
        <f>VLOOKUP($A253,'030523 INVENTARIO'!$A$2:$Y$1148,17,FALSE)</f>
        <v>S/M</v>
      </c>
      <c r="I253" s="167" t="str">
        <f>VLOOKUP($A253,'030523 INVENTARIO'!$A$2:$Y$1148,18,FALSE)</f>
        <v>S/M</v>
      </c>
      <c r="J253" s="168" t="str">
        <f>VLOOKUP($A253,'030523 INVENTARIO'!$A$2:$Y$1148,19,FALSE)</f>
        <v>SIN SERIE</v>
      </c>
      <c r="K253" s="168" t="str">
        <f>VLOOKUP($A253,'030523 INVENTARIO'!$A$2:$Y$1148,20,FALSE)</f>
        <v>82DK0511010017000516227</v>
      </c>
      <c r="L253" s="167" t="str">
        <f>VLOOKUP($A253,'030523 INVENTARIO'!$A$2:$Y$1148,23,FALSE)</f>
        <v>LIZBETH ZAMORA CERVANTES</v>
      </c>
    </row>
    <row r="254" spans="1:12" ht="12.75" hidden="1">
      <c r="A254" s="167" t="str">
        <f>'030523 INVENTARIO'!A254</f>
        <v>0253</v>
      </c>
      <c r="B254" s="168" t="str">
        <f>'030523 INVENTARIO'!T254</f>
        <v>82DK0511010017000649574</v>
      </c>
      <c r="C254" s="167" t="str">
        <f t="shared" si="0"/>
        <v>649574</v>
      </c>
      <c r="D254" s="167" t="str">
        <f>IF(VLOOKUP(C254,'Patrimonio 2023'!$C$2:$C$1128,1,FALSE) = C254, "Encontrado", "no")</f>
        <v>Encontrado</v>
      </c>
      <c r="E254" s="167" t="str">
        <f>VLOOKUP($A254,'030523 INVENTARIO'!$A$2:$Y$1148,5,FALSE)</f>
        <v>SILLA</v>
      </c>
      <c r="F254" s="167" t="str">
        <f>VLOOKUP($A254,'030523 INVENTARIO'!$A$2:$Y$1148,6,FALSE)</f>
        <v>SILLA DE TELA NEGRA FIJA</v>
      </c>
      <c r="G254" s="167" t="str">
        <f ca="1">VLOOKUP($A254,'030523 INVENTARIO'!$A$2:$Y$1148,8,FALSE)</f>
        <v>P12PP-0253</v>
      </c>
      <c r="H254" s="168" t="str">
        <f>VLOOKUP($A254,'030523 INVENTARIO'!$A$2:$Y$1148,17,FALSE)</f>
        <v>S/M</v>
      </c>
      <c r="I254" s="167" t="str">
        <f>VLOOKUP($A254,'030523 INVENTARIO'!$A$2:$Y$1148,18,FALSE)</f>
        <v>S/M</v>
      </c>
      <c r="J254" s="168" t="str">
        <f>VLOOKUP($A254,'030523 INVENTARIO'!$A$2:$Y$1148,19,FALSE)</f>
        <v>SIN SERIE</v>
      </c>
      <c r="K254" s="168" t="str">
        <f>VLOOKUP($A254,'030523 INVENTARIO'!$A$2:$Y$1148,20,FALSE)</f>
        <v>82DK0511010017000649574</v>
      </c>
      <c r="L254" s="167" t="str">
        <f>VLOOKUP($A254,'030523 INVENTARIO'!$A$2:$Y$1148,23,FALSE)</f>
        <v>LIZBETH ZAMORA CERVANTES</v>
      </c>
    </row>
    <row r="255" spans="1:12" ht="12.75" hidden="1">
      <c r="A255" s="167" t="str">
        <f>'030523 INVENTARIO'!A255</f>
        <v>0254</v>
      </c>
      <c r="B255" s="168" t="str">
        <f>'030523 INVENTARIO'!T255</f>
        <v>82DK0531010065000564819</v>
      </c>
      <c r="C255" s="167" t="str">
        <f t="shared" si="0"/>
        <v>564819</v>
      </c>
      <c r="D255" s="167" t="str">
        <f>IF(VLOOKUP(C255,'Patrimonio 2023'!$C$2:$C$1128,1,FALSE) = C255, "Encontrado", "no")</f>
        <v>Encontrado</v>
      </c>
      <c r="E255" s="167" t="str">
        <f>VLOOKUP($A255,'030523 INVENTARIO'!$A$2:$Y$1148,5,FALSE)</f>
        <v>MESA</v>
      </c>
      <c r="F255" s="167" t="str">
        <f>VLOOKUP($A255,'030523 INVENTARIO'!$A$2:$Y$1148,6,FALSE)</f>
        <v>MESA COMPLEMENTO TIPO BALA 160X60</v>
      </c>
      <c r="G255" s="167" t="str">
        <f ca="1">VLOOKUP($A255,'030523 INVENTARIO'!$A$2:$Y$1148,8,FALSE)</f>
        <v>P12PP-0254</v>
      </c>
      <c r="H255" s="168" t="str">
        <f>VLOOKUP($A255,'030523 INVENTARIO'!$A$2:$Y$1148,17,FALSE)</f>
        <v>S/M</v>
      </c>
      <c r="I255" s="167" t="str">
        <f>VLOOKUP($A255,'030523 INVENTARIO'!$A$2:$Y$1148,18,FALSE)</f>
        <v>S/M</v>
      </c>
      <c r="J255" s="168" t="str">
        <f>VLOOKUP($A255,'030523 INVENTARIO'!$A$2:$Y$1148,19,FALSE)</f>
        <v>SIN SERIE</v>
      </c>
      <c r="K255" s="168" t="str">
        <f>VLOOKUP($A255,'030523 INVENTARIO'!$A$2:$Y$1148,20,FALSE)</f>
        <v>82DK0531010065000564819</v>
      </c>
      <c r="L255" s="167" t="str">
        <f>VLOOKUP($A255,'030523 INVENTARIO'!$A$2:$Y$1148,23,FALSE)</f>
        <v>LIZBETH ZAMORA CERVANTES</v>
      </c>
    </row>
    <row r="256" spans="1:12" ht="12.75" hidden="1">
      <c r="A256" s="167" t="str">
        <f>'030523 INVENTARIO'!A256</f>
        <v>0255</v>
      </c>
      <c r="B256" s="168" t="str">
        <f>'030523 INVENTARIO'!T256</f>
        <v>82DK0511010006000583456</v>
      </c>
      <c r="C256" s="167" t="str">
        <f t="shared" si="0"/>
        <v>583456</v>
      </c>
      <c r="D256" s="167" t="str">
        <f>IF(VLOOKUP(C256,'Patrimonio 2023'!$C$2:$C$1128,1,FALSE) = C256, "Encontrado", "no")</f>
        <v>Encontrado</v>
      </c>
      <c r="E256" s="167" t="str">
        <f>VLOOKUP($A256,'030523 INVENTARIO'!$A$2:$Y$1148,5,FALSE)</f>
        <v>ESCRITORIO</v>
      </c>
      <c r="F256" s="167" t="str">
        <f>VLOOKUP($A256,'030523 INVENTARIO'!$A$2:$Y$1148,6,FALSE)</f>
        <v>ESCRITORIO DE MADERA 160X40</v>
      </c>
      <c r="G256" s="167" t="str">
        <f ca="1">VLOOKUP($A256,'030523 INVENTARIO'!$A$2:$Y$1148,8,FALSE)</f>
        <v>P12PP-0255</v>
      </c>
      <c r="H256" s="168" t="str">
        <f>VLOOKUP($A256,'030523 INVENTARIO'!$A$2:$Y$1148,17,FALSE)</f>
        <v>S/M</v>
      </c>
      <c r="I256" s="167" t="str">
        <f>VLOOKUP($A256,'030523 INVENTARIO'!$A$2:$Y$1148,18,FALSE)</f>
        <v>S/M</v>
      </c>
      <c r="J256" s="168" t="str">
        <f>VLOOKUP($A256,'030523 INVENTARIO'!$A$2:$Y$1148,19,FALSE)</f>
        <v>SIN SERIE</v>
      </c>
      <c r="K256" s="168" t="str">
        <f>VLOOKUP($A256,'030523 INVENTARIO'!$A$2:$Y$1148,20,FALSE)</f>
        <v>82DK0511010006000583456</v>
      </c>
      <c r="L256" s="167" t="str">
        <f>VLOOKUP($A256,'030523 INVENTARIO'!$A$2:$Y$1148,23,FALSE)</f>
        <v>LIZBETH ZAMORA CERVANTES</v>
      </c>
    </row>
    <row r="257" spans="1:12" ht="12.75" hidden="1">
      <c r="A257" s="167" t="str">
        <f>'030523 INVENTARIO'!A257</f>
        <v>0256</v>
      </c>
      <c r="B257" s="168" t="str">
        <f>'030523 INVENTARIO'!T257</f>
        <v>82DJ0511010010000649636</v>
      </c>
      <c r="C257" s="167" t="str">
        <f t="shared" si="0"/>
        <v>649636</v>
      </c>
      <c r="D257" s="167" t="str">
        <f>IF(VLOOKUP(C257,'Patrimonio 2023'!$C$2:$C$1128,1,FALSE) = C257, "Encontrado", "no")</f>
        <v>Encontrado</v>
      </c>
      <c r="E257" s="167" t="str">
        <f>VLOOKUP($A257,'030523 INVENTARIO'!$A$2:$Y$1148,5,FALSE)</f>
        <v>MESA</v>
      </c>
      <c r="F257" s="168" t="str">
        <f>VLOOKUP($A257,'030523 INVENTARIO'!$A$2:$Y$1148,6,FALSE)</f>
        <v>MESA DE MADERA CON BASE DE METAL</v>
      </c>
      <c r="G257" s="167" t="str">
        <f ca="1">VLOOKUP($A257,'030523 INVENTARIO'!$A$2:$Y$1148,8,FALSE)</f>
        <v>P12PP-0256</v>
      </c>
      <c r="H257" s="168" t="str">
        <f>VLOOKUP($A257,'030523 INVENTARIO'!$A$2:$Y$1148,17,FALSE)</f>
        <v>S/M</v>
      </c>
      <c r="I257" s="167" t="str">
        <f>VLOOKUP($A257,'030523 INVENTARIO'!$A$2:$Y$1148,18,FALSE)</f>
        <v>S/M</v>
      </c>
      <c r="J257" s="168" t="str">
        <f>VLOOKUP($A257,'030523 INVENTARIO'!$A$2:$Y$1148,19,FALSE)</f>
        <v>SIN SERIE</v>
      </c>
      <c r="K257" s="168" t="str">
        <f>VLOOKUP($A257,'030523 INVENTARIO'!$A$2:$Y$1148,20,FALSE)</f>
        <v>82DJ0511010010000649636</v>
      </c>
      <c r="L257" s="167" t="str">
        <f>VLOOKUP($A257,'030523 INVENTARIO'!$A$2:$Y$1148,23,FALSE)</f>
        <v>KENIA ITZEL GARCIA BEDOLLA</v>
      </c>
    </row>
    <row r="258" spans="1:12" ht="12.75" hidden="1">
      <c r="A258" s="167" t="str">
        <f>'030523 INVENTARIO'!A258</f>
        <v>0257</v>
      </c>
      <c r="B258" s="168" t="str">
        <f>'030523 INVENTARIO'!T258</f>
        <v>82DK0519010043000649573</v>
      </c>
      <c r="C258" s="167" t="str">
        <f t="shared" si="0"/>
        <v>649573</v>
      </c>
      <c r="D258" s="167" t="str">
        <f>IF(VLOOKUP(C258,'Patrimonio 2023'!$C$2:$C$1128,1,FALSE) = C258, "Encontrado", "no")</f>
        <v>Encontrado</v>
      </c>
      <c r="E258" s="167" t="str">
        <f>VLOOKUP($A258,'030523 INVENTARIO'!$A$2:$Y$1148,5,FALSE)</f>
        <v>VENTILADOR</v>
      </c>
      <c r="F258" s="168" t="str">
        <f>VLOOKUP($A258,'030523 INVENTARIO'!$A$2:$Y$1148,6,FALSE)</f>
        <v>VENTILADOR DE TORRE</v>
      </c>
      <c r="G258" s="167" t="str">
        <f ca="1">VLOOKUP($A258,'030523 INVENTARIO'!$A$2:$Y$1148,8,FALSE)</f>
        <v>P12PP-0257</v>
      </c>
      <c r="H258" s="168" t="str">
        <f>VLOOKUP($A258,'030523 INVENTARIO'!$A$2:$Y$1148,17,FALSE)</f>
        <v>MYTEK</v>
      </c>
      <c r="I258" s="167">
        <f>VLOOKUP($A258,'030523 INVENTARIO'!$A$2:$Y$1148,18,FALSE)</f>
        <v>3352</v>
      </c>
      <c r="J258" s="168" t="str">
        <f>VLOOKUP($A258,'030523 INVENTARIO'!$A$2:$Y$1148,19,FALSE)</f>
        <v>3352</v>
      </c>
      <c r="K258" s="168" t="str">
        <f>VLOOKUP($A258,'030523 INVENTARIO'!$A$2:$Y$1148,20,FALSE)</f>
        <v>82DK0519010043000649573</v>
      </c>
      <c r="L258" s="167" t="str">
        <f>VLOOKUP($A258,'030523 INVENTARIO'!$A$2:$Y$1148,23,FALSE)</f>
        <v>LIZBETH ZAMORA CERVANTES</v>
      </c>
    </row>
    <row r="259" spans="1:12" ht="12.75" hidden="1">
      <c r="A259" s="167" t="str">
        <f>'030523 INVENTARIO'!A259</f>
        <v>0258</v>
      </c>
      <c r="B259" s="168" t="str">
        <f>'030523 INVENTARIO'!T259</f>
        <v>82DK0515010020000650902</v>
      </c>
      <c r="C259" s="167" t="str">
        <f t="shared" si="0"/>
        <v>650902</v>
      </c>
      <c r="D259" s="167" t="str">
        <f>IF(VLOOKUP(C259,'Patrimonio 2023'!$C$2:$C$1128,1,FALSE) = C259, "Encontrado", "no")</f>
        <v>Encontrado</v>
      </c>
      <c r="E259" s="167" t="str">
        <f>VLOOKUP($A259,'030523 INVENTARIO'!$A$2:$Y$1148,5,FALSE)</f>
        <v>REGULADOR DE VOLTAJE</v>
      </c>
      <c r="F259" s="168" t="str">
        <f>VLOOKUP($A259,'030523 INVENTARIO'!$A$2:$Y$1148,6,FALSE)</f>
        <v>REGULADOR NEGRO</v>
      </c>
      <c r="G259" s="167" t="str">
        <f ca="1">VLOOKUP($A259,'030523 INVENTARIO'!$A$2:$Y$1148,8,FALSE)</f>
        <v>P12PP-0258</v>
      </c>
      <c r="H259" s="168" t="str">
        <f>VLOOKUP($A259,'030523 INVENTARIO'!$A$2:$Y$1148,17,FALSE)</f>
        <v>KOBLENZ</v>
      </c>
      <c r="I259" s="167" t="str">
        <f>VLOOKUP($A259,'030523 INVENTARIO'!$A$2:$Y$1148,18,FALSE)</f>
        <v>RS/1400I</v>
      </c>
      <c r="J259" s="168" t="str">
        <f>VLOOKUP($A259,'030523 INVENTARIO'!$A$2:$Y$1148,19,FALSE)</f>
        <v>SIN SERIE</v>
      </c>
      <c r="K259" s="168" t="str">
        <f>VLOOKUP($A259,'030523 INVENTARIO'!$A$2:$Y$1148,20,FALSE)</f>
        <v>82DK0515010020000650902</v>
      </c>
      <c r="L259" s="167" t="str">
        <f>VLOOKUP($A259,'030523 INVENTARIO'!$A$2:$Y$1148,23,FALSE)</f>
        <v>LIZBETH ZAMORA CERVANTES</v>
      </c>
    </row>
    <row r="260" spans="1:12" ht="12.75" hidden="1">
      <c r="A260" s="167" t="str">
        <f>'030523 INVENTARIO'!A260</f>
        <v>0259</v>
      </c>
      <c r="B260" s="168" t="str">
        <f>'030523 INVENTARIO'!T260</f>
        <v>82DK0515010001000650664</v>
      </c>
      <c r="C260" s="167" t="str">
        <f t="shared" si="0"/>
        <v>650664</v>
      </c>
      <c r="D260" s="167" t="str">
        <f>IF(VLOOKUP(C260,'Patrimonio 2023'!$C$2:$C$1128,1,FALSE) = C260, "Encontrado", "no")</f>
        <v>Encontrado</v>
      </c>
      <c r="E260" s="167" t="str">
        <f>VLOOKUP($A260,'030523 INVENTARIO'!$A$2:$Y$1148,5,FALSE)</f>
        <v>COMPUTADORA DE ESCRITORIO</v>
      </c>
      <c r="F260" s="167" t="str">
        <f>VLOOKUP($A260,'030523 INVENTARIO'!$A$2:$Y$1148,6,FALSE)</f>
        <v>COMPUTADORA DE ESCRITORIO</v>
      </c>
      <c r="G260" s="167" t="str">
        <f ca="1">VLOOKUP($A260,'030523 INVENTARIO'!$A$2:$Y$1148,8,FALSE)</f>
        <v>P12PP-0259</v>
      </c>
      <c r="H260" s="168" t="str">
        <f>VLOOKUP($A260,'030523 INVENTARIO'!$A$2:$Y$1148,17,FALSE)</f>
        <v>GHIA</v>
      </c>
      <c r="I260" s="167">
        <f>VLOOKUP($A260,'030523 INVENTARIO'!$A$2:$Y$1148,18,FALSE)</f>
        <v>2378</v>
      </c>
      <c r="J260" s="168" t="str">
        <f>VLOOKUP($A260,'030523 INVENTARIO'!$A$2:$Y$1148,19,FALSE)</f>
        <v>337857</v>
      </c>
      <c r="K260" s="168" t="str">
        <f>VLOOKUP($A260,'030523 INVENTARIO'!$A$2:$Y$1148,20,FALSE)</f>
        <v>82DK0515010001000650664</v>
      </c>
      <c r="L260" s="167" t="str">
        <f>VLOOKUP($A260,'030523 INVENTARIO'!$A$2:$Y$1148,23,FALSE)</f>
        <v>LIZBETH ZAMORA CERVANTES</v>
      </c>
    </row>
    <row r="261" spans="1:12" ht="12.75" hidden="1">
      <c r="A261" s="167" t="str">
        <f>'030523 INVENTARIO'!A261</f>
        <v>0260</v>
      </c>
      <c r="B261" s="168" t="str">
        <f>'030523 INVENTARIO'!T261</f>
        <v>82DK0515010013000649572</v>
      </c>
      <c r="C261" s="167" t="str">
        <f t="shared" si="0"/>
        <v>649572</v>
      </c>
      <c r="D261" s="167" t="str">
        <f>IF(VLOOKUP(C261,'Patrimonio 2023'!$C$2:$C$1128,1,FALSE) = C261, "Encontrado", "no")</f>
        <v>Encontrado</v>
      </c>
      <c r="E261" s="167" t="str">
        <f>VLOOKUP($A261,'030523 INVENTARIO'!$A$2:$Y$1148,5,FALSE)</f>
        <v>MONITOR</v>
      </c>
      <c r="F261" s="167" t="str">
        <f>VLOOKUP($A261,'030523 INVENTARIO'!$A$2:$Y$1148,6,FALSE)</f>
        <v>MONITOR 19.5"</v>
      </c>
      <c r="G261" s="167" t="str">
        <f ca="1">VLOOKUP($A261,'030523 INVENTARIO'!$A$2:$Y$1148,8,FALSE)</f>
        <v>P12PP-0260</v>
      </c>
      <c r="H261" s="168" t="str">
        <f>VLOOKUP($A261,'030523 INVENTARIO'!$A$2:$Y$1148,17,FALSE)</f>
        <v>GATEWAY</v>
      </c>
      <c r="I261" s="167" t="str">
        <f>VLOOKUP($A261,'030523 INVENTARIO'!$A$2:$Y$1148,18,FALSE)</f>
        <v>KX1953</v>
      </c>
      <c r="J261" s="168" t="str">
        <f>VLOOKUP($A261,'030523 INVENTARIO'!$A$2:$Y$1148,19,FALSE)</f>
        <v>32701492242</v>
      </c>
      <c r="K261" s="168" t="str">
        <f>VLOOKUP($A261,'030523 INVENTARIO'!$A$2:$Y$1148,20,FALSE)</f>
        <v>82DK0515010013000649572</v>
      </c>
      <c r="L261" s="167" t="str">
        <f>VLOOKUP($A261,'030523 INVENTARIO'!$A$2:$Y$1148,23,FALSE)</f>
        <v>LIZBETH ZAMORA CERVANTES</v>
      </c>
    </row>
    <row r="262" spans="1:12" ht="12.75" hidden="1">
      <c r="A262" s="167" t="str">
        <f>'030523 INVENTARIO'!A262</f>
        <v>0261</v>
      </c>
      <c r="B262" s="168" t="str">
        <f>'030523 INVENTARIO'!T262</f>
        <v>82DK0511010017000564597</v>
      </c>
      <c r="C262" s="167" t="str">
        <f t="shared" si="0"/>
        <v>564597</v>
      </c>
      <c r="D262" s="167" t="str">
        <f>IF(VLOOKUP(C262,'Patrimonio 2023'!$C$2:$C$1128,1,FALSE) = C262, "Encontrado", "no")</f>
        <v>Encontrado</v>
      </c>
      <c r="E262" s="167" t="str">
        <f>VLOOKUP($A262,'030523 INVENTARIO'!$A$2:$Y$1148,5,FALSE)</f>
        <v>SILLA</v>
      </c>
      <c r="F262" s="168" t="str">
        <f>VLOOKUP($A262,'030523 INVENTARIO'!$A$2:$Y$1148,6,FALSE)</f>
        <v>SILLA NEGRA CON RUEDAS</v>
      </c>
      <c r="G262" s="167" t="str">
        <f ca="1">VLOOKUP($A262,'030523 INVENTARIO'!$A$2:$Y$1148,8,FALSE)</f>
        <v>P12PP-0261</v>
      </c>
      <c r="H262" s="168" t="str">
        <f>VLOOKUP($A262,'030523 INVENTARIO'!$A$2:$Y$1148,17,FALSE)</f>
        <v>S/M</v>
      </c>
      <c r="I262" s="167" t="str">
        <f>VLOOKUP($A262,'030523 INVENTARIO'!$A$2:$Y$1148,18,FALSE)</f>
        <v>S/M</v>
      </c>
      <c r="J262" s="168" t="str">
        <f>VLOOKUP($A262,'030523 INVENTARIO'!$A$2:$Y$1148,19,FALSE)</f>
        <v>SIN SERIE</v>
      </c>
      <c r="K262" s="168" t="str">
        <f>VLOOKUP($A262,'030523 INVENTARIO'!$A$2:$Y$1148,20,FALSE)</f>
        <v>82DK0511010017000564597</v>
      </c>
      <c r="L262" s="167" t="str">
        <f>VLOOKUP($A262,'030523 INVENTARIO'!$A$2:$Y$1148,23,FALSE)</f>
        <v>LIZBETH ZAMORA CERVANTES</v>
      </c>
    </row>
    <row r="263" spans="1:12" ht="12.75" hidden="1">
      <c r="A263" s="167" t="str">
        <f>'030523 INVENTARIO'!A263</f>
        <v>0262</v>
      </c>
      <c r="B263" s="168" t="str">
        <f>'030523 INVENTARIO'!T263</f>
        <v>SIN RESGUARDO</v>
      </c>
      <c r="C263" s="167" t="str">
        <f t="shared" si="0"/>
        <v/>
      </c>
      <c r="D263" s="167" t="e">
        <f>IF(VLOOKUP(C263,'Patrimonio 2023'!$C$2:$C$1128,1,FALSE) = C263, "Encontrado", "no")</f>
        <v>#N/A</v>
      </c>
      <c r="E263" s="167" t="str">
        <f>VLOOKUP($A263,'030523 INVENTARIO'!$A$2:$Y$1148,5,FALSE)</f>
        <v>SILLA</v>
      </c>
      <c r="F263" s="167" t="str">
        <f>VLOOKUP($A263,'030523 INVENTARIO'!$A$2:$Y$1148,6,FALSE)</f>
        <v>SILLA DE TELA NEGRA FIJA</v>
      </c>
      <c r="G263" s="167" t="str">
        <f ca="1">VLOOKUP($A263,'030523 INVENTARIO'!$A$2:$Y$1148,8,FALSE)</f>
        <v>P12PP-0262</v>
      </c>
      <c r="H263" s="168" t="str">
        <f>VLOOKUP($A263,'030523 INVENTARIO'!$A$2:$Y$1148,17,FALSE)</f>
        <v>S/M</v>
      </c>
      <c r="I263" s="167" t="str">
        <f>VLOOKUP($A263,'030523 INVENTARIO'!$A$2:$Y$1148,18,FALSE)</f>
        <v>S/M</v>
      </c>
      <c r="J263" s="168" t="str">
        <f>VLOOKUP($A263,'030523 INVENTARIO'!$A$2:$Y$1148,19,FALSE)</f>
        <v>SIN SERIE</v>
      </c>
      <c r="K263" s="168" t="str">
        <f>VLOOKUP($A263,'030523 INVENTARIO'!$A$2:$Y$1148,20,FALSE)</f>
        <v>SIN RESGUARDO</v>
      </c>
      <c r="L263" s="167" t="str">
        <f>VLOOKUP($A263,'030523 INVENTARIO'!$A$2:$Y$1148,23,FALSE)</f>
        <v>ENRIQUE PONCE JUAREZ</v>
      </c>
    </row>
    <row r="264" spans="1:12" ht="12.75" hidden="1">
      <c r="A264" s="167" t="str">
        <f>'030523 INVENTARIO'!A264</f>
        <v>0263</v>
      </c>
      <c r="B264" s="168" t="str">
        <f>'030523 INVENTARIO'!T264</f>
        <v>SIN RESGUARDO</v>
      </c>
      <c r="C264" s="167" t="str">
        <f t="shared" si="0"/>
        <v/>
      </c>
      <c r="D264" s="167" t="e">
        <f>IF(VLOOKUP(C264,'Patrimonio 2023'!$C$2:$C$1128,1,FALSE) = C264, "Encontrado", "no")</f>
        <v>#N/A</v>
      </c>
      <c r="E264" s="167" t="str">
        <f>VLOOKUP($A264,'030523 INVENTARIO'!$A$2:$Y$1148,5,FALSE)</f>
        <v>SILLA</v>
      </c>
      <c r="F264" s="167" t="str">
        <f>VLOOKUP($A264,'030523 INVENTARIO'!$A$2:$Y$1148,6,FALSE)</f>
        <v>SILLA DE TELA NEGRA FIJA</v>
      </c>
      <c r="G264" s="167" t="str">
        <f ca="1">VLOOKUP($A264,'030523 INVENTARIO'!$A$2:$Y$1148,8,FALSE)</f>
        <v>P12PP-0263</v>
      </c>
      <c r="H264" s="168" t="str">
        <f>VLOOKUP($A264,'030523 INVENTARIO'!$A$2:$Y$1148,17,FALSE)</f>
        <v>S/M</v>
      </c>
      <c r="I264" s="167" t="str">
        <f>VLOOKUP($A264,'030523 INVENTARIO'!$A$2:$Y$1148,18,FALSE)</f>
        <v>S/M</v>
      </c>
      <c r="J264" s="168" t="str">
        <f>VLOOKUP($A264,'030523 INVENTARIO'!$A$2:$Y$1148,19,FALSE)</f>
        <v>SIN SERIE</v>
      </c>
      <c r="K264" s="168" t="str">
        <f>VLOOKUP($A264,'030523 INVENTARIO'!$A$2:$Y$1148,20,FALSE)</f>
        <v>SIN RESGUARDO</v>
      </c>
      <c r="L264" s="167" t="str">
        <f>VLOOKUP($A264,'030523 INVENTARIO'!$A$2:$Y$1148,23,FALSE)</f>
        <v>ENRIQUE PONCE JUAREZ</v>
      </c>
    </row>
    <row r="265" spans="1:12" ht="12.75" hidden="1">
      <c r="A265" s="167" t="str">
        <f>'030523 INVENTARIO'!A265</f>
        <v>0264</v>
      </c>
      <c r="B265" s="168" t="str">
        <f>'030523 INVENTARIO'!T265</f>
        <v>82DJ0531010065000564818</v>
      </c>
      <c r="C265" s="167" t="str">
        <f t="shared" si="0"/>
        <v>564818</v>
      </c>
      <c r="D265" s="167" t="str">
        <f>IF(VLOOKUP(C265,'Patrimonio 2023'!$C$2:$C$1128,1,FALSE) = C265, "Encontrado", "no")</f>
        <v>Encontrado</v>
      </c>
      <c r="E265" s="167" t="str">
        <f>VLOOKUP($A265,'030523 INVENTARIO'!$A$2:$Y$1148,5,FALSE)</f>
        <v>MESA</v>
      </c>
      <c r="F265" s="167" t="str">
        <f>VLOOKUP($A265,'030523 INVENTARIO'!$A$2:$Y$1148,6,FALSE)</f>
        <v>MESA COMPLEMENTO TIPO BALA 160X60</v>
      </c>
      <c r="G265" s="167" t="str">
        <f ca="1">VLOOKUP($A265,'030523 INVENTARIO'!$A$2:$Y$1148,8,FALSE)</f>
        <v>P12PP-0264</v>
      </c>
      <c r="H265" s="168" t="str">
        <f>VLOOKUP($A265,'030523 INVENTARIO'!$A$2:$Y$1148,17,FALSE)</f>
        <v>S/M</v>
      </c>
      <c r="I265" s="167" t="str">
        <f>VLOOKUP($A265,'030523 INVENTARIO'!$A$2:$Y$1148,18,FALSE)</f>
        <v>S/M</v>
      </c>
      <c r="J265" s="168" t="str">
        <f>VLOOKUP($A265,'030523 INVENTARIO'!$A$2:$Y$1148,19,FALSE)</f>
        <v>SIN SERIE</v>
      </c>
      <c r="K265" s="168" t="str">
        <f>VLOOKUP($A265,'030523 INVENTARIO'!$A$2:$Y$1148,20,FALSE)</f>
        <v>82DJ0531010065000564818</v>
      </c>
      <c r="L265" s="167" t="str">
        <f>VLOOKUP($A265,'030523 INVENTARIO'!$A$2:$Y$1148,23,FALSE)</f>
        <v>ENRIQUE PONCE JUAREZ</v>
      </c>
    </row>
    <row r="266" spans="1:12" ht="12.75" hidden="1">
      <c r="A266" s="167" t="str">
        <f>'030523 INVENTARIO'!A266</f>
        <v>0265</v>
      </c>
      <c r="B266" s="168" t="str">
        <f>'030523 INVENTARIO'!T266</f>
        <v>82DJ0511010006000583459</v>
      </c>
      <c r="C266" s="167" t="str">
        <f t="shared" si="0"/>
        <v>583459</v>
      </c>
      <c r="D266" s="167" t="str">
        <f>IF(VLOOKUP(C266,'Patrimonio 2023'!$C$2:$C$1128,1,FALSE) = C266, "Encontrado", "no")</f>
        <v>Encontrado</v>
      </c>
      <c r="E266" s="167" t="str">
        <f>VLOOKUP($A266,'030523 INVENTARIO'!$A$2:$Y$1148,5,FALSE)</f>
        <v>ESCRITORIO</v>
      </c>
      <c r="F266" s="167" t="str">
        <f>VLOOKUP($A266,'030523 INVENTARIO'!$A$2:$Y$1148,6,FALSE)</f>
        <v>ESCRITORIO DE MADERA 160X40</v>
      </c>
      <c r="G266" s="167" t="str">
        <f ca="1">VLOOKUP($A266,'030523 INVENTARIO'!$A$2:$Y$1148,8,FALSE)</f>
        <v>P12PP-0265</v>
      </c>
      <c r="H266" s="168" t="str">
        <f>VLOOKUP($A266,'030523 INVENTARIO'!$A$2:$Y$1148,17,FALSE)</f>
        <v>S/M</v>
      </c>
      <c r="I266" s="167" t="str">
        <f>VLOOKUP($A266,'030523 INVENTARIO'!$A$2:$Y$1148,18,FALSE)</f>
        <v>S/M</v>
      </c>
      <c r="J266" s="168" t="str">
        <f>VLOOKUP($A266,'030523 INVENTARIO'!$A$2:$Y$1148,19,FALSE)</f>
        <v>SIN SERIE</v>
      </c>
      <c r="K266" s="168" t="str">
        <f>VLOOKUP($A266,'030523 INVENTARIO'!$A$2:$Y$1148,20,FALSE)</f>
        <v>82DJ0511010006000583459</v>
      </c>
      <c r="L266" s="167" t="str">
        <f>VLOOKUP($A266,'030523 INVENTARIO'!$A$2:$Y$1148,23,FALSE)</f>
        <v>ENRIQUE PONCE JUAREZ</v>
      </c>
    </row>
    <row r="267" spans="1:12" ht="12.75" hidden="1">
      <c r="A267" s="167" t="str">
        <f>'030523 INVENTARIO'!A267</f>
        <v>0266</v>
      </c>
      <c r="B267" s="168" t="str">
        <f>'030523 INVENTARIO'!T267</f>
        <v>82DJ0531010094000564895</v>
      </c>
      <c r="C267" s="167" t="str">
        <f t="shared" si="0"/>
        <v>564895</v>
      </c>
      <c r="D267" s="167" t="str">
        <f>IF(VLOOKUP(C267,'Patrimonio 2023'!$C$2:$C$1128,1,FALSE) = C267, "Encontrado", "no")</f>
        <v>Encontrado</v>
      </c>
      <c r="E267" s="167" t="str">
        <f>VLOOKUP($A267,'030523 INVENTARIO'!$A$2:$Y$1148,5,FALSE)</f>
        <v>VENTILADOR</v>
      </c>
      <c r="F267" s="167" t="str">
        <f>VLOOKUP($A267,'030523 INVENTARIO'!$A$2:$Y$1148,6,FALSE)</f>
        <v>VENTILADOR GRIS DE TORRE</v>
      </c>
      <c r="G267" s="167" t="str">
        <f ca="1">VLOOKUP($A267,'030523 INVENTARIO'!$A$2:$Y$1148,8,FALSE)</f>
        <v>P15RM-0266</v>
      </c>
      <c r="H267" s="168" t="str">
        <f>VLOOKUP($A267,'030523 INVENTARIO'!$A$2:$Y$1148,17,FALSE)</f>
        <v>BIRTMAN</v>
      </c>
      <c r="I267" s="167" t="str">
        <f>VLOOKUP($A267,'030523 INVENTARIO'!$A$2:$Y$1148,18,FALSE)</f>
        <v>BT-40</v>
      </c>
      <c r="J267" s="168" t="str">
        <f>VLOOKUP($A267,'030523 INVENTARIO'!$A$2:$Y$1148,19,FALSE)</f>
        <v>SIN SERIE</v>
      </c>
      <c r="K267" s="168" t="str">
        <f>VLOOKUP($A267,'030523 INVENTARIO'!$A$2:$Y$1148,20,FALSE)</f>
        <v>82DJ0531010094000564895</v>
      </c>
      <c r="L267" s="167" t="str">
        <f>VLOOKUP($A267,'030523 INVENTARIO'!$A$2:$Y$1148,23,FALSE)</f>
        <v>BLANCA ELIZABETH ALCANTAR GUERRERO</v>
      </c>
    </row>
    <row r="268" spans="1:12" ht="12.75" hidden="1">
      <c r="A268" s="167" t="str">
        <f>'030523 INVENTARIO'!A268</f>
        <v>0267</v>
      </c>
      <c r="B268" s="168" t="str">
        <f>'030523 INVENTARIO'!T268</f>
        <v>82DJ0565010001000533243</v>
      </c>
      <c r="C268" s="167" t="str">
        <f t="shared" si="0"/>
        <v>533243</v>
      </c>
      <c r="D268" s="167" t="str">
        <f>IF(VLOOKUP(C268,'Patrimonio 2023'!$C$2:$C$1128,1,FALSE) = C268, "Encontrado", "no")</f>
        <v>Encontrado</v>
      </c>
      <c r="E268" s="167" t="str">
        <f>VLOOKUP($A268,'030523 INVENTARIO'!$A$2:$Y$1148,5,FALSE)</f>
        <v>TELEFONO</v>
      </c>
      <c r="F268" s="168" t="str">
        <f>VLOOKUP($A268,'030523 INVENTARIO'!$A$2:$Y$1148,6,FALSE)</f>
        <v>TELEFONO GRIS</v>
      </c>
      <c r="G268" s="167" t="str">
        <f ca="1">VLOOKUP($A268,'030523 INVENTARIO'!$A$2:$Y$1148,8,FALSE)</f>
        <v>P12PP-0267</v>
      </c>
      <c r="H268" s="168" t="str">
        <f>VLOOKUP($A268,'030523 INVENTARIO'!$A$2:$Y$1148,17,FALSE)</f>
        <v>LINKSYS</v>
      </c>
      <c r="I268" s="167" t="str">
        <f>VLOOKUP($A268,'030523 INVENTARIO'!$A$2:$Y$1148,18,FALSE)</f>
        <v>SPA942</v>
      </c>
      <c r="J268" s="168" t="str">
        <f>VLOOKUP($A268,'030523 INVENTARIO'!$A$2:$Y$1148,19,FALSE)</f>
        <v>4LO00H1118471</v>
      </c>
      <c r="K268" s="168" t="str">
        <f>VLOOKUP($A268,'030523 INVENTARIO'!$A$2:$Y$1148,20,FALSE)</f>
        <v>82DJ0565010001000533243</v>
      </c>
      <c r="L268" s="167" t="str">
        <f>VLOOKUP($A268,'030523 INVENTARIO'!$A$2:$Y$1148,23,FALSE)</f>
        <v>ENRIQUE PONCE JUAREZ</v>
      </c>
    </row>
    <row r="269" spans="1:12" ht="12.75" hidden="1">
      <c r="A269" s="167" t="str">
        <f>'030523 INVENTARIO'!A269</f>
        <v>0268</v>
      </c>
      <c r="B269" s="168" t="str">
        <f>'030523 INVENTARIO'!T269</f>
        <v>82DJ0515010013000649575</v>
      </c>
      <c r="C269" s="167" t="str">
        <f t="shared" si="0"/>
        <v>649575</v>
      </c>
      <c r="D269" s="167" t="str">
        <f>IF(VLOOKUP(C269,'Patrimonio 2023'!$C$2:$C$1128,1,FALSE) = C269, "Encontrado", "no")</f>
        <v>Encontrado</v>
      </c>
      <c r="E269" s="167" t="str">
        <f>VLOOKUP($A269,'030523 INVENTARIO'!$A$2:$Y$1148,5,FALSE)</f>
        <v>MONITOR</v>
      </c>
      <c r="F269" s="167" t="str">
        <f>VLOOKUP($A269,'030523 INVENTARIO'!$A$2:$Y$1148,6,FALSE)</f>
        <v>MONITOR 15.6"</v>
      </c>
      <c r="G269" s="167" t="str">
        <f ca="1">VLOOKUP($A269,'030523 INVENTARIO'!$A$2:$Y$1148,8,FALSE)</f>
        <v>P12PP-0268</v>
      </c>
      <c r="H269" s="168" t="str">
        <f>VLOOKUP($A269,'030523 INVENTARIO'!$A$2:$Y$1148,17,FALSE)</f>
        <v>ACER</v>
      </c>
      <c r="I269" s="167" t="str">
        <f>VLOOKUP($A269,'030523 INVENTARIO'!$A$2:$Y$1148,18,FALSE)</f>
        <v>P166HQL</v>
      </c>
      <c r="J269" s="168" t="str">
        <f>VLOOKUP($A269,'030523 INVENTARIO'!$A$2:$Y$1148,19,FALSE)</f>
        <v>62202356742</v>
      </c>
      <c r="K269" s="168" t="str">
        <f>VLOOKUP($A269,'030523 INVENTARIO'!$A$2:$Y$1148,20,FALSE)</f>
        <v>82DJ0515010013000649575</v>
      </c>
      <c r="L269" s="167" t="str">
        <f>VLOOKUP($A269,'030523 INVENTARIO'!$A$2:$Y$1148,23,FALSE)</f>
        <v>ENRIQUE PONCE JUAREZ</v>
      </c>
    </row>
    <row r="270" spans="1:12" ht="12.75" hidden="1">
      <c r="A270" s="167" t="str">
        <f>'030523 INVENTARIO'!A270</f>
        <v>0269</v>
      </c>
      <c r="B270" s="168" t="str">
        <f>'030523 INVENTARIO'!T270</f>
        <v>82DJ0565010041000539124</v>
      </c>
      <c r="C270" s="167" t="str">
        <f t="shared" si="0"/>
        <v>539124</v>
      </c>
      <c r="D270" s="167" t="str">
        <f>IF(VLOOKUP(C270,'Patrimonio 2023'!$C$2:$C$1128,1,FALSE) = C270, "Encontrado", "no")</f>
        <v>Encontrado</v>
      </c>
      <c r="E270" s="167" t="str">
        <f>VLOOKUP($A270,'030523 INVENTARIO'!$A$2:$Y$1148,5,FALSE)</f>
        <v>MONITOR</v>
      </c>
      <c r="F270" s="167" t="str">
        <f>VLOOKUP($A270,'030523 INVENTARIO'!$A$2:$Y$1148,6,FALSE)</f>
        <v>MONITOR 19.5"</v>
      </c>
      <c r="G270" s="167" t="str">
        <f ca="1">VLOOKUP($A270,'030523 INVENTARIO'!$A$2:$Y$1148,8,FALSE)</f>
        <v>P12PP-0269</v>
      </c>
      <c r="H270" s="168" t="str">
        <f>VLOOKUP($A270,'030523 INVENTARIO'!$A$2:$Y$1148,17,FALSE)</f>
        <v>COMPAQ</v>
      </c>
      <c r="I270" s="167" t="str">
        <f>VLOOKUP($A270,'030523 INVENTARIO'!$A$2:$Y$1148,18,FALSE)</f>
        <v>WF1907</v>
      </c>
      <c r="J270" s="168" t="str">
        <f>VLOOKUP($A270,'030523 INVENTARIO'!$A$2:$Y$1148,19,FALSE)</f>
        <v>CNC812494W</v>
      </c>
      <c r="K270" s="168" t="str">
        <f>VLOOKUP($A270,'030523 INVENTARIO'!$A$2:$Y$1148,20,FALSE)</f>
        <v>82DJ0565010041000539124</v>
      </c>
      <c r="L270" s="167" t="str">
        <f>VLOOKUP($A270,'030523 INVENTARIO'!$A$2:$Y$1148,23,FALSE)</f>
        <v>ENRIQUE PONCE JUAREZ</v>
      </c>
    </row>
    <row r="271" spans="1:12" ht="12.75" hidden="1">
      <c r="A271" s="167" t="str">
        <f>'030523 INVENTARIO'!A271</f>
        <v>0270</v>
      </c>
      <c r="B271" s="168" t="str">
        <f>'030523 INVENTARIO'!T271</f>
        <v>82DJ0515010001000535487</v>
      </c>
      <c r="C271" s="167" t="str">
        <f t="shared" si="0"/>
        <v>535487</v>
      </c>
      <c r="D271" s="167" t="str">
        <f>IF(VLOOKUP(C271,'Patrimonio 2023'!$C$2:$C$1128,1,FALSE) = C271, "Encontrado", "no")</f>
        <v>Encontrado</v>
      </c>
      <c r="E271" s="167" t="str">
        <f>VLOOKUP($A271,'030523 INVENTARIO'!$A$2:$Y$1148,5,FALSE)</f>
        <v>COMPUTADORA DE ESCRITORIO</v>
      </c>
      <c r="F271" s="167" t="str">
        <f>VLOOKUP($A271,'030523 INVENTARIO'!$A$2:$Y$1148,6,FALSE)</f>
        <v>COMPUTADORA DE ESCRITORIO</v>
      </c>
      <c r="G271" s="167" t="str">
        <f ca="1">VLOOKUP($A271,'030523 INVENTARIO'!$A$2:$Y$1148,8,FALSE)</f>
        <v>P12PP-0270</v>
      </c>
      <c r="H271" s="168" t="str">
        <f>VLOOKUP($A271,'030523 INVENTARIO'!$A$2:$Y$1148,17,FALSE)</f>
        <v>HP</v>
      </c>
      <c r="I271" s="167" t="str">
        <f>VLOOKUP($A271,'030523 INVENTARIO'!$A$2:$Y$1148,18,FALSE)</f>
        <v>DX2300</v>
      </c>
      <c r="J271" s="168" t="str">
        <f>VLOOKUP($A271,'030523 INVENTARIO'!$A$2:$Y$1148,19,FALSE)</f>
        <v>SMXL81114FL</v>
      </c>
      <c r="K271" s="168" t="str">
        <f>VLOOKUP($A271,'030523 INVENTARIO'!$A$2:$Y$1148,20,FALSE)</f>
        <v>82DJ0515010001000535487</v>
      </c>
      <c r="L271" s="167" t="str">
        <f>VLOOKUP($A271,'030523 INVENTARIO'!$A$2:$Y$1148,23,FALSE)</f>
        <v>ENRIQUE PONCE JUAREZ</v>
      </c>
    </row>
    <row r="272" spans="1:12" ht="12.75" hidden="1">
      <c r="A272" s="167" t="str">
        <f>'030523 INVENTARIO'!A272</f>
        <v>0271</v>
      </c>
      <c r="B272" s="168" t="str">
        <f>'030523 INVENTARIO'!T272</f>
        <v>82DJ0515010033000564662</v>
      </c>
      <c r="C272" s="167" t="str">
        <f t="shared" si="0"/>
        <v>564662</v>
      </c>
      <c r="D272" s="167" t="str">
        <f>IF(VLOOKUP(C272,'Patrimonio 2023'!$C$2:$C$1128,1,FALSE) = C272, "Encontrado", "no")</f>
        <v>Encontrado</v>
      </c>
      <c r="E272" s="167" t="str">
        <f>VLOOKUP($A272,'030523 INVENTARIO'!$A$2:$Y$1148,5,FALSE)</f>
        <v>COMPLEMENTARIO DE EQUIPO DE COMPUTO</v>
      </c>
      <c r="F272" s="168" t="str">
        <f>VLOOKUP($A272,'030523 INVENTARIO'!$A$2:$Y$1148,6,FALSE)</f>
        <v>COMPLEMENTO DE EQUIPO DE MADERA</v>
      </c>
      <c r="G272" s="167" t="str">
        <f ca="1">VLOOKUP($A272,'030523 INVENTARIO'!$A$2:$Y$1148,8,FALSE)</f>
        <v>P12PP-0271</v>
      </c>
      <c r="H272" s="168" t="str">
        <f>VLOOKUP($A272,'030523 INVENTARIO'!$A$2:$Y$1148,17,FALSE)</f>
        <v>S/M</v>
      </c>
      <c r="I272" s="167" t="str">
        <f>VLOOKUP($A272,'030523 INVENTARIO'!$A$2:$Y$1148,18,FALSE)</f>
        <v>S/M</v>
      </c>
      <c r="J272" s="168" t="str">
        <f>VLOOKUP($A272,'030523 INVENTARIO'!$A$2:$Y$1148,19,FALSE)</f>
        <v>SIN SERIE</v>
      </c>
      <c r="K272" s="168" t="str">
        <f>VLOOKUP($A272,'030523 INVENTARIO'!$A$2:$Y$1148,20,FALSE)</f>
        <v>82DJ0515010033000564662</v>
      </c>
      <c r="L272" s="167" t="str">
        <f>VLOOKUP($A272,'030523 INVENTARIO'!$A$2:$Y$1148,23,FALSE)</f>
        <v>ENRIQUE PONCE JUAREZ</v>
      </c>
    </row>
    <row r="273" spans="1:12" ht="12.75" hidden="1">
      <c r="A273" s="167" t="str">
        <f>'030523 INVENTARIO'!A273</f>
        <v>0272</v>
      </c>
      <c r="B273" s="168" t="str">
        <f>'030523 INVENTARIO'!T273</f>
        <v>82DJ0515010016000522298</v>
      </c>
      <c r="C273" s="167" t="str">
        <f t="shared" si="0"/>
        <v>522298</v>
      </c>
      <c r="D273" s="167" t="str">
        <f>IF(VLOOKUP(C273,'Patrimonio 2023'!$C$2:$C$1128,1,FALSE) = C273, "Encontrado", "no")</f>
        <v>Encontrado</v>
      </c>
      <c r="E273" s="167" t="str">
        <f>VLOOKUP($A273,'030523 INVENTARIO'!$A$2:$Y$1148,5,FALSE)</f>
        <v>NO BREAK</v>
      </c>
      <c r="F273" s="168" t="str">
        <f>VLOOKUP($A273,'030523 INVENTARIO'!$A$2:$Y$1148,6,FALSE)</f>
        <v>NO BREAK NEGRO</v>
      </c>
      <c r="G273" s="167" t="str">
        <f ca="1">VLOOKUP($A273,'030523 INVENTARIO'!$A$2:$Y$1148,8,FALSE)</f>
        <v>P12PP-0272</v>
      </c>
      <c r="H273" s="168" t="str">
        <f>VLOOKUP($A273,'030523 INVENTARIO'!$A$2:$Y$1148,17,FALSE)</f>
        <v>CDP</v>
      </c>
      <c r="I273" s="167" t="str">
        <f>VLOOKUP($A273,'030523 INVENTARIO'!$A$2:$Y$1148,18,FALSE)</f>
        <v>B-UPR505</v>
      </c>
      <c r="J273" s="168" t="str">
        <f>VLOOKUP($A273,'030523 INVENTARIO'!$A$2:$Y$1148,19,FALSE)</f>
        <v>0711101290219</v>
      </c>
      <c r="K273" s="168" t="str">
        <f>VLOOKUP($A273,'030523 INVENTARIO'!$A$2:$Y$1148,20,FALSE)</f>
        <v>82DJ0515010016000522298</v>
      </c>
      <c r="L273" s="167" t="str">
        <f>VLOOKUP($A273,'030523 INVENTARIO'!$A$2:$Y$1148,23,FALSE)</f>
        <v>ENRIQUE PONCE JUAREZ</v>
      </c>
    </row>
    <row r="274" spans="1:12" ht="12.75" hidden="1">
      <c r="A274" s="167" t="str">
        <f>'030523 INVENTARIO'!A274</f>
        <v>0273</v>
      </c>
      <c r="B274" s="168" t="str">
        <f>'030523 INVENTARIO'!T274</f>
        <v>82DJ0511010017000516281</v>
      </c>
      <c r="C274" s="167" t="str">
        <f t="shared" si="0"/>
        <v>516281</v>
      </c>
      <c r="D274" s="167" t="str">
        <f>IF(VLOOKUP(C274,'Patrimonio 2023'!$C$2:$C$1128,1,FALSE) = C274, "Encontrado", "no")</f>
        <v>Encontrado</v>
      </c>
      <c r="E274" s="167" t="str">
        <f>VLOOKUP($A274,'030523 INVENTARIO'!$A$2:$Y$1148,5,FALSE)</f>
        <v>SILLA</v>
      </c>
      <c r="F274" s="168" t="str">
        <f>VLOOKUP($A274,'030523 INVENTARIO'!$A$2:$Y$1148,6,FALSE)</f>
        <v>SILLA NEGRO CON RUEDAS</v>
      </c>
      <c r="G274" s="167" t="str">
        <f ca="1">VLOOKUP($A274,'030523 INVENTARIO'!$A$2:$Y$1148,8,FALSE)</f>
        <v>P15RM-0273</v>
      </c>
      <c r="H274" s="168" t="str">
        <f>VLOOKUP($A274,'030523 INVENTARIO'!$A$2:$Y$1148,17,FALSE)</f>
        <v>S/M</v>
      </c>
      <c r="I274" s="167" t="str">
        <f>VLOOKUP($A274,'030523 INVENTARIO'!$A$2:$Y$1148,18,FALSE)</f>
        <v>S/M</v>
      </c>
      <c r="J274" s="168" t="str">
        <f>VLOOKUP($A274,'030523 INVENTARIO'!$A$2:$Y$1148,19,FALSE)</f>
        <v>SIN SERIE</v>
      </c>
      <c r="K274" s="168" t="str">
        <f>VLOOKUP($A274,'030523 INVENTARIO'!$A$2:$Y$1148,20,FALSE)</f>
        <v>82DJ0511010017000516281</v>
      </c>
      <c r="L274" s="167" t="str">
        <f>VLOOKUP($A274,'030523 INVENTARIO'!$A$2:$Y$1148,23,FALSE)</f>
        <v>BLANCA ELIZABETH ALCANTAR GUERRERO</v>
      </c>
    </row>
    <row r="275" spans="1:12" ht="12.75" hidden="1">
      <c r="A275" s="167" t="str">
        <f>'030523 INVENTARIO'!A275</f>
        <v>0274</v>
      </c>
      <c r="B275" s="168" t="str">
        <f>'030523 INVENTARIO'!T275</f>
        <v>82DJ0511010016000515611</v>
      </c>
      <c r="C275" s="167" t="str">
        <f t="shared" si="0"/>
        <v>515611</v>
      </c>
      <c r="D275" s="167" t="str">
        <f>IF(VLOOKUP(C275,'Patrimonio 2023'!$C$2:$C$1128,1,FALSE) = C275, "Encontrado", "no")</f>
        <v>Encontrado</v>
      </c>
      <c r="E275" s="167" t="str">
        <f>VLOOKUP($A275,'030523 INVENTARIO'!$A$2:$Y$1148,5,FALSE)</f>
        <v>SILLON</v>
      </c>
      <c r="F275" s="168" t="str">
        <f>VLOOKUP($A275,'030523 INVENTARIO'!$A$2:$Y$1148,6,FALSE)</f>
        <v>SILLÓN NEGRO CON RUEDAS</v>
      </c>
      <c r="G275" s="167" t="str">
        <f ca="1">VLOOKUP($A275,'030523 INVENTARIO'!$A$2:$Y$1148,8,FALSE)</f>
        <v>P15RM-0274</v>
      </c>
      <c r="H275" s="168" t="str">
        <f>VLOOKUP($A275,'030523 INVENTARIO'!$A$2:$Y$1148,17,FALSE)</f>
        <v>S/M</v>
      </c>
      <c r="I275" s="167" t="str">
        <f>VLOOKUP($A275,'030523 INVENTARIO'!$A$2:$Y$1148,18,FALSE)</f>
        <v>S/M</v>
      </c>
      <c r="J275" s="168" t="str">
        <f>VLOOKUP($A275,'030523 INVENTARIO'!$A$2:$Y$1148,19,FALSE)</f>
        <v>SIN SERIE</v>
      </c>
      <c r="K275" s="168" t="str">
        <f>VLOOKUP($A275,'030523 INVENTARIO'!$A$2:$Y$1148,20,FALSE)</f>
        <v>82DJ0511010016000515611</v>
      </c>
      <c r="L275" s="167" t="str">
        <f>VLOOKUP($A275,'030523 INVENTARIO'!$A$2:$Y$1148,23,FALSE)</f>
        <v>BLANCA ELIZABETH ALCANTAR GUERRERO</v>
      </c>
    </row>
    <row r="276" spans="1:12" ht="12.75" hidden="1">
      <c r="A276" s="167" t="str">
        <f>'030523 INVENTARIO'!A276</f>
        <v>0275</v>
      </c>
      <c r="B276" s="167" t="str">
        <f>'030523 INVENTARIO'!T276</f>
        <v>82DJ0515010006000649401</v>
      </c>
      <c r="C276" s="167" t="str">
        <f t="shared" si="0"/>
        <v>649401</v>
      </c>
      <c r="D276" s="167" t="str">
        <f>IF(VLOOKUP(C276,'Patrimonio 2023'!$C$2:$C$1128,1,FALSE) = C276, "Encontrado", "no")</f>
        <v>Encontrado</v>
      </c>
      <c r="E276" s="167" t="str">
        <f>VLOOKUP($A276,'030523 INVENTARIO'!$A$2:$Y$1148,5,FALSE)</f>
        <v>DISCO DURO</v>
      </c>
      <c r="F276" s="167" t="str">
        <f>VLOOKUP($A276,'030523 INVENTARIO'!$A$2:$Y$1148,6,FALSE)</f>
        <v>DISCO DURO</v>
      </c>
      <c r="G276" s="167" t="str">
        <f ca="1">VLOOKUP($A276,'030523 INVENTARIO'!$A$2:$Y$1148,8,FALSE)</f>
        <v>P12PP-0275</v>
      </c>
      <c r="H276" s="168" t="str">
        <f>VLOOKUP($A276,'030523 INVENTARIO'!$A$2:$Y$1148,17,FALSE)</f>
        <v>ADATA</v>
      </c>
      <c r="I276" s="167" t="str">
        <f>VLOOKUP($A276,'030523 INVENTARIO'!$A$2:$Y$1148,18,FALSE)</f>
        <v>HV6205</v>
      </c>
      <c r="J276" s="167" t="str">
        <f>VLOOKUP($A276,'030523 INVENTARIO'!$A$2:$Y$1148,19,FALSE)</f>
        <v>SIN SERIE</v>
      </c>
      <c r="K276" s="167" t="str">
        <f>VLOOKUP($A276,'030523 INVENTARIO'!$A$2:$Y$1148,20,FALSE)</f>
        <v>82DJ0515010006000649401</v>
      </c>
      <c r="L276" s="167" t="str">
        <f>VLOOKUP($A276,'030523 INVENTARIO'!$A$2:$Y$1148,23,FALSE)</f>
        <v>KENIA ITZEL GARCIA BEDOLLA</v>
      </c>
    </row>
    <row r="277" spans="1:12" ht="12.75" hidden="1">
      <c r="A277" s="167" t="str">
        <f>'030523 INVENTARIO'!A277</f>
        <v>0276</v>
      </c>
      <c r="B277" s="168" t="str">
        <f>'030523 INVENTARIO'!T277</f>
        <v>82DJ0511010028000649628</v>
      </c>
      <c r="C277" s="167" t="str">
        <f t="shared" si="0"/>
        <v>649628</v>
      </c>
      <c r="D277" s="167" t="str">
        <f>IF(VLOOKUP(C277,'Patrimonio 2023'!$C$2:$C$1128,1,FALSE) = C277, "Encontrado", "no")</f>
        <v>Encontrado</v>
      </c>
      <c r="E277" s="167" t="str">
        <f>VLOOKUP($A277,'030523 INVENTARIO'!$A$2:$Y$1148,5,FALSE)</f>
        <v>ESTANTE O ANAQUEL</v>
      </c>
      <c r="F277" s="167" t="str">
        <f>VLOOKUP($A277,'030523 INVENTARIO'!$A$2:$Y$1148,6,FALSE)</f>
        <v>ESTANTE DE METAL CON 3 CHAROLAS 90X60</v>
      </c>
      <c r="G277" s="167" t="str">
        <f ca="1">VLOOKUP($A277,'030523 INVENTARIO'!$A$2:$Y$1148,8,FALSE)</f>
        <v>P02PP-0276</v>
      </c>
      <c r="H277" s="168" t="str">
        <f>VLOOKUP($A277,'030523 INVENTARIO'!$A$2:$Y$1148,17,FALSE)</f>
        <v>S/M</v>
      </c>
      <c r="I277" s="167" t="str">
        <f>VLOOKUP($A277,'030523 INVENTARIO'!$A$2:$Y$1148,18,FALSE)</f>
        <v>S/M</v>
      </c>
      <c r="J277" s="168" t="str">
        <f>VLOOKUP($A277,'030523 INVENTARIO'!$A$2:$Y$1148,19,FALSE)</f>
        <v>SIN SERIE</v>
      </c>
      <c r="K277" s="168" t="str">
        <f>VLOOKUP($A277,'030523 INVENTARIO'!$A$2:$Y$1148,20,FALSE)</f>
        <v>82DJ0511010028000649628</v>
      </c>
      <c r="L277" s="167" t="str">
        <f>VLOOKUP($A277,'030523 INVENTARIO'!$A$2:$Y$1148,23,FALSE)</f>
        <v>JORGE LUIS MARTINEZ LOPEZ</v>
      </c>
    </row>
    <row r="278" spans="1:12" ht="12.75" hidden="1">
      <c r="A278" s="167" t="str">
        <f>'030523 INVENTARIO'!A278</f>
        <v>0277</v>
      </c>
      <c r="B278" s="167" t="str">
        <f>'030523 INVENTARIO'!T278</f>
        <v>82DJ0531010094000581252</v>
      </c>
      <c r="C278" s="167" t="str">
        <f t="shared" si="0"/>
        <v>581252</v>
      </c>
      <c r="D278" s="167" t="str">
        <f>IF(VLOOKUP(C278,'Patrimonio 2023'!$C$2:$C$1128,1,FALSE) = C278, "Encontrado", "no")</f>
        <v>Encontrado</v>
      </c>
      <c r="E278" s="167" t="str">
        <f>VLOOKUP($A278,'030523 INVENTARIO'!$A$2:$Y$1148,5,FALSE)</f>
        <v>VENTILADOR</v>
      </c>
      <c r="F278" s="167" t="str">
        <f>VLOOKUP($A278,'030523 INVENTARIO'!$A$2:$Y$1148,6,FALSE)</f>
        <v>VENTILADOR BLANCO DE PEDESTAL</v>
      </c>
      <c r="G278" s="167" t="str">
        <f ca="1">VLOOKUP($A278,'030523 INVENTARIO'!$A$2:$Y$1148,8,FALSE)</f>
        <v>P02PP-0277</v>
      </c>
      <c r="H278" s="168" t="str">
        <f>VLOOKUP($A278,'030523 INVENTARIO'!$A$2:$Y$1148,17,FALSE)</f>
        <v>MYTEK</v>
      </c>
      <c r="I278" s="167" t="str">
        <f>VLOOKUP($A278,'030523 INVENTARIO'!$A$2:$Y$1148,18,FALSE)</f>
        <v>MY0128</v>
      </c>
      <c r="J278" s="168" t="str">
        <f>VLOOKUP($A278,'030523 INVENTARIO'!$A$2:$Y$1148,19,FALSE)</f>
        <v>SIN SERIE</v>
      </c>
      <c r="K278" s="167" t="str">
        <f>VLOOKUP($A278,'030523 INVENTARIO'!$A$2:$Y$1148,20,FALSE)</f>
        <v>82DJ0531010094000581252</v>
      </c>
      <c r="L278" s="167" t="str">
        <f>VLOOKUP($A278,'030523 INVENTARIO'!$A$2:$Y$1148,23,FALSE)</f>
        <v>JORGE LUIS MARTINEZ LOPEZ</v>
      </c>
    </row>
    <row r="279" spans="1:12" ht="12.75" hidden="1">
      <c r="A279" s="167" t="str">
        <f>'030523 INVENTARIO'!A279</f>
        <v>0278</v>
      </c>
      <c r="B279" s="168" t="str">
        <f>'030523 INVENTARIO'!T279</f>
        <v>82DJ0511010016000515602</v>
      </c>
      <c r="C279" s="167" t="str">
        <f t="shared" si="0"/>
        <v>515602</v>
      </c>
      <c r="D279" s="167" t="str">
        <f>IF(VLOOKUP(C279,'Patrimonio 2023'!$C$2:$C$1128,1,FALSE) = C279, "Encontrado", "no")</f>
        <v>Encontrado</v>
      </c>
      <c r="E279" s="167" t="str">
        <f>VLOOKUP($A279,'030523 INVENTARIO'!$A$2:$Y$1148,5,FALSE)</f>
        <v>SILLON</v>
      </c>
      <c r="F279" s="167" t="str">
        <f>VLOOKUP($A279,'030523 INVENTARIO'!$A$2:$Y$1148,6,FALSE)</f>
        <v>SILLON DE PIEL  CON RUEDAS NEGRO</v>
      </c>
      <c r="G279" s="167" t="str">
        <f ca="1">VLOOKUP($A279,'030523 INVENTARIO'!$A$2:$Y$1148,8,FALSE)</f>
        <v>P02PP-0278</v>
      </c>
      <c r="H279" s="168" t="str">
        <f>VLOOKUP($A279,'030523 INVENTARIO'!$A$2:$Y$1148,17,FALSE)</f>
        <v>S/M</v>
      </c>
      <c r="I279" s="167" t="str">
        <f>VLOOKUP($A279,'030523 INVENTARIO'!$A$2:$Y$1148,18,FALSE)</f>
        <v>S/M</v>
      </c>
      <c r="J279" s="168" t="str">
        <f>VLOOKUP($A279,'030523 INVENTARIO'!$A$2:$Y$1148,19,FALSE)</f>
        <v>SIN SERIE</v>
      </c>
      <c r="K279" s="168" t="str">
        <f>VLOOKUP($A279,'030523 INVENTARIO'!$A$2:$Y$1148,20,FALSE)</f>
        <v>82DJ0511010016000515602</v>
      </c>
      <c r="L279" s="167" t="str">
        <f>VLOOKUP($A279,'030523 INVENTARIO'!$A$2:$Y$1148,23,FALSE)</f>
        <v>JORGE LUIS MARTINEZ LOPEZ</v>
      </c>
    </row>
    <row r="280" spans="1:12" ht="12.75" hidden="1">
      <c r="A280" s="167" t="str">
        <f>'030523 INVENTARIO'!A280</f>
        <v>0279</v>
      </c>
      <c r="B280" s="168" t="str">
        <f>'030523 INVENTARIO'!T280</f>
        <v>82DJ0511010006000649629</v>
      </c>
      <c r="C280" s="167" t="str">
        <f t="shared" si="0"/>
        <v>649629</v>
      </c>
      <c r="D280" s="167" t="str">
        <f>IF(VLOOKUP(C280,'Patrimonio 2023'!$C$2:$C$1128,1,FALSE) = C280, "Encontrado", "no")</f>
        <v>Encontrado</v>
      </c>
      <c r="E280" s="167" t="str">
        <f>VLOOKUP($A280,'030523 INVENTARIO'!$A$2:$Y$1148,5,FALSE)</f>
        <v>ESCRITORIO</v>
      </c>
      <c r="F280" s="167" t="str">
        <f>VLOOKUP($A280,'030523 INVENTARIO'!$A$2:$Y$1148,6,FALSE)</f>
        <v>ESCRITORIO DE MADERA DE 2 PIEZAS TIPO "L"</v>
      </c>
      <c r="G280" s="167" t="str">
        <f ca="1">VLOOKUP($A280,'030523 INVENTARIO'!$A$2:$Y$1148,8,FALSE)</f>
        <v>P02PP-0279</v>
      </c>
      <c r="H280" s="168" t="str">
        <f>VLOOKUP($A280,'030523 INVENTARIO'!$A$2:$Y$1148,17,FALSE)</f>
        <v>S/M</v>
      </c>
      <c r="I280" s="167" t="str">
        <f>VLOOKUP($A280,'030523 INVENTARIO'!$A$2:$Y$1148,18,FALSE)</f>
        <v>S/M</v>
      </c>
      <c r="J280" s="168" t="str">
        <f>VLOOKUP($A280,'030523 INVENTARIO'!$A$2:$Y$1148,19,FALSE)</f>
        <v>SIN SERIE</v>
      </c>
      <c r="K280" s="168" t="str">
        <f>VLOOKUP($A280,'030523 INVENTARIO'!$A$2:$Y$1148,20,FALSE)</f>
        <v>82DJ0511010006000649629</v>
      </c>
      <c r="L280" s="167" t="str">
        <f>VLOOKUP($A280,'030523 INVENTARIO'!$A$2:$Y$1148,23,FALSE)</f>
        <v>JORGE LUIS MARTINEZ LOPEZ</v>
      </c>
    </row>
    <row r="281" spans="1:12" ht="12.75" hidden="1">
      <c r="A281" s="167" t="str">
        <f>'030523 INVENTARIO'!A281</f>
        <v>0280</v>
      </c>
      <c r="B281" s="168" t="str">
        <f>'030523 INVENTARIO'!T281</f>
        <v>82DJ0515010001000539081</v>
      </c>
      <c r="C281" s="167" t="str">
        <f t="shared" si="0"/>
        <v>539081</v>
      </c>
      <c r="D281" s="167" t="str">
        <f>IF(VLOOKUP(C281,'Patrimonio 2023'!$C$2:$C$1128,1,FALSE) = C281, "Encontrado", "no")</f>
        <v>Encontrado</v>
      </c>
      <c r="E281" s="167" t="str">
        <f>VLOOKUP($A281,'030523 INVENTARIO'!$A$2:$Y$1148,5,FALSE)</f>
        <v>COMPUTADORA DE ESCRITORIO</v>
      </c>
      <c r="F281" s="167" t="str">
        <f>VLOOKUP($A281,'030523 INVENTARIO'!$A$2:$Y$1148,6,FALSE)</f>
        <v>COMPUTADORA DE ESCRITORIO</v>
      </c>
      <c r="G281" s="167" t="str">
        <f ca="1">VLOOKUP($A281,'030523 INVENTARIO'!$A$2:$Y$1148,8,FALSE)</f>
        <v>P02PP-0280</v>
      </c>
      <c r="H281" s="168" t="str">
        <f>VLOOKUP($A281,'030523 INVENTARIO'!$A$2:$Y$1148,17,FALSE)</f>
        <v>ACER</v>
      </c>
      <c r="I281" s="167" t="str">
        <f>VLOOKUP($A281,'030523 INVENTARIO'!$A$2:$Y$1148,18,FALSE)</f>
        <v>AX3990</v>
      </c>
      <c r="J281" s="168" t="str">
        <f>VLOOKUP($A281,'030523 INVENTARIO'!$A$2:$Y$1148,19,FALSE)</f>
        <v>DTSGKAL00320708A9C9200</v>
      </c>
      <c r="K281" s="168" t="str">
        <f>VLOOKUP($A281,'030523 INVENTARIO'!$A$2:$Y$1148,20,FALSE)</f>
        <v>82DJ0515010001000539081</v>
      </c>
      <c r="L281" s="167" t="str">
        <f>VLOOKUP($A281,'030523 INVENTARIO'!$A$2:$Y$1148,23,FALSE)</f>
        <v>JORGE LUIS MARTINEZ LOPEZ</v>
      </c>
    </row>
    <row r="282" spans="1:12" ht="12.75" hidden="1">
      <c r="A282" s="167" t="str">
        <f>'030523 INVENTARIO'!A282</f>
        <v>0281</v>
      </c>
      <c r="B282" s="168" t="str">
        <f>'030523 INVENTARIO'!T282</f>
        <v>82DJ0565010041000539114</v>
      </c>
      <c r="C282" s="167" t="str">
        <f t="shared" si="0"/>
        <v>539114</v>
      </c>
      <c r="D282" s="167" t="str">
        <f>IF(VLOOKUP(C282,'Patrimonio 2023'!$C$2:$C$1128,1,FALSE) = C282, "Encontrado", "no")</f>
        <v>Encontrado</v>
      </c>
      <c r="E282" s="167" t="str">
        <f>VLOOKUP($A282,'030523 INVENTARIO'!$A$2:$Y$1148,5,FALSE)</f>
        <v>MONITOR</v>
      </c>
      <c r="F282" s="167" t="str">
        <f>VLOOKUP($A282,'030523 INVENTARIO'!$A$2:$Y$1148,6,FALSE)</f>
        <v>MONITOR 19.5"</v>
      </c>
      <c r="G282" s="167" t="str">
        <f ca="1">VLOOKUP($A282,'030523 INVENTARIO'!$A$2:$Y$1148,8,FALSE)</f>
        <v>P02PP-0281</v>
      </c>
      <c r="H282" s="168" t="str">
        <f>VLOOKUP($A282,'030523 INVENTARIO'!$A$2:$Y$1148,17,FALSE)</f>
        <v>COMPAQ</v>
      </c>
      <c r="I282" s="167" t="str">
        <f>VLOOKUP($A282,'030523 INVENTARIO'!$A$2:$Y$1148,18,FALSE)</f>
        <v>WF1907</v>
      </c>
      <c r="J282" s="168" t="str">
        <f>VLOOKUP($A282,'030523 INVENTARIO'!$A$2:$Y$1148,19,FALSE)</f>
        <v>CNC816Y357</v>
      </c>
      <c r="K282" s="168" t="str">
        <f>VLOOKUP($A282,'030523 INVENTARIO'!$A$2:$Y$1148,20,FALSE)</f>
        <v>82DJ0565010041000539114</v>
      </c>
      <c r="L282" s="167" t="str">
        <f>VLOOKUP($A282,'030523 INVENTARIO'!$A$2:$Y$1148,23,FALSE)</f>
        <v>JORGE LUIS MARTINEZ LOPEZ</v>
      </c>
    </row>
    <row r="283" spans="1:12" ht="12.75">
      <c r="A283" s="167" t="str">
        <f>'030523 INVENTARIO'!A283</f>
        <v>0282</v>
      </c>
      <c r="B283" s="167" t="str">
        <f>'030523 INVENTARIO'!T283</f>
        <v>82DH0515010016000539059</v>
      </c>
      <c r="C283" s="167" t="str">
        <f t="shared" si="0"/>
        <v>539059</v>
      </c>
      <c r="D283" s="167" t="e">
        <f>IF(VLOOKUP(C283,'Patrimonio 2023'!$C$2:$C$1128,1,FALSE) = C283, "Encontrado", "no")</f>
        <v>#N/A</v>
      </c>
      <c r="E283" s="167" t="str">
        <f>VLOOKUP($A283,'030523 INVENTARIO'!$A$2:$Y$1148,5,FALSE)</f>
        <v>NO BREAK</v>
      </c>
      <c r="F283" s="167" t="str">
        <f>VLOOKUP($A283,'030523 INVENTARIO'!$A$2:$Y$1148,6,FALSE)</f>
        <v>NO BREAK</v>
      </c>
      <c r="G283" s="167" t="str">
        <f ca="1">VLOOKUP($A283,'030523 INVENTARIO'!$A$2:$Y$1148,8,FALSE)</f>
        <v>P02PP-0282</v>
      </c>
      <c r="H283" s="168" t="str">
        <f>VLOOKUP($A283,'030523 INVENTARIO'!$A$2:$Y$1148,17,FALSE)</f>
        <v>BELKIN</v>
      </c>
      <c r="I283" s="167" t="str">
        <f>VLOOKUP($A283,'030523 INVENTARIO'!$A$2:$Y$1148,18,FALSE)</f>
        <v>S/M</v>
      </c>
      <c r="J283" s="167" t="str">
        <f>VLOOKUP($A283,'030523 INVENTARIO'!$A$2:$Y$1148,19,FALSE)</f>
        <v>0S035100615WO</v>
      </c>
      <c r="K283" s="167" t="str">
        <f>VLOOKUP($A283,'030523 INVENTARIO'!$A$2:$Y$1148,20,FALSE)</f>
        <v>82DH0515010016000539059</v>
      </c>
      <c r="L283" s="167" t="str">
        <f>VLOOKUP($A283,'030523 INVENTARIO'!$A$2:$Y$1148,23,FALSE)</f>
        <v>JORGE LUIS MARTINEZ LOPEZ</v>
      </c>
    </row>
    <row r="284" spans="1:12" ht="12.75" hidden="1">
      <c r="A284" s="167" t="str">
        <f>'030523 INVENTARIO'!A284</f>
        <v>0283</v>
      </c>
      <c r="B284" s="167" t="str">
        <f>'030523 INVENTARIO'!T284</f>
        <v>SIN RESGUARDO</v>
      </c>
      <c r="C284" s="167" t="str">
        <f t="shared" si="0"/>
        <v/>
      </c>
      <c r="D284" s="167" t="e">
        <f>IF(VLOOKUP(C284,'Patrimonio 2023'!$C$2:$C$1128,1,FALSE) = C284, "Encontrado", "no")</f>
        <v>#N/A</v>
      </c>
      <c r="E284" s="167" t="str">
        <f>VLOOKUP($A284,'030523 INVENTARIO'!$A$2:$Y$1148,5,FALSE)</f>
        <v>PIZARRON</v>
      </c>
      <c r="F284" s="167" t="str">
        <f>VLOOKUP($A284,'030523 INVENTARIO'!$A$2:$Y$1148,6,FALSE)</f>
        <v>PIZARRON PARA GIS 300X90</v>
      </c>
      <c r="G284" s="167" t="str">
        <f ca="1">VLOOKUP($A284,'030523 INVENTARIO'!$A$2:$Y$1148,8,FALSE)</f>
        <v>P02PP-0283</v>
      </c>
      <c r="H284" s="168" t="str">
        <f>VLOOKUP($A284,'030523 INVENTARIO'!$A$2:$Y$1148,17,FALSE)</f>
        <v>S/M</v>
      </c>
      <c r="I284" s="167" t="str">
        <f>VLOOKUP($A284,'030523 INVENTARIO'!$A$2:$Y$1148,18,FALSE)</f>
        <v>S/M</v>
      </c>
      <c r="J284" s="167" t="str">
        <f>VLOOKUP($A284,'030523 INVENTARIO'!$A$2:$Y$1148,19,FALSE)</f>
        <v>SIN SERIE</v>
      </c>
      <c r="K284" s="167" t="str">
        <f>VLOOKUP($A284,'030523 INVENTARIO'!$A$2:$Y$1148,20,FALSE)</f>
        <v>SIN RESGUARDO</v>
      </c>
      <c r="L284" s="167" t="str">
        <f>VLOOKUP($A284,'030523 INVENTARIO'!$A$2:$Y$1148,23,FALSE)</f>
        <v>JORGE LUIS MARTINEZ LOPEZ</v>
      </c>
    </row>
    <row r="285" spans="1:12" ht="12.75" hidden="1">
      <c r="A285" s="167" t="str">
        <f>'030523 INVENTARIO'!A285</f>
        <v>0284</v>
      </c>
      <c r="B285" s="167" t="str">
        <f>'030523 INVENTARIO'!T285</f>
        <v>SIN RESGUARDO</v>
      </c>
      <c r="C285" s="167" t="str">
        <f t="shared" si="0"/>
        <v/>
      </c>
      <c r="D285" s="167" t="e">
        <f>IF(VLOOKUP(C285,'Patrimonio 2023'!$C$2:$C$1128,1,FALSE) = C285, "Encontrado", "no")</f>
        <v>#N/A</v>
      </c>
      <c r="E285" s="167" t="str">
        <f>VLOOKUP($A285,'030523 INVENTARIO'!$A$2:$Y$1148,5,FALSE)</f>
        <v>CALEFACTOR</v>
      </c>
      <c r="F285" s="167" t="str">
        <f>VLOOKUP($A285,'030523 INVENTARIO'!$A$2:$Y$1148,6,FALSE)</f>
        <v>CALEFACTOR</v>
      </c>
      <c r="G285" s="167" t="str">
        <f ca="1">VLOOKUP($A285,'030523 INVENTARIO'!$A$2:$Y$1148,8,FALSE)</f>
        <v>P02PP-0284</v>
      </c>
      <c r="H285" s="168" t="str">
        <f>VLOOKUP($A285,'030523 INVENTARIO'!$A$2:$Y$1148,17,FALSE)</f>
        <v>NAOKI</v>
      </c>
      <c r="I285" s="167" t="str">
        <f>VLOOKUP($A285,'030523 INVENTARIO'!$A$2:$Y$1148,18,FALSE)</f>
        <v>DCH04</v>
      </c>
      <c r="J285" s="167" t="str">
        <f>VLOOKUP($A285,'030523 INVENTARIO'!$A$2:$Y$1148,19,FALSE)</f>
        <v>SIN SERIE</v>
      </c>
      <c r="K285" s="167" t="str">
        <f>VLOOKUP($A285,'030523 INVENTARIO'!$A$2:$Y$1148,20,FALSE)</f>
        <v>SIN RESGUARDO</v>
      </c>
      <c r="L285" s="167" t="str">
        <f>VLOOKUP($A285,'030523 INVENTARIO'!$A$2:$Y$1148,23,FALSE)</f>
        <v>JORGE LUIS MARTINEZ LOPEZ</v>
      </c>
    </row>
    <row r="286" spans="1:12" ht="12.75" hidden="1">
      <c r="A286" s="167" t="str">
        <f>'030523 INVENTARIO'!A286</f>
        <v>0285</v>
      </c>
      <c r="B286" s="167" t="str">
        <f>'030523 INVENTARIO'!T286</f>
        <v>SIN RESGUARDO</v>
      </c>
      <c r="C286" s="167" t="str">
        <f t="shared" si="0"/>
        <v/>
      </c>
      <c r="D286" s="167" t="e">
        <f>IF(VLOOKUP(C286,'Patrimonio 2023'!$C$2:$C$1128,1,FALSE) = C286, "Encontrado", "no")</f>
        <v>#N/A</v>
      </c>
      <c r="E286" s="167" t="str">
        <f>VLOOKUP($A286,'030523 INVENTARIO'!$A$2:$Y$1148,5,FALSE)</f>
        <v>TAJALAPIZ</v>
      </c>
      <c r="F286" s="167" t="str">
        <f>VLOOKUP($A286,'030523 INVENTARIO'!$A$2:$Y$1148,6,FALSE)</f>
        <v>TAJALAPIZ ELECTRICO</v>
      </c>
      <c r="G286" s="167" t="str">
        <f ca="1">VLOOKUP($A286,'030523 INVENTARIO'!$A$2:$Y$1148,8,FALSE)</f>
        <v>P02PP-0285</v>
      </c>
      <c r="H286" s="168" t="str">
        <f>VLOOKUP($A286,'030523 INVENTARIO'!$A$2:$Y$1148,17,FALSE)</f>
        <v>SIVINGLINE</v>
      </c>
      <c r="I286" s="167">
        <f>VLOOKUP($A286,'030523 INVENTARIO'!$A$2:$Y$1148,18,FALSE)</f>
        <v>29965</v>
      </c>
      <c r="J286" s="167" t="str">
        <f>VLOOKUP($A286,'030523 INVENTARIO'!$A$2:$Y$1148,19,FALSE)</f>
        <v>SIN SERIE</v>
      </c>
      <c r="K286" s="167" t="str">
        <f>VLOOKUP($A286,'030523 INVENTARIO'!$A$2:$Y$1148,20,FALSE)</f>
        <v>SIN RESGUARDO</v>
      </c>
      <c r="L286" s="167" t="str">
        <f>VLOOKUP($A286,'030523 INVENTARIO'!$A$2:$Y$1148,23,FALSE)</f>
        <v>JORGE LUIS MARTINEZ LOPEZ</v>
      </c>
    </row>
    <row r="287" spans="1:12" ht="12.75" hidden="1">
      <c r="A287" s="167" t="str">
        <f>'030523 INVENTARIO'!A287</f>
        <v>0286</v>
      </c>
      <c r="B287" s="168" t="str">
        <f>'030523 INVENTARIO'!T287</f>
        <v>SIN RESGUARDO</v>
      </c>
      <c r="C287" s="167" t="str">
        <f t="shared" si="0"/>
        <v/>
      </c>
      <c r="D287" s="167" t="e">
        <f>IF(VLOOKUP(C287,'Patrimonio 2023'!$C$2:$C$1128,1,FALSE) = C287, "Encontrado", "no")</f>
        <v>#N/A</v>
      </c>
      <c r="E287" s="167" t="str">
        <f>VLOOKUP($A287,'030523 INVENTARIO'!$A$2:$Y$1148,5,FALSE)</f>
        <v>SILLA</v>
      </c>
      <c r="F287" s="168" t="str">
        <f>VLOOKUP($A287,'030523 INVENTARIO'!$A$2:$Y$1148,6,FALSE)</f>
        <v>SILLA DE TELA NEGRA</v>
      </c>
      <c r="G287" s="167" t="str">
        <f ca="1">VLOOKUP($A287,'030523 INVENTARIO'!$A$2:$Y$1148,8,FALSE)</f>
        <v>P02PP-0286</v>
      </c>
      <c r="H287" s="168" t="str">
        <f>VLOOKUP($A287,'030523 INVENTARIO'!$A$2:$Y$1148,17,FALSE)</f>
        <v>S/M</v>
      </c>
      <c r="I287" s="167" t="str">
        <f>VLOOKUP($A287,'030523 INVENTARIO'!$A$2:$Y$1148,18,FALSE)</f>
        <v>S/M</v>
      </c>
      <c r="J287" s="168" t="str">
        <f>VLOOKUP($A287,'030523 INVENTARIO'!$A$2:$Y$1148,19,FALSE)</f>
        <v>SIN SERIE</v>
      </c>
      <c r="K287" s="168" t="str">
        <f>VLOOKUP($A287,'030523 INVENTARIO'!$A$2:$Y$1148,20,FALSE)</f>
        <v>SIN RESGUARDO</v>
      </c>
      <c r="L287" s="167" t="str">
        <f>VLOOKUP($A287,'030523 INVENTARIO'!$A$2:$Y$1148,23,FALSE)</f>
        <v>JORGE LUIS MARTINEZ LOPEZ</v>
      </c>
    </row>
    <row r="288" spans="1:12" ht="12.75" hidden="1">
      <c r="A288" s="167" t="str">
        <f>'030523 INVENTARIO'!A288</f>
        <v>0287</v>
      </c>
      <c r="B288" s="168" t="str">
        <f>'030523 INVENTARIO'!T288</f>
        <v>82DJ0511010028000535460</v>
      </c>
      <c r="C288" s="167" t="str">
        <f t="shared" si="0"/>
        <v>535460</v>
      </c>
      <c r="D288" s="167" t="str">
        <f>IF(VLOOKUP(C288,'Patrimonio 2023'!$C$2:$C$1128,1,FALSE) = C288, "Encontrado", "no")</f>
        <v>Encontrado</v>
      </c>
      <c r="E288" s="167" t="str">
        <f>VLOOKUP($A288,'030523 INVENTARIO'!$A$2:$Y$1148,5,FALSE)</f>
        <v>ESTANTE O ANAQUEL</v>
      </c>
      <c r="F288" s="167" t="str">
        <f>VLOOKUP($A288,'030523 INVENTARIO'!$A$2:$Y$1148,6,FALSE)</f>
        <v>ESTANTE  METALICO CON 5 CHAROLAS</v>
      </c>
      <c r="G288" s="167" t="str">
        <f ca="1">VLOOKUP($A288,'030523 INVENTARIO'!$A$2:$Y$1148,8,FALSE)</f>
        <v>P02PP-0287</v>
      </c>
      <c r="H288" s="168" t="str">
        <f>VLOOKUP($A288,'030523 INVENTARIO'!$A$2:$Y$1148,17,FALSE)</f>
        <v>S/M</v>
      </c>
      <c r="I288" s="167" t="str">
        <f>VLOOKUP($A288,'030523 INVENTARIO'!$A$2:$Y$1148,18,FALSE)</f>
        <v>S/M</v>
      </c>
      <c r="J288" s="168" t="str">
        <f>VLOOKUP($A288,'030523 INVENTARIO'!$A$2:$Y$1148,19,FALSE)</f>
        <v>SIN SERIE</v>
      </c>
      <c r="K288" s="168" t="str">
        <f>VLOOKUP($A288,'030523 INVENTARIO'!$A$2:$Y$1148,20,FALSE)</f>
        <v>82DJ0511010028000535460</v>
      </c>
      <c r="L288" s="167" t="str">
        <f>VLOOKUP($A288,'030523 INVENTARIO'!$A$2:$Y$1148,23,FALSE)</f>
        <v>MARTHA MARIA VARGAS RODRIGUEZ</v>
      </c>
    </row>
    <row r="289" spans="1:12" ht="12.75" hidden="1">
      <c r="A289" s="167" t="str">
        <f>'030523 INVENTARIO'!A289</f>
        <v>0288</v>
      </c>
      <c r="B289" s="168" t="str">
        <f>'030523 INVENTARIO'!T289</f>
        <v>82DJ0511010028000539027</v>
      </c>
      <c r="C289" s="167" t="str">
        <f t="shared" si="0"/>
        <v>539027</v>
      </c>
      <c r="D289" s="167" t="str">
        <f>IF(VLOOKUP(C289,'Patrimonio 2023'!$C$2:$C$1128,1,FALSE) = C289, "Encontrado", "no")</f>
        <v>Encontrado</v>
      </c>
      <c r="E289" s="167" t="str">
        <f>VLOOKUP($A289,'030523 INVENTARIO'!$A$2:$Y$1148,5,FALSE)</f>
        <v>ESTANTE O ANAQUEL</v>
      </c>
      <c r="F289" s="167" t="str">
        <f>VLOOKUP($A289,'030523 INVENTARIO'!$A$2:$Y$1148,6,FALSE)</f>
        <v>ESTANTE  METALICO CON 5 CHAROLAS</v>
      </c>
      <c r="G289" s="167" t="str">
        <f ca="1">VLOOKUP($A289,'030523 INVENTARIO'!$A$2:$Y$1148,8,FALSE)</f>
        <v>P02PP-0288</v>
      </c>
      <c r="H289" s="168" t="str">
        <f>VLOOKUP($A289,'030523 INVENTARIO'!$A$2:$Y$1148,17,FALSE)</f>
        <v>S/M</v>
      </c>
      <c r="I289" s="167" t="str">
        <f>VLOOKUP($A289,'030523 INVENTARIO'!$A$2:$Y$1148,18,FALSE)</f>
        <v>S/M</v>
      </c>
      <c r="J289" s="168" t="str">
        <f>VLOOKUP($A289,'030523 INVENTARIO'!$A$2:$Y$1148,19,FALSE)</f>
        <v>SIN SERIE</v>
      </c>
      <c r="K289" s="168" t="str">
        <f>VLOOKUP($A289,'030523 INVENTARIO'!$A$2:$Y$1148,20,FALSE)</f>
        <v>82DJ0511010028000539027</v>
      </c>
      <c r="L289" s="167" t="str">
        <f>VLOOKUP($A289,'030523 INVENTARIO'!$A$2:$Y$1148,23,FALSE)</f>
        <v>MARTHA MARIA VARGAS RODRIGUEZ</v>
      </c>
    </row>
    <row r="290" spans="1:12" ht="12.75" hidden="1">
      <c r="A290" s="167" t="str">
        <f>'030523 INVENTARIO'!A290</f>
        <v>0289</v>
      </c>
      <c r="B290" s="168" t="str">
        <f>'030523 INVENTARIO'!T290</f>
        <v>82DJ0519010048000539134</v>
      </c>
      <c r="C290" s="167" t="str">
        <f t="shared" si="0"/>
        <v>539134</v>
      </c>
      <c r="D290" s="167" t="str">
        <f>IF(VLOOKUP(C290,'Patrimonio 2023'!$C$2:$C$1128,1,FALSE) = C290, "Encontrado", "no")</f>
        <v>Encontrado</v>
      </c>
      <c r="E290" s="167" t="str">
        <f>VLOOKUP($A290,'030523 INVENTARIO'!$A$2:$Y$1148,5,FALSE)</f>
        <v>CHAROLA</v>
      </c>
      <c r="F290" s="167" t="str">
        <f>VLOOKUP($A290,'030523 INVENTARIO'!$A$2:$Y$1148,6,FALSE)</f>
        <v>CHAROLA DE METAL PARA ESTANTE 91X30</v>
      </c>
      <c r="G290" s="167" t="str">
        <f ca="1">VLOOKUP($A290,'030523 INVENTARIO'!$A$2:$Y$1148,8,FALSE)</f>
        <v>P02PP-0289</v>
      </c>
      <c r="H290" s="168" t="str">
        <f>VLOOKUP($A290,'030523 INVENTARIO'!$A$2:$Y$1148,17,FALSE)</f>
        <v>S/M</v>
      </c>
      <c r="I290" s="167" t="str">
        <f>VLOOKUP($A290,'030523 INVENTARIO'!$A$2:$Y$1148,18,FALSE)</f>
        <v>S/M</v>
      </c>
      <c r="J290" s="168" t="str">
        <f>VLOOKUP($A290,'030523 INVENTARIO'!$A$2:$Y$1148,19,FALSE)</f>
        <v>SIN SERIE</v>
      </c>
      <c r="K290" s="168" t="str">
        <f>VLOOKUP($A290,'030523 INVENTARIO'!$A$2:$Y$1148,20,FALSE)</f>
        <v>82DJ0519010048000539134</v>
      </c>
      <c r="L290" s="167" t="str">
        <f>VLOOKUP($A290,'030523 INVENTARIO'!$A$2:$Y$1148,23,FALSE)</f>
        <v>MARTHA MARIA VARGAS RODRIGUEZ</v>
      </c>
    </row>
    <row r="291" spans="1:12" ht="12.75" hidden="1">
      <c r="A291" s="167" t="str">
        <f>'030523 INVENTARIO'!A291</f>
        <v>0290</v>
      </c>
      <c r="B291" s="168" t="str">
        <f>'030523 INVENTARIO'!T291</f>
        <v>82DJ0519010048000533127</v>
      </c>
      <c r="C291" s="167" t="str">
        <f t="shared" si="0"/>
        <v>533127</v>
      </c>
      <c r="D291" s="167" t="str">
        <f>IF(VLOOKUP(C291,'Patrimonio 2023'!$C$2:$C$1128,1,FALSE) = C291, "Encontrado", "no")</f>
        <v>Encontrado</v>
      </c>
      <c r="E291" s="167" t="str">
        <f>VLOOKUP($A291,'030523 INVENTARIO'!$A$2:$Y$1148,5,FALSE)</f>
        <v>CHAROLA</v>
      </c>
      <c r="F291" s="167" t="str">
        <f>VLOOKUP($A291,'030523 INVENTARIO'!$A$2:$Y$1148,6,FALSE)</f>
        <v>CHAROLA DE METAL PARA ESTANTE 91X30</v>
      </c>
      <c r="G291" s="167" t="str">
        <f ca="1">VLOOKUP($A291,'030523 INVENTARIO'!$A$2:$Y$1148,8,FALSE)</f>
        <v>P02PP-0290</v>
      </c>
      <c r="H291" s="168" t="str">
        <f>VLOOKUP($A291,'030523 INVENTARIO'!$A$2:$Y$1148,17,FALSE)</f>
        <v>S/M</v>
      </c>
      <c r="I291" s="167" t="str">
        <f>VLOOKUP($A291,'030523 INVENTARIO'!$A$2:$Y$1148,18,FALSE)</f>
        <v>S/M</v>
      </c>
      <c r="J291" s="168" t="str">
        <f>VLOOKUP($A291,'030523 INVENTARIO'!$A$2:$Y$1148,19,FALSE)</f>
        <v>SIN SERIE</v>
      </c>
      <c r="K291" s="168" t="str">
        <f>VLOOKUP($A291,'030523 INVENTARIO'!$A$2:$Y$1148,20,FALSE)</f>
        <v>82DJ0519010048000533127</v>
      </c>
      <c r="L291" s="167" t="str">
        <f>VLOOKUP($A291,'030523 INVENTARIO'!$A$2:$Y$1148,23,FALSE)</f>
        <v>MARTHA MARIA VARGAS RODRIGUEZ</v>
      </c>
    </row>
    <row r="292" spans="1:12" ht="12.75" hidden="1">
      <c r="A292" s="167" t="str">
        <f>'030523 INVENTARIO'!A292</f>
        <v>0291</v>
      </c>
      <c r="B292" s="168" t="str">
        <f>'030523 INVENTARIO'!T292</f>
        <v>82DJ0511010028000539043</v>
      </c>
      <c r="C292" s="167" t="str">
        <f t="shared" si="0"/>
        <v>539043</v>
      </c>
      <c r="D292" s="167" t="str">
        <f>IF(VLOOKUP(C292,'Patrimonio 2023'!$C$2:$C$1128,1,FALSE) = C292, "Encontrado", "no")</f>
        <v>Encontrado</v>
      </c>
      <c r="E292" s="167" t="str">
        <f>VLOOKUP($A292,'030523 INVENTARIO'!$A$2:$Y$1148,5,FALSE)</f>
        <v>ESTANTE O ANAQUEL</v>
      </c>
      <c r="F292" s="167" t="str">
        <f>VLOOKUP($A292,'030523 INVENTARIO'!$A$2:$Y$1148,6,FALSE)</f>
        <v>ESTANTE  METALICO CON 5 CHAROLAS</v>
      </c>
      <c r="G292" s="167" t="str">
        <f ca="1">VLOOKUP($A292,'030523 INVENTARIO'!$A$2:$Y$1148,8,FALSE)</f>
        <v>P02PP-0291</v>
      </c>
      <c r="H292" s="168" t="str">
        <f>VLOOKUP($A292,'030523 INVENTARIO'!$A$2:$Y$1148,17,FALSE)</f>
        <v>S/M</v>
      </c>
      <c r="I292" s="167" t="str">
        <f>VLOOKUP($A292,'030523 INVENTARIO'!$A$2:$Y$1148,18,FALSE)</f>
        <v>S/M</v>
      </c>
      <c r="J292" s="168" t="str">
        <f>VLOOKUP($A292,'030523 INVENTARIO'!$A$2:$Y$1148,19,FALSE)</f>
        <v>SIN SERIE</v>
      </c>
      <c r="K292" s="168" t="str">
        <f>VLOOKUP($A292,'030523 INVENTARIO'!$A$2:$Y$1148,20,FALSE)</f>
        <v>82DJ0511010028000539043</v>
      </c>
      <c r="L292" s="167" t="str">
        <f>VLOOKUP($A292,'030523 INVENTARIO'!$A$2:$Y$1148,23,FALSE)</f>
        <v>MARTHA MARIA VARGAS RODRIGUEZ</v>
      </c>
    </row>
    <row r="293" spans="1:12" ht="12.75" hidden="1">
      <c r="A293" s="167" t="str">
        <f>'030523 INVENTARIO'!A293</f>
        <v>0292</v>
      </c>
      <c r="B293" s="168" t="str">
        <f>'030523 INVENTARIO'!T293</f>
        <v>82DJ0519010048000533124</v>
      </c>
      <c r="C293" s="167" t="str">
        <f t="shared" si="0"/>
        <v>533124</v>
      </c>
      <c r="D293" s="167" t="str">
        <f>IF(VLOOKUP(C293,'Patrimonio 2023'!$C$2:$C$1128,1,FALSE) = C293, "Encontrado", "no")</f>
        <v>Encontrado</v>
      </c>
      <c r="E293" s="167" t="str">
        <f>VLOOKUP($A293,'030523 INVENTARIO'!$A$2:$Y$1148,5,FALSE)</f>
        <v>CHAROLA</v>
      </c>
      <c r="F293" s="167" t="str">
        <f>VLOOKUP($A293,'030523 INVENTARIO'!$A$2:$Y$1148,6,FALSE)</f>
        <v>CHAROLA DE METAL PARA ESTANTE 91X30</v>
      </c>
      <c r="G293" s="167" t="str">
        <f ca="1">VLOOKUP($A293,'030523 INVENTARIO'!$A$2:$Y$1148,8,FALSE)</f>
        <v>P02PP-0292</v>
      </c>
      <c r="H293" s="168" t="str">
        <f>VLOOKUP($A293,'030523 INVENTARIO'!$A$2:$Y$1148,17,FALSE)</f>
        <v>S/M</v>
      </c>
      <c r="I293" s="167" t="str">
        <f>VLOOKUP($A293,'030523 INVENTARIO'!$A$2:$Y$1148,18,FALSE)</f>
        <v>S/M</v>
      </c>
      <c r="J293" s="168" t="str">
        <f>VLOOKUP($A293,'030523 INVENTARIO'!$A$2:$Y$1148,19,FALSE)</f>
        <v>SIN SERIE</v>
      </c>
      <c r="K293" s="168" t="str">
        <f>VLOOKUP($A293,'030523 INVENTARIO'!$A$2:$Y$1148,20,FALSE)</f>
        <v>82DJ0519010048000533124</v>
      </c>
      <c r="L293" s="167" t="str">
        <f>VLOOKUP($A293,'030523 INVENTARIO'!$A$2:$Y$1148,23,FALSE)</f>
        <v>MARTHA MARIA VARGAS RODRIGUEZ</v>
      </c>
    </row>
    <row r="294" spans="1:12" ht="12.75" hidden="1">
      <c r="A294" s="167" t="str">
        <f>'030523 INVENTARIO'!A294</f>
        <v>0293</v>
      </c>
      <c r="B294" s="168" t="str">
        <f>'030523 INVENTARIO'!T294</f>
        <v>82DJ0519010048000579127</v>
      </c>
      <c r="C294" s="167" t="str">
        <f t="shared" si="0"/>
        <v>579127</v>
      </c>
      <c r="D294" s="167" t="str">
        <f>IF(VLOOKUP(C294,'Patrimonio 2023'!$C$2:$C$1128,1,FALSE) = C294, "Encontrado", "no")</f>
        <v>Encontrado</v>
      </c>
      <c r="E294" s="167" t="str">
        <f>VLOOKUP($A294,'030523 INVENTARIO'!$A$2:$Y$1148,5,FALSE)</f>
        <v>CHAROLA</v>
      </c>
      <c r="F294" s="167" t="str">
        <f>VLOOKUP($A294,'030523 INVENTARIO'!$A$2:$Y$1148,6,FALSE)</f>
        <v>CHAROLA DE METAL PARA ESTANTE 91X30</v>
      </c>
      <c r="G294" s="167" t="str">
        <f ca="1">VLOOKUP($A294,'030523 INVENTARIO'!$A$2:$Y$1148,8,FALSE)</f>
        <v>P02PP-0293</v>
      </c>
      <c r="H294" s="168" t="str">
        <f>VLOOKUP($A294,'030523 INVENTARIO'!$A$2:$Y$1148,17,FALSE)</f>
        <v>S/M</v>
      </c>
      <c r="I294" s="167" t="str">
        <f>VLOOKUP($A294,'030523 INVENTARIO'!$A$2:$Y$1148,18,FALSE)</f>
        <v>S/M</v>
      </c>
      <c r="J294" s="168" t="str">
        <f>VLOOKUP($A294,'030523 INVENTARIO'!$A$2:$Y$1148,19,FALSE)</f>
        <v>SIN SERIE</v>
      </c>
      <c r="K294" s="168" t="str">
        <f>VLOOKUP($A294,'030523 INVENTARIO'!$A$2:$Y$1148,20,FALSE)</f>
        <v>82DJ0519010048000579127</v>
      </c>
      <c r="L294" s="167" t="str">
        <f>VLOOKUP($A294,'030523 INVENTARIO'!$A$2:$Y$1148,23,FALSE)</f>
        <v>MARTHA MARIA VARGAS RODRIGUEZ</v>
      </c>
    </row>
    <row r="295" spans="1:12" ht="12.75" hidden="1">
      <c r="A295" s="167" t="str">
        <f>'030523 INVENTARIO'!A295</f>
        <v>0294</v>
      </c>
      <c r="B295" s="168" t="str">
        <f>'030523 INVENTARIO'!T295</f>
        <v>82DJ0511010028000539018</v>
      </c>
      <c r="C295" s="167" t="str">
        <f t="shared" si="0"/>
        <v>539018</v>
      </c>
      <c r="D295" s="167" t="str">
        <f>IF(VLOOKUP(C295,'Patrimonio 2023'!$C$2:$C$1128,1,FALSE) = C295, "Encontrado", "no")</f>
        <v>Encontrado</v>
      </c>
      <c r="E295" s="167" t="str">
        <f>VLOOKUP($A295,'030523 INVENTARIO'!$A$2:$Y$1148,5,FALSE)</f>
        <v>ESTANTE O ANAQUEL</v>
      </c>
      <c r="F295" s="167" t="str">
        <f>VLOOKUP($A295,'030523 INVENTARIO'!$A$2:$Y$1148,6,FALSE)</f>
        <v>ESTANTE  METALICO CON 6 CHAROLAS</v>
      </c>
      <c r="G295" s="167" t="str">
        <f ca="1">VLOOKUP($A295,'030523 INVENTARIO'!$A$2:$Y$1148,8,FALSE)</f>
        <v>P02PP-0294</v>
      </c>
      <c r="H295" s="168" t="str">
        <f>VLOOKUP($A295,'030523 INVENTARIO'!$A$2:$Y$1148,17,FALSE)</f>
        <v>S/M</v>
      </c>
      <c r="I295" s="167" t="str">
        <f>VLOOKUP($A295,'030523 INVENTARIO'!$A$2:$Y$1148,18,FALSE)</f>
        <v>S/M</v>
      </c>
      <c r="J295" s="168" t="str">
        <f>VLOOKUP($A295,'030523 INVENTARIO'!$A$2:$Y$1148,19,FALSE)</f>
        <v>SIN SERIE</v>
      </c>
      <c r="K295" s="168" t="str">
        <f>VLOOKUP($A295,'030523 INVENTARIO'!$A$2:$Y$1148,20,FALSE)</f>
        <v>82DJ0511010028000539018</v>
      </c>
      <c r="L295" s="167" t="str">
        <f>VLOOKUP($A295,'030523 INVENTARIO'!$A$2:$Y$1148,23,FALSE)</f>
        <v>MARTHA MARIA VARGAS RODRIGUEZ</v>
      </c>
    </row>
    <row r="296" spans="1:12" ht="12.75" hidden="1">
      <c r="A296" s="167" t="str">
        <f>'030523 INVENTARIO'!A296</f>
        <v>0295</v>
      </c>
      <c r="B296" s="168" t="str">
        <f>'030523 INVENTARIO'!T296</f>
        <v>82DJ0511010028000539032</v>
      </c>
      <c r="C296" s="167" t="str">
        <f t="shared" si="0"/>
        <v>539032</v>
      </c>
      <c r="D296" s="167" t="str">
        <f>IF(VLOOKUP(C296,'Patrimonio 2023'!$C$2:$C$1128,1,FALSE) = C296, "Encontrado", "no")</f>
        <v>Encontrado</v>
      </c>
      <c r="E296" s="167" t="str">
        <f>VLOOKUP($A296,'030523 INVENTARIO'!$A$2:$Y$1148,5,FALSE)</f>
        <v>ESTANTE O ANAQUEL</v>
      </c>
      <c r="F296" s="167" t="str">
        <f>VLOOKUP($A296,'030523 INVENTARIO'!$A$2:$Y$1148,6,FALSE)</f>
        <v>ESTANTE  METALICO CON 5 CHAROLAS</v>
      </c>
      <c r="G296" s="167" t="str">
        <f ca="1">VLOOKUP($A296,'030523 INVENTARIO'!$A$2:$Y$1148,8,FALSE)</f>
        <v>P02PP-0295</v>
      </c>
      <c r="H296" s="168" t="str">
        <f>VLOOKUP($A296,'030523 INVENTARIO'!$A$2:$Y$1148,17,FALSE)</f>
        <v>S/M</v>
      </c>
      <c r="I296" s="167" t="str">
        <f>VLOOKUP($A296,'030523 INVENTARIO'!$A$2:$Y$1148,18,FALSE)</f>
        <v>S/M</v>
      </c>
      <c r="J296" s="168" t="str">
        <f>VLOOKUP($A296,'030523 INVENTARIO'!$A$2:$Y$1148,19,FALSE)</f>
        <v>SIN SERIE</v>
      </c>
      <c r="K296" s="168" t="str">
        <f>VLOOKUP($A296,'030523 INVENTARIO'!$A$2:$Y$1148,20,FALSE)</f>
        <v>82DJ0511010028000539032</v>
      </c>
      <c r="L296" s="167" t="str">
        <f>VLOOKUP($A296,'030523 INVENTARIO'!$A$2:$Y$1148,23,FALSE)</f>
        <v>MARTHA MARIA VARGAS RODRIGUEZ</v>
      </c>
    </row>
    <row r="297" spans="1:12" ht="12.75" hidden="1">
      <c r="A297" s="167" t="str">
        <f>'030523 INVENTARIO'!A297</f>
        <v>0296</v>
      </c>
      <c r="B297" s="168" t="str">
        <f>'030523 INVENTARIO'!T297</f>
        <v>82DJ0519010048000539133</v>
      </c>
      <c r="C297" s="167" t="str">
        <f t="shared" si="0"/>
        <v>539133</v>
      </c>
      <c r="D297" s="167" t="str">
        <f>IF(VLOOKUP(C297,'Patrimonio 2023'!$C$2:$C$1128,1,FALSE) = C297, "Encontrado", "no")</f>
        <v>Encontrado</v>
      </c>
      <c r="E297" s="167" t="str">
        <f>VLOOKUP($A297,'030523 INVENTARIO'!$A$2:$Y$1148,5,FALSE)</f>
        <v>CHAROLA</v>
      </c>
      <c r="F297" s="167" t="str">
        <f>VLOOKUP($A297,'030523 INVENTARIO'!$A$2:$Y$1148,6,FALSE)</f>
        <v>CHAROLA DE METAL PARA ESTANTE 91X30</v>
      </c>
      <c r="G297" s="167" t="str">
        <f ca="1">VLOOKUP($A297,'030523 INVENTARIO'!$A$2:$Y$1148,8,FALSE)</f>
        <v>P02PP-0296</v>
      </c>
      <c r="H297" s="168" t="str">
        <f>VLOOKUP($A297,'030523 INVENTARIO'!$A$2:$Y$1148,17,FALSE)</f>
        <v>S/M</v>
      </c>
      <c r="I297" s="167" t="str">
        <f>VLOOKUP($A297,'030523 INVENTARIO'!$A$2:$Y$1148,18,FALSE)</f>
        <v>S/M</v>
      </c>
      <c r="J297" s="168" t="str">
        <f>VLOOKUP($A297,'030523 INVENTARIO'!$A$2:$Y$1148,19,FALSE)</f>
        <v>SIN SERIE</v>
      </c>
      <c r="K297" s="168" t="str">
        <f>VLOOKUP($A297,'030523 INVENTARIO'!$A$2:$Y$1148,20,FALSE)</f>
        <v>82DJ0519010048000539133</v>
      </c>
      <c r="L297" s="167" t="str">
        <f>VLOOKUP($A297,'030523 INVENTARIO'!$A$2:$Y$1148,23,FALSE)</f>
        <v>MARTHA MARIA VARGAS RODRIGUEZ</v>
      </c>
    </row>
    <row r="298" spans="1:12" ht="12.75" hidden="1">
      <c r="A298" s="167" t="str">
        <f>'030523 INVENTARIO'!A298</f>
        <v>0297</v>
      </c>
      <c r="B298" s="168" t="str">
        <f>'030523 INVENTARIO'!T298</f>
        <v>82DJ0519010048000539137</v>
      </c>
      <c r="C298" s="167" t="str">
        <f t="shared" si="0"/>
        <v>539137</v>
      </c>
      <c r="D298" s="167" t="str">
        <f>IF(VLOOKUP(C298,'Patrimonio 2023'!$C$2:$C$1128,1,FALSE) = C298, "Encontrado", "no")</f>
        <v>Encontrado</v>
      </c>
      <c r="E298" s="167" t="str">
        <f>VLOOKUP($A298,'030523 INVENTARIO'!$A$2:$Y$1148,5,FALSE)</f>
        <v>CHAROLA</v>
      </c>
      <c r="F298" s="167" t="str">
        <f>VLOOKUP($A298,'030523 INVENTARIO'!$A$2:$Y$1148,6,FALSE)</f>
        <v>CHAROLA DE METAL PARA ESTANTE 91X30</v>
      </c>
      <c r="G298" s="167" t="str">
        <f ca="1">VLOOKUP($A298,'030523 INVENTARIO'!$A$2:$Y$1148,8,FALSE)</f>
        <v>P02PP-0297</v>
      </c>
      <c r="H298" s="168" t="str">
        <f>VLOOKUP($A298,'030523 INVENTARIO'!$A$2:$Y$1148,17,FALSE)</f>
        <v>S/M</v>
      </c>
      <c r="I298" s="167" t="str">
        <f>VLOOKUP($A298,'030523 INVENTARIO'!$A$2:$Y$1148,18,FALSE)</f>
        <v>S/M</v>
      </c>
      <c r="J298" s="168" t="str">
        <f>VLOOKUP($A298,'030523 INVENTARIO'!$A$2:$Y$1148,19,FALSE)</f>
        <v>SIN SERIE</v>
      </c>
      <c r="K298" s="168" t="str">
        <f>VLOOKUP($A298,'030523 INVENTARIO'!$A$2:$Y$1148,20,FALSE)</f>
        <v>82DJ0519010048000539137</v>
      </c>
      <c r="L298" s="167" t="str">
        <f>VLOOKUP($A298,'030523 INVENTARIO'!$A$2:$Y$1148,23,FALSE)</f>
        <v>MARTHA MARIA VARGAS RODRIGUEZ</v>
      </c>
    </row>
    <row r="299" spans="1:12" ht="12.75" hidden="1">
      <c r="A299" s="167" t="str">
        <f>'030523 INVENTARIO'!A299</f>
        <v>0298</v>
      </c>
      <c r="B299" s="168" t="str">
        <f>'030523 INVENTARIO'!T299</f>
        <v>82DJ0511010028000532101</v>
      </c>
      <c r="C299" s="167" t="str">
        <f t="shared" si="0"/>
        <v>532101</v>
      </c>
      <c r="D299" s="167" t="str">
        <f>IF(VLOOKUP(C299,'Patrimonio 2023'!$C$2:$C$1128,1,FALSE) = C299, "Encontrado", "no")</f>
        <v>Encontrado</v>
      </c>
      <c r="E299" s="167" t="str">
        <f>VLOOKUP($A299,'030523 INVENTARIO'!$A$2:$Y$1148,5,FALSE)</f>
        <v>ESTANTE O ANAQUEL</v>
      </c>
      <c r="F299" s="167" t="str">
        <f>VLOOKUP($A299,'030523 INVENTARIO'!$A$2:$Y$1148,6,FALSE)</f>
        <v>ESTANTE  METALICO CON 6 CHAROLAS</v>
      </c>
      <c r="G299" s="167" t="str">
        <f ca="1">VLOOKUP($A299,'030523 INVENTARIO'!$A$2:$Y$1148,8,FALSE)</f>
        <v>P02PP-0298</v>
      </c>
      <c r="H299" s="168" t="str">
        <f>VLOOKUP($A299,'030523 INVENTARIO'!$A$2:$Y$1148,17,FALSE)</f>
        <v>S/M</v>
      </c>
      <c r="I299" s="167" t="str">
        <f>VLOOKUP($A299,'030523 INVENTARIO'!$A$2:$Y$1148,18,FALSE)</f>
        <v>S/M</v>
      </c>
      <c r="J299" s="168" t="str">
        <f>VLOOKUP($A299,'030523 INVENTARIO'!$A$2:$Y$1148,19,FALSE)</f>
        <v>SIN SERIE</v>
      </c>
      <c r="K299" s="168" t="str">
        <f>VLOOKUP($A299,'030523 INVENTARIO'!$A$2:$Y$1148,20,FALSE)</f>
        <v>82DJ0511010028000532101</v>
      </c>
      <c r="L299" s="167" t="str">
        <f>VLOOKUP($A299,'030523 INVENTARIO'!$A$2:$Y$1148,23,FALSE)</f>
        <v>MARTHA MARIA VARGAS RODRIGUEZ</v>
      </c>
    </row>
    <row r="300" spans="1:12" ht="12.75" hidden="1">
      <c r="A300" s="167" t="str">
        <f>'030523 INVENTARIO'!A300</f>
        <v>0299</v>
      </c>
      <c r="B300" s="168" t="str">
        <f>'030523 INVENTARIO'!T300</f>
        <v>82DJ0519010048000539135</v>
      </c>
      <c r="C300" s="167" t="str">
        <f t="shared" si="0"/>
        <v>539135</v>
      </c>
      <c r="D300" s="167" t="str">
        <f>IF(VLOOKUP(C300,'Patrimonio 2023'!$C$2:$C$1128,1,FALSE) = C300, "Encontrado", "no")</f>
        <v>Encontrado</v>
      </c>
      <c r="E300" s="167" t="str">
        <f>VLOOKUP($A300,'030523 INVENTARIO'!$A$2:$Y$1148,5,FALSE)</f>
        <v>CHAROLA</v>
      </c>
      <c r="F300" s="167" t="str">
        <f>VLOOKUP($A300,'030523 INVENTARIO'!$A$2:$Y$1148,6,FALSE)</f>
        <v>CHAROLA DE METAL PARA ESTANTE 91X30</v>
      </c>
      <c r="G300" s="167" t="str">
        <f ca="1">VLOOKUP($A300,'030523 INVENTARIO'!$A$2:$Y$1148,8,FALSE)</f>
        <v>P02PP-0299</v>
      </c>
      <c r="H300" s="168" t="str">
        <f>VLOOKUP($A300,'030523 INVENTARIO'!$A$2:$Y$1148,17,FALSE)</f>
        <v>S/M</v>
      </c>
      <c r="I300" s="167" t="str">
        <f>VLOOKUP($A300,'030523 INVENTARIO'!$A$2:$Y$1148,18,FALSE)</f>
        <v>S/M</v>
      </c>
      <c r="J300" s="168" t="str">
        <f>VLOOKUP($A300,'030523 INVENTARIO'!$A$2:$Y$1148,19,FALSE)</f>
        <v>SIN SERIE</v>
      </c>
      <c r="K300" s="168" t="str">
        <f>VLOOKUP($A300,'030523 INVENTARIO'!$A$2:$Y$1148,20,FALSE)</f>
        <v>82DJ0519010048000539135</v>
      </c>
      <c r="L300" s="167" t="str">
        <f>VLOOKUP($A300,'030523 INVENTARIO'!$A$2:$Y$1148,23,FALSE)</f>
        <v>MARTHA MARIA VARGAS RODRIGUEZ</v>
      </c>
    </row>
    <row r="301" spans="1:12" ht="12.75" hidden="1">
      <c r="A301" s="167" t="str">
        <f>'030523 INVENTARIO'!A301</f>
        <v>0300</v>
      </c>
      <c r="B301" s="168" t="str">
        <f>'030523 INVENTARIO'!T301</f>
        <v>82DJ0511010028000524624</v>
      </c>
      <c r="C301" s="167" t="str">
        <f t="shared" si="0"/>
        <v>524624</v>
      </c>
      <c r="D301" s="167" t="str">
        <f>IF(VLOOKUP(C301,'Patrimonio 2023'!$C$2:$C$1128,1,FALSE) = C301, "Encontrado", "no")</f>
        <v>Encontrado</v>
      </c>
      <c r="E301" s="167" t="str">
        <f>VLOOKUP($A301,'030523 INVENTARIO'!$A$2:$Y$1148,5,FALSE)</f>
        <v>ESTANTE O ANAQUEL</v>
      </c>
      <c r="F301" s="167" t="str">
        <f>VLOOKUP($A301,'030523 INVENTARIO'!$A$2:$Y$1148,6,FALSE)</f>
        <v>ESTANTE  METALICO CON 5 CHAROLAS</v>
      </c>
      <c r="G301" s="167" t="str">
        <f ca="1">VLOOKUP($A301,'030523 INVENTARIO'!$A$2:$Y$1148,8,FALSE)</f>
        <v>P02PP-0300</v>
      </c>
      <c r="H301" s="168" t="str">
        <f>VLOOKUP($A301,'030523 INVENTARIO'!$A$2:$Y$1148,17,FALSE)</f>
        <v>S/M</v>
      </c>
      <c r="I301" s="167" t="str">
        <f>VLOOKUP($A301,'030523 INVENTARIO'!$A$2:$Y$1148,18,FALSE)</f>
        <v>S/M</v>
      </c>
      <c r="J301" s="168" t="str">
        <f>VLOOKUP($A301,'030523 INVENTARIO'!$A$2:$Y$1148,19,FALSE)</f>
        <v>SIN SERIE</v>
      </c>
      <c r="K301" s="168" t="str">
        <f>VLOOKUP($A301,'030523 INVENTARIO'!$A$2:$Y$1148,20,FALSE)</f>
        <v>82DJ0511010028000524624</v>
      </c>
      <c r="L301" s="167" t="str">
        <f>VLOOKUP($A301,'030523 INVENTARIO'!$A$2:$Y$1148,23,FALSE)</f>
        <v>MARTHA MARIA VARGAS RODRIGUEZ</v>
      </c>
    </row>
    <row r="302" spans="1:12" ht="12.75" hidden="1">
      <c r="A302" s="167" t="str">
        <f>'030523 INVENTARIO'!A302</f>
        <v>0301</v>
      </c>
      <c r="B302" s="168" t="str">
        <f>'030523 INVENTARIO'!T302</f>
        <v>82DJ0511010028000539029</v>
      </c>
      <c r="C302" s="167" t="str">
        <f t="shared" si="0"/>
        <v>539029</v>
      </c>
      <c r="D302" s="167" t="str">
        <f>IF(VLOOKUP(C302,'Patrimonio 2023'!$C$2:$C$1128,1,FALSE) = C302, "Encontrado", "no")</f>
        <v>Encontrado</v>
      </c>
      <c r="E302" s="167" t="str">
        <f>VLOOKUP($A302,'030523 INVENTARIO'!$A$2:$Y$1148,5,FALSE)</f>
        <v>ESTANTE O ANAQUEL</v>
      </c>
      <c r="F302" s="167" t="str">
        <f>VLOOKUP($A302,'030523 INVENTARIO'!$A$2:$Y$1148,6,FALSE)</f>
        <v>ESTANTE  METALICO CON 5 CHAROLAS</v>
      </c>
      <c r="G302" s="167" t="str">
        <f ca="1">VLOOKUP($A302,'030523 INVENTARIO'!$A$2:$Y$1148,8,FALSE)</f>
        <v>P02PP-0301</v>
      </c>
      <c r="H302" s="168" t="str">
        <f>VLOOKUP($A302,'030523 INVENTARIO'!$A$2:$Y$1148,17,FALSE)</f>
        <v>S/M</v>
      </c>
      <c r="I302" s="167" t="str">
        <f>VLOOKUP($A302,'030523 INVENTARIO'!$A$2:$Y$1148,18,FALSE)</f>
        <v>S/M</v>
      </c>
      <c r="J302" s="168" t="str">
        <f>VLOOKUP($A302,'030523 INVENTARIO'!$A$2:$Y$1148,19,FALSE)</f>
        <v>SIN SERIE</v>
      </c>
      <c r="K302" s="168" t="str">
        <f>VLOOKUP($A302,'030523 INVENTARIO'!$A$2:$Y$1148,20,FALSE)</f>
        <v>82DJ0511010028000539029</v>
      </c>
      <c r="L302" s="167" t="str">
        <f>VLOOKUP($A302,'030523 INVENTARIO'!$A$2:$Y$1148,23,FALSE)</f>
        <v>MARTHA MARIA VARGAS RODRIGUEZ</v>
      </c>
    </row>
    <row r="303" spans="1:12" ht="12.75" hidden="1">
      <c r="A303" s="167" t="str">
        <f>'030523 INVENTARIO'!A303</f>
        <v>0302</v>
      </c>
      <c r="B303" s="168" t="str">
        <f>'030523 INVENTARIO'!T303</f>
        <v>82DJ0519010048000533123</v>
      </c>
      <c r="C303" s="167" t="str">
        <f t="shared" si="0"/>
        <v>533123</v>
      </c>
      <c r="D303" s="167" t="str">
        <f>IF(VLOOKUP(C303,'Patrimonio 2023'!$C$2:$C$1128,1,FALSE) = C303, "Encontrado", "no")</f>
        <v>Encontrado</v>
      </c>
      <c r="E303" s="167" t="str">
        <f>VLOOKUP($A303,'030523 INVENTARIO'!$A$2:$Y$1148,5,FALSE)</f>
        <v>CHAROLA</v>
      </c>
      <c r="F303" s="167" t="str">
        <f>VLOOKUP($A303,'030523 INVENTARIO'!$A$2:$Y$1148,6,FALSE)</f>
        <v>CHAROLA DE METAL PARA ESTANTE 91X30</v>
      </c>
      <c r="G303" s="167" t="str">
        <f ca="1">VLOOKUP($A303,'030523 INVENTARIO'!$A$2:$Y$1148,8,FALSE)</f>
        <v>P02PP-0302</v>
      </c>
      <c r="H303" s="168" t="str">
        <f>VLOOKUP($A303,'030523 INVENTARIO'!$A$2:$Y$1148,17,FALSE)</f>
        <v>S/M</v>
      </c>
      <c r="I303" s="167" t="str">
        <f>VLOOKUP($A303,'030523 INVENTARIO'!$A$2:$Y$1148,18,FALSE)</f>
        <v>S/M</v>
      </c>
      <c r="J303" s="168" t="str">
        <f>VLOOKUP($A303,'030523 INVENTARIO'!$A$2:$Y$1148,19,FALSE)</f>
        <v>SIN SERIE</v>
      </c>
      <c r="K303" s="168" t="str">
        <f>VLOOKUP($A303,'030523 INVENTARIO'!$A$2:$Y$1148,20,FALSE)</f>
        <v>82DJ0519010048000533123</v>
      </c>
      <c r="L303" s="167" t="str">
        <f>VLOOKUP($A303,'030523 INVENTARIO'!$A$2:$Y$1148,23,FALSE)</f>
        <v>MARTHA MARIA VARGAS RODRIGUEZ</v>
      </c>
    </row>
    <row r="304" spans="1:12" ht="12.75" hidden="1">
      <c r="A304" s="167" t="str">
        <f>'030523 INVENTARIO'!A304</f>
        <v>0303</v>
      </c>
      <c r="B304" s="168" t="str">
        <f>'030523 INVENTARIO'!T304</f>
        <v>82DJ0519010048000533126</v>
      </c>
      <c r="C304" s="167" t="str">
        <f t="shared" si="0"/>
        <v>533126</v>
      </c>
      <c r="D304" s="167" t="str">
        <f>IF(VLOOKUP(C304,'Patrimonio 2023'!$C$2:$C$1128,1,FALSE) = C304, "Encontrado", "no")</f>
        <v>Encontrado</v>
      </c>
      <c r="E304" s="167" t="str">
        <f>VLOOKUP($A304,'030523 INVENTARIO'!$A$2:$Y$1148,5,FALSE)</f>
        <v>CHAROLA</v>
      </c>
      <c r="F304" s="167" t="str">
        <f>VLOOKUP($A304,'030523 INVENTARIO'!$A$2:$Y$1148,6,FALSE)</f>
        <v>CHAROLA DE METAL PARA ESTANTE 91X30</v>
      </c>
      <c r="G304" s="167" t="str">
        <f ca="1">VLOOKUP($A304,'030523 INVENTARIO'!$A$2:$Y$1148,8,FALSE)</f>
        <v>P02PP-0303</v>
      </c>
      <c r="H304" s="168" t="str">
        <f>VLOOKUP($A304,'030523 INVENTARIO'!$A$2:$Y$1148,17,FALSE)</f>
        <v>S/M</v>
      </c>
      <c r="I304" s="167" t="str">
        <f>VLOOKUP($A304,'030523 INVENTARIO'!$A$2:$Y$1148,18,FALSE)</f>
        <v>S/M</v>
      </c>
      <c r="J304" s="168" t="str">
        <f>VLOOKUP($A304,'030523 INVENTARIO'!$A$2:$Y$1148,19,FALSE)</f>
        <v>SIN SERIE</v>
      </c>
      <c r="K304" s="168" t="str">
        <f>VLOOKUP($A304,'030523 INVENTARIO'!$A$2:$Y$1148,20,FALSE)</f>
        <v>82DJ0519010048000533126</v>
      </c>
      <c r="L304" s="167" t="str">
        <f>VLOOKUP($A304,'030523 INVENTARIO'!$A$2:$Y$1148,23,FALSE)</f>
        <v>MARTHA MARIA VARGAS RODRIGUEZ</v>
      </c>
    </row>
    <row r="305" spans="1:12" ht="12.75" hidden="1">
      <c r="A305" s="167" t="str">
        <f>'030523 INVENTARIO'!A305</f>
        <v>0304</v>
      </c>
      <c r="B305" s="168" t="str">
        <f>'030523 INVENTARIO'!T305</f>
        <v>82DJ0511010028000532103</v>
      </c>
      <c r="C305" s="167" t="str">
        <f t="shared" si="0"/>
        <v>532103</v>
      </c>
      <c r="D305" s="167" t="str">
        <f>IF(VLOOKUP(C305,'Patrimonio 2023'!$C$2:$C$1128,1,FALSE) = C305, "Encontrado", "no")</f>
        <v>Encontrado</v>
      </c>
      <c r="E305" s="167" t="str">
        <f>VLOOKUP($A305,'030523 INVENTARIO'!$A$2:$Y$1148,5,FALSE)</f>
        <v>ESTANTE O ANAQUEL</v>
      </c>
      <c r="F305" s="167" t="str">
        <f>VLOOKUP($A305,'030523 INVENTARIO'!$A$2:$Y$1148,6,FALSE)</f>
        <v>ESTANTE  METALICO CON 5 CHAROLAS</v>
      </c>
      <c r="G305" s="167" t="str">
        <f ca="1">VLOOKUP($A305,'030523 INVENTARIO'!$A$2:$Y$1148,8,FALSE)</f>
        <v>P02PP-0304</v>
      </c>
      <c r="H305" s="168" t="str">
        <f>VLOOKUP($A305,'030523 INVENTARIO'!$A$2:$Y$1148,17,FALSE)</f>
        <v>S/M</v>
      </c>
      <c r="I305" s="167" t="str">
        <f>VLOOKUP($A305,'030523 INVENTARIO'!$A$2:$Y$1148,18,FALSE)</f>
        <v>S/M</v>
      </c>
      <c r="J305" s="168" t="str">
        <f>VLOOKUP($A305,'030523 INVENTARIO'!$A$2:$Y$1148,19,FALSE)</f>
        <v>SIN SERIE</v>
      </c>
      <c r="K305" s="168" t="str">
        <f>VLOOKUP($A305,'030523 INVENTARIO'!$A$2:$Y$1148,20,FALSE)</f>
        <v>82DJ0511010028000532103</v>
      </c>
      <c r="L305" s="167" t="str">
        <f>VLOOKUP($A305,'030523 INVENTARIO'!$A$2:$Y$1148,23,FALSE)</f>
        <v>MARTHA MARIA VARGAS RODRIGUEZ</v>
      </c>
    </row>
    <row r="306" spans="1:12" ht="12.75" hidden="1">
      <c r="A306" s="167" t="str">
        <f>'030523 INVENTARIO'!A306</f>
        <v>0305</v>
      </c>
      <c r="B306" s="168" t="str">
        <f>'030523 INVENTARIO'!T306</f>
        <v>82DJ0519010048000539139</v>
      </c>
      <c r="C306" s="167" t="str">
        <f t="shared" si="0"/>
        <v>539139</v>
      </c>
      <c r="D306" s="167" t="str">
        <f>IF(VLOOKUP(C306,'Patrimonio 2023'!$C$2:$C$1128,1,FALSE) = C306, "Encontrado", "no")</f>
        <v>Encontrado</v>
      </c>
      <c r="E306" s="167" t="str">
        <f>VLOOKUP($A306,'030523 INVENTARIO'!$A$2:$Y$1148,5,FALSE)</f>
        <v>CHAROLA</v>
      </c>
      <c r="F306" s="167" t="str">
        <f>VLOOKUP($A306,'030523 INVENTARIO'!$A$2:$Y$1148,6,FALSE)</f>
        <v>CHAROLA DE METAL PARA ESTANTE 91X30</v>
      </c>
      <c r="G306" s="167" t="str">
        <f ca="1">VLOOKUP($A306,'030523 INVENTARIO'!$A$2:$Y$1148,8,FALSE)</f>
        <v>P02PP-0305</v>
      </c>
      <c r="H306" s="168" t="str">
        <f>VLOOKUP($A306,'030523 INVENTARIO'!$A$2:$Y$1148,17,FALSE)</f>
        <v>S/M</v>
      </c>
      <c r="I306" s="167" t="str">
        <f>VLOOKUP($A306,'030523 INVENTARIO'!$A$2:$Y$1148,18,FALSE)</f>
        <v>S/M</v>
      </c>
      <c r="J306" s="168" t="str">
        <f>VLOOKUP($A306,'030523 INVENTARIO'!$A$2:$Y$1148,19,FALSE)</f>
        <v>SIN SERIE</v>
      </c>
      <c r="K306" s="168" t="str">
        <f>VLOOKUP($A306,'030523 INVENTARIO'!$A$2:$Y$1148,20,FALSE)</f>
        <v>82DJ0519010048000539139</v>
      </c>
      <c r="L306" s="167" t="str">
        <f>VLOOKUP($A306,'030523 INVENTARIO'!$A$2:$Y$1148,23,FALSE)</f>
        <v>MARTHA MARIA VARGAS RODRIGUEZ</v>
      </c>
    </row>
    <row r="307" spans="1:12" ht="12.75" hidden="1">
      <c r="A307" s="167" t="str">
        <f>'030523 INVENTARIO'!A307</f>
        <v>0306</v>
      </c>
      <c r="B307" s="168" t="str">
        <f>'030523 INVENTARIO'!T307</f>
        <v>82DJ0519010048000579123</v>
      </c>
      <c r="C307" s="167" t="str">
        <f t="shared" si="0"/>
        <v>579123</v>
      </c>
      <c r="D307" s="167" t="str">
        <f>IF(VLOOKUP(C307,'Patrimonio 2023'!$C$2:$C$1128,1,FALSE) = C307, "Encontrado", "no")</f>
        <v>Encontrado</v>
      </c>
      <c r="E307" s="167" t="str">
        <f>VLOOKUP($A307,'030523 INVENTARIO'!$A$2:$Y$1148,5,FALSE)</f>
        <v>CHAROLA</v>
      </c>
      <c r="F307" s="167" t="str">
        <f>VLOOKUP($A307,'030523 INVENTARIO'!$A$2:$Y$1148,6,FALSE)</f>
        <v>CHAROLA DE METAL PARA ESTANTE 91X30</v>
      </c>
      <c r="G307" s="167" t="str">
        <f ca="1">VLOOKUP($A307,'030523 INVENTARIO'!$A$2:$Y$1148,8,FALSE)</f>
        <v>P02PP-0306</v>
      </c>
      <c r="H307" s="168" t="str">
        <f>VLOOKUP($A307,'030523 INVENTARIO'!$A$2:$Y$1148,17,FALSE)</f>
        <v>S/M</v>
      </c>
      <c r="I307" s="167" t="str">
        <f>VLOOKUP($A307,'030523 INVENTARIO'!$A$2:$Y$1148,18,FALSE)</f>
        <v>S/M</v>
      </c>
      <c r="J307" s="168" t="str">
        <f>VLOOKUP($A307,'030523 INVENTARIO'!$A$2:$Y$1148,19,FALSE)</f>
        <v>SIN SERIE</v>
      </c>
      <c r="K307" s="168" t="str">
        <f>VLOOKUP($A307,'030523 INVENTARIO'!$A$2:$Y$1148,20,FALSE)</f>
        <v>82DJ0519010048000579123</v>
      </c>
      <c r="L307" s="167" t="str">
        <f>VLOOKUP($A307,'030523 INVENTARIO'!$A$2:$Y$1148,23,FALSE)</f>
        <v>MARTHA MARIA VARGAS RODRIGUEZ</v>
      </c>
    </row>
    <row r="308" spans="1:12" ht="12.75" hidden="1">
      <c r="A308" s="167" t="str">
        <f>'030523 INVENTARIO'!A308</f>
        <v>0307</v>
      </c>
      <c r="B308" s="168" t="str">
        <f>'030523 INVENTARIO'!T308</f>
        <v>82DJ0511010028000539031</v>
      </c>
      <c r="C308" s="167" t="str">
        <f t="shared" si="0"/>
        <v>539031</v>
      </c>
      <c r="D308" s="167" t="str">
        <f>IF(VLOOKUP(C308,'Patrimonio 2023'!$C$2:$C$1128,1,FALSE) = C308, "Encontrado", "no")</f>
        <v>Encontrado</v>
      </c>
      <c r="E308" s="167" t="str">
        <f>VLOOKUP($A308,'030523 INVENTARIO'!$A$2:$Y$1148,5,FALSE)</f>
        <v>ESTANTE O ANAQUEL</v>
      </c>
      <c r="F308" s="167" t="str">
        <f>VLOOKUP($A308,'030523 INVENTARIO'!$A$2:$Y$1148,6,FALSE)</f>
        <v>ESTANTE  METALICO CON 5 CHAROLAS</v>
      </c>
      <c r="G308" s="167" t="str">
        <f ca="1">VLOOKUP($A308,'030523 INVENTARIO'!$A$2:$Y$1148,8,FALSE)</f>
        <v>P02PP-0307</v>
      </c>
      <c r="H308" s="168" t="str">
        <f>VLOOKUP($A308,'030523 INVENTARIO'!$A$2:$Y$1148,17,FALSE)</f>
        <v>S/M</v>
      </c>
      <c r="I308" s="167" t="str">
        <f>VLOOKUP($A308,'030523 INVENTARIO'!$A$2:$Y$1148,18,FALSE)</f>
        <v>S/M</v>
      </c>
      <c r="J308" s="168" t="str">
        <f>VLOOKUP($A308,'030523 INVENTARIO'!$A$2:$Y$1148,19,FALSE)</f>
        <v>SIN SERIE</v>
      </c>
      <c r="K308" s="168" t="str">
        <f>VLOOKUP($A308,'030523 INVENTARIO'!$A$2:$Y$1148,20,FALSE)</f>
        <v>82DJ0511010028000539031</v>
      </c>
      <c r="L308" s="167" t="str">
        <f>VLOOKUP($A308,'030523 INVENTARIO'!$A$2:$Y$1148,23,FALSE)</f>
        <v>MARTHA MARIA VARGAS RODRIGUEZ</v>
      </c>
    </row>
    <row r="309" spans="1:12" ht="12.75" hidden="1">
      <c r="A309" s="167" t="str">
        <f>'030523 INVENTARIO'!A309</f>
        <v>0308</v>
      </c>
      <c r="B309" s="168" t="str">
        <f>'030523 INVENTARIO'!T309</f>
        <v>82DJ0519010048000579126</v>
      </c>
      <c r="C309" s="167" t="str">
        <f t="shared" si="0"/>
        <v>579126</v>
      </c>
      <c r="D309" s="167" t="str">
        <f>IF(VLOOKUP(C309,'Patrimonio 2023'!$C$2:$C$1128,1,FALSE) = C309, "Encontrado", "no")</f>
        <v>Encontrado</v>
      </c>
      <c r="E309" s="167" t="str">
        <f>VLOOKUP($A309,'030523 INVENTARIO'!$A$2:$Y$1148,5,FALSE)</f>
        <v>CHAROLA</v>
      </c>
      <c r="F309" s="167" t="str">
        <f>VLOOKUP($A309,'030523 INVENTARIO'!$A$2:$Y$1148,6,FALSE)</f>
        <v>CHAROLA DE METAL PARA ESTANTE 91X30</v>
      </c>
      <c r="G309" s="167" t="str">
        <f ca="1">VLOOKUP($A309,'030523 INVENTARIO'!$A$2:$Y$1148,8,FALSE)</f>
        <v>P02PP-0308</v>
      </c>
      <c r="H309" s="168" t="str">
        <f>VLOOKUP($A309,'030523 INVENTARIO'!$A$2:$Y$1148,17,FALSE)</f>
        <v>S/M</v>
      </c>
      <c r="I309" s="167" t="str">
        <f>VLOOKUP($A309,'030523 INVENTARIO'!$A$2:$Y$1148,18,FALSE)</f>
        <v>S/M</v>
      </c>
      <c r="J309" s="168" t="str">
        <f>VLOOKUP($A309,'030523 INVENTARIO'!$A$2:$Y$1148,19,FALSE)</f>
        <v>SIN SERIE</v>
      </c>
      <c r="K309" s="168" t="str">
        <f>VLOOKUP($A309,'030523 INVENTARIO'!$A$2:$Y$1148,20,FALSE)</f>
        <v>82DJ0519010048000579126</v>
      </c>
      <c r="L309" s="167" t="str">
        <f>VLOOKUP($A309,'030523 INVENTARIO'!$A$2:$Y$1148,23,FALSE)</f>
        <v>MARTHA MARIA VARGAS RODRIGUEZ</v>
      </c>
    </row>
    <row r="310" spans="1:12" ht="12.75" hidden="1">
      <c r="A310" s="167" t="str">
        <f>'030523 INVENTARIO'!A310</f>
        <v>0309</v>
      </c>
      <c r="B310" s="168" t="str">
        <f>'030523 INVENTARIO'!T310</f>
        <v>82DJ0519010048000539144</v>
      </c>
      <c r="C310" s="167" t="str">
        <f t="shared" si="0"/>
        <v>539144</v>
      </c>
      <c r="D310" s="167" t="str">
        <f>IF(VLOOKUP(C310,'Patrimonio 2023'!$C$2:$C$1128,1,FALSE) = C310, "Encontrado", "no")</f>
        <v>Encontrado</v>
      </c>
      <c r="E310" s="167" t="str">
        <f>VLOOKUP($A310,'030523 INVENTARIO'!$A$2:$Y$1148,5,FALSE)</f>
        <v>CHAROLA</v>
      </c>
      <c r="F310" s="167" t="str">
        <f>VLOOKUP($A310,'030523 INVENTARIO'!$A$2:$Y$1148,6,FALSE)</f>
        <v>CHAROLA DE METAL PARA ESTANTE 91X30</v>
      </c>
      <c r="G310" s="167" t="str">
        <f ca="1">VLOOKUP($A310,'030523 INVENTARIO'!$A$2:$Y$1148,8,FALSE)</f>
        <v>P02PP-0309</v>
      </c>
      <c r="H310" s="168" t="str">
        <f>VLOOKUP($A310,'030523 INVENTARIO'!$A$2:$Y$1148,17,FALSE)</f>
        <v>S/M</v>
      </c>
      <c r="I310" s="167" t="str">
        <f>VLOOKUP($A310,'030523 INVENTARIO'!$A$2:$Y$1148,18,FALSE)</f>
        <v>S/M</v>
      </c>
      <c r="J310" s="168" t="str">
        <f>VLOOKUP($A310,'030523 INVENTARIO'!$A$2:$Y$1148,19,FALSE)</f>
        <v>SIN SERIE</v>
      </c>
      <c r="K310" s="168" t="str">
        <f>VLOOKUP($A310,'030523 INVENTARIO'!$A$2:$Y$1148,20,FALSE)</f>
        <v>82DJ0519010048000539144</v>
      </c>
      <c r="L310" s="167" t="str">
        <f>VLOOKUP($A310,'030523 INVENTARIO'!$A$2:$Y$1148,23,FALSE)</f>
        <v>MARTHA MARIA VARGAS RODRIGUEZ</v>
      </c>
    </row>
    <row r="311" spans="1:12" ht="12.75" hidden="1">
      <c r="A311" s="167" t="str">
        <f>'030523 INVENTARIO'!A311</f>
        <v>0310</v>
      </c>
      <c r="B311" s="168" t="str">
        <f>'030523 INVENTARIO'!T311</f>
        <v>82DJ0511010028000524607</v>
      </c>
      <c r="C311" s="167" t="str">
        <f t="shared" si="0"/>
        <v>524607</v>
      </c>
      <c r="D311" s="167" t="str">
        <f>IF(VLOOKUP(C311,'Patrimonio 2023'!$C$2:$C$1128,1,FALSE) = C311, "Encontrado", "no")</f>
        <v>Encontrado</v>
      </c>
      <c r="E311" s="167" t="str">
        <f>VLOOKUP($A311,'030523 INVENTARIO'!$A$2:$Y$1148,5,FALSE)</f>
        <v>ESTANTE O ANAQUEL</v>
      </c>
      <c r="F311" s="167" t="str">
        <f>VLOOKUP($A311,'030523 INVENTARIO'!$A$2:$Y$1148,6,FALSE)</f>
        <v>ESTANTE  METALICO CON 5 CHAROLAS</v>
      </c>
      <c r="G311" s="167" t="str">
        <f ca="1">VLOOKUP($A311,'030523 INVENTARIO'!$A$2:$Y$1148,8,FALSE)</f>
        <v>P02PP-0310</v>
      </c>
      <c r="H311" s="168" t="str">
        <f>VLOOKUP($A311,'030523 INVENTARIO'!$A$2:$Y$1148,17,FALSE)</f>
        <v>S/M</v>
      </c>
      <c r="I311" s="167" t="str">
        <f>VLOOKUP($A311,'030523 INVENTARIO'!$A$2:$Y$1148,18,FALSE)</f>
        <v>S/M</v>
      </c>
      <c r="J311" s="168" t="str">
        <f>VLOOKUP($A311,'030523 INVENTARIO'!$A$2:$Y$1148,19,FALSE)</f>
        <v>SIN SERIE</v>
      </c>
      <c r="K311" s="168" t="str">
        <f>VLOOKUP($A311,'030523 INVENTARIO'!$A$2:$Y$1148,20,FALSE)</f>
        <v>82DJ0511010028000524607</v>
      </c>
      <c r="L311" s="167" t="str">
        <f>VLOOKUP($A311,'030523 INVENTARIO'!$A$2:$Y$1148,23,FALSE)</f>
        <v>MARTHA MARIA VARGAS RODRIGUEZ</v>
      </c>
    </row>
    <row r="312" spans="1:12" ht="12.75" hidden="1">
      <c r="A312" s="167" t="str">
        <f>'030523 INVENTARIO'!A312</f>
        <v>0311</v>
      </c>
      <c r="B312" s="168" t="str">
        <f>'030523 INVENTARIO'!T312</f>
        <v>82DJ0519010048000533125</v>
      </c>
      <c r="C312" s="167" t="str">
        <f t="shared" si="0"/>
        <v>533125</v>
      </c>
      <c r="D312" s="167" t="str">
        <f>IF(VLOOKUP(C312,'Patrimonio 2023'!$C$2:$C$1128,1,FALSE) = C312, "Encontrado", "no")</f>
        <v>Encontrado</v>
      </c>
      <c r="E312" s="167" t="str">
        <f>VLOOKUP($A312,'030523 INVENTARIO'!$A$2:$Y$1148,5,FALSE)</f>
        <v>CHAROLA</v>
      </c>
      <c r="F312" s="167" t="str">
        <f>VLOOKUP($A312,'030523 INVENTARIO'!$A$2:$Y$1148,6,FALSE)</f>
        <v>CHAROLA DE METAL PARA ESTANTE 91X30</v>
      </c>
      <c r="G312" s="167" t="str">
        <f ca="1">VLOOKUP($A312,'030523 INVENTARIO'!$A$2:$Y$1148,8,FALSE)</f>
        <v>P02PP-0311</v>
      </c>
      <c r="H312" s="168" t="str">
        <f>VLOOKUP($A312,'030523 INVENTARIO'!$A$2:$Y$1148,17,FALSE)</f>
        <v>S/M</v>
      </c>
      <c r="I312" s="167" t="str">
        <f>VLOOKUP($A312,'030523 INVENTARIO'!$A$2:$Y$1148,18,FALSE)</f>
        <v>S/M</v>
      </c>
      <c r="J312" s="168" t="str">
        <f>VLOOKUP($A312,'030523 INVENTARIO'!$A$2:$Y$1148,19,FALSE)</f>
        <v>SIN SERIE</v>
      </c>
      <c r="K312" s="168" t="str">
        <f>VLOOKUP($A312,'030523 INVENTARIO'!$A$2:$Y$1148,20,FALSE)</f>
        <v>82DJ0519010048000533125</v>
      </c>
      <c r="L312" s="167" t="str">
        <f>VLOOKUP($A312,'030523 INVENTARIO'!$A$2:$Y$1148,23,FALSE)</f>
        <v>MARTHA MARIA VARGAS RODRIGUEZ</v>
      </c>
    </row>
    <row r="313" spans="1:12" ht="12.75" hidden="1">
      <c r="A313" s="167" t="str">
        <f>'030523 INVENTARIO'!A313</f>
        <v>0312</v>
      </c>
      <c r="B313" s="168" t="str">
        <f>'030523 INVENTARIO'!T313</f>
        <v>82DJ0511010017000649637</v>
      </c>
      <c r="C313" s="167" t="str">
        <f t="shared" si="0"/>
        <v>649637</v>
      </c>
      <c r="D313" s="167" t="str">
        <f>IF(VLOOKUP(C313,'Patrimonio 2023'!$C$2:$C$1128,1,FALSE) = C313, "Encontrado", "no")</f>
        <v>Encontrado</v>
      </c>
      <c r="E313" s="167" t="str">
        <f>VLOOKUP($A313,'030523 INVENTARIO'!$A$2:$Y$1148,5,FALSE)</f>
        <v>SILLA</v>
      </c>
      <c r="F313" s="167" t="str">
        <f>VLOOKUP($A313,'030523 INVENTARIO'!$A$2:$Y$1148,6,FALSE)</f>
        <v>SILLA CAFE DE PIEL FIJA</v>
      </c>
      <c r="G313" s="167" t="str">
        <f ca="1">VLOOKUP($A313,'030523 INVENTARIO'!$A$2:$Y$1148,8,FALSE)</f>
        <v>P02PP-0312</v>
      </c>
      <c r="H313" s="168" t="str">
        <f>VLOOKUP($A313,'030523 INVENTARIO'!$A$2:$Y$1148,17,FALSE)</f>
        <v>S/M</v>
      </c>
      <c r="I313" s="167" t="str">
        <f>VLOOKUP($A313,'030523 INVENTARIO'!$A$2:$Y$1148,18,FALSE)</f>
        <v>S/M</v>
      </c>
      <c r="J313" s="168" t="str">
        <f>VLOOKUP($A313,'030523 INVENTARIO'!$A$2:$Y$1148,19,FALSE)</f>
        <v>SIN SERIE</v>
      </c>
      <c r="K313" s="168" t="str">
        <f>VLOOKUP($A313,'030523 INVENTARIO'!$A$2:$Y$1148,20,FALSE)</f>
        <v>82DJ0511010017000649637</v>
      </c>
      <c r="L313" s="167" t="str">
        <f>VLOOKUP($A313,'030523 INVENTARIO'!$A$2:$Y$1148,23,FALSE)</f>
        <v>MARTHA MARIA VARGAS RODRIGUEZ</v>
      </c>
    </row>
    <row r="314" spans="1:12" ht="12.75" hidden="1">
      <c r="A314" s="167" t="str">
        <f>'030523 INVENTARIO'!A314</f>
        <v>0313</v>
      </c>
      <c r="B314" s="168" t="str">
        <f>'030523 INVENTARIO'!T314</f>
        <v>82DJ0511010001000649583</v>
      </c>
      <c r="C314" s="167" t="str">
        <f t="shared" si="0"/>
        <v>649583</v>
      </c>
      <c r="D314" s="167" t="str">
        <f>IF(VLOOKUP(C314,'Patrimonio 2023'!$C$2:$C$1128,1,FALSE) = C314, "Encontrado", "no")</f>
        <v>Encontrado</v>
      </c>
      <c r="E314" s="167" t="str">
        <f>VLOOKUP($A314,'030523 INVENTARIO'!$A$2:$Y$1148,5,FALSE)</f>
        <v>ARCHIVERO</v>
      </c>
      <c r="F314" s="167" t="str">
        <f>VLOOKUP($A314,'030523 INVENTARIO'!$A$2:$Y$1148,6,FALSE)</f>
        <v>ARCHIVERO METALICO DE 3 CAJONES</v>
      </c>
      <c r="G314" s="167" t="str">
        <f ca="1">VLOOKUP($A314,'030523 INVENTARIO'!$A$2:$Y$1148,8,FALSE)</f>
        <v>P02PP-0313</v>
      </c>
      <c r="H314" s="168" t="str">
        <f>VLOOKUP($A314,'030523 INVENTARIO'!$A$2:$Y$1148,17,FALSE)</f>
        <v>S/M</v>
      </c>
      <c r="I314" s="167" t="str">
        <f>VLOOKUP($A314,'030523 INVENTARIO'!$A$2:$Y$1148,18,FALSE)</f>
        <v>S/M</v>
      </c>
      <c r="J314" s="168" t="str">
        <f>VLOOKUP($A314,'030523 INVENTARIO'!$A$2:$Y$1148,19,FALSE)</f>
        <v>SIN SERIE</v>
      </c>
      <c r="K314" s="168" t="str">
        <f>VLOOKUP($A314,'030523 INVENTARIO'!$A$2:$Y$1148,20,FALSE)</f>
        <v>82DJ0511010001000649583</v>
      </c>
      <c r="L314" s="167" t="str">
        <f>VLOOKUP($A314,'030523 INVENTARIO'!$A$2:$Y$1148,23,FALSE)</f>
        <v>MARTHA MARIA VARGAS RODRIGUEZ</v>
      </c>
    </row>
    <row r="315" spans="1:12" ht="12.75" hidden="1">
      <c r="A315" s="167" t="str">
        <f>'030523 INVENTARIO'!A315</f>
        <v>0314</v>
      </c>
      <c r="B315" s="168" t="str">
        <f>'030523 INVENTARIO'!T315</f>
        <v>82DJ0511010010000649581</v>
      </c>
      <c r="C315" s="167" t="str">
        <f t="shared" si="0"/>
        <v>649581</v>
      </c>
      <c r="D315" s="167" t="str">
        <f>IF(VLOOKUP(C315,'Patrimonio 2023'!$C$2:$C$1128,1,FALSE) = C315, "Encontrado", "no")</f>
        <v>Encontrado</v>
      </c>
      <c r="E315" s="167" t="str">
        <f>VLOOKUP($A315,'030523 INVENTARIO'!$A$2:$Y$1148,5,FALSE)</f>
        <v>MESA</v>
      </c>
      <c r="F315" s="167" t="str">
        <f>VLOOKUP($A315,'030523 INVENTARIO'!$A$2:$Y$1148,6,FALSE)</f>
        <v>MESA DE MADERA BLANCA CON BASE DE METAL</v>
      </c>
      <c r="G315" s="167" t="str">
        <f ca="1">VLOOKUP($A315,'030523 INVENTARIO'!$A$2:$Y$1148,8,FALSE)</f>
        <v>P02PP-0314</v>
      </c>
      <c r="H315" s="168" t="str">
        <f>VLOOKUP($A315,'030523 INVENTARIO'!$A$2:$Y$1148,17,FALSE)</f>
        <v>S/M</v>
      </c>
      <c r="I315" s="167" t="str">
        <f>VLOOKUP($A315,'030523 INVENTARIO'!$A$2:$Y$1148,18,FALSE)</f>
        <v>S/M</v>
      </c>
      <c r="J315" s="168" t="str">
        <f>VLOOKUP($A315,'030523 INVENTARIO'!$A$2:$Y$1148,19,FALSE)</f>
        <v>SIN SERIE</v>
      </c>
      <c r="K315" s="168" t="str">
        <f>VLOOKUP($A315,'030523 INVENTARIO'!$A$2:$Y$1148,20,FALSE)</f>
        <v>82DJ0511010010000649581</v>
      </c>
      <c r="L315" s="167" t="str">
        <f>VLOOKUP($A315,'030523 INVENTARIO'!$A$2:$Y$1148,23,FALSE)</f>
        <v>MARTHA MARIA VARGAS RODRIGUEZ</v>
      </c>
    </row>
    <row r="316" spans="1:12" ht="12.75" hidden="1">
      <c r="A316" s="167" t="str">
        <f>'030523 INVENTARIO'!A316</f>
        <v>0315</v>
      </c>
      <c r="B316" s="168" t="str">
        <f>'030523 INVENTARIO'!T316</f>
        <v>82DJ0531010065000564830</v>
      </c>
      <c r="C316" s="167" t="str">
        <f t="shared" si="0"/>
        <v>564830</v>
      </c>
      <c r="D316" s="167" t="str">
        <f>IF(VLOOKUP(C316,'Patrimonio 2023'!$C$2:$C$1128,1,FALSE) = C316, "Encontrado", "no")</f>
        <v>Encontrado</v>
      </c>
      <c r="E316" s="167" t="str">
        <f>VLOOKUP($A316,'030523 INVENTARIO'!$A$2:$Y$1148,5,FALSE)</f>
        <v>MESA</v>
      </c>
      <c r="F316" s="167" t="str">
        <f>VLOOKUP($A316,'030523 INVENTARIO'!$A$2:$Y$1148,6,FALSE)</f>
        <v>MESA DE MADERA CON PORTA TECLADO</v>
      </c>
      <c r="G316" s="167" t="str">
        <f ca="1">VLOOKUP($A316,'030523 INVENTARIO'!$A$2:$Y$1148,8,FALSE)</f>
        <v>P02PP-0315</v>
      </c>
      <c r="H316" s="168" t="str">
        <f>VLOOKUP($A316,'030523 INVENTARIO'!$A$2:$Y$1148,17,FALSE)</f>
        <v>S/M</v>
      </c>
      <c r="I316" s="167" t="str">
        <f>VLOOKUP($A316,'030523 INVENTARIO'!$A$2:$Y$1148,18,FALSE)</f>
        <v>S/M</v>
      </c>
      <c r="J316" s="168" t="str">
        <f>VLOOKUP($A316,'030523 INVENTARIO'!$A$2:$Y$1148,19,FALSE)</f>
        <v>SIN SERIE</v>
      </c>
      <c r="K316" s="168" t="str">
        <f>VLOOKUP($A316,'030523 INVENTARIO'!$A$2:$Y$1148,20,FALSE)</f>
        <v>82DJ0531010065000564830</v>
      </c>
      <c r="L316" s="167" t="str">
        <f>VLOOKUP($A316,'030523 INVENTARIO'!$A$2:$Y$1148,23,FALSE)</f>
        <v>MARTHA MARIA VARGAS RODRIGUEZ</v>
      </c>
    </row>
    <row r="317" spans="1:12" ht="12.75" hidden="1">
      <c r="A317" s="167" t="str">
        <f>'030523 INVENTARIO'!A317</f>
        <v>0316</v>
      </c>
      <c r="B317" s="168" t="str">
        <f>'030523 INVENTARIO'!T317</f>
        <v>82DJ0511010016000539054</v>
      </c>
      <c r="C317" s="167" t="str">
        <f t="shared" si="0"/>
        <v>539054</v>
      </c>
      <c r="D317" s="167" t="str">
        <f>IF(VLOOKUP(C317,'Patrimonio 2023'!$C$2:$C$1128,1,FALSE) = C317, "Encontrado", "no")</f>
        <v>Encontrado</v>
      </c>
      <c r="E317" s="167" t="str">
        <f>VLOOKUP($A317,'030523 INVENTARIO'!$A$2:$Y$1148,5,FALSE)</f>
        <v>SILLON</v>
      </c>
      <c r="F317" s="167" t="str">
        <f>VLOOKUP($A317,'030523 INVENTARIO'!$A$2:$Y$1148,6,FALSE)</f>
        <v>SILLON DE PIEL NEGRO CON RUEDAS</v>
      </c>
      <c r="G317" s="167" t="str">
        <f ca="1">VLOOKUP($A317,'030523 INVENTARIO'!$A$2:$Y$1148,8,FALSE)</f>
        <v>P02PP-0316</v>
      </c>
      <c r="H317" s="168" t="str">
        <f>VLOOKUP($A317,'030523 INVENTARIO'!$A$2:$Y$1148,17,FALSE)</f>
        <v>S/M</v>
      </c>
      <c r="I317" s="167" t="str">
        <f>VLOOKUP($A317,'030523 INVENTARIO'!$A$2:$Y$1148,18,FALSE)</f>
        <v>S/M</v>
      </c>
      <c r="J317" s="168" t="str">
        <f>VLOOKUP($A317,'030523 INVENTARIO'!$A$2:$Y$1148,19,FALSE)</f>
        <v>SIN SERIE</v>
      </c>
      <c r="K317" s="168" t="str">
        <f>VLOOKUP($A317,'030523 INVENTARIO'!$A$2:$Y$1148,20,FALSE)</f>
        <v>82DJ0511010016000539054</v>
      </c>
      <c r="L317" s="167" t="str">
        <f>VLOOKUP($A317,'030523 INVENTARIO'!$A$2:$Y$1148,23,FALSE)</f>
        <v>MARTHA MARIA VARGAS RODRIGUEZ</v>
      </c>
    </row>
    <row r="318" spans="1:12" ht="12.75" hidden="1">
      <c r="A318" s="167" t="str">
        <f>'030523 INVENTARIO'!A318</f>
        <v>0317</v>
      </c>
      <c r="B318" s="167" t="str">
        <f>'030523 INVENTARIO'!T318</f>
        <v>82DJ0515010013000649582</v>
      </c>
      <c r="C318" s="167" t="str">
        <f t="shared" si="0"/>
        <v>649582</v>
      </c>
      <c r="D318" s="167" t="str">
        <f>IF(VLOOKUP(C318,'Patrimonio 2023'!$C$2:$C$1128,1,FALSE) = C318, "Encontrado", "no")</f>
        <v>Encontrado</v>
      </c>
      <c r="E318" s="167" t="str">
        <f>VLOOKUP($A318,'030523 INVENTARIO'!$A$2:$Y$1148,5,FALSE)</f>
        <v>MONITOR</v>
      </c>
      <c r="F318" s="167" t="str">
        <f>VLOOKUP($A318,'030523 INVENTARIO'!$A$2:$Y$1148,6,FALSE)</f>
        <v>MONITOR 18"</v>
      </c>
      <c r="G318" s="167" t="str">
        <f ca="1">VLOOKUP($A318,'030523 INVENTARIO'!$A$2:$Y$1148,8,FALSE)</f>
        <v>P02PP-0317</v>
      </c>
      <c r="H318" s="168" t="str">
        <f>VLOOKUP($A318,'030523 INVENTARIO'!$A$2:$Y$1148,17,FALSE)</f>
        <v>SAMSUNG</v>
      </c>
      <c r="I318" s="167" t="str">
        <f>VLOOKUP($A318,'030523 INVENTARIO'!$A$2:$Y$1148,18,FALSE)</f>
        <v>933SNPLUS</v>
      </c>
      <c r="J318" s="168" t="str">
        <f>VLOOKUP($A318,'030523 INVENTARIO'!$A$2:$Y$1148,19,FALSE)</f>
        <v>SM19H9F5631409M</v>
      </c>
      <c r="K318" s="167" t="str">
        <f>VLOOKUP($A318,'030523 INVENTARIO'!$A$2:$Y$1148,20,FALSE)</f>
        <v>82DJ0515010013000649582</v>
      </c>
      <c r="L318" s="167" t="str">
        <f>VLOOKUP($A318,'030523 INVENTARIO'!$A$2:$Y$1148,23,FALSE)</f>
        <v>MARTHA MARIA VARGAS RODRIGUEZ</v>
      </c>
    </row>
    <row r="319" spans="1:12" ht="12.75" hidden="1">
      <c r="A319" s="167" t="str">
        <f>'030523 INVENTARIO'!A319</f>
        <v>0318</v>
      </c>
      <c r="B319" s="168" t="str">
        <f>'030523 INVENTARIO'!T319</f>
        <v>82DJ0515010001000539036</v>
      </c>
      <c r="C319" s="167" t="str">
        <f t="shared" si="0"/>
        <v>539036</v>
      </c>
      <c r="D319" s="167" t="str">
        <f>IF(VLOOKUP(C319,'Patrimonio 2023'!$C$2:$C$1128,1,FALSE) = C319, "Encontrado", "no")</f>
        <v>Encontrado</v>
      </c>
      <c r="E319" s="167" t="str">
        <f>VLOOKUP($A319,'030523 INVENTARIO'!$A$2:$Y$1148,5,FALSE)</f>
        <v>COMPUTADORA DE ESCRITORIO</v>
      </c>
      <c r="F319" s="167" t="str">
        <f>VLOOKUP($A319,'030523 INVENTARIO'!$A$2:$Y$1148,6,FALSE)</f>
        <v>COMPUTADORA DE ESCRITORIO</v>
      </c>
      <c r="G319" s="167" t="str">
        <f ca="1">VLOOKUP($A319,'030523 INVENTARIO'!$A$2:$Y$1148,8,FALSE)</f>
        <v>P02PP-0318</v>
      </c>
      <c r="H319" s="168" t="str">
        <f>VLOOKUP($A319,'030523 INVENTARIO'!$A$2:$Y$1148,17,FALSE)</f>
        <v>HP</v>
      </c>
      <c r="I319" s="167" t="str">
        <f>VLOOKUP($A319,'030523 INVENTARIO'!$A$2:$Y$1148,18,FALSE)</f>
        <v>DC7800</v>
      </c>
      <c r="J319" s="168" t="str">
        <f>VLOOKUP($A319,'030523 INVENTARIO'!$A$2:$Y$1148,19,FALSE)</f>
        <v>MXJ8190361</v>
      </c>
      <c r="K319" s="168" t="str">
        <f>VLOOKUP($A319,'030523 INVENTARIO'!$A$2:$Y$1148,20,FALSE)</f>
        <v>82DJ0515010001000539036</v>
      </c>
      <c r="L319" s="167" t="str">
        <f>VLOOKUP($A319,'030523 INVENTARIO'!$A$2:$Y$1148,23,FALSE)</f>
        <v>MARTHA MARIA VARGAS RODRIGUEZ</v>
      </c>
    </row>
    <row r="320" spans="1:12" ht="12.75" hidden="1">
      <c r="A320" s="167" t="str">
        <f>'030523 INVENTARIO'!A320</f>
        <v>0319</v>
      </c>
      <c r="B320" s="167" t="str">
        <f>'030523 INVENTARIO'!T320</f>
        <v>82DJ0519010043000649640</v>
      </c>
      <c r="C320" s="167" t="str">
        <f t="shared" si="0"/>
        <v>649640</v>
      </c>
      <c r="D320" s="167" t="str">
        <f>IF(VLOOKUP(C320,'Patrimonio 2023'!$C$2:$C$1128,1,FALSE) = C320, "Encontrado", "no")</f>
        <v>Encontrado</v>
      </c>
      <c r="E320" s="167" t="str">
        <f>VLOOKUP($A320,'030523 INVENTARIO'!$A$2:$Y$1148,5,FALSE)</f>
        <v>VENTILADOR</v>
      </c>
      <c r="F320" s="167" t="str">
        <f>VLOOKUP($A320,'030523 INVENTARIO'!$A$2:$Y$1148,6,FALSE)</f>
        <v>VENTILADOR BLANCO DE PEDESTAL</v>
      </c>
      <c r="G320" s="167" t="str">
        <f ca="1">VLOOKUP($A320,'030523 INVENTARIO'!$A$2:$Y$1148,8,FALSE)</f>
        <v>P02PP-0319</v>
      </c>
      <c r="H320" s="168" t="str">
        <f>VLOOKUP($A320,'030523 INVENTARIO'!$A$2:$Y$1148,17,FALSE)</f>
        <v>MYTEK</v>
      </c>
      <c r="I320" s="167" t="str">
        <f>VLOOKUP($A320,'030523 INVENTARIO'!$A$2:$Y$1148,18,FALSE)</f>
        <v>MY0128</v>
      </c>
      <c r="J320" s="168" t="str">
        <f>VLOOKUP($A320,'030523 INVENTARIO'!$A$2:$Y$1148,19,FALSE)</f>
        <v>SIN SERIE</v>
      </c>
      <c r="K320" s="167" t="str">
        <f>VLOOKUP($A320,'030523 INVENTARIO'!$A$2:$Y$1148,20,FALSE)</f>
        <v>82DJ0519010043000649640</v>
      </c>
      <c r="L320" s="167" t="str">
        <f>VLOOKUP($A320,'030523 INVENTARIO'!$A$2:$Y$1148,23,FALSE)</f>
        <v>MARTHA MARIA VARGAS RODRIGUEZ</v>
      </c>
    </row>
    <row r="321" spans="1:12" ht="12.75" hidden="1">
      <c r="A321" s="167" t="str">
        <f>'030523 INVENTARIO'!A321</f>
        <v>0320</v>
      </c>
      <c r="B321" s="167" t="str">
        <f>'030523 INVENTARIO'!T321</f>
        <v>SIN RESGUARDO</v>
      </c>
      <c r="C321" s="167" t="str">
        <f t="shared" si="0"/>
        <v/>
      </c>
      <c r="D321" s="167" t="e">
        <f>IF(VLOOKUP(C321,'Patrimonio 2023'!$C$2:$C$1128,1,FALSE) = C321, "Encontrado", "no")</f>
        <v>#N/A</v>
      </c>
      <c r="E321" s="167" t="str">
        <f>VLOOKUP($A321,'030523 INVENTARIO'!$A$2:$Y$1148,5,FALSE)</f>
        <v>SILLA</v>
      </c>
      <c r="F321" s="167" t="str">
        <f>VLOOKUP($A321,'030523 INVENTARIO'!$A$2:$Y$1148,6,FALSE)</f>
        <v>SILLA DE MADERA CON BASE DE METAL ESCOLAR</v>
      </c>
      <c r="G321" s="167" t="str">
        <f ca="1">VLOOKUP($A321,'030523 INVENTARIO'!$A$2:$Y$1148,8,FALSE)</f>
        <v>P02PP-0320</v>
      </c>
      <c r="H321" s="168" t="str">
        <f>VLOOKUP($A321,'030523 INVENTARIO'!$A$2:$Y$1148,17,FALSE)</f>
        <v>S/M</v>
      </c>
      <c r="I321" s="167" t="str">
        <f>VLOOKUP($A321,'030523 INVENTARIO'!$A$2:$Y$1148,18,FALSE)</f>
        <v>S/M</v>
      </c>
      <c r="J321" s="167" t="str">
        <f>VLOOKUP($A321,'030523 INVENTARIO'!$A$2:$Y$1148,19,FALSE)</f>
        <v>SIN SERIE</v>
      </c>
      <c r="K321" s="167" t="str">
        <f>VLOOKUP($A321,'030523 INVENTARIO'!$A$2:$Y$1148,20,FALSE)</f>
        <v>SIN RESGUARDO</v>
      </c>
      <c r="L321" s="167" t="str">
        <f>VLOOKUP($A321,'030523 INVENTARIO'!$A$2:$Y$1148,23,FALSE)</f>
        <v>MARTHA MARIA VARGAS RODRIGUEZ</v>
      </c>
    </row>
    <row r="322" spans="1:12" ht="12.75" hidden="1">
      <c r="A322" s="167" t="str">
        <f>'030523 INVENTARIO'!A322</f>
        <v>0321</v>
      </c>
      <c r="B322" s="167" t="str">
        <f>'030523 INVENTARIO'!T322</f>
        <v>SIN RESGUARDO</v>
      </c>
      <c r="C322" s="167" t="str">
        <f t="shared" si="0"/>
        <v/>
      </c>
      <c r="D322" s="167" t="e">
        <f>IF(VLOOKUP(C322,'Patrimonio 2023'!$C$2:$C$1128,1,FALSE) = C322, "Encontrado", "no")</f>
        <v>#N/A</v>
      </c>
      <c r="E322" s="167" t="str">
        <f>VLOOKUP($A322,'030523 INVENTARIO'!$A$2:$Y$1148,5,FALSE)</f>
        <v>SILLA</v>
      </c>
      <c r="F322" s="167" t="str">
        <f>VLOOKUP($A322,'030523 INVENTARIO'!$A$2:$Y$1148,6,FALSE)</f>
        <v>SILLA DE TELA CAFE CON BASE DE METAL</v>
      </c>
      <c r="G322" s="167" t="str">
        <f ca="1">VLOOKUP($A322,'030523 INVENTARIO'!$A$2:$Y$1148,8,FALSE)</f>
        <v>P02PP-0321</v>
      </c>
      <c r="H322" s="168" t="str">
        <f>VLOOKUP($A322,'030523 INVENTARIO'!$A$2:$Y$1148,17,FALSE)</f>
        <v>S/M</v>
      </c>
      <c r="I322" s="167" t="str">
        <f>VLOOKUP($A322,'030523 INVENTARIO'!$A$2:$Y$1148,18,FALSE)</f>
        <v>S/M</v>
      </c>
      <c r="J322" s="167" t="str">
        <f>VLOOKUP($A322,'030523 INVENTARIO'!$A$2:$Y$1148,19,FALSE)</f>
        <v>SIN SERIE</v>
      </c>
      <c r="K322" s="167" t="str">
        <f>VLOOKUP($A322,'030523 INVENTARIO'!$A$2:$Y$1148,20,FALSE)</f>
        <v>SIN RESGUARDO</v>
      </c>
      <c r="L322" s="167" t="str">
        <f>VLOOKUP($A322,'030523 INVENTARIO'!$A$2:$Y$1148,23,FALSE)</f>
        <v>MARTHA MARIA VARGAS RODRIGUEZ</v>
      </c>
    </row>
    <row r="323" spans="1:12" ht="12.75" hidden="1">
      <c r="A323" s="167" t="str">
        <f>'030523 INVENTARIO'!A323</f>
        <v>0322</v>
      </c>
      <c r="B323" s="167" t="str">
        <f>'030523 INVENTARIO'!T323</f>
        <v>82DJ0515010020000650897</v>
      </c>
      <c r="C323" s="167" t="str">
        <f t="shared" si="0"/>
        <v>650897</v>
      </c>
      <c r="D323" s="167" t="str">
        <f>IF(VLOOKUP(C323,'Patrimonio 2023'!$C$2:$C$1128,1,FALSE) = C323, "Encontrado", "no")</f>
        <v>Encontrado</v>
      </c>
      <c r="E323" s="167" t="str">
        <f>VLOOKUP($A323,'030523 INVENTARIO'!$A$2:$Y$1148,5,FALSE)</f>
        <v>REGULADOR DE VOLTAJE</v>
      </c>
      <c r="F323" s="167" t="str">
        <f>VLOOKUP($A323,'030523 INVENTARIO'!$A$2:$Y$1148,6,FALSE)</f>
        <v>REGULADOR</v>
      </c>
      <c r="G323" s="167" t="str">
        <f ca="1">VLOOKUP($A323,'030523 INVENTARIO'!$A$2:$Y$1148,8,FALSE)</f>
        <v>P02PP-0322</v>
      </c>
      <c r="H323" s="168" t="str">
        <f>VLOOKUP($A323,'030523 INVENTARIO'!$A$2:$Y$1148,17,FALSE)</f>
        <v>KOBLENZ</v>
      </c>
      <c r="I323" s="167" t="str">
        <f>VLOOKUP($A323,'030523 INVENTARIO'!$A$2:$Y$1148,18,FALSE)</f>
        <v>RS1400I</v>
      </c>
      <c r="J323" s="168" t="str">
        <f>VLOOKUP($A323,'030523 INVENTARIO'!$A$2:$Y$1148,19,FALSE)</f>
        <v>161039225</v>
      </c>
      <c r="K323" s="167" t="str">
        <f>VLOOKUP($A323,'030523 INVENTARIO'!$A$2:$Y$1148,20,FALSE)</f>
        <v>82DJ0515010020000650897</v>
      </c>
      <c r="L323" s="167" t="str">
        <f>VLOOKUP($A323,'030523 INVENTARIO'!$A$2:$Y$1148,23,FALSE)</f>
        <v>MARTHA MARIA VARGAS RODRIGUEZ</v>
      </c>
    </row>
    <row r="324" spans="1:12" ht="12.75" hidden="1">
      <c r="A324" s="167" t="str">
        <f>'030523 INVENTARIO'!A324</f>
        <v>0323</v>
      </c>
      <c r="B324" s="167" t="str">
        <f>'030523 INVENTARIO'!T324</f>
        <v>SIN RESGUARDO</v>
      </c>
      <c r="C324" s="167" t="str">
        <f t="shared" si="0"/>
        <v/>
      </c>
      <c r="D324" s="167" t="e">
        <f>IF(VLOOKUP(C324,'Patrimonio 2023'!$C$2:$C$1128,1,FALSE) = C324, "Encontrado", "no")</f>
        <v>#N/A</v>
      </c>
      <c r="E324" s="167" t="str">
        <f>VLOOKUP($A324,'030523 INVENTARIO'!$A$2:$Y$1148,5,FALSE)</f>
        <v>ESTANTE O ANAQUEL</v>
      </c>
      <c r="F324" s="167" t="str">
        <f>VLOOKUP($A324,'030523 INVENTARIO'!$A$2:$Y$1148,6,FALSE)</f>
        <v>ESTANTE METALICO NEGRO CON 3 CHAROLAS 92X45</v>
      </c>
      <c r="G324" s="167" t="str">
        <f ca="1">VLOOKUP($A324,'030523 INVENTARIO'!$A$2:$Y$1148,8,FALSE)</f>
        <v>P02PP-0323</v>
      </c>
      <c r="H324" s="168" t="str">
        <f>VLOOKUP($A324,'030523 INVENTARIO'!$A$2:$Y$1148,17,FALSE)</f>
        <v>S/M</v>
      </c>
      <c r="I324" s="167" t="str">
        <f>VLOOKUP($A324,'030523 INVENTARIO'!$A$2:$Y$1148,18,FALSE)</f>
        <v>S/M</v>
      </c>
      <c r="J324" s="167" t="str">
        <f>VLOOKUP($A324,'030523 INVENTARIO'!$A$2:$Y$1148,19,FALSE)</f>
        <v>SIN SERIE</v>
      </c>
      <c r="K324" s="167" t="str">
        <f>VLOOKUP($A324,'030523 INVENTARIO'!$A$2:$Y$1148,20,FALSE)</f>
        <v>SIN RESGUARDO</v>
      </c>
      <c r="L324" s="167" t="str">
        <f>VLOOKUP($A324,'030523 INVENTARIO'!$A$2:$Y$1148,23,FALSE)</f>
        <v>JORGE LUIS MARTINEZ LOPEZ</v>
      </c>
    </row>
    <row r="325" spans="1:12" ht="12.75" hidden="1">
      <c r="A325" s="167" t="str">
        <f>'030523 INVENTARIO'!A325</f>
        <v>0324</v>
      </c>
      <c r="B325" s="167" t="str">
        <f>'030523 INVENTARIO'!T325</f>
        <v>SIN RESGUARDO</v>
      </c>
      <c r="C325" s="167" t="str">
        <f t="shared" si="0"/>
        <v/>
      </c>
      <c r="D325" s="167" t="e">
        <f>IF(VLOOKUP(C325,'Patrimonio 2023'!$C$2:$C$1128,1,FALSE) = C325, "Encontrado", "no")</f>
        <v>#N/A</v>
      </c>
      <c r="E325" s="167" t="str">
        <f>VLOOKUP($A325,'030523 INVENTARIO'!$A$2:$Y$1148,5,FALSE)</f>
        <v>ESTANTE O ANAQUEL</v>
      </c>
      <c r="F325" s="167" t="str">
        <f>VLOOKUP($A325,'030523 INVENTARIO'!$A$2:$Y$1148,6,FALSE)</f>
        <v>ESTANTE METALICO CON 6 CHAROLAS 88X30</v>
      </c>
      <c r="G325" s="167" t="str">
        <f ca="1">VLOOKUP($A325,'030523 INVENTARIO'!$A$2:$Y$1148,8,FALSE)</f>
        <v>P02PP-0324</v>
      </c>
      <c r="H325" s="168" t="str">
        <f>VLOOKUP($A325,'030523 INVENTARIO'!$A$2:$Y$1148,17,FALSE)</f>
        <v>S/M</v>
      </c>
      <c r="I325" s="167" t="str">
        <f>VLOOKUP($A325,'030523 INVENTARIO'!$A$2:$Y$1148,18,FALSE)</f>
        <v>S/M</v>
      </c>
      <c r="J325" s="167" t="str">
        <f>VLOOKUP($A325,'030523 INVENTARIO'!$A$2:$Y$1148,19,FALSE)</f>
        <v>SIN SERIE</v>
      </c>
      <c r="K325" s="167" t="str">
        <f>VLOOKUP($A325,'030523 INVENTARIO'!$A$2:$Y$1148,20,FALSE)</f>
        <v>SIN RESGUARDO</v>
      </c>
      <c r="L325" s="167" t="str">
        <f>VLOOKUP($A325,'030523 INVENTARIO'!$A$2:$Y$1148,23,FALSE)</f>
        <v>JORGE LUIS MARTINEZ LOPEZ</v>
      </c>
    </row>
    <row r="326" spans="1:12" ht="12.75" hidden="1">
      <c r="A326" s="167" t="str">
        <f>'030523 INVENTARIO'!A326</f>
        <v>0325</v>
      </c>
      <c r="B326" s="167" t="str">
        <f>'030523 INVENTARIO'!T326</f>
        <v>SIN RESGUARDO</v>
      </c>
      <c r="C326" s="167" t="str">
        <f t="shared" si="0"/>
        <v/>
      </c>
      <c r="D326" s="167" t="e">
        <f>IF(VLOOKUP(C326,'Patrimonio 2023'!$C$2:$C$1128,1,FALSE) = C326, "Encontrado", "no")</f>
        <v>#N/A</v>
      </c>
      <c r="E326" s="167" t="str">
        <f>VLOOKUP($A326,'030523 INVENTARIO'!$A$2:$Y$1148,5,FALSE)</f>
        <v>ESTANTE O ANAQUEL</v>
      </c>
      <c r="F326" s="167" t="str">
        <f>VLOOKUP($A326,'030523 INVENTARIO'!$A$2:$Y$1148,6,FALSE)</f>
        <v>ESTANTE METALICO CON 7 CHAROLAS 88X30</v>
      </c>
      <c r="G326" s="167" t="str">
        <f ca="1">VLOOKUP($A326,'030523 INVENTARIO'!$A$2:$Y$1148,8,FALSE)</f>
        <v>P02PP-0325</v>
      </c>
      <c r="H326" s="168" t="str">
        <f>VLOOKUP($A326,'030523 INVENTARIO'!$A$2:$Y$1148,17,FALSE)</f>
        <v>S/M</v>
      </c>
      <c r="I326" s="167" t="str">
        <f>VLOOKUP($A326,'030523 INVENTARIO'!$A$2:$Y$1148,18,FALSE)</f>
        <v>S/M</v>
      </c>
      <c r="J326" s="167" t="str">
        <f>VLOOKUP($A326,'030523 INVENTARIO'!$A$2:$Y$1148,19,FALSE)</f>
        <v>SIN SERIE</v>
      </c>
      <c r="K326" s="167" t="str">
        <f>VLOOKUP($A326,'030523 INVENTARIO'!$A$2:$Y$1148,20,FALSE)</f>
        <v>SIN RESGUARDO</v>
      </c>
      <c r="L326" s="167" t="str">
        <f>VLOOKUP($A326,'030523 INVENTARIO'!$A$2:$Y$1148,23,FALSE)</f>
        <v>MARTHA MARIA VARGAS RODRIGUEZ</v>
      </c>
    </row>
    <row r="327" spans="1:12" ht="12.75" hidden="1">
      <c r="A327" s="167" t="str">
        <f>'030523 INVENTARIO'!A327</f>
        <v>0326</v>
      </c>
      <c r="B327" s="168" t="str">
        <f>'030523 INVENTARIO'!T327</f>
        <v>82DH0511010009000564545</v>
      </c>
      <c r="C327" s="167" t="str">
        <f t="shared" si="0"/>
        <v>564545</v>
      </c>
      <c r="D327" s="167" t="str">
        <f>IF(VLOOKUP(C327,'Patrimonio 2023'!$C$2:$C$1128,1,FALSE) = C327, "Encontrado", "no")</f>
        <v>Encontrado</v>
      </c>
      <c r="E327" s="167" t="str">
        <f>VLOOKUP($A327,'030523 INVENTARIO'!$A$2:$Y$1148,5,FALSE)</f>
        <v>ESTANTE O ANAQUEL</v>
      </c>
      <c r="F327" s="167" t="str">
        <f>VLOOKUP($A327,'030523 INVENTARIO'!$A$2:$Y$1148,6,FALSE)</f>
        <v>ANAQUEL DE METAL DOS PUERTAS GRIS 183X92X46</v>
      </c>
      <c r="G327" s="167" t="str">
        <f ca="1">VLOOKUP($A327,'030523 INVENTARIO'!$A$2:$Y$1148,8,FALSE)</f>
        <v>P12SI-0326</v>
      </c>
      <c r="H327" s="168" t="str">
        <f>VLOOKUP($A327,'030523 INVENTARIO'!$A$2:$Y$1148,17,FALSE)</f>
        <v>S/M</v>
      </c>
      <c r="I327" s="167" t="str">
        <f>VLOOKUP($A327,'030523 INVENTARIO'!$A$2:$Y$1148,18,FALSE)</f>
        <v>S/M</v>
      </c>
      <c r="J327" s="168" t="str">
        <f>VLOOKUP($A327,'030523 INVENTARIO'!$A$2:$Y$1148,19,FALSE)</f>
        <v>SIN SERIE</v>
      </c>
      <c r="K327" s="168" t="str">
        <f>VLOOKUP($A327,'030523 INVENTARIO'!$A$2:$Y$1148,20,FALSE)</f>
        <v>82DH0511010009000564545</v>
      </c>
      <c r="L327" s="167" t="str">
        <f>VLOOKUP($A327,'030523 INVENTARIO'!$A$2:$Y$1148,23,FALSE)</f>
        <v>CHRISTIAN ZARCO MERCADO</v>
      </c>
    </row>
    <row r="328" spans="1:12" ht="12.75" hidden="1">
      <c r="A328" s="167" t="str">
        <f>'030523 INVENTARIO'!A328</f>
        <v>0327</v>
      </c>
      <c r="B328" s="168" t="str">
        <f>'030523 INVENTARIO'!T328</f>
        <v>82DH0511010006000651123</v>
      </c>
      <c r="C328" s="167" t="str">
        <f t="shared" si="0"/>
        <v>651123</v>
      </c>
      <c r="D328" s="167" t="str">
        <f>IF(VLOOKUP(C328,'Patrimonio 2023'!$C$2:$C$1128,1,FALSE) = C328, "Encontrado", "no")</f>
        <v>Encontrado</v>
      </c>
      <c r="E328" s="167" t="str">
        <f>VLOOKUP($A328,'030523 INVENTARIO'!$A$2:$Y$1148,5,FALSE)</f>
        <v>ESCRITORIO</v>
      </c>
      <c r="F328" s="168" t="str">
        <f>VLOOKUP($A328,'030523 INVENTARIO'!$A$2:$Y$1148,6,FALSE)</f>
        <v>ESCRITORIO CON 6 CAJONES</v>
      </c>
      <c r="G328" s="167" t="str">
        <f ca="1">VLOOKUP($A328,'030523 INVENTARIO'!$A$2:$Y$1148,8,FALSE)</f>
        <v>P12SI-0327</v>
      </c>
      <c r="H328" s="168" t="str">
        <f>VLOOKUP($A328,'030523 INVENTARIO'!$A$2:$Y$1148,17,FALSE)</f>
        <v>S/M</v>
      </c>
      <c r="I328" s="167" t="str">
        <f>VLOOKUP($A328,'030523 INVENTARIO'!$A$2:$Y$1148,18,FALSE)</f>
        <v>S/M</v>
      </c>
      <c r="J328" s="168" t="str">
        <f>VLOOKUP($A328,'030523 INVENTARIO'!$A$2:$Y$1148,19,FALSE)</f>
        <v>SIN SERIE</v>
      </c>
      <c r="K328" s="168" t="str">
        <f>VLOOKUP($A328,'030523 INVENTARIO'!$A$2:$Y$1148,20,FALSE)</f>
        <v>82DH0511010006000651123</v>
      </c>
      <c r="L328" s="167" t="str">
        <f>VLOOKUP($A328,'030523 INVENTARIO'!$A$2:$Y$1148,23,FALSE)</f>
        <v>CHRISTIAN ZARCO MERCADO</v>
      </c>
    </row>
    <row r="329" spans="1:12" ht="12.75" hidden="1">
      <c r="A329" s="167" t="str">
        <f>'030523 INVENTARIO'!A329</f>
        <v>0328</v>
      </c>
      <c r="B329" s="168" t="str">
        <f>'030523 INVENTARIO'!T329</f>
        <v>82DH0515010022000651128</v>
      </c>
      <c r="C329" s="167" t="str">
        <f t="shared" si="0"/>
        <v>651128</v>
      </c>
      <c r="D329" s="167" t="str">
        <f>IF(VLOOKUP(C329,'Patrimonio 2023'!$C$2:$C$1128,1,FALSE) = C329, "Encontrado", "no")</f>
        <v>Encontrado</v>
      </c>
      <c r="E329" s="167" t="str">
        <f>VLOOKUP($A329,'030523 INVENTARIO'!$A$2:$Y$1148,5,FALSE)</f>
        <v>RUTEADORES DE RED</v>
      </c>
      <c r="F329" s="168" t="str">
        <f>VLOOKUP($A329,'030523 INVENTARIO'!$A$2:$Y$1148,6,FALSE)</f>
        <v>ROUTER</v>
      </c>
      <c r="G329" s="167" t="str">
        <f ca="1">VLOOKUP($A329,'030523 INVENTARIO'!$A$2:$Y$1148,8,FALSE)</f>
        <v>P05RM-0328</v>
      </c>
      <c r="H329" s="168" t="str">
        <f>VLOOKUP($A329,'030523 INVENTARIO'!$A$2:$Y$1148,17,FALSE)</f>
        <v>DLINK</v>
      </c>
      <c r="I329" s="167" t="str">
        <f>VLOOKUP($A329,'030523 INVENTARIO'!$A$2:$Y$1148,18,FALSE)</f>
        <v>DAP-1360</v>
      </c>
      <c r="J329" s="168" t="str">
        <f>VLOOKUP($A329,'030523 INVENTARIO'!$A$2:$Y$1148,19,FALSE)</f>
        <v>QX8U1G9001143</v>
      </c>
      <c r="K329" s="168" t="str">
        <f>VLOOKUP($A329,'030523 INVENTARIO'!$A$2:$Y$1148,20,FALSE)</f>
        <v>82DH0515010022000651128</v>
      </c>
      <c r="L329" s="167" t="str">
        <f>VLOOKUP($A329,'030523 INVENTARIO'!$A$2:$Y$1148,23,FALSE)</f>
        <v>BLANCA ELIZABETH ALCANTAR GUERRERO</v>
      </c>
    </row>
    <row r="330" spans="1:12" ht="12.75" hidden="1">
      <c r="A330" s="167" t="str">
        <f>'030523 INVENTARIO'!A330</f>
        <v>0329</v>
      </c>
      <c r="B330" s="168" t="str">
        <f>'030523 INVENTARIO'!T330</f>
        <v>82DH0515010056000651127</v>
      </c>
      <c r="C330" s="167" t="str">
        <f t="shared" si="0"/>
        <v>651127</v>
      </c>
      <c r="D330" s="167" t="str">
        <f>IF(VLOOKUP(C330,'Patrimonio 2023'!$C$2:$C$1128,1,FALSE) = C330, "Encontrado", "no")</f>
        <v>Encontrado</v>
      </c>
      <c r="E330" s="167" t="str">
        <f>VLOOKUP($A330,'030523 INVENTARIO'!$A$2:$Y$1148,5,FALSE)</f>
        <v>ADAPTADOR</v>
      </c>
      <c r="F330" s="168" t="str">
        <f>VLOOKUP($A330,'030523 INVENTARIO'!$A$2:$Y$1148,6,FALSE)</f>
        <v>ADAPTADOR LECTOR DE CD EXTERNO</v>
      </c>
      <c r="G330" s="167" t="str">
        <f ca="1">VLOOKUP($A330,'030523 INVENTARIO'!$A$2:$Y$1148,8,FALSE)</f>
        <v>P12SI-0329</v>
      </c>
      <c r="H330" s="168" t="str">
        <f>VLOOKUP($A330,'030523 INVENTARIO'!$A$2:$Y$1148,17,FALSE)</f>
        <v>LG</v>
      </c>
      <c r="I330" s="167" t="str">
        <f>VLOOKUP($A330,'030523 INVENTARIO'!$A$2:$Y$1148,18,FALSE)</f>
        <v>GSA-E6L</v>
      </c>
      <c r="J330" s="168" t="str">
        <f>VLOOKUP($A330,'030523 INVENTARIO'!$A$2:$Y$1148,19,FALSE)</f>
        <v>709HKGG107431</v>
      </c>
      <c r="K330" s="168" t="str">
        <f>VLOOKUP($A330,'030523 INVENTARIO'!$A$2:$Y$1148,20,FALSE)</f>
        <v>82DH0515010056000651127</v>
      </c>
      <c r="L330" s="167" t="str">
        <f>VLOOKUP($A330,'030523 INVENTARIO'!$A$2:$Y$1148,23,FALSE)</f>
        <v>CHRISTIAN ZARCO MERCADO</v>
      </c>
    </row>
    <row r="331" spans="1:12" ht="12.75" hidden="1">
      <c r="A331" s="167" t="str">
        <f>'030523 INVENTARIO'!A331</f>
        <v>0330</v>
      </c>
      <c r="B331" s="168" t="str">
        <f>'030523 INVENTARIO'!T331</f>
        <v>82DH0511010010000649660</v>
      </c>
      <c r="C331" s="167" t="str">
        <f t="shared" si="0"/>
        <v>649660</v>
      </c>
      <c r="D331" s="167" t="str">
        <f>IF(VLOOKUP(C331,'Patrimonio 2023'!$C$2:$C$1128,1,FALSE) = C331, "Encontrado", "no")</f>
        <v>Encontrado</v>
      </c>
      <c r="E331" s="167" t="str">
        <f>VLOOKUP($A331,'030523 INVENTARIO'!$A$2:$Y$1148,5,FALSE)</f>
        <v>MESA</v>
      </c>
      <c r="F331" s="167" t="str">
        <f>VLOOKUP($A331,'030523 INVENTARIO'!$A$2:$Y$1148,6,FALSE)</f>
        <v>MESA DE MADERA CAOBA CON BASE DE METAL 120X60</v>
      </c>
      <c r="G331" s="167" t="str">
        <f ca="1">VLOOKUP($A331,'030523 INVENTARIO'!$A$2:$Y$1148,8,FALSE)</f>
        <v>P13LP-0330</v>
      </c>
      <c r="H331" s="168" t="str">
        <f>VLOOKUP($A331,'030523 INVENTARIO'!$A$2:$Y$1148,17,FALSE)</f>
        <v>S/M</v>
      </c>
      <c r="I331" s="167" t="str">
        <f>VLOOKUP($A331,'030523 INVENTARIO'!$A$2:$Y$1148,18,FALSE)</f>
        <v>S/M</v>
      </c>
      <c r="J331" s="168" t="str">
        <f>VLOOKUP($A331,'030523 INVENTARIO'!$A$2:$Y$1148,19,FALSE)</f>
        <v>SIN SERIE</v>
      </c>
      <c r="K331" s="168" t="str">
        <f>VLOOKUP($A331,'030523 INVENTARIO'!$A$2:$Y$1148,20,FALSE)</f>
        <v>82DH0511010010000649660</v>
      </c>
      <c r="L331" s="167" t="str">
        <f>VLOOKUP($A331,'030523 INVENTARIO'!$A$2:$Y$1148,23,FALSE)</f>
        <v>HECTOR JOSUE MARTINEZ DE LA CRUZ</v>
      </c>
    </row>
    <row r="332" spans="1:12" ht="12.75" hidden="1">
      <c r="A332" s="167" t="str">
        <f>'030523 INVENTARIO'!A332</f>
        <v>0331</v>
      </c>
      <c r="B332" s="168" t="str">
        <f>'030523 INVENTARIO'!T332</f>
        <v>82DH0531010065000564775</v>
      </c>
      <c r="C332" s="167" t="str">
        <f t="shared" si="0"/>
        <v>564775</v>
      </c>
      <c r="D332" s="167" t="str">
        <f>IF(VLOOKUP(C332,'Patrimonio 2023'!$C$2:$C$1128,1,FALSE) = C332, "Encontrado", "no")</f>
        <v>Encontrado</v>
      </c>
      <c r="E332" s="167" t="str">
        <f>VLOOKUP($A332,'030523 INVENTARIO'!$A$2:$Y$1148,5,FALSE)</f>
        <v>MESA</v>
      </c>
      <c r="F332" s="167" t="str">
        <f>VLOOKUP($A332,'030523 INVENTARIO'!$A$2:$Y$1148,6,FALSE)</f>
        <v>MESA DE MADERA CAOBA CON BASE DE METAL 80X60</v>
      </c>
      <c r="G332" s="167" t="str">
        <f ca="1">VLOOKUP($A332,'030523 INVENTARIO'!$A$2:$Y$1148,8,FALSE)</f>
        <v>P12SI-0331</v>
      </c>
      <c r="H332" s="168" t="str">
        <f>VLOOKUP($A332,'030523 INVENTARIO'!$A$2:$Y$1148,17,FALSE)</f>
        <v>S/M</v>
      </c>
      <c r="I332" s="167" t="str">
        <f>VLOOKUP($A332,'030523 INVENTARIO'!$A$2:$Y$1148,18,FALSE)</f>
        <v>S/M</v>
      </c>
      <c r="J332" s="168" t="str">
        <f>VLOOKUP($A332,'030523 INVENTARIO'!$A$2:$Y$1148,19,FALSE)</f>
        <v>SIN SERIE</v>
      </c>
      <c r="K332" s="168" t="str">
        <f>VLOOKUP($A332,'030523 INVENTARIO'!$A$2:$Y$1148,20,FALSE)</f>
        <v>82DH0531010065000564775</v>
      </c>
      <c r="L332" s="167" t="str">
        <f>VLOOKUP($A332,'030523 INVENTARIO'!$A$2:$Y$1148,23,FALSE)</f>
        <v>MAXIMILIANO ECHEVARRIA CLEMENTE</v>
      </c>
    </row>
    <row r="333" spans="1:12" ht="12.75" hidden="1">
      <c r="A333" s="167" t="str">
        <f>'030523 INVENTARIO'!A333</f>
        <v>0332</v>
      </c>
      <c r="B333" s="167" t="str">
        <f>'030523 INVENTARIO'!T333</f>
        <v>SIN RESGUARDO</v>
      </c>
      <c r="C333" s="167" t="str">
        <f t="shared" si="0"/>
        <v/>
      </c>
      <c r="D333" s="167" t="e">
        <f>IF(VLOOKUP(C333,'Patrimonio 2023'!$C$2:$C$1128,1,FALSE) = C333, "Encontrado", "no")</f>
        <v>#N/A</v>
      </c>
      <c r="E333" s="167" t="str">
        <f>VLOOKUP($A333,'030523 INVENTARIO'!$A$2:$Y$1148,5,FALSE)</f>
        <v>NO BREAK</v>
      </c>
      <c r="F333" s="167" t="str">
        <f>VLOOKUP($A333,'030523 INVENTARIO'!$A$2:$Y$1148,6,FALSE)</f>
        <v>NO BREAK NEGRO</v>
      </c>
      <c r="G333" s="167" t="str">
        <f ca="1">VLOOKUP($A333,'030523 INVENTARIO'!$A$2:$Y$1148,8,FALSE)</f>
        <v>P12SI-0332</v>
      </c>
      <c r="H333" s="168" t="str">
        <f>VLOOKUP($A333,'030523 INVENTARIO'!$A$2:$Y$1148,17,FALSE)</f>
        <v>APC</v>
      </c>
      <c r="I333" s="167" t="str">
        <f>VLOOKUP($A333,'030523 INVENTARIO'!$A$2:$Y$1148,18,FALSE)</f>
        <v>BE350G-LM</v>
      </c>
      <c r="J333" s="167" t="str">
        <f>VLOOKUP($A333,'030523 INVENTARIO'!$A$2:$Y$1148,19,FALSE)</f>
        <v>4B1439P11223</v>
      </c>
      <c r="K333" s="167" t="str">
        <f>VLOOKUP($A333,'030523 INVENTARIO'!$A$2:$Y$1148,20,FALSE)</f>
        <v>SIN RESGUARDO</v>
      </c>
      <c r="L333" s="167" t="str">
        <f>VLOOKUP($A333,'030523 INVENTARIO'!$A$2:$Y$1148,23,FALSE)</f>
        <v>CHRISTIAN ZARCO MERCADO</v>
      </c>
    </row>
    <row r="334" spans="1:12" ht="12.75" hidden="1">
      <c r="A334" s="167" t="str">
        <f>'030523 INVENTARIO'!A334</f>
        <v>0333</v>
      </c>
      <c r="B334" s="168" t="str">
        <f>'030523 INVENTARIO'!T334</f>
        <v>82DH0515010016000651121</v>
      </c>
      <c r="C334" s="167" t="str">
        <f t="shared" si="0"/>
        <v>651121</v>
      </c>
      <c r="D334" s="167" t="str">
        <f>IF(VLOOKUP(C334,'Patrimonio 2023'!$C$2:$C$1128,1,FALSE) = C334, "Encontrado", "no")</f>
        <v>Encontrado</v>
      </c>
      <c r="E334" s="167" t="str">
        <f>VLOOKUP($A334,'030523 INVENTARIO'!$A$2:$Y$1148,5,FALSE)</f>
        <v>NO BREAK</v>
      </c>
      <c r="F334" s="168" t="str">
        <f>VLOOKUP($A334,'030523 INVENTARIO'!$A$2:$Y$1148,6,FALSE)</f>
        <v>NO BREAK</v>
      </c>
      <c r="G334" s="167" t="str">
        <f ca="1">VLOOKUP($A334,'030523 INVENTARIO'!$A$2:$Y$1148,8,FALSE)</f>
        <v>P12SI-0333</v>
      </c>
      <c r="H334" s="168" t="str">
        <f>VLOOKUP($A334,'030523 INVENTARIO'!$A$2:$Y$1148,17,FALSE)</f>
        <v>CDP</v>
      </c>
      <c r="I334" s="167" t="str">
        <f>VLOOKUP($A334,'030523 INVENTARIO'!$A$2:$Y$1148,18,FALSE)</f>
        <v>B-UPR754</v>
      </c>
      <c r="J334" s="168" t="str">
        <f>VLOOKUP($A334,'030523 INVENTARIO'!$A$2:$Y$1148,19,FALSE)</f>
        <v>1401130660749</v>
      </c>
      <c r="K334" s="168" t="str">
        <f>VLOOKUP($A334,'030523 INVENTARIO'!$A$2:$Y$1148,20,FALSE)</f>
        <v>82DH0515010016000651121</v>
      </c>
      <c r="L334" s="167" t="str">
        <f>VLOOKUP($A334,'030523 INVENTARIO'!$A$2:$Y$1148,23,FALSE)</f>
        <v>CHRISTIAN ZARCO MERCADO</v>
      </c>
    </row>
    <row r="335" spans="1:12" ht="12.75" hidden="1">
      <c r="A335" s="167" t="str">
        <f>'030523 INVENTARIO'!A335</f>
        <v>0334</v>
      </c>
      <c r="B335" s="168" t="str">
        <f>'030523 INVENTARIO'!T335</f>
        <v>82DH0515010026000566178</v>
      </c>
      <c r="C335" s="167" t="str">
        <f t="shared" si="0"/>
        <v>566178</v>
      </c>
      <c r="D335" s="167" t="str">
        <f>IF(VLOOKUP(C335,'Patrimonio 2023'!$C$2:$C$1128,1,FALSE) = C335, "Encontrado", "no")</f>
        <v>Encontrado</v>
      </c>
      <c r="E335" s="167" t="str">
        <f>VLOOKUP($A335,'030523 INVENTARIO'!$A$2:$Y$1148,5,FALSE)</f>
        <v>SWITCH (CONCENTRADOR DE PUERTOS)</v>
      </c>
      <c r="F335" s="168" t="str">
        <f>VLOOKUP($A335,'030523 INVENTARIO'!$A$2:$Y$1148,6,FALSE)</f>
        <v>SWITCH</v>
      </c>
      <c r="G335" s="167" t="str">
        <f ca="1">VLOOKUP($A335,'030523 INVENTARIO'!$A$2:$Y$1148,8,FALSE)</f>
        <v>P12SI-0334</v>
      </c>
      <c r="H335" s="168" t="str">
        <f>VLOOKUP($A335,'030523 INVENTARIO'!$A$2:$Y$1148,17,FALSE)</f>
        <v>3COM</v>
      </c>
      <c r="I335" s="167" t="str">
        <f>VLOOKUP($A335,'030523 INVENTARIO'!$A$2:$Y$1148,18,FALSE)</f>
        <v>3C16791A</v>
      </c>
      <c r="J335" s="168" t="str">
        <f>VLOOKUP($A335,'030523 INVENTARIO'!$A$2:$Y$1148,19,FALSE)</f>
        <v>LJ9G5I0042444</v>
      </c>
      <c r="K335" s="168" t="str">
        <f>VLOOKUP($A335,'030523 INVENTARIO'!$A$2:$Y$1148,20,FALSE)</f>
        <v>82DH0515010026000566178</v>
      </c>
      <c r="L335" s="167" t="str">
        <f>VLOOKUP($A335,'030523 INVENTARIO'!$A$2:$Y$1148,23,FALSE)</f>
        <v>CHRISTIAN ZARCO MERCADO</v>
      </c>
    </row>
    <row r="336" spans="1:12" ht="12.75" hidden="1">
      <c r="A336" s="167" t="str">
        <f>'030523 INVENTARIO'!A336</f>
        <v>0335</v>
      </c>
      <c r="B336" s="168" t="str">
        <f>'030523 INVENTARIO'!T336</f>
        <v>82DH0529030003000651130</v>
      </c>
      <c r="C336" s="167" t="str">
        <f t="shared" si="0"/>
        <v>651130</v>
      </c>
      <c r="D336" s="167" t="str">
        <f>IF(VLOOKUP(C336,'Patrimonio 2023'!$C$2:$C$1128,1,FALSE) = C336, "Encontrado", "no")</f>
        <v>Encontrado</v>
      </c>
      <c r="E336" s="167" t="str">
        <f>VLOOKUP($A336,'030523 INVENTARIO'!$A$2:$Y$1148,5,FALSE)</f>
        <v>PIZARRON</v>
      </c>
      <c r="F336" s="167" t="str">
        <f>VLOOKUP($A336,'030523 INVENTARIO'!$A$2:$Y$1148,6,FALSE)</f>
        <v>PIZARRON BLANCO 120X90</v>
      </c>
      <c r="G336" s="167" t="str">
        <f ca="1">VLOOKUP($A336,'030523 INVENTARIO'!$A$2:$Y$1148,8,FALSE)</f>
        <v>P12SI-0335</v>
      </c>
      <c r="H336" s="168" t="str">
        <f>VLOOKUP($A336,'030523 INVENTARIO'!$A$2:$Y$1148,17,FALSE)</f>
        <v>S/M</v>
      </c>
      <c r="I336" s="167" t="str">
        <f>VLOOKUP($A336,'030523 INVENTARIO'!$A$2:$Y$1148,18,FALSE)</f>
        <v>S/M</v>
      </c>
      <c r="J336" s="168" t="str">
        <f>VLOOKUP($A336,'030523 INVENTARIO'!$A$2:$Y$1148,19,FALSE)</f>
        <v>SIN SERIE</v>
      </c>
      <c r="K336" s="168" t="str">
        <f>VLOOKUP($A336,'030523 INVENTARIO'!$A$2:$Y$1148,20,FALSE)</f>
        <v>82DH0529030003000651130</v>
      </c>
      <c r="L336" s="167" t="str">
        <f>VLOOKUP($A336,'030523 INVENTARIO'!$A$2:$Y$1148,23,FALSE)</f>
        <v>CHRISTIAN ZARCO MERCADO</v>
      </c>
    </row>
    <row r="337" spans="1:12" ht="12.75">
      <c r="A337" s="167" t="str">
        <f>'030523 INVENTARIO'!A337</f>
        <v>0336</v>
      </c>
      <c r="B337" s="168" t="str">
        <f>'030523 INVENTARIO'!T337</f>
        <v>82DJ0515010001000535535</v>
      </c>
      <c r="C337" s="167" t="str">
        <f t="shared" si="0"/>
        <v>535535</v>
      </c>
      <c r="D337" s="167" t="e">
        <f>IF(VLOOKUP(C337,'Patrimonio 2023'!$C$2:$C$1128,1,FALSE) = C337, "Encontrado", "no")</f>
        <v>#N/A</v>
      </c>
      <c r="E337" s="167" t="str">
        <f>VLOOKUP($A337,'030523 INVENTARIO'!$A$2:$Y$1148,5,FALSE)</f>
        <v>COMPUTADORA DE ESCRITORIO</v>
      </c>
      <c r="F337" s="167" t="str">
        <f>VLOOKUP($A337,'030523 INVENTARIO'!$A$2:$Y$1148,6,FALSE)</f>
        <v>COMPUTADORA DE ESCRITORIO</v>
      </c>
      <c r="G337" s="167" t="str">
        <f ca="1">VLOOKUP($A337,'030523 INVENTARIO'!$A$2:$Y$1148,8,FALSE)</f>
        <v>P12SI-0336</v>
      </c>
      <c r="H337" s="168" t="str">
        <f>VLOOKUP($A337,'030523 INVENTARIO'!$A$2:$Y$1148,17,FALSE)</f>
        <v>HP</v>
      </c>
      <c r="I337" s="167" t="str">
        <f>VLOOKUP($A337,'030523 INVENTARIO'!$A$2:$Y$1148,18,FALSE)</f>
        <v>DX2300</v>
      </c>
      <c r="J337" s="168" t="str">
        <f>VLOOKUP($A337,'030523 INVENTARIO'!$A$2:$Y$1148,19,FALSE)</f>
        <v>SMXL81103XZ</v>
      </c>
      <c r="K337" s="168" t="str">
        <f>VLOOKUP($A337,'030523 INVENTARIO'!$A$2:$Y$1148,20,FALSE)</f>
        <v>82DJ0515010001000535535</v>
      </c>
      <c r="L337" s="167" t="str">
        <f>VLOOKUP($A337,'030523 INVENTARIO'!$A$2:$Y$1148,23,FALSE)</f>
        <v>CHRISTIAN ZARCO MERCADO</v>
      </c>
    </row>
    <row r="338" spans="1:12" ht="12.75" hidden="1">
      <c r="A338" s="167" t="str">
        <f>'030523 INVENTARIO'!A338</f>
        <v>0337</v>
      </c>
      <c r="B338" s="168" t="str">
        <f>'030523 INVENTARIO'!T338</f>
        <v>82DH0515010013000649650</v>
      </c>
      <c r="C338" s="167" t="str">
        <f t="shared" si="0"/>
        <v>649650</v>
      </c>
      <c r="D338" s="167" t="str">
        <f>IF(VLOOKUP(C338,'Patrimonio 2023'!$C$2:$C$1128,1,FALSE) = C338, "Encontrado", "no")</f>
        <v>Encontrado</v>
      </c>
      <c r="E338" s="167" t="str">
        <f>VLOOKUP($A338,'030523 INVENTARIO'!$A$2:$Y$1148,5,FALSE)</f>
        <v>MONITOR</v>
      </c>
      <c r="F338" s="167" t="str">
        <f>VLOOKUP($A338,'030523 INVENTARIO'!$A$2:$Y$1148,6,FALSE)</f>
        <v>MONITOR 18.5"</v>
      </c>
      <c r="G338" s="167" t="str">
        <f ca="1">VLOOKUP($A338,'030523 INVENTARIO'!$A$2:$Y$1148,8,FALSE)</f>
        <v>P13IR-0337</v>
      </c>
      <c r="H338" s="168" t="str">
        <f>VLOOKUP($A338,'030523 INVENTARIO'!$A$2:$Y$1148,17,FALSE)</f>
        <v>ACER</v>
      </c>
      <c r="I338" s="167" t="str">
        <f>VLOOKUP($A338,'030523 INVENTARIO'!$A$2:$Y$1148,18,FALSE)</f>
        <v>G185HV</v>
      </c>
      <c r="J338" s="168" t="str">
        <f>VLOOKUP($A338,'030523 INVENTARIO'!$A$2:$Y$1148,19,FALSE)</f>
        <v>MMLNTAN001243048C34208</v>
      </c>
      <c r="K338" s="168" t="str">
        <f>VLOOKUP($A338,'030523 INVENTARIO'!$A$2:$Y$1148,20,FALSE)</f>
        <v>82DH0515010013000649650</v>
      </c>
      <c r="L338" s="167" t="str">
        <f>VLOOKUP($A338,'030523 INVENTARIO'!$A$2:$Y$1148,23,FALSE)</f>
        <v>RAMON GARCIA ARREOLA</v>
      </c>
    </row>
    <row r="339" spans="1:12" ht="12.75" hidden="1">
      <c r="A339" s="167" t="str">
        <f>'030523 INVENTARIO'!A339</f>
        <v>0338</v>
      </c>
      <c r="B339" s="168" t="str">
        <f>'030523 INVENTARIO'!T339</f>
        <v>82DH0511010010000649682</v>
      </c>
      <c r="C339" s="167" t="str">
        <f t="shared" si="0"/>
        <v>649682</v>
      </c>
      <c r="D339" s="167" t="str">
        <f>IF(VLOOKUP(C339,'Patrimonio 2023'!$C$2:$C$1128,1,FALSE) = C339, "Encontrado", "no")</f>
        <v>Encontrado</v>
      </c>
      <c r="E339" s="167" t="str">
        <f>VLOOKUP($A339,'030523 INVENTARIO'!$A$2:$Y$1148,5,FALSE)</f>
        <v>MESA</v>
      </c>
      <c r="F339" s="167" t="str">
        <f>VLOOKUP($A339,'030523 INVENTARIO'!$A$2:$Y$1148,6,FALSE)</f>
        <v>MESA DE MADERA BASE DE METAL 100X40</v>
      </c>
      <c r="G339" s="167" t="str">
        <f ca="1">VLOOKUP($A339,'030523 INVENTARIO'!$A$2:$Y$1148,8,FALSE)</f>
        <v>P12SI-0338</v>
      </c>
      <c r="H339" s="168" t="str">
        <f>VLOOKUP($A339,'030523 INVENTARIO'!$A$2:$Y$1148,17,FALSE)</f>
        <v>S/M</v>
      </c>
      <c r="I339" s="167" t="str">
        <f>VLOOKUP($A339,'030523 INVENTARIO'!$A$2:$Y$1148,18,FALSE)</f>
        <v>S/M</v>
      </c>
      <c r="J339" s="168" t="str">
        <f>VLOOKUP($A339,'030523 INVENTARIO'!$A$2:$Y$1148,19,FALSE)</f>
        <v>SIN SERIE</v>
      </c>
      <c r="K339" s="168" t="str">
        <f>VLOOKUP($A339,'030523 INVENTARIO'!$A$2:$Y$1148,20,FALSE)</f>
        <v>82DH0511010010000649682</v>
      </c>
      <c r="L339" s="167" t="str">
        <f>VLOOKUP($A339,'030523 INVENTARIO'!$A$2:$Y$1148,23,FALSE)</f>
        <v>CHRISTIAN ZARCO MERCADO</v>
      </c>
    </row>
    <row r="340" spans="1:12" ht="12.75" hidden="1">
      <c r="A340" s="167" t="str">
        <f>'030523 INVENTARIO'!A340</f>
        <v>0339</v>
      </c>
      <c r="B340" s="168" t="str">
        <f>'030523 INVENTARIO'!T340</f>
        <v>82DH0565010041000539122</v>
      </c>
      <c r="C340" s="167" t="str">
        <f t="shared" si="0"/>
        <v>539122</v>
      </c>
      <c r="D340" s="167" t="str">
        <f>IF(VLOOKUP(C340,'Patrimonio 2023'!$C$2:$C$1128,1,FALSE) = C340, "Encontrado", "no")</f>
        <v>Encontrado</v>
      </c>
      <c r="E340" s="167" t="str">
        <f>VLOOKUP($A340,'030523 INVENTARIO'!$A$2:$Y$1148,5,FALSE)</f>
        <v>MONITOR</v>
      </c>
      <c r="F340" s="167" t="str">
        <f>VLOOKUP($A340,'030523 INVENTARIO'!$A$2:$Y$1148,6,FALSE)</f>
        <v>MONITOR 15.6"</v>
      </c>
      <c r="G340" s="167" t="str">
        <f ca="1">VLOOKUP($A340,'030523 INVENTARIO'!$A$2:$Y$1148,8,FALSE)</f>
        <v>P12SI-0339</v>
      </c>
      <c r="H340" s="168" t="str">
        <f>VLOOKUP($A340,'030523 INVENTARIO'!$A$2:$Y$1148,17,FALSE)</f>
        <v>ACER</v>
      </c>
      <c r="I340" s="167" t="str">
        <f>VLOOKUP($A340,'030523 INVENTARIO'!$A$2:$Y$1148,18,FALSE)</f>
        <v>P166HQL</v>
      </c>
      <c r="J340" s="168" t="str">
        <f>VLOOKUP($A340,'030523 INVENTARIO'!$A$2:$Y$1148,19,FALSE)</f>
        <v>20609351585</v>
      </c>
      <c r="K340" s="168" t="str">
        <f>VLOOKUP($A340,'030523 INVENTARIO'!$A$2:$Y$1148,20,FALSE)</f>
        <v>82DH0565010041000539122</v>
      </c>
      <c r="L340" s="167" t="str">
        <f>VLOOKUP($A340,'030523 INVENTARIO'!$A$2:$Y$1148,23,FALSE)</f>
        <v>CHRISTIAN ZARCO MERCADO</v>
      </c>
    </row>
    <row r="341" spans="1:12" ht="12.75" hidden="1">
      <c r="A341" s="167" t="str">
        <f>'030523 INVENTARIO'!A341</f>
        <v>0340</v>
      </c>
      <c r="B341" s="168" t="str">
        <f>'030523 INVENTARIO'!T341</f>
        <v>82DH0515010055000651140</v>
      </c>
      <c r="C341" s="167" t="str">
        <f t="shared" si="0"/>
        <v>651140</v>
      </c>
      <c r="D341" s="167" t="str">
        <f>IF(VLOOKUP(C341,'Patrimonio 2023'!$C$2:$C$1128,1,FALSE) = C341, "Encontrado", "no")</f>
        <v>Encontrado</v>
      </c>
      <c r="E341" s="167" t="str">
        <f>VLOOKUP($A341,'030523 INVENTARIO'!$A$2:$Y$1148,5,FALSE)</f>
        <v>GRABADORA DE VIDEO</v>
      </c>
      <c r="F341" s="167" t="str">
        <f>VLOOKUP($A341,'030523 INVENTARIO'!$A$2:$Y$1148,6,FALSE)</f>
        <v>DVR</v>
      </c>
      <c r="G341" s="167" t="str">
        <f ca="1">VLOOKUP($A341,'030523 INVENTARIO'!$A$2:$Y$1148,8,FALSE)</f>
        <v>P12SI-0340</v>
      </c>
      <c r="H341" s="168" t="str">
        <f>VLOOKUP($A341,'030523 INVENTARIO'!$A$2:$Y$1148,17,FALSE)</f>
        <v>DAHUA</v>
      </c>
      <c r="I341" s="167" t="str">
        <f>VLOOKUP($A341,'030523 INVENTARIO'!$A$2:$Y$1148,18,FALSE)</f>
        <v>DHI-XVR5108HS</v>
      </c>
      <c r="J341" s="168" t="str">
        <f>VLOOKUP($A341,'030523 INVENTARIO'!$A$2:$Y$1148,19,FALSE)</f>
        <v>2L010EFPAPDP140</v>
      </c>
      <c r="K341" s="168" t="str">
        <f>VLOOKUP($A341,'030523 INVENTARIO'!$A$2:$Y$1148,20,FALSE)</f>
        <v>82DH0515010055000651140</v>
      </c>
      <c r="L341" s="167" t="str">
        <f>VLOOKUP($A341,'030523 INVENTARIO'!$A$2:$Y$1148,23,FALSE)</f>
        <v>CHRISTIAN ZARCO MERCADO</v>
      </c>
    </row>
    <row r="342" spans="1:12" ht="12.75" hidden="1">
      <c r="A342" s="167" t="str">
        <f>'030523 INVENTARIO'!A342</f>
        <v>0341</v>
      </c>
      <c r="B342" s="168" t="str">
        <f>'030523 INVENTARIO'!T342</f>
        <v>82DH0515010016000524719</v>
      </c>
      <c r="C342" s="167" t="str">
        <f t="shared" si="0"/>
        <v>524719</v>
      </c>
      <c r="D342" s="167" t="str">
        <f>IF(VLOOKUP(C342,'Patrimonio 2023'!$C$2:$C$1128,1,FALSE) = C342, "Encontrado", "no")</f>
        <v>Encontrado</v>
      </c>
      <c r="E342" s="167" t="str">
        <f>VLOOKUP($A342,'030523 INVENTARIO'!$A$2:$Y$1148,5,FALSE)</f>
        <v>NO BREAK</v>
      </c>
      <c r="F342" s="168" t="str">
        <f>VLOOKUP($A342,'030523 INVENTARIO'!$A$2:$Y$1148,6,FALSE)</f>
        <v>NO BREAK</v>
      </c>
      <c r="G342" s="167" t="str">
        <f ca="1">VLOOKUP($A342,'030523 INVENTARIO'!$A$2:$Y$1148,8,FALSE)</f>
        <v>P12SI-0341</v>
      </c>
      <c r="H342" s="168" t="str">
        <f>VLOOKUP($A342,'030523 INVENTARIO'!$A$2:$Y$1148,17,FALSE)</f>
        <v>TRIPP LITE</v>
      </c>
      <c r="I342" s="167" t="str">
        <f>VLOOKUP($A342,'030523 INVENTARIO'!$A$2:$Y$1148,18,FALSE)</f>
        <v>INTERNT550U</v>
      </c>
      <c r="J342" s="168" t="str">
        <f>VLOOKUP($A342,'030523 INVENTARIO'!$A$2:$Y$1148,19,FALSE)</f>
        <v>9730CY0BC575600682</v>
      </c>
      <c r="K342" s="168" t="str">
        <f>VLOOKUP($A342,'030523 INVENTARIO'!$A$2:$Y$1148,20,FALSE)</f>
        <v>82DH0515010016000524719</v>
      </c>
      <c r="L342" s="167" t="str">
        <f>VLOOKUP($A342,'030523 INVENTARIO'!$A$2:$Y$1148,23,FALSE)</f>
        <v>CHRISTIAN ZARCO MERCADO</v>
      </c>
    </row>
    <row r="343" spans="1:12" ht="12.75" hidden="1">
      <c r="A343" s="167" t="str">
        <f>'030523 INVENTARIO'!A343</f>
        <v>0342</v>
      </c>
      <c r="B343" s="168" t="str">
        <f>'030523 INVENTARIO'!T343</f>
        <v>82DH0515010003000651031</v>
      </c>
      <c r="C343" s="167" t="str">
        <f t="shared" si="0"/>
        <v>651031</v>
      </c>
      <c r="D343" s="167" t="str">
        <f>IF(VLOOKUP(C343,'Patrimonio 2023'!$C$2:$C$1128,1,FALSE) = C343, "Encontrado", "no")</f>
        <v>Encontrado</v>
      </c>
      <c r="E343" s="167" t="str">
        <f>VLOOKUP($A343,'030523 INVENTARIO'!$A$2:$Y$1148,5,FALSE)</f>
        <v>COMPUTADORA DE ESCRITORIO</v>
      </c>
      <c r="F343" s="167" t="str">
        <f>VLOOKUP($A343,'030523 INVENTARIO'!$A$2:$Y$1148,6,FALSE)</f>
        <v>COMPUTADORA DE ESCRITORIO</v>
      </c>
      <c r="G343" s="167" t="str">
        <f ca="1">VLOOKUP($A343,'030523 INVENTARIO'!$A$2:$Y$1148,8,FALSE)</f>
        <v>P12SI-0342</v>
      </c>
      <c r="H343" s="168" t="str">
        <f>VLOOKUP($A343,'030523 INVENTARIO'!$A$2:$Y$1148,17,FALSE)</f>
        <v>COOLER MASTER</v>
      </c>
      <c r="I343" s="167" t="str">
        <f>VLOOKUP($A343,'030523 INVENTARIO'!$A$2:$Y$1148,18,FALSE)</f>
        <v>MCB-Q500L-KANNS00</v>
      </c>
      <c r="J343" s="168" t="str">
        <f>VLOOKUP($A343,'030523 INVENTARIO'!$A$2:$Y$1148,19,FALSE)</f>
        <v>MCBQ500LKANNS001202901256</v>
      </c>
      <c r="K343" s="168" t="str">
        <f>VLOOKUP($A343,'030523 INVENTARIO'!$A$2:$Y$1148,20,FALSE)</f>
        <v>82DH0515010003000651031</v>
      </c>
      <c r="L343" s="167" t="str">
        <f>VLOOKUP($A343,'030523 INVENTARIO'!$A$2:$Y$1148,23,FALSE)</f>
        <v>CHRISTIAN ZARCO MERCADO</v>
      </c>
    </row>
    <row r="344" spans="1:12" ht="12.75" hidden="1">
      <c r="A344" s="167" t="str">
        <f>'030523 INVENTARIO'!A344</f>
        <v>0343</v>
      </c>
      <c r="B344" s="168" t="str">
        <f>'030523 INVENTARIO'!T344</f>
        <v>82DH0565010001000539087</v>
      </c>
      <c r="C344" s="167" t="str">
        <f t="shared" si="0"/>
        <v>539087</v>
      </c>
      <c r="D344" s="167" t="str">
        <f>IF(VLOOKUP(C344,'Patrimonio 2023'!$C$2:$C$1128,1,FALSE) = C344, "Encontrado", "no")</f>
        <v>Encontrado</v>
      </c>
      <c r="E344" s="167" t="str">
        <f>VLOOKUP($A344,'030523 INVENTARIO'!$A$2:$Y$1148,5,FALSE)</f>
        <v>TELEFONO</v>
      </c>
      <c r="F344" s="168" t="str">
        <f>VLOOKUP($A344,'030523 INVENTARIO'!$A$2:$Y$1148,6,FALSE)</f>
        <v>TELEFONO GRIS</v>
      </c>
      <c r="G344" s="167" t="str">
        <f ca="1">VLOOKUP($A344,'030523 INVENTARIO'!$A$2:$Y$1148,8,FALSE)</f>
        <v>P12SI-0343</v>
      </c>
      <c r="H344" s="168" t="str">
        <f>VLOOKUP($A344,'030523 INVENTARIO'!$A$2:$Y$1148,17,FALSE)</f>
        <v>CISCO</v>
      </c>
      <c r="I344" s="167" t="str">
        <f>VLOOKUP($A344,'030523 INVENTARIO'!$A$2:$Y$1148,18,FALSE)</f>
        <v>SPA504G</v>
      </c>
      <c r="J344" s="168" t="str">
        <f>VLOOKUP($A344,'030523 INVENTARIO'!$A$2:$Y$1148,19,FALSE)</f>
        <v>CYT15400SVT</v>
      </c>
      <c r="K344" s="168" t="str">
        <f>VLOOKUP($A344,'030523 INVENTARIO'!$A$2:$Y$1148,20,FALSE)</f>
        <v>82DH0565010001000539087</v>
      </c>
      <c r="L344" s="167" t="str">
        <f>VLOOKUP($A344,'030523 INVENTARIO'!$A$2:$Y$1148,23,FALSE)</f>
        <v>CHRISTIAN ZARCO MERCADO</v>
      </c>
    </row>
    <row r="345" spans="1:12" ht="12.75" hidden="1">
      <c r="A345" s="167" t="str">
        <f>'030523 INVENTARIO'!A345</f>
        <v>0344</v>
      </c>
      <c r="B345" s="168" t="str">
        <f>'030523 INVENTARIO'!T345</f>
        <v>82DH0515010056000651141</v>
      </c>
      <c r="C345" s="167" t="str">
        <f t="shared" si="0"/>
        <v>651141</v>
      </c>
      <c r="D345" s="167" t="str">
        <f>IF(VLOOKUP(C345,'Patrimonio 2023'!$C$2:$C$1128,1,FALSE) = C345, "Encontrado", "no")</f>
        <v>Encontrado</v>
      </c>
      <c r="E345" s="167" t="str">
        <f>VLOOKUP($A345,'030523 INVENTARIO'!$A$2:$Y$1148,5,FALSE)</f>
        <v>ADAPTADOR</v>
      </c>
      <c r="F345" s="167" t="str">
        <f>VLOOKUP($A345,'030523 INVENTARIO'!$A$2:$Y$1148,6,FALSE)</f>
        <v>ADAPTADOR LECTOR DE CD EXTERNO BLUE RAY</v>
      </c>
      <c r="G345" s="167" t="str">
        <f ca="1">VLOOKUP($A345,'030523 INVENTARIO'!$A$2:$Y$1148,8,FALSE)</f>
        <v>P12SI-0344</v>
      </c>
      <c r="H345" s="168" t="str">
        <f>VLOOKUP($A345,'030523 INVENTARIO'!$A$2:$Y$1148,17,FALSE)</f>
        <v>LG</v>
      </c>
      <c r="I345" s="167" t="str">
        <f>VLOOKUP($A345,'030523 INVENTARIO'!$A$2:$Y$1148,18,FALSE)</f>
        <v>BP40MB30</v>
      </c>
      <c r="J345" s="168" t="str">
        <f>VLOOKUP($A345,'030523 INVENTARIO'!$A$2:$Y$1148,19,FALSE)</f>
        <v>409HVHJ974185</v>
      </c>
      <c r="K345" s="168" t="str">
        <f>VLOOKUP($A345,'030523 INVENTARIO'!$A$2:$Y$1148,20,FALSE)</f>
        <v>82DH0515010056000651141</v>
      </c>
      <c r="L345" s="167" t="str">
        <f>VLOOKUP($A345,'030523 INVENTARIO'!$A$2:$Y$1148,23,FALSE)</f>
        <v>CHRISTIAN ZARCO MERCADO</v>
      </c>
    </row>
    <row r="346" spans="1:12" ht="12.75" hidden="1">
      <c r="A346" s="167" t="str">
        <f>'030523 INVENTARIO'!A346</f>
        <v>0345</v>
      </c>
      <c r="B346" s="168" t="str">
        <f>'030523 INVENTARIO'!T346</f>
        <v>82DH0515010013000651032</v>
      </c>
      <c r="C346" s="167" t="str">
        <f t="shared" si="0"/>
        <v>651032</v>
      </c>
      <c r="D346" s="167" t="str">
        <f>IF(VLOOKUP(C346,'Patrimonio 2023'!$C$2:$C$1128,1,FALSE) = C346, "Encontrado", "no")</f>
        <v>Encontrado</v>
      </c>
      <c r="E346" s="167" t="str">
        <f>VLOOKUP($A346,'030523 INVENTARIO'!$A$2:$Y$1148,5,FALSE)</f>
        <v>MONITOR</v>
      </c>
      <c r="F346" s="167" t="str">
        <f>VLOOKUP($A346,'030523 INVENTARIO'!$A$2:$Y$1148,6,FALSE)</f>
        <v>MONITOR 27"</v>
      </c>
      <c r="G346" s="167" t="str">
        <f ca="1">VLOOKUP($A346,'030523 INVENTARIO'!$A$2:$Y$1148,8,FALSE)</f>
        <v>P12SI-0345</v>
      </c>
      <c r="H346" s="168" t="str">
        <f>VLOOKUP($A346,'030523 INVENTARIO'!$A$2:$Y$1148,17,FALSE)</f>
        <v>SAMSUNG</v>
      </c>
      <c r="I346" s="167" t="str">
        <f>VLOOKUP($A346,'030523 INVENTARIO'!$A$2:$Y$1148,18,FALSE)</f>
        <v>C27F390FHL</v>
      </c>
      <c r="J346" s="168" t="str">
        <f>VLOOKUP($A346,'030523 INVENTARIO'!$A$2:$Y$1148,19,FALSE)</f>
        <v>BZZMH4ZNB00503M</v>
      </c>
      <c r="K346" s="168" t="str">
        <f>VLOOKUP($A346,'030523 INVENTARIO'!$A$2:$Y$1148,20,FALSE)</f>
        <v>82DH0515010013000651032</v>
      </c>
      <c r="L346" s="167" t="str">
        <f>VLOOKUP($A346,'030523 INVENTARIO'!$A$2:$Y$1148,23,FALSE)</f>
        <v>CHRISTIAN ZARCO MERCADO</v>
      </c>
    </row>
    <row r="347" spans="1:12" ht="12.75" hidden="1">
      <c r="A347" s="167" t="str">
        <f>'030523 INVENTARIO'!A347</f>
        <v>0346</v>
      </c>
      <c r="B347" s="168" t="str">
        <f>'030523 INVENTARIO'!T347</f>
        <v>82DH0511010010000649683</v>
      </c>
      <c r="C347" s="167" t="str">
        <f t="shared" si="0"/>
        <v>649683</v>
      </c>
      <c r="D347" s="167" t="str">
        <f>IF(VLOOKUP(C347,'Patrimonio 2023'!$C$2:$C$1128,1,FALSE) = C347, "Encontrado", "no")</f>
        <v>Encontrado</v>
      </c>
      <c r="E347" s="167" t="str">
        <f>VLOOKUP($A347,'030523 INVENTARIO'!$A$2:$Y$1148,5,FALSE)</f>
        <v>MESA</v>
      </c>
      <c r="F347" s="167" t="str">
        <f>VLOOKUP($A347,'030523 INVENTARIO'!$A$2:$Y$1148,6,FALSE)</f>
        <v>MESA DE MADERA COMPLEMENTO 160X60</v>
      </c>
      <c r="G347" s="167" t="str">
        <f ca="1">VLOOKUP($A347,'030523 INVENTARIO'!$A$2:$Y$1148,8,FALSE)</f>
        <v>P12SI-0346</v>
      </c>
      <c r="H347" s="168" t="str">
        <f>VLOOKUP($A347,'030523 INVENTARIO'!$A$2:$Y$1148,17,FALSE)</f>
        <v>S/M</v>
      </c>
      <c r="I347" s="167" t="str">
        <f>VLOOKUP($A347,'030523 INVENTARIO'!$A$2:$Y$1148,18,FALSE)</f>
        <v>S/M</v>
      </c>
      <c r="J347" s="168" t="str">
        <f>VLOOKUP($A347,'030523 INVENTARIO'!$A$2:$Y$1148,19,FALSE)</f>
        <v>SIN SERIE</v>
      </c>
      <c r="K347" s="168" t="str">
        <f>VLOOKUP($A347,'030523 INVENTARIO'!$A$2:$Y$1148,20,FALSE)</f>
        <v>82DH0511010010000649683</v>
      </c>
      <c r="L347" s="167" t="str">
        <f>VLOOKUP($A347,'030523 INVENTARIO'!$A$2:$Y$1148,23,FALSE)</f>
        <v>CHRISTIAN ZARCO MERCADO</v>
      </c>
    </row>
    <row r="348" spans="1:12" ht="12.75" hidden="1">
      <c r="A348" s="167" t="str">
        <f>'030523 INVENTARIO'!A348</f>
        <v>0347</v>
      </c>
      <c r="B348" s="168" t="str">
        <f>'030523 INVENTARIO'!T348</f>
        <v>82DH0511010029000649676</v>
      </c>
      <c r="C348" s="167" t="str">
        <f t="shared" si="0"/>
        <v>649676</v>
      </c>
      <c r="D348" s="167" t="str">
        <f>IF(VLOOKUP(C348,'Patrimonio 2023'!$C$2:$C$1128,1,FALSE) = C348, "Encontrado", "no")</f>
        <v>Encontrado</v>
      </c>
      <c r="E348" s="167" t="str">
        <f>VLOOKUP($A348,'030523 INVENTARIO'!$A$2:$Y$1148,5,FALSE)</f>
        <v>ESCRITORIO</v>
      </c>
      <c r="F348" s="168" t="str">
        <f>VLOOKUP($A348,'030523 INVENTARIO'!$A$2:$Y$1148,6,FALSE)</f>
        <v>ESCRITORIO CON 3 CAJONES</v>
      </c>
      <c r="G348" s="167" t="str">
        <f ca="1">VLOOKUP($A348,'030523 INVENTARIO'!$A$2:$Y$1148,8,FALSE)</f>
        <v>P12SI-0347</v>
      </c>
      <c r="H348" s="168" t="str">
        <f>VLOOKUP($A348,'030523 INVENTARIO'!$A$2:$Y$1148,17,FALSE)</f>
        <v>S/M</v>
      </c>
      <c r="I348" s="167" t="str">
        <f>VLOOKUP($A348,'030523 INVENTARIO'!$A$2:$Y$1148,18,FALSE)</f>
        <v>S/M</v>
      </c>
      <c r="J348" s="168" t="str">
        <f>VLOOKUP($A348,'030523 INVENTARIO'!$A$2:$Y$1148,19,FALSE)</f>
        <v>SIN SERIE</v>
      </c>
      <c r="K348" s="168" t="str">
        <f>VLOOKUP($A348,'030523 INVENTARIO'!$A$2:$Y$1148,20,FALSE)</f>
        <v>82DH0511010029000649676</v>
      </c>
      <c r="L348" s="167" t="str">
        <f>VLOOKUP($A348,'030523 INVENTARIO'!$A$2:$Y$1148,23,FALSE)</f>
        <v>CHRISTIAN ZARCO MERCADO</v>
      </c>
    </row>
    <row r="349" spans="1:12" ht="12.75" hidden="1">
      <c r="A349" s="167" t="str">
        <f>'030523 INVENTARIO'!A349</f>
        <v>0348</v>
      </c>
      <c r="B349" s="168" t="str">
        <f>'030523 INVENTARIO'!T349</f>
        <v>82DH0531010065000564867</v>
      </c>
      <c r="C349" s="167" t="str">
        <f t="shared" si="0"/>
        <v>564867</v>
      </c>
      <c r="D349" s="167" t="str">
        <f>IF(VLOOKUP(C349,'Patrimonio 2023'!$C$2:$C$1128,1,FALSE) = C349, "Encontrado", "no")</f>
        <v>Encontrado</v>
      </c>
      <c r="E349" s="167" t="str">
        <f>VLOOKUP($A349,'030523 INVENTARIO'!$A$2:$Y$1148,5,FALSE)</f>
        <v>MESA</v>
      </c>
      <c r="F349" s="167" t="str">
        <f>VLOOKUP($A349,'030523 INVENTARIO'!$A$2:$Y$1148,6,FALSE)</f>
        <v>MESA DE MADERA CAOBA 60X40</v>
      </c>
      <c r="G349" s="167" t="str">
        <f ca="1">VLOOKUP($A349,'030523 INVENTARIO'!$A$2:$Y$1148,8,FALSE)</f>
        <v>P12SI-0348</v>
      </c>
      <c r="H349" s="168" t="str">
        <f>VLOOKUP($A349,'030523 INVENTARIO'!$A$2:$Y$1148,17,FALSE)</f>
        <v>S/M</v>
      </c>
      <c r="I349" s="167" t="str">
        <f>VLOOKUP($A349,'030523 INVENTARIO'!$A$2:$Y$1148,18,FALSE)</f>
        <v>S/M</v>
      </c>
      <c r="J349" s="168" t="str">
        <f>VLOOKUP($A349,'030523 INVENTARIO'!$A$2:$Y$1148,19,FALSE)</f>
        <v>SIN SERIE</v>
      </c>
      <c r="K349" s="168" t="str">
        <f>VLOOKUP($A349,'030523 INVENTARIO'!$A$2:$Y$1148,20,FALSE)</f>
        <v>82DH0531010065000564867</v>
      </c>
      <c r="L349" s="167" t="str">
        <f>VLOOKUP($A349,'030523 INVENTARIO'!$A$2:$Y$1148,23,FALSE)</f>
        <v>JUAN PABLO AVILA LOPEZ</v>
      </c>
    </row>
    <row r="350" spans="1:12" ht="12.75" hidden="1">
      <c r="A350" s="167" t="str">
        <f>'030523 INVENTARIO'!A350</f>
        <v>0349</v>
      </c>
      <c r="B350" s="168" t="str">
        <f>'030523 INVENTARIO'!T350</f>
        <v>82DH0511010017000649712</v>
      </c>
      <c r="C350" s="167" t="str">
        <f t="shared" si="0"/>
        <v>649712</v>
      </c>
      <c r="D350" s="167" t="str">
        <f>IF(VLOOKUP(C350,'Patrimonio 2023'!$C$2:$C$1128,1,FALSE) = C350, "Encontrado", "no")</f>
        <v>Encontrado</v>
      </c>
      <c r="E350" s="167" t="str">
        <f>VLOOKUP($A350,'030523 INVENTARIO'!$A$2:$Y$1148,5,FALSE)</f>
        <v>SILLA</v>
      </c>
      <c r="F350" s="167" t="str">
        <f>VLOOKUP($A350,'030523 INVENTARIO'!$A$2:$Y$1148,6,FALSE)</f>
        <v>SILLA DE TELA NEGRA FIJA</v>
      </c>
      <c r="G350" s="167" t="str">
        <f ca="1">VLOOKUP($A350,'030523 INVENTARIO'!$A$2:$Y$1148,8,FALSE)</f>
        <v>P12SI-0349</v>
      </c>
      <c r="H350" s="168" t="str">
        <f>VLOOKUP($A350,'030523 INVENTARIO'!$A$2:$Y$1148,17,FALSE)</f>
        <v>S/M</v>
      </c>
      <c r="I350" s="167" t="str">
        <f>VLOOKUP($A350,'030523 INVENTARIO'!$A$2:$Y$1148,18,FALSE)</f>
        <v>S/M</v>
      </c>
      <c r="J350" s="168" t="str">
        <f>VLOOKUP($A350,'030523 INVENTARIO'!$A$2:$Y$1148,19,FALSE)</f>
        <v>SIN SERIE</v>
      </c>
      <c r="K350" s="168" t="str">
        <f>VLOOKUP($A350,'030523 INVENTARIO'!$A$2:$Y$1148,20,FALSE)</f>
        <v>82DH0511010017000649712</v>
      </c>
      <c r="L350" s="167" t="str">
        <f>VLOOKUP($A350,'030523 INVENTARIO'!$A$2:$Y$1148,23,FALSE)</f>
        <v>CHRISTIAN ZARCO MERCADO</v>
      </c>
    </row>
    <row r="351" spans="1:12" ht="12.75" hidden="1">
      <c r="A351" s="167" t="str">
        <f>'030523 INVENTARIO'!A351</f>
        <v>0350</v>
      </c>
      <c r="B351" s="168" t="str">
        <f>'030523 INVENTARIO'!T351</f>
        <v>82DH0511010017000522524</v>
      </c>
      <c r="C351" s="167" t="str">
        <f t="shared" si="0"/>
        <v>522524</v>
      </c>
      <c r="D351" s="167" t="str">
        <f>IF(VLOOKUP(C351,'Patrimonio 2023'!$C$2:$C$1128,1,FALSE) = C351, "Encontrado", "no")</f>
        <v>Encontrado</v>
      </c>
      <c r="E351" s="167" t="str">
        <f>VLOOKUP($A351,'030523 INVENTARIO'!$A$2:$Y$1148,5,FALSE)</f>
        <v>SILLA</v>
      </c>
      <c r="F351" s="167" t="str">
        <f>VLOOKUP($A351,'030523 INVENTARIO'!$A$2:$Y$1148,6,FALSE)</f>
        <v>SILLA DE TELA NEGRA FIJA</v>
      </c>
      <c r="G351" s="167" t="str">
        <f ca="1">VLOOKUP($A351,'030523 INVENTARIO'!$A$2:$Y$1148,8,FALSE)</f>
        <v>P12SI-0350</v>
      </c>
      <c r="H351" s="168" t="str">
        <f>VLOOKUP($A351,'030523 INVENTARIO'!$A$2:$Y$1148,17,FALSE)</f>
        <v>S/M</v>
      </c>
      <c r="I351" s="167" t="str">
        <f>VLOOKUP($A351,'030523 INVENTARIO'!$A$2:$Y$1148,18,FALSE)</f>
        <v>S/M</v>
      </c>
      <c r="J351" s="168" t="str">
        <f>VLOOKUP($A351,'030523 INVENTARIO'!$A$2:$Y$1148,19,FALSE)</f>
        <v>SIN SERIE</v>
      </c>
      <c r="K351" s="168" t="str">
        <f>VLOOKUP($A351,'030523 INVENTARIO'!$A$2:$Y$1148,20,FALSE)</f>
        <v>82DH0511010017000522524</v>
      </c>
      <c r="L351" s="167" t="str">
        <f>VLOOKUP($A351,'030523 INVENTARIO'!$A$2:$Y$1148,23,FALSE)</f>
        <v>CHRISTIAN ZARCO MERCADO</v>
      </c>
    </row>
    <row r="352" spans="1:12" ht="12.75" hidden="1">
      <c r="A352" s="167" t="str">
        <f>'030523 INVENTARIO'!A352</f>
        <v>0351</v>
      </c>
      <c r="B352" s="168" t="str">
        <f>'030523 INVENTARIO'!T352</f>
        <v>82DH0511010017000651129</v>
      </c>
      <c r="C352" s="167" t="str">
        <f t="shared" si="0"/>
        <v>651129</v>
      </c>
      <c r="D352" s="167" t="str">
        <f>IF(VLOOKUP(C352,'Patrimonio 2023'!$C$2:$C$1128,1,FALSE) = C352, "Encontrado", "no")</f>
        <v>Encontrado</v>
      </c>
      <c r="E352" s="167" t="str">
        <f>VLOOKUP($A352,'030523 INVENTARIO'!$A$2:$Y$1148,5,FALSE)</f>
        <v>SILLA</v>
      </c>
      <c r="F352" s="168" t="str">
        <f>VLOOKUP($A352,'030523 INVENTARIO'!$A$2:$Y$1148,6,FALSE)</f>
        <v>SILLA DE TELA CON RUEDAS</v>
      </c>
      <c r="G352" s="167" t="str">
        <f ca="1">VLOOKUP($A352,'030523 INVENTARIO'!$A$2:$Y$1148,8,FALSE)</f>
        <v>P05RM-0351</v>
      </c>
      <c r="H352" s="168" t="str">
        <f>VLOOKUP($A352,'030523 INVENTARIO'!$A$2:$Y$1148,17,FALSE)</f>
        <v>S/M</v>
      </c>
      <c r="I352" s="167" t="str">
        <f>VLOOKUP($A352,'030523 INVENTARIO'!$A$2:$Y$1148,18,FALSE)</f>
        <v>S/M</v>
      </c>
      <c r="J352" s="168" t="str">
        <f>VLOOKUP($A352,'030523 INVENTARIO'!$A$2:$Y$1148,19,FALSE)</f>
        <v>SIN SERIE</v>
      </c>
      <c r="K352" s="168" t="str">
        <f>VLOOKUP($A352,'030523 INVENTARIO'!$A$2:$Y$1148,20,FALSE)</f>
        <v>82DH0511010017000651129</v>
      </c>
      <c r="L352" s="167" t="str">
        <f>VLOOKUP($A352,'030523 INVENTARIO'!$A$2:$Y$1148,23,FALSE)</f>
        <v>BLANCA ELIZABETH ALCANTAR GUERRERO</v>
      </c>
    </row>
    <row r="353" spans="1:12" ht="12.75" hidden="1">
      <c r="A353" s="167" t="str">
        <f>'030523 INVENTARIO'!A353</f>
        <v>0352</v>
      </c>
      <c r="B353" s="168" t="str">
        <f>'030523 INVENTARIO'!T353</f>
        <v>82DH0511010016000516013</v>
      </c>
      <c r="C353" s="167" t="str">
        <f t="shared" si="0"/>
        <v>516013</v>
      </c>
      <c r="D353" s="167" t="str">
        <f>IF(VLOOKUP(C353,'Patrimonio 2023'!$C$2:$C$1128,1,FALSE) = C353, "Encontrado", "no")</f>
        <v>Encontrado</v>
      </c>
      <c r="E353" s="167" t="str">
        <f>VLOOKUP($A353,'030523 INVENTARIO'!$A$2:$Y$1148,5,FALSE)</f>
        <v>SILLON</v>
      </c>
      <c r="F353" s="168" t="str">
        <f>VLOOKUP($A353,'030523 INVENTARIO'!$A$2:$Y$1148,6,FALSE)</f>
        <v>SILLON NEGRA CON RUEDAS</v>
      </c>
      <c r="G353" s="167" t="str">
        <f ca="1">VLOOKUP($A353,'030523 INVENTARIO'!$A$2:$Y$1148,8,FALSE)</f>
        <v>P05RM-0352</v>
      </c>
      <c r="H353" s="168" t="str">
        <f>VLOOKUP($A353,'030523 INVENTARIO'!$A$2:$Y$1148,17,FALSE)</f>
        <v>S/M</v>
      </c>
      <c r="I353" s="167" t="str">
        <f>VLOOKUP($A353,'030523 INVENTARIO'!$A$2:$Y$1148,18,FALSE)</f>
        <v>S/M</v>
      </c>
      <c r="J353" s="168" t="str">
        <f>VLOOKUP($A353,'030523 INVENTARIO'!$A$2:$Y$1148,19,FALSE)</f>
        <v>SIN SERIE</v>
      </c>
      <c r="K353" s="168" t="str">
        <f>VLOOKUP($A353,'030523 INVENTARIO'!$A$2:$Y$1148,20,FALSE)</f>
        <v>82DH0511010016000516013</v>
      </c>
      <c r="L353" s="167" t="str">
        <f>VLOOKUP($A353,'030523 INVENTARIO'!$A$2:$Y$1148,23,FALSE)</f>
        <v>BLANCA ELIZABETH ALCANTAR GUERRERO</v>
      </c>
    </row>
    <row r="354" spans="1:12" ht="12.75" hidden="1">
      <c r="A354" s="167" t="str">
        <f>'030523 INVENTARIO'!A354</f>
        <v>0353</v>
      </c>
      <c r="B354" s="168" t="str">
        <f>'030523 INVENTARIO'!T354</f>
        <v>82DH0515010003000649443</v>
      </c>
      <c r="C354" s="167" t="str">
        <f t="shared" si="0"/>
        <v>649443</v>
      </c>
      <c r="D354" s="167" t="str">
        <f>IF(VLOOKUP(C354,'Patrimonio 2023'!$C$2:$C$1128,1,FALSE) = C354, "Encontrado", "no")</f>
        <v>Encontrado</v>
      </c>
      <c r="E354" s="167" t="str">
        <f>VLOOKUP($A354,'030523 INVENTARIO'!$A$2:$Y$1148,5,FALSE)</f>
        <v>COMPUTADORA DE ESCRITORIO</v>
      </c>
      <c r="F354" s="167" t="str">
        <f>VLOOKUP($A354,'030523 INVENTARIO'!$A$2:$Y$1148,6,FALSE)</f>
        <v>COMPUTADORA TODO EN UNO BLANCO</v>
      </c>
      <c r="G354" s="167" t="str">
        <f ca="1">VLOOKUP($A354,'030523 INVENTARIO'!$A$2:$Y$1148,8,FALSE)</f>
        <v>P12SI-0353</v>
      </c>
      <c r="H354" s="168" t="str">
        <f>VLOOKUP($A354,'030523 INVENTARIO'!$A$2:$Y$1148,17,FALSE)</f>
        <v>LENOVO</v>
      </c>
      <c r="I354" s="167" t="str">
        <f>VLOOKUP($A354,'030523 INVENTARIO'!$A$2:$Y$1148,18,FALSE)</f>
        <v>AIO 310 201AP</v>
      </c>
      <c r="J354" s="168" t="str">
        <f>VLOOKUP($A354,'030523 INVENTARIO'!$A$2:$Y$1148,19,FALSE)</f>
        <v>YJ004FPM</v>
      </c>
      <c r="K354" s="168" t="str">
        <f>VLOOKUP($A354,'030523 INVENTARIO'!$A$2:$Y$1148,20,FALSE)</f>
        <v>82DH0515010003000649443</v>
      </c>
      <c r="L354" s="167" t="str">
        <f>VLOOKUP($A354,'030523 INVENTARIO'!$A$2:$Y$1148,23,FALSE)</f>
        <v>OSCAR EFRAIN ORTIZ QUIÑONES</v>
      </c>
    </row>
    <row r="355" spans="1:12" ht="12.75" hidden="1">
      <c r="A355" s="167" t="str">
        <f>'030523 INVENTARIO'!A355</f>
        <v>0354</v>
      </c>
      <c r="B355" s="168" t="str">
        <f>'030523 INVENTARIO'!T355</f>
        <v>SIN RESGUARDO</v>
      </c>
      <c r="C355" s="167" t="str">
        <f t="shared" si="0"/>
        <v/>
      </c>
      <c r="D355" s="167" t="e">
        <f>IF(VLOOKUP(C355,'Patrimonio 2023'!$C$2:$C$1128,1,FALSE) = C355, "Encontrado", "no")</f>
        <v>#N/A</v>
      </c>
      <c r="E355" s="167" t="str">
        <f>VLOOKUP($A355,'030523 INVENTARIO'!$A$2:$Y$1148,5,FALSE)</f>
        <v>PANTALLA</v>
      </c>
      <c r="F355" s="168" t="str">
        <f>VLOOKUP($A355,'030523 INVENTARIO'!$A$2:$Y$1148,6,FALSE)</f>
        <v>PANTALLA NEGRA 32"</v>
      </c>
      <c r="G355" s="167" t="str">
        <f ca="1">VLOOKUP($A355,'030523 INVENTARIO'!$A$2:$Y$1148,8,FALSE)</f>
        <v>P05RM-0354</v>
      </c>
      <c r="H355" s="168" t="str">
        <f>VLOOKUP($A355,'030523 INVENTARIO'!$A$2:$Y$1148,17,FALSE)</f>
        <v>POLAROID</v>
      </c>
      <c r="I355" s="167" t="str">
        <f>VLOOKUP($A355,'030523 INVENTARIO'!$A$2:$Y$1148,18,FALSE)</f>
        <v>PTB3215LED</v>
      </c>
      <c r="J355" s="168" t="str">
        <f>VLOOKUP($A355,'030523 INVENTARIO'!$A$2:$Y$1148,19,FALSE)</f>
        <v>PLEPPTV3215LM0</v>
      </c>
      <c r="K355" s="168" t="str">
        <f>VLOOKUP($A355,'030523 INVENTARIO'!$A$2:$Y$1148,20,FALSE)</f>
        <v>SIN RESGUARDO</v>
      </c>
      <c r="L355" s="167" t="str">
        <f>VLOOKUP($A355,'030523 INVENTARIO'!$A$2:$Y$1148,23,FALSE)</f>
        <v>BLANCA ELIZABETH ALCANTAR GUERRERO</v>
      </c>
    </row>
    <row r="356" spans="1:12" ht="12.75" hidden="1">
      <c r="A356" s="167" t="str">
        <f>'030523 INVENTARIO'!A356</f>
        <v>0355</v>
      </c>
      <c r="B356" s="168" t="str">
        <f>'030523 INVENTARIO'!T356</f>
        <v>SIN RESGUARDO</v>
      </c>
      <c r="C356" s="167" t="str">
        <f t="shared" si="0"/>
        <v/>
      </c>
      <c r="D356" s="167" t="e">
        <f>IF(VLOOKUP(C356,'Patrimonio 2023'!$C$2:$C$1128,1,FALSE) = C356, "Encontrado", "no")</f>
        <v>#N/A</v>
      </c>
      <c r="E356" s="167" t="str">
        <f>VLOOKUP($A356,'030523 INVENTARIO'!$A$2:$Y$1148,5,FALSE)</f>
        <v>MONITOR</v>
      </c>
      <c r="F356" s="167" t="str">
        <f>VLOOKUP($A356,'030523 INVENTARIO'!$A$2:$Y$1148,6,FALSE)</f>
        <v>MONITOR 19.5"</v>
      </c>
      <c r="G356" s="167" t="str">
        <f ca="1">VLOOKUP($A356,'030523 INVENTARIO'!$A$2:$Y$1148,8,FALSE)</f>
        <v>P12SI-0355</v>
      </c>
      <c r="H356" s="168" t="str">
        <f>VLOOKUP($A356,'030523 INVENTARIO'!$A$2:$Y$1148,17,FALSE)</f>
        <v>ACER</v>
      </c>
      <c r="I356" s="167" t="str">
        <f>VLOOKUP($A356,'030523 INVENTARIO'!$A$2:$Y$1148,18,FALSE)</f>
        <v>V206HQL</v>
      </c>
      <c r="J356" s="168" t="str">
        <f>VLOOKUP($A356,'030523 INVENTARIO'!$A$2:$Y$1148,19,FALSE)</f>
        <v>MNLXKAM00155302F64425</v>
      </c>
      <c r="K356" s="168" t="str">
        <f>VLOOKUP($A356,'030523 INVENTARIO'!$A$2:$Y$1148,20,FALSE)</f>
        <v>SIN RESGUARDO</v>
      </c>
      <c r="L356" s="167" t="str">
        <f>VLOOKUP($A356,'030523 INVENTARIO'!$A$2:$Y$1148,23,FALSE)</f>
        <v>KARINA CHAVEZ HERNANDEZ</v>
      </c>
    </row>
    <row r="357" spans="1:12" ht="12.75" hidden="1">
      <c r="A357" s="167" t="str">
        <f>'030523 INVENTARIO'!A357</f>
        <v>0356</v>
      </c>
      <c r="B357" s="168" t="str">
        <f>'030523 INVENTARIO'!T357</f>
        <v>82DH0565010001000651111</v>
      </c>
      <c r="C357" s="167" t="str">
        <f t="shared" si="0"/>
        <v>651111</v>
      </c>
      <c r="D357" s="167" t="str">
        <f>IF(VLOOKUP(C357,'Patrimonio 2023'!$C$2:$C$1128,1,FALSE) = C357, "Encontrado", "no")</f>
        <v>Encontrado</v>
      </c>
      <c r="E357" s="167" t="str">
        <f>VLOOKUP($A357,'030523 INVENTARIO'!$A$2:$Y$1148,5,FALSE)</f>
        <v>TELEFONO</v>
      </c>
      <c r="F357" s="168" t="str">
        <f>VLOOKUP($A357,'030523 INVENTARIO'!$A$2:$Y$1148,6,FALSE)</f>
        <v>TELEFONO GRIS</v>
      </c>
      <c r="G357" s="167" t="str">
        <f ca="1">VLOOKUP($A357,'030523 INVENTARIO'!$A$2:$Y$1148,8,FALSE)</f>
        <v>P05SI-0356</v>
      </c>
      <c r="H357" s="168" t="str">
        <f>VLOOKUP($A357,'030523 INVENTARIO'!$A$2:$Y$1148,17,FALSE)</f>
        <v>LINKSYS</v>
      </c>
      <c r="I357" s="167" t="str">
        <f>VLOOKUP($A357,'030523 INVENTARIO'!$A$2:$Y$1148,18,FALSE)</f>
        <v>SPA942</v>
      </c>
      <c r="J357" s="168" t="str">
        <f>VLOOKUP($A357,'030523 INVENTARIO'!$A$2:$Y$1148,19,FALSE)</f>
        <v>4LO00H118289</v>
      </c>
      <c r="K357" s="168" t="str">
        <f>VLOOKUP($A357,'030523 INVENTARIO'!$A$2:$Y$1148,20,FALSE)</f>
        <v>82DH0565010001000651111</v>
      </c>
      <c r="L357" s="167" t="str">
        <f>VLOOKUP($A357,'030523 INVENTARIO'!$A$2:$Y$1148,23,FALSE)</f>
        <v>BLANCA ELIZABETH ALCANTAR GUERRERO</v>
      </c>
    </row>
    <row r="358" spans="1:12" ht="12.75" hidden="1">
      <c r="A358" s="167" t="str">
        <f>'030523 INVENTARIO'!A358</f>
        <v>0357</v>
      </c>
      <c r="B358" s="168" t="str">
        <f>'030523 INVENTARIO'!T358</f>
        <v>82DH0511010010000649658</v>
      </c>
      <c r="C358" s="167" t="str">
        <f t="shared" si="0"/>
        <v>649658</v>
      </c>
      <c r="D358" s="167" t="str">
        <f>IF(VLOOKUP(C358,'Patrimonio 2023'!$C$2:$C$1128,1,FALSE) = C358, "Encontrado", "no")</f>
        <v>Encontrado</v>
      </c>
      <c r="E358" s="167" t="str">
        <f>VLOOKUP($A358,'030523 INVENTARIO'!$A$2:$Y$1148,5,FALSE)</f>
        <v>MESA</v>
      </c>
      <c r="F358" s="167" t="str">
        <f>VLOOKUP($A358,'030523 INVENTARIO'!$A$2:$Y$1148,6,FALSE)</f>
        <v>MESA DE MADERA COMPLEMENTO TIPO BALA</v>
      </c>
      <c r="G358" s="167" t="str">
        <f ca="1">VLOOKUP($A358,'030523 INVENTARIO'!$A$2:$Y$1148,8,FALSE)</f>
        <v>P12SI-0357</v>
      </c>
      <c r="H358" s="168" t="str">
        <f>VLOOKUP($A358,'030523 INVENTARIO'!$A$2:$Y$1148,17,FALSE)</f>
        <v>S/M</v>
      </c>
      <c r="I358" s="167" t="str">
        <f>VLOOKUP($A358,'030523 INVENTARIO'!$A$2:$Y$1148,18,FALSE)</f>
        <v>S/M</v>
      </c>
      <c r="J358" s="168" t="str">
        <f>VLOOKUP($A358,'030523 INVENTARIO'!$A$2:$Y$1148,19,FALSE)</f>
        <v>SIN SERIE</v>
      </c>
      <c r="K358" s="168" t="str">
        <f>VLOOKUP($A358,'030523 INVENTARIO'!$A$2:$Y$1148,20,FALSE)</f>
        <v>82DH0511010010000649658</v>
      </c>
      <c r="L358" s="167" t="str">
        <f>VLOOKUP($A358,'030523 INVENTARIO'!$A$2:$Y$1148,23,FALSE)</f>
        <v>MAXIMILIANO ECHEVARRIA CLEMENTE</v>
      </c>
    </row>
    <row r="359" spans="1:12" ht="12.75" hidden="1">
      <c r="A359" s="167" t="str">
        <f>'030523 INVENTARIO'!A359</f>
        <v>0358</v>
      </c>
      <c r="B359" s="168" t="str">
        <f>'030523 INVENTARIO'!T359</f>
        <v>82DH0515010016000649438</v>
      </c>
      <c r="C359" s="167" t="str">
        <f t="shared" si="0"/>
        <v>649438</v>
      </c>
      <c r="D359" s="167" t="str">
        <f>IF(VLOOKUP(C359,'Patrimonio 2023'!$C$2:$C$1128,1,FALSE) = C359, "Encontrado", "no")</f>
        <v>Encontrado</v>
      </c>
      <c r="E359" s="167" t="str">
        <f>VLOOKUP($A359,'030523 INVENTARIO'!$A$2:$Y$1148,5,FALSE)</f>
        <v>NO BREAK</v>
      </c>
      <c r="F359" s="167" t="str">
        <f>VLOOKUP($A359,'030523 INVENTARIO'!$A$2:$Y$1148,6,FALSE)</f>
        <v>NO BREAK BLANCO</v>
      </c>
      <c r="G359" s="167" t="str">
        <f ca="1">VLOOKUP($A359,'030523 INVENTARIO'!$A$2:$Y$1148,8,FALSE)</f>
        <v>P12SI-0358</v>
      </c>
      <c r="H359" s="168" t="str">
        <f>VLOOKUP($A359,'030523 INVENTARIO'!$A$2:$Y$1148,17,FALSE)</f>
        <v>VICA</v>
      </c>
      <c r="I359" s="167" t="str">
        <f>VLOOKUP($A359,'030523 INVENTARIO'!$A$2:$Y$1148,18,FALSE)</f>
        <v>S900</v>
      </c>
      <c r="J359" s="168" t="str">
        <f>VLOOKUP($A359,'030523 INVENTARIO'!$A$2:$Y$1148,19,FALSE)</f>
        <v>321608302456</v>
      </c>
      <c r="K359" s="168" t="str">
        <f>VLOOKUP($A359,'030523 INVENTARIO'!$A$2:$Y$1148,20,FALSE)</f>
        <v>82DH0515010016000649438</v>
      </c>
      <c r="L359" s="167" t="str">
        <f>VLOOKUP($A359,'030523 INVENTARIO'!$A$2:$Y$1148,23,FALSE)</f>
        <v>CHRISTIAN ZARCO MERCADO</v>
      </c>
    </row>
    <row r="360" spans="1:12" ht="12.75" hidden="1">
      <c r="A360" s="167" t="str">
        <f>'030523 INVENTARIO'!A360</f>
        <v>0359</v>
      </c>
      <c r="B360" s="168" t="str">
        <f>'030523 INVENTARIO'!T360</f>
        <v>82DJ0511010006000651117</v>
      </c>
      <c r="C360" s="167" t="str">
        <f t="shared" si="0"/>
        <v>651117</v>
      </c>
      <c r="D360" s="167" t="str">
        <f>IF(VLOOKUP(C360,'Patrimonio 2023'!$C$2:$C$1128,1,FALSE) = C360, "Encontrado", "no")</f>
        <v>Encontrado</v>
      </c>
      <c r="E360" s="167" t="str">
        <f>VLOOKUP($A360,'030523 INVENTARIO'!$A$2:$Y$1148,5,FALSE)</f>
        <v>ESCRITORIO</v>
      </c>
      <c r="F360" s="168" t="str">
        <f>VLOOKUP($A360,'030523 INVENTARIO'!$A$2:$Y$1148,6,FALSE)</f>
        <v>ESCRITORIO CON 2 CAJONES Y SEPARADOR DE MADERA</v>
      </c>
      <c r="G360" s="167" t="str">
        <f ca="1">VLOOKUP($A360,'030523 INVENTARIO'!$A$2:$Y$1148,8,FALSE)</f>
        <v>P12SI-0359</v>
      </c>
      <c r="H360" s="168" t="str">
        <f>VLOOKUP($A360,'030523 INVENTARIO'!$A$2:$Y$1148,17,FALSE)</f>
        <v>S/M</v>
      </c>
      <c r="I360" s="167" t="str">
        <f>VLOOKUP($A360,'030523 INVENTARIO'!$A$2:$Y$1148,18,FALSE)</f>
        <v>S/M</v>
      </c>
      <c r="J360" s="168" t="str">
        <f>VLOOKUP($A360,'030523 INVENTARIO'!$A$2:$Y$1148,19,FALSE)</f>
        <v>SIN SERIE</v>
      </c>
      <c r="K360" s="168" t="str">
        <f>VLOOKUP($A360,'030523 INVENTARIO'!$A$2:$Y$1148,20,FALSE)</f>
        <v>82DJ0511010006000651117</v>
      </c>
      <c r="L360" s="167" t="str">
        <f>VLOOKUP($A360,'030523 INVENTARIO'!$A$2:$Y$1148,23,FALSE)</f>
        <v>KARINA CHAVEZ HERNANDEZ</v>
      </c>
    </row>
    <row r="361" spans="1:12" ht="12.75" hidden="1">
      <c r="A361" s="167" t="str">
        <f>'030523 INVENTARIO'!A361</f>
        <v>0360</v>
      </c>
      <c r="B361" s="168" t="str">
        <f>'030523 INVENTARIO'!T361</f>
        <v>82DJ0565010041000566531</v>
      </c>
      <c r="C361" s="167" t="str">
        <f t="shared" si="0"/>
        <v>566531</v>
      </c>
      <c r="D361" s="167" t="str">
        <f>IF(VLOOKUP(C361,'Patrimonio 2023'!$C$2:$C$1128,1,FALSE) = C361, "Encontrado", "no")</f>
        <v>Encontrado</v>
      </c>
      <c r="E361" s="167" t="str">
        <f>VLOOKUP($A361,'030523 INVENTARIO'!$A$2:$Y$1148,5,FALSE)</f>
        <v>MONITOR</v>
      </c>
      <c r="F361" s="167" t="str">
        <f>VLOOKUP($A361,'030523 INVENTARIO'!$A$2:$Y$1148,6,FALSE)</f>
        <v>MONITOR 19.5"</v>
      </c>
      <c r="G361" s="167" t="str">
        <f ca="1">VLOOKUP($A361,'030523 INVENTARIO'!$A$2:$Y$1148,8,FALSE)</f>
        <v>P12SI-0360</v>
      </c>
      <c r="H361" s="168" t="str">
        <f>VLOOKUP($A361,'030523 INVENTARIO'!$A$2:$Y$1148,17,FALSE)</f>
        <v>HP</v>
      </c>
      <c r="I361" s="167" t="str">
        <f>VLOOKUP($A361,'030523 INVENTARIO'!$A$2:$Y$1148,18,FALSE)</f>
        <v>W1907</v>
      </c>
      <c r="J361" s="168" t="str">
        <f>VLOOKUP($A361,'030523 INVENTARIO'!$A$2:$Y$1148,19,FALSE)</f>
        <v>CNN713041F</v>
      </c>
      <c r="K361" s="168" t="str">
        <f>VLOOKUP($A361,'030523 INVENTARIO'!$A$2:$Y$1148,20,FALSE)</f>
        <v>82DJ0565010041000566531</v>
      </c>
      <c r="L361" s="167" t="str">
        <f>VLOOKUP($A361,'030523 INVENTARIO'!$A$2:$Y$1148,23,FALSE)</f>
        <v>CHRISTIAN ZARCO MERCADO</v>
      </c>
    </row>
    <row r="362" spans="1:12" ht="12.75" hidden="1">
      <c r="A362" s="167" t="str">
        <f>'030523 INVENTARIO'!A362</f>
        <v>0361</v>
      </c>
      <c r="B362" s="168" t="str">
        <f>'030523 INVENTARIO'!T362</f>
        <v>82DJ0515010033000651116</v>
      </c>
      <c r="C362" s="167" t="str">
        <f t="shared" si="0"/>
        <v>651116</v>
      </c>
      <c r="D362" s="167" t="str">
        <f>IF(VLOOKUP(C362,'Patrimonio 2023'!$C$2:$C$1128,1,FALSE) = C362, "Encontrado", "no")</f>
        <v>Encontrado</v>
      </c>
      <c r="E362" s="167" t="str">
        <f>VLOOKUP($A362,'030523 INVENTARIO'!$A$2:$Y$1148,5,FALSE)</f>
        <v>COMPLEMENTARIO DE EQUIPO DE COMPUTO</v>
      </c>
      <c r="F362" s="168" t="str">
        <f>VLOOKUP($A362,'030523 INVENTARIO'!$A$2:$Y$1148,6,FALSE)</f>
        <v>COMPLEMENTO DE EQUIPO DE MADERA</v>
      </c>
      <c r="G362" s="167" t="str">
        <f ca="1">VLOOKUP($A362,'030523 INVENTARIO'!$A$2:$Y$1148,8,FALSE)</f>
        <v>P12SI-0361</v>
      </c>
      <c r="H362" s="168" t="str">
        <f>VLOOKUP($A362,'030523 INVENTARIO'!$A$2:$Y$1148,17,FALSE)</f>
        <v>S/M</v>
      </c>
      <c r="I362" s="167" t="str">
        <f>VLOOKUP($A362,'030523 INVENTARIO'!$A$2:$Y$1148,18,FALSE)</f>
        <v>S/M</v>
      </c>
      <c r="J362" s="168" t="str">
        <f>VLOOKUP($A362,'030523 INVENTARIO'!$A$2:$Y$1148,19,FALSE)</f>
        <v>SIN SERIE</v>
      </c>
      <c r="K362" s="168" t="str">
        <f>VLOOKUP($A362,'030523 INVENTARIO'!$A$2:$Y$1148,20,FALSE)</f>
        <v>82DJ0515010033000651116</v>
      </c>
      <c r="L362" s="167" t="str">
        <f>VLOOKUP($A362,'030523 INVENTARIO'!$A$2:$Y$1148,23,FALSE)</f>
        <v>KARINA CHAVEZ HERNANDEZ</v>
      </c>
    </row>
    <row r="363" spans="1:12" ht="12.75" hidden="1">
      <c r="A363" s="167" t="str">
        <f>'030523 INVENTARIO'!A363</f>
        <v>0362</v>
      </c>
      <c r="B363" s="168" t="str">
        <f>'030523 INVENTARIO'!T363</f>
        <v>82DJ0515010016000651115</v>
      </c>
      <c r="C363" s="167" t="str">
        <f t="shared" si="0"/>
        <v>651115</v>
      </c>
      <c r="D363" s="167" t="str">
        <f>IF(VLOOKUP(C363,'Patrimonio 2023'!$C$2:$C$1128,1,FALSE) = C363, "Encontrado", "no")</f>
        <v>Encontrado</v>
      </c>
      <c r="E363" s="167" t="str">
        <f>VLOOKUP($A363,'030523 INVENTARIO'!$A$2:$Y$1148,5,FALSE)</f>
        <v>NO BREAK</v>
      </c>
      <c r="F363" s="168" t="str">
        <f>VLOOKUP($A363,'030523 INVENTARIO'!$A$2:$Y$1148,6,FALSE)</f>
        <v>NO BREAK</v>
      </c>
      <c r="G363" s="167" t="str">
        <f ca="1">VLOOKUP($A363,'030523 INVENTARIO'!$A$2:$Y$1148,8,FALSE)</f>
        <v>P12SI-0362</v>
      </c>
      <c r="H363" s="168" t="str">
        <f>VLOOKUP($A363,'030523 INVENTARIO'!$A$2:$Y$1148,17,FALSE)</f>
        <v>CDP</v>
      </c>
      <c r="I363" s="167" t="str">
        <f>VLOOKUP($A363,'030523 INVENTARIO'!$A$2:$Y$1148,18,FALSE)</f>
        <v>S/M</v>
      </c>
      <c r="J363" s="168" t="str">
        <f>VLOOKUP($A363,'030523 INVENTARIO'!$A$2:$Y$1148,19,FALSE)</f>
        <v>1001110220613</v>
      </c>
      <c r="K363" s="168" t="str">
        <f>VLOOKUP($A363,'030523 INVENTARIO'!$A$2:$Y$1148,20,FALSE)</f>
        <v>82DJ0515010016000651115</v>
      </c>
      <c r="L363" s="167" t="str">
        <f>VLOOKUP($A363,'030523 INVENTARIO'!$A$2:$Y$1148,23,FALSE)</f>
        <v>KARINA CHAVEZ HERNANDEZ</v>
      </c>
    </row>
    <row r="364" spans="1:12" ht="12.75" hidden="1">
      <c r="A364" s="167" t="str">
        <f>'030523 INVENTARIO'!A364</f>
        <v>0363</v>
      </c>
      <c r="B364" s="168" t="str">
        <f>'030523 INVENTARIO'!T364</f>
        <v>82DJ0515010003000649690</v>
      </c>
      <c r="C364" s="167" t="str">
        <f t="shared" si="0"/>
        <v>649690</v>
      </c>
      <c r="D364" s="167" t="str">
        <f>IF(VLOOKUP(C364,'Patrimonio 2023'!$C$2:$C$1128,1,FALSE) = C364, "Encontrado", "no")</f>
        <v>Encontrado</v>
      </c>
      <c r="E364" s="167" t="str">
        <f>VLOOKUP($A364,'030523 INVENTARIO'!$A$2:$Y$1148,5,FALSE)</f>
        <v>COMPUTADORA DE ESCRITORIO</v>
      </c>
      <c r="F364" s="168" t="str">
        <f>VLOOKUP($A364,'030523 INVENTARIO'!$A$2:$Y$1148,6,FALSE)</f>
        <v>COMPUTADORA NEGRO</v>
      </c>
      <c r="G364" s="167" t="str">
        <f ca="1">VLOOKUP($A364,'030523 INVENTARIO'!$A$2:$Y$1148,8,FALSE)</f>
        <v>P12SI-0363</v>
      </c>
      <c r="H364" s="168" t="str">
        <f>VLOOKUP($A364,'030523 INVENTARIO'!$A$2:$Y$1148,17,FALSE)</f>
        <v>ACER</v>
      </c>
      <c r="I364" s="167" t="str">
        <f>VLOOKUP($A364,'030523 INVENTARIO'!$A$2:$Y$1148,18,FALSE)</f>
        <v>AX3990</v>
      </c>
      <c r="J364" s="168" t="str">
        <f>VLOOKUP($A364,'030523 INVENTARIO'!$A$2:$Y$1148,19,FALSE)</f>
        <v>DTSGKAL00321003EC9200</v>
      </c>
      <c r="K364" s="168" t="str">
        <f>VLOOKUP($A364,'030523 INVENTARIO'!$A$2:$Y$1148,20,FALSE)</f>
        <v>82DJ0515010003000649690</v>
      </c>
      <c r="L364" s="167" t="str">
        <f>VLOOKUP($A364,'030523 INVENTARIO'!$A$2:$Y$1148,23,FALSE)</f>
        <v>MAXIMILIANO ECHEVARRIA CLEMENTE</v>
      </c>
    </row>
    <row r="365" spans="1:12" ht="12.75" hidden="1">
      <c r="A365" s="167" t="str">
        <f>'030523 INVENTARIO'!A365</f>
        <v>0364</v>
      </c>
      <c r="B365" s="167" t="str">
        <f>'030523 INVENTARIO'!T365</f>
        <v>82DJ0531010094000564888</v>
      </c>
      <c r="C365" s="167" t="str">
        <f t="shared" si="0"/>
        <v>564888</v>
      </c>
      <c r="D365" s="167" t="str">
        <f>IF(VLOOKUP(C365,'Patrimonio 2023'!$C$2:$C$1128,1,FALSE) = C365, "Encontrado", "no")</f>
        <v>Encontrado</v>
      </c>
      <c r="E365" s="167" t="str">
        <f>VLOOKUP($A365,'030523 INVENTARIO'!$A$2:$Y$1148,5,FALSE)</f>
        <v>VENTILADOR</v>
      </c>
      <c r="F365" s="167" t="str">
        <f>VLOOKUP($A365,'030523 INVENTARIO'!$A$2:$Y$1148,6,FALSE)</f>
        <v>VENTILADOR BLANCO</v>
      </c>
      <c r="G365" s="167" t="str">
        <f ca="1">VLOOKUP($A365,'030523 INVENTARIO'!$A$2:$Y$1148,8,FALSE)</f>
        <v>P12SI-0364</v>
      </c>
      <c r="H365" s="168" t="str">
        <f>VLOOKUP($A365,'030523 INVENTARIO'!$A$2:$Y$1148,17,FALSE)</f>
        <v>LASKO</v>
      </c>
      <c r="I365" s="167" t="str">
        <f>VLOOKUP($A365,'030523 INVENTARIO'!$A$2:$Y$1148,18,FALSE)</f>
        <v>2510M</v>
      </c>
      <c r="J365" s="168" t="str">
        <f>VLOOKUP($A365,'030523 INVENTARIO'!$A$2:$Y$1148,19,FALSE)</f>
        <v>SIN SERIE</v>
      </c>
      <c r="K365" s="167" t="str">
        <f>VLOOKUP($A365,'030523 INVENTARIO'!$A$2:$Y$1148,20,FALSE)</f>
        <v>82DJ0531010094000564888</v>
      </c>
      <c r="L365" s="167" t="str">
        <f>VLOOKUP($A365,'030523 INVENTARIO'!$A$2:$Y$1148,23,FALSE)</f>
        <v>KARINA CHAVEZ HERNANDEZ</v>
      </c>
    </row>
    <row r="366" spans="1:12" ht="12.75" hidden="1">
      <c r="A366" s="167" t="str">
        <f>'030523 INVENTARIO'!A366</f>
        <v>0365</v>
      </c>
      <c r="B366" s="168" t="str">
        <f>'030523 INVENTARIO'!T366</f>
        <v>82DJ0511010016000515599</v>
      </c>
      <c r="C366" s="167" t="str">
        <f t="shared" si="0"/>
        <v>515599</v>
      </c>
      <c r="D366" s="167" t="str">
        <f>IF(VLOOKUP(C366,'Patrimonio 2023'!$C$2:$C$1128,1,FALSE) = C366, "Encontrado", "no")</f>
        <v>Encontrado</v>
      </c>
      <c r="E366" s="167" t="str">
        <f>VLOOKUP($A366,'030523 INVENTARIO'!$A$2:$Y$1148,5,FALSE)</f>
        <v>SILLON</v>
      </c>
      <c r="F366" s="167" t="str">
        <f>VLOOKUP($A366,'030523 INVENTARIO'!$A$2:$Y$1148,6,FALSE)</f>
        <v>SILLÓN NEGRO CON RUEDAS</v>
      </c>
      <c r="G366" s="167" t="str">
        <f ca="1">VLOOKUP($A366,'030523 INVENTARIO'!$A$2:$Y$1148,8,FALSE)</f>
        <v>P12SI-0365</v>
      </c>
      <c r="H366" s="168" t="str">
        <f>VLOOKUP($A366,'030523 INVENTARIO'!$A$2:$Y$1148,17,FALSE)</f>
        <v>S/M</v>
      </c>
      <c r="I366" s="167" t="str">
        <f>VLOOKUP($A366,'030523 INVENTARIO'!$A$2:$Y$1148,18,FALSE)</f>
        <v>S/M</v>
      </c>
      <c r="J366" s="168" t="str">
        <f>VLOOKUP($A366,'030523 INVENTARIO'!$A$2:$Y$1148,19,FALSE)</f>
        <v>SIN SERIE</v>
      </c>
      <c r="K366" s="168" t="str">
        <f>VLOOKUP($A366,'030523 INVENTARIO'!$A$2:$Y$1148,20,FALSE)</f>
        <v>82DJ0511010016000515599</v>
      </c>
      <c r="L366" s="167" t="str">
        <f>VLOOKUP($A366,'030523 INVENTARIO'!$A$2:$Y$1148,23,FALSE)</f>
        <v>MAXIMILIANO ECHEVARRIA CLEMENTE</v>
      </c>
    </row>
    <row r="367" spans="1:12" ht="12.75" hidden="1">
      <c r="A367" s="167" t="str">
        <f>'030523 INVENTARIO'!A367</f>
        <v>0366</v>
      </c>
      <c r="B367" s="167" t="str">
        <f>'030523 INVENTARIO'!T367</f>
        <v>SIN RESGUARDO</v>
      </c>
      <c r="C367" s="167" t="str">
        <f t="shared" si="0"/>
        <v/>
      </c>
      <c r="D367" s="167" t="e">
        <f>IF(VLOOKUP(C367,'Patrimonio 2023'!$C$2:$C$1128,1,FALSE) = C367, "Encontrado", "no")</f>
        <v>#N/A</v>
      </c>
      <c r="E367" s="167" t="str">
        <f>VLOOKUP($A367,'030523 INVENTARIO'!$A$2:$Y$1148,5,FALSE)</f>
        <v>ADAPTADOR</v>
      </c>
      <c r="F367" s="167" t="str">
        <f>VLOOKUP($A367,'030523 INVENTARIO'!$A$2:$Y$1148,6,FALSE)</f>
        <v>ANTENA WIFI</v>
      </c>
      <c r="G367" s="167" t="str">
        <f ca="1">VLOOKUP($A367,'030523 INVENTARIO'!$A$2:$Y$1148,8,FALSE)</f>
        <v>P12SI-0366</v>
      </c>
      <c r="H367" s="168" t="str">
        <f>VLOOKUP($A367,'030523 INVENTARIO'!$A$2:$Y$1148,17,FALSE)</f>
        <v>TP-LINK</v>
      </c>
      <c r="I367" s="167" t="str">
        <f>VLOOKUP($A367,'030523 INVENTARIO'!$A$2:$Y$1148,18,FALSE)</f>
        <v>TL-WN722N</v>
      </c>
      <c r="J367" s="167" t="str">
        <f>VLOOKUP($A367,'030523 INVENTARIO'!$A$2:$Y$1148,19,FALSE)</f>
        <v>119B3205593</v>
      </c>
      <c r="K367" s="167" t="str">
        <f>VLOOKUP($A367,'030523 INVENTARIO'!$A$2:$Y$1148,20,FALSE)</f>
        <v>SIN RESGUARDO</v>
      </c>
      <c r="L367" s="167" t="str">
        <f>VLOOKUP($A367,'030523 INVENTARIO'!$A$2:$Y$1148,23,FALSE)</f>
        <v>JUAN PABLO AVILA LOPEZ</v>
      </c>
    </row>
    <row r="368" spans="1:12" ht="12.75" hidden="1">
      <c r="A368" s="167" t="str">
        <f>'030523 INVENTARIO'!A368</f>
        <v>0367</v>
      </c>
      <c r="B368" s="167" t="str">
        <f>'030523 INVENTARIO'!T368</f>
        <v>82DJ0565010041000543572</v>
      </c>
      <c r="C368" s="167" t="str">
        <f t="shared" si="0"/>
        <v>543572</v>
      </c>
      <c r="D368" s="167" t="str">
        <f>IF(VLOOKUP(C368,'Patrimonio 2023'!$C$2:$C$1128,1,FALSE) = C368, "Encontrado", "no")</f>
        <v>Encontrado</v>
      </c>
      <c r="E368" s="167" t="str">
        <f>VLOOKUP($A368,'030523 INVENTARIO'!$A$2:$Y$1148,5,FALSE)</f>
        <v>MONITOR</v>
      </c>
      <c r="F368" s="167" t="str">
        <f>VLOOKUP($A368,'030523 INVENTARIO'!$A$2:$Y$1148,6,FALSE)</f>
        <v>MONITOR</v>
      </c>
      <c r="G368" s="167" t="str">
        <f ca="1">VLOOKUP($A368,'030523 INVENTARIO'!$A$2:$Y$1148,8,FALSE)</f>
        <v>P12SI-0367</v>
      </c>
      <c r="H368" s="168" t="str">
        <f>VLOOKUP($A368,'030523 INVENTARIO'!$A$2:$Y$1148,17,FALSE)</f>
        <v>ACER</v>
      </c>
      <c r="I368" s="167" t="str">
        <f>VLOOKUP($A368,'030523 INVENTARIO'!$A$2:$Y$1148,18,FALSE)</f>
        <v>P186HV</v>
      </c>
      <c r="J368" s="168" t="str">
        <f>VLOOKUP($A368,'030523 INVENTARIO'!$A$2:$Y$1148,19,FALSE)</f>
        <v>ETLPZ0W0042020195F4321</v>
      </c>
      <c r="K368" s="167" t="str">
        <f>VLOOKUP($A368,'030523 INVENTARIO'!$A$2:$Y$1148,20,FALSE)</f>
        <v>82DJ0565010041000543572</v>
      </c>
      <c r="L368" s="167" t="str">
        <f>VLOOKUP($A368,'030523 INVENTARIO'!$A$2:$Y$1148,23,FALSE)</f>
        <v>OSCAR EFRAIN ORTIZ QUIÑONES</v>
      </c>
    </row>
    <row r="369" spans="1:12" ht="12.75" hidden="1">
      <c r="A369" s="167" t="str">
        <f>'030523 INVENTARIO'!A369</f>
        <v>0368</v>
      </c>
      <c r="B369" s="167" t="str">
        <f>'030523 INVENTARIO'!T369</f>
        <v>82DK0565010041000539105</v>
      </c>
      <c r="C369" s="167" t="str">
        <f t="shared" si="0"/>
        <v>539105</v>
      </c>
      <c r="D369" s="167" t="str">
        <f>IF(VLOOKUP(C369,'Patrimonio 2023'!$C$2:$C$1128,1,FALSE) = C369, "Encontrado", "no")</f>
        <v>Encontrado</v>
      </c>
      <c r="E369" s="167" t="str">
        <f>VLOOKUP($A369,'030523 INVENTARIO'!$A$2:$Y$1148,5,FALSE)</f>
        <v>MONITOR</v>
      </c>
      <c r="F369" s="167" t="str">
        <f>VLOOKUP($A369,'030523 INVENTARIO'!$A$2:$Y$1148,6,FALSE)</f>
        <v>MONITOR</v>
      </c>
      <c r="G369" s="167" t="str">
        <f ca="1">VLOOKUP($A369,'030523 INVENTARIO'!$A$2:$Y$1148,8,FALSE)</f>
        <v>P12SI-0368</v>
      </c>
      <c r="H369" s="168" t="str">
        <f>VLOOKUP($A369,'030523 INVENTARIO'!$A$2:$Y$1148,17,FALSE)</f>
        <v>ACER</v>
      </c>
      <c r="I369" s="167" t="str">
        <f>VLOOKUP($A369,'030523 INVENTARIO'!$A$2:$Y$1148,18,FALSE)</f>
        <v>P186HV</v>
      </c>
      <c r="J369" s="168" t="str">
        <f>VLOOKUP($A369,'030523 INVENTARIO'!$A$2:$Y$1148,19,FALSE)</f>
        <v>ETLPZ0W0042060333D4321</v>
      </c>
      <c r="K369" s="167" t="str">
        <f>VLOOKUP($A369,'030523 INVENTARIO'!$A$2:$Y$1148,20,FALSE)</f>
        <v>82DK0565010041000539105</v>
      </c>
      <c r="L369" s="167" t="str">
        <f>VLOOKUP($A369,'030523 INVENTARIO'!$A$2:$Y$1148,23,FALSE)</f>
        <v>OSCAR EFRAIN ORTIZ QUIÑONES</v>
      </c>
    </row>
    <row r="370" spans="1:12" ht="12.75" hidden="1">
      <c r="A370" s="167" t="str">
        <f>'030523 INVENTARIO'!A370</f>
        <v>0369</v>
      </c>
      <c r="B370" s="168" t="str">
        <f>'030523 INVENTARIO'!T370</f>
        <v>82DK0515010001000535424</v>
      </c>
      <c r="C370" s="167" t="str">
        <f t="shared" si="0"/>
        <v>535424</v>
      </c>
      <c r="D370" s="167" t="str">
        <f>IF(VLOOKUP(C370,'Patrimonio 2023'!$C$2:$C$1128,1,FALSE) = C370, "Encontrado", "no")</f>
        <v>Encontrado</v>
      </c>
      <c r="E370" s="167" t="str">
        <f>VLOOKUP($A370,'030523 INVENTARIO'!$A$2:$Y$1148,5,FALSE)</f>
        <v>COMPUTADORA DE ESCRITORIO</v>
      </c>
      <c r="F370" s="168" t="str">
        <f>VLOOKUP($A370,'030523 INVENTARIO'!$A$2:$Y$1148,6,FALSE)</f>
        <v>COMPUTADORA NEGRO</v>
      </c>
      <c r="G370" s="167" t="str">
        <f ca="1">VLOOKUP($A370,'030523 INVENTARIO'!$A$2:$Y$1148,8,FALSE)</f>
        <v>P12SI-0369</v>
      </c>
      <c r="H370" s="168" t="str">
        <f>VLOOKUP($A370,'030523 INVENTARIO'!$A$2:$Y$1148,17,FALSE)</f>
        <v>ACER</v>
      </c>
      <c r="I370" s="167" t="str">
        <f>VLOOKUP($A370,'030523 INVENTARIO'!$A$2:$Y$1148,18,FALSE)</f>
        <v>X3990</v>
      </c>
      <c r="J370" s="168" t="str">
        <f>VLOOKUP($A370,'030523 INVENTARIO'!$A$2:$Y$1148,19,FALSE)</f>
        <v>DTSGKAL003203064D39200</v>
      </c>
      <c r="K370" s="168" t="str">
        <f>VLOOKUP($A370,'030523 INVENTARIO'!$A$2:$Y$1148,20,FALSE)</f>
        <v>82DK0515010001000535424</v>
      </c>
      <c r="L370" s="167" t="str">
        <f>VLOOKUP($A370,'030523 INVENTARIO'!$A$2:$Y$1148,23,FALSE)</f>
        <v>OSCAR EFRAIN ORTIZ QUIÑONES</v>
      </c>
    </row>
    <row r="371" spans="1:12" ht="12.75" hidden="1">
      <c r="A371" s="167" t="str">
        <f>'030523 INVENTARIO'!A371</f>
        <v>0370</v>
      </c>
      <c r="B371" s="167" t="str">
        <f>'030523 INVENTARIO'!T371</f>
        <v>82DJ0515010056000651119</v>
      </c>
      <c r="C371" s="167" t="str">
        <f t="shared" si="0"/>
        <v>651119</v>
      </c>
      <c r="D371" s="167" t="str">
        <f>IF(VLOOKUP(C371,'Patrimonio 2023'!$C$2:$C$1128,1,FALSE) = C371, "Encontrado", "no")</f>
        <v>Encontrado</v>
      </c>
      <c r="E371" s="167" t="str">
        <f>VLOOKUP($A371,'030523 INVENTARIO'!$A$2:$Y$1148,5,FALSE)</f>
        <v>ADAPTADOR</v>
      </c>
      <c r="F371" s="167" t="str">
        <f>VLOOKUP($A371,'030523 INVENTARIO'!$A$2:$Y$1148,6,FALSE)</f>
        <v>TARJETA DE RED WIFI (ANTENA) USB</v>
      </c>
      <c r="G371" s="167" t="str">
        <f ca="1">VLOOKUP($A371,'030523 INVENTARIO'!$A$2:$Y$1148,8,FALSE)</f>
        <v>P12SI-0370</v>
      </c>
      <c r="H371" s="168" t="str">
        <f>VLOOKUP($A371,'030523 INVENTARIO'!$A$2:$Y$1148,17,FALSE)</f>
        <v>TPLINK</v>
      </c>
      <c r="I371" s="167" t="str">
        <f>VLOOKUP($A371,'030523 INVENTARIO'!$A$2:$Y$1148,18,FALSE)</f>
        <v>TLWN728200ND</v>
      </c>
      <c r="J371" s="168" t="str">
        <f>VLOOKUP($A371,'030523 INVENTARIO'!$A$2:$Y$1148,19,FALSE)</f>
        <v>135A3702854</v>
      </c>
      <c r="K371" s="167" t="str">
        <f>VLOOKUP($A371,'030523 INVENTARIO'!$A$2:$Y$1148,20,FALSE)</f>
        <v>82DJ0515010056000651119</v>
      </c>
      <c r="L371" s="167" t="str">
        <f>VLOOKUP($A371,'030523 INVENTARIO'!$A$2:$Y$1148,23,FALSE)</f>
        <v>OSCAR EFRAIN ORTIZ QUIÑONES</v>
      </c>
    </row>
    <row r="372" spans="1:12" ht="12.75" hidden="1">
      <c r="A372" s="167" t="str">
        <f>'030523 INVENTARIO'!A372</f>
        <v>0371</v>
      </c>
      <c r="B372" s="167" t="str">
        <f>'030523 INVENTARIO'!T372</f>
        <v>82DJ0515010014000539051</v>
      </c>
      <c r="C372" s="167" t="str">
        <f t="shared" si="0"/>
        <v>539051</v>
      </c>
      <c r="D372" s="167" t="str">
        <f>IF(VLOOKUP(C372,'Patrimonio 2023'!$C$2:$C$1128,1,FALSE) = C372, "Encontrado", "no")</f>
        <v>Encontrado</v>
      </c>
      <c r="E372" s="167" t="str">
        <f>VLOOKUP($A372,'030523 INVENTARIO'!$A$2:$Y$1148,5,FALSE)</f>
        <v>MULTIFUNCIONAL</v>
      </c>
      <c r="F372" s="168" t="str">
        <f>VLOOKUP($A372,'030523 INVENTARIO'!$A$2:$Y$1148,6,FALSE)</f>
        <v>MULTIFUNCIONAL</v>
      </c>
      <c r="G372" s="167" t="str">
        <f ca="1">VLOOKUP($A372,'030523 INVENTARIO'!$A$2:$Y$1148,8,FALSE)</f>
        <v>P15RM-0371</v>
      </c>
      <c r="H372" s="168" t="str">
        <f>VLOOKUP($A372,'030523 INVENTARIO'!$A$2:$Y$1148,17,FALSE)</f>
        <v>CANON</v>
      </c>
      <c r="I372" s="167" t="str">
        <f>VLOOKUP($A372,'030523 INVENTARIO'!$A$2:$Y$1148,18,FALSE)</f>
        <v>MP280</v>
      </c>
      <c r="J372" s="168" t="str">
        <f>VLOOKUP($A372,'030523 INVENTARIO'!$A$2:$Y$1148,19,FALSE)</f>
        <v>QC34907DB0101-34907</v>
      </c>
      <c r="K372" s="167" t="str">
        <f>VLOOKUP($A372,'030523 INVENTARIO'!$A$2:$Y$1148,20,FALSE)</f>
        <v>82DJ0515010014000539051</v>
      </c>
      <c r="L372" s="167" t="str">
        <f>VLOOKUP($A372,'030523 INVENTARIO'!$A$2:$Y$1148,23,FALSE)</f>
        <v>BLANCA ELIZABETH ALCANTAR GUERRERO</v>
      </c>
    </row>
    <row r="373" spans="1:12" ht="12.75" hidden="1">
      <c r="A373" s="167" t="str">
        <f>'030523 INVENTARIO'!A373</f>
        <v>0372</v>
      </c>
      <c r="B373" s="168" t="str">
        <f>'030523 INVENTARIO'!T373</f>
        <v>82DJ0519010043000649670</v>
      </c>
      <c r="C373" s="167" t="str">
        <f t="shared" si="0"/>
        <v>649670</v>
      </c>
      <c r="D373" s="167" t="str">
        <f>IF(VLOOKUP(C373,'Patrimonio 2023'!$C$2:$C$1128,1,FALSE) = C373, "Encontrado", "no")</f>
        <v>Encontrado</v>
      </c>
      <c r="E373" s="167" t="str">
        <f>VLOOKUP($A373,'030523 INVENTARIO'!$A$2:$Y$1148,5,FALSE)</f>
        <v>VENTILADOR</v>
      </c>
      <c r="F373" s="167" t="str">
        <f>VLOOKUP($A373,'030523 INVENTARIO'!$A$2:$Y$1148,6,FALSE)</f>
        <v>VENTILADOR GRIS TORRE</v>
      </c>
      <c r="G373" s="167" t="str">
        <f ca="1">VLOOKUP($A373,'030523 INVENTARIO'!$A$2:$Y$1148,8,FALSE)</f>
        <v>P12SI-0372</v>
      </c>
      <c r="H373" s="168" t="str">
        <f>VLOOKUP($A373,'030523 INVENTARIO'!$A$2:$Y$1148,17,FALSE)</f>
        <v>NAVIA</v>
      </c>
      <c r="I373" s="167" t="str">
        <f>VLOOKUP($A373,'030523 INVENTARIO'!$A$2:$Y$1148,18,FALSE)</f>
        <v>VTM-012</v>
      </c>
      <c r="J373" s="168" t="str">
        <f>VLOOKUP($A373,'030523 INVENTARIO'!$A$2:$Y$1148,19,FALSE)</f>
        <v>T002834</v>
      </c>
      <c r="K373" s="168" t="str">
        <f>VLOOKUP($A373,'030523 INVENTARIO'!$A$2:$Y$1148,20,FALSE)</f>
        <v>82DJ0519010043000649670</v>
      </c>
      <c r="L373" s="167" t="str">
        <f>VLOOKUP($A373,'030523 INVENTARIO'!$A$2:$Y$1148,23,FALSE)</f>
        <v>OSCAR EFRAIN ORTIZ QUIÑONES</v>
      </c>
    </row>
    <row r="374" spans="1:12" ht="12.75" hidden="1">
      <c r="A374" s="167" t="str">
        <f>'030523 INVENTARIO'!A374</f>
        <v>0373</v>
      </c>
      <c r="B374" s="167" t="str">
        <f>'030523 INVENTARIO'!T374</f>
        <v>82DJ0515010016000651118</v>
      </c>
      <c r="C374" s="167" t="str">
        <f t="shared" si="0"/>
        <v>651118</v>
      </c>
      <c r="D374" s="167" t="str">
        <f>IF(VLOOKUP(C374,'Patrimonio 2023'!$C$2:$C$1128,1,FALSE) = C374, "Encontrado", "no")</f>
        <v>Encontrado</v>
      </c>
      <c r="E374" s="167" t="str">
        <f>VLOOKUP($A374,'030523 INVENTARIO'!$A$2:$Y$1148,5,FALSE)</f>
        <v>NO BREAK</v>
      </c>
      <c r="F374" s="167" t="str">
        <f>VLOOKUP($A374,'030523 INVENTARIO'!$A$2:$Y$1148,6,FALSE)</f>
        <v>NO BREAK</v>
      </c>
      <c r="G374" s="167" t="str">
        <f ca="1">VLOOKUP($A374,'030523 INVENTARIO'!$A$2:$Y$1148,8,FALSE)</f>
        <v>P12SI-0373</v>
      </c>
      <c r="H374" s="168" t="str">
        <f>VLOOKUP($A374,'030523 INVENTARIO'!$A$2:$Y$1148,17,FALSE)</f>
        <v>TRIPP LITE</v>
      </c>
      <c r="I374" s="167" t="str">
        <f>VLOOKUP($A374,'030523 INVENTARIO'!$A$2:$Y$1148,18,FALSE)</f>
        <v>INTERNET550U</v>
      </c>
      <c r="J374" s="168" t="str">
        <f>VLOOKUP($A374,'030523 INVENTARIO'!$A$2:$Y$1148,19,FALSE)</f>
        <v>2208EEY0BC785702414</v>
      </c>
      <c r="K374" s="167" t="str">
        <f>VLOOKUP($A374,'030523 INVENTARIO'!$A$2:$Y$1148,20,FALSE)</f>
        <v>82DJ0515010016000651118</v>
      </c>
      <c r="L374" s="167" t="str">
        <f>VLOOKUP($A374,'030523 INVENTARIO'!$A$2:$Y$1148,23,FALSE)</f>
        <v>OSCAR EFRAIN ORTIZ QUIÑONES</v>
      </c>
    </row>
    <row r="375" spans="1:12" ht="12.75" hidden="1">
      <c r="A375" s="167" t="str">
        <f>'030523 INVENTARIO'!A375</f>
        <v>0374</v>
      </c>
      <c r="B375" s="168" t="str">
        <f>'030523 INVENTARIO'!T375</f>
        <v>82DJ0511010016000649671</v>
      </c>
      <c r="C375" s="167" t="str">
        <f t="shared" si="0"/>
        <v>649671</v>
      </c>
      <c r="D375" s="167" t="str">
        <f>IF(VLOOKUP(C375,'Patrimonio 2023'!$C$2:$C$1128,1,FALSE) = C375, "Encontrado", "no")</f>
        <v>Encontrado</v>
      </c>
      <c r="E375" s="167" t="str">
        <f>VLOOKUP($A375,'030523 INVENTARIO'!$A$2:$Y$1148,5,FALSE)</f>
        <v>SILLON</v>
      </c>
      <c r="F375" s="167" t="str">
        <f>VLOOKUP($A375,'030523 INVENTARIO'!$A$2:$Y$1148,6,FALSE)</f>
        <v>SILLÓN NEGRO CON RUEDAS</v>
      </c>
      <c r="G375" s="167" t="str">
        <f ca="1">VLOOKUP($A375,'030523 INVENTARIO'!$A$2:$Y$1148,8,FALSE)</f>
        <v>P12SI-0374</v>
      </c>
      <c r="H375" s="168" t="str">
        <f>VLOOKUP($A375,'030523 INVENTARIO'!$A$2:$Y$1148,17,FALSE)</f>
        <v>S/M</v>
      </c>
      <c r="I375" s="167" t="str">
        <f>VLOOKUP($A375,'030523 INVENTARIO'!$A$2:$Y$1148,18,FALSE)</f>
        <v>S/M</v>
      </c>
      <c r="J375" s="168" t="str">
        <f>VLOOKUP($A375,'030523 INVENTARIO'!$A$2:$Y$1148,19,FALSE)</f>
        <v>SIN SERIE</v>
      </c>
      <c r="K375" s="168" t="str">
        <f>VLOOKUP($A375,'030523 INVENTARIO'!$A$2:$Y$1148,20,FALSE)</f>
        <v>82DJ0511010016000649671</v>
      </c>
      <c r="L375" s="167" t="str">
        <f>VLOOKUP($A375,'030523 INVENTARIO'!$A$2:$Y$1148,23,FALSE)</f>
        <v>OSCAR EFRAIN ORTIZ QUIÑONES</v>
      </c>
    </row>
    <row r="376" spans="1:12" ht="12.75" hidden="1">
      <c r="A376" s="167" t="str">
        <f>'030523 INVENTARIO'!A376</f>
        <v>0375</v>
      </c>
      <c r="B376" s="168" t="str">
        <f>'030523 INVENTARIO'!T376</f>
        <v>82DK0512010011000535536</v>
      </c>
      <c r="C376" s="167" t="str">
        <f t="shared" si="0"/>
        <v>535536</v>
      </c>
      <c r="D376" s="167" t="str">
        <f>IF(VLOOKUP(C376,'Patrimonio 2023'!$C$2:$C$1128,1,FALSE) = C376, "Encontrado", "no")</f>
        <v>Encontrado</v>
      </c>
      <c r="E376" s="167" t="str">
        <f>VLOOKUP($A376,'030523 INVENTARIO'!$A$2:$Y$1148,5,FALSE)</f>
        <v>ESCRITORIO</v>
      </c>
      <c r="F376" s="167" t="str">
        <f>VLOOKUP($A376,'030523 INVENTARIO'!$A$2:$Y$1148,6,FALSE)</f>
        <v>MODULO DE MADERA 3 PIEZAS</v>
      </c>
      <c r="G376" s="167" t="str">
        <f ca="1">VLOOKUP($A376,'030523 INVENTARIO'!$A$2:$Y$1148,8,FALSE)</f>
        <v>P12SI-0375</v>
      </c>
      <c r="H376" s="168" t="str">
        <f>VLOOKUP($A376,'030523 INVENTARIO'!$A$2:$Y$1148,17,FALSE)</f>
        <v>S/M</v>
      </c>
      <c r="I376" s="167" t="str">
        <f>VLOOKUP($A376,'030523 INVENTARIO'!$A$2:$Y$1148,18,FALSE)</f>
        <v>S/M</v>
      </c>
      <c r="J376" s="168" t="str">
        <f>VLOOKUP($A376,'030523 INVENTARIO'!$A$2:$Y$1148,19,FALSE)</f>
        <v>SIN SERIE</v>
      </c>
      <c r="K376" s="168" t="str">
        <f>VLOOKUP($A376,'030523 INVENTARIO'!$A$2:$Y$1148,20,FALSE)</f>
        <v>82DK0512010011000535536</v>
      </c>
      <c r="L376" s="167" t="str">
        <f>VLOOKUP($A376,'030523 INVENTARIO'!$A$2:$Y$1148,23,FALSE)</f>
        <v>OSCAR EFRAIN ORTIZ QUIÑONES</v>
      </c>
    </row>
    <row r="377" spans="1:12" ht="12.75" hidden="1">
      <c r="A377" s="167" t="str">
        <f>'030523 INVENTARIO'!A377</f>
        <v>0376</v>
      </c>
      <c r="B377" s="168" t="str">
        <f>'030523 INVENTARIO'!T377</f>
        <v>82DH0519010043000649359</v>
      </c>
      <c r="C377" s="167" t="str">
        <f t="shared" si="0"/>
        <v>649359</v>
      </c>
      <c r="D377" s="167" t="str">
        <f>IF(VLOOKUP(C377,'Patrimonio 2023'!$C$2:$C$1128,1,FALSE) = C377, "Encontrado", "no")</f>
        <v>Encontrado</v>
      </c>
      <c r="E377" s="167" t="str">
        <f>VLOOKUP($A377,'030523 INVENTARIO'!$A$2:$Y$1148,5,FALSE)</f>
        <v>VENTILADOR</v>
      </c>
      <c r="F377" s="168" t="str">
        <f>VLOOKUP($A377,'030523 INVENTARIO'!$A$2:$Y$1148,6,FALSE)</f>
        <v>VENTILADOR DE PEDESTAL</v>
      </c>
      <c r="G377" s="167" t="str">
        <f ca="1">VLOOKUP($A377,'030523 INVENTARIO'!$A$2:$Y$1148,8,FALSE)</f>
        <v>P12SI-0376</v>
      </c>
      <c r="H377" s="168" t="str">
        <f>VLOOKUP($A377,'030523 INVENTARIO'!$A$2:$Y$1148,17,FALSE)</f>
        <v>NAVIA</v>
      </c>
      <c r="I377" s="167" t="str">
        <f>VLOOKUP($A377,'030523 INVENTARIO'!$A$2:$Y$1148,18,FALSE)</f>
        <v>VPN-118X</v>
      </c>
      <c r="J377" s="168" t="str">
        <f>VLOOKUP($A377,'030523 INVENTARIO'!$A$2:$Y$1148,19,FALSE)</f>
        <v>SIN SERIE</v>
      </c>
      <c r="K377" s="168" t="str">
        <f>VLOOKUP($A377,'030523 INVENTARIO'!$A$2:$Y$1148,20,FALSE)</f>
        <v>82DH0519010043000649359</v>
      </c>
      <c r="L377" s="167" t="str">
        <f>VLOOKUP($A377,'030523 INVENTARIO'!$A$2:$Y$1148,23,FALSE)</f>
        <v>CHRISTIAN ZARCO MERCADO</v>
      </c>
    </row>
    <row r="378" spans="1:12" ht="12.75" hidden="1">
      <c r="A378" s="167" t="str">
        <f>'030523 INVENTARIO'!A378</f>
        <v>0377</v>
      </c>
      <c r="B378" s="168" t="str">
        <f>'030523 INVENTARIO'!T378</f>
        <v>82DH0511010016000649653</v>
      </c>
      <c r="C378" s="167" t="str">
        <f t="shared" si="0"/>
        <v>649653</v>
      </c>
      <c r="D378" s="167" t="str">
        <f>IF(VLOOKUP(C378,'Patrimonio 2023'!$C$2:$C$1128,1,FALSE) = C378, "Encontrado", "no")</f>
        <v>Encontrado</v>
      </c>
      <c r="E378" s="167" t="str">
        <f>VLOOKUP($A378,'030523 INVENTARIO'!$A$2:$Y$1148,5,FALSE)</f>
        <v>SILLON</v>
      </c>
      <c r="F378" s="168" t="str">
        <f>VLOOKUP($A378,'030523 INVENTARIO'!$A$2:$Y$1148,6,FALSE)</f>
        <v>SILLON NEGRO CON RUEDAS</v>
      </c>
      <c r="G378" s="167" t="str">
        <f ca="1">VLOOKUP($A378,'030523 INVENTARIO'!$A$2:$Y$1148,8,FALSE)</f>
        <v>P05RM-0377</v>
      </c>
      <c r="H378" s="168" t="str">
        <f>VLOOKUP($A378,'030523 INVENTARIO'!$A$2:$Y$1148,17,FALSE)</f>
        <v>S/M</v>
      </c>
      <c r="I378" s="167" t="str">
        <f>VLOOKUP($A378,'030523 INVENTARIO'!$A$2:$Y$1148,18,FALSE)</f>
        <v>S/M</v>
      </c>
      <c r="J378" s="168" t="str">
        <f>VLOOKUP($A378,'030523 INVENTARIO'!$A$2:$Y$1148,19,FALSE)</f>
        <v>SIN SERIE</v>
      </c>
      <c r="K378" s="168" t="str">
        <f>VLOOKUP($A378,'030523 INVENTARIO'!$A$2:$Y$1148,20,FALSE)</f>
        <v>82DH0511010016000649653</v>
      </c>
      <c r="L378" s="167" t="str">
        <f>VLOOKUP($A378,'030523 INVENTARIO'!$A$2:$Y$1148,23,FALSE)</f>
        <v>BLANCA ELIZABETH ALCANTAR GUERRERO</v>
      </c>
    </row>
    <row r="379" spans="1:12" ht="12.75" hidden="1">
      <c r="A379" s="167" t="str">
        <f>'030523 INVENTARIO'!A379</f>
        <v>0378</v>
      </c>
      <c r="B379" s="167" t="str">
        <f>'030523 INVENTARIO'!T379</f>
        <v>SIN RESGUARDO</v>
      </c>
      <c r="C379" s="167" t="str">
        <f t="shared" si="0"/>
        <v/>
      </c>
      <c r="D379" s="167" t="e">
        <f>IF(VLOOKUP(C379,'Patrimonio 2023'!$C$2:$C$1128,1,FALSE) = C379, "Encontrado", "no")</f>
        <v>#N/A</v>
      </c>
      <c r="E379" s="167" t="str">
        <f>VLOOKUP($A379,'030523 INVENTARIO'!$A$2:$Y$1148,5,FALSE)</f>
        <v>ROUTER</v>
      </c>
      <c r="F379" s="167" t="str">
        <f>VLOOKUP($A379,'030523 INVENTARIO'!$A$2:$Y$1148,6,FALSE)</f>
        <v>ROUTER</v>
      </c>
      <c r="G379" s="167" t="str">
        <f ca="1">VLOOKUP($A379,'030523 INVENTARIO'!$A$2:$Y$1148,8,FALSE)</f>
        <v>P12SI-0378</v>
      </c>
      <c r="H379" s="168" t="str">
        <f>VLOOKUP($A379,'030523 INVENTARIO'!$A$2:$Y$1148,17,FALSE)</f>
        <v>TP-LINK</v>
      </c>
      <c r="I379" s="167" t="str">
        <f>VLOOKUP($A379,'030523 INVENTARIO'!$A$2:$Y$1148,18,FALSE)</f>
        <v>AC1750 C7</v>
      </c>
      <c r="J379" s="167">
        <f>VLOOKUP($A379,'030523 INVENTARIO'!$A$2:$Y$1148,19,FALSE)</f>
        <v>2159987001653</v>
      </c>
      <c r="K379" s="167" t="str">
        <f>VLOOKUP($A379,'030523 INVENTARIO'!$A$2:$Y$1148,20,FALSE)</f>
        <v>SIN RESGUARDO</v>
      </c>
      <c r="L379" s="167" t="str">
        <f>VLOOKUP($A379,'030523 INVENTARIO'!$A$2:$Y$1148,23,FALSE)</f>
        <v>CHRISTIAN ZARCO MERCADO</v>
      </c>
    </row>
    <row r="380" spans="1:12" ht="12.75" hidden="1">
      <c r="A380" s="167" t="str">
        <f>'030523 INVENTARIO'!A380</f>
        <v>0379</v>
      </c>
      <c r="B380" s="167" t="str">
        <f>'030523 INVENTARIO'!T380</f>
        <v>82DH0515010026000566194</v>
      </c>
      <c r="C380" s="167" t="str">
        <f t="shared" si="0"/>
        <v>566194</v>
      </c>
      <c r="D380" s="167" t="str">
        <f>IF(VLOOKUP(C380,'Patrimonio 2023'!$C$2:$C$1128,1,FALSE) = C380, "Encontrado", "no")</f>
        <v>Encontrado</v>
      </c>
      <c r="E380" s="167" t="str">
        <f>VLOOKUP($A380,'030523 INVENTARIO'!$A$2:$Y$1148,5,FALSE)</f>
        <v>SWITCH (CONCENTRADOR DE PUERTOS)</v>
      </c>
      <c r="F380" s="168" t="str">
        <f>VLOOKUP($A380,'030523 INVENTARIO'!$A$2:$Y$1148,6,FALSE)</f>
        <v>SWITCH BLANCO</v>
      </c>
      <c r="G380" s="167" t="str">
        <f ca="1">VLOOKUP($A380,'030523 INVENTARIO'!$A$2:$Y$1148,8,FALSE)</f>
        <v>P12SI-0379</v>
      </c>
      <c r="H380" s="168" t="str">
        <f>VLOOKUP($A380,'030523 INVENTARIO'!$A$2:$Y$1148,17,FALSE)</f>
        <v>3COM</v>
      </c>
      <c r="I380" s="167" t="str">
        <f>VLOOKUP($A380,'030523 INVENTARIO'!$A$2:$Y$1148,18,FALSE)</f>
        <v>3C16471</v>
      </c>
      <c r="J380" s="168" t="str">
        <f>VLOOKUP($A380,'030523 INVENTARIO'!$A$2:$Y$1148,19,FALSE)</f>
        <v>LV5G3L0180219</v>
      </c>
      <c r="K380" s="167" t="str">
        <f>VLOOKUP($A380,'030523 INVENTARIO'!$A$2:$Y$1148,20,FALSE)</f>
        <v>82DH0515010026000566194</v>
      </c>
      <c r="L380" s="167" t="str">
        <f>VLOOKUP($A380,'030523 INVENTARIO'!$A$2:$Y$1148,23,FALSE)</f>
        <v>CHRISTIAN ZARCO MERCADO</v>
      </c>
    </row>
    <row r="381" spans="1:12" ht="12.75" hidden="1">
      <c r="A381" s="167" t="str">
        <f>'030523 INVENTARIO'!A381</f>
        <v>0380</v>
      </c>
      <c r="B381" s="167" t="str">
        <f>'030523 INVENTARIO'!T381</f>
        <v>82DH0515010056000651126</v>
      </c>
      <c r="C381" s="167" t="str">
        <f t="shared" si="0"/>
        <v>651126</v>
      </c>
      <c r="D381" s="167" t="str">
        <f>IF(VLOOKUP(C381,'Patrimonio 2023'!$C$2:$C$1128,1,FALSE) = C381, "Encontrado", "no")</f>
        <v>Encontrado</v>
      </c>
      <c r="E381" s="167" t="str">
        <f>VLOOKUP($A381,'030523 INVENTARIO'!$A$2:$Y$1148,5,FALSE)</f>
        <v>ADAPTADOR</v>
      </c>
      <c r="F381" s="167" t="str">
        <f>VLOOKUP($A381,'030523 INVENTARIO'!$A$2:$Y$1148,6,FALSE)</f>
        <v>ADAPTADOR LECTOR DE DISCOS DUROS</v>
      </c>
      <c r="G381" s="167" t="str">
        <f ca="1">VLOOKUP($A381,'030523 INVENTARIO'!$A$2:$Y$1148,8,FALSE)</f>
        <v>P12SI-0380</v>
      </c>
      <c r="H381" s="168" t="str">
        <f>VLOOKUP($A381,'030523 INVENTARIO'!$A$2:$Y$1148,17,FALSE)</f>
        <v>SABRENT</v>
      </c>
      <c r="I381" s="167" t="str">
        <f>VLOOKUP($A381,'030523 INVENTARIO'!$A$2:$Y$1148,18,FALSE)</f>
        <v>DS-UBLK</v>
      </c>
      <c r="J381" s="167">
        <f>VLOOKUP($A381,'030523 INVENTARIO'!$A$2:$Y$1148,19,FALSE)</f>
        <v>60344924301373</v>
      </c>
      <c r="K381" s="167" t="str">
        <f>VLOOKUP($A381,'030523 INVENTARIO'!$A$2:$Y$1148,20,FALSE)</f>
        <v>82DH0515010056000651126</v>
      </c>
      <c r="L381" s="167" t="str">
        <f>VLOOKUP($A381,'030523 INVENTARIO'!$A$2:$Y$1148,23,FALSE)</f>
        <v>CHRISTIAN ZARCO MERCADO</v>
      </c>
    </row>
    <row r="382" spans="1:12" ht="12.75" hidden="1">
      <c r="A382" s="167" t="str">
        <f>'030523 INVENTARIO'!A382</f>
        <v>0381</v>
      </c>
      <c r="B382" s="167" t="str">
        <f>'030523 INVENTARIO'!T382</f>
        <v>82DH0515010056000649353</v>
      </c>
      <c r="C382" s="167" t="str">
        <f t="shared" si="0"/>
        <v>649353</v>
      </c>
      <c r="D382" s="167" t="str">
        <f>IF(VLOOKUP(C382,'Patrimonio 2023'!$C$2:$C$1128,1,FALSE) = C382, "Encontrado", "no")</f>
        <v>Encontrado</v>
      </c>
      <c r="E382" s="167" t="str">
        <f>VLOOKUP($A382,'030523 INVENTARIO'!$A$2:$Y$1148,5,FALSE)</f>
        <v>ADAPTADOR</v>
      </c>
      <c r="F382" s="167" t="str">
        <f>VLOOKUP($A382,'030523 INVENTARIO'!$A$2:$Y$1148,6,FALSE)</f>
        <v>ADAPTADOR DE RED PARA INTERNO</v>
      </c>
      <c r="G382" s="167" t="str">
        <f ca="1">VLOOKUP($A382,'030523 INVENTARIO'!$A$2:$Y$1148,8,FALSE)</f>
        <v>P12SI-0381</v>
      </c>
      <c r="H382" s="168" t="str">
        <f>VLOOKUP($A382,'030523 INVENTARIO'!$A$2:$Y$1148,17,FALSE)</f>
        <v>APC</v>
      </c>
      <c r="I382" s="167" t="str">
        <f>VLOOKUP($A382,'030523 INVENTARIO'!$A$2:$Y$1148,18,FALSE)</f>
        <v>NETOWORK MANAGEMENT</v>
      </c>
      <c r="J382" s="167">
        <f>VLOOKUP($A382,'030523 INVENTARIO'!$A$2:$Y$1148,19,FALSE)</f>
        <v>43201404</v>
      </c>
      <c r="K382" s="167" t="str">
        <f>VLOOKUP($A382,'030523 INVENTARIO'!$A$2:$Y$1148,20,FALSE)</f>
        <v>82DH0515010056000649353</v>
      </c>
      <c r="L382" s="167" t="str">
        <f>VLOOKUP($A382,'030523 INVENTARIO'!$A$2:$Y$1148,23,FALSE)</f>
        <v>CHRISTIAN ZARCO MERCADO</v>
      </c>
    </row>
    <row r="383" spans="1:12" ht="12.75" hidden="1">
      <c r="A383" s="167" t="str">
        <f>'030523 INVENTARIO'!A383</f>
        <v>0382</v>
      </c>
      <c r="B383" s="167" t="str">
        <f>'030523 INVENTARIO'!T383</f>
        <v>82DH0515010002000651030</v>
      </c>
      <c r="C383" s="167" t="str">
        <f t="shared" si="0"/>
        <v>651030</v>
      </c>
      <c r="D383" s="167" t="str">
        <f>IF(VLOOKUP(C383,'Patrimonio 2023'!$C$2:$C$1128,1,FALSE) = C383, "Encontrado", "no")</f>
        <v>Encontrado</v>
      </c>
      <c r="E383" s="167" t="str">
        <f>VLOOKUP($A383,'030523 INVENTARIO'!$A$2:$Y$1148,5,FALSE)</f>
        <v>COMPUTADORA PORTATIL</v>
      </c>
      <c r="F383" s="167" t="str">
        <f>VLOOKUP($A383,'030523 INVENTARIO'!$A$2:$Y$1148,6,FALSE)</f>
        <v>COMPUTADORA PORTATIL NEGRA</v>
      </c>
      <c r="G383" s="167" t="str">
        <f ca="1">VLOOKUP($A383,'030523 INVENTARIO'!$A$2:$Y$1148,8,FALSE)</f>
        <v>P12SI-0382</v>
      </c>
      <c r="H383" s="168" t="str">
        <f>VLOOKUP($A383,'030523 INVENTARIO'!$A$2:$Y$1148,17,FALSE)</f>
        <v>ACER</v>
      </c>
      <c r="I383" s="167" t="str">
        <f>VLOOKUP($A383,'030523 INVENTARIO'!$A$2:$Y$1148,18,FALSE)</f>
        <v>AN515-43-R6GB</v>
      </c>
      <c r="J383" s="167" t="str">
        <f>VLOOKUP($A383,'030523 INVENTARIO'!$A$2:$Y$1148,19,FALSE)</f>
        <v>NHQ6ZAL00403605A5A3</v>
      </c>
      <c r="K383" s="167" t="str">
        <f>VLOOKUP($A383,'030523 INVENTARIO'!$A$2:$Y$1148,20,FALSE)</f>
        <v>82DH0515010002000651030</v>
      </c>
      <c r="L383" s="167" t="str">
        <f>VLOOKUP($A383,'030523 INVENTARIO'!$A$2:$Y$1148,23,FALSE)</f>
        <v>KARINA CHAVEZ HERNANDEZ</v>
      </c>
    </row>
    <row r="384" spans="1:12" ht="12.75" hidden="1">
      <c r="A384" s="167" t="str">
        <f>'030523 INVENTARIO'!A384</f>
        <v>0383</v>
      </c>
      <c r="B384" s="167" t="str">
        <f>'030523 INVENTARIO'!T384</f>
        <v>82DH0515010006000650904</v>
      </c>
      <c r="C384" s="167" t="str">
        <f t="shared" si="0"/>
        <v>650904</v>
      </c>
      <c r="D384" s="167" t="str">
        <f>IF(VLOOKUP(C384,'Patrimonio 2023'!$C$2:$C$1128,1,FALSE) = C384, "Encontrado", "no")</f>
        <v>Encontrado</v>
      </c>
      <c r="E384" s="167" t="str">
        <f>VLOOKUP($A384,'030523 INVENTARIO'!$A$2:$Y$1148,5,FALSE)</f>
        <v>DISCO DURO</v>
      </c>
      <c r="F384" s="167" t="str">
        <f>VLOOKUP($A384,'030523 INVENTARIO'!$A$2:$Y$1148,6,FALSE)</f>
        <v>DISCO DURO 1TB AMARILLO CON NEGRO</v>
      </c>
      <c r="G384" s="167" t="str">
        <f ca="1">VLOOKUP($A384,'030523 INVENTARIO'!$A$2:$Y$1148,8,FALSE)</f>
        <v>P12SI-0383</v>
      </c>
      <c r="H384" s="168" t="str">
        <f>VLOOKUP($A384,'030523 INVENTARIO'!$A$2:$Y$1148,17,FALSE)</f>
        <v>ADATA</v>
      </c>
      <c r="I384" s="167" t="str">
        <f>VLOOKUP($A384,'030523 INVENTARIO'!$A$2:$Y$1148,18,FALSE)</f>
        <v>HD710P</v>
      </c>
      <c r="J384" s="167" t="str">
        <f>VLOOKUP($A384,'030523 INVENTARIO'!$A$2:$Y$1148,19,FALSE)</f>
        <v>1K0620359143</v>
      </c>
      <c r="K384" s="167" t="str">
        <f>VLOOKUP($A384,'030523 INVENTARIO'!$A$2:$Y$1148,20,FALSE)</f>
        <v>82DH0515010006000650904</v>
      </c>
      <c r="L384" s="167" t="str">
        <f>VLOOKUP($A384,'030523 INVENTARIO'!$A$2:$Y$1148,23,FALSE)</f>
        <v>CHRISTIAN ZARCO MERCADO</v>
      </c>
    </row>
    <row r="385" spans="1:12" ht="12.75" hidden="1">
      <c r="A385" s="167" t="str">
        <f>'030523 INVENTARIO'!A385</f>
        <v>0384</v>
      </c>
      <c r="B385" s="167" t="str">
        <f>'030523 INVENTARIO'!T385</f>
        <v xml:space="preserve">82DH0515010006000650903
</v>
      </c>
      <c r="C385" s="167" t="str">
        <f t="shared" si="0"/>
        <v>650903</v>
      </c>
      <c r="D385" s="167" t="str">
        <f>IF(VLOOKUP(C385,'Patrimonio 2023'!$C$2:$C$1128,1,FALSE) = C385, "Encontrado", "no")</f>
        <v>Encontrado</v>
      </c>
      <c r="E385" s="167" t="str">
        <f>VLOOKUP($A385,'030523 INVENTARIO'!$A$2:$Y$1148,5,FALSE)</f>
        <v>DISCO DURO</v>
      </c>
      <c r="F385" s="167" t="str">
        <f>VLOOKUP($A385,'030523 INVENTARIO'!$A$2:$Y$1148,6,FALSE)</f>
        <v>DISCO DURO 1TB AMARILLO CON NEGRO</v>
      </c>
      <c r="G385" s="167" t="str">
        <f ca="1">VLOOKUP($A385,'030523 INVENTARIO'!$A$2:$Y$1148,8,FALSE)</f>
        <v>P12SI-0384</v>
      </c>
      <c r="H385" s="168" t="str">
        <f>VLOOKUP($A385,'030523 INVENTARIO'!$A$2:$Y$1148,17,FALSE)</f>
        <v>ADATA</v>
      </c>
      <c r="I385" s="167" t="str">
        <f>VLOOKUP($A385,'030523 INVENTARIO'!$A$2:$Y$1148,18,FALSE)</f>
        <v>HD710P</v>
      </c>
      <c r="J385" s="167" t="str">
        <f>VLOOKUP($A385,'030523 INVENTARIO'!$A$2:$Y$1148,19,FALSE)</f>
        <v>1K0620359129</v>
      </c>
      <c r="K385" s="167" t="str">
        <f>VLOOKUP($A385,'030523 INVENTARIO'!$A$2:$Y$1148,20,FALSE)</f>
        <v xml:space="preserve">82DH0515010006000650903
</v>
      </c>
      <c r="L385" s="167" t="str">
        <f>VLOOKUP($A385,'030523 INVENTARIO'!$A$2:$Y$1148,23,FALSE)</f>
        <v>CHRISTIAN ZARCO MERCADO</v>
      </c>
    </row>
    <row r="386" spans="1:12" ht="12.75" hidden="1">
      <c r="A386" s="167" t="str">
        <f>'030523 INVENTARIO'!A386</f>
        <v>0385</v>
      </c>
      <c r="B386" s="168" t="str">
        <f>'030523 INVENTARIO'!T386</f>
        <v>82DH0565010046000530787</v>
      </c>
      <c r="C386" s="167" t="str">
        <f t="shared" si="0"/>
        <v>530787</v>
      </c>
      <c r="D386" s="167" t="str">
        <f>IF(VLOOKUP(C386,'Patrimonio 2023'!$C$2:$C$1128,1,FALSE) = C386, "Encontrado", "no")</f>
        <v>Encontrado</v>
      </c>
      <c r="E386" s="167" t="str">
        <f>VLOOKUP($A386,'030523 INVENTARIO'!$A$2:$Y$1148,5,FALSE)</f>
        <v>RACK</v>
      </c>
      <c r="F386" s="167" t="str">
        <f>VLOOKUP($A386,'030523 INVENTARIO'!$A$2:$Y$1148,6,FALSE)</f>
        <v>RACK</v>
      </c>
      <c r="G386" s="167" t="str">
        <f ca="1">VLOOKUP($A386,'030523 INVENTARIO'!$A$2:$Y$1148,8,FALSE)</f>
        <v>P12SI-0385</v>
      </c>
      <c r="H386" s="168" t="str">
        <f>VLOOKUP($A386,'030523 INVENTARIO'!$A$2:$Y$1148,17,FALSE)</f>
        <v>HP</v>
      </c>
      <c r="I386" s="167" t="str">
        <f>VLOOKUP($A386,'030523 INVENTARIO'!$A$2:$Y$1148,18,FALSE)</f>
        <v>358284-821</v>
      </c>
      <c r="J386" s="168" t="str">
        <f>VLOOKUP($A386,'030523 INVENTARIO'!$A$2:$Y$1148,19,FALSE)</f>
        <v>2C11361316</v>
      </c>
      <c r="K386" s="168" t="str">
        <f>VLOOKUP($A386,'030523 INVENTARIO'!$A$2:$Y$1148,20,FALSE)</f>
        <v>82DH0565010046000530787</v>
      </c>
      <c r="L386" s="167" t="str">
        <f>VLOOKUP($A386,'030523 INVENTARIO'!$A$2:$Y$1148,23,FALSE)</f>
        <v>CHRISTIAN ZARCO MERCADO</v>
      </c>
    </row>
    <row r="387" spans="1:12" ht="12.75" hidden="1">
      <c r="A387" s="167" t="str">
        <f>'030523 INVENTARIO'!A387</f>
        <v>0386</v>
      </c>
      <c r="B387" s="168" t="str">
        <f>'030523 INVENTARIO'!T387</f>
        <v>82DH0515010042000650641</v>
      </c>
      <c r="C387" s="167" t="str">
        <f t="shared" si="0"/>
        <v>650641</v>
      </c>
      <c r="D387" s="167" t="str">
        <f>IF(VLOOKUP(C387,'Patrimonio 2023'!$C$2:$C$1128,1,FALSE) = C387, "Encontrado", "no")</f>
        <v>Encontrado</v>
      </c>
      <c r="E387" s="167" t="str">
        <f>VLOOKUP($A387,'030523 INVENTARIO'!$A$2:$Y$1148,5,FALSE)</f>
        <v>SERVIDOR</v>
      </c>
      <c r="F387" s="168" t="str">
        <f>VLOOKUP($A387,'030523 INVENTARIO'!$A$2:$Y$1148,6,FALSE)</f>
        <v>SERVIDOR</v>
      </c>
      <c r="G387" s="167" t="str">
        <f ca="1">VLOOKUP($A387,'030523 INVENTARIO'!$A$2:$Y$1148,8,FALSE)</f>
        <v>P12SI-0386</v>
      </c>
      <c r="H387" s="168" t="str">
        <f>VLOOKUP($A387,'030523 INVENTARIO'!$A$2:$Y$1148,17,FALSE)</f>
        <v>DELL</v>
      </c>
      <c r="I387" s="167" t="str">
        <f>VLOOKUP($A387,'030523 INVENTARIO'!$A$2:$Y$1148,18,FALSE)</f>
        <v>POWER EDGE R630</v>
      </c>
      <c r="J387" s="168" t="str">
        <f>VLOOKUP($A387,'030523 INVENTARIO'!$A$2:$Y$1148,19,FALSE)</f>
        <v>36575598748</v>
      </c>
      <c r="K387" s="168" t="str">
        <f>VLOOKUP($A387,'030523 INVENTARIO'!$A$2:$Y$1148,20,FALSE)</f>
        <v>82DH0515010042000650641</v>
      </c>
      <c r="L387" s="167" t="str">
        <f>VLOOKUP($A387,'030523 INVENTARIO'!$A$2:$Y$1148,23,FALSE)</f>
        <v>CHRISTIAN ZARCO MERCADO</v>
      </c>
    </row>
    <row r="388" spans="1:12" ht="12.75" hidden="1">
      <c r="A388" s="167" t="str">
        <f>'030523 INVENTARIO'!A388</f>
        <v>0387</v>
      </c>
      <c r="B388" s="168" t="str">
        <f>'030523 INVENTARIO'!T388</f>
        <v>82DH0515010025000542283</v>
      </c>
      <c r="C388" s="167" t="str">
        <f t="shared" si="0"/>
        <v>542283</v>
      </c>
      <c r="D388" s="167" t="str">
        <f>IF(VLOOKUP(C388,'Patrimonio 2023'!$C$2:$C$1128,1,FALSE) = C388, "Encontrado", "no")</f>
        <v>Encontrado</v>
      </c>
      <c r="E388" s="167" t="str">
        <f>VLOOKUP($A388,'030523 INVENTARIO'!$A$2:$Y$1148,5,FALSE)</f>
        <v>SERVIDOR</v>
      </c>
      <c r="F388" s="168" t="str">
        <f>VLOOKUP($A388,'030523 INVENTARIO'!$A$2:$Y$1148,6,FALSE)</f>
        <v>SERVIDOR</v>
      </c>
      <c r="G388" s="167" t="str">
        <f ca="1">VLOOKUP($A388,'030523 INVENTARIO'!$A$2:$Y$1148,8,FALSE)</f>
        <v>P12SI-0387</v>
      </c>
      <c r="H388" s="168" t="str">
        <f>VLOOKUP($A388,'030523 INVENTARIO'!$A$2:$Y$1148,17,FALSE)</f>
        <v>HP</v>
      </c>
      <c r="I388" s="167" t="str">
        <f>VLOOKUP($A388,'030523 INVENTARIO'!$A$2:$Y$1148,18,FALSE)</f>
        <v>PROLIANT ML115</v>
      </c>
      <c r="J388" s="168" t="str">
        <f>VLOOKUP($A388,'030523 INVENTARIO'!$A$2:$Y$1148,19,FALSE)</f>
        <v>2UX83405L9</v>
      </c>
      <c r="K388" s="168" t="str">
        <f>VLOOKUP($A388,'030523 INVENTARIO'!$A$2:$Y$1148,20,FALSE)</f>
        <v>82DH0515010025000542283</v>
      </c>
      <c r="L388" s="167" t="str">
        <f>VLOOKUP($A388,'030523 INVENTARIO'!$A$2:$Y$1148,23,FALSE)</f>
        <v>CHRISTIAN ZARCO MERCADO</v>
      </c>
    </row>
    <row r="389" spans="1:12" ht="12.75" hidden="1">
      <c r="A389" s="167" t="str">
        <f>'030523 INVENTARIO'!A389</f>
        <v>0388</v>
      </c>
      <c r="B389" s="167" t="str">
        <f>'030523 INVENTARIO'!T389</f>
        <v>82DH0565010041000530462</v>
      </c>
      <c r="C389" s="167" t="str">
        <f t="shared" si="0"/>
        <v>530462</v>
      </c>
      <c r="D389" s="167" t="str">
        <f>IF(VLOOKUP(C389,'Patrimonio 2023'!$C$2:$C$1128,1,FALSE) = C389, "Encontrado", "no")</f>
        <v>Encontrado</v>
      </c>
      <c r="E389" s="167" t="str">
        <f>VLOOKUP($A389,'030523 INVENTARIO'!$A$2:$Y$1148,5,FALSE)</f>
        <v>MONITOR</v>
      </c>
      <c r="F389" s="167" t="str">
        <f>VLOOKUP($A389,'030523 INVENTARIO'!$A$2:$Y$1148,6,FALSE)</f>
        <v>MONITOR 15.6"</v>
      </c>
      <c r="G389" s="167" t="str">
        <f ca="1">VLOOKUP($A389,'030523 INVENTARIO'!$A$2:$Y$1148,8,FALSE)</f>
        <v>P12SI-0388</v>
      </c>
      <c r="H389" s="168" t="str">
        <f>VLOOKUP($A389,'030523 INVENTARIO'!$A$2:$Y$1148,17,FALSE)</f>
        <v>GHIA</v>
      </c>
      <c r="I389" s="167" t="str">
        <f>VLOOKUP($A389,'030523 INVENTARIO'!$A$2:$Y$1148,18,FALSE)</f>
        <v>G615HDPL</v>
      </c>
      <c r="J389" s="168" t="str">
        <f>VLOOKUP($A389,'030523 INVENTARIO'!$A$2:$Y$1148,19,FALSE)</f>
        <v>ETS4C00944019</v>
      </c>
      <c r="K389" s="167" t="str">
        <f>VLOOKUP($A389,'030523 INVENTARIO'!$A$2:$Y$1148,20,FALSE)</f>
        <v>82DH0565010041000530462</v>
      </c>
      <c r="L389" s="167" t="str">
        <f>VLOOKUP($A389,'030523 INVENTARIO'!$A$2:$Y$1148,23,FALSE)</f>
        <v>CHRISTIAN ZARCO MERCADO</v>
      </c>
    </row>
    <row r="390" spans="1:12" ht="12.75" hidden="1">
      <c r="A390" s="167" t="str">
        <f>'030523 INVENTARIO'!A390</f>
        <v>0389</v>
      </c>
      <c r="B390" s="167" t="str">
        <f>'030523 INVENTARIO'!T390</f>
        <v>82DH0515010003000649648</v>
      </c>
      <c r="C390" s="167" t="str">
        <f t="shared" si="0"/>
        <v>649648</v>
      </c>
      <c r="D390" s="167" t="str">
        <f>IF(VLOOKUP(C390,'Patrimonio 2023'!$C$2:$C$1128,1,FALSE) = C390, "Encontrado", "no")</f>
        <v>Encontrado</v>
      </c>
      <c r="E390" s="167" t="str">
        <f>VLOOKUP($A390,'030523 INVENTARIO'!$A$2:$Y$1148,5,FALSE)</f>
        <v>COMPUTADORA DE ESCRITORIO</v>
      </c>
      <c r="F390" s="167" t="str">
        <f>VLOOKUP($A390,'030523 INVENTARIO'!$A$2:$Y$1148,6,FALSE)</f>
        <v>COMPUTADORA DE ESCRITORIO</v>
      </c>
      <c r="G390" s="167" t="str">
        <f ca="1">VLOOKUP($A390,'030523 INVENTARIO'!$A$2:$Y$1148,8,FALSE)</f>
        <v>P12SI-0389</v>
      </c>
      <c r="H390" s="168" t="str">
        <f>VLOOKUP($A390,'030523 INVENTARIO'!$A$2:$Y$1148,17,FALSE)</f>
        <v>ACER</v>
      </c>
      <c r="I390" s="167" t="str">
        <f>VLOOKUP($A390,'030523 INVENTARIO'!$A$2:$Y$1148,18,FALSE)</f>
        <v>AXC100-MP308</v>
      </c>
      <c r="J390" s="168" t="str">
        <f>VLOOKUP($A390,'030523 INVENTARIO'!$A$2:$Y$1148,19,FALSE)</f>
        <v>DTSLRAL00124302AA43000</v>
      </c>
      <c r="K390" s="167" t="str">
        <f>VLOOKUP($A390,'030523 INVENTARIO'!$A$2:$Y$1148,20,FALSE)</f>
        <v>82DH0515010003000649648</v>
      </c>
      <c r="L390" s="167" t="str">
        <f>VLOOKUP($A390,'030523 INVENTARIO'!$A$2:$Y$1148,23,FALSE)</f>
        <v>CHRISTIAN ZARCO MERCADO</v>
      </c>
    </row>
    <row r="391" spans="1:12" ht="12.75" hidden="1">
      <c r="A391" s="167" t="str">
        <f>'030523 INVENTARIO'!A391</f>
        <v>0390</v>
      </c>
      <c r="B391" s="167" t="str">
        <f>'030523 INVENTARIO'!T391</f>
        <v>82DH0515010042000649354</v>
      </c>
      <c r="C391" s="167" t="str">
        <f t="shared" si="0"/>
        <v>649354</v>
      </c>
      <c r="D391" s="167" t="str">
        <f>IF(VLOOKUP(C391,'Patrimonio 2023'!$C$2:$C$1128,1,FALSE) = C391, "Encontrado", "no")</f>
        <v>Encontrado</v>
      </c>
      <c r="E391" s="167" t="str">
        <f>VLOOKUP($A391,'030523 INVENTARIO'!$A$2:$Y$1148,5,FALSE)</f>
        <v>SERVIDOR</v>
      </c>
      <c r="F391" s="168" t="str">
        <f>VLOOKUP($A391,'030523 INVENTARIO'!$A$2:$Y$1148,6,FALSE)</f>
        <v>SERVIDOR NAS</v>
      </c>
      <c r="G391" s="167" t="str">
        <f ca="1">VLOOKUP($A391,'030523 INVENTARIO'!$A$2:$Y$1148,8,FALSE)</f>
        <v>P12SI-0390</v>
      </c>
      <c r="H391" s="168" t="str">
        <f>VLOOKUP($A391,'030523 INVENTARIO'!$A$2:$Y$1148,17,FALSE)</f>
        <v>SYNOLOGY</v>
      </c>
      <c r="I391" s="167" t="str">
        <f>VLOOKUP($A391,'030523 INVENTARIO'!$A$2:$Y$1148,18,FALSE)</f>
        <v>DS418</v>
      </c>
      <c r="J391" s="168" t="str">
        <f>VLOOKUP($A391,'030523 INVENTARIO'!$A$2:$Y$1148,19,FALSE)</f>
        <v>19B0PHN690503</v>
      </c>
      <c r="K391" s="167" t="str">
        <f>VLOOKUP($A391,'030523 INVENTARIO'!$A$2:$Y$1148,20,FALSE)</f>
        <v>82DH0515010042000649354</v>
      </c>
      <c r="L391" s="167" t="str">
        <f>VLOOKUP($A391,'030523 INVENTARIO'!$A$2:$Y$1148,23,FALSE)</f>
        <v>CHRISTIAN ZARCO MERCADO</v>
      </c>
    </row>
    <row r="392" spans="1:12" ht="12.75" hidden="1">
      <c r="A392" s="167" t="str">
        <f>'030523 INVENTARIO'!A392</f>
        <v>0391</v>
      </c>
      <c r="B392" s="167" t="str">
        <f>'030523 INVENTARIO'!T392</f>
        <v>82DH0515010042000649355</v>
      </c>
      <c r="C392" s="167" t="str">
        <f t="shared" si="0"/>
        <v>649355</v>
      </c>
      <c r="D392" s="167" t="str">
        <f>IF(VLOOKUP(C392,'Patrimonio 2023'!$C$2:$C$1128,1,FALSE) = C392, "Encontrado", "no")</f>
        <v>Encontrado</v>
      </c>
      <c r="E392" s="167" t="str">
        <f>VLOOKUP($A392,'030523 INVENTARIO'!$A$2:$Y$1148,5,FALSE)</f>
        <v>SERVIDOR</v>
      </c>
      <c r="F392" s="168" t="str">
        <f>VLOOKUP($A392,'030523 INVENTARIO'!$A$2:$Y$1148,6,FALSE)</f>
        <v>SERVIDOR NAS</v>
      </c>
      <c r="G392" s="167" t="str">
        <f ca="1">VLOOKUP($A392,'030523 INVENTARIO'!$A$2:$Y$1148,8,FALSE)</f>
        <v>P12SI-0391</v>
      </c>
      <c r="H392" s="168" t="str">
        <f>VLOOKUP($A392,'030523 INVENTARIO'!$A$2:$Y$1148,17,FALSE)</f>
        <v>SYNOLOGY</v>
      </c>
      <c r="I392" s="167" t="str">
        <f>VLOOKUP($A392,'030523 INVENTARIO'!$A$2:$Y$1148,18,FALSE)</f>
        <v>DS418</v>
      </c>
      <c r="J392" s="168" t="str">
        <f>VLOOKUP($A392,'030523 INVENTARIO'!$A$2:$Y$1148,19,FALSE)</f>
        <v>19B0PHN328102</v>
      </c>
      <c r="K392" s="167" t="str">
        <f>VLOOKUP($A392,'030523 INVENTARIO'!$A$2:$Y$1148,20,FALSE)</f>
        <v>82DH0515010042000649355</v>
      </c>
      <c r="L392" s="167" t="str">
        <f>VLOOKUP($A392,'030523 INVENTARIO'!$A$2:$Y$1148,23,FALSE)</f>
        <v>CHRISTIAN ZARCO MERCADO</v>
      </c>
    </row>
    <row r="393" spans="1:12" ht="12.75" hidden="1">
      <c r="A393" s="167" t="str">
        <f>'030523 INVENTARIO'!A393</f>
        <v>0392</v>
      </c>
      <c r="B393" s="168" t="str">
        <f>'030523 INVENTARIO'!T393</f>
        <v>82DH0515010016000522283</v>
      </c>
      <c r="C393" s="167" t="str">
        <f t="shared" si="0"/>
        <v>522283</v>
      </c>
      <c r="D393" s="167" t="str">
        <f>IF(VLOOKUP(C393,'Patrimonio 2023'!$C$2:$C$1128,1,FALSE) = C393, "Encontrado", "no")</f>
        <v>Encontrado</v>
      </c>
      <c r="E393" s="167" t="str">
        <f>VLOOKUP($A393,'030523 INVENTARIO'!$A$2:$Y$1148,5,FALSE)</f>
        <v>NO BREAK</v>
      </c>
      <c r="F393" s="168" t="str">
        <f>VLOOKUP($A393,'030523 INVENTARIO'!$A$2:$Y$1148,6,FALSE)</f>
        <v>NO BREAK</v>
      </c>
      <c r="G393" s="167" t="str">
        <f ca="1">VLOOKUP($A393,'030523 INVENTARIO'!$A$2:$Y$1148,8,FALSE)</f>
        <v>P12SI-0392</v>
      </c>
      <c r="H393" s="168" t="str">
        <f>VLOOKUP($A393,'030523 INVENTARIO'!$A$2:$Y$1148,17,FALSE)</f>
        <v>HP</v>
      </c>
      <c r="I393" s="167" t="str">
        <f>VLOOKUP($A393,'030523 INVENTARIO'!$A$2:$Y$1148,18,FALSE)</f>
        <v>3R300XR</v>
      </c>
      <c r="J393" s="168" t="str">
        <f>VLOOKUP($A393,'030523 INVENTARIO'!$A$2:$Y$1148,19,FALSE)</f>
        <v>MXL845190T</v>
      </c>
      <c r="K393" s="168" t="str">
        <f>VLOOKUP($A393,'030523 INVENTARIO'!$A$2:$Y$1148,20,FALSE)</f>
        <v>82DH0515010016000522283</v>
      </c>
      <c r="L393" s="167" t="str">
        <f>VLOOKUP($A393,'030523 INVENTARIO'!$A$2:$Y$1148,23,FALSE)</f>
        <v>CHRISTIAN ZARCO MERCADO</v>
      </c>
    </row>
    <row r="394" spans="1:12" ht="12.75" hidden="1">
      <c r="A394" s="167" t="str">
        <f>'030523 INVENTARIO'!A394</f>
        <v>0393</v>
      </c>
      <c r="B394" s="168" t="str">
        <f>'030523 INVENTARIO'!T394</f>
        <v>82DH0515010047000651137</v>
      </c>
      <c r="C394" s="167" t="str">
        <f t="shared" si="0"/>
        <v>651137</v>
      </c>
      <c r="D394" s="167" t="str">
        <f>IF(VLOOKUP(C394,'Patrimonio 2023'!$C$2:$C$1128,1,FALSE) = C394, "Encontrado", "no")</f>
        <v>Encontrado</v>
      </c>
      <c r="E394" s="167" t="str">
        <f>VLOOKUP($A394,'030523 INVENTARIO'!$A$2:$Y$1148,5,FALSE)</f>
        <v>RACK</v>
      </c>
      <c r="F394" s="167" t="str">
        <f>VLOOKUP($A394,'030523 INVENTARIO'!$A$2:$Y$1148,6,FALSE)</f>
        <v>RACK PARA CHAROLAS</v>
      </c>
      <c r="G394" s="167" t="str">
        <f ca="1">VLOOKUP($A394,'030523 INVENTARIO'!$A$2:$Y$1148,8,FALSE)</f>
        <v>P12SI-0393</v>
      </c>
      <c r="H394" s="168" t="str">
        <f>VLOOKUP($A394,'030523 INVENTARIO'!$A$2:$Y$1148,17,FALSE)</f>
        <v>S/M</v>
      </c>
      <c r="I394" s="167" t="str">
        <f>VLOOKUP($A394,'030523 INVENTARIO'!$A$2:$Y$1148,18,FALSE)</f>
        <v>S/M</v>
      </c>
      <c r="J394" s="168" t="str">
        <f>VLOOKUP($A394,'030523 INVENTARIO'!$A$2:$Y$1148,19,FALSE)</f>
        <v>30394</v>
      </c>
      <c r="K394" s="168" t="str">
        <f>VLOOKUP($A394,'030523 INVENTARIO'!$A$2:$Y$1148,20,FALSE)</f>
        <v>82DH0515010047000651137</v>
      </c>
      <c r="L394" s="167" t="str">
        <f>VLOOKUP($A394,'030523 INVENTARIO'!$A$2:$Y$1148,23,FALSE)</f>
        <v>CHRISTIAN ZARCO MERCADO</v>
      </c>
    </row>
    <row r="395" spans="1:12" ht="12.75" hidden="1">
      <c r="A395" s="167" t="str">
        <f>'030523 INVENTARIO'!A395</f>
        <v>0394</v>
      </c>
      <c r="B395" s="168" t="str">
        <f>'030523 INVENTARIO'!T395</f>
        <v>82DH0515010026000649641</v>
      </c>
      <c r="C395" s="167" t="str">
        <f t="shared" si="0"/>
        <v>649641</v>
      </c>
      <c r="D395" s="167" t="str">
        <f>IF(VLOOKUP(C395,'Patrimonio 2023'!$C$2:$C$1128,1,FALSE) = C395, "Encontrado", "no")</f>
        <v>Encontrado</v>
      </c>
      <c r="E395" s="167" t="str">
        <f>VLOOKUP($A395,'030523 INVENTARIO'!$A$2:$Y$1148,5,FALSE)</f>
        <v>SWITCH (CONCENTRADOR DE PUERTOS)</v>
      </c>
      <c r="F395" s="168" t="str">
        <f>VLOOKUP($A395,'030523 INVENTARIO'!$A$2:$Y$1148,6,FALSE)</f>
        <v>SWITCH</v>
      </c>
      <c r="G395" s="167" t="str">
        <f ca="1">VLOOKUP($A395,'030523 INVENTARIO'!$A$2:$Y$1148,8,FALSE)</f>
        <v>P12SI-0394</v>
      </c>
      <c r="H395" s="168" t="str">
        <f>VLOOKUP($A395,'030523 INVENTARIO'!$A$2:$Y$1148,17,FALSE)</f>
        <v>CISCO</v>
      </c>
      <c r="I395" s="167" t="str">
        <f>VLOOKUP($A395,'030523 INVENTARIO'!$A$2:$Y$1148,18,FALSE)</f>
        <v>SG250-50P</v>
      </c>
      <c r="J395" s="168" t="str">
        <f>VLOOKUP($A395,'030523 INVENTARIO'!$A$2:$Y$1148,19,FALSE)</f>
        <v>SNPSZ23031HV4</v>
      </c>
      <c r="K395" s="168" t="str">
        <f>VLOOKUP($A395,'030523 INVENTARIO'!$A$2:$Y$1148,20,FALSE)</f>
        <v>82DH0515010026000649641</v>
      </c>
      <c r="L395" s="167" t="str">
        <f>VLOOKUP($A395,'030523 INVENTARIO'!$A$2:$Y$1148,23,FALSE)</f>
        <v>CHRISTIAN ZARCO MERCADO</v>
      </c>
    </row>
    <row r="396" spans="1:12" ht="12.75" hidden="1">
      <c r="A396" s="167" t="str">
        <f>'030523 INVENTARIO'!A396</f>
        <v>0395</v>
      </c>
      <c r="B396" s="168" t="str">
        <f>'030523 INVENTARIO'!T396</f>
        <v>82DH0515010017000651124</v>
      </c>
      <c r="C396" s="167" t="str">
        <f t="shared" si="0"/>
        <v>651124</v>
      </c>
      <c r="D396" s="167" t="str">
        <f>IF(VLOOKUP(C396,'Patrimonio 2023'!$C$2:$C$1128,1,FALSE) = C396, "Encontrado", "no")</f>
        <v>Encontrado</v>
      </c>
      <c r="E396" s="167" t="str">
        <f>VLOOKUP($A396,'030523 INVENTARIO'!$A$2:$Y$1148,5,FALSE)</f>
        <v>PANEL DE PARCHEO</v>
      </c>
      <c r="F396" s="168" t="str">
        <f>VLOOKUP($A396,'030523 INVENTARIO'!$A$2:$Y$1148,6,FALSE)</f>
        <v>PANEL DE PARCHEO</v>
      </c>
      <c r="G396" s="167" t="str">
        <f ca="1">VLOOKUP($A396,'030523 INVENTARIO'!$A$2:$Y$1148,8,FALSE)</f>
        <v>P12SI-0395</v>
      </c>
      <c r="H396" s="168" t="str">
        <f>VLOOKUP($A396,'030523 INVENTARIO'!$A$2:$Y$1148,17,FALSE)</f>
        <v>SBETECH</v>
      </c>
      <c r="I396" s="167" t="str">
        <f>VLOOKUP($A396,'030523 INVENTARIO'!$A$2:$Y$1148,18,FALSE)</f>
        <v>S/M</v>
      </c>
      <c r="J396" s="168" t="str">
        <f>VLOOKUP($A396,'030523 INVENTARIO'!$A$2:$Y$1148,19,FALSE)</f>
        <v>SIN SERIE</v>
      </c>
      <c r="K396" s="168" t="str">
        <f>VLOOKUP($A396,'030523 INVENTARIO'!$A$2:$Y$1148,20,FALSE)</f>
        <v>82DH0515010017000651124</v>
      </c>
      <c r="L396" s="167" t="str">
        <f>VLOOKUP($A396,'030523 INVENTARIO'!$A$2:$Y$1148,23,FALSE)</f>
        <v>CHRISTIAN ZARCO MERCADO</v>
      </c>
    </row>
    <row r="397" spans="1:12" ht="12.75" hidden="1">
      <c r="A397" s="167" t="str">
        <f>'030523 INVENTARIO'!A397</f>
        <v>0396</v>
      </c>
      <c r="B397" s="168" t="str">
        <f>'030523 INVENTARIO'!T397</f>
        <v>SIN RESGUARDO</v>
      </c>
      <c r="C397" s="167" t="str">
        <f t="shared" si="0"/>
        <v/>
      </c>
      <c r="D397" s="167" t="e">
        <f>IF(VLOOKUP(C397,'Patrimonio 2023'!$C$2:$C$1128,1,FALSE) = C397, "Encontrado", "no")</f>
        <v>#N/A</v>
      </c>
      <c r="E397" s="167" t="str">
        <f>VLOOKUP($A397,'030523 INVENTARIO'!$A$2:$Y$1148,5,FALSE)</f>
        <v>PANEL DE PARCHEO</v>
      </c>
      <c r="F397" s="168" t="str">
        <f>VLOOKUP($A397,'030523 INVENTARIO'!$A$2:$Y$1148,6,FALSE)</f>
        <v>PANEL DE PARCHEO</v>
      </c>
      <c r="G397" s="167" t="str">
        <f ca="1">VLOOKUP($A397,'030523 INVENTARIO'!$A$2:$Y$1148,8,FALSE)</f>
        <v>P12SI-0396</v>
      </c>
      <c r="H397" s="168" t="str">
        <f>VLOOKUP($A397,'030523 INVENTARIO'!$A$2:$Y$1148,17,FALSE)</f>
        <v>SBETECH</v>
      </c>
      <c r="I397" s="167" t="str">
        <f>VLOOKUP($A397,'030523 INVENTARIO'!$A$2:$Y$1148,18,FALSE)</f>
        <v>S/M</v>
      </c>
      <c r="J397" s="168" t="str">
        <f>VLOOKUP($A397,'030523 INVENTARIO'!$A$2:$Y$1148,19,FALSE)</f>
        <v>SIN SERIE</v>
      </c>
      <c r="K397" s="168" t="str">
        <f>VLOOKUP($A397,'030523 INVENTARIO'!$A$2:$Y$1148,20,FALSE)</f>
        <v>SIN RESGUARDO</v>
      </c>
      <c r="L397" s="167" t="str">
        <f>VLOOKUP($A397,'030523 INVENTARIO'!$A$2:$Y$1148,23,FALSE)</f>
        <v>CHRISTIAN ZARCO MERCADO</v>
      </c>
    </row>
    <row r="398" spans="1:12" ht="12.75" hidden="1">
      <c r="A398" s="167" t="str">
        <f>'030523 INVENTARIO'!A398</f>
        <v>0397</v>
      </c>
      <c r="B398" s="168" t="str">
        <f>'030523 INVENTARIO'!T398</f>
        <v>82DH0515010026000566177</v>
      </c>
      <c r="C398" s="167" t="str">
        <f t="shared" si="0"/>
        <v>566177</v>
      </c>
      <c r="D398" s="167" t="str">
        <f>IF(VLOOKUP(C398,'Patrimonio 2023'!$C$2:$C$1128,1,FALSE) = C398, "Encontrado", "no")</f>
        <v>Encontrado</v>
      </c>
      <c r="E398" s="167" t="str">
        <f>VLOOKUP($A398,'030523 INVENTARIO'!$A$2:$Y$1148,5,FALSE)</f>
        <v>SWITCH (CONCENTRADOR DE PUERTOS)</v>
      </c>
      <c r="F398" s="168" t="str">
        <f>VLOOKUP($A398,'030523 INVENTARIO'!$A$2:$Y$1148,6,FALSE)</f>
        <v>SWITCH BLANCO</v>
      </c>
      <c r="G398" s="167" t="str">
        <f ca="1">VLOOKUP($A398,'030523 INVENTARIO'!$A$2:$Y$1148,8,FALSE)</f>
        <v>P12SI-0397</v>
      </c>
      <c r="H398" s="168" t="str">
        <f>VLOOKUP($A398,'030523 INVENTARIO'!$A$2:$Y$1148,17,FALSE)</f>
        <v>3COM</v>
      </c>
      <c r="I398" s="167" t="str">
        <f>VLOOKUP($A398,'030523 INVENTARIO'!$A$2:$Y$1148,18,FALSE)</f>
        <v>3C16471</v>
      </c>
      <c r="J398" s="168" t="str">
        <f>VLOOKUP($A398,'030523 INVENTARIO'!$A$2:$Y$1148,19,FALSE)</f>
        <v>LV5G3K0177781</v>
      </c>
      <c r="K398" s="168" t="str">
        <f>VLOOKUP($A398,'030523 INVENTARIO'!$A$2:$Y$1148,20,FALSE)</f>
        <v>82DH0515010026000566177</v>
      </c>
      <c r="L398" s="167" t="str">
        <f>VLOOKUP($A398,'030523 INVENTARIO'!$A$2:$Y$1148,23,FALSE)</f>
        <v>CHRISTIAN ZARCO MERCADO</v>
      </c>
    </row>
    <row r="399" spans="1:12" ht="12.75" hidden="1">
      <c r="A399" s="167" t="str">
        <f>'030523 INVENTARIO'!A399</f>
        <v>0398</v>
      </c>
      <c r="B399" s="168" t="str">
        <f>'030523 INVENTARIO'!T399</f>
        <v>82DH0515010003000650638</v>
      </c>
      <c r="C399" s="167" t="str">
        <f t="shared" si="0"/>
        <v>650638</v>
      </c>
      <c r="D399" s="167" t="str">
        <f>IF(VLOOKUP(C399,'Patrimonio 2023'!$C$2:$C$1128,1,FALSE) = C399, "Encontrado", "no")</f>
        <v>Encontrado</v>
      </c>
      <c r="E399" s="167" t="str">
        <f>VLOOKUP($A399,'030523 INVENTARIO'!$A$2:$Y$1148,5,FALSE)</f>
        <v>SERVIDOR</v>
      </c>
      <c r="F399" s="168" t="str">
        <f>VLOOKUP($A399,'030523 INVENTARIO'!$A$2:$Y$1148,6,FALSE)</f>
        <v>SERVIDOR</v>
      </c>
      <c r="G399" s="167" t="str">
        <f ca="1">VLOOKUP($A399,'030523 INVENTARIO'!$A$2:$Y$1148,8,FALSE)</f>
        <v>P12SI-0398</v>
      </c>
      <c r="H399" s="168" t="str">
        <f>VLOOKUP($A399,'030523 INVENTARIO'!$A$2:$Y$1148,17,FALSE)</f>
        <v>ACTECK</v>
      </c>
      <c r="I399" s="167" t="str">
        <f>VLOOKUP($A399,'030523 INVENTARIO'!$A$2:$Y$1148,18,FALSE)</f>
        <v>NIALG1004</v>
      </c>
      <c r="J399" s="168" t="str">
        <f>VLOOKUP($A399,'030523 INVENTARIO'!$A$2:$Y$1148,19,FALSE)</f>
        <v>015007303117</v>
      </c>
      <c r="K399" s="168" t="str">
        <f>VLOOKUP($A399,'030523 INVENTARIO'!$A$2:$Y$1148,20,FALSE)</f>
        <v>82DH0515010003000650638</v>
      </c>
      <c r="L399" s="167" t="str">
        <f>VLOOKUP($A399,'030523 INVENTARIO'!$A$2:$Y$1148,23,FALSE)</f>
        <v>CHRISTIAN ZARCO MERCADO</v>
      </c>
    </row>
    <row r="400" spans="1:12" ht="12.75" hidden="1">
      <c r="A400" s="167" t="str">
        <f>'030523 INVENTARIO'!A400</f>
        <v>0399</v>
      </c>
      <c r="B400" s="167" t="str">
        <f>'030523 INVENTARIO'!T400</f>
        <v>82DH0515010016000649411</v>
      </c>
      <c r="C400" s="167" t="str">
        <f t="shared" si="0"/>
        <v>649411</v>
      </c>
      <c r="D400" s="167" t="str">
        <f>IF(VLOOKUP(C400,'Patrimonio 2023'!$C$2:$C$1128,1,FALSE) = C400, "Encontrado", "no")</f>
        <v>Encontrado</v>
      </c>
      <c r="E400" s="167" t="str">
        <f>VLOOKUP($A400,'030523 INVENTARIO'!$A$2:$Y$1148,5,FALSE)</f>
        <v>NO BREAK</v>
      </c>
      <c r="F400" s="167" t="str">
        <f>VLOOKUP($A400,'030523 INVENTARIO'!$A$2:$Y$1148,6,FALSE)</f>
        <v>NO BREAK NEGRO</v>
      </c>
      <c r="G400" s="167" t="str">
        <f ca="1">VLOOKUP($A400,'030523 INVENTARIO'!$A$2:$Y$1148,8,FALSE)</f>
        <v>P12SI-0399</v>
      </c>
      <c r="H400" s="168" t="str">
        <f>VLOOKUP($A400,'030523 INVENTARIO'!$A$2:$Y$1148,17,FALSE)</f>
        <v>APC</v>
      </c>
      <c r="I400" s="167" t="str">
        <f>VLOOKUP($A400,'030523 INVENTARIO'!$A$2:$Y$1148,18,FALSE)</f>
        <v>SUA3000</v>
      </c>
      <c r="J400" s="168" t="str">
        <f>VLOOKUP($A400,'030523 INVENTARIO'!$A$2:$Y$1148,19,FALSE)</f>
        <v>AS1918154494</v>
      </c>
      <c r="K400" s="167" t="str">
        <f>VLOOKUP($A400,'030523 INVENTARIO'!$A$2:$Y$1148,20,FALSE)</f>
        <v>82DH0515010016000649411</v>
      </c>
      <c r="L400" s="167" t="str">
        <f>VLOOKUP($A400,'030523 INVENTARIO'!$A$2:$Y$1148,23,FALSE)</f>
        <v>CHRISTIAN ZARCO MERCADO</v>
      </c>
    </row>
    <row r="401" spans="1:12" ht="12.75" hidden="1">
      <c r="A401" s="167" t="str">
        <f>'030523 INVENTARIO'!A401</f>
        <v>0400</v>
      </c>
      <c r="B401" s="167" t="str">
        <f>'030523 INVENTARIO'!T401</f>
        <v>82DH0515010016000539082</v>
      </c>
      <c r="C401" s="167" t="str">
        <f t="shared" si="0"/>
        <v>539082</v>
      </c>
      <c r="D401" s="167" t="str">
        <f>IF(VLOOKUP(C401,'Patrimonio 2023'!$C$2:$C$1128,1,FALSE) = C401, "Encontrado", "no")</f>
        <v>Encontrado</v>
      </c>
      <c r="E401" s="167" t="str">
        <f>VLOOKUP($A401,'030523 INVENTARIO'!$A$2:$Y$1148,5,FALSE)</f>
        <v>NO BREAK</v>
      </c>
      <c r="F401" s="168" t="str">
        <f>VLOOKUP($A401,'030523 INVENTARIO'!$A$2:$Y$1148,6,FALSE)</f>
        <v>NO BREAK BLANCO</v>
      </c>
      <c r="G401" s="167" t="str">
        <f ca="1">VLOOKUP($A401,'030523 INVENTARIO'!$A$2:$Y$1148,8,FALSE)</f>
        <v>P12SI-0400</v>
      </c>
      <c r="H401" s="168" t="str">
        <f>VLOOKUP($A401,'030523 INVENTARIO'!$A$2:$Y$1148,17,FALSE)</f>
        <v>TRIPP LITE</v>
      </c>
      <c r="I401" s="167" t="str">
        <f>VLOOKUP($A401,'030523 INVENTARIO'!$A$2:$Y$1148,18,FALSE)</f>
        <v>SMART 2200</v>
      </c>
      <c r="J401" s="168" t="str">
        <f>VLOOKUP($A401,'030523 INVENTARIO'!$A$2:$Y$1148,19,FALSE)</f>
        <v>9705BD0SM6383P0086</v>
      </c>
      <c r="K401" s="167" t="str">
        <f>VLOOKUP($A401,'030523 INVENTARIO'!$A$2:$Y$1148,20,FALSE)</f>
        <v>82DH0515010016000539082</v>
      </c>
      <c r="L401" s="167" t="str">
        <f>VLOOKUP($A401,'030523 INVENTARIO'!$A$2:$Y$1148,23,FALSE)</f>
        <v>CHRISTIAN ZARCO MERCADO</v>
      </c>
    </row>
    <row r="402" spans="1:12" ht="12.75" hidden="1">
      <c r="A402" s="167" t="str">
        <f>'030523 INVENTARIO'!A402</f>
        <v>0401</v>
      </c>
      <c r="B402" s="168" t="str">
        <f>'030523 INVENTARIO'!T402</f>
        <v>SIN RESGUARDO</v>
      </c>
      <c r="C402" s="167" t="str">
        <f t="shared" si="0"/>
        <v/>
      </c>
      <c r="D402" s="167" t="e">
        <f>IF(VLOOKUP(C402,'Patrimonio 2023'!$C$2:$C$1128,1,FALSE) = C402, "Encontrado", "no")</f>
        <v>#N/A</v>
      </c>
      <c r="E402" s="167" t="str">
        <f>VLOOKUP($A402,'030523 INVENTARIO'!$A$2:$Y$1148,5,FALSE)</f>
        <v>AIRE ACONDICIONADO</v>
      </c>
      <c r="F402" s="168" t="str">
        <f>VLOOKUP($A402,'030523 INVENTARIO'!$A$2:$Y$1148,6,FALSE)</f>
        <v>AIRE ACONDICIONADO BLANCO</v>
      </c>
      <c r="G402" s="167" t="str">
        <f ca="1">VLOOKUP($A402,'030523 INVENTARIO'!$A$2:$Y$1148,8,FALSE)</f>
        <v>P12SI-0401</v>
      </c>
      <c r="H402" s="168" t="str">
        <f>VLOOKUP($A402,'030523 INVENTARIO'!$A$2:$Y$1148,17,FALSE)</f>
        <v>CARRIER</v>
      </c>
      <c r="I402" s="167" t="str">
        <f>VLOOKUP($A402,'030523 INVENTARIO'!$A$2:$Y$1148,18,FALSE)</f>
        <v>40PRC183A-E</v>
      </c>
      <c r="J402" s="168" t="str">
        <f>VLOOKUP($A402,'030523 INVENTARIO'!$A$2:$Y$1148,19,FALSE)</f>
        <v>D202932040216C21170406</v>
      </c>
      <c r="K402" s="168" t="str">
        <f>VLOOKUP($A402,'030523 INVENTARIO'!$A$2:$Y$1148,20,FALSE)</f>
        <v>SIN RESGUARDO</v>
      </c>
      <c r="L402" s="167" t="str">
        <f>VLOOKUP($A402,'030523 INVENTARIO'!$A$2:$Y$1148,23,FALSE)</f>
        <v>CHRISTIAN ZARCO MERCADO</v>
      </c>
    </row>
    <row r="403" spans="1:12" ht="12.75" hidden="1">
      <c r="A403" s="167" t="str">
        <f>'030523 INVENTARIO'!A403</f>
        <v>0402</v>
      </c>
      <c r="B403" s="168" t="str">
        <f>'030523 INVENTARIO'!T403</f>
        <v>82DH0565010041000566530</v>
      </c>
      <c r="C403" s="167" t="str">
        <f t="shared" si="0"/>
        <v>566530</v>
      </c>
      <c r="D403" s="167" t="str">
        <f>IF(VLOOKUP(C403,'Patrimonio 2023'!$C$2:$C$1128,1,FALSE) = C403, "Encontrado", "no")</f>
        <v>Encontrado</v>
      </c>
      <c r="E403" s="167" t="str">
        <f>VLOOKUP($A403,'030523 INVENTARIO'!$A$2:$Y$1148,5,FALSE)</f>
        <v>MONITOR</v>
      </c>
      <c r="F403" s="167" t="str">
        <f>VLOOKUP($A403,'030523 INVENTARIO'!$A$2:$Y$1148,6,FALSE)</f>
        <v>MONITOR 15.6"</v>
      </c>
      <c r="G403" s="167" t="str">
        <f ca="1">VLOOKUP($A403,'030523 INVENTARIO'!$A$2:$Y$1148,8,FALSE)</f>
        <v>P12SI-0402</v>
      </c>
      <c r="H403" s="168" t="str">
        <f>VLOOKUP($A403,'030523 INVENTARIO'!$A$2:$Y$1148,17,FALSE)</f>
        <v>SAMSUNG</v>
      </c>
      <c r="I403" s="167" t="str">
        <f>VLOOKUP($A403,'030523 INVENTARIO'!$A$2:$Y$1148,18,FALSE)</f>
        <v>SYNCMASTER632NW</v>
      </c>
      <c r="J403" s="168" t="str">
        <f>VLOOKUP($A403,'030523 INVENTARIO'!$A$2:$Y$1148,19,FALSE)</f>
        <v>PE16H9NQ210224R</v>
      </c>
      <c r="K403" s="168" t="str">
        <f>VLOOKUP($A403,'030523 INVENTARIO'!$A$2:$Y$1148,20,FALSE)</f>
        <v>82DH0565010041000566530</v>
      </c>
      <c r="L403" s="167" t="str">
        <f>VLOOKUP($A403,'030523 INVENTARIO'!$A$2:$Y$1148,23,FALSE)</f>
        <v>CHRISTIAN ZARCO MERCADO</v>
      </c>
    </row>
    <row r="404" spans="1:12" ht="12.75">
      <c r="A404" s="167" t="str">
        <f>'030523 INVENTARIO'!A404</f>
        <v>0403</v>
      </c>
      <c r="B404" s="168" t="str">
        <f>'030523 INVENTARIO'!T404</f>
        <v>82DK0515010003000649507</v>
      </c>
      <c r="C404" s="167" t="str">
        <f t="shared" si="0"/>
        <v>649507</v>
      </c>
      <c r="D404" s="167" t="e">
        <f>IF(VLOOKUP(C404,'Patrimonio 2023'!$C$2:$C$1128,1,FALSE) = C404, "Encontrado", "no")</f>
        <v>#N/A</v>
      </c>
      <c r="E404" s="167" t="str">
        <f>VLOOKUP($A404,'030523 INVENTARIO'!$A$2:$Y$1148,5,FALSE)</f>
        <v>COMPUTADORA DE ESCRITORIO</v>
      </c>
      <c r="F404" s="167" t="str">
        <f>VLOOKUP($A404,'030523 INVENTARIO'!$A$2:$Y$1148,6,FALSE)</f>
        <v>COMPUTADORA TODO EN UNO BLANCO</v>
      </c>
      <c r="G404" s="167" t="str">
        <f ca="1">VLOOKUP($A404,'030523 INVENTARIO'!$A$2:$Y$1148,8,FALSE)</f>
        <v>P12CT-0403</v>
      </c>
      <c r="H404" s="168" t="str">
        <f>VLOOKUP($A404,'030523 INVENTARIO'!$A$2:$Y$1148,17,FALSE)</f>
        <v>LENOVO</v>
      </c>
      <c r="I404" s="167" t="str">
        <f>VLOOKUP($A404,'030523 INVENTARIO'!$A$2:$Y$1148,18,FALSE)</f>
        <v>10113 C240</v>
      </c>
      <c r="J404" s="168" t="str">
        <f>VLOOKUP($A404,'030523 INVENTARIO'!$A$2:$Y$1148,19,FALSE)</f>
        <v>CS01173448</v>
      </c>
      <c r="K404" s="168" t="str">
        <f>VLOOKUP($A404,'030523 INVENTARIO'!$A$2:$Y$1148,20,FALSE)</f>
        <v>82DK0515010003000649507</v>
      </c>
      <c r="L404" s="167" t="str">
        <f>VLOOKUP($A404,'030523 INVENTARIO'!$A$2:$Y$1148,23,FALSE)</f>
        <v>LIZBETH JIMENEZ JERONIMO</v>
      </c>
    </row>
    <row r="405" spans="1:12" ht="12.75">
      <c r="A405" s="167" t="str">
        <f>'030523 INVENTARIO'!A405</f>
        <v>0404</v>
      </c>
      <c r="B405" s="168" t="str">
        <f>'030523 INVENTARIO'!T405</f>
        <v>82DH0515010003000649378</v>
      </c>
      <c r="C405" s="167" t="str">
        <f t="shared" si="0"/>
        <v>649378</v>
      </c>
      <c r="D405" s="167" t="e">
        <f>IF(VLOOKUP(C405,'Patrimonio 2023'!$C$2:$C$1128,1,FALSE) = C405, "Encontrado", "no")</f>
        <v>#N/A</v>
      </c>
      <c r="E405" s="167" t="str">
        <f>VLOOKUP($A405,'030523 INVENTARIO'!$A$2:$Y$1148,5,FALSE)</f>
        <v>COMPUTADORA DE ESCRITORIO</v>
      </c>
      <c r="F405" s="167" t="str">
        <f>VLOOKUP($A405,'030523 INVENTARIO'!$A$2:$Y$1148,6,FALSE)</f>
        <v>COMPUTADORA TODO EN UNO BLANCO</v>
      </c>
      <c r="G405" s="167" t="str">
        <f ca="1">VLOOKUP($A405,'030523 INVENTARIO'!$A$2:$Y$1148,8,FALSE)</f>
        <v>P05RM-0404</v>
      </c>
      <c r="H405" s="168" t="str">
        <f>VLOOKUP($A405,'030523 INVENTARIO'!$A$2:$Y$1148,17,FALSE)</f>
        <v>HP</v>
      </c>
      <c r="I405" s="167" t="str">
        <f>VLOOKUP($A405,'030523 INVENTARIO'!$A$2:$Y$1148,18,FALSE)</f>
        <v>HP PAVILION AIO 20-E002LA</v>
      </c>
      <c r="J405" s="168" t="str">
        <f>VLOOKUP($A405,'030523 INVENTARIO'!$A$2:$Y$1148,19,FALSE)</f>
        <v>RTN8188EENF</v>
      </c>
      <c r="K405" s="168" t="str">
        <f>VLOOKUP($A405,'030523 INVENTARIO'!$A$2:$Y$1148,20,FALSE)</f>
        <v>82DH0515010003000649378</v>
      </c>
      <c r="L405" s="167" t="str">
        <f>VLOOKUP($A405,'030523 INVENTARIO'!$A$2:$Y$1148,23,FALSE)</f>
        <v>AMERICA LISETH MARTINEZ CRUZ</v>
      </c>
    </row>
    <row r="406" spans="1:12" ht="12.75" hidden="1">
      <c r="A406" s="167" t="str">
        <f>'030523 INVENTARIO'!A406</f>
        <v>0405</v>
      </c>
      <c r="B406" s="168" t="str">
        <f>'030523 INVENTARIO'!T406</f>
        <v>82DK0515010003000649484</v>
      </c>
      <c r="C406" s="167" t="str">
        <f t="shared" si="0"/>
        <v>649484</v>
      </c>
      <c r="D406" s="167" t="str">
        <f>IF(VLOOKUP(C406,'Patrimonio 2023'!$C$2:$C$1128,1,FALSE) = C406, "Encontrado", "no")</f>
        <v>Encontrado</v>
      </c>
      <c r="E406" s="167" t="str">
        <f>VLOOKUP($A406,'030523 INVENTARIO'!$A$2:$Y$1148,5,FALSE)</f>
        <v>COMPUTADORA DE ESCRITORIO</v>
      </c>
      <c r="F406" s="167" t="str">
        <f>VLOOKUP($A406,'030523 INVENTARIO'!$A$2:$Y$1148,6,FALSE)</f>
        <v>COMPUTADORA TODO EN UNO BLANCO</v>
      </c>
      <c r="G406" s="167" t="str">
        <f ca="1">VLOOKUP($A406,'030523 INVENTARIO'!$A$2:$Y$1148,8,FALSE)</f>
        <v>P12SI-0405</v>
      </c>
      <c r="H406" s="168" t="str">
        <f>VLOOKUP($A406,'030523 INVENTARIO'!$A$2:$Y$1148,17,FALSE)</f>
        <v>LENOVO</v>
      </c>
      <c r="I406" s="167" t="str">
        <f>VLOOKUP($A406,'030523 INVENTARIO'!$A$2:$Y$1148,18,FALSE)</f>
        <v>AIO10113 C240</v>
      </c>
      <c r="J406" s="168" t="str">
        <f>VLOOKUP($A406,'030523 INVENTARIO'!$A$2:$Y$1148,19,FALSE)</f>
        <v>CS01173496</v>
      </c>
      <c r="K406" s="168" t="str">
        <f>VLOOKUP($A406,'030523 INVENTARIO'!$A$2:$Y$1148,20,FALSE)</f>
        <v>82DK0515010003000649484</v>
      </c>
      <c r="L406" s="167" t="str">
        <f>VLOOKUP($A406,'030523 INVENTARIO'!$A$2:$Y$1148,23,FALSE)</f>
        <v>CHRISTIAN ZARCO MERCADO</v>
      </c>
    </row>
    <row r="407" spans="1:12" ht="12.75" hidden="1">
      <c r="A407" s="167" t="str">
        <f>'030523 INVENTARIO'!A407</f>
        <v>0406</v>
      </c>
      <c r="B407" s="167" t="str">
        <f>'030523 INVENTARIO'!T407</f>
        <v>SIN RESGUARDO</v>
      </c>
      <c r="C407" s="167" t="str">
        <f t="shared" si="0"/>
        <v/>
      </c>
      <c r="D407" s="167" t="e">
        <f>IF(VLOOKUP(C407,'Patrimonio 2023'!$C$2:$C$1128,1,FALSE) = C407, "Encontrado", "no")</f>
        <v>#N/A</v>
      </c>
      <c r="E407" s="167" t="str">
        <f>VLOOKUP($A407,'030523 INVENTARIO'!$A$2:$Y$1148,5,FALSE)</f>
        <v>ASPIRADORA</v>
      </c>
      <c r="F407" s="168" t="str">
        <f>VLOOKUP($A407,'030523 INVENTARIO'!$A$2:$Y$1148,6,FALSE)</f>
        <v>ASPIRADORA BLANCA</v>
      </c>
      <c r="G407" s="167" t="str">
        <f ca="1">VLOOKUP($A407,'030523 INVENTARIO'!$A$2:$Y$1148,8,FALSE)</f>
        <v>P12SI-0406</v>
      </c>
      <c r="H407" s="168" t="str">
        <f>VLOOKUP($A407,'030523 INVENTARIO'!$A$2:$Y$1148,17,FALSE)</f>
        <v>KOBLENZ</v>
      </c>
      <c r="I407" s="167" t="str">
        <f>VLOOKUP($A407,'030523 INVENTARIO'!$A$2:$Y$1148,18,FALSE)</f>
        <v>DV100KG3</v>
      </c>
      <c r="J407" s="168" t="str">
        <f>VLOOKUP($A407,'030523 INVENTARIO'!$A$2:$Y$1148,19,FALSE)</f>
        <v>175916055</v>
      </c>
      <c r="K407" s="167" t="str">
        <f>VLOOKUP($A407,'030523 INVENTARIO'!$A$2:$Y$1148,20,FALSE)</f>
        <v>SIN RESGUARDO</v>
      </c>
      <c r="L407" s="167" t="str">
        <f>VLOOKUP($A407,'030523 INVENTARIO'!$A$2:$Y$1148,23,FALSE)</f>
        <v>CHRISTIAN ZARCO MERCADO</v>
      </c>
    </row>
    <row r="408" spans="1:12" ht="12.75" hidden="1">
      <c r="A408" s="167" t="str">
        <f>'030523 INVENTARIO'!A408</f>
        <v>0407</v>
      </c>
      <c r="B408" s="168" t="str">
        <f>'030523 INVENTARIO'!T408</f>
        <v>82DJ0565010041000530454</v>
      </c>
      <c r="C408" s="167" t="str">
        <f t="shared" si="0"/>
        <v>530454</v>
      </c>
      <c r="D408" s="167" t="str">
        <f>IF(VLOOKUP(C408,'Patrimonio 2023'!$C$2:$C$1128,1,FALSE) = C408, "Encontrado", "no")</f>
        <v>Encontrado</v>
      </c>
      <c r="E408" s="167" t="str">
        <f>VLOOKUP($A408,'030523 INVENTARIO'!$A$2:$Y$1148,5,FALSE)</f>
        <v>MONITOR</v>
      </c>
      <c r="F408" s="167" t="str">
        <f>VLOOKUP($A408,'030523 INVENTARIO'!$A$2:$Y$1148,6,FALSE)</f>
        <v>MONITOR 19.5"</v>
      </c>
      <c r="G408" s="167" t="str">
        <f ca="1">VLOOKUP($A408,'030523 INVENTARIO'!$A$2:$Y$1148,8,FALSE)</f>
        <v>P05RM-0407</v>
      </c>
      <c r="H408" s="168" t="str">
        <f>VLOOKUP($A408,'030523 INVENTARIO'!$A$2:$Y$1148,17,FALSE)</f>
        <v>COMPAQ</v>
      </c>
      <c r="I408" s="167" t="str">
        <f>VLOOKUP($A408,'030523 INVENTARIO'!$A$2:$Y$1148,18,FALSE)</f>
        <v>WF1907</v>
      </c>
      <c r="J408" s="168" t="str">
        <f>VLOOKUP($A408,'030523 INVENTARIO'!$A$2:$Y$1148,19,FALSE)</f>
        <v>CNC816Y3C2</v>
      </c>
      <c r="K408" s="168" t="str">
        <f>VLOOKUP($A408,'030523 INVENTARIO'!$A$2:$Y$1148,20,FALSE)</f>
        <v>82DJ0565010041000530454</v>
      </c>
      <c r="L408" s="167" t="str">
        <f>VLOOKUP($A408,'030523 INVENTARIO'!$A$2:$Y$1148,23,FALSE)</f>
        <v>BLANCA ELIZABETH ALCANTAR GUERRERO</v>
      </c>
    </row>
    <row r="409" spans="1:12" ht="12.75" hidden="1">
      <c r="A409" s="167" t="str">
        <f>'030523 INVENTARIO'!A409</f>
        <v>0408</v>
      </c>
      <c r="B409" s="167" t="str">
        <f>'030523 INVENTARIO'!T409</f>
        <v>82DH0515010020000541697</v>
      </c>
      <c r="C409" s="167" t="str">
        <f t="shared" si="0"/>
        <v>541697</v>
      </c>
      <c r="D409" s="167" t="str">
        <f>IF(VLOOKUP(C409,'Patrimonio 2023'!$C$2:$C$1128,1,FALSE) = C409, "Encontrado", "no")</f>
        <v>Encontrado</v>
      </c>
      <c r="E409" s="167" t="str">
        <f>VLOOKUP($A409,'030523 INVENTARIO'!$A$2:$Y$1148,5,FALSE)</f>
        <v>REGULADOR DE VOLTAJE</v>
      </c>
      <c r="F409" s="168" t="str">
        <f>VLOOKUP($A409,'030523 INVENTARIO'!$A$2:$Y$1148,6,FALSE)</f>
        <v>REGULADOR</v>
      </c>
      <c r="G409" s="167" t="str">
        <f ca="1">VLOOKUP($A409,'030523 INVENTARIO'!$A$2:$Y$1148,8,FALSE)</f>
        <v>P12SI-0408</v>
      </c>
      <c r="H409" s="168" t="str">
        <f>VLOOKUP($A409,'030523 INVENTARIO'!$A$2:$Y$1148,17,FALSE)</f>
        <v>KOBLENZ</v>
      </c>
      <c r="I409" s="167">
        <f>VLOOKUP($A409,'030523 INVENTARIO'!$A$2:$Y$1148,18,FALSE)</f>
        <v>1500</v>
      </c>
      <c r="J409" s="168" t="str">
        <f>VLOOKUP($A409,'030523 INVENTARIO'!$A$2:$Y$1148,19,FALSE)</f>
        <v>08091K</v>
      </c>
      <c r="K409" s="167" t="str">
        <f>VLOOKUP($A409,'030523 INVENTARIO'!$A$2:$Y$1148,20,FALSE)</f>
        <v>82DH0515010020000541697</v>
      </c>
      <c r="L409" s="167" t="str">
        <f>VLOOKUP($A409,'030523 INVENTARIO'!$A$2:$Y$1148,23,FALSE)</f>
        <v>JUAN PABLO AVILA LOPEZ</v>
      </c>
    </row>
    <row r="410" spans="1:12" ht="12.75" hidden="1">
      <c r="A410" s="167" t="str">
        <f>'030523 INVENTARIO'!A410</f>
        <v>0409</v>
      </c>
      <c r="B410" s="167" t="str">
        <f>'030523 INVENTARIO'!T410</f>
        <v>82DH0565010041000539113</v>
      </c>
      <c r="C410" s="167" t="str">
        <f t="shared" si="0"/>
        <v>539113</v>
      </c>
      <c r="D410" s="167" t="str">
        <f>IF(VLOOKUP(C410,'Patrimonio 2023'!$C$2:$C$1128,1,FALSE) = C410, "Encontrado", "no")</f>
        <v>Encontrado</v>
      </c>
      <c r="E410" s="167" t="str">
        <f>VLOOKUP($A410,'030523 INVENTARIO'!$A$2:$Y$1148,5,FALSE)</f>
        <v>MONITOR</v>
      </c>
      <c r="F410" s="167" t="str">
        <f>VLOOKUP($A410,'030523 INVENTARIO'!$A$2:$Y$1148,6,FALSE)</f>
        <v>MONITOR 15.6"</v>
      </c>
      <c r="G410" s="167" t="str">
        <f ca="1">VLOOKUP($A410,'030523 INVENTARIO'!$A$2:$Y$1148,8,FALSE)</f>
        <v>P12SI-0409</v>
      </c>
      <c r="H410" s="168" t="str">
        <f>VLOOKUP($A410,'030523 INVENTARIO'!$A$2:$Y$1148,17,FALSE)</f>
        <v>SAMSUNG</v>
      </c>
      <c r="I410" s="167" t="str">
        <f>VLOOKUP($A410,'030523 INVENTARIO'!$A$2:$Y$1148,18,FALSE)</f>
        <v>SYNCMASTER632NW</v>
      </c>
      <c r="J410" s="168" t="str">
        <f>VLOOKUP($A410,'030523 INVENTARIO'!$A$2:$Y$1148,19,FALSE)</f>
        <v>PE16H9NQ212118W</v>
      </c>
      <c r="K410" s="167" t="str">
        <f>VLOOKUP($A410,'030523 INVENTARIO'!$A$2:$Y$1148,20,FALSE)</f>
        <v>82DH0565010041000539113</v>
      </c>
      <c r="L410" s="167" t="str">
        <f>VLOOKUP($A410,'030523 INVENTARIO'!$A$2:$Y$1148,23,FALSE)</f>
        <v>CHRISTIAN ZARCO MERCADO</v>
      </c>
    </row>
    <row r="411" spans="1:12" ht="12.75" hidden="1">
      <c r="A411" s="167" t="str">
        <f>'030523 INVENTARIO'!A411</f>
        <v>0410</v>
      </c>
      <c r="B411" s="168" t="str">
        <f>'030523 INVENTARIO'!T411</f>
        <v>82DH0515010047000651134</v>
      </c>
      <c r="C411" s="167" t="str">
        <f t="shared" si="0"/>
        <v>651134</v>
      </c>
      <c r="D411" s="167" t="str">
        <f>IF(VLOOKUP(C411,'Patrimonio 2023'!$C$2:$C$1128,1,FALSE) = C411, "Encontrado", "no")</f>
        <v>Encontrado</v>
      </c>
      <c r="E411" s="167" t="str">
        <f>VLOOKUP($A411,'030523 INVENTARIO'!$A$2:$Y$1148,5,FALSE)</f>
        <v>RACK</v>
      </c>
      <c r="F411" s="168" t="str">
        <f>VLOOKUP($A411,'030523 INVENTARIO'!$A$2:$Y$1148,6,FALSE)</f>
        <v>RACK LICITACIONES</v>
      </c>
      <c r="G411" s="167" t="str">
        <f ca="1">VLOOKUP($A411,'030523 INVENTARIO'!$A$2:$Y$1148,8,FALSE)</f>
        <v>P12SI-0410</v>
      </c>
      <c r="H411" s="168" t="str">
        <f>VLOOKUP($A411,'030523 INVENTARIO'!$A$2:$Y$1148,17,FALSE)</f>
        <v>S/M</v>
      </c>
      <c r="I411" s="167" t="str">
        <f>VLOOKUP($A411,'030523 INVENTARIO'!$A$2:$Y$1148,18,FALSE)</f>
        <v>S/M</v>
      </c>
      <c r="J411" s="168" t="str">
        <f>VLOOKUP($A411,'030523 INVENTARIO'!$A$2:$Y$1148,19,FALSE)</f>
        <v>SIN SERIE</v>
      </c>
      <c r="K411" s="168" t="str">
        <f>VLOOKUP($A411,'030523 INVENTARIO'!$A$2:$Y$1148,20,FALSE)</f>
        <v>82DH0515010047000651134</v>
      </c>
      <c r="L411" s="167" t="str">
        <f>VLOOKUP($A411,'030523 INVENTARIO'!$A$2:$Y$1148,23,FALSE)</f>
        <v>CHRISTIAN ZARCO MERCADO (SO)</v>
      </c>
    </row>
    <row r="412" spans="1:12" ht="12.75" hidden="1">
      <c r="A412" s="167" t="str">
        <f>'030523 INVENTARIO'!A412</f>
        <v>0411</v>
      </c>
      <c r="B412" s="168" t="str">
        <f>'030523 INVENTARIO'!T412</f>
        <v>82DH0515010017000651138</v>
      </c>
      <c r="C412" s="167" t="str">
        <f t="shared" si="0"/>
        <v>651138</v>
      </c>
      <c r="D412" s="167" t="str">
        <f>IF(VLOOKUP(C412,'Patrimonio 2023'!$C$2:$C$1128,1,FALSE) = C412, "Encontrado", "no")</f>
        <v>Encontrado</v>
      </c>
      <c r="E412" s="167" t="str">
        <f>VLOOKUP($A412,'030523 INVENTARIO'!$A$2:$Y$1148,5,FALSE)</f>
        <v>PANEL DE PARCHEO</v>
      </c>
      <c r="F412" s="168" t="str">
        <f>VLOOKUP($A412,'030523 INVENTARIO'!$A$2:$Y$1148,6,FALSE)</f>
        <v>PANEL DE PARCHEO</v>
      </c>
      <c r="G412" s="167" t="str">
        <f ca="1">VLOOKUP($A412,'030523 INVENTARIO'!$A$2:$Y$1148,8,FALSE)</f>
        <v>P12SI-0411</v>
      </c>
      <c r="H412" s="168" t="str">
        <f>VLOOKUP($A412,'030523 INVENTARIO'!$A$2:$Y$1148,17,FALSE)</f>
        <v>INTELINET</v>
      </c>
      <c r="I412" s="167" t="str">
        <f>VLOOKUP($A412,'030523 INVENTARIO'!$A$2:$Y$1148,18,FALSE)</f>
        <v>S/M</v>
      </c>
      <c r="J412" s="168" t="str">
        <f>VLOOKUP($A412,'030523 INVENTARIO'!$A$2:$Y$1148,19,FALSE)</f>
        <v>SIN SERIE</v>
      </c>
      <c r="K412" s="168" t="str">
        <f>VLOOKUP($A412,'030523 INVENTARIO'!$A$2:$Y$1148,20,FALSE)</f>
        <v>82DH0515010017000651138</v>
      </c>
      <c r="L412" s="167" t="str">
        <f>VLOOKUP($A412,'030523 INVENTARIO'!$A$2:$Y$1148,23,FALSE)</f>
        <v>CHRISTIAN ZARCO MERCADO (SO)</v>
      </c>
    </row>
    <row r="413" spans="1:12" ht="12.75" hidden="1">
      <c r="A413" s="167" t="str">
        <f>'030523 INVENTARIO'!A413</f>
        <v>0412</v>
      </c>
      <c r="B413" s="168" t="str">
        <f>'030523 INVENTARIO'!T413</f>
        <v>82DH0515010026000566183</v>
      </c>
      <c r="C413" s="167" t="str">
        <f t="shared" si="0"/>
        <v>566183</v>
      </c>
      <c r="D413" s="167" t="str">
        <f>IF(VLOOKUP(C413,'Patrimonio 2023'!$C$2:$C$1128,1,FALSE) = C413, "Encontrado", "no")</f>
        <v>Encontrado</v>
      </c>
      <c r="E413" s="167" t="str">
        <f>VLOOKUP($A413,'030523 INVENTARIO'!$A$2:$Y$1148,5,FALSE)</f>
        <v>SWITCH (CONCENTRADOR DE PUERTOS)</v>
      </c>
      <c r="F413" s="168" t="str">
        <f>VLOOKUP($A413,'030523 INVENTARIO'!$A$2:$Y$1148,6,FALSE)</f>
        <v>SWITCH</v>
      </c>
      <c r="G413" s="167" t="str">
        <f ca="1">VLOOKUP($A413,'030523 INVENTARIO'!$A$2:$Y$1148,8,FALSE)</f>
        <v>P12SI-0412</v>
      </c>
      <c r="H413" s="168" t="str">
        <f>VLOOKUP($A413,'030523 INVENTARIO'!$A$2:$Y$1148,17,FALSE)</f>
        <v>3COM</v>
      </c>
      <c r="I413" s="167" t="str">
        <f>VLOOKUP($A413,'030523 INVENTARIO'!$A$2:$Y$1148,18,FALSE)</f>
        <v>S/M</v>
      </c>
      <c r="J413" s="168" t="str">
        <f>VLOOKUP($A413,'030523 INVENTARIO'!$A$2:$Y$1148,19,FALSE)</f>
        <v>PE16H9NQ212118W</v>
      </c>
      <c r="K413" s="168" t="str">
        <f>VLOOKUP($A413,'030523 INVENTARIO'!$A$2:$Y$1148,20,FALSE)</f>
        <v>82DH0515010026000566183</v>
      </c>
      <c r="L413" s="167" t="str">
        <f>VLOOKUP($A413,'030523 INVENTARIO'!$A$2:$Y$1148,23,FALSE)</f>
        <v>CHRISTIAN ZARCO MERCADO (SO)</v>
      </c>
    </row>
    <row r="414" spans="1:12" ht="12.75" hidden="1">
      <c r="A414" s="167" t="str">
        <f>'030523 INVENTARIO'!A414</f>
        <v>0413</v>
      </c>
      <c r="B414" s="167" t="str">
        <f>'030523 INVENTARIO'!T414</f>
        <v>82DH0511010009000584141</v>
      </c>
      <c r="C414" s="167" t="str">
        <f t="shared" si="0"/>
        <v>584141</v>
      </c>
      <c r="D414" s="167" t="str">
        <f>IF(VLOOKUP(C414,'Patrimonio 2023'!$C$2:$C$1128,1,FALSE) = C414, "Encontrado", "no")</f>
        <v>Encontrado</v>
      </c>
      <c r="E414" s="167" t="str">
        <f>VLOOKUP($A414,'030523 INVENTARIO'!$A$2:$Y$1148,5,FALSE)</f>
        <v>ESTANTE O ANAQUEL</v>
      </c>
      <c r="F414" s="167" t="str">
        <f>VLOOKUP($A414,'030523 INVENTARIO'!$A$2:$Y$1148,6,FALSE)</f>
        <v>ANAQUEL DE METAL  GRIS DE 2 PUERTAS 182X91X46</v>
      </c>
      <c r="G414" s="167" t="str">
        <f ca="1">VLOOKUP($A414,'030523 INVENTARIO'!$A$2:$Y$1148,8,FALSE)</f>
        <v>P12SI-0413</v>
      </c>
      <c r="H414" s="168" t="str">
        <f>VLOOKUP($A414,'030523 INVENTARIO'!$A$2:$Y$1148,17,FALSE)</f>
        <v>S/M</v>
      </c>
      <c r="I414" s="167" t="str">
        <f>VLOOKUP($A414,'030523 INVENTARIO'!$A$2:$Y$1148,18,FALSE)</f>
        <v>S/M</v>
      </c>
      <c r="J414" s="168" t="str">
        <f>VLOOKUP($A414,'030523 INVENTARIO'!$A$2:$Y$1148,19,FALSE)</f>
        <v>SIN SERIE</v>
      </c>
      <c r="K414" s="167" t="str">
        <f>VLOOKUP($A414,'030523 INVENTARIO'!$A$2:$Y$1148,20,FALSE)</f>
        <v>82DH0511010009000584141</v>
      </c>
      <c r="L414" s="167" t="str">
        <f>VLOOKUP($A414,'030523 INVENTARIO'!$A$2:$Y$1148,23,FALSE)</f>
        <v>CHRISTIAN ZARCO MERCADO</v>
      </c>
    </row>
    <row r="415" spans="1:12" ht="12.75" hidden="1">
      <c r="A415" s="167" t="str">
        <f>'030523 INVENTARIO'!A415</f>
        <v>0414</v>
      </c>
      <c r="B415" s="168" t="str">
        <f>'030523 INVENTARIO'!T415</f>
        <v>82DH0515010047000651133</v>
      </c>
      <c r="C415" s="167" t="str">
        <f t="shared" si="0"/>
        <v>651133</v>
      </c>
      <c r="D415" s="167" t="str">
        <f>IF(VLOOKUP(C415,'Patrimonio 2023'!$C$2:$C$1128,1,FALSE) = C415, "Encontrado", "no")</f>
        <v>Encontrado</v>
      </c>
      <c r="E415" s="167" t="str">
        <f>VLOOKUP($A415,'030523 INVENTARIO'!$A$2:$Y$1148,5,FALSE)</f>
        <v>RACK</v>
      </c>
      <c r="F415" s="168" t="str">
        <f>VLOOKUP($A415,'030523 INVENTARIO'!$A$2:$Y$1148,6,FALSE)</f>
        <v>RACK</v>
      </c>
      <c r="G415" s="167" t="str">
        <f ca="1">VLOOKUP($A415,'030523 INVENTARIO'!$A$2:$Y$1148,8,FALSE)</f>
        <v>P12SI-0414</v>
      </c>
      <c r="H415" s="168" t="str">
        <f>VLOOKUP($A415,'030523 INVENTARIO'!$A$2:$Y$1148,17,FALSE)</f>
        <v>S/M</v>
      </c>
      <c r="I415" s="167" t="str">
        <f>VLOOKUP($A415,'030523 INVENTARIO'!$A$2:$Y$1148,18,FALSE)</f>
        <v>S/M</v>
      </c>
      <c r="J415" s="168" t="str">
        <f>VLOOKUP($A415,'030523 INVENTARIO'!$A$2:$Y$1148,19,FALSE)</f>
        <v>SIN SERIE</v>
      </c>
      <c r="K415" s="168" t="str">
        <f>VLOOKUP($A415,'030523 INVENTARIO'!$A$2:$Y$1148,20,FALSE)</f>
        <v>82DH0515010047000651133</v>
      </c>
      <c r="L415" s="167" t="str">
        <f>VLOOKUP($A415,'030523 INVENTARIO'!$A$2:$Y$1148,23,FALSE)</f>
        <v>CHRISTIAN ZARCO MERCADO (SJ)</v>
      </c>
    </row>
    <row r="416" spans="1:12" ht="12.75" hidden="1">
      <c r="A416" s="167" t="str">
        <f>'030523 INVENTARIO'!A416</f>
        <v>0415</v>
      </c>
      <c r="B416" s="168" t="str">
        <f>'030523 INVENTARIO'!T416</f>
        <v>82DH0515010017000651135</v>
      </c>
      <c r="C416" s="167" t="str">
        <f t="shared" si="0"/>
        <v>651135</v>
      </c>
      <c r="D416" s="167" t="str">
        <f>IF(VLOOKUP(C416,'Patrimonio 2023'!$C$2:$C$1128,1,FALSE) = C416, "Encontrado", "no")</f>
        <v>Encontrado</v>
      </c>
      <c r="E416" s="167" t="str">
        <f>VLOOKUP($A416,'030523 INVENTARIO'!$A$2:$Y$1148,5,FALSE)</f>
        <v>PANEL DE PARCHEO</v>
      </c>
      <c r="F416" s="168" t="str">
        <f>VLOOKUP($A416,'030523 INVENTARIO'!$A$2:$Y$1148,6,FALSE)</f>
        <v>PANEL DE PARCHEO</v>
      </c>
      <c r="G416" s="167" t="str">
        <f ca="1">VLOOKUP($A416,'030523 INVENTARIO'!$A$2:$Y$1148,8,FALSE)</f>
        <v>P12SI-0415</v>
      </c>
      <c r="H416" s="168" t="str">
        <f>VLOOKUP($A416,'030523 INVENTARIO'!$A$2:$Y$1148,17,FALSE)</f>
        <v>SBETECH</v>
      </c>
      <c r="I416" s="167" t="str">
        <f>VLOOKUP($A416,'030523 INVENTARIO'!$A$2:$Y$1148,18,FALSE)</f>
        <v>S/M</v>
      </c>
      <c r="J416" s="167" t="str">
        <f>VLOOKUP($A416,'030523 INVENTARIO'!$A$2:$Y$1148,19,FALSE)</f>
        <v>SIN SERIE</v>
      </c>
      <c r="K416" s="168" t="str">
        <f>VLOOKUP($A416,'030523 INVENTARIO'!$A$2:$Y$1148,20,FALSE)</f>
        <v>82DH0515010017000651135</v>
      </c>
      <c r="L416" s="167" t="str">
        <f>VLOOKUP($A416,'030523 INVENTARIO'!$A$2:$Y$1148,23,FALSE)</f>
        <v>CHRISTIAN ZARCO MERCADO (SJ)</v>
      </c>
    </row>
    <row r="417" spans="1:12" ht="12.75" hidden="1">
      <c r="A417" s="167" t="str">
        <f>'030523 INVENTARIO'!A417</f>
        <v>0416</v>
      </c>
      <c r="B417" s="167" t="str">
        <f>'030523 INVENTARIO'!T417</f>
        <v>82DH0515010026000651136</v>
      </c>
      <c r="C417" s="167" t="str">
        <f t="shared" si="0"/>
        <v>651136</v>
      </c>
      <c r="D417" s="167" t="str">
        <f>IF(VLOOKUP(C417,'Patrimonio 2023'!$C$2:$C$1128,1,FALSE) = C417, "Encontrado", "no")</f>
        <v>Encontrado</v>
      </c>
      <c r="E417" s="167" t="str">
        <f>VLOOKUP($A417,'030523 INVENTARIO'!$A$2:$Y$1148,5,FALSE)</f>
        <v>SWITCH (CONCENTRADOR DE PUERTOS)</v>
      </c>
      <c r="F417" s="168" t="str">
        <f>VLOOKUP($A417,'030523 INVENTARIO'!$A$2:$Y$1148,6,FALSE)</f>
        <v>SWITCH</v>
      </c>
      <c r="G417" s="167" t="str">
        <f ca="1">VLOOKUP($A417,'030523 INVENTARIO'!$A$2:$Y$1148,8,FALSE)</f>
        <v>P12SI-0416</v>
      </c>
      <c r="H417" s="168" t="str">
        <f>VLOOKUP($A417,'030523 INVENTARIO'!$A$2:$Y$1148,17,FALSE)</f>
        <v>NETGEAR</v>
      </c>
      <c r="I417" s="167" t="str">
        <f>VLOOKUP($A417,'030523 INVENTARIO'!$A$2:$Y$1148,18,FALSE)</f>
        <v>SS726TP</v>
      </c>
      <c r="J417" s="167" t="str">
        <f>VLOOKUP($A417,'030523 INVENTARIO'!$A$2:$Y$1148,19,FALSE)</f>
        <v>1DA68B5K00318</v>
      </c>
      <c r="K417" s="167" t="str">
        <f>VLOOKUP($A417,'030523 INVENTARIO'!$A$2:$Y$1148,20,FALSE)</f>
        <v>82DH0515010026000651136</v>
      </c>
      <c r="L417" s="167" t="str">
        <f>VLOOKUP($A417,'030523 INVENTARIO'!$A$2:$Y$1148,23,FALSE)</f>
        <v>CHRISTIAN ZARCO MERCADO (SJ)</v>
      </c>
    </row>
    <row r="418" spans="1:12" ht="12.75" hidden="1">
      <c r="A418" s="167" t="str">
        <f>'030523 INVENTARIO'!A418</f>
        <v>0417</v>
      </c>
      <c r="B418" s="168" t="str">
        <f>'030523 INVENTARIO'!T418</f>
        <v>82DH0512010011000517107</v>
      </c>
      <c r="C418" s="167" t="str">
        <f t="shared" si="0"/>
        <v>517107</v>
      </c>
      <c r="D418" s="167" t="str">
        <f>IF(VLOOKUP(C418,'Patrimonio 2023'!$C$2:$C$1128,1,FALSE) = C418, "Encontrado", "no")</f>
        <v>Encontrado</v>
      </c>
      <c r="E418" s="167" t="str">
        <f>VLOOKUP($A418,'030523 INVENTARIO'!$A$2:$Y$1148,5,FALSE)</f>
        <v>MESA</v>
      </c>
      <c r="F418" s="167" t="str">
        <f>VLOOKUP($A418,'030523 INVENTARIO'!$A$2:$Y$1148,6,FALSE)</f>
        <v>MESA HEXAGONAL</v>
      </c>
      <c r="G418" s="167" t="str">
        <f ca="1">VLOOKUP($A418,'030523 INVENTARIO'!$A$2:$Y$1148,8,FALSE)</f>
        <v>P12SI-0417</v>
      </c>
      <c r="H418" s="168" t="str">
        <f>VLOOKUP($A418,'030523 INVENTARIO'!$A$2:$Y$1148,17,FALSE)</f>
        <v>S/M</v>
      </c>
      <c r="I418" s="167" t="str">
        <f>VLOOKUP($A418,'030523 INVENTARIO'!$A$2:$Y$1148,18,FALSE)</f>
        <v>S/M</v>
      </c>
      <c r="J418" s="168" t="str">
        <f>VLOOKUP($A418,'030523 INVENTARIO'!$A$2:$Y$1148,19,FALSE)</f>
        <v>SIN SERIE</v>
      </c>
      <c r="K418" s="168" t="str">
        <f>VLOOKUP($A418,'030523 INVENTARIO'!$A$2:$Y$1148,20,FALSE)</f>
        <v>82DH0512010011000517107</v>
      </c>
      <c r="L418" s="167" t="str">
        <f>VLOOKUP($A418,'030523 INVENTARIO'!$A$2:$Y$1148,23,FALSE)</f>
        <v>CHRISTIAN ZARCO MERCADO</v>
      </c>
    </row>
    <row r="419" spans="1:12" ht="12.75" hidden="1">
      <c r="A419" s="167" t="str">
        <f>'030523 INVENTARIO'!A419</f>
        <v>0418</v>
      </c>
      <c r="B419" s="168" t="str">
        <f>'030523 INVENTARIO'!T419</f>
        <v>82DH0523010002000649669</v>
      </c>
      <c r="C419" s="167" t="str">
        <f t="shared" si="0"/>
        <v>649669</v>
      </c>
      <c r="D419" s="167" t="str">
        <f>IF(VLOOKUP(C419,'Patrimonio 2023'!$C$2:$C$1128,1,FALSE) = C419, "Encontrado", "no")</f>
        <v>Encontrado</v>
      </c>
      <c r="E419" s="167" t="str">
        <f>VLOOKUP($A419,'030523 INVENTARIO'!$A$2:$Y$1148,5,FALSE)</f>
        <v>CAMARA DE VIGILANCIA</v>
      </c>
      <c r="F419" s="167" t="str">
        <f>VLOOKUP($A419,'030523 INVENTARIO'!$A$2:$Y$1148,6,FALSE)</f>
        <v>CAMARA DE VIGILANCIA</v>
      </c>
      <c r="G419" s="167" t="str">
        <f ca="1">VLOOKUP($A419,'030523 INVENTARIO'!$A$2:$Y$1148,8,FALSE)</f>
        <v>P12SI-0418</v>
      </c>
      <c r="H419" s="168" t="str">
        <f>VLOOKUP($A419,'030523 INVENTARIO'!$A$2:$Y$1148,17,FALSE)</f>
        <v>SIESE</v>
      </c>
      <c r="I419" s="167" t="str">
        <f>VLOOKUP($A419,'030523 INVENTARIO'!$A$2:$Y$1148,18,FALSE)</f>
        <v>SS-XDP08W3.60</v>
      </c>
      <c r="J419" s="168" t="str">
        <f>VLOOKUP($A419,'030523 INVENTARIO'!$A$2:$Y$1148,19,FALSE)</f>
        <v>597U47002510097</v>
      </c>
      <c r="K419" s="168" t="str">
        <f>VLOOKUP($A419,'030523 INVENTARIO'!$A$2:$Y$1148,20,FALSE)</f>
        <v>82DH0523010002000649669</v>
      </c>
      <c r="L419" s="167" t="str">
        <f>VLOOKUP($A419,'030523 INVENTARIO'!$A$2:$Y$1148,23,FALSE)</f>
        <v>CHRISTIAN ZARCO MERCADO</v>
      </c>
    </row>
    <row r="420" spans="1:12" ht="12.75" hidden="1">
      <c r="A420" s="167" t="str">
        <f>'030523 INVENTARIO'!A420</f>
        <v>0419</v>
      </c>
      <c r="B420" s="168" t="str">
        <f>'030523 INVENTARIO'!T420</f>
        <v>82DH0523010002000649668</v>
      </c>
      <c r="C420" s="167" t="str">
        <f t="shared" si="0"/>
        <v>649668</v>
      </c>
      <c r="D420" s="167" t="str">
        <f>IF(VLOOKUP(C420,'Patrimonio 2023'!$C$2:$C$1128,1,FALSE) = C420, "Encontrado", "no")</f>
        <v>Encontrado</v>
      </c>
      <c r="E420" s="167" t="str">
        <f>VLOOKUP($A420,'030523 INVENTARIO'!$A$2:$Y$1148,5,FALSE)</f>
        <v>CAMARA DE VIGILANCIA</v>
      </c>
      <c r="F420" s="167" t="str">
        <f>VLOOKUP($A420,'030523 INVENTARIO'!$A$2:$Y$1148,6,FALSE)</f>
        <v>CAMARA DE VIGILANCIA</v>
      </c>
      <c r="G420" s="167" t="str">
        <f ca="1">VLOOKUP($A420,'030523 INVENTARIO'!$A$2:$Y$1148,8,FALSE)</f>
        <v>P12SI-0419</v>
      </c>
      <c r="H420" s="168" t="str">
        <f>VLOOKUP($A420,'030523 INVENTARIO'!$A$2:$Y$1148,17,FALSE)</f>
        <v>SIESE</v>
      </c>
      <c r="I420" s="167" t="str">
        <f>VLOOKUP($A420,'030523 INVENTARIO'!$A$2:$Y$1148,18,FALSE)</f>
        <v>SS-XBF20W3.60</v>
      </c>
      <c r="J420" s="168" t="str">
        <f>VLOOKUP($A420,'030523 INVENTARIO'!$A$2:$Y$1148,19,FALSE)</f>
        <v>597U48011510172</v>
      </c>
      <c r="K420" s="168" t="str">
        <f>VLOOKUP($A420,'030523 INVENTARIO'!$A$2:$Y$1148,20,FALSE)</f>
        <v>82DH0523010002000649668</v>
      </c>
      <c r="L420" s="167" t="str">
        <f>VLOOKUP($A420,'030523 INVENTARIO'!$A$2:$Y$1148,23,FALSE)</f>
        <v>CHRISTIAN ZARCO MERCADO</v>
      </c>
    </row>
    <row r="421" spans="1:12" ht="12.75" hidden="1">
      <c r="A421" s="167" t="str">
        <f>'030523 INVENTARIO'!A421</f>
        <v>0420</v>
      </c>
      <c r="B421" s="168" t="str">
        <f>'030523 INVENTARIO'!T421</f>
        <v>82DH0523010002000649667</v>
      </c>
      <c r="C421" s="167" t="str">
        <f t="shared" si="0"/>
        <v>649667</v>
      </c>
      <c r="D421" s="167" t="str">
        <f>IF(VLOOKUP(C421,'Patrimonio 2023'!$C$2:$C$1128,1,FALSE) = C421, "Encontrado", "no")</f>
        <v>Encontrado</v>
      </c>
      <c r="E421" s="167" t="str">
        <f>VLOOKUP($A421,'030523 INVENTARIO'!$A$2:$Y$1148,5,FALSE)</f>
        <v>CAMARA DE VIGILANCIA</v>
      </c>
      <c r="F421" s="167" t="str">
        <f>VLOOKUP($A421,'030523 INVENTARIO'!$A$2:$Y$1148,6,FALSE)</f>
        <v>CAMARA DE VIGILANCIA</v>
      </c>
      <c r="G421" s="167" t="str">
        <f ca="1">VLOOKUP($A421,'030523 INVENTARIO'!$A$2:$Y$1148,8,FALSE)</f>
        <v>P12SI-0420</v>
      </c>
      <c r="H421" s="168" t="str">
        <f>VLOOKUP($A421,'030523 INVENTARIO'!$A$2:$Y$1148,17,FALSE)</f>
        <v>SIESE</v>
      </c>
      <c r="I421" s="167" t="str">
        <f>VLOOKUP($A421,'030523 INVENTARIO'!$A$2:$Y$1148,18,FALSE)</f>
        <v>SS-XBF20J.60</v>
      </c>
      <c r="J421" s="168" t="str">
        <f>VLOOKUP($A421,'030523 INVENTARIO'!$A$2:$Y$1148,19,FALSE)</f>
        <v>597U48011510177</v>
      </c>
      <c r="K421" s="168" t="str">
        <f>VLOOKUP($A421,'030523 INVENTARIO'!$A$2:$Y$1148,20,FALSE)</f>
        <v>82DH0523010002000649667</v>
      </c>
      <c r="L421" s="167" t="str">
        <f>VLOOKUP($A421,'030523 INVENTARIO'!$A$2:$Y$1148,23,FALSE)</f>
        <v>CHRISTIAN ZARCO MERCADO</v>
      </c>
    </row>
    <row r="422" spans="1:12" ht="12.75" hidden="1">
      <c r="A422" s="167" t="str">
        <f>'030523 INVENTARIO'!A422</f>
        <v>0421</v>
      </c>
      <c r="B422" s="168" t="str">
        <f>'030523 INVENTARIO'!T422</f>
        <v>82DH0523010002000649666</v>
      </c>
      <c r="C422" s="167" t="str">
        <f t="shared" si="0"/>
        <v>649666</v>
      </c>
      <c r="D422" s="167" t="str">
        <f>IF(VLOOKUP(C422,'Patrimonio 2023'!$C$2:$C$1128,1,FALSE) = C422, "Encontrado", "no")</f>
        <v>Encontrado</v>
      </c>
      <c r="E422" s="167" t="str">
        <f>VLOOKUP($A422,'030523 INVENTARIO'!$A$2:$Y$1148,5,FALSE)</f>
        <v>CAMARA DE VIGILANCIA</v>
      </c>
      <c r="F422" s="167" t="str">
        <f>VLOOKUP($A422,'030523 INVENTARIO'!$A$2:$Y$1148,6,FALSE)</f>
        <v>CAMARA DE VIGILANCIA</v>
      </c>
      <c r="G422" s="167" t="str">
        <f ca="1">VLOOKUP($A422,'030523 INVENTARIO'!$A$2:$Y$1148,8,FALSE)</f>
        <v>P12SI-0421</v>
      </c>
      <c r="H422" s="168" t="str">
        <f>VLOOKUP($A422,'030523 INVENTARIO'!$A$2:$Y$1148,17,FALSE)</f>
        <v>SIESE</v>
      </c>
      <c r="I422" s="167" t="str">
        <f>VLOOKUP($A422,'030523 INVENTARIO'!$A$2:$Y$1148,18,FALSE)</f>
        <v>SS-XBF20W3.60</v>
      </c>
      <c r="J422" s="168" t="str">
        <f>VLOOKUP($A422,'030523 INVENTARIO'!$A$2:$Y$1148,19,FALSE)</f>
        <v>597U48011510158</v>
      </c>
      <c r="K422" s="168" t="str">
        <f>VLOOKUP($A422,'030523 INVENTARIO'!$A$2:$Y$1148,20,FALSE)</f>
        <v>82DH0523010002000649666</v>
      </c>
      <c r="L422" s="167" t="str">
        <f>VLOOKUP($A422,'030523 INVENTARIO'!$A$2:$Y$1148,23,FALSE)</f>
        <v>CHRISTIAN ZARCO MERCADO</v>
      </c>
    </row>
    <row r="423" spans="1:12" ht="12.75" hidden="1">
      <c r="A423" s="167" t="str">
        <f>'030523 INVENTARIO'!A423</f>
        <v>0422</v>
      </c>
      <c r="B423" s="168" t="str">
        <f>'030523 INVENTARIO'!T423</f>
        <v>82DH0523010002000649665</v>
      </c>
      <c r="C423" s="167" t="str">
        <f t="shared" si="0"/>
        <v>649665</v>
      </c>
      <c r="D423" s="167" t="str">
        <f>IF(VLOOKUP(C423,'Patrimonio 2023'!$C$2:$C$1128,1,FALSE) = C423, "Encontrado", "no")</f>
        <v>Encontrado</v>
      </c>
      <c r="E423" s="167" t="str">
        <f>VLOOKUP($A423,'030523 INVENTARIO'!$A$2:$Y$1148,5,FALSE)</f>
        <v>CAMARA DE VIGILANCIA</v>
      </c>
      <c r="F423" s="167" t="str">
        <f>VLOOKUP($A423,'030523 INVENTARIO'!$A$2:$Y$1148,6,FALSE)</f>
        <v>CAMARA DE VIGILANCIA</v>
      </c>
      <c r="G423" s="167" t="str">
        <f ca="1">VLOOKUP($A423,'030523 INVENTARIO'!$A$2:$Y$1148,8,FALSE)</f>
        <v>P12SI-0422</v>
      </c>
      <c r="H423" s="168" t="str">
        <f>VLOOKUP($A423,'030523 INVENTARIO'!$A$2:$Y$1148,17,FALSE)</f>
        <v>SIESE</v>
      </c>
      <c r="I423" s="167" t="str">
        <f>VLOOKUP($A423,'030523 INVENTARIO'!$A$2:$Y$1148,18,FALSE)</f>
        <v>SS-XBF20W3.60</v>
      </c>
      <c r="J423" s="168" t="str">
        <f>VLOOKUP($A423,'030523 INVENTARIO'!$A$2:$Y$1148,19,FALSE)</f>
        <v>597U48011510436</v>
      </c>
      <c r="K423" s="168" t="str">
        <f>VLOOKUP($A423,'030523 INVENTARIO'!$A$2:$Y$1148,20,FALSE)</f>
        <v>82DH0523010002000649665</v>
      </c>
      <c r="L423" s="167" t="str">
        <f>VLOOKUP($A423,'030523 INVENTARIO'!$A$2:$Y$1148,23,FALSE)</f>
        <v>CHRISTIAN ZARCO MERCADO</v>
      </c>
    </row>
    <row r="424" spans="1:12" ht="12.75" hidden="1">
      <c r="A424" s="167" t="str">
        <f>'030523 INVENTARIO'!A424</f>
        <v>0423</v>
      </c>
      <c r="B424" s="168" t="str">
        <f>'030523 INVENTARIO'!T424</f>
        <v>82DH0523010002000649664</v>
      </c>
      <c r="C424" s="167" t="str">
        <f t="shared" si="0"/>
        <v>649664</v>
      </c>
      <c r="D424" s="167" t="str">
        <f>IF(VLOOKUP(C424,'Patrimonio 2023'!$C$2:$C$1128,1,FALSE) = C424, "Encontrado", "no")</f>
        <v>Encontrado</v>
      </c>
      <c r="E424" s="167" t="str">
        <f>VLOOKUP($A424,'030523 INVENTARIO'!$A$2:$Y$1148,5,FALSE)</f>
        <v>CAMARA DE VIGILANCIA</v>
      </c>
      <c r="F424" s="167" t="str">
        <f>VLOOKUP($A424,'030523 INVENTARIO'!$A$2:$Y$1148,6,FALSE)</f>
        <v>CAMARA DE VIGILANCIA</v>
      </c>
      <c r="G424" s="167" t="str">
        <f ca="1">VLOOKUP($A424,'030523 INVENTARIO'!$A$2:$Y$1148,8,FALSE)</f>
        <v>P12SI-0423</v>
      </c>
      <c r="H424" s="168" t="str">
        <f>VLOOKUP($A424,'030523 INVENTARIO'!$A$2:$Y$1148,17,FALSE)</f>
        <v>SIESE</v>
      </c>
      <c r="I424" s="167" t="str">
        <f>VLOOKUP($A424,'030523 INVENTARIO'!$A$2:$Y$1148,18,FALSE)</f>
        <v>XBF20W3.60</v>
      </c>
      <c r="J424" s="168" t="str">
        <f>VLOOKUP($A424,'030523 INVENTARIO'!$A$2:$Y$1148,19,FALSE)</f>
        <v>597U48011510154</v>
      </c>
      <c r="K424" s="168" t="str">
        <f>VLOOKUP($A424,'030523 INVENTARIO'!$A$2:$Y$1148,20,FALSE)</f>
        <v>82DH0523010002000649664</v>
      </c>
      <c r="L424" s="167" t="str">
        <f>VLOOKUP($A424,'030523 INVENTARIO'!$A$2:$Y$1148,23,FALSE)</f>
        <v>CHRISTIAN ZARCO MERCADO</v>
      </c>
    </row>
    <row r="425" spans="1:12" ht="12.75" hidden="1">
      <c r="A425" s="167" t="str">
        <f>'030523 INVENTARIO'!A425</f>
        <v>0424</v>
      </c>
      <c r="B425" s="168" t="str">
        <f>'030523 INVENTARIO'!T425</f>
        <v>82DH0523010002000649663</v>
      </c>
      <c r="C425" s="167" t="str">
        <f t="shared" si="0"/>
        <v>649663</v>
      </c>
      <c r="D425" s="167" t="str">
        <f>IF(VLOOKUP(C425,'Patrimonio 2023'!$C$2:$C$1128,1,FALSE) = C425, "Encontrado", "no")</f>
        <v>Encontrado</v>
      </c>
      <c r="E425" s="167" t="str">
        <f>VLOOKUP($A425,'030523 INVENTARIO'!$A$2:$Y$1148,5,FALSE)</f>
        <v>CAMARA DE VIGILANCIA</v>
      </c>
      <c r="F425" s="167" t="str">
        <f>VLOOKUP($A425,'030523 INVENTARIO'!$A$2:$Y$1148,6,FALSE)</f>
        <v>CAMARA DE VIGILANCIA</v>
      </c>
      <c r="G425" s="167" t="str">
        <f ca="1">VLOOKUP($A425,'030523 INVENTARIO'!$A$2:$Y$1148,8,FALSE)</f>
        <v>P12SI-0424</v>
      </c>
      <c r="H425" s="168" t="str">
        <f>VLOOKUP($A425,'030523 INVENTARIO'!$A$2:$Y$1148,17,FALSE)</f>
        <v>SIESE</v>
      </c>
      <c r="I425" s="167" t="str">
        <f>VLOOKUP($A425,'030523 INVENTARIO'!$A$2:$Y$1148,18,FALSE)</f>
        <v>SS-XDF08W360</v>
      </c>
      <c r="J425" s="168" t="str">
        <f>VLOOKUP($A425,'030523 INVENTARIO'!$A$2:$Y$1148,19,FALSE)</f>
        <v>597U47002510118</v>
      </c>
      <c r="K425" s="168" t="str">
        <f>VLOOKUP($A425,'030523 INVENTARIO'!$A$2:$Y$1148,20,FALSE)</f>
        <v>82DH0523010002000649663</v>
      </c>
      <c r="L425" s="167" t="str">
        <f>VLOOKUP($A425,'030523 INVENTARIO'!$A$2:$Y$1148,23,FALSE)</f>
        <v>CHRISTIAN ZARCO MERCADO</v>
      </c>
    </row>
    <row r="426" spans="1:12" ht="12.75" hidden="1">
      <c r="A426" s="167" t="str">
        <f>'030523 INVENTARIO'!A426</f>
        <v>0425</v>
      </c>
      <c r="B426" s="168" t="str">
        <f>'030523 INVENTARIO'!T426</f>
        <v>82DH0523010002000649662</v>
      </c>
      <c r="C426" s="167" t="str">
        <f t="shared" si="0"/>
        <v>649662</v>
      </c>
      <c r="D426" s="167" t="str">
        <f>IF(VLOOKUP(C426,'Patrimonio 2023'!$C$2:$C$1128,1,FALSE) = C426, "Encontrado", "no")</f>
        <v>Encontrado</v>
      </c>
      <c r="E426" s="167" t="str">
        <f>VLOOKUP($A426,'030523 INVENTARIO'!$A$2:$Y$1148,5,FALSE)</f>
        <v>CAMARA DE VIGILANCIA</v>
      </c>
      <c r="F426" s="167" t="str">
        <f>VLOOKUP($A426,'030523 INVENTARIO'!$A$2:$Y$1148,6,FALSE)</f>
        <v>CAMARA DE VIGILANCIA</v>
      </c>
      <c r="G426" s="167" t="str">
        <f ca="1">VLOOKUP($A426,'030523 INVENTARIO'!$A$2:$Y$1148,8,FALSE)</f>
        <v>P12SI-0425</v>
      </c>
      <c r="H426" s="168" t="str">
        <f>VLOOKUP($A426,'030523 INVENTARIO'!$A$2:$Y$1148,17,FALSE)</f>
        <v>AYTECH</v>
      </c>
      <c r="I426" s="167" t="str">
        <f>VLOOKUP($A426,'030523 INVENTARIO'!$A$2:$Y$1148,18,FALSE)</f>
        <v>AVC153N/F38</v>
      </c>
      <c r="J426" s="168" t="str">
        <f>VLOOKUP($A426,'030523 INVENTARIO'!$A$2:$Y$1148,19,FALSE)</f>
        <v>EHME00328</v>
      </c>
      <c r="K426" s="168" t="str">
        <f>VLOOKUP($A426,'030523 INVENTARIO'!$A$2:$Y$1148,20,FALSE)</f>
        <v>82DH0523010002000649662</v>
      </c>
      <c r="L426" s="167" t="str">
        <f>VLOOKUP($A426,'030523 INVENTARIO'!$A$2:$Y$1148,23,FALSE)</f>
        <v>CHRISTIAN ZARCO MERCADO</v>
      </c>
    </row>
    <row r="427" spans="1:12" ht="12.75" hidden="1">
      <c r="A427" s="167" t="str">
        <f>'030523 INVENTARIO'!A427</f>
        <v>0426</v>
      </c>
      <c r="B427" s="167" t="str">
        <f>'030523 INVENTARIO'!T427</f>
        <v>SIN RESGUARDO</v>
      </c>
      <c r="C427" s="167" t="str">
        <f t="shared" si="0"/>
        <v/>
      </c>
      <c r="D427" s="167" t="e">
        <f>IF(VLOOKUP(C427,'Patrimonio 2023'!$C$2:$C$1128,1,FALSE) = C427, "Encontrado", "no")</f>
        <v>#N/A</v>
      </c>
      <c r="E427" s="167" t="str">
        <f>VLOOKUP($A427,'030523 INVENTARIO'!$A$2:$Y$1148,5,FALSE)</f>
        <v>ROUTER</v>
      </c>
      <c r="F427" s="167" t="str">
        <f>VLOOKUP($A427,'030523 INVENTARIO'!$A$2:$Y$1148,6,FALSE)</f>
        <v>ANTENA WIFI</v>
      </c>
      <c r="G427" s="167" t="str">
        <f ca="1">VLOOKUP($A427,'030523 INVENTARIO'!$A$2:$Y$1148,8,FALSE)</f>
        <v>P12SI-0426</v>
      </c>
      <c r="H427" s="168" t="str">
        <f>VLOOKUP($A427,'030523 INVENTARIO'!$A$2:$Y$1148,17,FALSE)</f>
        <v>NANO STATION 2</v>
      </c>
      <c r="I427" s="167" t="str">
        <f>VLOOKUP($A427,'030523 INVENTARIO'!$A$2:$Y$1148,18,FALSE)</f>
        <v>SWX-NS2</v>
      </c>
      <c r="J427" s="167" t="str">
        <f>VLOOKUP($A427,'030523 INVENTARIO'!$A$2:$Y$1148,19,FALSE)</f>
        <v>6545A-NS2</v>
      </c>
      <c r="K427" s="167" t="str">
        <f>VLOOKUP($A427,'030523 INVENTARIO'!$A$2:$Y$1148,20,FALSE)</f>
        <v>SIN RESGUARDO</v>
      </c>
      <c r="L427" s="167" t="str">
        <f>VLOOKUP($A427,'030523 INVENTARIO'!$A$2:$Y$1148,23,FALSE)</f>
        <v>CHRISTIAN ZARCO MERCADO</v>
      </c>
    </row>
    <row r="428" spans="1:12" ht="12.75" hidden="1">
      <c r="A428" s="167" t="str">
        <f>'030523 INVENTARIO'!A428</f>
        <v>0427</v>
      </c>
      <c r="B428" s="167" t="str">
        <f>'030523 INVENTARIO'!T428</f>
        <v>SIN RESGUARDO</v>
      </c>
      <c r="C428" s="167" t="str">
        <f t="shared" si="0"/>
        <v/>
      </c>
      <c r="D428" s="167" t="e">
        <f>IF(VLOOKUP(C428,'Patrimonio 2023'!$C$2:$C$1128,1,FALSE) = C428, "Encontrado", "no")</f>
        <v>#N/A</v>
      </c>
      <c r="E428" s="167" t="str">
        <f>VLOOKUP($A428,'030523 INVENTARIO'!$A$2:$Y$1148,5,FALSE)</f>
        <v>ROUTER</v>
      </c>
      <c r="F428" s="167" t="str">
        <f>VLOOKUP($A428,'030523 INVENTARIO'!$A$2:$Y$1148,6,FALSE)</f>
        <v>ANTENA WIFI</v>
      </c>
      <c r="G428" s="167" t="str">
        <f ca="1">VLOOKUP($A428,'030523 INVENTARIO'!$A$2:$Y$1148,8,FALSE)</f>
        <v>P15RM-0427</v>
      </c>
      <c r="H428" s="168" t="str">
        <f>VLOOKUP($A428,'030523 INVENTARIO'!$A$2:$Y$1148,17,FALSE)</f>
        <v>UBIQUITI</v>
      </c>
      <c r="I428" s="167" t="str">
        <f>VLOOKUP($A428,'030523 INVENTARIO'!$A$2:$Y$1148,18,FALSE)</f>
        <v>UAP-AC-LR</v>
      </c>
      <c r="J428" s="167" t="str">
        <f>VLOOKUP($A428,'030523 INVENTARIO'!$A$2:$Y$1148,19,FALSE)</f>
        <v>SWX-UAPACLR</v>
      </c>
      <c r="K428" s="167" t="str">
        <f>VLOOKUP($A428,'030523 INVENTARIO'!$A$2:$Y$1148,20,FALSE)</f>
        <v>SIN RESGUARDO</v>
      </c>
      <c r="L428" s="167" t="str">
        <f>VLOOKUP($A428,'030523 INVENTARIO'!$A$2:$Y$1148,23,FALSE)</f>
        <v>BLANCA ELIZABETH ALCANTAR GUERRERO</v>
      </c>
    </row>
    <row r="429" spans="1:12" ht="12.75" hidden="1">
      <c r="A429" s="167" t="str">
        <f>'030523 INVENTARIO'!A429</f>
        <v>0428</v>
      </c>
      <c r="B429" s="167" t="str">
        <f>'030523 INVENTARIO'!T429</f>
        <v>SIN RESGUARDO</v>
      </c>
      <c r="C429" s="167" t="str">
        <f t="shared" si="0"/>
        <v/>
      </c>
      <c r="D429" s="167" t="e">
        <f>IF(VLOOKUP(C429,'Patrimonio 2023'!$C$2:$C$1128,1,FALSE) = C429, "Encontrado", "no")</f>
        <v>#N/A</v>
      </c>
      <c r="E429" s="167" t="str">
        <f>VLOOKUP($A429,'030523 INVENTARIO'!$A$2:$Y$1148,5,FALSE)</f>
        <v>ROUTER</v>
      </c>
      <c r="F429" s="167" t="str">
        <f>VLOOKUP($A429,'030523 INVENTARIO'!$A$2:$Y$1148,6,FALSE)</f>
        <v>ANTENA WIFI</v>
      </c>
      <c r="G429" s="167" t="str">
        <f ca="1">VLOOKUP($A429,'030523 INVENTARIO'!$A$2:$Y$1148,8,FALSE)</f>
        <v>P12SI-0428</v>
      </c>
      <c r="H429" s="168" t="str">
        <f>VLOOKUP($A429,'030523 INVENTARIO'!$A$2:$Y$1148,17,FALSE)</f>
        <v>NANO STATION 2</v>
      </c>
      <c r="I429" s="167" t="str">
        <f>VLOOKUP($A429,'030523 INVENTARIO'!$A$2:$Y$1148,18,FALSE)</f>
        <v>SWX-NS2</v>
      </c>
      <c r="J429" s="167" t="str">
        <f>VLOOKUP($A429,'030523 INVENTARIO'!$A$2:$Y$1148,19,FALSE)</f>
        <v>6544A-NS2</v>
      </c>
      <c r="K429" s="167" t="str">
        <f>VLOOKUP($A429,'030523 INVENTARIO'!$A$2:$Y$1148,20,FALSE)</f>
        <v>SIN RESGUARDO</v>
      </c>
      <c r="L429" s="167" t="str">
        <f>VLOOKUP($A429,'030523 INVENTARIO'!$A$2:$Y$1148,23,FALSE)</f>
        <v>CHRISTIAN ZARCO MERCADO</v>
      </c>
    </row>
    <row r="430" spans="1:12" ht="12.75" hidden="1">
      <c r="A430" s="167" t="str">
        <f>'030523 INVENTARIO'!A430</f>
        <v>0429</v>
      </c>
      <c r="B430" s="167" t="str">
        <f>'030523 INVENTARIO'!T430</f>
        <v>SIN RESGUARDO</v>
      </c>
      <c r="C430" s="167" t="str">
        <f t="shared" si="0"/>
        <v/>
      </c>
      <c r="D430" s="167" t="e">
        <f>IF(VLOOKUP(C430,'Patrimonio 2023'!$C$2:$C$1128,1,FALSE) = C430, "Encontrado", "no")</f>
        <v>#N/A</v>
      </c>
      <c r="E430" s="167" t="str">
        <f>VLOOKUP($A430,'030523 INVENTARIO'!$A$2:$Y$1148,5,FALSE)</f>
        <v>CAMARA DE VIGILANCIA</v>
      </c>
      <c r="F430" s="167" t="str">
        <f>VLOOKUP($A430,'030523 INVENTARIO'!$A$2:$Y$1148,6,FALSE)</f>
        <v>CAMARA DE VIGILANCIA</v>
      </c>
      <c r="G430" s="167" t="str">
        <f ca="1">VLOOKUP($A430,'030523 INVENTARIO'!$A$2:$Y$1148,8,FALSE)</f>
        <v>P12SI-0429</v>
      </c>
      <c r="H430" s="168" t="str">
        <f>VLOOKUP($A430,'030523 INVENTARIO'!$A$2:$Y$1148,17,FALSE)</f>
        <v>STARCAM</v>
      </c>
      <c r="I430" s="167" t="str">
        <f>VLOOKUP($A430,'030523 INVENTARIO'!$A$2:$Y$1148,18,FALSE)</f>
        <v>H6837W1</v>
      </c>
      <c r="J430" s="167">
        <f>VLOOKUP($A430,'030523 INVENTARIO'!$A$2:$Y$1148,19,FALSE)</f>
        <v>358720</v>
      </c>
      <c r="K430" s="167" t="str">
        <f>VLOOKUP($A430,'030523 INVENTARIO'!$A$2:$Y$1148,20,FALSE)</f>
        <v>SIN RESGUARDO</v>
      </c>
      <c r="L430" s="167" t="str">
        <f>VLOOKUP($A430,'030523 INVENTARIO'!$A$2:$Y$1148,23,FALSE)</f>
        <v>CHRISTIAN ZARCO MERCADO</v>
      </c>
    </row>
    <row r="431" spans="1:12" ht="12.75" hidden="1">
      <c r="A431" s="167" t="str">
        <f>'030523 INVENTARIO'!A431</f>
        <v>0430</v>
      </c>
      <c r="B431" s="167" t="str">
        <f>'030523 INVENTARIO'!T431</f>
        <v>82DH0515010022000651131</v>
      </c>
      <c r="C431" s="167" t="str">
        <f t="shared" si="0"/>
        <v>651131</v>
      </c>
      <c r="D431" s="167" t="str">
        <f>IF(VLOOKUP(C431,'Patrimonio 2023'!$C$2:$C$1128,1,FALSE) = C431, "Encontrado", "no")</f>
        <v>Encontrado</v>
      </c>
      <c r="E431" s="167" t="str">
        <f>VLOOKUP($A431,'030523 INVENTARIO'!$A$2:$Y$1148,5,FALSE)</f>
        <v>ROUTER</v>
      </c>
      <c r="F431" s="167" t="str">
        <f>VLOOKUP($A431,'030523 INVENTARIO'!$A$2:$Y$1148,6,FALSE)</f>
        <v>ROUTER</v>
      </c>
      <c r="G431" s="167" t="str">
        <f ca="1">VLOOKUP($A431,'030523 INVENTARIO'!$A$2:$Y$1148,8,FALSE)</f>
        <v>P12SI-0430</v>
      </c>
      <c r="H431" s="168" t="str">
        <f>VLOOKUP($A431,'030523 INVENTARIO'!$A$2:$Y$1148,17,FALSE)</f>
        <v>DRAYTEK</v>
      </c>
      <c r="I431" s="167" t="str">
        <f>VLOOKUP($A431,'030523 INVENTARIO'!$A$2:$Y$1148,18,FALSE)</f>
        <v>VIGOR2910V</v>
      </c>
      <c r="J431" s="167">
        <f>VLOOKUP($A431,'030523 INVENTARIO'!$A$2:$Y$1148,19,FALSE)</f>
        <v>104001694168</v>
      </c>
      <c r="K431" s="167" t="str">
        <f>VLOOKUP($A431,'030523 INVENTARIO'!$A$2:$Y$1148,20,FALSE)</f>
        <v>82DH0515010022000651131</v>
      </c>
      <c r="L431" s="167" t="str">
        <f>VLOOKUP($A431,'030523 INVENTARIO'!$A$2:$Y$1148,23,FALSE)</f>
        <v>CHRISTIAN ZARCO MERCADO</v>
      </c>
    </row>
    <row r="432" spans="1:12" ht="12.75" hidden="1">
      <c r="A432" s="167" t="str">
        <f>'030523 INVENTARIO'!A432</f>
        <v>0431</v>
      </c>
      <c r="B432" s="168" t="str">
        <f>'030523 INVENTARIO'!T432</f>
        <v>82DJ0565010001000649698</v>
      </c>
      <c r="C432" s="167" t="str">
        <f t="shared" si="0"/>
        <v>649698</v>
      </c>
      <c r="D432" s="167" t="str">
        <f>IF(VLOOKUP(C432,'Patrimonio 2023'!$C$2:$C$1128,1,FALSE) = C432, "Encontrado", "no")</f>
        <v>Encontrado</v>
      </c>
      <c r="E432" s="167" t="str">
        <f>VLOOKUP($A432,'030523 INVENTARIO'!$A$2:$Y$1148,5,FALSE)</f>
        <v>TELEFONO</v>
      </c>
      <c r="F432" s="167" t="str">
        <f>VLOOKUP($A432,'030523 INVENTARIO'!$A$2:$Y$1148,6,FALSE)</f>
        <v>TELEFONO GRIS</v>
      </c>
      <c r="G432" s="167" t="str">
        <f ca="1">VLOOKUP($A432,'030523 INVENTARIO'!$A$2:$Y$1148,8,FALSE)</f>
        <v>P12PL-0431</v>
      </c>
      <c r="H432" s="168" t="str">
        <f>VLOOKUP($A432,'030523 INVENTARIO'!$A$2:$Y$1148,17,FALSE)</f>
        <v>CISCO</v>
      </c>
      <c r="I432" s="167" t="str">
        <f>VLOOKUP($A432,'030523 INVENTARIO'!$A$2:$Y$1148,18,FALSE)</f>
        <v>SPA504G</v>
      </c>
      <c r="J432" s="168" t="str">
        <f>VLOOKUP($A432,'030523 INVENTARIO'!$A$2:$Y$1148,19,FALSE)</f>
        <v>CCQ17280CMP</v>
      </c>
      <c r="K432" s="168" t="str">
        <f>VLOOKUP($A432,'030523 INVENTARIO'!$A$2:$Y$1148,20,FALSE)</f>
        <v>82DJ0565010001000649698</v>
      </c>
      <c r="L432" s="167" t="str">
        <f>VLOOKUP($A432,'030523 INVENTARIO'!$A$2:$Y$1148,23,FALSE)</f>
        <v>EDNA PATRICIA CARMONA CHAVEZ</v>
      </c>
    </row>
    <row r="433" spans="1:12" ht="12.75" hidden="1">
      <c r="A433" s="167" t="str">
        <f>'030523 INVENTARIO'!A433</f>
        <v>0432</v>
      </c>
      <c r="B433" s="168" t="str">
        <f>'030523 INVENTARIO'!T433</f>
        <v>82DJ0515010020000650647</v>
      </c>
      <c r="C433" s="167" t="str">
        <f t="shared" si="0"/>
        <v>650647</v>
      </c>
      <c r="D433" s="167" t="str">
        <f>IF(VLOOKUP(C433,'Patrimonio 2023'!$C$2:$C$1128,1,FALSE) = C433, "Encontrado", "no")</f>
        <v>Encontrado</v>
      </c>
      <c r="E433" s="167" t="str">
        <f>VLOOKUP($A433,'030523 INVENTARIO'!$A$2:$Y$1148,5,FALSE)</f>
        <v>REGULADOR DE VOLTAJE</v>
      </c>
      <c r="F433" s="168" t="str">
        <f>VLOOKUP($A433,'030523 INVENTARIO'!$A$2:$Y$1148,6,FALSE)</f>
        <v>REGULADOR</v>
      </c>
      <c r="G433" s="167" t="str">
        <f ca="1">VLOOKUP($A433,'030523 INVENTARIO'!$A$2:$Y$1148,8,FALSE)</f>
        <v>P12PL-0432</v>
      </c>
      <c r="H433" s="168" t="str">
        <f>VLOOKUP($A433,'030523 INVENTARIO'!$A$2:$Y$1148,17,FALSE)</f>
        <v>KOBLENZ</v>
      </c>
      <c r="I433" s="167" t="str">
        <f>VLOOKUP($A433,'030523 INVENTARIO'!$A$2:$Y$1148,18,FALSE)</f>
        <v>RS/1400I</v>
      </c>
      <c r="J433" s="168" t="str">
        <f>VLOOKUP($A433,'030523 INVENTARIO'!$A$2:$Y$1148,19,FALSE)</f>
        <v>161143648</v>
      </c>
      <c r="K433" s="168" t="str">
        <f>VLOOKUP($A433,'030523 INVENTARIO'!$A$2:$Y$1148,20,FALSE)</f>
        <v>82DJ0515010020000650647</v>
      </c>
      <c r="L433" s="167" t="str">
        <f>VLOOKUP($A433,'030523 INVENTARIO'!$A$2:$Y$1148,23,FALSE)</f>
        <v>EDNA PATRICIA CARMONA CHAVEZ</v>
      </c>
    </row>
    <row r="434" spans="1:12" ht="12.75" hidden="1">
      <c r="A434" s="167" t="str">
        <f>'030523 INVENTARIO'!A434</f>
        <v>0433</v>
      </c>
      <c r="B434" s="168" t="str">
        <f>'030523 INVENTARIO'!T434</f>
        <v>82DJ0511010006000518509</v>
      </c>
      <c r="C434" s="167" t="str">
        <f t="shared" si="0"/>
        <v>518509</v>
      </c>
      <c r="D434" s="167" t="str">
        <f>IF(VLOOKUP(C434,'Patrimonio 2023'!$C$2:$C$1128,1,FALSE) = C434, "Encontrado", "no")</f>
        <v>Encontrado</v>
      </c>
      <c r="E434" s="167" t="str">
        <f>VLOOKUP($A434,'030523 INVENTARIO'!$A$2:$Y$1148,5,FALSE)</f>
        <v>ESCRITORIO</v>
      </c>
      <c r="F434" s="167" t="str">
        <f>VLOOKUP($A434,'030523 INVENTARIO'!$A$2:$Y$1148,6,FALSE)</f>
        <v>ESCRITORIO  DE MADERA DE 2 PIEZAS TIPO L</v>
      </c>
      <c r="G434" s="167" t="str">
        <f ca="1">VLOOKUP($A434,'030523 INVENTARIO'!$A$2:$Y$1148,8,FALSE)</f>
        <v>P12PL-0433</v>
      </c>
      <c r="H434" s="168" t="str">
        <f>VLOOKUP($A434,'030523 INVENTARIO'!$A$2:$Y$1148,17,FALSE)</f>
        <v>S/M</v>
      </c>
      <c r="I434" s="167" t="str">
        <f>VLOOKUP($A434,'030523 INVENTARIO'!$A$2:$Y$1148,18,FALSE)</f>
        <v>S/M</v>
      </c>
      <c r="J434" s="168" t="str">
        <f>VLOOKUP($A434,'030523 INVENTARIO'!$A$2:$Y$1148,19,FALSE)</f>
        <v>SIN SERIE</v>
      </c>
      <c r="K434" s="168" t="str">
        <f>VLOOKUP($A434,'030523 INVENTARIO'!$A$2:$Y$1148,20,FALSE)</f>
        <v>82DJ0511010006000518509</v>
      </c>
      <c r="L434" s="167" t="str">
        <f>VLOOKUP($A434,'030523 INVENTARIO'!$A$2:$Y$1148,23,FALSE)</f>
        <v>EDNA PATRICIA CARMONA CHAVEZ</v>
      </c>
    </row>
    <row r="435" spans="1:12" ht="12.75" hidden="1">
      <c r="A435" s="167" t="str">
        <f>'030523 INVENTARIO'!A435</f>
        <v>0434</v>
      </c>
      <c r="B435" s="168" t="str">
        <f>'030523 INVENTARIO'!T435</f>
        <v>82DJ0511010016000649697</v>
      </c>
      <c r="C435" s="167" t="str">
        <f t="shared" si="0"/>
        <v>649697</v>
      </c>
      <c r="D435" s="167" t="str">
        <f>IF(VLOOKUP(C435,'Patrimonio 2023'!$C$2:$C$1128,1,FALSE) = C435, "Encontrado", "no")</f>
        <v>Encontrado</v>
      </c>
      <c r="E435" s="167" t="str">
        <f>VLOOKUP($A435,'030523 INVENTARIO'!$A$2:$Y$1148,5,FALSE)</f>
        <v>SILLON</v>
      </c>
      <c r="F435" s="167" t="str">
        <f>VLOOKUP($A435,'030523 INVENTARIO'!$A$2:$Y$1148,6,FALSE)</f>
        <v>SILLÓN NEGRO CON RUEDAS</v>
      </c>
      <c r="G435" s="167" t="str">
        <f ca="1">VLOOKUP($A435,'030523 INVENTARIO'!$A$2:$Y$1148,8,FALSE)</f>
        <v>P12PL-0434</v>
      </c>
      <c r="H435" s="168" t="str">
        <f>VLOOKUP($A435,'030523 INVENTARIO'!$A$2:$Y$1148,17,FALSE)</f>
        <v>S/M</v>
      </c>
      <c r="I435" s="167" t="str">
        <f>VLOOKUP($A435,'030523 INVENTARIO'!$A$2:$Y$1148,18,FALSE)</f>
        <v>S/M</v>
      </c>
      <c r="J435" s="168" t="str">
        <f>VLOOKUP($A435,'030523 INVENTARIO'!$A$2:$Y$1148,19,FALSE)</f>
        <v>SIN SERIE</v>
      </c>
      <c r="K435" s="168" t="str">
        <f>VLOOKUP($A435,'030523 INVENTARIO'!$A$2:$Y$1148,20,FALSE)</f>
        <v>82DJ0511010016000649697</v>
      </c>
      <c r="L435" s="167" t="str">
        <f>VLOOKUP($A435,'030523 INVENTARIO'!$A$2:$Y$1148,23,FALSE)</f>
        <v>EDNA PATRICIA CARMONA CHAVEZ</v>
      </c>
    </row>
    <row r="436" spans="1:12" ht="12.75" hidden="1">
      <c r="A436" s="167" t="str">
        <f>'030523 INVENTARIO'!A436</f>
        <v>0435</v>
      </c>
      <c r="B436" s="167" t="str">
        <f>'030523 INVENTARIO'!T436</f>
        <v>82DJ0511010017000649555</v>
      </c>
      <c r="C436" s="167" t="str">
        <f t="shared" si="0"/>
        <v>649555</v>
      </c>
      <c r="D436" s="167" t="str">
        <f>IF(VLOOKUP(C436,'Patrimonio 2023'!$C$2:$C$1128,1,FALSE) = C436, "Encontrado", "no")</f>
        <v>Encontrado</v>
      </c>
      <c r="E436" s="167" t="str">
        <f>VLOOKUP($A436,'030523 INVENTARIO'!$A$2:$Y$1148,5,FALSE)</f>
        <v>SILLA</v>
      </c>
      <c r="F436" s="167" t="str">
        <f>VLOOKUP($A436,'030523 INVENTARIO'!$A$2:$Y$1148,6,FALSE)</f>
        <v>SILLA NEGRA DE TELA FIJA</v>
      </c>
      <c r="G436" s="167" t="str">
        <f ca="1">VLOOKUP($A436,'030523 INVENTARIO'!$A$2:$Y$1148,8,FALSE)</f>
        <v>P12PL-0435</v>
      </c>
      <c r="H436" s="168" t="str">
        <f>VLOOKUP($A436,'030523 INVENTARIO'!$A$2:$Y$1148,17,FALSE)</f>
        <v>S/M</v>
      </c>
      <c r="I436" s="167" t="str">
        <f>VLOOKUP($A436,'030523 INVENTARIO'!$A$2:$Y$1148,18,FALSE)</f>
        <v>S/M</v>
      </c>
      <c r="J436" s="167" t="str">
        <f>VLOOKUP($A436,'030523 INVENTARIO'!$A$2:$Y$1148,19,FALSE)</f>
        <v>SIN SERIE</v>
      </c>
      <c r="K436" s="167" t="str">
        <f>VLOOKUP($A436,'030523 INVENTARIO'!$A$2:$Y$1148,20,FALSE)</f>
        <v>82DJ0511010017000649555</v>
      </c>
      <c r="L436" s="167" t="str">
        <f>VLOOKUP($A436,'030523 INVENTARIO'!$A$2:$Y$1148,23,FALSE)</f>
        <v>EDNA PATRICIA CARMONA CHAVEZ</v>
      </c>
    </row>
    <row r="437" spans="1:12" ht="12.75" hidden="1">
      <c r="A437" s="167" t="str">
        <f>'030523 INVENTARIO'!A437</f>
        <v>0436</v>
      </c>
      <c r="B437" s="168" t="str">
        <f>'030523 INVENTARIO'!T437</f>
        <v>82DJ0511010017000649696</v>
      </c>
      <c r="C437" s="167" t="str">
        <f t="shared" si="0"/>
        <v>649696</v>
      </c>
      <c r="D437" s="167" t="str">
        <f>IF(VLOOKUP(C437,'Patrimonio 2023'!$C$2:$C$1128,1,FALSE) = C437, "Encontrado", "no")</f>
        <v>Encontrado</v>
      </c>
      <c r="E437" s="167" t="str">
        <f>VLOOKUP($A437,'030523 INVENTARIO'!$A$2:$Y$1148,5,FALSE)</f>
        <v>SILLA</v>
      </c>
      <c r="F437" s="167" t="str">
        <f>VLOOKUP($A437,'030523 INVENTARIO'!$A$2:$Y$1148,6,FALSE)</f>
        <v>SILLA NEGRA DE TELA FIJA</v>
      </c>
      <c r="G437" s="167" t="str">
        <f ca="1">VLOOKUP($A437,'030523 INVENTARIO'!$A$2:$Y$1148,8,FALSE)</f>
        <v>P12PL-0436</v>
      </c>
      <c r="H437" s="168" t="str">
        <f>VLOOKUP($A437,'030523 INVENTARIO'!$A$2:$Y$1148,17,FALSE)</f>
        <v>S/M</v>
      </c>
      <c r="I437" s="167" t="str">
        <f>VLOOKUP($A437,'030523 INVENTARIO'!$A$2:$Y$1148,18,FALSE)</f>
        <v>S/M</v>
      </c>
      <c r="J437" s="168" t="str">
        <f>VLOOKUP($A437,'030523 INVENTARIO'!$A$2:$Y$1148,19,FALSE)</f>
        <v>SIN SERIE</v>
      </c>
      <c r="K437" s="168" t="str">
        <f>VLOOKUP($A437,'030523 INVENTARIO'!$A$2:$Y$1148,20,FALSE)</f>
        <v>82DJ0511010017000649696</v>
      </c>
      <c r="L437" s="167" t="str">
        <f>VLOOKUP($A437,'030523 INVENTARIO'!$A$2:$Y$1148,23,FALSE)</f>
        <v>EDNA PATRICIA CARMONA CHAVEZ</v>
      </c>
    </row>
    <row r="438" spans="1:12" ht="12.75" hidden="1">
      <c r="A438" s="167" t="str">
        <f>'030523 INVENTARIO'!A438</f>
        <v>0437</v>
      </c>
      <c r="B438" s="168" t="str">
        <f>'030523 INVENTARIO'!T438</f>
        <v>82DJ0511010020000649694</v>
      </c>
      <c r="C438" s="167" t="str">
        <f t="shared" si="0"/>
        <v>649694</v>
      </c>
      <c r="D438" s="167" t="str">
        <f>IF(VLOOKUP(C438,'Patrimonio 2023'!$C$2:$C$1128,1,FALSE) = C438, "Encontrado", "no")</f>
        <v>Encontrado</v>
      </c>
      <c r="E438" s="167" t="str">
        <f>VLOOKUP($A438,'030523 INVENTARIO'!$A$2:$Y$1148,5,FALSE)</f>
        <v>ESTANTE O ANAQUEL</v>
      </c>
      <c r="F438" s="167" t="str">
        <f>VLOOKUP($A438,'030523 INVENTARIO'!$A$2:$Y$1148,6,FALSE)</f>
        <v>ANAQUEL DE MADERA CON METAL DE 2 PUERTAS 184.5X80X41</v>
      </c>
      <c r="G438" s="167" t="str">
        <f ca="1">VLOOKUP($A438,'030523 INVENTARIO'!$A$2:$Y$1148,8,FALSE)</f>
        <v>P12PL-0437</v>
      </c>
      <c r="H438" s="168" t="str">
        <f>VLOOKUP($A438,'030523 INVENTARIO'!$A$2:$Y$1148,17,FALSE)</f>
        <v>S/M</v>
      </c>
      <c r="I438" s="167" t="str">
        <f>VLOOKUP($A438,'030523 INVENTARIO'!$A$2:$Y$1148,18,FALSE)</f>
        <v>S/M</v>
      </c>
      <c r="J438" s="168" t="str">
        <f>VLOOKUP($A438,'030523 INVENTARIO'!$A$2:$Y$1148,19,FALSE)</f>
        <v>SIN SERIE</v>
      </c>
      <c r="K438" s="168" t="str">
        <f>VLOOKUP($A438,'030523 INVENTARIO'!$A$2:$Y$1148,20,FALSE)</f>
        <v>82DJ0511010020000649694</v>
      </c>
      <c r="L438" s="167" t="str">
        <f>VLOOKUP($A438,'030523 INVENTARIO'!$A$2:$Y$1148,23,FALSE)</f>
        <v>EDNA PATRICIA CARMONA CHAVEZ</v>
      </c>
    </row>
    <row r="439" spans="1:12" ht="12.75" hidden="1">
      <c r="A439" s="167" t="str">
        <f>'030523 INVENTARIO'!A439</f>
        <v>0438</v>
      </c>
      <c r="B439" s="168" t="str">
        <f>'030523 INVENTARIO'!T439</f>
        <v>82DJ0511010001000649693</v>
      </c>
      <c r="C439" s="167" t="str">
        <f t="shared" si="0"/>
        <v>649693</v>
      </c>
      <c r="D439" s="167" t="str">
        <f>IF(VLOOKUP(C439,'Patrimonio 2023'!$C$2:$C$1128,1,FALSE) = C439, "Encontrado", "no")</f>
        <v>Encontrado</v>
      </c>
      <c r="E439" s="167" t="str">
        <f>VLOOKUP($A439,'030523 INVENTARIO'!$A$2:$Y$1148,5,FALSE)</f>
        <v>ARCHIVERO</v>
      </c>
      <c r="F439" s="167" t="str">
        <f>VLOOKUP($A439,'030523 INVENTARIO'!$A$2:$Y$1148,6,FALSE)</f>
        <v>ARCHIVERO DE MADERA CON 4 CAJONES 127X49X57</v>
      </c>
      <c r="G439" s="167" t="str">
        <f ca="1">VLOOKUP($A439,'030523 INVENTARIO'!$A$2:$Y$1148,8,FALSE)</f>
        <v>P12PL-0438</v>
      </c>
      <c r="H439" s="168" t="str">
        <f>VLOOKUP($A439,'030523 INVENTARIO'!$A$2:$Y$1148,17,FALSE)</f>
        <v>S/M</v>
      </c>
      <c r="I439" s="167" t="str">
        <f>VLOOKUP($A439,'030523 INVENTARIO'!$A$2:$Y$1148,18,FALSE)</f>
        <v>S/M</v>
      </c>
      <c r="J439" s="168" t="str">
        <f>VLOOKUP($A439,'030523 INVENTARIO'!$A$2:$Y$1148,19,FALSE)</f>
        <v>SIN SERIE</v>
      </c>
      <c r="K439" s="168" t="str">
        <f>VLOOKUP($A439,'030523 INVENTARIO'!$A$2:$Y$1148,20,FALSE)</f>
        <v>82DJ0511010001000649693</v>
      </c>
      <c r="L439" s="167" t="str">
        <f>VLOOKUP($A439,'030523 INVENTARIO'!$A$2:$Y$1148,23,FALSE)</f>
        <v>EDNA PATRICIA CARMONA CHAVEZ</v>
      </c>
    </row>
    <row r="440" spans="1:12" ht="12.75" hidden="1">
      <c r="A440" s="167" t="str">
        <f>'030523 INVENTARIO'!A440</f>
        <v>0439</v>
      </c>
      <c r="B440" s="168" t="str">
        <f>'030523 INVENTARIO'!T440</f>
        <v>.</v>
      </c>
      <c r="C440" s="167" t="str">
        <f t="shared" si="0"/>
        <v/>
      </c>
      <c r="D440" s="167" t="e">
        <f>IF(VLOOKUP(C440,'Patrimonio 2023'!$C$2:$C$1128,1,FALSE) = C440, "Encontrado", "no")</f>
        <v>#N/A</v>
      </c>
      <c r="E440" s="167" t="str">
        <f>VLOOKUP($A440,'030523 INVENTARIO'!$A$2:$Y$1148,5,FALSE)</f>
        <v>VENTILADOR</v>
      </c>
      <c r="F440" s="167" t="str">
        <f>VLOOKUP($A440,'030523 INVENTARIO'!$A$2:$Y$1148,6,FALSE)</f>
        <v>VENTILADOR GRIS</v>
      </c>
      <c r="G440" s="167" t="str">
        <f ca="1">VLOOKUP($A440,'030523 INVENTARIO'!$A$2:$Y$1148,8,FALSE)</f>
        <v>P05RM-0439</v>
      </c>
      <c r="H440" s="168" t="str">
        <f>VLOOKUP($A440,'030523 INVENTARIO'!$A$2:$Y$1148,17,FALSE)</f>
        <v>NAVIA</v>
      </c>
      <c r="I440" s="167" t="str">
        <f>VLOOKUP($A440,'030523 INVENTARIO'!$A$2:$Y$1148,18,FALSE)</f>
        <v>VPN/018</v>
      </c>
      <c r="J440" s="168" t="str">
        <f>VLOOKUP($A440,'030523 INVENTARIO'!$A$2:$Y$1148,19,FALSE)</f>
        <v>SIN SERIE</v>
      </c>
      <c r="K440" s="168" t="str">
        <f>VLOOKUP($A440,'030523 INVENTARIO'!$A$2:$Y$1148,20,FALSE)</f>
        <v>.</v>
      </c>
      <c r="L440" s="167" t="str">
        <f>VLOOKUP($A440,'030523 INVENTARIO'!$A$2:$Y$1148,23,FALSE)</f>
        <v>BLANCA ELIZABETH ALCANTAR GUERRERO</v>
      </c>
    </row>
    <row r="441" spans="1:12" ht="12.75" hidden="1">
      <c r="A441" s="167" t="str">
        <f>'030523 INVENTARIO'!A441</f>
        <v>0440</v>
      </c>
      <c r="B441" s="168" t="str">
        <f>'030523 INVENTARIO'!T441</f>
        <v>82DJ0511010017000516236</v>
      </c>
      <c r="C441" s="167" t="str">
        <f t="shared" si="0"/>
        <v>516236</v>
      </c>
      <c r="D441" s="167" t="str">
        <f>IF(VLOOKUP(C441,'Patrimonio 2023'!$C$2:$C$1128,1,FALSE) = C441, "Encontrado", "no")</f>
        <v>Encontrado</v>
      </c>
      <c r="E441" s="167" t="str">
        <f>VLOOKUP($A441,'030523 INVENTARIO'!$A$2:$Y$1148,5,FALSE)</f>
        <v>SILLA</v>
      </c>
      <c r="F441" s="167" t="str">
        <f>VLOOKUP($A441,'030523 INVENTARIO'!$A$2:$Y$1148,6,FALSE)</f>
        <v>SILLA CAFÉ CON METAL TAPIZADA EN VINIPIEL</v>
      </c>
      <c r="G441" s="167" t="str">
        <f ca="1">VLOOKUP($A441,'030523 INVENTARIO'!$A$2:$Y$1148,8,FALSE)</f>
        <v>P12PL-0440</v>
      </c>
      <c r="H441" s="168" t="str">
        <f>VLOOKUP($A441,'030523 INVENTARIO'!$A$2:$Y$1148,17,FALSE)</f>
        <v>S/M</v>
      </c>
      <c r="I441" s="167" t="str">
        <f>VLOOKUP($A441,'030523 INVENTARIO'!$A$2:$Y$1148,18,FALSE)</f>
        <v>S/M</v>
      </c>
      <c r="J441" s="168" t="str">
        <f>VLOOKUP($A441,'030523 INVENTARIO'!$A$2:$Y$1148,19,FALSE)</f>
        <v>SIN SERIE</v>
      </c>
      <c r="K441" s="168" t="str">
        <f>VLOOKUP($A441,'030523 INVENTARIO'!$A$2:$Y$1148,20,FALSE)</f>
        <v>82DJ0511010017000516236</v>
      </c>
      <c r="L441" s="167" t="str">
        <f>VLOOKUP($A441,'030523 INVENTARIO'!$A$2:$Y$1148,23,FALSE)</f>
        <v>ALFREDO GONZALEZ HERNANDEZ</v>
      </c>
    </row>
    <row r="442" spans="1:12" ht="12.75" hidden="1">
      <c r="A442" s="167" t="str">
        <f>'030523 INVENTARIO'!A442</f>
        <v>0441</v>
      </c>
      <c r="B442" s="167" t="str">
        <f>'030523 INVENTARIO'!T442</f>
        <v>82DJ0515010001000650659</v>
      </c>
      <c r="C442" s="167" t="str">
        <f t="shared" si="0"/>
        <v>650659</v>
      </c>
      <c r="D442" s="167" t="str">
        <f>IF(VLOOKUP(C442,'Patrimonio 2023'!$C$2:$C$1128,1,FALSE) = C442, "Encontrado", "no")</f>
        <v>Encontrado</v>
      </c>
      <c r="E442" s="167" t="str">
        <f>VLOOKUP($A442,'030523 INVENTARIO'!$A$2:$Y$1148,5,FALSE)</f>
        <v>COMPUTADORA DE ESCRITORIO</v>
      </c>
      <c r="F442" s="167" t="str">
        <f>VLOOKUP($A442,'030523 INVENTARIO'!$A$2:$Y$1148,6,FALSE)</f>
        <v>COMPUTADORA DE ESCRITORIO</v>
      </c>
      <c r="G442" s="167" t="str">
        <f ca="1">VLOOKUP($A442,'030523 INVENTARIO'!$A$2:$Y$1148,8,FALSE)</f>
        <v>P12PL-0441</v>
      </c>
      <c r="H442" s="168" t="str">
        <f>VLOOKUP($A442,'030523 INVENTARIO'!$A$2:$Y$1148,17,FALSE)</f>
        <v>GHIA</v>
      </c>
      <c r="I442" s="167">
        <f>VLOOKUP($A442,'030523 INVENTARIO'!$A$2:$Y$1148,18,FALSE)</f>
        <v>2378</v>
      </c>
      <c r="J442" s="168" t="str">
        <f>VLOOKUP($A442,'030523 INVENTARIO'!$A$2:$Y$1148,19,FALSE)</f>
        <v>337864</v>
      </c>
      <c r="K442" s="167" t="str">
        <f>VLOOKUP($A442,'030523 INVENTARIO'!$A$2:$Y$1148,20,FALSE)</f>
        <v>82DJ0515010001000650659</v>
      </c>
      <c r="L442" s="167" t="str">
        <f>VLOOKUP($A442,'030523 INVENTARIO'!$A$2:$Y$1148,23,FALSE)</f>
        <v>EDNA PATRICIA CARMONA CHAVEZ</v>
      </c>
    </row>
    <row r="443" spans="1:12" ht="12.75" hidden="1">
      <c r="A443" s="167" t="str">
        <f>'030523 INVENTARIO'!A443</f>
        <v>0442</v>
      </c>
      <c r="B443" s="167" t="str">
        <f>'030523 INVENTARIO'!T443</f>
        <v>82DJ0515010013000650649</v>
      </c>
      <c r="C443" s="167" t="str">
        <f t="shared" si="0"/>
        <v>650649</v>
      </c>
      <c r="D443" s="167" t="str">
        <f>IF(VLOOKUP(C443,'Patrimonio 2023'!$C$2:$C$1128,1,FALSE) = C443, "Encontrado", "no")</f>
        <v>Encontrado</v>
      </c>
      <c r="E443" s="167" t="str">
        <f>VLOOKUP($A443,'030523 INVENTARIO'!$A$2:$Y$1148,5,FALSE)</f>
        <v>MONITOR</v>
      </c>
      <c r="F443" s="167" t="str">
        <f>VLOOKUP($A443,'030523 INVENTARIO'!$A$2:$Y$1148,6,FALSE)</f>
        <v>MONITOR 19"</v>
      </c>
      <c r="G443" s="167" t="str">
        <f ca="1">VLOOKUP($A443,'030523 INVENTARIO'!$A$2:$Y$1148,8,FALSE)</f>
        <v>P12PL-0442</v>
      </c>
      <c r="H443" s="168" t="str">
        <f>VLOOKUP($A443,'030523 INVENTARIO'!$A$2:$Y$1148,17,FALSE)</f>
        <v>GHIA</v>
      </c>
      <c r="I443" s="167" t="str">
        <f>VLOOKUP($A443,'030523 INVENTARIO'!$A$2:$Y$1148,18,FALSE)</f>
        <v>MG2017</v>
      </c>
      <c r="J443" s="168" t="str">
        <f>VLOOKUP($A443,'030523 INVENTARIO'!$A$2:$Y$1148,19,FALSE)</f>
        <v>CMG2017180136800493</v>
      </c>
      <c r="K443" s="167" t="str">
        <f>VLOOKUP($A443,'030523 INVENTARIO'!$A$2:$Y$1148,20,FALSE)</f>
        <v>82DJ0515010013000650649</v>
      </c>
      <c r="L443" s="167" t="str">
        <f>VLOOKUP($A443,'030523 INVENTARIO'!$A$2:$Y$1148,23,FALSE)</f>
        <v>EDNA PATRICIA CARMONA CHAVEZ</v>
      </c>
    </row>
    <row r="444" spans="1:12" ht="12.75" hidden="1">
      <c r="A444" s="167" t="str">
        <f>'030523 INVENTARIO'!A444</f>
        <v>0443</v>
      </c>
      <c r="B444" s="168" t="str">
        <f>'030523 INVENTARIO'!T444</f>
        <v>82DJ0511010006000649494</v>
      </c>
      <c r="C444" s="167" t="str">
        <f t="shared" si="0"/>
        <v>649494</v>
      </c>
      <c r="D444" s="167" t="str">
        <f>IF(VLOOKUP(C444,'Patrimonio 2023'!$C$2:$C$1128,1,FALSE) = C444, "Encontrado", "no")</f>
        <v>Encontrado</v>
      </c>
      <c r="E444" s="167" t="str">
        <f>VLOOKUP($A444,'030523 INVENTARIO'!$A$2:$Y$1148,5,FALSE)</f>
        <v>ESCRITORIO</v>
      </c>
      <c r="F444" s="167" t="str">
        <f>VLOOKUP($A444,'030523 INVENTARIO'!$A$2:$Y$1148,6,FALSE)</f>
        <v>ESCRITORIO DE MADERA CAOBA BASE DE METAL GRIS 121X76</v>
      </c>
      <c r="G444" s="167" t="str">
        <f ca="1">VLOOKUP($A444,'030523 INVENTARIO'!$A$2:$Y$1148,8,FALSE)</f>
        <v>P12SI-0443</v>
      </c>
      <c r="H444" s="168" t="str">
        <f>VLOOKUP($A444,'030523 INVENTARIO'!$A$2:$Y$1148,17,FALSE)</f>
        <v>S/M</v>
      </c>
      <c r="I444" s="167" t="str">
        <f>VLOOKUP($A444,'030523 INVENTARIO'!$A$2:$Y$1148,18,FALSE)</f>
        <v>S/M</v>
      </c>
      <c r="J444" s="168" t="str">
        <f>VLOOKUP($A444,'030523 INVENTARIO'!$A$2:$Y$1148,19,FALSE)</f>
        <v>SIN SERIE</v>
      </c>
      <c r="K444" s="168" t="str">
        <f>VLOOKUP($A444,'030523 INVENTARIO'!$A$2:$Y$1148,20,FALSE)</f>
        <v>82DJ0511010006000649494</v>
      </c>
      <c r="L444" s="167" t="str">
        <f>VLOOKUP($A444,'030523 INVENTARIO'!$A$2:$Y$1148,23,FALSE)</f>
        <v>JUAN PABLO AVILA LOPEZ</v>
      </c>
    </row>
    <row r="445" spans="1:12" ht="12.75" hidden="1">
      <c r="A445" s="167" t="str">
        <f>'030523 INVENTARIO'!A445</f>
        <v>0444</v>
      </c>
      <c r="B445" s="167" t="str">
        <f>'030523 INVENTARIO'!T445</f>
        <v>SIN RESGUARDO</v>
      </c>
      <c r="C445" s="167" t="str">
        <f t="shared" si="0"/>
        <v/>
      </c>
      <c r="D445" s="167" t="e">
        <f>IF(VLOOKUP(C445,'Patrimonio 2023'!$C$2:$C$1128,1,FALSE) = C445, "Encontrado", "no")</f>
        <v>#N/A</v>
      </c>
      <c r="E445" s="167" t="str">
        <f>VLOOKUP($A445,'030523 INVENTARIO'!$A$2:$Y$1148,5,FALSE)</f>
        <v>SILLA</v>
      </c>
      <c r="F445" s="167" t="str">
        <f>VLOOKUP($A445,'030523 INVENTARIO'!$A$2:$Y$1148,6,FALSE)</f>
        <v>SILLA AZUL DE TELA FIJA TUBULAR REDONDO NEGRO</v>
      </c>
      <c r="G445" s="167" t="str">
        <f ca="1">VLOOKUP($A445,'030523 INVENTARIO'!$A$2:$Y$1148,8,FALSE)</f>
        <v>P12PL-0444</v>
      </c>
      <c r="H445" s="168" t="str">
        <f>VLOOKUP($A445,'030523 INVENTARIO'!$A$2:$Y$1148,17,FALSE)</f>
        <v>S/M</v>
      </c>
      <c r="I445" s="167" t="str">
        <f>VLOOKUP($A445,'030523 INVENTARIO'!$A$2:$Y$1148,18,FALSE)</f>
        <v>S/M</v>
      </c>
      <c r="J445" s="167" t="str">
        <f>VLOOKUP($A445,'030523 INVENTARIO'!$A$2:$Y$1148,19,FALSE)</f>
        <v>SIN SERIE</v>
      </c>
      <c r="K445" s="167" t="str">
        <f>VLOOKUP($A445,'030523 INVENTARIO'!$A$2:$Y$1148,20,FALSE)</f>
        <v>SIN RESGUARDO</v>
      </c>
      <c r="L445" s="167" t="str">
        <f>VLOOKUP($A445,'030523 INVENTARIO'!$A$2:$Y$1148,23,FALSE)</f>
        <v>EDNA PATRICIA CARMONA CHAVEZ</v>
      </c>
    </row>
    <row r="446" spans="1:12" ht="12.75" hidden="1">
      <c r="A446" s="167" t="str">
        <f>'030523 INVENTARIO'!A446</f>
        <v>0445</v>
      </c>
      <c r="B446" s="167" t="str">
        <f>'030523 INVENTARIO'!T446</f>
        <v>82DJ0515010020000650896</v>
      </c>
      <c r="C446" s="167" t="str">
        <f t="shared" si="0"/>
        <v>650896</v>
      </c>
      <c r="D446" s="167" t="str">
        <f>IF(VLOOKUP(C446,'Patrimonio 2023'!$C$2:$C$1128,1,FALSE) = C446, "Encontrado", "no")</f>
        <v>Encontrado</v>
      </c>
      <c r="E446" s="167" t="str">
        <f>VLOOKUP($A446,'030523 INVENTARIO'!$A$2:$Y$1148,5,FALSE)</f>
        <v>REGULADOR DE VOLTAJE</v>
      </c>
      <c r="F446" s="167" t="str">
        <f>VLOOKUP($A446,'030523 INVENTARIO'!$A$2:$Y$1148,6,FALSE)</f>
        <v>REGULADOR</v>
      </c>
      <c r="G446" s="167" t="str">
        <f ca="1">VLOOKUP($A446,'030523 INVENTARIO'!$A$2:$Y$1148,8,FALSE)</f>
        <v>P15RM-0445</v>
      </c>
      <c r="H446" s="168" t="str">
        <f>VLOOKUP($A446,'030523 INVENTARIO'!$A$2:$Y$1148,17,FALSE)</f>
        <v>KOBLENZ</v>
      </c>
      <c r="I446" s="167" t="str">
        <f>VLOOKUP($A446,'030523 INVENTARIO'!$A$2:$Y$1148,18,FALSE)</f>
        <v>RS/1400I</v>
      </c>
      <c r="J446" s="167">
        <f>VLOOKUP($A446,'030523 INVENTARIO'!$A$2:$Y$1148,19,FALSE)</f>
        <v>161039232</v>
      </c>
      <c r="K446" s="167" t="str">
        <f>VLOOKUP($A446,'030523 INVENTARIO'!$A$2:$Y$1148,20,FALSE)</f>
        <v>82DJ0515010020000650896</v>
      </c>
      <c r="L446" s="167" t="str">
        <f>VLOOKUP($A446,'030523 INVENTARIO'!$A$2:$Y$1148,23,FALSE)</f>
        <v>BLANCA ELIZABETH ALCANTAR GUERRERO</v>
      </c>
    </row>
    <row r="447" spans="1:12" ht="12.75" hidden="1">
      <c r="A447" s="167" t="str">
        <f>'030523 INVENTARIO'!A447</f>
        <v>0446</v>
      </c>
      <c r="B447" s="168" t="str">
        <f>'030523 INVENTARIO'!T447</f>
        <v>82DJ0531010065000564790</v>
      </c>
      <c r="C447" s="167" t="str">
        <f t="shared" si="0"/>
        <v>564790</v>
      </c>
      <c r="D447" s="167" t="str">
        <f>IF(VLOOKUP(C447,'Patrimonio 2023'!$C$2:$C$1128,1,FALSE) = C447, "Encontrado", "no")</f>
        <v>Encontrado</v>
      </c>
      <c r="E447" s="167" t="str">
        <f>VLOOKUP($A447,'030523 INVENTARIO'!$A$2:$Y$1148,5,FALSE)</f>
        <v>MESA</v>
      </c>
      <c r="F447" s="167" t="str">
        <f>VLOOKUP($A447,'030523 INVENTARIO'!$A$2:$Y$1148,6,FALSE)</f>
        <v>MESA COMPLEMENTO TIPO BALA 160X60</v>
      </c>
      <c r="G447" s="167" t="str">
        <f ca="1">VLOOKUP($A447,'030523 INVENTARIO'!$A$2:$Y$1148,8,FALSE)</f>
        <v>P12PL-0446</v>
      </c>
      <c r="H447" s="168" t="str">
        <f>VLOOKUP($A447,'030523 INVENTARIO'!$A$2:$Y$1148,17,FALSE)</f>
        <v>S/M</v>
      </c>
      <c r="I447" s="167" t="str">
        <f>VLOOKUP($A447,'030523 INVENTARIO'!$A$2:$Y$1148,18,FALSE)</f>
        <v>S/M</v>
      </c>
      <c r="J447" s="168" t="str">
        <f>VLOOKUP($A447,'030523 INVENTARIO'!$A$2:$Y$1148,19,FALSE)</f>
        <v>SIN SERIE</v>
      </c>
      <c r="K447" s="168" t="str">
        <f>VLOOKUP($A447,'030523 INVENTARIO'!$A$2:$Y$1148,20,FALSE)</f>
        <v>82DJ0531010065000564790</v>
      </c>
      <c r="L447" s="167" t="str">
        <f>VLOOKUP($A447,'030523 INVENTARIO'!$A$2:$Y$1148,23,FALSE)</f>
        <v>ALFREDO GONZALEZ HERNANDEZ</v>
      </c>
    </row>
    <row r="448" spans="1:12" ht="12.75" hidden="1">
      <c r="A448" s="167" t="str">
        <f>'030523 INVENTARIO'!A448</f>
        <v>0447</v>
      </c>
      <c r="B448" s="168" t="str">
        <f>'030523 INVENTARIO'!T448</f>
        <v>82DJ0511010006000649700</v>
      </c>
      <c r="C448" s="167" t="str">
        <f t="shared" si="0"/>
        <v>649700</v>
      </c>
      <c r="D448" s="167" t="str">
        <f>IF(VLOOKUP(C448,'Patrimonio 2023'!$C$2:$C$1128,1,FALSE) = C448, "Encontrado", "no")</f>
        <v>Encontrado</v>
      </c>
      <c r="E448" s="167" t="str">
        <f>VLOOKUP($A448,'030523 INVENTARIO'!$A$2:$Y$1148,5,FALSE)</f>
        <v>ESCRITORIO</v>
      </c>
      <c r="F448" s="168" t="str">
        <f>VLOOKUP($A448,'030523 INVENTARIO'!$A$2:$Y$1148,6,FALSE)</f>
        <v>ESCRITORIO DE MADERA</v>
      </c>
      <c r="G448" s="167" t="str">
        <f ca="1">VLOOKUP($A448,'030523 INVENTARIO'!$A$2:$Y$1148,8,FALSE)</f>
        <v>P12PL-0447</v>
      </c>
      <c r="H448" s="168" t="str">
        <f>VLOOKUP($A448,'030523 INVENTARIO'!$A$2:$Y$1148,17,FALSE)</f>
        <v>S/M</v>
      </c>
      <c r="I448" s="167" t="str">
        <f>VLOOKUP($A448,'030523 INVENTARIO'!$A$2:$Y$1148,18,FALSE)</f>
        <v>S/M</v>
      </c>
      <c r="J448" s="168" t="str">
        <f>VLOOKUP($A448,'030523 INVENTARIO'!$A$2:$Y$1148,19,FALSE)</f>
        <v>SIN SERIE</v>
      </c>
      <c r="K448" s="168" t="str">
        <f>VLOOKUP($A448,'030523 INVENTARIO'!$A$2:$Y$1148,20,FALSE)</f>
        <v>82DJ0511010006000649700</v>
      </c>
      <c r="L448" s="167" t="str">
        <f>VLOOKUP($A448,'030523 INVENTARIO'!$A$2:$Y$1148,23,FALSE)</f>
        <v>ALFREDO GONZALEZ HERNANDEZ</v>
      </c>
    </row>
    <row r="449" spans="1:12" ht="12.75" hidden="1">
      <c r="A449" s="167" t="str">
        <f>'030523 INVENTARIO'!A449</f>
        <v>0448</v>
      </c>
      <c r="B449" s="168" t="str">
        <f>'030523 INVENTARIO'!T449</f>
        <v>82DJ0515010003000649699</v>
      </c>
      <c r="C449" s="167" t="str">
        <f t="shared" si="0"/>
        <v>649699</v>
      </c>
      <c r="D449" s="167" t="str">
        <f>IF(VLOOKUP(C449,'Patrimonio 2023'!$C$2:$C$1128,1,FALSE) = C449, "Encontrado", "no")</f>
        <v>Encontrado</v>
      </c>
      <c r="E449" s="167" t="str">
        <f>VLOOKUP($A449,'030523 INVENTARIO'!$A$2:$Y$1148,5,FALSE)</f>
        <v>COMPUTADORA DE ESCRITORIO</v>
      </c>
      <c r="F449" s="167" t="str">
        <f>VLOOKUP($A449,'030523 INVENTARIO'!$A$2:$Y$1148,6,FALSE)</f>
        <v>COMPUTADORA DE ESCRITORIO</v>
      </c>
      <c r="G449" s="167" t="str">
        <f ca="1">VLOOKUP($A449,'030523 INVENTARIO'!$A$2:$Y$1148,8,FALSE)</f>
        <v>P05RM-0448</v>
      </c>
      <c r="H449" s="168" t="str">
        <f>VLOOKUP($A449,'030523 INVENTARIO'!$A$2:$Y$1148,17,FALSE)</f>
        <v>HP</v>
      </c>
      <c r="I449" s="167" t="str">
        <f>VLOOKUP($A449,'030523 INVENTARIO'!$A$2:$Y$1148,18,FALSE)</f>
        <v>DC7800</v>
      </c>
      <c r="J449" s="168" t="str">
        <f>VLOOKUP($A449,'030523 INVENTARIO'!$A$2:$Y$1148,19,FALSE)</f>
        <v>MXJ819035X</v>
      </c>
      <c r="K449" s="168" t="str">
        <f>VLOOKUP($A449,'030523 INVENTARIO'!$A$2:$Y$1148,20,FALSE)</f>
        <v>82DJ0515010003000649699</v>
      </c>
      <c r="L449" s="167" t="str">
        <f>VLOOKUP($A449,'030523 INVENTARIO'!$A$2:$Y$1148,23,FALSE)</f>
        <v>BLANCA ELIZABETH ALCANTAR GUERRERO</v>
      </c>
    </row>
    <row r="450" spans="1:12" ht="12.75" hidden="1">
      <c r="A450" s="167" t="str">
        <f>'030523 INVENTARIO'!A450</f>
        <v>0449</v>
      </c>
      <c r="B450" s="168" t="str">
        <f>'030523 INVENTARIO'!T450</f>
        <v>82DJ0515010016000649433</v>
      </c>
      <c r="C450" s="167" t="str">
        <f t="shared" si="0"/>
        <v>649433</v>
      </c>
      <c r="D450" s="167" t="str">
        <f>IF(VLOOKUP(C450,'Patrimonio 2023'!$C$2:$C$1128,1,FALSE) = C450, "Encontrado", "no")</f>
        <v>Encontrado</v>
      </c>
      <c r="E450" s="167" t="str">
        <f>VLOOKUP($A450,'030523 INVENTARIO'!$A$2:$Y$1148,5,FALSE)</f>
        <v>NO BREAK</v>
      </c>
      <c r="F450" s="168" t="str">
        <f>VLOOKUP($A450,'030523 INVENTARIO'!$A$2:$Y$1148,6,FALSE)</f>
        <v>NO BREAK</v>
      </c>
      <c r="G450" s="167" t="str">
        <f ca="1">VLOOKUP($A450,'030523 INVENTARIO'!$A$2:$Y$1148,8,FALSE)</f>
        <v>P12PL-0449</v>
      </c>
      <c r="H450" s="168" t="str">
        <f>VLOOKUP($A450,'030523 INVENTARIO'!$A$2:$Y$1148,17,FALSE)</f>
        <v>FORZA</v>
      </c>
      <c r="I450" s="167" t="str">
        <f>VLOOKUP($A450,'030523 INVENTARIO'!$A$2:$Y$1148,18,FALSE)</f>
        <v>NT751</v>
      </c>
      <c r="J450" s="168" t="str">
        <f>VLOOKUP($A450,'030523 INVENTARIO'!$A$2:$Y$1148,19,FALSE)</f>
        <v>SIN SERIE</v>
      </c>
      <c r="K450" s="168" t="str">
        <f>VLOOKUP($A450,'030523 INVENTARIO'!$A$2:$Y$1148,20,FALSE)</f>
        <v>82DJ0515010016000649433</v>
      </c>
      <c r="L450" s="167" t="str">
        <f>VLOOKUP($A450,'030523 INVENTARIO'!$A$2:$Y$1148,23,FALSE)</f>
        <v>ALFREDO GONZALEZ HERNANDEZ</v>
      </c>
    </row>
    <row r="451" spans="1:12" ht="12.75" hidden="1">
      <c r="A451" s="167" t="str">
        <f>'030523 INVENTARIO'!A451</f>
        <v>0450</v>
      </c>
      <c r="B451" s="168" t="str">
        <f>'030523 INVENTARIO'!T451</f>
        <v>82DJ0515010033000566421</v>
      </c>
      <c r="C451" s="167" t="str">
        <f t="shared" si="0"/>
        <v>566421</v>
      </c>
      <c r="D451" s="167" t="str">
        <f>IF(VLOOKUP(C451,'Patrimonio 2023'!$C$2:$C$1128,1,FALSE) = C451, "Encontrado", "no")</f>
        <v>Encontrado</v>
      </c>
      <c r="E451" s="167" t="str">
        <f>VLOOKUP($A451,'030523 INVENTARIO'!$A$2:$Y$1148,5,FALSE)</f>
        <v>COMPLEMENTARIO DE EQUIPO DE COMPUTO</v>
      </c>
      <c r="F451" s="168" t="str">
        <f>VLOOKUP($A451,'030523 INVENTARIO'!$A$2:$Y$1148,6,FALSE)</f>
        <v>COMPLEMENTO DE EQUIPO DE MADERA</v>
      </c>
      <c r="G451" s="167" t="str">
        <f ca="1">VLOOKUP($A451,'030523 INVENTARIO'!$A$2:$Y$1148,8,FALSE)</f>
        <v>P12PL-0450</v>
      </c>
      <c r="H451" s="168" t="str">
        <f>VLOOKUP($A451,'030523 INVENTARIO'!$A$2:$Y$1148,17,FALSE)</f>
        <v>S/M</v>
      </c>
      <c r="I451" s="167" t="str">
        <f>VLOOKUP($A451,'030523 INVENTARIO'!$A$2:$Y$1148,18,FALSE)</f>
        <v>S/M</v>
      </c>
      <c r="J451" s="168" t="str">
        <f>VLOOKUP($A451,'030523 INVENTARIO'!$A$2:$Y$1148,19,FALSE)</f>
        <v>SIN SERIE</v>
      </c>
      <c r="K451" s="168" t="str">
        <f>VLOOKUP($A451,'030523 INVENTARIO'!$A$2:$Y$1148,20,FALSE)</f>
        <v>82DJ0515010033000566421</v>
      </c>
      <c r="L451" s="167" t="str">
        <f>VLOOKUP($A451,'030523 INVENTARIO'!$A$2:$Y$1148,23,FALSE)</f>
        <v>ALFREDO GONZALEZ HERNANDEZ</v>
      </c>
    </row>
    <row r="452" spans="1:12" ht="12.75" hidden="1">
      <c r="A452" s="167" t="str">
        <f>'030523 INVENTARIO'!A452</f>
        <v>0451</v>
      </c>
      <c r="B452" s="168" t="str">
        <f>'030523 INVENTARIO'!T452</f>
        <v>82DJ0565010041000539110</v>
      </c>
      <c r="C452" s="167" t="str">
        <f t="shared" si="0"/>
        <v>539110</v>
      </c>
      <c r="D452" s="167" t="str">
        <f>IF(VLOOKUP(C452,'Patrimonio 2023'!$C$2:$C$1128,1,FALSE) = C452, "Encontrado", "no")</f>
        <v>Encontrado</v>
      </c>
      <c r="E452" s="167" t="str">
        <f>VLOOKUP($A452,'030523 INVENTARIO'!$A$2:$Y$1148,5,FALSE)</f>
        <v>MONITOR</v>
      </c>
      <c r="F452" s="167" t="str">
        <f>VLOOKUP($A452,'030523 INVENTARIO'!$A$2:$Y$1148,6,FALSE)</f>
        <v>MONITOR 19.5"</v>
      </c>
      <c r="G452" s="167" t="str">
        <f ca="1">VLOOKUP($A452,'030523 INVENTARIO'!$A$2:$Y$1148,8,FALSE)</f>
        <v>P12SI-0451</v>
      </c>
      <c r="H452" s="168" t="str">
        <f>VLOOKUP($A452,'030523 INVENTARIO'!$A$2:$Y$1148,17,FALSE)</f>
        <v>COMPAQ</v>
      </c>
      <c r="I452" s="167" t="str">
        <f>VLOOKUP($A452,'030523 INVENTARIO'!$A$2:$Y$1148,18,FALSE)</f>
        <v>WF1907</v>
      </c>
      <c r="J452" s="168" t="str">
        <f>VLOOKUP($A452,'030523 INVENTARIO'!$A$2:$Y$1148,19,FALSE)</f>
        <v>CNNB1303FP</v>
      </c>
      <c r="K452" s="168" t="str">
        <f>VLOOKUP($A452,'030523 INVENTARIO'!$A$2:$Y$1148,20,FALSE)</f>
        <v>82DJ0565010041000539110</v>
      </c>
      <c r="L452" s="167" t="str">
        <f>VLOOKUP($A452,'030523 INVENTARIO'!$A$2:$Y$1148,23,FALSE)</f>
        <v>CHRISTIAN ZARCO MERCADO</v>
      </c>
    </row>
    <row r="453" spans="1:12" ht="12.75" hidden="1">
      <c r="A453" s="167" t="str">
        <f>'030523 INVENTARIO'!A453</f>
        <v>0452</v>
      </c>
      <c r="B453" s="168" t="str">
        <f>'030523 INVENTARIO'!T453</f>
        <v>82DJ0511010017000649695</v>
      </c>
      <c r="C453" s="167" t="str">
        <f t="shared" si="0"/>
        <v>649695</v>
      </c>
      <c r="D453" s="167" t="str">
        <f>IF(VLOOKUP(C453,'Patrimonio 2023'!$C$2:$C$1128,1,FALSE) = C453, "Encontrado", "no")</f>
        <v>Encontrado</v>
      </c>
      <c r="E453" s="167" t="str">
        <f>VLOOKUP($A453,'030523 INVENTARIO'!$A$2:$Y$1148,5,FALSE)</f>
        <v>SILLA</v>
      </c>
      <c r="F453" s="167" t="str">
        <f>VLOOKUP($A453,'030523 INVENTARIO'!$A$2:$Y$1148,6,FALSE)</f>
        <v>SILLA NEGRA CON RUEDAS</v>
      </c>
      <c r="G453" s="167" t="str">
        <f ca="1">VLOOKUP($A453,'030523 INVENTARIO'!$A$2:$Y$1148,8,FALSE)</f>
        <v>P15RM-0452</v>
      </c>
      <c r="H453" s="168" t="str">
        <f>VLOOKUP($A453,'030523 INVENTARIO'!$A$2:$Y$1148,17,FALSE)</f>
        <v>S/M</v>
      </c>
      <c r="I453" s="167" t="str">
        <f>VLOOKUP($A453,'030523 INVENTARIO'!$A$2:$Y$1148,18,FALSE)</f>
        <v>S/M</v>
      </c>
      <c r="J453" s="168" t="str">
        <f>VLOOKUP($A453,'030523 INVENTARIO'!$A$2:$Y$1148,19,FALSE)</f>
        <v>SIN SERIE</v>
      </c>
      <c r="K453" s="168" t="str">
        <f>VLOOKUP($A453,'030523 INVENTARIO'!$A$2:$Y$1148,20,FALSE)</f>
        <v>82DJ0511010017000649695</v>
      </c>
      <c r="L453" s="167" t="str">
        <f>VLOOKUP($A453,'030523 INVENTARIO'!$A$2:$Y$1148,23,FALSE)</f>
        <v>BLANCA ELIZABETH ALCANTAR GUERRERO</v>
      </c>
    </row>
    <row r="454" spans="1:12" ht="12.75">
      <c r="A454" s="167" t="str">
        <f>'030523 INVENTARIO'!A454</f>
        <v>0453</v>
      </c>
      <c r="B454" s="168" t="str">
        <f>'030523 INVENTARIO'!T454</f>
        <v>82DJ0511010016000515601</v>
      </c>
      <c r="C454" s="167" t="str">
        <f t="shared" si="0"/>
        <v>515601</v>
      </c>
      <c r="D454" s="167" t="e">
        <f>IF(VLOOKUP(C454,'Patrimonio 2023'!$C$2:$C$1128,1,FALSE) = C454, "Encontrado", "no")</f>
        <v>#N/A</v>
      </c>
      <c r="E454" s="167" t="str">
        <f>VLOOKUP($A454,'030523 INVENTARIO'!$A$2:$Y$1148,5,FALSE)</f>
        <v>SILLON</v>
      </c>
      <c r="F454" s="167" t="str">
        <f>VLOOKUP($A454,'030523 INVENTARIO'!$A$2:$Y$1148,6,FALSE)</f>
        <v>SILLON EJECUTIVO DE TELA AZUL</v>
      </c>
      <c r="G454" s="167" t="str">
        <f ca="1">VLOOKUP($A454,'030523 INVENTARIO'!$A$2:$Y$1148,8,FALSE)</f>
        <v>P12PL-0453</v>
      </c>
      <c r="H454" s="168" t="str">
        <f>VLOOKUP($A454,'030523 INVENTARIO'!$A$2:$Y$1148,17,FALSE)</f>
        <v>S/M</v>
      </c>
      <c r="I454" s="167" t="str">
        <f>VLOOKUP($A454,'030523 INVENTARIO'!$A$2:$Y$1148,18,FALSE)</f>
        <v>S/M</v>
      </c>
      <c r="J454" s="168" t="str">
        <f>VLOOKUP($A454,'030523 INVENTARIO'!$A$2:$Y$1148,19,FALSE)</f>
        <v>SIN SERIE</v>
      </c>
      <c r="K454" s="168" t="str">
        <f>VLOOKUP($A454,'030523 INVENTARIO'!$A$2:$Y$1148,20,FALSE)</f>
        <v>82DJ0511010016000515601</v>
      </c>
      <c r="L454" s="167" t="str">
        <f>VLOOKUP($A454,'030523 INVENTARIO'!$A$2:$Y$1148,23,FALSE)</f>
        <v>ALFREDO GONZALEZ HERNANDEZ</v>
      </c>
    </row>
    <row r="455" spans="1:12" ht="12.75" hidden="1">
      <c r="A455" s="167" t="str">
        <f>'030523 INVENTARIO'!A455</f>
        <v>0454</v>
      </c>
      <c r="B455" s="167" t="str">
        <f>'030523 INVENTARIO'!T455</f>
        <v>SIN RESGUARDO</v>
      </c>
      <c r="C455" s="167" t="str">
        <f t="shared" si="0"/>
        <v/>
      </c>
      <c r="D455" s="167" t="e">
        <f>IF(VLOOKUP(C455,'Patrimonio 2023'!$C$2:$C$1128,1,FALSE) = C455, "Encontrado", "no")</f>
        <v>#N/A</v>
      </c>
      <c r="E455" s="167" t="str">
        <f>VLOOKUP($A455,'030523 INVENTARIO'!$A$2:$Y$1148,5,FALSE)</f>
        <v>DISCO DURO</v>
      </c>
      <c r="F455" s="167" t="str">
        <f>VLOOKUP($A455,'030523 INVENTARIO'!$A$2:$Y$1148,6,FALSE)</f>
        <v>DISCO DURO</v>
      </c>
      <c r="G455" s="167" t="str">
        <f ca="1">VLOOKUP($A455,'030523 INVENTARIO'!$A$2:$Y$1148,8,FALSE)</f>
        <v>P12PL-0454</v>
      </c>
      <c r="H455" s="168" t="str">
        <f>VLOOKUP($A455,'030523 INVENTARIO'!$A$2:$Y$1148,17,FALSE)</f>
        <v>ADATA</v>
      </c>
      <c r="I455" s="167" t="str">
        <f>VLOOKUP($A455,'030523 INVENTARIO'!$A$2:$Y$1148,18,FALSE)</f>
        <v>AHV-300</v>
      </c>
      <c r="J455" s="167" t="str">
        <f>VLOOKUP($A455,'030523 INVENTARIO'!$A$2:$Y$1148,19,FALSE)</f>
        <v>1L0820262645</v>
      </c>
      <c r="K455" s="167" t="str">
        <f>VLOOKUP($A455,'030523 INVENTARIO'!$A$2:$Y$1148,20,FALSE)</f>
        <v>SIN RESGUARDO</v>
      </c>
      <c r="L455" s="167" t="str">
        <f>VLOOKUP($A455,'030523 INVENTARIO'!$A$2:$Y$1148,23,FALSE)</f>
        <v>EDNA PATRICIA CARMONA CHAVEZ</v>
      </c>
    </row>
    <row r="456" spans="1:12" ht="12.75" hidden="1">
      <c r="A456" s="167" t="str">
        <f>'030523 INVENTARIO'!A456</f>
        <v>0455</v>
      </c>
      <c r="B456" s="168" t="str">
        <f>'030523 INVENTARIO'!T456</f>
        <v>82DJ0511010009000584161</v>
      </c>
      <c r="C456" s="167" t="str">
        <f t="shared" si="0"/>
        <v>584161</v>
      </c>
      <c r="D456" s="167" t="str">
        <f>IF(VLOOKUP(C456,'Patrimonio 2023'!$C$2:$C$1128,1,FALSE) = C456, "Encontrado", "no")</f>
        <v>Encontrado</v>
      </c>
      <c r="E456" s="167" t="str">
        <f>VLOOKUP($A456,'030523 INVENTARIO'!$A$2:$Y$1148,5,FALSE)</f>
        <v>ESTANTE O ANAQUEL</v>
      </c>
      <c r="F456" s="167" t="str">
        <f>VLOOKUP($A456,'030523 INVENTARIO'!$A$2:$Y$1148,6,FALSE)</f>
        <v>ANAQUEL DE METAL DOS PUERTAS GRIS 183X92X46</v>
      </c>
      <c r="G456" s="167" t="str">
        <f ca="1">VLOOKUP($A456,'030523 INVENTARIO'!$A$2:$Y$1148,8,FALSE)</f>
        <v>P12CT-0455</v>
      </c>
      <c r="H456" s="168" t="str">
        <f>VLOOKUP($A456,'030523 INVENTARIO'!$A$2:$Y$1148,17,FALSE)</f>
        <v>S/M</v>
      </c>
      <c r="I456" s="167" t="str">
        <f>VLOOKUP($A456,'030523 INVENTARIO'!$A$2:$Y$1148,18,FALSE)</f>
        <v>S/M</v>
      </c>
      <c r="J456" s="168" t="str">
        <f>VLOOKUP($A456,'030523 INVENTARIO'!$A$2:$Y$1148,19,FALSE)</f>
        <v>SIN SERIE</v>
      </c>
      <c r="K456" s="168" t="str">
        <f>VLOOKUP($A456,'030523 INVENTARIO'!$A$2:$Y$1148,20,FALSE)</f>
        <v>82DJ0511010009000584161</v>
      </c>
      <c r="L456" s="167" t="str">
        <f>VLOOKUP($A456,'030523 INVENTARIO'!$A$2:$Y$1148,23,FALSE)</f>
        <v>ELEAZAR LOPEZ LOPEZ</v>
      </c>
    </row>
    <row r="457" spans="1:12" ht="12.75" hidden="1">
      <c r="A457" s="167" t="str">
        <f>'030523 INVENTARIO'!A457</f>
        <v>0456</v>
      </c>
      <c r="B457" s="168" t="str">
        <f>'030523 INVENTARIO'!T457</f>
        <v>82DJ0519010043000649551</v>
      </c>
      <c r="C457" s="167" t="str">
        <f t="shared" si="0"/>
        <v>649551</v>
      </c>
      <c r="D457" s="167" t="str">
        <f>IF(VLOOKUP(C457,'Patrimonio 2023'!$C$2:$C$1128,1,FALSE) = C457, "Encontrado", "no")</f>
        <v>Encontrado</v>
      </c>
      <c r="E457" s="167" t="str">
        <f>VLOOKUP($A457,'030523 INVENTARIO'!$A$2:$Y$1148,5,FALSE)</f>
        <v>VENTILADOR</v>
      </c>
      <c r="F457" s="168" t="str">
        <f>VLOOKUP($A457,'030523 INVENTARIO'!$A$2:$Y$1148,6,FALSE)</f>
        <v>VENTILADOR GRIS DE TORRE</v>
      </c>
      <c r="G457" s="167" t="str">
        <f ca="1">VLOOKUP($A457,'030523 INVENTARIO'!$A$2:$Y$1148,8,FALSE)</f>
        <v>P12CT-0456</v>
      </c>
      <c r="H457" s="168" t="str">
        <f>VLOOKUP($A457,'030523 INVENTARIO'!$A$2:$Y$1148,17,FALSE)</f>
        <v>SEVILLE CLASIC</v>
      </c>
      <c r="I457" s="167" t="str">
        <f>VLOOKUP($A457,'030523 INVENTARIO'!$A$2:$Y$1148,18,FALSE)</f>
        <v>S/M</v>
      </c>
      <c r="J457" s="168" t="str">
        <f>VLOOKUP($A457,'030523 INVENTARIO'!$A$2:$Y$1148,19,FALSE)</f>
        <v>SIN SERIE</v>
      </c>
      <c r="K457" s="168" t="str">
        <f>VLOOKUP($A457,'030523 INVENTARIO'!$A$2:$Y$1148,20,FALSE)</f>
        <v>82DJ0519010043000649551</v>
      </c>
      <c r="L457" s="167" t="str">
        <f>VLOOKUP($A457,'030523 INVENTARIO'!$A$2:$Y$1148,23,FALSE)</f>
        <v>ELEAZAR LOPEZ LOPEZ</v>
      </c>
    </row>
    <row r="458" spans="1:12" ht="12.75" hidden="1">
      <c r="A458" s="167" t="str">
        <f>'030523 INVENTARIO'!A458</f>
        <v>0457</v>
      </c>
      <c r="B458" s="168" t="str">
        <f>'030523 INVENTARIO'!T458</f>
        <v>82DJ0531010065000564798</v>
      </c>
      <c r="C458" s="167" t="str">
        <f t="shared" si="0"/>
        <v>564798</v>
      </c>
      <c r="D458" s="167" t="str">
        <f>IF(VLOOKUP(C458,'Patrimonio 2023'!$C$2:$C$1128,1,FALSE) = C458, "Encontrado", "no")</f>
        <v>Encontrado</v>
      </c>
      <c r="E458" s="167" t="str">
        <f>VLOOKUP($A458,'030523 INVENTARIO'!$A$2:$Y$1148,5,FALSE)</f>
        <v>MESA</v>
      </c>
      <c r="F458" s="167" t="str">
        <f>VLOOKUP($A458,'030523 INVENTARIO'!$A$2:$Y$1148,6,FALSE)</f>
        <v>MESA DE MADERA BASE DE METAL 100X40</v>
      </c>
      <c r="G458" s="167" t="str">
        <f ca="1">VLOOKUP($A458,'030523 INVENTARIO'!$A$2:$Y$1148,8,FALSE)</f>
        <v>P12CT-0457</v>
      </c>
      <c r="H458" s="168" t="str">
        <f>VLOOKUP($A458,'030523 INVENTARIO'!$A$2:$Y$1148,17,FALSE)</f>
        <v>S/M</v>
      </c>
      <c r="I458" s="167" t="str">
        <f>VLOOKUP($A458,'030523 INVENTARIO'!$A$2:$Y$1148,18,FALSE)</f>
        <v>S/M</v>
      </c>
      <c r="J458" s="168" t="str">
        <f>VLOOKUP($A458,'030523 INVENTARIO'!$A$2:$Y$1148,19,FALSE)</f>
        <v>SIN SERIE</v>
      </c>
      <c r="K458" s="168" t="str">
        <f>VLOOKUP($A458,'030523 INVENTARIO'!$A$2:$Y$1148,20,FALSE)</f>
        <v>82DJ0531010065000564798</v>
      </c>
      <c r="L458" s="167" t="str">
        <f>VLOOKUP($A458,'030523 INVENTARIO'!$A$2:$Y$1148,23,FALSE)</f>
        <v>ELEAZAR LOPEZ LOPEZ</v>
      </c>
    </row>
    <row r="459" spans="1:12" ht="12.75" hidden="1">
      <c r="A459" s="167" t="str">
        <f>'030523 INVENTARIO'!A459</f>
        <v>0458</v>
      </c>
      <c r="B459" s="168" t="str">
        <f>'030523 INVENTARIO'!T459</f>
        <v>82DJ0511010001000649533</v>
      </c>
      <c r="C459" s="167" t="str">
        <f t="shared" si="0"/>
        <v>649533</v>
      </c>
      <c r="D459" s="167" t="str">
        <f>IF(VLOOKUP(C459,'Patrimonio 2023'!$C$2:$C$1128,1,FALSE) = C459, "Encontrado", "no")</f>
        <v>Encontrado</v>
      </c>
      <c r="E459" s="167" t="str">
        <f>VLOOKUP($A459,'030523 INVENTARIO'!$A$2:$Y$1148,5,FALSE)</f>
        <v>ARCHIVERO</v>
      </c>
      <c r="F459" s="168" t="str">
        <f>VLOOKUP($A459,'030523 INVENTARIO'!$A$2:$Y$1148,6,FALSE)</f>
        <v>ARCHIVERO BEIGE DE METAL 4 CAJONES</v>
      </c>
      <c r="G459" s="167" t="str">
        <f ca="1">VLOOKUP($A459,'030523 INVENTARIO'!$A$2:$Y$1148,8,FALSE)</f>
        <v>P12CT-0458</v>
      </c>
      <c r="H459" s="168" t="str">
        <f>VLOOKUP($A459,'030523 INVENTARIO'!$A$2:$Y$1148,17,FALSE)</f>
        <v>S/M</v>
      </c>
      <c r="I459" s="167" t="str">
        <f>VLOOKUP($A459,'030523 INVENTARIO'!$A$2:$Y$1148,18,FALSE)</f>
        <v>S/M</v>
      </c>
      <c r="J459" s="168" t="str">
        <f>VLOOKUP($A459,'030523 INVENTARIO'!$A$2:$Y$1148,19,FALSE)</f>
        <v>SIN SERIE</v>
      </c>
      <c r="K459" s="168" t="str">
        <f>VLOOKUP($A459,'030523 INVENTARIO'!$A$2:$Y$1148,20,FALSE)</f>
        <v>82DJ0511010001000649533</v>
      </c>
      <c r="L459" s="167" t="str">
        <f>VLOOKUP($A459,'030523 INVENTARIO'!$A$2:$Y$1148,23,FALSE)</f>
        <v>ELEAZAR LOPEZ LOPEZ</v>
      </c>
    </row>
    <row r="460" spans="1:12" ht="12.75" hidden="1">
      <c r="A460" s="167" t="str">
        <f>'030523 INVENTARIO'!A460</f>
        <v>0459</v>
      </c>
      <c r="B460" s="168" t="str">
        <f>'030523 INVENTARIO'!T460</f>
        <v>82DJ0511010028000584044</v>
      </c>
      <c r="C460" s="167" t="str">
        <f t="shared" si="0"/>
        <v>584044</v>
      </c>
      <c r="D460" s="167" t="str">
        <f>IF(VLOOKUP(C460,'Patrimonio 2023'!$C$2:$C$1128,1,FALSE) = C460, "Encontrado", "no")</f>
        <v>Encontrado</v>
      </c>
      <c r="E460" s="167" t="str">
        <f>VLOOKUP($A460,'030523 INVENTARIO'!$A$2:$Y$1148,5,FALSE)</f>
        <v>ESTANTE O ANAQUEL</v>
      </c>
      <c r="F460" s="168" t="str">
        <f>VLOOKUP($A460,'030523 INVENTARIO'!$A$2:$Y$1148,6,FALSE)</f>
        <v>ESTANTE GRIS DE METAL CON 5 CHAROLAS</v>
      </c>
      <c r="G460" s="167" t="str">
        <f ca="1">VLOOKUP($A460,'030523 INVENTARIO'!$A$2:$Y$1148,8,FALSE)</f>
        <v>P12CT-0459</v>
      </c>
      <c r="H460" s="168" t="str">
        <f>VLOOKUP($A460,'030523 INVENTARIO'!$A$2:$Y$1148,17,FALSE)</f>
        <v>S/M</v>
      </c>
      <c r="I460" s="167" t="str">
        <f>VLOOKUP($A460,'030523 INVENTARIO'!$A$2:$Y$1148,18,FALSE)</f>
        <v>S/M</v>
      </c>
      <c r="J460" s="168" t="str">
        <f>VLOOKUP($A460,'030523 INVENTARIO'!$A$2:$Y$1148,19,FALSE)</f>
        <v>SIN SERIE</v>
      </c>
      <c r="K460" s="168" t="str">
        <f>VLOOKUP($A460,'030523 INVENTARIO'!$A$2:$Y$1148,20,FALSE)</f>
        <v>82DJ0511010028000584044</v>
      </c>
      <c r="L460" s="167" t="str">
        <f>VLOOKUP($A460,'030523 INVENTARIO'!$A$2:$Y$1148,23,FALSE)</f>
        <v>ELEAZAR LOPEZ LOPEZ</v>
      </c>
    </row>
    <row r="461" spans="1:12" ht="12.75" hidden="1">
      <c r="A461" s="167" t="str">
        <f>'030523 INVENTARIO'!A461</f>
        <v>0460</v>
      </c>
      <c r="B461" s="168" t="str">
        <f>'030523 INVENTARIO'!T461</f>
        <v>82DJ0515010003000649379</v>
      </c>
      <c r="C461" s="167" t="str">
        <f t="shared" si="0"/>
        <v>649379</v>
      </c>
      <c r="D461" s="167" t="str">
        <f>IF(VLOOKUP(C461,'Patrimonio 2023'!$C$2:$C$1128,1,FALSE) = C461, "Encontrado", "no")</f>
        <v>Encontrado</v>
      </c>
      <c r="E461" s="167" t="str">
        <f>VLOOKUP($A461,'030523 INVENTARIO'!$A$2:$Y$1148,5,FALSE)</f>
        <v>COMPUTADORA DE ESCRITORIO</v>
      </c>
      <c r="F461" s="167" t="str">
        <f>VLOOKUP($A461,'030523 INVENTARIO'!$A$2:$Y$1148,6,FALSE)</f>
        <v>COMPUTADORA TODO EN UNO BLANCO</v>
      </c>
      <c r="G461" s="167" t="str">
        <f ca="1">VLOOKUP($A461,'030523 INVENTARIO'!$A$2:$Y$1148,8,FALSE)</f>
        <v>P05RM-0460</v>
      </c>
      <c r="H461" s="168" t="str">
        <f>VLOOKUP($A461,'030523 INVENTARIO'!$A$2:$Y$1148,17,FALSE)</f>
        <v>HP</v>
      </c>
      <c r="I461" s="167" t="str">
        <f>VLOOKUP($A461,'030523 INVENTARIO'!$A$2:$Y$1148,18,FALSE)</f>
        <v>HP PAVILION AIO 20-E002LA</v>
      </c>
      <c r="J461" s="168" t="str">
        <f>VLOOKUP($A461,'030523 INVENTARIO'!$A$2:$Y$1148,19,FALSE)</f>
        <v>8CC5390ND5</v>
      </c>
      <c r="K461" s="168" t="str">
        <f>VLOOKUP($A461,'030523 INVENTARIO'!$A$2:$Y$1148,20,FALSE)</f>
        <v>82DJ0515010003000649379</v>
      </c>
      <c r="L461" s="167" t="str">
        <f>VLOOKUP($A461,'030523 INVENTARIO'!$A$2:$Y$1148,23,FALSE)</f>
        <v>BLANCA ELIZABETH ALCANTAR GUERRERO</v>
      </c>
    </row>
    <row r="462" spans="1:12" ht="12.75" hidden="1">
      <c r="A462" s="167" t="str">
        <f>'030523 INVENTARIO'!A462</f>
        <v>0461</v>
      </c>
      <c r="B462" s="168" t="str">
        <f>'030523 INVENTARIO'!T462</f>
        <v>82DJ0511010020000649536</v>
      </c>
      <c r="C462" s="167" t="str">
        <f t="shared" si="0"/>
        <v>649536</v>
      </c>
      <c r="D462" s="167" t="str">
        <f>IF(VLOOKUP(C462,'Patrimonio 2023'!$C$2:$C$1128,1,FALSE) = C462, "Encontrado", "no")</f>
        <v>Encontrado</v>
      </c>
      <c r="E462" s="167" t="str">
        <f>VLOOKUP($A462,'030523 INVENTARIO'!$A$2:$Y$1148,5,FALSE)</f>
        <v>ESTANTE O ANAQUEL</v>
      </c>
      <c r="F462" s="167" t="str">
        <f>VLOOKUP($A462,'030523 INVENTARIO'!$A$2:$Y$1148,6,FALSE)</f>
        <v>ESTANTE GRIS DE METAL CON 6 CHAROLAS</v>
      </c>
      <c r="G462" s="167" t="str">
        <f ca="1">VLOOKUP($A462,'030523 INVENTARIO'!$A$2:$Y$1148,8,FALSE)</f>
        <v>P12CT-0461</v>
      </c>
      <c r="H462" s="168" t="str">
        <f>VLOOKUP($A462,'030523 INVENTARIO'!$A$2:$Y$1148,17,FALSE)</f>
        <v>S/M</v>
      </c>
      <c r="I462" s="167" t="str">
        <f>VLOOKUP($A462,'030523 INVENTARIO'!$A$2:$Y$1148,18,FALSE)</f>
        <v>S/M</v>
      </c>
      <c r="J462" s="168" t="str">
        <f>VLOOKUP($A462,'030523 INVENTARIO'!$A$2:$Y$1148,19,FALSE)</f>
        <v>SIN SERIE</v>
      </c>
      <c r="K462" s="168" t="str">
        <f>VLOOKUP($A462,'030523 INVENTARIO'!$A$2:$Y$1148,20,FALSE)</f>
        <v>82DJ0511010020000649536</v>
      </c>
      <c r="L462" s="167" t="str">
        <f>VLOOKUP($A462,'030523 INVENTARIO'!$A$2:$Y$1148,23,FALSE)</f>
        <v>ELEAZAR LOPEZ LOPEZ</v>
      </c>
    </row>
    <row r="463" spans="1:12" ht="12.75" hidden="1">
      <c r="A463" s="167" t="str">
        <f>'030523 INVENTARIO'!A463</f>
        <v>0462</v>
      </c>
      <c r="B463" s="168" t="str">
        <f>'030523 INVENTARIO'!T463</f>
        <v>82DJ0511010017000649538</v>
      </c>
      <c r="C463" s="167" t="str">
        <f t="shared" si="0"/>
        <v>649538</v>
      </c>
      <c r="D463" s="167" t="str">
        <f>IF(VLOOKUP(C463,'Patrimonio 2023'!$C$2:$C$1128,1,FALSE) = C463, "Encontrado", "no")</f>
        <v>Encontrado</v>
      </c>
      <c r="E463" s="167" t="str">
        <f>VLOOKUP($A463,'030523 INVENTARIO'!$A$2:$Y$1148,5,FALSE)</f>
        <v>SILLA</v>
      </c>
      <c r="F463" s="167" t="str">
        <f>VLOOKUP($A463,'030523 INVENTARIO'!$A$2:$Y$1148,6,FALSE)</f>
        <v>SILLA DE TELA NEGRA</v>
      </c>
      <c r="G463" s="167" t="str">
        <f ca="1">VLOOKUP($A463,'030523 INVENTARIO'!$A$2:$Y$1148,8,FALSE)</f>
        <v>P12CT-0462</v>
      </c>
      <c r="H463" s="168" t="str">
        <f>VLOOKUP($A463,'030523 INVENTARIO'!$A$2:$Y$1148,17,FALSE)</f>
        <v>S/M</v>
      </c>
      <c r="I463" s="167" t="str">
        <f>VLOOKUP($A463,'030523 INVENTARIO'!$A$2:$Y$1148,18,FALSE)</f>
        <v>S/M</v>
      </c>
      <c r="J463" s="168" t="str">
        <f>VLOOKUP($A463,'030523 INVENTARIO'!$A$2:$Y$1148,19,FALSE)</f>
        <v>SIN SERIE</v>
      </c>
      <c r="K463" s="168" t="str">
        <f>VLOOKUP($A463,'030523 INVENTARIO'!$A$2:$Y$1148,20,FALSE)</f>
        <v>82DJ0511010017000649538</v>
      </c>
      <c r="L463" s="167" t="str">
        <f>VLOOKUP($A463,'030523 INVENTARIO'!$A$2:$Y$1148,23,FALSE)</f>
        <v>ELEAZAR LOPEZ LOPEZ</v>
      </c>
    </row>
    <row r="464" spans="1:12" ht="12.75" hidden="1">
      <c r="A464" s="167" t="str">
        <f>'030523 INVENTARIO'!A464</f>
        <v>0463</v>
      </c>
      <c r="B464" s="168" t="str">
        <f>'030523 INVENTARIO'!T464</f>
        <v>82DJ0531010065000564777</v>
      </c>
      <c r="C464" s="167" t="str">
        <f t="shared" si="0"/>
        <v>564777</v>
      </c>
      <c r="D464" s="167" t="str">
        <f>IF(VLOOKUP(C464,'Patrimonio 2023'!$C$2:$C$1128,1,FALSE) = C464, "Encontrado", "no")</f>
        <v>Encontrado</v>
      </c>
      <c r="E464" s="167" t="str">
        <f>VLOOKUP($A464,'030523 INVENTARIO'!$A$2:$Y$1148,5,FALSE)</f>
        <v>MESA</v>
      </c>
      <c r="F464" s="167" t="str">
        <f>VLOOKUP($A464,'030523 INVENTARIO'!$A$2:$Y$1148,6,FALSE)</f>
        <v>MESA DE MADERA BASE DE METAL 100X40</v>
      </c>
      <c r="G464" s="167" t="str">
        <f ca="1">VLOOKUP($A464,'030523 INVENTARIO'!$A$2:$Y$1148,8,FALSE)</f>
        <v>P12CT-0463</v>
      </c>
      <c r="H464" s="168" t="str">
        <f>VLOOKUP($A464,'030523 INVENTARIO'!$A$2:$Y$1148,17,FALSE)</f>
        <v>S/M</v>
      </c>
      <c r="I464" s="167" t="str">
        <f>VLOOKUP($A464,'030523 INVENTARIO'!$A$2:$Y$1148,18,FALSE)</f>
        <v>S/M</v>
      </c>
      <c r="J464" s="168" t="str">
        <f>VLOOKUP($A464,'030523 INVENTARIO'!$A$2:$Y$1148,19,FALSE)</f>
        <v>SIN SERIE</v>
      </c>
      <c r="K464" s="168" t="str">
        <f>VLOOKUP($A464,'030523 INVENTARIO'!$A$2:$Y$1148,20,FALSE)</f>
        <v>82DJ0531010065000564777</v>
      </c>
      <c r="L464" s="167" t="str">
        <f>VLOOKUP($A464,'030523 INVENTARIO'!$A$2:$Y$1148,23,FALSE)</f>
        <v>ELEAZAR LOPEZ LOPEZ</v>
      </c>
    </row>
    <row r="465" spans="1:12" ht="12.75" hidden="1">
      <c r="A465" s="167" t="str">
        <f>'030523 INVENTARIO'!A465</f>
        <v>0464</v>
      </c>
      <c r="B465" s="168" t="str">
        <f>'030523 INVENTARIO'!T465</f>
        <v>82DJ0511010010000649543</v>
      </c>
      <c r="C465" s="167" t="str">
        <f t="shared" si="0"/>
        <v>649543</v>
      </c>
      <c r="D465" s="167" t="str">
        <f>IF(VLOOKUP(C465,'Patrimonio 2023'!$C$2:$C$1128,1,FALSE) = C465, "Encontrado", "no")</f>
        <v>Encontrado</v>
      </c>
      <c r="E465" s="167" t="str">
        <f>VLOOKUP($A465,'030523 INVENTARIO'!$A$2:$Y$1148,5,FALSE)</f>
        <v>MESA</v>
      </c>
      <c r="F465" s="167" t="str">
        <f>VLOOKUP($A465,'030523 INVENTARIO'!$A$2:$Y$1148,6,FALSE)</f>
        <v>MESA DE MADERA CON RUEDAS 60X40</v>
      </c>
      <c r="G465" s="167" t="str">
        <f ca="1">VLOOKUP($A465,'030523 INVENTARIO'!$A$2:$Y$1148,8,FALSE)</f>
        <v>P12CT-0464</v>
      </c>
      <c r="H465" s="168" t="str">
        <f>VLOOKUP($A465,'030523 INVENTARIO'!$A$2:$Y$1148,17,FALSE)</f>
        <v>S/M</v>
      </c>
      <c r="I465" s="167" t="str">
        <f>VLOOKUP($A465,'030523 INVENTARIO'!$A$2:$Y$1148,18,FALSE)</f>
        <v>S/M</v>
      </c>
      <c r="J465" s="168" t="str">
        <f>VLOOKUP($A465,'030523 INVENTARIO'!$A$2:$Y$1148,19,FALSE)</f>
        <v>SIN SERIE</v>
      </c>
      <c r="K465" s="168" t="str">
        <f>VLOOKUP($A465,'030523 INVENTARIO'!$A$2:$Y$1148,20,FALSE)</f>
        <v>82DJ0511010010000649543</v>
      </c>
      <c r="L465" s="167" t="str">
        <f>VLOOKUP($A465,'030523 INVENTARIO'!$A$2:$Y$1148,23,FALSE)</f>
        <v>ELEAZAR LOPEZ LOPEZ</v>
      </c>
    </row>
    <row r="466" spans="1:12" ht="12.75" hidden="1">
      <c r="A466" s="167" t="str">
        <f>'030523 INVENTARIO'!A466</f>
        <v>0465</v>
      </c>
      <c r="B466" s="168" t="str">
        <f>'030523 INVENTARIO'!T466</f>
        <v>82DJ0511010016000515608</v>
      </c>
      <c r="C466" s="167" t="str">
        <f t="shared" si="0"/>
        <v>515608</v>
      </c>
      <c r="D466" s="167" t="str">
        <f>IF(VLOOKUP(C466,'Patrimonio 2023'!$C$2:$C$1128,1,FALSE) = C466, "Encontrado", "no")</f>
        <v>Encontrado</v>
      </c>
      <c r="E466" s="167" t="str">
        <f>VLOOKUP($A466,'030523 INVENTARIO'!$A$2:$Y$1148,5,FALSE)</f>
        <v>SILLON</v>
      </c>
      <c r="F466" s="167" t="str">
        <f>VLOOKUP($A466,'030523 INVENTARIO'!$A$2:$Y$1148,6,FALSE)</f>
        <v>SILLON NEGRO DE PIEL</v>
      </c>
      <c r="G466" s="167" t="str">
        <f ca="1">VLOOKUP($A466,'030523 INVENTARIO'!$A$2:$Y$1148,8,FALSE)</f>
        <v>P12CT-0465</v>
      </c>
      <c r="H466" s="168" t="str">
        <f>VLOOKUP($A466,'030523 INVENTARIO'!$A$2:$Y$1148,17,FALSE)</f>
        <v>S/M</v>
      </c>
      <c r="I466" s="167" t="str">
        <f>VLOOKUP($A466,'030523 INVENTARIO'!$A$2:$Y$1148,18,FALSE)</f>
        <v>S/M</v>
      </c>
      <c r="J466" s="168" t="str">
        <f>VLOOKUP($A466,'030523 INVENTARIO'!$A$2:$Y$1148,19,FALSE)</f>
        <v>SIN SERIE</v>
      </c>
      <c r="K466" s="168" t="str">
        <f>VLOOKUP($A466,'030523 INVENTARIO'!$A$2:$Y$1148,20,FALSE)</f>
        <v>82DJ0511010016000515608</v>
      </c>
      <c r="L466" s="167" t="str">
        <f>VLOOKUP($A466,'030523 INVENTARIO'!$A$2:$Y$1148,23,FALSE)</f>
        <v>ELEAZAR LOPEZ LOPEZ</v>
      </c>
    </row>
    <row r="467" spans="1:12" ht="12.75" hidden="1">
      <c r="A467" s="167" t="str">
        <f>'030523 INVENTARIO'!A467</f>
        <v>0466</v>
      </c>
      <c r="B467" s="168" t="str">
        <f>'030523 INVENTARIO'!T467</f>
        <v>82DJ0511010016000515609</v>
      </c>
      <c r="C467" s="167" t="str">
        <f t="shared" si="0"/>
        <v>515609</v>
      </c>
      <c r="D467" s="167" t="str">
        <f>IF(VLOOKUP(C467,'Patrimonio 2023'!$C$2:$C$1128,1,FALSE) = C467, "Encontrado", "no")</f>
        <v>Encontrado</v>
      </c>
      <c r="E467" s="167" t="str">
        <f>VLOOKUP($A467,'030523 INVENTARIO'!$A$2:$Y$1148,5,FALSE)</f>
        <v>SILLON</v>
      </c>
      <c r="F467" s="167" t="str">
        <f>VLOOKUP($A467,'030523 INVENTARIO'!$A$2:$Y$1148,6,FALSE)</f>
        <v>SILLON NEGRO DE PIEL</v>
      </c>
      <c r="G467" s="167" t="str">
        <f ca="1">VLOOKUP($A467,'030523 INVENTARIO'!$A$2:$Y$1148,8,FALSE)</f>
        <v>P12CT-0466</v>
      </c>
      <c r="H467" s="168" t="str">
        <f>VLOOKUP($A467,'030523 INVENTARIO'!$A$2:$Y$1148,17,FALSE)</f>
        <v>S/M</v>
      </c>
      <c r="I467" s="167" t="str">
        <f>VLOOKUP($A467,'030523 INVENTARIO'!$A$2:$Y$1148,18,FALSE)</f>
        <v>S/M</v>
      </c>
      <c r="J467" s="168" t="str">
        <f>VLOOKUP($A467,'030523 INVENTARIO'!$A$2:$Y$1148,19,FALSE)</f>
        <v>SIN SERIE</v>
      </c>
      <c r="K467" s="168" t="str">
        <f>VLOOKUP($A467,'030523 INVENTARIO'!$A$2:$Y$1148,20,FALSE)</f>
        <v>82DJ0511010016000515609</v>
      </c>
      <c r="L467" s="167" t="str">
        <f>VLOOKUP($A467,'030523 INVENTARIO'!$A$2:$Y$1148,23,FALSE)</f>
        <v>ELEAZAR LOPEZ LOPEZ</v>
      </c>
    </row>
    <row r="468" spans="1:12" ht="12.75" hidden="1">
      <c r="A468" s="167" t="str">
        <f>'030523 INVENTARIO'!A468</f>
        <v>0467</v>
      </c>
      <c r="B468" s="168" t="str">
        <f>'030523 INVENTARIO'!T468</f>
        <v>82DJ0512010018000565672</v>
      </c>
      <c r="C468" s="167" t="str">
        <f t="shared" si="0"/>
        <v>565672</v>
      </c>
      <c r="D468" s="167" t="str">
        <f>IF(VLOOKUP(C468,'Patrimonio 2023'!$C$2:$C$1128,1,FALSE) = C468, "Encontrado", "no")</f>
        <v>Encontrado</v>
      </c>
      <c r="E468" s="167" t="str">
        <f>VLOOKUP($A468,'030523 INVENTARIO'!$A$2:$Y$1148,5,FALSE)</f>
        <v>PERCHERO</v>
      </c>
      <c r="F468" s="167" t="str">
        <f>VLOOKUP($A468,'030523 INVENTARIO'!$A$2:$Y$1148,6,FALSE)</f>
        <v>PERCHERO DE MADERA CAFÉ</v>
      </c>
      <c r="G468" s="167" t="str">
        <f ca="1">VLOOKUP($A468,'030523 INVENTARIO'!$A$2:$Y$1148,8,FALSE)</f>
        <v>P12CT-0467</v>
      </c>
      <c r="H468" s="168" t="str">
        <f>VLOOKUP($A468,'030523 INVENTARIO'!$A$2:$Y$1148,17,FALSE)</f>
        <v>S/M</v>
      </c>
      <c r="I468" s="167" t="str">
        <f>VLOOKUP($A468,'030523 INVENTARIO'!$A$2:$Y$1148,18,FALSE)</f>
        <v>S/M</v>
      </c>
      <c r="J468" s="168" t="str">
        <f>VLOOKUP($A468,'030523 INVENTARIO'!$A$2:$Y$1148,19,FALSE)</f>
        <v>SIN SERIE</v>
      </c>
      <c r="K468" s="168" t="str">
        <f>VLOOKUP($A468,'030523 INVENTARIO'!$A$2:$Y$1148,20,FALSE)</f>
        <v>82DJ0512010018000565672</v>
      </c>
      <c r="L468" s="167" t="str">
        <f>VLOOKUP($A468,'030523 INVENTARIO'!$A$2:$Y$1148,23,FALSE)</f>
        <v>ELEAZAR LOPEZ LOPEZ</v>
      </c>
    </row>
    <row r="469" spans="1:12" ht="12.75" hidden="1">
      <c r="A469" s="167" t="str">
        <f>'030523 INVENTARIO'!A469</f>
        <v>0468</v>
      </c>
      <c r="B469" s="168" t="str">
        <f>'030523 INVENTARIO'!T469</f>
        <v>82DK0511010009000518520</v>
      </c>
      <c r="C469" s="167" t="str">
        <f t="shared" si="0"/>
        <v>518520</v>
      </c>
      <c r="D469" s="167" t="str">
        <f>IF(VLOOKUP(C469,'Patrimonio 2023'!$C$2:$C$1128,1,FALSE) = C469, "Encontrado", "no")</f>
        <v>Encontrado</v>
      </c>
      <c r="E469" s="167" t="str">
        <f>VLOOKUP($A469,'030523 INVENTARIO'!$A$2:$Y$1148,5,FALSE)</f>
        <v>ESTANTE O ANAQUEL</v>
      </c>
      <c r="F469" s="167" t="str">
        <f>VLOOKUP($A469,'030523 INVENTARIO'!$A$2:$Y$1148,6,FALSE)</f>
        <v>ANAQUEL DE MADERA CON 2 PUERTAS 164X80X43</v>
      </c>
      <c r="G469" s="167" t="str">
        <f ca="1">VLOOKUP($A469,'030523 INVENTARIO'!$A$2:$Y$1148,8,FALSE)</f>
        <v>P12CT-0468</v>
      </c>
      <c r="H469" s="168" t="str">
        <f>VLOOKUP($A469,'030523 INVENTARIO'!$A$2:$Y$1148,17,FALSE)</f>
        <v>S/M</v>
      </c>
      <c r="I469" s="167" t="str">
        <f>VLOOKUP($A469,'030523 INVENTARIO'!$A$2:$Y$1148,18,FALSE)</f>
        <v>S/M</v>
      </c>
      <c r="J469" s="168" t="str">
        <f>VLOOKUP($A469,'030523 INVENTARIO'!$A$2:$Y$1148,19,FALSE)</f>
        <v>SIN SERIE</v>
      </c>
      <c r="K469" s="168" t="str">
        <f>VLOOKUP($A469,'030523 INVENTARIO'!$A$2:$Y$1148,20,FALSE)</f>
        <v>82DK0511010009000518520</v>
      </c>
      <c r="L469" s="167" t="str">
        <f>VLOOKUP($A469,'030523 INVENTARIO'!$A$2:$Y$1148,23,FALSE)</f>
        <v>ELEAZAR LOPEZ LOPEZ</v>
      </c>
    </row>
    <row r="470" spans="1:12" ht="12.75" hidden="1">
      <c r="A470" s="167" t="str">
        <f>'030523 INVENTARIO'!A470</f>
        <v>0469</v>
      </c>
      <c r="B470" s="168" t="str">
        <f>'030523 INVENTARIO'!T470</f>
        <v>82DJ0531010065000564860</v>
      </c>
      <c r="C470" s="167" t="str">
        <f t="shared" si="0"/>
        <v>564860</v>
      </c>
      <c r="D470" s="167" t="str">
        <f>IF(VLOOKUP(C470,'Patrimonio 2023'!$C$2:$C$1128,1,FALSE) = C470, "Encontrado", "no")</f>
        <v>Encontrado</v>
      </c>
      <c r="E470" s="167" t="str">
        <f>VLOOKUP($A470,'030523 INVENTARIO'!$A$2:$Y$1148,5,FALSE)</f>
        <v>MESA</v>
      </c>
      <c r="F470" s="168" t="str">
        <f>VLOOKUP($A470,'030523 INVENTARIO'!$A$2:$Y$1148,6,FALSE)</f>
        <v>MESA COMPLEMENTO DE MADERA</v>
      </c>
      <c r="G470" s="167" t="str">
        <f ca="1">VLOOKUP($A470,'030523 INVENTARIO'!$A$2:$Y$1148,8,FALSE)</f>
        <v>P12CT-0469</v>
      </c>
      <c r="H470" s="168" t="str">
        <f>VLOOKUP($A470,'030523 INVENTARIO'!$A$2:$Y$1148,17,FALSE)</f>
        <v>S/M</v>
      </c>
      <c r="I470" s="167" t="str">
        <f>VLOOKUP($A470,'030523 INVENTARIO'!$A$2:$Y$1148,18,FALSE)</f>
        <v>S/M</v>
      </c>
      <c r="J470" s="168" t="str">
        <f>VLOOKUP($A470,'030523 INVENTARIO'!$A$2:$Y$1148,19,FALSE)</f>
        <v>SIN SERIE</v>
      </c>
      <c r="K470" s="168" t="str">
        <f>VLOOKUP($A470,'030523 INVENTARIO'!$A$2:$Y$1148,20,FALSE)</f>
        <v>82DJ0531010065000564860</v>
      </c>
      <c r="L470" s="167" t="str">
        <f>VLOOKUP($A470,'030523 INVENTARIO'!$A$2:$Y$1148,23,FALSE)</f>
        <v>ELEAZAR LOPEZ LOPEZ</v>
      </c>
    </row>
    <row r="471" spans="1:12" ht="12.75" hidden="1">
      <c r="A471" s="167" t="str">
        <f>'030523 INVENTARIO'!A471</f>
        <v>0470</v>
      </c>
      <c r="B471" s="168" t="str">
        <f>'030523 INVENTARIO'!T471</f>
        <v>82DJ0511010006000583457</v>
      </c>
      <c r="C471" s="167" t="str">
        <f t="shared" si="0"/>
        <v>583457</v>
      </c>
      <c r="D471" s="167" t="str">
        <f>IF(VLOOKUP(C471,'Patrimonio 2023'!$C$2:$C$1128,1,FALSE) = C471, "Encontrado", "no")</f>
        <v>Encontrado</v>
      </c>
      <c r="E471" s="167" t="str">
        <f>VLOOKUP($A471,'030523 INVENTARIO'!$A$2:$Y$1148,5,FALSE)</f>
        <v>ESCRITORIO</v>
      </c>
      <c r="F471" s="167" t="str">
        <f>VLOOKUP($A471,'030523 INVENTARIO'!$A$2:$Y$1148,6,FALSE)</f>
        <v>ESCRITORIO DE MADERA DE 3 PIEZAS</v>
      </c>
      <c r="G471" s="167" t="str">
        <f ca="1">VLOOKUP($A471,'030523 INVENTARIO'!$A$2:$Y$1148,8,FALSE)</f>
        <v>P12CT-0470</v>
      </c>
      <c r="H471" s="168" t="str">
        <f>VLOOKUP($A471,'030523 INVENTARIO'!$A$2:$Y$1148,17,FALSE)</f>
        <v>S/M</v>
      </c>
      <c r="I471" s="167" t="str">
        <f>VLOOKUP($A471,'030523 INVENTARIO'!$A$2:$Y$1148,18,FALSE)</f>
        <v>S/M</v>
      </c>
      <c r="J471" s="168" t="str">
        <f>VLOOKUP($A471,'030523 INVENTARIO'!$A$2:$Y$1148,19,FALSE)</f>
        <v>SIN SERIE</v>
      </c>
      <c r="K471" s="168" t="str">
        <f>VLOOKUP($A471,'030523 INVENTARIO'!$A$2:$Y$1148,20,FALSE)</f>
        <v>82DJ0511010006000583457</v>
      </c>
      <c r="L471" s="167" t="str">
        <f>VLOOKUP($A471,'030523 INVENTARIO'!$A$2:$Y$1148,23,FALSE)</f>
        <v>ELEAZAR LOPEZ LOPEZ</v>
      </c>
    </row>
    <row r="472" spans="1:12" ht="12.75" hidden="1">
      <c r="A472" s="167" t="str">
        <f>'030523 INVENTARIO'!A472</f>
        <v>0471</v>
      </c>
      <c r="B472" s="168" t="str">
        <f>'030523 INVENTARIO'!T472</f>
        <v>82DJ0515010013000649547</v>
      </c>
      <c r="C472" s="167" t="str">
        <f t="shared" si="0"/>
        <v>649547</v>
      </c>
      <c r="D472" s="167" t="str">
        <f>IF(VLOOKUP(C472,'Patrimonio 2023'!$C$2:$C$1128,1,FALSE) = C472, "Encontrado", "no")</f>
        <v>Encontrado</v>
      </c>
      <c r="E472" s="167" t="str">
        <f>VLOOKUP($A472,'030523 INVENTARIO'!$A$2:$Y$1148,5,FALSE)</f>
        <v>MONITOR</v>
      </c>
      <c r="F472" s="167" t="str">
        <f>VLOOKUP($A472,'030523 INVENTARIO'!$A$2:$Y$1148,6,FALSE)</f>
        <v>MONITOR 18.5"</v>
      </c>
      <c r="G472" s="167" t="str">
        <f ca="1">VLOOKUP($A472,'030523 INVENTARIO'!$A$2:$Y$1148,8,FALSE)</f>
        <v>P12CT-0471</v>
      </c>
      <c r="H472" s="168" t="str">
        <f>VLOOKUP($A472,'030523 INVENTARIO'!$A$2:$Y$1148,17,FALSE)</f>
        <v>ACER</v>
      </c>
      <c r="I472" s="167" t="str">
        <f>VLOOKUP($A472,'030523 INVENTARIO'!$A$2:$Y$1148,18,FALSE)</f>
        <v>P186HV</v>
      </c>
      <c r="J472" s="168" t="str">
        <f>VLOOKUP($A472,'030523 INVENTARIO'!$A$2:$Y$1148,19,FALSE)</f>
        <v>20802286443</v>
      </c>
      <c r="K472" s="168" t="str">
        <f>VLOOKUP($A472,'030523 INVENTARIO'!$A$2:$Y$1148,20,FALSE)</f>
        <v>82DJ0515010013000649547</v>
      </c>
      <c r="L472" s="167" t="str">
        <f>VLOOKUP($A472,'030523 INVENTARIO'!$A$2:$Y$1148,23,FALSE)</f>
        <v>ELEAZAR LOPEZ LOPEZ</v>
      </c>
    </row>
    <row r="473" spans="1:12" ht="12.75" hidden="1">
      <c r="A473" s="167" t="str">
        <f>'030523 INVENTARIO'!A473</f>
        <v>0472</v>
      </c>
      <c r="B473" s="167" t="str">
        <f>'030523 INVENTARIO'!T473</f>
        <v>82DK0515010013000650657</v>
      </c>
      <c r="C473" s="167" t="str">
        <f t="shared" si="0"/>
        <v>650657</v>
      </c>
      <c r="D473" s="167" t="str">
        <f>IF(VLOOKUP(C473,'Patrimonio 2023'!$C$2:$C$1128,1,FALSE) = C473, "Encontrado", "no")</f>
        <v>Encontrado</v>
      </c>
      <c r="E473" s="167" t="str">
        <f>VLOOKUP($A473,'030523 INVENTARIO'!$A$2:$Y$1148,5,FALSE)</f>
        <v>MONITOR</v>
      </c>
      <c r="F473" s="167" t="str">
        <f>VLOOKUP($A473,'030523 INVENTARIO'!$A$2:$Y$1148,6,FALSE)</f>
        <v>MONITOR 19"</v>
      </c>
      <c r="G473" s="167" t="str">
        <f ca="1">VLOOKUP($A473,'030523 INVENTARIO'!$A$2:$Y$1148,8,FALSE)</f>
        <v>P12CT-0472</v>
      </c>
      <c r="H473" s="168" t="str">
        <f>VLOOKUP($A473,'030523 INVENTARIO'!$A$2:$Y$1148,17,FALSE)</f>
        <v>GHIA</v>
      </c>
      <c r="I473" s="167" t="str">
        <f>VLOOKUP($A473,'030523 INVENTARIO'!$A$2:$Y$1148,18,FALSE)</f>
        <v>MG2017</v>
      </c>
      <c r="J473" s="168" t="str">
        <f>VLOOKUP($A473,'030523 INVENTARIO'!$A$2:$Y$1148,19,FALSE)</f>
        <v>CMG2017180136801849</v>
      </c>
      <c r="K473" s="167" t="str">
        <f>VLOOKUP($A473,'030523 INVENTARIO'!$A$2:$Y$1148,20,FALSE)</f>
        <v>82DK0515010013000650657</v>
      </c>
      <c r="L473" s="167" t="str">
        <f>VLOOKUP($A473,'030523 INVENTARIO'!$A$2:$Y$1148,23,FALSE)</f>
        <v>ELEAZAR LOPEZ LOPEZ</v>
      </c>
    </row>
    <row r="474" spans="1:12" ht="12.75" hidden="1">
      <c r="A474" s="167" t="str">
        <f>'030523 INVENTARIO'!A474</f>
        <v>0473</v>
      </c>
      <c r="B474" s="168" t="str">
        <f>'030523 INVENTARIO'!T474</f>
        <v>82DJ0565010001000539086</v>
      </c>
      <c r="C474" s="167" t="str">
        <f t="shared" si="0"/>
        <v>539086</v>
      </c>
      <c r="D474" s="167" t="str">
        <f>IF(VLOOKUP(C474,'Patrimonio 2023'!$C$2:$C$1128,1,FALSE) = C474, "Encontrado", "no")</f>
        <v>Encontrado</v>
      </c>
      <c r="E474" s="167" t="str">
        <f>VLOOKUP($A474,'030523 INVENTARIO'!$A$2:$Y$1148,5,FALSE)</f>
        <v>TELEFONO</v>
      </c>
      <c r="F474" s="167" t="str">
        <f>VLOOKUP($A474,'030523 INVENTARIO'!$A$2:$Y$1148,6,FALSE)</f>
        <v>TELEFONO GRIS</v>
      </c>
      <c r="G474" s="167" t="str">
        <f ca="1">VLOOKUP($A474,'030523 INVENTARIO'!$A$2:$Y$1148,8,FALSE)</f>
        <v>P12CT-0473</v>
      </c>
      <c r="H474" s="168" t="str">
        <f>VLOOKUP($A474,'030523 INVENTARIO'!$A$2:$Y$1148,17,FALSE)</f>
        <v>LINKSYS</v>
      </c>
      <c r="I474" s="167" t="str">
        <f>VLOOKUP($A474,'030523 INVENTARIO'!$A$2:$Y$1148,18,FALSE)</f>
        <v>SPA942</v>
      </c>
      <c r="J474" s="168" t="str">
        <f>VLOOKUP($A474,'030523 INVENTARIO'!$A$2:$Y$1148,19,FALSE)</f>
        <v>4LO00H118466</v>
      </c>
      <c r="K474" s="168" t="str">
        <f>VLOOKUP($A474,'030523 INVENTARIO'!$A$2:$Y$1148,20,FALSE)</f>
        <v>82DJ0565010001000539086</v>
      </c>
      <c r="L474" s="167" t="str">
        <f>VLOOKUP($A474,'030523 INVENTARIO'!$A$2:$Y$1148,23,FALSE)</f>
        <v>ELEAZAR LOPEZ LOPEZ</v>
      </c>
    </row>
    <row r="475" spans="1:12" ht="12.75" hidden="1">
      <c r="A475" s="167" t="str">
        <f>'030523 INVENTARIO'!A475</f>
        <v>0474</v>
      </c>
      <c r="B475" s="167" t="str">
        <f>'030523 INVENTARIO'!T475</f>
        <v>82DK0515010001000650667</v>
      </c>
      <c r="C475" s="167" t="str">
        <f t="shared" si="0"/>
        <v>650667</v>
      </c>
      <c r="D475" s="167" t="str">
        <f>IF(VLOOKUP(C475,'Patrimonio 2023'!$C$2:$C$1128,1,FALSE) = C475, "Encontrado", "no")</f>
        <v>Encontrado</v>
      </c>
      <c r="E475" s="167" t="str">
        <f>VLOOKUP($A475,'030523 INVENTARIO'!$A$2:$Y$1148,5,FALSE)</f>
        <v>COMPUTADORA DE ESCRITORIO</v>
      </c>
      <c r="F475" s="167" t="str">
        <f>VLOOKUP($A475,'030523 INVENTARIO'!$A$2:$Y$1148,6,FALSE)</f>
        <v>COMPUTADORA DE ESCRITORIO</v>
      </c>
      <c r="G475" s="167" t="str">
        <f ca="1">VLOOKUP($A475,'030523 INVENTARIO'!$A$2:$Y$1148,8,FALSE)</f>
        <v>P12CT-0474</v>
      </c>
      <c r="H475" s="168" t="str">
        <f>VLOOKUP($A475,'030523 INVENTARIO'!$A$2:$Y$1148,17,FALSE)</f>
        <v>GHIA</v>
      </c>
      <c r="I475" s="167">
        <f>VLOOKUP($A475,'030523 INVENTARIO'!$A$2:$Y$1148,18,FALSE)</f>
        <v>2378</v>
      </c>
      <c r="J475" s="168" t="str">
        <f>VLOOKUP($A475,'030523 INVENTARIO'!$A$2:$Y$1148,19,FALSE)</f>
        <v>337847</v>
      </c>
      <c r="K475" s="167" t="str">
        <f>VLOOKUP($A475,'030523 INVENTARIO'!$A$2:$Y$1148,20,FALSE)</f>
        <v>82DK0515010001000650667</v>
      </c>
      <c r="L475" s="167" t="str">
        <f>VLOOKUP($A475,'030523 INVENTARIO'!$A$2:$Y$1148,23,FALSE)</f>
        <v>ELEAZAR LOPEZ LOPEZ</v>
      </c>
    </row>
    <row r="476" spans="1:12" ht="12.75" hidden="1">
      <c r="A476" s="167" t="str">
        <f>'030523 INVENTARIO'!A476</f>
        <v>0475</v>
      </c>
      <c r="B476" s="168" t="str">
        <f>'030523 INVENTARIO'!T476</f>
        <v>82DJ0515010020000650901</v>
      </c>
      <c r="C476" s="167" t="str">
        <f t="shared" si="0"/>
        <v>650901</v>
      </c>
      <c r="D476" s="167" t="str">
        <f>IF(VLOOKUP(C476,'Patrimonio 2023'!$C$2:$C$1128,1,FALSE) = C476, "Encontrado", "no")</f>
        <v>Encontrado</v>
      </c>
      <c r="E476" s="167" t="str">
        <f>VLOOKUP($A476,'030523 INVENTARIO'!$A$2:$Y$1148,5,FALSE)</f>
        <v>REGULADOR DE VOLTAJE</v>
      </c>
      <c r="F476" s="168" t="str">
        <f>VLOOKUP($A476,'030523 INVENTARIO'!$A$2:$Y$1148,6,FALSE)</f>
        <v>REGULADOR</v>
      </c>
      <c r="G476" s="167" t="str">
        <f ca="1">VLOOKUP($A476,'030523 INVENTARIO'!$A$2:$Y$1148,8,FALSE)</f>
        <v>P12CT-0475</v>
      </c>
      <c r="H476" s="168" t="str">
        <f>VLOOKUP($A476,'030523 INVENTARIO'!$A$2:$Y$1148,17,FALSE)</f>
        <v>KOBLENZ</v>
      </c>
      <c r="I476" s="167" t="str">
        <f>VLOOKUP($A476,'030523 INVENTARIO'!$A$2:$Y$1148,18,FALSE)</f>
        <v>RS/1400I</v>
      </c>
      <c r="J476" s="168" t="str">
        <f>VLOOKUP($A476,'030523 INVENTARIO'!$A$2:$Y$1148,19,FALSE)</f>
        <v>SIN SERIE</v>
      </c>
      <c r="K476" s="168" t="str">
        <f>VLOOKUP($A476,'030523 INVENTARIO'!$A$2:$Y$1148,20,FALSE)</f>
        <v>82DJ0515010020000650901</v>
      </c>
      <c r="L476" s="167" t="str">
        <f>VLOOKUP($A476,'030523 INVENTARIO'!$A$2:$Y$1148,23,FALSE)</f>
        <v>ELEAZAR LOPEZ LOPEZ</v>
      </c>
    </row>
    <row r="477" spans="1:12" ht="12.75" hidden="1">
      <c r="A477" s="167" t="str">
        <f>'030523 INVENTARIO'!A477</f>
        <v>0476</v>
      </c>
      <c r="B477" s="168" t="str">
        <f>'030523 INVENTARIO'!T477</f>
        <v>82DJ0515010016000649432</v>
      </c>
      <c r="C477" s="167" t="str">
        <f t="shared" si="0"/>
        <v>649432</v>
      </c>
      <c r="D477" s="167" t="str">
        <f>IF(VLOOKUP(C477,'Patrimonio 2023'!$C$2:$C$1128,1,FALSE) = C477, "Encontrado", "no")</f>
        <v>Encontrado</v>
      </c>
      <c r="E477" s="167" t="str">
        <f>VLOOKUP($A477,'030523 INVENTARIO'!$A$2:$Y$1148,5,FALSE)</f>
        <v>NO BREAK</v>
      </c>
      <c r="F477" s="168" t="str">
        <f>VLOOKUP($A477,'030523 INVENTARIO'!$A$2:$Y$1148,6,FALSE)</f>
        <v>NO BREAK</v>
      </c>
      <c r="G477" s="167" t="str">
        <f ca="1">VLOOKUP($A477,'030523 INVENTARIO'!$A$2:$Y$1148,8,FALSE)</f>
        <v>P12CT-0476</v>
      </c>
      <c r="H477" s="168" t="str">
        <f>VLOOKUP($A477,'030523 INVENTARIO'!$A$2:$Y$1148,17,FALSE)</f>
        <v>FORZA</v>
      </c>
      <c r="I477" s="167" t="str">
        <f>VLOOKUP($A477,'030523 INVENTARIO'!$A$2:$Y$1148,18,FALSE)</f>
        <v>NT751</v>
      </c>
      <c r="J477" s="168" t="str">
        <f>VLOOKUP($A477,'030523 INVENTARIO'!$A$2:$Y$1148,19,FALSE)</f>
        <v>190222505753</v>
      </c>
      <c r="K477" s="168" t="str">
        <f>VLOOKUP($A477,'030523 INVENTARIO'!$A$2:$Y$1148,20,FALSE)</f>
        <v>82DJ0515010016000649432</v>
      </c>
      <c r="L477" s="167" t="str">
        <f>VLOOKUP($A477,'030523 INVENTARIO'!$A$2:$Y$1148,23,FALSE)</f>
        <v>ELEAZAR LOPEZ LOPEZ</v>
      </c>
    </row>
    <row r="478" spans="1:12" ht="12.75" hidden="1">
      <c r="A478" s="167" t="str">
        <f>'030523 INVENTARIO'!A478</f>
        <v>0477</v>
      </c>
      <c r="B478" s="168" t="str">
        <f>'030523 INVENTARIO'!T478</f>
        <v>82DJ0511010029000649548</v>
      </c>
      <c r="C478" s="167" t="str">
        <f t="shared" si="0"/>
        <v>649548</v>
      </c>
      <c r="D478" s="167" t="str">
        <f>IF(VLOOKUP(C478,'Patrimonio 2023'!$C$2:$C$1128,1,FALSE) = C478, "Encontrado", "no")</f>
        <v>Encontrado</v>
      </c>
      <c r="E478" s="167" t="str">
        <f>VLOOKUP($A478,'030523 INVENTARIO'!$A$2:$Y$1148,5,FALSE)</f>
        <v>COMPLEMENTARIO DE EQUIPO DE COMPUTO</v>
      </c>
      <c r="F478" s="167" t="str">
        <f>VLOOKUP($A478,'030523 INVENTARIO'!$A$2:$Y$1148,6,FALSE)</f>
        <v>COMPLEMENTARIO DE EQUIPO DE COMPUTO</v>
      </c>
      <c r="G478" s="167" t="str">
        <f ca="1">VLOOKUP($A478,'030523 INVENTARIO'!$A$2:$Y$1148,8,FALSE)</f>
        <v>P12CT-0477</v>
      </c>
      <c r="H478" s="168" t="str">
        <f>VLOOKUP($A478,'030523 INVENTARIO'!$A$2:$Y$1148,17,FALSE)</f>
        <v>S/M</v>
      </c>
      <c r="I478" s="167" t="str">
        <f>VLOOKUP($A478,'030523 INVENTARIO'!$A$2:$Y$1148,18,FALSE)</f>
        <v>S/M</v>
      </c>
      <c r="J478" s="168" t="str">
        <f>VLOOKUP($A478,'030523 INVENTARIO'!$A$2:$Y$1148,19,FALSE)</f>
        <v>SIN SERIE</v>
      </c>
      <c r="K478" s="168" t="str">
        <f>VLOOKUP($A478,'030523 INVENTARIO'!$A$2:$Y$1148,20,FALSE)</f>
        <v>82DJ0511010029000649548</v>
      </c>
      <c r="L478" s="167" t="str">
        <f>VLOOKUP($A478,'030523 INVENTARIO'!$A$2:$Y$1148,23,FALSE)</f>
        <v>ELEAZAR LOPEZ LOPEZ</v>
      </c>
    </row>
    <row r="479" spans="1:12" ht="12.75" hidden="1">
      <c r="A479" s="167" t="str">
        <f>'030523 INVENTARIO'!A479</f>
        <v>0478</v>
      </c>
      <c r="B479" s="167" t="str">
        <f>'030523 INVENTARIO'!T479</f>
        <v>82DI0515010016000649714</v>
      </c>
      <c r="C479" s="167" t="str">
        <f t="shared" si="0"/>
        <v>649714</v>
      </c>
      <c r="D479" s="167" t="str">
        <f>IF(VLOOKUP(C479,'Patrimonio 2023'!$C$2:$C$1128,1,FALSE) = C479, "Encontrado", "no")</f>
        <v>Encontrado</v>
      </c>
      <c r="E479" s="167" t="str">
        <f>VLOOKUP($A479,'030523 INVENTARIO'!$A$2:$Y$1148,5,FALSE)</f>
        <v>NO BREAK</v>
      </c>
      <c r="F479" s="168" t="str">
        <f>VLOOKUP($A479,'030523 INVENTARIO'!$A$2:$Y$1148,6,FALSE)</f>
        <v>NO BREAK</v>
      </c>
      <c r="G479" s="167" t="str">
        <f ca="1">VLOOKUP($A479,'030523 INVENTARIO'!$A$2:$Y$1148,8,FALSE)</f>
        <v>P12SI-0478</v>
      </c>
      <c r="H479" s="168" t="str">
        <f>VLOOKUP($A479,'030523 INVENTARIO'!$A$2:$Y$1148,17,FALSE)</f>
        <v>APC</v>
      </c>
      <c r="I479" s="167" t="str">
        <f>VLOOKUP($A479,'030523 INVENTARIO'!$A$2:$Y$1148,18,FALSE)</f>
        <v>BE350G-LM</v>
      </c>
      <c r="J479" s="168" t="str">
        <f>VLOOKUP($A479,'030523 INVENTARIO'!$A$2:$Y$1148,19,FALSE)</f>
        <v>4B1439P11194</v>
      </c>
      <c r="K479" s="167" t="str">
        <f>VLOOKUP($A479,'030523 INVENTARIO'!$A$2:$Y$1148,20,FALSE)</f>
        <v>82DI0515010016000649714</v>
      </c>
      <c r="L479" s="167" t="str">
        <f>VLOOKUP($A479,'030523 INVENTARIO'!$A$2:$Y$1148,23,FALSE)</f>
        <v>CHRISTIAN ZARCO MERCADO</v>
      </c>
    </row>
    <row r="480" spans="1:12" ht="12.75" hidden="1">
      <c r="A480" s="167" t="str">
        <f>'030523 INVENTARIO'!A480</f>
        <v>0479</v>
      </c>
      <c r="B480" s="167" t="str">
        <f>'030523 INVENTARIO'!T480</f>
        <v>82DJ0519010043000649372</v>
      </c>
      <c r="C480" s="167" t="str">
        <f t="shared" si="0"/>
        <v>649372</v>
      </c>
      <c r="D480" s="167" t="str">
        <f>IF(VLOOKUP(C480,'Patrimonio 2023'!$C$2:$C$1128,1,FALSE) = C480, "Encontrado", "no")</f>
        <v>Encontrado</v>
      </c>
      <c r="E480" s="167" t="str">
        <f>VLOOKUP($A480,'030523 INVENTARIO'!$A$2:$Y$1148,5,FALSE)</f>
        <v>VENTILADOR</v>
      </c>
      <c r="F480" s="168" t="str">
        <f>VLOOKUP($A480,'030523 INVENTARIO'!$A$2:$Y$1148,6,FALSE)</f>
        <v>VENTILADOR NEGRO DE TORRE</v>
      </c>
      <c r="G480" s="167" t="str">
        <f ca="1">VLOOKUP($A480,'030523 INVENTARIO'!$A$2:$Y$1148,8,FALSE)</f>
        <v>P12CT-0479</v>
      </c>
      <c r="H480" s="168" t="str">
        <f>VLOOKUP($A480,'030523 INVENTARIO'!$A$2:$Y$1148,17,FALSE)</f>
        <v>MYTEK</v>
      </c>
      <c r="I480" s="167">
        <f>VLOOKUP($A480,'030523 INVENTARIO'!$A$2:$Y$1148,18,FALSE)</f>
        <v>3352</v>
      </c>
      <c r="J480" s="168" t="str">
        <f>VLOOKUP($A480,'030523 INVENTARIO'!$A$2:$Y$1148,19,FALSE)</f>
        <v>SIN SERIE</v>
      </c>
      <c r="K480" s="167" t="str">
        <f>VLOOKUP($A480,'030523 INVENTARIO'!$A$2:$Y$1148,20,FALSE)</f>
        <v>82DJ0519010043000649372</v>
      </c>
      <c r="L480" s="167" t="str">
        <f>VLOOKUP($A480,'030523 INVENTARIO'!$A$2:$Y$1148,23,FALSE)</f>
        <v>LIZBETH JIMENEZ JERONIMO</v>
      </c>
    </row>
    <row r="481" spans="1:12" ht="12.75" hidden="1">
      <c r="A481" s="167" t="str">
        <f>'030523 INVENTARIO'!A481</f>
        <v>0480</v>
      </c>
      <c r="B481" s="167" t="str">
        <f>'030523 INVENTARIO'!T481</f>
        <v>82DJ0515010020000649540</v>
      </c>
      <c r="C481" s="167" t="str">
        <f t="shared" si="0"/>
        <v>649540</v>
      </c>
      <c r="D481" s="167" t="str">
        <f>IF(VLOOKUP(C481,'Patrimonio 2023'!$C$2:$C$1128,1,FALSE) = C481, "Encontrado", "no")</f>
        <v>Encontrado</v>
      </c>
      <c r="E481" s="167" t="str">
        <f>VLOOKUP($A481,'030523 INVENTARIO'!$A$2:$Y$1148,5,FALSE)</f>
        <v>NO BREAK</v>
      </c>
      <c r="F481" s="167" t="str">
        <f>VLOOKUP($A481,'030523 INVENTARIO'!$A$2:$Y$1148,6,FALSE)</f>
        <v>NO BREAK</v>
      </c>
      <c r="G481" s="167" t="str">
        <f ca="1">VLOOKUP($A481,'030523 INVENTARIO'!$A$2:$Y$1148,8,FALSE)</f>
        <v>P12CT-0480</v>
      </c>
      <c r="H481" s="168" t="str">
        <f>VLOOKUP($A481,'030523 INVENTARIO'!$A$2:$Y$1148,17,FALSE)</f>
        <v>CDP</v>
      </c>
      <c r="I481" s="167" t="str">
        <f>VLOOKUP($A481,'030523 INVENTARIO'!$A$2:$Y$1148,18,FALSE)</f>
        <v>BUPR706</v>
      </c>
      <c r="J481" s="168" t="str">
        <f>VLOOKUP($A481,'030523 INVENTARIO'!$A$2:$Y$1148,19,FALSE)</f>
        <v>5827700022</v>
      </c>
      <c r="K481" s="167" t="str">
        <f>VLOOKUP($A481,'030523 INVENTARIO'!$A$2:$Y$1148,20,FALSE)</f>
        <v>82DJ0515010020000649540</v>
      </c>
      <c r="L481" s="167" t="str">
        <f>VLOOKUP($A481,'030523 INVENTARIO'!$A$2:$Y$1148,23,FALSE)</f>
        <v>LIZBETH JIMENEZ JERONIMO</v>
      </c>
    </row>
    <row r="482" spans="1:12" ht="12.75" hidden="1">
      <c r="A482" s="167" t="str">
        <f>'030523 INVENTARIO'!A482</f>
        <v>0481</v>
      </c>
      <c r="B482" s="168" t="str">
        <f>'030523 INVENTARIO'!T482</f>
        <v>82DJ0511010027000649550</v>
      </c>
      <c r="C482" s="167" t="str">
        <f t="shared" si="0"/>
        <v>649550</v>
      </c>
      <c r="D482" s="167" t="str">
        <f>IF(VLOOKUP(C482,'Patrimonio 2023'!$C$2:$C$1128,1,FALSE) = C482, "Encontrado", "no")</f>
        <v>Encontrado</v>
      </c>
      <c r="E482" s="167" t="str">
        <f>VLOOKUP($A482,'030523 INVENTARIO'!$A$2:$Y$1148,5,FALSE)</f>
        <v>COMPLEMENTARIO DE EQUIPO DE COMPUTO</v>
      </c>
      <c r="F482" s="167" t="str">
        <f>VLOOKUP($A482,'030523 INVENTARIO'!$A$2:$Y$1148,6,FALSE)</f>
        <v>COMPLEMENTARIO DE EQUIPO DE COMPUTO</v>
      </c>
      <c r="G482" s="167" t="str">
        <f ca="1">VLOOKUP($A482,'030523 INVENTARIO'!$A$2:$Y$1148,8,FALSE)</f>
        <v>P12CT-0481</v>
      </c>
      <c r="H482" s="168" t="str">
        <f>VLOOKUP($A482,'030523 INVENTARIO'!$A$2:$Y$1148,17,FALSE)</f>
        <v>S/M</v>
      </c>
      <c r="I482" s="167" t="str">
        <f>VLOOKUP($A482,'030523 INVENTARIO'!$A$2:$Y$1148,18,FALSE)</f>
        <v>S/M</v>
      </c>
      <c r="J482" s="168" t="str">
        <f>VLOOKUP($A482,'030523 INVENTARIO'!$A$2:$Y$1148,19,FALSE)</f>
        <v>SIN SERIE</v>
      </c>
      <c r="K482" s="168" t="str">
        <f>VLOOKUP($A482,'030523 INVENTARIO'!$A$2:$Y$1148,20,FALSE)</f>
        <v>82DJ0511010027000649550</v>
      </c>
      <c r="L482" s="167" t="str">
        <f>VLOOKUP($A482,'030523 INVENTARIO'!$A$2:$Y$1148,23,FALSE)</f>
        <v>LIZBETH JIMENEZ JERONIMO</v>
      </c>
    </row>
    <row r="483" spans="1:12" ht="12.75" hidden="1">
      <c r="A483" s="167" t="str">
        <f>'030523 INVENTARIO'!A483</f>
        <v>0482</v>
      </c>
      <c r="B483" s="168" t="str">
        <f>'030523 INVENTARIO'!T483</f>
        <v>82DJ0511010006000649546</v>
      </c>
      <c r="C483" s="167" t="str">
        <f t="shared" si="0"/>
        <v>649546</v>
      </c>
      <c r="D483" s="167" t="str">
        <f>IF(VLOOKUP(C483,'Patrimonio 2023'!$C$2:$C$1128,1,FALSE) = C483, "Encontrado", "no")</f>
        <v>Encontrado</v>
      </c>
      <c r="E483" s="167" t="str">
        <f>VLOOKUP($A483,'030523 INVENTARIO'!$A$2:$Y$1148,5,FALSE)</f>
        <v>ESCRITORIO</v>
      </c>
      <c r="F483" s="167" t="str">
        <f>VLOOKUP($A483,'030523 INVENTARIO'!$A$2:$Y$1148,6,FALSE)</f>
        <v>ESCRITORIO DE MADERA</v>
      </c>
      <c r="G483" s="167" t="str">
        <f ca="1">VLOOKUP($A483,'030523 INVENTARIO'!$A$2:$Y$1148,8,FALSE)</f>
        <v>P12CT-0482</v>
      </c>
      <c r="H483" s="168" t="str">
        <f>VLOOKUP($A483,'030523 INVENTARIO'!$A$2:$Y$1148,17,FALSE)</f>
        <v>S/M</v>
      </c>
      <c r="I483" s="167" t="str">
        <f>VLOOKUP($A483,'030523 INVENTARIO'!$A$2:$Y$1148,18,FALSE)</f>
        <v>S/M</v>
      </c>
      <c r="J483" s="168" t="str">
        <f>VLOOKUP($A483,'030523 INVENTARIO'!$A$2:$Y$1148,19,FALSE)</f>
        <v>SIN SERIE</v>
      </c>
      <c r="K483" s="168" t="str">
        <f>VLOOKUP($A483,'030523 INVENTARIO'!$A$2:$Y$1148,20,FALSE)</f>
        <v>82DJ0511010006000649546</v>
      </c>
      <c r="L483" s="167" t="str">
        <f>VLOOKUP($A483,'030523 INVENTARIO'!$A$2:$Y$1148,23,FALSE)</f>
        <v>LIZBETH JIMENEZ JERONIMO</v>
      </c>
    </row>
    <row r="484" spans="1:12" ht="12.75" hidden="1">
      <c r="A484" s="167" t="str">
        <f>'030523 INVENTARIO'!A484</f>
        <v>0483</v>
      </c>
      <c r="B484" s="168" t="str">
        <f>'030523 INVENTARIO'!T484</f>
        <v>82DJ0511010029000649549</v>
      </c>
      <c r="C484" s="167" t="str">
        <f t="shared" si="0"/>
        <v>649549</v>
      </c>
      <c r="D484" s="167" t="str">
        <f>IF(VLOOKUP(C484,'Patrimonio 2023'!$C$2:$C$1128,1,FALSE) = C484, "Encontrado", "no")</f>
        <v>Encontrado</v>
      </c>
      <c r="E484" s="167" t="str">
        <f>VLOOKUP($A484,'030523 INVENTARIO'!$A$2:$Y$1148,5,FALSE)</f>
        <v>MESA</v>
      </c>
      <c r="F484" s="167" t="str">
        <f>VLOOKUP($A484,'030523 INVENTARIO'!$A$2:$Y$1148,6,FALSE)</f>
        <v>MESA COMPLEMENTO TIPO BALA 160X60 (SILLÓN NEGRO CON RUEDAS )</v>
      </c>
      <c r="G484" s="167" t="str">
        <f ca="1">VLOOKUP($A484,'030523 INVENTARIO'!$A$2:$Y$1148,8,FALSE)</f>
        <v>P12PP-0483</v>
      </c>
      <c r="H484" s="168" t="str">
        <f>VLOOKUP($A484,'030523 INVENTARIO'!$A$2:$Y$1148,17,FALSE)</f>
        <v>S/M</v>
      </c>
      <c r="I484" s="167" t="str">
        <f>VLOOKUP($A484,'030523 INVENTARIO'!$A$2:$Y$1148,18,FALSE)</f>
        <v>S/M</v>
      </c>
      <c r="J484" s="168" t="str">
        <f>VLOOKUP($A484,'030523 INVENTARIO'!$A$2:$Y$1148,19,FALSE)</f>
        <v>SIN SERIE</v>
      </c>
      <c r="K484" s="168" t="str">
        <f>VLOOKUP($A484,'030523 INVENTARIO'!$A$2:$Y$1148,20,FALSE)</f>
        <v>82DJ0511010029000649549</v>
      </c>
      <c r="L484" s="167" t="str">
        <f>VLOOKUP($A484,'030523 INVENTARIO'!$A$2:$Y$1148,23,FALSE)</f>
        <v>KENIA ITZEL GARCIA BEDOLLA</v>
      </c>
    </row>
    <row r="485" spans="1:12" ht="12.75" hidden="1">
      <c r="A485" s="167" t="str">
        <f>'030523 INVENTARIO'!A485</f>
        <v>0484</v>
      </c>
      <c r="B485" s="168" t="str">
        <f>'030523 INVENTARIO'!T485</f>
        <v>82DJ0512010014000649535</v>
      </c>
      <c r="C485" s="167" t="str">
        <f t="shared" si="0"/>
        <v>649535</v>
      </c>
      <c r="D485" s="167" t="str">
        <f>IF(VLOOKUP(C485,'Patrimonio 2023'!$C$2:$C$1128,1,FALSE) = C485, "Encontrado", "no")</f>
        <v>Encontrado</v>
      </c>
      <c r="E485" s="167" t="str">
        <f>VLOOKUP($A485,'030523 INVENTARIO'!$A$2:$Y$1148,5,FALSE)</f>
        <v>SILLON</v>
      </c>
      <c r="F485" s="167" t="str">
        <f>VLOOKUP($A485,'030523 INVENTARIO'!$A$2:$Y$1148,6,FALSE)</f>
        <v>SILLON NEGRO CON RUEDAS</v>
      </c>
      <c r="G485" s="167" t="str">
        <f ca="1">VLOOKUP($A485,'030523 INVENTARIO'!$A$2:$Y$1148,8,FALSE)</f>
        <v>P12CT-0484</v>
      </c>
      <c r="H485" s="168" t="str">
        <f>VLOOKUP($A485,'030523 INVENTARIO'!$A$2:$Y$1148,17,FALSE)</f>
        <v>S/M</v>
      </c>
      <c r="I485" s="167" t="str">
        <f>VLOOKUP($A485,'030523 INVENTARIO'!$A$2:$Y$1148,18,FALSE)</f>
        <v>S/M</v>
      </c>
      <c r="J485" s="168" t="str">
        <f>VLOOKUP($A485,'030523 INVENTARIO'!$A$2:$Y$1148,19,FALSE)</f>
        <v>SIN SERIE</v>
      </c>
      <c r="K485" s="168" t="str">
        <f>VLOOKUP($A485,'030523 INVENTARIO'!$A$2:$Y$1148,20,FALSE)</f>
        <v>82DJ0512010014000649535</v>
      </c>
      <c r="L485" s="167" t="str">
        <f>VLOOKUP($A485,'030523 INVENTARIO'!$A$2:$Y$1148,23,FALSE)</f>
        <v>LIZBETH JIMENEZ JERONIMO</v>
      </c>
    </row>
    <row r="486" spans="1:12" ht="12.75" hidden="1">
      <c r="A486" s="167" t="str">
        <f>'030523 INVENTARIO'!A486</f>
        <v>0485</v>
      </c>
      <c r="B486" s="168" t="str">
        <f>'030523 INVENTARIO'!T486</f>
        <v>82DH0511010009000518514</v>
      </c>
      <c r="C486" s="167" t="str">
        <f t="shared" si="0"/>
        <v>518514</v>
      </c>
      <c r="D486" s="167" t="str">
        <f>IF(VLOOKUP(C486,'Patrimonio 2023'!$C$2:$C$1128,1,FALSE) = C486, "Encontrado", "no")</f>
        <v>Encontrado</v>
      </c>
      <c r="E486" s="167" t="str">
        <f>VLOOKUP($A486,'030523 INVENTARIO'!$A$2:$Y$1148,5,FALSE)</f>
        <v>ESTANTE O ANAQUEL</v>
      </c>
      <c r="F486" s="167" t="str">
        <f>VLOOKUP($A486,'030523 INVENTARIO'!$A$2:$Y$1148,6,FALSE)</f>
        <v>ANAQUEL (locker) DE MADERA DE 2 PUERTAS 165X80X42</v>
      </c>
      <c r="G486" s="167" t="str">
        <f ca="1">VLOOKUP($A486,'030523 INVENTARIO'!$A$2:$Y$1148,8,FALSE)</f>
        <v>P13SO-0485</v>
      </c>
      <c r="H486" s="168" t="str">
        <f>VLOOKUP($A486,'030523 INVENTARIO'!$A$2:$Y$1148,17,FALSE)</f>
        <v>S/M</v>
      </c>
      <c r="I486" s="167" t="str">
        <f>VLOOKUP($A486,'030523 INVENTARIO'!$A$2:$Y$1148,18,FALSE)</f>
        <v>S/M</v>
      </c>
      <c r="J486" s="168" t="str">
        <f>VLOOKUP($A486,'030523 INVENTARIO'!$A$2:$Y$1148,19,FALSE)</f>
        <v>SIN SERIE</v>
      </c>
      <c r="K486" s="168" t="str">
        <f>VLOOKUP($A486,'030523 INVENTARIO'!$A$2:$Y$1148,20,FALSE)</f>
        <v>82DH0511010009000518514</v>
      </c>
      <c r="L486" s="167" t="str">
        <f>VLOOKUP($A486,'030523 INVENTARIO'!$A$2:$Y$1148,23,FALSE)</f>
        <v>FLORENCIA PEREZ NEGRON HUERTA</v>
      </c>
    </row>
    <row r="487" spans="1:12" ht="12.75" hidden="1">
      <c r="A487" s="167" t="str">
        <f>'030523 INVENTARIO'!A487</f>
        <v>0486</v>
      </c>
      <c r="B487" s="167" t="str">
        <f>'030523 INVENTARIO'!T487</f>
        <v>82DH0515010016000539084</v>
      </c>
      <c r="C487" s="167" t="str">
        <f t="shared" si="0"/>
        <v>539084</v>
      </c>
      <c r="D487" s="167" t="str">
        <f>IF(VLOOKUP(C487,'Patrimonio 2023'!$C$2:$C$1128,1,FALSE) = C487, "Encontrado", "no")</f>
        <v>Encontrado</v>
      </c>
      <c r="E487" s="167" t="str">
        <f>VLOOKUP($A487,'030523 INVENTARIO'!$A$2:$Y$1148,5,FALSE)</f>
        <v>NO BREAK</v>
      </c>
      <c r="F487" s="167" t="str">
        <f>VLOOKUP($A487,'030523 INVENTARIO'!$A$2:$Y$1148,6,FALSE)</f>
        <v>NO BREAK NEGRO</v>
      </c>
      <c r="G487" s="167" t="str">
        <f ca="1">VLOOKUP($A487,'030523 INVENTARIO'!$A$2:$Y$1148,8,FALSE)</f>
        <v>P13SO-0486</v>
      </c>
      <c r="H487" s="168" t="str">
        <f>VLOOKUP($A487,'030523 INVENTARIO'!$A$2:$Y$1148,17,FALSE)</f>
        <v>TRIPP LITE</v>
      </c>
      <c r="I487" s="167" t="str">
        <f>VLOOKUP($A487,'030523 INVENTARIO'!$A$2:$Y$1148,18,FALSE)</f>
        <v>INTERNET550U</v>
      </c>
      <c r="J487" s="168" t="str">
        <f>VLOOKUP($A487,'030523 INVENTARIO'!$A$2:$Y$1148,19,FALSE)</f>
        <v>9730CY0BC575600798</v>
      </c>
      <c r="K487" s="167" t="str">
        <f>VLOOKUP($A487,'030523 INVENTARIO'!$A$2:$Y$1148,20,FALSE)</f>
        <v>82DH0515010016000539084</v>
      </c>
      <c r="L487" s="167" t="str">
        <f>VLOOKUP($A487,'030523 INVENTARIO'!$A$2:$Y$1148,23,FALSE)</f>
        <v>FLORENCIA PEREZ NEGRON HUERTA</v>
      </c>
    </row>
    <row r="488" spans="1:12" ht="12.75" hidden="1">
      <c r="A488" s="167" t="str">
        <f>'030523 INVENTARIO'!A488</f>
        <v>0487</v>
      </c>
      <c r="B488" s="168" t="str">
        <f>'030523 INVENTARIO'!T488</f>
        <v>82DH0519010043000649368</v>
      </c>
      <c r="C488" s="167" t="str">
        <f t="shared" si="0"/>
        <v>649368</v>
      </c>
      <c r="D488" s="167" t="str">
        <f>IF(VLOOKUP(C488,'Patrimonio 2023'!$C$2:$C$1128,1,FALSE) = C488, "Encontrado", "no")</f>
        <v>Encontrado</v>
      </c>
      <c r="E488" s="167" t="str">
        <f>VLOOKUP($A488,'030523 INVENTARIO'!$A$2:$Y$1148,5,FALSE)</f>
        <v>VENTILADOR</v>
      </c>
      <c r="F488" s="167" t="str">
        <f>VLOOKUP($A488,'030523 INVENTARIO'!$A$2:$Y$1148,6,FALSE)</f>
        <v>VENTILADOR GRIS DE PARED</v>
      </c>
      <c r="G488" s="167" t="str">
        <f ca="1">VLOOKUP($A488,'030523 INVENTARIO'!$A$2:$Y$1148,8,FALSE)</f>
        <v>P13SO-0487</v>
      </c>
      <c r="H488" s="168" t="str">
        <f>VLOOKUP($A488,'030523 INVENTARIO'!$A$2:$Y$1148,17,FALSE)</f>
        <v>NAVIA</v>
      </c>
      <c r="I488" s="167" t="str">
        <f>VLOOKUP($A488,'030523 INVENTARIO'!$A$2:$Y$1148,18,FALSE)</f>
        <v>VPN/018</v>
      </c>
      <c r="J488" s="168" t="str">
        <f>VLOOKUP($A488,'030523 INVENTARIO'!$A$2:$Y$1148,19,FALSE)</f>
        <v>SIN SERIE</v>
      </c>
      <c r="K488" s="168" t="str">
        <f>VLOOKUP($A488,'030523 INVENTARIO'!$A$2:$Y$1148,20,FALSE)</f>
        <v>82DH0519010043000649368</v>
      </c>
      <c r="L488" s="167" t="str">
        <f>VLOOKUP($A488,'030523 INVENTARIO'!$A$2:$Y$1148,23,FALSE)</f>
        <v>FLORENCIA PEREZ NEGRON HUERTA</v>
      </c>
    </row>
    <row r="489" spans="1:12" ht="12.75" hidden="1">
      <c r="A489" s="167" t="str">
        <f>'030523 INVENTARIO'!A489</f>
        <v>0488</v>
      </c>
      <c r="B489" s="168" t="str">
        <f>'030523 INVENTARIO'!T489</f>
        <v>82DH0531010065000564679</v>
      </c>
      <c r="C489" s="167" t="str">
        <f t="shared" si="0"/>
        <v>564679</v>
      </c>
      <c r="D489" s="167" t="str">
        <f>IF(VLOOKUP(C489,'Patrimonio 2023'!$C$2:$C$1128,1,FALSE) = C489, "Encontrado", "no")</f>
        <v>Encontrado</v>
      </c>
      <c r="E489" s="167" t="str">
        <f>VLOOKUP($A489,'030523 INVENTARIO'!$A$2:$Y$1148,5,FALSE)</f>
        <v>MESA</v>
      </c>
      <c r="F489" s="167" t="str">
        <f>VLOOKUP($A489,'030523 INVENTARIO'!$A$2:$Y$1148,6,FALSE)</f>
        <v>MESA DE JUNTAS DE MADERA 300X120</v>
      </c>
      <c r="G489" s="167" t="str">
        <f ca="1">VLOOKUP($A489,'030523 INVENTARIO'!$A$2:$Y$1148,8,FALSE)</f>
        <v>P13SO-0488</v>
      </c>
      <c r="H489" s="168" t="str">
        <f>VLOOKUP($A489,'030523 INVENTARIO'!$A$2:$Y$1148,17,FALSE)</f>
        <v>S/M</v>
      </c>
      <c r="I489" s="167" t="str">
        <f>VLOOKUP($A489,'030523 INVENTARIO'!$A$2:$Y$1148,18,FALSE)</f>
        <v>S/M</v>
      </c>
      <c r="J489" s="168" t="str">
        <f>VLOOKUP($A489,'030523 INVENTARIO'!$A$2:$Y$1148,19,FALSE)</f>
        <v>SIN SERIE</v>
      </c>
      <c r="K489" s="168" t="str">
        <f>VLOOKUP($A489,'030523 INVENTARIO'!$A$2:$Y$1148,20,FALSE)</f>
        <v>82DH0531010065000564679</v>
      </c>
      <c r="L489" s="167" t="str">
        <f>VLOOKUP($A489,'030523 INVENTARIO'!$A$2:$Y$1148,23,FALSE)</f>
        <v>FLORENCIA PEREZ NEGRON HUERTA</v>
      </c>
    </row>
    <row r="490" spans="1:12" ht="12.75" hidden="1">
      <c r="A490" s="167" t="str">
        <f>'030523 INVENTARIO'!A490</f>
        <v>0489</v>
      </c>
      <c r="B490" s="168" t="str">
        <f>'030523 INVENTARIO'!T490</f>
        <v>82DH0511010017000649726</v>
      </c>
      <c r="C490" s="167" t="str">
        <f t="shared" si="0"/>
        <v>649726</v>
      </c>
      <c r="D490" s="167" t="str">
        <f>IF(VLOOKUP(C490,'Patrimonio 2023'!$C$2:$C$1128,1,FALSE) = C490, "Encontrado", "no")</f>
        <v>Encontrado</v>
      </c>
      <c r="E490" s="167" t="str">
        <f>VLOOKUP($A490,'030523 INVENTARIO'!$A$2:$Y$1148,5,FALSE)</f>
        <v>SILLON</v>
      </c>
      <c r="F490" s="167" t="str">
        <f>VLOOKUP($A490,'030523 INVENTARIO'!$A$2:$Y$1148,6,FALSE)</f>
        <v>SILLÓN NEGRO (silla)  DE PIEL FIJO</v>
      </c>
      <c r="G490" s="167" t="str">
        <f ca="1">VLOOKUP($A490,'030523 INVENTARIO'!$A$2:$Y$1148,8,FALSE)</f>
        <v>P13SO-0489</v>
      </c>
      <c r="H490" s="168" t="str">
        <f>VLOOKUP($A490,'030523 INVENTARIO'!$A$2:$Y$1148,17,FALSE)</f>
        <v>S/M</v>
      </c>
      <c r="I490" s="167" t="str">
        <f>VLOOKUP($A490,'030523 INVENTARIO'!$A$2:$Y$1148,18,FALSE)</f>
        <v>S/M</v>
      </c>
      <c r="J490" s="168" t="str">
        <f>VLOOKUP($A490,'030523 INVENTARIO'!$A$2:$Y$1148,19,FALSE)</f>
        <v>SIN SERIE</v>
      </c>
      <c r="K490" s="168" t="str">
        <f>VLOOKUP($A490,'030523 INVENTARIO'!$A$2:$Y$1148,20,FALSE)</f>
        <v>82DH0511010017000649726</v>
      </c>
      <c r="L490" s="167" t="str">
        <f>VLOOKUP($A490,'030523 INVENTARIO'!$A$2:$Y$1148,23,FALSE)</f>
        <v>FLORENCIA PEREZ NEGRON HUERTA</v>
      </c>
    </row>
    <row r="491" spans="1:12" ht="12.75" hidden="1">
      <c r="A491" s="167" t="str">
        <f>'030523 INVENTARIO'!A491</f>
        <v>0492</v>
      </c>
      <c r="B491" s="168" t="str">
        <f>'030523 INVENTARIO'!T491</f>
        <v>82DH0511010017000649727</v>
      </c>
      <c r="C491" s="167" t="str">
        <f t="shared" si="0"/>
        <v>649727</v>
      </c>
      <c r="D491" s="167" t="str">
        <f>IF(VLOOKUP(C491,'Patrimonio 2023'!$C$2:$C$1128,1,FALSE) = C491, "Encontrado", "no")</f>
        <v>Encontrado</v>
      </c>
      <c r="E491" s="167" t="str">
        <f>VLOOKUP($A491,'030523 INVENTARIO'!$A$2:$Y$1148,5,FALSE)</f>
        <v>SILLA</v>
      </c>
      <c r="F491" s="167" t="str">
        <f>VLOOKUP($A491,'030523 INVENTARIO'!$A$2:$Y$1148,6,FALSE)</f>
        <v>SILLA NEGRA FIJA</v>
      </c>
      <c r="G491" s="167" t="str">
        <f ca="1">VLOOKUP($A491,'030523 INVENTARIO'!$A$2:$Y$1148,8,FALSE)</f>
        <v>P13SO-0492</v>
      </c>
      <c r="H491" s="168" t="str">
        <f>VLOOKUP($A491,'030523 INVENTARIO'!$A$2:$Y$1148,17,FALSE)</f>
        <v>S/M</v>
      </c>
      <c r="I491" s="167" t="str">
        <f>VLOOKUP($A491,'030523 INVENTARIO'!$A$2:$Y$1148,18,FALSE)</f>
        <v>S/M</v>
      </c>
      <c r="J491" s="168" t="str">
        <f>VLOOKUP($A491,'030523 INVENTARIO'!$A$2:$Y$1148,19,FALSE)</f>
        <v>SIN SERIE</v>
      </c>
      <c r="K491" s="168" t="str">
        <f>VLOOKUP($A491,'030523 INVENTARIO'!$A$2:$Y$1148,20,FALSE)</f>
        <v>82DH0511010017000649727</v>
      </c>
      <c r="L491" s="167" t="str">
        <f>VLOOKUP($A491,'030523 INVENTARIO'!$A$2:$Y$1148,23,FALSE)</f>
        <v>FLORENCIA PEREZ NEGRON HUERTA</v>
      </c>
    </row>
    <row r="492" spans="1:12" ht="12.75" hidden="1">
      <c r="A492" s="167" t="str">
        <f>'030523 INVENTARIO'!A492</f>
        <v>0491</v>
      </c>
      <c r="B492" s="168" t="str">
        <f>'030523 INVENTARIO'!T492</f>
        <v>82DH0511010017000649729</v>
      </c>
      <c r="C492" s="167" t="str">
        <f t="shared" si="0"/>
        <v>649729</v>
      </c>
      <c r="D492" s="167" t="str">
        <f>IF(VLOOKUP(C492,'Patrimonio 2023'!$C$2:$C$1128,1,FALSE) = C492, "Encontrado", "no")</f>
        <v>Encontrado</v>
      </c>
      <c r="E492" s="167" t="str">
        <f>VLOOKUP($A492,'030523 INVENTARIO'!$A$2:$Y$1148,5,FALSE)</f>
        <v>SILLA</v>
      </c>
      <c r="F492" s="167" t="str">
        <f>VLOOKUP($A492,'030523 INVENTARIO'!$A$2:$Y$1148,6,FALSE)</f>
        <v>SILLA NEGRA FIJA</v>
      </c>
      <c r="G492" s="167" t="str">
        <f ca="1">VLOOKUP($A492,'030523 INVENTARIO'!$A$2:$Y$1148,8,FALSE)</f>
        <v>P13SO-0491</v>
      </c>
      <c r="H492" s="168" t="str">
        <f>VLOOKUP($A492,'030523 INVENTARIO'!$A$2:$Y$1148,17,FALSE)</f>
        <v>S/M</v>
      </c>
      <c r="I492" s="167" t="str">
        <f>VLOOKUP($A492,'030523 INVENTARIO'!$A$2:$Y$1148,18,FALSE)</f>
        <v>S/M</v>
      </c>
      <c r="J492" s="168" t="str">
        <f>VLOOKUP($A492,'030523 INVENTARIO'!$A$2:$Y$1148,19,FALSE)</f>
        <v>SIN SERIE</v>
      </c>
      <c r="K492" s="168" t="str">
        <f>VLOOKUP($A492,'030523 INVENTARIO'!$A$2:$Y$1148,20,FALSE)</f>
        <v>82DH0511010017000649729</v>
      </c>
      <c r="L492" s="167" t="str">
        <f>VLOOKUP($A492,'030523 INVENTARIO'!$A$2:$Y$1148,23,FALSE)</f>
        <v>FLORENCIA PEREZ NEGRON HUERTA</v>
      </c>
    </row>
    <row r="493" spans="1:12" ht="12.75" hidden="1">
      <c r="A493" s="167" t="str">
        <f>'030523 INVENTARIO'!A493</f>
        <v>0492</v>
      </c>
      <c r="B493" s="168" t="str">
        <f>'030523 INVENTARIO'!T493</f>
        <v>82DH0511010017000649730</v>
      </c>
      <c r="C493" s="167" t="str">
        <f t="shared" si="0"/>
        <v>649730</v>
      </c>
      <c r="D493" s="167" t="str">
        <f>IF(VLOOKUP(C493,'Patrimonio 2023'!$C$2:$C$1128,1,FALSE) = C493, "Encontrado", "no")</f>
        <v>Encontrado</v>
      </c>
      <c r="E493" s="167" t="str">
        <f>VLOOKUP($A493,'030523 INVENTARIO'!$A$2:$Y$1148,5,FALSE)</f>
        <v>SILLA</v>
      </c>
      <c r="F493" s="167" t="str">
        <f>VLOOKUP($A493,'030523 INVENTARIO'!$A$2:$Y$1148,6,FALSE)</f>
        <v>SILLA NEGRA FIJA</v>
      </c>
      <c r="G493" s="167" t="str">
        <f ca="1">VLOOKUP($A493,'030523 INVENTARIO'!$A$2:$Y$1148,8,FALSE)</f>
        <v>P13SO-0492</v>
      </c>
      <c r="H493" s="168" t="str">
        <f>VLOOKUP($A493,'030523 INVENTARIO'!$A$2:$Y$1148,17,FALSE)</f>
        <v>S/M</v>
      </c>
      <c r="I493" s="167" t="str">
        <f>VLOOKUP($A493,'030523 INVENTARIO'!$A$2:$Y$1148,18,FALSE)</f>
        <v>S/M</v>
      </c>
      <c r="J493" s="168" t="str">
        <f>VLOOKUP($A493,'030523 INVENTARIO'!$A$2:$Y$1148,19,FALSE)</f>
        <v>SIN SERIE</v>
      </c>
      <c r="K493" s="168" t="str">
        <f>VLOOKUP($A493,'030523 INVENTARIO'!$A$2:$Y$1148,20,FALSE)</f>
        <v>82DH0511010017000649727</v>
      </c>
      <c r="L493" s="167" t="str">
        <f>VLOOKUP($A493,'030523 INVENTARIO'!$A$2:$Y$1148,23,FALSE)</f>
        <v>FLORENCIA PEREZ NEGRON HUERTA</v>
      </c>
    </row>
    <row r="494" spans="1:12" ht="12.75" hidden="1">
      <c r="A494" s="167" t="str">
        <f>'030523 INVENTARIO'!A494</f>
        <v>0493</v>
      </c>
      <c r="B494" s="168" t="str">
        <f>'030523 INVENTARIO'!T494</f>
        <v>82DH0511010017000651106</v>
      </c>
      <c r="C494" s="167" t="str">
        <f t="shared" si="0"/>
        <v>651106</v>
      </c>
      <c r="D494" s="167" t="str">
        <f>IF(VLOOKUP(C494,'Patrimonio 2023'!$C$2:$C$1128,1,FALSE) = C494, "Encontrado", "no")</f>
        <v>Encontrado</v>
      </c>
      <c r="E494" s="167" t="str">
        <f>VLOOKUP($A494,'030523 INVENTARIO'!$A$2:$Y$1148,5,FALSE)</f>
        <v>SILLA</v>
      </c>
      <c r="F494" s="167" t="str">
        <f>VLOOKUP($A494,'030523 INVENTARIO'!$A$2:$Y$1148,6,FALSE)</f>
        <v>SILLA NEGRA FIJA</v>
      </c>
      <c r="G494" s="167" t="str">
        <f ca="1">VLOOKUP($A494,'030523 INVENTARIO'!$A$2:$Y$1148,8,FALSE)</f>
        <v>P13LP-0493</v>
      </c>
      <c r="H494" s="168" t="str">
        <f>VLOOKUP($A494,'030523 INVENTARIO'!$A$2:$Y$1148,17,FALSE)</f>
        <v>S/M</v>
      </c>
      <c r="I494" s="167" t="str">
        <f>VLOOKUP($A494,'030523 INVENTARIO'!$A$2:$Y$1148,18,FALSE)</f>
        <v>S/M</v>
      </c>
      <c r="J494" s="168" t="str">
        <f>VLOOKUP($A494,'030523 INVENTARIO'!$A$2:$Y$1148,19,FALSE)</f>
        <v>SIN SERIE</v>
      </c>
      <c r="K494" s="168" t="str">
        <f>VLOOKUP($A494,'030523 INVENTARIO'!$A$2:$Y$1148,20,FALSE)</f>
        <v>82DH0511010017000651106</v>
      </c>
      <c r="L494" s="167" t="str">
        <f>VLOOKUP($A494,'030523 INVENTARIO'!$A$2:$Y$1148,23,FALSE)</f>
        <v>HECTOR JOSUE MARTINEZ DE LA CRUZ</v>
      </c>
    </row>
    <row r="495" spans="1:12" ht="12.75" hidden="1">
      <c r="A495" s="167" t="str">
        <f>'030523 INVENTARIO'!A495</f>
        <v>0494</v>
      </c>
      <c r="B495" s="168" t="str">
        <f>'030523 INVENTARIO'!T495</f>
        <v>82DH0511010017000649728</v>
      </c>
      <c r="C495" s="167" t="str">
        <f t="shared" si="0"/>
        <v>649728</v>
      </c>
      <c r="D495" s="167" t="str">
        <f>IF(VLOOKUP(C495,'Patrimonio 2023'!$C$2:$C$1128,1,FALSE) = C495, "Encontrado", "no")</f>
        <v>Encontrado</v>
      </c>
      <c r="E495" s="167" t="str">
        <f>VLOOKUP($A495,'030523 INVENTARIO'!$A$2:$Y$1148,5,FALSE)</f>
        <v>SILLA</v>
      </c>
      <c r="F495" s="167" t="str">
        <f>VLOOKUP($A495,'030523 INVENTARIO'!$A$2:$Y$1148,6,FALSE)</f>
        <v>SILLA NEGRA FIJA</v>
      </c>
      <c r="G495" s="167" t="str">
        <f ca="1">VLOOKUP($A495,'030523 INVENTARIO'!$A$2:$Y$1148,8,FALSE)</f>
        <v>P05RM-0494</v>
      </c>
      <c r="H495" s="168" t="str">
        <f>VLOOKUP($A495,'030523 INVENTARIO'!$A$2:$Y$1148,17,FALSE)</f>
        <v>S/M</v>
      </c>
      <c r="I495" s="167" t="str">
        <f>VLOOKUP($A495,'030523 INVENTARIO'!$A$2:$Y$1148,18,FALSE)</f>
        <v>S/M</v>
      </c>
      <c r="J495" s="168" t="str">
        <f>VLOOKUP($A495,'030523 INVENTARIO'!$A$2:$Y$1148,19,FALSE)</f>
        <v>SIN SERIE</v>
      </c>
      <c r="K495" s="168" t="str">
        <f>VLOOKUP($A495,'030523 INVENTARIO'!$A$2:$Y$1148,20,FALSE)</f>
        <v>82DH0511010017000649728</v>
      </c>
      <c r="L495" s="167" t="str">
        <f>VLOOKUP($A495,'030523 INVENTARIO'!$A$2:$Y$1148,23,FALSE)</f>
        <v>BLANCA ELIZABETH ALCANTAR GUERRERO</v>
      </c>
    </row>
    <row r="496" spans="1:12" ht="12.75" hidden="1">
      <c r="A496" s="167" t="str">
        <f>'030523 INVENTARIO'!A496</f>
        <v>0495</v>
      </c>
      <c r="B496" s="168" t="str">
        <f>'030523 INVENTARIO'!T496</f>
        <v>82DJ0531010065000564825</v>
      </c>
      <c r="C496" s="167" t="str">
        <f t="shared" si="0"/>
        <v>564825</v>
      </c>
      <c r="D496" s="167" t="str">
        <f>IF(VLOOKUP(C496,'Patrimonio 2023'!$C$2:$C$1128,1,FALSE) = C496, "Encontrado", "no")</f>
        <v>Encontrado</v>
      </c>
      <c r="E496" s="167" t="str">
        <f>VLOOKUP($A496,'030523 INVENTARIO'!$A$2:$Y$1148,5,FALSE)</f>
        <v>MESA</v>
      </c>
      <c r="F496" s="167" t="str">
        <f>VLOOKUP($A496,'030523 INVENTARIO'!$A$2:$Y$1148,6,FALSE)</f>
        <v>MESA COMPLEMENTO</v>
      </c>
      <c r="G496" s="167" t="str">
        <f ca="1">VLOOKUP($A496,'030523 INVENTARIO'!$A$2:$Y$1148,8,FALSE)</f>
        <v>P13SO-0495</v>
      </c>
      <c r="H496" s="168" t="str">
        <f>VLOOKUP($A496,'030523 INVENTARIO'!$A$2:$Y$1148,17,FALSE)</f>
        <v>S/M</v>
      </c>
      <c r="I496" s="167" t="str">
        <f>VLOOKUP($A496,'030523 INVENTARIO'!$A$2:$Y$1148,18,FALSE)</f>
        <v>S/M</v>
      </c>
      <c r="J496" s="168" t="str">
        <f>VLOOKUP($A496,'030523 INVENTARIO'!$A$2:$Y$1148,19,FALSE)</f>
        <v>SIN SERIE</v>
      </c>
      <c r="K496" s="168" t="str">
        <f>VLOOKUP($A496,'030523 INVENTARIO'!$A$2:$Y$1148,20,FALSE)</f>
        <v>82DJ0531010065000564825</v>
      </c>
      <c r="L496" s="167" t="str">
        <f>VLOOKUP($A496,'030523 INVENTARIO'!$A$2:$Y$1148,23,FALSE)</f>
        <v>FLORENCIA PEREZ NEGRON HUERTA</v>
      </c>
    </row>
    <row r="497" spans="1:12" ht="12.75" hidden="1">
      <c r="A497" s="167" t="str">
        <f>'030523 INVENTARIO'!A497</f>
        <v>0496</v>
      </c>
      <c r="B497" s="168" t="str">
        <f>'030523 INVENTARIO'!T497</f>
        <v>82DH0511010005000649738</v>
      </c>
      <c r="C497" s="167" t="str">
        <f t="shared" si="0"/>
        <v>649738</v>
      </c>
      <c r="D497" s="167" t="str">
        <f>IF(VLOOKUP(C497,'Patrimonio 2023'!$C$2:$C$1128,1,FALSE) = C497, "Encontrado", "no")</f>
        <v>Encontrado</v>
      </c>
      <c r="E497" s="167" t="str">
        <f>VLOOKUP($A497,'030523 INVENTARIO'!$A$2:$Y$1148,5,FALSE)</f>
        <v>CREDENZA</v>
      </c>
      <c r="F497" s="167" t="str">
        <f>VLOOKUP($A497,'030523 INVENTARIO'!$A$2:$Y$1148,6,FALSE)</f>
        <v>CREDENZA DE MADERA</v>
      </c>
      <c r="G497" s="167" t="str">
        <f ca="1">VLOOKUP($A497,'030523 INVENTARIO'!$A$2:$Y$1148,8,FALSE)</f>
        <v>P13SO-0496</v>
      </c>
      <c r="H497" s="168" t="str">
        <f>VLOOKUP($A497,'030523 INVENTARIO'!$A$2:$Y$1148,17,FALSE)</f>
        <v>S/M</v>
      </c>
      <c r="I497" s="167" t="str">
        <f>VLOOKUP($A497,'030523 INVENTARIO'!$A$2:$Y$1148,18,FALSE)</f>
        <v>S/M</v>
      </c>
      <c r="J497" s="168" t="str">
        <f>VLOOKUP($A497,'030523 INVENTARIO'!$A$2:$Y$1148,19,FALSE)</f>
        <v>SIN SERIE</v>
      </c>
      <c r="K497" s="168" t="str">
        <f>VLOOKUP($A497,'030523 INVENTARIO'!$A$2:$Y$1148,20,FALSE)</f>
        <v>82DH0511010005000649738</v>
      </c>
      <c r="L497" s="167" t="str">
        <f>VLOOKUP($A497,'030523 INVENTARIO'!$A$2:$Y$1148,23,FALSE)</f>
        <v>FLORENCIA PEREZ NEGRON HUERTA</v>
      </c>
    </row>
    <row r="498" spans="1:12" ht="12.75" hidden="1">
      <c r="A498" s="167" t="str">
        <f>'030523 INVENTARIO'!A498</f>
        <v>0497</v>
      </c>
      <c r="B498" s="168" t="str">
        <f>'030523 INVENTARIO'!T498</f>
        <v>82DH0511010029000649737</v>
      </c>
      <c r="C498" s="167" t="str">
        <f t="shared" si="0"/>
        <v>649737</v>
      </c>
      <c r="D498" s="167" t="str">
        <f>IF(VLOOKUP(C498,'Patrimonio 2023'!$C$2:$C$1128,1,FALSE) = C498, "Encontrado", "no")</f>
        <v>Encontrado</v>
      </c>
      <c r="E498" s="167" t="str">
        <f>VLOOKUP($A498,'030523 INVENTARIO'!$A$2:$Y$1148,5,FALSE)</f>
        <v>MODULO</v>
      </c>
      <c r="F498" s="168" t="str">
        <f>VLOOKUP($A498,'030523 INVENTARIO'!$A$2:$Y$1148,6,FALSE)</f>
        <v>MODULO DE MADERA 2 PIEZAS</v>
      </c>
      <c r="G498" s="167" t="str">
        <f ca="1">VLOOKUP($A498,'030523 INVENTARIO'!$A$2:$Y$1148,8,FALSE)</f>
        <v>P13SO-0497</v>
      </c>
      <c r="H498" s="168" t="str">
        <f>VLOOKUP($A498,'030523 INVENTARIO'!$A$2:$Y$1148,17,FALSE)</f>
        <v>S/M</v>
      </c>
      <c r="I498" s="167" t="str">
        <f>VLOOKUP($A498,'030523 INVENTARIO'!$A$2:$Y$1148,18,FALSE)</f>
        <v>S/M</v>
      </c>
      <c r="J498" s="168" t="str">
        <f>VLOOKUP($A498,'030523 INVENTARIO'!$A$2:$Y$1148,19,FALSE)</f>
        <v>SIN SERIE</v>
      </c>
      <c r="K498" s="168" t="str">
        <f>VLOOKUP($A498,'030523 INVENTARIO'!$A$2:$Y$1148,20,FALSE)</f>
        <v>82DH0511010029000649737</v>
      </c>
      <c r="L498" s="167" t="str">
        <f>VLOOKUP($A498,'030523 INVENTARIO'!$A$2:$Y$1148,23,FALSE)</f>
        <v>FLORENCIA PEREZ NEGRON HUERTA</v>
      </c>
    </row>
    <row r="499" spans="1:12" ht="12.75" hidden="1">
      <c r="A499" s="167" t="str">
        <f>'030523 INVENTARIO'!A499</f>
        <v>0498</v>
      </c>
      <c r="B499" s="168" t="str">
        <f>'030523 INVENTARIO'!T499</f>
        <v>82DH0511010006000583442</v>
      </c>
      <c r="C499" s="167" t="str">
        <f t="shared" si="0"/>
        <v>583442</v>
      </c>
      <c r="D499" s="167" t="str">
        <f>IF(VLOOKUP(C499,'Patrimonio 2023'!$C$2:$C$1128,1,FALSE) = C499, "Encontrado", "no")</f>
        <v>Encontrado</v>
      </c>
      <c r="E499" s="167" t="str">
        <f>VLOOKUP($A499,'030523 INVENTARIO'!$A$2:$Y$1148,5,FALSE)</f>
        <v>ESCRITORIO</v>
      </c>
      <c r="F499" s="167" t="str">
        <f>VLOOKUP($A499,'030523 INVENTARIO'!$A$2:$Y$1148,6,FALSE)</f>
        <v>ESCRITORIO DE MADERA  TIPO UDE 4 PIEZAS</v>
      </c>
      <c r="G499" s="167" t="str">
        <f ca="1">VLOOKUP($A499,'030523 INVENTARIO'!$A$2:$Y$1148,8,FALSE)</f>
        <v>P13SO-0498</v>
      </c>
      <c r="H499" s="168" t="str">
        <f>VLOOKUP($A499,'030523 INVENTARIO'!$A$2:$Y$1148,17,FALSE)</f>
        <v>S/M</v>
      </c>
      <c r="I499" s="167" t="str">
        <f>VLOOKUP($A499,'030523 INVENTARIO'!$A$2:$Y$1148,18,FALSE)</f>
        <v>S/M</v>
      </c>
      <c r="J499" s="168" t="str">
        <f>VLOOKUP($A499,'030523 INVENTARIO'!$A$2:$Y$1148,19,FALSE)</f>
        <v>SIN SERIE</v>
      </c>
      <c r="K499" s="168" t="str">
        <f>VLOOKUP($A499,'030523 INVENTARIO'!$A$2:$Y$1148,20,FALSE)</f>
        <v>82DH0511010006000583442</v>
      </c>
      <c r="L499" s="167" t="str">
        <f>VLOOKUP($A499,'030523 INVENTARIO'!$A$2:$Y$1148,23,FALSE)</f>
        <v>FLORENCIA PEREZ NEGRON HUERTA</v>
      </c>
    </row>
    <row r="500" spans="1:12" ht="12.75" hidden="1">
      <c r="A500" s="167" t="str">
        <f>'030523 INVENTARIO'!A500</f>
        <v>0499</v>
      </c>
      <c r="B500" s="168" t="str">
        <f>'030523 INVENTARIO'!T500</f>
        <v>82DH0511010016000649731</v>
      </c>
      <c r="C500" s="167" t="str">
        <f t="shared" si="0"/>
        <v>649731</v>
      </c>
      <c r="D500" s="167" t="str">
        <f>IF(VLOOKUP(C500,'Patrimonio 2023'!$C$2:$C$1128,1,FALSE) = C500, "Encontrado", "no")</f>
        <v>Encontrado</v>
      </c>
      <c r="E500" s="167" t="str">
        <f>VLOOKUP($A500,'030523 INVENTARIO'!$A$2:$Y$1148,5,FALSE)</f>
        <v>SILLON</v>
      </c>
      <c r="F500" s="167" t="str">
        <f>VLOOKUP($A500,'030523 INVENTARIO'!$A$2:$Y$1148,6,FALSE)</f>
        <v>SILLON DE PIEL NEGRO  DE VINIPIEL CON RUEDAS</v>
      </c>
      <c r="G500" s="167" t="str">
        <f ca="1">VLOOKUP($A500,'030523 INVENTARIO'!$A$2:$Y$1148,8,FALSE)</f>
        <v>P13SO-0499</v>
      </c>
      <c r="H500" s="168" t="str">
        <f>VLOOKUP($A500,'030523 INVENTARIO'!$A$2:$Y$1148,17,FALSE)</f>
        <v>S/M</v>
      </c>
      <c r="I500" s="167" t="str">
        <f>VLOOKUP($A500,'030523 INVENTARIO'!$A$2:$Y$1148,18,FALSE)</f>
        <v>S/M</v>
      </c>
      <c r="J500" s="168" t="str">
        <f>VLOOKUP($A500,'030523 INVENTARIO'!$A$2:$Y$1148,19,FALSE)</f>
        <v>SIN SERIE</v>
      </c>
      <c r="K500" s="168" t="str">
        <f>VLOOKUP($A500,'030523 INVENTARIO'!$A$2:$Y$1148,20,FALSE)</f>
        <v>82DH0511010016000649731</v>
      </c>
      <c r="L500" s="167" t="str">
        <f>VLOOKUP($A500,'030523 INVENTARIO'!$A$2:$Y$1148,23,FALSE)</f>
        <v>FLORENCIA PEREZ NEGRON HUERTA</v>
      </c>
    </row>
    <row r="501" spans="1:12" ht="12.75" hidden="1">
      <c r="A501" s="167" t="str">
        <f>'030523 INVENTARIO'!A501</f>
        <v>0500</v>
      </c>
      <c r="B501" s="168" t="str">
        <f>'030523 INVENTARIO'!T501</f>
        <v>82DH0515010033000564633</v>
      </c>
      <c r="C501" s="167" t="str">
        <f t="shared" si="0"/>
        <v>564633</v>
      </c>
      <c r="D501" s="167" t="str">
        <f>IF(VLOOKUP(C501,'Patrimonio 2023'!$C$2:$C$1128,1,FALSE) = C501, "Encontrado", "no")</f>
        <v>Encontrado</v>
      </c>
      <c r="E501" s="167" t="str">
        <f>VLOOKUP($A501,'030523 INVENTARIO'!$A$2:$Y$1148,5,FALSE)</f>
        <v>COMPLEMENTARIO DE EQUIPO DE COMPUTO</v>
      </c>
      <c r="F501" s="168" t="str">
        <f>VLOOKUP($A501,'030523 INVENTARIO'!$A$2:$Y$1148,6,FALSE)</f>
        <v>COMPLEMENTO DE EQUIPO DE MADERA</v>
      </c>
      <c r="G501" s="167" t="str">
        <f ca="1">VLOOKUP($A501,'030523 INVENTARIO'!$A$2:$Y$1148,8,FALSE)</f>
        <v>P13SO-0500</v>
      </c>
      <c r="H501" s="168" t="str">
        <f>VLOOKUP($A501,'030523 INVENTARIO'!$A$2:$Y$1148,17,FALSE)</f>
        <v>S/M</v>
      </c>
      <c r="I501" s="167" t="str">
        <f>VLOOKUP($A501,'030523 INVENTARIO'!$A$2:$Y$1148,18,FALSE)</f>
        <v>S/M</v>
      </c>
      <c r="J501" s="168" t="str">
        <f>VLOOKUP($A501,'030523 INVENTARIO'!$A$2:$Y$1148,19,FALSE)</f>
        <v>SIN SERIE</v>
      </c>
      <c r="K501" s="168" t="str">
        <f>VLOOKUP($A501,'030523 INVENTARIO'!$A$2:$Y$1148,20,FALSE)</f>
        <v>82DH0515010033000564633</v>
      </c>
      <c r="L501" s="167" t="str">
        <f>VLOOKUP($A501,'030523 INVENTARIO'!$A$2:$Y$1148,23,FALSE)</f>
        <v>FLORENCIA PEREZ NEGRON HUERTA</v>
      </c>
    </row>
    <row r="502" spans="1:12" ht="12.75" hidden="1">
      <c r="A502" s="167" t="str">
        <f>'030523 INVENTARIO'!A502</f>
        <v>0501</v>
      </c>
      <c r="B502" s="167" t="str">
        <f>'030523 INVENTARIO'!T502</f>
        <v>82DH0515010016000649417</v>
      </c>
      <c r="C502" s="167" t="str">
        <f t="shared" si="0"/>
        <v>649417</v>
      </c>
      <c r="D502" s="167" t="str">
        <f>IF(VLOOKUP(C502,'Patrimonio 2023'!$C$2:$C$1128,1,FALSE) = C502, "Encontrado", "no")</f>
        <v>Encontrado</v>
      </c>
      <c r="E502" s="167" t="str">
        <f>VLOOKUP($A502,'030523 INVENTARIO'!$A$2:$Y$1148,5,FALSE)</f>
        <v>NO BREAK</v>
      </c>
      <c r="F502" s="168" t="str">
        <f>VLOOKUP($A502,'030523 INVENTARIO'!$A$2:$Y$1148,6,FALSE)</f>
        <v>NO BREAK NEGRO FORZA</v>
      </c>
      <c r="G502" s="167" t="str">
        <f ca="1">VLOOKUP($A502,'030523 INVENTARIO'!$A$2:$Y$1148,8,FALSE)</f>
        <v>P13SO-0501</v>
      </c>
      <c r="H502" s="168" t="str">
        <f>VLOOKUP($A502,'030523 INVENTARIO'!$A$2:$Y$1148,17,FALSE)</f>
        <v>FORZA</v>
      </c>
      <c r="I502" s="167" t="str">
        <f>VLOOKUP($A502,'030523 INVENTARIO'!$A$2:$Y$1148,18,FALSE)</f>
        <v>NT751</v>
      </c>
      <c r="J502" s="168" t="str">
        <f>VLOOKUP($A502,'030523 INVENTARIO'!$A$2:$Y$1148,19,FALSE)</f>
        <v>181222508479</v>
      </c>
      <c r="K502" s="167" t="str">
        <f>VLOOKUP($A502,'030523 INVENTARIO'!$A$2:$Y$1148,20,FALSE)</f>
        <v>82DH0515010016000649417</v>
      </c>
      <c r="L502" s="167" t="str">
        <f>VLOOKUP($A502,'030523 INVENTARIO'!$A$2:$Y$1148,23,FALSE)</f>
        <v>FLORENCIA PEREZ NEGRON HUERTA</v>
      </c>
    </row>
    <row r="503" spans="1:12" ht="12.75" hidden="1">
      <c r="A503" s="167" t="str">
        <f>'030523 INVENTARIO'!A503</f>
        <v>0502</v>
      </c>
      <c r="B503" s="168" t="str">
        <f>'030523 INVENTARIO'!T503</f>
        <v>82DH0565010001000649717</v>
      </c>
      <c r="C503" s="167" t="str">
        <f t="shared" si="0"/>
        <v>649717</v>
      </c>
      <c r="D503" s="167" t="str">
        <f>IF(VLOOKUP(C503,'Patrimonio 2023'!$C$2:$C$1128,1,FALSE) = C503, "Encontrado", "no")</f>
        <v>Encontrado</v>
      </c>
      <c r="E503" s="167" t="str">
        <f>VLOOKUP($A503,'030523 INVENTARIO'!$A$2:$Y$1148,5,FALSE)</f>
        <v>TELEFONO</v>
      </c>
      <c r="F503" s="167" t="str">
        <f>VLOOKUP($A503,'030523 INVENTARIO'!$A$2:$Y$1148,6,FALSE)</f>
        <v>TELEFONO GRIS</v>
      </c>
      <c r="G503" s="167" t="str">
        <f ca="1">VLOOKUP($A503,'030523 INVENTARIO'!$A$2:$Y$1148,8,FALSE)</f>
        <v>P13SO-0502</v>
      </c>
      <c r="H503" s="168" t="str">
        <f>VLOOKUP($A503,'030523 INVENTARIO'!$A$2:$Y$1148,17,FALSE)</f>
        <v>CISCO</v>
      </c>
      <c r="I503" s="167" t="str">
        <f>VLOOKUP($A503,'030523 INVENTARIO'!$A$2:$Y$1148,18,FALSE)</f>
        <v>SPA504G</v>
      </c>
      <c r="J503" s="168" t="str">
        <f>VLOOKUP($A503,'030523 INVENTARIO'!$A$2:$Y$1148,19,FALSE)</f>
        <v>CCQ17280CCQ</v>
      </c>
      <c r="K503" s="168" t="str">
        <f>VLOOKUP($A503,'030523 INVENTARIO'!$A$2:$Y$1148,20,FALSE)</f>
        <v>82DH0565010001000649717</v>
      </c>
      <c r="L503" s="167" t="str">
        <f>VLOOKUP($A503,'030523 INVENTARIO'!$A$2:$Y$1148,23,FALSE)</f>
        <v>FLORENCIA PEREZ NEGRON HUERTA</v>
      </c>
    </row>
    <row r="504" spans="1:12" ht="12.75" hidden="1">
      <c r="A504" s="167" t="str">
        <f>'030523 INVENTARIO'!A504</f>
        <v>0503</v>
      </c>
      <c r="B504" s="168" t="str">
        <f>'030523 INVENTARIO'!T504</f>
        <v>82DH0515010010000519351</v>
      </c>
      <c r="C504" s="167" t="str">
        <f t="shared" si="0"/>
        <v>519351</v>
      </c>
      <c r="D504" s="167" t="str">
        <f>IF(VLOOKUP(C504,'Patrimonio 2023'!$C$2:$C$1128,1,FALSE) = C504, "Encontrado", "no")</f>
        <v>Encontrado</v>
      </c>
      <c r="E504" s="167" t="str">
        <f>VLOOKUP($A504,'030523 INVENTARIO'!$A$2:$Y$1148,5,FALSE)</f>
        <v>IMPRESORA</v>
      </c>
      <c r="F504" s="167" t="str">
        <f>VLOOKUP($A504,'030523 INVENTARIO'!$A$2:$Y$1148,6,FALSE)</f>
        <v>IMPRESORA BLANCA CON NEGRO HP</v>
      </c>
      <c r="G504" s="167" t="str">
        <f ca="1">VLOOKUP($A504,'030523 INVENTARIO'!$A$2:$Y$1148,8,FALSE)</f>
        <v>P13SO-0503</v>
      </c>
      <c r="H504" s="168" t="str">
        <f>VLOOKUP($A504,'030523 INVENTARIO'!$A$2:$Y$1148,17,FALSE)</f>
        <v>HP</v>
      </c>
      <c r="I504" s="167" t="str">
        <f>VLOOKUP($A504,'030523 INVENTARIO'!$A$2:$Y$1148,18,FALSE)</f>
        <v>LASERJET CP1025NW</v>
      </c>
      <c r="J504" s="168" t="str">
        <f>VLOOKUP($A504,'030523 INVENTARIO'!$A$2:$Y$1148,19,FALSE)</f>
        <v>CND2D02787</v>
      </c>
      <c r="K504" s="168" t="str">
        <f>VLOOKUP($A504,'030523 INVENTARIO'!$A$2:$Y$1148,20,FALSE)</f>
        <v>82DH0515010010000519351</v>
      </c>
      <c r="L504" s="167" t="str">
        <f>VLOOKUP($A504,'030523 INVENTARIO'!$A$2:$Y$1148,23,FALSE)</f>
        <v>FLORENCIA PEREZ NEGRON HUERTA</v>
      </c>
    </row>
    <row r="505" spans="1:12" ht="12.75" hidden="1">
      <c r="A505" s="167" t="str">
        <f>'030523 INVENTARIO'!A505</f>
        <v>0504</v>
      </c>
      <c r="B505" s="168" t="str">
        <f>'030523 INVENTARIO'!T505</f>
        <v>82DH0515010033000564635</v>
      </c>
      <c r="C505" s="167" t="str">
        <f t="shared" si="0"/>
        <v>564635</v>
      </c>
      <c r="D505" s="167" t="str">
        <f>IF(VLOOKUP(C505,'Patrimonio 2023'!$C$2:$C$1128,1,FALSE) = C505, "Encontrado", "no")</f>
        <v>Encontrado</v>
      </c>
      <c r="E505" s="167" t="str">
        <f>VLOOKUP($A505,'030523 INVENTARIO'!$A$2:$Y$1148,5,FALSE)</f>
        <v>COMPLEMENTARIO DE EQUIPO DE COMPUTO</v>
      </c>
      <c r="F505" s="168" t="str">
        <f>VLOOKUP($A505,'030523 INVENTARIO'!$A$2:$Y$1148,6,FALSE)</f>
        <v>COMPLEMENTO DE EQUIPO DE MADERA</v>
      </c>
      <c r="G505" s="167" t="str">
        <f ca="1">VLOOKUP($A505,'030523 INVENTARIO'!$A$2:$Y$1148,8,FALSE)</f>
        <v>P13SO-0504</v>
      </c>
      <c r="H505" s="168" t="str">
        <f>VLOOKUP($A505,'030523 INVENTARIO'!$A$2:$Y$1148,17,FALSE)</f>
        <v>S/M</v>
      </c>
      <c r="I505" s="167" t="str">
        <f>VLOOKUP($A505,'030523 INVENTARIO'!$A$2:$Y$1148,18,FALSE)</f>
        <v>S/M</v>
      </c>
      <c r="J505" s="168" t="str">
        <f>VLOOKUP($A505,'030523 INVENTARIO'!$A$2:$Y$1148,19,FALSE)</f>
        <v>SIN SERIE</v>
      </c>
      <c r="K505" s="168" t="str">
        <f>VLOOKUP($A505,'030523 INVENTARIO'!$A$2:$Y$1148,20,FALSE)</f>
        <v>82DH0515010033000564635</v>
      </c>
      <c r="L505" s="167" t="str">
        <f>VLOOKUP($A505,'030523 INVENTARIO'!$A$2:$Y$1148,23,FALSE)</f>
        <v>FLORENCIA PEREZ NEGRON HUERTA</v>
      </c>
    </row>
    <row r="506" spans="1:12" ht="12.75" hidden="1">
      <c r="A506" s="167" t="str">
        <f>'030523 INVENTARIO'!A506</f>
        <v>0505</v>
      </c>
      <c r="B506" s="167" t="str">
        <f>'030523 INVENTARIO'!T506</f>
        <v>SIN RESGUARDO</v>
      </c>
      <c r="C506" s="167" t="str">
        <f t="shared" si="0"/>
        <v/>
      </c>
      <c r="D506" s="167" t="e">
        <f>IF(VLOOKUP(C506,'Patrimonio 2023'!$C$2:$C$1128,1,FALSE) = C506, "Encontrado", "no")</f>
        <v>#N/A</v>
      </c>
      <c r="E506" s="167" t="str">
        <f>VLOOKUP($A506,'030523 INVENTARIO'!$A$2:$Y$1148,5,FALSE)</f>
        <v>COMPUTADORA DE ESCRITORIO</v>
      </c>
      <c r="F506" s="167" t="str">
        <f>VLOOKUP($A506,'030523 INVENTARIO'!$A$2:$Y$1148,6,FALSE)</f>
        <v>COMPUTADORA DE ESCRITORIO ACTEK</v>
      </c>
      <c r="G506" s="167" t="str">
        <f ca="1">VLOOKUP($A506,'030523 INVENTARIO'!$A$2:$Y$1148,8,FALSE)</f>
        <v>P13SO-0505</v>
      </c>
      <c r="H506" s="168" t="str">
        <f>VLOOKUP($A506,'030523 INVENTARIO'!$A$2:$Y$1148,17,FALSE)</f>
        <v>ACTECK</v>
      </c>
      <c r="I506" s="167" t="str">
        <f>VLOOKUP($A506,'030523 INVENTARIO'!$A$2:$Y$1148,18,FALSE)</f>
        <v>LINX</v>
      </c>
      <c r="J506" s="167">
        <f>VLOOKUP($A506,'030523 INVENTARIO'!$A$2:$Y$1148,19,FALSE)</f>
        <v>11392903012354</v>
      </c>
      <c r="K506" s="167" t="str">
        <f>VLOOKUP($A506,'030523 INVENTARIO'!$A$2:$Y$1148,20,FALSE)</f>
        <v>SIN RESGUARDO</v>
      </c>
      <c r="L506" s="167" t="str">
        <f>VLOOKUP($A506,'030523 INVENTARIO'!$A$2:$Y$1148,23,FALSE)</f>
        <v>FLORENCIA PEREZ NEGRON HUERTA</v>
      </c>
    </row>
    <row r="507" spans="1:12" ht="12.75" hidden="1">
      <c r="A507" s="167" t="str">
        <f>'030523 INVENTARIO'!A507</f>
        <v>0506</v>
      </c>
      <c r="B507" s="167" t="str">
        <f>'030523 INVENTARIO'!T507</f>
        <v>SIN RESGUARDO</v>
      </c>
      <c r="C507" s="167" t="str">
        <f t="shared" si="0"/>
        <v/>
      </c>
      <c r="D507" s="167" t="e">
        <f>IF(VLOOKUP(C507,'Patrimonio 2023'!$C$2:$C$1128,1,FALSE) = C507, "Encontrado", "no")</f>
        <v>#N/A</v>
      </c>
      <c r="E507" s="167" t="str">
        <f>VLOOKUP($A507,'030523 INVENTARIO'!$A$2:$Y$1148,5,FALSE)</f>
        <v>MONITOR</v>
      </c>
      <c r="F507" s="167" t="str">
        <f>VLOOKUP($A507,'030523 INVENTARIO'!$A$2:$Y$1148,6,FALSE)</f>
        <v>MONITOR 21" ACER</v>
      </c>
      <c r="G507" s="167" t="str">
        <f ca="1">VLOOKUP($A507,'030523 INVENTARIO'!$A$2:$Y$1148,8,FALSE)</f>
        <v>P13SO-0506</v>
      </c>
      <c r="H507" s="168" t="str">
        <f>VLOOKUP($A507,'030523 INVENTARIO'!$A$2:$Y$1148,17,FALSE)</f>
        <v>ACER</v>
      </c>
      <c r="I507" s="167" t="str">
        <f>VLOOKUP($A507,'030523 INVENTARIO'!$A$2:$Y$1148,18,FALSE)</f>
        <v>V226HQL</v>
      </c>
      <c r="J507" s="167" t="str">
        <f>VLOOKUP($A507,'030523 INVENTARIO'!$A$2:$Y$1148,19,FALSE)</f>
        <v>MMTAASAA007052057853P00</v>
      </c>
      <c r="K507" s="167" t="str">
        <f>VLOOKUP($A507,'030523 INVENTARIO'!$A$2:$Y$1148,20,FALSE)</f>
        <v>SIN RESGUARDO</v>
      </c>
      <c r="L507" s="167" t="str">
        <f>VLOOKUP($A507,'030523 INVENTARIO'!$A$2:$Y$1148,23,FALSE)</f>
        <v>FLORENCIA PEREZ NEGRON HUERTA</v>
      </c>
    </row>
    <row r="508" spans="1:12" ht="12.75" hidden="1">
      <c r="A508" s="167" t="str">
        <f>'030523 INVENTARIO'!A508</f>
        <v>0507</v>
      </c>
      <c r="B508" s="168" t="str">
        <f>'030523 INVENTARIO'!T508</f>
        <v>82DH0529030003000649718</v>
      </c>
      <c r="C508" s="167" t="str">
        <f t="shared" si="0"/>
        <v>649718</v>
      </c>
      <c r="D508" s="167" t="str">
        <f>IF(VLOOKUP(C508,'Patrimonio 2023'!$C$2:$C$1128,1,FALSE) = C508, "Encontrado", "no")</f>
        <v>Encontrado</v>
      </c>
      <c r="E508" s="167" t="str">
        <f>VLOOKUP($A508,'030523 INVENTARIO'!$A$2:$Y$1148,5,FALSE)</f>
        <v>PIZARRON</v>
      </c>
      <c r="F508" s="167" t="str">
        <f>VLOOKUP($A508,'030523 INVENTARIO'!$A$2:$Y$1148,6,FALSE)</f>
        <v>PIZARRON BLANCO 240X120</v>
      </c>
      <c r="G508" s="167" t="str">
        <f ca="1">VLOOKUP($A508,'030523 INVENTARIO'!$A$2:$Y$1148,8,FALSE)</f>
        <v>P13SO-0507</v>
      </c>
      <c r="H508" s="168" t="str">
        <f>VLOOKUP($A508,'030523 INVENTARIO'!$A$2:$Y$1148,17,FALSE)</f>
        <v>S/M</v>
      </c>
      <c r="I508" s="167" t="str">
        <f>VLOOKUP($A508,'030523 INVENTARIO'!$A$2:$Y$1148,18,FALSE)</f>
        <v>S/M</v>
      </c>
      <c r="J508" s="168" t="str">
        <f>VLOOKUP($A508,'030523 INVENTARIO'!$A$2:$Y$1148,19,FALSE)</f>
        <v>SIN SERIE</v>
      </c>
      <c r="K508" s="168" t="str">
        <f>VLOOKUP($A508,'030523 INVENTARIO'!$A$2:$Y$1148,20,FALSE)</f>
        <v>82DH0529030003000649718</v>
      </c>
      <c r="L508" s="167" t="str">
        <f>VLOOKUP($A508,'030523 INVENTARIO'!$A$2:$Y$1148,23,FALSE)</f>
        <v>FLORENCIA PEREZ NEGRON HUERTA</v>
      </c>
    </row>
    <row r="509" spans="1:12" ht="12.75" hidden="1">
      <c r="A509" s="167" t="str">
        <f>'030523 INVENTARIO'!A509</f>
        <v>0508</v>
      </c>
      <c r="B509" s="168" t="str">
        <f>'030523 INVENTARIO'!T509</f>
        <v>82DH0531010065000564807</v>
      </c>
      <c r="C509" s="167" t="str">
        <f t="shared" si="0"/>
        <v>564807</v>
      </c>
      <c r="D509" s="167" t="str">
        <f>IF(VLOOKUP(C509,'Patrimonio 2023'!$C$2:$C$1128,1,FALSE) = C509, "Encontrado", "no")</f>
        <v>Encontrado</v>
      </c>
      <c r="E509" s="167" t="str">
        <f>VLOOKUP($A509,'030523 INVENTARIO'!$A$2:$Y$1148,5,FALSE)</f>
        <v>MESA</v>
      </c>
      <c r="F509" s="167" t="str">
        <f>VLOOKUP($A509,'030523 INVENTARIO'!$A$2:$Y$1148,6,FALSE)</f>
        <v>MESA BLANCA CON BASE DE METAL 60X40</v>
      </c>
      <c r="G509" s="167" t="str">
        <f ca="1">VLOOKUP($A509,'030523 INVENTARIO'!$A$2:$Y$1148,8,FALSE)</f>
        <v>P13SO-0508</v>
      </c>
      <c r="H509" s="168" t="str">
        <f>VLOOKUP($A509,'030523 INVENTARIO'!$A$2:$Y$1148,17,FALSE)</f>
        <v>S/M</v>
      </c>
      <c r="I509" s="167" t="str">
        <f>VLOOKUP($A509,'030523 INVENTARIO'!$A$2:$Y$1148,18,FALSE)</f>
        <v>S/M</v>
      </c>
      <c r="J509" s="168" t="str">
        <f>VLOOKUP($A509,'030523 INVENTARIO'!$A$2:$Y$1148,19,FALSE)</f>
        <v>SIN SERIE</v>
      </c>
      <c r="K509" s="168" t="str">
        <f>VLOOKUP($A509,'030523 INVENTARIO'!$A$2:$Y$1148,20,FALSE)</f>
        <v>82DH0531010065000564807</v>
      </c>
      <c r="L509" s="167" t="str">
        <f>VLOOKUP($A509,'030523 INVENTARIO'!$A$2:$Y$1148,23,FALSE)</f>
        <v>FLORENCIA PEREZ NEGRON HUERTA</v>
      </c>
    </row>
    <row r="510" spans="1:12" ht="12.75" hidden="1">
      <c r="A510" s="167" t="str">
        <f>'030523 INVENTARIO'!A510</f>
        <v>0509</v>
      </c>
      <c r="B510" s="168" t="str">
        <f>'030523 INVENTARIO'!T510</f>
        <v>82DH0511010005000649732</v>
      </c>
      <c r="C510" s="167" t="str">
        <f t="shared" si="0"/>
        <v>649732</v>
      </c>
      <c r="D510" s="167" t="str">
        <f>IF(VLOOKUP(C510,'Patrimonio 2023'!$C$2:$C$1128,1,FALSE) = C510, "Encontrado", "no")</f>
        <v>Encontrado</v>
      </c>
      <c r="E510" s="167" t="str">
        <f>VLOOKUP($A510,'030523 INVENTARIO'!$A$2:$Y$1148,5,FALSE)</f>
        <v>CREDENZA</v>
      </c>
      <c r="F510" s="167" t="str">
        <f>VLOOKUP($A510,'030523 INVENTARIO'!$A$2:$Y$1148,6,FALSE)</f>
        <v>CREDENZA DE MADERA 160X40</v>
      </c>
      <c r="G510" s="167" t="str">
        <f ca="1">VLOOKUP($A510,'030523 INVENTARIO'!$A$2:$Y$1148,8,FALSE)</f>
        <v>P13SO-0509</v>
      </c>
      <c r="H510" s="168" t="str">
        <f>VLOOKUP($A510,'030523 INVENTARIO'!$A$2:$Y$1148,17,FALSE)</f>
        <v>S/M</v>
      </c>
      <c r="I510" s="167" t="str">
        <f>VLOOKUP($A510,'030523 INVENTARIO'!$A$2:$Y$1148,18,FALSE)</f>
        <v>S/M</v>
      </c>
      <c r="J510" s="168" t="str">
        <f>VLOOKUP($A510,'030523 INVENTARIO'!$A$2:$Y$1148,19,FALSE)</f>
        <v>SIN SERIE</v>
      </c>
      <c r="K510" s="168" t="str">
        <f>VLOOKUP($A510,'030523 INVENTARIO'!$A$2:$Y$1148,20,FALSE)</f>
        <v>82DH0511010005000649732</v>
      </c>
      <c r="L510" s="167" t="str">
        <f>VLOOKUP($A510,'030523 INVENTARIO'!$A$2:$Y$1148,23,FALSE)</f>
        <v>FLORENCIA PEREZ NEGRON HUERTA</v>
      </c>
    </row>
    <row r="511" spans="1:12" ht="12.75" hidden="1">
      <c r="A511" s="167" t="str">
        <f>'030523 INVENTARIO'!A511</f>
        <v>0510</v>
      </c>
      <c r="B511" s="168" t="str">
        <f>'030523 INVENTARIO'!T511</f>
        <v>82DH0511010017000516176</v>
      </c>
      <c r="C511" s="167" t="str">
        <f t="shared" si="0"/>
        <v>516176</v>
      </c>
      <c r="D511" s="167" t="str">
        <f>IF(VLOOKUP(C511,'Patrimonio 2023'!$C$2:$C$1128,1,FALSE) = C511, "Encontrado", "no")</f>
        <v>Encontrado</v>
      </c>
      <c r="E511" s="167" t="str">
        <f>VLOOKUP($A511,'030523 INVENTARIO'!$A$2:$Y$1148,5,FALSE)</f>
        <v>SILLA</v>
      </c>
      <c r="F511" s="167" t="str">
        <f>VLOOKUP($A511,'030523 INVENTARIO'!$A$2:$Y$1148,6,FALSE)</f>
        <v>SILLA FIJA  CAFÉ</v>
      </c>
      <c r="G511" s="167" t="str">
        <f ca="1">VLOOKUP($A511,'030523 INVENTARIO'!$A$2:$Y$1148,8,FALSE)</f>
        <v>P13SO-0510</v>
      </c>
      <c r="H511" s="168" t="str">
        <f>VLOOKUP($A511,'030523 INVENTARIO'!$A$2:$Y$1148,17,FALSE)</f>
        <v>S/M</v>
      </c>
      <c r="I511" s="167" t="str">
        <f>VLOOKUP($A511,'030523 INVENTARIO'!$A$2:$Y$1148,18,FALSE)</f>
        <v>S/M</v>
      </c>
      <c r="J511" s="168" t="str">
        <f>VLOOKUP($A511,'030523 INVENTARIO'!$A$2:$Y$1148,19,FALSE)</f>
        <v>SIN SERIE</v>
      </c>
      <c r="K511" s="168" t="str">
        <f>VLOOKUP($A511,'030523 INVENTARIO'!$A$2:$Y$1148,20,FALSE)</f>
        <v>82DH0511010017000516176</v>
      </c>
      <c r="L511" s="167" t="str">
        <f>VLOOKUP($A511,'030523 INVENTARIO'!$A$2:$Y$1148,23,FALSE)</f>
        <v>FLORENCIA PEREZ NEGRON HUERTA</v>
      </c>
    </row>
    <row r="512" spans="1:12" ht="12.75" hidden="1">
      <c r="A512" s="167" t="str">
        <f>'030523 INVENTARIO'!A512</f>
        <v>0511</v>
      </c>
      <c r="B512" s="168" t="str">
        <f>'030523 INVENTARIO'!T512</f>
        <v>82DH0511010028000539037</v>
      </c>
      <c r="C512" s="167" t="str">
        <f t="shared" si="0"/>
        <v>539037</v>
      </c>
      <c r="D512" s="167" t="str">
        <f>IF(VLOOKUP(C512,'Patrimonio 2023'!$C$2:$C$1128,1,FALSE) = C512, "Encontrado", "no")</f>
        <v>Encontrado</v>
      </c>
      <c r="E512" s="167" t="str">
        <f>VLOOKUP($A512,'030523 INVENTARIO'!$A$2:$Y$1148,5,FALSE)</f>
        <v>ESTANTE O ANAQUEL</v>
      </c>
      <c r="F512" s="167" t="str">
        <f>VLOOKUP($A512,'030523 INVENTARIO'!$A$2:$Y$1148,6,FALSE)</f>
        <v>ESTANTE GRIS DE METAL CON 5 CHAROLAS 45X92</v>
      </c>
      <c r="G512" s="167" t="str">
        <f ca="1">VLOOKUP($A512,'030523 INVENTARIO'!$A$2:$Y$1148,8,FALSE)</f>
        <v>P13SO-0511</v>
      </c>
      <c r="H512" s="168" t="str">
        <f>VLOOKUP($A512,'030523 INVENTARIO'!$A$2:$Y$1148,17,FALSE)</f>
        <v>S/M</v>
      </c>
      <c r="I512" s="167" t="str">
        <f>VLOOKUP($A512,'030523 INVENTARIO'!$A$2:$Y$1148,18,FALSE)</f>
        <v>S/M</v>
      </c>
      <c r="J512" s="168" t="str">
        <f>VLOOKUP($A512,'030523 INVENTARIO'!$A$2:$Y$1148,19,FALSE)</f>
        <v>SIN SERIE</v>
      </c>
      <c r="K512" s="168" t="str">
        <f>VLOOKUP($A512,'030523 INVENTARIO'!$A$2:$Y$1148,20,FALSE)</f>
        <v>82DH0511010028000539037</v>
      </c>
      <c r="L512" s="167" t="str">
        <f>VLOOKUP($A512,'030523 INVENTARIO'!$A$2:$Y$1148,23,FALSE)</f>
        <v>FLORENCIA PEREZ NEGRON HUERTA</v>
      </c>
    </row>
    <row r="513" spans="1:12" ht="12.75" hidden="1">
      <c r="A513" s="167" t="str">
        <f>'030523 INVENTARIO'!A513</f>
        <v>0512</v>
      </c>
      <c r="B513" s="168" t="str">
        <f>'030523 INVENTARIO'!T513</f>
        <v>82DH0511010028000535444</v>
      </c>
      <c r="C513" s="167" t="str">
        <f t="shared" si="0"/>
        <v>535444</v>
      </c>
      <c r="D513" s="167" t="str">
        <f>IF(VLOOKUP(C513,'Patrimonio 2023'!$C$2:$C$1128,1,FALSE) = C513, "Encontrado", "no")</f>
        <v>Encontrado</v>
      </c>
      <c r="E513" s="167" t="str">
        <f>VLOOKUP($A513,'030523 INVENTARIO'!$A$2:$Y$1148,5,FALSE)</f>
        <v>ESTANTE O ANAQUEL</v>
      </c>
      <c r="F513" s="167" t="str">
        <f>VLOOKUP($A513,'030523 INVENTARIO'!$A$2:$Y$1148,6,FALSE)</f>
        <v>ESTANTE GRIS DE METAL CON 5 CHAROLAS 85X45</v>
      </c>
      <c r="G513" s="167" t="str">
        <f ca="1">VLOOKUP($A513,'030523 INVENTARIO'!$A$2:$Y$1148,8,FALSE)</f>
        <v>P13SO-0512</v>
      </c>
      <c r="H513" s="168" t="str">
        <f>VLOOKUP($A513,'030523 INVENTARIO'!$A$2:$Y$1148,17,FALSE)</f>
        <v>S/M</v>
      </c>
      <c r="I513" s="167" t="str">
        <f>VLOOKUP($A513,'030523 INVENTARIO'!$A$2:$Y$1148,18,FALSE)</f>
        <v>S/M</v>
      </c>
      <c r="J513" s="168" t="str">
        <f>VLOOKUP($A513,'030523 INVENTARIO'!$A$2:$Y$1148,19,FALSE)</f>
        <v>SIN SERIE</v>
      </c>
      <c r="K513" s="168" t="str">
        <f>VLOOKUP($A513,'030523 INVENTARIO'!$A$2:$Y$1148,20,FALSE)</f>
        <v>82DH0511010028000535444</v>
      </c>
      <c r="L513" s="167" t="str">
        <f>VLOOKUP($A513,'030523 INVENTARIO'!$A$2:$Y$1148,23,FALSE)</f>
        <v>FLORENCIA PEREZ NEGRON HUERTA</v>
      </c>
    </row>
    <row r="514" spans="1:12" ht="12.75" hidden="1">
      <c r="A514" s="167" t="str">
        <f>'030523 INVENTARIO'!A514</f>
        <v>0513</v>
      </c>
      <c r="B514" s="168" t="str">
        <f>'030523 INVENTARIO'!T514</f>
        <v>82DH0519010048000539141</v>
      </c>
      <c r="C514" s="167" t="str">
        <f t="shared" si="0"/>
        <v>539141</v>
      </c>
      <c r="D514" s="167" t="str">
        <f>IF(VLOOKUP(C514,'Patrimonio 2023'!$C$2:$C$1128,1,FALSE) = C514, "Encontrado", "no")</f>
        <v>Encontrado</v>
      </c>
      <c r="E514" s="167" t="str">
        <f>VLOOKUP($A514,'030523 INVENTARIO'!$A$2:$Y$1148,5,FALSE)</f>
        <v>CHAROLA</v>
      </c>
      <c r="F514" s="167" t="str">
        <f>VLOOKUP($A514,'030523 INVENTARIO'!$A$2:$Y$1148,6,FALSE)</f>
        <v>CHAROLA METALICA PARA ESTANTE</v>
      </c>
      <c r="G514" s="167" t="str">
        <f ca="1">VLOOKUP($A514,'030523 INVENTARIO'!$A$2:$Y$1148,8,FALSE)</f>
        <v>P13SO-0513</v>
      </c>
      <c r="H514" s="168" t="str">
        <f>VLOOKUP($A514,'030523 INVENTARIO'!$A$2:$Y$1148,17,FALSE)</f>
        <v>S/M</v>
      </c>
      <c r="I514" s="167" t="str">
        <f>VLOOKUP($A514,'030523 INVENTARIO'!$A$2:$Y$1148,18,FALSE)</f>
        <v>S/M</v>
      </c>
      <c r="J514" s="168" t="str">
        <f>VLOOKUP($A514,'030523 INVENTARIO'!$A$2:$Y$1148,19,FALSE)</f>
        <v>SIN SERIE</v>
      </c>
      <c r="K514" s="168" t="str">
        <f>VLOOKUP($A514,'030523 INVENTARIO'!$A$2:$Y$1148,20,FALSE)</f>
        <v>82DH0519010048000539141</v>
      </c>
      <c r="L514" s="167" t="str">
        <f>VLOOKUP($A514,'030523 INVENTARIO'!$A$2:$Y$1148,23,FALSE)</f>
        <v>FLORENCIA PEREZ NEGRON HUERTA</v>
      </c>
    </row>
    <row r="515" spans="1:12" ht="12.75" hidden="1">
      <c r="A515" s="167" t="str">
        <f>'030523 INVENTARIO'!A515</f>
        <v>0514</v>
      </c>
      <c r="B515" s="168" t="str">
        <f>'030523 INVENTARIO'!T515</f>
        <v>82DH0511010028000535441</v>
      </c>
      <c r="C515" s="167" t="str">
        <f t="shared" si="0"/>
        <v>535441</v>
      </c>
      <c r="D515" s="167" t="str">
        <f>IF(VLOOKUP(C515,'Patrimonio 2023'!$C$2:$C$1128,1,FALSE) = C515, "Encontrado", "no")</f>
        <v>Encontrado</v>
      </c>
      <c r="E515" s="167" t="str">
        <f>VLOOKUP($A515,'030523 INVENTARIO'!$A$2:$Y$1148,5,FALSE)</f>
        <v>ESTANTE O ANAQUEL</v>
      </c>
      <c r="F515" s="168" t="str">
        <f>VLOOKUP($A515,'030523 INVENTARIO'!$A$2:$Y$1148,6,FALSE)</f>
        <v>ESTANTE GRIS DE METAL CON 5 CHAROLAS</v>
      </c>
      <c r="G515" s="167" t="str">
        <f ca="1">VLOOKUP($A515,'030523 INVENTARIO'!$A$2:$Y$1148,8,FALSE)</f>
        <v>P13SO-0514</v>
      </c>
      <c r="H515" s="168" t="str">
        <f>VLOOKUP($A515,'030523 INVENTARIO'!$A$2:$Y$1148,17,FALSE)</f>
        <v>S/M</v>
      </c>
      <c r="I515" s="167" t="str">
        <f>VLOOKUP($A515,'030523 INVENTARIO'!$A$2:$Y$1148,18,FALSE)</f>
        <v>S/M</v>
      </c>
      <c r="J515" s="168" t="str">
        <f>VLOOKUP($A515,'030523 INVENTARIO'!$A$2:$Y$1148,19,FALSE)</f>
        <v>SIN SERIE</v>
      </c>
      <c r="K515" s="168" t="str">
        <f>VLOOKUP($A515,'030523 INVENTARIO'!$A$2:$Y$1148,20,FALSE)</f>
        <v>82DH0511010028000535441</v>
      </c>
      <c r="L515" s="167" t="str">
        <f>VLOOKUP($A515,'030523 INVENTARIO'!$A$2:$Y$1148,23,FALSE)</f>
        <v>FLORENCIA PEREZ NEGRON HUERTA</v>
      </c>
    </row>
    <row r="516" spans="1:12" ht="12.75" hidden="1">
      <c r="A516" s="167" t="str">
        <f>'030523 INVENTARIO'!A516</f>
        <v>0515</v>
      </c>
      <c r="B516" s="168" t="str">
        <f>'030523 INVENTARIO'!T516</f>
        <v>82DJ0511010019000651104</v>
      </c>
      <c r="C516" s="167" t="str">
        <f t="shared" si="0"/>
        <v>651104</v>
      </c>
      <c r="D516" s="167" t="str">
        <f>IF(VLOOKUP(C516,'Patrimonio 2023'!$C$2:$C$1128,1,FALSE) = C516, "Encontrado", "no")</f>
        <v>Encontrado</v>
      </c>
      <c r="E516" s="167" t="str">
        <f>VLOOKUP($A516,'030523 INVENTARIO'!$A$2:$Y$1148,5,FALSE)</f>
        <v>CHAROLA</v>
      </c>
      <c r="F516" s="167" t="str">
        <f>VLOOKUP($A516,'030523 INVENTARIO'!$A$2:$Y$1148,6,FALSE)</f>
        <v>CHAROLA METALICA PARA ESTANTE</v>
      </c>
      <c r="G516" s="167" t="str">
        <f ca="1">VLOOKUP($A516,'030523 INVENTARIO'!$A$2:$Y$1148,8,FALSE)</f>
        <v>P13SO-0515</v>
      </c>
      <c r="H516" s="168" t="str">
        <f>VLOOKUP($A516,'030523 INVENTARIO'!$A$2:$Y$1148,17,FALSE)</f>
        <v>S/M</v>
      </c>
      <c r="I516" s="167" t="str">
        <f>VLOOKUP($A516,'030523 INVENTARIO'!$A$2:$Y$1148,18,FALSE)</f>
        <v>S/M</v>
      </c>
      <c r="J516" s="168" t="str">
        <f>VLOOKUP($A516,'030523 INVENTARIO'!$A$2:$Y$1148,19,FALSE)</f>
        <v>SIN SERIE</v>
      </c>
      <c r="K516" s="168" t="str">
        <f>VLOOKUP($A516,'030523 INVENTARIO'!$A$2:$Y$1148,20,FALSE)</f>
        <v>82DJ0511010019000651104</v>
      </c>
      <c r="L516" s="167" t="str">
        <f>VLOOKUP($A516,'030523 INVENTARIO'!$A$2:$Y$1148,23,FALSE)</f>
        <v>FLORENCIA PEREZ NEGRON HUERTA</v>
      </c>
    </row>
    <row r="517" spans="1:12" ht="12.75" hidden="1">
      <c r="A517" s="167" t="str">
        <f>'030523 INVENTARIO'!A517</f>
        <v>0516</v>
      </c>
      <c r="B517" s="168" t="str">
        <f>'030523 INVENTARIO'!T517</f>
        <v>82DH0511010028000535443</v>
      </c>
      <c r="C517" s="167" t="str">
        <f t="shared" si="0"/>
        <v>535443</v>
      </c>
      <c r="D517" s="167" t="str">
        <f>IF(VLOOKUP(C517,'Patrimonio 2023'!$C$2:$C$1128,1,FALSE) = C517, "Encontrado", "no")</f>
        <v>Encontrado</v>
      </c>
      <c r="E517" s="167" t="str">
        <f>VLOOKUP($A517,'030523 INVENTARIO'!$A$2:$Y$1148,5,FALSE)</f>
        <v>ESTANTE O ANAQUEL</v>
      </c>
      <c r="F517" s="168" t="str">
        <f>VLOOKUP($A517,'030523 INVENTARIO'!$A$2:$Y$1148,6,FALSE)</f>
        <v>ESTANTE GRIS DE METAL CON 5 CHAROLAS</v>
      </c>
      <c r="G517" s="167" t="str">
        <f ca="1">VLOOKUP($A517,'030523 INVENTARIO'!$A$2:$Y$1148,8,FALSE)</f>
        <v>P13SO-0516</v>
      </c>
      <c r="H517" s="168" t="str">
        <f>VLOOKUP($A517,'030523 INVENTARIO'!$A$2:$Y$1148,17,FALSE)</f>
        <v>S/M</v>
      </c>
      <c r="I517" s="167" t="str">
        <f>VLOOKUP($A517,'030523 INVENTARIO'!$A$2:$Y$1148,18,FALSE)</f>
        <v>S/M</v>
      </c>
      <c r="J517" s="168" t="str">
        <f>VLOOKUP($A517,'030523 INVENTARIO'!$A$2:$Y$1148,19,FALSE)</f>
        <v>SIN SERIE</v>
      </c>
      <c r="K517" s="168" t="str">
        <f>VLOOKUP($A517,'030523 INVENTARIO'!$A$2:$Y$1148,20,FALSE)</f>
        <v>82DH0511010028000535443</v>
      </c>
      <c r="L517" s="167" t="str">
        <f>VLOOKUP($A517,'030523 INVENTARIO'!$A$2:$Y$1148,23,FALSE)</f>
        <v>FLORENCIA PEREZ NEGRON HUERTA</v>
      </c>
    </row>
    <row r="518" spans="1:12" ht="12.75" hidden="1">
      <c r="A518" s="167" t="str">
        <f>'030523 INVENTARIO'!A518</f>
        <v>0517</v>
      </c>
      <c r="B518" s="167" t="str">
        <f>'030523 INVENTARIO'!T518</f>
        <v>82DH0519010048000539140</v>
      </c>
      <c r="C518" s="167" t="str">
        <f t="shared" si="0"/>
        <v>539140</v>
      </c>
      <c r="D518" s="167" t="str">
        <f>IF(VLOOKUP(C518,'Patrimonio 2023'!$C$2:$C$1128,1,FALSE) = C518, "Encontrado", "no")</f>
        <v>Encontrado</v>
      </c>
      <c r="E518" s="167" t="str">
        <f>VLOOKUP($A518,'030523 INVENTARIO'!$A$2:$Y$1148,5,FALSE)</f>
        <v>CHAROLA</v>
      </c>
      <c r="F518" s="167" t="str">
        <f>VLOOKUP($A518,'030523 INVENTARIO'!$A$2:$Y$1148,6,FALSE)</f>
        <v>CHAROLA METALICA PARA ESTANTE</v>
      </c>
      <c r="G518" s="167" t="str">
        <f ca="1">VLOOKUP($A518,'030523 INVENTARIO'!$A$2:$Y$1148,8,FALSE)</f>
        <v>P13SO-0517</v>
      </c>
      <c r="H518" s="168" t="str">
        <f>VLOOKUP($A518,'030523 INVENTARIO'!$A$2:$Y$1148,17,FALSE)</f>
        <v>S/M</v>
      </c>
      <c r="I518" s="167" t="str">
        <f>VLOOKUP($A518,'030523 INVENTARIO'!$A$2:$Y$1148,18,FALSE)</f>
        <v>S/M</v>
      </c>
      <c r="J518" s="167" t="str">
        <f>VLOOKUP($A518,'030523 INVENTARIO'!$A$2:$Y$1148,19,FALSE)</f>
        <v>SIN SERIE</v>
      </c>
      <c r="K518" s="167" t="str">
        <f>VLOOKUP($A518,'030523 INVENTARIO'!$A$2:$Y$1148,20,FALSE)</f>
        <v>82DH0519010048000539140</v>
      </c>
      <c r="L518" s="167" t="str">
        <f>VLOOKUP($A518,'030523 INVENTARIO'!$A$2:$Y$1148,23,FALSE)</f>
        <v>FLORENCIA PEREZ NEGRON HUERTA</v>
      </c>
    </row>
    <row r="519" spans="1:12" ht="12.75" hidden="1">
      <c r="A519" s="167" t="str">
        <f>'030523 INVENTARIO'!A519</f>
        <v>0518</v>
      </c>
      <c r="B519" s="168" t="str">
        <f>'030523 INVENTARIO'!T519</f>
        <v>82DH0511010020000649739</v>
      </c>
      <c r="C519" s="167" t="str">
        <f t="shared" si="0"/>
        <v>649739</v>
      </c>
      <c r="D519" s="167" t="str">
        <f>IF(VLOOKUP(C519,'Patrimonio 2023'!$C$2:$C$1128,1,FALSE) = C519, "Encontrado", "no")</f>
        <v>Encontrado</v>
      </c>
      <c r="E519" s="167" t="str">
        <f>VLOOKUP($A519,'030523 INVENTARIO'!$A$2:$Y$1148,5,FALSE)</f>
        <v>ESTANTE O ANAQUEL</v>
      </c>
      <c r="F519" s="168" t="str">
        <f>VLOOKUP($A519,'030523 INVENTARIO'!$A$2:$Y$1148,6,FALSE)</f>
        <v>ESTANTE GRIS DE METAL CON 6 CHAROLAS</v>
      </c>
      <c r="G519" s="167" t="str">
        <f ca="1">VLOOKUP($A519,'030523 INVENTARIO'!$A$2:$Y$1148,8,FALSE)</f>
        <v>P13SO-0518</v>
      </c>
      <c r="H519" s="168" t="str">
        <f>VLOOKUP($A519,'030523 INVENTARIO'!$A$2:$Y$1148,17,FALSE)</f>
        <v>S/M</v>
      </c>
      <c r="I519" s="167" t="str">
        <f>VLOOKUP($A519,'030523 INVENTARIO'!$A$2:$Y$1148,18,FALSE)</f>
        <v>S/M</v>
      </c>
      <c r="J519" s="168" t="str">
        <f>VLOOKUP($A519,'030523 INVENTARIO'!$A$2:$Y$1148,19,FALSE)</f>
        <v>SIN SERIE</v>
      </c>
      <c r="K519" s="168" t="str">
        <f>VLOOKUP($A519,'030523 INVENTARIO'!$A$2:$Y$1148,20,FALSE)</f>
        <v>82DH0511010020000649739</v>
      </c>
      <c r="L519" s="167" t="str">
        <f>VLOOKUP($A519,'030523 INVENTARIO'!$A$2:$Y$1148,23,FALSE)</f>
        <v>FLORENCIA PEREZ NEGRON HUERTA</v>
      </c>
    </row>
    <row r="520" spans="1:12" ht="12.75" hidden="1">
      <c r="A520" s="167" t="str">
        <f>'030523 INVENTARIO'!A520</f>
        <v>0519</v>
      </c>
      <c r="B520" s="168" t="str">
        <f>'030523 INVENTARIO'!T520</f>
        <v>82DH0511010028000539038</v>
      </c>
      <c r="C520" s="167" t="str">
        <f t="shared" si="0"/>
        <v>539038</v>
      </c>
      <c r="D520" s="167" t="str">
        <f>IF(VLOOKUP(C520,'Patrimonio 2023'!$C$2:$C$1128,1,FALSE) = C520, "Encontrado", "no")</f>
        <v>Encontrado</v>
      </c>
      <c r="E520" s="167" t="str">
        <f>VLOOKUP($A520,'030523 INVENTARIO'!$A$2:$Y$1148,5,FALSE)</f>
        <v>ESTANTE O ANAQUEL</v>
      </c>
      <c r="F520" s="168" t="str">
        <f>VLOOKUP($A520,'030523 INVENTARIO'!$A$2:$Y$1148,6,FALSE)</f>
        <v>ESTANTE GRIS DE METAL CON 5 CHAROLAS</v>
      </c>
      <c r="G520" s="167" t="str">
        <f ca="1">VLOOKUP($A520,'030523 INVENTARIO'!$A$2:$Y$1148,8,FALSE)</f>
        <v>P13SO-0519</v>
      </c>
      <c r="H520" s="168" t="str">
        <f>VLOOKUP($A520,'030523 INVENTARIO'!$A$2:$Y$1148,17,FALSE)</f>
        <v>S/M</v>
      </c>
      <c r="I520" s="167" t="str">
        <f>VLOOKUP($A520,'030523 INVENTARIO'!$A$2:$Y$1148,18,FALSE)</f>
        <v>S/M</v>
      </c>
      <c r="J520" s="168" t="str">
        <f>VLOOKUP($A520,'030523 INVENTARIO'!$A$2:$Y$1148,19,FALSE)</f>
        <v>SIN SERIE</v>
      </c>
      <c r="K520" s="168" t="str">
        <f>VLOOKUP($A520,'030523 INVENTARIO'!$A$2:$Y$1148,20,FALSE)</f>
        <v>82DH0511010028000539038</v>
      </c>
      <c r="L520" s="167" t="str">
        <f>VLOOKUP($A520,'030523 INVENTARIO'!$A$2:$Y$1148,23,FALSE)</f>
        <v>FLORENCIA PEREZ NEGRON HUERTA</v>
      </c>
    </row>
    <row r="521" spans="1:12" ht="12.75" hidden="1">
      <c r="A521" s="167" t="str">
        <f>'030523 INVENTARIO'!A521</f>
        <v>0520</v>
      </c>
      <c r="B521" s="167" t="str">
        <f>'030523 INVENTARIO'!T521</f>
        <v>SIN RESGUARDO</v>
      </c>
      <c r="C521" s="167" t="str">
        <f t="shared" si="0"/>
        <v/>
      </c>
      <c r="D521" s="167" t="e">
        <f>IF(VLOOKUP(C521,'Patrimonio 2023'!$C$2:$C$1128,1,FALSE) = C521, "Encontrado", "no")</f>
        <v>#N/A</v>
      </c>
      <c r="E521" s="167" t="str">
        <f>VLOOKUP($A521,'030523 INVENTARIO'!$A$2:$Y$1148,5,FALSE)</f>
        <v>CHAROLA</v>
      </c>
      <c r="F521" s="167" t="str">
        <f>VLOOKUP($A521,'030523 INVENTARIO'!$A$2:$Y$1148,6,FALSE)</f>
        <v>CHAROLA METALICA PARA ESTANTE</v>
      </c>
      <c r="G521" s="167" t="str">
        <f ca="1">VLOOKUP($A521,'030523 INVENTARIO'!$A$2:$Y$1148,8,FALSE)</f>
        <v>P13SO-0520</v>
      </c>
      <c r="H521" s="168" t="str">
        <f>VLOOKUP($A521,'030523 INVENTARIO'!$A$2:$Y$1148,17,FALSE)</f>
        <v>S/M</v>
      </c>
      <c r="I521" s="167" t="str">
        <f>VLOOKUP($A521,'030523 INVENTARIO'!$A$2:$Y$1148,18,FALSE)</f>
        <v>S/M</v>
      </c>
      <c r="J521" s="167" t="str">
        <f>VLOOKUP($A521,'030523 INVENTARIO'!$A$2:$Y$1148,19,FALSE)</f>
        <v>SIN SERIE</v>
      </c>
      <c r="K521" s="167" t="str">
        <f>VLOOKUP($A521,'030523 INVENTARIO'!$A$2:$Y$1148,20,FALSE)</f>
        <v>SIN RESGUARDO</v>
      </c>
      <c r="L521" s="167" t="str">
        <f>VLOOKUP($A521,'030523 INVENTARIO'!$A$2:$Y$1148,23,FALSE)</f>
        <v>FLORENCIA PEREZ NEGRON HUERTA</v>
      </c>
    </row>
    <row r="522" spans="1:12" ht="12.75" hidden="1">
      <c r="A522" s="167" t="str">
        <f>'030523 INVENTARIO'!A522</f>
        <v>0521</v>
      </c>
      <c r="B522" s="168" t="str">
        <f>'030523 INVENTARIO'!T522</f>
        <v>82DH0511010028000584061</v>
      </c>
      <c r="C522" s="167" t="str">
        <f t="shared" si="0"/>
        <v>584061</v>
      </c>
      <c r="D522" s="167" t="str">
        <f>IF(VLOOKUP(C522,'Patrimonio 2023'!$C$2:$C$1128,1,FALSE) = C522, "Encontrado", "no")</f>
        <v>Encontrado</v>
      </c>
      <c r="E522" s="167" t="str">
        <f>VLOOKUP($A522,'030523 INVENTARIO'!$A$2:$Y$1148,5,FALSE)</f>
        <v>ESTANTE O ANAQUEL</v>
      </c>
      <c r="F522" s="168" t="str">
        <f>VLOOKUP($A522,'030523 INVENTARIO'!$A$2:$Y$1148,6,FALSE)</f>
        <v>ESTANTE GRIS DE METAL CON 5 CHAROLAS</v>
      </c>
      <c r="G522" s="167" t="str">
        <f ca="1">VLOOKUP($A522,'030523 INVENTARIO'!$A$2:$Y$1148,8,FALSE)</f>
        <v>P13SO-0521</v>
      </c>
      <c r="H522" s="168" t="str">
        <f>VLOOKUP($A522,'030523 INVENTARIO'!$A$2:$Y$1148,17,FALSE)</f>
        <v>S/M</v>
      </c>
      <c r="I522" s="167" t="str">
        <f>VLOOKUP($A522,'030523 INVENTARIO'!$A$2:$Y$1148,18,FALSE)</f>
        <v>S/M</v>
      </c>
      <c r="J522" s="168" t="str">
        <f>VLOOKUP($A522,'030523 INVENTARIO'!$A$2:$Y$1148,19,FALSE)</f>
        <v>SIN SERIE</v>
      </c>
      <c r="K522" s="168" t="str">
        <f>VLOOKUP($A522,'030523 INVENTARIO'!$A$2:$Y$1148,20,FALSE)</f>
        <v>82DH0511010028000584061</v>
      </c>
      <c r="L522" s="167" t="str">
        <f>VLOOKUP($A522,'030523 INVENTARIO'!$A$2:$Y$1148,23,FALSE)</f>
        <v>FLORENCIA PEREZ NEGRON HUERTA</v>
      </c>
    </row>
    <row r="523" spans="1:12" ht="12.75" hidden="1">
      <c r="A523" s="167" t="str">
        <f>'030523 INVENTARIO'!A523</f>
        <v>0522</v>
      </c>
      <c r="B523" s="167" t="str">
        <f>'030523 INVENTARIO'!T523</f>
        <v>SIN RESGUARDO</v>
      </c>
      <c r="C523" s="167" t="str">
        <f t="shared" si="0"/>
        <v/>
      </c>
      <c r="D523" s="167" t="e">
        <f>IF(VLOOKUP(C523,'Patrimonio 2023'!$C$2:$C$1128,1,FALSE) = C523, "Encontrado", "no")</f>
        <v>#N/A</v>
      </c>
      <c r="E523" s="167" t="str">
        <f>VLOOKUP($A523,'030523 INVENTARIO'!$A$2:$Y$1148,5,FALSE)</f>
        <v>CHAROLA</v>
      </c>
      <c r="F523" s="167" t="str">
        <f>VLOOKUP($A523,'030523 INVENTARIO'!$A$2:$Y$1148,6,FALSE)</f>
        <v>CHAROLA METALICA PARA ESTANTE</v>
      </c>
      <c r="G523" s="167" t="str">
        <f ca="1">VLOOKUP($A523,'030523 INVENTARIO'!$A$2:$Y$1148,8,FALSE)</f>
        <v>P13SO-0522</v>
      </c>
      <c r="H523" s="168" t="str">
        <f>VLOOKUP($A523,'030523 INVENTARIO'!$A$2:$Y$1148,17,FALSE)</f>
        <v>S/M</v>
      </c>
      <c r="I523" s="167" t="str">
        <f>VLOOKUP($A523,'030523 INVENTARIO'!$A$2:$Y$1148,18,FALSE)</f>
        <v>S/M</v>
      </c>
      <c r="J523" s="167" t="str">
        <f>VLOOKUP($A523,'030523 INVENTARIO'!$A$2:$Y$1148,19,FALSE)</f>
        <v>SIN SERIE</v>
      </c>
      <c r="K523" s="167" t="str">
        <f>VLOOKUP($A523,'030523 INVENTARIO'!$A$2:$Y$1148,20,FALSE)</f>
        <v>SIN RESGUARDO</v>
      </c>
      <c r="L523" s="167" t="str">
        <f>VLOOKUP($A523,'030523 INVENTARIO'!$A$2:$Y$1148,23,FALSE)</f>
        <v>FLORENCIA PEREZ NEGRON HUERTA</v>
      </c>
    </row>
    <row r="524" spans="1:12" ht="12.75" hidden="1">
      <c r="A524" s="167" t="str">
        <f>'030523 INVENTARIO'!A524</f>
        <v>0523</v>
      </c>
      <c r="B524" s="168" t="str">
        <f>'030523 INVENTARIO'!T524</f>
        <v>82DH0511010028000532102</v>
      </c>
      <c r="C524" s="167" t="str">
        <f t="shared" si="0"/>
        <v>532102</v>
      </c>
      <c r="D524" s="167" t="str">
        <f>IF(VLOOKUP(C524,'Patrimonio 2023'!$C$2:$C$1128,1,FALSE) = C524, "Encontrado", "no")</f>
        <v>Encontrado</v>
      </c>
      <c r="E524" s="167" t="str">
        <f>VLOOKUP($A524,'030523 INVENTARIO'!$A$2:$Y$1148,5,FALSE)</f>
        <v>ESTANTE O ANAQUEL</v>
      </c>
      <c r="F524" s="167" t="str">
        <f>VLOOKUP($A524,'030523 INVENTARIO'!$A$2:$Y$1148,6,FALSE)</f>
        <v>ESTANTE GRIS DE METAL CON 6 CHAROLAS</v>
      </c>
      <c r="G524" s="167" t="str">
        <f ca="1">VLOOKUP($A524,'030523 INVENTARIO'!$A$2:$Y$1148,8,FALSE)</f>
        <v>P13SO-0523</v>
      </c>
      <c r="H524" s="168" t="str">
        <f>VLOOKUP($A524,'030523 INVENTARIO'!$A$2:$Y$1148,17,FALSE)</f>
        <v>S/M</v>
      </c>
      <c r="I524" s="167" t="str">
        <f>VLOOKUP($A524,'030523 INVENTARIO'!$A$2:$Y$1148,18,FALSE)</f>
        <v>S/M</v>
      </c>
      <c r="J524" s="168" t="str">
        <f>VLOOKUP($A524,'030523 INVENTARIO'!$A$2:$Y$1148,19,FALSE)</f>
        <v>SIN SERIE</v>
      </c>
      <c r="K524" s="168" t="str">
        <f>VLOOKUP($A524,'030523 INVENTARIO'!$A$2:$Y$1148,20,FALSE)</f>
        <v>82DH0511010028000532102</v>
      </c>
      <c r="L524" s="167" t="str">
        <f>VLOOKUP($A524,'030523 INVENTARIO'!$A$2:$Y$1148,23,FALSE)</f>
        <v>FLORENCIA PEREZ NEGRON HUERTA</v>
      </c>
    </row>
    <row r="525" spans="1:12" ht="12.75" hidden="1">
      <c r="A525" s="167" t="str">
        <f>'030523 INVENTARIO'!A525</f>
        <v>0524</v>
      </c>
      <c r="B525" s="167" t="str">
        <f>'030523 INVENTARIO'!T525</f>
        <v>82DH0511010028000539044</v>
      </c>
      <c r="C525" s="167" t="str">
        <f t="shared" si="0"/>
        <v>539044</v>
      </c>
      <c r="D525" s="167" t="str">
        <f>IF(VLOOKUP(C525,'Patrimonio 2023'!$C$2:$C$1128,1,FALSE) = C525, "Encontrado", "no")</f>
        <v>Encontrado</v>
      </c>
      <c r="E525" s="167" t="str">
        <f>VLOOKUP($A525,'030523 INVENTARIO'!$A$2:$Y$1148,5,FALSE)</f>
        <v>ESTANTE O ANAQUEL</v>
      </c>
      <c r="F525" s="167" t="str">
        <f>VLOOKUP($A525,'030523 INVENTARIO'!$A$2:$Y$1148,6,FALSE)</f>
        <v>ESTANTE  METALICO CON 5 CHAROLAS</v>
      </c>
      <c r="G525" s="167" t="str">
        <f ca="1">VLOOKUP($A525,'030523 INVENTARIO'!$A$2:$Y$1148,8,FALSE)</f>
        <v>P13SO-0524</v>
      </c>
      <c r="H525" s="168" t="str">
        <f>VLOOKUP($A525,'030523 INVENTARIO'!$A$2:$Y$1148,17,FALSE)</f>
        <v>S/M</v>
      </c>
      <c r="I525" s="167" t="str">
        <f>VLOOKUP($A525,'030523 INVENTARIO'!$A$2:$Y$1148,18,FALSE)</f>
        <v>S/M</v>
      </c>
      <c r="J525" s="167" t="str">
        <f>VLOOKUP($A525,'030523 INVENTARIO'!$A$2:$Y$1148,19,FALSE)</f>
        <v>SIN SERIE</v>
      </c>
      <c r="K525" s="167" t="str">
        <f>VLOOKUP($A525,'030523 INVENTARIO'!$A$2:$Y$1148,20,FALSE)</f>
        <v>82DH0511010028000539044</v>
      </c>
      <c r="L525" s="167" t="str">
        <f>VLOOKUP($A525,'030523 INVENTARIO'!$A$2:$Y$1148,23,FALSE)</f>
        <v>FLORENCIA PEREZ NEGRON HUERTA</v>
      </c>
    </row>
    <row r="526" spans="1:12" ht="12.75" hidden="1">
      <c r="A526" s="167" t="str">
        <f>'030523 INVENTARIO'!A526</f>
        <v>0525</v>
      </c>
      <c r="B526" s="168" t="str">
        <f>'030523 INVENTARIO'!T526</f>
        <v>82DH0511010028000539026</v>
      </c>
      <c r="C526" s="167" t="str">
        <f t="shared" si="0"/>
        <v>539026</v>
      </c>
      <c r="D526" s="167" t="str">
        <f>IF(VLOOKUP(C526,'Patrimonio 2023'!$C$2:$C$1128,1,FALSE) = C526, "Encontrado", "no")</f>
        <v>Encontrado</v>
      </c>
      <c r="E526" s="167" t="str">
        <f>VLOOKUP($A526,'030523 INVENTARIO'!$A$2:$Y$1148,5,FALSE)</f>
        <v>ESTANTE O ANAQUEL</v>
      </c>
      <c r="F526" s="168" t="str">
        <f>VLOOKUP($A526,'030523 INVENTARIO'!$A$2:$Y$1148,6,FALSE)</f>
        <v>ESTANTE GRIS DE METAL CON 5 CHAROLAS</v>
      </c>
      <c r="G526" s="167" t="str">
        <f ca="1">VLOOKUP($A526,'030523 INVENTARIO'!$A$2:$Y$1148,8,FALSE)</f>
        <v>P13SO-0525</v>
      </c>
      <c r="H526" s="168" t="str">
        <f>VLOOKUP($A526,'030523 INVENTARIO'!$A$2:$Y$1148,17,FALSE)</f>
        <v>S/M</v>
      </c>
      <c r="I526" s="167" t="str">
        <f>VLOOKUP($A526,'030523 INVENTARIO'!$A$2:$Y$1148,18,FALSE)</f>
        <v>S/M</v>
      </c>
      <c r="J526" s="168" t="str">
        <f>VLOOKUP($A526,'030523 INVENTARIO'!$A$2:$Y$1148,19,FALSE)</f>
        <v>SIN SERIE</v>
      </c>
      <c r="K526" s="168" t="str">
        <f>VLOOKUP($A526,'030523 INVENTARIO'!$A$2:$Y$1148,20,FALSE)</f>
        <v>82DH0511010028000539026</v>
      </c>
      <c r="L526" s="167" t="str">
        <f>VLOOKUP($A526,'030523 INVENTARIO'!$A$2:$Y$1148,23,FALSE)</f>
        <v>FLORENCIA PEREZ NEGRON HUERTA</v>
      </c>
    </row>
    <row r="527" spans="1:12" ht="12.75" hidden="1">
      <c r="A527" s="167" t="str">
        <f>'030523 INVENTARIO'!A527</f>
        <v>0526</v>
      </c>
      <c r="B527" s="168" t="str">
        <f>'030523 INVENTARIO'!T527</f>
        <v>82DH0511010001000533241</v>
      </c>
      <c r="C527" s="167" t="str">
        <f t="shared" si="0"/>
        <v>533241</v>
      </c>
      <c r="D527" s="167" t="str">
        <f>IF(VLOOKUP(C527,'Patrimonio 2023'!$C$2:$C$1128,1,FALSE) = C527, "Encontrado", "no")</f>
        <v>Encontrado</v>
      </c>
      <c r="E527" s="167" t="str">
        <f>VLOOKUP($A527,'030523 INVENTARIO'!$A$2:$Y$1148,5,FALSE)</f>
        <v>ARCHIVERO</v>
      </c>
      <c r="F527" s="167" t="str">
        <f>VLOOKUP($A527,'030523 INVENTARIO'!$A$2:$Y$1148,6,FALSE)</f>
        <v>ARCHIVERO BEIGE DE METAL 4 CAJONES</v>
      </c>
      <c r="G527" s="167" t="str">
        <f ca="1">VLOOKUP($A527,'030523 INVENTARIO'!$A$2:$Y$1148,8,FALSE)</f>
        <v>P13SO-0526</v>
      </c>
      <c r="H527" s="168" t="str">
        <f>VLOOKUP($A527,'030523 INVENTARIO'!$A$2:$Y$1148,17,FALSE)</f>
        <v>S/M</v>
      </c>
      <c r="I527" s="167" t="str">
        <f>VLOOKUP($A527,'030523 INVENTARIO'!$A$2:$Y$1148,18,FALSE)</f>
        <v>S/M</v>
      </c>
      <c r="J527" s="168" t="str">
        <f>VLOOKUP($A527,'030523 INVENTARIO'!$A$2:$Y$1148,19,FALSE)</f>
        <v>SIN SERIE</v>
      </c>
      <c r="K527" s="168" t="str">
        <f>VLOOKUP($A527,'030523 INVENTARIO'!$A$2:$Y$1148,20,FALSE)</f>
        <v>82DH0511010001000533241</v>
      </c>
      <c r="L527" s="167" t="str">
        <f>VLOOKUP($A527,'030523 INVENTARIO'!$A$2:$Y$1148,23,FALSE)</f>
        <v>FLORENCIA PEREZ NEGRON HUERTA</v>
      </c>
    </row>
    <row r="528" spans="1:12" ht="12.75" hidden="1">
      <c r="A528" s="167" t="str">
        <f>'030523 INVENTARIO'!A528</f>
        <v>0527</v>
      </c>
      <c r="B528" s="168" t="str">
        <f>'030523 INVENTARIO'!T528</f>
        <v>82DH0511010010000649722</v>
      </c>
      <c r="C528" s="167" t="str">
        <f t="shared" si="0"/>
        <v>649722</v>
      </c>
      <c r="D528" s="167" t="str">
        <f>IF(VLOOKUP(C528,'Patrimonio 2023'!$C$2:$C$1128,1,FALSE) = C528, "Encontrado", "no")</f>
        <v>Encontrado</v>
      </c>
      <c r="E528" s="167" t="str">
        <f>VLOOKUP($A528,'030523 INVENTARIO'!$A$2:$Y$1148,5,FALSE)</f>
        <v>MESA</v>
      </c>
      <c r="F528" s="167" t="str">
        <f>VLOOKUP($A528,'030523 INVENTARIO'!$A$2:$Y$1148,6,FALSE)</f>
        <v>MESA DE MADERA CON BASE DE METAL 100X40</v>
      </c>
      <c r="G528" s="167" t="str">
        <f ca="1">VLOOKUP($A528,'030523 INVENTARIO'!$A$2:$Y$1148,8,FALSE)</f>
        <v>P13SO-0527</v>
      </c>
      <c r="H528" s="168" t="str">
        <f>VLOOKUP($A528,'030523 INVENTARIO'!$A$2:$Y$1148,17,FALSE)</f>
        <v>S/M</v>
      </c>
      <c r="I528" s="167" t="str">
        <f>VLOOKUP($A528,'030523 INVENTARIO'!$A$2:$Y$1148,18,FALSE)</f>
        <v>S/M</v>
      </c>
      <c r="J528" s="168" t="str">
        <f>VLOOKUP($A528,'030523 INVENTARIO'!$A$2:$Y$1148,19,FALSE)</f>
        <v>SIN SERIE</v>
      </c>
      <c r="K528" s="168" t="str">
        <f>VLOOKUP($A528,'030523 INVENTARIO'!$A$2:$Y$1148,20,FALSE)</f>
        <v>82DH0511010010000649722</v>
      </c>
      <c r="L528" s="167" t="str">
        <f>VLOOKUP($A528,'030523 INVENTARIO'!$A$2:$Y$1148,23,FALSE)</f>
        <v>BELEN LIZETH CORTES GAONA</v>
      </c>
    </row>
    <row r="529" spans="1:12" ht="12.75" hidden="1">
      <c r="A529" s="167" t="str">
        <f>'030523 INVENTARIO'!A529</f>
        <v>0528</v>
      </c>
      <c r="B529" s="167" t="str">
        <f>'030523 INVENTARIO'!T529</f>
        <v>SIN RESGUARDO</v>
      </c>
      <c r="C529" s="167" t="str">
        <f t="shared" si="0"/>
        <v/>
      </c>
      <c r="D529" s="167" t="e">
        <f>IF(VLOOKUP(C529,'Patrimonio 2023'!$C$2:$C$1128,1,FALSE) = C529, "Encontrado", "no")</f>
        <v>#N/A</v>
      </c>
      <c r="E529" s="167" t="str">
        <f>VLOOKUP($A529,'030523 INVENTARIO'!$A$2:$Y$1148,5,FALSE)</f>
        <v>TRITURADORA DE PAPEL</v>
      </c>
      <c r="F529" s="167" t="str">
        <f>VLOOKUP($A529,'030523 INVENTARIO'!$A$2:$Y$1148,6,FALSE)</f>
        <v>TRITURADOR DE PAPEL</v>
      </c>
      <c r="G529" s="167" t="str">
        <f ca="1">VLOOKUP($A529,'030523 INVENTARIO'!$A$2:$Y$1148,8,FALSE)</f>
        <v>P13SO-0528</v>
      </c>
      <c r="H529" s="168" t="str">
        <f>VLOOKUP($A529,'030523 INVENTARIO'!$A$2:$Y$1148,17,FALSE)</f>
        <v>GBC</v>
      </c>
      <c r="I529" s="167" t="str">
        <f>VLOOKUP($A529,'030523 INVENTARIO'!$A$2:$Y$1148,18,FALSE)</f>
        <v>SHREDMASTER SC170</v>
      </c>
      <c r="J529" s="167" t="str">
        <f>VLOOKUP($A529,'030523 INVENTARIO'!$A$2:$Y$1148,19,FALSE)</f>
        <v>SIN SERIE</v>
      </c>
      <c r="K529" s="167" t="str">
        <f>VLOOKUP($A529,'030523 INVENTARIO'!$A$2:$Y$1148,20,FALSE)</f>
        <v>SIN RESGUARDO</v>
      </c>
      <c r="L529" s="167" t="str">
        <f>VLOOKUP($A529,'030523 INVENTARIO'!$A$2:$Y$1148,23,FALSE)</f>
        <v>ANA BERTHA ORTIZ VILLEGAS</v>
      </c>
    </row>
    <row r="530" spans="1:12" ht="12.75" hidden="1">
      <c r="A530" s="167" t="str">
        <f>'030523 INVENTARIO'!A530</f>
        <v>0529</v>
      </c>
      <c r="B530" s="168" t="str">
        <f>'030523 INVENTARIO'!T530</f>
        <v>82DJ0511010006000518494</v>
      </c>
      <c r="C530" s="167" t="str">
        <f t="shared" si="0"/>
        <v>518494</v>
      </c>
      <c r="D530" s="167" t="str">
        <f>IF(VLOOKUP(C530,'Patrimonio 2023'!$C$2:$C$1128,1,FALSE) = C530, "Encontrado", "no")</f>
        <v>Encontrado</v>
      </c>
      <c r="E530" s="167" t="str">
        <f>VLOOKUP($A530,'030523 INVENTARIO'!$A$2:$Y$1148,5,FALSE)</f>
        <v>ESCRITORIO</v>
      </c>
      <c r="F530" s="167" t="str">
        <f>VLOOKUP($A530,'030523 INVENTARIO'!$A$2:$Y$1148,6,FALSE)</f>
        <v>ESCRITORIO DE MADERA 150X60</v>
      </c>
      <c r="G530" s="167" t="str">
        <f ca="1">VLOOKUP($A530,'030523 INVENTARIO'!$A$2:$Y$1148,8,FALSE)</f>
        <v>P13SO-0529</v>
      </c>
      <c r="H530" s="168" t="str">
        <f>VLOOKUP($A530,'030523 INVENTARIO'!$A$2:$Y$1148,17,FALSE)</f>
        <v>S/M</v>
      </c>
      <c r="I530" s="167" t="str">
        <f>VLOOKUP($A530,'030523 INVENTARIO'!$A$2:$Y$1148,18,FALSE)</f>
        <v>S/M</v>
      </c>
      <c r="J530" s="168" t="str">
        <f>VLOOKUP($A530,'030523 INVENTARIO'!$A$2:$Y$1148,19,FALSE)</f>
        <v>SIN SERIE</v>
      </c>
      <c r="K530" s="168" t="str">
        <f>VLOOKUP($A530,'030523 INVENTARIO'!$A$2:$Y$1148,20,FALSE)</f>
        <v>82DJ0511010006000518494</v>
      </c>
      <c r="L530" s="167" t="str">
        <f>VLOOKUP($A530,'030523 INVENTARIO'!$A$2:$Y$1148,23,FALSE)</f>
        <v>ANA BERTHA ORTIZ VILLEGAS</v>
      </c>
    </row>
    <row r="531" spans="1:12" ht="12.75" hidden="1">
      <c r="A531" s="167" t="str">
        <f>'030523 INVENTARIO'!A531</f>
        <v>0530</v>
      </c>
      <c r="B531" s="168" t="str">
        <f>'030523 INVENTARIO'!T531</f>
        <v>82DJ0511010001000649733</v>
      </c>
      <c r="C531" s="167" t="str">
        <f t="shared" si="0"/>
        <v>649733</v>
      </c>
      <c r="D531" s="167" t="str">
        <f>IF(VLOOKUP(C531,'Patrimonio 2023'!$C$2:$C$1128,1,FALSE) = C531, "Encontrado", "no")</f>
        <v>Encontrado</v>
      </c>
      <c r="E531" s="167" t="str">
        <f>VLOOKUP($A531,'030523 INVENTARIO'!$A$2:$Y$1148,5,FALSE)</f>
        <v>ARCHIVERO</v>
      </c>
      <c r="F531" s="167" t="str">
        <f>VLOOKUP($A531,'030523 INVENTARIO'!$A$2:$Y$1148,6,FALSE)</f>
        <v>ARCHIVERO DE MADERA CON 4 CAJONES 126X49X56</v>
      </c>
      <c r="G531" s="167" t="str">
        <f ca="1">VLOOKUP($A531,'030523 INVENTARIO'!$A$2:$Y$1148,8,FALSE)</f>
        <v>P13SO-0530</v>
      </c>
      <c r="H531" s="168" t="str">
        <f>VLOOKUP($A531,'030523 INVENTARIO'!$A$2:$Y$1148,17,FALSE)</f>
        <v>S/M</v>
      </c>
      <c r="I531" s="167" t="str">
        <f>VLOOKUP($A531,'030523 INVENTARIO'!$A$2:$Y$1148,18,FALSE)</f>
        <v>S/M</v>
      </c>
      <c r="J531" s="168" t="str">
        <f>VLOOKUP($A531,'030523 INVENTARIO'!$A$2:$Y$1148,19,FALSE)</f>
        <v>SIN SERIE</v>
      </c>
      <c r="K531" s="168" t="str">
        <f>VLOOKUP($A531,'030523 INVENTARIO'!$A$2:$Y$1148,20,FALSE)</f>
        <v>82DJ0511010001000649733</v>
      </c>
      <c r="L531" s="167" t="str">
        <f>VLOOKUP($A531,'030523 INVENTARIO'!$A$2:$Y$1148,23,FALSE)</f>
        <v>ANA BERTHA ORTIZ VILLEGAS</v>
      </c>
    </row>
    <row r="532" spans="1:12" ht="12.75" hidden="1">
      <c r="A532" s="167" t="str">
        <f>'030523 INVENTARIO'!A532</f>
        <v>0531</v>
      </c>
      <c r="B532" s="168" t="str">
        <f>'030523 INVENTARIO'!T532</f>
        <v>82DJ0511010001000518508</v>
      </c>
      <c r="C532" s="167" t="str">
        <f t="shared" si="0"/>
        <v>518508</v>
      </c>
      <c r="D532" s="167" t="str">
        <f>IF(VLOOKUP(C532,'Patrimonio 2023'!$C$2:$C$1128,1,FALSE) = C532, "Encontrado", "no")</f>
        <v>Encontrado</v>
      </c>
      <c r="E532" s="167" t="str">
        <f>VLOOKUP($A532,'030523 INVENTARIO'!$A$2:$Y$1148,5,FALSE)</f>
        <v>ARCHIVERO</v>
      </c>
      <c r="F532" s="167" t="str">
        <f>VLOOKUP($A532,'030523 INVENTARIO'!$A$2:$Y$1148,6,FALSE)</f>
        <v>ARCHIVERO DE MADERA CON 2 CAJONES CON RUEDAS  65X49X40</v>
      </c>
      <c r="G532" s="167" t="str">
        <f ca="1">VLOOKUP($A532,'030523 INVENTARIO'!$A$2:$Y$1148,8,FALSE)</f>
        <v>P13SO-0531</v>
      </c>
      <c r="H532" s="168" t="str">
        <f>VLOOKUP($A532,'030523 INVENTARIO'!$A$2:$Y$1148,17,FALSE)</f>
        <v>S/M</v>
      </c>
      <c r="I532" s="167" t="str">
        <f>VLOOKUP($A532,'030523 INVENTARIO'!$A$2:$Y$1148,18,FALSE)</f>
        <v>S/M</v>
      </c>
      <c r="J532" s="168" t="str">
        <f>VLOOKUP($A532,'030523 INVENTARIO'!$A$2:$Y$1148,19,FALSE)</f>
        <v>SIN SERIE</v>
      </c>
      <c r="K532" s="168" t="str">
        <f>VLOOKUP($A532,'030523 INVENTARIO'!$A$2:$Y$1148,20,FALSE)</f>
        <v>82DJ0511010001000518508</v>
      </c>
      <c r="L532" s="167" t="str">
        <f>VLOOKUP($A532,'030523 INVENTARIO'!$A$2:$Y$1148,23,FALSE)</f>
        <v>ANA BERTHA ORTIZ VILLEGAS</v>
      </c>
    </row>
    <row r="533" spans="1:12" ht="12.75" hidden="1">
      <c r="A533" s="167" t="str">
        <f>'030523 INVENTARIO'!A533</f>
        <v>0532</v>
      </c>
      <c r="B533" s="168" t="str">
        <f>'030523 INVENTARIO'!T533</f>
        <v>82DJ0512010011000515290</v>
      </c>
      <c r="C533" s="167" t="str">
        <f t="shared" si="0"/>
        <v>515290</v>
      </c>
      <c r="D533" s="167" t="str">
        <f>IF(VLOOKUP(C533,'Patrimonio 2023'!$C$2:$C$1128,1,FALSE) = C533, "Encontrado", "no")</f>
        <v>Encontrado</v>
      </c>
      <c r="E533" s="167" t="str">
        <f>VLOOKUP($A533,'030523 INVENTARIO'!$A$2:$Y$1148,5,FALSE)</f>
        <v>MODULO</v>
      </c>
      <c r="F533" s="167" t="str">
        <f>VLOOKUP($A533,'030523 INVENTARIO'!$A$2:$Y$1148,6,FALSE)</f>
        <v>MODULO PARA COMPUTADORA</v>
      </c>
      <c r="G533" s="167" t="str">
        <f ca="1">VLOOKUP($A533,'030523 INVENTARIO'!$A$2:$Y$1148,8,FALSE)</f>
        <v>P13SO-0532</v>
      </c>
      <c r="H533" s="168" t="str">
        <f>VLOOKUP($A533,'030523 INVENTARIO'!$A$2:$Y$1148,17,FALSE)</f>
        <v>S/M</v>
      </c>
      <c r="I533" s="167" t="str">
        <f>VLOOKUP($A533,'030523 INVENTARIO'!$A$2:$Y$1148,18,FALSE)</f>
        <v>S/M</v>
      </c>
      <c r="J533" s="168" t="str">
        <f>VLOOKUP($A533,'030523 INVENTARIO'!$A$2:$Y$1148,19,FALSE)</f>
        <v>SIN SERIE</v>
      </c>
      <c r="K533" s="168" t="str">
        <f>VLOOKUP($A533,'030523 INVENTARIO'!$A$2:$Y$1148,20,FALSE)</f>
        <v>82DJ0512010011000515290</v>
      </c>
      <c r="L533" s="167" t="str">
        <f>VLOOKUP($A533,'030523 INVENTARIO'!$A$2:$Y$1148,23,FALSE)</f>
        <v>ANA BERTHA ORTIZ VILLEGAS</v>
      </c>
    </row>
    <row r="534" spans="1:12" ht="12.75" hidden="1">
      <c r="A534" s="167" t="str">
        <f>'030523 INVENTARIO'!A534</f>
        <v>0533</v>
      </c>
      <c r="B534" s="168" t="str">
        <f>'030523 INVENTARIO'!T534</f>
        <v>82DJ0519010043000649358</v>
      </c>
      <c r="C534" s="167" t="str">
        <f t="shared" si="0"/>
        <v>649358</v>
      </c>
      <c r="D534" s="167" t="str">
        <f>IF(VLOOKUP(C534,'Patrimonio 2023'!$C$2:$C$1128,1,FALSE) = C534, "Encontrado", "no")</f>
        <v>Encontrado</v>
      </c>
      <c r="E534" s="167" t="str">
        <f>VLOOKUP($A534,'030523 INVENTARIO'!$A$2:$Y$1148,5,FALSE)</f>
        <v>VENTILADOR</v>
      </c>
      <c r="F534" s="168" t="str">
        <f>VLOOKUP($A534,'030523 INVENTARIO'!$A$2:$Y$1148,6,FALSE)</f>
        <v>VENTILADOR NEGRO DE PEDESTAL</v>
      </c>
      <c r="G534" s="167" t="str">
        <f ca="1">VLOOKUP($A534,'030523 INVENTARIO'!$A$2:$Y$1148,8,FALSE)</f>
        <v>P13SO-0533</v>
      </c>
      <c r="H534" s="168" t="str">
        <f>VLOOKUP($A534,'030523 INVENTARIO'!$A$2:$Y$1148,17,FALSE)</f>
        <v>NAVIA</v>
      </c>
      <c r="I534" s="167" t="str">
        <f>VLOOKUP($A534,'030523 INVENTARIO'!$A$2:$Y$1148,18,FALSE)</f>
        <v>VPN118X</v>
      </c>
      <c r="J534" s="168" t="str">
        <f>VLOOKUP($A534,'030523 INVENTARIO'!$A$2:$Y$1148,19,FALSE)</f>
        <v>34973</v>
      </c>
      <c r="K534" s="168" t="str">
        <f>VLOOKUP($A534,'030523 INVENTARIO'!$A$2:$Y$1148,20,FALSE)</f>
        <v>82DJ0519010043000649358</v>
      </c>
      <c r="L534" s="167" t="str">
        <f>VLOOKUP($A534,'030523 INVENTARIO'!$A$2:$Y$1148,23,FALSE)</f>
        <v>ANA BERTHA ORTIZ VILLEGAS</v>
      </c>
    </row>
    <row r="535" spans="1:12" ht="12.75" hidden="1">
      <c r="A535" s="167" t="str">
        <f>'030523 INVENTARIO'!A535</f>
        <v>0534</v>
      </c>
      <c r="B535" s="168" t="str">
        <f>'030523 INVENTARIO'!T535</f>
        <v>82DJ0511010006000583443</v>
      </c>
      <c r="C535" s="167" t="str">
        <f t="shared" si="0"/>
        <v>583443</v>
      </c>
      <c r="D535" s="167" t="str">
        <f>IF(VLOOKUP(C535,'Patrimonio 2023'!$C$2:$C$1128,1,FALSE) = C535, "Encontrado", "no")</f>
        <v>Encontrado</v>
      </c>
      <c r="E535" s="167" t="str">
        <f>VLOOKUP($A535,'030523 INVENTARIO'!$A$2:$Y$1148,5,FALSE)</f>
        <v>ESCRITORIO</v>
      </c>
      <c r="F535" s="167" t="str">
        <f>VLOOKUP($A535,'030523 INVENTARIO'!$A$2:$Y$1148,6,FALSE)</f>
        <v>ESCRITORIO DE MADERA 2 PIEZAS TIPO "L"</v>
      </c>
      <c r="G535" s="167" t="str">
        <f ca="1">VLOOKUP($A535,'030523 INVENTARIO'!$A$2:$Y$1148,8,FALSE)</f>
        <v>P13SO-0534</v>
      </c>
      <c r="H535" s="168" t="str">
        <f>VLOOKUP($A535,'030523 INVENTARIO'!$A$2:$Y$1148,17,FALSE)</f>
        <v>S/M</v>
      </c>
      <c r="I535" s="167" t="str">
        <f>VLOOKUP($A535,'030523 INVENTARIO'!$A$2:$Y$1148,18,FALSE)</f>
        <v>S/M</v>
      </c>
      <c r="J535" s="168" t="str">
        <f>VLOOKUP($A535,'030523 INVENTARIO'!$A$2:$Y$1148,19,FALSE)</f>
        <v>SIN SERIE</v>
      </c>
      <c r="K535" s="168" t="str">
        <f>VLOOKUP($A535,'030523 INVENTARIO'!$A$2:$Y$1148,20,FALSE)</f>
        <v>82DJ0511010006000583443</v>
      </c>
      <c r="L535" s="167" t="str">
        <f>VLOOKUP($A535,'030523 INVENTARIO'!$A$2:$Y$1148,23,FALSE)</f>
        <v>ANA BERTHA ORTIZ VILLEGAS</v>
      </c>
    </row>
    <row r="536" spans="1:12" ht="12.75" hidden="1">
      <c r="A536" s="167" t="str">
        <f>'030523 INVENTARIO'!A536</f>
        <v>0535</v>
      </c>
      <c r="B536" s="168" t="str">
        <f>'030523 INVENTARIO'!T536</f>
        <v>82DJ0515010033000566422</v>
      </c>
      <c r="C536" s="167" t="str">
        <f t="shared" si="0"/>
        <v>566422</v>
      </c>
      <c r="D536" s="167" t="str">
        <f>IF(VLOOKUP(C536,'Patrimonio 2023'!$C$2:$C$1128,1,FALSE) = C536, "Encontrado", "no")</f>
        <v>Encontrado</v>
      </c>
      <c r="E536" s="167" t="str">
        <f>VLOOKUP($A536,'030523 INVENTARIO'!$A$2:$Y$1148,5,FALSE)</f>
        <v>COMPLEMENTARIO DE EQUIPO DE COMPUTO</v>
      </c>
      <c r="F536" s="168" t="str">
        <f>VLOOKUP($A536,'030523 INVENTARIO'!$A$2:$Y$1148,6,FALSE)</f>
        <v>COMPLEMENTO DE EQUIPO DE MADERA</v>
      </c>
      <c r="G536" s="167" t="str">
        <f ca="1">VLOOKUP($A536,'030523 INVENTARIO'!$A$2:$Y$1148,8,FALSE)</f>
        <v>P13SO-0535</v>
      </c>
      <c r="H536" s="168" t="str">
        <f>VLOOKUP($A536,'030523 INVENTARIO'!$A$2:$Y$1148,17,FALSE)</f>
        <v>S/M</v>
      </c>
      <c r="I536" s="167" t="str">
        <f>VLOOKUP($A536,'030523 INVENTARIO'!$A$2:$Y$1148,18,FALSE)</f>
        <v>S/M</v>
      </c>
      <c r="J536" s="168" t="str">
        <f>VLOOKUP($A536,'030523 INVENTARIO'!$A$2:$Y$1148,19,FALSE)</f>
        <v>SIN SERIE</v>
      </c>
      <c r="K536" s="168" t="str">
        <f>VLOOKUP($A536,'030523 INVENTARIO'!$A$2:$Y$1148,20,FALSE)</f>
        <v>82DJ0515010033000566422</v>
      </c>
      <c r="L536" s="167" t="str">
        <f>VLOOKUP($A536,'030523 INVENTARIO'!$A$2:$Y$1148,23,FALSE)</f>
        <v>ANA BERTHA ORTIZ VILLEGAS</v>
      </c>
    </row>
    <row r="537" spans="1:12" ht="12.75" hidden="1">
      <c r="A537" s="167" t="str">
        <f>'030523 INVENTARIO'!A537</f>
        <v>0536</v>
      </c>
      <c r="B537" s="168" t="str">
        <f>'030523 INVENTARIO'!T537</f>
        <v>82DJ0515010016000649436</v>
      </c>
      <c r="C537" s="167" t="str">
        <f t="shared" si="0"/>
        <v>649436</v>
      </c>
      <c r="D537" s="167" t="str">
        <f>IF(VLOOKUP(C537,'Patrimonio 2023'!$C$2:$C$1128,1,FALSE) = C537, "Encontrado", "no")</f>
        <v>Encontrado</v>
      </c>
      <c r="E537" s="167" t="str">
        <f>VLOOKUP($A537,'030523 INVENTARIO'!$A$2:$Y$1148,5,FALSE)</f>
        <v>NO BREAK</v>
      </c>
      <c r="F537" s="168" t="str">
        <f>VLOOKUP($A537,'030523 INVENTARIO'!$A$2:$Y$1148,6,FALSE)</f>
        <v>NO BREAK</v>
      </c>
      <c r="G537" s="167" t="str">
        <f ca="1">VLOOKUP($A537,'030523 INVENTARIO'!$A$2:$Y$1148,8,FALSE)</f>
        <v>P13SO-0536</v>
      </c>
      <c r="H537" s="168" t="str">
        <f>VLOOKUP($A537,'030523 INVENTARIO'!$A$2:$Y$1148,17,FALSE)</f>
        <v>FORZA</v>
      </c>
      <c r="I537" s="167" t="str">
        <f>VLOOKUP($A537,'030523 INVENTARIO'!$A$2:$Y$1148,18,FALSE)</f>
        <v>NT/751</v>
      </c>
      <c r="J537" s="168" t="str">
        <f>VLOOKUP($A537,'030523 INVENTARIO'!$A$2:$Y$1148,19,FALSE)</f>
        <v>190522502598</v>
      </c>
      <c r="K537" s="168" t="str">
        <f>VLOOKUP($A537,'030523 INVENTARIO'!$A$2:$Y$1148,20,FALSE)</f>
        <v>82DJ0515010016000649436</v>
      </c>
      <c r="L537" s="167" t="str">
        <f>VLOOKUP($A537,'030523 INVENTARIO'!$A$2:$Y$1148,23,FALSE)</f>
        <v>ANA BERTHA ORTIZ VILLEGAS</v>
      </c>
    </row>
    <row r="538" spans="1:12" ht="12.75" hidden="1">
      <c r="A538" s="167" t="str">
        <f>'030523 INVENTARIO'!A538</f>
        <v>0537</v>
      </c>
      <c r="B538" s="168" t="str">
        <f>'030523 INVENTARIO'!T538</f>
        <v>82DH0511010017000651105</v>
      </c>
      <c r="C538" s="167" t="str">
        <f t="shared" si="0"/>
        <v>651105</v>
      </c>
      <c r="D538" s="167" t="str">
        <f>IF(VLOOKUP(C538,'Patrimonio 2023'!$C$2:$C$1128,1,FALSE) = C538, "Encontrado", "no")</f>
        <v>Encontrado</v>
      </c>
      <c r="E538" s="167" t="str">
        <f>VLOOKUP($A538,'030523 INVENTARIO'!$A$2:$Y$1148,5,FALSE)</f>
        <v>SILLA</v>
      </c>
      <c r="F538" s="167" t="str">
        <f>VLOOKUP($A538,'030523 INVENTARIO'!$A$2:$Y$1148,6,FALSE)</f>
        <v>SILLA DE TELA NEGRA FIJA</v>
      </c>
      <c r="G538" s="167" t="str">
        <f ca="1">VLOOKUP($A538,'030523 INVENTARIO'!$A$2:$Y$1148,8,FALSE)</f>
        <v>P13SO-0537</v>
      </c>
      <c r="H538" s="168" t="str">
        <f>VLOOKUP($A538,'030523 INVENTARIO'!$A$2:$Y$1148,17,FALSE)</f>
        <v>S/M</v>
      </c>
      <c r="I538" s="167" t="str">
        <f>VLOOKUP($A538,'030523 INVENTARIO'!$A$2:$Y$1148,18,FALSE)</f>
        <v>S/M</v>
      </c>
      <c r="J538" s="168" t="str">
        <f>VLOOKUP($A538,'030523 INVENTARIO'!$A$2:$Y$1148,19,FALSE)</f>
        <v>SIN SERIE</v>
      </c>
      <c r="K538" s="168" t="str">
        <f>VLOOKUP($A538,'030523 INVENTARIO'!$A$2:$Y$1148,20,FALSE)</f>
        <v>82DH0511010017000651105</v>
      </c>
      <c r="L538" s="167" t="str">
        <f>VLOOKUP($A538,'030523 INVENTARIO'!$A$2:$Y$1148,23,FALSE)</f>
        <v>ANA BERTHA ORTIZ VILLEGAS</v>
      </c>
    </row>
    <row r="539" spans="1:12" ht="12.75" hidden="1">
      <c r="A539" s="167" t="str">
        <f>'030523 INVENTARIO'!A539</f>
        <v>0538</v>
      </c>
      <c r="B539" s="168" t="str">
        <f>'030523 INVENTARIO'!T539</f>
        <v>82DJ0511010017000649734</v>
      </c>
      <c r="C539" s="167" t="str">
        <f t="shared" si="0"/>
        <v>649734</v>
      </c>
      <c r="D539" s="167" t="str">
        <f>IF(VLOOKUP(C539,'Patrimonio 2023'!$C$2:$C$1128,1,FALSE) = C539, "Encontrado", "no")</f>
        <v>Encontrado</v>
      </c>
      <c r="E539" s="167" t="str">
        <f>VLOOKUP($A539,'030523 INVENTARIO'!$A$2:$Y$1148,5,FALSE)</f>
        <v>SILLA</v>
      </c>
      <c r="F539" s="167" t="str">
        <f>VLOOKUP($A539,'030523 INVENTARIO'!$A$2:$Y$1148,6,FALSE)</f>
        <v>SILLA DE TELA NEGRA FIJA</v>
      </c>
      <c r="G539" s="167" t="str">
        <f ca="1">VLOOKUP($A539,'030523 INVENTARIO'!$A$2:$Y$1148,8,FALSE)</f>
        <v>P13SO-0538</v>
      </c>
      <c r="H539" s="168" t="str">
        <f>VLOOKUP($A539,'030523 INVENTARIO'!$A$2:$Y$1148,17,FALSE)</f>
        <v>S/M</v>
      </c>
      <c r="I539" s="167" t="str">
        <f>VLOOKUP($A539,'030523 INVENTARIO'!$A$2:$Y$1148,18,FALSE)</f>
        <v>S/M</v>
      </c>
      <c r="J539" s="168" t="str">
        <f>VLOOKUP($A539,'030523 INVENTARIO'!$A$2:$Y$1148,19,FALSE)</f>
        <v>SIN SERIE</v>
      </c>
      <c r="K539" s="168" t="str">
        <f>VLOOKUP($A539,'030523 INVENTARIO'!$A$2:$Y$1148,20,FALSE)</f>
        <v>82DJ0511010017000649734</v>
      </c>
      <c r="L539" s="167" t="str">
        <f>VLOOKUP($A539,'030523 INVENTARIO'!$A$2:$Y$1148,23,FALSE)</f>
        <v>ANA BERTHA ORTIZ VILLEGAS</v>
      </c>
    </row>
    <row r="540" spans="1:12" ht="12.75" hidden="1">
      <c r="A540" s="167" t="str">
        <f>'030523 INVENTARIO'!A540</f>
        <v>0539</v>
      </c>
      <c r="B540" s="168" t="str">
        <f>'030523 INVENTARIO'!T540</f>
        <v>82DJ0515010003000649736</v>
      </c>
      <c r="C540" s="167" t="str">
        <f t="shared" si="0"/>
        <v>649736</v>
      </c>
      <c r="D540" s="167" t="str">
        <f>IF(VLOOKUP(C540,'Patrimonio 2023'!$C$2:$C$1128,1,FALSE) = C540, "Encontrado", "no")</f>
        <v>Encontrado</v>
      </c>
      <c r="E540" s="167" t="str">
        <f>VLOOKUP($A540,'030523 INVENTARIO'!$A$2:$Y$1148,5,FALSE)</f>
        <v>COMPUTADORA DE ESCRITORIO</v>
      </c>
      <c r="F540" s="167" t="str">
        <f>VLOOKUP($A540,'030523 INVENTARIO'!$A$2:$Y$1148,6,FALSE)</f>
        <v>COMPUTADORA DE ESCRITORIO</v>
      </c>
      <c r="G540" s="167" t="str">
        <f ca="1">VLOOKUP($A540,'030523 INVENTARIO'!$A$2:$Y$1148,8,FALSE)</f>
        <v>P13SO-0539</v>
      </c>
      <c r="H540" s="168" t="str">
        <f>VLOOKUP($A540,'030523 INVENTARIO'!$A$2:$Y$1148,17,FALSE)</f>
        <v>HP</v>
      </c>
      <c r="I540" s="167" t="str">
        <f>VLOOKUP($A540,'030523 INVENTARIO'!$A$2:$Y$1148,18,FALSE)</f>
        <v>S3020LA</v>
      </c>
      <c r="J540" s="168" t="str">
        <f>VLOOKUP($A540,'030523 INVENTARIO'!$A$2:$Y$1148,19,FALSE)</f>
        <v>439108001</v>
      </c>
      <c r="K540" s="168" t="str">
        <f>VLOOKUP($A540,'030523 INVENTARIO'!$A$2:$Y$1148,20,FALSE)</f>
        <v>82DJ0515010003000649736</v>
      </c>
      <c r="L540" s="167" t="str">
        <f>VLOOKUP($A540,'030523 INVENTARIO'!$A$2:$Y$1148,23,FALSE)</f>
        <v>ANA BERTHA ORTIZ VILLEGAS</v>
      </c>
    </row>
    <row r="541" spans="1:12" ht="12.75" hidden="1">
      <c r="A541" s="167" t="str">
        <f>'030523 INVENTARIO'!A541</f>
        <v>0540</v>
      </c>
      <c r="B541" s="167" t="str">
        <f>'030523 INVENTARIO'!T541</f>
        <v>82DJ0565010041000530719</v>
      </c>
      <c r="C541" s="167" t="str">
        <f t="shared" si="0"/>
        <v>530719</v>
      </c>
      <c r="D541" s="167" t="str">
        <f>IF(VLOOKUP(C541,'Patrimonio 2023'!$C$2:$C$1128,1,FALSE) = C541, "Encontrado", "no")</f>
        <v>Encontrado</v>
      </c>
      <c r="E541" s="167" t="str">
        <f>VLOOKUP($A541,'030523 INVENTARIO'!$A$2:$Y$1148,5,FALSE)</f>
        <v>MONITOR</v>
      </c>
      <c r="F541" s="167" t="str">
        <f>VLOOKUP($A541,'030523 INVENTARIO'!$A$2:$Y$1148,6,FALSE)</f>
        <v>MONITOR 19.5"</v>
      </c>
      <c r="G541" s="167" t="str">
        <f ca="1">VLOOKUP($A541,'030523 INVENTARIO'!$A$2:$Y$1148,8,FALSE)</f>
        <v>P13SO-0540</v>
      </c>
      <c r="H541" s="168" t="str">
        <f>VLOOKUP($A541,'030523 INVENTARIO'!$A$2:$Y$1148,17,FALSE)</f>
        <v>COMPAQ</v>
      </c>
      <c r="I541" s="167" t="str">
        <f>VLOOKUP($A541,'030523 INVENTARIO'!$A$2:$Y$1148,18,FALSE)</f>
        <v>WF1907</v>
      </c>
      <c r="J541" s="168" t="str">
        <f>VLOOKUP($A541,'030523 INVENTARIO'!$A$2:$Y$1148,19,FALSE)</f>
        <v>CNC816Y4LK</v>
      </c>
      <c r="K541" s="167" t="str">
        <f>VLOOKUP($A541,'030523 INVENTARIO'!$A$2:$Y$1148,20,FALSE)</f>
        <v>82DJ0565010041000530719</v>
      </c>
      <c r="L541" s="167" t="str">
        <f>VLOOKUP($A541,'030523 INVENTARIO'!$A$2:$Y$1148,23,FALSE)</f>
        <v>ANA BERTHA ORTIZ VILLEGAS</v>
      </c>
    </row>
    <row r="542" spans="1:12" ht="12.75" hidden="1">
      <c r="A542" s="167" t="str">
        <f>'030523 INVENTARIO'!A542</f>
        <v>0541</v>
      </c>
      <c r="B542" s="168" t="str">
        <f>'030523 INVENTARIO'!T542</f>
        <v>82DJ0565010001000527027</v>
      </c>
      <c r="C542" s="167" t="str">
        <f t="shared" si="0"/>
        <v>527027</v>
      </c>
      <c r="D542" s="167" t="str">
        <f>IF(VLOOKUP(C542,'Patrimonio 2023'!$C$2:$C$1128,1,FALSE) = C542, "Encontrado", "no")</f>
        <v>Encontrado</v>
      </c>
      <c r="E542" s="167" t="str">
        <f>VLOOKUP($A542,'030523 INVENTARIO'!$A$2:$Y$1148,5,FALSE)</f>
        <v>TELEFONO</v>
      </c>
      <c r="F542" s="168" t="str">
        <f>VLOOKUP($A542,'030523 INVENTARIO'!$A$2:$Y$1148,6,FALSE)</f>
        <v>TELEFONO GRIS</v>
      </c>
      <c r="G542" s="167" t="str">
        <f ca="1">VLOOKUP($A542,'030523 INVENTARIO'!$A$2:$Y$1148,8,FALSE)</f>
        <v>P05RM-0541</v>
      </c>
      <c r="H542" s="168" t="str">
        <f>VLOOKUP($A542,'030523 INVENTARIO'!$A$2:$Y$1148,17,FALSE)</f>
        <v>LINKSYS</v>
      </c>
      <c r="I542" s="167" t="str">
        <f>VLOOKUP($A542,'030523 INVENTARIO'!$A$2:$Y$1148,18,FALSE)</f>
        <v>SPA942</v>
      </c>
      <c r="J542" s="168" t="str">
        <f>VLOOKUP($A542,'030523 INVENTARIO'!$A$2:$Y$1148,19,FALSE)</f>
        <v>4LO00G809937</v>
      </c>
      <c r="K542" s="168" t="str">
        <f>VLOOKUP($A542,'030523 INVENTARIO'!$A$2:$Y$1148,20,FALSE)</f>
        <v>82DJ0565010001000527027</v>
      </c>
      <c r="L542" s="167" t="str">
        <f>VLOOKUP($A542,'030523 INVENTARIO'!$A$2:$Y$1148,23,FALSE)</f>
        <v>BLANCA ELIZABETH ALCANTAR GUERRERO</v>
      </c>
    </row>
    <row r="543" spans="1:12" ht="12.75" hidden="1">
      <c r="A543" s="167" t="str">
        <f>'030523 INVENTARIO'!A543</f>
        <v>0542</v>
      </c>
      <c r="B543" s="168" t="str">
        <f>'030523 INVENTARIO'!T543</f>
        <v>82DH0519010043000649369</v>
      </c>
      <c r="C543" s="167" t="str">
        <f t="shared" si="0"/>
        <v>649369</v>
      </c>
      <c r="D543" s="167" t="str">
        <f>IF(VLOOKUP(C543,'Patrimonio 2023'!$C$2:$C$1128,1,FALSE) = C543, "Encontrado", "no")</f>
        <v>Encontrado</v>
      </c>
      <c r="E543" s="167" t="str">
        <f>VLOOKUP($A543,'030523 INVENTARIO'!$A$2:$Y$1148,5,FALSE)</f>
        <v>VENTILADOR</v>
      </c>
      <c r="F543" s="167" t="str">
        <f>VLOOKUP($A543,'030523 INVENTARIO'!$A$2:$Y$1148,6,FALSE)</f>
        <v>VENTILADOR GRIS DE PARED</v>
      </c>
      <c r="G543" s="167" t="str">
        <f ca="1">VLOOKUP($A543,'030523 INVENTARIO'!$A$2:$Y$1148,8,FALSE)</f>
        <v>P13SO-0542</v>
      </c>
      <c r="H543" s="168" t="str">
        <f>VLOOKUP($A543,'030523 INVENTARIO'!$A$2:$Y$1148,17,FALSE)</f>
        <v>NAVIA</v>
      </c>
      <c r="I543" s="167" t="str">
        <f>VLOOKUP($A543,'030523 INVENTARIO'!$A$2:$Y$1148,18,FALSE)</f>
        <v>VPN/018</v>
      </c>
      <c r="J543" s="168" t="str">
        <f>VLOOKUP($A543,'030523 INVENTARIO'!$A$2:$Y$1148,19,FALSE)</f>
        <v>SIN SERIE</v>
      </c>
      <c r="K543" s="168" t="str">
        <f>VLOOKUP($A543,'030523 INVENTARIO'!$A$2:$Y$1148,20,FALSE)</f>
        <v>82DH0519010043000649369</v>
      </c>
      <c r="L543" s="167" t="str">
        <f>VLOOKUP($A543,'030523 INVENTARIO'!$A$2:$Y$1148,23,FALSE)</f>
        <v>FLORENCIA PEREZ NEGRON HUERTA</v>
      </c>
    </row>
    <row r="544" spans="1:12" ht="12.75" hidden="1">
      <c r="A544" s="167" t="str">
        <f>'030523 INVENTARIO'!A544</f>
        <v>0543</v>
      </c>
      <c r="B544" s="168" t="str">
        <f>'030523 INVENTARIO'!T544</f>
        <v>82DH0519010043000649370</v>
      </c>
      <c r="C544" s="167" t="str">
        <f t="shared" si="0"/>
        <v>649370</v>
      </c>
      <c r="D544" s="167" t="str">
        <f>IF(VLOOKUP(C544,'Patrimonio 2023'!$C$2:$C$1128,1,FALSE) = C544, "Encontrado", "no")</f>
        <v>Encontrado</v>
      </c>
      <c r="E544" s="167" t="str">
        <f>VLOOKUP($A544,'030523 INVENTARIO'!$A$2:$Y$1148,5,FALSE)</f>
        <v>VENTILADOR</v>
      </c>
      <c r="F544" s="167" t="str">
        <f>VLOOKUP($A544,'030523 INVENTARIO'!$A$2:$Y$1148,6,FALSE)</f>
        <v>VENTILADOR GRIS DE PARED</v>
      </c>
      <c r="G544" s="167" t="str">
        <f ca="1">VLOOKUP($A544,'030523 INVENTARIO'!$A$2:$Y$1148,8,FALSE)</f>
        <v>P13SO-0543</v>
      </c>
      <c r="H544" s="168" t="str">
        <f>VLOOKUP($A544,'030523 INVENTARIO'!$A$2:$Y$1148,17,FALSE)</f>
        <v>NAVIA</v>
      </c>
      <c r="I544" s="167" t="str">
        <f>VLOOKUP($A544,'030523 INVENTARIO'!$A$2:$Y$1148,18,FALSE)</f>
        <v>VPN/018</v>
      </c>
      <c r="J544" s="168" t="str">
        <f>VLOOKUP($A544,'030523 INVENTARIO'!$A$2:$Y$1148,19,FALSE)</f>
        <v>SIN SERIE</v>
      </c>
      <c r="K544" s="168" t="str">
        <f>VLOOKUP($A544,'030523 INVENTARIO'!$A$2:$Y$1148,20,FALSE)</f>
        <v>82DH0519010043000649370</v>
      </c>
      <c r="L544" s="167" t="str">
        <f>VLOOKUP($A544,'030523 INVENTARIO'!$A$2:$Y$1148,23,FALSE)</f>
        <v>FLORENCIA PEREZ NEGRON HUERTA</v>
      </c>
    </row>
    <row r="545" spans="1:12" ht="12.75" hidden="1">
      <c r="A545" s="167" t="str">
        <f>'030523 INVENTARIO'!A545</f>
        <v>0544</v>
      </c>
      <c r="B545" s="168" t="str">
        <f>'030523 INVENTARIO'!T545</f>
        <v>82DH0512010011000564518</v>
      </c>
      <c r="C545" s="167" t="str">
        <f t="shared" si="0"/>
        <v>564518</v>
      </c>
      <c r="D545" s="167" t="str">
        <f>IF(VLOOKUP(C545,'Patrimonio 2023'!$C$2:$C$1128,1,FALSE) = C545, "Encontrado", "no")</f>
        <v>Encontrado</v>
      </c>
      <c r="E545" s="167" t="str">
        <f>VLOOKUP($A545,'030523 INVENTARIO'!$A$2:$Y$1148,5,FALSE)</f>
        <v>MESA</v>
      </c>
      <c r="F545" s="167" t="str">
        <f>VLOOKUP($A545,'030523 INVENTARIO'!$A$2:$Y$1148,6,FALSE)</f>
        <v>MESA DE MADERA CON RUEDAS  75X48</v>
      </c>
      <c r="G545" s="167" t="str">
        <f ca="1">VLOOKUP($A545,'030523 INVENTARIO'!$A$2:$Y$1148,8,FALSE)</f>
        <v>P13SO-0544</v>
      </c>
      <c r="H545" s="168" t="str">
        <f>VLOOKUP($A545,'030523 INVENTARIO'!$A$2:$Y$1148,17,FALSE)</f>
        <v>S/M</v>
      </c>
      <c r="I545" s="167" t="str">
        <f>VLOOKUP($A545,'030523 INVENTARIO'!$A$2:$Y$1148,18,FALSE)</f>
        <v>S/M</v>
      </c>
      <c r="J545" s="168" t="str">
        <f>VLOOKUP($A545,'030523 INVENTARIO'!$A$2:$Y$1148,19,FALSE)</f>
        <v>SIN SERIE</v>
      </c>
      <c r="K545" s="168" t="str">
        <f>VLOOKUP($A545,'030523 INVENTARIO'!$A$2:$Y$1148,20,FALSE)</f>
        <v>82DH0512010011000564518</v>
      </c>
      <c r="L545" s="167" t="str">
        <f>VLOOKUP($A545,'030523 INVENTARIO'!$A$2:$Y$1148,23,FALSE)</f>
        <v>FLORENCIA PEREZ NEGRON HUERTA</v>
      </c>
    </row>
    <row r="546" spans="1:12" ht="12.75" hidden="1">
      <c r="A546" s="167" t="str">
        <f>'030523 INVENTARIO'!A546</f>
        <v>0545</v>
      </c>
      <c r="B546" s="168" t="str">
        <f>'030523 INVENTARIO'!T546</f>
        <v>82DH0511010010000651107</v>
      </c>
      <c r="C546" s="167" t="str">
        <f t="shared" si="0"/>
        <v>651107</v>
      </c>
      <c r="D546" s="167" t="str">
        <f>IF(VLOOKUP(C546,'Patrimonio 2023'!$C$2:$C$1128,1,FALSE) = C546, "Encontrado", "no")</f>
        <v>Encontrado</v>
      </c>
      <c r="E546" s="167" t="str">
        <f>VLOOKUP($A546,'030523 INVENTARIO'!$A$2:$Y$1148,5,FALSE)</f>
        <v>MESA</v>
      </c>
      <c r="F546" s="167" t="str">
        <f>VLOOKUP($A546,'030523 INVENTARIO'!$A$2:$Y$1148,6,FALSE)</f>
        <v>MESA BLANCA DE MADERA CON BASE DE METAL</v>
      </c>
      <c r="G546" s="167" t="str">
        <f ca="1">VLOOKUP($A546,'030523 INVENTARIO'!$A$2:$Y$1148,8,FALSE)</f>
        <v>P13IR-0545</v>
      </c>
      <c r="H546" s="168" t="str">
        <f>VLOOKUP($A546,'030523 INVENTARIO'!$A$2:$Y$1148,17,FALSE)</f>
        <v>S/M</v>
      </c>
      <c r="I546" s="167" t="str">
        <f>VLOOKUP($A546,'030523 INVENTARIO'!$A$2:$Y$1148,18,FALSE)</f>
        <v>S/M</v>
      </c>
      <c r="J546" s="168" t="str">
        <f>VLOOKUP($A546,'030523 INVENTARIO'!$A$2:$Y$1148,19,FALSE)</f>
        <v>SIN SERIE</v>
      </c>
      <c r="K546" s="168" t="str">
        <f>VLOOKUP($A546,'030523 INVENTARIO'!$A$2:$Y$1148,20,FALSE)</f>
        <v>82DH0511010010000651107</v>
      </c>
      <c r="L546" s="167" t="str">
        <f>VLOOKUP($A546,'030523 INVENTARIO'!$A$2:$Y$1148,23,FALSE)</f>
        <v>MARIBEL RAUDA BAÑUELOS</v>
      </c>
    </row>
    <row r="547" spans="1:12" ht="12.75" hidden="1">
      <c r="A547" s="167" t="str">
        <f>'030523 INVENTARIO'!A547</f>
        <v>0546</v>
      </c>
      <c r="B547" s="168" t="str">
        <f>'030523 INVENTARIO'!T547</f>
        <v>82DJ0511010016000517124</v>
      </c>
      <c r="C547" s="167" t="str">
        <f t="shared" si="0"/>
        <v>517124</v>
      </c>
      <c r="D547" s="167" t="str">
        <f>IF(VLOOKUP(C547,'Patrimonio 2023'!$C$2:$C$1128,1,FALSE) = C547, "Encontrado", "no")</f>
        <v>Encontrado</v>
      </c>
      <c r="E547" s="167" t="str">
        <f>VLOOKUP($A547,'030523 INVENTARIO'!$A$2:$Y$1148,5,FALSE)</f>
        <v>SILLON</v>
      </c>
      <c r="F547" s="167" t="str">
        <f>VLOOKUP($A547,'030523 INVENTARIO'!$A$2:$Y$1148,6,FALSE)</f>
        <v>SILLON NEGRO EJECUTIVO</v>
      </c>
      <c r="G547" s="167" t="str">
        <f ca="1">VLOOKUP($A547,'030523 INVENTARIO'!$A$2:$Y$1148,8,FALSE)</f>
        <v>P13LP-0546</v>
      </c>
      <c r="H547" s="168" t="str">
        <f>VLOOKUP($A547,'030523 INVENTARIO'!$A$2:$Y$1148,17,FALSE)</f>
        <v>S/M</v>
      </c>
      <c r="I547" s="167" t="str">
        <f>VLOOKUP($A547,'030523 INVENTARIO'!$A$2:$Y$1148,18,FALSE)</f>
        <v>S/M</v>
      </c>
      <c r="J547" s="168" t="str">
        <f>VLOOKUP($A547,'030523 INVENTARIO'!$A$2:$Y$1148,19,FALSE)</f>
        <v>SIN SERIE</v>
      </c>
      <c r="K547" s="168" t="str">
        <f>VLOOKUP($A547,'030523 INVENTARIO'!$A$2:$Y$1148,20,FALSE)</f>
        <v>82DJ0511010016000517124</v>
      </c>
      <c r="L547" s="167" t="str">
        <f>VLOOKUP($A547,'030523 INVENTARIO'!$A$2:$Y$1148,23,FALSE)</f>
        <v>HECTOR JOSUE MARTINEZ DE LA CRUZ</v>
      </c>
    </row>
    <row r="548" spans="1:12" ht="12.75" hidden="1">
      <c r="A548" s="167" t="str">
        <f>'030523 INVENTARIO'!A548</f>
        <v>0547</v>
      </c>
      <c r="B548" s="167" t="str">
        <f>'030523 INVENTARIO'!T548</f>
        <v>82DH0515010006000649400</v>
      </c>
      <c r="C548" s="167" t="str">
        <f t="shared" si="0"/>
        <v>649400</v>
      </c>
      <c r="D548" s="167" t="str">
        <f>IF(VLOOKUP(C548,'Patrimonio 2023'!$C$2:$C$1128,1,FALSE) = C548, "Encontrado", "no")</f>
        <v>Encontrado</v>
      </c>
      <c r="E548" s="167" t="str">
        <f>VLOOKUP($A548,'030523 INVENTARIO'!$A$2:$Y$1148,5,FALSE)</f>
        <v>DISCO DURO</v>
      </c>
      <c r="F548" s="167" t="str">
        <f>VLOOKUP($A548,'030523 INVENTARIO'!$A$2:$Y$1148,6,FALSE)</f>
        <v>DISCO DURO</v>
      </c>
      <c r="G548" s="167" t="str">
        <f ca="1">VLOOKUP($A548,'030523 INVENTARIO'!$A$2:$Y$1148,8,FALSE)</f>
        <v>P13SO-0547</v>
      </c>
      <c r="H548" s="168" t="str">
        <f>VLOOKUP($A548,'030523 INVENTARIO'!$A$2:$Y$1148,17,FALSE)</f>
        <v>ADATA</v>
      </c>
      <c r="I548" s="167" t="str">
        <f>VLOOKUP($A548,'030523 INVENTARIO'!$A$2:$Y$1148,18,FALSE)</f>
        <v>HV100</v>
      </c>
      <c r="J548" s="167" t="str">
        <f>VLOOKUP($A548,'030523 INVENTARIO'!$A$2:$Y$1148,19,FALSE)</f>
        <v>SIN SERIE</v>
      </c>
      <c r="K548" s="167" t="str">
        <f>VLOOKUP($A548,'030523 INVENTARIO'!$A$2:$Y$1148,20,FALSE)</f>
        <v>82DH0515010006000649400</v>
      </c>
      <c r="L548" s="167" t="str">
        <f>VLOOKUP($A548,'030523 INVENTARIO'!$A$2:$Y$1148,23,FALSE)</f>
        <v>FLORENCIA PEREZ NEGRON HUERTA</v>
      </c>
    </row>
    <row r="549" spans="1:12" ht="12.75" hidden="1">
      <c r="A549" s="167" t="str">
        <f>'030523 INVENTARIO'!A549</f>
        <v>0548</v>
      </c>
      <c r="B549" s="168" t="str">
        <f>'030523 INVENTARIO'!T549</f>
        <v>82DI0511010010000649556</v>
      </c>
      <c r="C549" s="167" t="str">
        <f t="shared" si="0"/>
        <v>649556</v>
      </c>
      <c r="D549" s="167" t="str">
        <f>IF(VLOOKUP(C549,'Patrimonio 2023'!$C$2:$C$1128,1,FALSE) = C549, "Encontrado", "no")</f>
        <v>Encontrado</v>
      </c>
      <c r="E549" s="167" t="str">
        <f>VLOOKUP($A549,'030523 INVENTARIO'!$A$2:$Y$1148,5,FALSE)</f>
        <v>MESA</v>
      </c>
      <c r="F549" s="167" t="str">
        <f>VLOOKUP($A549,'030523 INVENTARIO'!$A$2:$Y$1148,6,FALSE)</f>
        <v>MESA MADERA BASE DE METAL  120X40</v>
      </c>
      <c r="G549" s="167" t="str">
        <f ca="1">VLOOKUP($A549,'030523 INVENTARIO'!$A$2:$Y$1148,8,FALSE)</f>
        <v>P13IR-0548</v>
      </c>
      <c r="H549" s="168" t="str">
        <f>VLOOKUP($A549,'030523 INVENTARIO'!$A$2:$Y$1148,17,FALSE)</f>
        <v>S/M</v>
      </c>
      <c r="I549" s="167" t="str">
        <f>VLOOKUP($A549,'030523 INVENTARIO'!$A$2:$Y$1148,18,FALSE)</f>
        <v>S/M</v>
      </c>
      <c r="J549" s="168" t="str">
        <f>VLOOKUP($A549,'030523 INVENTARIO'!$A$2:$Y$1148,19,FALSE)</f>
        <v>SIN SERIE</v>
      </c>
      <c r="K549" s="168" t="str">
        <f>VLOOKUP($A549,'030523 INVENTARIO'!$A$2:$Y$1148,20,FALSE)</f>
        <v>82DI0511010010000649556</v>
      </c>
      <c r="L549" s="167" t="str">
        <f>VLOOKUP($A549,'030523 INVENTARIO'!$A$2:$Y$1148,23,FALSE)</f>
        <v>RAMON GARCIA ARREOLA</v>
      </c>
    </row>
    <row r="550" spans="1:12" ht="12.75" hidden="1">
      <c r="A550" s="167" t="str">
        <f>'030523 INVENTARIO'!A550</f>
        <v>0549</v>
      </c>
      <c r="B550" s="167" t="str">
        <f>'030523 INVENTARIO'!T550</f>
        <v>82DI0511010017000516247</v>
      </c>
      <c r="C550" s="167" t="str">
        <f t="shared" si="0"/>
        <v>516247</v>
      </c>
      <c r="D550" s="167" t="str">
        <f>IF(VLOOKUP(C550,'Patrimonio 2023'!$C$2:$C$1128,1,FALSE) = C550, "Encontrado", "no")</f>
        <v>Encontrado</v>
      </c>
      <c r="E550" s="167" t="str">
        <f>VLOOKUP($A550,'030523 INVENTARIO'!$A$2:$Y$1148,5,FALSE)</f>
        <v>SILLA</v>
      </c>
      <c r="F550" s="167" t="str">
        <f>VLOOKUP($A550,'030523 INVENTARIO'!$A$2:$Y$1148,6,FALSE)</f>
        <v>SILLA SECRETARIAL NEGRA CON RUEDAS</v>
      </c>
      <c r="G550" s="167" t="str">
        <f ca="1">VLOOKUP($A550,'030523 INVENTARIO'!$A$2:$Y$1148,8,FALSE)</f>
        <v>P13IR-0549</v>
      </c>
      <c r="H550" s="168" t="str">
        <f>VLOOKUP($A550,'030523 INVENTARIO'!$A$2:$Y$1148,17,FALSE)</f>
        <v>S/M</v>
      </c>
      <c r="I550" s="167" t="str">
        <f>VLOOKUP($A550,'030523 INVENTARIO'!$A$2:$Y$1148,18,FALSE)</f>
        <v>S/M</v>
      </c>
      <c r="J550" s="167" t="str">
        <f>VLOOKUP($A550,'030523 INVENTARIO'!$A$2:$Y$1148,19,FALSE)</f>
        <v>SIN SERIE</v>
      </c>
      <c r="K550" s="167" t="str">
        <f>VLOOKUP($A550,'030523 INVENTARIO'!$A$2:$Y$1148,20,FALSE)</f>
        <v>82DI0511010017000516247</v>
      </c>
      <c r="L550" s="167" t="str">
        <f>VLOOKUP($A550,'030523 INVENTARIO'!$A$2:$Y$1148,23,FALSE)</f>
        <v>RAMON GARCIA ARREOLA</v>
      </c>
    </row>
    <row r="551" spans="1:12" ht="12.75" hidden="1">
      <c r="A551" s="167" t="str">
        <f>'030523 INVENTARIO'!A551</f>
        <v>0550</v>
      </c>
      <c r="B551" s="168" t="str">
        <f>'030523 INVENTARIO'!T551</f>
        <v>82DI0511010017000649567</v>
      </c>
      <c r="C551" s="167" t="str">
        <f t="shared" si="0"/>
        <v>649567</v>
      </c>
      <c r="D551" s="167" t="str">
        <f>IF(VLOOKUP(C551,'Patrimonio 2023'!$C$2:$C$1128,1,FALSE) = C551, "Encontrado", "no")</f>
        <v>Encontrado</v>
      </c>
      <c r="E551" s="167" t="str">
        <f>VLOOKUP($A551,'030523 INVENTARIO'!$A$2:$Y$1148,5,FALSE)</f>
        <v>SILLA</v>
      </c>
      <c r="F551" s="167" t="str">
        <f>VLOOKUP($A551,'030523 INVENTARIO'!$A$2:$Y$1148,6,FALSE)</f>
        <v>SILLA DE TELA NEGRA  FIJA</v>
      </c>
      <c r="G551" s="167" t="str">
        <f ca="1">VLOOKUP($A551,'030523 INVENTARIO'!$A$2:$Y$1148,8,FALSE)</f>
        <v>P13IR-0550</v>
      </c>
      <c r="H551" s="168" t="str">
        <f>VLOOKUP($A551,'030523 INVENTARIO'!$A$2:$Y$1148,17,FALSE)</f>
        <v>S/M</v>
      </c>
      <c r="I551" s="167" t="str">
        <f>VLOOKUP($A551,'030523 INVENTARIO'!$A$2:$Y$1148,18,FALSE)</f>
        <v>S/M</v>
      </c>
      <c r="J551" s="168" t="str">
        <f>VLOOKUP($A551,'030523 INVENTARIO'!$A$2:$Y$1148,19,FALSE)</f>
        <v>SIN SERIE</v>
      </c>
      <c r="K551" s="168" t="str">
        <f>VLOOKUP($A551,'030523 INVENTARIO'!$A$2:$Y$1148,20,FALSE)</f>
        <v>82DI0511010017000649567</v>
      </c>
      <c r="L551" s="167" t="str">
        <f>VLOOKUP($A551,'030523 INVENTARIO'!$A$2:$Y$1148,23,FALSE)</f>
        <v>RAMON GARCIA ARREOLA</v>
      </c>
    </row>
    <row r="552" spans="1:12" ht="12.75" hidden="1">
      <c r="A552" s="167" t="str">
        <f>'030523 INVENTARIO'!A552</f>
        <v>0551</v>
      </c>
      <c r="B552" s="168" t="str">
        <f>'030523 INVENTARIO'!T552</f>
        <v>82DI0511010017000539073</v>
      </c>
      <c r="C552" s="167" t="str">
        <f t="shared" si="0"/>
        <v>539073</v>
      </c>
      <c r="D552" s="167" t="str">
        <f>IF(VLOOKUP(C552,'Patrimonio 2023'!$C$2:$C$1128,1,FALSE) = C552, "Encontrado", "no")</f>
        <v>Encontrado</v>
      </c>
      <c r="E552" s="167" t="str">
        <f>VLOOKUP($A552,'030523 INVENTARIO'!$A$2:$Y$1148,5,FALSE)</f>
        <v>SILLA</v>
      </c>
      <c r="F552" s="167" t="str">
        <f>VLOOKUP($A552,'030523 INVENTARIO'!$A$2:$Y$1148,6,FALSE)</f>
        <v>SILLA DE TELA NEGRA  FIJA</v>
      </c>
      <c r="G552" s="167" t="str">
        <f ca="1">VLOOKUP($A552,'030523 INVENTARIO'!$A$2:$Y$1148,8,FALSE)</f>
        <v>P13IR-0551</v>
      </c>
      <c r="H552" s="168" t="str">
        <f>VLOOKUP($A552,'030523 INVENTARIO'!$A$2:$Y$1148,17,FALSE)</f>
        <v>S/M</v>
      </c>
      <c r="I552" s="167" t="str">
        <f>VLOOKUP($A552,'030523 INVENTARIO'!$A$2:$Y$1148,18,FALSE)</f>
        <v>S/M</v>
      </c>
      <c r="J552" s="168" t="str">
        <f>VLOOKUP($A552,'030523 INVENTARIO'!$A$2:$Y$1148,19,FALSE)</f>
        <v>SIN SERIE</v>
      </c>
      <c r="K552" s="168" t="str">
        <f>VLOOKUP($A552,'030523 INVENTARIO'!$A$2:$Y$1148,20,FALSE)</f>
        <v>82DI0511010017000539073</v>
      </c>
      <c r="L552" s="167" t="str">
        <f>VLOOKUP($A552,'030523 INVENTARIO'!$A$2:$Y$1148,23,FALSE)</f>
        <v>RAMON GARCIA ARREOLA</v>
      </c>
    </row>
    <row r="553" spans="1:12" ht="12.75" hidden="1">
      <c r="A553" s="167" t="str">
        <f>'030523 INVENTARIO'!A553</f>
        <v>0552</v>
      </c>
      <c r="B553" s="168" t="str">
        <f>'030523 INVENTARIO'!T553</f>
        <v>82DI0511010016000515607</v>
      </c>
      <c r="C553" s="167" t="str">
        <f t="shared" si="0"/>
        <v>515607</v>
      </c>
      <c r="D553" s="167" t="str">
        <f>IF(VLOOKUP(C553,'Patrimonio 2023'!$C$2:$C$1128,1,FALSE) = C553, "Encontrado", "no")</f>
        <v>Encontrado</v>
      </c>
      <c r="E553" s="167" t="str">
        <f>VLOOKUP($A553,'030523 INVENTARIO'!$A$2:$Y$1148,5,FALSE)</f>
        <v>SILLON</v>
      </c>
      <c r="F553" s="167" t="str">
        <f>VLOOKUP($A553,'030523 INVENTARIO'!$A$2:$Y$1148,6,FALSE)</f>
        <v>SILLON NEGRO CON METAL FIJO</v>
      </c>
      <c r="G553" s="167" t="str">
        <f ca="1">VLOOKUP($A553,'030523 INVENTARIO'!$A$2:$Y$1148,8,FALSE)</f>
        <v>P13IR-0552</v>
      </c>
      <c r="H553" s="168" t="str">
        <f>VLOOKUP($A553,'030523 INVENTARIO'!$A$2:$Y$1148,17,FALSE)</f>
        <v>S/M</v>
      </c>
      <c r="I553" s="167" t="str">
        <f>VLOOKUP($A553,'030523 INVENTARIO'!$A$2:$Y$1148,18,FALSE)</f>
        <v>S/M</v>
      </c>
      <c r="J553" s="168" t="str">
        <f>VLOOKUP($A553,'030523 INVENTARIO'!$A$2:$Y$1148,19,FALSE)</f>
        <v>SIN SERIE</v>
      </c>
      <c r="K553" s="168" t="str">
        <f>VLOOKUP($A553,'030523 INVENTARIO'!$A$2:$Y$1148,20,FALSE)</f>
        <v>82DI0511010016000515607</v>
      </c>
      <c r="L553" s="167" t="str">
        <f>VLOOKUP($A553,'030523 INVENTARIO'!$A$2:$Y$1148,23,FALSE)</f>
        <v>RAMON GARCIA ARREOLA</v>
      </c>
    </row>
    <row r="554" spans="1:12" ht="12.75" hidden="1">
      <c r="A554" s="167" t="str">
        <f>'030523 INVENTARIO'!A554</f>
        <v>0553</v>
      </c>
      <c r="B554" s="168" t="str">
        <f>'030523 INVENTARIO'!T554</f>
        <v>82DI0511010010000649557</v>
      </c>
      <c r="C554" s="167" t="str">
        <f t="shared" si="0"/>
        <v>649557</v>
      </c>
      <c r="D554" s="167" t="str">
        <f>IF(VLOOKUP(C554,'Patrimonio 2023'!$C$2:$C$1128,1,FALSE) = C554, "Encontrado", "no")</f>
        <v>Encontrado</v>
      </c>
      <c r="E554" s="167" t="str">
        <f>VLOOKUP($A554,'030523 INVENTARIO'!$A$2:$Y$1148,5,FALSE)</f>
        <v>MESA</v>
      </c>
      <c r="F554" s="167" t="str">
        <f>VLOOKUP($A554,'030523 INVENTARIO'!$A$2:$Y$1148,6,FALSE)</f>
        <v>MESA MADERA BASE DE METAL 100X40</v>
      </c>
      <c r="G554" s="167" t="str">
        <f ca="1">VLOOKUP($A554,'030523 INVENTARIO'!$A$2:$Y$1148,8,FALSE)</f>
        <v>P13IR-0553</v>
      </c>
      <c r="H554" s="168" t="str">
        <f>VLOOKUP($A554,'030523 INVENTARIO'!$A$2:$Y$1148,17,FALSE)</f>
        <v>S/M</v>
      </c>
      <c r="I554" s="167" t="str">
        <f>VLOOKUP($A554,'030523 INVENTARIO'!$A$2:$Y$1148,18,FALSE)</f>
        <v>S/M</v>
      </c>
      <c r="J554" s="168" t="str">
        <f>VLOOKUP($A554,'030523 INVENTARIO'!$A$2:$Y$1148,19,FALSE)</f>
        <v>SIN SERIE</v>
      </c>
      <c r="K554" s="168" t="str">
        <f>VLOOKUP($A554,'030523 INVENTARIO'!$A$2:$Y$1148,20,FALSE)</f>
        <v>82DI0511010010000649557</v>
      </c>
      <c r="L554" s="167" t="str">
        <f>VLOOKUP($A554,'030523 INVENTARIO'!$A$2:$Y$1148,23,FALSE)</f>
        <v>RAMON GARCIA ARREOLA</v>
      </c>
    </row>
    <row r="555" spans="1:12" ht="12.75" hidden="1">
      <c r="A555" s="167" t="str">
        <f>'030523 INVENTARIO'!A555</f>
        <v>0554</v>
      </c>
      <c r="B555" s="168" t="str">
        <f>'030523 INVENTARIO'!T555</f>
        <v>82DI0511010010000649558</v>
      </c>
      <c r="C555" s="167" t="str">
        <f t="shared" si="0"/>
        <v>649558</v>
      </c>
      <c r="D555" s="167" t="str">
        <f>IF(VLOOKUP(C555,'Patrimonio 2023'!$C$2:$C$1128,1,FALSE) = C555, "Encontrado", "no")</f>
        <v>Encontrado</v>
      </c>
      <c r="E555" s="167" t="str">
        <f>VLOOKUP($A555,'030523 INVENTARIO'!$A$2:$Y$1148,5,FALSE)</f>
        <v>MESA</v>
      </c>
      <c r="F555" s="167" t="str">
        <f>VLOOKUP($A555,'030523 INVENTARIO'!$A$2:$Y$1148,6,FALSE)</f>
        <v>MESA DE MADERA CON BASE DE METAL 120X40</v>
      </c>
      <c r="G555" s="167" t="str">
        <f ca="1">VLOOKUP($A555,'030523 INVENTARIO'!$A$2:$Y$1148,8,FALSE)</f>
        <v>P13IR-0554</v>
      </c>
      <c r="H555" s="168" t="str">
        <f>VLOOKUP($A555,'030523 INVENTARIO'!$A$2:$Y$1148,17,FALSE)</f>
        <v>S/M</v>
      </c>
      <c r="I555" s="167" t="str">
        <f>VLOOKUP($A555,'030523 INVENTARIO'!$A$2:$Y$1148,18,FALSE)</f>
        <v>S/M</v>
      </c>
      <c r="J555" s="168" t="str">
        <f>VLOOKUP($A555,'030523 INVENTARIO'!$A$2:$Y$1148,19,FALSE)</f>
        <v>SIN SERIE</v>
      </c>
      <c r="K555" s="168" t="str">
        <f>VLOOKUP($A555,'030523 INVENTARIO'!$A$2:$Y$1148,20,FALSE)</f>
        <v>82DI0511010010000649558</v>
      </c>
      <c r="L555" s="167" t="str">
        <f>VLOOKUP($A555,'030523 INVENTARIO'!$A$2:$Y$1148,23,FALSE)</f>
        <v>RAMON GARCIA ARREOLA</v>
      </c>
    </row>
    <row r="556" spans="1:12" ht="12.75" hidden="1">
      <c r="A556" s="167" t="str">
        <f>'030523 INVENTARIO'!A556</f>
        <v>0555</v>
      </c>
      <c r="B556" s="167" t="str">
        <f>'030523 INVENTARIO'!T556</f>
        <v>82DI0519010043000649373</v>
      </c>
      <c r="C556" s="167" t="str">
        <f t="shared" si="0"/>
        <v>649373</v>
      </c>
      <c r="D556" s="167" t="str">
        <f>IF(VLOOKUP(C556,'Patrimonio 2023'!$C$2:$C$1128,1,FALSE) = C556, "Encontrado", "no")</f>
        <v>Encontrado</v>
      </c>
      <c r="E556" s="167" t="str">
        <f>VLOOKUP($A556,'030523 INVENTARIO'!$A$2:$Y$1148,5,FALSE)</f>
        <v>VENTILADOR</v>
      </c>
      <c r="F556" s="167" t="str">
        <f>VLOOKUP($A556,'030523 INVENTARIO'!$A$2:$Y$1148,6,FALSE)</f>
        <v>VENTILADOR DE TORRE</v>
      </c>
      <c r="G556" s="167" t="str">
        <f ca="1">VLOOKUP($A556,'030523 INVENTARIO'!$A$2:$Y$1148,8,FALSE)</f>
        <v>P13IR-0555</v>
      </c>
      <c r="H556" s="168" t="str">
        <f>VLOOKUP($A556,'030523 INVENTARIO'!$A$2:$Y$1148,17,FALSE)</f>
        <v>MYTEK</v>
      </c>
      <c r="I556" s="167">
        <f>VLOOKUP($A556,'030523 INVENTARIO'!$A$2:$Y$1148,18,FALSE)</f>
        <v>3358</v>
      </c>
      <c r="J556" s="168" t="str">
        <f>VLOOKUP($A556,'030523 INVENTARIO'!$A$2:$Y$1148,19,FALSE)</f>
        <v>SIN SERIE</v>
      </c>
      <c r="K556" s="167" t="str">
        <f>VLOOKUP($A556,'030523 INVENTARIO'!$A$2:$Y$1148,20,FALSE)</f>
        <v>82DI0519010043000649373</v>
      </c>
      <c r="L556" s="167" t="str">
        <f>VLOOKUP($A556,'030523 INVENTARIO'!$A$2:$Y$1148,23,FALSE)</f>
        <v>RAMON GARCIA ARREOLA</v>
      </c>
    </row>
    <row r="557" spans="1:12" ht="12.75" hidden="1">
      <c r="A557" s="167" t="str">
        <f>'030523 INVENTARIO'!A557</f>
        <v>0556</v>
      </c>
      <c r="B557" s="168" t="str">
        <f>'030523 INVENTARIO'!T557</f>
        <v>82DI0511010001000649566</v>
      </c>
      <c r="C557" s="167" t="str">
        <f t="shared" si="0"/>
        <v>649566</v>
      </c>
      <c r="D557" s="167" t="str">
        <f>IF(VLOOKUP(C557,'Patrimonio 2023'!$C$2:$C$1128,1,FALSE) = C557, "Encontrado", "no")</f>
        <v>Encontrado</v>
      </c>
      <c r="E557" s="167" t="str">
        <f>VLOOKUP($A557,'030523 INVENTARIO'!$A$2:$Y$1148,5,FALSE)</f>
        <v>ARCHIVERO</v>
      </c>
      <c r="F557" s="167" t="str">
        <f>VLOOKUP($A557,'030523 INVENTARIO'!$A$2:$Y$1148,6,FALSE)</f>
        <v>ARCHIVERO NEGRO CON 3 CAJONES</v>
      </c>
      <c r="G557" s="167" t="str">
        <f ca="1">VLOOKUP($A557,'030523 INVENTARIO'!$A$2:$Y$1148,8,FALSE)</f>
        <v>P13IR-0556</v>
      </c>
      <c r="H557" s="168" t="str">
        <f>VLOOKUP($A557,'030523 INVENTARIO'!$A$2:$Y$1148,17,FALSE)</f>
        <v>S/M</v>
      </c>
      <c r="I557" s="167" t="str">
        <f>VLOOKUP($A557,'030523 INVENTARIO'!$A$2:$Y$1148,18,FALSE)</f>
        <v>S/M</v>
      </c>
      <c r="J557" s="168" t="str">
        <f>VLOOKUP($A557,'030523 INVENTARIO'!$A$2:$Y$1148,19,FALSE)</f>
        <v>SIN SERIE</v>
      </c>
      <c r="K557" s="168" t="str">
        <f>VLOOKUP($A557,'030523 INVENTARIO'!$A$2:$Y$1148,20,FALSE)</f>
        <v>82DI0511010001000649566</v>
      </c>
      <c r="L557" s="167" t="str">
        <f>VLOOKUP($A557,'030523 INVENTARIO'!$A$2:$Y$1148,23,FALSE)</f>
        <v>RAMON GARCIA ARREOLA</v>
      </c>
    </row>
    <row r="558" spans="1:12" ht="12.75" hidden="1">
      <c r="A558" s="167" t="str">
        <f>'030523 INVENTARIO'!A558</f>
        <v>0557</v>
      </c>
      <c r="B558" s="168" t="str">
        <f>'030523 INVENTARIO'!T558</f>
        <v>82DI0511010005000649559</v>
      </c>
      <c r="C558" s="167" t="str">
        <f t="shared" si="0"/>
        <v>649559</v>
      </c>
      <c r="D558" s="167" t="str">
        <f>IF(VLOOKUP(C558,'Patrimonio 2023'!$C$2:$C$1128,1,FALSE) = C558, "Encontrado", "no")</f>
        <v>Encontrado</v>
      </c>
      <c r="E558" s="167" t="str">
        <f>VLOOKUP($A558,'030523 INVENTARIO'!$A$2:$Y$1148,5,FALSE)</f>
        <v>CREDENZA</v>
      </c>
      <c r="F558" s="167" t="str">
        <f>VLOOKUP($A558,'030523 INVENTARIO'!$A$2:$Y$1148,6,FALSE)</f>
        <v>CREDENZA</v>
      </c>
      <c r="G558" s="167" t="str">
        <f ca="1">VLOOKUP($A558,'030523 INVENTARIO'!$A$2:$Y$1148,8,FALSE)</f>
        <v>P13IR-0557</v>
      </c>
      <c r="H558" s="168" t="str">
        <f>VLOOKUP($A558,'030523 INVENTARIO'!$A$2:$Y$1148,17,FALSE)</f>
        <v>S/M</v>
      </c>
      <c r="I558" s="167" t="str">
        <f>VLOOKUP($A558,'030523 INVENTARIO'!$A$2:$Y$1148,18,FALSE)</f>
        <v>S/M</v>
      </c>
      <c r="J558" s="168" t="str">
        <f>VLOOKUP($A558,'030523 INVENTARIO'!$A$2:$Y$1148,19,FALSE)</f>
        <v>SIN SERIE</v>
      </c>
      <c r="K558" s="168" t="str">
        <f>VLOOKUP($A558,'030523 INVENTARIO'!$A$2:$Y$1148,20,FALSE)</f>
        <v>82DI0511010005000649559</v>
      </c>
      <c r="L558" s="167" t="str">
        <f>VLOOKUP($A558,'030523 INVENTARIO'!$A$2:$Y$1148,23,FALSE)</f>
        <v>RAMON GARCIA ARREOLA</v>
      </c>
    </row>
    <row r="559" spans="1:12" ht="12.75" hidden="1">
      <c r="A559" s="167" t="str">
        <f>'030523 INVENTARIO'!A559</f>
        <v>0558</v>
      </c>
      <c r="B559" s="168" t="str">
        <f>'030523 INVENTARIO'!T559</f>
        <v>82DI0511010006000583449</v>
      </c>
      <c r="C559" s="167" t="str">
        <f t="shared" si="0"/>
        <v>583449</v>
      </c>
      <c r="D559" s="167" t="str">
        <f>IF(VLOOKUP(C559,'Patrimonio 2023'!$C$2:$C$1128,1,FALSE) = C559, "Encontrado", "no")</f>
        <v>Encontrado</v>
      </c>
      <c r="E559" s="167" t="str">
        <f>VLOOKUP($A559,'030523 INVENTARIO'!$A$2:$Y$1148,5,FALSE)</f>
        <v>MODULO</v>
      </c>
      <c r="F559" s="167" t="str">
        <f>VLOOKUP($A559,'030523 INVENTARIO'!$A$2:$Y$1148,6,FALSE)</f>
        <v>ESCRITORIO DE MADERA</v>
      </c>
      <c r="G559" s="167" t="str">
        <f ca="1">VLOOKUP($A559,'030523 INVENTARIO'!$A$2:$Y$1148,8,FALSE)</f>
        <v>P13IR-0558</v>
      </c>
      <c r="H559" s="168" t="str">
        <f>VLOOKUP($A559,'030523 INVENTARIO'!$A$2:$Y$1148,17,FALSE)</f>
        <v>S/M</v>
      </c>
      <c r="I559" s="167" t="str">
        <f>VLOOKUP($A559,'030523 INVENTARIO'!$A$2:$Y$1148,18,FALSE)</f>
        <v>S/M</v>
      </c>
      <c r="J559" s="168" t="str">
        <f>VLOOKUP($A559,'030523 INVENTARIO'!$A$2:$Y$1148,19,FALSE)</f>
        <v>SIN SERIE</v>
      </c>
      <c r="K559" s="168" t="str">
        <f>VLOOKUP($A559,'030523 INVENTARIO'!$A$2:$Y$1148,20,FALSE)</f>
        <v>82DI0511010006000583449</v>
      </c>
      <c r="L559" s="167" t="str">
        <f>VLOOKUP($A559,'030523 INVENTARIO'!$A$2:$Y$1148,23,FALSE)</f>
        <v>RAMON GARCIA ARREOLA</v>
      </c>
    </row>
    <row r="560" spans="1:12" ht="12.75" hidden="1">
      <c r="A560" s="167" t="str">
        <f>'030523 INVENTARIO'!A560</f>
        <v>0559</v>
      </c>
      <c r="B560" s="168" t="str">
        <f>'030523 INVENTARIO'!T560</f>
        <v>82DI0511010006000583455</v>
      </c>
      <c r="C560" s="167" t="str">
        <f t="shared" si="0"/>
        <v>583455</v>
      </c>
      <c r="D560" s="167" t="str">
        <f>IF(VLOOKUP(C560,'Patrimonio 2023'!$C$2:$C$1128,1,FALSE) = C560, "Encontrado", "no")</f>
        <v>Encontrado</v>
      </c>
      <c r="E560" s="167" t="str">
        <f>VLOOKUP($A560,'030523 INVENTARIO'!$A$2:$Y$1148,5,FALSE)</f>
        <v>ESCRITORIO</v>
      </c>
      <c r="F560" s="167" t="str">
        <f>VLOOKUP($A560,'030523 INVENTARIO'!$A$2:$Y$1148,6,FALSE)</f>
        <v>ESCRITORIO DE MADERA CON BANDEJA DESLIZABLE</v>
      </c>
      <c r="G560" s="167" t="str">
        <f ca="1">VLOOKUP($A560,'030523 INVENTARIO'!$A$2:$Y$1148,8,FALSE)</f>
        <v>P13IR-0559</v>
      </c>
      <c r="H560" s="168" t="str">
        <f>VLOOKUP($A560,'030523 INVENTARIO'!$A$2:$Y$1148,17,FALSE)</f>
        <v>S/M</v>
      </c>
      <c r="I560" s="167" t="str">
        <f>VLOOKUP($A560,'030523 INVENTARIO'!$A$2:$Y$1148,18,FALSE)</f>
        <v>S/M</v>
      </c>
      <c r="J560" s="168" t="str">
        <f>VLOOKUP($A560,'030523 INVENTARIO'!$A$2:$Y$1148,19,FALSE)</f>
        <v>SIN SERIE</v>
      </c>
      <c r="K560" s="168" t="str">
        <f>VLOOKUP($A560,'030523 INVENTARIO'!$A$2:$Y$1148,20,FALSE)</f>
        <v>82DI0511010006000583455</v>
      </c>
      <c r="L560" s="167" t="str">
        <f>VLOOKUP($A560,'030523 INVENTARIO'!$A$2:$Y$1148,23,FALSE)</f>
        <v>RAMON GARCIA ARREOLA</v>
      </c>
    </row>
    <row r="561" spans="1:12" ht="12.75" hidden="1">
      <c r="A561" s="167" t="str">
        <f>'030523 INVENTARIO'!A561</f>
        <v>0560</v>
      </c>
      <c r="B561" s="168" t="str">
        <f>'030523 INVENTARIO'!T561</f>
        <v>82DI0515010033000564639</v>
      </c>
      <c r="C561" s="167" t="str">
        <f t="shared" si="0"/>
        <v>564639</v>
      </c>
      <c r="D561" s="167" t="str">
        <f>IF(VLOOKUP(C561,'Patrimonio 2023'!$C$2:$C$1128,1,FALSE) = C561, "Encontrado", "no")</f>
        <v>Encontrado</v>
      </c>
      <c r="E561" s="167" t="str">
        <f>VLOOKUP($A561,'030523 INVENTARIO'!$A$2:$Y$1148,5,FALSE)</f>
        <v>COMPLEMENTARIO DE EQUIPO DE COMPUTO</v>
      </c>
      <c r="F561" s="168" t="str">
        <f>VLOOKUP($A561,'030523 INVENTARIO'!$A$2:$Y$1148,6,FALSE)</f>
        <v>ESCRITORIO DE MADERA CON DOS CAJONES</v>
      </c>
      <c r="G561" s="167" t="str">
        <f ca="1">VLOOKUP($A561,'030523 INVENTARIO'!$A$2:$Y$1148,8,FALSE)</f>
        <v>P13IR-0560</v>
      </c>
      <c r="H561" s="168" t="str">
        <f>VLOOKUP($A561,'030523 INVENTARIO'!$A$2:$Y$1148,17,FALSE)</f>
        <v>S/M</v>
      </c>
      <c r="I561" s="167" t="str">
        <f>VLOOKUP($A561,'030523 INVENTARIO'!$A$2:$Y$1148,18,FALSE)</f>
        <v>S/M</v>
      </c>
      <c r="J561" s="168" t="str">
        <f>VLOOKUP($A561,'030523 INVENTARIO'!$A$2:$Y$1148,19,FALSE)</f>
        <v>SIN SERIE</v>
      </c>
      <c r="K561" s="168" t="str">
        <f>VLOOKUP($A561,'030523 INVENTARIO'!$A$2:$Y$1148,20,FALSE)</f>
        <v>82DI0515010033000564639</v>
      </c>
      <c r="L561" s="167" t="str">
        <f>VLOOKUP($A561,'030523 INVENTARIO'!$A$2:$Y$1148,23,FALSE)</f>
        <v>RAMON GARCIA ARREOLA</v>
      </c>
    </row>
    <row r="562" spans="1:12" ht="12.75" hidden="1">
      <c r="A562" s="167" t="str">
        <f>'030523 INVENTARIO'!A562</f>
        <v>0561</v>
      </c>
      <c r="B562" s="168" t="str">
        <f>'030523 INVENTARIO'!T562</f>
        <v>82DI0515010033000564640</v>
      </c>
      <c r="C562" s="167" t="str">
        <f t="shared" si="0"/>
        <v>564640</v>
      </c>
      <c r="D562" s="167" t="str">
        <f>IF(VLOOKUP(C562,'Patrimonio 2023'!$C$2:$C$1128,1,FALSE) = C562, "Encontrado", "no")</f>
        <v>Encontrado</v>
      </c>
      <c r="E562" s="167" t="str">
        <f>VLOOKUP($A562,'030523 INVENTARIO'!$A$2:$Y$1148,5,FALSE)</f>
        <v>COMPLEMENTARIO DE EQUIPO DE COMPUTO</v>
      </c>
      <c r="F562" s="168" t="str">
        <f>VLOOKUP($A562,'030523 INVENTARIO'!$A$2:$Y$1148,6,FALSE)</f>
        <v>COMPLEMENTO DE EQUIPO DE MADERA</v>
      </c>
      <c r="G562" s="167" t="str">
        <f ca="1">VLOOKUP($A562,'030523 INVENTARIO'!$A$2:$Y$1148,8,FALSE)</f>
        <v>P13IR-0561</v>
      </c>
      <c r="H562" s="168" t="str">
        <f>VLOOKUP($A562,'030523 INVENTARIO'!$A$2:$Y$1148,17,FALSE)</f>
        <v>S/M</v>
      </c>
      <c r="I562" s="167" t="str">
        <f>VLOOKUP($A562,'030523 INVENTARIO'!$A$2:$Y$1148,18,FALSE)</f>
        <v>S/M</v>
      </c>
      <c r="J562" s="168" t="str">
        <f>VLOOKUP($A562,'030523 INVENTARIO'!$A$2:$Y$1148,19,FALSE)</f>
        <v>SIN SERIE</v>
      </c>
      <c r="K562" s="168" t="str">
        <f>VLOOKUP($A562,'030523 INVENTARIO'!$A$2:$Y$1148,20,FALSE)</f>
        <v>82DI0515010033000564640</v>
      </c>
      <c r="L562" s="167" t="str">
        <f>VLOOKUP($A562,'030523 INVENTARIO'!$A$2:$Y$1148,23,FALSE)</f>
        <v>RAMON GARCIA ARREOLA</v>
      </c>
    </row>
    <row r="563" spans="1:12" ht="12.75" hidden="1">
      <c r="A563" s="167" t="str">
        <f>'030523 INVENTARIO'!A563</f>
        <v>0562</v>
      </c>
      <c r="B563" s="168" t="str">
        <f>'030523 INVENTARIO'!T563</f>
        <v>82DI0511010016000539052</v>
      </c>
      <c r="C563" s="167" t="str">
        <f t="shared" si="0"/>
        <v>539052</v>
      </c>
      <c r="D563" s="167" t="str">
        <f>IF(VLOOKUP(C563,'Patrimonio 2023'!$C$2:$C$1128,1,FALSE) = C563, "Encontrado", "no")</f>
        <v>Encontrado</v>
      </c>
      <c r="E563" s="167" t="str">
        <f>VLOOKUP($A563,'030523 INVENTARIO'!$A$2:$Y$1148,5,FALSE)</f>
        <v>SILLON</v>
      </c>
      <c r="F563" s="167" t="str">
        <f>VLOOKUP($A563,'030523 INVENTARIO'!$A$2:$Y$1148,6,FALSE)</f>
        <v>SILLON NEGRO CON RUEDAS</v>
      </c>
      <c r="G563" s="167" t="str">
        <f ca="1">VLOOKUP($A563,'030523 INVENTARIO'!$A$2:$Y$1148,8,FALSE)</f>
        <v>P15RM-0562</v>
      </c>
      <c r="H563" s="168" t="str">
        <f>VLOOKUP($A563,'030523 INVENTARIO'!$A$2:$Y$1148,17,FALSE)</f>
        <v>S/M</v>
      </c>
      <c r="I563" s="167" t="str">
        <f>VLOOKUP($A563,'030523 INVENTARIO'!$A$2:$Y$1148,18,FALSE)</f>
        <v>S/M</v>
      </c>
      <c r="J563" s="168" t="str">
        <f>VLOOKUP($A563,'030523 INVENTARIO'!$A$2:$Y$1148,19,FALSE)</f>
        <v>SIN SERIE</v>
      </c>
      <c r="K563" s="168" t="str">
        <f>VLOOKUP($A563,'030523 INVENTARIO'!$A$2:$Y$1148,20,FALSE)</f>
        <v>82DI0511010016000539052</v>
      </c>
      <c r="L563" s="167" t="str">
        <f>VLOOKUP($A563,'030523 INVENTARIO'!$A$2:$Y$1148,23,FALSE)</f>
        <v>BLANCA ELIZABETH ALCANTAR GUERRERO</v>
      </c>
    </row>
    <row r="564" spans="1:12" ht="12.75" hidden="1">
      <c r="A564" s="167" t="str">
        <f>'030523 INVENTARIO'!A564</f>
        <v>0563</v>
      </c>
      <c r="B564" s="167" t="str">
        <f>'030523 INVENTARIO'!T564</f>
        <v>82DI0515010016000522294</v>
      </c>
      <c r="C564" s="167" t="str">
        <f t="shared" si="0"/>
        <v>522294</v>
      </c>
      <c r="D564" s="167" t="str">
        <f>IF(VLOOKUP(C564,'Patrimonio 2023'!$C$2:$C$1128,1,FALSE) = C564, "Encontrado", "no")</f>
        <v>Encontrado</v>
      </c>
      <c r="E564" s="167" t="str">
        <f>VLOOKUP($A564,'030523 INVENTARIO'!$A$2:$Y$1148,5,FALSE)</f>
        <v>NO BREAK</v>
      </c>
      <c r="F564" s="167" t="str">
        <f>VLOOKUP($A564,'030523 INVENTARIO'!$A$2:$Y$1148,6,FALSE)</f>
        <v>NO BREAK NEGRO</v>
      </c>
      <c r="G564" s="167" t="str">
        <f ca="1">VLOOKUP($A564,'030523 INVENTARIO'!$A$2:$Y$1148,8,FALSE)</f>
        <v>P13IR-0563</v>
      </c>
      <c r="H564" s="168" t="str">
        <f>VLOOKUP($A564,'030523 INVENTARIO'!$A$2:$Y$1148,17,FALSE)</f>
        <v>TRIPP LITE</v>
      </c>
      <c r="I564" s="167" t="str">
        <f>VLOOKUP($A564,'030523 INVENTARIO'!$A$2:$Y$1148,18,FALSE)</f>
        <v>INTERNET550U</v>
      </c>
      <c r="J564" s="168" t="str">
        <f>VLOOKUP($A564,'030523 INVENTARIO'!$A$2:$Y$1148,19,FALSE)</f>
        <v>9730CY0BC575600811</v>
      </c>
      <c r="K564" s="167" t="str">
        <f>VLOOKUP($A564,'030523 INVENTARIO'!$A$2:$Y$1148,20,FALSE)</f>
        <v>82DI0515010016000522294</v>
      </c>
      <c r="L564" s="167" t="str">
        <f>VLOOKUP($A564,'030523 INVENTARIO'!$A$2:$Y$1148,23,FALSE)</f>
        <v>RAMON GARCIA ARREOLA</v>
      </c>
    </row>
    <row r="565" spans="1:12" ht="12.75" hidden="1">
      <c r="A565" s="167" t="str">
        <f>'030523 INVENTARIO'!A565</f>
        <v>0564</v>
      </c>
      <c r="B565" s="168" t="str">
        <f>'030523 INVENTARIO'!T565</f>
        <v>82DI0515010001000539045</v>
      </c>
      <c r="C565" s="167" t="str">
        <f t="shared" si="0"/>
        <v>539045</v>
      </c>
      <c r="D565" s="167" t="str">
        <f>IF(VLOOKUP(C565,'Patrimonio 2023'!$C$2:$C$1128,1,FALSE) = C565, "Encontrado", "no")</f>
        <v>Encontrado</v>
      </c>
      <c r="E565" s="167" t="str">
        <f>VLOOKUP($A565,'030523 INVENTARIO'!$A$2:$Y$1148,5,FALSE)</f>
        <v>COMPUTADORA DE ESCRITORIO</v>
      </c>
      <c r="F565" s="167" t="str">
        <f>VLOOKUP($A565,'030523 INVENTARIO'!$A$2:$Y$1148,6,FALSE)</f>
        <v>COMPUTADORA DE ESCRITORIO</v>
      </c>
      <c r="G565" s="167" t="str">
        <f ca="1">VLOOKUP($A565,'030523 INVENTARIO'!$A$2:$Y$1148,8,FALSE)</f>
        <v>P13IR-0564</v>
      </c>
      <c r="H565" s="168" t="str">
        <f>VLOOKUP($A565,'030523 INVENTARIO'!$A$2:$Y$1148,17,FALSE)</f>
        <v>HP</v>
      </c>
      <c r="I565" s="167" t="str">
        <f>VLOOKUP($A565,'030523 INVENTARIO'!$A$2:$Y$1148,18,FALSE)</f>
        <v>PRO6300</v>
      </c>
      <c r="J565" s="168" t="str">
        <f>VLOOKUP($A565,'030523 INVENTARIO'!$A$2:$Y$1148,19,FALSE)</f>
        <v>MXL25005HG</v>
      </c>
      <c r="K565" s="168" t="str">
        <f>VLOOKUP($A565,'030523 INVENTARIO'!$A$2:$Y$1148,20,FALSE)</f>
        <v>82DI0515010001000539045</v>
      </c>
      <c r="L565" s="167" t="str">
        <f>VLOOKUP($A565,'030523 INVENTARIO'!$A$2:$Y$1148,23,FALSE)</f>
        <v>RAMON GARCIA ARREOLA</v>
      </c>
    </row>
    <row r="566" spans="1:12" ht="12.75" hidden="1">
      <c r="A566" s="167" t="str">
        <f>'030523 INVENTARIO'!A566</f>
        <v>0565</v>
      </c>
      <c r="B566" s="168" t="str">
        <f>'030523 INVENTARIO'!T566</f>
        <v>82DI0565010041000539112</v>
      </c>
      <c r="C566" s="167" t="str">
        <f t="shared" si="0"/>
        <v>539112</v>
      </c>
      <c r="D566" s="167" t="str">
        <f>IF(VLOOKUP(C566,'Patrimonio 2023'!$C$2:$C$1128,1,FALSE) = C566, "Encontrado", "no")</f>
        <v>Encontrado</v>
      </c>
      <c r="E566" s="167" t="str">
        <f>VLOOKUP($A566,'030523 INVENTARIO'!$A$2:$Y$1148,5,FALSE)</f>
        <v>MONITOR</v>
      </c>
      <c r="F566" s="167" t="str">
        <f>VLOOKUP($A566,'030523 INVENTARIO'!$A$2:$Y$1148,6,FALSE)</f>
        <v>MONITOR 18.5"</v>
      </c>
      <c r="G566" s="167" t="str">
        <f ca="1">VLOOKUP($A566,'030523 INVENTARIO'!$A$2:$Y$1148,8,FALSE)</f>
        <v>P13IR-0565</v>
      </c>
      <c r="H566" s="168" t="str">
        <f>VLOOKUP($A566,'030523 INVENTARIO'!$A$2:$Y$1148,17,FALSE)</f>
        <v>HP</v>
      </c>
      <c r="I566" s="167" t="str">
        <f>VLOOKUP($A566,'030523 INVENTARIO'!$A$2:$Y$1148,18,FALSE)</f>
        <v>LV1911</v>
      </c>
      <c r="J566" s="168" t="str">
        <f>VLOOKUP($A566,'030523 INVENTARIO'!$A$2:$Y$1148,19,FALSE)</f>
        <v>6CM23105RT</v>
      </c>
      <c r="K566" s="168" t="str">
        <f>VLOOKUP($A566,'030523 INVENTARIO'!$A$2:$Y$1148,20,FALSE)</f>
        <v>82DI0565010041000539112</v>
      </c>
      <c r="L566" s="167" t="str">
        <f>VLOOKUP($A566,'030523 INVENTARIO'!$A$2:$Y$1148,23,FALSE)</f>
        <v>RAMON GARCIA ARREOLA</v>
      </c>
    </row>
    <row r="567" spans="1:12" ht="12.75" hidden="1">
      <c r="A567" s="167" t="str">
        <f>'030523 INVENTARIO'!A567</f>
        <v>0566</v>
      </c>
      <c r="B567" s="168" t="str">
        <f>'030523 INVENTARIO'!T567</f>
        <v>82DI0565010001000527092</v>
      </c>
      <c r="C567" s="167" t="str">
        <f t="shared" si="0"/>
        <v>527092</v>
      </c>
      <c r="D567" s="167" t="str">
        <f>IF(VLOOKUP(C567,'Patrimonio 2023'!$C$2:$C$1128,1,FALSE) = C567, "Encontrado", "no")</f>
        <v>Encontrado</v>
      </c>
      <c r="E567" s="167" t="str">
        <f>VLOOKUP($A567,'030523 INVENTARIO'!$A$2:$Y$1148,5,FALSE)</f>
        <v>TELEFONO</v>
      </c>
      <c r="F567" s="167" t="str">
        <f>VLOOKUP($A567,'030523 INVENTARIO'!$A$2:$Y$1148,6,FALSE)</f>
        <v>TELEFONO GRIS</v>
      </c>
      <c r="G567" s="167" t="str">
        <f ca="1">VLOOKUP($A567,'030523 INVENTARIO'!$A$2:$Y$1148,8,FALSE)</f>
        <v>P13IR-0566</v>
      </c>
      <c r="H567" s="168" t="str">
        <f>VLOOKUP($A567,'030523 INVENTARIO'!$A$2:$Y$1148,17,FALSE)</f>
        <v>LINKSYS</v>
      </c>
      <c r="I567" s="167" t="str">
        <f>VLOOKUP($A567,'030523 INVENTARIO'!$A$2:$Y$1148,18,FALSE)</f>
        <v>SPA942</v>
      </c>
      <c r="J567" s="168" t="str">
        <f>VLOOKUP($A567,'030523 INVENTARIO'!$A$2:$Y$1148,19,FALSE)</f>
        <v>4LO00H118473</v>
      </c>
      <c r="K567" s="168" t="str">
        <f>VLOOKUP($A567,'030523 INVENTARIO'!$A$2:$Y$1148,20,FALSE)</f>
        <v>82DI0565010001000527092</v>
      </c>
      <c r="L567" s="167" t="str">
        <f>VLOOKUP($A567,'030523 INVENTARIO'!$A$2:$Y$1148,23,FALSE)</f>
        <v>RAMON GARCIA ARREOLA</v>
      </c>
    </row>
    <row r="568" spans="1:12" ht="12.75" hidden="1">
      <c r="A568" s="167" t="str">
        <f>'030523 INVENTARIO'!A568</f>
        <v>0567</v>
      </c>
      <c r="B568" s="168" t="str">
        <f>'030523 INVENTARIO'!T568</f>
        <v>82DJ0531010065000564804</v>
      </c>
      <c r="C568" s="167" t="str">
        <f t="shared" si="0"/>
        <v>564804</v>
      </c>
      <c r="D568" s="167" t="str">
        <f>IF(VLOOKUP(C568,'Patrimonio 2023'!$C$2:$C$1128,1,FALSE) = C568, "Encontrado", "no")</f>
        <v>Encontrado</v>
      </c>
      <c r="E568" s="167" t="str">
        <f>VLOOKUP($A568,'030523 INVENTARIO'!$A$2:$Y$1148,5,FALSE)</f>
        <v>MESA</v>
      </c>
      <c r="F568" s="167" t="str">
        <f>VLOOKUP($A568,'030523 INVENTARIO'!$A$2:$Y$1148,6,FALSE)</f>
        <v>MESA DE MADERA 100X40</v>
      </c>
      <c r="G568" s="167" t="str">
        <f ca="1">VLOOKUP($A568,'030523 INVENTARIO'!$A$2:$Y$1148,8,FALSE)</f>
        <v>P13LP-0567</v>
      </c>
      <c r="H568" s="168" t="str">
        <f>VLOOKUP($A568,'030523 INVENTARIO'!$A$2:$Y$1148,17,FALSE)</f>
        <v>S/M</v>
      </c>
      <c r="I568" s="167" t="str">
        <f>VLOOKUP($A568,'030523 INVENTARIO'!$A$2:$Y$1148,18,FALSE)</f>
        <v>S/M</v>
      </c>
      <c r="J568" s="168" t="str">
        <f>VLOOKUP($A568,'030523 INVENTARIO'!$A$2:$Y$1148,19,FALSE)</f>
        <v>SIN SERIE</v>
      </c>
      <c r="K568" s="168" t="str">
        <f>VLOOKUP($A568,'030523 INVENTARIO'!$A$2:$Y$1148,20,FALSE)</f>
        <v>82DJ0531010065000564804</v>
      </c>
      <c r="L568" s="167" t="str">
        <f>VLOOKUP($A568,'030523 INVENTARIO'!$A$2:$Y$1148,23,FALSE)</f>
        <v>MARIA DE LOURDES RUVALCABA GUZMAN</v>
      </c>
    </row>
    <row r="569" spans="1:12" ht="12.75" hidden="1">
      <c r="A569" s="167" t="str">
        <f>'030523 INVENTARIO'!A569</f>
        <v>0568</v>
      </c>
      <c r="B569" s="168" t="str">
        <f>'030523 INVENTARIO'!T569</f>
        <v>82DJ0511010006000564905</v>
      </c>
      <c r="C569" s="167" t="str">
        <f t="shared" si="0"/>
        <v>564905</v>
      </c>
      <c r="D569" s="167" t="str">
        <f>IF(VLOOKUP(C569,'Patrimonio 2023'!$C$2:$C$1128,1,FALSE) = C569, "Encontrado", "no")</f>
        <v>Encontrado</v>
      </c>
      <c r="E569" s="167" t="str">
        <f>VLOOKUP($A569,'030523 INVENTARIO'!$A$2:$Y$1148,5,FALSE)</f>
        <v>ESCRITORIO</v>
      </c>
      <c r="F569" s="167" t="str">
        <f>VLOOKUP($A569,'030523 INVENTARIO'!$A$2:$Y$1148,6,FALSE)</f>
        <v>ESCRITORIO DE MADERA</v>
      </c>
      <c r="G569" s="167" t="str">
        <f ca="1">VLOOKUP($A569,'030523 INVENTARIO'!$A$2:$Y$1148,8,FALSE)</f>
        <v>P13LP-0568</v>
      </c>
      <c r="H569" s="168" t="str">
        <f>VLOOKUP($A569,'030523 INVENTARIO'!$A$2:$Y$1148,17,FALSE)</f>
        <v>S/M</v>
      </c>
      <c r="I569" s="167" t="str">
        <f>VLOOKUP($A569,'030523 INVENTARIO'!$A$2:$Y$1148,18,FALSE)</f>
        <v>S/M</v>
      </c>
      <c r="J569" s="168" t="str">
        <f>VLOOKUP($A569,'030523 INVENTARIO'!$A$2:$Y$1148,19,FALSE)</f>
        <v>SIN SERIE</v>
      </c>
      <c r="K569" s="168" t="str">
        <f>VLOOKUP($A569,'030523 INVENTARIO'!$A$2:$Y$1148,20,FALSE)</f>
        <v>82DJ0511010006000564905</v>
      </c>
      <c r="L569" s="167" t="str">
        <f>VLOOKUP($A569,'030523 INVENTARIO'!$A$2:$Y$1148,23,FALSE)</f>
        <v>MARIA DE LOURDES RUVALCABA GUZMAN</v>
      </c>
    </row>
    <row r="570" spans="1:12" ht="12.75" hidden="1">
      <c r="A570" s="167" t="str">
        <f>'030523 INVENTARIO'!A570</f>
        <v>0569</v>
      </c>
      <c r="B570" s="168" t="str">
        <f>'030523 INVENTARIO'!T570</f>
        <v>82DJ0531010065000564789</v>
      </c>
      <c r="C570" s="167" t="str">
        <f t="shared" si="0"/>
        <v>564789</v>
      </c>
      <c r="D570" s="167" t="str">
        <f>IF(VLOOKUP(C570,'Patrimonio 2023'!$C$2:$C$1128,1,FALSE) = C570, "Encontrado", "no")</f>
        <v>Encontrado</v>
      </c>
      <c r="E570" s="167" t="str">
        <f>VLOOKUP($A570,'030523 INVENTARIO'!$A$2:$Y$1148,5,FALSE)</f>
        <v>MESA</v>
      </c>
      <c r="F570" s="167" t="str">
        <f>VLOOKUP($A570,'030523 INVENTARIO'!$A$2:$Y$1148,6,FALSE)</f>
        <v>MESA DE MADERA COMPLEMENTO</v>
      </c>
      <c r="G570" s="167" t="str">
        <f ca="1">VLOOKUP($A570,'030523 INVENTARIO'!$A$2:$Y$1148,8,FALSE)</f>
        <v>P13LP-0569</v>
      </c>
      <c r="H570" s="168" t="str">
        <f>VLOOKUP($A570,'030523 INVENTARIO'!$A$2:$Y$1148,17,FALSE)</f>
        <v>S/M</v>
      </c>
      <c r="I570" s="167" t="str">
        <f>VLOOKUP($A570,'030523 INVENTARIO'!$A$2:$Y$1148,18,FALSE)</f>
        <v>S/M</v>
      </c>
      <c r="J570" s="168" t="str">
        <f>VLOOKUP($A570,'030523 INVENTARIO'!$A$2:$Y$1148,19,FALSE)</f>
        <v>SIN SERIE</v>
      </c>
      <c r="K570" s="168" t="str">
        <f>VLOOKUP($A570,'030523 INVENTARIO'!$A$2:$Y$1148,20,FALSE)</f>
        <v>82DJ0531010065000564789</v>
      </c>
      <c r="L570" s="167" t="str">
        <f>VLOOKUP($A570,'030523 INVENTARIO'!$A$2:$Y$1148,23,FALSE)</f>
        <v>MARIA DE LOURDES RUVALCABA GUZMAN</v>
      </c>
    </row>
    <row r="571" spans="1:12" ht="12.75" hidden="1">
      <c r="A571" s="167" t="str">
        <f>'030523 INVENTARIO'!A571</f>
        <v>0570</v>
      </c>
      <c r="B571" s="168" t="str">
        <f>'030523 INVENTARIO'!T571</f>
        <v>82DJ0511010005000649715</v>
      </c>
      <c r="C571" s="167" t="str">
        <f t="shared" si="0"/>
        <v>649715</v>
      </c>
      <c r="D571" s="167" t="str">
        <f>IF(VLOOKUP(C571,'Patrimonio 2023'!$C$2:$C$1128,1,FALSE) = C571, "Encontrado", "no")</f>
        <v>Encontrado</v>
      </c>
      <c r="E571" s="167" t="str">
        <f>VLOOKUP($A571,'030523 INVENTARIO'!$A$2:$Y$1148,5,FALSE)</f>
        <v>LIBRERO</v>
      </c>
      <c r="F571" s="167" t="str">
        <f>VLOOKUP($A571,'030523 INVENTARIO'!$A$2:$Y$1148,6,FALSE)</f>
        <v>LIBRERO DE MADERA (credenza)</v>
      </c>
      <c r="G571" s="167" t="str">
        <f ca="1">VLOOKUP($A571,'030523 INVENTARIO'!$A$2:$Y$1148,8,FALSE)</f>
        <v>P13LP-0570</v>
      </c>
      <c r="H571" s="168" t="str">
        <f>VLOOKUP($A571,'030523 INVENTARIO'!$A$2:$Y$1148,17,FALSE)</f>
        <v>S/M</v>
      </c>
      <c r="I571" s="167" t="str">
        <f>VLOOKUP($A571,'030523 INVENTARIO'!$A$2:$Y$1148,18,FALSE)</f>
        <v>S/M</v>
      </c>
      <c r="J571" s="168" t="str">
        <f>VLOOKUP($A571,'030523 INVENTARIO'!$A$2:$Y$1148,19,FALSE)</f>
        <v>SIN SERIE</v>
      </c>
      <c r="K571" s="168" t="str">
        <f>VLOOKUP($A571,'030523 INVENTARIO'!$A$2:$Y$1148,20,FALSE)</f>
        <v>82DJ0511010005000649715</v>
      </c>
      <c r="L571" s="167" t="str">
        <f>VLOOKUP($A571,'030523 INVENTARIO'!$A$2:$Y$1148,23,FALSE)</f>
        <v>MARIA DE LOURDES RUVALCABA GUZMAN</v>
      </c>
    </row>
    <row r="572" spans="1:12" ht="12.75" hidden="1">
      <c r="A572" s="167" t="str">
        <f>'030523 INVENTARIO'!A572</f>
        <v>0571</v>
      </c>
      <c r="B572" s="167" t="str">
        <f>'030523 INVENTARIO'!T572</f>
        <v>82DJ0531010094000564891</v>
      </c>
      <c r="C572" s="167" t="str">
        <f t="shared" si="0"/>
        <v>564891</v>
      </c>
      <c r="D572" s="167" t="str">
        <f>IF(VLOOKUP(C572,'Patrimonio 2023'!$C$2:$C$1128,1,FALSE) = C572, "Encontrado", "no")</f>
        <v>Encontrado</v>
      </c>
      <c r="E572" s="167" t="str">
        <f>VLOOKUP($A572,'030523 INVENTARIO'!$A$2:$Y$1148,5,FALSE)</f>
        <v>VENTILADOR</v>
      </c>
      <c r="F572" s="167" t="str">
        <f>VLOOKUP($A572,'030523 INVENTARIO'!$A$2:$Y$1148,6,FALSE)</f>
        <v>VENTILADOR DE TORRE</v>
      </c>
      <c r="G572" s="167" t="str">
        <f ca="1">VLOOKUP($A572,'030523 INVENTARIO'!$A$2:$Y$1148,8,FALSE)</f>
        <v>P13LP-0571</v>
      </c>
      <c r="H572" s="168" t="str">
        <f>VLOOKUP($A572,'030523 INVENTARIO'!$A$2:$Y$1148,17,FALSE)</f>
        <v>BIRTMAN</v>
      </c>
      <c r="I572" s="167" t="str">
        <f>VLOOKUP($A572,'030523 INVENTARIO'!$A$2:$Y$1148,18,FALSE)</f>
        <v>BT-40</v>
      </c>
      <c r="J572" s="168" t="str">
        <f>VLOOKUP($A572,'030523 INVENTARIO'!$A$2:$Y$1148,19,FALSE)</f>
        <v>SIN SERIE</v>
      </c>
      <c r="K572" s="167" t="str">
        <f>VLOOKUP($A572,'030523 INVENTARIO'!$A$2:$Y$1148,20,FALSE)</f>
        <v>82DJ0531010094000564891</v>
      </c>
      <c r="L572" s="167" t="str">
        <f>VLOOKUP($A572,'030523 INVENTARIO'!$A$2:$Y$1148,23,FALSE)</f>
        <v>MARIA DE LOURDES RUVALCABA GUZMAN</v>
      </c>
    </row>
    <row r="573" spans="1:12" ht="12.75" hidden="1">
      <c r="A573" s="167" t="str">
        <f>'030523 INVENTARIO'!A573</f>
        <v>0572</v>
      </c>
      <c r="B573" s="168" t="str">
        <f>'030523 INVENTARIO'!T573</f>
        <v>82DJ0565010001000527088</v>
      </c>
      <c r="C573" s="167" t="str">
        <f t="shared" si="0"/>
        <v>527088</v>
      </c>
      <c r="D573" s="167" t="str">
        <f>IF(VLOOKUP(C573,'Patrimonio 2023'!$C$2:$C$1128,1,FALSE) = C573, "Encontrado", "no")</f>
        <v>Encontrado</v>
      </c>
      <c r="E573" s="167" t="str">
        <f>VLOOKUP($A573,'030523 INVENTARIO'!$A$2:$Y$1148,5,FALSE)</f>
        <v>TELEFONO</v>
      </c>
      <c r="F573" s="167" t="str">
        <f>VLOOKUP($A573,'030523 INVENTARIO'!$A$2:$Y$1148,6,FALSE)</f>
        <v>TELEFONO GRIS</v>
      </c>
      <c r="G573" s="167" t="str">
        <f ca="1">VLOOKUP($A573,'030523 INVENTARIO'!$A$2:$Y$1148,8,FALSE)</f>
        <v>P13SO-0572</v>
      </c>
      <c r="H573" s="168" t="str">
        <f>VLOOKUP($A573,'030523 INVENTARIO'!$A$2:$Y$1148,17,FALSE)</f>
        <v>LINKSYS</v>
      </c>
      <c r="I573" s="167" t="str">
        <f>VLOOKUP($A573,'030523 INVENTARIO'!$A$2:$Y$1148,18,FALSE)</f>
        <v>SPA942</v>
      </c>
      <c r="J573" s="168" t="str">
        <f>VLOOKUP($A573,'030523 INVENTARIO'!$A$2:$Y$1148,19,FALSE)</f>
        <v>4LO00H118470</v>
      </c>
      <c r="K573" s="168" t="str">
        <f>VLOOKUP($A573,'030523 INVENTARIO'!$A$2:$Y$1148,20,FALSE)</f>
        <v>82DJ0565010001000527088</v>
      </c>
      <c r="L573" s="167" t="str">
        <f>VLOOKUP($A573,'030523 INVENTARIO'!$A$2:$Y$1148,23,FALSE)</f>
        <v>ANA BERTHA ORTIZ VILLEGAS</v>
      </c>
    </row>
    <row r="574" spans="1:12" ht="12.75" hidden="1">
      <c r="A574" s="167" t="str">
        <f>'030523 INVENTARIO'!A574</f>
        <v>0573</v>
      </c>
      <c r="B574" s="168" t="str">
        <f>'030523 INVENTARIO'!T574</f>
        <v>82DJ0515010016000649435</v>
      </c>
      <c r="C574" s="167" t="str">
        <f t="shared" si="0"/>
        <v>649435</v>
      </c>
      <c r="D574" s="167" t="str">
        <f>IF(VLOOKUP(C574,'Patrimonio 2023'!$C$2:$C$1128,1,FALSE) = C574, "Encontrado", "no")</f>
        <v>Encontrado</v>
      </c>
      <c r="E574" s="167" t="str">
        <f>VLOOKUP($A574,'030523 INVENTARIO'!$A$2:$Y$1148,5,FALSE)</f>
        <v>NO BREAK</v>
      </c>
      <c r="F574" s="167" t="str">
        <f>VLOOKUP($A574,'030523 INVENTARIO'!$A$2:$Y$1148,6,FALSE)</f>
        <v>NO BREAK NEGRO</v>
      </c>
      <c r="G574" s="167" t="str">
        <f ca="1">VLOOKUP($A574,'030523 INVENTARIO'!$A$2:$Y$1148,8,FALSE)</f>
        <v>P13LP-0573</v>
      </c>
      <c r="H574" s="168" t="str">
        <f>VLOOKUP($A574,'030523 INVENTARIO'!$A$2:$Y$1148,17,FALSE)</f>
        <v>FORZA</v>
      </c>
      <c r="I574" s="167" t="str">
        <f>VLOOKUP($A574,'030523 INVENTARIO'!$A$2:$Y$1148,18,FALSE)</f>
        <v>NT751</v>
      </c>
      <c r="J574" s="168" t="str">
        <f>VLOOKUP($A574,'030523 INVENTARIO'!$A$2:$Y$1148,19,FALSE)</f>
        <v>190222505756</v>
      </c>
      <c r="K574" s="168" t="str">
        <f>VLOOKUP($A574,'030523 INVENTARIO'!$A$2:$Y$1148,20,FALSE)</f>
        <v>82DJ0515010016000649435</v>
      </c>
      <c r="L574" s="167" t="str">
        <f>VLOOKUP($A574,'030523 INVENTARIO'!$A$2:$Y$1148,23,FALSE)</f>
        <v>MARIA DE LOURDES RUVALCABA GUZMAN</v>
      </c>
    </row>
    <row r="575" spans="1:12" ht="12.75" hidden="1">
      <c r="A575" s="167" t="str">
        <f>'030523 INVENTARIO'!A575</f>
        <v>0574</v>
      </c>
      <c r="B575" s="168" t="str">
        <f>'030523 INVENTARIO'!T575</f>
        <v>82DJ0515010033000564636</v>
      </c>
      <c r="C575" s="167" t="str">
        <f t="shared" si="0"/>
        <v>564636</v>
      </c>
      <c r="D575" s="167" t="str">
        <f>IF(VLOOKUP(C575,'Patrimonio 2023'!$C$2:$C$1128,1,FALSE) = C575, "Encontrado", "no")</f>
        <v>Encontrado</v>
      </c>
      <c r="E575" s="167" t="str">
        <f>VLOOKUP($A575,'030523 INVENTARIO'!$A$2:$Y$1148,5,FALSE)</f>
        <v>COMPLEMENTARIO DE EQUIPO DE COMPUTO</v>
      </c>
      <c r="F575" s="168" t="str">
        <f>VLOOKUP($A575,'030523 INVENTARIO'!$A$2:$Y$1148,6,FALSE)</f>
        <v>COMPLEMENTO DE EQUIPO DE MADERA</v>
      </c>
      <c r="G575" s="167" t="str">
        <f ca="1">VLOOKUP($A575,'030523 INVENTARIO'!$A$2:$Y$1148,8,FALSE)</f>
        <v>P13LP-0574</v>
      </c>
      <c r="H575" s="168" t="str">
        <f>VLOOKUP($A575,'030523 INVENTARIO'!$A$2:$Y$1148,17,FALSE)</f>
        <v>S/M</v>
      </c>
      <c r="I575" s="167" t="str">
        <f>VLOOKUP($A575,'030523 INVENTARIO'!$A$2:$Y$1148,18,FALSE)</f>
        <v>S/M</v>
      </c>
      <c r="J575" s="168" t="str">
        <f>VLOOKUP($A575,'030523 INVENTARIO'!$A$2:$Y$1148,19,FALSE)</f>
        <v>SIN SERIE</v>
      </c>
      <c r="K575" s="168" t="str">
        <f>VLOOKUP($A575,'030523 INVENTARIO'!$A$2:$Y$1148,20,FALSE)</f>
        <v>82DJ0515010033000564636</v>
      </c>
      <c r="L575" s="167" t="str">
        <f>VLOOKUP($A575,'030523 INVENTARIO'!$A$2:$Y$1148,23,FALSE)</f>
        <v>MARIA DE LOURDES RUVALCABA GUZMAN</v>
      </c>
    </row>
    <row r="576" spans="1:12" ht="12.75" hidden="1">
      <c r="A576" s="167" t="str">
        <f>'030523 INVENTARIO'!A576</f>
        <v>0575</v>
      </c>
      <c r="B576" s="167" t="str">
        <f>'030523 INVENTARIO'!T576</f>
        <v>82DJ0519010059000580129</v>
      </c>
      <c r="C576" s="167" t="str">
        <f t="shared" si="0"/>
        <v>580129</v>
      </c>
      <c r="D576" s="167" t="str">
        <f>IF(VLOOKUP(C576,'Patrimonio 2023'!$C$2:$C$1128,1,FALSE) = C576, "Encontrado", "no")</f>
        <v>Encontrado</v>
      </c>
      <c r="E576" s="167" t="str">
        <f>VLOOKUP($A576,'030523 INVENTARIO'!$A$2:$Y$1148,5,FALSE)</f>
        <v>TAJALAPIZ</v>
      </c>
      <c r="F576" s="167" t="str">
        <f>VLOOKUP($A576,'030523 INVENTARIO'!$A$2:$Y$1148,6,FALSE)</f>
        <v>TAJALAPIZ</v>
      </c>
      <c r="G576" s="167" t="str">
        <f ca="1">VLOOKUP($A576,'030523 INVENTARIO'!$A$2:$Y$1148,8,FALSE)</f>
        <v>P13LP-0575</v>
      </c>
      <c r="H576" s="168" t="str">
        <f>VLOOKUP($A576,'030523 INVENTARIO'!$A$2:$Y$1148,17,FALSE)</f>
        <v>PANASONIC</v>
      </c>
      <c r="I576" s="167" t="str">
        <f>VLOOKUP($A576,'030523 INVENTARIO'!$A$2:$Y$1148,18,FALSE)</f>
        <v>KP-77</v>
      </c>
      <c r="J576" s="167" t="str">
        <f>VLOOKUP($A576,'030523 INVENTARIO'!$A$2:$Y$1148,19,FALSE)</f>
        <v>SIN SERIE</v>
      </c>
      <c r="K576" s="167" t="str">
        <f>VLOOKUP($A576,'030523 INVENTARIO'!$A$2:$Y$1148,20,FALSE)</f>
        <v>82DJ0519010059000580129</v>
      </c>
      <c r="L576" s="167" t="str">
        <f>VLOOKUP($A576,'030523 INVENTARIO'!$A$2:$Y$1148,23,FALSE)</f>
        <v>MARIA DE LOURDES RUVALCABA GUZMAN</v>
      </c>
    </row>
    <row r="577" spans="1:12" ht="12.75" hidden="1">
      <c r="A577" s="167" t="str">
        <f>'030523 INVENTARIO'!A577</f>
        <v>0576</v>
      </c>
      <c r="B577" s="168" t="str">
        <f>'030523 INVENTARIO'!T577</f>
        <v>82DJ0511010017000649707</v>
      </c>
      <c r="C577" s="167" t="str">
        <f t="shared" si="0"/>
        <v>649707</v>
      </c>
      <c r="D577" s="167" t="str">
        <f>IF(VLOOKUP(C577,'Patrimonio 2023'!$C$2:$C$1128,1,FALSE) = C577, "Encontrado", "no")</f>
        <v>Encontrado</v>
      </c>
      <c r="E577" s="167" t="str">
        <f>VLOOKUP($A577,'030523 INVENTARIO'!$A$2:$Y$1148,5,FALSE)</f>
        <v>SILLA</v>
      </c>
      <c r="F577" s="168" t="str">
        <f>VLOOKUP($A577,'030523 INVENTARIO'!$A$2:$Y$1148,6,FALSE)</f>
        <v>SILLA NEGRA CON RUEDAS</v>
      </c>
      <c r="G577" s="167" t="str">
        <f ca="1">VLOOKUP($A577,'030523 INVENTARIO'!$A$2:$Y$1148,8,FALSE)</f>
        <v>P13LP-0576</v>
      </c>
      <c r="H577" s="168" t="str">
        <f>VLOOKUP($A577,'030523 INVENTARIO'!$A$2:$Y$1148,17,FALSE)</f>
        <v>S/M</v>
      </c>
      <c r="I577" s="167" t="str">
        <f>VLOOKUP($A577,'030523 INVENTARIO'!$A$2:$Y$1148,18,FALSE)</f>
        <v>S/M</v>
      </c>
      <c r="J577" s="168" t="str">
        <f>VLOOKUP($A577,'030523 INVENTARIO'!$A$2:$Y$1148,19,FALSE)</f>
        <v>SIN SERIE</v>
      </c>
      <c r="K577" s="168" t="str">
        <f>VLOOKUP($A577,'030523 INVENTARIO'!$A$2:$Y$1148,20,FALSE)</f>
        <v>82DJ0511010017000649707</v>
      </c>
      <c r="L577" s="167" t="str">
        <f>VLOOKUP($A577,'030523 INVENTARIO'!$A$2:$Y$1148,23,FALSE)</f>
        <v>MARIA DE LOURDES RUVALCABA GUZMAN</v>
      </c>
    </row>
    <row r="578" spans="1:12" ht="12.75" hidden="1">
      <c r="A578" s="167" t="str">
        <f>'030523 INVENTARIO'!A578</f>
        <v>0577</v>
      </c>
      <c r="B578" s="168" t="str">
        <f>'030523 INVENTARIO'!T578</f>
        <v>82DJ0515010003000649381</v>
      </c>
      <c r="C578" s="167" t="str">
        <f t="shared" si="0"/>
        <v>649381</v>
      </c>
      <c r="D578" s="167" t="str">
        <f>IF(VLOOKUP(C578,'Patrimonio 2023'!$C$2:$C$1128,1,FALSE) = C578, "Encontrado", "no")</f>
        <v>Encontrado</v>
      </c>
      <c r="E578" s="167" t="str">
        <f>VLOOKUP($A578,'030523 INVENTARIO'!$A$2:$Y$1148,5,FALSE)</f>
        <v>COMPUTADORA DE ESCRITORIO</v>
      </c>
      <c r="F578" s="167" t="str">
        <f>VLOOKUP($A578,'030523 INVENTARIO'!$A$2:$Y$1148,6,FALSE)</f>
        <v>COMPUTADORA TODO EN UNO BLANCO</v>
      </c>
      <c r="G578" s="167" t="str">
        <f ca="1">VLOOKUP($A578,'030523 INVENTARIO'!$A$2:$Y$1148,8,FALSE)</f>
        <v>P13LP-0577</v>
      </c>
      <c r="H578" s="168" t="str">
        <f>VLOOKUP($A578,'030523 INVENTARIO'!$A$2:$Y$1148,17,FALSE)</f>
        <v>LENOVO</v>
      </c>
      <c r="I578" s="167" t="str">
        <f>VLOOKUP($A578,'030523 INVENTARIO'!$A$2:$Y$1148,18,FALSE)</f>
        <v>AIO 310 201AP</v>
      </c>
      <c r="J578" s="168" t="str">
        <f>VLOOKUP($A578,'030523 INVENTARIO'!$A$2:$Y$1148,19,FALSE)</f>
        <v>YJ004E57</v>
      </c>
      <c r="K578" s="168" t="str">
        <f>VLOOKUP($A578,'030523 INVENTARIO'!$A$2:$Y$1148,20,FALSE)</f>
        <v>82DJ0515010003000649381</v>
      </c>
      <c r="L578" s="167" t="str">
        <f>VLOOKUP($A578,'030523 INVENTARIO'!$A$2:$Y$1148,23,FALSE)</f>
        <v>MARIA DE LOURDES RUVALCABA GUZMAN</v>
      </c>
    </row>
    <row r="579" spans="1:12" ht="12.75" hidden="1">
      <c r="A579" s="167" t="str">
        <f>'030523 INVENTARIO'!A579</f>
        <v>0578</v>
      </c>
      <c r="B579" s="168" t="str">
        <f>'030523 INVENTARIO'!T579</f>
        <v>82DJ0511010005000649706</v>
      </c>
      <c r="C579" s="167" t="str">
        <f t="shared" si="0"/>
        <v>649706</v>
      </c>
      <c r="D579" s="167" t="str">
        <f>IF(VLOOKUP(C579,'Patrimonio 2023'!$C$2:$C$1128,1,FALSE) = C579, "Encontrado", "no")</f>
        <v>Encontrado</v>
      </c>
      <c r="E579" s="167" t="str">
        <f>VLOOKUP($A579,'030523 INVENTARIO'!$A$2:$Y$1148,5,FALSE)</f>
        <v>LIBRERO</v>
      </c>
      <c r="F579" s="167" t="str">
        <f>VLOOKUP($A579,'030523 INVENTARIO'!$A$2:$Y$1148,6,FALSE)</f>
        <v>LIBRERO DE MADERA (CREDENZA)</v>
      </c>
      <c r="G579" s="167" t="str">
        <f ca="1">VLOOKUP($A579,'030523 INVENTARIO'!$A$2:$Y$1148,8,FALSE)</f>
        <v>P13LP-0578</v>
      </c>
      <c r="H579" s="168" t="str">
        <f>VLOOKUP($A579,'030523 INVENTARIO'!$A$2:$Y$1148,17,FALSE)</f>
        <v>S/M</v>
      </c>
      <c r="I579" s="167" t="str">
        <f>VLOOKUP($A579,'030523 INVENTARIO'!$A$2:$Y$1148,18,FALSE)</f>
        <v>S/M</v>
      </c>
      <c r="J579" s="168" t="str">
        <f>VLOOKUP($A579,'030523 INVENTARIO'!$A$2:$Y$1148,19,FALSE)</f>
        <v>SIN SERIE</v>
      </c>
      <c r="K579" s="168" t="str">
        <f>VLOOKUP($A579,'030523 INVENTARIO'!$A$2:$Y$1148,20,FALSE)</f>
        <v>82DJ0511010005000649706</v>
      </c>
      <c r="L579" s="167" t="str">
        <f>VLOOKUP($A579,'030523 INVENTARIO'!$A$2:$Y$1148,23,FALSE)</f>
        <v>ROSA MARIA CORTES VILLASEÑOR</v>
      </c>
    </row>
    <row r="580" spans="1:12" ht="12.75" hidden="1">
      <c r="A580" s="167" t="str">
        <f>'030523 INVENTARIO'!A580</f>
        <v>0579</v>
      </c>
      <c r="B580" s="168" t="str">
        <f>'030523 INVENTARIO'!T580</f>
        <v>82DJ0511010006000564904</v>
      </c>
      <c r="C580" s="167" t="str">
        <f t="shared" si="0"/>
        <v>564904</v>
      </c>
      <c r="D580" s="167" t="str">
        <f>IF(VLOOKUP(C580,'Patrimonio 2023'!$C$2:$C$1128,1,FALSE) = C580, "Encontrado", "no")</f>
        <v>Encontrado</v>
      </c>
      <c r="E580" s="167" t="str">
        <f>VLOOKUP($A580,'030523 INVENTARIO'!$A$2:$Y$1148,5,FALSE)</f>
        <v>ESCRITORIO</v>
      </c>
      <c r="F580" s="167" t="str">
        <f>VLOOKUP($A580,'030523 INVENTARIO'!$A$2:$Y$1148,6,FALSE)</f>
        <v>ESCRITORIO DE MADERA</v>
      </c>
      <c r="G580" s="167" t="str">
        <f ca="1">VLOOKUP($A580,'030523 INVENTARIO'!$A$2:$Y$1148,8,FALSE)</f>
        <v>P13LP-0579</v>
      </c>
      <c r="H580" s="168" t="str">
        <f>VLOOKUP($A580,'030523 INVENTARIO'!$A$2:$Y$1148,17,FALSE)</f>
        <v>S/M</v>
      </c>
      <c r="I580" s="167" t="str">
        <f>VLOOKUP($A580,'030523 INVENTARIO'!$A$2:$Y$1148,18,FALSE)</f>
        <v>S/M</v>
      </c>
      <c r="J580" s="168" t="str">
        <f>VLOOKUP($A580,'030523 INVENTARIO'!$A$2:$Y$1148,19,FALSE)</f>
        <v>SIN SERIE</v>
      </c>
      <c r="K580" s="168" t="str">
        <f>VLOOKUP($A580,'030523 INVENTARIO'!$A$2:$Y$1148,20,FALSE)</f>
        <v>82DJ0511010006000564904</v>
      </c>
      <c r="L580" s="167" t="str">
        <f>VLOOKUP($A580,'030523 INVENTARIO'!$A$2:$Y$1148,23,FALSE)</f>
        <v>ROSA MARIA CORTES VILLASEÑOR</v>
      </c>
    </row>
    <row r="581" spans="1:12" ht="12.75" hidden="1">
      <c r="A581" s="167" t="str">
        <f>'030523 INVENTARIO'!A581</f>
        <v>0580</v>
      </c>
      <c r="B581" s="168" t="str">
        <f>'030523 INVENTARIO'!T581</f>
        <v>82DJ0531010065000564805</v>
      </c>
      <c r="C581" s="167" t="str">
        <f t="shared" si="0"/>
        <v>564805</v>
      </c>
      <c r="D581" s="167" t="str">
        <f>IF(VLOOKUP(C581,'Patrimonio 2023'!$C$2:$C$1128,1,FALSE) = C581, "Encontrado", "no")</f>
        <v>Encontrado</v>
      </c>
      <c r="E581" s="167" t="str">
        <f>VLOOKUP($A581,'030523 INVENTARIO'!$A$2:$Y$1148,5,FALSE)</f>
        <v>MESA</v>
      </c>
      <c r="F581" s="168" t="str">
        <f>VLOOKUP($A581,'030523 INVENTARIO'!$A$2:$Y$1148,6,FALSE)</f>
        <v>MESA DE MADERA CON BASE DE METAL COMPLEMENTO</v>
      </c>
      <c r="G581" s="167" t="str">
        <f ca="1">VLOOKUP($A581,'030523 INVENTARIO'!$A$2:$Y$1148,8,FALSE)</f>
        <v>P13LP-0580</v>
      </c>
      <c r="H581" s="168" t="str">
        <f>VLOOKUP($A581,'030523 INVENTARIO'!$A$2:$Y$1148,17,FALSE)</f>
        <v>S/M</v>
      </c>
      <c r="I581" s="167" t="str">
        <f>VLOOKUP($A581,'030523 INVENTARIO'!$A$2:$Y$1148,18,FALSE)</f>
        <v>S/M</v>
      </c>
      <c r="J581" s="168" t="str">
        <f>VLOOKUP($A581,'030523 INVENTARIO'!$A$2:$Y$1148,19,FALSE)</f>
        <v>SIN SERIE</v>
      </c>
      <c r="K581" s="168" t="str">
        <f>VLOOKUP($A581,'030523 INVENTARIO'!$A$2:$Y$1148,20,FALSE)</f>
        <v>82DJ0531010065000564805</v>
      </c>
      <c r="L581" s="167" t="str">
        <f>VLOOKUP($A581,'030523 INVENTARIO'!$A$2:$Y$1148,23,FALSE)</f>
        <v>ROSA MARIA CORTES VILLASEÑOR</v>
      </c>
    </row>
    <row r="582" spans="1:12" ht="12.75" hidden="1">
      <c r="A582" s="167" t="str">
        <f>'030523 INVENTARIO'!A582</f>
        <v>0581</v>
      </c>
      <c r="B582" s="168" t="str">
        <f>'030523 INVENTARIO'!T582</f>
        <v>82DJ0511010017000649705</v>
      </c>
      <c r="C582" s="167" t="str">
        <f t="shared" si="0"/>
        <v>649705</v>
      </c>
      <c r="D582" s="167" t="str">
        <f>IF(VLOOKUP(C582,'Patrimonio 2023'!$C$2:$C$1128,1,FALSE) = C582, "Encontrado", "no")</f>
        <v>Encontrado</v>
      </c>
      <c r="E582" s="167" t="str">
        <f>VLOOKUP($A582,'030523 INVENTARIO'!$A$2:$Y$1148,5,FALSE)</f>
        <v>SILLA</v>
      </c>
      <c r="F582" s="168" t="str">
        <f>VLOOKUP($A582,'030523 INVENTARIO'!$A$2:$Y$1148,6,FALSE)</f>
        <v>SILLA DE TELA NEGRA FIJA</v>
      </c>
      <c r="G582" s="167" t="str">
        <f ca="1">VLOOKUP($A582,'030523 INVENTARIO'!$A$2:$Y$1148,8,FALSE)</f>
        <v>P13LP-0581</v>
      </c>
      <c r="H582" s="168" t="str">
        <f>VLOOKUP($A582,'030523 INVENTARIO'!$A$2:$Y$1148,17,FALSE)</f>
        <v>S/M</v>
      </c>
      <c r="I582" s="167" t="str">
        <f>VLOOKUP($A582,'030523 INVENTARIO'!$A$2:$Y$1148,18,FALSE)</f>
        <v>S/M</v>
      </c>
      <c r="J582" s="168" t="str">
        <f>VLOOKUP($A582,'030523 INVENTARIO'!$A$2:$Y$1148,19,FALSE)</f>
        <v>SIN SERIE</v>
      </c>
      <c r="K582" s="168" t="str">
        <f>VLOOKUP($A582,'030523 INVENTARIO'!$A$2:$Y$1148,20,FALSE)</f>
        <v>82DJ0511010017000649705</v>
      </c>
      <c r="L582" s="167" t="str">
        <f>VLOOKUP($A582,'030523 INVENTARIO'!$A$2:$Y$1148,23,FALSE)</f>
        <v>ROSA MARIA CORTES VILLASEÑOR</v>
      </c>
    </row>
    <row r="583" spans="1:12" ht="12.75" hidden="1">
      <c r="A583" s="167" t="str">
        <f>'030523 INVENTARIO'!A583</f>
        <v>0582</v>
      </c>
      <c r="B583" s="168" t="str">
        <f>'030523 INVENTARIO'!T583</f>
        <v>82DJ0531010065000564806</v>
      </c>
      <c r="C583" s="167" t="str">
        <f t="shared" si="0"/>
        <v>564806</v>
      </c>
      <c r="D583" s="167" t="str">
        <f>IF(VLOOKUP(C583,'Patrimonio 2023'!$C$2:$C$1128,1,FALSE) = C583, "Encontrado", "no")</f>
        <v>Encontrado</v>
      </c>
      <c r="E583" s="167" t="str">
        <f>VLOOKUP($A583,'030523 INVENTARIO'!$A$2:$Y$1148,5,FALSE)</f>
        <v>MESA</v>
      </c>
      <c r="F583" s="167" t="str">
        <f>VLOOKUP($A583,'030523 INVENTARIO'!$A$2:$Y$1148,6,FALSE)</f>
        <v>MESA DE MADERA CON BASE DE METAL 120X60</v>
      </c>
      <c r="G583" s="167" t="str">
        <f ca="1">VLOOKUP($A583,'030523 INVENTARIO'!$A$2:$Y$1148,8,FALSE)</f>
        <v>P13LP-0582</v>
      </c>
      <c r="H583" s="168" t="str">
        <f>VLOOKUP($A583,'030523 INVENTARIO'!$A$2:$Y$1148,17,FALSE)</f>
        <v>S/M</v>
      </c>
      <c r="I583" s="167" t="str">
        <f>VLOOKUP($A583,'030523 INVENTARIO'!$A$2:$Y$1148,18,FALSE)</f>
        <v>S/M</v>
      </c>
      <c r="J583" s="168" t="str">
        <f>VLOOKUP($A583,'030523 INVENTARIO'!$A$2:$Y$1148,19,FALSE)</f>
        <v>SIN SERIE</v>
      </c>
      <c r="K583" s="168" t="str">
        <f>VLOOKUP($A583,'030523 INVENTARIO'!$A$2:$Y$1148,20,FALSE)</f>
        <v>82DJ0531010065000564806</v>
      </c>
      <c r="L583" s="167" t="str">
        <f>VLOOKUP($A583,'030523 INVENTARIO'!$A$2:$Y$1148,23,FALSE)</f>
        <v>ROSA MARIA CORTES VILLASEÑOR</v>
      </c>
    </row>
    <row r="584" spans="1:12" ht="12.75" hidden="1">
      <c r="A584" s="167" t="str">
        <f>'030523 INVENTARIO'!A584</f>
        <v>0583</v>
      </c>
      <c r="B584" s="168" t="str">
        <f>'030523 INVENTARIO'!T584</f>
        <v>82DJ0511010017000516248</v>
      </c>
      <c r="C584" s="167" t="str">
        <f t="shared" si="0"/>
        <v>516248</v>
      </c>
      <c r="D584" s="167" t="str">
        <f>IF(VLOOKUP(C584,'Patrimonio 2023'!$C$2:$C$1128,1,FALSE) = C584, "Encontrado", "no")</f>
        <v>Encontrado</v>
      </c>
      <c r="E584" s="167" t="str">
        <f>VLOOKUP($A584,'030523 INVENTARIO'!$A$2:$Y$1148,5,FALSE)</f>
        <v>SILLA</v>
      </c>
      <c r="F584" s="167" t="str">
        <f>VLOOKUP($A584,'030523 INVENTARIO'!$A$2:$Y$1148,6,FALSE)</f>
        <v>SILLA NEGRA CON RUEDAS</v>
      </c>
      <c r="G584" s="167" t="str">
        <f ca="1">VLOOKUP($A584,'030523 INVENTARIO'!$A$2:$Y$1148,8,FALSE)</f>
        <v>P13LP-0583</v>
      </c>
      <c r="H584" s="168" t="str">
        <f>VLOOKUP($A584,'030523 INVENTARIO'!$A$2:$Y$1148,17,FALSE)</f>
        <v>S/M</v>
      </c>
      <c r="I584" s="167" t="str">
        <f>VLOOKUP($A584,'030523 INVENTARIO'!$A$2:$Y$1148,18,FALSE)</f>
        <v>S/M</v>
      </c>
      <c r="J584" s="168" t="str">
        <f>VLOOKUP($A584,'030523 INVENTARIO'!$A$2:$Y$1148,19,FALSE)</f>
        <v>SIN SERIE</v>
      </c>
      <c r="K584" s="168" t="str">
        <f>VLOOKUP($A584,'030523 INVENTARIO'!$A$2:$Y$1148,20,FALSE)</f>
        <v>82DJ0511010017000516248</v>
      </c>
      <c r="L584" s="167" t="str">
        <f>VLOOKUP($A584,'030523 INVENTARIO'!$A$2:$Y$1148,23,FALSE)</f>
        <v>ROSA MARIA CORTES VILLASEÑOR</v>
      </c>
    </row>
    <row r="585" spans="1:12" ht="12.75" hidden="1">
      <c r="A585" s="167" t="str">
        <f>'030523 INVENTARIO'!A585</f>
        <v>0584</v>
      </c>
      <c r="B585" s="168" t="str">
        <f>'030523 INVENTARIO'!T585</f>
        <v>82DH0515010013000649661</v>
      </c>
      <c r="C585" s="167" t="str">
        <f t="shared" si="0"/>
        <v>649661</v>
      </c>
      <c r="D585" s="167" t="str">
        <f>IF(VLOOKUP(C585,'Patrimonio 2023'!$C$2:$C$1128,1,FALSE) = C585, "Encontrado", "no")</f>
        <v>Encontrado</v>
      </c>
      <c r="E585" s="167" t="str">
        <f>VLOOKUP($A585,'030523 INVENTARIO'!$A$2:$Y$1148,5,FALSE)</f>
        <v>MONITOR</v>
      </c>
      <c r="F585" s="167" t="str">
        <f>VLOOKUP($A585,'030523 INVENTARIO'!$A$2:$Y$1148,6,FALSE)</f>
        <v>MONITOR 19.5"</v>
      </c>
      <c r="G585" s="167" t="str">
        <f ca="1">VLOOKUP($A585,'030523 INVENTARIO'!$A$2:$Y$1148,8,FALSE)</f>
        <v>P15RM-0584</v>
      </c>
      <c r="H585" s="168" t="str">
        <f>VLOOKUP($A585,'030523 INVENTARIO'!$A$2:$Y$1148,17,FALSE)</f>
        <v>COMPAQ</v>
      </c>
      <c r="I585" s="167" t="str">
        <f>VLOOKUP($A585,'030523 INVENTARIO'!$A$2:$Y$1148,18,FALSE)</f>
        <v>WF1907</v>
      </c>
      <c r="J585" s="168" t="str">
        <f>VLOOKUP($A585,'030523 INVENTARIO'!$A$2:$Y$1148,19,FALSE)</f>
        <v>SIN SERIE</v>
      </c>
      <c r="K585" s="168" t="str">
        <f>VLOOKUP($A585,'030523 INVENTARIO'!$A$2:$Y$1148,20,FALSE)</f>
        <v>82DH0515010013000649661</v>
      </c>
      <c r="L585" s="167" t="str">
        <f>VLOOKUP($A585,'030523 INVENTARIO'!$A$2:$Y$1148,23,FALSE)</f>
        <v>BLANCA ELIZABETH ALCANTAR GUERRERO</v>
      </c>
    </row>
    <row r="586" spans="1:12" ht="12.75" hidden="1">
      <c r="A586" s="167" t="str">
        <f>'030523 INVENTARIO'!A586</f>
        <v>0585</v>
      </c>
      <c r="B586" s="168" t="str">
        <f>'030523 INVENTARIO'!T586</f>
        <v>82DJ0515010016000649418</v>
      </c>
      <c r="C586" s="167" t="str">
        <f t="shared" si="0"/>
        <v>649418</v>
      </c>
      <c r="D586" s="167" t="str">
        <f>IF(VLOOKUP(C586,'Patrimonio 2023'!$C$2:$C$1128,1,FALSE) = C586, "Encontrado", "no")</f>
        <v>Encontrado</v>
      </c>
      <c r="E586" s="167" t="str">
        <f>VLOOKUP($A586,'030523 INVENTARIO'!$A$2:$Y$1148,5,FALSE)</f>
        <v>NO BREAK</v>
      </c>
      <c r="F586" s="168" t="str">
        <f>VLOOKUP($A586,'030523 INVENTARIO'!$A$2:$Y$1148,6,FALSE)</f>
        <v>NO BREAK</v>
      </c>
      <c r="G586" s="167" t="str">
        <f ca="1">VLOOKUP($A586,'030523 INVENTARIO'!$A$2:$Y$1148,8,FALSE)</f>
        <v>P13LP-0585</v>
      </c>
      <c r="H586" s="168" t="str">
        <f>VLOOKUP($A586,'030523 INVENTARIO'!$A$2:$Y$1148,17,FALSE)</f>
        <v>FORZA</v>
      </c>
      <c r="I586" s="167" t="str">
        <f>VLOOKUP($A586,'030523 INVENTARIO'!$A$2:$Y$1148,18,FALSE)</f>
        <v>NT751</v>
      </c>
      <c r="J586" s="168" t="str">
        <f>VLOOKUP($A586,'030523 INVENTARIO'!$A$2:$Y$1148,19,FALSE)</f>
        <v>181222508478</v>
      </c>
      <c r="K586" s="168" t="str">
        <f>VLOOKUP($A586,'030523 INVENTARIO'!$A$2:$Y$1148,20,FALSE)</f>
        <v>82DJ0515010016000649418</v>
      </c>
      <c r="L586" s="167" t="str">
        <f>VLOOKUP($A586,'030523 INVENTARIO'!$A$2:$Y$1148,23,FALSE)</f>
        <v>ROSA MARIA CORTES VILLASEÑOR</v>
      </c>
    </row>
    <row r="587" spans="1:12" ht="12.75" hidden="1">
      <c r="A587" s="167" t="str">
        <f>'030523 INVENTARIO'!A587</f>
        <v>0586</v>
      </c>
      <c r="B587" s="167" t="str">
        <f>'030523 INVENTARIO'!T587</f>
        <v>SIN RESGUARDO</v>
      </c>
      <c r="C587" s="167" t="str">
        <f t="shared" si="0"/>
        <v/>
      </c>
      <c r="D587" s="167" t="e">
        <f>IF(VLOOKUP(C587,'Patrimonio 2023'!$C$2:$C$1128,1,FALSE) = C587, "Encontrado", "no")</f>
        <v>#N/A</v>
      </c>
      <c r="E587" s="167" t="str">
        <f>VLOOKUP($A587,'030523 INVENTARIO'!$A$2:$Y$1148,5,FALSE)</f>
        <v>COMPUTADORA DE ESCRITORIO</v>
      </c>
      <c r="F587" s="167" t="str">
        <f>VLOOKUP($A587,'030523 INVENTARIO'!$A$2:$Y$1148,6,FALSE)</f>
        <v>COMPUTADORA DE ESCRITORIO</v>
      </c>
      <c r="G587" s="167" t="str">
        <f ca="1">VLOOKUP($A587,'030523 INVENTARIO'!$A$2:$Y$1148,8,FALSE)</f>
        <v>P13LP-0586</v>
      </c>
      <c r="H587" s="168" t="str">
        <f>VLOOKUP($A587,'030523 INVENTARIO'!$A$2:$Y$1148,17,FALSE)</f>
        <v>ACTECK</v>
      </c>
      <c r="I587" s="167" t="str">
        <f>VLOOKUP($A587,'030523 INVENTARIO'!$A$2:$Y$1148,18,FALSE)</f>
        <v>LINX</v>
      </c>
      <c r="J587" s="167">
        <f>VLOOKUP($A587,'030523 INVENTARIO'!$A$2:$Y$1148,19,FALSE)</f>
        <v>11392903012347</v>
      </c>
      <c r="K587" s="167" t="str">
        <f>VLOOKUP($A587,'030523 INVENTARIO'!$A$2:$Y$1148,20,FALSE)</f>
        <v>SIN RESGUARDO</v>
      </c>
      <c r="L587" s="167" t="str">
        <f>VLOOKUP($A587,'030523 INVENTARIO'!$A$2:$Y$1148,23,FALSE)</f>
        <v>ROSA MARIA CORTES VILLASEÑOR</v>
      </c>
    </row>
    <row r="588" spans="1:12" ht="12.75" hidden="1">
      <c r="A588" s="167" t="str">
        <f>'030523 INVENTARIO'!A588</f>
        <v>0587</v>
      </c>
      <c r="B588" s="168" t="str">
        <f>'030523 INVENTARIO'!T588</f>
        <v>82DJ0515010033000564634</v>
      </c>
      <c r="C588" s="167" t="str">
        <f t="shared" si="0"/>
        <v>564634</v>
      </c>
      <c r="D588" s="167" t="str">
        <f>IF(VLOOKUP(C588,'Patrimonio 2023'!$C$2:$C$1128,1,FALSE) = C588, "Encontrado", "no")</f>
        <v>Encontrado</v>
      </c>
      <c r="E588" s="167" t="str">
        <f>VLOOKUP($A588,'030523 INVENTARIO'!$A$2:$Y$1148,5,FALSE)</f>
        <v>COMPLEMENTARIO DE EQUIPO DE COMPUTO</v>
      </c>
      <c r="F588" s="168" t="str">
        <f>VLOOKUP($A588,'030523 INVENTARIO'!$A$2:$Y$1148,6,FALSE)</f>
        <v>COMPLEMENTO DE EQUIPO DE MADERA</v>
      </c>
      <c r="G588" s="167" t="str">
        <f ca="1">VLOOKUP($A588,'030523 INVENTARIO'!$A$2:$Y$1148,8,FALSE)</f>
        <v>P13LP-0587</v>
      </c>
      <c r="H588" s="168" t="str">
        <f>VLOOKUP($A588,'030523 INVENTARIO'!$A$2:$Y$1148,17,FALSE)</f>
        <v>S/M</v>
      </c>
      <c r="I588" s="167" t="str">
        <f>VLOOKUP($A588,'030523 INVENTARIO'!$A$2:$Y$1148,18,FALSE)</f>
        <v>S/M</v>
      </c>
      <c r="J588" s="168" t="str">
        <f>VLOOKUP($A588,'030523 INVENTARIO'!$A$2:$Y$1148,19,FALSE)</f>
        <v>SIN SERIE</v>
      </c>
      <c r="K588" s="168" t="str">
        <f>VLOOKUP($A588,'030523 INVENTARIO'!$A$2:$Y$1148,20,FALSE)</f>
        <v>82DJ0515010033000564634</v>
      </c>
      <c r="L588" s="167" t="str">
        <f>VLOOKUP($A588,'030523 INVENTARIO'!$A$2:$Y$1148,23,FALSE)</f>
        <v>ROSA MARIA CORTES VILLASEÑOR</v>
      </c>
    </row>
    <row r="589" spans="1:12" ht="12.75" hidden="1">
      <c r="A589" s="167" t="str">
        <f>'030523 INVENTARIO'!A589</f>
        <v>0588</v>
      </c>
      <c r="B589" s="167" t="str">
        <f>'030523 INVENTARIO'!T589</f>
        <v>SIN RESGUARDO</v>
      </c>
      <c r="C589" s="167" t="str">
        <f t="shared" si="0"/>
        <v/>
      </c>
      <c r="D589" s="167" t="e">
        <f>IF(VLOOKUP(C589,'Patrimonio 2023'!$C$2:$C$1128,1,FALSE) = C589, "Encontrado", "no")</f>
        <v>#N/A</v>
      </c>
      <c r="E589" s="167" t="str">
        <f>VLOOKUP($A589,'030523 INVENTARIO'!$A$2:$Y$1148,5,FALSE)</f>
        <v>MONITOR</v>
      </c>
      <c r="F589" s="167" t="str">
        <f>VLOOKUP($A589,'030523 INVENTARIO'!$A$2:$Y$1148,6,FALSE)</f>
        <v>MONITOR 21"</v>
      </c>
      <c r="G589" s="167" t="str">
        <f ca="1">VLOOKUP($A589,'030523 INVENTARIO'!$A$2:$Y$1148,8,FALSE)</f>
        <v>P13LP-0588</v>
      </c>
      <c r="H589" s="168" t="str">
        <f>VLOOKUP($A589,'030523 INVENTARIO'!$A$2:$Y$1148,17,FALSE)</f>
        <v>ACER</v>
      </c>
      <c r="I589" s="167" t="str">
        <f>VLOOKUP($A589,'030523 INVENTARIO'!$A$2:$Y$1148,18,FALSE)</f>
        <v>V226HQL</v>
      </c>
      <c r="J589" s="167" t="str">
        <f>VLOOKUP($A589,'030523 INVENTARIO'!$A$2:$Y$1148,19,FALSE)</f>
        <v>MMLXLAA0250480B4974273</v>
      </c>
      <c r="K589" s="167" t="str">
        <f>VLOOKUP($A589,'030523 INVENTARIO'!$A$2:$Y$1148,20,FALSE)</f>
        <v>SIN RESGUARDO</v>
      </c>
      <c r="L589" s="167" t="str">
        <f>VLOOKUP($A589,'030523 INVENTARIO'!$A$2:$Y$1148,23,FALSE)</f>
        <v>ROSA MARIA CORTES VILLASEÑOR</v>
      </c>
    </row>
    <row r="590" spans="1:12" ht="12.75" hidden="1">
      <c r="A590" s="167" t="str">
        <f>'030523 INVENTARIO'!A590</f>
        <v>0589</v>
      </c>
      <c r="B590" s="168" t="str">
        <f>'030523 INVENTARIO'!T590</f>
        <v>82DJ0531010065000564803</v>
      </c>
      <c r="C590" s="167" t="str">
        <f t="shared" si="0"/>
        <v>564803</v>
      </c>
      <c r="D590" s="167" t="str">
        <f>IF(VLOOKUP(C590,'Patrimonio 2023'!$C$2:$C$1128,1,FALSE) = C590, "Encontrado", "no")</f>
        <v>Encontrado</v>
      </c>
      <c r="E590" s="167" t="str">
        <f>VLOOKUP($A590,'030523 INVENTARIO'!$A$2:$Y$1148,5,FALSE)</f>
        <v>MESA</v>
      </c>
      <c r="F590" s="167" t="str">
        <f>VLOOKUP($A590,'030523 INVENTARIO'!$A$2:$Y$1148,6,FALSE)</f>
        <v>MESA DE MADERA  120X60</v>
      </c>
      <c r="G590" s="167" t="str">
        <f ca="1">VLOOKUP($A590,'030523 INVENTARIO'!$A$2:$Y$1148,8,FALSE)</f>
        <v>P13LP-0589</v>
      </c>
      <c r="H590" s="168" t="str">
        <f>VLOOKUP($A590,'030523 INVENTARIO'!$A$2:$Y$1148,17,FALSE)</f>
        <v>S/M</v>
      </c>
      <c r="I590" s="167" t="str">
        <f>VLOOKUP($A590,'030523 INVENTARIO'!$A$2:$Y$1148,18,FALSE)</f>
        <v>S/M</v>
      </c>
      <c r="J590" s="168" t="str">
        <f>VLOOKUP($A590,'030523 INVENTARIO'!$A$2:$Y$1148,19,FALSE)</f>
        <v>SIN SERIE</v>
      </c>
      <c r="K590" s="168" t="str">
        <f>VLOOKUP($A590,'030523 INVENTARIO'!$A$2:$Y$1148,20,FALSE)</f>
        <v>82DJ0531010065000564803</v>
      </c>
      <c r="L590" s="167" t="str">
        <f>VLOOKUP($A590,'030523 INVENTARIO'!$A$2:$Y$1148,23,FALSE)</f>
        <v>DULCE DEL ROCIO MENDOZA CORTES</v>
      </c>
    </row>
    <row r="591" spans="1:12" ht="12.75" hidden="1">
      <c r="A591" s="167" t="str">
        <f>'030523 INVENTARIO'!A591</f>
        <v>0590</v>
      </c>
      <c r="B591" s="168" t="str">
        <f>'030523 INVENTARIO'!T591</f>
        <v>82DJ0511010005000649709</v>
      </c>
      <c r="C591" s="167" t="str">
        <f t="shared" si="0"/>
        <v>649709</v>
      </c>
      <c r="D591" s="167" t="str">
        <f>IF(VLOOKUP(C591,'Patrimonio 2023'!$C$2:$C$1128,1,FALSE) = C591, "Encontrado", "no")</f>
        <v>Encontrado</v>
      </c>
      <c r="E591" s="167" t="str">
        <f>VLOOKUP($A591,'030523 INVENTARIO'!$A$2:$Y$1148,5,FALSE)</f>
        <v>CREDENZA</v>
      </c>
      <c r="F591" s="167" t="str">
        <f>VLOOKUP($A591,'030523 INVENTARIO'!$A$2:$Y$1148,6,FALSE)</f>
        <v>CREDENZA DE MADERA</v>
      </c>
      <c r="G591" s="167" t="str">
        <f ca="1">VLOOKUP($A591,'030523 INVENTARIO'!$A$2:$Y$1148,8,FALSE)</f>
        <v>P13LP-0590</v>
      </c>
      <c r="H591" s="168" t="str">
        <f>VLOOKUP($A591,'030523 INVENTARIO'!$A$2:$Y$1148,17,FALSE)</f>
        <v>S/M</v>
      </c>
      <c r="I591" s="167" t="str">
        <f>VLOOKUP($A591,'030523 INVENTARIO'!$A$2:$Y$1148,18,FALSE)</f>
        <v>S/M</v>
      </c>
      <c r="J591" s="168" t="str">
        <f>VLOOKUP($A591,'030523 INVENTARIO'!$A$2:$Y$1148,19,FALSE)</f>
        <v>SIN SERIE</v>
      </c>
      <c r="K591" s="168" t="str">
        <f>VLOOKUP($A591,'030523 INVENTARIO'!$A$2:$Y$1148,20,FALSE)</f>
        <v>82DJ0511010005000649709</v>
      </c>
      <c r="L591" s="167" t="str">
        <f>VLOOKUP($A591,'030523 INVENTARIO'!$A$2:$Y$1148,23,FALSE)</f>
        <v>DULCE DEL ROCIO MENDOZA CORTES</v>
      </c>
    </row>
    <row r="592" spans="1:12" ht="12.75" hidden="1">
      <c r="A592" s="167" t="str">
        <f>'030523 INVENTARIO'!A592</f>
        <v>0591</v>
      </c>
      <c r="B592" s="168" t="str">
        <f>'030523 INVENTARIO'!T592</f>
        <v>82DJ0531010065000564802</v>
      </c>
      <c r="C592" s="167" t="str">
        <f t="shared" si="0"/>
        <v>564802</v>
      </c>
      <c r="D592" s="167" t="str">
        <f>IF(VLOOKUP(C592,'Patrimonio 2023'!$C$2:$C$1128,1,FALSE) = C592, "Encontrado", "no")</f>
        <v>Encontrado</v>
      </c>
      <c r="E592" s="167" t="str">
        <f>VLOOKUP($A592,'030523 INVENTARIO'!$A$2:$Y$1148,5,FALSE)</f>
        <v>MESA</v>
      </c>
      <c r="F592" s="167" t="str">
        <f>VLOOKUP($A592,'030523 INVENTARIO'!$A$2:$Y$1148,6,FALSE)</f>
        <v>MESA DE MADERA  150X60</v>
      </c>
      <c r="G592" s="167" t="str">
        <f ca="1">VLOOKUP($A592,'030523 INVENTARIO'!$A$2:$Y$1148,8,FALSE)</f>
        <v>P13LP-0591</v>
      </c>
      <c r="H592" s="168" t="str">
        <f>VLOOKUP($A592,'030523 INVENTARIO'!$A$2:$Y$1148,17,FALSE)</f>
        <v>S/M</v>
      </c>
      <c r="I592" s="167" t="str">
        <f>VLOOKUP($A592,'030523 INVENTARIO'!$A$2:$Y$1148,18,FALSE)</f>
        <v>S/M</v>
      </c>
      <c r="J592" s="168" t="str">
        <f>VLOOKUP($A592,'030523 INVENTARIO'!$A$2:$Y$1148,19,FALSE)</f>
        <v>SIN SERIE</v>
      </c>
      <c r="K592" s="168" t="str">
        <f>VLOOKUP($A592,'030523 INVENTARIO'!$A$2:$Y$1148,20,FALSE)</f>
        <v>82DJ0531010065000564802</v>
      </c>
      <c r="L592" s="167" t="str">
        <f>VLOOKUP($A592,'030523 INVENTARIO'!$A$2:$Y$1148,23,FALSE)</f>
        <v>DULCE DEL ROCIO MENDOZA CORTES</v>
      </c>
    </row>
    <row r="593" spans="1:12" ht="12.75" hidden="1">
      <c r="A593" s="167" t="str">
        <f>'030523 INVENTARIO'!A593</f>
        <v>0592</v>
      </c>
      <c r="B593" s="168" t="str">
        <f>'030523 INVENTARIO'!T593</f>
        <v>82DJ0511010017000516245</v>
      </c>
      <c r="C593" s="167" t="str">
        <f t="shared" si="0"/>
        <v>516245</v>
      </c>
      <c r="D593" s="167" t="str">
        <f>IF(VLOOKUP(C593,'Patrimonio 2023'!$C$2:$C$1128,1,FALSE) = C593, "Encontrado", "no")</f>
        <v>Encontrado</v>
      </c>
      <c r="E593" s="167" t="str">
        <f>VLOOKUP($A593,'030523 INVENTARIO'!$A$2:$Y$1148,5,FALSE)</f>
        <v>SILLA</v>
      </c>
      <c r="F593" s="167" t="str">
        <f>VLOOKUP($A593,'030523 INVENTARIO'!$A$2:$Y$1148,6,FALSE)</f>
        <v>SILLA NEGRA CON RUEDAS</v>
      </c>
      <c r="G593" s="167" t="str">
        <f ca="1">VLOOKUP($A593,'030523 INVENTARIO'!$A$2:$Y$1148,8,FALSE)</f>
        <v>P13LP-0592</v>
      </c>
      <c r="H593" s="168" t="str">
        <f>VLOOKUP($A593,'030523 INVENTARIO'!$A$2:$Y$1148,17,FALSE)</f>
        <v>S/M</v>
      </c>
      <c r="I593" s="167" t="str">
        <f>VLOOKUP($A593,'030523 INVENTARIO'!$A$2:$Y$1148,18,FALSE)</f>
        <v>S/M</v>
      </c>
      <c r="J593" s="168" t="str">
        <f>VLOOKUP($A593,'030523 INVENTARIO'!$A$2:$Y$1148,19,FALSE)</f>
        <v>SIN SERIE</v>
      </c>
      <c r="K593" s="168" t="str">
        <f>VLOOKUP($A593,'030523 INVENTARIO'!$A$2:$Y$1148,20,FALSE)</f>
        <v>82DJ0511010017000516245</v>
      </c>
      <c r="L593" s="167" t="str">
        <f>VLOOKUP($A593,'030523 INVENTARIO'!$A$2:$Y$1148,23,FALSE)</f>
        <v>DULCE DEL ROCIO MENDOZA CORTES</v>
      </c>
    </row>
    <row r="594" spans="1:12" ht="12.75" hidden="1">
      <c r="A594" s="167" t="str">
        <f>'030523 INVENTARIO'!A594</f>
        <v>0593</v>
      </c>
      <c r="B594" s="168" t="str">
        <f>'030523 INVENTARIO'!T594</f>
        <v>82DJ0515010016000649419</v>
      </c>
      <c r="C594" s="167" t="str">
        <f t="shared" si="0"/>
        <v>649419</v>
      </c>
      <c r="D594" s="167" t="str">
        <f>IF(VLOOKUP(C594,'Patrimonio 2023'!$C$2:$C$1128,1,FALSE) = C594, "Encontrado", "no")</f>
        <v>Encontrado</v>
      </c>
      <c r="E594" s="167" t="str">
        <f>VLOOKUP($A594,'030523 INVENTARIO'!$A$2:$Y$1148,5,FALSE)</f>
        <v>NO BREAK</v>
      </c>
      <c r="F594" s="168" t="str">
        <f>VLOOKUP($A594,'030523 INVENTARIO'!$A$2:$Y$1148,6,FALSE)</f>
        <v>NO BREAK</v>
      </c>
      <c r="G594" s="167" t="str">
        <f ca="1">VLOOKUP($A594,'030523 INVENTARIO'!$A$2:$Y$1148,8,FALSE)</f>
        <v>P13LP-0593</v>
      </c>
      <c r="H594" s="168" t="str">
        <f>VLOOKUP($A594,'030523 INVENTARIO'!$A$2:$Y$1148,17,FALSE)</f>
        <v>FORZA</v>
      </c>
      <c r="I594" s="167" t="str">
        <f>VLOOKUP($A594,'030523 INVENTARIO'!$A$2:$Y$1148,18,FALSE)</f>
        <v>NT751</v>
      </c>
      <c r="J594" s="168" t="str">
        <f>VLOOKUP($A594,'030523 INVENTARIO'!$A$2:$Y$1148,19,FALSE)</f>
        <v>190522502046</v>
      </c>
      <c r="K594" s="168" t="str">
        <f>VLOOKUP($A594,'030523 INVENTARIO'!$A$2:$Y$1148,20,FALSE)</f>
        <v>82DJ0515010016000649419</v>
      </c>
      <c r="L594" s="167" t="str">
        <f>VLOOKUP($A594,'030523 INVENTARIO'!$A$2:$Y$1148,23,FALSE)</f>
        <v>DULCE DEL ROCIO MENDOZA CORTES</v>
      </c>
    </row>
    <row r="595" spans="1:12" ht="12.75" hidden="1">
      <c r="A595" s="167" t="str">
        <f>'030523 INVENTARIO'!A595</f>
        <v>0594</v>
      </c>
      <c r="B595" s="168" t="str">
        <f>'030523 INVENTARIO'!T595</f>
        <v>82DJ0511010006000518518</v>
      </c>
      <c r="C595" s="167" t="str">
        <f t="shared" si="0"/>
        <v>518518</v>
      </c>
      <c r="D595" s="167" t="str">
        <f>IF(VLOOKUP(C595,'Patrimonio 2023'!$C$2:$C$1128,1,FALSE) = C595, "Encontrado", "no")</f>
        <v>Encontrado</v>
      </c>
      <c r="E595" s="167" t="str">
        <f>VLOOKUP($A595,'030523 INVENTARIO'!$A$2:$Y$1148,5,FALSE)</f>
        <v>ESCRITORIO</v>
      </c>
      <c r="F595" s="167" t="str">
        <f>VLOOKUP($A595,'030523 INVENTARIO'!$A$2:$Y$1148,6,FALSE)</f>
        <v>ESCRITORIO DE MADERA CON 2 CAJONES</v>
      </c>
      <c r="G595" s="167" t="str">
        <f ca="1">VLOOKUP($A595,'030523 INVENTARIO'!$A$2:$Y$1148,8,FALSE)</f>
        <v>P13LP-0594</v>
      </c>
      <c r="H595" s="168" t="str">
        <f>VLOOKUP($A595,'030523 INVENTARIO'!$A$2:$Y$1148,17,FALSE)</f>
        <v>S/M</v>
      </c>
      <c r="I595" s="167" t="str">
        <f>VLOOKUP($A595,'030523 INVENTARIO'!$A$2:$Y$1148,18,FALSE)</f>
        <v>S/M</v>
      </c>
      <c r="J595" s="168" t="str">
        <f>VLOOKUP($A595,'030523 INVENTARIO'!$A$2:$Y$1148,19,FALSE)</f>
        <v>SIN SERIE</v>
      </c>
      <c r="K595" s="168" t="str">
        <f>VLOOKUP($A595,'030523 INVENTARIO'!$A$2:$Y$1148,20,FALSE)</f>
        <v>82DJ0511010006000518518</v>
      </c>
      <c r="L595" s="167" t="str">
        <f>VLOOKUP($A595,'030523 INVENTARIO'!$A$2:$Y$1148,23,FALSE)</f>
        <v>DULCE DEL ROCIO MENDOZA CORTES</v>
      </c>
    </row>
    <row r="596" spans="1:12" ht="12.75" hidden="1">
      <c r="A596" s="167" t="str">
        <f>'030523 INVENTARIO'!A596</f>
        <v>0595</v>
      </c>
      <c r="B596" s="167" t="str">
        <f>'030523 INVENTARIO'!T596</f>
        <v>SIN RESGUARDO</v>
      </c>
      <c r="C596" s="167" t="str">
        <f t="shared" si="0"/>
        <v/>
      </c>
      <c r="D596" s="167" t="e">
        <f>IF(VLOOKUP(C596,'Patrimonio 2023'!$C$2:$C$1128,1,FALSE) = C596, "Encontrado", "no")</f>
        <v>#N/A</v>
      </c>
      <c r="E596" s="167" t="str">
        <f>VLOOKUP($A596,'030523 INVENTARIO'!$A$2:$Y$1148,5,FALSE)</f>
        <v>COMPUTADORA DE ESCRITORIO</v>
      </c>
      <c r="F596" s="167" t="str">
        <f>VLOOKUP($A596,'030523 INVENTARIO'!$A$2:$Y$1148,6,FALSE)</f>
        <v>COMPUTADORA DE ESCRITORIO</v>
      </c>
      <c r="G596" s="167" t="str">
        <f ca="1">VLOOKUP($A596,'030523 INVENTARIO'!$A$2:$Y$1148,8,FALSE)</f>
        <v>P13LP-0595</v>
      </c>
      <c r="H596" s="168" t="str">
        <f>VLOOKUP($A596,'030523 INVENTARIO'!$A$2:$Y$1148,17,FALSE)</f>
        <v>ACTECK</v>
      </c>
      <c r="I596" s="167" t="str">
        <f>VLOOKUP($A596,'030523 INVENTARIO'!$A$2:$Y$1148,18,FALSE)</f>
        <v>LINX</v>
      </c>
      <c r="J596" s="167">
        <f>VLOOKUP($A596,'030523 INVENTARIO'!$A$2:$Y$1148,19,FALSE)</f>
        <v>11392903015788</v>
      </c>
      <c r="K596" s="167" t="str">
        <f>VLOOKUP($A596,'030523 INVENTARIO'!$A$2:$Y$1148,20,FALSE)</f>
        <v>SIN RESGUARDO</v>
      </c>
      <c r="L596" s="167" t="str">
        <f>VLOOKUP($A596,'030523 INVENTARIO'!$A$2:$Y$1148,23,FALSE)</f>
        <v>DULCE DEL ROCIO MENDOZA CORTES</v>
      </c>
    </row>
    <row r="597" spans="1:12" ht="12.75" hidden="1">
      <c r="A597" s="167" t="str">
        <f>'030523 INVENTARIO'!A597</f>
        <v>0596</v>
      </c>
      <c r="B597" s="167" t="str">
        <f>'030523 INVENTARIO'!T597</f>
        <v>SIN RESGUARDO</v>
      </c>
      <c r="C597" s="167" t="str">
        <f t="shared" si="0"/>
        <v/>
      </c>
      <c r="D597" s="167" t="e">
        <f>IF(VLOOKUP(C597,'Patrimonio 2023'!$C$2:$C$1128,1,FALSE) = C597, "Encontrado", "no")</f>
        <v>#N/A</v>
      </c>
      <c r="E597" s="167" t="str">
        <f>VLOOKUP($A597,'030523 INVENTARIO'!$A$2:$Y$1148,5,FALSE)</f>
        <v>MONITOR</v>
      </c>
      <c r="F597" s="167" t="str">
        <f>VLOOKUP($A597,'030523 INVENTARIO'!$A$2:$Y$1148,6,FALSE)</f>
        <v>MONITOR 21"</v>
      </c>
      <c r="G597" s="167" t="str">
        <f ca="1">VLOOKUP($A597,'030523 INVENTARIO'!$A$2:$Y$1148,8,FALSE)</f>
        <v>P13LP-0596</v>
      </c>
      <c r="H597" s="168" t="str">
        <f>VLOOKUP($A597,'030523 INVENTARIO'!$A$2:$Y$1148,17,FALSE)</f>
        <v>ACER</v>
      </c>
      <c r="I597" s="167" t="str">
        <f>VLOOKUP($A597,'030523 INVENTARIO'!$A$2:$Y$1148,18,FALSE)</f>
        <v>V226HQL</v>
      </c>
      <c r="J597" s="167" t="str">
        <f>VLOOKUP($A597,'030523 INVENTARIO'!$A$2:$Y$1148,19,FALSE)</f>
        <v>MMTASAA007109004CD3P00</v>
      </c>
      <c r="K597" s="167" t="str">
        <f>VLOOKUP($A597,'030523 INVENTARIO'!$A$2:$Y$1148,20,FALSE)</f>
        <v>SIN RESGUARDO</v>
      </c>
      <c r="L597" s="167" t="str">
        <f>VLOOKUP($A597,'030523 INVENTARIO'!$A$2:$Y$1148,23,FALSE)</f>
        <v>DULCE DEL ROCIO MENDOZA CORTES</v>
      </c>
    </row>
    <row r="598" spans="1:12" ht="12.75" hidden="1">
      <c r="A598" s="167" t="str">
        <f>'030523 INVENTARIO'!A598</f>
        <v>0597</v>
      </c>
      <c r="B598" s="168" t="str">
        <f>'030523 INVENTARIO'!T598</f>
        <v>82DJ0515010033000564637</v>
      </c>
      <c r="C598" s="167" t="str">
        <f t="shared" si="0"/>
        <v>564637</v>
      </c>
      <c r="D598" s="167" t="str">
        <f>IF(VLOOKUP(C598,'Patrimonio 2023'!$C$2:$C$1128,1,FALSE) = C598, "Encontrado", "no")</f>
        <v>Encontrado</v>
      </c>
      <c r="E598" s="167" t="str">
        <f>VLOOKUP($A598,'030523 INVENTARIO'!$A$2:$Y$1148,5,FALSE)</f>
        <v>COMPLEMENTARIO DE EQUIPO DE COMPUTO</v>
      </c>
      <c r="F598" s="168" t="str">
        <f>VLOOKUP($A598,'030523 INVENTARIO'!$A$2:$Y$1148,6,FALSE)</f>
        <v>COMPLEMENTO DE EQUIPO DE MADERA</v>
      </c>
      <c r="G598" s="167" t="str">
        <f ca="1">VLOOKUP($A598,'030523 INVENTARIO'!$A$2:$Y$1148,8,FALSE)</f>
        <v>P13LP-0597</v>
      </c>
      <c r="H598" s="168" t="str">
        <f>VLOOKUP($A598,'030523 INVENTARIO'!$A$2:$Y$1148,17,FALSE)</f>
        <v>S/M</v>
      </c>
      <c r="I598" s="167" t="str">
        <f>VLOOKUP($A598,'030523 INVENTARIO'!$A$2:$Y$1148,18,FALSE)</f>
        <v>S/M</v>
      </c>
      <c r="J598" s="168" t="str">
        <f>VLOOKUP($A598,'030523 INVENTARIO'!$A$2:$Y$1148,19,FALSE)</f>
        <v>SIN SERIE</v>
      </c>
      <c r="K598" s="168" t="str">
        <f>VLOOKUP($A598,'030523 INVENTARIO'!$A$2:$Y$1148,20,FALSE)</f>
        <v>82DJ0515010033000564637</v>
      </c>
      <c r="L598" s="167" t="str">
        <f>VLOOKUP($A598,'030523 INVENTARIO'!$A$2:$Y$1148,23,FALSE)</f>
        <v>DULCE DEL ROCIO MENDOZA CORTES</v>
      </c>
    </row>
    <row r="599" spans="1:12" ht="12.75" hidden="1">
      <c r="A599" s="167" t="str">
        <f>'030523 INVENTARIO'!A599</f>
        <v>0598</v>
      </c>
      <c r="B599" s="168" t="str">
        <f>'030523 INVENTARIO'!T599</f>
        <v>82DH0511010017000649644</v>
      </c>
      <c r="C599" s="167" t="str">
        <f t="shared" si="0"/>
        <v>649644</v>
      </c>
      <c r="D599" s="167" t="str">
        <f>IF(VLOOKUP(C599,'Patrimonio 2023'!$C$2:$C$1128,1,FALSE) = C599, "Encontrado", "no")</f>
        <v>Encontrado</v>
      </c>
      <c r="E599" s="167" t="str">
        <f>VLOOKUP($A599,'030523 INVENTARIO'!$A$2:$Y$1148,5,FALSE)</f>
        <v>SILLA</v>
      </c>
      <c r="F599" s="168" t="str">
        <f>VLOOKUP($A599,'030523 INVENTARIO'!$A$2:$Y$1148,6,FALSE)</f>
        <v>SILLA NEGRA DE RUEDAS</v>
      </c>
      <c r="G599" s="167" t="str">
        <f ca="1">VLOOKUP($A599,'030523 INVENTARIO'!$A$2:$Y$1148,8,FALSE)</f>
        <v>P13LP-0598</v>
      </c>
      <c r="H599" s="168" t="str">
        <f>VLOOKUP($A599,'030523 INVENTARIO'!$A$2:$Y$1148,17,FALSE)</f>
        <v>S/M</v>
      </c>
      <c r="I599" s="167" t="str">
        <f>VLOOKUP($A599,'030523 INVENTARIO'!$A$2:$Y$1148,18,FALSE)</f>
        <v>S/M</v>
      </c>
      <c r="J599" s="168" t="str">
        <f>VLOOKUP($A599,'030523 INVENTARIO'!$A$2:$Y$1148,19,FALSE)</f>
        <v>SIN SERIE</v>
      </c>
      <c r="K599" s="168" t="str">
        <f>VLOOKUP($A599,'030523 INVENTARIO'!$A$2:$Y$1148,20,FALSE)</f>
        <v>82DH0511010017000649644</v>
      </c>
      <c r="L599" s="167" t="str">
        <f>VLOOKUP($A599,'030523 INVENTARIO'!$A$2:$Y$1148,23,FALSE)</f>
        <v>BELEN LIZETH CORTES GAONA</v>
      </c>
    </row>
    <row r="600" spans="1:12" ht="12.75" hidden="1">
      <c r="A600" s="167" t="str">
        <f>'030523 INVENTARIO'!A600</f>
        <v>0599</v>
      </c>
      <c r="B600" s="168" t="str">
        <f>'030523 INVENTARIO'!T600</f>
        <v>82DH0511010017000649721</v>
      </c>
      <c r="C600" s="167" t="str">
        <f t="shared" si="0"/>
        <v>649721</v>
      </c>
      <c r="D600" s="167" t="str">
        <f>IF(VLOOKUP(C600,'Patrimonio 2023'!$C$2:$C$1128,1,FALSE) = C600, "Encontrado", "no")</f>
        <v>Encontrado</v>
      </c>
      <c r="E600" s="167" t="str">
        <f>VLOOKUP($A600,'030523 INVENTARIO'!$A$2:$Y$1148,5,FALSE)</f>
        <v>SILLA</v>
      </c>
      <c r="F600" s="167" t="str">
        <f>VLOOKUP($A600,'030523 INVENTARIO'!$A$2:$Y$1148,6,FALSE)</f>
        <v>SILLA DE TELA CAFÉ FIJA</v>
      </c>
      <c r="G600" s="167" t="str">
        <f ca="1">VLOOKUP($A600,'030523 INVENTARIO'!$A$2:$Y$1148,8,FALSE)</f>
        <v>P13SO-0599</v>
      </c>
      <c r="H600" s="168" t="str">
        <f>VLOOKUP($A600,'030523 INVENTARIO'!$A$2:$Y$1148,17,FALSE)</f>
        <v>S/M</v>
      </c>
      <c r="I600" s="167" t="str">
        <f>VLOOKUP($A600,'030523 INVENTARIO'!$A$2:$Y$1148,18,FALSE)</f>
        <v>S/M</v>
      </c>
      <c r="J600" s="168" t="str">
        <f>VLOOKUP($A600,'030523 INVENTARIO'!$A$2:$Y$1148,19,FALSE)</f>
        <v>SIN SERIE</v>
      </c>
      <c r="K600" s="168" t="str">
        <f>VLOOKUP($A600,'030523 INVENTARIO'!$A$2:$Y$1148,20,FALSE)</f>
        <v>82DH0511010017000649721</v>
      </c>
      <c r="L600" s="167" t="str">
        <f>VLOOKUP($A600,'030523 INVENTARIO'!$A$2:$Y$1148,23,FALSE)</f>
        <v>FLORENCIA PEREZ NEGRON HUERTA</v>
      </c>
    </row>
    <row r="601" spans="1:12" ht="12.75" hidden="1">
      <c r="A601" s="167" t="str">
        <f>'030523 INVENTARIO'!A601</f>
        <v>0600</v>
      </c>
      <c r="B601" s="168" t="str">
        <f>'030523 INVENTARIO'!T601</f>
        <v>82DI0511010010000649565</v>
      </c>
      <c r="C601" s="167" t="str">
        <f t="shared" si="0"/>
        <v>649565</v>
      </c>
      <c r="D601" s="167" t="str">
        <f>IF(VLOOKUP(C601,'Patrimonio 2023'!$C$2:$C$1128,1,FALSE) = C601, "Encontrado", "no")</f>
        <v>Encontrado</v>
      </c>
      <c r="E601" s="167" t="str">
        <f>VLOOKUP($A601,'030523 INVENTARIO'!$A$2:$Y$1148,5,FALSE)</f>
        <v>MESA</v>
      </c>
      <c r="F601" s="167" t="str">
        <f>VLOOKUP($A601,'030523 INVENTARIO'!$A$2:$Y$1148,6,FALSE)</f>
        <v>MESA DE MADERA CON BASE DE METAL CAFE 120X60</v>
      </c>
      <c r="G601" s="167" t="str">
        <f ca="1">VLOOKUP($A601,'030523 INVENTARIO'!$A$2:$Y$1148,8,FALSE)</f>
        <v>P13IR-0600</v>
      </c>
      <c r="H601" s="168" t="str">
        <f>VLOOKUP($A601,'030523 INVENTARIO'!$A$2:$Y$1148,17,FALSE)</f>
        <v>S/M</v>
      </c>
      <c r="I601" s="167" t="str">
        <f>VLOOKUP($A601,'030523 INVENTARIO'!$A$2:$Y$1148,18,FALSE)</f>
        <v>S/M</v>
      </c>
      <c r="J601" s="168" t="str">
        <f>VLOOKUP($A601,'030523 INVENTARIO'!$A$2:$Y$1148,19,FALSE)</f>
        <v>SIN SERIE</v>
      </c>
      <c r="K601" s="168" t="str">
        <f>VLOOKUP($A601,'030523 INVENTARIO'!$A$2:$Y$1148,20,FALSE)</f>
        <v>82DI0511010010000649565</v>
      </c>
      <c r="L601" s="167" t="str">
        <f>VLOOKUP($A601,'030523 INVENTARIO'!$A$2:$Y$1148,23,FALSE)</f>
        <v>OBED BORJA GARCIA</v>
      </c>
    </row>
    <row r="602" spans="1:12" ht="12.75" hidden="1">
      <c r="A602" s="167" t="str">
        <f>'030523 INVENTARIO'!A602</f>
        <v>0601</v>
      </c>
      <c r="B602" s="168" t="str">
        <f>'030523 INVENTARIO'!T602</f>
        <v>82DJ0511010010000649703</v>
      </c>
      <c r="C602" s="167" t="str">
        <f t="shared" si="0"/>
        <v>649703</v>
      </c>
      <c r="D602" s="167" t="str">
        <f>IF(VLOOKUP(C602,'Patrimonio 2023'!$C$2:$C$1128,1,FALSE) = C602, "Encontrado", "no")</f>
        <v>Encontrado</v>
      </c>
      <c r="E602" s="167" t="str">
        <f>VLOOKUP($A602,'030523 INVENTARIO'!$A$2:$Y$1148,5,FALSE)</f>
        <v>MESA</v>
      </c>
      <c r="F602" s="167" t="str">
        <f>VLOOKUP($A602,'030523 INVENTARIO'!$A$2:$Y$1148,6,FALSE)</f>
        <v>MESA DE MADERA CON BASE DE METAL 120X60</v>
      </c>
      <c r="G602" s="167" t="str">
        <f ca="1">VLOOKUP($A602,'030523 INVENTARIO'!$A$2:$Y$1148,8,FALSE)</f>
        <v>P13LP-0601</v>
      </c>
      <c r="H602" s="168" t="str">
        <f>VLOOKUP($A602,'030523 INVENTARIO'!$A$2:$Y$1148,17,FALSE)</f>
        <v>S/M</v>
      </c>
      <c r="I602" s="167" t="str">
        <f>VLOOKUP($A602,'030523 INVENTARIO'!$A$2:$Y$1148,18,FALSE)</f>
        <v>S/M</v>
      </c>
      <c r="J602" s="168" t="str">
        <f>VLOOKUP($A602,'030523 INVENTARIO'!$A$2:$Y$1148,19,FALSE)</f>
        <v>SIN SERIE</v>
      </c>
      <c r="K602" s="168" t="str">
        <f>VLOOKUP($A602,'030523 INVENTARIO'!$A$2:$Y$1148,20,FALSE)</f>
        <v>82DJ0511010010000649703</v>
      </c>
      <c r="L602" s="167" t="str">
        <f>VLOOKUP($A602,'030523 INVENTARIO'!$A$2:$Y$1148,23,FALSE)</f>
        <v>BELEN LIZETH CORTES GAONA</v>
      </c>
    </row>
    <row r="603" spans="1:12" ht="12.75" hidden="1">
      <c r="A603" s="167" t="str">
        <f>'030523 INVENTARIO'!A603</f>
        <v>0602</v>
      </c>
      <c r="B603" s="168" t="str">
        <f>'030523 INVENTARIO'!T603</f>
        <v>82DI0515010001000535504</v>
      </c>
      <c r="C603" s="167" t="str">
        <f t="shared" si="0"/>
        <v>535504</v>
      </c>
      <c r="D603" s="167" t="str">
        <f>IF(VLOOKUP(C603,'Patrimonio 2023'!$C$2:$C$1128,1,FALSE) = C603, "Encontrado", "no")</f>
        <v>Encontrado</v>
      </c>
      <c r="E603" s="167" t="str">
        <f>VLOOKUP($A603,'030523 INVENTARIO'!$A$2:$Y$1148,5,FALSE)</f>
        <v>COMPUTADORA DE ESCRITORIO</v>
      </c>
      <c r="F603" s="167" t="str">
        <f>VLOOKUP($A603,'030523 INVENTARIO'!$A$2:$Y$1148,6,FALSE)</f>
        <v>COMPUTADORA DE ESCRITORIO</v>
      </c>
      <c r="G603" s="167" t="str">
        <f ca="1">VLOOKUP($A603,'030523 INVENTARIO'!$A$2:$Y$1148,8,FALSE)</f>
        <v>P13IR-0602</v>
      </c>
      <c r="H603" s="168" t="str">
        <f>VLOOKUP($A603,'030523 INVENTARIO'!$A$2:$Y$1148,17,FALSE)</f>
        <v>GHIA</v>
      </c>
      <c r="I603" s="167">
        <f>VLOOKUP($A603,'030523 INVENTARIO'!$A$2:$Y$1148,18,FALSE)</f>
        <v>1592</v>
      </c>
      <c r="J603" s="168" t="str">
        <f>VLOOKUP($A603,'030523 INVENTARIO'!$A$2:$Y$1148,19,FALSE)</f>
        <v>189251</v>
      </c>
      <c r="K603" s="168" t="str">
        <f>VLOOKUP($A603,'030523 INVENTARIO'!$A$2:$Y$1148,20,FALSE)</f>
        <v>82DI0515010001000535504</v>
      </c>
      <c r="L603" s="167" t="str">
        <f>VLOOKUP($A603,'030523 INVENTARIO'!$A$2:$Y$1148,23,FALSE)</f>
        <v>OBED BORJA GARCIA</v>
      </c>
    </row>
    <row r="604" spans="1:12" ht="12.75" hidden="1">
      <c r="A604" s="167" t="str">
        <f>'030523 INVENTARIO'!A604</f>
        <v>0603</v>
      </c>
      <c r="B604" s="168" t="str">
        <f>'030523 INVENTARIO'!T604</f>
        <v>82DH0515010020000650646</v>
      </c>
      <c r="C604" s="167" t="str">
        <f t="shared" si="0"/>
        <v>650646</v>
      </c>
      <c r="D604" s="167" t="str">
        <f>IF(VLOOKUP(C604,'Patrimonio 2023'!$C$2:$C$1128,1,FALSE) = C604, "Encontrado", "no")</f>
        <v>Encontrado</v>
      </c>
      <c r="E604" s="167" t="str">
        <f>VLOOKUP($A604,'030523 INVENTARIO'!$A$2:$Y$1148,5,FALSE)</f>
        <v>REGULADOR DE VOLTAJE</v>
      </c>
      <c r="F604" s="168" t="str">
        <f>VLOOKUP($A604,'030523 INVENTARIO'!$A$2:$Y$1148,6,FALSE)</f>
        <v>REGULADOR NEGRO</v>
      </c>
      <c r="G604" s="167" t="str">
        <f ca="1">VLOOKUP($A604,'030523 INVENTARIO'!$A$2:$Y$1148,8,FALSE)</f>
        <v>P13LP-0603</v>
      </c>
      <c r="H604" s="168" t="str">
        <f>VLOOKUP($A604,'030523 INVENTARIO'!$A$2:$Y$1148,17,FALSE)</f>
        <v>KOBLENZ</v>
      </c>
      <c r="I604" s="167" t="str">
        <f>VLOOKUP($A604,'030523 INVENTARIO'!$A$2:$Y$1148,18,FALSE)</f>
        <v>RS/1400I</v>
      </c>
      <c r="J604" s="168" t="str">
        <f>VLOOKUP($A604,'030523 INVENTARIO'!$A$2:$Y$1148,19,FALSE)</f>
        <v>SIN SERIE</v>
      </c>
      <c r="K604" s="168" t="str">
        <f>VLOOKUP($A604,'030523 INVENTARIO'!$A$2:$Y$1148,20,FALSE)</f>
        <v>82DH0515010020000650646</v>
      </c>
      <c r="L604" s="167" t="str">
        <f>VLOOKUP($A604,'030523 INVENTARIO'!$A$2:$Y$1148,23,FALSE)</f>
        <v>CARLOS REYNALDO MACIEL SILVA</v>
      </c>
    </row>
    <row r="605" spans="1:12" ht="12.75" hidden="1">
      <c r="A605" s="167" t="str">
        <f>'030523 INVENTARIO'!A605</f>
        <v>0604</v>
      </c>
      <c r="B605" s="168" t="str">
        <f>'030523 INVENTARIO'!T605</f>
        <v>82DH0565010041000530448</v>
      </c>
      <c r="C605" s="167" t="str">
        <f t="shared" si="0"/>
        <v>530448</v>
      </c>
      <c r="D605" s="167" t="str">
        <f>IF(VLOOKUP(C605,'Patrimonio 2023'!$C$2:$C$1128,1,FALSE) = C605, "Encontrado", "no")</f>
        <v>Encontrado</v>
      </c>
      <c r="E605" s="167" t="str">
        <f>VLOOKUP($A605,'030523 INVENTARIO'!$A$2:$Y$1148,5,FALSE)</f>
        <v>MONITOR</v>
      </c>
      <c r="F605" s="167" t="str">
        <f>VLOOKUP($A605,'030523 INVENTARIO'!$A$2:$Y$1148,6,FALSE)</f>
        <v>MONITOR 19.5"</v>
      </c>
      <c r="G605" s="167" t="str">
        <f ca="1">VLOOKUP($A605,'030523 INVENTARIO'!$A$2:$Y$1148,8,FALSE)</f>
        <v>P15RM-0604</v>
      </c>
      <c r="H605" s="168" t="str">
        <f>VLOOKUP($A605,'030523 INVENTARIO'!$A$2:$Y$1148,17,FALSE)</f>
        <v>COMPAQ</v>
      </c>
      <c r="I605" s="167" t="str">
        <f>VLOOKUP($A605,'030523 INVENTARIO'!$A$2:$Y$1148,18,FALSE)</f>
        <v>WF1907</v>
      </c>
      <c r="J605" s="168" t="str">
        <f>VLOOKUP($A605,'030523 INVENTARIO'!$A$2:$Y$1148,19,FALSE)</f>
        <v>CNC81643BQ</v>
      </c>
      <c r="K605" s="168" t="str">
        <f>VLOOKUP($A605,'030523 INVENTARIO'!$A$2:$Y$1148,20,FALSE)</f>
        <v>82DH0565010041000530448</v>
      </c>
      <c r="L605" s="167" t="str">
        <f>VLOOKUP($A605,'030523 INVENTARIO'!$A$2:$Y$1148,23,FALSE)</f>
        <v>BLANCA ELIZABETH ALCANTAR</v>
      </c>
    </row>
    <row r="606" spans="1:12" ht="12.75" hidden="1">
      <c r="A606" s="167" t="str">
        <f>'030523 INVENTARIO'!A606</f>
        <v>0605</v>
      </c>
      <c r="B606" s="168" t="str">
        <f>'030523 INVENTARIO'!T606</f>
        <v>82DH0529030003000649710</v>
      </c>
      <c r="C606" s="167" t="str">
        <f t="shared" si="0"/>
        <v>649710</v>
      </c>
      <c r="D606" s="167" t="str">
        <f>IF(VLOOKUP(C606,'Patrimonio 2023'!$C$2:$C$1128,1,FALSE) = C606, "Encontrado", "no")</f>
        <v>Encontrado</v>
      </c>
      <c r="E606" s="167" t="str">
        <f>VLOOKUP($A606,'030523 INVENTARIO'!$A$2:$Y$1148,5,FALSE)</f>
        <v>PIZARRON</v>
      </c>
      <c r="F606" s="167" t="str">
        <f>VLOOKUP($A606,'030523 INVENTARIO'!$A$2:$Y$1148,6,FALSE)</f>
        <v>PIZARRON BLANCO 120X90</v>
      </c>
      <c r="G606" s="167" t="str">
        <f ca="1">VLOOKUP($A606,'030523 INVENTARIO'!$A$2:$Y$1148,8,FALSE)</f>
        <v>P13LP-0605</v>
      </c>
      <c r="H606" s="168" t="str">
        <f>VLOOKUP($A606,'030523 INVENTARIO'!$A$2:$Y$1148,17,FALSE)</f>
        <v>S/M</v>
      </c>
      <c r="I606" s="167" t="str">
        <f>VLOOKUP($A606,'030523 INVENTARIO'!$A$2:$Y$1148,18,FALSE)</f>
        <v>S/M</v>
      </c>
      <c r="J606" s="168" t="str">
        <f>VLOOKUP($A606,'030523 INVENTARIO'!$A$2:$Y$1148,19,FALSE)</f>
        <v>SIN SERIE</v>
      </c>
      <c r="K606" s="168" t="str">
        <f>VLOOKUP($A606,'030523 INVENTARIO'!$A$2:$Y$1148,20,FALSE)</f>
        <v>82DH0529030003000649710</v>
      </c>
      <c r="L606" s="167" t="str">
        <f>VLOOKUP($A606,'030523 INVENTARIO'!$A$2:$Y$1148,23,FALSE)</f>
        <v>HECTOR JOSUE MARTINEZ DE LA CRUZ</v>
      </c>
    </row>
    <row r="607" spans="1:12" ht="12.75" hidden="1">
      <c r="A607" s="167" t="str">
        <f>'030523 INVENTARIO'!A607</f>
        <v>0606</v>
      </c>
      <c r="B607" s="168" t="str">
        <f>'030523 INVENTARIO'!T607</f>
        <v>82DH0531010065000580342</v>
      </c>
      <c r="C607" s="167" t="str">
        <f t="shared" si="0"/>
        <v>580342</v>
      </c>
      <c r="D607" s="167" t="str">
        <f>IF(VLOOKUP(C607,'Patrimonio 2023'!$C$2:$C$1128,1,FALSE) = C607, "Encontrado", "no")</f>
        <v>Encontrado</v>
      </c>
      <c r="E607" s="167" t="str">
        <f>VLOOKUP($A607,'030523 INVENTARIO'!$A$2:$Y$1148,5,FALSE)</f>
        <v>MESA</v>
      </c>
      <c r="F607" s="167" t="str">
        <f>VLOOKUP($A607,'030523 INVENTARIO'!$A$2:$Y$1148,6,FALSE)</f>
        <v>MESA GRIS DE MADERA CON BASE DE METAL 80X60</v>
      </c>
      <c r="G607" s="167" t="str">
        <f ca="1">VLOOKUP($A607,'030523 INVENTARIO'!$A$2:$Y$1148,8,FALSE)</f>
        <v>P13LP-0606</v>
      </c>
      <c r="H607" s="168" t="str">
        <f>VLOOKUP($A607,'030523 INVENTARIO'!$A$2:$Y$1148,17,FALSE)</f>
        <v>S/M</v>
      </c>
      <c r="I607" s="167" t="str">
        <f>VLOOKUP($A607,'030523 INVENTARIO'!$A$2:$Y$1148,18,FALSE)</f>
        <v>S/M</v>
      </c>
      <c r="J607" s="168" t="str">
        <f>VLOOKUP($A607,'030523 INVENTARIO'!$A$2:$Y$1148,19,FALSE)</f>
        <v>SIN SERIE</v>
      </c>
      <c r="K607" s="168" t="str">
        <f>VLOOKUP($A607,'030523 INVENTARIO'!$A$2:$Y$1148,20,FALSE)</f>
        <v>82DH0531010065000580342</v>
      </c>
      <c r="L607" s="167" t="str">
        <f>VLOOKUP($A607,'030523 INVENTARIO'!$A$2:$Y$1148,23,FALSE)</f>
        <v>HECTOR JOSUE MARTINEZ DE LA CRUZ</v>
      </c>
    </row>
    <row r="608" spans="1:12" ht="12.75" hidden="1">
      <c r="A608" s="167" t="str">
        <f>'030523 INVENTARIO'!A608</f>
        <v>0607</v>
      </c>
      <c r="B608" s="168" t="str">
        <f>'030523 INVENTARIO'!T608</f>
        <v>82DH0511010017000516246</v>
      </c>
      <c r="C608" s="167" t="str">
        <f t="shared" si="0"/>
        <v>516246</v>
      </c>
      <c r="D608" s="167" t="str">
        <f>IF(VLOOKUP(C608,'Patrimonio 2023'!$C$2:$C$1128,1,FALSE) = C608, "Encontrado", "no")</f>
        <v>Encontrado</v>
      </c>
      <c r="E608" s="167" t="str">
        <f>VLOOKUP($A608,'030523 INVENTARIO'!$A$2:$Y$1148,5,FALSE)</f>
        <v>SILLA</v>
      </c>
      <c r="F608" s="167" t="str">
        <f>VLOOKUP($A608,'030523 INVENTARIO'!$A$2:$Y$1148,6,FALSE)</f>
        <v>SILLA NEGRA DE TELA FIJA</v>
      </c>
      <c r="G608" s="167" t="str">
        <f ca="1">VLOOKUP($A608,'030523 INVENTARIO'!$A$2:$Y$1148,8,FALSE)</f>
        <v>P13LP-0607</v>
      </c>
      <c r="H608" s="168" t="str">
        <f>VLOOKUP($A608,'030523 INVENTARIO'!$A$2:$Y$1148,17,FALSE)</f>
        <v>S/M</v>
      </c>
      <c r="I608" s="167" t="str">
        <f>VLOOKUP($A608,'030523 INVENTARIO'!$A$2:$Y$1148,18,FALSE)</f>
        <v>S/M</v>
      </c>
      <c r="J608" s="168" t="str">
        <f>VLOOKUP($A608,'030523 INVENTARIO'!$A$2:$Y$1148,19,FALSE)</f>
        <v>SIN SERIE</v>
      </c>
      <c r="K608" s="168" t="str">
        <f>VLOOKUP($A608,'030523 INVENTARIO'!$A$2:$Y$1148,20,FALSE)</f>
        <v>82DH0511010017000516246</v>
      </c>
      <c r="L608" s="167" t="str">
        <f>VLOOKUP($A608,'030523 INVENTARIO'!$A$2:$Y$1148,23,FALSE)</f>
        <v>HECTOR JOSUE MARTINEZ DE LA CRUZ</v>
      </c>
    </row>
    <row r="609" spans="1:12" ht="12.75" hidden="1">
      <c r="A609" s="167" t="str">
        <f>'030523 INVENTARIO'!A609</f>
        <v>0608</v>
      </c>
      <c r="B609" s="168" t="str">
        <f>'030523 INVENTARIO'!T609</f>
        <v>82DH0511010005000518517</v>
      </c>
      <c r="C609" s="167" t="str">
        <f t="shared" si="0"/>
        <v>518517</v>
      </c>
      <c r="D609" s="167" t="str">
        <f>IF(VLOOKUP(C609,'Patrimonio 2023'!$C$2:$C$1128,1,FALSE) = C609, "Encontrado", "no")</f>
        <v>Encontrado</v>
      </c>
      <c r="E609" s="167" t="str">
        <f>VLOOKUP($A609,'030523 INVENTARIO'!$A$2:$Y$1148,5,FALSE)</f>
        <v>CREDENZA</v>
      </c>
      <c r="F609" s="167" t="str">
        <f>VLOOKUP($A609,'030523 INVENTARIO'!$A$2:$Y$1148,6,FALSE)</f>
        <v>CREDENZA 6 CAJONES 2 PUERTAS 180X42</v>
      </c>
      <c r="G609" s="167" t="str">
        <f ca="1">VLOOKUP($A609,'030523 INVENTARIO'!$A$2:$Y$1148,8,FALSE)</f>
        <v>P13LP-0608</v>
      </c>
      <c r="H609" s="168" t="str">
        <f>VLOOKUP($A609,'030523 INVENTARIO'!$A$2:$Y$1148,17,FALSE)</f>
        <v>S/M</v>
      </c>
      <c r="I609" s="167" t="str">
        <f>VLOOKUP($A609,'030523 INVENTARIO'!$A$2:$Y$1148,18,FALSE)</f>
        <v>S/M</v>
      </c>
      <c r="J609" s="168" t="str">
        <f>VLOOKUP($A609,'030523 INVENTARIO'!$A$2:$Y$1148,19,FALSE)</f>
        <v>SIN SERIE</v>
      </c>
      <c r="K609" s="168" t="str">
        <f>VLOOKUP($A609,'030523 INVENTARIO'!$A$2:$Y$1148,20,FALSE)</f>
        <v>82DH0511010005000518517</v>
      </c>
      <c r="L609" s="167" t="str">
        <f>VLOOKUP($A609,'030523 INVENTARIO'!$A$2:$Y$1148,23,FALSE)</f>
        <v>HECTOR JOSUE MARTINEZ DE LA CRUZ</v>
      </c>
    </row>
    <row r="610" spans="1:12" ht="12.75" hidden="1">
      <c r="A610" s="167" t="str">
        <f>'030523 INVENTARIO'!A610</f>
        <v>0609</v>
      </c>
      <c r="B610" s="168" t="str">
        <f>'030523 INVENTARIO'!T610</f>
        <v>82DH0511010009000518513</v>
      </c>
      <c r="C610" s="167" t="str">
        <f t="shared" si="0"/>
        <v>518513</v>
      </c>
      <c r="D610" s="167" t="str">
        <f>IF(VLOOKUP(C610,'Patrimonio 2023'!$C$2:$C$1128,1,FALSE) = C610, "Encontrado", "no")</f>
        <v>Encontrado</v>
      </c>
      <c r="E610" s="167" t="str">
        <f>VLOOKUP($A610,'030523 INVENTARIO'!$A$2:$Y$1148,5,FALSE)</f>
        <v>ARCHIVERO</v>
      </c>
      <c r="F610" s="167" t="str">
        <f>VLOOKUP($A610,'030523 INVENTARIO'!$A$2:$Y$1148,6,FALSE)</f>
        <v>ARCHIVERO (LOCKER) DE MADERA CON 4 CAJONES</v>
      </c>
      <c r="G610" s="167" t="str">
        <f ca="1">VLOOKUP($A610,'030523 INVENTARIO'!$A$2:$Y$1148,8,FALSE)</f>
        <v>P13LP-0609</v>
      </c>
      <c r="H610" s="168" t="str">
        <f>VLOOKUP($A610,'030523 INVENTARIO'!$A$2:$Y$1148,17,FALSE)</f>
        <v>S/M</v>
      </c>
      <c r="I610" s="167" t="str">
        <f>VLOOKUP($A610,'030523 INVENTARIO'!$A$2:$Y$1148,18,FALSE)</f>
        <v>S/M</v>
      </c>
      <c r="J610" s="168" t="str">
        <f>VLOOKUP($A610,'030523 INVENTARIO'!$A$2:$Y$1148,19,FALSE)</f>
        <v>SIN SERIE</v>
      </c>
      <c r="K610" s="168" t="str">
        <f>VLOOKUP($A610,'030523 INVENTARIO'!$A$2:$Y$1148,20,FALSE)</f>
        <v>82DH0511010009000518513</v>
      </c>
      <c r="L610" s="167" t="str">
        <f>VLOOKUP($A610,'030523 INVENTARIO'!$A$2:$Y$1148,23,FALSE)</f>
        <v>HECTOR JOSUE MARTINEZ DE LA CRUZ</v>
      </c>
    </row>
    <row r="611" spans="1:12" ht="12.75" hidden="1">
      <c r="A611" s="167" t="str">
        <f>'030523 INVENTARIO'!A611</f>
        <v>0610</v>
      </c>
      <c r="B611" s="168" t="str">
        <f>'030523 INVENTARIO'!T611</f>
        <v>82DH0512010006000584026</v>
      </c>
      <c r="C611" s="167" t="str">
        <f t="shared" si="0"/>
        <v>584026</v>
      </c>
      <c r="D611" s="167" t="str">
        <f>IF(VLOOKUP(C611,'Patrimonio 2023'!$C$2:$C$1128,1,FALSE) = C611, "Encontrado", "no")</f>
        <v>Encontrado</v>
      </c>
      <c r="E611" s="167" t="str">
        <f>VLOOKUP($A611,'030523 INVENTARIO'!$A$2:$Y$1148,5,FALSE)</f>
        <v>LIBRERO</v>
      </c>
      <c r="F611" s="167" t="str">
        <f>VLOOKUP($A611,'030523 INVENTARIO'!$A$2:$Y$1148,6,FALSE)</f>
        <v>LIBRERO DE MADERA (COMODA)</v>
      </c>
      <c r="G611" s="167" t="str">
        <f ca="1">VLOOKUP($A611,'030523 INVENTARIO'!$A$2:$Y$1148,8,FALSE)</f>
        <v>P13LP-0610</v>
      </c>
      <c r="H611" s="168" t="str">
        <f>VLOOKUP($A611,'030523 INVENTARIO'!$A$2:$Y$1148,17,FALSE)</f>
        <v>S/M</v>
      </c>
      <c r="I611" s="167" t="str">
        <f>VLOOKUP($A611,'030523 INVENTARIO'!$A$2:$Y$1148,18,FALSE)</f>
        <v>S/M</v>
      </c>
      <c r="J611" s="168" t="str">
        <f>VLOOKUP($A611,'030523 INVENTARIO'!$A$2:$Y$1148,19,FALSE)</f>
        <v>SIN SERIE</v>
      </c>
      <c r="K611" s="168" t="str">
        <f>VLOOKUP($A611,'030523 INVENTARIO'!$A$2:$Y$1148,20,FALSE)</f>
        <v>82DH0512010006000584026</v>
      </c>
      <c r="L611" s="167" t="str">
        <f>VLOOKUP($A611,'030523 INVENTARIO'!$A$2:$Y$1148,23,FALSE)</f>
        <v>HECTOR JOSUE MARTINEZ DE LA CRUZ</v>
      </c>
    </row>
    <row r="612" spans="1:12" ht="12.75" hidden="1">
      <c r="A612" s="167" t="str">
        <f>'030523 INVENTARIO'!A612</f>
        <v>0611</v>
      </c>
      <c r="B612" s="168" t="str">
        <f>'030523 INVENTARIO'!T612</f>
        <v>82DH0511010006000518511</v>
      </c>
      <c r="C612" s="167" t="str">
        <f t="shared" si="0"/>
        <v>518511</v>
      </c>
      <c r="D612" s="167" t="str">
        <f>IF(VLOOKUP(C612,'Patrimonio 2023'!$C$2:$C$1128,1,FALSE) = C612, "Encontrado", "no")</f>
        <v>Encontrado</v>
      </c>
      <c r="E612" s="167" t="str">
        <f>VLOOKUP($A612,'030523 INVENTARIO'!$A$2:$Y$1148,5,FALSE)</f>
        <v>ESCRITORIO</v>
      </c>
      <c r="F612" s="167" t="str">
        <f>VLOOKUP($A612,'030523 INVENTARIO'!$A$2:$Y$1148,6,FALSE)</f>
        <v>ESCRITORIO DE MADERA 3 PIEZAS</v>
      </c>
      <c r="G612" s="167" t="str">
        <f ca="1">VLOOKUP($A612,'030523 INVENTARIO'!$A$2:$Y$1148,8,FALSE)</f>
        <v>P13LP-0611</v>
      </c>
      <c r="H612" s="168" t="str">
        <f>VLOOKUP($A612,'030523 INVENTARIO'!$A$2:$Y$1148,17,FALSE)</f>
        <v>S/M</v>
      </c>
      <c r="I612" s="167" t="str">
        <f>VLOOKUP($A612,'030523 INVENTARIO'!$A$2:$Y$1148,18,FALSE)</f>
        <v>S/M</v>
      </c>
      <c r="J612" s="168" t="str">
        <f>VLOOKUP($A612,'030523 INVENTARIO'!$A$2:$Y$1148,19,FALSE)</f>
        <v>SIN SERIE</v>
      </c>
      <c r="K612" s="168" t="str">
        <f>VLOOKUP($A612,'030523 INVENTARIO'!$A$2:$Y$1148,20,FALSE)</f>
        <v>82DH0511010006000518511</v>
      </c>
      <c r="L612" s="167" t="str">
        <f>VLOOKUP($A612,'030523 INVENTARIO'!$A$2:$Y$1148,23,FALSE)</f>
        <v>HECTOR JOSUE MARTINEZ DE LA CRUZ</v>
      </c>
    </row>
    <row r="613" spans="1:12" ht="12.75" hidden="1">
      <c r="A613" s="167" t="str">
        <f>'030523 INVENTARIO'!A613</f>
        <v>0612</v>
      </c>
      <c r="B613" s="167" t="str">
        <f>'030523 INVENTARIO'!T613</f>
        <v>82DH0515010014000649713</v>
      </c>
      <c r="C613" s="167" t="str">
        <f t="shared" si="0"/>
        <v>649713</v>
      </c>
      <c r="D613" s="167" t="str">
        <f>IF(VLOOKUP(C613,'Patrimonio 2023'!$C$2:$C$1128,1,FALSE) = C613, "Encontrado", "no")</f>
        <v>Encontrado</v>
      </c>
      <c r="E613" s="167" t="str">
        <f>VLOOKUP($A613,'030523 INVENTARIO'!$A$2:$Y$1148,5,FALSE)</f>
        <v>MULTIFUNCIONAL</v>
      </c>
      <c r="F613" s="168" t="str">
        <f>VLOOKUP($A613,'030523 INVENTARIO'!$A$2:$Y$1148,6,FALSE)</f>
        <v>MULTIFUNCIONAL</v>
      </c>
      <c r="G613" s="167" t="str">
        <f ca="1">VLOOKUP($A613,'030523 INVENTARIO'!$A$2:$Y$1148,8,FALSE)</f>
        <v>P13LP-0612</v>
      </c>
      <c r="H613" s="168" t="str">
        <f>VLOOKUP($A613,'030523 INVENTARIO'!$A$2:$Y$1148,17,FALSE)</f>
        <v>SAMSUNG</v>
      </c>
      <c r="I613" s="167" t="str">
        <f>VLOOKUP($A613,'030523 INVENTARIO'!$A$2:$Y$1148,18,FALSE)</f>
        <v>XPRESS-M2885FW</v>
      </c>
      <c r="J613" s="168" t="str">
        <f>VLOOKUP($A613,'030523 INVENTARIO'!$A$2:$Y$1148,19,FALSE)</f>
        <v>076UV8KJ5F0020Z</v>
      </c>
      <c r="K613" s="167" t="str">
        <f>VLOOKUP($A613,'030523 INVENTARIO'!$A$2:$Y$1148,20,FALSE)</f>
        <v>82DH0515010014000649713</v>
      </c>
      <c r="L613" s="167" t="str">
        <f>VLOOKUP($A613,'030523 INVENTARIO'!$A$2:$Y$1148,23,FALSE)</f>
        <v>HECTOR JOSUE MARTINEZ DE LA CRUZ</v>
      </c>
    </row>
    <row r="614" spans="1:12" ht="12.75" hidden="1">
      <c r="A614" s="167" t="str">
        <f>'030523 INVENTARIO'!A614</f>
        <v>0613</v>
      </c>
      <c r="B614" s="168" t="str">
        <f>'030523 INVENTARIO'!T614</f>
        <v>82DJ0565010041000530446</v>
      </c>
      <c r="C614" s="167" t="str">
        <f t="shared" si="0"/>
        <v>530446</v>
      </c>
      <c r="D614" s="167" t="str">
        <f>IF(VLOOKUP(C614,'Patrimonio 2023'!$C$2:$C$1128,1,FALSE) = C614, "Encontrado", "no")</f>
        <v>Encontrado</v>
      </c>
      <c r="E614" s="167" t="str">
        <f>VLOOKUP($A614,'030523 INVENTARIO'!$A$2:$Y$1148,5,FALSE)</f>
        <v>MONITOR</v>
      </c>
      <c r="F614" s="167" t="str">
        <f>VLOOKUP($A614,'030523 INVENTARIO'!$A$2:$Y$1148,6,FALSE)</f>
        <v>MONITOR 19.5"</v>
      </c>
      <c r="G614" s="167" t="str">
        <f ca="1">VLOOKUP($A614,'030523 INVENTARIO'!$A$2:$Y$1148,8,FALSE)</f>
        <v>P13LP-0613</v>
      </c>
      <c r="H614" s="168" t="str">
        <f>VLOOKUP($A614,'030523 INVENTARIO'!$A$2:$Y$1148,17,FALSE)</f>
        <v>COMPAQ</v>
      </c>
      <c r="I614" s="167" t="str">
        <f>VLOOKUP($A614,'030523 INVENTARIO'!$A$2:$Y$1148,18,FALSE)</f>
        <v>WF1907</v>
      </c>
      <c r="J614" s="168" t="str">
        <f>VLOOKUP($A614,'030523 INVENTARIO'!$A$2:$Y$1148,19,FALSE)</f>
        <v>CNC812Y89K</v>
      </c>
      <c r="K614" s="168" t="str">
        <f>VLOOKUP($A614,'030523 INVENTARIO'!$A$2:$Y$1148,20,FALSE)</f>
        <v>82DJ0565010041000530446</v>
      </c>
      <c r="L614" s="167" t="str">
        <f>VLOOKUP($A614,'030523 INVENTARIO'!$A$2:$Y$1148,23,FALSE)</f>
        <v>HECTOR JOSUE MARTINEZ DE LA CRUZ</v>
      </c>
    </row>
    <row r="615" spans="1:12" ht="12.75" hidden="1">
      <c r="A615" s="167" t="str">
        <f>'030523 INVENTARIO'!A615</f>
        <v>0614</v>
      </c>
      <c r="B615" s="167" t="str">
        <f>'030523 INVENTARIO'!T615</f>
        <v>82DK0515010001000650660</v>
      </c>
      <c r="C615" s="167" t="str">
        <f t="shared" si="0"/>
        <v>650660</v>
      </c>
      <c r="D615" s="167" t="str">
        <f>IF(VLOOKUP(C615,'Patrimonio 2023'!$C$2:$C$1128,1,FALSE) = C615, "Encontrado", "no")</f>
        <v>Encontrado</v>
      </c>
      <c r="E615" s="167" t="str">
        <f>VLOOKUP($A615,'030523 INVENTARIO'!$A$2:$Y$1148,5,FALSE)</f>
        <v>COMPUTADORA DE ESCRITORIO</v>
      </c>
      <c r="F615" s="168" t="str">
        <f>VLOOKUP($A615,'030523 INVENTARIO'!$A$2:$Y$1148,6,FALSE)</f>
        <v>COMPUTADORA NEGRO</v>
      </c>
      <c r="G615" s="167" t="str">
        <f ca="1">VLOOKUP($A615,'030523 INVENTARIO'!$A$2:$Y$1148,8,FALSE)</f>
        <v>P13LP-0614</v>
      </c>
      <c r="H615" s="168" t="str">
        <f>VLOOKUP($A615,'030523 INVENTARIO'!$A$2:$Y$1148,17,FALSE)</f>
        <v>GHIA</v>
      </c>
      <c r="I615" s="167">
        <f>VLOOKUP($A615,'030523 INVENTARIO'!$A$2:$Y$1148,18,FALSE)</f>
        <v>2378</v>
      </c>
      <c r="J615" s="168" t="str">
        <f>VLOOKUP($A615,'030523 INVENTARIO'!$A$2:$Y$1148,19,FALSE)</f>
        <v>338696</v>
      </c>
      <c r="K615" s="167" t="str">
        <f>VLOOKUP($A615,'030523 INVENTARIO'!$A$2:$Y$1148,20,FALSE)</f>
        <v>82DK0515010001000650660</v>
      </c>
      <c r="L615" s="167" t="str">
        <f>VLOOKUP($A615,'030523 INVENTARIO'!$A$2:$Y$1148,23,FALSE)</f>
        <v>HECTOR JOSUE MARTINEZ DE LA CRUZ</v>
      </c>
    </row>
    <row r="616" spans="1:12" ht="12.75" hidden="1">
      <c r="A616" s="167" t="str">
        <f>'030523 INVENTARIO'!A616</f>
        <v>0615</v>
      </c>
      <c r="B616" s="168" t="str">
        <f>'030523 INVENTARIO'!T616</f>
        <v>82DH0519010043000649371</v>
      </c>
      <c r="C616" s="167" t="str">
        <f t="shared" si="0"/>
        <v>649371</v>
      </c>
      <c r="D616" s="167" t="str">
        <f>IF(VLOOKUP(C616,'Patrimonio 2023'!$C$2:$C$1128,1,FALSE) = C616, "Encontrado", "no")</f>
        <v>Encontrado</v>
      </c>
      <c r="E616" s="167" t="str">
        <f>VLOOKUP($A616,'030523 INVENTARIO'!$A$2:$Y$1148,5,FALSE)</f>
        <v>VENTILADOR</v>
      </c>
      <c r="F616" s="168" t="str">
        <f>VLOOKUP($A616,'030523 INVENTARIO'!$A$2:$Y$1148,6,FALSE)</f>
        <v>VENTILADOR</v>
      </c>
      <c r="G616" s="167" t="str">
        <f ca="1">VLOOKUP($A616,'030523 INVENTARIO'!$A$2:$Y$1148,8,FALSE)</f>
        <v>P13LP-0615</v>
      </c>
      <c r="H616" s="168" t="str">
        <f>VLOOKUP($A616,'030523 INVENTARIO'!$A$2:$Y$1148,17,FALSE)</f>
        <v>MYTEK</v>
      </c>
      <c r="I616" s="167" t="str">
        <f>VLOOKUP($A616,'030523 INVENTARIO'!$A$2:$Y$1148,18,FALSE)</f>
        <v>MY/3352</v>
      </c>
      <c r="J616" s="168" t="str">
        <f>VLOOKUP($A616,'030523 INVENTARIO'!$A$2:$Y$1148,19,FALSE)</f>
        <v>SIN SERIE</v>
      </c>
      <c r="K616" s="168" t="str">
        <f>VLOOKUP($A616,'030523 INVENTARIO'!$A$2:$Y$1148,20,FALSE)</f>
        <v>82DH0519010043000649371</v>
      </c>
      <c r="L616" s="167" t="str">
        <f>VLOOKUP($A616,'030523 INVENTARIO'!$A$2:$Y$1148,23,FALSE)</f>
        <v>HECTOR JOSUE MARTINEZ DE LA CRUZ</v>
      </c>
    </row>
    <row r="617" spans="1:12" ht="12.75" hidden="1">
      <c r="A617" s="167" t="str">
        <f>'030523 INVENTARIO'!A617</f>
        <v>0616</v>
      </c>
      <c r="B617" s="168" t="str">
        <f>'030523 INVENTARIO'!T617</f>
        <v>82DH0515010020000651122</v>
      </c>
      <c r="C617" s="167" t="str">
        <f t="shared" si="0"/>
        <v>651122</v>
      </c>
      <c r="D617" s="167" t="str">
        <f>IF(VLOOKUP(C617,'Patrimonio 2023'!$C$2:$C$1128,1,FALSE) = C617, "Encontrado", "no")</f>
        <v>Encontrado</v>
      </c>
      <c r="E617" s="167" t="str">
        <f>VLOOKUP($A617,'030523 INVENTARIO'!$A$2:$Y$1148,5,FALSE)</f>
        <v>REGULADOR DE VOLTAJE</v>
      </c>
      <c r="F617" s="168" t="str">
        <f>VLOOKUP($A617,'030523 INVENTARIO'!$A$2:$Y$1148,6,FALSE)</f>
        <v>REGULADOR</v>
      </c>
      <c r="G617" s="167" t="str">
        <f ca="1">VLOOKUP($A617,'030523 INVENTARIO'!$A$2:$Y$1148,8,FALSE)</f>
        <v>P13LP-0616</v>
      </c>
      <c r="H617" s="168" t="str">
        <f>VLOOKUP($A617,'030523 INVENTARIO'!$A$2:$Y$1148,17,FALSE)</f>
        <v>KOBLENZ</v>
      </c>
      <c r="I617" s="167">
        <f>VLOOKUP($A617,'030523 INVENTARIO'!$A$2:$Y$1148,18,FALSE)</f>
        <v>1200</v>
      </c>
      <c r="J617" s="168" t="str">
        <f>VLOOKUP($A617,'030523 INVENTARIO'!$A$2:$Y$1148,19,FALSE)</f>
        <v>12-10K</v>
      </c>
      <c r="K617" s="168" t="str">
        <f>VLOOKUP($A617,'030523 INVENTARIO'!$A$2:$Y$1148,20,FALSE)</f>
        <v>82DH0515010020000651122</v>
      </c>
      <c r="L617" s="167" t="str">
        <f>VLOOKUP($A617,'030523 INVENTARIO'!$A$2:$Y$1148,23,FALSE)</f>
        <v>HECTOR JOSUE MARTINEZ DE LA CRUZ</v>
      </c>
    </row>
    <row r="618" spans="1:12" ht="12.75" hidden="1">
      <c r="A618" s="167" t="str">
        <f>'030523 INVENTARIO'!A618</f>
        <v>0617</v>
      </c>
      <c r="B618" s="168" t="str">
        <f>'030523 INVENTARIO'!T618</f>
        <v>82DJ0511010017000649716</v>
      </c>
      <c r="C618" s="167" t="str">
        <f t="shared" si="0"/>
        <v>649716</v>
      </c>
      <c r="D618" s="167" t="str">
        <f>IF(VLOOKUP(C618,'Patrimonio 2023'!$C$2:$C$1128,1,FALSE) = C618, "Encontrado", "no")</f>
        <v>Encontrado</v>
      </c>
      <c r="E618" s="167" t="str">
        <f>VLOOKUP($A618,'030523 INVENTARIO'!$A$2:$Y$1148,5,FALSE)</f>
        <v>SILLA</v>
      </c>
      <c r="F618" s="168" t="str">
        <f>VLOOKUP($A618,'030523 INVENTARIO'!$A$2:$Y$1148,6,FALSE)</f>
        <v>SILLA NEGRA CON RUEDAS</v>
      </c>
      <c r="G618" s="167" t="str">
        <f ca="1">VLOOKUP($A618,'030523 INVENTARIO'!$A$2:$Y$1148,8,FALSE)</f>
        <v>P13LP-0617</v>
      </c>
      <c r="H618" s="168" t="str">
        <f>VLOOKUP($A618,'030523 INVENTARIO'!$A$2:$Y$1148,17,FALSE)</f>
        <v>S/M</v>
      </c>
      <c r="I618" s="167" t="str">
        <f>VLOOKUP($A618,'030523 INVENTARIO'!$A$2:$Y$1148,18,FALSE)</f>
        <v>S/M</v>
      </c>
      <c r="J618" s="168" t="str">
        <f>VLOOKUP($A618,'030523 INVENTARIO'!$A$2:$Y$1148,19,FALSE)</f>
        <v>SIN SERIE</v>
      </c>
      <c r="K618" s="168" t="str">
        <f>VLOOKUP($A618,'030523 INVENTARIO'!$A$2:$Y$1148,20,FALSE)</f>
        <v>82DJ0511010017000649716</v>
      </c>
      <c r="L618" s="167" t="str">
        <f>VLOOKUP($A618,'030523 INVENTARIO'!$A$2:$Y$1148,23,FALSE)</f>
        <v>VIRGINIA RAMOS CEJA</v>
      </c>
    </row>
    <row r="619" spans="1:12" ht="12.75" hidden="1">
      <c r="A619" s="167" t="str">
        <f>'030523 INVENTARIO'!A619</f>
        <v>0618</v>
      </c>
      <c r="B619" s="168" t="str">
        <f>'030523 INVENTARIO'!T619</f>
        <v>82DH0515010033000564671</v>
      </c>
      <c r="C619" s="167" t="str">
        <f t="shared" si="0"/>
        <v>564671</v>
      </c>
      <c r="D619" s="167" t="str">
        <f>IF(VLOOKUP(C619,'Patrimonio 2023'!$C$2:$C$1128,1,FALSE) = C619, "Encontrado", "no")</f>
        <v>Encontrado</v>
      </c>
      <c r="E619" s="167" t="str">
        <f>VLOOKUP($A619,'030523 INVENTARIO'!$A$2:$Y$1148,5,FALSE)</f>
        <v>COMPLEMENTARIO DE EQUIPO DE COMPUTO</v>
      </c>
      <c r="F619" s="168" t="str">
        <f>VLOOKUP($A619,'030523 INVENTARIO'!$A$2:$Y$1148,6,FALSE)</f>
        <v>COMPLEMENTO DE EQUIPO DE MADERA</v>
      </c>
      <c r="G619" s="167" t="str">
        <f ca="1">VLOOKUP($A619,'030523 INVENTARIO'!$A$2:$Y$1148,8,FALSE)</f>
        <v>P13LP-0618</v>
      </c>
      <c r="H619" s="168" t="str">
        <f>VLOOKUP($A619,'030523 INVENTARIO'!$A$2:$Y$1148,17,FALSE)</f>
        <v>S/M</v>
      </c>
      <c r="I619" s="167" t="str">
        <f>VLOOKUP($A619,'030523 INVENTARIO'!$A$2:$Y$1148,18,FALSE)</f>
        <v>S/M</v>
      </c>
      <c r="J619" s="168" t="str">
        <f>VLOOKUP($A619,'030523 INVENTARIO'!$A$2:$Y$1148,19,FALSE)</f>
        <v>SIN SERIE</v>
      </c>
      <c r="K619" s="168" t="str">
        <f>VLOOKUP($A619,'030523 INVENTARIO'!$A$2:$Y$1148,20,FALSE)</f>
        <v>82DH0515010033000564671</v>
      </c>
      <c r="L619" s="167" t="str">
        <f>VLOOKUP($A619,'030523 INVENTARIO'!$A$2:$Y$1148,23,FALSE)</f>
        <v>HECTOR JOSUE MARTINEZ DE LA CRUZ</v>
      </c>
    </row>
    <row r="620" spans="1:12" ht="12.75" hidden="1">
      <c r="A620" s="167" t="str">
        <f>'030523 INVENTARIO'!A620</f>
        <v>0619</v>
      </c>
      <c r="B620" s="168" t="str">
        <f>'030523 INVENTARIO'!T620</f>
        <v>SIN RESGUARDO</v>
      </c>
      <c r="C620" s="167" t="str">
        <f t="shared" si="0"/>
        <v/>
      </c>
      <c r="D620" s="167" t="e">
        <f>IF(VLOOKUP(C620,'Patrimonio 2023'!$C$2:$C$1128,1,FALSE) = C620, "Encontrado", "no")</f>
        <v>#N/A</v>
      </c>
      <c r="E620" s="167" t="str">
        <f>VLOOKUP($A620,'030523 INVENTARIO'!$A$2:$Y$1148,5,FALSE)</f>
        <v>CREDENZA</v>
      </c>
      <c r="F620" s="168" t="str">
        <f>VLOOKUP($A620,'030523 INVENTARIO'!$A$2:$Y$1148,6,FALSE)</f>
        <v>CREDENZA DE MADERA</v>
      </c>
      <c r="G620" s="167" t="str">
        <f ca="1">VLOOKUP($A620,'030523 INVENTARIO'!$A$2:$Y$1148,8,FALSE)</f>
        <v>P13IR-0619</v>
      </c>
      <c r="H620" s="168" t="str">
        <f>VLOOKUP($A620,'030523 INVENTARIO'!$A$2:$Y$1148,17,FALSE)</f>
        <v>S/M</v>
      </c>
      <c r="I620" s="167" t="str">
        <f>VLOOKUP($A620,'030523 INVENTARIO'!$A$2:$Y$1148,18,FALSE)</f>
        <v>S/M</v>
      </c>
      <c r="J620" s="168" t="str">
        <f>VLOOKUP($A620,'030523 INVENTARIO'!$A$2:$Y$1148,19,FALSE)</f>
        <v>SIN SERIE</v>
      </c>
      <c r="K620" s="168" t="str">
        <f>VLOOKUP($A620,'030523 INVENTARIO'!$A$2:$Y$1148,20,FALSE)</f>
        <v>SIN RESGUARDO</v>
      </c>
      <c r="L620" s="167" t="str">
        <f>VLOOKUP($A620,'030523 INVENTARIO'!$A$2:$Y$1148,23,FALSE)</f>
        <v>MARIBEL RAUDA BAÑUELOS</v>
      </c>
    </row>
    <row r="621" spans="1:12" ht="12.75" hidden="1">
      <c r="A621" s="167" t="str">
        <f>'030523 INVENTARIO'!A621</f>
        <v>0620</v>
      </c>
      <c r="B621" s="168" t="str">
        <f>'030523 INVENTARIO'!T621</f>
        <v>82DI0511010006000583448</v>
      </c>
      <c r="C621" s="167" t="str">
        <f t="shared" si="0"/>
        <v>583448</v>
      </c>
      <c r="D621" s="167" t="str">
        <f>IF(VLOOKUP(C621,'Patrimonio 2023'!$C$2:$C$1128,1,FALSE) = C621, "Encontrado", "no")</f>
        <v>Encontrado</v>
      </c>
      <c r="E621" s="167" t="str">
        <f>VLOOKUP($A621,'030523 INVENTARIO'!$A$2:$Y$1148,5,FALSE)</f>
        <v>ESCRITORIO</v>
      </c>
      <c r="F621" s="167" t="str">
        <f>VLOOKUP($A621,'030523 INVENTARIO'!$A$2:$Y$1148,6,FALSE)</f>
        <v>ESCRITORIO DE MADERA</v>
      </c>
      <c r="G621" s="167" t="str">
        <f ca="1">VLOOKUP($A621,'030523 INVENTARIO'!$A$2:$Y$1148,8,FALSE)</f>
        <v>P13IR-0620</v>
      </c>
      <c r="H621" s="168" t="str">
        <f>VLOOKUP($A621,'030523 INVENTARIO'!$A$2:$Y$1148,17,FALSE)</f>
        <v>S/M</v>
      </c>
      <c r="I621" s="167" t="str">
        <f>VLOOKUP($A621,'030523 INVENTARIO'!$A$2:$Y$1148,18,FALSE)</f>
        <v>S/M</v>
      </c>
      <c r="J621" s="168" t="str">
        <f>VLOOKUP($A621,'030523 INVENTARIO'!$A$2:$Y$1148,19,FALSE)</f>
        <v>SIN SERIE</v>
      </c>
      <c r="K621" s="168" t="str">
        <f>VLOOKUP($A621,'030523 INVENTARIO'!$A$2:$Y$1148,20,FALSE)</f>
        <v>82DI0511010006000583448</v>
      </c>
      <c r="L621" s="167" t="str">
        <f>VLOOKUP($A621,'030523 INVENTARIO'!$A$2:$Y$1148,23,FALSE)</f>
        <v>MARIBEL RAUDA BAÑUELOS</v>
      </c>
    </row>
    <row r="622" spans="1:12" ht="12.75" hidden="1">
      <c r="A622" s="167" t="str">
        <f>'030523 INVENTARIO'!A622</f>
        <v>0621</v>
      </c>
      <c r="B622" s="168" t="str">
        <f>'030523 INVENTARIO'!T622</f>
        <v>82DI0511010006000649708</v>
      </c>
      <c r="C622" s="167" t="str">
        <f t="shared" si="0"/>
        <v>649708</v>
      </c>
      <c r="D622" s="167" t="str">
        <f>IF(VLOOKUP(C622,'Patrimonio 2023'!$C$2:$C$1128,1,FALSE) = C622, "Encontrado", "no")</f>
        <v>Encontrado</v>
      </c>
      <c r="E622" s="167" t="str">
        <f>VLOOKUP($A622,'030523 INVENTARIO'!$A$2:$Y$1148,5,FALSE)</f>
        <v>ESCRITORIO</v>
      </c>
      <c r="F622" s="167" t="str">
        <f>VLOOKUP($A622,'030523 INVENTARIO'!$A$2:$Y$1148,6,FALSE)</f>
        <v>ESCRITORIO DE MADERA CON 2 CAJONES</v>
      </c>
      <c r="G622" s="167" t="str">
        <f ca="1">VLOOKUP($A622,'030523 INVENTARIO'!$A$2:$Y$1148,8,FALSE)</f>
        <v>P13IR-0621</v>
      </c>
      <c r="H622" s="168" t="str">
        <f>VLOOKUP($A622,'030523 INVENTARIO'!$A$2:$Y$1148,17,FALSE)</f>
        <v>S/M</v>
      </c>
      <c r="I622" s="167" t="str">
        <f>VLOOKUP($A622,'030523 INVENTARIO'!$A$2:$Y$1148,18,FALSE)</f>
        <v>S/M</v>
      </c>
      <c r="J622" s="168" t="str">
        <f>VLOOKUP($A622,'030523 INVENTARIO'!$A$2:$Y$1148,19,FALSE)</f>
        <v>SIN SERIE</v>
      </c>
      <c r="K622" s="168" t="str">
        <f>VLOOKUP($A622,'030523 INVENTARIO'!$A$2:$Y$1148,20,FALSE)</f>
        <v>82DI0511010006000649708</v>
      </c>
      <c r="L622" s="167" t="str">
        <f>VLOOKUP($A622,'030523 INVENTARIO'!$A$2:$Y$1148,23,FALSE)</f>
        <v>MARIBEL RAUDA BAÑUELOS</v>
      </c>
    </row>
    <row r="623" spans="1:12" ht="12.75" hidden="1">
      <c r="A623" s="167" t="str">
        <f>'030523 INVENTARIO'!A623</f>
        <v>0622</v>
      </c>
      <c r="B623" s="168" t="str">
        <f>'030523 INVENTARIO'!T623</f>
        <v>82DI0515010033000564654</v>
      </c>
      <c r="C623" s="167" t="str">
        <f t="shared" si="0"/>
        <v>564654</v>
      </c>
      <c r="D623" s="167" t="str">
        <f>IF(VLOOKUP(C623,'Patrimonio 2023'!$C$2:$C$1128,1,FALSE) = C623, "Encontrado", "no")</f>
        <v>Encontrado</v>
      </c>
      <c r="E623" s="167" t="str">
        <f>VLOOKUP($A623,'030523 INVENTARIO'!$A$2:$Y$1148,5,FALSE)</f>
        <v>COMPLEMENTARIO DE EQUIPO DE COMPUTO</v>
      </c>
      <c r="F623" s="168" t="str">
        <f>VLOOKUP($A623,'030523 INVENTARIO'!$A$2:$Y$1148,6,FALSE)</f>
        <v>COMPLEMENTO DE EQUIPO DE MADERA</v>
      </c>
      <c r="G623" s="167" t="str">
        <f ca="1">VLOOKUP($A623,'030523 INVENTARIO'!$A$2:$Y$1148,8,FALSE)</f>
        <v>P13IR-0622</v>
      </c>
      <c r="H623" s="168" t="str">
        <f>VLOOKUP($A623,'030523 INVENTARIO'!$A$2:$Y$1148,17,FALSE)</f>
        <v>S/M</v>
      </c>
      <c r="I623" s="167" t="str">
        <f>VLOOKUP($A623,'030523 INVENTARIO'!$A$2:$Y$1148,18,FALSE)</f>
        <v>S/M</v>
      </c>
      <c r="J623" s="168" t="str">
        <f>VLOOKUP($A623,'030523 INVENTARIO'!$A$2:$Y$1148,19,FALSE)</f>
        <v>SIN SERIE</v>
      </c>
      <c r="K623" s="168" t="str">
        <f>VLOOKUP($A623,'030523 INVENTARIO'!$A$2:$Y$1148,20,FALSE)</f>
        <v>82DI0515010033000564654</v>
      </c>
      <c r="L623" s="167" t="str">
        <f>VLOOKUP($A623,'030523 INVENTARIO'!$A$2:$Y$1148,23,FALSE)</f>
        <v>MARIBEL RAUDA BAÑUELOS</v>
      </c>
    </row>
    <row r="624" spans="1:12" ht="12.75" hidden="1">
      <c r="A624" s="167" t="str">
        <f>'030523 INVENTARIO'!A624</f>
        <v>0623</v>
      </c>
      <c r="B624" s="168" t="str">
        <f>'030523 INVENTARIO'!T624</f>
        <v>82DI0515010016000649421</v>
      </c>
      <c r="C624" s="167" t="str">
        <f t="shared" si="0"/>
        <v>649421</v>
      </c>
      <c r="D624" s="167" t="str">
        <f>IF(VLOOKUP(C624,'Patrimonio 2023'!$C$2:$C$1128,1,FALSE) = C624, "Encontrado", "no")</f>
        <v>Encontrado</v>
      </c>
      <c r="E624" s="167" t="str">
        <f>VLOOKUP($A624,'030523 INVENTARIO'!$A$2:$Y$1148,5,FALSE)</f>
        <v>NO BREAK</v>
      </c>
      <c r="F624" s="168" t="str">
        <f>VLOOKUP($A624,'030523 INVENTARIO'!$A$2:$Y$1148,6,FALSE)</f>
        <v>NO BREAK NEGRO</v>
      </c>
      <c r="G624" s="167" t="str">
        <f ca="1">VLOOKUP($A624,'030523 INVENTARIO'!$A$2:$Y$1148,8,FALSE)</f>
        <v>P13IR-0623</v>
      </c>
      <c r="H624" s="168" t="str">
        <f>VLOOKUP($A624,'030523 INVENTARIO'!$A$2:$Y$1148,17,FALSE)</f>
        <v>FORZA</v>
      </c>
      <c r="I624" s="167" t="str">
        <f>VLOOKUP($A624,'030523 INVENTARIO'!$A$2:$Y$1148,18,FALSE)</f>
        <v>NT751</v>
      </c>
      <c r="J624" s="168" t="str">
        <f>VLOOKUP($A624,'030523 INVENTARIO'!$A$2:$Y$1148,19,FALSE)</f>
        <v>190522502048</v>
      </c>
      <c r="K624" s="168" t="str">
        <f>VLOOKUP($A624,'030523 INVENTARIO'!$A$2:$Y$1148,20,FALSE)</f>
        <v>82DI0515010016000649421</v>
      </c>
      <c r="L624" s="167" t="str">
        <f>VLOOKUP($A624,'030523 INVENTARIO'!$A$2:$Y$1148,23,FALSE)</f>
        <v>MARIBEL RAUDA BAÑUELOS</v>
      </c>
    </row>
    <row r="625" spans="1:12" ht="12.75" hidden="1">
      <c r="A625" s="167" t="str">
        <f>'030523 INVENTARIO'!A625</f>
        <v>0624</v>
      </c>
      <c r="B625" s="167" t="str">
        <f>'030523 INVENTARIO'!T625</f>
        <v>SIN RESGUARDO</v>
      </c>
      <c r="C625" s="167" t="str">
        <f t="shared" si="0"/>
        <v/>
      </c>
      <c r="D625" s="167" t="e">
        <f>IF(VLOOKUP(C625,'Patrimonio 2023'!$C$2:$C$1128,1,FALSE) = C625, "Encontrado", "no")</f>
        <v>#N/A</v>
      </c>
      <c r="E625" s="167" t="str">
        <f>VLOOKUP($A625,'030523 INVENTARIO'!$A$2:$Y$1148,5,FALSE)</f>
        <v>COMPUTADORA DE ESCRITORIO</v>
      </c>
      <c r="F625" s="167" t="str">
        <f>VLOOKUP($A625,'030523 INVENTARIO'!$A$2:$Y$1148,6,FALSE)</f>
        <v>COMPUTADORA DE ESCRITORIO</v>
      </c>
      <c r="G625" s="167" t="str">
        <f ca="1">VLOOKUP($A625,'030523 INVENTARIO'!$A$2:$Y$1148,8,FALSE)</f>
        <v>P13IR-0624</v>
      </c>
      <c r="H625" s="168" t="str">
        <f>VLOOKUP($A625,'030523 INVENTARIO'!$A$2:$Y$1148,17,FALSE)</f>
        <v>ACTECK</v>
      </c>
      <c r="I625" s="167" t="str">
        <f>VLOOKUP($A625,'030523 INVENTARIO'!$A$2:$Y$1148,18,FALSE)</f>
        <v>LINX</v>
      </c>
      <c r="J625" s="167">
        <f>VLOOKUP($A625,'030523 INVENTARIO'!$A$2:$Y$1148,19,FALSE)</f>
        <v>11392903012343</v>
      </c>
      <c r="K625" s="167" t="str">
        <f>VLOOKUP($A625,'030523 INVENTARIO'!$A$2:$Y$1148,20,FALSE)</f>
        <v>SIN RESGUARDO</v>
      </c>
      <c r="L625" s="167" t="str">
        <f>VLOOKUP($A625,'030523 INVENTARIO'!$A$2:$Y$1148,23,FALSE)</f>
        <v>MARIBEL RAUDA BAÑUELOS</v>
      </c>
    </row>
    <row r="626" spans="1:12" ht="12.75" hidden="1">
      <c r="A626" s="167" t="str">
        <f>'030523 INVENTARIO'!A626</f>
        <v>0625</v>
      </c>
      <c r="B626" s="167" t="str">
        <f>'030523 INVENTARIO'!T626</f>
        <v>SIN RESGUARDO</v>
      </c>
      <c r="C626" s="167" t="str">
        <f t="shared" si="0"/>
        <v/>
      </c>
      <c r="D626" s="167" t="e">
        <f>IF(VLOOKUP(C626,'Patrimonio 2023'!$C$2:$C$1128,1,FALSE) = C626, "Encontrado", "no")</f>
        <v>#N/A</v>
      </c>
      <c r="E626" s="167" t="str">
        <f>VLOOKUP($A626,'030523 INVENTARIO'!$A$2:$Y$1148,5,FALSE)</f>
        <v>MONITOR</v>
      </c>
      <c r="F626" s="167" t="str">
        <f>VLOOKUP($A626,'030523 INVENTARIO'!$A$2:$Y$1148,6,FALSE)</f>
        <v>MONITOR 21"</v>
      </c>
      <c r="G626" s="167" t="str">
        <f ca="1">VLOOKUP($A626,'030523 INVENTARIO'!$A$2:$Y$1148,8,FALSE)</f>
        <v>P13IR-0625</v>
      </c>
      <c r="H626" s="168" t="str">
        <f>VLOOKUP($A626,'030523 INVENTARIO'!$A$2:$Y$1148,17,FALSE)</f>
        <v>ACER</v>
      </c>
      <c r="I626" s="167" t="str">
        <f>VLOOKUP($A626,'030523 INVENTARIO'!$A$2:$Y$1148,18,FALSE)</f>
        <v>V226HQL</v>
      </c>
      <c r="J626" s="167" t="str">
        <f>VLOOKUP($A626,'030523 INVENTARIO'!$A$2:$Y$1148,19,FALSE)</f>
        <v>MMTASAA007052054753P00</v>
      </c>
      <c r="K626" s="167" t="str">
        <f>VLOOKUP($A626,'030523 INVENTARIO'!$A$2:$Y$1148,20,FALSE)</f>
        <v>SIN RESGUARDO</v>
      </c>
      <c r="L626" s="167" t="str">
        <f>VLOOKUP($A626,'030523 INVENTARIO'!$A$2:$Y$1148,23,FALSE)</f>
        <v>MARIBEL RAUDA BAÑUELOS</v>
      </c>
    </row>
    <row r="627" spans="1:12" ht="12.75" hidden="1">
      <c r="A627" s="167" t="str">
        <f>'030523 INVENTARIO'!A627</f>
        <v>0626</v>
      </c>
      <c r="B627" s="168" t="str">
        <f>'030523 INVENTARIO'!T627</f>
        <v>82DI0531010065000564881</v>
      </c>
      <c r="C627" s="167" t="str">
        <f t="shared" si="0"/>
        <v>564881</v>
      </c>
      <c r="D627" s="167" t="str">
        <f>IF(VLOOKUP(C627,'Patrimonio 2023'!$C$2:$C$1128,1,FALSE) = C627, "Encontrado", "no")</f>
        <v>Encontrado</v>
      </c>
      <c r="E627" s="167" t="str">
        <f>VLOOKUP($A627,'030523 INVENTARIO'!$A$2:$Y$1148,5,FALSE)</f>
        <v>MESA</v>
      </c>
      <c r="F627" s="167" t="str">
        <f>VLOOKUP($A627,'030523 INVENTARIO'!$A$2:$Y$1148,6,FALSE)</f>
        <v>MESA DE MADERA COMPLEMENTO 160X60</v>
      </c>
      <c r="G627" s="167" t="str">
        <f ca="1">VLOOKUP($A627,'030523 INVENTARIO'!$A$2:$Y$1148,8,FALSE)</f>
        <v>P13LP-0626</v>
      </c>
      <c r="H627" s="168" t="str">
        <f>VLOOKUP($A627,'030523 INVENTARIO'!$A$2:$Y$1148,17,FALSE)</f>
        <v>S/M</v>
      </c>
      <c r="I627" s="167" t="str">
        <f>VLOOKUP($A627,'030523 INVENTARIO'!$A$2:$Y$1148,18,FALSE)</f>
        <v>S/M</v>
      </c>
      <c r="J627" s="168" t="str">
        <f>VLOOKUP($A627,'030523 INVENTARIO'!$A$2:$Y$1148,19,FALSE)</f>
        <v>SIN SERIE</v>
      </c>
      <c r="K627" s="168" t="str">
        <f>VLOOKUP($A627,'030523 INVENTARIO'!$A$2:$Y$1148,20,FALSE)</f>
        <v>82DI0531010065000564881</v>
      </c>
      <c r="L627" s="167" t="str">
        <f>VLOOKUP($A627,'030523 INVENTARIO'!$A$2:$Y$1148,23,FALSE)</f>
        <v>VIRGINIA RAMOS CEJA</v>
      </c>
    </row>
    <row r="628" spans="1:12" ht="12.75" hidden="1">
      <c r="A628" s="167" t="str">
        <f>'030523 INVENTARIO'!A628</f>
        <v>0627</v>
      </c>
      <c r="B628" s="167" t="str">
        <f>'030523 INVENTARIO'!T628</f>
        <v>SIN RESGUARDO</v>
      </c>
      <c r="C628" s="167" t="str">
        <f t="shared" si="0"/>
        <v/>
      </c>
      <c r="D628" s="167" t="e">
        <f>IF(VLOOKUP(C628,'Patrimonio 2023'!$C$2:$C$1128,1,FALSE) = C628, "Encontrado", "no")</f>
        <v>#N/A</v>
      </c>
      <c r="E628" s="167" t="str">
        <f>VLOOKUP($A628,'030523 INVENTARIO'!$A$2:$Y$1148,5,FALSE)</f>
        <v>MESA</v>
      </c>
      <c r="F628" s="167" t="str">
        <f>VLOOKUP($A628,'030523 INVENTARIO'!$A$2:$Y$1148,6,FALSE)</f>
        <v>MESA DE MADERA CON BASE DE METAL 120X40</v>
      </c>
      <c r="G628" s="167" t="str">
        <f ca="1">VLOOKUP($A628,'030523 INVENTARIO'!$A$2:$Y$1148,8,FALSE)</f>
        <v>P13LP-0627</v>
      </c>
      <c r="H628" s="168" t="str">
        <f>VLOOKUP($A628,'030523 INVENTARIO'!$A$2:$Y$1148,17,FALSE)</f>
        <v>S/M</v>
      </c>
      <c r="I628" s="167" t="str">
        <f>VLOOKUP($A628,'030523 INVENTARIO'!$A$2:$Y$1148,18,FALSE)</f>
        <v>S/M</v>
      </c>
      <c r="J628" s="167" t="str">
        <f>VLOOKUP($A628,'030523 INVENTARIO'!$A$2:$Y$1148,19,FALSE)</f>
        <v>SIN SERIE</v>
      </c>
      <c r="K628" s="167" t="str">
        <f>VLOOKUP($A628,'030523 INVENTARIO'!$A$2:$Y$1148,20,FALSE)</f>
        <v>SIN RESGUARDO</v>
      </c>
      <c r="L628" s="167" t="str">
        <f>VLOOKUP($A628,'030523 INVENTARIO'!$A$2:$Y$1148,23,FALSE)</f>
        <v>VIRGINIA RAMOS CEJA</v>
      </c>
    </row>
    <row r="629" spans="1:12" ht="12.75" hidden="1">
      <c r="A629" s="167" t="str">
        <f>'030523 INVENTARIO'!A629</f>
        <v>0628</v>
      </c>
      <c r="B629" s="168" t="str">
        <f>'030523 INVENTARIO'!T629</f>
        <v>82DI0531010065000564844</v>
      </c>
      <c r="C629" s="167" t="str">
        <f t="shared" si="0"/>
        <v>564844</v>
      </c>
      <c r="D629" s="167" t="str">
        <f>IF(VLOOKUP(C629,'Patrimonio 2023'!$C$2:$C$1128,1,FALSE) = C629, "Encontrado", "no")</f>
        <v>Encontrado</v>
      </c>
      <c r="E629" s="167" t="str">
        <f>VLOOKUP($A629,'030523 INVENTARIO'!$A$2:$Y$1148,5,FALSE)</f>
        <v>MESA</v>
      </c>
      <c r="F629" s="167" t="str">
        <f>VLOOKUP($A629,'030523 INVENTARIO'!$A$2:$Y$1148,6,FALSE)</f>
        <v>MESA DE MADERA CON BASE DE METAL 40X40</v>
      </c>
      <c r="G629" s="167" t="str">
        <f ca="1">VLOOKUP($A629,'030523 INVENTARIO'!$A$2:$Y$1148,8,FALSE)</f>
        <v>P13IR-0628</v>
      </c>
      <c r="H629" s="168" t="str">
        <f>VLOOKUP($A629,'030523 INVENTARIO'!$A$2:$Y$1148,17,FALSE)</f>
        <v>S/M</v>
      </c>
      <c r="I629" s="167" t="str">
        <f>VLOOKUP($A629,'030523 INVENTARIO'!$A$2:$Y$1148,18,FALSE)</f>
        <v>S/M</v>
      </c>
      <c r="J629" s="168" t="str">
        <f>VLOOKUP($A629,'030523 INVENTARIO'!$A$2:$Y$1148,19,FALSE)</f>
        <v>SIN SERIE</v>
      </c>
      <c r="K629" s="168" t="str">
        <f>VLOOKUP($A629,'030523 INVENTARIO'!$A$2:$Y$1148,20,FALSE)</f>
        <v>82DI0531010065000564844</v>
      </c>
      <c r="L629" s="167" t="str">
        <f>VLOOKUP($A629,'030523 INVENTARIO'!$A$2:$Y$1148,23,FALSE)</f>
        <v>MARIBEL RAUDA BAÑUELOS</v>
      </c>
    </row>
    <row r="630" spans="1:12" ht="12.75" hidden="1">
      <c r="A630" s="167" t="str">
        <f>'030523 INVENTARIO'!A630</f>
        <v>0629</v>
      </c>
      <c r="B630" s="168" t="str">
        <f>'030523 INVENTARIO'!T630</f>
        <v>82DI0511010006000649563</v>
      </c>
      <c r="C630" s="167" t="str">
        <f t="shared" si="0"/>
        <v>649563</v>
      </c>
      <c r="D630" s="167" t="str">
        <f>IF(VLOOKUP(C630,'Patrimonio 2023'!$C$2:$C$1128,1,FALSE) = C630, "Encontrado", "no")</f>
        <v>Encontrado</v>
      </c>
      <c r="E630" s="167" t="str">
        <f>VLOOKUP($A630,'030523 INVENTARIO'!$A$2:$Y$1148,5,FALSE)</f>
        <v>ESCRITORIO</v>
      </c>
      <c r="F630" s="167" t="str">
        <f>VLOOKUP($A630,'030523 INVENTARIO'!$A$2:$Y$1148,6,FALSE)</f>
        <v>ESCRITORIO DE MADERA  DE 2 CAJONES</v>
      </c>
      <c r="G630" s="167" t="str">
        <f ca="1">VLOOKUP($A630,'030523 INVENTARIO'!$A$2:$Y$1148,8,FALSE)</f>
        <v>P13LP-0629</v>
      </c>
      <c r="H630" s="168" t="str">
        <f>VLOOKUP($A630,'030523 INVENTARIO'!$A$2:$Y$1148,17,FALSE)</f>
        <v>S/M</v>
      </c>
      <c r="I630" s="167" t="str">
        <f>VLOOKUP($A630,'030523 INVENTARIO'!$A$2:$Y$1148,18,FALSE)</f>
        <v>S/M</v>
      </c>
      <c r="J630" s="168" t="str">
        <f>VLOOKUP($A630,'030523 INVENTARIO'!$A$2:$Y$1148,19,FALSE)</f>
        <v>SIN SERIE</v>
      </c>
      <c r="K630" s="168" t="str">
        <f>VLOOKUP($A630,'030523 INVENTARIO'!$A$2:$Y$1148,20,FALSE)</f>
        <v>82DI0511010006000649563</v>
      </c>
      <c r="L630" s="167" t="str">
        <f>VLOOKUP($A630,'030523 INVENTARIO'!$A$2:$Y$1148,23,FALSE)</f>
        <v>VIRGINIA RAMOS CEJA</v>
      </c>
    </row>
    <row r="631" spans="1:12" ht="12.75" hidden="1">
      <c r="A631" s="167" t="str">
        <f>'030523 INVENTARIO'!A631</f>
        <v>0630</v>
      </c>
      <c r="B631" s="168" t="str">
        <f>'030523 INVENTARIO'!T631</f>
        <v>82DI0511010027000649560</v>
      </c>
      <c r="C631" s="167" t="str">
        <f t="shared" si="0"/>
        <v>649560</v>
      </c>
      <c r="D631" s="167" t="str">
        <f>IF(VLOOKUP(C631,'Patrimonio 2023'!$C$2:$C$1128,1,FALSE) = C631, "Encontrado", "no")</f>
        <v>Encontrado</v>
      </c>
      <c r="E631" s="167" t="str">
        <f>VLOOKUP($A631,'030523 INVENTARIO'!$A$2:$Y$1148,5,FALSE)</f>
        <v>COMPLEMENTARIO DE EQUIPO DE COMPUTO</v>
      </c>
      <c r="F631" s="168" t="str">
        <f>VLOOKUP($A631,'030523 INVENTARIO'!$A$2:$Y$1148,6,FALSE)</f>
        <v>COMPLEMENTO DE EQUIPO DE MADERA</v>
      </c>
      <c r="G631" s="167" t="str">
        <f ca="1">VLOOKUP($A631,'030523 INVENTARIO'!$A$2:$Y$1148,8,FALSE)</f>
        <v>P13LP-0630</v>
      </c>
      <c r="H631" s="168" t="str">
        <f>VLOOKUP($A631,'030523 INVENTARIO'!$A$2:$Y$1148,17,FALSE)</f>
        <v>S/M</v>
      </c>
      <c r="I631" s="167" t="str">
        <f>VLOOKUP($A631,'030523 INVENTARIO'!$A$2:$Y$1148,18,FALSE)</f>
        <v>S/M</v>
      </c>
      <c r="J631" s="168" t="str">
        <f>VLOOKUP($A631,'030523 INVENTARIO'!$A$2:$Y$1148,19,FALSE)</f>
        <v>SIN SERIE</v>
      </c>
      <c r="K631" s="168" t="str">
        <f>VLOOKUP($A631,'030523 INVENTARIO'!$A$2:$Y$1148,20,FALSE)</f>
        <v>82DI0511010027000649560</v>
      </c>
      <c r="L631" s="167" t="str">
        <f>VLOOKUP($A631,'030523 INVENTARIO'!$A$2:$Y$1148,23,FALSE)</f>
        <v>VIRGINIA RAMOS CEJA</v>
      </c>
    </row>
    <row r="632" spans="1:12" ht="12.75" hidden="1">
      <c r="A632" s="167" t="str">
        <f>'030523 INVENTARIO'!A632</f>
        <v>0631</v>
      </c>
      <c r="B632" s="168" t="str">
        <f>'030523 INVENTARIO'!T632</f>
        <v>82DI0511010017000649561</v>
      </c>
      <c r="C632" s="167" t="str">
        <f t="shared" si="0"/>
        <v>649561</v>
      </c>
      <c r="D632" s="167" t="str">
        <f>IF(VLOOKUP(C632,'Patrimonio 2023'!$C$2:$C$1128,1,FALSE) = C632, "Encontrado", "no")</f>
        <v>Encontrado</v>
      </c>
      <c r="E632" s="167" t="str">
        <f>VLOOKUP($A632,'030523 INVENTARIO'!$A$2:$Y$1148,5,FALSE)</f>
        <v>SILLA</v>
      </c>
      <c r="F632" s="168" t="str">
        <f>VLOOKUP($A632,'030523 INVENTARIO'!$A$2:$Y$1148,6,FALSE)</f>
        <v>SILLA NEGRA CON RUEDAS</v>
      </c>
      <c r="G632" s="167" t="str">
        <f ca="1">VLOOKUP($A632,'030523 INVENTARIO'!$A$2:$Y$1148,8,FALSE)</f>
        <v>P13IR-0631</v>
      </c>
      <c r="H632" s="168" t="str">
        <f>VLOOKUP($A632,'030523 INVENTARIO'!$A$2:$Y$1148,17,FALSE)</f>
        <v>S/M</v>
      </c>
      <c r="I632" s="167" t="str">
        <f>VLOOKUP($A632,'030523 INVENTARIO'!$A$2:$Y$1148,18,FALSE)</f>
        <v>S/M</v>
      </c>
      <c r="J632" s="168" t="str">
        <f>VLOOKUP($A632,'030523 INVENTARIO'!$A$2:$Y$1148,19,FALSE)</f>
        <v>SIN SERIE</v>
      </c>
      <c r="K632" s="168" t="str">
        <f>VLOOKUP($A632,'030523 INVENTARIO'!$A$2:$Y$1148,20,FALSE)</f>
        <v>82DI0511010017000649561</v>
      </c>
      <c r="L632" s="167" t="str">
        <f>VLOOKUP($A632,'030523 INVENTARIO'!$A$2:$Y$1148,23,FALSE)</f>
        <v>OBED BORJA GARCIA</v>
      </c>
    </row>
    <row r="633" spans="1:12" ht="12.75" hidden="1">
      <c r="A633" s="167" t="str">
        <f>'030523 INVENTARIO'!A633</f>
        <v>0632</v>
      </c>
      <c r="B633" s="168" t="str">
        <f>'030523 INVENTARIO'!T633</f>
        <v>82DI0515010016000649422</v>
      </c>
      <c r="C633" s="167" t="str">
        <f t="shared" si="0"/>
        <v>649422</v>
      </c>
      <c r="D633" s="167" t="str">
        <f>IF(VLOOKUP(C633,'Patrimonio 2023'!$C$2:$C$1128,1,FALSE) = C633, "Encontrado", "no")</f>
        <v>Encontrado</v>
      </c>
      <c r="E633" s="167" t="str">
        <f>VLOOKUP($A633,'030523 INVENTARIO'!$A$2:$Y$1148,5,FALSE)</f>
        <v>NO BREAK</v>
      </c>
      <c r="F633" s="168" t="str">
        <f>VLOOKUP($A633,'030523 INVENTARIO'!$A$2:$Y$1148,6,FALSE)</f>
        <v>NO BREAK NEGRO</v>
      </c>
      <c r="G633" s="167" t="str">
        <f ca="1">VLOOKUP($A633,'030523 INVENTARIO'!$A$2:$Y$1148,8,FALSE)</f>
        <v>P13LP-0632</v>
      </c>
      <c r="H633" s="168" t="str">
        <f>VLOOKUP($A633,'030523 INVENTARIO'!$A$2:$Y$1148,17,FALSE)</f>
        <v>FORZA</v>
      </c>
      <c r="I633" s="167" t="str">
        <f>VLOOKUP($A633,'030523 INVENTARIO'!$A$2:$Y$1148,18,FALSE)</f>
        <v>NT751</v>
      </c>
      <c r="J633" s="168" t="str">
        <f>VLOOKUP($A633,'030523 INVENTARIO'!$A$2:$Y$1148,19,FALSE)</f>
        <v>190522502045</v>
      </c>
      <c r="K633" s="168" t="str">
        <f>VLOOKUP($A633,'030523 INVENTARIO'!$A$2:$Y$1148,20,FALSE)</f>
        <v>82DI0515010016000649422</v>
      </c>
      <c r="L633" s="167" t="str">
        <f>VLOOKUP($A633,'030523 INVENTARIO'!$A$2:$Y$1148,23,FALSE)</f>
        <v>VIRGINIA RAMOS CEJA</v>
      </c>
    </row>
    <row r="634" spans="1:12" ht="12.75" hidden="1">
      <c r="A634" s="167" t="str">
        <f>'030523 INVENTARIO'!A634</f>
        <v>0633</v>
      </c>
      <c r="B634" s="167" t="str">
        <f>'030523 INVENTARIO'!T634</f>
        <v>SIN RESGUARDO</v>
      </c>
      <c r="C634" s="167" t="str">
        <f t="shared" si="0"/>
        <v/>
      </c>
      <c r="D634" s="167" t="e">
        <f>IF(VLOOKUP(C634,'Patrimonio 2023'!$C$2:$C$1128,1,FALSE) = C634, "Encontrado", "no")</f>
        <v>#N/A</v>
      </c>
      <c r="E634" s="167" t="str">
        <f>VLOOKUP($A634,'030523 INVENTARIO'!$A$2:$Y$1148,5,FALSE)</f>
        <v>COMPUTADORA DE ESCRITORIO</v>
      </c>
      <c r="F634" s="167" t="str">
        <f>VLOOKUP($A634,'030523 INVENTARIO'!$A$2:$Y$1148,6,FALSE)</f>
        <v>COMPUTADORA DE ESCRITORIO</v>
      </c>
      <c r="G634" s="167" t="str">
        <f ca="1">VLOOKUP($A634,'030523 INVENTARIO'!$A$2:$Y$1148,8,FALSE)</f>
        <v>P13LP-0633</v>
      </c>
      <c r="H634" s="168" t="str">
        <f>VLOOKUP($A634,'030523 INVENTARIO'!$A$2:$Y$1148,17,FALSE)</f>
        <v>ACTECK</v>
      </c>
      <c r="I634" s="167" t="str">
        <f>VLOOKUP($A634,'030523 INVENTARIO'!$A$2:$Y$1148,18,FALSE)</f>
        <v>LINX</v>
      </c>
      <c r="J634" s="167">
        <f>VLOOKUP($A634,'030523 INVENTARIO'!$A$2:$Y$1148,19,FALSE)</f>
        <v>11392903014920</v>
      </c>
      <c r="K634" s="167" t="str">
        <f>VLOOKUP($A634,'030523 INVENTARIO'!$A$2:$Y$1148,20,FALSE)</f>
        <v>SIN RESGUARDO</v>
      </c>
      <c r="L634" s="167" t="str">
        <f>VLOOKUP($A634,'030523 INVENTARIO'!$A$2:$Y$1148,23,FALSE)</f>
        <v>VIRGINIA RAMOS CEJA</v>
      </c>
    </row>
    <row r="635" spans="1:12" ht="12.75" hidden="1">
      <c r="A635" s="167" t="str">
        <f>'030523 INVENTARIO'!A635</f>
        <v>0634</v>
      </c>
      <c r="B635" s="167" t="str">
        <f>'030523 INVENTARIO'!T635</f>
        <v>SIN RESGUARDO</v>
      </c>
      <c r="C635" s="167" t="str">
        <f t="shared" si="0"/>
        <v/>
      </c>
      <c r="D635" s="167" t="e">
        <f>IF(VLOOKUP(C635,'Patrimonio 2023'!$C$2:$C$1128,1,FALSE) = C635, "Encontrado", "no")</f>
        <v>#N/A</v>
      </c>
      <c r="E635" s="167" t="str">
        <f>VLOOKUP($A635,'030523 INVENTARIO'!$A$2:$Y$1148,5,FALSE)</f>
        <v>MONITOR</v>
      </c>
      <c r="F635" s="167" t="str">
        <f>VLOOKUP($A635,'030523 INVENTARIO'!$A$2:$Y$1148,6,FALSE)</f>
        <v>MONITOR 21"</v>
      </c>
      <c r="G635" s="167" t="str">
        <f ca="1">VLOOKUP($A635,'030523 INVENTARIO'!$A$2:$Y$1148,8,FALSE)</f>
        <v>P13LP-0634</v>
      </c>
      <c r="H635" s="168" t="str">
        <f>VLOOKUP($A635,'030523 INVENTARIO'!$A$2:$Y$1148,17,FALSE)</f>
        <v>ACER</v>
      </c>
      <c r="I635" s="167" t="str">
        <f>VLOOKUP($A635,'030523 INVENTARIO'!$A$2:$Y$1148,18,FALSE)</f>
        <v>V226HQL</v>
      </c>
      <c r="J635" s="167" t="str">
        <f>VLOOKUP($A635,'030523 INVENTARIO'!$A$2:$Y$1148,19,FALSE)</f>
        <v>MMTASAA007109004B63P00</v>
      </c>
      <c r="K635" s="167" t="str">
        <f>VLOOKUP($A635,'030523 INVENTARIO'!$A$2:$Y$1148,20,FALSE)</f>
        <v>SIN RESGUARDO</v>
      </c>
      <c r="L635" s="167" t="str">
        <f>VLOOKUP($A635,'030523 INVENTARIO'!$A$2:$Y$1148,23,FALSE)</f>
        <v>VIRGINIA RAMOS CEJA</v>
      </c>
    </row>
    <row r="636" spans="1:12" ht="12.75" hidden="1">
      <c r="A636" s="167" t="str">
        <f>'030523 INVENTARIO'!A636</f>
        <v>0635</v>
      </c>
      <c r="B636" s="168" t="str">
        <f>'030523 INVENTARIO'!T636</f>
        <v>82DJ0531010065000564788</v>
      </c>
      <c r="C636" s="167" t="str">
        <f t="shared" si="0"/>
        <v>564788</v>
      </c>
      <c r="D636" s="167" t="str">
        <f>IF(VLOOKUP(C636,'Patrimonio 2023'!$C$2:$C$1128,1,FALSE) = C636, "Encontrado", "no")</f>
        <v>Encontrado</v>
      </c>
      <c r="E636" s="167" t="str">
        <f>VLOOKUP($A636,'030523 INVENTARIO'!$A$2:$Y$1148,5,FALSE)</f>
        <v>ESCRITORIO</v>
      </c>
      <c r="F636" s="167" t="str">
        <f>VLOOKUP($A636,'030523 INVENTARIO'!$A$2:$Y$1148,6,FALSE)</f>
        <v>MESA DE MADERA COMPLEMENTO</v>
      </c>
      <c r="G636" s="167" t="str">
        <f ca="1">VLOOKUP($A636,'030523 INVENTARIO'!$A$2:$Y$1148,8,FALSE)</f>
        <v>P24CA-0635</v>
      </c>
      <c r="H636" s="168" t="str">
        <f>VLOOKUP($A636,'030523 INVENTARIO'!$A$2:$Y$1148,17,FALSE)</f>
        <v>S/M</v>
      </c>
      <c r="I636" s="167" t="str">
        <f>VLOOKUP($A636,'030523 INVENTARIO'!$A$2:$Y$1148,18,FALSE)</f>
        <v>S/M</v>
      </c>
      <c r="J636" s="168" t="str">
        <f>VLOOKUP($A636,'030523 INVENTARIO'!$A$2:$Y$1148,19,FALSE)</f>
        <v>SIN SERIE</v>
      </c>
      <c r="K636" s="168" t="str">
        <f>VLOOKUP($A636,'030523 INVENTARIO'!$A$2:$Y$1148,20,FALSE)</f>
        <v>82DJ0531010065000564788</v>
      </c>
      <c r="L636" s="167" t="str">
        <f>VLOOKUP($A636,'030523 INVENTARIO'!$A$2:$Y$1148,23,FALSE)</f>
        <v>HECTOR MANZO SILVA</v>
      </c>
    </row>
    <row r="637" spans="1:12" ht="12.75" hidden="1">
      <c r="A637" s="167" t="str">
        <f>'030523 INVENTARIO'!A637</f>
        <v>0636</v>
      </c>
      <c r="B637" s="167" t="str">
        <f>'030523 INVENTARIO'!T637</f>
        <v>82DJ05150100160005390646</v>
      </c>
      <c r="C637" s="167" t="str">
        <f t="shared" si="0"/>
        <v>539064</v>
      </c>
      <c r="D637" s="167" t="str">
        <f>IF(VLOOKUP(C637,'Patrimonio 2023'!$C$2:$C$1128,1,FALSE) = C637, "Encontrado", "no")</f>
        <v>Encontrado</v>
      </c>
      <c r="E637" s="167" t="str">
        <f>VLOOKUP($A637,'030523 INVENTARIO'!$A$2:$Y$1148,5,FALSE)</f>
        <v>NO BREAK</v>
      </c>
      <c r="F637" s="168" t="str">
        <f>VLOOKUP($A637,'030523 INVENTARIO'!$A$2:$Y$1148,6,FALSE)</f>
        <v>NO BREAK</v>
      </c>
      <c r="G637" s="167" t="str">
        <f ca="1">VLOOKUP($A637,'030523 INVENTARIO'!$A$2:$Y$1148,8,FALSE)</f>
        <v>P13SO-0636</v>
      </c>
      <c r="H637" s="168" t="str">
        <f>VLOOKUP($A637,'030523 INVENTARIO'!$A$2:$Y$1148,17,FALSE)</f>
        <v>TRIPP LITE</v>
      </c>
      <c r="I637" s="167" t="str">
        <f>VLOOKUP($A637,'030523 INVENTARIO'!$A$2:$Y$1148,18,FALSE)</f>
        <v>INTERNET550U</v>
      </c>
      <c r="J637" s="168" t="str">
        <f>VLOOKUP($A637,'030523 INVENTARIO'!$A$2:$Y$1148,19,FALSE)</f>
        <v>9730CY0BC575600686</v>
      </c>
      <c r="K637" s="167" t="str">
        <f>VLOOKUP($A637,'030523 INVENTARIO'!$A$2:$Y$1148,20,FALSE)</f>
        <v>82DJ05150100160005390646</v>
      </c>
      <c r="L637" s="167" t="str">
        <f>VLOOKUP($A637,'030523 INVENTARIO'!$A$2:$Y$1148,23,FALSE)</f>
        <v>ANA BERTHA ORTIZ VILLEGAS</v>
      </c>
    </row>
    <row r="638" spans="1:12" ht="12.75">
      <c r="A638" s="167" t="str">
        <f>'030523 INVENTARIO'!A638</f>
        <v>0637</v>
      </c>
      <c r="B638" s="167" t="str">
        <f>'030523 INVENTARIO'!T638</f>
        <v>82DI0515010001000539009</v>
      </c>
      <c r="C638" s="167" t="str">
        <f t="shared" si="0"/>
        <v>539009</v>
      </c>
      <c r="D638" s="167" t="e">
        <f>IF(VLOOKUP(C638,'Patrimonio 2023'!$C$2:$C$1128,1,FALSE) = C638, "Encontrado", "no")</f>
        <v>#N/A</v>
      </c>
      <c r="E638" s="167" t="str">
        <f>VLOOKUP($A638,'030523 INVENTARIO'!$A$2:$Y$1148,5,FALSE)</f>
        <v>COMPUTADORA DE ESCRITORIO</v>
      </c>
      <c r="F638" s="168" t="str">
        <f>VLOOKUP($A638,'030523 INVENTARIO'!$A$2:$Y$1148,6,FALSE)</f>
        <v>COMPUTADORA NEGRA</v>
      </c>
      <c r="G638" s="167" t="str">
        <f ca="1">VLOOKUP($A638,'030523 INVENTARIO'!$A$2:$Y$1148,8,FALSE)</f>
        <v>P13LP-0637</v>
      </c>
      <c r="H638" s="168" t="str">
        <f>VLOOKUP($A638,'030523 INVENTARIO'!$A$2:$Y$1148,17,FALSE)</f>
        <v>HP</v>
      </c>
      <c r="I638" s="167" t="str">
        <f>VLOOKUP($A638,'030523 INVENTARIO'!$A$2:$Y$1148,18,FALSE)</f>
        <v>DC7800</v>
      </c>
      <c r="J638" s="168" t="str">
        <f>VLOOKUP($A638,'030523 INVENTARIO'!$A$2:$Y$1148,19,FALSE)</f>
        <v>MXJ819034O</v>
      </c>
      <c r="K638" s="167" t="str">
        <f>VLOOKUP($A638,'030523 INVENTARIO'!$A$2:$Y$1148,20,FALSE)</f>
        <v>82DI0515010001000539009</v>
      </c>
      <c r="L638" s="167" t="str">
        <f>VLOOKUP($A638,'030523 INVENTARIO'!$A$2:$Y$1148,23,FALSE)</f>
        <v>BELEN LIZETH CORTES GAONA</v>
      </c>
    </row>
    <row r="639" spans="1:12" ht="12.75" hidden="1">
      <c r="A639" s="167" t="str">
        <f>'030523 INVENTARIO'!A639</f>
        <v>0638</v>
      </c>
      <c r="B639" s="168" t="str">
        <f>'030523 INVENTARIO'!T639</f>
        <v>82DI0565010041000543587</v>
      </c>
      <c r="C639" s="167" t="str">
        <f t="shared" si="0"/>
        <v>543587</v>
      </c>
      <c r="D639" s="167" t="str">
        <f>IF(VLOOKUP(C639,'Patrimonio 2023'!$C$2:$C$1128,1,FALSE) = C639, "Encontrado", "no")</f>
        <v>Encontrado</v>
      </c>
      <c r="E639" s="167" t="str">
        <f>VLOOKUP($A639,'030523 INVENTARIO'!$A$2:$Y$1148,5,FALSE)</f>
        <v>MONITOR</v>
      </c>
      <c r="F639" s="167" t="str">
        <f>VLOOKUP($A639,'030523 INVENTARIO'!$A$2:$Y$1148,6,FALSE)</f>
        <v>MONITOR 19"</v>
      </c>
      <c r="G639" s="167" t="str">
        <f ca="1">VLOOKUP($A639,'030523 INVENTARIO'!$A$2:$Y$1148,8,FALSE)</f>
        <v>P13LP-0638</v>
      </c>
      <c r="H639" s="168" t="str">
        <f>VLOOKUP($A639,'030523 INVENTARIO'!$A$2:$Y$1148,17,FALSE)</f>
        <v>COMPAQ</v>
      </c>
      <c r="I639" s="167" t="str">
        <f>VLOOKUP($A639,'030523 INVENTARIO'!$A$2:$Y$1148,18,FALSE)</f>
        <v>WF1907</v>
      </c>
      <c r="J639" s="168" t="str">
        <f>VLOOKUP($A639,'030523 INVENTARIO'!$A$2:$Y$1148,19,FALSE)</f>
        <v>CNC821Y8G5</v>
      </c>
      <c r="K639" s="168" t="str">
        <f>VLOOKUP($A639,'030523 INVENTARIO'!$A$2:$Y$1148,20,FALSE)</f>
        <v>82DI0565010041000543587</v>
      </c>
      <c r="L639" s="167" t="str">
        <f>VLOOKUP($A639,'030523 INVENTARIO'!$A$2:$Y$1148,23,FALSE)</f>
        <v>BELEN LIZETH CORTES GAONA</v>
      </c>
    </row>
    <row r="640" spans="1:12" ht="12.75" hidden="1">
      <c r="A640" s="167" t="str">
        <f>'030523 INVENTARIO'!A640</f>
        <v>0639</v>
      </c>
      <c r="B640" s="168" t="str">
        <f>'030523 INVENTARIO'!T640</f>
        <v>82DJ0511010010000651110</v>
      </c>
      <c r="C640" s="167" t="str">
        <f t="shared" si="0"/>
        <v>651110</v>
      </c>
      <c r="D640" s="167" t="str">
        <f>IF(VLOOKUP(C640,'Patrimonio 2023'!$C$2:$C$1128,1,FALSE) = C640, "Encontrado", "no")</f>
        <v>Encontrado</v>
      </c>
      <c r="E640" s="167" t="str">
        <f>VLOOKUP($A640,'030523 INVENTARIO'!$A$2:$Y$1148,5,FALSE)</f>
        <v>MESA</v>
      </c>
      <c r="F640" s="167" t="str">
        <f>VLOOKUP($A640,'030523 INVENTARIO'!$A$2:$Y$1148,6,FALSE)</f>
        <v>MESA DE MADERA CON BASE DE METAL 120X60</v>
      </c>
      <c r="G640" s="167" t="str">
        <f ca="1">VLOOKUP($A640,'030523 INVENTARIO'!$A$2:$Y$1148,8,FALSE)</f>
        <v>P13IR-0639</v>
      </c>
      <c r="H640" s="168" t="str">
        <f>VLOOKUP($A640,'030523 INVENTARIO'!$A$2:$Y$1148,17,FALSE)</f>
        <v>S/M</v>
      </c>
      <c r="I640" s="167" t="str">
        <f>VLOOKUP($A640,'030523 INVENTARIO'!$A$2:$Y$1148,18,FALSE)</f>
        <v>S/M</v>
      </c>
      <c r="J640" s="168" t="str">
        <f>VLOOKUP($A640,'030523 INVENTARIO'!$A$2:$Y$1148,19,FALSE)</f>
        <v>SIN SERIE</v>
      </c>
      <c r="K640" s="168" t="str">
        <f>VLOOKUP($A640,'030523 INVENTARIO'!$A$2:$Y$1148,20,FALSE)</f>
        <v>82DJ0511010010000651110</v>
      </c>
      <c r="L640" s="167" t="str">
        <f>VLOOKUP($A640,'030523 INVENTARIO'!$A$2:$Y$1148,23,FALSE)</f>
        <v>OBED BORJA GARCIA</v>
      </c>
    </row>
    <row r="641" spans="1:12" ht="12.75" hidden="1">
      <c r="A641" s="167" t="str">
        <f>'030523 INVENTARIO'!A641</f>
        <v>0640</v>
      </c>
      <c r="B641" s="168" t="str">
        <f>'030523 INVENTARIO'!T641</f>
        <v>82DJ0511010006000651108</v>
      </c>
      <c r="C641" s="167" t="str">
        <f t="shared" si="0"/>
        <v>651108</v>
      </c>
      <c r="D641" s="167" t="str">
        <f>IF(VLOOKUP(C641,'Patrimonio 2023'!$C$2:$C$1128,1,FALSE) = C641, "Encontrado", "no")</f>
        <v>Encontrado</v>
      </c>
      <c r="E641" s="167" t="str">
        <f>VLOOKUP($A641,'030523 INVENTARIO'!$A$2:$Y$1148,5,FALSE)</f>
        <v>ESCRITORIO</v>
      </c>
      <c r="F641" s="167" t="str">
        <f>VLOOKUP($A641,'030523 INVENTARIO'!$A$2:$Y$1148,6,FALSE)</f>
        <v>ESCRITORIO CON DOS CAJONES DE MADERA</v>
      </c>
      <c r="G641" s="167" t="str">
        <f ca="1">VLOOKUP($A641,'030523 INVENTARIO'!$A$2:$Y$1148,8,FALSE)</f>
        <v>P13IR-0640</v>
      </c>
      <c r="H641" s="168" t="str">
        <f>VLOOKUP($A641,'030523 INVENTARIO'!$A$2:$Y$1148,17,FALSE)</f>
        <v>S/M</v>
      </c>
      <c r="I641" s="167" t="str">
        <f>VLOOKUP($A641,'030523 INVENTARIO'!$A$2:$Y$1148,18,FALSE)</f>
        <v>S/M</v>
      </c>
      <c r="J641" s="168" t="str">
        <f>VLOOKUP($A641,'030523 INVENTARIO'!$A$2:$Y$1148,19,FALSE)</f>
        <v>SIN SERIE</v>
      </c>
      <c r="K641" s="168" t="str">
        <f>VLOOKUP($A641,'030523 INVENTARIO'!$A$2:$Y$1148,20,FALSE)</f>
        <v>82DJ0511010006000651108</v>
      </c>
      <c r="L641" s="167" t="str">
        <f>VLOOKUP($A641,'030523 INVENTARIO'!$A$2:$Y$1148,23,FALSE)</f>
        <v>OBED BORJA GARCIA</v>
      </c>
    </row>
    <row r="642" spans="1:12" ht="12.75" hidden="1">
      <c r="A642" s="167" t="str">
        <f>'030523 INVENTARIO'!A642</f>
        <v>0641</v>
      </c>
      <c r="B642" s="168" t="str">
        <f>'030523 INVENTARIO'!T642</f>
        <v>82DJ0511010005000649562</v>
      </c>
      <c r="C642" s="167" t="str">
        <f t="shared" si="0"/>
        <v>649562</v>
      </c>
      <c r="D642" s="167" t="str">
        <f>IF(VLOOKUP(C642,'Patrimonio 2023'!$C$2:$C$1128,1,FALSE) = C642, "Encontrado", "no")</f>
        <v>Encontrado</v>
      </c>
      <c r="E642" s="167" t="str">
        <f>VLOOKUP($A642,'030523 INVENTARIO'!$A$2:$Y$1148,5,FALSE)</f>
        <v>CREDENZA</v>
      </c>
      <c r="F642" s="167" t="str">
        <f>VLOOKUP($A642,'030523 INVENTARIO'!$A$2:$Y$1148,6,FALSE)</f>
        <v>CREDENZA DE MADERA</v>
      </c>
      <c r="G642" s="167" t="str">
        <f ca="1">VLOOKUP($A642,'030523 INVENTARIO'!$A$2:$Y$1148,8,FALSE)</f>
        <v>P13IR-0641</v>
      </c>
      <c r="H642" s="168" t="str">
        <f>VLOOKUP($A642,'030523 INVENTARIO'!$A$2:$Y$1148,17,FALSE)</f>
        <v>S/M</v>
      </c>
      <c r="I642" s="167" t="str">
        <f>VLOOKUP($A642,'030523 INVENTARIO'!$A$2:$Y$1148,18,FALSE)</f>
        <v>S/M</v>
      </c>
      <c r="J642" s="168" t="str">
        <f>VLOOKUP($A642,'030523 INVENTARIO'!$A$2:$Y$1148,19,FALSE)</f>
        <v>SIN SERIE</v>
      </c>
      <c r="K642" s="168" t="str">
        <f>VLOOKUP($A642,'030523 INVENTARIO'!$A$2:$Y$1148,20,FALSE)</f>
        <v>82DJ0511010005000649562</v>
      </c>
      <c r="L642" s="167" t="str">
        <f>VLOOKUP($A642,'030523 INVENTARIO'!$A$2:$Y$1148,23,FALSE)</f>
        <v>OBED BORJA GARCIA</v>
      </c>
    </row>
    <row r="643" spans="1:12" ht="12.75" hidden="1">
      <c r="A643" s="167" t="str">
        <f>'030523 INVENTARIO'!A643</f>
        <v>0642</v>
      </c>
      <c r="B643" s="168" t="str">
        <f>'030523 INVENTARIO'!T643</f>
        <v>82DH0511010017000649725</v>
      </c>
      <c r="C643" s="167" t="str">
        <f t="shared" si="0"/>
        <v>649725</v>
      </c>
      <c r="D643" s="167" t="str">
        <f>IF(VLOOKUP(C643,'Patrimonio 2023'!$C$2:$C$1128,1,FALSE) = C643, "Encontrado", "no")</f>
        <v>Encontrado</v>
      </c>
      <c r="E643" s="167" t="str">
        <f>VLOOKUP($A643,'030523 INVENTARIO'!$A$2:$Y$1148,5,FALSE)</f>
        <v>SILLA</v>
      </c>
      <c r="F643" s="167" t="str">
        <f>VLOOKUP($A643,'030523 INVENTARIO'!$A$2:$Y$1148,6,FALSE)</f>
        <v>SILLA NEGRA DE TELA FIJA</v>
      </c>
      <c r="G643" s="167" t="str">
        <f ca="1">VLOOKUP($A643,'030523 INVENTARIO'!$A$2:$Y$1148,8,FALSE)</f>
        <v>P13IR-0642</v>
      </c>
      <c r="H643" s="168" t="str">
        <f>VLOOKUP($A643,'030523 INVENTARIO'!$A$2:$Y$1148,17,FALSE)</f>
        <v>S/M</v>
      </c>
      <c r="I643" s="167" t="str">
        <f>VLOOKUP($A643,'030523 INVENTARIO'!$A$2:$Y$1148,18,FALSE)</f>
        <v>S/M</v>
      </c>
      <c r="J643" s="168" t="str">
        <f>VLOOKUP($A643,'030523 INVENTARIO'!$A$2:$Y$1148,19,FALSE)</f>
        <v>SIN SERIE</v>
      </c>
      <c r="K643" s="168" t="str">
        <f>VLOOKUP($A643,'030523 INVENTARIO'!$A$2:$Y$1148,20,FALSE)</f>
        <v>82DH0511010017000649725</v>
      </c>
      <c r="L643" s="167" t="str">
        <f>VLOOKUP($A643,'030523 INVENTARIO'!$A$2:$Y$1148,23,FALSE)</f>
        <v>OBED BORJA GARCIA</v>
      </c>
    </row>
    <row r="644" spans="1:12" ht="12.75" hidden="1">
      <c r="A644" s="167" t="str">
        <f>'030523 INVENTARIO'!A644</f>
        <v>0643</v>
      </c>
      <c r="B644" s="168" t="str">
        <f>'030523 INVENTARIO'!T644</f>
        <v>82DJ0515010016000651109</v>
      </c>
      <c r="C644" s="167" t="str">
        <f t="shared" si="0"/>
        <v>651109</v>
      </c>
      <c r="D644" s="167" t="str">
        <f>IF(VLOOKUP(C644,'Patrimonio 2023'!$C$2:$C$1128,1,FALSE) = C644, "Encontrado", "no")</f>
        <v>Encontrado</v>
      </c>
      <c r="E644" s="167" t="str">
        <f>VLOOKUP($A644,'030523 INVENTARIO'!$A$2:$Y$1148,5,FALSE)</f>
        <v>NO BREAK</v>
      </c>
      <c r="F644" s="167" t="str">
        <f>VLOOKUP($A644,'030523 INVENTARIO'!$A$2:$Y$1148,6,FALSE)</f>
        <v>NO BREAK</v>
      </c>
      <c r="G644" s="167" t="str">
        <f ca="1">VLOOKUP($A644,'030523 INVENTARIO'!$A$2:$Y$1148,8,FALSE)</f>
        <v>P13IR-0643</v>
      </c>
      <c r="H644" s="168" t="str">
        <f>VLOOKUP($A644,'030523 INVENTARIO'!$A$2:$Y$1148,17,FALSE)</f>
        <v>KOBLENZ</v>
      </c>
      <c r="I644" s="167">
        <f>VLOOKUP($A644,'030523 INVENTARIO'!$A$2:$Y$1148,18,FALSE)</f>
        <v>550</v>
      </c>
      <c r="J644" s="168" t="str">
        <f>VLOOKUP($A644,'030523 INVENTARIO'!$A$2:$Y$1148,19,FALSE)</f>
        <v>SIN SERIE</v>
      </c>
      <c r="K644" s="168" t="str">
        <f>VLOOKUP($A644,'030523 INVENTARIO'!$A$2:$Y$1148,20,FALSE)</f>
        <v>82DJ0515010016000651109</v>
      </c>
      <c r="L644" s="167" t="str">
        <f>VLOOKUP($A644,'030523 INVENTARIO'!$A$2:$Y$1148,23,FALSE)</f>
        <v>OBED BORJA GARCIA</v>
      </c>
    </row>
    <row r="645" spans="1:12" ht="12.75" hidden="1">
      <c r="A645" s="167" t="str">
        <f>'030523 INVENTARIO'!A645</f>
        <v>0644</v>
      </c>
      <c r="B645" s="168" t="str">
        <f>'030523 INVENTARIO'!T645</f>
        <v>82DH0511010016000515592</v>
      </c>
      <c r="C645" s="167" t="str">
        <f t="shared" si="0"/>
        <v>515592</v>
      </c>
      <c r="D645" s="167" t="str">
        <f>IF(VLOOKUP(C645,'Patrimonio 2023'!$C$2:$C$1128,1,FALSE) = C645, "Encontrado", "no")</f>
        <v>Encontrado</v>
      </c>
      <c r="E645" s="167" t="str">
        <f>VLOOKUP($A645,'030523 INVENTARIO'!$A$2:$Y$1148,5,FALSE)</f>
        <v>SILLON</v>
      </c>
      <c r="F645" s="167" t="str">
        <f>VLOOKUP($A645,'030523 INVENTARIO'!$A$2:$Y$1148,6,FALSE)</f>
        <v>SILLÓN NEGRO CON RUEDAS</v>
      </c>
      <c r="G645" s="167" t="str">
        <f ca="1">VLOOKUP($A645,'030523 INVENTARIO'!$A$2:$Y$1148,8,FALSE)</f>
        <v>P05RH-0644</v>
      </c>
      <c r="H645" s="168" t="str">
        <f>VLOOKUP($A645,'030523 INVENTARIO'!$A$2:$Y$1148,17,FALSE)</f>
        <v>S/M</v>
      </c>
      <c r="I645" s="167" t="str">
        <f>VLOOKUP($A645,'030523 INVENTARIO'!$A$2:$Y$1148,18,FALSE)</f>
        <v>S/M</v>
      </c>
      <c r="J645" s="168" t="str">
        <f>VLOOKUP($A645,'030523 INVENTARIO'!$A$2:$Y$1148,19,FALSE)</f>
        <v>SIN SERIE</v>
      </c>
      <c r="K645" s="168" t="str">
        <f>VLOOKUP($A645,'030523 INVENTARIO'!$A$2:$Y$1148,20,FALSE)</f>
        <v>82DH0511010016000515592</v>
      </c>
      <c r="L645" s="167" t="str">
        <f>VLOOKUP($A645,'030523 INVENTARIO'!$A$2:$Y$1148,23,FALSE)</f>
        <v>ALBERTO MANZO SILVA</v>
      </c>
    </row>
    <row r="646" spans="1:12" ht="12.75" hidden="1">
      <c r="A646" s="167" t="str">
        <f>'030523 INVENTARIO'!A646</f>
        <v>0645</v>
      </c>
      <c r="B646" s="167" t="str">
        <f>'030523 INVENTARIO'!T646</f>
        <v>SIN RESGUARDO</v>
      </c>
      <c r="C646" s="167" t="str">
        <f t="shared" si="0"/>
        <v/>
      </c>
      <c r="D646" s="167" t="e">
        <f>IF(VLOOKUP(C646,'Patrimonio 2023'!$C$2:$C$1128,1,FALSE) = C646, "Encontrado", "no")</f>
        <v>#N/A</v>
      </c>
      <c r="E646" s="167" t="str">
        <f>VLOOKUP($A646,'030523 INVENTARIO'!$A$2:$Y$1148,5,FALSE)</f>
        <v>COMPUTADORA DE ESCRITORIO</v>
      </c>
      <c r="F646" s="167" t="str">
        <f>VLOOKUP($A646,'030523 INVENTARIO'!$A$2:$Y$1148,6,FALSE)</f>
        <v>COMPUTADORA DE ESCRITORIO</v>
      </c>
      <c r="G646" s="167" t="str">
        <f ca="1">VLOOKUP($A646,'030523 INVENTARIO'!$A$2:$Y$1148,8,FALSE)</f>
        <v>P13IR-0645</v>
      </c>
      <c r="H646" s="168" t="str">
        <f>VLOOKUP($A646,'030523 INVENTARIO'!$A$2:$Y$1148,17,FALSE)</f>
        <v>ACTECK</v>
      </c>
      <c r="I646" s="167" t="str">
        <f>VLOOKUP($A646,'030523 INVENTARIO'!$A$2:$Y$1148,18,FALSE)</f>
        <v>LINX</v>
      </c>
      <c r="J646" s="167">
        <f>VLOOKUP($A646,'030523 INVENTARIO'!$A$2:$Y$1148,19,FALSE)</f>
        <v>11392903015273</v>
      </c>
      <c r="K646" s="167" t="str">
        <f>VLOOKUP($A646,'030523 INVENTARIO'!$A$2:$Y$1148,20,FALSE)</f>
        <v>SIN RESGUARDO</v>
      </c>
      <c r="L646" s="167" t="str">
        <f>VLOOKUP($A646,'030523 INVENTARIO'!$A$2:$Y$1148,23,FALSE)</f>
        <v>OBED BORJA GARCIA</v>
      </c>
    </row>
    <row r="647" spans="1:12" ht="12.75" hidden="1">
      <c r="A647" s="167" t="str">
        <f>'030523 INVENTARIO'!A647</f>
        <v>0646</v>
      </c>
      <c r="B647" s="167" t="str">
        <f>'030523 INVENTARIO'!T647</f>
        <v>SIN RESGUARDO</v>
      </c>
      <c r="C647" s="167" t="str">
        <f t="shared" si="0"/>
        <v/>
      </c>
      <c r="D647" s="167" t="e">
        <f>IF(VLOOKUP(C647,'Patrimonio 2023'!$C$2:$C$1128,1,FALSE) = C647, "Encontrado", "no")</f>
        <v>#N/A</v>
      </c>
      <c r="E647" s="167" t="str">
        <f>VLOOKUP($A647,'030523 INVENTARIO'!$A$2:$Y$1148,5,FALSE)</f>
        <v>MONITOR</v>
      </c>
      <c r="F647" s="167" t="str">
        <f>VLOOKUP($A647,'030523 INVENTARIO'!$A$2:$Y$1148,6,FALSE)</f>
        <v>MONITOR 21"</v>
      </c>
      <c r="G647" s="167" t="str">
        <f ca="1">VLOOKUP($A647,'030523 INVENTARIO'!$A$2:$Y$1148,8,FALSE)</f>
        <v>P13IR-0646</v>
      </c>
      <c r="H647" s="168" t="str">
        <f>VLOOKUP($A647,'030523 INVENTARIO'!$A$2:$Y$1148,17,FALSE)</f>
        <v>ACER</v>
      </c>
      <c r="I647" s="167" t="str">
        <f>VLOOKUP($A647,'030523 INVENTARIO'!$A$2:$Y$1148,18,FALSE)</f>
        <v>V226HQL</v>
      </c>
      <c r="J647" s="167" t="str">
        <f>VLOOKUP($A647,'030523 INVENTARIO'!$A$2:$Y$1148,19,FALSE)</f>
        <v>MMTASAA0071090048C3P00</v>
      </c>
      <c r="K647" s="167" t="str">
        <f>VLOOKUP($A647,'030523 INVENTARIO'!$A$2:$Y$1148,20,FALSE)</f>
        <v>SIN RESGUARDO</v>
      </c>
      <c r="L647" s="167" t="str">
        <f>VLOOKUP($A647,'030523 INVENTARIO'!$A$2:$Y$1148,23,FALSE)</f>
        <v>OBED BORJA GARCIA</v>
      </c>
    </row>
    <row r="648" spans="1:12" ht="12.75" hidden="1">
      <c r="A648" s="167" t="str">
        <f>'030523 INVENTARIO'!A648</f>
        <v>0647</v>
      </c>
      <c r="B648" s="168" t="str">
        <f>'030523 INVENTARIO'!T648</f>
        <v>82DJ0531010065000564808</v>
      </c>
      <c r="C648" s="167" t="str">
        <f t="shared" si="0"/>
        <v>564808</v>
      </c>
      <c r="D648" s="167" t="str">
        <f>IF(VLOOKUP(C648,'Patrimonio 2023'!$C$2:$C$1128,1,FALSE) = C648, "Encontrado", "no")</f>
        <v>Encontrado</v>
      </c>
      <c r="E648" s="167" t="str">
        <f>VLOOKUP($A648,'030523 INVENTARIO'!$A$2:$Y$1148,5,FALSE)</f>
        <v>MESA</v>
      </c>
      <c r="F648" s="167" t="str">
        <f>VLOOKUP($A648,'030523 INVENTARIO'!$A$2:$Y$1148,6,FALSE)</f>
        <v>MESA DE MADERA 120X60</v>
      </c>
      <c r="G648" s="167" t="str">
        <f ca="1">VLOOKUP($A648,'030523 INVENTARIO'!$A$2:$Y$1148,8,FALSE)</f>
        <v>P13IR-0647</v>
      </c>
      <c r="H648" s="168" t="str">
        <f>VLOOKUP($A648,'030523 INVENTARIO'!$A$2:$Y$1148,17,FALSE)</f>
        <v>S/M</v>
      </c>
      <c r="I648" s="167" t="str">
        <f>VLOOKUP($A648,'030523 INVENTARIO'!$A$2:$Y$1148,18,FALSE)</f>
        <v>S/M</v>
      </c>
      <c r="J648" s="168" t="str">
        <f>VLOOKUP($A648,'030523 INVENTARIO'!$A$2:$Y$1148,19,FALSE)</f>
        <v>SIN SERIE</v>
      </c>
      <c r="K648" s="168" t="str">
        <f>VLOOKUP($A648,'030523 INVENTARIO'!$A$2:$Y$1148,20,FALSE)</f>
        <v>82DJ0531010065000564808</v>
      </c>
      <c r="L648" s="167" t="str">
        <f>VLOOKUP($A648,'030523 INVENTARIO'!$A$2:$Y$1148,23,FALSE)</f>
        <v>LETICIA FARFAN TOLEDO</v>
      </c>
    </row>
    <row r="649" spans="1:12" ht="12.75" hidden="1">
      <c r="A649" s="167" t="str">
        <f>'030523 INVENTARIO'!A649</f>
        <v>0648</v>
      </c>
      <c r="B649" s="168" t="str">
        <f>'030523 INVENTARIO'!T649</f>
        <v>82DH0511010010000649720</v>
      </c>
      <c r="C649" s="167" t="str">
        <f t="shared" si="0"/>
        <v>649720</v>
      </c>
      <c r="D649" s="167" t="str">
        <f>IF(VLOOKUP(C649,'Patrimonio 2023'!$C$2:$C$1128,1,FALSE) = C649, "Encontrado", "no")</f>
        <v>Encontrado</v>
      </c>
      <c r="E649" s="167" t="str">
        <f>VLOOKUP($A649,'030523 INVENTARIO'!$A$2:$Y$1148,5,FALSE)</f>
        <v>MESA</v>
      </c>
      <c r="F649" s="167" t="str">
        <f>VLOOKUP($A649,'030523 INVENTARIO'!$A$2:$Y$1148,6,FALSE)</f>
        <v>MESA DE MADERA Y METAL 120X60</v>
      </c>
      <c r="G649" s="167" t="str">
        <f ca="1">VLOOKUP($A649,'030523 INVENTARIO'!$A$2:$Y$1148,8,FALSE)</f>
        <v>P13IR-0648</v>
      </c>
      <c r="H649" s="168" t="str">
        <f>VLOOKUP($A649,'030523 INVENTARIO'!$A$2:$Y$1148,17,FALSE)</f>
        <v>S/M</v>
      </c>
      <c r="I649" s="167" t="str">
        <f>VLOOKUP($A649,'030523 INVENTARIO'!$A$2:$Y$1148,18,FALSE)</f>
        <v>S/M</v>
      </c>
      <c r="J649" s="168" t="str">
        <f>VLOOKUP($A649,'030523 INVENTARIO'!$A$2:$Y$1148,19,FALSE)</f>
        <v>SIN SERIE</v>
      </c>
      <c r="K649" s="168" t="str">
        <f>VLOOKUP($A649,'030523 INVENTARIO'!$A$2:$Y$1148,20,FALSE)</f>
        <v>82DH0511010010000649720</v>
      </c>
      <c r="L649" s="167" t="str">
        <f>VLOOKUP($A649,'030523 INVENTARIO'!$A$2:$Y$1148,23,FALSE)</f>
        <v>LETICIA FARFAN TOLEDO</v>
      </c>
    </row>
    <row r="650" spans="1:12" ht="12.75" hidden="1">
      <c r="A650" s="167" t="str">
        <f>'030523 INVENTARIO'!A650</f>
        <v>0649</v>
      </c>
      <c r="B650" s="168" t="str">
        <f>'030523 INVENTARIO'!T650</f>
        <v>82DJ0511010005000649704</v>
      </c>
      <c r="C650" s="167" t="str">
        <f t="shared" si="0"/>
        <v>649704</v>
      </c>
      <c r="D650" s="167" t="str">
        <f>IF(VLOOKUP(C650,'Patrimonio 2023'!$C$2:$C$1128,1,FALSE) = C650, "Encontrado", "no")</f>
        <v>Encontrado</v>
      </c>
      <c r="E650" s="167" t="str">
        <f>VLOOKUP($A650,'030523 INVENTARIO'!$A$2:$Y$1148,5,FALSE)</f>
        <v>CREDENZA</v>
      </c>
      <c r="F650" s="167" t="str">
        <f>VLOOKUP($A650,'030523 INVENTARIO'!$A$2:$Y$1148,6,FALSE)</f>
        <v>CREDENZA DE MADERA</v>
      </c>
      <c r="G650" s="167" t="str">
        <f ca="1">VLOOKUP($A650,'030523 INVENTARIO'!$A$2:$Y$1148,8,FALSE)</f>
        <v>P13IR-0649</v>
      </c>
      <c r="H650" s="168" t="str">
        <f>VLOOKUP($A650,'030523 INVENTARIO'!$A$2:$Y$1148,17,FALSE)</f>
        <v>S/M</v>
      </c>
      <c r="I650" s="167" t="str">
        <f>VLOOKUP($A650,'030523 INVENTARIO'!$A$2:$Y$1148,18,FALSE)</f>
        <v>S/M</v>
      </c>
      <c r="J650" s="168" t="str">
        <f>VLOOKUP($A650,'030523 INVENTARIO'!$A$2:$Y$1148,19,FALSE)</f>
        <v>SIN SERIE</v>
      </c>
      <c r="K650" s="168" t="str">
        <f>VLOOKUP($A650,'030523 INVENTARIO'!$A$2:$Y$1148,20,FALSE)</f>
        <v>82DJ0511010005000649704</v>
      </c>
      <c r="L650" s="167" t="str">
        <f>VLOOKUP($A650,'030523 INVENTARIO'!$A$2:$Y$1148,23,FALSE)</f>
        <v>LETICIA FARFAN TOLEDO</v>
      </c>
    </row>
    <row r="651" spans="1:12" ht="12.75" hidden="1">
      <c r="A651" s="167" t="str">
        <f>'030523 INVENTARIO'!A651</f>
        <v>0650</v>
      </c>
      <c r="B651" s="168" t="str">
        <f>'030523 INVENTARIO'!T651</f>
        <v>82DJ0511010006000583450</v>
      </c>
      <c r="C651" s="167" t="str">
        <f t="shared" si="0"/>
        <v>583450</v>
      </c>
      <c r="D651" s="167" t="str">
        <f>IF(VLOOKUP(C651,'Patrimonio 2023'!$C$2:$C$1128,1,FALSE) = C651, "Encontrado", "no")</f>
        <v>Encontrado</v>
      </c>
      <c r="E651" s="167" t="str">
        <f>VLOOKUP($A651,'030523 INVENTARIO'!$A$2:$Y$1148,5,FALSE)</f>
        <v>ESCRITORIO</v>
      </c>
      <c r="F651" s="167" t="str">
        <f>VLOOKUP($A651,'030523 INVENTARIO'!$A$2:$Y$1148,6,FALSE)</f>
        <v>ESCRITORIO DE 2 CAJONES MADERA</v>
      </c>
      <c r="G651" s="167" t="str">
        <f ca="1">VLOOKUP($A651,'030523 INVENTARIO'!$A$2:$Y$1148,8,FALSE)</f>
        <v>P13IR-0650</v>
      </c>
      <c r="H651" s="168" t="str">
        <f>VLOOKUP($A651,'030523 INVENTARIO'!$A$2:$Y$1148,17,FALSE)</f>
        <v>S/M</v>
      </c>
      <c r="I651" s="167" t="str">
        <f>VLOOKUP($A651,'030523 INVENTARIO'!$A$2:$Y$1148,18,FALSE)</f>
        <v>S/M</v>
      </c>
      <c r="J651" s="168" t="str">
        <f>VLOOKUP($A651,'030523 INVENTARIO'!$A$2:$Y$1148,19,FALSE)</f>
        <v>SIN SERIE</v>
      </c>
      <c r="K651" s="168" t="str">
        <f>VLOOKUP($A651,'030523 INVENTARIO'!$A$2:$Y$1148,20,FALSE)</f>
        <v>82DJ0511010006000583450</v>
      </c>
      <c r="L651" s="167" t="str">
        <f>VLOOKUP($A651,'030523 INVENTARIO'!$A$2:$Y$1148,23,FALSE)</f>
        <v>LETICIA FARFAN TOLEDO</v>
      </c>
    </row>
    <row r="652" spans="1:12" ht="12.75" hidden="1">
      <c r="A652" s="167" t="str">
        <f>'030523 INVENTARIO'!A652</f>
        <v>0651</v>
      </c>
      <c r="B652" s="168" t="str">
        <f>'030523 INVENTARIO'!T652</f>
        <v>82DH0511010017000649719</v>
      </c>
      <c r="C652" s="167" t="str">
        <f t="shared" si="0"/>
        <v>649719</v>
      </c>
      <c r="D652" s="167" t="str">
        <f>IF(VLOOKUP(C652,'Patrimonio 2023'!$C$2:$C$1128,1,FALSE) = C652, "Encontrado", "no")</f>
        <v>Encontrado</v>
      </c>
      <c r="E652" s="167" t="str">
        <f>VLOOKUP($A652,'030523 INVENTARIO'!$A$2:$Y$1148,5,FALSE)</f>
        <v>SILLA</v>
      </c>
      <c r="F652" s="167" t="str">
        <f>VLOOKUP($A652,'030523 INVENTARIO'!$A$2:$Y$1148,6,FALSE)</f>
        <v>SILLA DE TELA NEGRA</v>
      </c>
      <c r="G652" s="167" t="str">
        <f ca="1">VLOOKUP($A652,'030523 INVENTARIO'!$A$2:$Y$1148,8,FALSE)</f>
        <v>P13IR-0651</v>
      </c>
      <c r="H652" s="168" t="str">
        <f>VLOOKUP($A652,'030523 INVENTARIO'!$A$2:$Y$1148,17,FALSE)</f>
        <v>S/M</v>
      </c>
      <c r="I652" s="167" t="str">
        <f>VLOOKUP($A652,'030523 INVENTARIO'!$A$2:$Y$1148,18,FALSE)</f>
        <v>S/M</v>
      </c>
      <c r="J652" s="168" t="str">
        <f>VLOOKUP($A652,'030523 INVENTARIO'!$A$2:$Y$1148,19,FALSE)</f>
        <v>SIN SERIE</v>
      </c>
      <c r="K652" s="168" t="str">
        <f>VLOOKUP($A652,'030523 INVENTARIO'!$A$2:$Y$1148,20,FALSE)</f>
        <v>82DH0511010017000649719</v>
      </c>
      <c r="L652" s="167" t="str">
        <f>VLOOKUP($A652,'030523 INVENTARIO'!$A$2:$Y$1148,23,FALSE)</f>
        <v>LETICIA FARFAN TOLEDO</v>
      </c>
    </row>
    <row r="653" spans="1:12" ht="12.75" hidden="1">
      <c r="A653" s="167" t="str">
        <f>'030523 INVENTARIO'!A653</f>
        <v>0652</v>
      </c>
      <c r="B653" s="168" t="str">
        <f>'030523 INVENTARIO'!T653</f>
        <v>82DJ0515010033000564638</v>
      </c>
      <c r="C653" s="167" t="str">
        <f t="shared" si="0"/>
        <v>564638</v>
      </c>
      <c r="D653" s="167" t="str">
        <f>IF(VLOOKUP(C653,'Patrimonio 2023'!$C$2:$C$1128,1,FALSE) = C653, "Encontrado", "no")</f>
        <v>Encontrado</v>
      </c>
      <c r="E653" s="167" t="str">
        <f>VLOOKUP($A653,'030523 INVENTARIO'!$A$2:$Y$1148,5,FALSE)</f>
        <v>COMPLEMENTARIO DE EQUIPO DE COMPUTO</v>
      </c>
      <c r="F653" s="168" t="str">
        <f>VLOOKUP($A653,'030523 INVENTARIO'!$A$2:$Y$1148,6,FALSE)</f>
        <v>COMPLEMENTO DE EQUIPO DE MADERA</v>
      </c>
      <c r="G653" s="167" t="str">
        <f ca="1">VLOOKUP($A653,'030523 INVENTARIO'!$A$2:$Y$1148,8,FALSE)</f>
        <v>P13IR-0652</v>
      </c>
      <c r="H653" s="168" t="str">
        <f>VLOOKUP($A653,'030523 INVENTARIO'!$A$2:$Y$1148,17,FALSE)</f>
        <v>S/M</v>
      </c>
      <c r="I653" s="167" t="str">
        <f>VLOOKUP($A653,'030523 INVENTARIO'!$A$2:$Y$1148,18,FALSE)</f>
        <v>S/M</v>
      </c>
      <c r="J653" s="168" t="str">
        <f>VLOOKUP($A653,'030523 INVENTARIO'!$A$2:$Y$1148,19,FALSE)</f>
        <v>SIN SERIE</v>
      </c>
      <c r="K653" s="168" t="str">
        <f>VLOOKUP($A653,'030523 INVENTARIO'!$A$2:$Y$1148,20,FALSE)</f>
        <v>82DJ0515010033000564638</v>
      </c>
      <c r="L653" s="167" t="str">
        <f>VLOOKUP($A653,'030523 INVENTARIO'!$A$2:$Y$1148,23,FALSE)</f>
        <v>LETICIA FARFAN TOLEDO</v>
      </c>
    </row>
    <row r="654" spans="1:12" ht="12.75" hidden="1">
      <c r="A654" s="167" t="str">
        <f>'030523 INVENTARIO'!A654</f>
        <v>0653</v>
      </c>
      <c r="B654" s="168" t="str">
        <f>'030523 INVENTARIO'!T654</f>
        <v>82DJ0515010016000649420</v>
      </c>
      <c r="C654" s="167" t="str">
        <f t="shared" si="0"/>
        <v>649420</v>
      </c>
      <c r="D654" s="167" t="str">
        <f>IF(VLOOKUP(C654,'Patrimonio 2023'!$C$2:$C$1128,1,FALSE) = C654, "Encontrado", "no")</f>
        <v>Encontrado</v>
      </c>
      <c r="E654" s="167" t="str">
        <f>VLOOKUP($A654,'030523 INVENTARIO'!$A$2:$Y$1148,5,FALSE)</f>
        <v>NO BREAK</v>
      </c>
      <c r="F654" s="168" t="str">
        <f>VLOOKUP($A654,'030523 INVENTARIO'!$A$2:$Y$1148,6,FALSE)</f>
        <v>NO BREAK</v>
      </c>
      <c r="G654" s="167" t="str">
        <f ca="1">VLOOKUP($A654,'030523 INVENTARIO'!$A$2:$Y$1148,8,FALSE)</f>
        <v>P13IR-0653</v>
      </c>
      <c r="H654" s="168" t="str">
        <f>VLOOKUP($A654,'030523 INVENTARIO'!$A$2:$Y$1148,17,FALSE)</f>
        <v>FORZA</v>
      </c>
      <c r="I654" s="167" t="str">
        <f>VLOOKUP($A654,'030523 INVENTARIO'!$A$2:$Y$1148,18,FALSE)</f>
        <v>NT751</v>
      </c>
      <c r="J654" s="168" t="str">
        <f>VLOOKUP($A654,'030523 INVENTARIO'!$A$2:$Y$1148,19,FALSE)</f>
        <v>190522502047</v>
      </c>
      <c r="K654" s="168" t="str">
        <f>VLOOKUP($A654,'030523 INVENTARIO'!$A$2:$Y$1148,20,FALSE)</f>
        <v>82DJ0515010016000649420</v>
      </c>
      <c r="L654" s="167" t="str">
        <f>VLOOKUP($A654,'030523 INVENTARIO'!$A$2:$Y$1148,23,FALSE)</f>
        <v>LETICIA FARFAN TOLEDO</v>
      </c>
    </row>
    <row r="655" spans="1:12" ht="12.75" hidden="1">
      <c r="A655" s="167" t="str">
        <f>'030523 INVENTARIO'!A655</f>
        <v>0654</v>
      </c>
      <c r="B655" s="167" t="str">
        <f>'030523 INVENTARIO'!T655</f>
        <v>SIN RESGUARDO</v>
      </c>
      <c r="C655" s="167" t="str">
        <f t="shared" si="0"/>
        <v/>
      </c>
      <c r="D655" s="167" t="e">
        <f>IF(VLOOKUP(C655,'Patrimonio 2023'!$C$2:$C$1128,1,FALSE) = C655, "Encontrado", "no")</f>
        <v>#N/A</v>
      </c>
      <c r="E655" s="167" t="str">
        <f>VLOOKUP($A655,'030523 INVENTARIO'!$A$2:$Y$1148,5,FALSE)</f>
        <v>COMPUTADORA DE ESCRITORIO</v>
      </c>
      <c r="F655" s="167" t="str">
        <f>VLOOKUP($A655,'030523 INVENTARIO'!$A$2:$Y$1148,6,FALSE)</f>
        <v>COMPUTADORA DE ESCRITORIO</v>
      </c>
      <c r="G655" s="167" t="str">
        <f ca="1">VLOOKUP($A655,'030523 INVENTARIO'!$A$2:$Y$1148,8,FALSE)</f>
        <v>P13IR-0654</v>
      </c>
      <c r="H655" s="168" t="str">
        <f>VLOOKUP($A655,'030523 INVENTARIO'!$A$2:$Y$1148,17,FALSE)</f>
        <v>ACTECK</v>
      </c>
      <c r="I655" s="167" t="str">
        <f>VLOOKUP($A655,'030523 INVENTARIO'!$A$2:$Y$1148,18,FALSE)</f>
        <v>LINX</v>
      </c>
      <c r="J655" s="167">
        <f>VLOOKUP($A655,'030523 INVENTARIO'!$A$2:$Y$1148,19,FALSE)</f>
        <v>11392903012339</v>
      </c>
      <c r="K655" s="167" t="str">
        <f>VLOOKUP($A655,'030523 INVENTARIO'!$A$2:$Y$1148,20,FALSE)</f>
        <v>SIN RESGUARDO</v>
      </c>
      <c r="L655" s="167" t="str">
        <f>VLOOKUP($A655,'030523 INVENTARIO'!$A$2:$Y$1148,23,FALSE)</f>
        <v>LETICIA FARFAN TOLEDO</v>
      </c>
    </row>
    <row r="656" spans="1:12" ht="12.75" hidden="1">
      <c r="A656" s="167" t="str">
        <f>'030523 INVENTARIO'!A656</f>
        <v>0655</v>
      </c>
      <c r="B656" s="167" t="str">
        <f>'030523 INVENTARIO'!T656</f>
        <v>SIN RESGUARDO</v>
      </c>
      <c r="C656" s="167" t="str">
        <f t="shared" si="0"/>
        <v/>
      </c>
      <c r="D656" s="167" t="e">
        <f>IF(VLOOKUP(C656,'Patrimonio 2023'!$C$2:$C$1128,1,FALSE) = C656, "Encontrado", "no")</f>
        <v>#N/A</v>
      </c>
      <c r="E656" s="167" t="str">
        <f>VLOOKUP($A656,'030523 INVENTARIO'!$A$2:$Y$1148,5,FALSE)</f>
        <v>MONITOR</v>
      </c>
      <c r="F656" s="167" t="str">
        <f>VLOOKUP($A656,'030523 INVENTARIO'!$A$2:$Y$1148,6,FALSE)</f>
        <v>MONITOR 21"</v>
      </c>
      <c r="G656" s="167" t="str">
        <f ca="1">VLOOKUP($A656,'030523 INVENTARIO'!$A$2:$Y$1148,8,FALSE)</f>
        <v>P13IR-0655</v>
      </c>
      <c r="H656" s="168" t="str">
        <f>VLOOKUP($A656,'030523 INVENTARIO'!$A$2:$Y$1148,17,FALSE)</f>
        <v>ACER</v>
      </c>
      <c r="I656" s="167" t="str">
        <f>VLOOKUP($A656,'030523 INVENTARIO'!$A$2:$Y$1148,18,FALSE)</f>
        <v>V226HQL</v>
      </c>
      <c r="J656" s="167" t="str">
        <f>VLOOKUP($A656,'030523 INVENTARIO'!$A$2:$Y$1148,19,FALSE)</f>
        <v>MMTASAA0070520544C3P00</v>
      </c>
      <c r="K656" s="167" t="str">
        <f>VLOOKUP($A656,'030523 INVENTARIO'!$A$2:$Y$1148,20,FALSE)</f>
        <v>SIN RESGUARDO</v>
      </c>
      <c r="L656" s="167" t="str">
        <f>VLOOKUP($A656,'030523 INVENTARIO'!$A$2:$Y$1148,23,FALSE)</f>
        <v>LETICIA FARFAN TOLEDO</v>
      </c>
    </row>
    <row r="657" spans="1:12" ht="12.75" hidden="1">
      <c r="A657" s="167" t="str">
        <f>'030523 INVENTARIO'!A657</f>
        <v>0656</v>
      </c>
      <c r="B657" s="168" t="str">
        <f>'030523 INVENTARIO'!T657</f>
        <v>82DI0565010041000539123</v>
      </c>
      <c r="C657" s="167" t="str">
        <f t="shared" si="0"/>
        <v>539123</v>
      </c>
      <c r="D657" s="167" t="str">
        <f>IF(VLOOKUP(C657,'Patrimonio 2023'!$C$2:$C$1128,1,FALSE) = C657, "Encontrado", "no")</f>
        <v>Encontrado</v>
      </c>
      <c r="E657" s="167" t="str">
        <f>VLOOKUP($A657,'030523 INVENTARIO'!$A$2:$Y$1148,5,FALSE)</f>
        <v>MONITOR</v>
      </c>
      <c r="F657" s="167" t="str">
        <f>VLOOKUP($A657,'030523 INVENTARIO'!$A$2:$Y$1148,6,FALSE)</f>
        <v>MONITOR 19"</v>
      </c>
      <c r="G657" s="167" t="str">
        <f ca="1">VLOOKUP($A657,'030523 INVENTARIO'!$A$2:$Y$1148,8,FALSE)</f>
        <v>P13IR-0656</v>
      </c>
      <c r="H657" s="168" t="str">
        <f>VLOOKUP($A657,'030523 INVENTARIO'!$A$2:$Y$1148,17,FALSE)</f>
        <v>COMPAQ</v>
      </c>
      <c r="I657" s="167" t="str">
        <f>VLOOKUP($A657,'030523 INVENTARIO'!$A$2:$Y$1148,18,FALSE)</f>
        <v>WF1907</v>
      </c>
      <c r="J657" s="168" t="str">
        <f>VLOOKUP($A657,'030523 INVENTARIO'!$A$2:$Y$1148,19,FALSE)</f>
        <v>SIN SERIE</v>
      </c>
      <c r="K657" s="168" t="str">
        <f>VLOOKUP($A657,'030523 INVENTARIO'!$A$2:$Y$1148,20,FALSE)</f>
        <v>82DI0565010041000539123</v>
      </c>
      <c r="L657" s="167" t="str">
        <f>VLOOKUP($A657,'030523 INVENTARIO'!$A$2:$Y$1148,23,FALSE)</f>
        <v>MARIBEL RAUDA BAÑUELOS</v>
      </c>
    </row>
    <row r="658" spans="1:12" ht="12.75" hidden="1">
      <c r="A658" s="167" t="str">
        <f>'030523 INVENTARIO'!A658</f>
        <v>0657</v>
      </c>
      <c r="B658" s="168" t="str">
        <f>'030523 INVENTARIO'!T658</f>
        <v>82DI0511010017000516229</v>
      </c>
      <c r="C658" s="167" t="str">
        <f t="shared" si="0"/>
        <v>516229</v>
      </c>
      <c r="D658" s="167" t="str">
        <f>IF(VLOOKUP(C658,'Patrimonio 2023'!$C$2:$C$1128,1,FALSE) = C658, "Encontrado", "no")</f>
        <v>Encontrado</v>
      </c>
      <c r="E658" s="167" t="str">
        <f>VLOOKUP($A658,'030523 INVENTARIO'!$A$2:$Y$1148,5,FALSE)</f>
        <v>SILLA</v>
      </c>
      <c r="F658" s="167" t="str">
        <f>VLOOKUP($A658,'030523 INVENTARIO'!$A$2:$Y$1148,6,FALSE)</f>
        <v>SILLA NEGRA CON RUEDAS</v>
      </c>
      <c r="G658" s="167" t="str">
        <f ca="1">VLOOKUP($A658,'030523 INVENTARIO'!$A$2:$Y$1148,8,FALSE)</f>
        <v>P13IR-0657</v>
      </c>
      <c r="H658" s="168" t="str">
        <f>VLOOKUP($A658,'030523 INVENTARIO'!$A$2:$Y$1148,17,FALSE)</f>
        <v>S/M</v>
      </c>
      <c r="I658" s="167" t="str">
        <f>VLOOKUP($A658,'030523 INVENTARIO'!$A$2:$Y$1148,18,FALSE)</f>
        <v>S/M</v>
      </c>
      <c r="J658" s="168" t="str">
        <f>VLOOKUP($A658,'030523 INVENTARIO'!$A$2:$Y$1148,19,FALSE)</f>
        <v>SIN SERIE</v>
      </c>
      <c r="K658" s="168" t="str">
        <f>VLOOKUP($A658,'030523 INVENTARIO'!$A$2:$Y$1148,20,FALSE)</f>
        <v>82DI0511010017000516229</v>
      </c>
      <c r="L658" s="167" t="str">
        <f>VLOOKUP($A658,'030523 INVENTARIO'!$A$2:$Y$1148,23,FALSE)</f>
        <v>MARIBEL RAUDA BAÑUELOS</v>
      </c>
    </row>
    <row r="659" spans="1:12" ht="12.75" hidden="1">
      <c r="A659" s="167" t="str">
        <f>'030523 INVENTARIO'!A659</f>
        <v>0658</v>
      </c>
      <c r="B659" s="168" t="str">
        <f>'030523 INVENTARIO'!T659</f>
        <v>82DJ0511010017000649702</v>
      </c>
      <c r="C659" s="167" t="str">
        <f t="shared" si="0"/>
        <v>649702</v>
      </c>
      <c r="D659" s="167" t="str">
        <f>IF(VLOOKUP(C659,'Patrimonio 2023'!$C$2:$C$1128,1,FALSE) = C659, "Encontrado", "no")</f>
        <v>Encontrado</v>
      </c>
      <c r="E659" s="167" t="str">
        <f>VLOOKUP($A659,'030523 INVENTARIO'!$A$2:$Y$1148,5,FALSE)</f>
        <v>SILLA</v>
      </c>
      <c r="F659" s="167" t="str">
        <f>VLOOKUP($A659,'030523 INVENTARIO'!$A$2:$Y$1148,6,FALSE)</f>
        <v>SILLA NEGRA  CON RUEDAS</v>
      </c>
      <c r="G659" s="167" t="str">
        <f ca="1">VLOOKUP($A659,'030523 INVENTARIO'!$A$2:$Y$1148,8,FALSE)</f>
        <v>P13IR-0658</v>
      </c>
      <c r="H659" s="168" t="str">
        <f>VLOOKUP($A659,'030523 INVENTARIO'!$A$2:$Y$1148,17,FALSE)</f>
        <v>S/M</v>
      </c>
      <c r="I659" s="167" t="str">
        <f>VLOOKUP($A659,'030523 INVENTARIO'!$A$2:$Y$1148,18,FALSE)</f>
        <v>S/M</v>
      </c>
      <c r="J659" s="168" t="str">
        <f>VLOOKUP($A659,'030523 INVENTARIO'!$A$2:$Y$1148,19,FALSE)</f>
        <v>SIN SERIE</v>
      </c>
      <c r="K659" s="168" t="str">
        <f>VLOOKUP($A659,'030523 INVENTARIO'!$A$2:$Y$1148,20,FALSE)</f>
        <v>82DJ0511010017000649702</v>
      </c>
      <c r="L659" s="167" t="str">
        <f>VLOOKUP($A659,'030523 INVENTARIO'!$A$2:$Y$1148,23,FALSE)</f>
        <v>LETICIA FARFAN TOLEDO</v>
      </c>
    </row>
    <row r="660" spans="1:12" ht="12.75" hidden="1">
      <c r="A660" s="167" t="str">
        <f>'030523 INVENTARIO'!A660</f>
        <v>0659</v>
      </c>
      <c r="B660" s="168" t="str">
        <f>'030523 INVENTARIO'!T660</f>
        <v>82DJ0511010017000563784</v>
      </c>
      <c r="C660" s="167" t="str">
        <f t="shared" si="0"/>
        <v>563784</v>
      </c>
      <c r="D660" s="167" t="str">
        <f>IF(VLOOKUP(C660,'Patrimonio 2023'!$C$2:$C$1128,1,FALSE) = C660, "Encontrado", "no")</f>
        <v>Encontrado</v>
      </c>
      <c r="E660" s="167" t="str">
        <f>VLOOKUP($A660,'030523 INVENTARIO'!$A$2:$Y$1148,5,FALSE)</f>
        <v>SILLON</v>
      </c>
      <c r="F660" s="167" t="str">
        <f>VLOOKUP($A660,'030523 INVENTARIO'!$A$2:$Y$1148,6,FALSE)</f>
        <v>SILLON DE PIEL DE RUEDAS</v>
      </c>
      <c r="G660" s="167" t="str">
        <f ca="1">VLOOKUP($A660,'030523 INVENTARIO'!$A$2:$Y$1148,8,FALSE)</f>
        <v>P13SO-0659</v>
      </c>
      <c r="H660" s="168" t="str">
        <f>VLOOKUP($A660,'030523 INVENTARIO'!$A$2:$Y$1148,17,FALSE)</f>
        <v>S/M</v>
      </c>
      <c r="I660" s="167" t="str">
        <f>VLOOKUP($A660,'030523 INVENTARIO'!$A$2:$Y$1148,18,FALSE)</f>
        <v>S/M</v>
      </c>
      <c r="J660" s="168" t="str">
        <f>VLOOKUP($A660,'030523 INVENTARIO'!$A$2:$Y$1148,19,FALSE)</f>
        <v>SIN SERIE</v>
      </c>
      <c r="K660" s="168" t="str">
        <f>VLOOKUP($A660,'030523 INVENTARIO'!$A$2:$Y$1148,20,FALSE)</f>
        <v>82DJ0511010017000563784</v>
      </c>
      <c r="L660" s="167" t="str">
        <f>VLOOKUP($A660,'030523 INVENTARIO'!$A$2:$Y$1148,23,FALSE)</f>
        <v>FLORENCIA PEREZ NEGRON HUERTA</v>
      </c>
    </row>
    <row r="661" spans="1:12" ht="12.75" hidden="1">
      <c r="A661" s="167" t="str">
        <f>'030523 INVENTARIO'!A661</f>
        <v>0660</v>
      </c>
      <c r="B661" s="168" t="str">
        <f>'030523 INVENTARIO'!T661</f>
        <v>82DJ0511010001000539203</v>
      </c>
      <c r="C661" s="167" t="str">
        <f t="shared" si="0"/>
        <v>539203</v>
      </c>
      <c r="D661" s="167" t="str">
        <f>IF(VLOOKUP(C661,'Patrimonio 2023'!$C$2:$C$1128,1,FALSE) = C661, "Encontrado", "no")</f>
        <v>Encontrado</v>
      </c>
      <c r="E661" s="167" t="str">
        <f>VLOOKUP($A661,'030523 INVENTARIO'!$A$2:$Y$1148,5,FALSE)</f>
        <v>ARCHIVERO</v>
      </c>
      <c r="F661" s="167" t="str">
        <f>VLOOKUP($A661,'030523 INVENTARIO'!$A$2:$Y$1148,6,FALSE)</f>
        <v>ARCHIVERO  CAFÉ CON 4 CAJONES 143X48X68</v>
      </c>
      <c r="G661" s="167" t="str">
        <f ca="1">VLOOKUP($A661,'030523 INVENTARIO'!$A$2:$Y$1148,8,FALSE)</f>
        <v>P03CV-0660</v>
      </c>
      <c r="H661" s="168" t="str">
        <f>VLOOKUP($A661,'030523 INVENTARIO'!$A$2:$Y$1148,17,FALSE)</f>
        <v>S/M</v>
      </c>
      <c r="I661" s="167" t="str">
        <f>VLOOKUP($A661,'030523 INVENTARIO'!$A$2:$Y$1148,18,FALSE)</f>
        <v>S/M</v>
      </c>
      <c r="J661" s="168" t="str">
        <f>VLOOKUP($A661,'030523 INVENTARIO'!$A$2:$Y$1148,19,FALSE)</f>
        <v>SIN SERIE</v>
      </c>
      <c r="K661" s="168" t="str">
        <f>VLOOKUP($A661,'030523 INVENTARIO'!$A$2:$Y$1148,20,FALSE)</f>
        <v>82DJ0511010001000539203</v>
      </c>
      <c r="L661" s="167" t="str">
        <f>VLOOKUP($A661,'030523 INVENTARIO'!$A$2:$Y$1148,23,FALSE)</f>
        <v>ENRIQUE URBINA ORTEGA</v>
      </c>
    </row>
    <row r="662" spans="1:12" ht="12.75" hidden="1">
      <c r="A662" s="167" t="str">
        <f>'030523 INVENTARIO'!A662</f>
        <v>0661</v>
      </c>
      <c r="B662" s="168" t="str">
        <f>'030523 INVENTARIO'!T662</f>
        <v>82DJ0511010001000649503</v>
      </c>
      <c r="C662" s="167" t="str">
        <f t="shared" si="0"/>
        <v>649503</v>
      </c>
      <c r="D662" s="167" t="str">
        <f>IF(VLOOKUP(C662,'Patrimonio 2023'!$C$2:$C$1128,1,FALSE) = C662, "Encontrado", "no")</f>
        <v>Encontrado</v>
      </c>
      <c r="E662" s="167" t="str">
        <f>VLOOKUP($A662,'030523 INVENTARIO'!$A$2:$Y$1148,5,FALSE)</f>
        <v>ARCHIVERO</v>
      </c>
      <c r="F662" s="167" t="str">
        <f>VLOOKUP($A662,'030523 INVENTARIO'!$A$2:$Y$1148,6,FALSE)</f>
        <v>ARCHIVERO BEIGE CON 4 CAJONES 133X46X71</v>
      </c>
      <c r="G662" s="167" t="str">
        <f ca="1">VLOOKUP($A662,'030523 INVENTARIO'!$A$2:$Y$1148,8,FALSE)</f>
        <v>P03CV-0661</v>
      </c>
      <c r="H662" s="168" t="str">
        <f>VLOOKUP($A662,'030523 INVENTARIO'!$A$2:$Y$1148,17,FALSE)</f>
        <v>S/M</v>
      </c>
      <c r="I662" s="167" t="str">
        <f>VLOOKUP($A662,'030523 INVENTARIO'!$A$2:$Y$1148,18,FALSE)</f>
        <v>S/M</v>
      </c>
      <c r="J662" s="168" t="str">
        <f>VLOOKUP($A662,'030523 INVENTARIO'!$A$2:$Y$1148,19,FALSE)</f>
        <v>SIN SERIE</v>
      </c>
      <c r="K662" s="168" t="str">
        <f>VLOOKUP($A662,'030523 INVENTARIO'!$A$2:$Y$1148,20,FALSE)</f>
        <v>82DJ0511010001000649503</v>
      </c>
      <c r="L662" s="167" t="str">
        <f>VLOOKUP($A662,'030523 INVENTARIO'!$A$2:$Y$1148,23,FALSE)</f>
        <v>ENRIQUE URBINA ORTEGA</v>
      </c>
    </row>
    <row r="663" spans="1:12" ht="12.75" hidden="1">
      <c r="A663" s="167" t="str">
        <f>'030523 INVENTARIO'!A663</f>
        <v>0662</v>
      </c>
      <c r="B663" s="168" t="str">
        <f>'030523 INVENTARIO'!T663</f>
        <v>82DI0511010001000649476</v>
      </c>
      <c r="C663" s="167" t="str">
        <f t="shared" si="0"/>
        <v>649476</v>
      </c>
      <c r="D663" s="167" t="str">
        <f>IF(VLOOKUP(C663,'Patrimonio 2023'!$C$2:$C$1128,1,FALSE) = C663, "Encontrado", "no")</f>
        <v>Encontrado</v>
      </c>
      <c r="E663" s="167" t="str">
        <f>VLOOKUP($A663,'030523 INVENTARIO'!$A$2:$Y$1148,5,FALSE)</f>
        <v>ARCHIVERO</v>
      </c>
      <c r="F663" s="167" t="str">
        <f>VLOOKUP($A663,'030523 INVENTARIO'!$A$2:$Y$1148,6,FALSE)</f>
        <v>ARCHIVERO GRIS CON 4 CAJONES 132X47X64</v>
      </c>
      <c r="G663" s="167" t="str">
        <f ca="1">VLOOKUP($A663,'030523 INVENTARIO'!$A$2:$Y$1148,8,FALSE)</f>
        <v>P03CV-0662</v>
      </c>
      <c r="H663" s="168" t="str">
        <f>VLOOKUP($A663,'030523 INVENTARIO'!$A$2:$Y$1148,17,FALSE)</f>
        <v>S/M</v>
      </c>
      <c r="I663" s="167" t="str">
        <f>VLOOKUP($A663,'030523 INVENTARIO'!$A$2:$Y$1148,18,FALSE)</f>
        <v>S/M</v>
      </c>
      <c r="J663" s="168" t="str">
        <f>VLOOKUP($A663,'030523 INVENTARIO'!$A$2:$Y$1148,19,FALSE)</f>
        <v>SIN SERIE</v>
      </c>
      <c r="K663" s="168" t="str">
        <f>VLOOKUP($A663,'030523 INVENTARIO'!$A$2:$Y$1148,20,FALSE)</f>
        <v>82DI0511010001000649476</v>
      </c>
      <c r="L663" s="167" t="str">
        <f>VLOOKUP($A663,'030523 INVENTARIO'!$A$2:$Y$1148,23,FALSE)</f>
        <v>ENRIQUE URBINA ORTEGA</v>
      </c>
    </row>
    <row r="664" spans="1:12" ht="12.75" hidden="1">
      <c r="A664" s="167" t="str">
        <f>'030523 INVENTARIO'!A664</f>
        <v>0663</v>
      </c>
      <c r="B664" s="168" t="str">
        <f>'030523 INVENTARIO'!T664</f>
        <v>82DI0511010001000564901</v>
      </c>
      <c r="C664" s="167" t="str">
        <f t="shared" si="0"/>
        <v>564901</v>
      </c>
      <c r="D664" s="167" t="str">
        <f>IF(VLOOKUP(C664,'Patrimonio 2023'!$C$2:$C$1128,1,FALSE) = C664, "Encontrado", "no")</f>
        <v>Encontrado</v>
      </c>
      <c r="E664" s="167" t="str">
        <f>VLOOKUP($A664,'030523 INVENTARIO'!$A$2:$Y$1148,5,FALSE)</f>
        <v>ARCHIVERO</v>
      </c>
      <c r="F664" s="167" t="str">
        <f>VLOOKUP($A664,'030523 INVENTARIO'!$A$2:$Y$1148,6,FALSE)</f>
        <v>ARCHIVERO DE MADERA  CON 4 CAJONES 132X48X62</v>
      </c>
      <c r="G664" s="167" t="str">
        <f ca="1">VLOOKUP($A664,'030523 INVENTARIO'!$A$2:$Y$1148,8,FALSE)</f>
        <v>P03CV-0663</v>
      </c>
      <c r="H664" s="168" t="str">
        <f>VLOOKUP($A664,'030523 INVENTARIO'!$A$2:$Y$1148,17,FALSE)</f>
        <v>S/M</v>
      </c>
      <c r="I664" s="167" t="str">
        <f>VLOOKUP($A664,'030523 INVENTARIO'!$A$2:$Y$1148,18,FALSE)</f>
        <v>S/M</v>
      </c>
      <c r="J664" s="168" t="str">
        <f>VLOOKUP($A664,'030523 INVENTARIO'!$A$2:$Y$1148,19,FALSE)</f>
        <v>SIN SERIE</v>
      </c>
      <c r="K664" s="168" t="str">
        <f>VLOOKUP($A664,'030523 INVENTARIO'!$A$2:$Y$1148,20,FALSE)</f>
        <v>82DI0511010001000564901</v>
      </c>
      <c r="L664" s="167" t="str">
        <f>VLOOKUP($A664,'030523 INVENTARIO'!$A$2:$Y$1148,23,FALSE)</f>
        <v>MARIA AUXILIO VILLAFUERTE RODRIGUEZ</v>
      </c>
    </row>
    <row r="665" spans="1:12" ht="12.75" hidden="1">
      <c r="A665" s="167" t="str">
        <f>'030523 INVENTARIO'!A665</f>
        <v>0664</v>
      </c>
      <c r="B665" s="167" t="str">
        <f>'030523 INVENTARIO'!T665</f>
        <v>82DI0531010094000564893</v>
      </c>
      <c r="C665" s="167" t="str">
        <f t="shared" si="0"/>
        <v>564893</v>
      </c>
      <c r="D665" s="167" t="str">
        <f>IF(VLOOKUP(C665,'Patrimonio 2023'!$C$2:$C$1128,1,FALSE) = C665, "Encontrado", "no")</f>
        <v>Encontrado</v>
      </c>
      <c r="E665" s="167" t="str">
        <f>VLOOKUP($A665,'030523 INVENTARIO'!$A$2:$Y$1148,5,FALSE)</f>
        <v>VENTILADOR</v>
      </c>
      <c r="F665" s="167" t="str">
        <f>VLOOKUP($A665,'030523 INVENTARIO'!$A$2:$Y$1148,6,FALSE)</f>
        <v>VENTILADOR GRIS  DE TORRE</v>
      </c>
      <c r="G665" s="167" t="str">
        <f ca="1">VLOOKUP($A665,'030523 INVENTARIO'!$A$2:$Y$1148,8,FALSE)</f>
        <v>P03CV-0664</v>
      </c>
      <c r="H665" s="168" t="str">
        <f>VLOOKUP($A665,'030523 INVENTARIO'!$A$2:$Y$1148,17,FALSE)</f>
        <v>SEVILLE CLASSIC</v>
      </c>
      <c r="I665" s="167">
        <f>VLOOKUP($A665,'030523 INVENTARIO'!$A$2:$Y$1148,18,FALSE)</f>
        <v>10187</v>
      </c>
      <c r="J665" s="168" t="str">
        <f>VLOOKUP($A665,'030523 INVENTARIO'!$A$2:$Y$1148,19,FALSE)</f>
        <v>SIN SERIE</v>
      </c>
      <c r="K665" s="167" t="str">
        <f>VLOOKUP($A665,'030523 INVENTARIO'!$A$2:$Y$1148,20,FALSE)</f>
        <v>82DI0531010094000564893</v>
      </c>
      <c r="L665" s="167" t="str">
        <f>VLOOKUP($A665,'030523 INVENTARIO'!$A$2:$Y$1148,23,FALSE)</f>
        <v>ENRIQUE URBINA ORTEGA</v>
      </c>
    </row>
    <row r="666" spans="1:12" ht="12.75" hidden="1">
      <c r="A666" s="167" t="str">
        <f>'030523 INVENTARIO'!A666</f>
        <v>0665</v>
      </c>
      <c r="B666" s="168" t="str">
        <f>'030523 INVENTARIO'!T666</f>
        <v>82DI0511010017000516298</v>
      </c>
      <c r="C666" s="167" t="str">
        <f t="shared" si="0"/>
        <v>516298</v>
      </c>
      <c r="D666" s="167" t="str">
        <f>IF(VLOOKUP(C666,'Patrimonio 2023'!$C$2:$C$1128,1,FALSE) = C666, "Encontrado", "no")</f>
        <v>Encontrado</v>
      </c>
      <c r="E666" s="167" t="str">
        <f>VLOOKUP($A666,'030523 INVENTARIO'!$A$2:$Y$1148,5,FALSE)</f>
        <v>SILLA</v>
      </c>
      <c r="F666" s="167" t="str">
        <f>VLOOKUP($A666,'030523 INVENTARIO'!$A$2:$Y$1148,6,FALSE)</f>
        <v>SILLA  DE TELA NEGRA FIJA</v>
      </c>
      <c r="G666" s="167" t="str">
        <f ca="1">VLOOKUP($A666,'030523 INVENTARIO'!$A$2:$Y$1148,8,FALSE)</f>
        <v>P03CV-0665</v>
      </c>
      <c r="H666" s="168" t="str">
        <f>VLOOKUP($A666,'030523 INVENTARIO'!$A$2:$Y$1148,17,FALSE)</f>
        <v>S/M</v>
      </c>
      <c r="I666" s="167" t="str">
        <f>VLOOKUP($A666,'030523 INVENTARIO'!$A$2:$Y$1148,18,FALSE)</f>
        <v>S/M</v>
      </c>
      <c r="J666" s="168" t="str">
        <f>VLOOKUP($A666,'030523 INVENTARIO'!$A$2:$Y$1148,19,FALSE)</f>
        <v>SIN SERIE</v>
      </c>
      <c r="K666" s="168" t="str">
        <f>VLOOKUP($A666,'030523 INVENTARIO'!$A$2:$Y$1148,20,FALSE)</f>
        <v>82DI0511010017000516298</v>
      </c>
      <c r="L666" s="167" t="str">
        <f>VLOOKUP($A666,'030523 INVENTARIO'!$A$2:$Y$1148,23,FALSE)</f>
        <v>MARIA AUXILIO VILLAFUERTE RODRIGUEZ</v>
      </c>
    </row>
    <row r="667" spans="1:12" ht="12.75" hidden="1">
      <c r="A667" s="167" t="str">
        <f>'030523 INVENTARIO'!A667</f>
        <v>0666</v>
      </c>
      <c r="B667" s="168" t="str">
        <f>'030523 INVENTARIO'!T667</f>
        <v>82DK0511010017000522769</v>
      </c>
      <c r="C667" s="167" t="str">
        <f t="shared" si="0"/>
        <v>522769</v>
      </c>
      <c r="D667" s="167" t="str">
        <f>IF(VLOOKUP(C667,'Patrimonio 2023'!$C$2:$C$1128,1,FALSE) = C667, "Encontrado", "no")</f>
        <v>Encontrado</v>
      </c>
      <c r="E667" s="167" t="str">
        <f>VLOOKUP($A667,'030523 INVENTARIO'!$A$2:$Y$1148,5,FALSE)</f>
        <v>SILLA</v>
      </c>
      <c r="F667" s="167" t="str">
        <f>VLOOKUP($A667,'030523 INVENTARIO'!$A$2:$Y$1148,6,FALSE)</f>
        <v>SILLA DE TELA NEGRA FIJA</v>
      </c>
      <c r="G667" s="167" t="str">
        <f ca="1">VLOOKUP($A667,'030523 INVENTARIO'!$A$2:$Y$1148,8,FALSE)</f>
        <v>P03CV-0666</v>
      </c>
      <c r="H667" s="168" t="str">
        <f>VLOOKUP($A667,'030523 INVENTARIO'!$A$2:$Y$1148,17,FALSE)</f>
        <v>S/M</v>
      </c>
      <c r="I667" s="167" t="str">
        <f>VLOOKUP($A667,'030523 INVENTARIO'!$A$2:$Y$1148,18,FALSE)</f>
        <v>S/M</v>
      </c>
      <c r="J667" s="168" t="str">
        <f>VLOOKUP($A667,'030523 INVENTARIO'!$A$2:$Y$1148,19,FALSE)</f>
        <v>SIN SERIE</v>
      </c>
      <c r="K667" s="168" t="str">
        <f>VLOOKUP($A667,'030523 INVENTARIO'!$A$2:$Y$1148,20,FALSE)</f>
        <v>82DK0511010017000522769</v>
      </c>
      <c r="L667" s="167" t="str">
        <f>VLOOKUP($A667,'030523 INVENTARIO'!$A$2:$Y$1148,23,FALSE)</f>
        <v>ENRIQUE URBINA ORTEGA</v>
      </c>
    </row>
    <row r="668" spans="1:12" ht="12.75" hidden="1">
      <c r="A668" s="167" t="str">
        <f>'030523 INVENTARIO'!A668</f>
        <v>0667</v>
      </c>
      <c r="B668" s="168" t="str">
        <f>'030523 INVENTARIO'!T668</f>
        <v>82DJ0511010017000522803</v>
      </c>
      <c r="C668" s="167" t="str">
        <f t="shared" si="0"/>
        <v>522803</v>
      </c>
      <c r="D668" s="167" t="str">
        <f>IF(VLOOKUP(C668,'Patrimonio 2023'!$C$2:$C$1128,1,FALSE) = C668, "Encontrado", "no")</f>
        <v>Encontrado</v>
      </c>
      <c r="E668" s="167" t="str">
        <f>VLOOKUP($A668,'030523 INVENTARIO'!$A$2:$Y$1148,5,FALSE)</f>
        <v>SILLA</v>
      </c>
      <c r="F668" s="167" t="str">
        <f>VLOOKUP($A668,'030523 INVENTARIO'!$A$2:$Y$1148,6,FALSE)</f>
        <v>SILLA DE TELA NEGRA FIJA</v>
      </c>
      <c r="G668" s="167" t="str">
        <f ca="1">VLOOKUP($A668,'030523 INVENTARIO'!$A$2:$Y$1148,8,FALSE)</f>
        <v>P03CV-0667</v>
      </c>
      <c r="H668" s="168" t="str">
        <f>VLOOKUP($A668,'030523 INVENTARIO'!$A$2:$Y$1148,17,FALSE)</f>
        <v>S/M</v>
      </c>
      <c r="I668" s="167" t="str">
        <f>VLOOKUP($A668,'030523 INVENTARIO'!$A$2:$Y$1148,18,FALSE)</f>
        <v>S/M</v>
      </c>
      <c r="J668" s="168" t="str">
        <f>VLOOKUP($A668,'030523 INVENTARIO'!$A$2:$Y$1148,19,FALSE)</f>
        <v>SIN SERIE</v>
      </c>
      <c r="K668" s="168" t="str">
        <f>VLOOKUP($A668,'030523 INVENTARIO'!$A$2:$Y$1148,20,FALSE)</f>
        <v>82DJ0511010017000522803</v>
      </c>
      <c r="L668" s="167" t="str">
        <f>VLOOKUP($A668,'030523 INVENTARIO'!$A$2:$Y$1148,23,FALSE)</f>
        <v>ENRIQUE URBINA ORTEGA</v>
      </c>
    </row>
    <row r="669" spans="1:12" ht="12.75" hidden="1">
      <c r="A669" s="167" t="str">
        <f>'030523 INVENTARIO'!A669</f>
        <v>0668</v>
      </c>
      <c r="B669" s="168" t="str">
        <f>'030523 INVENTARIO'!T669</f>
        <v>82DJ0511010017000522804</v>
      </c>
      <c r="C669" s="167" t="str">
        <f t="shared" si="0"/>
        <v>522804</v>
      </c>
      <c r="D669" s="167" t="str">
        <f>IF(VLOOKUP(C669,'Patrimonio 2023'!$C$2:$C$1128,1,FALSE) = C669, "Encontrado", "no")</f>
        <v>Encontrado</v>
      </c>
      <c r="E669" s="167" t="str">
        <f>VLOOKUP($A669,'030523 INVENTARIO'!$A$2:$Y$1148,5,FALSE)</f>
        <v>SILLA</v>
      </c>
      <c r="F669" s="167" t="str">
        <f>VLOOKUP($A669,'030523 INVENTARIO'!$A$2:$Y$1148,6,FALSE)</f>
        <v>SILLA DE TELA NEGRA FIJA</v>
      </c>
      <c r="G669" s="167" t="str">
        <f ca="1">VLOOKUP($A669,'030523 INVENTARIO'!$A$2:$Y$1148,8,FALSE)</f>
        <v>P03CV-0668</v>
      </c>
      <c r="H669" s="168" t="str">
        <f>VLOOKUP($A669,'030523 INVENTARIO'!$A$2:$Y$1148,17,FALSE)</f>
        <v>S/M</v>
      </c>
      <c r="I669" s="167" t="str">
        <f>VLOOKUP($A669,'030523 INVENTARIO'!$A$2:$Y$1148,18,FALSE)</f>
        <v>S/M</v>
      </c>
      <c r="J669" s="168" t="str">
        <f>VLOOKUP($A669,'030523 INVENTARIO'!$A$2:$Y$1148,19,FALSE)</f>
        <v>SIN SERIE</v>
      </c>
      <c r="K669" s="168" t="str">
        <f>VLOOKUP($A669,'030523 INVENTARIO'!$A$2:$Y$1148,20,FALSE)</f>
        <v>82DJ0511010017000522804</v>
      </c>
      <c r="L669" s="167" t="str">
        <f>VLOOKUP($A669,'030523 INVENTARIO'!$A$2:$Y$1148,23,FALSE)</f>
        <v>ENRIQUE URBINA ORTEGA</v>
      </c>
    </row>
    <row r="670" spans="1:12" ht="12.75" hidden="1">
      <c r="A670" s="167" t="str">
        <f>'030523 INVENTARIO'!A670</f>
        <v>0669</v>
      </c>
      <c r="B670" s="168" t="str">
        <f>'030523 INVENTARIO'!T670</f>
        <v>82DJ0511010009000584146</v>
      </c>
      <c r="C670" s="167" t="str">
        <f t="shared" si="0"/>
        <v>584146</v>
      </c>
      <c r="D670" s="167" t="str">
        <f>IF(VLOOKUP(C670,'Patrimonio 2023'!$C$2:$C$1128,1,FALSE) = C670, "Encontrado", "no")</f>
        <v>Encontrado</v>
      </c>
      <c r="E670" s="167" t="str">
        <f>VLOOKUP($A670,'030523 INVENTARIO'!$A$2:$Y$1148,5,FALSE)</f>
        <v>ARCHIVERO</v>
      </c>
      <c r="F670" s="167" t="str">
        <f>VLOOKUP($A670,'030523 INVENTARIO'!$A$2:$Y$1148,6,FALSE)</f>
        <v>LOCKER DE MADERA CON 2 PUERTAS 165X80X43</v>
      </c>
      <c r="G670" s="167" t="str">
        <f ca="1">VLOOKUP($A670,'030523 INVENTARIO'!$A$2:$Y$1148,8,FALSE)</f>
        <v>P03CV-0669</v>
      </c>
      <c r="H670" s="168" t="str">
        <f>VLOOKUP($A670,'030523 INVENTARIO'!$A$2:$Y$1148,17,FALSE)</f>
        <v>S/M</v>
      </c>
      <c r="I670" s="167" t="str">
        <f>VLOOKUP($A670,'030523 INVENTARIO'!$A$2:$Y$1148,18,FALSE)</f>
        <v>S/M</v>
      </c>
      <c r="J670" s="168" t="str">
        <f>VLOOKUP($A670,'030523 INVENTARIO'!$A$2:$Y$1148,19,FALSE)</f>
        <v>SIN SERIE</v>
      </c>
      <c r="K670" s="168" t="str">
        <f>VLOOKUP($A670,'030523 INVENTARIO'!$A$2:$Y$1148,20,FALSE)</f>
        <v>82DJ0511010009000584146</v>
      </c>
      <c r="L670" s="167" t="str">
        <f>VLOOKUP($A670,'030523 INVENTARIO'!$A$2:$Y$1148,23,FALSE)</f>
        <v>ENRIQUE URBINA ORTEGA</v>
      </c>
    </row>
    <row r="671" spans="1:12" ht="12.75" hidden="1">
      <c r="A671" s="167" t="str">
        <f>'030523 INVENTARIO'!A671</f>
        <v>0670</v>
      </c>
      <c r="B671" s="168" t="str">
        <f>'030523 INVENTARIO'!T671</f>
        <v>82DJ0511010006000583486</v>
      </c>
      <c r="C671" s="167" t="str">
        <f t="shared" si="0"/>
        <v>583486</v>
      </c>
      <c r="D671" s="167" t="str">
        <f>IF(VLOOKUP(C671,'Patrimonio 2023'!$C$2:$C$1128,1,FALSE) = C671, "Encontrado", "no")</f>
        <v>Encontrado</v>
      </c>
      <c r="E671" s="167" t="str">
        <f>VLOOKUP($A671,'030523 INVENTARIO'!$A$2:$Y$1148,5,FALSE)</f>
        <v>ESCRITORIO</v>
      </c>
      <c r="F671" s="167" t="str">
        <f>VLOOKUP($A671,'030523 INVENTARIO'!$A$2:$Y$1148,6,FALSE)</f>
        <v>ESCRITORIO DE MADERA TIPO ISLA DE 4 PIEZAS</v>
      </c>
      <c r="G671" s="167" t="str">
        <f ca="1">VLOOKUP($A671,'030523 INVENTARIO'!$A$2:$Y$1148,8,FALSE)</f>
        <v>P03CV-0670</v>
      </c>
      <c r="H671" s="168" t="str">
        <f>VLOOKUP($A671,'030523 INVENTARIO'!$A$2:$Y$1148,17,FALSE)</f>
        <v>S/M</v>
      </c>
      <c r="I671" s="167" t="str">
        <f>VLOOKUP($A671,'030523 INVENTARIO'!$A$2:$Y$1148,18,FALSE)</f>
        <v>S/M</v>
      </c>
      <c r="J671" s="168" t="str">
        <f>VLOOKUP($A671,'030523 INVENTARIO'!$A$2:$Y$1148,19,FALSE)</f>
        <v>SIN SERIE</v>
      </c>
      <c r="K671" s="168" t="str">
        <f>VLOOKUP($A671,'030523 INVENTARIO'!$A$2:$Y$1148,20,FALSE)</f>
        <v>82DJ0511010006000583486</v>
      </c>
      <c r="L671" s="167" t="str">
        <f>VLOOKUP($A671,'030523 INVENTARIO'!$A$2:$Y$1148,23,FALSE)</f>
        <v>ENRIQUE URBINA ORTEGA</v>
      </c>
    </row>
    <row r="672" spans="1:12" ht="12.75" hidden="1">
      <c r="A672" s="167" t="str">
        <f>'030523 INVENTARIO'!A672</f>
        <v>0671</v>
      </c>
      <c r="B672" s="168" t="str">
        <f>'030523 INVENTARIO'!T672</f>
        <v>82DI0511010010000649474</v>
      </c>
      <c r="C672" s="167" t="str">
        <f t="shared" si="0"/>
        <v>649474</v>
      </c>
      <c r="D672" s="167" t="str">
        <f>IF(VLOOKUP(C672,'Patrimonio 2023'!$C$2:$C$1128,1,FALSE) = C672, "Encontrado", "no")</f>
        <v>Encontrado</v>
      </c>
      <c r="E672" s="167" t="str">
        <f>VLOOKUP($A672,'030523 INVENTARIO'!$A$2:$Y$1148,5,FALSE)</f>
        <v>MESA</v>
      </c>
      <c r="F672" s="167" t="str">
        <f>VLOOKUP($A672,'030523 INVENTARIO'!$A$2:$Y$1148,6,FALSE)</f>
        <v>MESA  DE MADERA CON BASE DE METAL 120X60</v>
      </c>
      <c r="G672" s="167" t="str">
        <f ca="1">VLOOKUP($A672,'030523 INVENTARIO'!$A$2:$Y$1148,8,FALSE)</f>
        <v>P05DA-0671</v>
      </c>
      <c r="H672" s="168" t="str">
        <f>VLOOKUP($A672,'030523 INVENTARIO'!$A$2:$Y$1148,17,FALSE)</f>
        <v>S/M</v>
      </c>
      <c r="I672" s="167" t="str">
        <f>VLOOKUP($A672,'030523 INVENTARIO'!$A$2:$Y$1148,18,FALSE)</f>
        <v>S/M</v>
      </c>
      <c r="J672" s="168" t="str">
        <f>VLOOKUP($A672,'030523 INVENTARIO'!$A$2:$Y$1148,19,FALSE)</f>
        <v>SIN SERIE</v>
      </c>
      <c r="K672" s="168" t="str">
        <f>VLOOKUP($A672,'030523 INVENTARIO'!$A$2:$Y$1148,20,FALSE)</f>
        <v>82DI0511010010000649474</v>
      </c>
      <c r="L672" s="167" t="str">
        <f>VLOOKUP($A672,'030523 INVENTARIO'!$A$2:$Y$1148,23,FALSE)</f>
        <v>HUMBERTO HERNANDEZ OLIVO</v>
      </c>
    </row>
    <row r="673" spans="1:12" ht="12.75" hidden="1">
      <c r="A673" s="167" t="str">
        <f>'030523 INVENTARIO'!A673</f>
        <v>0672</v>
      </c>
      <c r="B673" s="167" t="str">
        <f>'030523 INVENTARIO'!T673</f>
        <v>82DI0515010013000650655</v>
      </c>
      <c r="C673" s="167" t="str">
        <f t="shared" si="0"/>
        <v>650655</v>
      </c>
      <c r="D673" s="167" t="str">
        <f>IF(VLOOKUP(C673,'Patrimonio 2023'!$C$2:$C$1128,1,FALSE) = C673, "Encontrado", "no")</f>
        <v>Encontrado</v>
      </c>
      <c r="E673" s="167" t="str">
        <f>VLOOKUP($A673,'030523 INVENTARIO'!$A$2:$Y$1148,5,FALSE)</f>
        <v>MONITOR</v>
      </c>
      <c r="F673" s="167" t="str">
        <f>VLOOKUP($A673,'030523 INVENTARIO'!$A$2:$Y$1148,6,FALSE)</f>
        <v>MONITOR 19"</v>
      </c>
      <c r="G673" s="167" t="str">
        <f ca="1">VLOOKUP($A673,'030523 INVENTARIO'!$A$2:$Y$1148,8,FALSE)</f>
        <v>P03CV-0672</v>
      </c>
      <c r="H673" s="168" t="str">
        <f>VLOOKUP($A673,'030523 INVENTARIO'!$A$2:$Y$1148,17,FALSE)</f>
        <v>GHIA</v>
      </c>
      <c r="I673" s="167" t="str">
        <f>VLOOKUP($A673,'030523 INVENTARIO'!$A$2:$Y$1148,18,FALSE)</f>
        <v>MG2017</v>
      </c>
      <c r="J673" s="168" t="str">
        <f>VLOOKUP($A673,'030523 INVENTARIO'!$A$2:$Y$1148,19,FALSE)</f>
        <v>CMG2017180136801847</v>
      </c>
      <c r="K673" s="167" t="str">
        <f>VLOOKUP($A673,'030523 INVENTARIO'!$A$2:$Y$1148,20,FALSE)</f>
        <v>82DI0515010013000650655</v>
      </c>
      <c r="L673" s="167" t="str">
        <f>VLOOKUP($A673,'030523 INVENTARIO'!$A$2:$Y$1148,23,FALSE)</f>
        <v>ENRIQUE URBINA ORTEGA</v>
      </c>
    </row>
    <row r="674" spans="1:12" ht="12.75" hidden="1">
      <c r="A674" s="167" t="str">
        <f>'030523 INVENTARIO'!A674</f>
        <v>0673</v>
      </c>
      <c r="B674" s="167" t="str">
        <f>'030523 INVENTARIO'!T674</f>
        <v>82DI0515010001000650665</v>
      </c>
      <c r="C674" s="167" t="str">
        <f t="shared" si="0"/>
        <v>650665</v>
      </c>
      <c r="D674" s="167" t="str">
        <f>IF(VLOOKUP(C674,'Patrimonio 2023'!$C$2:$C$1128,1,FALSE) = C674, "Encontrado", "no")</f>
        <v>Encontrado</v>
      </c>
      <c r="E674" s="167" t="str">
        <f>VLOOKUP($A674,'030523 INVENTARIO'!$A$2:$Y$1148,5,FALSE)</f>
        <v>COMPUTADORA DE ESCRITORIO</v>
      </c>
      <c r="F674" s="167" t="str">
        <f>VLOOKUP($A674,'030523 INVENTARIO'!$A$2:$Y$1148,6,FALSE)</f>
        <v>COMPUTADORA DE ESCRITORIO</v>
      </c>
      <c r="G674" s="167" t="str">
        <f ca="1">VLOOKUP($A674,'030523 INVENTARIO'!$A$2:$Y$1148,8,FALSE)</f>
        <v>P03CV-0673</v>
      </c>
      <c r="H674" s="168" t="str">
        <f>VLOOKUP($A674,'030523 INVENTARIO'!$A$2:$Y$1148,17,FALSE)</f>
        <v>GHIA</v>
      </c>
      <c r="I674" s="167">
        <f>VLOOKUP($A674,'030523 INVENTARIO'!$A$2:$Y$1148,18,FALSE)</f>
        <v>2378</v>
      </c>
      <c r="J674" s="168" t="str">
        <f>VLOOKUP($A674,'030523 INVENTARIO'!$A$2:$Y$1148,19,FALSE)</f>
        <v>337850</v>
      </c>
      <c r="K674" s="167" t="str">
        <f>VLOOKUP($A674,'030523 INVENTARIO'!$A$2:$Y$1148,20,FALSE)</f>
        <v>82DI0515010001000650665</v>
      </c>
      <c r="L674" s="167" t="str">
        <f>VLOOKUP($A674,'030523 INVENTARIO'!$A$2:$Y$1148,23,FALSE)</f>
        <v>ENRIQUE URBINA ORTEGA</v>
      </c>
    </row>
    <row r="675" spans="1:12" ht="12.75">
      <c r="A675" s="167" t="str">
        <f>'030523 INVENTARIO'!A675</f>
        <v>0674</v>
      </c>
      <c r="B675" s="167" t="str">
        <f>'030523 INVENTARIO'!T675</f>
        <v>82DJ0515010016000524721</v>
      </c>
      <c r="C675" s="167" t="str">
        <f t="shared" si="0"/>
        <v>524721</v>
      </c>
      <c r="D675" s="167" t="e">
        <f>IF(VLOOKUP(C675,'Patrimonio 2023'!$C$2:$C$1128,1,FALSE) = C675, "Encontrado", "no")</f>
        <v>#N/A</v>
      </c>
      <c r="E675" s="167" t="str">
        <f>VLOOKUP($A675,'030523 INVENTARIO'!$A$2:$Y$1148,5,FALSE)</f>
        <v>NO BREAK</v>
      </c>
      <c r="F675" s="167" t="str">
        <f>VLOOKUP($A675,'030523 INVENTARIO'!$A$2:$Y$1148,6,FALSE)</f>
        <v>NO BREAK</v>
      </c>
      <c r="G675" s="167" t="str">
        <f ca="1">VLOOKUP($A675,'030523 INVENTARIO'!$A$2:$Y$1148,8,FALSE)</f>
        <v>P03CV-0674</v>
      </c>
      <c r="H675" s="168" t="str">
        <f>VLOOKUP($A675,'030523 INVENTARIO'!$A$2:$Y$1148,17,FALSE)</f>
        <v>TRIPP LITE</v>
      </c>
      <c r="I675" s="167" t="str">
        <f>VLOOKUP($A675,'030523 INVENTARIO'!$A$2:$Y$1148,18,FALSE)</f>
        <v>INTERNET550U</v>
      </c>
      <c r="J675" s="167" t="str">
        <f>VLOOKUP($A675,'030523 INVENTARIO'!$A$2:$Y$1148,19,FALSE)</f>
        <v>2149EY0BC785700776</v>
      </c>
      <c r="K675" s="167" t="str">
        <f>VLOOKUP($A675,'030523 INVENTARIO'!$A$2:$Y$1148,20,FALSE)</f>
        <v>82DJ0515010016000524721</v>
      </c>
      <c r="L675" s="167" t="str">
        <f>VLOOKUP($A675,'030523 INVENTARIO'!$A$2:$Y$1148,23,FALSE)</f>
        <v>ENRIQUE URBINA ORTEGA</v>
      </c>
    </row>
    <row r="676" spans="1:12" ht="12.75" hidden="1">
      <c r="A676" s="167" t="str">
        <f>'030523 INVENTARIO'!A676</f>
        <v>0675</v>
      </c>
      <c r="B676" s="168" t="str">
        <f>'030523 INVENTARIO'!T676</f>
        <v>82DI0565010041000539108</v>
      </c>
      <c r="C676" s="167" t="str">
        <f t="shared" si="0"/>
        <v>539108</v>
      </c>
      <c r="D676" s="167" t="str">
        <f>IF(VLOOKUP(C676,'Patrimonio 2023'!$C$2:$C$1128,1,FALSE) = C676, "Encontrado", "no")</f>
        <v>Encontrado</v>
      </c>
      <c r="E676" s="167" t="str">
        <f>VLOOKUP($A676,'030523 INVENTARIO'!$A$2:$Y$1148,5,FALSE)</f>
        <v>MONITOR</v>
      </c>
      <c r="F676" s="167" t="str">
        <f>VLOOKUP($A676,'030523 INVENTARIO'!$A$2:$Y$1148,6,FALSE)</f>
        <v>MONITOR 19"</v>
      </c>
      <c r="G676" s="167" t="str">
        <f ca="1">VLOOKUP($A676,'030523 INVENTARIO'!$A$2:$Y$1148,8,FALSE)</f>
        <v>P05RM-0675</v>
      </c>
      <c r="H676" s="168" t="str">
        <f>VLOOKUP($A676,'030523 INVENTARIO'!$A$2:$Y$1148,17,FALSE)</f>
        <v>HP COMPAQ</v>
      </c>
      <c r="I676" s="167" t="str">
        <f>VLOOKUP($A676,'030523 INVENTARIO'!$A$2:$Y$1148,18,FALSE)</f>
        <v>WF1907</v>
      </c>
      <c r="J676" s="168" t="str">
        <f>VLOOKUP($A676,'030523 INVENTARIO'!$A$2:$Y$1148,19,FALSE)</f>
        <v>CNC811ZB3F</v>
      </c>
      <c r="K676" s="168" t="str">
        <f>VLOOKUP($A676,'030523 INVENTARIO'!$A$2:$Y$1148,20,FALSE)</f>
        <v>82DI0565010041000539108</v>
      </c>
      <c r="L676" s="167" t="str">
        <f>VLOOKUP($A676,'030523 INVENTARIO'!$A$2:$Y$1148,23,FALSE)</f>
        <v>BLANCA ELIZABETH ALCANTAR GUERRERO</v>
      </c>
    </row>
    <row r="677" spans="1:12" ht="12.75" hidden="1">
      <c r="A677" s="167" t="str">
        <f>'030523 INVENTARIO'!A677</f>
        <v>0676</v>
      </c>
      <c r="B677" s="168" t="str">
        <f>'030523 INVENTARIO'!T677</f>
        <v>82DJ0511010016000515616</v>
      </c>
      <c r="C677" s="167" t="str">
        <f t="shared" si="0"/>
        <v>515616</v>
      </c>
      <c r="D677" s="167" t="str">
        <f>IF(VLOOKUP(C677,'Patrimonio 2023'!$C$2:$C$1128,1,FALSE) = C677, "Encontrado", "no")</f>
        <v>Encontrado</v>
      </c>
      <c r="E677" s="167" t="str">
        <f>VLOOKUP($A677,'030523 INVENTARIO'!$A$2:$Y$1148,5,FALSE)</f>
        <v>SILLON</v>
      </c>
      <c r="F677" s="167" t="str">
        <f>VLOOKUP($A677,'030523 INVENTARIO'!$A$2:$Y$1148,6,FALSE)</f>
        <v>SILLON  DE PIEL  NEGRO CON RUEDAS</v>
      </c>
      <c r="G677" s="167" t="str">
        <f ca="1">VLOOKUP($A677,'030523 INVENTARIO'!$A$2:$Y$1148,8,FALSE)</f>
        <v>P03CV-0676</v>
      </c>
      <c r="H677" s="168" t="str">
        <f>VLOOKUP($A677,'030523 INVENTARIO'!$A$2:$Y$1148,17,FALSE)</f>
        <v>SIN MARCA</v>
      </c>
      <c r="I677" s="167" t="str">
        <f>VLOOKUP($A677,'030523 INVENTARIO'!$A$2:$Y$1148,18,FALSE)</f>
        <v>S/M</v>
      </c>
      <c r="J677" s="168" t="str">
        <f>VLOOKUP($A677,'030523 INVENTARIO'!$A$2:$Y$1148,19,FALSE)</f>
        <v>SIN SERIE</v>
      </c>
      <c r="K677" s="168" t="str">
        <f>VLOOKUP($A677,'030523 INVENTARIO'!$A$2:$Y$1148,20,FALSE)</f>
        <v>82DJ0511010016000515616</v>
      </c>
      <c r="L677" s="167" t="str">
        <f>VLOOKUP($A677,'030523 INVENTARIO'!$A$2:$Y$1148,23,FALSE)</f>
        <v>ENRIQUE URBINA ORTEGA</v>
      </c>
    </row>
    <row r="678" spans="1:12" ht="12.75" hidden="1">
      <c r="A678" s="167" t="str">
        <f>'030523 INVENTARIO'!A678</f>
        <v>0677</v>
      </c>
      <c r="B678" s="168" t="str">
        <f>'030523 INVENTARIO'!T678</f>
        <v>82DJ0565010001000533242</v>
      </c>
      <c r="C678" s="167" t="str">
        <f t="shared" si="0"/>
        <v>533242</v>
      </c>
      <c r="D678" s="167" t="str">
        <f>IF(VLOOKUP(C678,'Patrimonio 2023'!$C$2:$C$1128,1,FALSE) = C678, "Encontrado", "no")</f>
        <v>Encontrado</v>
      </c>
      <c r="E678" s="167" t="str">
        <f>VLOOKUP($A678,'030523 INVENTARIO'!$A$2:$Y$1148,5,FALSE)</f>
        <v>TELEFONO</v>
      </c>
      <c r="F678" s="167" t="str">
        <f>VLOOKUP($A678,'030523 INVENTARIO'!$A$2:$Y$1148,6,FALSE)</f>
        <v>TELEFONO GRIS</v>
      </c>
      <c r="G678" s="167" t="str">
        <f ca="1">VLOOKUP($A678,'030523 INVENTARIO'!$A$2:$Y$1148,8,FALSE)</f>
        <v>P03CV-0677</v>
      </c>
      <c r="H678" s="168" t="str">
        <f>VLOOKUP($A678,'030523 INVENTARIO'!$A$2:$Y$1148,17,FALSE)</f>
        <v>LINKSYS</v>
      </c>
      <c r="I678" s="167" t="str">
        <f>VLOOKUP($A678,'030523 INVENTARIO'!$A$2:$Y$1148,18,FALSE)</f>
        <v>SPA942</v>
      </c>
      <c r="J678" s="168" t="str">
        <f>VLOOKUP($A678,'030523 INVENTARIO'!$A$2:$Y$1148,19,FALSE)</f>
        <v>4LO00H118465</v>
      </c>
      <c r="K678" s="168" t="str">
        <f>VLOOKUP($A678,'030523 INVENTARIO'!$A$2:$Y$1148,20,FALSE)</f>
        <v>82DJ0565010001000533242</v>
      </c>
      <c r="L678" s="167" t="str">
        <f>VLOOKUP($A678,'030523 INVENTARIO'!$A$2:$Y$1148,23,FALSE)</f>
        <v>ENRIQUE URBINA ORTEGA</v>
      </c>
    </row>
    <row r="679" spans="1:12" ht="12.75" hidden="1">
      <c r="A679" s="167" t="str">
        <f>'030523 INVENTARIO'!A679</f>
        <v>0678</v>
      </c>
      <c r="B679" s="167" t="str">
        <f>'030523 INVENTARIO'!T679</f>
        <v>SIN RESGUARDO</v>
      </c>
      <c r="C679" s="167" t="str">
        <f t="shared" si="0"/>
        <v/>
      </c>
      <c r="D679" s="167" t="e">
        <f>IF(VLOOKUP(C679,'Patrimonio 2023'!$C$2:$C$1128,1,FALSE) = C679, "Encontrado", "no")</f>
        <v>#N/A</v>
      </c>
      <c r="E679" s="167" t="str">
        <f>VLOOKUP($A679,'030523 INVENTARIO'!$A$2:$Y$1148,5,FALSE)</f>
        <v>MONITOR</v>
      </c>
      <c r="F679" s="167" t="str">
        <f>VLOOKUP($A679,'030523 INVENTARIO'!$A$2:$Y$1148,6,FALSE)</f>
        <v>MONITOR 21"</v>
      </c>
      <c r="G679" s="167" t="str">
        <f ca="1">VLOOKUP($A679,'030523 INVENTARIO'!$A$2:$Y$1148,8,FALSE)</f>
        <v>P03CV-0678</v>
      </c>
      <c r="H679" s="168" t="str">
        <f>VLOOKUP($A679,'030523 INVENTARIO'!$A$2:$Y$1148,17,FALSE)</f>
        <v>ACER</v>
      </c>
      <c r="I679" s="167" t="str">
        <f>VLOOKUP($A679,'030523 INVENTARIO'!$A$2:$Y$1148,18,FALSE)</f>
        <v>V226HQL</v>
      </c>
      <c r="J679" s="167" t="str">
        <f>VLOOKUP($A679,'030523 INVENTARIO'!$A$2:$Y$1148,19,FALSE)</f>
        <v>MMLXLAA0250480B4A04273</v>
      </c>
      <c r="K679" s="167" t="str">
        <f>VLOOKUP($A679,'030523 INVENTARIO'!$A$2:$Y$1148,20,FALSE)</f>
        <v>SIN RESGUARDO</v>
      </c>
      <c r="L679" s="167" t="str">
        <f>VLOOKUP($A679,'030523 INVENTARIO'!$A$2:$Y$1148,23,FALSE)</f>
        <v>FERNANDO HERNANDEZ ALCALA</v>
      </c>
    </row>
    <row r="680" spans="1:12" ht="12.75" hidden="1">
      <c r="A680" s="167" t="str">
        <f>'030523 INVENTARIO'!A680</f>
        <v>0679</v>
      </c>
      <c r="B680" s="167" t="str">
        <f>'030523 INVENTARIO'!T680</f>
        <v>SIN RESGUARDO</v>
      </c>
      <c r="C680" s="167" t="str">
        <f t="shared" si="0"/>
        <v/>
      </c>
      <c r="D680" s="167" t="e">
        <f>IF(VLOOKUP(C680,'Patrimonio 2023'!$C$2:$C$1128,1,FALSE) = C680, "Encontrado", "no")</f>
        <v>#N/A</v>
      </c>
      <c r="E680" s="167" t="str">
        <f>VLOOKUP($A680,'030523 INVENTARIO'!$A$2:$Y$1148,5,FALSE)</f>
        <v>COMPUTADORA DE ESCRITORIO</v>
      </c>
      <c r="F680" s="167" t="str">
        <f>VLOOKUP($A680,'030523 INVENTARIO'!$A$2:$Y$1148,6,FALSE)</f>
        <v>COMPUTADORA DE ESCRITORIO</v>
      </c>
      <c r="G680" s="167" t="str">
        <f ca="1">VLOOKUP($A680,'030523 INVENTARIO'!$A$2:$Y$1148,8,FALSE)</f>
        <v>P03CV-0679</v>
      </c>
      <c r="H680" s="168" t="str">
        <f>VLOOKUP($A680,'030523 INVENTARIO'!$A$2:$Y$1148,17,FALSE)</f>
        <v>ACTECK</v>
      </c>
      <c r="I680" s="167" t="str">
        <f>VLOOKUP($A680,'030523 INVENTARIO'!$A$2:$Y$1148,18,FALSE)</f>
        <v>LINX</v>
      </c>
      <c r="J680" s="167">
        <f>VLOOKUP($A680,'030523 INVENTARIO'!$A$2:$Y$1148,19,FALSE)</f>
        <v>11392903014603</v>
      </c>
      <c r="K680" s="167" t="str">
        <f>VLOOKUP($A680,'030523 INVENTARIO'!$A$2:$Y$1148,20,FALSE)</f>
        <v>SIN RESGUARDO</v>
      </c>
      <c r="L680" s="167" t="str">
        <f>VLOOKUP($A680,'030523 INVENTARIO'!$A$2:$Y$1148,23,FALSE)</f>
        <v>FERNANDO HERNANDEZ ALCALA</v>
      </c>
    </row>
    <row r="681" spans="1:12" ht="12.75" hidden="1">
      <c r="A681" s="167" t="str">
        <f>'030523 INVENTARIO'!A681</f>
        <v>0680</v>
      </c>
      <c r="B681" s="167" t="str">
        <f>'030523 INVENTARIO'!T681</f>
        <v>82DI0515010020000650895</v>
      </c>
      <c r="C681" s="167" t="str">
        <f t="shared" si="0"/>
        <v>650895</v>
      </c>
      <c r="D681" s="167" t="str">
        <f>IF(VLOOKUP(C681,'Patrimonio 2023'!$C$2:$C$1128,1,FALSE) = C681, "Encontrado", "no")</f>
        <v>Encontrado</v>
      </c>
      <c r="E681" s="167" t="str">
        <f>VLOOKUP($A681,'030523 INVENTARIO'!$A$2:$Y$1148,5,FALSE)</f>
        <v>REGULADOR DE VOLTAJE</v>
      </c>
      <c r="F681" s="167" t="str">
        <f>VLOOKUP($A681,'030523 INVENTARIO'!$A$2:$Y$1148,6,FALSE)</f>
        <v>REGULADOR NEGRO</v>
      </c>
      <c r="G681" s="167" t="str">
        <f ca="1">VLOOKUP($A681,'030523 INVENTARIO'!$A$2:$Y$1148,8,FALSE)</f>
        <v>P03CV-0680</v>
      </c>
      <c r="H681" s="168" t="str">
        <f>VLOOKUP($A681,'030523 INVENTARIO'!$A$2:$Y$1148,17,FALSE)</f>
        <v>KOBLENZ</v>
      </c>
      <c r="I681" s="167" t="str">
        <f>VLOOKUP($A681,'030523 INVENTARIO'!$A$2:$Y$1148,18,FALSE)</f>
        <v>RS/1400I</v>
      </c>
      <c r="J681" s="167" t="str">
        <f>VLOOKUP($A681,'030523 INVENTARIO'!$A$2:$Y$1148,19,FALSE)</f>
        <v>15-0714855</v>
      </c>
      <c r="K681" s="167" t="str">
        <f>VLOOKUP($A681,'030523 INVENTARIO'!$A$2:$Y$1148,20,FALSE)</f>
        <v>82DI0515010020000650895</v>
      </c>
      <c r="L681" s="167" t="str">
        <f>VLOOKUP($A681,'030523 INVENTARIO'!$A$2:$Y$1148,23,FALSE)</f>
        <v>FERNANDO HERNANDEZ ALCALA</v>
      </c>
    </row>
    <row r="682" spans="1:12" ht="12.75" hidden="1">
      <c r="A682" s="167" t="str">
        <f>'030523 INVENTARIO'!A682</f>
        <v>0681</v>
      </c>
      <c r="B682" s="168" t="str">
        <f>'030523 INVENTARIO'!T682</f>
        <v>82DI0511010001000564896</v>
      </c>
      <c r="C682" s="167" t="str">
        <f t="shared" si="0"/>
        <v>564896</v>
      </c>
      <c r="D682" s="167" t="str">
        <f>IF(VLOOKUP(C682,'Patrimonio 2023'!$C$2:$C$1128,1,FALSE) = C682, "Encontrado", "no")</f>
        <v>Encontrado</v>
      </c>
      <c r="E682" s="167" t="str">
        <f>VLOOKUP($A682,'030523 INVENTARIO'!$A$2:$Y$1148,5,FALSE)</f>
        <v>ARCHIVERO</v>
      </c>
      <c r="F682" s="167" t="str">
        <f>VLOOKUP($A682,'030523 INVENTARIO'!$A$2:$Y$1148,6,FALSE)</f>
        <v>ARCHIVERO  BEIGE CON 4 CAJONES 133X46X71</v>
      </c>
      <c r="G682" s="167" t="str">
        <f ca="1">VLOOKUP($A682,'030523 INVENTARIO'!$A$2:$Y$1148,8,FALSE)</f>
        <v>P03CV-0681</v>
      </c>
      <c r="H682" s="168" t="str">
        <f>VLOOKUP($A682,'030523 INVENTARIO'!$A$2:$Y$1148,17,FALSE)</f>
        <v>S/M</v>
      </c>
      <c r="I682" s="167" t="str">
        <f>VLOOKUP($A682,'030523 INVENTARIO'!$A$2:$Y$1148,18,FALSE)</f>
        <v>S/M</v>
      </c>
      <c r="J682" s="168" t="str">
        <f>VLOOKUP($A682,'030523 INVENTARIO'!$A$2:$Y$1148,19,FALSE)</f>
        <v>SIN SERIE</v>
      </c>
      <c r="K682" s="168" t="str">
        <f>VLOOKUP($A682,'030523 INVENTARIO'!$A$2:$Y$1148,20,FALSE)</f>
        <v>82DI0511010001000564896</v>
      </c>
      <c r="L682" s="167" t="str">
        <f>VLOOKUP($A682,'030523 INVENTARIO'!$A$2:$Y$1148,23,FALSE)</f>
        <v>ENRIQUE URBINA ORTEGA</v>
      </c>
    </row>
    <row r="683" spans="1:12" ht="12.75" hidden="1">
      <c r="A683" s="167" t="str">
        <f>'030523 INVENTARIO'!A683</f>
        <v>0682</v>
      </c>
      <c r="B683" s="168" t="str">
        <f>'030523 INVENTARIO'!T683</f>
        <v>82DJ0511010001000581385</v>
      </c>
      <c r="C683" s="167" t="str">
        <f t="shared" si="0"/>
        <v>581385</v>
      </c>
      <c r="D683" s="167" t="str">
        <f>IF(VLOOKUP(C683,'Patrimonio 2023'!$C$2:$C$1128,1,FALSE) = C683, "Encontrado", "no")</f>
        <v>Encontrado</v>
      </c>
      <c r="E683" s="167" t="str">
        <f>VLOOKUP($A683,'030523 INVENTARIO'!$A$2:$Y$1148,5,FALSE)</f>
        <v>ARCHIVERO</v>
      </c>
      <c r="F683" s="167" t="str">
        <f>VLOOKUP($A683,'030523 INVENTARIO'!$A$2:$Y$1148,6,FALSE)</f>
        <v>ARCHIVERO CAFÉ CON 4 CAJONES 133X47X70</v>
      </c>
      <c r="G683" s="167" t="str">
        <f ca="1">VLOOKUP($A683,'030523 INVENTARIO'!$A$2:$Y$1148,8,FALSE)</f>
        <v>P03CV-0682</v>
      </c>
      <c r="H683" s="168" t="str">
        <f>VLOOKUP($A683,'030523 INVENTARIO'!$A$2:$Y$1148,17,FALSE)</f>
        <v>S/M</v>
      </c>
      <c r="I683" s="167" t="str">
        <f>VLOOKUP($A683,'030523 INVENTARIO'!$A$2:$Y$1148,18,FALSE)</f>
        <v>S/M</v>
      </c>
      <c r="J683" s="168" t="str">
        <f>VLOOKUP($A683,'030523 INVENTARIO'!$A$2:$Y$1148,19,FALSE)</f>
        <v>SIN SERIE</v>
      </c>
      <c r="K683" s="168" t="str">
        <f>VLOOKUP($A683,'030523 INVENTARIO'!$A$2:$Y$1148,20,FALSE)</f>
        <v>82DJ0511010001000581385</v>
      </c>
      <c r="L683" s="167" t="str">
        <f>VLOOKUP($A683,'030523 INVENTARIO'!$A$2:$Y$1148,23,FALSE)</f>
        <v>ENRIQUE URBINA ORTEGA</v>
      </c>
    </row>
    <row r="684" spans="1:12" ht="12.75" hidden="1">
      <c r="A684" s="167" t="str">
        <f>'030523 INVENTARIO'!A684</f>
        <v>0683</v>
      </c>
      <c r="B684" s="168" t="str">
        <f>'030523 INVENTARIO'!T684</f>
        <v>82DI0511010001000581386</v>
      </c>
      <c r="C684" s="167" t="str">
        <f t="shared" si="0"/>
        <v>581386</v>
      </c>
      <c r="D684" s="167" t="str">
        <f>IF(VLOOKUP(C684,'Patrimonio 2023'!$C$2:$C$1128,1,FALSE) = C684, "Encontrado", "no")</f>
        <v>Encontrado</v>
      </c>
      <c r="E684" s="167" t="str">
        <f>VLOOKUP($A684,'030523 INVENTARIO'!$A$2:$Y$1148,5,FALSE)</f>
        <v>ARCHIVERO</v>
      </c>
      <c r="F684" s="167" t="str">
        <f>VLOOKUP($A684,'030523 INVENTARIO'!$A$2:$Y$1148,6,FALSE)</f>
        <v>ARCHIVERO GRIS CON 4 CAJONES 132X46X73</v>
      </c>
      <c r="G684" s="167" t="str">
        <f ca="1">VLOOKUP($A684,'030523 INVENTARIO'!$A$2:$Y$1148,8,FALSE)</f>
        <v>P03CV-0683</v>
      </c>
      <c r="H684" s="168" t="str">
        <f>VLOOKUP($A684,'030523 INVENTARIO'!$A$2:$Y$1148,17,FALSE)</f>
        <v>S/M</v>
      </c>
      <c r="I684" s="167" t="str">
        <f>VLOOKUP($A684,'030523 INVENTARIO'!$A$2:$Y$1148,18,FALSE)</f>
        <v>S/M</v>
      </c>
      <c r="J684" s="168" t="str">
        <f>VLOOKUP($A684,'030523 INVENTARIO'!$A$2:$Y$1148,19,FALSE)</f>
        <v>SIN SERIE</v>
      </c>
      <c r="K684" s="168" t="str">
        <f>VLOOKUP($A684,'030523 INVENTARIO'!$A$2:$Y$1148,20,FALSE)</f>
        <v>82DI0511010001000581386</v>
      </c>
      <c r="L684" s="167" t="str">
        <f>VLOOKUP($A684,'030523 INVENTARIO'!$A$2:$Y$1148,23,FALSE)</f>
        <v>VICTOR HUGO HERNANDEZ PALACIOS</v>
      </c>
    </row>
    <row r="685" spans="1:12" ht="12.75" hidden="1">
      <c r="A685" s="167" t="str">
        <f>'030523 INVENTARIO'!A685</f>
        <v>0684</v>
      </c>
      <c r="B685" s="168" t="str">
        <f>'030523 INVENTARIO'!T685</f>
        <v>82DI0511010001000649475</v>
      </c>
      <c r="C685" s="167" t="str">
        <f t="shared" si="0"/>
        <v>649475</v>
      </c>
      <c r="D685" s="167" t="str">
        <f>IF(VLOOKUP(C685,'Patrimonio 2023'!$C$2:$C$1128,1,FALSE) = C685, "Encontrado", "no")</f>
        <v>Encontrado</v>
      </c>
      <c r="E685" s="167" t="str">
        <f>VLOOKUP($A685,'030523 INVENTARIO'!$A$2:$Y$1148,5,FALSE)</f>
        <v>ARCHIVERO</v>
      </c>
      <c r="F685" s="167" t="str">
        <f>VLOOKUP($A685,'030523 INVENTARIO'!$A$2:$Y$1148,6,FALSE)</f>
        <v>ARCHIVERO CAFÉ CON 4 CAJONES 135X47X66</v>
      </c>
      <c r="G685" s="167" t="str">
        <f ca="1">VLOOKUP($A685,'030523 INVENTARIO'!$A$2:$Y$1148,8,FALSE)</f>
        <v>P03CV-0684</v>
      </c>
      <c r="H685" s="168" t="str">
        <f>VLOOKUP($A685,'030523 INVENTARIO'!$A$2:$Y$1148,17,FALSE)</f>
        <v>S/M</v>
      </c>
      <c r="I685" s="167" t="str">
        <f>VLOOKUP($A685,'030523 INVENTARIO'!$A$2:$Y$1148,18,FALSE)</f>
        <v>S/M</v>
      </c>
      <c r="J685" s="168" t="str">
        <f>VLOOKUP($A685,'030523 INVENTARIO'!$A$2:$Y$1148,19,FALSE)</f>
        <v>SIN SERIE</v>
      </c>
      <c r="K685" s="168" t="str">
        <f>VLOOKUP($A685,'030523 INVENTARIO'!$A$2:$Y$1148,20,FALSE)</f>
        <v>82DI0511010001000649475</v>
      </c>
      <c r="L685" s="167" t="str">
        <f>VLOOKUP($A685,'030523 INVENTARIO'!$A$2:$Y$1148,23,FALSE)</f>
        <v>MARIA DEL SOCORRO OLMOS CHAVEZ</v>
      </c>
    </row>
    <row r="686" spans="1:12" ht="12.75" hidden="1">
      <c r="A686" s="167" t="str">
        <f>'030523 INVENTARIO'!A686</f>
        <v>0685</v>
      </c>
      <c r="B686" s="168" t="str">
        <f>'030523 INVENTARIO'!T686</f>
        <v>82DI0511010001000581387</v>
      </c>
      <c r="C686" s="167" t="str">
        <f t="shared" si="0"/>
        <v>581387</v>
      </c>
      <c r="D686" s="167" t="str">
        <f>IF(VLOOKUP(C686,'Patrimonio 2023'!$C$2:$C$1128,1,FALSE) = C686, "Encontrado", "no")</f>
        <v>Encontrado</v>
      </c>
      <c r="E686" s="167" t="str">
        <f>VLOOKUP($A686,'030523 INVENTARIO'!$A$2:$Y$1148,5,FALSE)</f>
        <v>ARCHIVERO</v>
      </c>
      <c r="F686" s="167" t="str">
        <f>VLOOKUP($A686,'030523 INVENTARIO'!$A$2:$Y$1148,6,FALSE)</f>
        <v>ARCHIVERO GRIS  CON 4 CAJONES 134X45X71</v>
      </c>
      <c r="G686" s="167" t="str">
        <f ca="1">VLOOKUP($A686,'030523 INVENTARIO'!$A$2:$Y$1148,8,FALSE)</f>
        <v>P03CV-0685</v>
      </c>
      <c r="H686" s="168" t="str">
        <f>VLOOKUP($A686,'030523 INVENTARIO'!$A$2:$Y$1148,17,FALSE)</f>
        <v>S/M</v>
      </c>
      <c r="I686" s="167" t="str">
        <f>VLOOKUP($A686,'030523 INVENTARIO'!$A$2:$Y$1148,18,FALSE)</f>
        <v>S/M</v>
      </c>
      <c r="J686" s="168" t="str">
        <f>VLOOKUP($A686,'030523 INVENTARIO'!$A$2:$Y$1148,19,FALSE)</f>
        <v>SIN SERIE</v>
      </c>
      <c r="K686" s="168" t="str">
        <f>VLOOKUP($A686,'030523 INVENTARIO'!$A$2:$Y$1148,20,FALSE)</f>
        <v>82DI0511010001000581387</v>
      </c>
      <c r="L686" s="167" t="str">
        <f>VLOOKUP($A686,'030523 INVENTARIO'!$A$2:$Y$1148,23,FALSE)</f>
        <v>ENRIQUE URBINA ORTEGA</v>
      </c>
    </row>
    <row r="687" spans="1:12" ht="12.75" hidden="1">
      <c r="A687" s="167" t="str">
        <f>'030523 INVENTARIO'!A687</f>
        <v>0686</v>
      </c>
      <c r="B687" s="168" t="str">
        <f>'030523 INVENTARIO'!T687</f>
        <v>82DK0511010017000522770</v>
      </c>
      <c r="C687" s="167" t="str">
        <f t="shared" si="0"/>
        <v>522770</v>
      </c>
      <c r="D687" s="167" t="str">
        <f>IF(VLOOKUP(C687,'Patrimonio 2023'!$C$2:$C$1128,1,FALSE) = C687, "Encontrado", "no")</f>
        <v>Encontrado</v>
      </c>
      <c r="E687" s="167" t="str">
        <f>VLOOKUP($A687,'030523 INVENTARIO'!$A$2:$Y$1148,5,FALSE)</f>
        <v>SILLA</v>
      </c>
      <c r="F687" s="167" t="str">
        <f>VLOOKUP($A687,'030523 INVENTARIO'!$A$2:$Y$1148,6,FALSE)</f>
        <v>SILLA DE TELA NEGRA FIJA</v>
      </c>
      <c r="G687" s="167" t="str">
        <f ca="1">VLOOKUP($A687,'030523 INVENTARIO'!$A$2:$Y$1148,8,FALSE)</f>
        <v>P05DA-0686</v>
      </c>
      <c r="H687" s="168" t="str">
        <f>VLOOKUP($A687,'030523 INVENTARIO'!$A$2:$Y$1148,17,FALSE)</f>
        <v>S/M</v>
      </c>
      <c r="I687" s="167" t="str">
        <f>VLOOKUP($A687,'030523 INVENTARIO'!$A$2:$Y$1148,18,FALSE)</f>
        <v>S/M</v>
      </c>
      <c r="J687" s="168" t="str">
        <f>VLOOKUP($A687,'030523 INVENTARIO'!$A$2:$Y$1148,19,FALSE)</f>
        <v>SIN SERIE</v>
      </c>
      <c r="K687" s="168" t="str">
        <f>VLOOKUP($A687,'030523 INVENTARIO'!$A$2:$Y$1148,20,FALSE)</f>
        <v>82DK0511010017000522770</v>
      </c>
      <c r="L687" s="167" t="str">
        <f>VLOOKUP($A687,'030523 INVENTARIO'!$A$2:$Y$1148,23,FALSE)</f>
        <v>SARA ARCELIA LOPEZ NAVARRO</v>
      </c>
    </row>
    <row r="688" spans="1:12" ht="12.75" hidden="1">
      <c r="A688" s="167" t="str">
        <f>'030523 INVENTARIO'!A688</f>
        <v>0687</v>
      </c>
      <c r="B688" s="168" t="str">
        <f>'030523 INVENTARIO'!T688</f>
        <v>82DK0511010001000649500</v>
      </c>
      <c r="C688" s="167" t="str">
        <f t="shared" si="0"/>
        <v>649500</v>
      </c>
      <c r="D688" s="167" t="str">
        <f>IF(VLOOKUP(C688,'Patrimonio 2023'!$C$2:$C$1128,1,FALSE) = C688, "Encontrado", "no")</f>
        <v>Encontrado</v>
      </c>
      <c r="E688" s="167" t="str">
        <f>VLOOKUP($A688,'030523 INVENTARIO'!$A$2:$Y$1148,5,FALSE)</f>
        <v>ARCHIVERO</v>
      </c>
      <c r="F688" s="167" t="str">
        <f>VLOOKUP($A688,'030523 INVENTARIO'!$A$2:$Y$1148,6,FALSE)</f>
        <v>ARCHIVERO NEGRO CON 2 CAJONES 54X40X56</v>
      </c>
      <c r="G688" s="167" t="str">
        <f ca="1">VLOOKUP($A688,'030523 INVENTARIO'!$A$2:$Y$1148,8,FALSE)</f>
        <v>P05RH-0687</v>
      </c>
      <c r="H688" s="168" t="str">
        <f>VLOOKUP($A688,'030523 INVENTARIO'!$A$2:$Y$1148,17,FALSE)</f>
        <v>S/M</v>
      </c>
      <c r="I688" s="167" t="str">
        <f>VLOOKUP($A688,'030523 INVENTARIO'!$A$2:$Y$1148,18,FALSE)</f>
        <v>S/M</v>
      </c>
      <c r="J688" s="168" t="str">
        <f>VLOOKUP($A688,'030523 INVENTARIO'!$A$2:$Y$1148,19,FALSE)</f>
        <v>SIN SERIE</v>
      </c>
      <c r="K688" s="168" t="str">
        <f>VLOOKUP($A688,'030523 INVENTARIO'!$A$2:$Y$1148,20,FALSE)</f>
        <v>82DK0511010001000649500</v>
      </c>
      <c r="L688" s="167" t="str">
        <f>VLOOKUP($A688,'030523 INVENTARIO'!$A$2:$Y$1148,23,FALSE)</f>
        <v>TANIA XIOMARA PEÑA ESTRADA</v>
      </c>
    </row>
    <row r="689" spans="1:12" ht="12.75" hidden="1">
      <c r="A689" s="167" t="str">
        <f>'030523 INVENTARIO'!A689</f>
        <v>0688</v>
      </c>
      <c r="B689" s="168" t="str">
        <f>'030523 INVENTARIO'!T689</f>
        <v>82DI0531010065000564866</v>
      </c>
      <c r="C689" s="167" t="str">
        <f t="shared" si="0"/>
        <v>564866</v>
      </c>
      <c r="D689" s="167" t="str">
        <f>IF(VLOOKUP(C689,'Patrimonio 2023'!$C$2:$C$1128,1,FALSE) = C689, "Encontrado", "no")</f>
        <v>Encontrado</v>
      </c>
      <c r="E689" s="167" t="str">
        <f>VLOOKUP($A689,'030523 INVENTARIO'!$A$2:$Y$1148,5,FALSE)</f>
        <v>MESA</v>
      </c>
      <c r="F689" s="167" t="str">
        <f>VLOOKUP($A689,'030523 INVENTARIO'!$A$2:$Y$1148,6,FALSE)</f>
        <v>MESA DE MADERA CON ENTREPAÑO 66X80X453</v>
      </c>
      <c r="G689" s="167" t="str">
        <f ca="1">VLOOKUP($A689,'030523 INVENTARIO'!$A$2:$Y$1148,8,FALSE)</f>
        <v>P03CV-0688</v>
      </c>
      <c r="H689" s="168" t="str">
        <f>VLOOKUP($A689,'030523 INVENTARIO'!$A$2:$Y$1148,17,FALSE)</f>
        <v>S/M</v>
      </c>
      <c r="I689" s="167" t="str">
        <f>VLOOKUP($A689,'030523 INVENTARIO'!$A$2:$Y$1148,18,FALSE)</f>
        <v>S/M</v>
      </c>
      <c r="J689" s="168" t="str">
        <f>VLOOKUP($A689,'030523 INVENTARIO'!$A$2:$Y$1148,19,FALSE)</f>
        <v>SIN SERIE</v>
      </c>
      <c r="K689" s="168" t="str">
        <f>VLOOKUP($A689,'030523 INVENTARIO'!$A$2:$Y$1148,20,FALSE)</f>
        <v>82DI0531010065000564866</v>
      </c>
      <c r="L689" s="167" t="str">
        <f>VLOOKUP($A689,'030523 INVENTARIO'!$A$2:$Y$1148,23,FALSE)</f>
        <v>ENRIQUE URBINA ORTEGA</v>
      </c>
    </row>
    <row r="690" spans="1:12" ht="12.75" hidden="1">
      <c r="A690" s="167" t="str">
        <f>'030523 INVENTARIO'!A690</f>
        <v>0689</v>
      </c>
      <c r="B690" s="167" t="str">
        <f>'030523 INVENTARIO'!T690</f>
        <v>82DK0531010094000581183</v>
      </c>
      <c r="C690" s="167" t="str">
        <f t="shared" si="0"/>
        <v>581183</v>
      </c>
      <c r="D690" s="167" t="str">
        <f>IF(VLOOKUP(C690,'Patrimonio 2023'!$C$2:$C$1128,1,FALSE) = C690, "Encontrado", "no")</f>
        <v>Encontrado</v>
      </c>
      <c r="E690" s="167" t="str">
        <f>VLOOKUP($A690,'030523 INVENTARIO'!$A$2:$Y$1148,5,FALSE)</f>
        <v>VENTILADOR</v>
      </c>
      <c r="F690" s="167" t="str">
        <f>VLOOKUP($A690,'030523 INVENTARIO'!$A$2:$Y$1148,6,FALSE)</f>
        <v>VENTILADOR GRIS  DE TORRE PEQUEÑO</v>
      </c>
      <c r="G690" s="167" t="str">
        <f ca="1">VLOOKUP($A690,'030523 INVENTARIO'!$A$2:$Y$1148,8,FALSE)</f>
        <v>P03CV-0689</v>
      </c>
      <c r="H690" s="168" t="str">
        <f>VLOOKUP($A690,'030523 INVENTARIO'!$A$2:$Y$1148,17,FALSE)</f>
        <v>SEVILLE CLASSIC</v>
      </c>
      <c r="I690" s="167">
        <f>VLOOKUP($A690,'030523 INVENTARIO'!$A$2:$Y$1148,18,FALSE)</f>
        <v>10186</v>
      </c>
      <c r="J690" s="167" t="str">
        <f>VLOOKUP($A690,'030523 INVENTARIO'!$A$2:$Y$1148,19,FALSE)</f>
        <v>SIN SERIE</v>
      </c>
      <c r="K690" s="167" t="str">
        <f>VLOOKUP($A690,'030523 INVENTARIO'!$A$2:$Y$1148,20,FALSE)</f>
        <v>82DK0531010094000581183</v>
      </c>
      <c r="L690" s="167" t="str">
        <f>VLOOKUP($A690,'030523 INVENTARIO'!$A$2:$Y$1148,23,FALSE)</f>
        <v>MARIA AUXILIO VILLAFUERTE RODRIGUEZ</v>
      </c>
    </row>
    <row r="691" spans="1:12" ht="12.75" hidden="1">
      <c r="A691" s="167" t="str">
        <f>'030523 INVENTARIO'!A691</f>
        <v>0690</v>
      </c>
      <c r="B691" s="168" t="str">
        <f>'030523 INVENTARIO'!T691</f>
        <v>82DK0511010006000583482</v>
      </c>
      <c r="C691" s="167" t="str">
        <f t="shared" si="0"/>
        <v>583482</v>
      </c>
      <c r="D691" s="167" t="str">
        <f>IF(VLOOKUP(C691,'Patrimonio 2023'!$C$2:$C$1128,1,FALSE) = C691, "Encontrado", "no")</f>
        <v>Encontrado</v>
      </c>
      <c r="E691" s="167" t="str">
        <f>VLOOKUP($A691,'030523 INVENTARIO'!$A$2:$Y$1148,5,FALSE)</f>
        <v>ESCRITORIO</v>
      </c>
      <c r="F691" s="167" t="str">
        <f>VLOOKUP($A691,'030523 INVENTARIO'!$A$2:$Y$1148,6,FALSE)</f>
        <v>ESCRITORIO DE MADERA 2 CAJONES 140X60</v>
      </c>
      <c r="G691" s="167" t="str">
        <f ca="1">VLOOKUP($A691,'030523 INVENTARIO'!$A$2:$Y$1148,8,FALSE)</f>
        <v>P03CV-0690</v>
      </c>
      <c r="H691" s="168" t="str">
        <f>VLOOKUP($A691,'030523 INVENTARIO'!$A$2:$Y$1148,17,FALSE)</f>
        <v>S/M</v>
      </c>
      <c r="I691" s="167" t="str">
        <f>VLOOKUP($A691,'030523 INVENTARIO'!$A$2:$Y$1148,18,FALSE)</f>
        <v>S/M</v>
      </c>
      <c r="J691" s="168" t="str">
        <f>VLOOKUP($A691,'030523 INVENTARIO'!$A$2:$Y$1148,19,FALSE)</f>
        <v>SIN SERIE</v>
      </c>
      <c r="K691" s="168" t="str">
        <f>VLOOKUP($A691,'030523 INVENTARIO'!$A$2:$Y$1148,20,FALSE)</f>
        <v>82DK0511010006000583482</v>
      </c>
      <c r="L691" s="167" t="str">
        <f>VLOOKUP($A691,'030523 INVENTARIO'!$A$2:$Y$1148,23,FALSE)</f>
        <v>MARIA AUXILIO VILLAFUERTE RODRIGUEZ</v>
      </c>
    </row>
    <row r="692" spans="1:12" ht="12.75" hidden="1">
      <c r="A692" s="167" t="str">
        <f>'030523 INVENTARIO'!A692</f>
        <v>0691</v>
      </c>
      <c r="B692" s="168" t="str">
        <f>'030523 INVENTARIO'!T692</f>
        <v>82DK0531010065000564865</v>
      </c>
      <c r="C692" s="167" t="str">
        <f t="shared" si="0"/>
        <v>564865</v>
      </c>
      <c r="D692" s="167" t="str">
        <f>IF(VLOOKUP(C692,'Patrimonio 2023'!$C$2:$C$1128,1,FALSE) = C692, "Encontrado", "no")</f>
        <v>Encontrado</v>
      </c>
      <c r="E692" s="167" t="str">
        <f>VLOOKUP($A692,'030523 INVENTARIO'!$A$2:$Y$1148,5,FALSE)</f>
        <v>MESA</v>
      </c>
      <c r="F692" s="167" t="str">
        <f>VLOOKUP($A692,'030523 INVENTARIO'!$A$2:$Y$1148,6,FALSE)</f>
        <v>MESA COMPLEMENTO TIPO BALA 160X60</v>
      </c>
      <c r="G692" s="167" t="str">
        <f ca="1">VLOOKUP($A692,'030523 INVENTARIO'!$A$2:$Y$1148,8,FALSE)</f>
        <v>P03CV-0691</v>
      </c>
      <c r="H692" s="168" t="str">
        <f>VLOOKUP($A692,'030523 INVENTARIO'!$A$2:$Y$1148,17,FALSE)</f>
        <v>S/M</v>
      </c>
      <c r="I692" s="167" t="str">
        <f>VLOOKUP($A692,'030523 INVENTARIO'!$A$2:$Y$1148,18,FALSE)</f>
        <v>S/M</v>
      </c>
      <c r="J692" s="168" t="str">
        <f>VLOOKUP($A692,'030523 INVENTARIO'!$A$2:$Y$1148,19,FALSE)</f>
        <v>SIN SERIE</v>
      </c>
      <c r="K692" s="168" t="str">
        <f>VLOOKUP($A692,'030523 INVENTARIO'!$A$2:$Y$1148,20,FALSE)</f>
        <v>82DK0531010065000564865</v>
      </c>
      <c r="L692" s="167" t="str">
        <f>VLOOKUP($A692,'030523 INVENTARIO'!$A$2:$Y$1148,23,FALSE)</f>
        <v>MARIA AUXILIO VILLAFUERTE RODRIGUEZ</v>
      </c>
    </row>
    <row r="693" spans="1:12" ht="12.75" hidden="1">
      <c r="A693" s="167" t="str">
        <f>'030523 INVENTARIO'!A693</f>
        <v>0692</v>
      </c>
      <c r="B693" s="168" t="str">
        <f>'030523 INVENTARIO'!T693</f>
        <v>82DK0565010041000539107</v>
      </c>
      <c r="C693" s="167" t="str">
        <f t="shared" si="0"/>
        <v>539107</v>
      </c>
      <c r="D693" s="167" t="str">
        <f>IF(VLOOKUP(C693,'Patrimonio 2023'!$C$2:$C$1128,1,FALSE) = C693, "Encontrado", "no")</f>
        <v>Encontrado</v>
      </c>
      <c r="E693" s="167" t="str">
        <f>VLOOKUP($A693,'030523 INVENTARIO'!$A$2:$Y$1148,5,FALSE)</f>
        <v>MONITOR</v>
      </c>
      <c r="F693" s="167" t="str">
        <f>VLOOKUP($A693,'030523 INVENTARIO'!$A$2:$Y$1148,6,FALSE)</f>
        <v>MONITOR 19"</v>
      </c>
      <c r="G693" s="167" t="str">
        <f ca="1">VLOOKUP($A693,'030523 INVENTARIO'!$A$2:$Y$1148,8,FALSE)</f>
        <v>P05RM-0692</v>
      </c>
      <c r="H693" s="168" t="str">
        <f>VLOOKUP($A693,'030523 INVENTARIO'!$A$2:$Y$1148,17,FALSE)</f>
        <v>HP COMPAQ</v>
      </c>
      <c r="I693" s="167" t="str">
        <f>VLOOKUP($A693,'030523 INVENTARIO'!$A$2:$Y$1148,18,FALSE)</f>
        <v>WF1907</v>
      </c>
      <c r="J693" s="167" t="str">
        <f>VLOOKUP($A693,'030523 INVENTARIO'!$A$2:$Y$1148,19,FALSE)</f>
        <v>CNC812Y97Q</v>
      </c>
      <c r="K693" s="168" t="str">
        <f>VLOOKUP($A693,'030523 INVENTARIO'!$A$2:$Y$1148,20,FALSE)</f>
        <v>82DK0565010041000539107</v>
      </c>
      <c r="L693" s="167" t="str">
        <f>VLOOKUP($A693,'030523 INVENTARIO'!$A$2:$Y$1148,23,FALSE)</f>
        <v>BLANCA ELIZABETH ALCANTAR GUERRERO</v>
      </c>
    </row>
    <row r="694" spans="1:12" ht="12.75" hidden="1">
      <c r="A694" s="167" t="str">
        <f>'030523 INVENTARIO'!A694</f>
        <v>0693</v>
      </c>
      <c r="B694" s="168" t="str">
        <f>'030523 INVENTARIO'!T694</f>
        <v>82DK0515010001000539047</v>
      </c>
      <c r="C694" s="167" t="str">
        <f t="shared" si="0"/>
        <v>539047</v>
      </c>
      <c r="D694" s="167" t="str">
        <f>IF(VLOOKUP(C694,'Patrimonio 2023'!$C$2:$C$1128,1,FALSE) = C694, "Encontrado", "no")</f>
        <v>Encontrado</v>
      </c>
      <c r="E694" s="167" t="str">
        <f>VLOOKUP($A694,'030523 INVENTARIO'!$A$2:$Y$1148,5,FALSE)</f>
        <v>COMPUTADORA DE ESCRITORIO</v>
      </c>
      <c r="F694" s="167" t="str">
        <f>VLOOKUP($A694,'030523 INVENTARIO'!$A$2:$Y$1148,6,FALSE)</f>
        <v>COMPUTADORA DE ESCRITORIO</v>
      </c>
      <c r="G694" s="167" t="str">
        <f ca="1">VLOOKUP($A694,'030523 INVENTARIO'!$A$2:$Y$1148,8,FALSE)</f>
        <v>P05RM-0693</v>
      </c>
      <c r="H694" s="168" t="str">
        <f>VLOOKUP($A694,'030523 INVENTARIO'!$A$2:$Y$1148,17,FALSE)</f>
        <v>HP</v>
      </c>
      <c r="I694" s="167" t="str">
        <f>VLOOKUP($A694,'030523 INVENTARIO'!$A$2:$Y$1148,18,FALSE)</f>
        <v>DC7800</v>
      </c>
      <c r="J694" s="168" t="str">
        <f>VLOOKUP($A694,'030523 INVENTARIO'!$A$2:$Y$1148,19,FALSE)</f>
        <v>MXJ819034R</v>
      </c>
      <c r="K694" s="168" t="str">
        <f>VLOOKUP($A694,'030523 INVENTARIO'!$A$2:$Y$1148,20,FALSE)</f>
        <v>82DK0515010001000539047</v>
      </c>
      <c r="L694" s="167" t="str">
        <f>VLOOKUP($A694,'030523 INVENTARIO'!$A$2:$Y$1148,23,FALSE)</f>
        <v>BLANCA ELIZABETH ALCANTAR GUERRERO</v>
      </c>
    </row>
    <row r="695" spans="1:12" ht="12.75" hidden="1">
      <c r="A695" s="167" t="str">
        <f>'030523 INVENTARIO'!A695</f>
        <v>0694</v>
      </c>
      <c r="B695" s="168" t="str">
        <f>'030523 INVENTARIO'!T695</f>
        <v>82DK0515010033000651113</v>
      </c>
      <c r="C695" s="167" t="str">
        <f t="shared" si="0"/>
        <v>651113</v>
      </c>
      <c r="D695" s="167" t="str">
        <f>IF(VLOOKUP(C695,'Patrimonio 2023'!$C$2:$C$1128,1,FALSE) = C695, "Encontrado", "no")</f>
        <v>Encontrado</v>
      </c>
      <c r="E695" s="167" t="str">
        <f>VLOOKUP($A695,'030523 INVENTARIO'!$A$2:$Y$1148,5,FALSE)</f>
        <v>COMPLEMENTARIO DE EQUIPO DE COMPUTO</v>
      </c>
      <c r="F695" s="167" t="str">
        <f>VLOOKUP($A695,'030523 INVENTARIO'!$A$2:$Y$1148,6,FALSE)</f>
        <v>COMPLEMENTO DE EQUIPO DE MADERA</v>
      </c>
      <c r="G695" s="167" t="str">
        <f ca="1">VLOOKUP($A695,'030523 INVENTARIO'!$A$2:$Y$1148,8,FALSE)</f>
        <v>P03CV-0694</v>
      </c>
      <c r="H695" s="168" t="str">
        <f>VLOOKUP($A695,'030523 INVENTARIO'!$A$2:$Y$1148,17,FALSE)</f>
        <v>S/M</v>
      </c>
      <c r="I695" s="167" t="str">
        <f>VLOOKUP($A695,'030523 INVENTARIO'!$A$2:$Y$1148,18,FALSE)</f>
        <v>S/M</v>
      </c>
      <c r="J695" s="168" t="str">
        <f>VLOOKUP($A695,'030523 INVENTARIO'!$A$2:$Y$1148,19,FALSE)</f>
        <v>SIN SERIE</v>
      </c>
      <c r="K695" s="168" t="str">
        <f>VLOOKUP($A695,'030523 INVENTARIO'!$A$2:$Y$1148,20,FALSE)</f>
        <v>82DK0515010033000651113</v>
      </c>
      <c r="L695" s="167" t="str">
        <f>VLOOKUP($A695,'030523 INVENTARIO'!$A$2:$Y$1148,23,FALSE)</f>
        <v>MARIA AUXILIO VILLAFUERTE RODRIGUEZ</v>
      </c>
    </row>
    <row r="696" spans="1:12" ht="12.75" hidden="1">
      <c r="A696" s="167" t="str">
        <f>'030523 INVENTARIO'!A696</f>
        <v>0695</v>
      </c>
      <c r="B696" s="167" t="str">
        <f>'030523 INVENTARIO'!T696</f>
        <v>82DK0515010016000649439</v>
      </c>
      <c r="C696" s="167" t="str">
        <f t="shared" si="0"/>
        <v>649439</v>
      </c>
      <c r="D696" s="167" t="str">
        <f>IF(VLOOKUP(C696,'Patrimonio 2023'!$C$2:$C$1128,1,FALSE) = C696, "Encontrado", "no")</f>
        <v>Encontrado</v>
      </c>
      <c r="E696" s="167" t="str">
        <f>VLOOKUP($A696,'030523 INVENTARIO'!$A$2:$Y$1148,5,FALSE)</f>
        <v>NO BREAK</v>
      </c>
      <c r="F696" s="167" t="str">
        <f>VLOOKUP($A696,'030523 INVENTARIO'!$A$2:$Y$1148,6,FALSE)</f>
        <v>NO BREAK NEGRO</v>
      </c>
      <c r="G696" s="167" t="str">
        <f ca="1">VLOOKUP($A696,'030523 INVENTARIO'!$A$2:$Y$1148,8,FALSE)</f>
        <v>P03CV-0695</v>
      </c>
      <c r="H696" s="168" t="str">
        <f>VLOOKUP($A696,'030523 INVENTARIO'!$A$2:$Y$1148,17,FALSE)</f>
        <v>VORAGO</v>
      </c>
      <c r="I696" s="167" t="str">
        <f>VLOOKUP($A696,'030523 INVENTARIO'!$A$2:$Y$1148,18,FALSE)</f>
        <v>UPS300</v>
      </c>
      <c r="J696" s="168" t="str">
        <f>VLOOKUP($A696,'030523 INVENTARIO'!$A$2:$Y$1148,19,FALSE)</f>
        <v>16459464430</v>
      </c>
      <c r="K696" s="167" t="str">
        <f>VLOOKUP($A696,'030523 INVENTARIO'!$A$2:$Y$1148,20,FALSE)</f>
        <v>82DK0515010016000649439</v>
      </c>
      <c r="L696" s="167" t="str">
        <f>VLOOKUP($A696,'030523 INVENTARIO'!$A$2:$Y$1148,23,FALSE)</f>
        <v>MARIA AUXILIO VILLAFUERTE RODRIGUEZ</v>
      </c>
    </row>
    <row r="697" spans="1:12" ht="12.75" hidden="1">
      <c r="A697" s="167" t="str">
        <f>'030523 INVENTARIO'!A697</f>
        <v>0696</v>
      </c>
      <c r="B697" s="168" t="str">
        <f>'030523 INVENTARIO'!T697</f>
        <v>82DI0511010017000516230</v>
      </c>
      <c r="C697" s="167" t="str">
        <f t="shared" si="0"/>
        <v>516230</v>
      </c>
      <c r="D697" s="167" t="str">
        <f>IF(VLOOKUP(C697,'Patrimonio 2023'!$C$2:$C$1128,1,FALSE) = C697, "Encontrado", "no")</f>
        <v>Encontrado</v>
      </c>
      <c r="E697" s="167" t="str">
        <f>VLOOKUP($A697,'030523 INVENTARIO'!$A$2:$Y$1148,5,FALSE)</f>
        <v>SILLON</v>
      </c>
      <c r="F697" s="167" t="str">
        <f>VLOOKUP($A697,'030523 INVENTARIO'!$A$2:$Y$1148,6,FALSE)</f>
        <v>SILLON DE TELA CON RUEDAS NEGRO</v>
      </c>
      <c r="G697" s="167" t="str">
        <f ca="1">VLOOKUP($A697,'030523 INVENTARIO'!$A$2:$Y$1148,8,FALSE)</f>
        <v>P03CV-0696</v>
      </c>
      <c r="H697" s="168" t="str">
        <f>VLOOKUP($A697,'030523 INVENTARIO'!$A$2:$Y$1148,17,FALSE)</f>
        <v>S/M</v>
      </c>
      <c r="I697" s="167" t="str">
        <f>VLOOKUP($A697,'030523 INVENTARIO'!$A$2:$Y$1148,18,FALSE)</f>
        <v>S/M</v>
      </c>
      <c r="J697" s="168" t="str">
        <f>VLOOKUP($A697,'030523 INVENTARIO'!$A$2:$Y$1148,19,FALSE)</f>
        <v>SIN SERIE</v>
      </c>
      <c r="K697" s="168" t="str">
        <f>VLOOKUP($A697,'030523 INVENTARIO'!$A$2:$Y$1148,20,FALSE)</f>
        <v>82DI0511010017000516230</v>
      </c>
      <c r="L697" s="167" t="str">
        <f>VLOOKUP($A697,'030523 INVENTARIO'!$A$2:$Y$1148,23,FALSE)</f>
        <v>MARIA AUXILIO VILLAFUERTE RODRIGUEZ</v>
      </c>
    </row>
    <row r="698" spans="1:12" ht="12.75" hidden="1">
      <c r="A698" s="167" t="str">
        <f>'030523 INVENTARIO'!A698</f>
        <v>0697</v>
      </c>
      <c r="B698" s="168" t="str">
        <f>'030523 INVENTARIO'!T698</f>
        <v>82DI0511010020000649496</v>
      </c>
      <c r="C698" s="167" t="str">
        <f t="shared" si="0"/>
        <v>649496</v>
      </c>
      <c r="D698" s="167" t="str">
        <f>IF(VLOOKUP(C698,'Patrimonio 2023'!$C$2:$C$1128,1,FALSE) = C698, "Encontrado", "no")</f>
        <v>Encontrado</v>
      </c>
      <c r="E698" s="167" t="str">
        <f>VLOOKUP($A698,'030523 INVENTARIO'!$A$2:$Y$1148,5,FALSE)</f>
        <v>ARCHIVERO</v>
      </c>
      <c r="F698" s="167" t="str">
        <f>VLOOKUP($A698,'030523 INVENTARIO'!$A$2:$Y$1148,6,FALSE)</f>
        <v>ANAQUEL CON 2 PUERTAS 180X80X37</v>
      </c>
      <c r="G698" s="167" t="str">
        <f ca="1">VLOOKUP($A698,'030523 INVENTARIO'!$A$2:$Y$1148,8,FALSE)</f>
        <v>P03CV-0697</v>
      </c>
      <c r="H698" s="168" t="str">
        <f>VLOOKUP($A698,'030523 INVENTARIO'!$A$2:$Y$1148,17,FALSE)</f>
        <v>S/M</v>
      </c>
      <c r="I698" s="167" t="str">
        <f>VLOOKUP($A698,'030523 INVENTARIO'!$A$2:$Y$1148,18,FALSE)</f>
        <v>S/M</v>
      </c>
      <c r="J698" s="168" t="str">
        <f>VLOOKUP($A698,'030523 INVENTARIO'!$A$2:$Y$1148,19,FALSE)</f>
        <v>SIN SERIE</v>
      </c>
      <c r="K698" s="168" t="str">
        <f>VLOOKUP($A698,'030523 INVENTARIO'!$A$2:$Y$1148,20,FALSE)</f>
        <v>82DI0511010020000649496</v>
      </c>
      <c r="L698" s="167" t="str">
        <f>VLOOKUP($A698,'030523 INVENTARIO'!$A$2:$Y$1148,23,FALSE)</f>
        <v>FERNANDO HERNANDEZ ALCALA</v>
      </c>
    </row>
    <row r="699" spans="1:12" ht="12.75" hidden="1">
      <c r="A699" s="167" t="str">
        <f>'030523 INVENTARIO'!A699</f>
        <v>0698</v>
      </c>
      <c r="B699" s="168" t="str">
        <f>'030523 INVENTARIO'!T699</f>
        <v>82DI0511010006000583481</v>
      </c>
      <c r="C699" s="167" t="str">
        <f t="shared" si="0"/>
        <v>583481</v>
      </c>
      <c r="D699" s="167" t="str">
        <f>IF(VLOOKUP(C699,'Patrimonio 2023'!$C$2:$C$1128,1,FALSE) = C699, "Encontrado", "no")</f>
        <v>Encontrado</v>
      </c>
      <c r="E699" s="167" t="str">
        <f>VLOOKUP($A699,'030523 INVENTARIO'!$A$2:$Y$1148,5,FALSE)</f>
        <v>ESCRITORIO</v>
      </c>
      <c r="F699" s="167" t="str">
        <f>VLOOKUP($A699,'030523 INVENTARIO'!$A$2:$Y$1148,6,FALSE)</f>
        <v>ESCRITORIO DE MADERA 140X60</v>
      </c>
      <c r="G699" s="167" t="str">
        <f ca="1">VLOOKUP($A699,'030523 INVENTARIO'!$A$2:$Y$1148,8,FALSE)</f>
        <v>P03CV-0698</v>
      </c>
      <c r="H699" s="168" t="str">
        <f>VLOOKUP($A699,'030523 INVENTARIO'!$A$2:$Y$1148,17,FALSE)</f>
        <v>S/M</v>
      </c>
      <c r="I699" s="167" t="str">
        <f>VLOOKUP($A699,'030523 INVENTARIO'!$A$2:$Y$1148,18,FALSE)</f>
        <v>S/M</v>
      </c>
      <c r="J699" s="168" t="str">
        <f>VLOOKUP($A699,'030523 INVENTARIO'!$A$2:$Y$1148,19,FALSE)</f>
        <v>SIN SERIE</v>
      </c>
      <c r="K699" s="168" t="str">
        <f>VLOOKUP($A699,'030523 INVENTARIO'!$A$2:$Y$1148,20,FALSE)</f>
        <v>82DI0511010006000583481</v>
      </c>
      <c r="L699" s="167" t="str">
        <f>VLOOKUP($A699,'030523 INVENTARIO'!$A$2:$Y$1148,23,FALSE)</f>
        <v>FERNANDO HERNANDEZ ALCALA</v>
      </c>
    </row>
    <row r="700" spans="1:12" ht="12.75" hidden="1">
      <c r="A700" s="167" t="str">
        <f>'030523 INVENTARIO'!A700</f>
        <v>0699</v>
      </c>
      <c r="B700" s="168" t="str">
        <f>'030523 INVENTARIO'!T700</f>
        <v>82DI0531010065000564864</v>
      </c>
      <c r="C700" s="167" t="str">
        <f t="shared" si="0"/>
        <v>564864</v>
      </c>
      <c r="D700" s="167" t="str">
        <f>IF(VLOOKUP(C700,'Patrimonio 2023'!$C$2:$C$1128,1,FALSE) = C700, "Encontrado", "no")</f>
        <v>Encontrado</v>
      </c>
      <c r="E700" s="167" t="str">
        <f>VLOOKUP($A700,'030523 INVENTARIO'!$A$2:$Y$1148,5,FALSE)</f>
        <v>MESA</v>
      </c>
      <c r="F700" s="167" t="str">
        <f>VLOOKUP($A700,'030523 INVENTARIO'!$A$2:$Y$1148,6,FALSE)</f>
        <v>MESA COMPLEMENTO TIPO BALA 160X60</v>
      </c>
      <c r="G700" s="167" t="str">
        <f ca="1">VLOOKUP($A700,'030523 INVENTARIO'!$A$2:$Y$1148,8,FALSE)</f>
        <v>P03CV-0699</v>
      </c>
      <c r="H700" s="168" t="str">
        <f>VLOOKUP($A700,'030523 INVENTARIO'!$A$2:$Y$1148,17,FALSE)</f>
        <v>S/M</v>
      </c>
      <c r="I700" s="167" t="str">
        <f>VLOOKUP($A700,'030523 INVENTARIO'!$A$2:$Y$1148,18,FALSE)</f>
        <v>S/M</v>
      </c>
      <c r="J700" s="168" t="str">
        <f>VLOOKUP($A700,'030523 INVENTARIO'!$A$2:$Y$1148,19,FALSE)</f>
        <v>SIN SERIE</v>
      </c>
      <c r="K700" s="168" t="str">
        <f>VLOOKUP($A700,'030523 INVENTARIO'!$A$2:$Y$1148,20,FALSE)</f>
        <v>82DI0531010065000564864</v>
      </c>
      <c r="L700" s="167" t="str">
        <f>VLOOKUP($A700,'030523 INVENTARIO'!$A$2:$Y$1148,23,FALSE)</f>
        <v>FERNANDO HERNANDEZ ALCALA</v>
      </c>
    </row>
    <row r="701" spans="1:12" ht="12.75" hidden="1">
      <c r="A701" s="167" t="str">
        <f>'030523 INVENTARIO'!A701</f>
        <v>0700</v>
      </c>
      <c r="B701" s="168" t="str">
        <f>'030523 INVENTARIO'!T701</f>
        <v>82DK0515010016000649423</v>
      </c>
      <c r="C701" s="167" t="str">
        <f t="shared" si="0"/>
        <v>649423</v>
      </c>
      <c r="D701" s="167" t="str">
        <f>IF(VLOOKUP(C701,'Patrimonio 2023'!$C$2:$C$1128,1,FALSE) = C701, "Encontrado", "no")</f>
        <v>Encontrado</v>
      </c>
      <c r="E701" s="167" t="str">
        <f>VLOOKUP($A701,'030523 INVENTARIO'!$A$2:$Y$1148,5,FALSE)</f>
        <v>NO BREAK</v>
      </c>
      <c r="F701" s="167" t="str">
        <f>VLOOKUP($A701,'030523 INVENTARIO'!$A$2:$Y$1148,6,FALSE)</f>
        <v>NO BREAK NEGRO</v>
      </c>
      <c r="G701" s="167" t="str">
        <f ca="1">VLOOKUP($A701,'030523 INVENTARIO'!$A$2:$Y$1148,8,FALSE)</f>
        <v>P03CV-0700</v>
      </c>
      <c r="H701" s="168" t="str">
        <f>VLOOKUP($A701,'030523 INVENTARIO'!$A$2:$Y$1148,17,FALSE)</f>
        <v>FORZA</v>
      </c>
      <c r="I701" s="167" t="str">
        <f>VLOOKUP($A701,'030523 INVENTARIO'!$A$2:$Y$1148,18,FALSE)</f>
        <v>NT751</v>
      </c>
      <c r="J701" s="168" t="str">
        <f>VLOOKUP($A701,'030523 INVENTARIO'!$A$2:$Y$1148,19,FALSE)</f>
        <v>190522502264</v>
      </c>
      <c r="K701" s="168" t="str">
        <f>VLOOKUP($A701,'030523 INVENTARIO'!$A$2:$Y$1148,20,FALSE)</f>
        <v>82DK0515010016000649423</v>
      </c>
      <c r="L701" s="167" t="str">
        <f>VLOOKUP($A701,'030523 INVENTARIO'!$A$2:$Y$1148,23,FALSE)</f>
        <v>FERNANDO HERNANDEZ ALCALA</v>
      </c>
    </row>
    <row r="702" spans="1:12" ht="12.75" hidden="1">
      <c r="A702" s="167" t="str">
        <f>'030523 INVENTARIO'!A702</f>
        <v>0701</v>
      </c>
      <c r="B702" s="168" t="str">
        <f>'030523 INVENTARIO'!T702</f>
        <v>82DI0565010001000533228</v>
      </c>
      <c r="C702" s="167" t="str">
        <f t="shared" si="0"/>
        <v>533228</v>
      </c>
      <c r="D702" s="167" t="str">
        <f>IF(VLOOKUP(C702,'Patrimonio 2023'!$C$2:$C$1128,1,FALSE) = C702, "Encontrado", "no")</f>
        <v>Encontrado</v>
      </c>
      <c r="E702" s="167" t="str">
        <f>VLOOKUP($A702,'030523 INVENTARIO'!$A$2:$Y$1148,5,FALSE)</f>
        <v>TELEFONO</v>
      </c>
      <c r="F702" s="167" t="str">
        <f>VLOOKUP($A702,'030523 INVENTARIO'!$A$2:$Y$1148,6,FALSE)</f>
        <v>TELEFONO GRIS</v>
      </c>
      <c r="G702" s="167" t="str">
        <f ca="1">VLOOKUP($A702,'030523 INVENTARIO'!$A$2:$Y$1148,8,FALSE)</f>
        <v>P03CV-0701</v>
      </c>
      <c r="H702" s="168" t="str">
        <f>VLOOKUP($A702,'030523 INVENTARIO'!$A$2:$Y$1148,17,FALSE)</f>
        <v>LINKSYS</v>
      </c>
      <c r="I702" s="167" t="str">
        <f>VLOOKUP($A702,'030523 INVENTARIO'!$A$2:$Y$1148,18,FALSE)</f>
        <v>SPA942</v>
      </c>
      <c r="J702" s="168" t="str">
        <f>VLOOKUP($A702,'030523 INVENTARIO'!$A$2:$Y$1148,19,FALSE)</f>
        <v>4LO00H118361</v>
      </c>
      <c r="K702" s="168" t="str">
        <f>VLOOKUP($A702,'030523 INVENTARIO'!$A$2:$Y$1148,20,FALSE)</f>
        <v>82DI0565010001000533228</v>
      </c>
      <c r="L702" s="167" t="str">
        <f>VLOOKUP($A702,'030523 INVENTARIO'!$A$2:$Y$1148,23,FALSE)</f>
        <v>FERNANDO HERNANDEZ ALCALA</v>
      </c>
    </row>
    <row r="703" spans="1:12" ht="12.75" hidden="1">
      <c r="A703" s="167" t="str">
        <f>'030523 INVENTARIO'!A703</f>
        <v>0702</v>
      </c>
      <c r="B703" s="168" t="str">
        <f>'030523 INVENTARIO'!T703</f>
        <v>82DK0511010010000649497</v>
      </c>
      <c r="C703" s="167" t="str">
        <f t="shared" si="0"/>
        <v>649497</v>
      </c>
      <c r="D703" s="167" t="str">
        <f>IF(VLOOKUP(C703,'Patrimonio 2023'!$C$2:$C$1128,1,FALSE) = C703, "Encontrado", "no")</f>
        <v>Encontrado</v>
      </c>
      <c r="E703" s="167" t="str">
        <f>VLOOKUP($A703,'030523 INVENTARIO'!$A$2:$Y$1148,5,FALSE)</f>
        <v>MESA</v>
      </c>
      <c r="F703" s="167" t="str">
        <f>VLOOKUP($A703,'030523 INVENTARIO'!$A$2:$Y$1148,6,FALSE)</f>
        <v>MESA COMPLEMENTO  CHICA 66X60X40</v>
      </c>
      <c r="G703" s="167" t="str">
        <f ca="1">VLOOKUP($A703,'030523 INVENTARIO'!$A$2:$Y$1148,8,FALSE)</f>
        <v>P03CV-0702</v>
      </c>
      <c r="H703" s="168" t="str">
        <f>VLOOKUP($A703,'030523 INVENTARIO'!$A$2:$Y$1148,17,FALSE)</f>
        <v>S/M</v>
      </c>
      <c r="I703" s="167" t="str">
        <f>VLOOKUP($A703,'030523 INVENTARIO'!$A$2:$Y$1148,18,FALSE)</f>
        <v>S/M</v>
      </c>
      <c r="J703" s="168" t="str">
        <f>VLOOKUP($A703,'030523 INVENTARIO'!$A$2:$Y$1148,19,FALSE)</f>
        <v>SIN SERIE</v>
      </c>
      <c r="K703" s="168" t="str">
        <f>VLOOKUP($A703,'030523 INVENTARIO'!$A$2:$Y$1148,20,FALSE)</f>
        <v>82DK0511010010000649497</v>
      </c>
      <c r="L703" s="167" t="str">
        <f>VLOOKUP($A703,'030523 INVENTARIO'!$A$2:$Y$1148,23,FALSE)</f>
        <v>MARIA DEL SOCORRO OLMOS CHAVEZ</v>
      </c>
    </row>
    <row r="704" spans="1:12" ht="12.75" hidden="1">
      <c r="A704" s="167" t="str">
        <f>'030523 INVENTARIO'!A704</f>
        <v>0703</v>
      </c>
      <c r="B704" s="168" t="str">
        <f>'030523 INVENTARIO'!T704</f>
        <v>82DJ0511010006000649492</v>
      </c>
      <c r="C704" s="167" t="str">
        <f t="shared" si="0"/>
        <v>649492</v>
      </c>
      <c r="D704" s="167" t="str">
        <f>IF(VLOOKUP(C704,'Patrimonio 2023'!$C$2:$C$1128,1,FALSE) = C704, "Encontrado", "no")</f>
        <v>Encontrado</v>
      </c>
      <c r="E704" s="167" t="str">
        <f>VLOOKUP($A704,'030523 INVENTARIO'!$A$2:$Y$1148,5,FALSE)</f>
        <v>ESCRITORIO</v>
      </c>
      <c r="F704" s="167" t="str">
        <f>VLOOKUP($A704,'030523 INVENTARIO'!$A$2:$Y$1148,6,FALSE)</f>
        <v>ESCRITORIO DE MADERA DE 2 PIEZAS</v>
      </c>
      <c r="G704" s="167" t="str">
        <f ca="1">VLOOKUP($A704,'030523 INVENTARIO'!$A$2:$Y$1148,8,FALSE)</f>
        <v>P03CV-0703</v>
      </c>
      <c r="H704" s="168" t="str">
        <f>VLOOKUP($A704,'030523 INVENTARIO'!$A$2:$Y$1148,17,FALSE)</f>
        <v>S/M</v>
      </c>
      <c r="I704" s="167" t="str">
        <f>VLOOKUP($A704,'030523 INVENTARIO'!$A$2:$Y$1148,18,FALSE)</f>
        <v>S/M</v>
      </c>
      <c r="J704" s="168" t="str">
        <f>VLOOKUP($A704,'030523 INVENTARIO'!$A$2:$Y$1148,19,FALSE)</f>
        <v>SIN SERIE</v>
      </c>
      <c r="K704" s="168" t="str">
        <f>VLOOKUP($A704,'030523 INVENTARIO'!$A$2:$Y$1148,20,FALSE)</f>
        <v>82DJ0511010006000649492</v>
      </c>
      <c r="L704" s="167" t="str">
        <f>VLOOKUP($A704,'030523 INVENTARIO'!$A$2:$Y$1148,23,FALSE)</f>
        <v>MARIA DEL SOCORRO OLMOS CHAVEZ</v>
      </c>
    </row>
    <row r="705" spans="1:12" ht="12.75" hidden="1">
      <c r="A705" s="167" t="str">
        <f>'030523 INVENTARIO'!A705</f>
        <v>0704</v>
      </c>
      <c r="B705" s="168" t="str">
        <f>'030523 INVENTARIO'!T705</f>
        <v>82DK0565010041000535801</v>
      </c>
      <c r="C705" s="167" t="str">
        <f t="shared" si="0"/>
        <v>535801</v>
      </c>
      <c r="D705" s="167" t="str">
        <f>IF(VLOOKUP(C705,'Patrimonio 2023'!$C$2:$C$1128,1,FALSE) = C705, "Encontrado", "no")</f>
        <v>Encontrado</v>
      </c>
      <c r="E705" s="167" t="str">
        <f>VLOOKUP($A705,'030523 INVENTARIO'!$A$2:$Y$1148,5,FALSE)</f>
        <v>MONITOR</v>
      </c>
      <c r="F705" s="167" t="str">
        <f>VLOOKUP($A705,'030523 INVENTARIO'!$A$2:$Y$1148,6,FALSE)</f>
        <v>MONITOR 19"</v>
      </c>
      <c r="G705" s="167" t="str">
        <f ca="1">VLOOKUP($A705,'030523 INVENTARIO'!$A$2:$Y$1148,8,FALSE)</f>
        <v>P03CV-0704</v>
      </c>
      <c r="H705" s="168" t="str">
        <f>VLOOKUP($A705,'030523 INVENTARIO'!$A$2:$Y$1148,17,FALSE)</f>
        <v>COMPAQ</v>
      </c>
      <c r="I705" s="167" t="str">
        <f>VLOOKUP($A705,'030523 INVENTARIO'!$A$2:$Y$1148,18,FALSE)</f>
        <v>WF1907</v>
      </c>
      <c r="J705" s="168" t="str">
        <f>VLOOKUP($A705,'030523 INVENTARIO'!$A$2:$Y$1148,19,FALSE)</f>
        <v>CNC812Y8QK</v>
      </c>
      <c r="K705" s="168" t="str">
        <f>VLOOKUP($A705,'030523 INVENTARIO'!$A$2:$Y$1148,20,FALSE)</f>
        <v>82DK0565010041000535801</v>
      </c>
      <c r="L705" s="167" t="str">
        <f>VLOOKUP($A705,'030523 INVENTARIO'!$A$2:$Y$1148,23,FALSE)</f>
        <v>MARIA DEL SOCORRO OLMOS CHAVEZ</v>
      </c>
    </row>
    <row r="706" spans="1:12" ht="12.75" hidden="1">
      <c r="A706" s="167" t="str">
        <f>'030523 INVENTARIO'!A706</f>
        <v>0705</v>
      </c>
      <c r="B706" s="168" t="str">
        <f>'030523 INVENTARIO'!T706</f>
        <v>82DK0515010001000535527</v>
      </c>
      <c r="C706" s="167" t="str">
        <f t="shared" si="0"/>
        <v>535527</v>
      </c>
      <c r="D706" s="167" t="str">
        <f>IF(VLOOKUP(C706,'Patrimonio 2023'!$C$2:$C$1128,1,FALSE) = C706, "Encontrado", "no")</f>
        <v>Encontrado</v>
      </c>
      <c r="E706" s="167" t="str">
        <f>VLOOKUP($A706,'030523 INVENTARIO'!$A$2:$Y$1148,5,FALSE)</f>
        <v>COMPUTADORA DE ESCRITORIO</v>
      </c>
      <c r="F706" s="167" t="str">
        <f>VLOOKUP($A706,'030523 INVENTARIO'!$A$2:$Y$1148,6,FALSE)</f>
        <v>COMPUTADORA DE ESCRITORIO</v>
      </c>
      <c r="G706" s="167" t="str">
        <f ca="1">VLOOKUP($A706,'030523 INVENTARIO'!$A$2:$Y$1148,8,FALSE)</f>
        <v>P03CV-0705</v>
      </c>
      <c r="H706" s="168" t="str">
        <f>VLOOKUP($A706,'030523 INVENTARIO'!$A$2:$Y$1148,17,FALSE)</f>
        <v>ACER</v>
      </c>
      <c r="I706" s="167" t="str">
        <f>VLOOKUP($A706,'030523 INVENTARIO'!$A$2:$Y$1148,18,FALSE)</f>
        <v>ASPIRE X3990</v>
      </c>
      <c r="J706" s="168" t="str">
        <f>VLOOKUP($A706,'030523 INVENTARIO'!$A$2:$Y$1148,19,FALSE)</f>
        <v>20302171092</v>
      </c>
      <c r="K706" s="168" t="str">
        <f>VLOOKUP($A706,'030523 INVENTARIO'!$A$2:$Y$1148,20,FALSE)</f>
        <v>82DK0515010001000535527</v>
      </c>
      <c r="L706" s="167" t="str">
        <f>VLOOKUP($A706,'030523 INVENTARIO'!$A$2:$Y$1148,23,FALSE)</f>
        <v>MARIA DEL SOCORRO OLMOS CHAVEZ</v>
      </c>
    </row>
    <row r="707" spans="1:12" ht="12.75" hidden="1">
      <c r="A707" s="167" t="str">
        <f>'030523 INVENTARIO'!A707</f>
        <v>0706</v>
      </c>
      <c r="B707" s="167" t="str">
        <f>'030523 INVENTARIO'!T707</f>
        <v>82DK0565010001000649491</v>
      </c>
      <c r="C707" s="167" t="str">
        <f t="shared" si="0"/>
        <v>649491</v>
      </c>
      <c r="D707" s="167" t="str">
        <f>IF(VLOOKUP(C707,'Patrimonio 2023'!$C$2:$C$1128,1,FALSE) = C707, "Encontrado", "no")</f>
        <v>Encontrado</v>
      </c>
      <c r="E707" s="167" t="str">
        <f>VLOOKUP($A707,'030523 INVENTARIO'!$A$2:$Y$1148,5,FALSE)</f>
        <v>TELEFONO</v>
      </c>
      <c r="F707" s="168" t="str">
        <f>VLOOKUP($A707,'030523 INVENTARIO'!$A$2:$Y$1148,6,FALSE)</f>
        <v>TELEFONO GRIS</v>
      </c>
      <c r="G707" s="167" t="str">
        <f ca="1">VLOOKUP($A707,'030523 INVENTARIO'!$A$2:$Y$1148,8,FALSE)</f>
        <v>P03CV-0706</v>
      </c>
      <c r="H707" s="168" t="str">
        <f>VLOOKUP($A707,'030523 INVENTARIO'!$A$2:$Y$1148,17,FALSE)</f>
        <v>CISCO</v>
      </c>
      <c r="I707" s="167" t="str">
        <f>VLOOKUP($A707,'030523 INVENTARIO'!$A$2:$Y$1148,18,FALSE)</f>
        <v>SPA504G</v>
      </c>
      <c r="J707" s="168" t="str">
        <f>VLOOKUP($A707,'030523 INVENTARIO'!$A$2:$Y$1148,19,FALSE)</f>
        <v>CCQ17280CKI</v>
      </c>
      <c r="K707" s="167" t="str">
        <f>VLOOKUP($A707,'030523 INVENTARIO'!$A$2:$Y$1148,20,FALSE)</f>
        <v>82DK0565010001000649491</v>
      </c>
      <c r="L707" s="167" t="str">
        <f>VLOOKUP($A707,'030523 INVENTARIO'!$A$2:$Y$1148,23,FALSE)</f>
        <v>MARIA DEL SOCORRO OLMOS CHAVEZ</v>
      </c>
    </row>
    <row r="708" spans="1:12" ht="12.75" hidden="1">
      <c r="A708" s="167" t="str">
        <f>'030523 INVENTARIO'!A708</f>
        <v>0707</v>
      </c>
      <c r="B708" s="168" t="str">
        <f>'030523 INVENTARIO'!T708</f>
        <v>82DI0515010016000649424</v>
      </c>
      <c r="C708" s="167" t="str">
        <f t="shared" si="0"/>
        <v>649424</v>
      </c>
      <c r="D708" s="167" t="str">
        <f>IF(VLOOKUP(C708,'Patrimonio 2023'!$C$2:$C$1128,1,FALSE) = C708, "Encontrado", "no")</f>
        <v>Encontrado</v>
      </c>
      <c r="E708" s="167" t="str">
        <f>VLOOKUP($A708,'030523 INVENTARIO'!$A$2:$Y$1148,5,FALSE)</f>
        <v>NO BREAK</v>
      </c>
      <c r="F708" s="167" t="str">
        <f>VLOOKUP($A708,'030523 INVENTARIO'!$A$2:$Y$1148,6,FALSE)</f>
        <v>NO BREAK NEGRO</v>
      </c>
      <c r="G708" s="167" t="str">
        <f ca="1">VLOOKUP($A708,'030523 INVENTARIO'!$A$2:$Y$1148,8,FALSE)</f>
        <v>P03CV-0707</v>
      </c>
      <c r="H708" s="168" t="str">
        <f>VLOOKUP($A708,'030523 INVENTARIO'!$A$2:$Y$1148,17,FALSE)</f>
        <v>FORZA</v>
      </c>
      <c r="I708" s="167" t="str">
        <f>VLOOKUP($A708,'030523 INVENTARIO'!$A$2:$Y$1148,18,FALSE)</f>
        <v>NT751</v>
      </c>
      <c r="J708" s="168" t="str">
        <f>VLOOKUP($A708,'030523 INVENTARIO'!$A$2:$Y$1148,19,FALSE)</f>
        <v>190522502262</v>
      </c>
      <c r="K708" s="168" t="str">
        <f>VLOOKUP($A708,'030523 INVENTARIO'!$A$2:$Y$1148,20,FALSE)</f>
        <v>82DI0515010016000649424</v>
      </c>
      <c r="L708" s="167" t="str">
        <f>VLOOKUP($A708,'030523 INVENTARIO'!$A$2:$Y$1148,23,FALSE)</f>
        <v>MARIA DEL SOCORRO OLMOS CHAVEZ</v>
      </c>
    </row>
    <row r="709" spans="1:12" ht="12.75" hidden="1">
      <c r="A709" s="167" t="str">
        <f>'030523 INVENTARIO'!A709</f>
        <v>0708</v>
      </c>
      <c r="B709" s="168" t="str">
        <f>'030523 INVENTARIO'!T709</f>
        <v>82DK0511010017000522846</v>
      </c>
      <c r="C709" s="167" t="str">
        <f t="shared" si="0"/>
        <v>522846</v>
      </c>
      <c r="D709" s="167" t="str">
        <f>IF(VLOOKUP(C709,'Patrimonio 2023'!$C$2:$C$1128,1,FALSE) = C709, "Encontrado", "no")</f>
        <v>Encontrado</v>
      </c>
      <c r="E709" s="167" t="str">
        <f>VLOOKUP($A709,'030523 INVENTARIO'!$A$2:$Y$1148,5,FALSE)</f>
        <v>SILLA</v>
      </c>
      <c r="F709" s="167" t="str">
        <f>VLOOKUP($A709,'030523 INVENTARIO'!$A$2:$Y$1148,6,FALSE)</f>
        <v>SILLA NEGRA CON RUEDAS</v>
      </c>
      <c r="G709" s="167" t="str">
        <f ca="1">VLOOKUP($A709,'030523 INVENTARIO'!$A$2:$Y$1148,8,FALSE)</f>
        <v>P03CV-0708</v>
      </c>
      <c r="H709" s="168" t="str">
        <f>VLOOKUP($A709,'030523 INVENTARIO'!$A$2:$Y$1148,17,FALSE)</f>
        <v>S/M</v>
      </c>
      <c r="I709" s="167" t="str">
        <f>VLOOKUP($A709,'030523 INVENTARIO'!$A$2:$Y$1148,18,FALSE)</f>
        <v>S/M</v>
      </c>
      <c r="J709" s="168" t="str">
        <f>VLOOKUP($A709,'030523 INVENTARIO'!$A$2:$Y$1148,19,FALSE)</f>
        <v>SIN SERIE</v>
      </c>
      <c r="K709" s="168" t="str">
        <f>VLOOKUP($A709,'030523 INVENTARIO'!$A$2:$Y$1148,20,FALSE)</f>
        <v>82DK0511010017000522846</v>
      </c>
      <c r="L709" s="167" t="str">
        <f>VLOOKUP($A709,'030523 INVENTARIO'!$A$2:$Y$1148,23,FALSE)</f>
        <v>MARIA DEL SOCORRO OLMOS CHAVEZ</v>
      </c>
    </row>
    <row r="710" spans="1:12" ht="12.75" hidden="1">
      <c r="A710" s="167" t="str">
        <f>'030523 INVENTARIO'!A710</f>
        <v>0709</v>
      </c>
      <c r="B710" s="167" t="str">
        <f>'030523 INVENTARIO'!T710</f>
        <v>82DH0511010017000651379</v>
      </c>
      <c r="C710" s="167" t="str">
        <f t="shared" si="0"/>
        <v>651379</v>
      </c>
      <c r="D710" s="167" t="str">
        <f>IF(VLOOKUP(C710,'Patrimonio 2023'!$C$2:$C$1128,1,FALSE) = C710, "Encontrado", "no")</f>
        <v>Encontrado</v>
      </c>
      <c r="E710" s="167" t="str">
        <f>VLOOKUP($A710,'030523 INVENTARIO'!$A$2:$Y$1148,5,FALSE)</f>
        <v>SILLA</v>
      </c>
      <c r="F710" s="167" t="str">
        <f>VLOOKUP($A710,'030523 INVENTARIO'!$A$2:$Y$1148,6,FALSE)</f>
        <v>SILLA  NEGRA DE TELA</v>
      </c>
      <c r="G710" s="167" t="str">
        <f ca="1">VLOOKUP($A710,'030523 INVENTARIO'!$A$2:$Y$1148,8,FALSE)</f>
        <v>P05RM-0709</v>
      </c>
      <c r="H710" s="168" t="str">
        <f>VLOOKUP($A710,'030523 INVENTARIO'!$A$2:$Y$1148,17,FALSE)</f>
        <v>S/M</v>
      </c>
      <c r="I710" s="167" t="str">
        <f>VLOOKUP($A710,'030523 INVENTARIO'!$A$2:$Y$1148,18,FALSE)</f>
        <v>S/M</v>
      </c>
      <c r="J710" s="167" t="str">
        <f>VLOOKUP($A710,'030523 INVENTARIO'!$A$2:$Y$1148,19,FALSE)</f>
        <v>SIN SERIE</v>
      </c>
      <c r="K710" s="167" t="str">
        <f>VLOOKUP($A710,'030523 INVENTARIO'!$A$2:$Y$1148,20,FALSE)</f>
        <v>82DH0511010017000651379</v>
      </c>
      <c r="L710" s="167" t="str">
        <f>VLOOKUP($A710,'030523 INVENTARIO'!$A$2:$Y$1148,23,FALSE)</f>
        <v>BLANCA ELIZABETH ALCANTAR GUERRERO</v>
      </c>
    </row>
    <row r="711" spans="1:12" ht="12.75" hidden="1">
      <c r="A711" s="167" t="str">
        <f>'030523 INVENTARIO'!A711</f>
        <v>0710</v>
      </c>
      <c r="B711" s="168" t="str">
        <f>'030523 INVENTARIO'!T711</f>
        <v>82DI0511010017000522768</v>
      </c>
      <c r="C711" s="167" t="str">
        <f t="shared" si="0"/>
        <v>522768</v>
      </c>
      <c r="D711" s="167" t="str">
        <f>IF(VLOOKUP(C711,'Patrimonio 2023'!$C$2:$C$1128,1,FALSE) = C711, "Encontrado", "no")</f>
        <v>Encontrado</v>
      </c>
      <c r="E711" s="167" t="str">
        <f>VLOOKUP($A711,'030523 INVENTARIO'!$A$2:$Y$1148,5,FALSE)</f>
        <v>SILLON</v>
      </c>
      <c r="F711" s="167" t="str">
        <f>VLOOKUP($A711,'030523 INVENTARIO'!$A$2:$Y$1148,6,FALSE)</f>
        <v>SILLON DE TELA CON RUEDAS NEGRO</v>
      </c>
      <c r="G711" s="167" t="str">
        <f ca="1">VLOOKUP($A711,'030523 INVENTARIO'!$A$2:$Y$1148,8,FALSE)</f>
        <v>P05RM-0710</v>
      </c>
      <c r="H711" s="168" t="str">
        <f>VLOOKUP($A711,'030523 INVENTARIO'!$A$2:$Y$1148,17,FALSE)</f>
        <v>S/M</v>
      </c>
      <c r="I711" s="167" t="str">
        <f>VLOOKUP($A711,'030523 INVENTARIO'!$A$2:$Y$1148,18,FALSE)</f>
        <v>S/M</v>
      </c>
      <c r="J711" s="168" t="str">
        <f>VLOOKUP($A711,'030523 INVENTARIO'!$A$2:$Y$1148,19,FALSE)</f>
        <v>SIN SERIE</v>
      </c>
      <c r="K711" s="168" t="str">
        <f>VLOOKUP($A711,'030523 INVENTARIO'!$A$2:$Y$1148,20,FALSE)</f>
        <v>82DI0511010017000522768</v>
      </c>
      <c r="L711" s="167" t="str">
        <f>VLOOKUP($A711,'030523 INVENTARIO'!$A$2:$Y$1148,23,FALSE)</f>
        <v>BLANCA ELIZABETH ALCANTAR GUERRERO</v>
      </c>
    </row>
    <row r="712" spans="1:12" ht="12.75" hidden="1">
      <c r="A712" s="167" t="str">
        <f>'030523 INVENTARIO'!A712</f>
        <v>0711</v>
      </c>
      <c r="B712" s="168" t="str">
        <f>'030523 INVENTARIO'!T712</f>
        <v>82DI0565010041000543591</v>
      </c>
      <c r="C712" s="167" t="str">
        <f t="shared" si="0"/>
        <v>543591</v>
      </c>
      <c r="D712" s="167" t="str">
        <f>IF(VLOOKUP(C712,'Patrimonio 2023'!$C$2:$C$1128,1,FALSE) = C712, "Encontrado", "no")</f>
        <v>Encontrado</v>
      </c>
      <c r="E712" s="167" t="str">
        <f>VLOOKUP($A712,'030523 INVENTARIO'!$A$2:$Y$1148,5,FALSE)</f>
        <v>MONITOR</v>
      </c>
      <c r="F712" s="167" t="str">
        <f>VLOOKUP($A712,'030523 INVENTARIO'!$A$2:$Y$1148,6,FALSE)</f>
        <v>MONITOR 19"</v>
      </c>
      <c r="G712" s="167" t="str">
        <f ca="1">VLOOKUP($A712,'030523 INVENTARIO'!$A$2:$Y$1148,8,FALSE)</f>
        <v>P05RM-0711</v>
      </c>
      <c r="H712" s="168" t="str">
        <f>VLOOKUP($A712,'030523 INVENTARIO'!$A$2:$Y$1148,17,FALSE)</f>
        <v>COMPAQ</v>
      </c>
      <c r="I712" s="167" t="str">
        <f>VLOOKUP($A712,'030523 INVENTARIO'!$A$2:$Y$1148,18,FALSE)</f>
        <v>WF1907</v>
      </c>
      <c r="J712" s="168" t="str">
        <f>VLOOKUP($A712,'030523 INVENTARIO'!$A$2:$Y$1148,19,FALSE)</f>
        <v>CNC816Y4T2</v>
      </c>
      <c r="K712" s="168" t="str">
        <f>VLOOKUP($A712,'030523 INVENTARIO'!$A$2:$Y$1148,20,FALSE)</f>
        <v>82DI0565010041000543591</v>
      </c>
      <c r="L712" s="167" t="str">
        <f>VLOOKUP($A712,'030523 INVENTARIO'!$A$2:$Y$1148,23,FALSE)</f>
        <v>BLANCA ELIZABETH ALCANTAR GUERRERO</v>
      </c>
    </row>
    <row r="713" spans="1:12" ht="12.75" hidden="1">
      <c r="A713" s="167" t="str">
        <f>'030523 INVENTARIO'!A713</f>
        <v>0712</v>
      </c>
      <c r="B713" s="167" t="str">
        <f>'030523 INVENTARIO'!T713</f>
        <v>82DI0515010001000564542</v>
      </c>
      <c r="C713" s="167" t="str">
        <f t="shared" si="0"/>
        <v>564542</v>
      </c>
      <c r="D713" s="167" t="str">
        <f>IF(VLOOKUP(C713,'Patrimonio 2023'!$C$2:$C$1128,1,FALSE) = C713, "Encontrado", "no")</f>
        <v>Encontrado</v>
      </c>
      <c r="E713" s="167" t="str">
        <f>VLOOKUP($A713,'030523 INVENTARIO'!$A$2:$Y$1148,5,FALSE)</f>
        <v>COMPUTADORA DE ESCRITORIO</v>
      </c>
      <c r="F713" s="167" t="str">
        <f>VLOOKUP($A713,'030523 INVENTARIO'!$A$2:$Y$1148,6,FALSE)</f>
        <v>COMPUTADORA DE ESCRITORIO</v>
      </c>
      <c r="G713" s="167" t="str">
        <f ca="1">VLOOKUP($A713,'030523 INVENTARIO'!$A$2:$Y$1148,8,FALSE)</f>
        <v>P05RM-0712</v>
      </c>
      <c r="H713" s="168" t="str">
        <f>VLOOKUP($A713,'030523 INVENTARIO'!$A$2:$Y$1148,17,FALSE)</f>
        <v>HP</v>
      </c>
      <c r="I713" s="167" t="str">
        <f>VLOOKUP($A713,'030523 INVENTARIO'!$A$2:$Y$1148,18,FALSE)</f>
        <v>PAVILLION S3020LA</v>
      </c>
      <c r="J713" s="168" t="str">
        <f>VLOOKUP($A713,'030523 INVENTARIO'!$A$2:$Y$1148,19,FALSE)</f>
        <v>SNH71619W9</v>
      </c>
      <c r="K713" s="167" t="str">
        <f>VLOOKUP($A713,'030523 INVENTARIO'!$A$2:$Y$1148,20,FALSE)</f>
        <v>82DI0515010001000564542</v>
      </c>
      <c r="L713" s="167" t="str">
        <f>VLOOKUP($A713,'030523 INVENTARIO'!$A$2:$Y$1148,23,FALSE)</f>
        <v>BLANCA ELIZABETH ALCANTAR GUERRERO</v>
      </c>
    </row>
    <row r="714" spans="1:12" ht="12.75" hidden="1">
      <c r="A714" s="167" t="str">
        <f>'030523 INVENTARIO'!A714</f>
        <v>0713</v>
      </c>
      <c r="B714" s="168" t="str">
        <f>'030523 INVENTARIO'!T714</f>
        <v>82DH0519010043000649723</v>
      </c>
      <c r="C714" s="167" t="str">
        <f t="shared" si="0"/>
        <v>649723</v>
      </c>
      <c r="D714" s="167" t="str">
        <f>IF(VLOOKUP(C714,'Patrimonio 2023'!$C$2:$C$1128,1,FALSE) = C714, "Encontrado", "no")</f>
        <v>Encontrado</v>
      </c>
      <c r="E714" s="167" t="str">
        <f>VLOOKUP($A714,'030523 INVENTARIO'!$A$2:$Y$1148,5,FALSE)</f>
        <v>VENTILADOR</v>
      </c>
      <c r="F714" s="168" t="str">
        <f>VLOOKUP($A714,'030523 INVENTARIO'!$A$2:$Y$1148,6,FALSE)</f>
        <v>VENTILADOR DE PARED GRIS</v>
      </c>
      <c r="G714" s="167" t="str">
        <f ca="1">VLOOKUP($A714,'030523 INVENTARIO'!$A$2:$Y$1148,8,FALSE)</f>
        <v>P35RM-0713</v>
      </c>
      <c r="H714" s="168" t="str">
        <f>VLOOKUP($A714,'030523 INVENTARIO'!$A$2:$Y$1148,17,FALSE)</f>
        <v>NAVIA</v>
      </c>
      <c r="I714" s="167" t="str">
        <f>VLOOKUP($A714,'030523 INVENTARIO'!$A$2:$Y$1148,18,FALSE)</f>
        <v>VPN/018</v>
      </c>
      <c r="J714" s="168" t="str">
        <f>VLOOKUP($A714,'030523 INVENTARIO'!$A$2:$Y$1148,19,FALSE)</f>
        <v>SIN SERIE</v>
      </c>
      <c r="K714" s="168" t="str">
        <f>VLOOKUP($A714,'030523 INVENTARIO'!$A$2:$Y$1148,20,FALSE)</f>
        <v>82DH0519010043000649723</v>
      </c>
      <c r="L714" s="167" t="str">
        <f>VLOOKUP($A714,'030523 INVENTARIO'!$A$2:$Y$1148,23,FALSE)</f>
        <v>BLANCA ELIZABETH ALCANTAR GUERRERO</v>
      </c>
    </row>
    <row r="715" spans="1:12" ht="12.75" hidden="1">
      <c r="A715" s="167" t="str">
        <f>'030523 INVENTARIO'!A715</f>
        <v>0714</v>
      </c>
      <c r="B715" s="168" t="str">
        <f>'030523 INVENTARIO'!T715</f>
        <v>82DH0511010008000649769</v>
      </c>
      <c r="C715" s="167" t="str">
        <f t="shared" si="0"/>
        <v>649769</v>
      </c>
      <c r="D715" s="167" t="str">
        <f>IF(VLOOKUP(C715,'Patrimonio 2023'!$C$2:$C$1128,1,FALSE) = C715, "Encontrado", "no")</f>
        <v>Encontrado</v>
      </c>
      <c r="E715" s="167" t="str">
        <f>VLOOKUP($A715,'030523 INVENTARIO'!$A$2:$Y$1148,5,FALSE)</f>
        <v>LIBRERO</v>
      </c>
      <c r="F715" s="167" t="str">
        <f>VLOOKUP($A715,'030523 INVENTARIO'!$A$2:$Y$1148,6,FALSE)</f>
        <v>LIBRERO DE MADERA 244X121X40</v>
      </c>
      <c r="G715" s="167" t="str">
        <f ca="1">VLOOKUP($A715,'030523 INVENTARIO'!$A$2:$Y$1148,8,FALSE)</f>
        <v>P24SJ-0714</v>
      </c>
      <c r="H715" s="168" t="str">
        <f>VLOOKUP($A715,'030523 INVENTARIO'!$A$2:$Y$1148,17,FALSE)</f>
        <v>S/M</v>
      </c>
      <c r="I715" s="167" t="str">
        <f>VLOOKUP($A715,'030523 INVENTARIO'!$A$2:$Y$1148,18,FALSE)</f>
        <v>S/M</v>
      </c>
      <c r="J715" s="168" t="str">
        <f>VLOOKUP($A715,'030523 INVENTARIO'!$A$2:$Y$1148,19,FALSE)</f>
        <v>SIN SERIE</v>
      </c>
      <c r="K715" s="168" t="str">
        <f>VLOOKUP($A715,'030523 INVENTARIO'!$A$2:$Y$1148,20,FALSE)</f>
        <v>82DH0511010008000649769</v>
      </c>
      <c r="L715" s="167" t="str">
        <f>VLOOKUP($A715,'030523 INVENTARIO'!$A$2:$Y$1148,23,FALSE)</f>
        <v>RODOLFO GARCIA GARCIA</v>
      </c>
    </row>
    <row r="716" spans="1:12" ht="12.75" hidden="1">
      <c r="A716" s="167" t="str">
        <f>'030523 INVENTARIO'!A716</f>
        <v>0715</v>
      </c>
      <c r="B716" s="168" t="str">
        <f>'030523 INVENTARIO'!T716</f>
        <v>82DH0511010008000649768</v>
      </c>
      <c r="C716" s="167" t="str">
        <f t="shared" si="0"/>
        <v>649768</v>
      </c>
      <c r="D716" s="167" t="str">
        <f>IF(VLOOKUP(C716,'Patrimonio 2023'!$C$2:$C$1128,1,FALSE) = C716, "Encontrado", "no")</f>
        <v>Encontrado</v>
      </c>
      <c r="E716" s="167" t="str">
        <f>VLOOKUP($A716,'030523 INVENTARIO'!$A$2:$Y$1148,5,FALSE)</f>
        <v>LIBRERO</v>
      </c>
      <c r="F716" s="167" t="str">
        <f>VLOOKUP($A716,'030523 INVENTARIO'!$A$2:$Y$1148,6,FALSE)</f>
        <v>LIBRERO DE MADERA 244X121X40</v>
      </c>
      <c r="G716" s="167" t="str">
        <f ca="1">VLOOKUP($A716,'030523 INVENTARIO'!$A$2:$Y$1148,8,FALSE)</f>
        <v>P24SJ-0715</v>
      </c>
      <c r="H716" s="168" t="str">
        <f>VLOOKUP($A716,'030523 INVENTARIO'!$A$2:$Y$1148,17,FALSE)</f>
        <v>S/M</v>
      </c>
      <c r="I716" s="167" t="str">
        <f>VLOOKUP($A716,'030523 INVENTARIO'!$A$2:$Y$1148,18,FALSE)</f>
        <v>S/M</v>
      </c>
      <c r="J716" s="168" t="str">
        <f>VLOOKUP($A716,'030523 INVENTARIO'!$A$2:$Y$1148,19,FALSE)</f>
        <v>SIN SERIE</v>
      </c>
      <c r="K716" s="168" t="str">
        <f>VLOOKUP($A716,'030523 INVENTARIO'!$A$2:$Y$1148,20,FALSE)</f>
        <v>82DH0511010008000649768</v>
      </c>
      <c r="L716" s="167" t="str">
        <f>VLOOKUP($A716,'030523 INVENTARIO'!$A$2:$Y$1148,23,FALSE)</f>
        <v>RODOLFO GARCIA GARCIA</v>
      </c>
    </row>
    <row r="717" spans="1:12" ht="12.75" hidden="1">
      <c r="A717" s="167" t="str">
        <f>'030523 INVENTARIO'!A717</f>
        <v>0716</v>
      </c>
      <c r="B717" s="167" t="str">
        <f>'030523 INVENTARIO'!T717</f>
        <v>82DH0519010043000649724</v>
      </c>
      <c r="C717" s="167" t="str">
        <f t="shared" si="0"/>
        <v>649724</v>
      </c>
      <c r="D717" s="167" t="str">
        <f>IF(VLOOKUP(C717,'Patrimonio 2023'!$C$2:$C$1128,1,FALSE) = C717, "Encontrado", "no")</f>
        <v>Encontrado</v>
      </c>
      <c r="E717" s="167" t="str">
        <f>VLOOKUP($A717,'030523 INVENTARIO'!$A$2:$Y$1148,5,FALSE)</f>
        <v>VENTILADOR</v>
      </c>
      <c r="F717" s="167" t="str">
        <f>VLOOKUP($A717,'030523 INVENTARIO'!$A$2:$Y$1148,6,FALSE)</f>
        <v>VENTILADOR DE PEDESTAL BLANCO</v>
      </c>
      <c r="G717" s="167" t="str">
        <f ca="1">VLOOKUP($A717,'030523 INVENTARIO'!$A$2:$Y$1148,8,FALSE)</f>
        <v>P05RM-0716</v>
      </c>
      <c r="H717" s="168" t="str">
        <f>VLOOKUP($A717,'030523 INVENTARIO'!$A$2:$Y$1148,17,FALSE)</f>
        <v>LASKO</v>
      </c>
      <c r="I717" s="167">
        <f>VLOOKUP($A717,'030523 INVENTARIO'!$A$2:$Y$1148,18,FALSE)</f>
        <v>37268</v>
      </c>
      <c r="J717" s="168" t="str">
        <f>VLOOKUP($A717,'030523 INVENTARIO'!$A$2:$Y$1148,19,FALSE)</f>
        <v>SIN SERIE</v>
      </c>
      <c r="K717" s="167" t="str">
        <f>VLOOKUP($A717,'030523 INVENTARIO'!$A$2:$Y$1148,20,FALSE)</f>
        <v>82DH0519010043000649724</v>
      </c>
      <c r="L717" s="167" t="str">
        <f>VLOOKUP($A717,'030523 INVENTARIO'!$A$2:$Y$1148,23,FALSE)</f>
        <v>BLANCA ELIZABETH ALCANTAR (ALMACEN)</v>
      </c>
    </row>
    <row r="718" spans="1:12" ht="12.75" hidden="1">
      <c r="A718" s="167" t="str">
        <f>'030523 INVENTARIO'!A718</f>
        <v>0717</v>
      </c>
      <c r="B718" s="167" t="str">
        <f>'030523 INVENTARIO'!T718</f>
        <v>82DH0515010014000649767</v>
      </c>
      <c r="C718" s="167" t="str">
        <f t="shared" si="0"/>
        <v>649767</v>
      </c>
      <c r="D718" s="167" t="str">
        <f>IF(VLOOKUP(C718,'Patrimonio 2023'!$C$2:$C$1128,1,FALSE) = C718, "Encontrado", "no")</f>
        <v>Encontrado</v>
      </c>
      <c r="E718" s="167" t="str">
        <f>VLOOKUP($A718,'030523 INVENTARIO'!$A$2:$Y$1148,5,FALSE)</f>
        <v>MULTIFUNCIONAL</v>
      </c>
      <c r="F718" s="168" t="str">
        <f>VLOOKUP($A718,'030523 INVENTARIO'!$A$2:$Y$1148,6,FALSE)</f>
        <v>MULTIFUNCIONAL NEGRO</v>
      </c>
      <c r="G718" s="167" t="str">
        <f ca="1">VLOOKUP($A718,'030523 INVENTARIO'!$A$2:$Y$1148,8,FALSE)</f>
        <v>P24SJ-0717</v>
      </c>
      <c r="H718" s="168" t="str">
        <f>VLOOKUP($A718,'030523 INVENTARIO'!$A$2:$Y$1148,17,FALSE)</f>
        <v>HP</v>
      </c>
      <c r="I718" s="167" t="str">
        <f>VLOOKUP($A718,'030523 INVENTARIO'!$A$2:$Y$1148,18,FALSE)</f>
        <v>OFICEJET PRO 8710</v>
      </c>
      <c r="J718" s="168" t="str">
        <f>VLOOKUP($A718,'030523 INVENTARIO'!$A$2:$Y$1148,19,FALSE)</f>
        <v>CN634BM0CT</v>
      </c>
      <c r="K718" s="167" t="str">
        <f>VLOOKUP($A718,'030523 INVENTARIO'!$A$2:$Y$1148,20,FALSE)</f>
        <v>82DH0515010014000649767</v>
      </c>
      <c r="L718" s="167" t="str">
        <f>VLOOKUP($A718,'030523 INVENTARIO'!$A$2:$Y$1148,23,FALSE)</f>
        <v>RODOLFO GARCIA GARCIA</v>
      </c>
    </row>
    <row r="719" spans="1:12" ht="12.75" hidden="1">
      <c r="A719" s="167" t="str">
        <f>'030523 INVENTARIO'!A719</f>
        <v>0718</v>
      </c>
      <c r="B719" s="168" t="str">
        <f>'030523 INVENTARIO'!T719</f>
        <v>82DH0511010010000649777</v>
      </c>
      <c r="C719" s="167" t="str">
        <f t="shared" si="0"/>
        <v>649777</v>
      </c>
      <c r="D719" s="167" t="str">
        <f>IF(VLOOKUP(C719,'Patrimonio 2023'!$C$2:$C$1128,1,FALSE) = C719, "Encontrado", "no")</f>
        <v>Encontrado</v>
      </c>
      <c r="E719" s="167" t="str">
        <f>VLOOKUP($A719,'030523 INVENTARIO'!$A$2:$Y$1148,5,FALSE)</f>
        <v>MESA</v>
      </c>
      <c r="F719" s="167" t="str">
        <f>VLOOKUP($A719,'030523 INVENTARIO'!$A$2:$Y$1148,6,FALSE)</f>
        <v>MESA DE MADERA CON RUEDAS 40X60</v>
      </c>
      <c r="G719" s="167" t="str">
        <f ca="1">VLOOKUP($A719,'030523 INVENTARIO'!$A$2:$Y$1148,8,FALSE)</f>
        <v>P24SJ-0718</v>
      </c>
      <c r="H719" s="168" t="str">
        <f>VLOOKUP($A719,'030523 INVENTARIO'!$A$2:$Y$1148,17,FALSE)</f>
        <v>S/M</v>
      </c>
      <c r="I719" s="167" t="str">
        <f>VLOOKUP($A719,'030523 INVENTARIO'!$A$2:$Y$1148,18,FALSE)</f>
        <v>S/M</v>
      </c>
      <c r="J719" s="168" t="str">
        <f>VLOOKUP($A719,'030523 INVENTARIO'!$A$2:$Y$1148,19,FALSE)</f>
        <v>SIN SERIE</v>
      </c>
      <c r="K719" s="168" t="str">
        <f>VLOOKUP($A719,'030523 INVENTARIO'!$A$2:$Y$1148,20,FALSE)</f>
        <v>82DH0511010010000649777</v>
      </c>
      <c r="L719" s="167" t="str">
        <f>VLOOKUP($A719,'030523 INVENTARIO'!$A$2:$Y$1148,23,FALSE)</f>
        <v>RODOLFO GARCIA GARCIA</v>
      </c>
    </row>
    <row r="720" spans="1:12" ht="12.75" hidden="1">
      <c r="A720" s="167" t="str">
        <f>'030523 INVENTARIO'!A720</f>
        <v>0719</v>
      </c>
      <c r="B720" s="168" t="str">
        <f>'030523 INVENTARIO'!T720</f>
        <v>82HJ0511010017000564588</v>
      </c>
      <c r="C720" s="167" t="str">
        <f t="shared" si="0"/>
        <v>564588</v>
      </c>
      <c r="D720" s="167" t="str">
        <f>IF(VLOOKUP(C720,'Patrimonio 2023'!$C$2:$C$1128,1,FALSE) = C720, "Encontrado", "no")</f>
        <v>Encontrado</v>
      </c>
      <c r="E720" s="167" t="str">
        <f>VLOOKUP($A720,'030523 INVENTARIO'!$A$2:$Y$1148,5,FALSE)</f>
        <v>SILLA</v>
      </c>
      <c r="F720" s="167" t="str">
        <f>VLOOKUP($A720,'030523 INVENTARIO'!$A$2:$Y$1148,6,FALSE)</f>
        <v>SILLA NEGRA CON METAL FIJA</v>
      </c>
      <c r="G720" s="167" t="str">
        <f ca="1">VLOOKUP($A720,'030523 INVENTARIO'!$A$2:$Y$1148,8,FALSE)</f>
        <v>P24CS-0719</v>
      </c>
      <c r="H720" s="168" t="str">
        <f>VLOOKUP($A720,'030523 INVENTARIO'!$A$2:$Y$1148,17,FALSE)</f>
        <v>S/M</v>
      </c>
      <c r="I720" s="167" t="str">
        <f>VLOOKUP($A720,'030523 INVENTARIO'!$A$2:$Y$1148,18,FALSE)</f>
        <v>S/M</v>
      </c>
      <c r="J720" s="168" t="str">
        <f>VLOOKUP($A720,'030523 INVENTARIO'!$A$2:$Y$1148,19,FALSE)</f>
        <v>SIN SERIE</v>
      </c>
      <c r="K720" s="168" t="str">
        <f>VLOOKUP($A720,'030523 INVENTARIO'!$A$2:$Y$1148,20,FALSE)</f>
        <v>82HJ0511010017000564588</v>
      </c>
      <c r="L720" s="167" t="str">
        <f>VLOOKUP($A720,'030523 INVENTARIO'!$A$2:$Y$1148,23,FALSE)</f>
        <v>MA. LOURDES ORTIZ MONDRAGON</v>
      </c>
    </row>
    <row r="721" spans="1:12" ht="12.75" hidden="1">
      <c r="A721" s="167" t="str">
        <f>'030523 INVENTARIO'!A721</f>
        <v>0720</v>
      </c>
      <c r="B721" s="168" t="str">
        <f>'030523 INVENTARIO'!T721</f>
        <v>82DH0511010001000579099</v>
      </c>
      <c r="C721" s="167" t="str">
        <f t="shared" si="0"/>
        <v>579099</v>
      </c>
      <c r="D721" s="167" t="str">
        <f>IF(VLOOKUP(C721,'Patrimonio 2023'!$C$2:$C$1128,1,FALSE) = C721, "Encontrado", "no")</f>
        <v>Encontrado</v>
      </c>
      <c r="E721" s="167" t="str">
        <f>VLOOKUP($A721,'030523 INVENTARIO'!$A$2:$Y$1148,5,FALSE)</f>
        <v>ARCHIVERO</v>
      </c>
      <c r="F721" s="167" t="str">
        <f>VLOOKUP($A721,'030523 INVENTARIO'!$A$2:$Y$1148,6,FALSE)</f>
        <v>ARCHIVERO DE MADERA CON 4 CAJONES 125X50X60</v>
      </c>
      <c r="G721" s="167" t="str">
        <f ca="1">VLOOKUP($A721,'030523 INVENTARIO'!$A$2:$Y$1148,8,FALSE)</f>
        <v>P24SJ-0720</v>
      </c>
      <c r="H721" s="168" t="str">
        <f>VLOOKUP($A721,'030523 INVENTARIO'!$A$2:$Y$1148,17,FALSE)</f>
        <v>S/M</v>
      </c>
      <c r="I721" s="167" t="str">
        <f>VLOOKUP($A721,'030523 INVENTARIO'!$A$2:$Y$1148,18,FALSE)</f>
        <v>S/M</v>
      </c>
      <c r="J721" s="168" t="str">
        <f>VLOOKUP($A721,'030523 INVENTARIO'!$A$2:$Y$1148,19,FALSE)</f>
        <v>SIN SERIE</v>
      </c>
      <c r="K721" s="168" t="str">
        <f>VLOOKUP($A721,'030523 INVENTARIO'!$A$2:$Y$1148,20,FALSE)</f>
        <v>82DH0511010001000579099</v>
      </c>
      <c r="L721" s="167" t="str">
        <f>VLOOKUP($A721,'030523 INVENTARIO'!$A$2:$Y$1148,23,FALSE)</f>
        <v>RODOLFO GARCIA GARCIA</v>
      </c>
    </row>
    <row r="722" spans="1:12" ht="12.75" hidden="1">
      <c r="A722" s="167" t="str">
        <f>'030523 INVENTARIO'!A722</f>
        <v>0721</v>
      </c>
      <c r="B722" s="168" t="str">
        <f>'030523 INVENTARIO'!T722</f>
        <v>82DH0511010016000515589</v>
      </c>
      <c r="C722" s="167" t="str">
        <f t="shared" si="0"/>
        <v>515589</v>
      </c>
      <c r="D722" s="167" t="str">
        <f>IF(VLOOKUP(C722,'Patrimonio 2023'!$C$2:$C$1128,1,FALSE) = C722, "Encontrado", "no")</f>
        <v>Encontrado</v>
      </c>
      <c r="E722" s="167" t="str">
        <f>VLOOKUP($A722,'030523 INVENTARIO'!$A$2:$Y$1148,5,FALSE)</f>
        <v>SILLON</v>
      </c>
      <c r="F722" s="167" t="str">
        <f>VLOOKUP($A722,'030523 INVENTARIO'!$A$2:$Y$1148,6,FALSE)</f>
        <v>SILLÓN DE TELA NEGRO CON MADERA FIJO</v>
      </c>
      <c r="G722" s="167" t="str">
        <f ca="1">VLOOKUP($A722,'030523 INVENTARIO'!$A$2:$Y$1148,8,FALSE)</f>
        <v>P25RM-0721</v>
      </c>
      <c r="H722" s="168" t="str">
        <f>VLOOKUP($A722,'030523 INVENTARIO'!$A$2:$Y$1148,17,FALSE)</f>
        <v>S/M</v>
      </c>
      <c r="I722" s="167" t="str">
        <f>VLOOKUP($A722,'030523 INVENTARIO'!$A$2:$Y$1148,18,FALSE)</f>
        <v>S/M</v>
      </c>
      <c r="J722" s="168" t="str">
        <f>VLOOKUP($A722,'030523 INVENTARIO'!$A$2:$Y$1148,19,FALSE)</f>
        <v>SIN SERIE</v>
      </c>
      <c r="K722" s="168" t="str">
        <f>VLOOKUP($A722,'030523 INVENTARIO'!$A$2:$Y$1148,20,FALSE)</f>
        <v>82DH0511010016000515589</v>
      </c>
      <c r="L722" s="167" t="str">
        <f>VLOOKUP($A722,'030523 INVENTARIO'!$A$2:$Y$1148,23,FALSE)</f>
        <v>BLANCA ELIZABETH ALCANTAR (ALMACEN)</v>
      </c>
    </row>
    <row r="723" spans="1:12" ht="12.75" hidden="1">
      <c r="A723" s="167" t="str">
        <f>'030523 INVENTARIO'!A723</f>
        <v>0722</v>
      </c>
      <c r="B723" s="168" t="str">
        <f>'030523 INVENTARIO'!T723</f>
        <v>82DH0511010016000515613</v>
      </c>
      <c r="C723" s="167" t="str">
        <f t="shared" si="0"/>
        <v>515613</v>
      </c>
      <c r="D723" s="167" t="str">
        <f>IF(VLOOKUP(C723,'Patrimonio 2023'!$C$2:$C$1128,1,FALSE) = C723, "Encontrado", "no")</f>
        <v>Encontrado</v>
      </c>
      <c r="E723" s="167" t="str">
        <f>VLOOKUP($A723,'030523 INVENTARIO'!$A$2:$Y$1148,5,FALSE)</f>
        <v>SILLON</v>
      </c>
      <c r="F723" s="167" t="str">
        <f>VLOOKUP($A723,'030523 INVENTARIO'!$A$2:$Y$1148,6,FALSE)</f>
        <v>SILLÓN DE TELA NEGRO CON MADERA FIJO</v>
      </c>
      <c r="G723" s="167" t="str">
        <f ca="1">VLOOKUP($A723,'030523 INVENTARIO'!$A$2:$Y$1148,8,FALSE)</f>
        <v>P25RM-0722</v>
      </c>
      <c r="H723" s="168" t="str">
        <f>VLOOKUP($A723,'030523 INVENTARIO'!$A$2:$Y$1148,17,FALSE)</f>
        <v>S/M</v>
      </c>
      <c r="I723" s="167" t="str">
        <f>VLOOKUP($A723,'030523 INVENTARIO'!$A$2:$Y$1148,18,FALSE)</f>
        <v>S/M</v>
      </c>
      <c r="J723" s="168" t="str">
        <f>VLOOKUP($A723,'030523 INVENTARIO'!$A$2:$Y$1148,19,FALSE)</f>
        <v>SIN SERIE</v>
      </c>
      <c r="K723" s="168" t="str">
        <f>VLOOKUP($A723,'030523 INVENTARIO'!$A$2:$Y$1148,20,FALSE)</f>
        <v>82DH0511010016000515613</v>
      </c>
      <c r="L723" s="167" t="str">
        <f>VLOOKUP($A723,'030523 INVENTARIO'!$A$2:$Y$1148,23,FALSE)</f>
        <v>BLANCA ELIZABETH ALCANTAR (ALMACEN)</v>
      </c>
    </row>
    <row r="724" spans="1:12" ht="12.75" hidden="1">
      <c r="A724" s="167" t="str">
        <f>'030523 INVENTARIO'!A724</f>
        <v>0723</v>
      </c>
      <c r="B724" s="168" t="str">
        <f>'030523 INVENTARIO'!T724</f>
        <v>82DH0531010065000564772</v>
      </c>
      <c r="C724" s="167" t="str">
        <f t="shared" si="0"/>
        <v>564772</v>
      </c>
      <c r="D724" s="167" t="str">
        <f>IF(VLOOKUP(C724,'Patrimonio 2023'!$C$2:$C$1128,1,FALSE) = C724, "Encontrado", "no")</f>
        <v>Encontrado</v>
      </c>
      <c r="E724" s="167" t="str">
        <f>VLOOKUP($A724,'030523 INVENTARIO'!$A$2:$Y$1148,5,FALSE)</f>
        <v>MESA</v>
      </c>
      <c r="F724" s="167" t="str">
        <f>VLOOKUP($A724,'030523 INVENTARIO'!$A$2:$Y$1148,6,FALSE)</f>
        <v>MESA DE MADERA COMPLEMENTO 160X60</v>
      </c>
      <c r="G724" s="167" t="str">
        <f ca="1">VLOOKUP($A724,'030523 INVENTARIO'!$A$2:$Y$1148,8,FALSE)</f>
        <v>P24SJ-0723</v>
      </c>
      <c r="H724" s="168" t="str">
        <f>VLOOKUP($A724,'030523 INVENTARIO'!$A$2:$Y$1148,17,FALSE)</f>
        <v>S/M</v>
      </c>
      <c r="I724" s="167" t="str">
        <f>VLOOKUP($A724,'030523 INVENTARIO'!$A$2:$Y$1148,18,FALSE)</f>
        <v>S/M</v>
      </c>
      <c r="J724" s="168" t="str">
        <f>VLOOKUP($A724,'030523 INVENTARIO'!$A$2:$Y$1148,19,FALSE)</f>
        <v>SIN SERIE</v>
      </c>
      <c r="K724" s="168" t="str">
        <f>VLOOKUP($A724,'030523 INVENTARIO'!$A$2:$Y$1148,20,FALSE)</f>
        <v>82DH0531010065000564772</v>
      </c>
      <c r="L724" s="167" t="str">
        <f>VLOOKUP($A724,'030523 INVENTARIO'!$A$2:$Y$1148,23,FALSE)</f>
        <v>RODOLFO GARCIA GARCIA</v>
      </c>
    </row>
    <row r="725" spans="1:12" ht="12.75" hidden="1">
      <c r="A725" s="167" t="str">
        <f>'030523 INVENTARIO'!A725</f>
        <v>0724</v>
      </c>
      <c r="B725" s="168" t="str">
        <f>'030523 INVENTARIO'!T725</f>
        <v>SIN RESGUARDO</v>
      </c>
      <c r="C725" s="167" t="str">
        <f t="shared" si="0"/>
        <v/>
      </c>
      <c r="D725" s="167" t="e">
        <f>IF(VLOOKUP(C725,'Patrimonio 2023'!$C$2:$C$1128,1,FALSE) = C725, "Encontrado", "no")</f>
        <v>#N/A</v>
      </c>
      <c r="E725" s="167" t="str">
        <f>VLOOKUP($A725,'030523 INVENTARIO'!$A$2:$Y$1148,5,FALSE)</f>
        <v>CREDENZA</v>
      </c>
      <c r="F725" s="168" t="str">
        <f>VLOOKUP($A725,'030523 INVENTARIO'!$A$2:$Y$1148,6,FALSE)</f>
        <v>CREDENZA</v>
      </c>
      <c r="G725" s="167" t="str">
        <f ca="1">VLOOKUP($A725,'030523 INVENTARIO'!$A$2:$Y$1148,8,FALSE)</f>
        <v>P24SJ-0724</v>
      </c>
      <c r="H725" s="168" t="str">
        <f>VLOOKUP($A725,'030523 INVENTARIO'!$A$2:$Y$1148,17,FALSE)</f>
        <v>S/M</v>
      </c>
      <c r="I725" s="167" t="str">
        <f>VLOOKUP($A725,'030523 INVENTARIO'!$A$2:$Y$1148,18,FALSE)</f>
        <v>S/M</v>
      </c>
      <c r="J725" s="168" t="str">
        <f>VLOOKUP($A725,'030523 INVENTARIO'!$A$2:$Y$1148,19,FALSE)</f>
        <v>SIN SERIE</v>
      </c>
      <c r="K725" s="168" t="str">
        <f>VLOOKUP($A725,'030523 INVENTARIO'!$A$2:$Y$1148,20,FALSE)</f>
        <v>SIN RESGUARDO</v>
      </c>
      <c r="L725" s="167" t="str">
        <f>VLOOKUP($A725,'030523 INVENTARIO'!$A$2:$Y$1148,23,FALSE)</f>
        <v>RODOLFO GARCIA GARCIA</v>
      </c>
    </row>
    <row r="726" spans="1:12" ht="12.75" hidden="1">
      <c r="A726" s="167" t="str">
        <f>'030523 INVENTARIO'!A726</f>
        <v>0725</v>
      </c>
      <c r="B726" s="168" t="str">
        <f>'030523 INVENTARIO'!T726</f>
        <v>82DH0511010006000583484</v>
      </c>
      <c r="C726" s="167" t="str">
        <f t="shared" si="0"/>
        <v>583484</v>
      </c>
      <c r="D726" s="167" t="str">
        <f>IF(VLOOKUP(C726,'Patrimonio 2023'!$C$2:$C$1128,1,FALSE) = C726, "Encontrado", "no")</f>
        <v>Encontrado</v>
      </c>
      <c r="E726" s="167" t="str">
        <f>VLOOKUP($A726,'030523 INVENTARIO'!$A$2:$Y$1148,5,FALSE)</f>
        <v>ESCRITORIO</v>
      </c>
      <c r="F726" s="167" t="str">
        <f>VLOOKUP($A726,'030523 INVENTARIO'!$A$2:$Y$1148,6,FALSE)</f>
        <v>ESCRITORIO DE MADERA TIPO ISLA DE 3 PIEZAS</v>
      </c>
      <c r="G726" s="167" t="str">
        <f ca="1">VLOOKUP($A726,'030523 INVENTARIO'!$A$2:$Y$1148,8,FALSE)</f>
        <v>P24SJ-0725</v>
      </c>
      <c r="H726" s="168" t="str">
        <f>VLOOKUP($A726,'030523 INVENTARIO'!$A$2:$Y$1148,17,FALSE)</f>
        <v>S/M</v>
      </c>
      <c r="I726" s="167" t="str">
        <f>VLOOKUP($A726,'030523 INVENTARIO'!$A$2:$Y$1148,18,FALSE)</f>
        <v>S/M</v>
      </c>
      <c r="J726" s="168" t="str">
        <f>VLOOKUP($A726,'030523 INVENTARIO'!$A$2:$Y$1148,19,FALSE)</f>
        <v>SIN SERIE</v>
      </c>
      <c r="K726" s="168" t="str">
        <f>VLOOKUP($A726,'030523 INVENTARIO'!$A$2:$Y$1148,20,FALSE)</f>
        <v>82DH0511010006000583484</v>
      </c>
      <c r="L726" s="167" t="str">
        <f>VLOOKUP($A726,'030523 INVENTARIO'!$A$2:$Y$1148,23,FALSE)</f>
        <v>RODOLFO GARCIA GARCIA</v>
      </c>
    </row>
    <row r="727" spans="1:12" ht="12.75" hidden="1">
      <c r="A727" s="167" t="str">
        <f>'030523 INVENTARIO'!A727</f>
        <v>0726</v>
      </c>
      <c r="B727" s="168" t="str">
        <f>'030523 INVENTARIO'!T727</f>
        <v>82DH0511010006000583683</v>
      </c>
      <c r="C727" s="167" t="str">
        <f t="shared" si="0"/>
        <v>583683</v>
      </c>
      <c r="D727" s="167" t="str">
        <f>IF(VLOOKUP(C727,'Patrimonio 2023'!$C$2:$C$1128,1,FALSE) = C727, "Encontrado", "no")</f>
        <v>Encontrado</v>
      </c>
      <c r="E727" s="167" t="str">
        <f>VLOOKUP($A727,'030523 INVENTARIO'!$A$2:$Y$1148,5,FALSE)</f>
        <v>ESCRITORIO</v>
      </c>
      <c r="F727" s="167" t="str">
        <f>VLOOKUP($A727,'030523 INVENTARIO'!$A$2:$Y$1148,6,FALSE)</f>
        <v>ESCRITORIO DE MADERA CON 2 CAJONES</v>
      </c>
      <c r="G727" s="167" t="str">
        <f ca="1">VLOOKUP($A727,'030523 INVENTARIO'!$A$2:$Y$1148,8,FALSE)</f>
        <v>P24SJ-0726</v>
      </c>
      <c r="H727" s="168" t="str">
        <f>VLOOKUP($A727,'030523 INVENTARIO'!$A$2:$Y$1148,17,FALSE)</f>
        <v>S/M</v>
      </c>
      <c r="I727" s="167" t="str">
        <f>VLOOKUP($A727,'030523 INVENTARIO'!$A$2:$Y$1148,18,FALSE)</f>
        <v>S/M</v>
      </c>
      <c r="J727" s="168" t="str">
        <f>VLOOKUP($A727,'030523 INVENTARIO'!$A$2:$Y$1148,19,FALSE)</f>
        <v>SIN SERIE</v>
      </c>
      <c r="K727" s="168" t="str">
        <f>VLOOKUP($A727,'030523 INVENTARIO'!$A$2:$Y$1148,20,FALSE)</f>
        <v>82DH0511010006000583683</v>
      </c>
      <c r="L727" s="167" t="str">
        <f>VLOOKUP($A727,'030523 INVENTARIO'!$A$2:$Y$1148,23,FALSE)</f>
        <v>RODOLFO GARCIA GARCIA</v>
      </c>
    </row>
    <row r="728" spans="1:12" ht="12.75" hidden="1">
      <c r="A728" s="167" t="str">
        <f>'030523 INVENTARIO'!A728</f>
        <v>0727</v>
      </c>
      <c r="B728" s="168" t="str">
        <f>'030523 INVENTARIO'!T728</f>
        <v>82DH0565010001000649766</v>
      </c>
      <c r="C728" s="167" t="str">
        <f t="shared" si="0"/>
        <v>649766</v>
      </c>
      <c r="D728" s="167" t="str">
        <f>IF(VLOOKUP(C728,'Patrimonio 2023'!$C$2:$C$1128,1,FALSE) = C728, "Encontrado", "no")</f>
        <v>Encontrado</v>
      </c>
      <c r="E728" s="167" t="str">
        <f>VLOOKUP($A728,'030523 INVENTARIO'!$A$2:$Y$1148,5,FALSE)</f>
        <v>TELEFONO</v>
      </c>
      <c r="F728" s="168" t="str">
        <f>VLOOKUP($A728,'030523 INVENTARIO'!$A$2:$Y$1148,6,FALSE)</f>
        <v>TELEFONO GRIS</v>
      </c>
      <c r="G728" s="167" t="str">
        <f ca="1">VLOOKUP($A728,'030523 INVENTARIO'!$A$2:$Y$1148,8,FALSE)</f>
        <v>P24SJ-0727</v>
      </c>
      <c r="H728" s="168" t="str">
        <f>VLOOKUP($A728,'030523 INVENTARIO'!$A$2:$Y$1148,17,FALSE)</f>
        <v>CISCO</v>
      </c>
      <c r="I728" s="167" t="str">
        <f>VLOOKUP($A728,'030523 INVENTARIO'!$A$2:$Y$1148,18,FALSE)</f>
        <v>SPA504G</v>
      </c>
      <c r="J728" s="168" t="str">
        <f>VLOOKUP($A728,'030523 INVENTARIO'!$A$2:$Y$1148,19,FALSE)</f>
        <v>CCQ18330BBG</v>
      </c>
      <c r="K728" s="168" t="str">
        <f>VLOOKUP($A728,'030523 INVENTARIO'!$A$2:$Y$1148,20,FALSE)</f>
        <v>82DH0565010001000649766</v>
      </c>
      <c r="L728" s="167" t="str">
        <f>VLOOKUP($A728,'030523 INVENTARIO'!$A$2:$Y$1148,23,FALSE)</f>
        <v>RODOLFO GARCIA GARCIA</v>
      </c>
    </row>
    <row r="729" spans="1:12" ht="12.75" hidden="1">
      <c r="A729" s="167" t="str">
        <f>'030523 INVENTARIO'!A729</f>
        <v>0728</v>
      </c>
      <c r="B729" s="167" t="str">
        <f>'030523 INVENTARIO'!T729</f>
        <v>82DH0512010025000649410</v>
      </c>
      <c r="C729" s="167" t="str">
        <f t="shared" si="0"/>
        <v>649410</v>
      </c>
      <c r="D729" s="167" t="str">
        <f>IF(VLOOKUP(C729,'Patrimonio 2023'!$C$2:$C$1128,1,FALSE) = C729, "Encontrado", "no")</f>
        <v>Encontrado</v>
      </c>
      <c r="E729" s="167" t="str">
        <f>VLOOKUP($A729,'030523 INVENTARIO'!$A$2:$Y$1148,5,FALSE)</f>
        <v>MONITOR</v>
      </c>
      <c r="F729" s="167" t="str">
        <f>VLOOKUP($A729,'030523 INVENTARIO'!$A$2:$Y$1148,6,FALSE)</f>
        <v>PANTALLA NEGRA DE 32"</v>
      </c>
      <c r="G729" s="167" t="str">
        <f ca="1">VLOOKUP($A729,'030523 INVENTARIO'!$A$2:$Y$1148,8,FALSE)</f>
        <v>P25RM-0728</v>
      </c>
      <c r="H729" s="168" t="str">
        <f>VLOOKUP($A729,'030523 INVENTARIO'!$A$2:$Y$1148,17,FALSE)</f>
        <v>SANSUI</v>
      </c>
      <c r="I729" s="167" t="str">
        <f>VLOOKUP($A729,'030523 INVENTARIO'!$A$2:$Y$1148,18,FALSE)</f>
        <v>SMX32F1NF</v>
      </c>
      <c r="J729" s="168" t="str">
        <f>VLOOKUP($A729,'030523 INVENTARIO'!$A$2:$Y$1148,19,FALSE)</f>
        <v>CTM200410202754</v>
      </c>
      <c r="K729" s="167" t="str">
        <f>VLOOKUP($A729,'030523 INVENTARIO'!$A$2:$Y$1148,20,FALSE)</f>
        <v>82DH0512010025000649410</v>
      </c>
      <c r="L729" s="167" t="str">
        <f>VLOOKUP($A729,'030523 INVENTARIO'!$A$2:$Y$1148,23,FALSE)</f>
        <v xml:space="preserve">BLANCA ELIZABETH ALCANTAR GUERRERO </v>
      </c>
    </row>
    <row r="730" spans="1:12" ht="12.75" hidden="1">
      <c r="A730" s="167" t="str">
        <f>'030523 INVENTARIO'!A730</f>
        <v>0729</v>
      </c>
      <c r="B730" s="168" t="str">
        <f>'030523 INVENTARIO'!T730</f>
        <v>82DH0515010003000649376</v>
      </c>
      <c r="C730" s="167" t="str">
        <f t="shared" si="0"/>
        <v>649376</v>
      </c>
      <c r="D730" s="167" t="str">
        <f>IF(VLOOKUP(C730,'Patrimonio 2023'!$C$2:$C$1128,1,FALSE) = C730, "Encontrado", "no")</f>
        <v>Encontrado</v>
      </c>
      <c r="E730" s="167" t="str">
        <f>VLOOKUP($A730,'030523 INVENTARIO'!$A$2:$Y$1148,5,FALSE)</f>
        <v>COMPUTADORA DE ESCRITORIO</v>
      </c>
      <c r="F730" s="167" t="str">
        <f>VLOOKUP($A730,'030523 INVENTARIO'!$A$2:$Y$1148,6,FALSE)</f>
        <v>COMPUTADORA DE ESCRITORIO</v>
      </c>
      <c r="G730" s="167" t="str">
        <f ca="1">VLOOKUP($A730,'030523 INVENTARIO'!$A$2:$Y$1148,8,FALSE)</f>
        <v>P24SJ-0729</v>
      </c>
      <c r="H730" s="168" t="str">
        <f>VLOOKUP($A730,'030523 INVENTARIO'!$A$2:$Y$1148,17,FALSE)</f>
        <v>HP</v>
      </c>
      <c r="I730" s="167" t="str">
        <f>VLOOKUP($A730,'030523 INVENTARIO'!$A$2:$Y$1148,18,FALSE)</f>
        <v>SLIM TOWER 280</v>
      </c>
      <c r="J730" s="168" t="str">
        <f>VLOOKUP($A730,'030523 INVENTARIO'!$A$2:$Y$1148,19,FALSE)</f>
        <v>3CR5440DT0</v>
      </c>
      <c r="K730" s="168" t="str">
        <f>VLOOKUP($A730,'030523 INVENTARIO'!$A$2:$Y$1148,20,FALSE)</f>
        <v>82DH0515010003000649376</v>
      </c>
      <c r="L730" s="167" t="str">
        <f>VLOOKUP($A730,'030523 INVENTARIO'!$A$2:$Y$1148,23,FALSE)</f>
        <v>RODOLFO GARCIA GARCIA</v>
      </c>
    </row>
    <row r="731" spans="1:12" ht="12.75" hidden="1">
      <c r="A731" s="167" t="str">
        <f>'030523 INVENTARIO'!A731</f>
        <v>0730</v>
      </c>
      <c r="B731" s="167" t="str">
        <f>'030523 INVENTARIO'!T731</f>
        <v>82DH0515010006000649399</v>
      </c>
      <c r="C731" s="167" t="str">
        <f t="shared" si="0"/>
        <v>649399</v>
      </c>
      <c r="D731" s="167" t="str">
        <f>IF(VLOOKUP(C731,'Patrimonio 2023'!$C$2:$C$1128,1,FALSE) = C731, "Encontrado", "no")</f>
        <v>Encontrado</v>
      </c>
      <c r="E731" s="167" t="str">
        <f>VLOOKUP($A731,'030523 INVENTARIO'!$A$2:$Y$1148,5,FALSE)</f>
        <v>DISCO DURO</v>
      </c>
      <c r="F731" s="168" t="str">
        <f>VLOOKUP($A731,'030523 INVENTARIO'!$A$2:$Y$1148,6,FALSE)</f>
        <v xml:space="preserve">DISCO DURO EXTERNO </v>
      </c>
      <c r="G731" s="167" t="str">
        <f ca="1">VLOOKUP($A731,'030523 INVENTARIO'!$A$2:$Y$1148,8,FALSE)</f>
        <v>P24SJ-0730</v>
      </c>
      <c r="H731" s="168" t="str">
        <f>VLOOKUP($A731,'030523 INVENTARIO'!$A$2:$Y$1148,17,FALSE)</f>
        <v>ADATA</v>
      </c>
      <c r="I731" s="167" t="str">
        <f>VLOOKUP($A731,'030523 INVENTARIO'!$A$2:$Y$1148,18,FALSE)</f>
        <v>HD710-1T</v>
      </c>
      <c r="J731" s="168" t="str">
        <f>VLOOKUP($A731,'030523 INVENTARIO'!$A$2:$Y$1148,19,FALSE)</f>
        <v>1G4020046263</v>
      </c>
      <c r="K731" s="167" t="str">
        <f>VLOOKUP($A731,'030523 INVENTARIO'!$A$2:$Y$1148,20,FALSE)</f>
        <v>82DH0515010006000649399</v>
      </c>
      <c r="L731" s="167" t="str">
        <f>VLOOKUP($A731,'030523 INVENTARIO'!$A$2:$Y$1148,23,FALSE)</f>
        <v>RODOLFO GARCIA GARCIA</v>
      </c>
    </row>
    <row r="732" spans="1:12" ht="12.75" hidden="1">
      <c r="A732" s="167" t="str">
        <f>'030523 INVENTARIO'!A732</f>
        <v>0731</v>
      </c>
      <c r="B732" s="168" t="str">
        <f>'030523 INVENTARIO'!T732</f>
        <v>82DH0515010016000649415</v>
      </c>
      <c r="C732" s="167" t="str">
        <f t="shared" si="0"/>
        <v>649415</v>
      </c>
      <c r="D732" s="167" t="str">
        <f>IF(VLOOKUP(C732,'Patrimonio 2023'!$C$2:$C$1128,1,FALSE) = C732, "Encontrado", "no")</f>
        <v>Encontrado</v>
      </c>
      <c r="E732" s="167" t="str">
        <f>VLOOKUP($A732,'030523 INVENTARIO'!$A$2:$Y$1148,5,FALSE)</f>
        <v>NO BREAK</v>
      </c>
      <c r="F732" s="168" t="str">
        <f>VLOOKUP($A732,'030523 INVENTARIO'!$A$2:$Y$1148,6,FALSE)</f>
        <v>NO BREAK</v>
      </c>
      <c r="G732" s="167" t="str">
        <f ca="1">VLOOKUP($A732,'030523 INVENTARIO'!$A$2:$Y$1148,8,FALSE)</f>
        <v>P24SJ-0731</v>
      </c>
      <c r="H732" s="168" t="str">
        <f>VLOOKUP($A732,'030523 INVENTARIO'!$A$2:$Y$1148,17,FALSE)</f>
        <v>FORZA</v>
      </c>
      <c r="I732" s="167" t="str">
        <f>VLOOKUP($A732,'030523 INVENTARIO'!$A$2:$Y$1148,18,FALSE)</f>
        <v>NT751</v>
      </c>
      <c r="J732" s="168" t="str">
        <f>VLOOKUP($A732,'030523 INVENTARIO'!$A$2:$Y$1148,19,FALSE)</f>
        <v>181222508481</v>
      </c>
      <c r="K732" s="168" t="str">
        <f>VLOOKUP($A732,'030523 INVENTARIO'!$A$2:$Y$1148,20,FALSE)</f>
        <v>82DH0515010016000649415</v>
      </c>
      <c r="L732" s="167" t="str">
        <f>VLOOKUP($A732,'030523 INVENTARIO'!$A$2:$Y$1148,23,FALSE)</f>
        <v>RODOLFO GARCIA GARCIA</v>
      </c>
    </row>
    <row r="733" spans="1:12" ht="12.75" hidden="1">
      <c r="A733" s="167" t="str">
        <f>'030523 INVENTARIO'!A733</f>
        <v>0732</v>
      </c>
      <c r="B733" s="168" t="str">
        <f>'030523 INVENTARIO'!T733</f>
        <v>82DH0511010016000515590</v>
      </c>
      <c r="C733" s="167" t="str">
        <f t="shared" si="0"/>
        <v>515590</v>
      </c>
      <c r="D733" s="167" t="str">
        <f>IF(VLOOKUP(C733,'Patrimonio 2023'!$C$2:$C$1128,1,FALSE) = C733, "Encontrado", "no")</f>
        <v>Encontrado</v>
      </c>
      <c r="E733" s="167" t="str">
        <f>VLOOKUP($A733,'030523 INVENTARIO'!$A$2:$Y$1148,5,FALSE)</f>
        <v>SILLON</v>
      </c>
      <c r="F733" s="168" t="str">
        <f>VLOOKUP($A733,'030523 INVENTARIO'!$A$2:$Y$1148,6,FALSE)</f>
        <v>SILLÓN NEGRO CON RUEDAS</v>
      </c>
      <c r="G733" s="167" t="str">
        <f ca="1">VLOOKUP($A733,'030523 INVENTARIO'!$A$2:$Y$1148,8,FALSE)</f>
        <v>P05RM-0732</v>
      </c>
      <c r="H733" s="168" t="str">
        <f>VLOOKUP($A733,'030523 INVENTARIO'!$A$2:$Y$1148,17,FALSE)</f>
        <v>S/M</v>
      </c>
      <c r="I733" s="167" t="str">
        <f>VLOOKUP($A733,'030523 INVENTARIO'!$A$2:$Y$1148,18,FALSE)</f>
        <v>S/M</v>
      </c>
      <c r="J733" s="168" t="str">
        <f>VLOOKUP($A733,'030523 INVENTARIO'!$A$2:$Y$1148,19,FALSE)</f>
        <v>SIN SERIE</v>
      </c>
      <c r="K733" s="168" t="str">
        <f>VLOOKUP($A733,'030523 INVENTARIO'!$A$2:$Y$1148,20,FALSE)</f>
        <v>82DH0511010016000515590</v>
      </c>
      <c r="L733" s="167" t="str">
        <f>VLOOKUP($A733,'030523 INVENTARIO'!$A$2:$Y$1148,23,FALSE)</f>
        <v>BLANCA ELIZABETH ALCANTAR GUERRERO</v>
      </c>
    </row>
    <row r="734" spans="1:12" ht="12.75" hidden="1">
      <c r="A734" s="167" t="str">
        <f>'030523 INVENTARIO'!A734</f>
        <v>0733</v>
      </c>
      <c r="B734" s="168" t="str">
        <f>'030523 INVENTARIO'!T734</f>
        <v>82DH0531010065000564754</v>
      </c>
      <c r="C734" s="167" t="str">
        <f t="shared" si="0"/>
        <v>564754</v>
      </c>
      <c r="D734" s="167" t="str">
        <f>IF(VLOOKUP(C734,'Patrimonio 2023'!$C$2:$C$1128,1,FALSE) = C734, "Encontrado", "no")</f>
        <v>Encontrado</v>
      </c>
      <c r="E734" s="167" t="str">
        <f>VLOOKUP($A734,'030523 INVENTARIO'!$A$2:$Y$1148,5,FALSE)</f>
        <v>MESA</v>
      </c>
      <c r="F734" s="167" t="str">
        <f>VLOOKUP($A734,'030523 INVENTARIO'!$A$2:$Y$1148,6,FALSE)</f>
        <v>MESA DE MADERA CON BASE DE METAL 100X40</v>
      </c>
      <c r="G734" s="167" t="str">
        <f ca="1">VLOOKUP($A734,'030523 INVENTARIO'!$A$2:$Y$1148,8,FALSE)</f>
        <v>P24SJ-0733</v>
      </c>
      <c r="H734" s="168" t="str">
        <f>VLOOKUP($A734,'030523 INVENTARIO'!$A$2:$Y$1148,17,FALSE)</f>
        <v>S/M</v>
      </c>
      <c r="I734" s="167" t="str">
        <f>VLOOKUP($A734,'030523 INVENTARIO'!$A$2:$Y$1148,18,FALSE)</f>
        <v>S/M</v>
      </c>
      <c r="J734" s="168" t="str">
        <f>VLOOKUP($A734,'030523 INVENTARIO'!$A$2:$Y$1148,19,FALSE)</f>
        <v>SIN SERIE</v>
      </c>
      <c r="K734" s="168" t="str">
        <f>VLOOKUP($A734,'030523 INVENTARIO'!$A$2:$Y$1148,20,FALSE)</f>
        <v>82DH0531010065000564754</v>
      </c>
      <c r="L734" s="167" t="str">
        <f>VLOOKUP($A734,'030523 INVENTARIO'!$A$2:$Y$1148,23,FALSE)</f>
        <v>RODOLFO GARCIA GARCIA (AREAS COMUNES)</v>
      </c>
    </row>
    <row r="735" spans="1:12" ht="12.75" hidden="1">
      <c r="A735" s="167" t="str">
        <f>'030523 INVENTARIO'!A735</f>
        <v>0734</v>
      </c>
      <c r="B735" s="168" t="str">
        <f>'030523 INVENTARIO'!T735</f>
        <v>82DH0511010015000515554</v>
      </c>
      <c r="C735" s="167" t="str">
        <f t="shared" si="0"/>
        <v>515554</v>
      </c>
      <c r="D735" s="167" t="str">
        <f>IF(VLOOKUP(C735,'Patrimonio 2023'!$C$2:$C$1128,1,FALSE) = C735, "Encontrado", "no")</f>
        <v>Encontrado</v>
      </c>
      <c r="E735" s="167" t="str">
        <f>VLOOKUP($A735,'030523 INVENTARIO'!$A$2:$Y$1148,5,FALSE)</f>
        <v>RECIBIDOR</v>
      </c>
      <c r="F735" s="167" t="str">
        <f>VLOOKUP($A735,'030523 INVENTARIO'!$A$2:$Y$1148,6,FALSE)</f>
        <v>RECIBIDOR DE TELA DE 3 PLAZAS CON BASE DE METAL</v>
      </c>
      <c r="G735" s="167" t="str">
        <f ca="1">VLOOKUP($A735,'030523 INVENTARIO'!$A$2:$Y$1148,8,FALSE)</f>
        <v>P24SJ-0734</v>
      </c>
      <c r="H735" s="168" t="str">
        <f>VLOOKUP($A735,'030523 INVENTARIO'!$A$2:$Y$1148,17,FALSE)</f>
        <v>S/M</v>
      </c>
      <c r="I735" s="167" t="str">
        <f>VLOOKUP($A735,'030523 INVENTARIO'!$A$2:$Y$1148,18,FALSE)</f>
        <v>S/M</v>
      </c>
      <c r="J735" s="168" t="str">
        <f>VLOOKUP($A735,'030523 INVENTARIO'!$A$2:$Y$1148,19,FALSE)</f>
        <v>SIN SERIE</v>
      </c>
      <c r="K735" s="168" t="str">
        <f>VLOOKUP($A735,'030523 INVENTARIO'!$A$2:$Y$1148,20,FALSE)</f>
        <v>82DH0511010015000515554</v>
      </c>
      <c r="L735" s="167" t="str">
        <f>VLOOKUP($A735,'030523 INVENTARIO'!$A$2:$Y$1148,23,FALSE)</f>
        <v>RODOLFO GARCIA GARCIA (AREAS COMUNES)</v>
      </c>
    </row>
    <row r="736" spans="1:12" ht="12.75" hidden="1">
      <c r="A736" s="167" t="str">
        <f>'030523 INVENTARIO'!A736</f>
        <v>0735</v>
      </c>
      <c r="B736" s="168" t="str">
        <f>'030523 INVENTARIO'!T736</f>
        <v>82DH0511010015000518531</v>
      </c>
      <c r="C736" s="167" t="str">
        <f t="shared" si="0"/>
        <v>518531</v>
      </c>
      <c r="D736" s="167" t="str">
        <f>IF(VLOOKUP(C736,'Patrimonio 2023'!$C$2:$C$1128,1,FALSE) = C736, "Encontrado", "no")</f>
        <v>Encontrado</v>
      </c>
      <c r="E736" s="167" t="str">
        <f>VLOOKUP($A736,'030523 INVENTARIO'!$A$2:$Y$1148,5,FALSE)</f>
        <v>RECIBIDOR</v>
      </c>
      <c r="F736" s="167" t="str">
        <f>VLOOKUP($A736,'030523 INVENTARIO'!$A$2:$Y$1148,6,FALSE)</f>
        <v>RECIBIDOR DE TELA DE 3 PLAZAS CON BASE DE METAL</v>
      </c>
      <c r="G736" s="167" t="str">
        <f ca="1">VLOOKUP($A736,'030523 INVENTARIO'!$A$2:$Y$1148,8,FALSE)</f>
        <v>P24SJ-0735</v>
      </c>
      <c r="H736" s="168" t="str">
        <f>VLOOKUP($A736,'030523 INVENTARIO'!$A$2:$Y$1148,17,FALSE)</f>
        <v>S/M</v>
      </c>
      <c r="I736" s="167" t="str">
        <f>VLOOKUP($A736,'030523 INVENTARIO'!$A$2:$Y$1148,18,FALSE)</f>
        <v>S/M</v>
      </c>
      <c r="J736" s="168" t="str">
        <f>VLOOKUP($A736,'030523 INVENTARIO'!$A$2:$Y$1148,19,FALSE)</f>
        <v>SIN SERIE</v>
      </c>
      <c r="K736" s="168" t="str">
        <f>VLOOKUP($A736,'030523 INVENTARIO'!$A$2:$Y$1148,20,FALSE)</f>
        <v>82DH0511010015000518531</v>
      </c>
      <c r="L736" s="167" t="str">
        <f>VLOOKUP($A736,'030523 INVENTARIO'!$A$2:$Y$1148,23,FALSE)</f>
        <v>RODOLFO GARCIA GARCIA (AREAS COMUNES)</v>
      </c>
    </row>
    <row r="737" spans="1:12" ht="12.75" hidden="1">
      <c r="A737" s="167" t="str">
        <f>'030523 INVENTARIO'!A737</f>
        <v>0736</v>
      </c>
      <c r="B737" s="168" t="str">
        <f>'030523 INVENTARIO'!T737</f>
        <v>82DH0511010016000564683</v>
      </c>
      <c r="C737" s="167" t="str">
        <f t="shared" si="0"/>
        <v>564683</v>
      </c>
      <c r="D737" s="167" t="str">
        <f>IF(VLOOKUP(C737,'Patrimonio 2023'!$C$2:$C$1128,1,FALSE) = C737, "Encontrado", "no")</f>
        <v>Encontrado</v>
      </c>
      <c r="E737" s="167" t="str">
        <f>VLOOKUP($A737,'030523 INVENTARIO'!$A$2:$Y$1148,5,FALSE)</f>
        <v>SILLON</v>
      </c>
      <c r="F737" s="167" t="str">
        <f>VLOOKUP($A737,'030523 INVENTARIO'!$A$2:$Y$1148,6,FALSE)</f>
        <v>SILLÓN DE TELA NEGRO CON MADERA FIJO</v>
      </c>
      <c r="G737" s="167" t="str">
        <f ca="1">VLOOKUP($A737,'030523 INVENTARIO'!$A$2:$Y$1148,8,FALSE)</f>
        <v>P24SJ-0736</v>
      </c>
      <c r="H737" s="168" t="str">
        <f>VLOOKUP($A737,'030523 INVENTARIO'!$A$2:$Y$1148,17,FALSE)</f>
        <v>S/M</v>
      </c>
      <c r="I737" s="167" t="str">
        <f>VLOOKUP($A737,'030523 INVENTARIO'!$A$2:$Y$1148,18,FALSE)</f>
        <v>S/M</v>
      </c>
      <c r="J737" s="168" t="str">
        <f>VLOOKUP($A737,'030523 INVENTARIO'!$A$2:$Y$1148,19,FALSE)</f>
        <v>SIN SERIE</v>
      </c>
      <c r="K737" s="168" t="str">
        <f>VLOOKUP($A737,'030523 INVENTARIO'!$A$2:$Y$1148,20,FALSE)</f>
        <v>82DH0511010016000564683</v>
      </c>
      <c r="L737" s="167" t="str">
        <f>VLOOKUP($A737,'030523 INVENTARIO'!$A$2:$Y$1148,23,FALSE)</f>
        <v>RODOLFO GARCIA GARCIA (AREAS COMUNES)</v>
      </c>
    </row>
    <row r="738" spans="1:12" ht="12.75" hidden="1">
      <c r="A738" s="167" t="str">
        <f>'030523 INVENTARIO'!A738</f>
        <v>0737</v>
      </c>
      <c r="B738" s="168" t="str">
        <f>'030523 INVENTARIO'!T738</f>
        <v>82DH0511010016000649778</v>
      </c>
      <c r="C738" s="167" t="str">
        <f t="shared" si="0"/>
        <v>649778</v>
      </c>
      <c r="D738" s="167" t="str">
        <f>IF(VLOOKUP(C738,'Patrimonio 2023'!$C$2:$C$1128,1,FALSE) = C738, "Encontrado", "no")</f>
        <v>Encontrado</v>
      </c>
      <c r="E738" s="167" t="str">
        <f>VLOOKUP($A738,'030523 INVENTARIO'!$A$2:$Y$1148,5,FALSE)</f>
        <v>SILLON</v>
      </c>
      <c r="F738" s="167" t="str">
        <f>VLOOKUP($A738,'030523 INVENTARIO'!$A$2:$Y$1148,6,FALSE)</f>
        <v>SILLÓN DE TELA NEGRO CON MADERA FIJO</v>
      </c>
      <c r="G738" s="167" t="str">
        <f ca="1">VLOOKUP($A738,'030523 INVENTARIO'!$A$2:$Y$1148,8,FALSE)</f>
        <v>P24SJ-0737</v>
      </c>
      <c r="H738" s="168" t="str">
        <f>VLOOKUP($A738,'030523 INVENTARIO'!$A$2:$Y$1148,17,FALSE)</f>
        <v>S/M</v>
      </c>
      <c r="I738" s="167" t="str">
        <f>VLOOKUP($A738,'030523 INVENTARIO'!$A$2:$Y$1148,18,FALSE)</f>
        <v>S/M</v>
      </c>
      <c r="J738" s="168" t="str">
        <f>VLOOKUP($A738,'030523 INVENTARIO'!$A$2:$Y$1148,19,FALSE)</f>
        <v>SIN SERIE</v>
      </c>
      <c r="K738" s="168" t="str">
        <f>VLOOKUP($A738,'030523 INVENTARIO'!$A$2:$Y$1148,20,FALSE)</f>
        <v>82DH0511010016000649778</v>
      </c>
      <c r="L738" s="167" t="str">
        <f>VLOOKUP($A738,'030523 INVENTARIO'!$A$2:$Y$1148,23,FALSE)</f>
        <v>RODOLFO GARCIA GARCIA (AREAS COMUNES)</v>
      </c>
    </row>
    <row r="739" spans="1:12" ht="12.75" hidden="1">
      <c r="A739" s="167" t="str">
        <f>'030523 INVENTARIO'!A739</f>
        <v>0738</v>
      </c>
      <c r="B739" s="168" t="str">
        <f>'030523 INVENTARIO'!T739</f>
        <v>82DH0511010015000518498</v>
      </c>
      <c r="C739" s="167" t="str">
        <f t="shared" si="0"/>
        <v>518498</v>
      </c>
      <c r="D739" s="167" t="str">
        <f>IF(VLOOKUP(C739,'Patrimonio 2023'!$C$2:$C$1128,1,FALSE) = C739, "Encontrado", "no")</f>
        <v>Encontrado</v>
      </c>
      <c r="E739" s="167" t="str">
        <f>VLOOKUP($A739,'030523 INVENTARIO'!$A$2:$Y$1148,5,FALSE)</f>
        <v>RECIBIDOR</v>
      </c>
      <c r="F739" s="167" t="str">
        <f>VLOOKUP($A739,'030523 INVENTARIO'!$A$2:$Y$1148,6,FALSE)</f>
        <v>RECIBIDOR DE TELA DE 3 PLAZAS CON BASE DE METAL</v>
      </c>
      <c r="G739" s="167" t="str">
        <f ca="1">VLOOKUP($A739,'030523 INVENTARIO'!$A$2:$Y$1148,8,FALSE)</f>
        <v>P24SJ-0738</v>
      </c>
      <c r="H739" s="168" t="str">
        <f>VLOOKUP($A739,'030523 INVENTARIO'!$A$2:$Y$1148,17,FALSE)</f>
        <v>S/M</v>
      </c>
      <c r="I739" s="167" t="str">
        <f>VLOOKUP($A739,'030523 INVENTARIO'!$A$2:$Y$1148,18,FALSE)</f>
        <v>S/M</v>
      </c>
      <c r="J739" s="168" t="str">
        <f>VLOOKUP($A739,'030523 INVENTARIO'!$A$2:$Y$1148,19,FALSE)</f>
        <v>SIN SERIE</v>
      </c>
      <c r="K739" s="168" t="str">
        <f>VLOOKUP($A739,'030523 INVENTARIO'!$A$2:$Y$1148,20,FALSE)</f>
        <v>82DH0511010015000518498</v>
      </c>
      <c r="L739" s="167" t="str">
        <f>VLOOKUP($A739,'030523 INVENTARIO'!$A$2:$Y$1148,23,FALSE)</f>
        <v>RODOLFO GARCIA GARCIA (AREAS COMUNES)</v>
      </c>
    </row>
    <row r="740" spans="1:12" ht="12.75" hidden="1">
      <c r="A740" s="167" t="str">
        <f>'030523 INVENTARIO'!A740</f>
        <v>0739</v>
      </c>
      <c r="B740" s="168" t="str">
        <f>'030523 INVENTARIO'!T740</f>
        <v>82DH0519010043000649746</v>
      </c>
      <c r="C740" s="167" t="str">
        <f t="shared" si="0"/>
        <v>649746</v>
      </c>
      <c r="D740" s="167" t="str">
        <f>IF(VLOOKUP(C740,'Patrimonio 2023'!$C$2:$C$1128,1,FALSE) = C740, "Encontrado", "no")</f>
        <v>Encontrado</v>
      </c>
      <c r="E740" s="167" t="str">
        <f>VLOOKUP($A740,'030523 INVENTARIO'!$A$2:$Y$1148,5,FALSE)</f>
        <v>VENTILADOR</v>
      </c>
      <c r="F740" s="167" t="str">
        <f>VLOOKUP($A740,'030523 INVENTARIO'!$A$2:$Y$1148,6,FALSE)</f>
        <v>VENTILADOR GRIS DE PARED</v>
      </c>
      <c r="G740" s="167" t="str">
        <f ca="1">VLOOKUP($A740,'030523 INVENTARIO'!$A$2:$Y$1148,8,FALSE)</f>
        <v>P25RM-0739</v>
      </c>
      <c r="H740" s="168" t="str">
        <f>VLOOKUP($A740,'030523 INVENTARIO'!$A$2:$Y$1148,17,FALSE)</f>
        <v>NAVIA</v>
      </c>
      <c r="I740" s="167" t="str">
        <f>VLOOKUP($A740,'030523 INVENTARIO'!$A$2:$Y$1148,18,FALSE)</f>
        <v>VPN/018</v>
      </c>
      <c r="J740" s="168" t="str">
        <f>VLOOKUP($A740,'030523 INVENTARIO'!$A$2:$Y$1148,19,FALSE)</f>
        <v>SIN SERIE</v>
      </c>
      <c r="K740" s="168" t="str">
        <f>VLOOKUP($A740,'030523 INVENTARIO'!$A$2:$Y$1148,20,FALSE)</f>
        <v>82DH0519010043000649746</v>
      </c>
      <c r="L740" s="167" t="str">
        <f>VLOOKUP($A740,'030523 INVENTARIO'!$A$2:$Y$1148,23,FALSE)</f>
        <v>BLANCA ELIZABETH ALCANTAR GUERRERO</v>
      </c>
    </row>
    <row r="741" spans="1:12" ht="12.75" hidden="1">
      <c r="A741" s="167" t="str">
        <f>'030523 INVENTARIO'!A741</f>
        <v>0740</v>
      </c>
      <c r="B741" s="168" t="str">
        <f>'030523 INVENTARIO'!T741</f>
        <v>82DH0531010065000564862</v>
      </c>
      <c r="C741" s="167" t="str">
        <f t="shared" si="0"/>
        <v>564862</v>
      </c>
      <c r="D741" s="167" t="str">
        <f>IF(VLOOKUP(C741,'Patrimonio 2023'!$C$2:$C$1128,1,FALSE) = C741, "Encontrado", "no")</f>
        <v>Encontrado</v>
      </c>
      <c r="E741" s="167" t="str">
        <f>VLOOKUP($A741,'030523 INVENTARIO'!$A$2:$Y$1148,5,FALSE)</f>
        <v>MESA</v>
      </c>
      <c r="F741" s="167" t="str">
        <f>VLOOKUP($A741,'030523 INVENTARIO'!$A$2:$Y$1148,6,FALSE)</f>
        <v>MESA TRAPECIO PLASTCA VERDE CON BASE DE METAL</v>
      </c>
      <c r="G741" s="167" t="str">
        <f ca="1">VLOOKUP($A741,'030523 INVENTARIO'!$A$2:$Y$1148,8,FALSE)</f>
        <v>P24SJ-0740</v>
      </c>
      <c r="H741" s="168" t="str">
        <f>VLOOKUP($A741,'030523 INVENTARIO'!$A$2:$Y$1148,17,FALSE)</f>
        <v>S/M</v>
      </c>
      <c r="I741" s="167" t="str">
        <f>VLOOKUP($A741,'030523 INVENTARIO'!$A$2:$Y$1148,18,FALSE)</f>
        <v>S/M</v>
      </c>
      <c r="J741" s="168" t="str">
        <f>VLOOKUP($A741,'030523 INVENTARIO'!$A$2:$Y$1148,19,FALSE)</f>
        <v>SIN SERIE</v>
      </c>
      <c r="K741" s="168" t="str">
        <f>VLOOKUP($A741,'030523 INVENTARIO'!$A$2:$Y$1148,20,FALSE)</f>
        <v>82DH0531010065000564862</v>
      </c>
      <c r="L741" s="167" t="str">
        <f>VLOOKUP($A741,'030523 INVENTARIO'!$A$2:$Y$1148,23,FALSE)</f>
        <v>RODOLFO GARCIA GARCIA (AREAS COMUNES)</v>
      </c>
    </row>
    <row r="742" spans="1:12" ht="12.75" hidden="1">
      <c r="A742" s="167" t="str">
        <f>'030523 INVENTARIO'!A742</f>
        <v>0741</v>
      </c>
      <c r="B742" s="168" t="str">
        <f>'030523 INVENTARIO'!T742</f>
        <v>82DH0511010001000570571</v>
      </c>
      <c r="C742" s="167" t="str">
        <f t="shared" si="0"/>
        <v>570571</v>
      </c>
      <c r="D742" s="167" t="str">
        <f>IF(VLOOKUP(C742,'Patrimonio 2023'!$C$2:$C$1128,1,FALSE) = C742, "Encontrado", "no")</f>
        <v>Encontrado</v>
      </c>
      <c r="E742" s="167" t="str">
        <f>VLOOKUP($A742,'030523 INVENTARIO'!$A$2:$Y$1148,5,FALSE)</f>
        <v>ARCHIVERO</v>
      </c>
      <c r="F742" s="167" t="str">
        <f>VLOOKUP($A742,'030523 INVENTARIO'!$A$2:$Y$1148,6,FALSE)</f>
        <v>ARCHIVERO DE METAL GRIS CON 4 CAJONES 133X46X68</v>
      </c>
      <c r="G742" s="167" t="str">
        <f ca="1">VLOOKUP($A742,'030523 INVENTARIO'!$A$2:$Y$1148,8,FALSE)</f>
        <v>P24SJ-0741</v>
      </c>
      <c r="H742" s="168" t="str">
        <f>VLOOKUP($A742,'030523 INVENTARIO'!$A$2:$Y$1148,17,FALSE)</f>
        <v>S/M</v>
      </c>
      <c r="I742" s="167" t="str">
        <f>VLOOKUP($A742,'030523 INVENTARIO'!$A$2:$Y$1148,18,FALSE)</f>
        <v>S/M</v>
      </c>
      <c r="J742" s="168" t="str">
        <f>VLOOKUP($A742,'030523 INVENTARIO'!$A$2:$Y$1148,19,FALSE)</f>
        <v>SIN SERIE</v>
      </c>
      <c r="K742" s="168" t="str">
        <f>VLOOKUP($A742,'030523 INVENTARIO'!$A$2:$Y$1148,20,FALSE)</f>
        <v>82DH0511010001000570571</v>
      </c>
      <c r="L742" s="167" t="str">
        <f>VLOOKUP($A742,'030523 INVENTARIO'!$A$2:$Y$1148,23,FALSE)</f>
        <v>RODOLFO GARCIA GARCIA (AREAS COMUNES)</v>
      </c>
    </row>
    <row r="743" spans="1:12" ht="12.75" hidden="1">
      <c r="A743" s="167" t="str">
        <f>'030523 INVENTARIO'!A743</f>
        <v>0742</v>
      </c>
      <c r="B743" s="168" t="str">
        <f>'030523 INVENTARIO'!T743</f>
        <v>SIN RESGUARDO</v>
      </c>
      <c r="C743" s="167" t="str">
        <f t="shared" si="0"/>
        <v/>
      </c>
      <c r="D743" s="167" t="e">
        <f>IF(VLOOKUP(C743,'Patrimonio 2023'!$C$2:$C$1128,1,FALSE) = C743, "Encontrado", "no")</f>
        <v>#N/A</v>
      </c>
      <c r="E743" s="167" t="str">
        <f>VLOOKUP($A743,'030523 INVENTARIO'!$A$2:$Y$1148,5,FALSE)</f>
        <v>MESA</v>
      </c>
      <c r="F743" s="167" t="str">
        <f>VLOOKUP($A743,'030523 INVENTARIO'!$A$2:$Y$1148,6,FALSE)</f>
        <v>MESA DE MADERA COMPLEMENTO 160X60</v>
      </c>
      <c r="G743" s="167" t="str">
        <f ca="1">VLOOKUP($A743,'030523 INVENTARIO'!$A$2:$Y$1148,8,FALSE)</f>
        <v>P24SJ-0742</v>
      </c>
      <c r="H743" s="168" t="str">
        <f>VLOOKUP($A743,'030523 INVENTARIO'!$A$2:$Y$1148,17,FALSE)</f>
        <v>S/M</v>
      </c>
      <c r="I743" s="167" t="str">
        <f>VLOOKUP($A743,'030523 INVENTARIO'!$A$2:$Y$1148,18,FALSE)</f>
        <v>S/M</v>
      </c>
      <c r="J743" s="168" t="str">
        <f>VLOOKUP($A743,'030523 INVENTARIO'!$A$2:$Y$1148,19,FALSE)</f>
        <v>SIN SERIE</v>
      </c>
      <c r="K743" s="168" t="str">
        <f>VLOOKUP($A743,'030523 INVENTARIO'!$A$2:$Y$1148,20,FALSE)</f>
        <v>SIN RESGUARDO</v>
      </c>
      <c r="L743" s="167" t="str">
        <f>VLOOKUP($A743,'030523 INVENTARIO'!$A$2:$Y$1148,23,FALSE)</f>
        <v>ALEJANDRA LOPEZ MORENO</v>
      </c>
    </row>
    <row r="744" spans="1:12" ht="12.75" hidden="1">
      <c r="A744" s="167" t="str">
        <f>'030523 INVENTARIO'!A744</f>
        <v>0743</v>
      </c>
      <c r="B744" s="168" t="str">
        <f>'030523 INVENTARIO'!T744</f>
        <v>SIN RESGUARDO</v>
      </c>
      <c r="C744" s="167" t="str">
        <f t="shared" si="0"/>
        <v/>
      </c>
      <c r="D744" s="167" t="e">
        <f>IF(VLOOKUP(C744,'Patrimonio 2023'!$C$2:$C$1128,1,FALSE) = C744, "Encontrado", "no")</f>
        <v>#N/A</v>
      </c>
      <c r="E744" s="167" t="str">
        <f>VLOOKUP($A744,'030523 INVENTARIO'!$A$2:$Y$1148,5,FALSE)</f>
        <v>COMPUTADORA DE ESCRITORIO</v>
      </c>
      <c r="F744" s="167" t="str">
        <f>VLOOKUP($A744,'030523 INVENTARIO'!$A$2:$Y$1148,6,FALSE)</f>
        <v>COMPUTADORA TODO EN UNO BLANCO</v>
      </c>
      <c r="G744" s="167" t="str">
        <f ca="1">VLOOKUP($A744,'030523 INVENTARIO'!$A$2:$Y$1148,8,FALSE)</f>
        <v>P24CA-0743</v>
      </c>
      <c r="H744" s="168" t="str">
        <f>VLOOKUP($A744,'030523 INVENTARIO'!$A$2:$Y$1148,17,FALSE)</f>
        <v>LENOVO</v>
      </c>
      <c r="I744" s="167" t="str">
        <f>VLOOKUP($A744,'030523 INVENTARIO'!$A$2:$Y$1148,18,FALSE)</f>
        <v>AIO310 (C240)</v>
      </c>
      <c r="J744" s="168" t="str">
        <f>VLOOKUP($A744,'030523 INVENTARIO'!$A$2:$Y$1148,19,FALSE)</f>
        <v>CS01295655</v>
      </c>
      <c r="K744" s="168" t="str">
        <f>VLOOKUP($A744,'030523 INVENTARIO'!$A$2:$Y$1148,20,FALSE)</f>
        <v>SIN RESGUARDO</v>
      </c>
      <c r="L744" s="167" t="str">
        <f>VLOOKUP($A744,'030523 INVENTARIO'!$A$2:$Y$1148,23,FALSE)</f>
        <v>HECTOR MANZO SILVA</v>
      </c>
    </row>
    <row r="745" spans="1:12" ht="12.75" hidden="1">
      <c r="A745" s="167" t="str">
        <f>'030523 INVENTARIO'!A745</f>
        <v>0744</v>
      </c>
      <c r="B745" s="168" t="str">
        <f>'030523 INVENTARIO'!T745</f>
        <v>82DH0511010017000516331</v>
      </c>
      <c r="C745" s="167" t="str">
        <f t="shared" si="0"/>
        <v>516331</v>
      </c>
      <c r="D745" s="167" t="str">
        <f>IF(VLOOKUP(C745,'Patrimonio 2023'!$C$2:$C$1128,1,FALSE) = C745, "Encontrado", "no")</f>
        <v>Encontrado</v>
      </c>
      <c r="E745" s="167" t="str">
        <f>VLOOKUP($A745,'030523 INVENTARIO'!$A$2:$Y$1148,5,FALSE)</f>
        <v>SILLA</v>
      </c>
      <c r="F745" s="168" t="str">
        <f>VLOOKUP($A745,'030523 INVENTARIO'!$A$2:$Y$1148,6,FALSE)</f>
        <v>SILLA NEGRA CON RUEDAS</v>
      </c>
      <c r="G745" s="167" t="str">
        <f ca="1">VLOOKUP($A745,'030523 INVENTARIO'!$A$2:$Y$1148,8,FALSE)</f>
        <v>P24CA-0744</v>
      </c>
      <c r="H745" s="168" t="str">
        <f>VLOOKUP($A745,'030523 INVENTARIO'!$A$2:$Y$1148,17,FALSE)</f>
        <v>S/M</v>
      </c>
      <c r="I745" s="167" t="str">
        <f>VLOOKUP($A745,'030523 INVENTARIO'!$A$2:$Y$1148,18,FALSE)</f>
        <v>S/M</v>
      </c>
      <c r="J745" s="168" t="str">
        <f>VLOOKUP($A745,'030523 INVENTARIO'!$A$2:$Y$1148,19,FALSE)</f>
        <v>SIN SERIE</v>
      </c>
      <c r="K745" s="168" t="str">
        <f>VLOOKUP($A745,'030523 INVENTARIO'!$A$2:$Y$1148,20,FALSE)</f>
        <v>82DH0511010017000516331</v>
      </c>
      <c r="L745" s="167" t="str">
        <f>VLOOKUP($A745,'030523 INVENTARIO'!$A$2:$Y$1148,23,FALSE)</f>
        <v>HECTOR MANZO SILVA</v>
      </c>
    </row>
    <row r="746" spans="1:12" ht="12.75" hidden="1">
      <c r="A746" s="167" t="str">
        <f>'030523 INVENTARIO'!A746</f>
        <v>0745</v>
      </c>
      <c r="B746" s="168" t="str">
        <f>'030523 INVENTARIO'!T746</f>
        <v>82DH0531010065000564766</v>
      </c>
      <c r="C746" s="167" t="str">
        <f t="shared" si="0"/>
        <v>564766</v>
      </c>
      <c r="D746" s="167" t="str">
        <f>IF(VLOOKUP(C746,'Patrimonio 2023'!$C$2:$C$1128,1,FALSE) = C746, "Encontrado", "no")</f>
        <v>Encontrado</v>
      </c>
      <c r="E746" s="167" t="str">
        <f>VLOOKUP($A746,'030523 INVENTARIO'!$A$2:$Y$1148,5,FALSE)</f>
        <v>MESA</v>
      </c>
      <c r="F746" s="167" t="str">
        <f>VLOOKUP($A746,'030523 INVENTARIO'!$A$2:$Y$1148,6,FALSE)</f>
        <v>MESA DE MADERA COMPLEMENTO 160X60</v>
      </c>
      <c r="G746" s="167" t="str">
        <f ca="1">VLOOKUP($A746,'030523 INVENTARIO'!$A$2:$Y$1148,8,FALSE)</f>
        <v>P24SJ-0745</v>
      </c>
      <c r="H746" s="168" t="str">
        <f>VLOOKUP($A746,'030523 INVENTARIO'!$A$2:$Y$1148,17,FALSE)</f>
        <v>S/M</v>
      </c>
      <c r="I746" s="167" t="str">
        <f>VLOOKUP($A746,'030523 INVENTARIO'!$A$2:$Y$1148,18,FALSE)</f>
        <v>S/M</v>
      </c>
      <c r="J746" s="168" t="str">
        <f>VLOOKUP($A746,'030523 INVENTARIO'!$A$2:$Y$1148,19,FALSE)</f>
        <v>SIN SERIE</v>
      </c>
      <c r="K746" s="168" t="str">
        <f>VLOOKUP($A746,'030523 INVENTARIO'!$A$2:$Y$1148,20,FALSE)</f>
        <v>82DH0531010065000564766</v>
      </c>
      <c r="L746" s="167" t="str">
        <f>VLOOKUP($A746,'030523 INVENTARIO'!$A$2:$Y$1148,23,FALSE)</f>
        <v>ALEJANDRA LOPEZ MORENO</v>
      </c>
    </row>
    <row r="747" spans="1:12" ht="12.75" hidden="1">
      <c r="A747" s="167" t="str">
        <f>'030523 INVENTARIO'!A747</f>
        <v>0746</v>
      </c>
      <c r="B747" s="168" t="str">
        <f>'030523 INVENTARIO'!T747</f>
        <v>82DL0531010065000564762</v>
      </c>
      <c r="C747" s="167" t="str">
        <f t="shared" si="0"/>
        <v>564762</v>
      </c>
      <c r="D747" s="167" t="str">
        <f>IF(VLOOKUP(C747,'Patrimonio 2023'!$C$2:$C$1128,1,FALSE) = C747, "Encontrado", "no")</f>
        <v>Encontrado</v>
      </c>
      <c r="E747" s="167" t="str">
        <f>VLOOKUP($A747,'030523 INVENTARIO'!$A$2:$Y$1148,5,FALSE)</f>
        <v>MESA</v>
      </c>
      <c r="F747" s="168" t="str">
        <f>VLOOKUP($A747,'030523 INVENTARIO'!$A$2:$Y$1148,6,FALSE)</f>
        <v>MESA DE MADERA CHICA</v>
      </c>
      <c r="G747" s="167" t="str">
        <f ca="1">VLOOKUP($A747,'030523 INVENTARIO'!$A$2:$Y$1148,8,FALSE)</f>
        <v>P24SJ-0746</v>
      </c>
      <c r="H747" s="168" t="str">
        <f>VLOOKUP($A747,'030523 INVENTARIO'!$A$2:$Y$1148,17,FALSE)</f>
        <v>S/M</v>
      </c>
      <c r="I747" s="167" t="str">
        <f>VLOOKUP($A747,'030523 INVENTARIO'!$A$2:$Y$1148,18,FALSE)</f>
        <v>S/M</v>
      </c>
      <c r="J747" s="168" t="str">
        <f>VLOOKUP($A747,'030523 INVENTARIO'!$A$2:$Y$1148,19,FALSE)</f>
        <v>SIN SERIE</v>
      </c>
      <c r="K747" s="168" t="str">
        <f>VLOOKUP($A747,'030523 INVENTARIO'!$A$2:$Y$1148,20,FALSE)</f>
        <v>82DL0531010065000564762</v>
      </c>
      <c r="L747" s="167" t="str">
        <f>VLOOKUP($A747,'030523 INVENTARIO'!$A$2:$Y$1148,23,FALSE)</f>
        <v>ALEJANDRA LOPEZ MORENO</v>
      </c>
    </row>
    <row r="748" spans="1:12" ht="12.75" hidden="1">
      <c r="A748" s="167" t="str">
        <f>'030523 INVENTARIO'!A748</f>
        <v>0747</v>
      </c>
      <c r="B748" s="168" t="str">
        <f>'030523 INVENTARIO'!T748</f>
        <v>82DL0511010005000649773</v>
      </c>
      <c r="C748" s="167" t="str">
        <f t="shared" si="0"/>
        <v>649773</v>
      </c>
      <c r="D748" s="167" t="str">
        <f>IF(VLOOKUP(C748,'Patrimonio 2023'!$C$2:$C$1128,1,FALSE) = C748, "Encontrado", "no")</f>
        <v>Encontrado</v>
      </c>
      <c r="E748" s="167" t="str">
        <f>VLOOKUP($A748,'030523 INVENTARIO'!$A$2:$Y$1148,5,FALSE)</f>
        <v>CREDENZA</v>
      </c>
      <c r="F748" s="167" t="str">
        <f>VLOOKUP($A748,'030523 INVENTARIO'!$A$2:$Y$1148,6,FALSE)</f>
        <v>CREDENZA 74X124X48 CON 4 PUERTAS</v>
      </c>
      <c r="G748" s="167" t="str">
        <f ca="1">VLOOKUP($A748,'030523 INVENTARIO'!$A$2:$Y$1148,8,FALSE)</f>
        <v>P24SJ-0747</v>
      </c>
      <c r="H748" s="168" t="str">
        <f>VLOOKUP($A748,'030523 INVENTARIO'!$A$2:$Y$1148,17,FALSE)</f>
        <v>S/M</v>
      </c>
      <c r="I748" s="167" t="str">
        <f>VLOOKUP($A748,'030523 INVENTARIO'!$A$2:$Y$1148,18,FALSE)</f>
        <v>S/M</v>
      </c>
      <c r="J748" s="168" t="str">
        <f>VLOOKUP($A748,'030523 INVENTARIO'!$A$2:$Y$1148,19,FALSE)</f>
        <v>SIN SERIE</v>
      </c>
      <c r="K748" s="168" t="str">
        <f>VLOOKUP($A748,'030523 INVENTARIO'!$A$2:$Y$1148,20,FALSE)</f>
        <v>82DL0511010005000649773</v>
      </c>
      <c r="L748" s="167" t="str">
        <f>VLOOKUP($A748,'030523 INVENTARIO'!$A$2:$Y$1148,23,FALSE)</f>
        <v>ALEJANDRA LOPEZ MORENO</v>
      </c>
    </row>
    <row r="749" spans="1:12" ht="12.75" hidden="1">
      <c r="A749" s="167" t="str">
        <f>'030523 INVENTARIO'!A749</f>
        <v>0748</v>
      </c>
      <c r="B749" s="167" t="str">
        <f>'030523 INVENTARIO'!T749</f>
        <v>82DL0565010001000538212</v>
      </c>
      <c r="C749" s="167" t="str">
        <f t="shared" si="0"/>
        <v>538212</v>
      </c>
      <c r="D749" s="167" t="str">
        <f>IF(VLOOKUP(C749,'Patrimonio 2023'!$C$2:$C$1128,1,FALSE) = C749, "Encontrado", "no")</f>
        <v>Encontrado</v>
      </c>
      <c r="E749" s="167" t="str">
        <f>VLOOKUP($A749,'030523 INVENTARIO'!$A$2:$Y$1148,5,FALSE)</f>
        <v>TELEFONO</v>
      </c>
      <c r="F749" s="168" t="str">
        <f>VLOOKUP($A749,'030523 INVENTARIO'!$A$2:$Y$1148,6,FALSE)</f>
        <v>TELEFONO GRIS</v>
      </c>
      <c r="G749" s="167" t="str">
        <f ca="1">VLOOKUP($A749,'030523 INVENTARIO'!$A$2:$Y$1148,8,FALSE)</f>
        <v>P24SJ-0748</v>
      </c>
      <c r="H749" s="168" t="str">
        <f>VLOOKUP($A749,'030523 INVENTARIO'!$A$2:$Y$1148,17,FALSE)</f>
        <v>CISCO</v>
      </c>
      <c r="I749" s="167" t="str">
        <f>VLOOKUP($A749,'030523 INVENTARIO'!$A$2:$Y$1148,18,FALSE)</f>
        <v>SPA504G</v>
      </c>
      <c r="J749" s="168" t="str">
        <f>VLOOKUP($A749,'030523 INVENTARIO'!$A$2:$Y$1148,19,FALSE)</f>
        <v>CBT15400SMO</v>
      </c>
      <c r="K749" s="167" t="str">
        <f>VLOOKUP($A749,'030523 INVENTARIO'!$A$2:$Y$1148,20,FALSE)</f>
        <v>82DL0565010001000538212</v>
      </c>
      <c r="L749" s="167" t="str">
        <f>VLOOKUP($A749,'030523 INVENTARIO'!$A$2:$Y$1148,23,FALSE)</f>
        <v>ALEJANDRA LOPEZ MORENO</v>
      </c>
    </row>
    <row r="750" spans="1:12" ht="12.75" hidden="1">
      <c r="A750" s="167" t="str">
        <f>'030523 INVENTARIO'!A750</f>
        <v>0749</v>
      </c>
      <c r="B750" s="168" t="str">
        <f>'030523 INVENTARIO'!T750</f>
        <v>82DL0515010016000649413</v>
      </c>
      <c r="C750" s="167" t="str">
        <f t="shared" si="0"/>
        <v>649413</v>
      </c>
      <c r="D750" s="167" t="str">
        <f>IF(VLOOKUP(C750,'Patrimonio 2023'!$C$2:$C$1128,1,FALSE) = C750, "Encontrado", "no")</f>
        <v>Encontrado</v>
      </c>
      <c r="E750" s="167" t="str">
        <f>VLOOKUP($A750,'030523 INVENTARIO'!$A$2:$Y$1148,5,FALSE)</f>
        <v>NO BREAK</v>
      </c>
      <c r="F750" s="168" t="str">
        <f>VLOOKUP($A750,'030523 INVENTARIO'!$A$2:$Y$1148,6,FALSE)</f>
        <v>NO BREAK NEGRO</v>
      </c>
      <c r="G750" s="167" t="str">
        <f ca="1">VLOOKUP($A750,'030523 INVENTARIO'!$A$2:$Y$1148,8,FALSE)</f>
        <v>P24SJ-0749</v>
      </c>
      <c r="H750" s="168" t="str">
        <f>VLOOKUP($A750,'030523 INVENTARIO'!$A$2:$Y$1148,17,FALSE)</f>
        <v>FORZA</v>
      </c>
      <c r="I750" s="167" t="str">
        <f>VLOOKUP($A750,'030523 INVENTARIO'!$A$2:$Y$1148,18,FALSE)</f>
        <v>NT751</v>
      </c>
      <c r="J750" s="168" t="str">
        <f>VLOOKUP($A750,'030523 INVENTARIO'!$A$2:$Y$1148,19,FALSE)</f>
        <v>190522503053</v>
      </c>
      <c r="K750" s="168" t="str">
        <f>VLOOKUP($A750,'030523 INVENTARIO'!$A$2:$Y$1148,20,FALSE)</f>
        <v>82DL0515010016000649413</v>
      </c>
      <c r="L750" s="167" t="str">
        <f>VLOOKUP($A750,'030523 INVENTARIO'!$A$2:$Y$1148,23,FALSE)</f>
        <v>ALEJANDRA LOPEZ MORENO</v>
      </c>
    </row>
    <row r="751" spans="1:12" ht="12.75" hidden="1">
      <c r="A751" s="167" t="str">
        <f>'030523 INVENTARIO'!A751</f>
        <v>0750</v>
      </c>
      <c r="B751" s="167" t="str">
        <f>'030523 INVENTARIO'!T751</f>
        <v>82DL0515010020000649772</v>
      </c>
      <c r="C751" s="167" t="str">
        <f t="shared" si="0"/>
        <v>649772</v>
      </c>
      <c r="D751" s="167" t="str">
        <f>IF(VLOOKUP(C751,'Patrimonio 2023'!$C$2:$C$1128,1,FALSE) = C751, "Encontrado", "no")</f>
        <v>Encontrado</v>
      </c>
      <c r="E751" s="167" t="str">
        <f>VLOOKUP($A751,'030523 INVENTARIO'!$A$2:$Y$1148,5,FALSE)</f>
        <v>REGULADOR DE VOLTAJE</v>
      </c>
      <c r="F751" s="168" t="str">
        <f>VLOOKUP($A751,'030523 INVENTARIO'!$A$2:$Y$1148,6,FALSE)</f>
        <v>REGULADOR NEGRO</v>
      </c>
      <c r="G751" s="167" t="str">
        <f ca="1">VLOOKUP($A751,'030523 INVENTARIO'!$A$2:$Y$1148,8,FALSE)</f>
        <v>P24SJ-0750</v>
      </c>
      <c r="H751" s="168" t="str">
        <f>VLOOKUP($A751,'030523 INVENTARIO'!$A$2:$Y$1148,17,FALSE)</f>
        <v>APC</v>
      </c>
      <c r="I751" s="167" t="str">
        <f>VLOOKUP($A751,'030523 INVENTARIO'!$A$2:$Y$1148,18,FALSE)</f>
        <v>BE350G-LM</v>
      </c>
      <c r="J751" s="168" t="str">
        <f>VLOOKUP($A751,'030523 INVENTARIO'!$A$2:$Y$1148,19,FALSE)</f>
        <v>4B1439P11201</v>
      </c>
      <c r="K751" s="167" t="str">
        <f>VLOOKUP($A751,'030523 INVENTARIO'!$A$2:$Y$1148,20,FALSE)</f>
        <v>82DL0515010020000649772</v>
      </c>
      <c r="L751" s="167" t="str">
        <f>VLOOKUP($A751,'030523 INVENTARIO'!$A$2:$Y$1148,23,FALSE)</f>
        <v>ALEJANDRA LOPEZ MORENO</v>
      </c>
    </row>
    <row r="752" spans="1:12" ht="12.75" hidden="1">
      <c r="A752" s="167" t="str">
        <f>'030523 INVENTARIO'!A752</f>
        <v>0751</v>
      </c>
      <c r="B752" s="168" t="str">
        <f>'030523 INVENTARIO'!T752</f>
        <v>82DL0511010006000518506</v>
      </c>
      <c r="C752" s="167" t="str">
        <f t="shared" si="0"/>
        <v>518506</v>
      </c>
      <c r="D752" s="167" t="str">
        <f>IF(VLOOKUP(C752,'Patrimonio 2023'!$C$2:$C$1128,1,FALSE) = C752, "Encontrado", "no")</f>
        <v>Encontrado</v>
      </c>
      <c r="E752" s="167" t="str">
        <f>VLOOKUP($A752,'030523 INVENTARIO'!$A$2:$Y$1148,5,FALSE)</f>
        <v>ESCRITORIO</v>
      </c>
      <c r="F752" s="167" t="str">
        <f>VLOOKUP($A752,'030523 INVENTARIO'!$A$2:$Y$1148,6,FALSE)</f>
        <v>ESCRITORIO BASE DE METAL DE 4 CAJONES 160 X 70</v>
      </c>
      <c r="G752" s="167" t="str">
        <f ca="1">VLOOKUP($A752,'030523 INVENTARIO'!$A$2:$Y$1148,8,FALSE)</f>
        <v>P24SJ-0751</v>
      </c>
      <c r="H752" s="168" t="str">
        <f>VLOOKUP($A752,'030523 INVENTARIO'!$A$2:$Y$1148,17,FALSE)</f>
        <v>S/M</v>
      </c>
      <c r="I752" s="167" t="str">
        <f>VLOOKUP($A752,'030523 INVENTARIO'!$A$2:$Y$1148,18,FALSE)</f>
        <v>S/M</v>
      </c>
      <c r="J752" s="168" t="str">
        <f>VLOOKUP($A752,'030523 INVENTARIO'!$A$2:$Y$1148,19,FALSE)</f>
        <v>SIN SERIE</v>
      </c>
      <c r="K752" s="168" t="str">
        <f>VLOOKUP($A752,'030523 INVENTARIO'!$A$2:$Y$1148,20,FALSE)</f>
        <v>82DL0511010006000518506</v>
      </c>
      <c r="L752" s="167" t="str">
        <f>VLOOKUP($A752,'030523 INVENTARIO'!$A$2:$Y$1148,23,FALSE)</f>
        <v>ALEJANDRA LOPEZ MORENO</v>
      </c>
    </row>
    <row r="753" spans="1:12" ht="12.75" hidden="1">
      <c r="A753" s="167" t="str">
        <f>'030523 INVENTARIO'!A753</f>
        <v>0752</v>
      </c>
      <c r="B753" s="168" t="str">
        <f>'030523 INVENTARIO'!T753</f>
        <v>82DL0511010017000516185</v>
      </c>
      <c r="C753" s="167" t="str">
        <f t="shared" si="0"/>
        <v>516185</v>
      </c>
      <c r="D753" s="167" t="str">
        <f>IF(VLOOKUP(C753,'Patrimonio 2023'!$C$2:$C$1128,1,FALSE) = C753, "Encontrado", "no")</f>
        <v>Encontrado</v>
      </c>
      <c r="E753" s="167" t="str">
        <f>VLOOKUP($A753,'030523 INVENTARIO'!$A$2:$Y$1148,5,FALSE)</f>
        <v>SILLA</v>
      </c>
      <c r="F753" s="168" t="str">
        <f>VLOOKUP($A753,'030523 INVENTARIO'!$A$2:$Y$1148,6,FALSE)</f>
        <v>SILLA DE TELA CAFÉ CON RUEDAS</v>
      </c>
      <c r="G753" s="167" t="str">
        <f ca="1">VLOOKUP($A753,'030523 INVENTARIO'!$A$2:$Y$1148,8,FALSE)</f>
        <v>P24SJ-0752</v>
      </c>
      <c r="H753" s="168" t="str">
        <f>VLOOKUP($A753,'030523 INVENTARIO'!$A$2:$Y$1148,17,FALSE)</f>
        <v>S/M</v>
      </c>
      <c r="I753" s="167" t="str">
        <f>VLOOKUP($A753,'030523 INVENTARIO'!$A$2:$Y$1148,18,FALSE)</f>
        <v>S/M</v>
      </c>
      <c r="J753" s="168" t="str">
        <f>VLOOKUP($A753,'030523 INVENTARIO'!$A$2:$Y$1148,19,FALSE)</f>
        <v>SIN SERIE</v>
      </c>
      <c r="K753" s="168" t="str">
        <f>VLOOKUP($A753,'030523 INVENTARIO'!$A$2:$Y$1148,20,FALSE)</f>
        <v>82DL0511010017000516185</v>
      </c>
      <c r="L753" s="167" t="str">
        <f>VLOOKUP($A753,'030523 INVENTARIO'!$A$2:$Y$1148,23,FALSE)</f>
        <v>ALEJANDRA LOPEZ MORENO</v>
      </c>
    </row>
    <row r="754" spans="1:12" ht="12.75" hidden="1">
      <c r="A754" s="167" t="str">
        <f>'030523 INVENTARIO'!A754</f>
        <v>0753</v>
      </c>
      <c r="B754" s="167" t="str">
        <f>'030523 INVENTARIO'!T754</f>
        <v>SIN RESGUARDO</v>
      </c>
      <c r="C754" s="167" t="str">
        <f t="shared" si="0"/>
        <v/>
      </c>
      <c r="D754" s="167" t="e">
        <f>IF(VLOOKUP(C754,'Patrimonio 2023'!$C$2:$C$1128,1,FALSE) = C754, "Encontrado", "no")</f>
        <v>#N/A</v>
      </c>
      <c r="E754" s="167" t="str">
        <f>VLOOKUP($A754,'030523 INVENTARIO'!$A$2:$Y$1148,5,FALSE)</f>
        <v>COMPUTADORA DE ESCRITORIO</v>
      </c>
      <c r="F754" s="167" t="str">
        <f>VLOOKUP($A754,'030523 INVENTARIO'!$A$2:$Y$1148,6,FALSE)</f>
        <v>COMPUTADORA TODO EN UNO BLANCO</v>
      </c>
      <c r="G754" s="167" t="str">
        <f ca="1">VLOOKUP($A754,'030523 INVENTARIO'!$A$2:$Y$1148,8,FALSE)</f>
        <v>P24SJ-0753</v>
      </c>
      <c r="H754" s="168" t="str">
        <f>VLOOKUP($A754,'030523 INVENTARIO'!$A$2:$Y$1148,17,FALSE)</f>
        <v>LENOVO</v>
      </c>
      <c r="I754" s="167" t="str">
        <f>VLOOKUP($A754,'030523 INVENTARIO'!$A$2:$Y$1148,18,FALSE)</f>
        <v>CS03101903 (C240)</v>
      </c>
      <c r="J754" s="168" t="str">
        <f>VLOOKUP($A754,'030523 INVENTARIO'!$A$2:$Y$1148,19,FALSE)</f>
        <v>CS01150292</v>
      </c>
      <c r="K754" s="167" t="str">
        <f>VLOOKUP($A754,'030523 INVENTARIO'!$A$2:$Y$1148,20,FALSE)</f>
        <v>SIN RESGUARDO</v>
      </c>
      <c r="L754" s="167" t="str">
        <f>VLOOKUP($A754,'030523 INVENTARIO'!$A$2:$Y$1148,23,FALSE)</f>
        <v>ALEJANDRA LOPEZ MORENO</v>
      </c>
    </row>
    <row r="755" spans="1:12" ht="12.75" hidden="1">
      <c r="A755" s="167" t="str">
        <f>'030523 INVENTARIO'!A755</f>
        <v>0754</v>
      </c>
      <c r="B755" s="168" t="str">
        <f>'030523 INVENTARIO'!T755</f>
        <v>82DJH05101000000570571</v>
      </c>
      <c r="C755" s="167" t="str">
        <f t="shared" si="0"/>
        <v>70571</v>
      </c>
      <c r="D755" s="167" t="e">
        <f>IF(VLOOKUP(C755,'Patrimonio 2023'!$C$2:$C$1128,1,FALSE) = C755, "Encontrado", "no")</f>
        <v>#N/A</v>
      </c>
      <c r="E755" s="167" t="str">
        <f>VLOOKUP($A755,'030523 INVENTARIO'!$A$2:$Y$1148,5,FALSE)</f>
        <v>ARCHIVERO</v>
      </c>
      <c r="F755" s="168" t="str">
        <f>VLOOKUP($A755,'030523 INVENTARIO'!$A$2:$Y$1148,6,FALSE)</f>
        <v>ARCHIVERO DE METAL GRIS CON 4 CAJONES</v>
      </c>
      <c r="G755" s="167" t="str">
        <f ca="1">VLOOKUP($A755,'030523 INVENTARIO'!$A$2:$Y$1148,8,FALSE)</f>
        <v>P24SJ-0754</v>
      </c>
      <c r="H755" s="168" t="str">
        <f>VLOOKUP($A755,'030523 INVENTARIO'!$A$2:$Y$1148,17,FALSE)</f>
        <v>S/M</v>
      </c>
      <c r="I755" s="167" t="str">
        <f>VLOOKUP($A755,'030523 INVENTARIO'!$A$2:$Y$1148,18,FALSE)</f>
        <v>S/M</v>
      </c>
      <c r="J755" s="168" t="str">
        <f>VLOOKUP($A755,'030523 INVENTARIO'!$A$2:$Y$1148,19,FALSE)</f>
        <v>SIN SERIE</v>
      </c>
      <c r="K755" s="168" t="str">
        <f>VLOOKUP($A755,'030523 INVENTARIO'!$A$2:$Y$1148,20,FALSE)</f>
        <v>82DJH05101000000570571</v>
      </c>
      <c r="L755" s="167" t="str">
        <f>VLOOKUP($A755,'030523 INVENTARIO'!$A$2:$Y$1148,23,FALSE)</f>
        <v>SANTIAGO ARMANDO CASTILLO GARCIA</v>
      </c>
    </row>
    <row r="756" spans="1:12" ht="12.75" hidden="1">
      <c r="A756" s="167" t="str">
        <f>'030523 INVENTARIO'!A756</f>
        <v>0755</v>
      </c>
      <c r="B756" s="168" t="str">
        <f>'030523 INVENTARIO'!T756</f>
        <v>82DH0531010065000564756</v>
      </c>
      <c r="C756" s="167" t="str">
        <f t="shared" si="0"/>
        <v>564756</v>
      </c>
      <c r="D756" s="167" t="str">
        <f>IF(VLOOKUP(C756,'Patrimonio 2023'!$C$2:$C$1128,1,FALSE) = C756, "Encontrado", "no")</f>
        <v>Encontrado</v>
      </c>
      <c r="E756" s="167" t="str">
        <f>VLOOKUP($A756,'030523 INVENTARIO'!$A$2:$Y$1148,5,FALSE)</f>
        <v>MESA</v>
      </c>
      <c r="F756" s="167" t="str">
        <f>VLOOKUP($A756,'030523 INVENTARIO'!$A$2:$Y$1148,6,FALSE)</f>
        <v>MESA MADERA CON BASE DE METAL 120X60</v>
      </c>
      <c r="G756" s="167" t="str">
        <f ca="1">VLOOKUP($A756,'030523 INVENTARIO'!$A$2:$Y$1148,8,FALSE)</f>
        <v>P24SJ-0755</v>
      </c>
      <c r="H756" s="168" t="str">
        <f>VLOOKUP($A756,'030523 INVENTARIO'!$A$2:$Y$1148,17,FALSE)</f>
        <v>S/M</v>
      </c>
      <c r="I756" s="167" t="str">
        <f>VLOOKUP($A756,'030523 INVENTARIO'!$A$2:$Y$1148,18,FALSE)</f>
        <v>S/M</v>
      </c>
      <c r="J756" s="168" t="str">
        <f>VLOOKUP($A756,'030523 INVENTARIO'!$A$2:$Y$1148,19,FALSE)</f>
        <v>SIN SERIE</v>
      </c>
      <c r="K756" s="168" t="str">
        <f>VLOOKUP($A756,'030523 INVENTARIO'!$A$2:$Y$1148,20,FALSE)</f>
        <v>82DH0531010065000564756</v>
      </c>
      <c r="L756" s="167" t="str">
        <f>VLOOKUP($A756,'030523 INVENTARIO'!$A$2:$Y$1148,23,FALSE)</f>
        <v>SANTIAGO ARMANDO CASTILLO GARCIA</v>
      </c>
    </row>
    <row r="757" spans="1:12" ht="12.75" hidden="1">
      <c r="A757" s="167" t="str">
        <f>'030523 INVENTARIO'!A757</f>
        <v>0756</v>
      </c>
      <c r="B757" s="167" t="str">
        <f>'030523 INVENTARIO'!T757</f>
        <v>82DH0519010043000649781</v>
      </c>
      <c r="C757" s="167" t="str">
        <f t="shared" si="0"/>
        <v>649781</v>
      </c>
      <c r="D757" s="167" t="str">
        <f>IF(VLOOKUP(C757,'Patrimonio 2023'!$C$2:$C$1128,1,FALSE) = C757, "Encontrado", "no")</f>
        <v>Encontrado</v>
      </c>
      <c r="E757" s="167" t="str">
        <f>VLOOKUP($A757,'030523 INVENTARIO'!$A$2:$Y$1148,5,FALSE)</f>
        <v>VENTILADOR</v>
      </c>
      <c r="F757" s="167" t="str">
        <f>VLOOKUP($A757,'030523 INVENTARIO'!$A$2:$Y$1148,6,FALSE)</f>
        <v>VENTILADOR BLANCO DE TORRE</v>
      </c>
      <c r="G757" s="167" t="str">
        <f ca="1">VLOOKUP($A757,'030523 INVENTARIO'!$A$2:$Y$1148,8,FALSE)</f>
        <v>P24SJ-0756</v>
      </c>
      <c r="H757" s="168" t="str">
        <f>VLOOKUP($A757,'030523 INVENTARIO'!$A$2:$Y$1148,17,FALSE)</f>
        <v>HOLMES</v>
      </c>
      <c r="I757" s="167" t="str">
        <f>VLOOKUP($A757,'030523 INVENTARIO'!$A$2:$Y$1148,18,FALSE)</f>
        <v>HT26PED</v>
      </c>
      <c r="J757" s="168" t="str">
        <f>VLOOKUP($A757,'030523 INVENTARIO'!$A$2:$Y$1148,19,FALSE)</f>
        <v>SIN SERIE</v>
      </c>
      <c r="K757" s="167" t="str">
        <f>VLOOKUP($A757,'030523 INVENTARIO'!$A$2:$Y$1148,20,FALSE)</f>
        <v>82DH0519010043000649781</v>
      </c>
      <c r="L757" s="167" t="str">
        <f>VLOOKUP($A757,'030523 INVENTARIO'!$A$2:$Y$1148,23,FALSE)</f>
        <v>SANTIAGO ARMANDO CASTILLO GARCIA</v>
      </c>
    </row>
    <row r="758" spans="1:12" ht="12.75" hidden="1">
      <c r="A758" s="167" t="str">
        <f>'030523 INVENTARIO'!A758</f>
        <v>0757</v>
      </c>
      <c r="B758" s="168" t="str">
        <f>'030523 INVENTARIO'!T758</f>
        <v>82DH0511010017000649771</v>
      </c>
      <c r="C758" s="167" t="str">
        <f t="shared" si="0"/>
        <v>649771</v>
      </c>
      <c r="D758" s="167" t="str">
        <f>IF(VLOOKUP(C758,'Patrimonio 2023'!$C$2:$C$1128,1,FALSE) = C758, "Encontrado", "no")</f>
        <v>Encontrado</v>
      </c>
      <c r="E758" s="167" t="str">
        <f>VLOOKUP($A758,'030523 INVENTARIO'!$A$2:$Y$1148,5,FALSE)</f>
        <v>SILLON</v>
      </c>
      <c r="F758" s="167" t="str">
        <f>VLOOKUP($A758,'030523 INVENTARIO'!$A$2:$Y$1148,6,FALSE)</f>
        <v>SILLON NEGRO CON RUEDAS</v>
      </c>
      <c r="G758" s="167" t="str">
        <f ca="1">VLOOKUP($A758,'030523 INVENTARIO'!$A$2:$Y$1148,8,FALSE)</f>
        <v>P35RM-0757</v>
      </c>
      <c r="H758" s="168" t="str">
        <f>VLOOKUP($A758,'030523 INVENTARIO'!$A$2:$Y$1148,17,FALSE)</f>
        <v>S/M</v>
      </c>
      <c r="I758" s="167" t="str">
        <f>VLOOKUP($A758,'030523 INVENTARIO'!$A$2:$Y$1148,18,FALSE)</f>
        <v>S/M</v>
      </c>
      <c r="J758" s="168" t="str">
        <f>VLOOKUP($A758,'030523 INVENTARIO'!$A$2:$Y$1148,19,FALSE)</f>
        <v>SIN SERIE</v>
      </c>
      <c r="K758" s="168" t="str">
        <f>VLOOKUP($A758,'030523 INVENTARIO'!$A$2:$Y$1148,20,FALSE)</f>
        <v>82DH0511010017000649771</v>
      </c>
      <c r="L758" s="167" t="str">
        <f>VLOOKUP($A758,'030523 INVENTARIO'!$A$2:$Y$1148,23,FALSE)</f>
        <v>BLANCA ELIZABETH ALCABTAR GUERRERO</v>
      </c>
    </row>
    <row r="759" spans="1:12" ht="12.75" hidden="1">
      <c r="A759" s="167" t="str">
        <f>'030523 INVENTARIO'!A759</f>
        <v>0758</v>
      </c>
      <c r="B759" s="168" t="str">
        <f>'030523 INVENTARIO'!T759</f>
        <v>82DH0511010017000516177</v>
      </c>
      <c r="C759" s="167" t="str">
        <f t="shared" si="0"/>
        <v>516177</v>
      </c>
      <c r="D759" s="167" t="str">
        <f>IF(VLOOKUP(C759,'Patrimonio 2023'!$C$2:$C$1128,1,FALSE) = C759, "Encontrado", "no")</f>
        <v>Encontrado</v>
      </c>
      <c r="E759" s="167" t="str">
        <f>VLOOKUP($A759,'030523 INVENTARIO'!$A$2:$Y$1148,5,FALSE)</f>
        <v>SILLA</v>
      </c>
      <c r="F759" s="168" t="str">
        <f>VLOOKUP($A759,'030523 INVENTARIO'!$A$2:$Y$1148,6,FALSE)</f>
        <v>SILLA CAFÉ DE TELA</v>
      </c>
      <c r="G759" s="167" t="str">
        <f ca="1">VLOOKUP($A759,'030523 INVENTARIO'!$A$2:$Y$1148,8,FALSE)</f>
        <v>P24SJ-0758</v>
      </c>
      <c r="H759" s="168" t="str">
        <f>VLOOKUP($A759,'030523 INVENTARIO'!$A$2:$Y$1148,17,FALSE)</f>
        <v>S/M</v>
      </c>
      <c r="I759" s="167" t="str">
        <f>VLOOKUP($A759,'030523 INVENTARIO'!$A$2:$Y$1148,18,FALSE)</f>
        <v>S/M</v>
      </c>
      <c r="J759" s="168" t="str">
        <f>VLOOKUP($A759,'030523 INVENTARIO'!$A$2:$Y$1148,19,FALSE)</f>
        <v>SIN SERIE</v>
      </c>
      <c r="K759" s="168" t="str">
        <f>VLOOKUP($A759,'030523 INVENTARIO'!$A$2:$Y$1148,20,FALSE)</f>
        <v>82DH0511010017000516177</v>
      </c>
      <c r="L759" s="167" t="str">
        <f>VLOOKUP($A759,'030523 INVENTARIO'!$A$2:$Y$1148,23,FALSE)</f>
        <v>SANTIAGO ARMANDO CASTILLO GARCIA</v>
      </c>
    </row>
    <row r="760" spans="1:12" ht="12.75" hidden="1">
      <c r="A760" s="167" t="str">
        <f>'030523 INVENTARIO'!A760</f>
        <v>0759</v>
      </c>
      <c r="B760" s="168" t="str">
        <f>'030523 INVENTARIO'!T760</f>
        <v>82DH0531010065000564828</v>
      </c>
      <c r="C760" s="167" t="str">
        <f t="shared" si="0"/>
        <v>564828</v>
      </c>
      <c r="D760" s="167" t="str">
        <f>IF(VLOOKUP(C760,'Patrimonio 2023'!$C$2:$C$1128,1,FALSE) = C760, "Encontrado", "no")</f>
        <v>Encontrado</v>
      </c>
      <c r="E760" s="167" t="str">
        <f>VLOOKUP($A760,'030523 INVENTARIO'!$A$2:$Y$1148,5,FALSE)</f>
        <v>MESA</v>
      </c>
      <c r="F760" s="167" t="str">
        <f>VLOOKUP($A760,'030523 INVENTARIO'!$A$2:$Y$1148,6,FALSE)</f>
        <v>MESA DE MADERA CON BASE DE METAL CON RUEDAS 60X40</v>
      </c>
      <c r="G760" s="167" t="str">
        <f ca="1">VLOOKUP($A760,'030523 INVENTARIO'!$A$2:$Y$1148,8,FALSE)</f>
        <v>P24SJ-0759</v>
      </c>
      <c r="H760" s="168" t="str">
        <f>VLOOKUP($A760,'030523 INVENTARIO'!$A$2:$Y$1148,17,FALSE)</f>
        <v>S/M</v>
      </c>
      <c r="I760" s="167" t="str">
        <f>VLOOKUP($A760,'030523 INVENTARIO'!$A$2:$Y$1148,18,FALSE)</f>
        <v>S/M</v>
      </c>
      <c r="J760" s="168" t="str">
        <f>VLOOKUP($A760,'030523 INVENTARIO'!$A$2:$Y$1148,19,FALSE)</f>
        <v>SIN SERIE</v>
      </c>
      <c r="K760" s="168" t="str">
        <f>VLOOKUP($A760,'030523 INVENTARIO'!$A$2:$Y$1148,20,FALSE)</f>
        <v>82DH0531010065000564828</v>
      </c>
      <c r="L760" s="167" t="str">
        <f>VLOOKUP($A760,'030523 INVENTARIO'!$A$2:$Y$1148,23,FALSE)</f>
        <v>SANTIAGO ARMANDO CASTILLO GARCIA</v>
      </c>
    </row>
    <row r="761" spans="1:12" ht="12.75" hidden="1">
      <c r="A761" s="167" t="str">
        <f>'030523 INVENTARIO'!A761</f>
        <v>0760</v>
      </c>
      <c r="B761" s="168" t="str">
        <f>'030523 INVENTARIO'!T761</f>
        <v>82DH0511010006000649780</v>
      </c>
      <c r="C761" s="167" t="str">
        <f t="shared" si="0"/>
        <v>649780</v>
      </c>
      <c r="D761" s="167" t="str">
        <f>IF(VLOOKUP(C761,'Patrimonio 2023'!$C$2:$C$1128,1,FALSE) = C761, "Encontrado", "no")</f>
        <v>Encontrado</v>
      </c>
      <c r="E761" s="167" t="str">
        <f>VLOOKUP($A761,'030523 INVENTARIO'!$A$2:$Y$1148,5,FALSE)</f>
        <v>ESCRITORIO</v>
      </c>
      <c r="F761" s="167" t="str">
        <f>VLOOKUP($A761,'030523 INVENTARIO'!$A$2:$Y$1148,6,FALSE)</f>
        <v>ESCRITORIO CON 2 CAJONES 120X75</v>
      </c>
      <c r="G761" s="167" t="str">
        <f ca="1">VLOOKUP($A761,'030523 INVENTARIO'!$A$2:$Y$1148,8,FALSE)</f>
        <v>P24SJ-0760</v>
      </c>
      <c r="H761" s="168" t="str">
        <f>VLOOKUP($A761,'030523 INVENTARIO'!$A$2:$Y$1148,17,FALSE)</f>
        <v>S/M</v>
      </c>
      <c r="I761" s="167" t="str">
        <f>VLOOKUP($A761,'030523 INVENTARIO'!$A$2:$Y$1148,18,FALSE)</f>
        <v>S/M</v>
      </c>
      <c r="J761" s="168" t="str">
        <f>VLOOKUP($A761,'030523 INVENTARIO'!$A$2:$Y$1148,19,FALSE)</f>
        <v>SIN SERIE</v>
      </c>
      <c r="K761" s="168" t="str">
        <f>VLOOKUP($A761,'030523 INVENTARIO'!$A$2:$Y$1148,20,FALSE)</f>
        <v>82DH0511010006000649780</v>
      </c>
      <c r="L761" s="167" t="str">
        <f>VLOOKUP($A761,'030523 INVENTARIO'!$A$2:$Y$1148,23,FALSE)</f>
        <v>SANTIAGO ARMANDO CASTILLO GARCIA</v>
      </c>
    </row>
    <row r="762" spans="1:12" ht="12.75" hidden="1">
      <c r="A762" s="167" t="str">
        <f>'030523 INVENTARIO'!A762</f>
        <v>0761</v>
      </c>
      <c r="B762" s="168" t="str">
        <f>'030523 INVENTARIO'!T762</f>
        <v>82DH0515010016000649414</v>
      </c>
      <c r="C762" s="167" t="str">
        <f t="shared" si="0"/>
        <v>649414</v>
      </c>
      <c r="D762" s="167" t="str">
        <f>IF(VLOOKUP(C762,'Patrimonio 2023'!$C$2:$C$1128,1,FALSE) = C762, "Encontrado", "no")</f>
        <v>Encontrado</v>
      </c>
      <c r="E762" s="167" t="str">
        <f>VLOOKUP($A762,'030523 INVENTARIO'!$A$2:$Y$1148,5,FALSE)</f>
        <v>NO BREAK</v>
      </c>
      <c r="F762" s="168" t="str">
        <f>VLOOKUP($A762,'030523 INVENTARIO'!$A$2:$Y$1148,6,FALSE)</f>
        <v>NO BREAK</v>
      </c>
      <c r="G762" s="167" t="str">
        <f ca="1">VLOOKUP($A762,'030523 INVENTARIO'!$A$2:$Y$1148,8,FALSE)</f>
        <v>P24SJ-0761</v>
      </c>
      <c r="H762" s="168" t="str">
        <f>VLOOKUP($A762,'030523 INVENTARIO'!$A$2:$Y$1148,17,FALSE)</f>
        <v>FORZA</v>
      </c>
      <c r="I762" s="167" t="str">
        <f>VLOOKUP($A762,'030523 INVENTARIO'!$A$2:$Y$1148,18,FALSE)</f>
        <v>NT751</v>
      </c>
      <c r="J762" s="168" t="str">
        <f>VLOOKUP($A762,'030523 INVENTARIO'!$A$2:$Y$1148,19,FALSE)</f>
        <v>190522503177</v>
      </c>
      <c r="K762" s="168" t="str">
        <f>VLOOKUP($A762,'030523 INVENTARIO'!$A$2:$Y$1148,20,FALSE)</f>
        <v>82DH0515010016000649414</v>
      </c>
      <c r="L762" s="167" t="str">
        <f>VLOOKUP($A762,'030523 INVENTARIO'!$A$2:$Y$1148,23,FALSE)</f>
        <v>SANTIAGO ARMANDO CASTILLO GARCIA</v>
      </c>
    </row>
    <row r="763" spans="1:12" ht="12.75" hidden="1">
      <c r="A763" s="167" t="str">
        <f>'030523 INVENTARIO'!A763</f>
        <v>0762</v>
      </c>
      <c r="B763" s="168" t="str">
        <f>'030523 INVENTARIO'!T763</f>
        <v>82DH0565010041000543575</v>
      </c>
      <c r="C763" s="167" t="str">
        <f t="shared" si="0"/>
        <v>543575</v>
      </c>
      <c r="D763" s="167" t="str">
        <f>IF(VLOOKUP(C763,'Patrimonio 2023'!$C$2:$C$1128,1,FALSE) = C763, "Encontrado", "no")</f>
        <v>Encontrado</v>
      </c>
      <c r="E763" s="167" t="str">
        <f>VLOOKUP($A763,'030523 INVENTARIO'!$A$2:$Y$1148,5,FALSE)</f>
        <v>MONITOR</v>
      </c>
      <c r="F763" s="167" t="str">
        <f>VLOOKUP($A763,'030523 INVENTARIO'!$A$2:$Y$1148,6,FALSE)</f>
        <v>MONITOR 18"</v>
      </c>
      <c r="G763" s="167" t="str">
        <f ca="1">VLOOKUP($A763,'030523 INVENTARIO'!$A$2:$Y$1148,8,FALSE)</f>
        <v>P05RM-0762</v>
      </c>
      <c r="H763" s="168" t="str">
        <f>VLOOKUP($A763,'030523 INVENTARIO'!$A$2:$Y$1148,17,FALSE)</f>
        <v>COMPAQ</v>
      </c>
      <c r="I763" s="167" t="str">
        <f>VLOOKUP($A763,'030523 INVENTARIO'!$A$2:$Y$1148,18,FALSE)</f>
        <v>WF1907</v>
      </c>
      <c r="J763" s="168" t="str">
        <f>VLOOKUP($A763,'030523 INVENTARIO'!$A$2:$Y$1148,19,FALSE)</f>
        <v>CNC816Y4F6</v>
      </c>
      <c r="K763" s="168" t="str">
        <f>VLOOKUP($A763,'030523 INVENTARIO'!$A$2:$Y$1148,20,FALSE)</f>
        <v>82DH0565010041000543575</v>
      </c>
      <c r="L763" s="167" t="str">
        <f>VLOOKUP($A763,'030523 INVENTARIO'!$A$2:$Y$1148,23,FALSE)</f>
        <v>BLANCA ELIZABETH ALCANTAR GUERRERO</v>
      </c>
    </row>
    <row r="764" spans="1:12" ht="12.75" hidden="1">
      <c r="A764" s="167" t="str">
        <f>'030523 INVENTARIO'!A764</f>
        <v>0763</v>
      </c>
      <c r="B764" s="168" t="str">
        <f>'030523 INVENTARIO'!T764</f>
        <v>82DH0515010003000649779</v>
      </c>
      <c r="C764" s="167" t="str">
        <f t="shared" si="0"/>
        <v>649779</v>
      </c>
      <c r="D764" s="167" t="str">
        <f>IF(VLOOKUP(C764,'Patrimonio 2023'!$C$2:$C$1128,1,FALSE) = C764, "Encontrado", "no")</f>
        <v>Encontrado</v>
      </c>
      <c r="E764" s="167" t="str">
        <f>VLOOKUP($A764,'030523 INVENTARIO'!$A$2:$Y$1148,5,FALSE)</f>
        <v>COMPUTADORA DE ESCRITORIO</v>
      </c>
      <c r="F764" s="168" t="str">
        <f>VLOOKUP($A764,'030523 INVENTARIO'!$A$2:$Y$1148,6,FALSE)</f>
        <v>COMPUTADORA GRIS CON NEGRO</v>
      </c>
      <c r="G764" s="167" t="str">
        <f ca="1">VLOOKUP($A764,'030523 INVENTARIO'!$A$2:$Y$1148,8,FALSE)</f>
        <v>P35RM-0763</v>
      </c>
      <c r="H764" s="168" t="str">
        <f>VLOOKUP($A764,'030523 INVENTARIO'!$A$2:$Y$1148,17,FALSE)</f>
        <v>HP</v>
      </c>
      <c r="I764" s="167" t="str">
        <f>VLOOKUP($A764,'030523 INVENTARIO'!$A$2:$Y$1148,18,FALSE)</f>
        <v>DC7800</v>
      </c>
      <c r="J764" s="168" t="str">
        <f>VLOOKUP($A764,'030523 INVENTARIO'!$A$2:$Y$1148,19,FALSE)</f>
        <v>MXJ819035L</v>
      </c>
      <c r="K764" s="168" t="str">
        <f>VLOOKUP($A764,'030523 INVENTARIO'!$A$2:$Y$1148,20,FALSE)</f>
        <v>82DH0515010003000649779</v>
      </c>
      <c r="L764" s="167" t="str">
        <f>VLOOKUP($A764,'030523 INVENTARIO'!$A$2:$Y$1148,23,FALSE)</f>
        <v>BLANCA ELIZABETH ALCANTAR GUERRERO</v>
      </c>
    </row>
    <row r="765" spans="1:12" ht="12.75" hidden="1">
      <c r="A765" s="167" t="str">
        <f>'030523 INVENTARIO'!A765</f>
        <v>0764</v>
      </c>
      <c r="B765" s="168" t="str">
        <f>'030523 INVENTARIO'!T765</f>
        <v>82DH0511010001000649745</v>
      </c>
      <c r="C765" s="167" t="str">
        <f t="shared" si="0"/>
        <v>649745</v>
      </c>
      <c r="D765" s="167" t="str">
        <f>IF(VLOOKUP(C765,'Patrimonio 2023'!$C$2:$C$1128,1,FALSE) = C765, "Encontrado", "no")</f>
        <v>Encontrado</v>
      </c>
      <c r="E765" s="167" t="str">
        <f>VLOOKUP($A765,'030523 INVENTARIO'!$A$2:$Y$1148,5,FALSE)</f>
        <v>ARCHIVERO</v>
      </c>
      <c r="F765" s="167" t="str">
        <f>VLOOKUP($A765,'030523 INVENTARIO'!$A$2:$Y$1148,6,FALSE)</f>
        <v>ARCHIVERO DE MADERA 4 CAJONES 120X50X60</v>
      </c>
      <c r="G765" s="167" t="str">
        <f ca="1">VLOOKUP($A765,'030523 INVENTARIO'!$A$2:$Y$1148,8,FALSE)</f>
        <v>P24CS-0764</v>
      </c>
      <c r="H765" s="168" t="str">
        <f>VLOOKUP($A765,'030523 INVENTARIO'!$A$2:$Y$1148,17,FALSE)</f>
        <v>S/M</v>
      </c>
      <c r="I765" s="167" t="str">
        <f>VLOOKUP($A765,'030523 INVENTARIO'!$A$2:$Y$1148,18,FALSE)</f>
        <v>S/M</v>
      </c>
      <c r="J765" s="168" t="str">
        <f>VLOOKUP($A765,'030523 INVENTARIO'!$A$2:$Y$1148,19,FALSE)</f>
        <v>SIN SERIE</v>
      </c>
      <c r="K765" s="168" t="str">
        <f>VLOOKUP($A765,'030523 INVENTARIO'!$A$2:$Y$1148,20,FALSE)</f>
        <v>82DH0511010001000649745</v>
      </c>
      <c r="L765" s="167" t="str">
        <f>VLOOKUP($A765,'030523 INVENTARIO'!$A$2:$Y$1148,23,FALSE)</f>
        <v>MA. LOURDES ORTIZ MONDRAGON</v>
      </c>
    </row>
    <row r="766" spans="1:12" ht="12.75" hidden="1">
      <c r="A766" s="167" t="str">
        <f>'030523 INVENTARIO'!A766</f>
        <v>0765</v>
      </c>
      <c r="B766" s="167" t="str">
        <f>'030523 INVENTARIO'!T766</f>
        <v>82DH0519010043000649357</v>
      </c>
      <c r="C766" s="167" t="str">
        <f t="shared" si="0"/>
        <v>649357</v>
      </c>
      <c r="D766" s="167" t="str">
        <f>IF(VLOOKUP(C766,'Patrimonio 2023'!$C$2:$C$1128,1,FALSE) = C766, "Encontrado", "no")</f>
        <v>Encontrado</v>
      </c>
      <c r="E766" s="167" t="str">
        <f>VLOOKUP($A766,'030523 INVENTARIO'!$A$2:$Y$1148,5,FALSE)</f>
        <v>VENTILADOR</v>
      </c>
      <c r="F766" s="168" t="str">
        <f>VLOOKUP($A766,'030523 INVENTARIO'!$A$2:$Y$1148,6,FALSE)</f>
        <v>VENTILADOR GRIS DE PEDESTAL</v>
      </c>
      <c r="G766" s="167" t="str">
        <f ca="1">VLOOKUP($A766,'030523 INVENTARIO'!$A$2:$Y$1148,8,FALSE)</f>
        <v>P24CS-0765</v>
      </c>
      <c r="H766" s="168" t="str">
        <f>VLOOKUP($A766,'030523 INVENTARIO'!$A$2:$Y$1148,17,FALSE)</f>
        <v>NAVIA</v>
      </c>
      <c r="I766" s="167" t="str">
        <f>VLOOKUP($A766,'030523 INVENTARIO'!$A$2:$Y$1148,18,FALSE)</f>
        <v>VPN-118X</v>
      </c>
      <c r="J766" s="168" t="str">
        <f>VLOOKUP($A766,'030523 INVENTARIO'!$A$2:$Y$1148,19,FALSE)</f>
        <v>SIN SERIE</v>
      </c>
      <c r="K766" s="167" t="str">
        <f>VLOOKUP($A766,'030523 INVENTARIO'!$A$2:$Y$1148,20,FALSE)</f>
        <v>82DH0519010043000649357</v>
      </c>
      <c r="L766" s="167" t="str">
        <f>VLOOKUP($A766,'030523 INVENTARIO'!$A$2:$Y$1148,23,FALSE)</f>
        <v>MA. LOURDES ORTIZ MONDRAGON</v>
      </c>
    </row>
    <row r="767" spans="1:12" ht="12.75" hidden="1">
      <c r="A767" s="167" t="str">
        <f>'030523 INVENTARIO'!A767</f>
        <v>0766</v>
      </c>
      <c r="B767" s="168" t="str">
        <f>'030523 INVENTARIO'!T767</f>
        <v>82DH0511010017000649747</v>
      </c>
      <c r="C767" s="167" t="str">
        <f t="shared" si="0"/>
        <v>649747</v>
      </c>
      <c r="D767" s="167" t="str">
        <f>IF(VLOOKUP(C767,'Patrimonio 2023'!$C$2:$C$1128,1,FALSE) = C767, "Encontrado", "no")</f>
        <v>Encontrado</v>
      </c>
      <c r="E767" s="167" t="str">
        <f>VLOOKUP($A767,'030523 INVENTARIO'!$A$2:$Y$1148,5,FALSE)</f>
        <v>SILLA</v>
      </c>
      <c r="F767" s="167" t="str">
        <f>VLOOKUP($A767,'030523 INVENTARIO'!$A$2:$Y$1148,6,FALSE)</f>
        <v>SILLA NEGRA DE TELA FIJA</v>
      </c>
      <c r="G767" s="167" t="str">
        <f ca="1">VLOOKUP($A767,'030523 INVENTARIO'!$A$2:$Y$1148,8,FALSE)</f>
        <v>P24CA-0766</v>
      </c>
      <c r="H767" s="168" t="str">
        <f>VLOOKUP($A767,'030523 INVENTARIO'!$A$2:$Y$1148,17,FALSE)</f>
        <v>S/M</v>
      </c>
      <c r="I767" s="167" t="str">
        <f>VLOOKUP($A767,'030523 INVENTARIO'!$A$2:$Y$1148,18,FALSE)</f>
        <v>S/M</v>
      </c>
      <c r="J767" s="168" t="str">
        <f>VLOOKUP($A767,'030523 INVENTARIO'!$A$2:$Y$1148,19,FALSE)</f>
        <v>SIN SERIE</v>
      </c>
      <c r="K767" s="168" t="str">
        <f>VLOOKUP($A767,'030523 INVENTARIO'!$A$2:$Y$1148,20,FALSE)</f>
        <v>82DH0511010017000649747</v>
      </c>
      <c r="L767" s="167" t="str">
        <f>VLOOKUP($A767,'030523 INVENTARIO'!$A$2:$Y$1148,23,FALSE)</f>
        <v>EDUARDO PINEDA ALMANZA</v>
      </c>
    </row>
    <row r="768" spans="1:12" ht="12.75" hidden="1">
      <c r="A768" s="167" t="str">
        <f>'030523 INVENTARIO'!A768</f>
        <v>0767</v>
      </c>
      <c r="B768" s="168" t="str">
        <f>'030523 INVENTARIO'!T768</f>
        <v>82DH0511010017000516231</v>
      </c>
      <c r="C768" s="167" t="str">
        <f t="shared" si="0"/>
        <v>516231</v>
      </c>
      <c r="D768" s="167" t="str">
        <f>IF(VLOOKUP(C768,'Patrimonio 2023'!$C$2:$C$1128,1,FALSE) = C768, "Encontrado", "no")</f>
        <v>Encontrado</v>
      </c>
      <c r="E768" s="167" t="str">
        <f>VLOOKUP($A768,'030523 INVENTARIO'!$A$2:$Y$1148,5,FALSE)</f>
        <v>SILLA</v>
      </c>
      <c r="F768" s="167" t="str">
        <f>VLOOKUP($A768,'030523 INVENTARIO'!$A$2:$Y$1148,6,FALSE)</f>
        <v>SILLA NEGRA DE TELA FIJA</v>
      </c>
      <c r="G768" s="167" t="str">
        <f ca="1">VLOOKUP($A768,'030523 INVENTARIO'!$A$2:$Y$1148,8,FALSE)</f>
        <v>P24CS-0767</v>
      </c>
      <c r="H768" s="168" t="str">
        <f>VLOOKUP($A768,'030523 INVENTARIO'!$A$2:$Y$1148,17,FALSE)</f>
        <v>S/M</v>
      </c>
      <c r="I768" s="167" t="str">
        <f>VLOOKUP($A768,'030523 INVENTARIO'!$A$2:$Y$1148,18,FALSE)</f>
        <v>S/M</v>
      </c>
      <c r="J768" s="168" t="str">
        <f>VLOOKUP($A768,'030523 INVENTARIO'!$A$2:$Y$1148,19,FALSE)</f>
        <v>SIN SERIE</v>
      </c>
      <c r="K768" s="168" t="str">
        <f>VLOOKUP($A768,'030523 INVENTARIO'!$A$2:$Y$1148,20,FALSE)</f>
        <v>82DH0511010017000516231</v>
      </c>
      <c r="L768" s="167" t="str">
        <f>VLOOKUP($A768,'030523 INVENTARIO'!$A$2:$Y$1148,23,FALSE)</f>
        <v>MA. LOURDES ORTIZ MONDRAGON</v>
      </c>
    </row>
    <row r="769" spans="1:12" ht="12.75" hidden="1">
      <c r="A769" s="167" t="str">
        <f>'030523 INVENTARIO'!A769</f>
        <v>0768</v>
      </c>
      <c r="B769" s="168" t="str">
        <f>'030523 INVENTARIO'!T769</f>
        <v>82DH0512010014000649751</v>
      </c>
      <c r="C769" s="167" t="str">
        <f t="shared" si="0"/>
        <v>649751</v>
      </c>
      <c r="D769" s="167" t="str">
        <f>IF(VLOOKUP(C769,'Patrimonio 2023'!$C$2:$C$1128,1,FALSE) = C769, "Encontrado", "no")</f>
        <v>Encontrado</v>
      </c>
      <c r="E769" s="167" t="str">
        <f>VLOOKUP($A769,'030523 INVENTARIO'!$A$2:$Y$1148,5,FALSE)</f>
        <v>SILLON</v>
      </c>
      <c r="F769" s="168" t="str">
        <f>VLOOKUP($A769,'030523 INVENTARIO'!$A$2:$Y$1148,6,FALSE)</f>
        <v>SILLÓN DE PIEL NEGRO CON RUEDAS</v>
      </c>
      <c r="G769" s="167" t="str">
        <f ca="1">VLOOKUP($A769,'030523 INVENTARIO'!$A$2:$Y$1148,8,FALSE)</f>
        <v>P12PP-0768</v>
      </c>
      <c r="H769" s="168" t="str">
        <f>VLOOKUP($A769,'030523 INVENTARIO'!$A$2:$Y$1148,17,FALSE)</f>
        <v>S/M</v>
      </c>
      <c r="I769" s="167" t="str">
        <f>VLOOKUP($A769,'030523 INVENTARIO'!$A$2:$Y$1148,18,FALSE)</f>
        <v>S/M</v>
      </c>
      <c r="J769" s="168" t="str">
        <f>VLOOKUP($A769,'030523 INVENTARIO'!$A$2:$Y$1148,19,FALSE)</f>
        <v>SIN SERIE</v>
      </c>
      <c r="K769" s="168" t="str">
        <f>VLOOKUP($A769,'030523 INVENTARIO'!$A$2:$Y$1148,20,FALSE)</f>
        <v>82DH0512010014000649751</v>
      </c>
      <c r="L769" s="167" t="str">
        <f>VLOOKUP($A769,'030523 INVENTARIO'!$A$2:$Y$1148,23,FALSE)</f>
        <v>KENIA ITZEL GARCIA BEDOLLA</v>
      </c>
    </row>
    <row r="770" spans="1:12" ht="12.75" hidden="1">
      <c r="A770" s="167" t="str">
        <f>'030523 INVENTARIO'!A770</f>
        <v>0769</v>
      </c>
      <c r="B770" s="168" t="str">
        <f>'030523 INVENTARIO'!T770</f>
        <v>82DH0515010016000649430</v>
      </c>
      <c r="C770" s="167" t="str">
        <f t="shared" si="0"/>
        <v>649430</v>
      </c>
      <c r="D770" s="167" t="str">
        <f>IF(VLOOKUP(C770,'Patrimonio 2023'!$C$2:$C$1128,1,FALSE) = C770, "Encontrado", "no")</f>
        <v>Encontrado</v>
      </c>
      <c r="E770" s="167" t="str">
        <f>VLOOKUP($A770,'030523 INVENTARIO'!$A$2:$Y$1148,5,FALSE)</f>
        <v>NO BREAK</v>
      </c>
      <c r="F770" s="168" t="str">
        <f>VLOOKUP($A770,'030523 INVENTARIO'!$A$2:$Y$1148,6,FALSE)</f>
        <v>NO BREAK NEGRO</v>
      </c>
      <c r="G770" s="167" t="str">
        <f ca="1">VLOOKUP($A770,'030523 INVENTARIO'!$A$2:$Y$1148,8,FALSE)</f>
        <v>P24CS-0769</v>
      </c>
      <c r="H770" s="168" t="str">
        <f>VLOOKUP($A770,'030523 INVENTARIO'!$A$2:$Y$1148,17,FALSE)</f>
        <v>FORZA</v>
      </c>
      <c r="I770" s="167" t="str">
        <f>VLOOKUP($A770,'030523 INVENTARIO'!$A$2:$Y$1148,18,FALSE)</f>
        <v>NT751</v>
      </c>
      <c r="J770" s="168" t="str">
        <f>VLOOKUP($A770,'030523 INVENTARIO'!$A$2:$Y$1148,19,FALSE)</f>
        <v>181222507612</v>
      </c>
      <c r="K770" s="168" t="str">
        <f>VLOOKUP($A770,'030523 INVENTARIO'!$A$2:$Y$1148,20,FALSE)</f>
        <v>82DH0515010016000649430</v>
      </c>
      <c r="L770" s="167" t="str">
        <f>VLOOKUP($A770,'030523 INVENTARIO'!$A$2:$Y$1148,23,FALSE)</f>
        <v>MA. LOURDES ORTIZ MONDRAGON</v>
      </c>
    </row>
    <row r="771" spans="1:12" ht="12.75" hidden="1">
      <c r="A771" s="167" t="str">
        <f>'030523 INVENTARIO'!A771</f>
        <v>0770</v>
      </c>
      <c r="B771" s="168" t="str">
        <f>'030523 INVENTARIO'!T771</f>
        <v>82DH0511010010000649749</v>
      </c>
      <c r="C771" s="167" t="str">
        <f t="shared" si="0"/>
        <v>649749</v>
      </c>
      <c r="D771" s="167" t="str">
        <f>IF(VLOOKUP(C771,'Patrimonio 2023'!$C$2:$C$1128,1,FALSE) = C771, "Encontrado", "no")</f>
        <v>Encontrado</v>
      </c>
      <c r="E771" s="167" t="str">
        <f>VLOOKUP($A771,'030523 INVENTARIO'!$A$2:$Y$1148,5,FALSE)</f>
        <v>MESA</v>
      </c>
      <c r="F771" s="168" t="str">
        <f>VLOOKUP($A771,'030523 INVENTARIO'!$A$2:$Y$1148,6,FALSE)</f>
        <v>MESA DE MADERA</v>
      </c>
      <c r="G771" s="167" t="str">
        <f ca="1">VLOOKUP($A771,'030523 INVENTARIO'!$A$2:$Y$1148,8,FALSE)</f>
        <v>P24CS-0770</v>
      </c>
      <c r="H771" s="168" t="str">
        <f>VLOOKUP($A771,'030523 INVENTARIO'!$A$2:$Y$1148,17,FALSE)</f>
        <v>S/M</v>
      </c>
      <c r="I771" s="167" t="str">
        <f>VLOOKUP($A771,'030523 INVENTARIO'!$A$2:$Y$1148,18,FALSE)</f>
        <v>S/M</v>
      </c>
      <c r="J771" s="168" t="str">
        <f>VLOOKUP($A771,'030523 INVENTARIO'!$A$2:$Y$1148,19,FALSE)</f>
        <v>SIN SERIE</v>
      </c>
      <c r="K771" s="168" t="str">
        <f>VLOOKUP($A771,'030523 INVENTARIO'!$A$2:$Y$1148,20,FALSE)</f>
        <v>82DH0511010010000649749</v>
      </c>
      <c r="L771" s="167" t="str">
        <f>VLOOKUP($A771,'030523 INVENTARIO'!$A$2:$Y$1148,23,FALSE)</f>
        <v>MA. LOURDES ORTIZ MONDRAGON</v>
      </c>
    </row>
    <row r="772" spans="1:12" ht="12.75" hidden="1">
      <c r="A772" s="167" t="str">
        <f>'030523 INVENTARIO'!A772</f>
        <v>0771</v>
      </c>
      <c r="B772" s="167" t="str">
        <f>'030523 INVENTARIO'!T772</f>
        <v>SIN RESGUARDO</v>
      </c>
      <c r="C772" s="167" t="str">
        <f t="shared" si="0"/>
        <v/>
      </c>
      <c r="D772" s="167" t="e">
        <f>IF(VLOOKUP(C772,'Patrimonio 2023'!$C$2:$C$1128,1,FALSE) = C772, "Encontrado", "no")</f>
        <v>#N/A</v>
      </c>
      <c r="E772" s="167" t="str">
        <f>VLOOKUP($A772,'030523 INVENTARIO'!$A$2:$Y$1148,5,FALSE)</f>
        <v>CREDENZA</v>
      </c>
      <c r="F772" s="167" t="str">
        <f>VLOOKUP($A772,'030523 INVENTARIO'!$A$2:$Y$1148,6,FALSE)</f>
        <v>CREDENZA DE MADERA DE 4 PUERTAS</v>
      </c>
      <c r="G772" s="167" t="str">
        <f ca="1">VLOOKUP($A772,'030523 INVENTARIO'!$A$2:$Y$1148,8,FALSE)</f>
        <v>P24CS-0771</v>
      </c>
      <c r="H772" s="168" t="str">
        <f>VLOOKUP($A772,'030523 INVENTARIO'!$A$2:$Y$1148,17,FALSE)</f>
        <v>S/M</v>
      </c>
      <c r="I772" s="167" t="str">
        <f>VLOOKUP($A772,'030523 INVENTARIO'!$A$2:$Y$1148,18,FALSE)</f>
        <v>S/M</v>
      </c>
      <c r="J772" s="167" t="str">
        <f>VLOOKUP($A772,'030523 INVENTARIO'!$A$2:$Y$1148,19,FALSE)</f>
        <v>SIN SERIE</v>
      </c>
      <c r="K772" s="167" t="str">
        <f>VLOOKUP($A772,'030523 INVENTARIO'!$A$2:$Y$1148,20,FALSE)</f>
        <v>SIN RESGUARDO</v>
      </c>
      <c r="L772" s="167" t="str">
        <f>VLOOKUP($A772,'030523 INVENTARIO'!$A$2:$Y$1148,23,FALSE)</f>
        <v>MA. LOURDES ORTIZ MONDRAGON</v>
      </c>
    </row>
    <row r="773" spans="1:12" ht="12.75" hidden="1">
      <c r="A773" s="167" t="str">
        <f>'030523 INVENTARIO'!A773</f>
        <v>0772</v>
      </c>
      <c r="B773" s="168" t="str">
        <f>'030523 INVENTARIO'!T773</f>
        <v>SIN RESGUARDO</v>
      </c>
      <c r="C773" s="167" t="str">
        <f t="shared" si="0"/>
        <v/>
      </c>
      <c r="D773" s="167" t="e">
        <f>IF(VLOOKUP(C773,'Patrimonio 2023'!$C$2:$C$1128,1,FALSE) = C773, "Encontrado", "no")</f>
        <v>#N/A</v>
      </c>
      <c r="E773" s="167" t="str">
        <f>VLOOKUP($A773,'030523 INVENTARIO'!$A$2:$Y$1148,5,FALSE)</f>
        <v>MODULO</v>
      </c>
      <c r="F773" s="168" t="str">
        <f>VLOOKUP($A773,'030523 INVENTARIO'!$A$2:$Y$1148,6,FALSE)</f>
        <v>MODULO DE MADERA U (ESCRITORIO)</v>
      </c>
      <c r="G773" s="167" t="str">
        <f ca="1">VLOOKUP($A773,'030523 INVENTARIO'!$A$2:$Y$1148,8,FALSE)</f>
        <v>P24CS-0772</v>
      </c>
      <c r="H773" s="168" t="str">
        <f>VLOOKUP($A773,'030523 INVENTARIO'!$A$2:$Y$1148,17,FALSE)</f>
        <v>S/M</v>
      </c>
      <c r="I773" s="167" t="str">
        <f>VLOOKUP($A773,'030523 INVENTARIO'!$A$2:$Y$1148,18,FALSE)</f>
        <v>S/M</v>
      </c>
      <c r="J773" s="168" t="str">
        <f>VLOOKUP($A773,'030523 INVENTARIO'!$A$2:$Y$1148,19,FALSE)</f>
        <v>SIN SERIE</v>
      </c>
      <c r="K773" s="168" t="str">
        <f>VLOOKUP($A773,'030523 INVENTARIO'!$A$2:$Y$1148,20,FALSE)</f>
        <v>SIN RESGUARDO</v>
      </c>
      <c r="L773" s="167" t="str">
        <f>VLOOKUP($A773,'030523 INVENTARIO'!$A$2:$Y$1148,23,FALSE)</f>
        <v>MA. LOURDES ORTIZ MONDRAGON</v>
      </c>
    </row>
    <row r="774" spans="1:12" ht="12.75" hidden="1">
      <c r="A774" s="167" t="str">
        <f>'030523 INVENTARIO'!A774</f>
        <v>0773</v>
      </c>
      <c r="B774" s="168" t="str">
        <f>'030523 INVENTARIO'!T774</f>
        <v>82DH0511010006000564903</v>
      </c>
      <c r="C774" s="167" t="str">
        <f t="shared" si="0"/>
        <v>564903</v>
      </c>
      <c r="D774" s="167" t="str">
        <f>IF(VLOOKUP(C774,'Patrimonio 2023'!$C$2:$C$1128,1,FALSE) = C774, "Encontrado", "no")</f>
        <v>Encontrado</v>
      </c>
      <c r="E774" s="167" t="str">
        <f>VLOOKUP($A774,'030523 INVENTARIO'!$A$2:$Y$1148,5,FALSE)</f>
        <v>ESCRITORIO</v>
      </c>
      <c r="F774" s="167" t="str">
        <f>VLOOKUP($A774,'030523 INVENTARIO'!$A$2:$Y$1148,6,FALSE)</f>
        <v>ESCRITORIO DE MADERA TIPO ISLA DE 4 PIEZAS</v>
      </c>
      <c r="G774" s="167" t="str">
        <f ca="1">VLOOKUP($A774,'030523 INVENTARIO'!$A$2:$Y$1148,8,FALSE)</f>
        <v>P24CS-0773</v>
      </c>
      <c r="H774" s="168" t="str">
        <f>VLOOKUP($A774,'030523 INVENTARIO'!$A$2:$Y$1148,17,FALSE)</f>
        <v>S/M</v>
      </c>
      <c r="I774" s="167" t="str">
        <f>VLOOKUP($A774,'030523 INVENTARIO'!$A$2:$Y$1148,18,FALSE)</f>
        <v>S/M</v>
      </c>
      <c r="J774" s="168" t="str">
        <f>VLOOKUP($A774,'030523 INVENTARIO'!$A$2:$Y$1148,19,FALSE)</f>
        <v>SIN SERIE</v>
      </c>
      <c r="K774" s="168" t="str">
        <f>VLOOKUP($A774,'030523 INVENTARIO'!$A$2:$Y$1148,20,FALSE)</f>
        <v>82DH0511010006000564903</v>
      </c>
      <c r="L774" s="167" t="str">
        <f>VLOOKUP($A774,'030523 INVENTARIO'!$A$2:$Y$1148,23,FALSE)</f>
        <v>MA. LOURDES ORTIZ MONDRAGON</v>
      </c>
    </row>
    <row r="775" spans="1:12" ht="12.75" hidden="1">
      <c r="A775" s="167" t="str">
        <f>'030523 INVENTARIO'!A775</f>
        <v>0774</v>
      </c>
      <c r="B775" s="168" t="str">
        <f>'030523 INVENTARIO'!T775</f>
        <v>82DH0565010001000527082</v>
      </c>
      <c r="C775" s="167" t="str">
        <f t="shared" si="0"/>
        <v>527082</v>
      </c>
      <c r="D775" s="167" t="str">
        <f>IF(VLOOKUP(C775,'Patrimonio 2023'!$C$2:$C$1128,1,FALSE) = C775, "Encontrado", "no")</f>
        <v>Encontrado</v>
      </c>
      <c r="E775" s="167" t="str">
        <f>VLOOKUP($A775,'030523 INVENTARIO'!$A$2:$Y$1148,5,FALSE)</f>
        <v>TELEFONO</v>
      </c>
      <c r="F775" s="168" t="str">
        <f>VLOOKUP($A775,'030523 INVENTARIO'!$A$2:$Y$1148,6,FALSE)</f>
        <v>TELEFONO GRIS</v>
      </c>
      <c r="G775" s="167" t="str">
        <f ca="1">VLOOKUP($A775,'030523 INVENTARIO'!$A$2:$Y$1148,8,FALSE)</f>
        <v>P24CS-0774</v>
      </c>
      <c r="H775" s="168" t="str">
        <f>VLOOKUP($A775,'030523 INVENTARIO'!$A$2:$Y$1148,17,FALSE)</f>
        <v>LINKSYS</v>
      </c>
      <c r="I775" s="167" t="str">
        <f>VLOOKUP($A775,'030523 INVENTARIO'!$A$2:$Y$1148,18,FALSE)</f>
        <v>SPA942</v>
      </c>
      <c r="J775" s="168" t="str">
        <f>VLOOKUP($A775,'030523 INVENTARIO'!$A$2:$Y$1148,19,FALSE)</f>
        <v>4LO00H118288</v>
      </c>
      <c r="K775" s="168" t="str">
        <f>VLOOKUP($A775,'030523 INVENTARIO'!$A$2:$Y$1148,20,FALSE)</f>
        <v>82DH0565010001000527082</v>
      </c>
      <c r="L775" s="167" t="str">
        <f>VLOOKUP($A775,'030523 INVENTARIO'!$A$2:$Y$1148,23,FALSE)</f>
        <v>MA. LOURDES ORTIZ MONDRAGON</v>
      </c>
    </row>
    <row r="776" spans="1:12" ht="12.75" hidden="1">
      <c r="A776" s="167" t="str">
        <f>'030523 INVENTARIO'!A776</f>
        <v>0775</v>
      </c>
      <c r="B776" s="167" t="str">
        <f>'030523 INVENTARIO'!T776</f>
        <v>SIN RESGUARDO</v>
      </c>
      <c r="C776" s="167" t="str">
        <f t="shared" si="0"/>
        <v/>
      </c>
      <c r="D776" s="167" t="e">
        <f>IF(VLOOKUP(C776,'Patrimonio 2023'!$C$2:$C$1128,1,FALSE) = C776, "Encontrado", "no")</f>
        <v>#N/A</v>
      </c>
      <c r="E776" s="167" t="str">
        <f>VLOOKUP($A776,'030523 INVENTARIO'!$A$2:$Y$1148,5,FALSE)</f>
        <v>COMPUTADORA DE ESCRITORIO</v>
      </c>
      <c r="F776" s="167" t="str">
        <f>VLOOKUP($A776,'030523 INVENTARIO'!$A$2:$Y$1148,6,FALSE)</f>
        <v>COMPUTADORA DE ESCRITORIO</v>
      </c>
      <c r="G776" s="167" t="str">
        <f ca="1">VLOOKUP($A776,'030523 INVENTARIO'!$A$2:$Y$1148,8,FALSE)</f>
        <v>P24CS-0775</v>
      </c>
      <c r="H776" s="168" t="str">
        <f>VLOOKUP($A776,'030523 INVENTARIO'!$A$2:$Y$1148,17,FALSE)</f>
        <v>ACTECK</v>
      </c>
      <c r="I776" s="167" t="str">
        <f>VLOOKUP($A776,'030523 INVENTARIO'!$A$2:$Y$1148,18,FALSE)</f>
        <v>LINX</v>
      </c>
      <c r="J776" s="167">
        <f>VLOOKUP($A776,'030523 INVENTARIO'!$A$2:$Y$1148,19,FALSE)</f>
        <v>11392903015655</v>
      </c>
      <c r="K776" s="167" t="str">
        <f>VLOOKUP($A776,'030523 INVENTARIO'!$A$2:$Y$1148,20,FALSE)</f>
        <v>SIN RESGUARDO</v>
      </c>
      <c r="L776" s="167" t="str">
        <f>VLOOKUP($A776,'030523 INVENTARIO'!$A$2:$Y$1148,23,FALSE)</f>
        <v>MA. LOURDES ORTIZ MONDRAGON</v>
      </c>
    </row>
    <row r="777" spans="1:12" ht="12.75" hidden="1">
      <c r="A777" s="167" t="str">
        <f>'030523 INVENTARIO'!A777</f>
        <v>0776</v>
      </c>
      <c r="B777" s="167" t="str">
        <f>'030523 INVENTARIO'!T777</f>
        <v>SIN RESGUARDO</v>
      </c>
      <c r="C777" s="167" t="str">
        <f t="shared" si="0"/>
        <v/>
      </c>
      <c r="D777" s="167" t="e">
        <f>IF(VLOOKUP(C777,'Patrimonio 2023'!$C$2:$C$1128,1,FALSE) = C777, "Encontrado", "no")</f>
        <v>#N/A</v>
      </c>
      <c r="E777" s="167" t="str">
        <f>VLOOKUP($A777,'030523 INVENTARIO'!$A$2:$Y$1148,5,FALSE)</f>
        <v>MONITOR</v>
      </c>
      <c r="F777" s="167" t="str">
        <f>VLOOKUP($A777,'030523 INVENTARIO'!$A$2:$Y$1148,6,FALSE)</f>
        <v>MONITOR 21"</v>
      </c>
      <c r="G777" s="167" t="str">
        <f ca="1">VLOOKUP($A777,'030523 INVENTARIO'!$A$2:$Y$1148,8,FALSE)</f>
        <v>P24CS-0776</v>
      </c>
      <c r="H777" s="168" t="str">
        <f>VLOOKUP($A777,'030523 INVENTARIO'!$A$2:$Y$1148,17,FALSE)</f>
        <v>ACER</v>
      </c>
      <c r="I777" s="167" t="str">
        <f>VLOOKUP($A777,'030523 INVENTARIO'!$A$2:$Y$1148,18,FALSE)</f>
        <v>V226HQL</v>
      </c>
      <c r="J777" s="167" t="str">
        <f>VLOOKUP($A777,'030523 INVENTARIO'!$A$2:$Y$1148,19,FALSE)</f>
        <v>MMTASAA007109004373P00</v>
      </c>
      <c r="K777" s="167" t="str">
        <f>VLOOKUP($A777,'030523 INVENTARIO'!$A$2:$Y$1148,20,FALSE)</f>
        <v>SIN RESGUARDO</v>
      </c>
      <c r="L777" s="167" t="str">
        <f>VLOOKUP($A777,'030523 INVENTARIO'!$A$2:$Y$1148,23,FALSE)</f>
        <v>MA. LOURDES ORTIZ MONDRAGON</v>
      </c>
    </row>
    <row r="778" spans="1:12" ht="12.75" hidden="1">
      <c r="A778" s="167" t="str">
        <f>'030523 INVENTARIO'!A778</f>
        <v>0777</v>
      </c>
      <c r="B778" s="168" t="str">
        <f>'030523 INVENTARIO'!T778</f>
        <v>82DH0511010001000518504</v>
      </c>
      <c r="C778" s="167" t="str">
        <f t="shared" si="0"/>
        <v>518504</v>
      </c>
      <c r="D778" s="167" t="str">
        <f>IF(VLOOKUP(C778,'Patrimonio 2023'!$C$2:$C$1128,1,FALSE) = C778, "Encontrado", "no")</f>
        <v>Encontrado</v>
      </c>
      <c r="E778" s="167" t="str">
        <f>VLOOKUP($A778,'030523 INVENTARIO'!$A$2:$Y$1148,5,FALSE)</f>
        <v>ARCHIVERO</v>
      </c>
      <c r="F778" s="167" t="str">
        <f>VLOOKUP($A778,'030523 INVENTARIO'!$A$2:$Y$1148,6,FALSE)</f>
        <v>ARCHIVERO GRIS METAL DE 4 CAJONES 132X46X63</v>
      </c>
      <c r="G778" s="167" t="str">
        <f ca="1">VLOOKUP($A778,'030523 INVENTARIO'!$A$2:$Y$1148,8,FALSE)</f>
        <v>P24CS-0777</v>
      </c>
      <c r="H778" s="168" t="str">
        <f>VLOOKUP($A778,'030523 INVENTARIO'!$A$2:$Y$1148,17,FALSE)</f>
        <v>S/M</v>
      </c>
      <c r="I778" s="167" t="str">
        <f>VLOOKUP($A778,'030523 INVENTARIO'!$A$2:$Y$1148,18,FALSE)</f>
        <v>S/M</v>
      </c>
      <c r="J778" s="168" t="str">
        <f>VLOOKUP($A778,'030523 INVENTARIO'!$A$2:$Y$1148,19,FALSE)</f>
        <v>SIN SERIE</v>
      </c>
      <c r="K778" s="168" t="str">
        <f>VLOOKUP($A778,'030523 INVENTARIO'!$A$2:$Y$1148,20,FALSE)</f>
        <v>82DH0511010001000518504</v>
      </c>
      <c r="L778" s="167" t="str">
        <f>VLOOKUP($A778,'030523 INVENTARIO'!$A$2:$Y$1148,23,FALSE)</f>
        <v>MARIA MAGDALENA GUTIERREZ ALTAMIRANO</v>
      </c>
    </row>
    <row r="779" spans="1:12" ht="12.75" hidden="1">
      <c r="A779" s="167" t="str">
        <f>'030523 INVENTARIO'!A779</f>
        <v>0778</v>
      </c>
      <c r="B779" s="167" t="str">
        <f>'030523 INVENTARIO'!T779</f>
        <v>82DH0531010094000539189</v>
      </c>
      <c r="C779" s="167" t="str">
        <f t="shared" si="0"/>
        <v>539189</v>
      </c>
      <c r="D779" s="167" t="str">
        <f>IF(VLOOKUP(C779,'Patrimonio 2023'!$C$2:$C$1128,1,FALSE) = C779, "Encontrado", "no")</f>
        <v>Encontrado</v>
      </c>
      <c r="E779" s="167" t="str">
        <f>VLOOKUP($A779,'030523 INVENTARIO'!$A$2:$Y$1148,5,FALSE)</f>
        <v>VENTILADOR</v>
      </c>
      <c r="F779" s="168" t="str">
        <f>VLOOKUP($A779,'030523 INVENTARIO'!$A$2:$Y$1148,6,FALSE)</f>
        <v>VENTILADOR GRIS DE TORRE</v>
      </c>
      <c r="G779" s="167" t="str">
        <f ca="1">VLOOKUP($A779,'030523 INVENTARIO'!$A$2:$Y$1148,8,FALSE)</f>
        <v>P24CS-0778</v>
      </c>
      <c r="H779" s="168" t="str">
        <f>VLOOKUP($A779,'030523 INVENTARIO'!$A$2:$Y$1148,17,FALSE)</f>
        <v>LASKO</v>
      </c>
      <c r="I779" s="167" t="str">
        <f>VLOOKUP($A779,'030523 INVENTARIO'!$A$2:$Y$1148,18,FALSE)</f>
        <v>4820M</v>
      </c>
      <c r="J779" s="168" t="str">
        <f>VLOOKUP($A779,'030523 INVENTARIO'!$A$2:$Y$1148,19,FALSE)</f>
        <v>SIN SERIE</v>
      </c>
      <c r="K779" s="167" t="str">
        <f>VLOOKUP($A779,'030523 INVENTARIO'!$A$2:$Y$1148,20,FALSE)</f>
        <v>82DH0531010094000539189</v>
      </c>
      <c r="L779" s="167" t="str">
        <f>VLOOKUP($A779,'030523 INVENTARIO'!$A$2:$Y$1148,23,FALSE)</f>
        <v>MARIA MAGDALENA GUTIERREZ ALTAMIRANO</v>
      </c>
    </row>
    <row r="780" spans="1:12" ht="12.75" hidden="1">
      <c r="A780" s="167" t="str">
        <f>'030523 INVENTARIO'!A780</f>
        <v>0779</v>
      </c>
      <c r="B780" s="168" t="str">
        <f>'030523 INVENTARIO'!T780</f>
        <v>82DH0511010010000649750</v>
      </c>
      <c r="C780" s="167" t="str">
        <f t="shared" si="0"/>
        <v>649750</v>
      </c>
      <c r="D780" s="167" t="str">
        <f>IF(VLOOKUP(C780,'Patrimonio 2023'!$C$2:$C$1128,1,FALSE) = C780, "Encontrado", "no")</f>
        <v>Encontrado</v>
      </c>
      <c r="E780" s="167" t="str">
        <f>VLOOKUP($A780,'030523 INVENTARIO'!$A$2:$Y$1148,5,FALSE)</f>
        <v>MESA</v>
      </c>
      <c r="F780" s="167" t="str">
        <f>VLOOKUP($A780,'030523 INVENTARIO'!$A$2:$Y$1148,6,FALSE)</f>
        <v>MESA DE MADERA BASE DE METAL CON RUEDAS 60X40</v>
      </c>
      <c r="G780" s="167" t="str">
        <f ca="1">VLOOKUP($A780,'030523 INVENTARIO'!$A$2:$Y$1148,8,FALSE)</f>
        <v>P24CS-0779</v>
      </c>
      <c r="H780" s="168" t="str">
        <f>VLOOKUP($A780,'030523 INVENTARIO'!$A$2:$Y$1148,17,FALSE)</f>
        <v>S/M</v>
      </c>
      <c r="I780" s="167" t="str">
        <f>VLOOKUP($A780,'030523 INVENTARIO'!$A$2:$Y$1148,18,FALSE)</f>
        <v>S/M</v>
      </c>
      <c r="J780" s="168" t="str">
        <f>VLOOKUP($A780,'030523 INVENTARIO'!$A$2:$Y$1148,19,FALSE)</f>
        <v>SIN SERIE</v>
      </c>
      <c r="K780" s="168" t="str">
        <f>VLOOKUP($A780,'030523 INVENTARIO'!$A$2:$Y$1148,20,FALSE)</f>
        <v>82DH0511010010000649750</v>
      </c>
      <c r="L780" s="167" t="str">
        <f>VLOOKUP($A780,'030523 INVENTARIO'!$A$2:$Y$1148,23,FALSE)</f>
        <v>MARIA MAGDALENA GUTIERREZ ALTAMIRANO</v>
      </c>
    </row>
    <row r="781" spans="1:12" ht="12.75" hidden="1">
      <c r="A781" s="167" t="str">
        <f>'030523 INVENTARIO'!A781</f>
        <v>0780</v>
      </c>
      <c r="B781" s="168" t="str">
        <f>'030523 INVENTARIO'!T781</f>
        <v>82DH0511010001000533227</v>
      </c>
      <c r="C781" s="167" t="str">
        <f t="shared" si="0"/>
        <v>533227</v>
      </c>
      <c r="D781" s="167" t="str">
        <f>IF(VLOOKUP(C781,'Patrimonio 2023'!$C$2:$C$1128,1,FALSE) = C781, "Encontrado", "no")</f>
        <v>Encontrado</v>
      </c>
      <c r="E781" s="167" t="str">
        <f>VLOOKUP($A781,'030523 INVENTARIO'!$A$2:$Y$1148,5,FALSE)</f>
        <v>ARCHIVERO</v>
      </c>
      <c r="F781" s="167" t="str">
        <f>VLOOKUP($A781,'030523 INVENTARIO'!$A$2:$Y$1148,6,FALSE)</f>
        <v>ARCHIVERO GRIS METAL DE 4 CAJONES 132X46X63</v>
      </c>
      <c r="G781" s="167" t="str">
        <f ca="1">VLOOKUP($A781,'030523 INVENTARIO'!$A$2:$Y$1148,8,FALSE)</f>
        <v>P24CS-0780</v>
      </c>
      <c r="H781" s="168" t="str">
        <f>VLOOKUP($A781,'030523 INVENTARIO'!$A$2:$Y$1148,17,FALSE)</f>
        <v>S/M</v>
      </c>
      <c r="I781" s="167" t="str">
        <f>VLOOKUP($A781,'030523 INVENTARIO'!$A$2:$Y$1148,18,FALSE)</f>
        <v>S/M</v>
      </c>
      <c r="J781" s="168" t="str">
        <f>VLOOKUP($A781,'030523 INVENTARIO'!$A$2:$Y$1148,19,FALSE)</f>
        <v>SIN SERIE</v>
      </c>
      <c r="K781" s="168" t="str">
        <f>VLOOKUP($A781,'030523 INVENTARIO'!$A$2:$Y$1148,20,FALSE)</f>
        <v>82DH0511010001000533227</v>
      </c>
      <c r="L781" s="167" t="str">
        <f>VLOOKUP($A781,'030523 INVENTARIO'!$A$2:$Y$1148,23,FALSE)</f>
        <v>MARIA MAGDALENA GUTIERREZ ALTAMIRANO</v>
      </c>
    </row>
    <row r="782" spans="1:12" ht="12.75" hidden="1">
      <c r="A782" s="167" t="str">
        <f>'030523 INVENTARIO'!A782</f>
        <v>0781</v>
      </c>
      <c r="B782" s="168" t="str">
        <f>'030523 INVENTARIO'!T782</f>
        <v>82DH0511010006000649741</v>
      </c>
      <c r="C782" s="167" t="str">
        <f t="shared" si="0"/>
        <v>649741</v>
      </c>
      <c r="D782" s="167" t="str">
        <f>IF(VLOOKUP(C782,'Patrimonio 2023'!$C$2:$C$1128,1,FALSE) = C782, "Encontrado", "no")</f>
        <v>Encontrado</v>
      </c>
      <c r="E782" s="167" t="str">
        <f>VLOOKUP($A782,'030523 INVENTARIO'!$A$2:$Y$1148,5,FALSE)</f>
        <v>ESCRITORIO</v>
      </c>
      <c r="F782" s="168" t="str">
        <f>VLOOKUP($A782,'030523 INVENTARIO'!$A$2:$Y$1148,6,FALSE)</f>
        <v>ESCRITORIO DE MADERA 2 PIEZAS</v>
      </c>
      <c r="G782" s="167" t="str">
        <f ca="1">VLOOKUP($A782,'030523 INVENTARIO'!$A$2:$Y$1148,8,FALSE)</f>
        <v>P24CS-0781</v>
      </c>
      <c r="H782" s="168" t="str">
        <f>VLOOKUP($A782,'030523 INVENTARIO'!$A$2:$Y$1148,17,FALSE)</f>
        <v>S/M</v>
      </c>
      <c r="I782" s="167" t="str">
        <f>VLOOKUP($A782,'030523 INVENTARIO'!$A$2:$Y$1148,18,FALSE)</f>
        <v>S/M</v>
      </c>
      <c r="J782" s="168" t="str">
        <f>VLOOKUP($A782,'030523 INVENTARIO'!$A$2:$Y$1148,19,FALSE)</f>
        <v>SIN SERIE</v>
      </c>
      <c r="K782" s="168" t="str">
        <f>VLOOKUP($A782,'030523 INVENTARIO'!$A$2:$Y$1148,20,FALSE)</f>
        <v>82DH0511010006000649741</v>
      </c>
      <c r="L782" s="167" t="str">
        <f>VLOOKUP($A782,'030523 INVENTARIO'!$A$2:$Y$1148,23,FALSE)</f>
        <v>MARIA MAGDALENA GUTIERREZ ALTAMIRANO</v>
      </c>
    </row>
    <row r="783" spans="1:12" ht="12.75" hidden="1">
      <c r="A783" s="167" t="str">
        <f>'030523 INVENTARIO'!A783</f>
        <v>0782</v>
      </c>
      <c r="B783" s="168" t="str">
        <f>'030523 INVENTARIO'!T783</f>
        <v>82DH0515010033000566432</v>
      </c>
      <c r="C783" s="167" t="str">
        <f t="shared" si="0"/>
        <v>566432</v>
      </c>
      <c r="D783" s="167" t="str">
        <f>IF(VLOOKUP(C783,'Patrimonio 2023'!$C$2:$C$1128,1,FALSE) = C783, "Encontrado", "no")</f>
        <v>Encontrado</v>
      </c>
      <c r="E783" s="167" t="str">
        <f>VLOOKUP($A783,'030523 INVENTARIO'!$A$2:$Y$1148,5,FALSE)</f>
        <v>COMPLEMENTARIO DE EQUIPO DE COMPUTO</v>
      </c>
      <c r="F783" s="168" t="str">
        <f>VLOOKUP($A783,'030523 INVENTARIO'!$A$2:$Y$1148,6,FALSE)</f>
        <v>COMPLEMENTO DE EQUIPO DE MADERA</v>
      </c>
      <c r="G783" s="167" t="str">
        <f ca="1">VLOOKUP($A783,'030523 INVENTARIO'!$A$2:$Y$1148,8,FALSE)</f>
        <v>P24CS-0782</v>
      </c>
      <c r="H783" s="168" t="str">
        <f>VLOOKUP($A783,'030523 INVENTARIO'!$A$2:$Y$1148,17,FALSE)</f>
        <v>S/M</v>
      </c>
      <c r="I783" s="167" t="str">
        <f>VLOOKUP($A783,'030523 INVENTARIO'!$A$2:$Y$1148,18,FALSE)</f>
        <v>S/M</v>
      </c>
      <c r="J783" s="168" t="str">
        <f>VLOOKUP($A783,'030523 INVENTARIO'!$A$2:$Y$1148,19,FALSE)</f>
        <v>SIN SERIE</v>
      </c>
      <c r="K783" s="168" t="str">
        <f>VLOOKUP($A783,'030523 INVENTARIO'!$A$2:$Y$1148,20,FALSE)</f>
        <v>82DH0515010033000566432</v>
      </c>
      <c r="L783" s="167" t="str">
        <f>VLOOKUP($A783,'030523 INVENTARIO'!$A$2:$Y$1148,23,FALSE)</f>
        <v>MARIA MAGDALENA GUTIERREZ ALTAMIRANO</v>
      </c>
    </row>
    <row r="784" spans="1:12" ht="12.75" hidden="1">
      <c r="A784" s="167" t="str">
        <f>'030523 INVENTARIO'!A784</f>
        <v>0783</v>
      </c>
      <c r="B784" s="167" t="str">
        <f>'030523 INVENTARIO'!T784</f>
        <v>82DH0515010003000649742</v>
      </c>
      <c r="C784" s="167" t="str">
        <f t="shared" si="0"/>
        <v>649742</v>
      </c>
      <c r="D784" s="167" t="str">
        <f>IF(VLOOKUP(C784,'Patrimonio 2023'!$C$2:$C$1128,1,FALSE) = C784, "Encontrado", "no")</f>
        <v>Encontrado</v>
      </c>
      <c r="E784" s="167" t="str">
        <f>VLOOKUP($A784,'030523 INVENTARIO'!$A$2:$Y$1148,5,FALSE)</f>
        <v>COMPUTADORA DE ESCRITORIO</v>
      </c>
      <c r="F784" s="167" t="str">
        <f>VLOOKUP($A784,'030523 INVENTARIO'!$A$2:$Y$1148,6,FALSE)</f>
        <v>COMPUTADORA DE ESCRITORIO</v>
      </c>
      <c r="G784" s="167" t="str">
        <f ca="1">VLOOKUP($A784,'030523 INVENTARIO'!$A$2:$Y$1148,8,FALSE)</f>
        <v>P24CS-0783</v>
      </c>
      <c r="H784" s="168" t="str">
        <f>VLOOKUP($A784,'030523 INVENTARIO'!$A$2:$Y$1148,17,FALSE)</f>
        <v>ACER</v>
      </c>
      <c r="I784" s="167" t="str">
        <f>VLOOKUP($A784,'030523 INVENTARIO'!$A$2:$Y$1148,18,FALSE)</f>
        <v>AXC100MP308</v>
      </c>
      <c r="J784" s="168" t="str">
        <f>VLOOKUP($A784,'030523 INVENTARIO'!$A$2:$Y$1148,19,FALSE)</f>
        <v>DTSLRAL001243028903000</v>
      </c>
      <c r="K784" s="167" t="str">
        <f>VLOOKUP($A784,'030523 INVENTARIO'!$A$2:$Y$1148,20,FALSE)</f>
        <v>82DH0515010003000649742</v>
      </c>
      <c r="L784" s="167" t="str">
        <f>VLOOKUP($A784,'030523 INVENTARIO'!$A$2:$Y$1148,23,FALSE)</f>
        <v>MARIA MAGDALENA GUTIERREZ ALTAMIRANO</v>
      </c>
    </row>
    <row r="785" spans="1:12" ht="12.75" hidden="1">
      <c r="A785" s="167" t="str">
        <f>'030523 INVENTARIO'!A785</f>
        <v>0784</v>
      </c>
      <c r="B785" s="168" t="str">
        <f>'030523 INVENTARIO'!T785</f>
        <v>82DH0515010016000649429</v>
      </c>
      <c r="C785" s="167" t="str">
        <f t="shared" si="0"/>
        <v>649429</v>
      </c>
      <c r="D785" s="167" t="str">
        <f>IF(VLOOKUP(C785,'Patrimonio 2023'!$C$2:$C$1128,1,FALSE) = C785, "Encontrado", "no")</f>
        <v>Encontrado</v>
      </c>
      <c r="E785" s="167" t="str">
        <f>VLOOKUP($A785,'030523 INVENTARIO'!$A$2:$Y$1148,5,FALSE)</f>
        <v>NO BREAK</v>
      </c>
      <c r="F785" s="168" t="str">
        <f>VLOOKUP($A785,'030523 INVENTARIO'!$A$2:$Y$1148,6,FALSE)</f>
        <v>NO BREAK NEGRO</v>
      </c>
      <c r="G785" s="167" t="str">
        <f ca="1">VLOOKUP($A785,'030523 INVENTARIO'!$A$2:$Y$1148,8,FALSE)</f>
        <v>P24CS-0784</v>
      </c>
      <c r="H785" s="168" t="str">
        <f>VLOOKUP($A785,'030523 INVENTARIO'!$A$2:$Y$1148,17,FALSE)</f>
        <v>FORZA</v>
      </c>
      <c r="I785" s="167" t="str">
        <f>VLOOKUP($A785,'030523 INVENTARIO'!$A$2:$Y$1148,18,FALSE)</f>
        <v>NT751</v>
      </c>
      <c r="J785" s="168" t="str">
        <f>VLOOKUP($A785,'030523 INVENTARIO'!$A$2:$Y$1148,19,FALSE)</f>
        <v>181222507611</v>
      </c>
      <c r="K785" s="168" t="str">
        <f>VLOOKUP($A785,'030523 INVENTARIO'!$A$2:$Y$1148,20,FALSE)</f>
        <v>82DH0515010016000649429</v>
      </c>
      <c r="L785" s="167" t="str">
        <f>VLOOKUP($A785,'030523 INVENTARIO'!$A$2:$Y$1148,23,FALSE)</f>
        <v>MARIA MAGDALENA GUTIERREZ ALTAMIRANO</v>
      </c>
    </row>
    <row r="786" spans="1:12" ht="12.75" hidden="1">
      <c r="A786" s="167" t="str">
        <f>'030523 INVENTARIO'!A786</f>
        <v>0785</v>
      </c>
      <c r="B786" s="168" t="str">
        <f>'030523 INVENTARIO'!T786</f>
        <v>82DH0515010013000649743</v>
      </c>
      <c r="C786" s="167" t="str">
        <f t="shared" si="0"/>
        <v>649743</v>
      </c>
      <c r="D786" s="167" t="str">
        <f>IF(VLOOKUP(C786,'Patrimonio 2023'!$C$2:$C$1128,1,FALSE) = C786, "Encontrado", "no")</f>
        <v>Encontrado</v>
      </c>
      <c r="E786" s="167" t="str">
        <f>VLOOKUP($A786,'030523 INVENTARIO'!$A$2:$Y$1148,5,FALSE)</f>
        <v>MONITOR</v>
      </c>
      <c r="F786" s="167" t="str">
        <f>VLOOKUP($A786,'030523 INVENTARIO'!$A$2:$Y$1148,6,FALSE)</f>
        <v>MONITOR 18.5"</v>
      </c>
      <c r="G786" s="167" t="str">
        <f ca="1">VLOOKUP($A786,'030523 INVENTARIO'!$A$2:$Y$1148,8,FALSE)</f>
        <v>P24CS-0785</v>
      </c>
      <c r="H786" s="168" t="str">
        <f>VLOOKUP($A786,'030523 INVENTARIO'!$A$2:$Y$1148,17,FALSE)</f>
        <v>ACER</v>
      </c>
      <c r="I786" s="167" t="str">
        <f>VLOOKUP($A786,'030523 INVENTARIO'!$A$2:$Y$1148,18,FALSE)</f>
        <v>G185HV</v>
      </c>
      <c r="J786" s="168" t="str">
        <f>VLOOKUP($A786,'030523 INVENTARIO'!$A$2:$Y$1148,19,FALSE)</f>
        <v>MMLNTA001243048A14208</v>
      </c>
      <c r="K786" s="168" t="str">
        <f>VLOOKUP($A786,'030523 INVENTARIO'!$A$2:$Y$1148,20,FALSE)</f>
        <v>82DH0515010013000649743</v>
      </c>
      <c r="L786" s="167" t="str">
        <f>VLOOKUP($A786,'030523 INVENTARIO'!$A$2:$Y$1148,23,FALSE)</f>
        <v>MARIA MAGDALENA GUTIERREZ ALTAMIRANO</v>
      </c>
    </row>
    <row r="787" spans="1:12" ht="12.75" hidden="1">
      <c r="A787" s="167" t="str">
        <f>'030523 INVENTARIO'!A787</f>
        <v>0786</v>
      </c>
      <c r="B787" s="167" t="str">
        <f>'030523 INVENTARIO'!T787</f>
        <v>82DH0511010017000651388</v>
      </c>
      <c r="C787" s="167" t="str">
        <f t="shared" si="0"/>
        <v>651388</v>
      </c>
      <c r="D787" s="167" t="str">
        <f>IF(VLOOKUP(C787,'Patrimonio 2023'!$C$2:$C$1128,1,FALSE) = C787, "Encontrado", "no")</f>
        <v>Encontrado</v>
      </c>
      <c r="E787" s="167" t="str">
        <f>VLOOKUP($A787,'030523 INVENTARIO'!$A$2:$Y$1148,5,FALSE)</f>
        <v>SILLA</v>
      </c>
      <c r="F787" s="167" t="str">
        <f>VLOOKUP($A787,'030523 INVENTARIO'!$A$2:$Y$1148,6,FALSE)</f>
        <v>SILLA DE TELA NEGRA FIJA</v>
      </c>
      <c r="G787" s="167" t="str">
        <f ca="1">VLOOKUP($A787,'030523 INVENTARIO'!$A$2:$Y$1148,8,FALSE)</f>
        <v>P24CS-0786</v>
      </c>
      <c r="H787" s="168" t="str">
        <f>VLOOKUP($A787,'030523 INVENTARIO'!$A$2:$Y$1148,17,FALSE)</f>
        <v>S/M</v>
      </c>
      <c r="I787" s="167" t="str">
        <f>VLOOKUP($A787,'030523 INVENTARIO'!$A$2:$Y$1148,18,FALSE)</f>
        <v>S/M</v>
      </c>
      <c r="J787" s="167" t="str">
        <f>VLOOKUP($A787,'030523 INVENTARIO'!$A$2:$Y$1148,19,FALSE)</f>
        <v>SIN SERIE</v>
      </c>
      <c r="K787" s="167" t="str">
        <f>VLOOKUP($A787,'030523 INVENTARIO'!$A$2:$Y$1148,20,FALSE)</f>
        <v>82DH0511010017000651388</v>
      </c>
      <c r="L787" s="167" t="str">
        <f>VLOOKUP($A787,'030523 INVENTARIO'!$A$2:$Y$1148,23,FALSE)</f>
        <v>MARIA MAGDALENA GUTIERREZ ALTAMIRANO</v>
      </c>
    </row>
    <row r="788" spans="1:12" ht="12.75" hidden="1">
      <c r="A788" s="167" t="str">
        <f>'030523 INVENTARIO'!A788</f>
        <v>0787</v>
      </c>
      <c r="B788" s="168" t="str">
        <f>'030523 INVENTARIO'!T788</f>
        <v>82DH0511010017000649744</v>
      </c>
      <c r="C788" s="167" t="str">
        <f t="shared" si="0"/>
        <v>649744</v>
      </c>
      <c r="D788" s="167" t="str">
        <f>IF(VLOOKUP(C788,'Patrimonio 2023'!$C$2:$C$1128,1,FALSE) = C788, "Encontrado", "no")</f>
        <v>Encontrado</v>
      </c>
      <c r="E788" s="167" t="str">
        <f>VLOOKUP($A788,'030523 INVENTARIO'!$A$2:$Y$1148,5,FALSE)</f>
        <v>SILLA</v>
      </c>
      <c r="F788" s="168" t="str">
        <f>VLOOKUP($A788,'030523 INVENTARIO'!$A$2:$Y$1148,6,FALSE)</f>
        <v>SILLA NEGRA CON RUEDAS</v>
      </c>
      <c r="G788" s="167" t="str">
        <f ca="1">VLOOKUP($A788,'030523 INVENTARIO'!$A$2:$Y$1148,8,FALSE)</f>
        <v>P24CS-0787</v>
      </c>
      <c r="H788" s="168" t="str">
        <f>VLOOKUP($A788,'030523 INVENTARIO'!$A$2:$Y$1148,17,FALSE)</f>
        <v>S/M</v>
      </c>
      <c r="I788" s="167" t="str">
        <f>VLOOKUP($A788,'030523 INVENTARIO'!$A$2:$Y$1148,18,FALSE)</f>
        <v>S/M</v>
      </c>
      <c r="J788" s="168" t="str">
        <f>VLOOKUP($A788,'030523 INVENTARIO'!$A$2:$Y$1148,19,FALSE)</f>
        <v>SIN SERIE</v>
      </c>
      <c r="K788" s="168" t="str">
        <f>VLOOKUP($A788,'030523 INVENTARIO'!$A$2:$Y$1148,20,FALSE)</f>
        <v>82DH0511010017000649744</v>
      </c>
      <c r="L788" s="167" t="str">
        <f>VLOOKUP($A788,'030523 INVENTARIO'!$A$2:$Y$1148,23,FALSE)</f>
        <v>MARIA MAGDALENA GUTIERREZ ALTAMIRANO</v>
      </c>
    </row>
    <row r="789" spans="1:12" ht="12.75" hidden="1">
      <c r="A789" s="167" t="str">
        <f>'030523 INVENTARIO'!A789</f>
        <v>0788</v>
      </c>
      <c r="B789" s="168" t="str">
        <f>'030523 INVENTARIO'!T789</f>
        <v>82DJ0529030005000649756</v>
      </c>
      <c r="C789" s="167" t="str">
        <f t="shared" si="0"/>
        <v>649756</v>
      </c>
      <c r="D789" s="167" t="str">
        <f>IF(VLOOKUP(C789,'Patrimonio 2023'!$C$2:$C$1128,1,FALSE) = C789, "Encontrado", "no")</f>
        <v>Encontrado</v>
      </c>
      <c r="E789" s="167" t="str">
        <f>VLOOKUP($A789,'030523 INVENTARIO'!$A$2:$Y$1148,5,FALSE)</f>
        <v>PIZARRON</v>
      </c>
      <c r="F789" s="167" t="str">
        <f>VLOOKUP($A789,'030523 INVENTARIO'!$A$2:$Y$1148,6,FALSE)</f>
        <v>PIZARRON DE CORCHO 90X60</v>
      </c>
      <c r="G789" s="167" t="str">
        <f ca="1">VLOOKUP($A789,'030523 INVENTARIO'!$A$2:$Y$1148,8,FALSE)</f>
        <v>P24CA-0788</v>
      </c>
      <c r="H789" s="168" t="str">
        <f>VLOOKUP($A789,'030523 INVENTARIO'!$A$2:$Y$1148,17,FALSE)</f>
        <v>S/M</v>
      </c>
      <c r="I789" s="167" t="str">
        <f>VLOOKUP($A789,'030523 INVENTARIO'!$A$2:$Y$1148,18,FALSE)</f>
        <v>S/M</v>
      </c>
      <c r="J789" s="168" t="str">
        <f>VLOOKUP($A789,'030523 INVENTARIO'!$A$2:$Y$1148,19,FALSE)</f>
        <v>SIN SERIE</v>
      </c>
      <c r="K789" s="168" t="str">
        <f>VLOOKUP($A789,'030523 INVENTARIO'!$A$2:$Y$1148,20,FALSE)</f>
        <v>82DJ0529030005000649756</v>
      </c>
      <c r="L789" s="167" t="str">
        <f>VLOOKUP($A789,'030523 INVENTARIO'!$A$2:$Y$1148,23,FALSE)</f>
        <v>EDUARDO PINEDA ALMANZA</v>
      </c>
    </row>
    <row r="790" spans="1:12" ht="12.75" hidden="1">
      <c r="A790" s="167" t="str">
        <f>'030523 INVENTARIO'!A790</f>
        <v>0789</v>
      </c>
      <c r="B790" s="168" t="str">
        <f>'030523 INVENTARIO'!T790</f>
        <v>82DJ0511010001000518545</v>
      </c>
      <c r="C790" s="167" t="str">
        <f t="shared" si="0"/>
        <v>518545</v>
      </c>
      <c r="D790" s="167" t="str">
        <f>IF(VLOOKUP(C790,'Patrimonio 2023'!$C$2:$C$1128,1,FALSE) = C790, "Encontrado", "no")</f>
        <v>Encontrado</v>
      </c>
      <c r="E790" s="167" t="str">
        <f>VLOOKUP($A790,'030523 INVENTARIO'!$A$2:$Y$1148,5,FALSE)</f>
        <v>ARCHIVERO</v>
      </c>
      <c r="F790" s="167" t="str">
        <f>VLOOKUP($A790,'030523 INVENTARIO'!$A$2:$Y$1148,6,FALSE)</f>
        <v>ARCHIVERO GRIS DE METAL CON 4 CAJONES 143X46X62</v>
      </c>
      <c r="G790" s="167" t="str">
        <f ca="1">VLOOKUP($A790,'030523 INVENTARIO'!$A$2:$Y$1148,8,FALSE)</f>
        <v>P24CA-0789</v>
      </c>
      <c r="H790" s="168" t="str">
        <f>VLOOKUP($A790,'030523 INVENTARIO'!$A$2:$Y$1148,17,FALSE)</f>
        <v>S/M</v>
      </c>
      <c r="I790" s="167" t="str">
        <f>VLOOKUP($A790,'030523 INVENTARIO'!$A$2:$Y$1148,18,FALSE)</f>
        <v>S/M</v>
      </c>
      <c r="J790" s="168" t="str">
        <f>VLOOKUP($A790,'030523 INVENTARIO'!$A$2:$Y$1148,19,FALSE)</f>
        <v>SIN SERIE</v>
      </c>
      <c r="K790" s="168" t="str">
        <f>VLOOKUP($A790,'030523 INVENTARIO'!$A$2:$Y$1148,20,FALSE)</f>
        <v>82DJ0511010001000518545</v>
      </c>
      <c r="L790" s="167" t="str">
        <f>VLOOKUP($A790,'030523 INVENTARIO'!$A$2:$Y$1148,23,FALSE)</f>
        <v>EDUARDO PINEDA ALMANZA</v>
      </c>
    </row>
    <row r="791" spans="1:12" ht="12.75" hidden="1">
      <c r="A791" s="167" t="str">
        <f>'030523 INVENTARIO'!A791</f>
        <v>0790</v>
      </c>
      <c r="B791" s="168" t="str">
        <f>'030523 INVENTARIO'!T791</f>
        <v>82DJ0511010008000649753</v>
      </c>
      <c r="C791" s="167" t="str">
        <f t="shared" si="0"/>
        <v>649753</v>
      </c>
      <c r="D791" s="167" t="str">
        <f>IF(VLOOKUP(C791,'Patrimonio 2023'!$C$2:$C$1128,1,FALSE) = C791, "Encontrado", "no")</f>
        <v>Encontrado</v>
      </c>
      <c r="E791" s="167" t="str">
        <f>VLOOKUP($A791,'030523 INVENTARIO'!$A$2:$Y$1148,5,FALSE)</f>
        <v>LIBRERO</v>
      </c>
      <c r="F791" s="167" t="str">
        <f>VLOOKUP($A791,'030523 INVENTARIO'!$A$2:$Y$1148,6,FALSE)</f>
        <v>LIBRERO DE MADERA 244X121X40</v>
      </c>
      <c r="G791" s="167" t="str">
        <f ca="1">VLOOKUP($A791,'030523 INVENTARIO'!$A$2:$Y$1148,8,FALSE)</f>
        <v>P24CA-0790</v>
      </c>
      <c r="H791" s="168" t="str">
        <f>VLOOKUP($A791,'030523 INVENTARIO'!$A$2:$Y$1148,17,FALSE)</f>
        <v>S/M</v>
      </c>
      <c r="I791" s="167" t="str">
        <f>VLOOKUP($A791,'030523 INVENTARIO'!$A$2:$Y$1148,18,FALSE)</f>
        <v>S/M</v>
      </c>
      <c r="J791" s="168" t="str">
        <f>VLOOKUP($A791,'030523 INVENTARIO'!$A$2:$Y$1148,19,FALSE)</f>
        <v>SIN SERIE</v>
      </c>
      <c r="K791" s="168" t="str">
        <f>VLOOKUP($A791,'030523 INVENTARIO'!$A$2:$Y$1148,20,FALSE)</f>
        <v>82DJ0511010008000649753</v>
      </c>
      <c r="L791" s="167" t="str">
        <f>VLOOKUP($A791,'030523 INVENTARIO'!$A$2:$Y$1148,23,FALSE)</f>
        <v>EDUARDO PINEDA ALMANZA</v>
      </c>
    </row>
    <row r="792" spans="1:12" ht="12.75" hidden="1">
      <c r="A792" s="167" t="str">
        <f>'030523 INVENTARIO'!A792</f>
        <v>0791</v>
      </c>
      <c r="B792" s="168" t="str">
        <f>'030523 INVENTARIO'!T792</f>
        <v>82DJ0531010065000564782</v>
      </c>
      <c r="C792" s="167" t="str">
        <f t="shared" si="0"/>
        <v>564782</v>
      </c>
      <c r="D792" s="167" t="str">
        <f>IF(VLOOKUP(C792,'Patrimonio 2023'!$C$2:$C$1128,1,FALSE) = C792, "Encontrado", "no")</f>
        <v>Encontrado</v>
      </c>
      <c r="E792" s="167" t="str">
        <f>VLOOKUP($A792,'030523 INVENTARIO'!$A$2:$Y$1148,5,FALSE)</f>
        <v>MESA</v>
      </c>
      <c r="F792" s="167" t="str">
        <f>VLOOKUP($A792,'030523 INVENTARIO'!$A$2:$Y$1148,6,FALSE)</f>
        <v>MESA/TABLON BLANCO PLEGABLE 244X76</v>
      </c>
      <c r="G792" s="167" t="str">
        <f ca="1">VLOOKUP($A792,'030523 INVENTARIO'!$A$2:$Y$1148,8,FALSE)</f>
        <v>P24CA-0791</v>
      </c>
      <c r="H792" s="168" t="str">
        <f>VLOOKUP($A792,'030523 INVENTARIO'!$A$2:$Y$1148,17,FALSE)</f>
        <v>S/M</v>
      </c>
      <c r="I792" s="167" t="str">
        <f>VLOOKUP($A792,'030523 INVENTARIO'!$A$2:$Y$1148,18,FALSE)</f>
        <v>S/M</v>
      </c>
      <c r="J792" s="168" t="str">
        <f>VLOOKUP($A792,'030523 INVENTARIO'!$A$2:$Y$1148,19,FALSE)</f>
        <v>SIN SERIE</v>
      </c>
      <c r="K792" s="168" t="str">
        <f>VLOOKUP($A792,'030523 INVENTARIO'!$A$2:$Y$1148,20,FALSE)</f>
        <v>82DJ0531010065000564782</v>
      </c>
      <c r="L792" s="167" t="str">
        <f>VLOOKUP($A792,'030523 INVENTARIO'!$A$2:$Y$1148,23,FALSE)</f>
        <v>EDUARDO PINEDA ALMANZA</v>
      </c>
    </row>
    <row r="793" spans="1:12" ht="12.75" hidden="1">
      <c r="A793" s="167" t="str">
        <f>'030523 INVENTARIO'!A793</f>
        <v>0792</v>
      </c>
      <c r="B793" s="168" t="str">
        <f>'030523 INVENTARIO'!T793</f>
        <v>82DJ0531010065000580347</v>
      </c>
      <c r="C793" s="167" t="str">
        <f t="shared" si="0"/>
        <v>580347</v>
      </c>
      <c r="D793" s="167" t="str">
        <f>IF(VLOOKUP(C793,'Patrimonio 2023'!$C$2:$C$1128,1,FALSE) = C793, "Encontrado", "no")</f>
        <v>Encontrado</v>
      </c>
      <c r="E793" s="167" t="str">
        <f>VLOOKUP($A793,'030523 INVENTARIO'!$A$2:$Y$1148,5,FALSE)</f>
        <v>MESA</v>
      </c>
      <c r="F793" s="167" t="str">
        <f>VLOOKUP($A793,'030523 INVENTARIO'!$A$2:$Y$1148,6,FALSE)</f>
        <v>MESA/TABLON BLANCO PLEGABLE 244X76</v>
      </c>
      <c r="G793" s="167" t="str">
        <f ca="1">VLOOKUP($A793,'030523 INVENTARIO'!$A$2:$Y$1148,8,FALSE)</f>
        <v>P24CA-0792</v>
      </c>
      <c r="H793" s="168" t="str">
        <f>VLOOKUP($A793,'030523 INVENTARIO'!$A$2:$Y$1148,17,FALSE)</f>
        <v>S/M</v>
      </c>
      <c r="I793" s="167" t="str">
        <f>VLOOKUP($A793,'030523 INVENTARIO'!$A$2:$Y$1148,18,FALSE)</f>
        <v>S/M</v>
      </c>
      <c r="J793" s="168" t="str">
        <f>VLOOKUP($A793,'030523 INVENTARIO'!$A$2:$Y$1148,19,FALSE)</f>
        <v>SIN SERIE</v>
      </c>
      <c r="K793" s="168" t="str">
        <f>VLOOKUP($A793,'030523 INVENTARIO'!$A$2:$Y$1148,20,FALSE)</f>
        <v>82DJ0531010065000580347</v>
      </c>
      <c r="L793" s="167" t="str">
        <f>VLOOKUP($A793,'030523 INVENTARIO'!$A$2:$Y$1148,23,FALSE)</f>
        <v>EDUARDO PINEDA ALMANZA</v>
      </c>
    </row>
    <row r="794" spans="1:12" ht="12.75" hidden="1">
      <c r="A794" s="167" t="str">
        <f>'030523 INVENTARIO'!A794</f>
        <v>0793</v>
      </c>
      <c r="B794" s="167" t="str">
        <f>'030523 INVENTARIO'!T794</f>
        <v>SIN RESGUARDO</v>
      </c>
      <c r="C794" s="167" t="str">
        <f t="shared" si="0"/>
        <v/>
      </c>
      <c r="D794" s="167" t="e">
        <f>IF(VLOOKUP(C794,'Patrimonio 2023'!$C$2:$C$1128,1,FALSE) = C794, "Encontrado", "no")</f>
        <v>#N/A</v>
      </c>
      <c r="E794" s="167" t="str">
        <f>VLOOKUP($A794,'030523 INVENTARIO'!$A$2:$Y$1148,5,FALSE)</f>
        <v>VENTILADOR</v>
      </c>
      <c r="F794" s="167" t="str">
        <f>VLOOKUP($A794,'030523 INVENTARIO'!$A$2:$Y$1148,6,FALSE)</f>
        <v>VENTILADOR DE PARED NEGRO</v>
      </c>
      <c r="G794" s="167" t="str">
        <f ca="1">VLOOKUP($A794,'030523 INVENTARIO'!$A$2:$Y$1148,8,FALSE)</f>
        <v>P05RM-0793</v>
      </c>
      <c r="H794" s="168" t="str">
        <f>VLOOKUP($A794,'030523 INVENTARIO'!$A$2:$Y$1148,17,FALSE)</f>
        <v>HUDSON</v>
      </c>
      <c r="I794" s="167" t="str">
        <f>VLOOKUP($A794,'030523 INVENTARIO'!$A$2:$Y$1148,18,FALSE)</f>
        <v>FW-45-826R</v>
      </c>
      <c r="J794" s="167" t="str">
        <f>VLOOKUP($A794,'030523 INVENTARIO'!$A$2:$Y$1148,19,FALSE)</f>
        <v>SIN SERIE</v>
      </c>
      <c r="K794" s="167" t="str">
        <f>VLOOKUP($A794,'030523 INVENTARIO'!$A$2:$Y$1148,20,FALSE)</f>
        <v>SIN RESGUARDO</v>
      </c>
      <c r="L794" s="167" t="str">
        <f>VLOOKUP($A794,'030523 INVENTARIO'!$A$2:$Y$1148,23,FALSE)</f>
        <v>BLANCA ELIZABETH ALCANTAR GUERRERO</v>
      </c>
    </row>
    <row r="795" spans="1:12" ht="12.75" hidden="1">
      <c r="A795" s="167" t="str">
        <f>'030523 INVENTARIO'!A795</f>
        <v>0794</v>
      </c>
      <c r="B795" s="168" t="str">
        <f>'030523 INVENTARIO'!T795</f>
        <v>82DJ0511010009000518512</v>
      </c>
      <c r="C795" s="167" t="str">
        <f t="shared" si="0"/>
        <v>518512</v>
      </c>
      <c r="D795" s="167" t="str">
        <f>IF(VLOOKUP(C795,'Patrimonio 2023'!$C$2:$C$1128,1,FALSE) = C795, "Encontrado", "no")</f>
        <v>Encontrado</v>
      </c>
      <c r="E795" s="167" t="str">
        <f>VLOOKUP($A795,'030523 INVENTARIO'!$A$2:$Y$1148,5,FALSE)</f>
        <v>ESTANTE O ANAQUEL</v>
      </c>
      <c r="F795" s="168" t="str">
        <f>VLOOKUP($A795,'030523 INVENTARIO'!$A$2:$Y$1148,6,FALSE)</f>
        <v>ANAQUEL BLANCO DE 2 PUERTAS</v>
      </c>
      <c r="G795" s="167" t="str">
        <f ca="1">VLOOKUP($A795,'030523 INVENTARIO'!$A$2:$Y$1148,8,FALSE)</f>
        <v>P24CA-0794</v>
      </c>
      <c r="H795" s="168" t="str">
        <f>VLOOKUP($A795,'030523 INVENTARIO'!$A$2:$Y$1148,17,FALSE)</f>
        <v>S/M</v>
      </c>
      <c r="I795" s="167" t="str">
        <f>VLOOKUP($A795,'030523 INVENTARIO'!$A$2:$Y$1148,18,FALSE)</f>
        <v>S/M</v>
      </c>
      <c r="J795" s="168" t="str">
        <f>VLOOKUP($A795,'030523 INVENTARIO'!$A$2:$Y$1148,19,FALSE)</f>
        <v>SIN SERIE</v>
      </c>
      <c r="K795" s="168" t="str">
        <f>VLOOKUP($A795,'030523 INVENTARIO'!$A$2:$Y$1148,20,FALSE)</f>
        <v>82DJ0511010009000518512</v>
      </c>
      <c r="L795" s="167" t="str">
        <f>VLOOKUP($A795,'030523 INVENTARIO'!$A$2:$Y$1148,23,FALSE)</f>
        <v>EDUARDO PINEDA ALMANZA</v>
      </c>
    </row>
    <row r="796" spans="1:12" ht="12.75" hidden="1">
      <c r="A796" s="167" t="str">
        <f>'030523 INVENTARIO'!A796</f>
        <v>0795</v>
      </c>
      <c r="B796" s="168" t="str">
        <f>'030523 INVENTARIO'!T796</f>
        <v>82DJ0511010017000564035</v>
      </c>
      <c r="C796" s="167" t="str">
        <f t="shared" si="0"/>
        <v>564035</v>
      </c>
      <c r="D796" s="167" t="str">
        <f>IF(VLOOKUP(C796,'Patrimonio 2023'!$C$2:$C$1128,1,FALSE) = C796, "Encontrado", "no")</f>
        <v>Encontrado</v>
      </c>
      <c r="E796" s="167" t="str">
        <f>VLOOKUP($A796,'030523 INVENTARIO'!$A$2:$Y$1148,5,FALSE)</f>
        <v>SILLA</v>
      </c>
      <c r="F796" s="167" t="str">
        <f>VLOOKUP($A796,'030523 INVENTARIO'!$A$2:$Y$1148,6,FALSE)</f>
        <v>SILLA NEGRA DE TELA FIJA</v>
      </c>
      <c r="G796" s="167" t="str">
        <f ca="1">VLOOKUP($A796,'030523 INVENTARIO'!$A$2:$Y$1148,8,FALSE)</f>
        <v>P24CA-0795</v>
      </c>
      <c r="H796" s="168" t="str">
        <f>VLOOKUP($A796,'030523 INVENTARIO'!$A$2:$Y$1148,17,FALSE)</f>
        <v>S/M</v>
      </c>
      <c r="I796" s="167" t="str">
        <f>VLOOKUP($A796,'030523 INVENTARIO'!$A$2:$Y$1148,18,FALSE)</f>
        <v>S/M</v>
      </c>
      <c r="J796" s="168" t="str">
        <f>VLOOKUP($A796,'030523 INVENTARIO'!$A$2:$Y$1148,19,FALSE)</f>
        <v>SIN SERIE</v>
      </c>
      <c r="K796" s="168" t="str">
        <f>VLOOKUP($A796,'030523 INVENTARIO'!$A$2:$Y$1148,20,FALSE)</f>
        <v>82DJ0511010017000564035</v>
      </c>
      <c r="L796" s="167" t="str">
        <f>VLOOKUP($A796,'030523 INVENTARIO'!$A$2:$Y$1148,23,FALSE)</f>
        <v>EDUARDO PINEDA ALMANZA</v>
      </c>
    </row>
    <row r="797" spans="1:12" ht="12.75" hidden="1">
      <c r="A797" s="167" t="str">
        <f>'030523 INVENTARIO'!A797</f>
        <v>0796</v>
      </c>
      <c r="B797" s="168" t="str">
        <f>'030523 INVENTARIO'!T797</f>
        <v>82DH0511010017000518516</v>
      </c>
      <c r="C797" s="167" t="str">
        <f t="shared" si="0"/>
        <v>518516</v>
      </c>
      <c r="D797" s="167" t="str">
        <f>IF(VLOOKUP(C797,'Patrimonio 2023'!$C$2:$C$1128,1,FALSE) = C797, "Encontrado", "no")</f>
        <v>Encontrado</v>
      </c>
      <c r="E797" s="167" t="str">
        <f>VLOOKUP($A797,'030523 INVENTARIO'!$A$2:$Y$1148,5,FALSE)</f>
        <v>SILLA</v>
      </c>
      <c r="F797" s="167" t="str">
        <f>VLOOKUP($A797,'030523 INVENTARIO'!$A$2:$Y$1148,6,FALSE)</f>
        <v>SILLA NEGRA DE TELA FIJA</v>
      </c>
      <c r="G797" s="167" t="str">
        <f ca="1">VLOOKUP($A797,'030523 INVENTARIO'!$A$2:$Y$1148,8,FALSE)</f>
        <v>P24CA-0796</v>
      </c>
      <c r="H797" s="168" t="str">
        <f>VLOOKUP($A797,'030523 INVENTARIO'!$A$2:$Y$1148,17,FALSE)</f>
        <v>S/M</v>
      </c>
      <c r="I797" s="167" t="str">
        <f>VLOOKUP($A797,'030523 INVENTARIO'!$A$2:$Y$1148,18,FALSE)</f>
        <v>S/M</v>
      </c>
      <c r="J797" s="168" t="str">
        <f>VLOOKUP($A797,'030523 INVENTARIO'!$A$2:$Y$1148,19,FALSE)</f>
        <v>SIN SERIE</v>
      </c>
      <c r="K797" s="168" t="str">
        <f>VLOOKUP($A797,'030523 INVENTARIO'!$A$2:$Y$1148,20,FALSE)</f>
        <v>82DH0511010017000518516</v>
      </c>
      <c r="L797" s="167" t="str">
        <f>VLOOKUP($A797,'030523 INVENTARIO'!$A$2:$Y$1148,23,FALSE)</f>
        <v>EDUARDO PINEDA ALMANZA</v>
      </c>
    </row>
    <row r="798" spans="1:12" ht="12.75" hidden="1">
      <c r="A798" s="167" t="str">
        <f>'030523 INVENTARIO'!A798</f>
        <v>0797</v>
      </c>
      <c r="B798" s="168" t="str">
        <f>'030523 INVENTARIO'!T798</f>
        <v>82DJ0511010017000564036</v>
      </c>
      <c r="C798" s="167" t="str">
        <f t="shared" si="0"/>
        <v>564036</v>
      </c>
      <c r="D798" s="167" t="str">
        <f>IF(VLOOKUP(C798,'Patrimonio 2023'!$C$2:$C$1128,1,FALSE) = C798, "Encontrado", "no")</f>
        <v>Encontrado</v>
      </c>
      <c r="E798" s="167" t="str">
        <f>VLOOKUP($A798,'030523 INVENTARIO'!$A$2:$Y$1148,5,FALSE)</f>
        <v>SILLA</v>
      </c>
      <c r="F798" s="167" t="str">
        <f>VLOOKUP($A798,'030523 INVENTARIO'!$A$2:$Y$1148,6,FALSE)</f>
        <v>SILLLA CAFÉ DE TELA FIJA</v>
      </c>
      <c r="G798" s="167" t="str">
        <f ca="1">VLOOKUP($A798,'030523 INVENTARIO'!$A$2:$Y$1148,8,FALSE)</f>
        <v>P24CA-0797</v>
      </c>
      <c r="H798" s="168" t="str">
        <f>VLOOKUP($A798,'030523 INVENTARIO'!$A$2:$Y$1148,17,FALSE)</f>
        <v>S/M</v>
      </c>
      <c r="I798" s="167" t="str">
        <f>VLOOKUP($A798,'030523 INVENTARIO'!$A$2:$Y$1148,18,FALSE)</f>
        <v>S/M</v>
      </c>
      <c r="J798" s="168" t="str">
        <f>VLOOKUP($A798,'030523 INVENTARIO'!$A$2:$Y$1148,19,FALSE)</f>
        <v>SIN SERIE</v>
      </c>
      <c r="K798" s="168" t="str">
        <f>VLOOKUP($A798,'030523 INVENTARIO'!$A$2:$Y$1148,20,FALSE)</f>
        <v>82DJ0511010017000564036</v>
      </c>
      <c r="L798" s="167" t="str">
        <f>VLOOKUP($A798,'030523 INVENTARIO'!$A$2:$Y$1148,23,FALSE)</f>
        <v>EDUARDO PINEDA ALMANZA</v>
      </c>
    </row>
    <row r="799" spans="1:12" ht="12.75" hidden="1">
      <c r="A799" s="167" t="str">
        <f>'030523 INVENTARIO'!A799</f>
        <v>0798</v>
      </c>
      <c r="B799" s="168" t="str">
        <f>'030523 INVENTARIO'!T799</f>
        <v>82DJ0511010006000583439</v>
      </c>
      <c r="C799" s="167" t="str">
        <f t="shared" si="0"/>
        <v>583439</v>
      </c>
      <c r="D799" s="167" t="str">
        <f>IF(VLOOKUP(C799,'Patrimonio 2023'!$C$2:$C$1128,1,FALSE) = C799, "Encontrado", "no")</f>
        <v>Encontrado</v>
      </c>
      <c r="E799" s="167" t="str">
        <f>VLOOKUP($A799,'030523 INVENTARIO'!$A$2:$Y$1148,5,FALSE)</f>
        <v>ESCRITORIO</v>
      </c>
      <c r="F799" s="168" t="str">
        <f>VLOOKUP($A799,'030523 INVENTARIO'!$A$2:$Y$1148,6,FALSE)</f>
        <v>ESCRITORIO MADERA CAFÉ</v>
      </c>
      <c r="G799" s="167" t="str">
        <f ca="1">VLOOKUP($A799,'030523 INVENTARIO'!$A$2:$Y$1148,8,FALSE)</f>
        <v>P24CA-0798</v>
      </c>
      <c r="H799" s="168" t="str">
        <f>VLOOKUP($A799,'030523 INVENTARIO'!$A$2:$Y$1148,17,FALSE)</f>
        <v>S/M</v>
      </c>
      <c r="I799" s="167" t="str">
        <f>VLOOKUP($A799,'030523 INVENTARIO'!$A$2:$Y$1148,18,FALSE)</f>
        <v>S/M</v>
      </c>
      <c r="J799" s="168" t="str">
        <f>VLOOKUP($A799,'030523 INVENTARIO'!$A$2:$Y$1148,19,FALSE)</f>
        <v>SIN SERIE</v>
      </c>
      <c r="K799" s="168" t="str">
        <f>VLOOKUP($A799,'030523 INVENTARIO'!$A$2:$Y$1148,20,FALSE)</f>
        <v>82DJ0511010006000583439</v>
      </c>
      <c r="L799" s="167" t="str">
        <f>VLOOKUP($A799,'030523 INVENTARIO'!$A$2:$Y$1148,23,FALSE)</f>
        <v>EDUARDO PINEDA ALMANZA</v>
      </c>
    </row>
    <row r="800" spans="1:12" ht="12.75" hidden="1">
      <c r="A800" s="167" t="str">
        <f>'030523 INVENTARIO'!A800</f>
        <v>0799</v>
      </c>
      <c r="B800" s="168" t="str">
        <f>'030523 INVENTARIO'!T800</f>
        <v>82DJ0511010005000649755</v>
      </c>
      <c r="C800" s="167" t="str">
        <f t="shared" si="0"/>
        <v>649755</v>
      </c>
      <c r="D800" s="167" t="str">
        <f>IF(VLOOKUP(C800,'Patrimonio 2023'!$C$2:$C$1128,1,FALSE) = C800, "Encontrado", "no")</f>
        <v>Encontrado</v>
      </c>
      <c r="E800" s="167" t="str">
        <f>VLOOKUP($A800,'030523 INVENTARIO'!$A$2:$Y$1148,5,FALSE)</f>
        <v>CREDENZA</v>
      </c>
      <c r="F800" s="168" t="str">
        <f>VLOOKUP($A800,'030523 INVENTARIO'!$A$2:$Y$1148,6,FALSE)</f>
        <v>CREDENZA</v>
      </c>
      <c r="G800" s="167" t="str">
        <f ca="1">VLOOKUP($A800,'030523 INVENTARIO'!$A$2:$Y$1148,8,FALSE)</f>
        <v>P24CA-0799</v>
      </c>
      <c r="H800" s="168" t="str">
        <f>VLOOKUP($A800,'030523 INVENTARIO'!$A$2:$Y$1148,17,FALSE)</f>
        <v>S/M</v>
      </c>
      <c r="I800" s="167" t="str">
        <f>VLOOKUP($A800,'030523 INVENTARIO'!$A$2:$Y$1148,18,FALSE)</f>
        <v>S/M</v>
      </c>
      <c r="J800" s="168" t="str">
        <f>VLOOKUP($A800,'030523 INVENTARIO'!$A$2:$Y$1148,19,FALSE)</f>
        <v>CADPEUI0040</v>
      </c>
      <c r="K800" s="168" t="str">
        <f>VLOOKUP($A800,'030523 INVENTARIO'!$A$2:$Y$1148,20,FALSE)</f>
        <v>82DJ0511010005000649755</v>
      </c>
      <c r="L800" s="167" t="str">
        <f>VLOOKUP($A800,'030523 INVENTARIO'!$A$2:$Y$1148,23,FALSE)</f>
        <v>EDUARDO PINEDA ALMANZA</v>
      </c>
    </row>
    <row r="801" spans="1:12" ht="12.75" hidden="1">
      <c r="A801" s="167" t="str">
        <f>'030523 INVENTARIO'!A801</f>
        <v>0800</v>
      </c>
      <c r="B801" s="168" t="str">
        <f>'030523 INVENTARIO'!T801</f>
        <v>82DJ0511010029000649760</v>
      </c>
      <c r="C801" s="167" t="str">
        <f t="shared" si="0"/>
        <v>649760</v>
      </c>
      <c r="D801" s="167" t="str">
        <f>IF(VLOOKUP(C801,'Patrimonio 2023'!$C$2:$C$1128,1,FALSE) = C801, "Encontrado", "no")</f>
        <v>Encontrado</v>
      </c>
      <c r="E801" s="167" t="str">
        <f>VLOOKUP($A801,'030523 INVENTARIO'!$A$2:$Y$1148,5,FALSE)</f>
        <v>ESCRITORIO</v>
      </c>
      <c r="F801" s="168" t="str">
        <f>VLOOKUP($A801,'030523 INVENTARIO'!$A$2:$Y$1148,6,FALSE)</f>
        <v>MODULO DE MADERA CAFÉ</v>
      </c>
      <c r="G801" s="167" t="str">
        <f ca="1">VLOOKUP($A801,'030523 INVENTARIO'!$A$2:$Y$1148,8,FALSE)</f>
        <v>P24CA-0800</v>
      </c>
      <c r="H801" s="168" t="str">
        <f>VLOOKUP($A801,'030523 INVENTARIO'!$A$2:$Y$1148,17,FALSE)</f>
        <v>S/M</v>
      </c>
      <c r="I801" s="167" t="str">
        <f>VLOOKUP($A801,'030523 INVENTARIO'!$A$2:$Y$1148,18,FALSE)</f>
        <v>S/M</v>
      </c>
      <c r="J801" s="168" t="str">
        <f>VLOOKUP($A801,'030523 INVENTARIO'!$A$2:$Y$1148,19,FALSE)</f>
        <v>SIN SERIE</v>
      </c>
      <c r="K801" s="168" t="str">
        <f>VLOOKUP($A801,'030523 INVENTARIO'!$A$2:$Y$1148,20,FALSE)</f>
        <v>82DJ0511010029000649760</v>
      </c>
      <c r="L801" s="167" t="str">
        <f>VLOOKUP($A801,'030523 INVENTARIO'!$A$2:$Y$1148,23,FALSE)</f>
        <v>EDUARDO PINEDA ALMANZA</v>
      </c>
    </row>
    <row r="802" spans="1:12" ht="12.75" hidden="1">
      <c r="A802" s="167" t="str">
        <f>'030523 INVENTARIO'!A802</f>
        <v>0801</v>
      </c>
      <c r="B802" s="168" t="str">
        <f>'030523 INVENTARIO'!T802</f>
        <v>82DJ0512010011000515291</v>
      </c>
      <c r="C802" s="167" t="str">
        <f t="shared" si="0"/>
        <v>515291</v>
      </c>
      <c r="D802" s="167" t="str">
        <f>IF(VLOOKUP(C802,'Patrimonio 2023'!$C$2:$C$1128,1,FALSE) = C802, "Encontrado", "no")</f>
        <v>Encontrado</v>
      </c>
      <c r="E802" s="167" t="str">
        <f>VLOOKUP($A802,'030523 INVENTARIO'!$A$2:$Y$1148,5,FALSE)</f>
        <v>ESCRITORIO</v>
      </c>
      <c r="F802" s="168" t="str">
        <f>VLOOKUP($A802,'030523 INVENTARIO'!$A$2:$Y$1148,6,FALSE)</f>
        <v>ESCRITORIO DE MADERA COMPLEMENTO</v>
      </c>
      <c r="G802" s="167" t="str">
        <f ca="1">VLOOKUP($A802,'030523 INVENTARIO'!$A$2:$Y$1148,8,FALSE)</f>
        <v>P24CA-0801</v>
      </c>
      <c r="H802" s="168" t="str">
        <f>VLOOKUP($A802,'030523 INVENTARIO'!$A$2:$Y$1148,17,FALSE)</f>
        <v>S/M</v>
      </c>
      <c r="I802" s="167" t="str">
        <f>VLOOKUP($A802,'030523 INVENTARIO'!$A$2:$Y$1148,18,FALSE)</f>
        <v>S/M</v>
      </c>
      <c r="J802" s="168" t="str">
        <f>VLOOKUP($A802,'030523 INVENTARIO'!$A$2:$Y$1148,19,FALSE)</f>
        <v>SIN SERIE</v>
      </c>
      <c r="K802" s="168" t="str">
        <f>VLOOKUP($A802,'030523 INVENTARIO'!$A$2:$Y$1148,20,FALSE)</f>
        <v>82DJ0512010011000515291</v>
      </c>
      <c r="L802" s="167" t="str">
        <f>VLOOKUP($A802,'030523 INVENTARIO'!$A$2:$Y$1148,23,FALSE)</f>
        <v>EDUARDO PINEDA ALMANZA</v>
      </c>
    </row>
    <row r="803" spans="1:12" ht="12.75" hidden="1">
      <c r="A803" s="167" t="str">
        <f>'030523 INVENTARIO'!A803</f>
        <v>0802</v>
      </c>
      <c r="B803" s="167" t="str">
        <f>'030523 INVENTARIO'!T803</f>
        <v>82DJ0531010094000535804</v>
      </c>
      <c r="C803" s="167" t="str">
        <f t="shared" si="0"/>
        <v>535804</v>
      </c>
      <c r="D803" s="167" t="str">
        <f>IF(VLOOKUP(C803,'Patrimonio 2023'!$C$2:$C$1128,1,FALSE) = C803, "Encontrado", "no")</f>
        <v>Encontrado</v>
      </c>
      <c r="E803" s="167" t="str">
        <f>VLOOKUP($A803,'030523 INVENTARIO'!$A$2:$Y$1148,5,FALSE)</f>
        <v>VENTILADOR</v>
      </c>
      <c r="F803" s="168" t="str">
        <f>VLOOKUP($A803,'030523 INVENTARIO'!$A$2:$Y$1148,6,FALSE)</f>
        <v>VENTILADOR BLANCO DE TORRE</v>
      </c>
      <c r="G803" s="167" t="str">
        <f ca="1">VLOOKUP($A803,'030523 INVENTARIO'!$A$2:$Y$1148,8,FALSE)</f>
        <v>P24CA-0802</v>
      </c>
      <c r="H803" s="168" t="str">
        <f>VLOOKUP($A803,'030523 INVENTARIO'!$A$2:$Y$1148,17,FALSE)</f>
        <v>WINDANCE</v>
      </c>
      <c r="I803" s="167" t="str">
        <f>VLOOKUP($A803,'030523 INVENTARIO'!$A$2:$Y$1148,18,FALSE)</f>
        <v>FZ10-9HB</v>
      </c>
      <c r="J803" s="167" t="str">
        <f>VLOOKUP($A803,'030523 INVENTARIO'!$A$2:$Y$1148,19,FALSE)</f>
        <v>SIN SERIE</v>
      </c>
      <c r="K803" s="167" t="str">
        <f>VLOOKUP($A803,'030523 INVENTARIO'!$A$2:$Y$1148,20,FALSE)</f>
        <v>82DJ0531010094000535804</v>
      </c>
      <c r="L803" s="167" t="str">
        <f>VLOOKUP($A803,'030523 INVENTARIO'!$A$2:$Y$1148,23,FALSE)</f>
        <v>EDUARDO PINEDA ALMANZA</v>
      </c>
    </row>
    <row r="804" spans="1:12" ht="12.75" hidden="1">
      <c r="A804" s="167" t="str">
        <f>'030523 INVENTARIO'!A804</f>
        <v>0803</v>
      </c>
      <c r="B804" s="168" t="str">
        <f>'030523 INVENTARIO'!T804</f>
        <v>82DJ0565010001000533070</v>
      </c>
      <c r="C804" s="167" t="str">
        <f t="shared" si="0"/>
        <v>533070</v>
      </c>
      <c r="D804" s="167" t="str">
        <f>IF(VLOOKUP(C804,'Patrimonio 2023'!$C$2:$C$1128,1,FALSE) = C804, "Encontrado", "no")</f>
        <v>Encontrado</v>
      </c>
      <c r="E804" s="167" t="str">
        <f>VLOOKUP($A804,'030523 INVENTARIO'!$A$2:$Y$1148,5,FALSE)</f>
        <v>TELEFONO</v>
      </c>
      <c r="F804" s="168" t="str">
        <f>VLOOKUP($A804,'030523 INVENTARIO'!$A$2:$Y$1148,6,FALSE)</f>
        <v>TELEFONO GRIS</v>
      </c>
      <c r="G804" s="167" t="str">
        <f ca="1">VLOOKUP($A804,'030523 INVENTARIO'!$A$2:$Y$1148,8,FALSE)</f>
        <v>P24CA-0803</v>
      </c>
      <c r="H804" s="168" t="str">
        <f>VLOOKUP($A804,'030523 INVENTARIO'!$A$2:$Y$1148,17,FALSE)</f>
        <v>LINKSYS</v>
      </c>
      <c r="I804" s="167" t="str">
        <f>VLOOKUP($A804,'030523 INVENTARIO'!$A$2:$Y$1148,18,FALSE)</f>
        <v>SPA942</v>
      </c>
      <c r="J804" s="168" t="str">
        <f>VLOOKUP($A804,'030523 INVENTARIO'!$A$2:$Y$1148,19,FALSE)</f>
        <v>4LO00H118292</v>
      </c>
      <c r="K804" s="168" t="str">
        <f>VLOOKUP($A804,'030523 INVENTARIO'!$A$2:$Y$1148,20,FALSE)</f>
        <v>82DJ0565010001000533070</v>
      </c>
      <c r="L804" s="167" t="str">
        <f>VLOOKUP($A804,'030523 INVENTARIO'!$A$2:$Y$1148,23,FALSE)</f>
        <v>EDUARDO PINEDA ALMANZA</v>
      </c>
    </row>
    <row r="805" spans="1:12" ht="12.75" hidden="1">
      <c r="A805" s="167" t="str">
        <f>'030523 INVENTARIO'!A805</f>
        <v>0804</v>
      </c>
      <c r="B805" s="168" t="str">
        <f>'030523 INVENTARIO'!T805</f>
        <v>82DJ0515010016000649427</v>
      </c>
      <c r="C805" s="167" t="str">
        <f t="shared" si="0"/>
        <v>649427</v>
      </c>
      <c r="D805" s="167" t="str">
        <f>IF(VLOOKUP(C805,'Patrimonio 2023'!$C$2:$C$1128,1,FALSE) = C805, "Encontrado", "no")</f>
        <v>Encontrado</v>
      </c>
      <c r="E805" s="167" t="str">
        <f>VLOOKUP($A805,'030523 INVENTARIO'!$A$2:$Y$1148,5,FALSE)</f>
        <v>NO BREAK</v>
      </c>
      <c r="F805" s="168" t="str">
        <f>VLOOKUP($A805,'030523 INVENTARIO'!$A$2:$Y$1148,6,FALSE)</f>
        <v>NO BREAK NEGRO</v>
      </c>
      <c r="G805" s="167" t="str">
        <f ca="1">VLOOKUP($A805,'030523 INVENTARIO'!$A$2:$Y$1148,8,FALSE)</f>
        <v>P24CA-0804</v>
      </c>
      <c r="H805" s="168" t="str">
        <f>VLOOKUP($A805,'030523 INVENTARIO'!$A$2:$Y$1148,17,FALSE)</f>
        <v>FORZA</v>
      </c>
      <c r="I805" s="167" t="str">
        <f>VLOOKUP($A805,'030523 INVENTARIO'!$A$2:$Y$1148,18,FALSE)</f>
        <v>NT751</v>
      </c>
      <c r="J805" s="168" t="str">
        <f>VLOOKUP($A805,'030523 INVENTARIO'!$A$2:$Y$1148,19,FALSE)</f>
        <v>181222505877</v>
      </c>
      <c r="K805" s="168" t="str">
        <f>VLOOKUP($A805,'030523 INVENTARIO'!$A$2:$Y$1148,20,FALSE)</f>
        <v>82DJ0515010016000649427</v>
      </c>
      <c r="L805" s="167" t="str">
        <f>VLOOKUP($A805,'030523 INVENTARIO'!$A$2:$Y$1148,23,FALSE)</f>
        <v>EDUARDO PINEDA ALMANZA</v>
      </c>
    </row>
    <row r="806" spans="1:12" ht="12.75" hidden="1">
      <c r="A806" s="167" t="str">
        <f>'030523 INVENTARIO'!A806</f>
        <v>0805</v>
      </c>
      <c r="B806" s="167" t="str">
        <f>'030523 INVENTARIO'!T806</f>
        <v>82DJ</v>
      </c>
      <c r="C806" s="167" t="str">
        <f t="shared" si="0"/>
        <v/>
      </c>
      <c r="D806" s="167" t="e">
        <f>IF(VLOOKUP(C806,'Patrimonio 2023'!$C$2:$C$1128,1,FALSE) = C806, "Encontrado", "no")</f>
        <v>#N/A</v>
      </c>
      <c r="E806" s="167" t="str">
        <f>VLOOKUP($A806,'030523 INVENTARIO'!$A$2:$Y$1148,5,FALSE)</f>
        <v>COMPUTADORA DE ESCRITORIO</v>
      </c>
      <c r="F806" s="167" t="str">
        <f>VLOOKUP($A806,'030523 INVENTARIO'!$A$2:$Y$1148,6,FALSE)</f>
        <v>COMPUTADORA DE ESCRITORIO</v>
      </c>
      <c r="G806" s="167" t="str">
        <f ca="1">VLOOKUP($A806,'030523 INVENTARIO'!$A$2:$Y$1148,8,FALSE)</f>
        <v>P24CA-0805</v>
      </c>
      <c r="H806" s="168" t="str">
        <f>VLOOKUP($A806,'030523 INVENTARIO'!$A$2:$Y$1148,17,FALSE)</f>
        <v>ACTECK</v>
      </c>
      <c r="I806" s="167" t="str">
        <f>VLOOKUP($A806,'030523 INVENTARIO'!$A$2:$Y$1148,18,FALSE)</f>
        <v>LINX</v>
      </c>
      <c r="J806" s="167">
        <f>VLOOKUP($A806,'030523 INVENTARIO'!$A$2:$Y$1148,19,FALSE)</f>
        <v>11392903014323</v>
      </c>
      <c r="K806" s="167" t="str">
        <f>VLOOKUP($A806,'030523 INVENTARIO'!$A$2:$Y$1148,20,FALSE)</f>
        <v>82DJ</v>
      </c>
      <c r="L806" s="167" t="str">
        <f>VLOOKUP($A806,'030523 INVENTARIO'!$A$2:$Y$1148,23,FALSE)</f>
        <v>EDUARDO PINEDA ALMANZA</v>
      </c>
    </row>
    <row r="807" spans="1:12" ht="12.75" hidden="1">
      <c r="A807" s="167" t="str">
        <f>'030523 INVENTARIO'!A807</f>
        <v>0806</v>
      </c>
      <c r="B807" s="168" t="str">
        <f>'030523 INVENTARIO'!T807</f>
        <v>82DJ0511010016000518499</v>
      </c>
      <c r="C807" s="167" t="str">
        <f t="shared" si="0"/>
        <v>518499</v>
      </c>
      <c r="D807" s="167" t="str">
        <f>IF(VLOOKUP(C807,'Patrimonio 2023'!$C$2:$C$1128,1,FALSE) = C807, "Encontrado", "no")</f>
        <v>Encontrado</v>
      </c>
      <c r="E807" s="167" t="str">
        <f>VLOOKUP($A807,'030523 INVENTARIO'!$A$2:$Y$1148,5,FALSE)</f>
        <v>MONITOR</v>
      </c>
      <c r="F807" s="167" t="str">
        <f>VLOOKUP($A807,'030523 INVENTARIO'!$A$2:$Y$1148,6,FALSE)</f>
        <v>MONITOR 21"</v>
      </c>
      <c r="G807" s="167" t="str">
        <f ca="1">VLOOKUP($A807,'030523 INVENTARIO'!$A$2:$Y$1148,8,FALSE)</f>
        <v>P24CA-0806</v>
      </c>
      <c r="H807" s="168" t="str">
        <f>VLOOKUP($A807,'030523 INVENTARIO'!$A$2:$Y$1148,17,FALSE)</f>
        <v>ACER</v>
      </c>
      <c r="I807" s="167" t="str">
        <f>VLOOKUP($A807,'030523 INVENTARIO'!$A$2:$Y$1148,18,FALSE)</f>
        <v>V226HQL</v>
      </c>
      <c r="J807" s="167" t="str">
        <f>VLOOKUP($A807,'030523 INVENTARIO'!$A$2:$Y$1148,19,FALSE)</f>
        <v>MMTASAA007052059C53P00</v>
      </c>
      <c r="K807" s="168" t="str">
        <f>VLOOKUP($A807,'030523 INVENTARIO'!$A$2:$Y$1148,20,FALSE)</f>
        <v>82DJ0511010016000518499</v>
      </c>
      <c r="L807" s="167" t="str">
        <f>VLOOKUP($A807,'030523 INVENTARIO'!$A$2:$Y$1148,23,FALSE)</f>
        <v>EDUARDO PINEDA ALMANZA</v>
      </c>
    </row>
    <row r="808" spans="1:12" ht="12.75" hidden="1">
      <c r="A808" s="167" t="str">
        <f>'030523 INVENTARIO'!A808</f>
        <v>0807</v>
      </c>
      <c r="B808" s="168" t="str">
        <f>'030523 INVENTARIO'!T808</f>
        <v>SIN RESGUARDO</v>
      </c>
      <c r="C808" s="167" t="str">
        <f t="shared" si="0"/>
        <v/>
      </c>
      <c r="D808" s="167" t="e">
        <f>IF(VLOOKUP(C808,'Patrimonio 2023'!$C$2:$C$1128,1,FALSE) = C808, "Encontrado", "no")</f>
        <v>#N/A</v>
      </c>
      <c r="E808" s="167" t="str">
        <f>VLOOKUP($A808,'030523 INVENTARIO'!$A$2:$Y$1148,5,FALSE)</f>
        <v>SILLON</v>
      </c>
      <c r="F808" s="168" t="str">
        <f>VLOOKUP($A808,'030523 INVENTARIO'!$A$2:$Y$1148,6,FALSE)</f>
        <v>SILLÓN DE PIEL NEGRO CON RUEDAS</v>
      </c>
      <c r="G808" s="167" t="str">
        <f ca="1">VLOOKUP($A808,'030523 INVENTARIO'!$A$2:$Y$1148,8,FALSE)</f>
        <v>P24CA-0807</v>
      </c>
      <c r="H808" s="168" t="str">
        <f>VLOOKUP($A808,'030523 INVENTARIO'!$A$2:$Y$1148,17,FALSE)</f>
        <v>S/M</v>
      </c>
      <c r="I808" s="167" t="str">
        <f>VLOOKUP($A808,'030523 INVENTARIO'!$A$2:$Y$1148,18,FALSE)</f>
        <v>S/M</v>
      </c>
      <c r="J808" s="168" t="str">
        <f>VLOOKUP($A808,'030523 INVENTARIO'!$A$2:$Y$1148,19,FALSE)</f>
        <v>SIN SERIE</v>
      </c>
      <c r="K808" s="168" t="str">
        <f>VLOOKUP($A808,'030523 INVENTARIO'!$A$2:$Y$1148,20,FALSE)</f>
        <v>SIN RESGUARDO</v>
      </c>
      <c r="L808" s="167" t="str">
        <f>VLOOKUP($A808,'030523 INVENTARIO'!$A$2:$Y$1148,23,FALSE)</f>
        <v>EDUARDO PINEDA ALMANZA</v>
      </c>
    </row>
    <row r="809" spans="1:12" ht="12.75" hidden="1">
      <c r="A809" s="167" t="str">
        <f>'030523 INVENTARIO'!A809</f>
        <v>0808</v>
      </c>
      <c r="B809" s="167" t="str">
        <f>'030523 INVENTARIO'!T809</f>
        <v>82DJ0515010002000539849</v>
      </c>
      <c r="C809" s="167" t="str">
        <f t="shared" si="0"/>
        <v>539849</v>
      </c>
      <c r="D809" s="167" t="str">
        <f>IF(VLOOKUP(C809,'Patrimonio 2023'!$C$2:$C$1128,1,FALSE) = C809, "Encontrado", "no")</f>
        <v>Encontrado</v>
      </c>
      <c r="E809" s="167" t="str">
        <f>VLOOKUP($A809,'030523 INVENTARIO'!$A$2:$Y$1148,5,FALSE)</f>
        <v>COMPUTADORA PORTATIL</v>
      </c>
      <c r="F809" s="168" t="str">
        <f>VLOOKUP($A809,'030523 INVENTARIO'!$A$2:$Y$1148,6,FALSE)</f>
        <v>COMPUTADORA PORTATIL</v>
      </c>
      <c r="G809" s="167" t="str">
        <f ca="1">VLOOKUP($A809,'030523 INVENTARIO'!$A$2:$Y$1148,8,FALSE)</f>
        <v>P24CA-0808</v>
      </c>
      <c r="H809" s="168" t="str">
        <f>VLOOKUP($A809,'030523 INVENTARIO'!$A$2:$Y$1148,17,FALSE)</f>
        <v>HP</v>
      </c>
      <c r="I809" s="167" t="str">
        <f>VLOOKUP($A809,'030523 INVENTARIO'!$A$2:$Y$1148,18,FALSE)</f>
        <v>PAVILLION G4-1420LA</v>
      </c>
      <c r="J809" s="168" t="str">
        <f>VLOOKUP($A809,'030523 INVENTARIO'!$A$2:$Y$1148,19,FALSE)</f>
        <v>5CD2303CC6</v>
      </c>
      <c r="K809" s="167" t="str">
        <f>VLOOKUP($A809,'030523 INVENTARIO'!$A$2:$Y$1148,20,FALSE)</f>
        <v>82DJ0515010002000539849</v>
      </c>
      <c r="L809" s="167" t="str">
        <f>VLOOKUP($A809,'030523 INVENTARIO'!$A$2:$Y$1148,23,FALSE)</f>
        <v>EDUARDO PINEDA ALMANZA</v>
      </c>
    </row>
    <row r="810" spans="1:12" ht="12.75" hidden="1">
      <c r="A810" s="167" t="str">
        <f>'030523 INVENTARIO'!A810</f>
        <v>0809</v>
      </c>
      <c r="B810" s="168" t="str">
        <f>'030523 INVENTARIO'!T810</f>
        <v>82DH0511010001000581686</v>
      </c>
      <c r="C810" s="167" t="str">
        <f t="shared" si="0"/>
        <v>581686</v>
      </c>
      <c r="D810" s="167" t="str">
        <f>IF(VLOOKUP(C810,'Patrimonio 2023'!$C$2:$C$1128,1,FALSE) = C810, "Encontrado", "no")</f>
        <v>Encontrado</v>
      </c>
      <c r="E810" s="167" t="str">
        <f>VLOOKUP($A810,'030523 INVENTARIO'!$A$2:$Y$1148,5,FALSE)</f>
        <v>ARCHIVERO</v>
      </c>
      <c r="F810" s="167" t="str">
        <f>VLOOKUP($A810,'030523 INVENTARIO'!$A$2:$Y$1148,6,FALSE)</f>
        <v>ARCHIVERO DE MADERA CON 4 CAJONES 125X50X60</v>
      </c>
      <c r="G810" s="167" t="str">
        <f ca="1">VLOOKUP($A810,'030523 INVENTARIO'!$A$2:$Y$1148,8,FALSE)</f>
        <v>P24CA-0809</v>
      </c>
      <c r="H810" s="168" t="str">
        <f>VLOOKUP($A810,'030523 INVENTARIO'!$A$2:$Y$1148,17,FALSE)</f>
        <v>S/M</v>
      </c>
      <c r="I810" s="167" t="str">
        <f>VLOOKUP($A810,'030523 INVENTARIO'!$A$2:$Y$1148,18,FALSE)</f>
        <v>S/M</v>
      </c>
      <c r="J810" s="168" t="str">
        <f>VLOOKUP($A810,'030523 INVENTARIO'!$A$2:$Y$1148,19,FALSE)</f>
        <v>SIN SERIE</v>
      </c>
      <c r="K810" s="168" t="str">
        <f>VLOOKUP($A810,'030523 INVENTARIO'!$A$2:$Y$1148,20,FALSE)</f>
        <v>82DH0511010001000581686</v>
      </c>
      <c r="L810" s="167" t="str">
        <f>VLOOKUP($A810,'030523 INVENTARIO'!$A$2:$Y$1148,23,FALSE)</f>
        <v>CECILIA SUAREZ ALVAREZ</v>
      </c>
    </row>
    <row r="811" spans="1:12" ht="12.75" hidden="1">
      <c r="A811" s="167" t="str">
        <f>'030523 INVENTARIO'!A811</f>
        <v>0810</v>
      </c>
      <c r="B811" s="168" t="str">
        <f>'030523 INVENTARIO'!T811</f>
        <v>82DH0511010005000518505</v>
      </c>
      <c r="C811" s="167" t="str">
        <f t="shared" si="0"/>
        <v>518505</v>
      </c>
      <c r="D811" s="167" t="str">
        <f>IF(VLOOKUP(C811,'Patrimonio 2023'!$C$2:$C$1128,1,FALSE) = C811, "Encontrado", "no")</f>
        <v>Encontrado</v>
      </c>
      <c r="E811" s="167" t="str">
        <f>VLOOKUP($A811,'030523 INVENTARIO'!$A$2:$Y$1148,5,FALSE)</f>
        <v>CREDENZA</v>
      </c>
      <c r="F811" s="167" t="str">
        <f>VLOOKUP($A811,'030523 INVENTARIO'!$A$2:$Y$1148,6,FALSE)</f>
        <v>CREDENZA MADERA CAOBA CON 2 PUERTAS 180X40</v>
      </c>
      <c r="G811" s="167" t="str">
        <f ca="1">VLOOKUP($A811,'030523 INVENTARIO'!$A$2:$Y$1148,8,FALSE)</f>
        <v>P24CA-0810</v>
      </c>
      <c r="H811" s="168" t="str">
        <f>VLOOKUP($A811,'030523 INVENTARIO'!$A$2:$Y$1148,17,FALSE)</f>
        <v>S/M</v>
      </c>
      <c r="I811" s="167" t="str">
        <f>VLOOKUP($A811,'030523 INVENTARIO'!$A$2:$Y$1148,18,FALSE)</f>
        <v>S/M</v>
      </c>
      <c r="J811" s="168" t="str">
        <f>VLOOKUP($A811,'030523 INVENTARIO'!$A$2:$Y$1148,19,FALSE)</f>
        <v>SIN SERIE</v>
      </c>
      <c r="K811" s="168" t="str">
        <f>VLOOKUP($A811,'030523 INVENTARIO'!$A$2:$Y$1148,20,FALSE)</f>
        <v>82DH0511010005000518505</v>
      </c>
      <c r="L811" s="167" t="str">
        <f>VLOOKUP($A811,'030523 INVENTARIO'!$A$2:$Y$1148,23,FALSE)</f>
        <v>CECILIA SUAREZ ALVAREZ</v>
      </c>
    </row>
    <row r="812" spans="1:12" ht="12.75" hidden="1">
      <c r="A812" s="167" t="str">
        <f>'030523 INVENTARIO'!A812</f>
        <v>0811</v>
      </c>
      <c r="B812" s="168" t="str">
        <f>'030523 INVENTARIO'!T812</f>
        <v>82DH0519010006000649405</v>
      </c>
      <c r="C812" s="167" t="str">
        <f t="shared" si="0"/>
        <v>649405</v>
      </c>
      <c r="D812" s="167" t="str">
        <f>IF(VLOOKUP(C812,'Patrimonio 2023'!$C$2:$C$1128,1,FALSE) = C812, "Encontrado", "no")</f>
        <v>Encontrado</v>
      </c>
      <c r="E812" s="167" t="str">
        <f>VLOOKUP($A812,'030523 INVENTARIO'!$A$2:$Y$1148,5,FALSE)</f>
        <v>CAFETERA</v>
      </c>
      <c r="F812" s="168" t="str">
        <f>VLOOKUP($A812,'030523 INVENTARIO'!$A$2:$Y$1148,6,FALSE)</f>
        <v>CAFETERA</v>
      </c>
      <c r="G812" s="167" t="str">
        <f ca="1">VLOOKUP($A812,'030523 INVENTARIO'!$A$2:$Y$1148,8,FALSE)</f>
        <v>P24CA-0811</v>
      </c>
      <c r="H812" s="168" t="str">
        <f>VLOOKUP($A812,'030523 INVENTARIO'!$A$2:$Y$1148,17,FALSE)</f>
        <v>OSTER</v>
      </c>
      <c r="I812" s="167" t="str">
        <f>VLOOKUP($A812,'030523 INVENTARIO'!$A$2:$Y$1148,18,FALSE)</f>
        <v>BVSTDC-3390</v>
      </c>
      <c r="J812" s="168" t="str">
        <f>VLOOKUP($A812,'030523 INVENTARIO'!$A$2:$Y$1148,19,FALSE)</f>
        <v>SIN SERIE</v>
      </c>
      <c r="K812" s="168" t="str">
        <f>VLOOKUP($A812,'030523 INVENTARIO'!$A$2:$Y$1148,20,FALSE)</f>
        <v>82DH0519010006000649405</v>
      </c>
      <c r="L812" s="167" t="str">
        <f>VLOOKUP($A812,'030523 INVENTARIO'!$A$2:$Y$1148,23,FALSE)</f>
        <v>CECILIA SUAREZ ALVAREZ</v>
      </c>
    </row>
    <row r="813" spans="1:12" ht="12.75" hidden="1">
      <c r="A813" s="167" t="str">
        <f>'030523 INVENTARIO'!A813</f>
        <v>0812</v>
      </c>
      <c r="B813" s="167" t="str">
        <f>'030523 INVENTARIO'!T813</f>
        <v>82DH0519010017000565624</v>
      </c>
      <c r="C813" s="167" t="str">
        <f t="shared" si="0"/>
        <v>565624</v>
      </c>
      <c r="D813" s="167" t="str">
        <f>IF(VLOOKUP(C813,'Patrimonio 2023'!$C$2:$C$1128,1,FALSE) = C813, "Encontrado", "no")</f>
        <v>Encontrado</v>
      </c>
      <c r="E813" s="167" t="str">
        <f>VLOOKUP($A813,'030523 INVENTARIO'!$A$2:$Y$1148,5,FALSE)</f>
        <v>ENGARGOLADORA</v>
      </c>
      <c r="F813" s="168" t="str">
        <f>VLOOKUP($A813,'030523 INVENTARIO'!$A$2:$Y$1148,6,FALSE)</f>
        <v>ENGARGOLADORA METAL GRIS</v>
      </c>
      <c r="G813" s="167" t="str">
        <f ca="1">VLOOKUP($A813,'030523 INVENTARIO'!$A$2:$Y$1148,8,FALSE)</f>
        <v>P24CA-0812</v>
      </c>
      <c r="H813" s="168" t="str">
        <f>VLOOKUP($A813,'030523 INVENTARIO'!$A$2:$Y$1148,17,FALSE)</f>
        <v>GBC</v>
      </c>
      <c r="I813" s="167" t="str">
        <f>VLOOKUP($A813,'030523 INVENTARIO'!$A$2:$Y$1148,18,FALSE)</f>
        <v>222KM</v>
      </c>
      <c r="J813" s="167" t="str">
        <f>VLOOKUP($A813,'030523 INVENTARIO'!$A$2:$Y$1148,19,FALSE)</f>
        <v>SIN SERIE</v>
      </c>
      <c r="K813" s="167" t="str">
        <f>VLOOKUP($A813,'030523 INVENTARIO'!$A$2:$Y$1148,20,FALSE)</f>
        <v>82DH0519010017000565624</v>
      </c>
      <c r="L813" s="167" t="str">
        <f>VLOOKUP($A813,'030523 INVENTARIO'!$A$2:$Y$1148,23,FALSE)</f>
        <v>CECILIA SUAREZ ALVAREZ</v>
      </c>
    </row>
    <row r="814" spans="1:12" ht="12.75" hidden="1">
      <c r="A814" s="167" t="str">
        <f>'030523 INVENTARIO'!A814</f>
        <v>0813</v>
      </c>
      <c r="B814" s="168" t="str">
        <f>'030523 INVENTARIO'!T814</f>
        <v>82DH0511010029000649763</v>
      </c>
      <c r="C814" s="167" t="str">
        <f t="shared" si="0"/>
        <v>649763</v>
      </c>
      <c r="D814" s="167" t="str">
        <f>IF(VLOOKUP(C814,'Patrimonio 2023'!$C$2:$C$1128,1,FALSE) = C814, "Encontrado", "no")</f>
        <v>Encontrado</v>
      </c>
      <c r="E814" s="167" t="str">
        <f>VLOOKUP($A814,'030523 INVENTARIO'!$A$2:$Y$1148,5,FALSE)</f>
        <v>MODULO</v>
      </c>
      <c r="F814" s="167" t="str">
        <f>VLOOKUP($A814,'030523 INVENTARIO'!$A$2:$Y$1148,6,FALSE)</f>
        <v>MODULO DE MADERA CON RUEDAS 116X39</v>
      </c>
      <c r="G814" s="167" t="str">
        <f ca="1">VLOOKUP($A814,'030523 INVENTARIO'!$A$2:$Y$1148,8,FALSE)</f>
        <v>P24CA-0813</v>
      </c>
      <c r="H814" s="168" t="str">
        <f>VLOOKUP($A814,'030523 INVENTARIO'!$A$2:$Y$1148,17,FALSE)</f>
        <v>S/M</v>
      </c>
      <c r="I814" s="167" t="str">
        <f>VLOOKUP($A814,'030523 INVENTARIO'!$A$2:$Y$1148,18,FALSE)</f>
        <v>S/M</v>
      </c>
      <c r="J814" s="168" t="str">
        <f>VLOOKUP($A814,'030523 INVENTARIO'!$A$2:$Y$1148,19,FALSE)</f>
        <v>SIN SERIE</v>
      </c>
      <c r="K814" s="168" t="str">
        <f>VLOOKUP($A814,'030523 INVENTARIO'!$A$2:$Y$1148,20,FALSE)</f>
        <v>82DH0511010029000649763</v>
      </c>
      <c r="L814" s="167" t="str">
        <f>VLOOKUP($A814,'030523 INVENTARIO'!$A$2:$Y$1148,23,FALSE)</f>
        <v>CECILIA SUAREZ ALVAREZ</v>
      </c>
    </row>
    <row r="815" spans="1:12" ht="12.75" hidden="1">
      <c r="A815" s="167" t="str">
        <f>'030523 INVENTARIO'!A815</f>
        <v>0814</v>
      </c>
      <c r="B815" s="168" t="str">
        <f>'030523 INVENTARIO'!T815</f>
        <v>82DH0511010006000518507</v>
      </c>
      <c r="C815" s="167" t="str">
        <f t="shared" si="0"/>
        <v>518507</v>
      </c>
      <c r="D815" s="167" t="str">
        <f>IF(VLOOKUP(C815,'Patrimonio 2023'!$C$2:$C$1128,1,FALSE) = C815, "Encontrado", "no")</f>
        <v>Encontrado</v>
      </c>
      <c r="E815" s="167" t="str">
        <f>VLOOKUP($A815,'030523 INVENTARIO'!$A$2:$Y$1148,5,FALSE)</f>
        <v>ESCRITORIO</v>
      </c>
      <c r="F815" s="167" t="str">
        <f>VLOOKUP($A815,'030523 INVENTARIO'!$A$2:$Y$1148,6,FALSE)</f>
        <v>ESCRITORIO DE MADERA CAOBA 180X85</v>
      </c>
      <c r="G815" s="167" t="str">
        <f ca="1">VLOOKUP($A815,'030523 INVENTARIO'!$A$2:$Y$1148,8,FALSE)</f>
        <v>P24CA-0814</v>
      </c>
      <c r="H815" s="168" t="str">
        <f>VLOOKUP($A815,'030523 INVENTARIO'!$A$2:$Y$1148,17,FALSE)</f>
        <v>S/M</v>
      </c>
      <c r="I815" s="167" t="str">
        <f>VLOOKUP($A815,'030523 INVENTARIO'!$A$2:$Y$1148,18,FALSE)</f>
        <v>S/M</v>
      </c>
      <c r="J815" s="168" t="str">
        <f>VLOOKUP($A815,'030523 INVENTARIO'!$A$2:$Y$1148,19,FALSE)</f>
        <v>SIN SERIE</v>
      </c>
      <c r="K815" s="168" t="str">
        <f>VLOOKUP($A815,'030523 INVENTARIO'!$A$2:$Y$1148,20,FALSE)</f>
        <v>82DH0511010006000518507</v>
      </c>
      <c r="L815" s="167" t="str">
        <f>VLOOKUP($A815,'030523 INVENTARIO'!$A$2:$Y$1148,23,FALSE)</f>
        <v>CECILIA SUAREZ ALVAREZ</v>
      </c>
    </row>
    <row r="816" spans="1:12" ht="12.75" hidden="1">
      <c r="A816" s="167" t="str">
        <f>'030523 INVENTARIO'!A816</f>
        <v>0815</v>
      </c>
      <c r="B816" s="168" t="str">
        <f>'030523 INVENTARIO'!T816</f>
        <v>82DH0511010017000564623</v>
      </c>
      <c r="C816" s="167" t="str">
        <f t="shared" si="0"/>
        <v>564623</v>
      </c>
      <c r="D816" s="167" t="str">
        <f>IF(VLOOKUP(C816,'Patrimonio 2023'!$C$2:$C$1128,1,FALSE) = C816, "Encontrado", "no")</f>
        <v>Encontrado</v>
      </c>
      <c r="E816" s="167" t="str">
        <f>VLOOKUP($A816,'030523 INVENTARIO'!$A$2:$Y$1148,5,FALSE)</f>
        <v>SILLA</v>
      </c>
      <c r="F816" s="167" t="str">
        <f>VLOOKUP($A816,'030523 INVENTARIO'!$A$2:$Y$1148,6,FALSE)</f>
        <v>SILLA NEGRA DE TELA FIJA</v>
      </c>
      <c r="G816" s="167" t="str">
        <f ca="1">VLOOKUP($A816,'030523 INVENTARIO'!$A$2:$Y$1148,8,FALSE)</f>
        <v>P24CA-0815</v>
      </c>
      <c r="H816" s="168" t="str">
        <f>VLOOKUP($A816,'030523 INVENTARIO'!$A$2:$Y$1148,17,FALSE)</f>
        <v>S/M</v>
      </c>
      <c r="I816" s="167" t="str">
        <f>VLOOKUP($A816,'030523 INVENTARIO'!$A$2:$Y$1148,18,FALSE)</f>
        <v>S/M</v>
      </c>
      <c r="J816" s="168" t="str">
        <f>VLOOKUP($A816,'030523 INVENTARIO'!$A$2:$Y$1148,19,FALSE)</f>
        <v>SIN SERIE</v>
      </c>
      <c r="K816" s="168" t="str">
        <f>VLOOKUP($A816,'030523 INVENTARIO'!$A$2:$Y$1148,20,FALSE)</f>
        <v>82DH0511010017000564623</v>
      </c>
      <c r="L816" s="167" t="str">
        <f>VLOOKUP($A816,'030523 INVENTARIO'!$A$2:$Y$1148,23,FALSE)</f>
        <v>CECILIA SUAREZ ALVAREZ</v>
      </c>
    </row>
    <row r="817" spans="1:12" ht="12.75" hidden="1">
      <c r="A817" s="167" t="str">
        <f>'030523 INVENTARIO'!A817</f>
        <v>0816</v>
      </c>
      <c r="B817" s="168" t="str">
        <f>'030523 INVENTARIO'!T817</f>
        <v>82DH0511010017000563785</v>
      </c>
      <c r="C817" s="167" t="str">
        <f t="shared" si="0"/>
        <v>563785</v>
      </c>
      <c r="D817" s="167" t="str">
        <f>IF(VLOOKUP(C817,'Patrimonio 2023'!$C$2:$C$1128,1,FALSE) = C817, "Encontrado", "no")</f>
        <v>Encontrado</v>
      </c>
      <c r="E817" s="167" t="str">
        <f>VLOOKUP($A817,'030523 INVENTARIO'!$A$2:$Y$1148,5,FALSE)</f>
        <v>SILLA</v>
      </c>
      <c r="F817" s="167" t="str">
        <f>VLOOKUP($A817,'030523 INVENTARIO'!$A$2:$Y$1148,6,FALSE)</f>
        <v>SILLA NEGRA DE TELA FIJA</v>
      </c>
      <c r="G817" s="167" t="str">
        <f ca="1">VLOOKUP($A817,'030523 INVENTARIO'!$A$2:$Y$1148,8,FALSE)</f>
        <v>P24CA-0816</v>
      </c>
      <c r="H817" s="168" t="str">
        <f>VLOOKUP($A817,'030523 INVENTARIO'!$A$2:$Y$1148,17,FALSE)</f>
        <v>S/M</v>
      </c>
      <c r="I817" s="167" t="str">
        <f>VLOOKUP($A817,'030523 INVENTARIO'!$A$2:$Y$1148,18,FALSE)</f>
        <v>S/M</v>
      </c>
      <c r="J817" s="168" t="str">
        <f>VLOOKUP($A817,'030523 INVENTARIO'!$A$2:$Y$1148,19,FALSE)</f>
        <v>SIN SERIE</v>
      </c>
      <c r="K817" s="168" t="str">
        <f>VLOOKUP($A817,'030523 INVENTARIO'!$A$2:$Y$1148,20,FALSE)</f>
        <v>82DH0511010017000563785</v>
      </c>
      <c r="L817" s="167" t="str">
        <f>VLOOKUP($A817,'030523 INVENTARIO'!$A$2:$Y$1148,23,FALSE)</f>
        <v>CECILIA SUAREZ ALVAREZ</v>
      </c>
    </row>
    <row r="818" spans="1:12" ht="12.75">
      <c r="A818" s="167" t="str">
        <f>'030523 INVENTARIO'!A818</f>
        <v>0817</v>
      </c>
      <c r="B818" s="168" t="str">
        <f>'030523 INVENTARIO'!T818</f>
        <v>82DH0511010017000564612</v>
      </c>
      <c r="C818" s="167" t="str">
        <f t="shared" si="0"/>
        <v>564612</v>
      </c>
      <c r="D818" s="167" t="e">
        <f>IF(VLOOKUP(C818,'Patrimonio 2023'!$C$2:$C$1128,1,FALSE) = C818, "Encontrado", "no")</f>
        <v>#N/A</v>
      </c>
      <c r="E818" s="167" t="str">
        <f>VLOOKUP($A818,'030523 INVENTARIO'!$A$2:$Y$1148,5,FALSE)</f>
        <v>SILLA</v>
      </c>
      <c r="F818" s="167" t="str">
        <f>VLOOKUP($A818,'030523 INVENTARIO'!$A$2:$Y$1148,6,FALSE)</f>
        <v>SILLA NEGRA DE TELA FIJA</v>
      </c>
      <c r="G818" s="167" t="str">
        <f ca="1">VLOOKUP($A818,'030523 INVENTARIO'!$A$2:$Y$1148,8,FALSE)</f>
        <v>P24CA-0817</v>
      </c>
      <c r="H818" s="168" t="str">
        <f>VLOOKUP($A818,'030523 INVENTARIO'!$A$2:$Y$1148,17,FALSE)</f>
        <v>S/M</v>
      </c>
      <c r="I818" s="167" t="str">
        <f>VLOOKUP($A818,'030523 INVENTARIO'!$A$2:$Y$1148,18,FALSE)</f>
        <v>S/M</v>
      </c>
      <c r="J818" s="168" t="str">
        <f>VLOOKUP($A818,'030523 INVENTARIO'!$A$2:$Y$1148,19,FALSE)</f>
        <v>SIN SERIE</v>
      </c>
      <c r="K818" s="168" t="str">
        <f>VLOOKUP($A818,'030523 INVENTARIO'!$A$2:$Y$1148,20,FALSE)</f>
        <v>82DH0511010017000564612</v>
      </c>
      <c r="L818" s="167" t="str">
        <f>VLOOKUP($A818,'030523 INVENTARIO'!$A$2:$Y$1148,23,FALSE)</f>
        <v>CECILIA SUAREZ ALVAREZ</v>
      </c>
    </row>
    <row r="819" spans="1:12" ht="12.75" hidden="1">
      <c r="A819" s="167" t="str">
        <f>'030523 INVENTARIO'!A819</f>
        <v>0818</v>
      </c>
      <c r="B819" s="168" t="str">
        <f>'030523 INVENTARIO'!T819</f>
        <v>82DH0511010016000649762</v>
      </c>
      <c r="C819" s="167" t="str">
        <f t="shared" si="0"/>
        <v>649762</v>
      </c>
      <c r="D819" s="167" t="str">
        <f>IF(VLOOKUP(C819,'Patrimonio 2023'!$C$2:$C$1128,1,FALSE) = C819, "Encontrado", "no")</f>
        <v>Encontrado</v>
      </c>
      <c r="E819" s="167" t="str">
        <f>VLOOKUP($A819,'030523 INVENTARIO'!$A$2:$Y$1148,5,FALSE)</f>
        <v>SILLON</v>
      </c>
      <c r="F819" s="167" t="str">
        <f>VLOOKUP($A819,'030523 INVENTARIO'!$A$2:$Y$1148,6,FALSE)</f>
        <v>SILLON NEGRO CON RUEDAS</v>
      </c>
      <c r="G819" s="167" t="str">
        <f ca="1">VLOOKUP($A819,'030523 INVENTARIO'!$A$2:$Y$1148,8,FALSE)</f>
        <v>P05RM-0818</v>
      </c>
      <c r="H819" s="168" t="str">
        <f>VLOOKUP($A819,'030523 INVENTARIO'!$A$2:$Y$1148,17,FALSE)</f>
        <v>S/M</v>
      </c>
      <c r="I819" s="167" t="str">
        <f>VLOOKUP($A819,'030523 INVENTARIO'!$A$2:$Y$1148,18,FALSE)</f>
        <v>S/M</v>
      </c>
      <c r="J819" s="168" t="str">
        <f>VLOOKUP($A819,'030523 INVENTARIO'!$A$2:$Y$1148,19,FALSE)</f>
        <v>SIN SERIE</v>
      </c>
      <c r="K819" s="168" t="str">
        <f>VLOOKUP($A819,'030523 INVENTARIO'!$A$2:$Y$1148,20,FALSE)</f>
        <v>82DH0511010016000649762</v>
      </c>
      <c r="L819" s="167" t="str">
        <f>VLOOKUP($A819,'030523 INVENTARIO'!$A$2:$Y$1148,23,FALSE)</f>
        <v>ESIQUIO NAVA ORTEGA</v>
      </c>
    </row>
    <row r="820" spans="1:12" ht="12.75" hidden="1">
      <c r="A820" s="167" t="str">
        <f>'030523 INVENTARIO'!A820</f>
        <v>0819</v>
      </c>
      <c r="B820" s="167" t="str">
        <f>'030523 INVENTARIO'!T820</f>
        <v>82DH0531010094000531871</v>
      </c>
      <c r="C820" s="167" t="str">
        <f t="shared" si="0"/>
        <v>531871</v>
      </c>
      <c r="D820" s="167" t="str">
        <f>IF(VLOOKUP(C820,'Patrimonio 2023'!$C$2:$C$1128,1,FALSE) = C820, "Encontrado", "no")</f>
        <v>Encontrado</v>
      </c>
      <c r="E820" s="167" t="str">
        <f>VLOOKUP($A820,'030523 INVENTARIO'!$A$2:$Y$1148,5,FALSE)</f>
        <v>VENTILADOR</v>
      </c>
      <c r="F820" s="167" t="str">
        <f>VLOOKUP($A820,'030523 INVENTARIO'!$A$2:$Y$1148,6,FALSE)</f>
        <v>VENTILADOR BLANCO DE TORRE</v>
      </c>
      <c r="G820" s="167" t="str">
        <f ca="1">VLOOKUP($A820,'030523 INVENTARIO'!$A$2:$Y$1148,8,FALSE)</f>
        <v>P35RM-0819</v>
      </c>
      <c r="H820" s="168" t="str">
        <f>VLOOKUP($A820,'030523 INVENTARIO'!$A$2:$Y$1148,17,FALSE)</f>
        <v>WINDANCE</v>
      </c>
      <c r="I820" s="167" t="str">
        <f>VLOOKUP($A820,'030523 INVENTARIO'!$A$2:$Y$1148,18,FALSE)</f>
        <v>FZ10-9HB</v>
      </c>
      <c r="J820" s="167" t="str">
        <f>VLOOKUP($A820,'030523 INVENTARIO'!$A$2:$Y$1148,19,FALSE)</f>
        <v>SIN SERIE</v>
      </c>
      <c r="K820" s="167" t="str">
        <f>VLOOKUP($A820,'030523 INVENTARIO'!$A$2:$Y$1148,20,FALSE)</f>
        <v>82DH0531010094000531871</v>
      </c>
      <c r="L820" s="167" t="str">
        <f>VLOOKUP($A820,'030523 INVENTARIO'!$A$2:$Y$1148,23,FALSE)</f>
        <v>BLANCA ELIZABETH ALCANTAR GUERRERO</v>
      </c>
    </row>
    <row r="821" spans="1:12" ht="12.75" hidden="1">
      <c r="A821" s="167" t="str">
        <f>'030523 INVENTARIO'!A821</f>
        <v>0820</v>
      </c>
      <c r="B821" s="168" t="str">
        <f>'030523 INVENTARIO'!T821</f>
        <v>82DH0511010010000649761</v>
      </c>
      <c r="C821" s="167" t="str">
        <f t="shared" si="0"/>
        <v>649761</v>
      </c>
      <c r="D821" s="167" t="str">
        <f>IF(VLOOKUP(C821,'Patrimonio 2023'!$C$2:$C$1128,1,FALSE) = C821, "Encontrado", "no")</f>
        <v>Encontrado</v>
      </c>
      <c r="E821" s="167" t="str">
        <f>VLOOKUP($A821,'030523 INVENTARIO'!$A$2:$Y$1148,5,FALSE)</f>
        <v>MESA</v>
      </c>
      <c r="F821" s="167" t="str">
        <f>VLOOKUP($A821,'030523 INVENTARIO'!$A$2:$Y$1148,6,FALSE)</f>
        <v>MESA DE MADERA 68X50</v>
      </c>
      <c r="G821" s="167" t="str">
        <f ca="1">VLOOKUP($A821,'030523 INVENTARIO'!$A$2:$Y$1148,8,FALSE)</f>
        <v>P24CA-0820</v>
      </c>
      <c r="H821" s="168" t="str">
        <f>VLOOKUP($A821,'030523 INVENTARIO'!$A$2:$Y$1148,17,FALSE)</f>
        <v>S/M</v>
      </c>
      <c r="I821" s="167" t="str">
        <f>VLOOKUP($A821,'030523 INVENTARIO'!$A$2:$Y$1148,18,FALSE)</f>
        <v>S/M</v>
      </c>
      <c r="J821" s="168" t="str">
        <f>VLOOKUP($A821,'030523 INVENTARIO'!$A$2:$Y$1148,19,FALSE)</f>
        <v>SIN SERIE</v>
      </c>
      <c r="K821" s="168" t="str">
        <f>VLOOKUP($A821,'030523 INVENTARIO'!$A$2:$Y$1148,20,FALSE)</f>
        <v>82DH0511010010000649761</v>
      </c>
      <c r="L821" s="167" t="str">
        <f>VLOOKUP($A821,'030523 INVENTARIO'!$A$2:$Y$1148,23,FALSE)</f>
        <v>CECILIA SUAREZ ALVAREZ</v>
      </c>
    </row>
    <row r="822" spans="1:12" ht="12.75" hidden="1">
      <c r="A822" s="167" t="str">
        <f>'030523 INVENTARIO'!A822</f>
        <v>0821</v>
      </c>
      <c r="B822" s="168" t="str">
        <f>'030523 INVENTARIO'!T822</f>
        <v>82DH0565010001000527018</v>
      </c>
      <c r="C822" s="167" t="str">
        <f t="shared" si="0"/>
        <v>527018</v>
      </c>
      <c r="D822" s="167" t="str">
        <f>IF(VLOOKUP(C822,'Patrimonio 2023'!$C$2:$C$1128,1,FALSE) = C822, "Encontrado", "no")</f>
        <v>Encontrado</v>
      </c>
      <c r="E822" s="167" t="str">
        <f>VLOOKUP($A822,'030523 INVENTARIO'!$A$2:$Y$1148,5,FALSE)</f>
        <v>TELEFONO</v>
      </c>
      <c r="F822" s="168" t="str">
        <f>VLOOKUP($A822,'030523 INVENTARIO'!$A$2:$Y$1148,6,FALSE)</f>
        <v>TELEFONO GRIS</v>
      </c>
      <c r="G822" s="167" t="str">
        <f ca="1">VLOOKUP($A822,'030523 INVENTARIO'!$A$2:$Y$1148,8,FALSE)</f>
        <v>P24CA-0821</v>
      </c>
      <c r="H822" s="168" t="str">
        <f>VLOOKUP($A822,'030523 INVENTARIO'!$A$2:$Y$1148,17,FALSE)</f>
        <v>LINKSYS</v>
      </c>
      <c r="I822" s="167" t="str">
        <f>VLOOKUP($A822,'030523 INVENTARIO'!$A$2:$Y$1148,18,FALSE)</f>
        <v>SPA942</v>
      </c>
      <c r="J822" s="168" t="str">
        <f>VLOOKUP($A822,'030523 INVENTARIO'!$A$2:$Y$1148,19,FALSE)</f>
        <v>4LO00H118291</v>
      </c>
      <c r="K822" s="168" t="str">
        <f>VLOOKUP($A822,'030523 INVENTARIO'!$A$2:$Y$1148,20,FALSE)</f>
        <v>82DH0565010001000527018</v>
      </c>
      <c r="L822" s="167" t="str">
        <f>VLOOKUP($A822,'030523 INVENTARIO'!$A$2:$Y$1148,23,FALSE)</f>
        <v>CECILIA SUAREZ ALVAREZ</v>
      </c>
    </row>
    <row r="823" spans="1:12" ht="12.75" hidden="1">
      <c r="A823" s="167" t="str">
        <f>'030523 INVENTARIO'!A823</f>
        <v>0822</v>
      </c>
      <c r="B823" s="168" t="str">
        <f>'030523 INVENTARIO'!T823</f>
        <v>82DH0515010016000649428</v>
      </c>
      <c r="C823" s="167" t="str">
        <f t="shared" si="0"/>
        <v>649428</v>
      </c>
      <c r="D823" s="167" t="str">
        <f>IF(VLOOKUP(C823,'Patrimonio 2023'!$C$2:$C$1128,1,FALSE) = C823, "Encontrado", "no")</f>
        <v>Encontrado</v>
      </c>
      <c r="E823" s="167" t="str">
        <f>VLOOKUP($A823,'030523 INVENTARIO'!$A$2:$Y$1148,5,FALSE)</f>
        <v>NO BREAK</v>
      </c>
      <c r="F823" s="168" t="str">
        <f>VLOOKUP($A823,'030523 INVENTARIO'!$A$2:$Y$1148,6,FALSE)</f>
        <v>NO BREAK</v>
      </c>
      <c r="G823" s="167" t="str">
        <f ca="1">VLOOKUP($A823,'030523 INVENTARIO'!$A$2:$Y$1148,8,FALSE)</f>
        <v>P24CA-0822</v>
      </c>
      <c r="H823" s="168" t="str">
        <f>VLOOKUP($A823,'030523 INVENTARIO'!$A$2:$Y$1148,17,FALSE)</f>
        <v>FORZA</v>
      </c>
      <c r="I823" s="167" t="str">
        <f>VLOOKUP($A823,'030523 INVENTARIO'!$A$2:$Y$1148,18,FALSE)</f>
        <v>NT751</v>
      </c>
      <c r="J823" s="168" t="str">
        <f>VLOOKUP($A823,'030523 INVENTARIO'!$A$2:$Y$1148,19,FALSE)</f>
        <v>181222507610</v>
      </c>
      <c r="K823" s="168" t="str">
        <f>VLOOKUP($A823,'030523 INVENTARIO'!$A$2:$Y$1148,20,FALSE)</f>
        <v>82DH0515010016000649428</v>
      </c>
      <c r="L823" s="167" t="str">
        <f>VLOOKUP($A823,'030523 INVENTARIO'!$A$2:$Y$1148,23,FALSE)</f>
        <v>CECILIA SUAREZ ALVAREZ</v>
      </c>
    </row>
    <row r="824" spans="1:12" ht="12.75" hidden="1">
      <c r="A824" s="167" t="str">
        <f>'030523 INVENTARIO'!A824</f>
        <v>0823</v>
      </c>
      <c r="B824" s="167" t="str">
        <f>'030523 INVENTARIO'!T824</f>
        <v>SIN RESGUARDO</v>
      </c>
      <c r="C824" s="167" t="str">
        <f t="shared" si="0"/>
        <v/>
      </c>
      <c r="D824" s="167" t="e">
        <f>IF(VLOOKUP(C824,'Patrimonio 2023'!$C$2:$C$1128,1,FALSE) = C824, "Encontrado", "no")</f>
        <v>#N/A</v>
      </c>
      <c r="E824" s="167" t="str">
        <f>VLOOKUP($A824,'030523 INVENTARIO'!$A$2:$Y$1148,5,FALSE)</f>
        <v>COMPUTADORA DE ESCRITORIO</v>
      </c>
      <c r="F824" s="167" t="str">
        <f>VLOOKUP($A824,'030523 INVENTARIO'!$A$2:$Y$1148,6,FALSE)</f>
        <v>COMPUTADORA DE ESCRITORIO</v>
      </c>
      <c r="G824" s="167" t="str">
        <f ca="1">VLOOKUP($A824,'030523 INVENTARIO'!$A$2:$Y$1148,8,FALSE)</f>
        <v>P24CA-0823</v>
      </c>
      <c r="H824" s="168" t="str">
        <f>VLOOKUP($A824,'030523 INVENTARIO'!$A$2:$Y$1148,17,FALSE)</f>
        <v>ACTECK</v>
      </c>
      <c r="I824" s="167" t="str">
        <f>VLOOKUP($A824,'030523 INVENTARIO'!$A$2:$Y$1148,18,FALSE)</f>
        <v>LINX</v>
      </c>
      <c r="J824" s="167">
        <f>VLOOKUP($A824,'030523 INVENTARIO'!$A$2:$Y$1148,19,FALSE)</f>
        <v>11392903012333</v>
      </c>
      <c r="K824" s="167" t="str">
        <f>VLOOKUP($A824,'030523 INVENTARIO'!$A$2:$Y$1148,20,FALSE)</f>
        <v>SIN RESGUARDO</v>
      </c>
      <c r="L824" s="167" t="str">
        <f>VLOOKUP($A824,'030523 INVENTARIO'!$A$2:$Y$1148,23,FALSE)</f>
        <v>CECILIA SUAREZ ALVAREZ</v>
      </c>
    </row>
    <row r="825" spans="1:12" ht="12.75" hidden="1">
      <c r="A825" s="167" t="str">
        <f>'030523 INVENTARIO'!A825</f>
        <v>0824</v>
      </c>
      <c r="B825" s="168" t="str">
        <f>'030523 INVENTARIO'!T825</f>
        <v>82DH0565010041000543574</v>
      </c>
      <c r="C825" s="167" t="str">
        <f t="shared" si="0"/>
        <v>543574</v>
      </c>
      <c r="D825" s="167" t="str">
        <f>IF(VLOOKUP(C825,'Patrimonio 2023'!$C$2:$C$1128,1,FALSE) = C825, "Encontrado", "no")</f>
        <v>Encontrado</v>
      </c>
      <c r="E825" s="167" t="str">
        <f>VLOOKUP($A825,'030523 INVENTARIO'!$A$2:$Y$1148,5,FALSE)</f>
        <v>MONITOR</v>
      </c>
      <c r="F825" s="167" t="str">
        <f>VLOOKUP($A825,'030523 INVENTARIO'!$A$2:$Y$1148,6,FALSE)</f>
        <v>MONITOR 18"</v>
      </c>
      <c r="G825" s="167" t="str">
        <f ca="1">VLOOKUP($A825,'030523 INVENTARIO'!$A$2:$Y$1148,8,FALSE)</f>
        <v>P24CA-0824</v>
      </c>
      <c r="H825" s="168" t="str">
        <f>VLOOKUP($A825,'030523 INVENTARIO'!$A$2:$Y$1148,17,FALSE)</f>
        <v>COMPAQ</v>
      </c>
      <c r="I825" s="167" t="str">
        <f>VLOOKUP($A825,'030523 INVENTARIO'!$A$2:$Y$1148,18,FALSE)</f>
        <v>WF1907</v>
      </c>
      <c r="J825" s="168" t="str">
        <f>VLOOKUP($A825,'030523 INVENTARIO'!$A$2:$Y$1148,19,FALSE)</f>
        <v>CNC816Y3C6</v>
      </c>
      <c r="K825" s="168" t="str">
        <f>VLOOKUP($A825,'030523 INVENTARIO'!$A$2:$Y$1148,20,FALSE)</f>
        <v>82DH0565010041000543574</v>
      </c>
      <c r="L825" s="167" t="str">
        <f>VLOOKUP($A825,'030523 INVENTARIO'!$A$2:$Y$1148,23,FALSE)</f>
        <v>CECILIA SUAREZ ALVAREZ</v>
      </c>
    </row>
    <row r="826" spans="1:12" ht="12.75" hidden="1">
      <c r="A826" s="167" t="str">
        <f>'030523 INVENTARIO'!A826</f>
        <v>0825</v>
      </c>
      <c r="B826" s="167" t="str">
        <f>'030523 INVENTARIO'!T826</f>
        <v>SIN RESGUARDO</v>
      </c>
      <c r="C826" s="167" t="str">
        <f t="shared" si="0"/>
        <v/>
      </c>
      <c r="D826" s="167" t="e">
        <f>IF(VLOOKUP(C826,'Patrimonio 2023'!$C$2:$C$1128,1,FALSE) = C826, "Encontrado", "no")</f>
        <v>#N/A</v>
      </c>
      <c r="E826" s="167" t="str">
        <f>VLOOKUP($A826,'030523 INVENTARIO'!$A$2:$Y$1148,5,FALSE)</f>
        <v>MONITOR</v>
      </c>
      <c r="F826" s="167" t="str">
        <f>VLOOKUP($A826,'030523 INVENTARIO'!$A$2:$Y$1148,6,FALSE)</f>
        <v>MONITOR 21"</v>
      </c>
      <c r="G826" s="167" t="str">
        <f ca="1">VLOOKUP($A826,'030523 INVENTARIO'!$A$2:$Y$1148,8,FALSE)</f>
        <v>P24CA-0825</v>
      </c>
      <c r="H826" s="168" t="str">
        <f>VLOOKUP($A826,'030523 INVENTARIO'!$A$2:$Y$1148,17,FALSE)</f>
        <v>ACER</v>
      </c>
      <c r="I826" s="167" t="str">
        <f>VLOOKUP($A826,'030523 INVENTARIO'!$A$2:$Y$1148,18,FALSE)</f>
        <v>V226HQL</v>
      </c>
      <c r="J826" s="167" t="str">
        <f>VLOOKUP($A826,'030523 INVENTARIO'!$A$2:$Y$1148,19,FALSE)</f>
        <v>MMTASAA007052051873P00</v>
      </c>
      <c r="K826" s="167" t="str">
        <f>VLOOKUP($A826,'030523 INVENTARIO'!$A$2:$Y$1148,20,FALSE)</f>
        <v>SIN RESGUARDO</v>
      </c>
      <c r="L826" s="167" t="str">
        <f>VLOOKUP($A826,'030523 INVENTARIO'!$A$2:$Y$1148,23,FALSE)</f>
        <v>CECILIA SUAREZ ALVAREZ</v>
      </c>
    </row>
    <row r="827" spans="1:12" ht="12.75" hidden="1">
      <c r="A827" s="167" t="str">
        <f>'030523 INVENTARIO'!A827</f>
        <v>0826</v>
      </c>
      <c r="B827" s="168" t="str">
        <f>'030523 INVENTARIO'!T827</f>
        <v>82DH0511010009000564544</v>
      </c>
      <c r="C827" s="167" t="str">
        <f t="shared" si="0"/>
        <v>564544</v>
      </c>
      <c r="D827" s="167" t="str">
        <f>IF(VLOOKUP(C827,'Patrimonio 2023'!$C$2:$C$1128,1,FALSE) = C827, "Encontrado", "no")</f>
        <v>Encontrado</v>
      </c>
      <c r="E827" s="167" t="str">
        <f>VLOOKUP($A827,'030523 INVENTARIO'!$A$2:$Y$1148,5,FALSE)</f>
        <v>ESTANTE O ANAQUEL</v>
      </c>
      <c r="F827" s="167" t="str">
        <f>VLOOKUP($A827,'030523 INVENTARIO'!$A$2:$Y$1148,6,FALSE)</f>
        <v>ANAQUEL DE MADERA (LOKER) DE 2 PUERTAS 164X80X42</v>
      </c>
      <c r="G827" s="167" t="str">
        <f ca="1">VLOOKUP($A827,'030523 INVENTARIO'!$A$2:$Y$1148,8,FALSE)</f>
        <v>P24NV-0826</v>
      </c>
      <c r="H827" s="168" t="str">
        <f>VLOOKUP($A827,'030523 INVENTARIO'!$A$2:$Y$1148,17,FALSE)</f>
        <v>S/M</v>
      </c>
      <c r="I827" s="167" t="str">
        <f>VLOOKUP($A827,'030523 INVENTARIO'!$A$2:$Y$1148,18,FALSE)</f>
        <v>S/M</v>
      </c>
      <c r="J827" s="168" t="str">
        <f>VLOOKUP($A827,'030523 INVENTARIO'!$A$2:$Y$1148,19,FALSE)</f>
        <v>SIN SERIE</v>
      </c>
      <c r="K827" s="168" t="str">
        <f>VLOOKUP($A827,'030523 INVENTARIO'!$A$2:$Y$1148,20,FALSE)</f>
        <v>82DH0511010009000564544</v>
      </c>
      <c r="L827" s="167" t="str">
        <f>VLOOKUP($A827,'030523 INVENTARIO'!$A$2:$Y$1148,23,FALSE)</f>
        <v>VICTOR IGNACIO ANAYA RAMOS</v>
      </c>
    </row>
    <row r="828" spans="1:12" ht="12.75" hidden="1">
      <c r="A828" s="167" t="str">
        <f>'030523 INVENTARIO'!A828</f>
        <v>0827</v>
      </c>
      <c r="B828" s="168" t="str">
        <f>'030523 INVENTARIO'!T828</f>
        <v>82DH0511010017000516287</v>
      </c>
      <c r="C828" s="167" t="str">
        <f t="shared" si="0"/>
        <v>516287</v>
      </c>
      <c r="D828" s="167" t="str">
        <f>IF(VLOOKUP(C828,'Patrimonio 2023'!$C$2:$C$1128,1,FALSE) = C828, "Encontrado", "no")</f>
        <v>Encontrado</v>
      </c>
      <c r="E828" s="167" t="str">
        <f>VLOOKUP($A828,'030523 INVENTARIO'!$A$2:$Y$1148,5,FALSE)</f>
        <v>SILLA</v>
      </c>
      <c r="F828" s="168" t="str">
        <f>VLOOKUP($A828,'030523 INVENTARIO'!$A$2:$Y$1148,6,FALSE)</f>
        <v>SILLA NEGRA DE TELA CON RUEDAS</v>
      </c>
      <c r="G828" s="167" t="str">
        <f ca="1">VLOOKUP($A828,'030523 INVENTARIO'!$A$2:$Y$1148,8,FALSE)</f>
        <v>P24NV-0827</v>
      </c>
      <c r="H828" s="168" t="str">
        <f>VLOOKUP($A828,'030523 INVENTARIO'!$A$2:$Y$1148,17,FALSE)</f>
        <v>S/M</v>
      </c>
      <c r="I828" s="167" t="str">
        <f>VLOOKUP($A828,'030523 INVENTARIO'!$A$2:$Y$1148,18,FALSE)</f>
        <v>S/M</v>
      </c>
      <c r="J828" s="168" t="str">
        <f>VLOOKUP($A828,'030523 INVENTARIO'!$A$2:$Y$1148,19,FALSE)</f>
        <v>SIN SERIE</v>
      </c>
      <c r="K828" s="168" t="str">
        <f>VLOOKUP($A828,'030523 INVENTARIO'!$A$2:$Y$1148,20,FALSE)</f>
        <v>82DH0511010017000516287</v>
      </c>
      <c r="L828" s="167" t="str">
        <f>VLOOKUP($A828,'030523 INVENTARIO'!$A$2:$Y$1148,23,FALSE)</f>
        <v>VICTOR IGNACIO ANAYA RAMOS</v>
      </c>
    </row>
    <row r="829" spans="1:12" ht="12.75" hidden="1">
      <c r="A829" s="167" t="str">
        <f>'030523 INVENTARIO'!A829</f>
        <v>0828</v>
      </c>
      <c r="B829" s="168" t="str">
        <f>'030523 INVENTARIO'!T829</f>
        <v>82DH0511010006000516988</v>
      </c>
      <c r="C829" s="167" t="str">
        <f t="shared" si="0"/>
        <v>516988</v>
      </c>
      <c r="D829" s="167" t="str">
        <f>IF(VLOOKUP(C829,'Patrimonio 2023'!$C$2:$C$1128,1,FALSE) = C829, "Encontrado", "no")</f>
        <v>Encontrado</v>
      </c>
      <c r="E829" s="167" t="str">
        <f>VLOOKUP($A829,'030523 INVENTARIO'!$A$2:$Y$1148,5,FALSE)</f>
        <v>ESCRITORIO</v>
      </c>
      <c r="F829" s="167" t="str">
        <f>VLOOKUP($A829,'030523 INVENTARIO'!$A$2:$Y$1148,6,FALSE)</f>
        <v>ESCRITORIO DE MADERA 140X60</v>
      </c>
      <c r="G829" s="167" t="str">
        <f ca="1">VLOOKUP($A829,'030523 INVENTARIO'!$A$2:$Y$1148,8,FALSE)</f>
        <v>P24NV-0828</v>
      </c>
      <c r="H829" s="168" t="str">
        <f>VLOOKUP($A829,'030523 INVENTARIO'!$A$2:$Y$1148,17,FALSE)</f>
        <v>S/M</v>
      </c>
      <c r="I829" s="167" t="str">
        <f>VLOOKUP($A829,'030523 INVENTARIO'!$A$2:$Y$1148,18,FALSE)</f>
        <v>S/M</v>
      </c>
      <c r="J829" s="168" t="str">
        <f>VLOOKUP($A829,'030523 INVENTARIO'!$A$2:$Y$1148,19,FALSE)</f>
        <v>SIN SERIE</v>
      </c>
      <c r="K829" s="168" t="str">
        <f>VLOOKUP($A829,'030523 INVENTARIO'!$A$2:$Y$1148,20,FALSE)</f>
        <v>82DH0511010006000516988</v>
      </c>
      <c r="L829" s="167" t="str">
        <f>VLOOKUP($A829,'030523 INVENTARIO'!$A$2:$Y$1148,23,FALSE)</f>
        <v>VICTOR IGNACIO ANAYA RAMOS</v>
      </c>
    </row>
    <row r="830" spans="1:12" ht="12.75" hidden="1">
      <c r="A830" s="167" t="str">
        <f>'030523 INVENTARIO'!A830</f>
        <v>0829</v>
      </c>
      <c r="B830" s="168" t="str">
        <f>'030523 INVENTARIO'!T830</f>
        <v>82DH0515010016000649412</v>
      </c>
      <c r="C830" s="167" t="str">
        <f t="shared" si="0"/>
        <v>649412</v>
      </c>
      <c r="D830" s="167" t="str">
        <f>IF(VLOOKUP(C830,'Patrimonio 2023'!$C$2:$C$1128,1,FALSE) = C830, "Encontrado", "no")</f>
        <v>Encontrado</v>
      </c>
      <c r="E830" s="167" t="str">
        <f>VLOOKUP($A830,'030523 INVENTARIO'!$A$2:$Y$1148,5,FALSE)</f>
        <v>NO BREAK</v>
      </c>
      <c r="F830" s="168" t="str">
        <f>VLOOKUP($A830,'030523 INVENTARIO'!$A$2:$Y$1148,6,FALSE)</f>
        <v>NO BREAK</v>
      </c>
      <c r="G830" s="167" t="str">
        <f ca="1">VLOOKUP($A830,'030523 INVENTARIO'!$A$2:$Y$1148,8,FALSE)</f>
        <v>P24NV-0829</v>
      </c>
      <c r="H830" s="168" t="str">
        <f>VLOOKUP($A830,'030523 INVENTARIO'!$A$2:$Y$1148,17,FALSE)</f>
        <v>FORZA</v>
      </c>
      <c r="I830" s="167" t="str">
        <f>VLOOKUP($A830,'030523 INVENTARIO'!$A$2:$Y$1148,18,FALSE)</f>
        <v>NT751</v>
      </c>
      <c r="J830" s="168" t="str">
        <f>VLOOKUP($A830,'030523 INVENTARIO'!$A$2:$Y$1148,19,FALSE)</f>
        <v>190522503056</v>
      </c>
      <c r="K830" s="168" t="str">
        <f>VLOOKUP($A830,'030523 INVENTARIO'!$A$2:$Y$1148,20,FALSE)</f>
        <v>82DH0515010016000649412</v>
      </c>
      <c r="L830" s="167" t="str">
        <f>VLOOKUP($A830,'030523 INVENTARIO'!$A$2:$Y$1148,23,FALSE)</f>
        <v>VICTOR IGNACIO ANAYA RAMOS</v>
      </c>
    </row>
    <row r="831" spans="1:12" ht="12.75" hidden="1">
      <c r="A831" s="167" t="str">
        <f>'030523 INVENTARIO'!A831</f>
        <v>0830</v>
      </c>
      <c r="B831" s="167" t="str">
        <f>'030523 INVENTARIO'!T831</f>
        <v>SIN RESGUARDO</v>
      </c>
      <c r="C831" s="167" t="str">
        <f t="shared" si="0"/>
        <v/>
      </c>
      <c r="D831" s="167" t="e">
        <f>IF(VLOOKUP(C831,'Patrimonio 2023'!$C$2:$C$1128,1,FALSE) = C831, "Encontrado", "no")</f>
        <v>#N/A</v>
      </c>
      <c r="E831" s="167" t="str">
        <f>VLOOKUP($A831,'030523 INVENTARIO'!$A$2:$Y$1148,5,FALSE)</f>
        <v>COMPUTADORA DE ESCRITORIO</v>
      </c>
      <c r="F831" s="167" t="str">
        <f>VLOOKUP($A831,'030523 INVENTARIO'!$A$2:$Y$1148,6,FALSE)</f>
        <v>COMPUTADORA DE ESCRITORIO</v>
      </c>
      <c r="G831" s="167" t="str">
        <f ca="1">VLOOKUP($A831,'030523 INVENTARIO'!$A$2:$Y$1148,8,FALSE)</f>
        <v>P24NV-0830</v>
      </c>
      <c r="H831" s="168" t="str">
        <f>VLOOKUP($A831,'030523 INVENTARIO'!$A$2:$Y$1148,17,FALSE)</f>
        <v>ACTECK</v>
      </c>
      <c r="I831" s="167" t="str">
        <f>VLOOKUP($A831,'030523 INVENTARIO'!$A$2:$Y$1148,18,FALSE)</f>
        <v>LINX</v>
      </c>
      <c r="J831" s="167">
        <f>VLOOKUP($A831,'030523 INVENTARIO'!$A$2:$Y$1148,19,FALSE)</f>
        <v>11392903012346</v>
      </c>
      <c r="K831" s="167" t="str">
        <f>VLOOKUP($A831,'030523 INVENTARIO'!$A$2:$Y$1148,20,FALSE)</f>
        <v>SIN RESGUARDO</v>
      </c>
      <c r="L831" s="167" t="str">
        <f>VLOOKUP($A831,'030523 INVENTARIO'!$A$2:$Y$1148,23,FALSE)</f>
        <v>VICTOR IGNACIO ANAYA RAMOS</v>
      </c>
    </row>
    <row r="832" spans="1:12" ht="12.75" hidden="1">
      <c r="A832" s="167" t="str">
        <f>'030523 INVENTARIO'!A832</f>
        <v>0831</v>
      </c>
      <c r="B832" s="167" t="str">
        <f>'030523 INVENTARIO'!T832</f>
        <v>SIN RESGUARDO</v>
      </c>
      <c r="C832" s="167" t="str">
        <f t="shared" si="0"/>
        <v/>
      </c>
      <c r="D832" s="167" t="e">
        <f>IF(VLOOKUP(C832,'Patrimonio 2023'!$C$2:$C$1128,1,FALSE) = C832, "Encontrado", "no")</f>
        <v>#N/A</v>
      </c>
      <c r="E832" s="167" t="str">
        <f>VLOOKUP($A832,'030523 INVENTARIO'!$A$2:$Y$1148,5,FALSE)</f>
        <v>MONITOR</v>
      </c>
      <c r="F832" s="167" t="str">
        <f>VLOOKUP($A832,'030523 INVENTARIO'!$A$2:$Y$1148,6,FALSE)</f>
        <v>MONITOR 19"</v>
      </c>
      <c r="G832" s="167" t="str">
        <f ca="1">VLOOKUP($A832,'030523 INVENTARIO'!$A$2:$Y$1148,8,FALSE)</f>
        <v>P24NV-0831</v>
      </c>
      <c r="H832" s="168" t="str">
        <f>VLOOKUP($A832,'030523 INVENTARIO'!$A$2:$Y$1148,17,FALSE)</f>
        <v>ACER</v>
      </c>
      <c r="I832" s="167" t="str">
        <f>VLOOKUP($A832,'030523 INVENTARIO'!$A$2:$Y$1148,18,FALSE)</f>
        <v>V226HQL</v>
      </c>
      <c r="J832" s="167" t="str">
        <f>VLOOKUP($A832,'030523 INVENTARIO'!$A$2:$Y$1148,19,FALSE)</f>
        <v>MMLXLAA0250480B4954273</v>
      </c>
      <c r="K832" s="167" t="str">
        <f>VLOOKUP($A832,'030523 INVENTARIO'!$A$2:$Y$1148,20,FALSE)</f>
        <v>SIN RESGUARDO</v>
      </c>
      <c r="L832" s="167" t="str">
        <f>VLOOKUP($A832,'030523 INVENTARIO'!$A$2:$Y$1148,23,FALSE)</f>
        <v>VICTOR IGNACIO ANAYA RAMOS</v>
      </c>
    </row>
    <row r="833" spans="1:12" ht="12.75" hidden="1">
      <c r="A833" s="167" t="str">
        <f>'030523 INVENTARIO'!A833</f>
        <v>0832</v>
      </c>
      <c r="B833" s="168" t="str">
        <f>'030523 INVENTARIO'!T833</f>
        <v>82DH0519010043000649770</v>
      </c>
      <c r="C833" s="167" t="str">
        <f t="shared" si="0"/>
        <v>649770</v>
      </c>
      <c r="D833" s="167" t="str">
        <f>IF(VLOOKUP(C833,'Patrimonio 2023'!$C$2:$C$1128,1,FALSE) = C833, "Encontrado", "no")</f>
        <v>Encontrado</v>
      </c>
      <c r="E833" s="167" t="str">
        <f>VLOOKUP($A833,'030523 INVENTARIO'!$A$2:$Y$1148,5,FALSE)</f>
        <v>VENTILADOR</v>
      </c>
      <c r="F833" s="168" t="str">
        <f>VLOOKUP($A833,'030523 INVENTARIO'!$A$2:$Y$1148,6,FALSE)</f>
        <v>VENTILADOR CHICO GRIS</v>
      </c>
      <c r="G833" s="167" t="str">
        <f ca="1">VLOOKUP($A833,'030523 INVENTARIO'!$A$2:$Y$1148,8,FALSE)</f>
        <v>P24NV-0832</v>
      </c>
      <c r="H833" s="168" t="str">
        <f>VLOOKUP($A833,'030523 INVENTARIO'!$A$2:$Y$1148,17,FALSE)</f>
        <v>LASKO</v>
      </c>
      <c r="I833" s="167" t="str">
        <f>VLOOKUP($A833,'030523 INVENTARIO'!$A$2:$Y$1148,18,FALSE)</f>
        <v>4910M</v>
      </c>
      <c r="J833" s="168" t="str">
        <f>VLOOKUP($A833,'030523 INVENTARIO'!$A$2:$Y$1148,19,FALSE)</f>
        <v>SIN SERIE</v>
      </c>
      <c r="K833" s="168" t="str">
        <f>VLOOKUP($A833,'030523 INVENTARIO'!$A$2:$Y$1148,20,FALSE)</f>
        <v>82DH0519010043000649770</v>
      </c>
      <c r="L833" s="167" t="str">
        <f>VLOOKUP($A833,'030523 INVENTARIO'!$A$2:$Y$1148,23,FALSE)</f>
        <v>VICTOR IGNACIO ANAYA RAMOS</v>
      </c>
    </row>
    <row r="834" spans="1:12" ht="12.75" hidden="1">
      <c r="A834" s="167" t="str">
        <f>'030523 INVENTARIO'!A834</f>
        <v>0833</v>
      </c>
      <c r="B834" s="168" t="str">
        <f>'030523 INVENTARIO'!T834</f>
        <v>82DH0531010065000564779</v>
      </c>
      <c r="C834" s="167" t="str">
        <f t="shared" si="0"/>
        <v>564779</v>
      </c>
      <c r="D834" s="167" t="str">
        <f>IF(VLOOKUP(C834,'Patrimonio 2023'!$C$2:$C$1128,1,FALSE) = C834, "Encontrado", "no")</f>
        <v>Encontrado</v>
      </c>
      <c r="E834" s="167" t="str">
        <f>VLOOKUP($A834,'030523 INVENTARIO'!$A$2:$Y$1148,5,FALSE)</f>
        <v>MESA</v>
      </c>
      <c r="F834" s="167" t="str">
        <f>VLOOKUP($A834,'030523 INVENTARIO'!$A$2:$Y$1148,6,FALSE)</f>
        <v>MESA/TABLON DE PLASTICO BLANCO 60X120</v>
      </c>
      <c r="G834" s="167" t="str">
        <f ca="1">VLOOKUP($A834,'030523 INVENTARIO'!$A$2:$Y$1148,8,FALSE)</f>
        <v>P35DA-0833</v>
      </c>
      <c r="H834" s="168" t="str">
        <f>VLOOKUP($A834,'030523 INVENTARIO'!$A$2:$Y$1148,17,FALSE)</f>
        <v>S/M</v>
      </c>
      <c r="I834" s="167" t="str">
        <f>VLOOKUP($A834,'030523 INVENTARIO'!$A$2:$Y$1148,18,FALSE)</f>
        <v>S/M</v>
      </c>
      <c r="J834" s="168" t="str">
        <f>VLOOKUP($A834,'030523 INVENTARIO'!$A$2:$Y$1148,19,FALSE)</f>
        <v>SIN SERIE</v>
      </c>
      <c r="K834" s="168" t="str">
        <f>VLOOKUP($A834,'030523 INVENTARIO'!$A$2:$Y$1148,20,FALSE)</f>
        <v>82DH0531010065000564779</v>
      </c>
      <c r="L834" s="167" t="str">
        <f>VLOOKUP($A834,'030523 INVENTARIO'!$A$2:$Y$1148,23,FALSE)</f>
        <v>ROSAURA MENDEZ SALGADO</v>
      </c>
    </row>
    <row r="835" spans="1:12" ht="12.75" hidden="1">
      <c r="A835" s="167" t="str">
        <f>'030523 INVENTARIO'!A835</f>
        <v>0834</v>
      </c>
      <c r="B835" s="167" t="str">
        <f>'030523 INVENTARIO'!T835</f>
        <v>SIN RESGUARDO</v>
      </c>
      <c r="C835" s="167" t="str">
        <f t="shared" si="0"/>
        <v/>
      </c>
      <c r="D835" s="167" t="e">
        <f>IF(VLOOKUP(C835,'Patrimonio 2023'!$C$2:$C$1128,1,FALSE) = C835, "Encontrado", "no")</f>
        <v>#N/A</v>
      </c>
      <c r="E835" s="167" t="str">
        <f>VLOOKUP($A835,'030523 INVENTARIO'!$A$2:$Y$1148,5,FALSE)</f>
        <v>MESA</v>
      </c>
      <c r="F835" s="167" t="str">
        <f>VLOOKUP($A835,'030523 INVENTARIO'!$A$2:$Y$1148,6,FALSE)</f>
        <v>MESA NARANJA CON BASE DE METAL 60X120</v>
      </c>
      <c r="G835" s="167" t="str">
        <f ca="1">VLOOKUP($A835,'030523 INVENTARIO'!$A$2:$Y$1148,8,FALSE)</f>
        <v>P35DA-0834</v>
      </c>
      <c r="H835" s="168" t="str">
        <f>VLOOKUP($A835,'030523 INVENTARIO'!$A$2:$Y$1148,17,FALSE)</f>
        <v>S/M</v>
      </c>
      <c r="I835" s="167" t="str">
        <f>VLOOKUP($A835,'030523 INVENTARIO'!$A$2:$Y$1148,18,FALSE)</f>
        <v>S/M</v>
      </c>
      <c r="J835" s="167" t="str">
        <f>VLOOKUP($A835,'030523 INVENTARIO'!$A$2:$Y$1148,19,FALSE)</f>
        <v>SIN SERIE</v>
      </c>
      <c r="K835" s="167" t="str">
        <f>VLOOKUP($A835,'030523 INVENTARIO'!$A$2:$Y$1148,20,FALSE)</f>
        <v>SIN RESGUARDO</v>
      </c>
      <c r="L835" s="167" t="str">
        <f>VLOOKUP($A835,'030523 INVENTARIO'!$A$2:$Y$1148,23,FALSE)</f>
        <v>ROSAURA MENDEZ SALGADO</v>
      </c>
    </row>
    <row r="836" spans="1:12" ht="12.75" hidden="1">
      <c r="A836" s="167" t="str">
        <f>'030523 INVENTARIO'!A836</f>
        <v>0835</v>
      </c>
      <c r="B836" s="167" t="str">
        <f>'030523 INVENTARIO'!T836</f>
        <v>SIN RESGUARDO</v>
      </c>
      <c r="C836" s="167" t="str">
        <f t="shared" si="0"/>
        <v/>
      </c>
      <c r="D836" s="167" t="e">
        <f>IF(VLOOKUP(C836,'Patrimonio 2023'!$C$2:$C$1128,1,FALSE) = C836, "Encontrado", "no")</f>
        <v>#N/A</v>
      </c>
      <c r="E836" s="167" t="str">
        <f>VLOOKUP($A836,'030523 INVENTARIO'!$A$2:$Y$1148,5,FALSE)</f>
        <v>MESA</v>
      </c>
      <c r="F836" s="167" t="str">
        <f>VLOOKUP($A836,'030523 INVENTARIO'!$A$2:$Y$1148,6,FALSE)</f>
        <v>MESA NARANJA CON BASE DE METAL 60X120</v>
      </c>
      <c r="G836" s="167" t="str">
        <f ca="1">VLOOKUP($A836,'030523 INVENTARIO'!$A$2:$Y$1148,8,FALSE)</f>
        <v>P35DA-0835</v>
      </c>
      <c r="H836" s="168" t="str">
        <f>VLOOKUP($A836,'030523 INVENTARIO'!$A$2:$Y$1148,17,FALSE)</f>
        <v>S/M</v>
      </c>
      <c r="I836" s="167" t="str">
        <f>VLOOKUP($A836,'030523 INVENTARIO'!$A$2:$Y$1148,18,FALSE)</f>
        <v>S/M</v>
      </c>
      <c r="J836" s="167" t="str">
        <f>VLOOKUP($A836,'030523 INVENTARIO'!$A$2:$Y$1148,19,FALSE)</f>
        <v>SIN SERIE</v>
      </c>
      <c r="K836" s="167" t="str">
        <f>VLOOKUP($A836,'030523 INVENTARIO'!$A$2:$Y$1148,20,FALSE)</f>
        <v>SIN RESGUARDO</v>
      </c>
      <c r="L836" s="167" t="str">
        <f>VLOOKUP($A836,'030523 INVENTARIO'!$A$2:$Y$1148,23,FALSE)</f>
        <v>ROSAURA MENDEZ SALGADO</v>
      </c>
    </row>
    <row r="837" spans="1:12" ht="12.75" hidden="1">
      <c r="A837" s="167" t="str">
        <f>'030523 INVENTARIO'!A837</f>
        <v>0836</v>
      </c>
      <c r="B837" s="168" t="str">
        <f>'030523 INVENTARIO'!T837</f>
        <v>82DH0531010065000564863</v>
      </c>
      <c r="C837" s="167" t="str">
        <f t="shared" si="0"/>
        <v>564863</v>
      </c>
      <c r="D837" s="167" t="str">
        <f>IF(VLOOKUP(C837,'Patrimonio 2023'!$C$2:$C$1128,1,FALSE) = C837, "Encontrado", "no")</f>
        <v>Encontrado</v>
      </c>
      <c r="E837" s="167" t="str">
        <f>VLOOKUP($A837,'030523 INVENTARIO'!$A$2:$Y$1148,5,FALSE)</f>
        <v>MESA</v>
      </c>
      <c r="F837" s="167" t="str">
        <f>VLOOKUP($A837,'030523 INVENTARIO'!$A$2:$Y$1148,6,FALSE)</f>
        <v>MESA NARANJA CON BASE DE METAL 60X120</v>
      </c>
      <c r="G837" s="167" t="str">
        <f ca="1">VLOOKUP($A837,'030523 INVENTARIO'!$A$2:$Y$1148,8,FALSE)</f>
        <v>P35DA-0836</v>
      </c>
      <c r="H837" s="168" t="str">
        <f>VLOOKUP($A837,'030523 INVENTARIO'!$A$2:$Y$1148,17,FALSE)</f>
        <v>S/M</v>
      </c>
      <c r="I837" s="167" t="str">
        <f>VLOOKUP($A837,'030523 INVENTARIO'!$A$2:$Y$1148,18,FALSE)</f>
        <v>S/M</v>
      </c>
      <c r="J837" s="168" t="str">
        <f>VLOOKUP($A837,'030523 INVENTARIO'!$A$2:$Y$1148,19,FALSE)</f>
        <v>SIN SERIE</v>
      </c>
      <c r="K837" s="168" t="str">
        <f>VLOOKUP($A837,'030523 INVENTARIO'!$A$2:$Y$1148,20,FALSE)</f>
        <v>82DH0531010065000564863</v>
      </c>
      <c r="L837" s="167" t="str">
        <f>VLOOKUP($A837,'030523 INVENTARIO'!$A$2:$Y$1148,23,FALSE)</f>
        <v>ROSAURA MENDEZ SALGADO</v>
      </c>
    </row>
    <row r="838" spans="1:12" ht="12.75" hidden="1">
      <c r="A838" s="167" t="str">
        <f>'030523 INVENTARIO'!A838</f>
        <v>0837</v>
      </c>
      <c r="B838" s="168" t="str">
        <f>'030523 INVENTARIO'!T838</f>
        <v>82DH0511010017000516232</v>
      </c>
      <c r="C838" s="167" t="str">
        <f t="shared" si="0"/>
        <v>516232</v>
      </c>
      <c r="D838" s="167" t="str">
        <f>IF(VLOOKUP(C838,'Patrimonio 2023'!$C$2:$C$1128,1,FALSE) = C838, "Encontrado", "no")</f>
        <v>Encontrado</v>
      </c>
      <c r="E838" s="167" t="str">
        <f>VLOOKUP($A838,'030523 INVENTARIO'!$A$2:$Y$1148,5,FALSE)</f>
        <v>SILLA</v>
      </c>
      <c r="F838" s="168" t="str">
        <f>VLOOKUP($A838,'030523 INVENTARIO'!$A$2:$Y$1148,6,FALSE)</f>
        <v>SILLA DE TELA CAFÉ</v>
      </c>
      <c r="G838" s="167" t="str">
        <f ca="1">VLOOKUP($A838,'030523 INVENTARIO'!$A$2:$Y$1148,8,FALSE)</f>
        <v>P35DA-0837</v>
      </c>
      <c r="H838" s="168" t="str">
        <f>VLOOKUP($A838,'030523 INVENTARIO'!$A$2:$Y$1148,17,FALSE)</f>
        <v>S/M</v>
      </c>
      <c r="I838" s="167" t="str">
        <f>VLOOKUP($A838,'030523 INVENTARIO'!$A$2:$Y$1148,18,FALSE)</f>
        <v>S/M</v>
      </c>
      <c r="J838" s="168" t="str">
        <f>VLOOKUP($A838,'030523 INVENTARIO'!$A$2:$Y$1148,19,FALSE)</f>
        <v>SIN SERIE</v>
      </c>
      <c r="K838" s="168" t="str">
        <f>VLOOKUP($A838,'030523 INVENTARIO'!$A$2:$Y$1148,20,FALSE)</f>
        <v>82DH0511010017000516232</v>
      </c>
      <c r="L838" s="167" t="str">
        <f>VLOOKUP($A838,'030523 INVENTARIO'!$A$2:$Y$1148,23,FALSE)</f>
        <v>ROSAURA MENDEZ SALGADO</v>
      </c>
    </row>
    <row r="839" spans="1:12" ht="12.75" hidden="1">
      <c r="A839" s="167" t="str">
        <f>'030523 INVENTARIO'!A839</f>
        <v>0838</v>
      </c>
      <c r="B839" s="168" t="str">
        <f>'030523 INVENTARIO'!T839</f>
        <v>82DH0511010017000516228</v>
      </c>
      <c r="C839" s="167" t="str">
        <f t="shared" si="0"/>
        <v>516228</v>
      </c>
      <c r="D839" s="167" t="str">
        <f>IF(VLOOKUP(C839,'Patrimonio 2023'!$C$2:$C$1128,1,FALSE) = C839, "Encontrado", "no")</f>
        <v>Encontrado</v>
      </c>
      <c r="E839" s="167" t="str">
        <f>VLOOKUP($A839,'030523 INVENTARIO'!$A$2:$Y$1148,5,FALSE)</f>
        <v>SILLA</v>
      </c>
      <c r="F839" s="167" t="str">
        <f>VLOOKUP($A839,'030523 INVENTARIO'!$A$2:$Y$1148,6,FALSE)</f>
        <v>SILLA DE TELA CAFÉ</v>
      </c>
      <c r="G839" s="167" t="str">
        <f ca="1">VLOOKUP($A839,'030523 INVENTARIO'!$A$2:$Y$1148,8,FALSE)</f>
        <v>P35DA-0838</v>
      </c>
      <c r="H839" s="168" t="str">
        <f>VLOOKUP($A839,'030523 INVENTARIO'!$A$2:$Y$1148,17,FALSE)</f>
        <v>S/M</v>
      </c>
      <c r="I839" s="167" t="str">
        <f>VLOOKUP($A839,'030523 INVENTARIO'!$A$2:$Y$1148,18,FALSE)</f>
        <v>S/M</v>
      </c>
      <c r="J839" s="168" t="str">
        <f>VLOOKUP($A839,'030523 INVENTARIO'!$A$2:$Y$1148,19,FALSE)</f>
        <v>SIN SERIE</v>
      </c>
      <c r="K839" s="168" t="str">
        <f>VLOOKUP($A839,'030523 INVENTARIO'!$A$2:$Y$1148,20,FALSE)</f>
        <v>82DH0511010017000516228</v>
      </c>
      <c r="L839" s="167" t="str">
        <f>VLOOKUP($A839,'030523 INVENTARIO'!$A$2:$Y$1148,23,FALSE)</f>
        <v>ROSAURA MENDEZ SALGADO</v>
      </c>
    </row>
    <row r="840" spans="1:12" ht="12.75" hidden="1">
      <c r="A840" s="167" t="str">
        <f>'030523 INVENTARIO'!A840</f>
        <v>0839</v>
      </c>
      <c r="B840" s="168" t="str">
        <f>'030523 INVENTARIO'!T840</f>
        <v>SIN RESGUARDO</v>
      </c>
      <c r="C840" s="167" t="str">
        <f t="shared" si="0"/>
        <v/>
      </c>
      <c r="D840" s="167" t="e">
        <f>IF(VLOOKUP(C840,'Patrimonio 2023'!$C$2:$C$1128,1,FALSE) = C840, "Encontrado", "no")</f>
        <v>#N/A</v>
      </c>
      <c r="E840" s="167" t="str">
        <f>VLOOKUP($A840,'030523 INVENTARIO'!$A$2:$Y$1148,5,FALSE)</f>
        <v>LOCKER</v>
      </c>
      <c r="F840" s="167" t="str">
        <f>VLOOKUP($A840,'030523 INVENTARIO'!$A$2:$Y$1148,6,FALSE)</f>
        <v>LOCKER DE METAL 2 PUERTAS 91X183X50</v>
      </c>
      <c r="G840" s="167" t="str">
        <f ca="1">VLOOKUP($A840,'030523 INVENTARIO'!$A$2:$Y$1148,8,FALSE)</f>
        <v>P35DA-0839</v>
      </c>
      <c r="H840" s="168" t="str">
        <f>VLOOKUP($A840,'030523 INVENTARIO'!$A$2:$Y$1148,17,FALSE)</f>
        <v>S/M</v>
      </c>
      <c r="I840" s="167" t="str">
        <f>VLOOKUP($A840,'030523 INVENTARIO'!$A$2:$Y$1148,18,FALSE)</f>
        <v>S/M</v>
      </c>
      <c r="J840" s="168" t="str">
        <f>VLOOKUP($A840,'030523 INVENTARIO'!$A$2:$Y$1148,19,FALSE)</f>
        <v>SIN SERIE</v>
      </c>
      <c r="K840" s="168" t="str">
        <f>VLOOKUP($A840,'030523 INVENTARIO'!$A$2:$Y$1148,20,FALSE)</f>
        <v>SIN RESGUARDO</v>
      </c>
      <c r="L840" s="167" t="str">
        <f>VLOOKUP($A840,'030523 INVENTARIO'!$A$2:$Y$1148,23,FALSE)</f>
        <v>ROSAURA MENDEZ SALGADO</v>
      </c>
    </row>
    <row r="841" spans="1:12" ht="12.75" hidden="1">
      <c r="A841" s="167" t="str">
        <f>'030523 INVENTARIO'!A841</f>
        <v>0840</v>
      </c>
      <c r="B841" s="168" t="str">
        <f>'030523 INVENTARIO'!T841</f>
        <v>82DH0511010010000649525</v>
      </c>
      <c r="C841" s="167" t="str">
        <f t="shared" si="0"/>
        <v>649525</v>
      </c>
      <c r="D841" s="167" t="str">
        <f>IF(VLOOKUP(C841,'Patrimonio 2023'!$C$2:$C$1128,1,FALSE) = C841, "Encontrado", "no")</f>
        <v>Encontrado</v>
      </c>
      <c r="E841" s="167" t="str">
        <f>VLOOKUP($A841,'030523 INVENTARIO'!$A$2:$Y$1148,5,FALSE)</f>
        <v>MESA</v>
      </c>
      <c r="F841" s="167" t="str">
        <f>VLOOKUP($A841,'030523 INVENTARIO'!$A$2:$Y$1148,6,FALSE)</f>
        <v>MESA DE MADERA CON BASE DE METAL 60X120</v>
      </c>
      <c r="G841" s="167" t="str">
        <f ca="1">VLOOKUP($A841,'030523 INVENTARIO'!$A$2:$Y$1148,8,FALSE)</f>
        <v>P35DA-0840</v>
      </c>
      <c r="H841" s="168" t="str">
        <f>VLOOKUP($A841,'030523 INVENTARIO'!$A$2:$Y$1148,17,FALSE)</f>
        <v>S/M</v>
      </c>
      <c r="I841" s="167" t="str">
        <f>VLOOKUP($A841,'030523 INVENTARIO'!$A$2:$Y$1148,18,FALSE)</f>
        <v>S/M</v>
      </c>
      <c r="J841" s="168" t="str">
        <f>VLOOKUP($A841,'030523 INVENTARIO'!$A$2:$Y$1148,19,FALSE)</f>
        <v>SIN SERIE</v>
      </c>
      <c r="K841" s="168" t="str">
        <f>VLOOKUP($A841,'030523 INVENTARIO'!$A$2:$Y$1148,20,FALSE)</f>
        <v>82DH0511010010000649525</v>
      </c>
      <c r="L841" s="167" t="str">
        <f>VLOOKUP($A841,'030523 INVENTARIO'!$A$2:$Y$1148,23,FALSE)</f>
        <v>ROSAURA MENDEZ SALGADO</v>
      </c>
    </row>
    <row r="842" spans="1:12" ht="12.75" hidden="1">
      <c r="A842" s="167" t="str">
        <f>'030523 INVENTARIO'!A842</f>
        <v>0841</v>
      </c>
      <c r="B842" s="167" t="str">
        <f>'030523 INVENTARIO'!T842</f>
        <v>SIN RESGUARDO</v>
      </c>
      <c r="C842" s="167" t="str">
        <f t="shared" si="0"/>
        <v/>
      </c>
      <c r="D842" s="167" t="e">
        <f>IF(VLOOKUP(C842,'Patrimonio 2023'!$C$2:$C$1128,1,FALSE) = C842, "Encontrado", "no")</f>
        <v>#N/A</v>
      </c>
      <c r="E842" s="167" t="str">
        <f>VLOOKUP($A842,'030523 INVENTARIO'!$A$2:$Y$1148,5,FALSE)</f>
        <v>HORNO</v>
      </c>
      <c r="F842" s="168" t="str">
        <f>VLOOKUP($A842,'030523 INVENTARIO'!$A$2:$Y$1148,6,FALSE)</f>
        <v>HORNO ELECTRICO</v>
      </c>
      <c r="G842" s="167" t="str">
        <f ca="1">VLOOKUP($A842,'030523 INVENTARIO'!$A$2:$Y$1148,8,FALSE)</f>
        <v>P35DA-0841</v>
      </c>
      <c r="H842" s="168" t="str">
        <f>VLOOKUP($A842,'030523 INVENTARIO'!$A$2:$Y$1148,17,FALSE)</f>
        <v>TURMIX</v>
      </c>
      <c r="I842" s="167" t="str">
        <f>VLOOKUP($A842,'030523 INVENTARIO'!$A$2:$Y$1148,18,FALSE)</f>
        <v>HT-6L</v>
      </c>
      <c r="J842" s="167" t="str">
        <f>VLOOKUP($A842,'030523 INVENTARIO'!$A$2:$Y$1148,19,FALSE)</f>
        <v>SIN SERIE</v>
      </c>
      <c r="K842" s="167" t="str">
        <f>VLOOKUP($A842,'030523 INVENTARIO'!$A$2:$Y$1148,20,FALSE)</f>
        <v>SIN RESGUARDO</v>
      </c>
      <c r="L842" s="167" t="str">
        <f>VLOOKUP($A842,'030523 INVENTARIO'!$A$2:$Y$1148,23,FALSE)</f>
        <v>ROSAURA MENDEZ SALGADO</v>
      </c>
    </row>
    <row r="843" spans="1:12" ht="12.75" hidden="1">
      <c r="A843" s="167" t="str">
        <f>'030523 INVENTARIO'!A843</f>
        <v>0842</v>
      </c>
      <c r="B843" s="168" t="str">
        <f>'030523 INVENTARIO'!T843</f>
        <v>82DH0511010017000518515</v>
      </c>
      <c r="C843" s="167" t="str">
        <f t="shared" si="0"/>
        <v>518515</v>
      </c>
      <c r="D843" s="167" t="str">
        <f>IF(VLOOKUP(C843,'Patrimonio 2023'!$C$2:$C$1128,1,FALSE) = C843, "Encontrado", "no")</f>
        <v>Encontrado</v>
      </c>
      <c r="E843" s="167" t="str">
        <f>VLOOKUP($A843,'030523 INVENTARIO'!$A$2:$Y$1148,5,FALSE)</f>
        <v>SILLA</v>
      </c>
      <c r="F843" s="168" t="str">
        <f>VLOOKUP($A843,'030523 INVENTARIO'!$A$2:$Y$1148,6,FALSE)</f>
        <v>SILLA DE TELA CAFÉ</v>
      </c>
      <c r="G843" s="167" t="str">
        <f ca="1">VLOOKUP($A843,'030523 INVENTARIO'!$A$2:$Y$1148,8,FALSE)</f>
        <v>P35DA-0842</v>
      </c>
      <c r="H843" s="168" t="str">
        <f>VLOOKUP($A843,'030523 INVENTARIO'!$A$2:$Y$1148,17,FALSE)</f>
        <v>S/M</v>
      </c>
      <c r="I843" s="167" t="str">
        <f>VLOOKUP($A843,'030523 INVENTARIO'!$A$2:$Y$1148,18,FALSE)</f>
        <v>S/M</v>
      </c>
      <c r="J843" s="168" t="str">
        <f>VLOOKUP($A843,'030523 INVENTARIO'!$A$2:$Y$1148,19,FALSE)</f>
        <v>SIN SERIE</v>
      </c>
      <c r="K843" s="168" t="str">
        <f>VLOOKUP($A843,'030523 INVENTARIO'!$A$2:$Y$1148,20,FALSE)</f>
        <v>82DH0511010017000518515</v>
      </c>
      <c r="L843" s="167" t="str">
        <f>VLOOKUP($A843,'030523 INVENTARIO'!$A$2:$Y$1148,23,FALSE)</f>
        <v>ROSAURA MENDEZ SALGADO</v>
      </c>
    </row>
    <row r="844" spans="1:12" ht="12.75" hidden="1">
      <c r="A844" s="167" t="str">
        <f>'030523 INVENTARIO'!A844</f>
        <v>0843</v>
      </c>
      <c r="B844" s="168" t="str">
        <f>'030523 INVENTARIO'!T844</f>
        <v>82DH0511010017000649526</v>
      </c>
      <c r="C844" s="167" t="str">
        <f t="shared" si="0"/>
        <v>649526</v>
      </c>
      <c r="D844" s="167" t="str">
        <f>IF(VLOOKUP(C844,'Patrimonio 2023'!$C$2:$C$1128,1,FALSE) = C844, "Encontrado", "no")</f>
        <v>Encontrado</v>
      </c>
      <c r="E844" s="167" t="str">
        <f>VLOOKUP($A844,'030523 INVENTARIO'!$A$2:$Y$1148,5,FALSE)</f>
        <v>SILLA</v>
      </c>
      <c r="F844" s="168" t="str">
        <f>VLOOKUP($A844,'030523 INVENTARIO'!$A$2:$Y$1148,6,FALSE)</f>
        <v>SILLA DE TELA CAFÉ</v>
      </c>
      <c r="G844" s="167" t="str">
        <f ca="1">VLOOKUP($A844,'030523 INVENTARIO'!$A$2:$Y$1148,8,FALSE)</f>
        <v>P35RM-0843</v>
      </c>
      <c r="H844" s="168" t="str">
        <f>VLOOKUP($A844,'030523 INVENTARIO'!$A$2:$Y$1148,17,FALSE)</f>
        <v>S/M</v>
      </c>
      <c r="I844" s="167" t="str">
        <f>VLOOKUP($A844,'030523 INVENTARIO'!$A$2:$Y$1148,18,FALSE)</f>
        <v>S/M</v>
      </c>
      <c r="J844" s="168" t="str">
        <f>VLOOKUP($A844,'030523 INVENTARIO'!$A$2:$Y$1148,19,FALSE)</f>
        <v>SIN SERIE</v>
      </c>
      <c r="K844" s="168" t="str">
        <f>VLOOKUP($A844,'030523 INVENTARIO'!$A$2:$Y$1148,20,FALSE)</f>
        <v>82DH0511010017000649526</v>
      </c>
      <c r="L844" s="167" t="str">
        <f>VLOOKUP($A844,'030523 INVENTARIO'!$A$2:$Y$1148,23,FALSE)</f>
        <v>BLANCA ELIZABETH ALCANTAR GUERRERO</v>
      </c>
    </row>
    <row r="845" spans="1:12" ht="12.75" hidden="1">
      <c r="A845" s="167" t="str">
        <f>'030523 INVENTARIO'!A845</f>
        <v>0844</v>
      </c>
      <c r="B845" s="168" t="str">
        <f>'030523 INVENTARIO'!T845</f>
        <v>82DH0531010065000580348</v>
      </c>
      <c r="C845" s="167" t="str">
        <f t="shared" si="0"/>
        <v>580348</v>
      </c>
      <c r="D845" s="167" t="str">
        <f>IF(VLOOKUP(C845,'Patrimonio 2023'!$C$2:$C$1128,1,FALSE) = C845, "Encontrado", "no")</f>
        <v>Encontrado</v>
      </c>
      <c r="E845" s="167" t="str">
        <f>VLOOKUP($A845,'030523 INVENTARIO'!$A$2:$Y$1148,5,FALSE)</f>
        <v>MESA</v>
      </c>
      <c r="F845" s="167" t="str">
        <f>VLOOKUP($A845,'030523 INVENTARIO'!$A$2:$Y$1148,6,FALSE)</f>
        <v>MESA /TABLON DE PLASTICO BLANCO 243X76</v>
      </c>
      <c r="G845" s="167" t="str">
        <f ca="1">VLOOKUP($A845,'030523 INVENTARIO'!$A$2:$Y$1148,8,FALSE)</f>
        <v>P35DA-0844</v>
      </c>
      <c r="H845" s="168" t="str">
        <f>VLOOKUP($A845,'030523 INVENTARIO'!$A$2:$Y$1148,17,FALSE)</f>
        <v>S/M</v>
      </c>
      <c r="I845" s="167" t="str">
        <f>VLOOKUP($A845,'030523 INVENTARIO'!$A$2:$Y$1148,18,FALSE)</f>
        <v>S/M</v>
      </c>
      <c r="J845" s="168" t="str">
        <f>VLOOKUP($A845,'030523 INVENTARIO'!$A$2:$Y$1148,19,FALSE)</f>
        <v>SIN SERIE</v>
      </c>
      <c r="K845" s="168" t="str">
        <f>VLOOKUP($A845,'030523 INVENTARIO'!$A$2:$Y$1148,20,FALSE)</f>
        <v>82DH0531010065000580348</v>
      </c>
      <c r="L845" s="167" t="str">
        <f>VLOOKUP($A845,'030523 INVENTARIO'!$A$2:$Y$1148,23,FALSE)</f>
        <v>ROSAURA MENDEZ SALGADO</v>
      </c>
    </row>
    <row r="846" spans="1:12" ht="12.75" hidden="1">
      <c r="A846" s="167" t="str">
        <f>'030523 INVENTARIO'!A846</f>
        <v>0845</v>
      </c>
      <c r="B846" s="168" t="str">
        <f>'030523 INVENTARIO'!T846</f>
        <v>82DH0531010065000564869</v>
      </c>
      <c r="C846" s="167" t="str">
        <f t="shared" si="0"/>
        <v>564869</v>
      </c>
      <c r="D846" s="167" t="str">
        <f>IF(VLOOKUP(C846,'Patrimonio 2023'!$C$2:$C$1128,1,FALSE) = C846, "Encontrado", "no")</f>
        <v>Encontrado</v>
      </c>
      <c r="E846" s="167" t="str">
        <f>VLOOKUP($A846,'030523 INVENTARIO'!$A$2:$Y$1148,5,FALSE)</f>
        <v>MESA</v>
      </c>
      <c r="F846" s="167" t="str">
        <f>VLOOKUP($A846,'030523 INVENTARIO'!$A$2:$Y$1148,6,FALSE)</f>
        <v>MESA/TABLON DE PLASTICO BLANCO 243X76</v>
      </c>
      <c r="G846" s="167" t="str">
        <f ca="1">VLOOKUP($A846,'030523 INVENTARIO'!$A$2:$Y$1148,8,FALSE)</f>
        <v>P35DA-0845</v>
      </c>
      <c r="H846" s="168" t="str">
        <f>VLOOKUP($A846,'030523 INVENTARIO'!$A$2:$Y$1148,17,FALSE)</f>
        <v>S/M</v>
      </c>
      <c r="I846" s="167" t="str">
        <f>VLOOKUP($A846,'030523 INVENTARIO'!$A$2:$Y$1148,18,FALSE)</f>
        <v>S/M</v>
      </c>
      <c r="J846" s="168" t="str">
        <f>VLOOKUP($A846,'030523 INVENTARIO'!$A$2:$Y$1148,19,FALSE)</f>
        <v>SIN SERIE</v>
      </c>
      <c r="K846" s="168" t="str">
        <f>VLOOKUP($A846,'030523 INVENTARIO'!$A$2:$Y$1148,20,FALSE)</f>
        <v>82DH0531010065000564869</v>
      </c>
      <c r="L846" s="167" t="str">
        <f>VLOOKUP($A846,'030523 INVENTARIO'!$A$2:$Y$1148,23,FALSE)</f>
        <v>ROSAURA MENDEZ SALGADO</v>
      </c>
    </row>
    <row r="847" spans="1:12" ht="12.75" hidden="1">
      <c r="A847" s="167" t="str">
        <f>'030523 INVENTARIO'!A847</f>
        <v>0846</v>
      </c>
      <c r="B847" s="168" t="str">
        <f>'030523 INVENTARIO'!T847</f>
        <v>82DH0531010065000564861</v>
      </c>
      <c r="C847" s="167" t="str">
        <f t="shared" si="0"/>
        <v>564861</v>
      </c>
      <c r="D847" s="167" t="str">
        <f>IF(VLOOKUP(C847,'Patrimonio 2023'!$C$2:$C$1128,1,FALSE) = C847, "Encontrado", "no")</f>
        <v>Encontrado</v>
      </c>
      <c r="E847" s="167" t="str">
        <f>VLOOKUP($A847,'030523 INVENTARIO'!$A$2:$Y$1148,5,FALSE)</f>
        <v>MESA</v>
      </c>
      <c r="F847" s="167" t="str">
        <f>VLOOKUP($A847,'030523 INVENTARIO'!$A$2:$Y$1148,6,FALSE)</f>
        <v>MESA DE MADERA OVALADA 240X120</v>
      </c>
      <c r="G847" s="167" t="str">
        <f ca="1">VLOOKUP($A847,'030523 INVENTARIO'!$A$2:$Y$1148,8,FALSE)</f>
        <v>P35DA-0846</v>
      </c>
      <c r="H847" s="168" t="str">
        <f>VLOOKUP($A847,'030523 INVENTARIO'!$A$2:$Y$1148,17,FALSE)</f>
        <v>S/M</v>
      </c>
      <c r="I847" s="167" t="str">
        <f>VLOOKUP($A847,'030523 INVENTARIO'!$A$2:$Y$1148,18,FALSE)</f>
        <v>S/M</v>
      </c>
      <c r="J847" s="168" t="str">
        <f>VLOOKUP($A847,'030523 INVENTARIO'!$A$2:$Y$1148,19,FALSE)</f>
        <v>SIN SERIE</v>
      </c>
      <c r="K847" s="168" t="str">
        <f>VLOOKUP($A847,'030523 INVENTARIO'!$A$2:$Y$1148,20,FALSE)</f>
        <v>82DH0531010065000564861</v>
      </c>
      <c r="L847" s="167" t="str">
        <f>VLOOKUP($A847,'030523 INVENTARIO'!$A$2:$Y$1148,23,FALSE)</f>
        <v>ROSAURA MENDEZ SALGADO</v>
      </c>
    </row>
    <row r="848" spans="1:12" ht="12.75" hidden="1">
      <c r="A848" s="167" t="str">
        <f>'030523 INVENTARIO'!A848</f>
        <v>0847</v>
      </c>
      <c r="B848" s="168" t="str">
        <f>'030523 INVENTARIO'!T848</f>
        <v>82DH0511010017000516299</v>
      </c>
      <c r="C848" s="167" t="str">
        <f t="shared" si="0"/>
        <v>516299</v>
      </c>
      <c r="D848" s="167" t="str">
        <f>IF(VLOOKUP(C848,'Patrimonio 2023'!$C$2:$C$1128,1,FALSE) = C848, "Encontrado", "no")</f>
        <v>Encontrado</v>
      </c>
      <c r="E848" s="167" t="str">
        <f>VLOOKUP($A848,'030523 INVENTARIO'!$A$2:$Y$1148,5,FALSE)</f>
        <v>SILLA</v>
      </c>
      <c r="F848" s="168" t="str">
        <f>VLOOKUP($A848,'030523 INVENTARIO'!$A$2:$Y$1148,6,FALSE)</f>
        <v>SILLA DE TELA CAFÉ</v>
      </c>
      <c r="G848" s="167" t="str">
        <f ca="1">VLOOKUP($A848,'030523 INVENTARIO'!$A$2:$Y$1148,8,FALSE)</f>
        <v>P35RM-0847</v>
      </c>
      <c r="H848" s="168" t="str">
        <f>VLOOKUP($A848,'030523 INVENTARIO'!$A$2:$Y$1148,17,FALSE)</f>
        <v>S/M</v>
      </c>
      <c r="I848" s="167" t="str">
        <f>VLOOKUP($A848,'030523 INVENTARIO'!$A$2:$Y$1148,18,FALSE)</f>
        <v>S/M</v>
      </c>
      <c r="J848" s="168" t="str">
        <f>VLOOKUP($A848,'030523 INVENTARIO'!$A$2:$Y$1148,19,FALSE)</f>
        <v>SIN SERIE</v>
      </c>
      <c r="K848" s="168" t="str">
        <f>VLOOKUP($A848,'030523 INVENTARIO'!$A$2:$Y$1148,20,FALSE)</f>
        <v>82DH0511010017000516299</v>
      </c>
      <c r="L848" s="167" t="str">
        <f>VLOOKUP($A848,'030523 INVENTARIO'!$A$2:$Y$1148,23,FALSE)</f>
        <v>BLANCA ELIZABETH ALCANTAR GUERRERO</v>
      </c>
    </row>
    <row r="849" spans="1:12" ht="12.75" hidden="1">
      <c r="A849" s="167" t="str">
        <f>'030523 INVENTARIO'!A849</f>
        <v>0848</v>
      </c>
      <c r="B849" s="168" t="str">
        <f>'030523 INVENTARIO'!T849</f>
        <v>82DH0511010017000518533</v>
      </c>
      <c r="C849" s="167" t="str">
        <f t="shared" si="0"/>
        <v>518533</v>
      </c>
      <c r="D849" s="167" t="str">
        <f>IF(VLOOKUP(C849,'Patrimonio 2023'!$C$2:$C$1128,1,FALSE) = C849, "Encontrado", "no")</f>
        <v>Encontrado</v>
      </c>
      <c r="E849" s="167" t="str">
        <f>VLOOKUP($A849,'030523 INVENTARIO'!$A$2:$Y$1148,5,FALSE)</f>
        <v>SILLA</v>
      </c>
      <c r="F849" s="168" t="str">
        <f>VLOOKUP($A849,'030523 INVENTARIO'!$A$2:$Y$1148,6,FALSE)</f>
        <v>SILLA DE TELA CAFÉ</v>
      </c>
      <c r="G849" s="167" t="str">
        <f ca="1">VLOOKUP($A849,'030523 INVENTARIO'!$A$2:$Y$1148,8,FALSE)</f>
        <v>P35DA-0848</v>
      </c>
      <c r="H849" s="168" t="str">
        <f>VLOOKUP($A849,'030523 INVENTARIO'!$A$2:$Y$1148,17,FALSE)</f>
        <v>S/M</v>
      </c>
      <c r="I849" s="167" t="str">
        <f>VLOOKUP($A849,'030523 INVENTARIO'!$A$2:$Y$1148,18,FALSE)</f>
        <v>S/M</v>
      </c>
      <c r="J849" s="168" t="str">
        <f>VLOOKUP($A849,'030523 INVENTARIO'!$A$2:$Y$1148,19,FALSE)</f>
        <v>SIN SERIE</v>
      </c>
      <c r="K849" s="168" t="str">
        <f>VLOOKUP($A849,'030523 INVENTARIO'!$A$2:$Y$1148,20,FALSE)</f>
        <v>82DH0511010017000518533</v>
      </c>
      <c r="L849" s="167" t="str">
        <f>VLOOKUP($A849,'030523 INVENTARIO'!$A$2:$Y$1148,23,FALSE)</f>
        <v>ROSAURA MENDEZ SALGADO</v>
      </c>
    </row>
    <row r="850" spans="1:12" ht="12.75" hidden="1">
      <c r="A850" s="167" t="str">
        <f>'030523 INVENTARIO'!A850</f>
        <v>0849</v>
      </c>
      <c r="B850" s="168" t="str">
        <f>'030523 INVENTARIO'!T850</f>
        <v>82DH0511010017000516234</v>
      </c>
      <c r="C850" s="167" t="str">
        <f t="shared" si="0"/>
        <v>516234</v>
      </c>
      <c r="D850" s="167" t="str">
        <f>IF(VLOOKUP(C850,'Patrimonio 2023'!$C$2:$C$1128,1,FALSE) = C850, "Encontrado", "no")</f>
        <v>Encontrado</v>
      </c>
      <c r="E850" s="167" t="str">
        <f>VLOOKUP($A850,'030523 INVENTARIO'!$A$2:$Y$1148,5,FALSE)</f>
        <v>SILLA</v>
      </c>
      <c r="F850" s="168" t="str">
        <f>VLOOKUP($A850,'030523 INVENTARIO'!$A$2:$Y$1148,6,FALSE)</f>
        <v>SILLA DE TELA CAFÉ</v>
      </c>
      <c r="G850" s="167" t="str">
        <f ca="1">VLOOKUP($A850,'030523 INVENTARIO'!$A$2:$Y$1148,8,FALSE)</f>
        <v>P35DA-0849</v>
      </c>
      <c r="H850" s="168" t="str">
        <f>VLOOKUP($A850,'030523 INVENTARIO'!$A$2:$Y$1148,17,FALSE)</f>
        <v>S/M</v>
      </c>
      <c r="I850" s="167" t="str">
        <f>VLOOKUP($A850,'030523 INVENTARIO'!$A$2:$Y$1148,18,FALSE)</f>
        <v>S/M</v>
      </c>
      <c r="J850" s="168" t="str">
        <f>VLOOKUP($A850,'030523 INVENTARIO'!$A$2:$Y$1148,19,FALSE)</f>
        <v>SIN SERIE</v>
      </c>
      <c r="K850" s="168" t="str">
        <f>VLOOKUP($A850,'030523 INVENTARIO'!$A$2:$Y$1148,20,FALSE)</f>
        <v>82DH0511010017000516234</v>
      </c>
      <c r="L850" s="167" t="str">
        <f>VLOOKUP($A850,'030523 INVENTARIO'!$A$2:$Y$1148,23,FALSE)</f>
        <v>ROSAURA MENDEZ SALGADO</v>
      </c>
    </row>
    <row r="851" spans="1:12" ht="12.75" hidden="1">
      <c r="A851" s="167" t="str">
        <f>'030523 INVENTARIO'!A851</f>
        <v>0850</v>
      </c>
      <c r="B851" s="168" t="str">
        <f>'030523 INVENTARIO'!T851</f>
        <v>82DH0511010017000649523</v>
      </c>
      <c r="C851" s="167" t="str">
        <f t="shared" si="0"/>
        <v>649523</v>
      </c>
      <c r="D851" s="167" t="str">
        <f>IF(VLOOKUP(C851,'Patrimonio 2023'!$C$2:$C$1128,1,FALSE) = C851, "Encontrado", "no")</f>
        <v>Encontrado</v>
      </c>
      <c r="E851" s="167" t="str">
        <f>VLOOKUP($A851,'030523 INVENTARIO'!$A$2:$Y$1148,5,FALSE)</f>
        <v>SILLA</v>
      </c>
      <c r="F851" s="167" t="str">
        <f>VLOOKUP($A851,'030523 INVENTARIO'!$A$2:$Y$1148,6,FALSE)</f>
        <v>SILLA DE TELA CAFE</v>
      </c>
      <c r="G851" s="167" t="str">
        <f ca="1">VLOOKUP($A851,'030523 INVENTARIO'!$A$2:$Y$1148,8,FALSE)</f>
        <v>P35DA-0850</v>
      </c>
      <c r="H851" s="168" t="str">
        <f>VLOOKUP($A851,'030523 INVENTARIO'!$A$2:$Y$1148,17,FALSE)</f>
        <v>S/M</v>
      </c>
      <c r="I851" s="167" t="str">
        <f>VLOOKUP($A851,'030523 INVENTARIO'!$A$2:$Y$1148,18,FALSE)</f>
        <v>S/M</v>
      </c>
      <c r="J851" s="168" t="str">
        <f>VLOOKUP($A851,'030523 INVENTARIO'!$A$2:$Y$1148,19,FALSE)</f>
        <v>SIN SERIE</v>
      </c>
      <c r="K851" s="168" t="str">
        <f>VLOOKUP($A851,'030523 INVENTARIO'!$A$2:$Y$1148,20,FALSE)</f>
        <v>82DH0511010017000649523</v>
      </c>
      <c r="L851" s="167" t="str">
        <f>VLOOKUP($A851,'030523 INVENTARIO'!$A$2:$Y$1148,23,FALSE)</f>
        <v>ROSAURA MENDEZ SALGADO</v>
      </c>
    </row>
    <row r="852" spans="1:12" ht="12.75" hidden="1">
      <c r="A852" s="167" t="str">
        <f>'030523 INVENTARIO'!A852</f>
        <v>0851</v>
      </c>
      <c r="B852" s="168" t="str">
        <f>'030523 INVENTARIO'!T852</f>
        <v>82DH0511010017000516282</v>
      </c>
      <c r="C852" s="167" t="str">
        <f t="shared" si="0"/>
        <v>516282</v>
      </c>
      <c r="D852" s="167" t="str">
        <f>IF(VLOOKUP(C852,'Patrimonio 2023'!$C$2:$C$1128,1,FALSE) = C852, "Encontrado", "no")</f>
        <v>Encontrado</v>
      </c>
      <c r="E852" s="167" t="str">
        <f>VLOOKUP($A852,'030523 INVENTARIO'!$A$2:$Y$1148,5,FALSE)</f>
        <v>SILLA</v>
      </c>
      <c r="F852" s="168" t="str">
        <f>VLOOKUP($A852,'030523 INVENTARIO'!$A$2:$Y$1148,6,FALSE)</f>
        <v>SILLA DE TELA CAFÉ</v>
      </c>
      <c r="G852" s="167" t="str">
        <f ca="1">VLOOKUP($A852,'030523 INVENTARIO'!$A$2:$Y$1148,8,FALSE)</f>
        <v>P35DA-0851</v>
      </c>
      <c r="H852" s="168" t="str">
        <f>VLOOKUP($A852,'030523 INVENTARIO'!$A$2:$Y$1148,17,FALSE)</f>
        <v>S/M</v>
      </c>
      <c r="I852" s="167" t="str">
        <f>VLOOKUP($A852,'030523 INVENTARIO'!$A$2:$Y$1148,18,FALSE)</f>
        <v>S/M</v>
      </c>
      <c r="J852" s="168" t="str">
        <f>VLOOKUP($A852,'030523 INVENTARIO'!$A$2:$Y$1148,19,FALSE)</f>
        <v>SIN SERIE</v>
      </c>
      <c r="K852" s="168" t="str">
        <f>VLOOKUP($A852,'030523 INVENTARIO'!$A$2:$Y$1148,20,FALSE)</f>
        <v>82DH0511010017000516282</v>
      </c>
      <c r="L852" s="167" t="str">
        <f>VLOOKUP($A852,'030523 INVENTARIO'!$A$2:$Y$1148,23,FALSE)</f>
        <v>ROSAURA MENDEZ SALGADO</v>
      </c>
    </row>
    <row r="853" spans="1:12" ht="12.75" hidden="1">
      <c r="A853" s="167" t="str">
        <f>'030523 INVENTARIO'!A853</f>
        <v>0852</v>
      </c>
      <c r="B853" s="168" t="str">
        <f>'030523 INVENTARIO'!T853</f>
        <v>82DH0511010017000564587</v>
      </c>
      <c r="C853" s="167" t="str">
        <f t="shared" si="0"/>
        <v>564587</v>
      </c>
      <c r="D853" s="167" t="str">
        <f>IF(VLOOKUP(C853,'Patrimonio 2023'!$C$2:$C$1128,1,FALSE) = C853, "Encontrado", "no")</f>
        <v>Encontrado</v>
      </c>
      <c r="E853" s="167" t="str">
        <f>VLOOKUP($A853,'030523 INVENTARIO'!$A$2:$Y$1148,5,FALSE)</f>
        <v>SILLA</v>
      </c>
      <c r="F853" s="167" t="str">
        <f>VLOOKUP($A853,'030523 INVENTARIO'!$A$2:$Y$1148,6,FALSE)</f>
        <v>SILLA DE TELA CAFÉ</v>
      </c>
      <c r="G853" s="167" t="str">
        <f ca="1">VLOOKUP($A853,'030523 INVENTARIO'!$A$2:$Y$1148,8,FALSE)</f>
        <v>P05RM-0852</v>
      </c>
      <c r="H853" s="168" t="str">
        <f>VLOOKUP($A853,'030523 INVENTARIO'!$A$2:$Y$1148,17,FALSE)</f>
        <v>S/M</v>
      </c>
      <c r="I853" s="167" t="str">
        <f>VLOOKUP($A853,'030523 INVENTARIO'!$A$2:$Y$1148,18,FALSE)</f>
        <v>S/M</v>
      </c>
      <c r="J853" s="168" t="str">
        <f>VLOOKUP($A853,'030523 INVENTARIO'!$A$2:$Y$1148,19,FALSE)</f>
        <v>SIN SERIE</v>
      </c>
      <c r="K853" s="168" t="str">
        <f>VLOOKUP($A853,'030523 INVENTARIO'!$A$2:$Y$1148,20,FALSE)</f>
        <v>82DH0511010017000564587</v>
      </c>
      <c r="L853" s="167" t="str">
        <f>VLOOKUP($A853,'030523 INVENTARIO'!$A$2:$Y$1148,23,FALSE)</f>
        <v>BLANCA ELIZABETH ALCANTAR GUERRERO</v>
      </c>
    </row>
    <row r="854" spans="1:12" ht="12.75" hidden="1">
      <c r="A854" s="167" t="str">
        <f>'030523 INVENTARIO'!A854</f>
        <v>0853</v>
      </c>
      <c r="B854" s="168" t="str">
        <f>'030523 INVENTARIO'!T854</f>
        <v>82DH0511010017000649508</v>
      </c>
      <c r="C854" s="167" t="str">
        <f t="shared" si="0"/>
        <v>649508</v>
      </c>
      <c r="D854" s="167" t="str">
        <f>IF(VLOOKUP(C854,'Patrimonio 2023'!$C$2:$C$1128,1,FALSE) = C854, "Encontrado", "no")</f>
        <v>Encontrado</v>
      </c>
      <c r="E854" s="167" t="str">
        <f>VLOOKUP($A854,'030523 INVENTARIO'!$A$2:$Y$1148,5,FALSE)</f>
        <v>SILLA</v>
      </c>
      <c r="F854" s="167" t="str">
        <f>VLOOKUP($A854,'030523 INVENTARIO'!$A$2:$Y$1148,6,FALSE)</f>
        <v>SILLA DE MADERA PEQUEÑA ESCOLAR</v>
      </c>
      <c r="G854" s="167" t="str">
        <f ca="1">VLOOKUP($A854,'030523 INVENTARIO'!$A$2:$Y$1148,8,FALSE)</f>
        <v>P35DA-0853</v>
      </c>
      <c r="H854" s="168" t="str">
        <f>VLOOKUP($A854,'030523 INVENTARIO'!$A$2:$Y$1148,17,FALSE)</f>
        <v>S/M</v>
      </c>
      <c r="I854" s="167" t="str">
        <f>VLOOKUP($A854,'030523 INVENTARIO'!$A$2:$Y$1148,18,FALSE)</f>
        <v>S/M</v>
      </c>
      <c r="J854" s="168" t="str">
        <f>VLOOKUP($A854,'030523 INVENTARIO'!$A$2:$Y$1148,19,FALSE)</f>
        <v>SIN SERIE</v>
      </c>
      <c r="K854" s="168" t="str">
        <f>VLOOKUP($A854,'030523 INVENTARIO'!$A$2:$Y$1148,20,FALSE)</f>
        <v>82DH0511010017000649508</v>
      </c>
      <c r="L854" s="167" t="str">
        <f>VLOOKUP($A854,'030523 INVENTARIO'!$A$2:$Y$1148,23,FALSE)</f>
        <v>ROSAURA MENDEZ SALGADO</v>
      </c>
    </row>
    <row r="855" spans="1:12" ht="12.75" hidden="1">
      <c r="A855" s="167" t="str">
        <f>'030523 INVENTARIO'!A855</f>
        <v>0854</v>
      </c>
      <c r="B855" s="168" t="str">
        <f>'030523 INVENTARIO'!T855</f>
        <v>82DH0531010065000564831</v>
      </c>
      <c r="C855" s="167" t="str">
        <f t="shared" si="0"/>
        <v>564831</v>
      </c>
      <c r="D855" s="167" t="str">
        <f>IF(VLOOKUP(C855,'Patrimonio 2023'!$C$2:$C$1128,1,FALSE) = C855, "Encontrado", "no")</f>
        <v>Encontrado</v>
      </c>
      <c r="E855" s="167" t="str">
        <f>VLOOKUP($A855,'030523 INVENTARIO'!$A$2:$Y$1148,5,FALSE)</f>
        <v>MESA</v>
      </c>
      <c r="F855" s="167" t="str">
        <f>VLOOKUP($A855,'030523 INVENTARIO'!$A$2:$Y$1148,6,FALSE)</f>
        <v>MESA DE MADERA CON BASE DE METAL 60X120</v>
      </c>
      <c r="G855" s="167" t="str">
        <f ca="1">VLOOKUP($A855,'030523 INVENTARIO'!$A$2:$Y$1148,8,FALSE)</f>
        <v>P35DA-0854</v>
      </c>
      <c r="H855" s="168" t="str">
        <f>VLOOKUP($A855,'030523 INVENTARIO'!$A$2:$Y$1148,17,FALSE)</f>
        <v>S/M</v>
      </c>
      <c r="I855" s="167" t="str">
        <f>VLOOKUP($A855,'030523 INVENTARIO'!$A$2:$Y$1148,18,FALSE)</f>
        <v>S/M</v>
      </c>
      <c r="J855" s="168" t="str">
        <f>VLOOKUP($A855,'030523 INVENTARIO'!$A$2:$Y$1148,19,FALSE)</f>
        <v>SIN SERIE</v>
      </c>
      <c r="K855" s="168" t="str">
        <f>VLOOKUP($A855,'030523 INVENTARIO'!$A$2:$Y$1148,20,FALSE)</f>
        <v>82DH0531010065000564831</v>
      </c>
      <c r="L855" s="167" t="str">
        <f>VLOOKUP($A855,'030523 INVENTARIO'!$A$2:$Y$1148,23,FALSE)</f>
        <v>ROSAURA MENDEZ SALGADO</v>
      </c>
    </row>
    <row r="856" spans="1:12" ht="12.75" hidden="1">
      <c r="A856" s="167" t="str">
        <f>'030523 INVENTARIO'!A856</f>
        <v>0855</v>
      </c>
      <c r="B856" s="168" t="str">
        <f>'030523 INVENTARIO'!T856</f>
        <v>82DH0519010026000649402</v>
      </c>
      <c r="C856" s="167" t="str">
        <f t="shared" si="0"/>
        <v>649402</v>
      </c>
      <c r="D856" s="167" t="str">
        <f>IF(VLOOKUP(C856,'Patrimonio 2023'!$C$2:$C$1128,1,FALSE) = C856, "Encontrado", "no")</f>
        <v>Encontrado</v>
      </c>
      <c r="E856" s="167" t="str">
        <f>VLOOKUP($A856,'030523 INVENTARIO'!$A$2:$Y$1148,5,FALSE)</f>
        <v>HORNO</v>
      </c>
      <c r="F856" s="168" t="str">
        <f>VLOOKUP($A856,'030523 INVENTARIO'!$A$2:$Y$1148,6,FALSE)</f>
        <v>HORNO DE MICROONDAS GRIS</v>
      </c>
      <c r="G856" s="167" t="str">
        <f ca="1">VLOOKUP($A856,'030523 INVENTARIO'!$A$2:$Y$1148,8,FALSE)</f>
        <v>P05RM-0855</v>
      </c>
      <c r="H856" s="168" t="str">
        <f>VLOOKUP($A856,'030523 INVENTARIO'!$A$2:$Y$1148,17,FALSE)</f>
        <v>DAEWOO</v>
      </c>
      <c r="I856" s="167" t="str">
        <f>VLOOKUP($A856,'030523 INVENTARIO'!$A$2:$Y$1148,18,FALSE)</f>
        <v>KOR-UN1AM</v>
      </c>
      <c r="J856" s="168" t="str">
        <f>VLOOKUP($A856,'030523 INVENTARIO'!$A$2:$Y$1148,19,FALSE)</f>
        <v>7M173E37030365</v>
      </c>
      <c r="K856" s="168" t="str">
        <f>VLOOKUP($A856,'030523 INVENTARIO'!$A$2:$Y$1148,20,FALSE)</f>
        <v>82DH0519010026000649402</v>
      </c>
      <c r="L856" s="167" t="str">
        <f>VLOOKUP($A856,'030523 INVENTARIO'!$A$2:$Y$1148,23,FALSE)</f>
        <v>BLANCA ELIZABETH ALCANTAR GUERRERO</v>
      </c>
    </row>
    <row r="857" spans="1:12" ht="12.75" hidden="1">
      <c r="A857" s="167" t="str">
        <f>'030523 INVENTARIO'!A857</f>
        <v>0856</v>
      </c>
      <c r="B857" s="168" t="str">
        <f>'030523 INVENTARIO'!T857</f>
        <v>82DH0519010026000649375</v>
      </c>
      <c r="C857" s="167" t="str">
        <f t="shared" si="0"/>
        <v>649375</v>
      </c>
      <c r="D857" s="167" t="str">
        <f>IF(VLOOKUP(C857,'Patrimonio 2023'!$C$2:$C$1128,1,FALSE) = C857, "Encontrado", "no")</f>
        <v>Encontrado</v>
      </c>
      <c r="E857" s="167" t="str">
        <f>VLOOKUP($A857,'030523 INVENTARIO'!$A$2:$Y$1148,5,FALSE)</f>
        <v>HORNO</v>
      </c>
      <c r="F857" s="168" t="str">
        <f>VLOOKUP($A857,'030523 INVENTARIO'!$A$2:$Y$1148,6,FALSE)</f>
        <v>HORNO ELECTRICO GRIS</v>
      </c>
      <c r="G857" s="167" t="str">
        <f ca="1">VLOOKUP($A857,'030523 INVENTARIO'!$A$2:$Y$1148,8,FALSE)</f>
        <v>P35DA-0856</v>
      </c>
      <c r="H857" s="168" t="str">
        <f>VLOOKUP($A857,'030523 INVENTARIO'!$A$2:$Y$1148,17,FALSE)</f>
        <v>OSTER</v>
      </c>
      <c r="I857" s="167" t="str">
        <f>VLOOKUP($A857,'030523 INVENTARIO'!$A$2:$Y$1148,18,FALSE)</f>
        <v>TSSTTV/10LTB</v>
      </c>
      <c r="J857" s="168" t="str">
        <f>VLOOKUP($A857,'030523 INVENTARIO'!$A$2:$Y$1148,19,FALSE)</f>
        <v>172513</v>
      </c>
      <c r="K857" s="168" t="str">
        <f>VLOOKUP($A857,'030523 INVENTARIO'!$A$2:$Y$1148,20,FALSE)</f>
        <v>82DH0519010026000649375</v>
      </c>
      <c r="L857" s="167" t="str">
        <f>VLOOKUP($A857,'030523 INVENTARIO'!$A$2:$Y$1148,23,FALSE)</f>
        <v>ROSAURA MENDEZ SALGADO</v>
      </c>
    </row>
    <row r="858" spans="1:12" ht="12.75" hidden="1">
      <c r="A858" s="167" t="str">
        <f>'030523 INVENTARIO'!A858</f>
        <v>0857</v>
      </c>
      <c r="B858" s="167" t="str">
        <f>'030523 INVENTARIO'!T858</f>
        <v>SIN RESGUARDO</v>
      </c>
      <c r="C858" s="167" t="str">
        <f t="shared" si="0"/>
        <v/>
      </c>
      <c r="D858" s="167" t="e">
        <f>IF(VLOOKUP(C858,'Patrimonio 2023'!$C$2:$C$1128,1,FALSE) = C858, "Encontrado", "no")</f>
        <v>#N/A</v>
      </c>
      <c r="E858" s="167" t="str">
        <f>VLOOKUP($A858,'030523 INVENTARIO'!$A$2:$Y$1148,5,FALSE)</f>
        <v>EXTRACTOR DE JUGO</v>
      </c>
      <c r="F858" s="168" t="str">
        <f>VLOOKUP($A858,'030523 INVENTARIO'!$A$2:$Y$1148,6,FALSE)</f>
        <v>EXTRACTOR DE JUGO</v>
      </c>
      <c r="G858" s="167" t="str">
        <f ca="1">VLOOKUP($A858,'030523 INVENTARIO'!$A$2:$Y$1148,8,FALSE)</f>
        <v>P35DA-0857</v>
      </c>
      <c r="H858" s="168" t="str">
        <f>VLOOKUP($A858,'030523 INVENTARIO'!$A$2:$Y$1148,17,FALSE)</f>
        <v>PHILIS</v>
      </c>
      <c r="I858" s="167" t="str">
        <f>VLOOKUP($A858,'030523 INVENTARIO'!$A$2:$Y$1148,18,FALSE)</f>
        <v>CUSINA</v>
      </c>
      <c r="J858" s="168" t="str">
        <f>VLOOKUP($A858,'030523 INVENTARIO'!$A$2:$Y$1148,19,FALSE)</f>
        <v>HR1820</v>
      </c>
      <c r="K858" s="167" t="str">
        <f>VLOOKUP($A858,'030523 INVENTARIO'!$A$2:$Y$1148,20,FALSE)</f>
        <v>SIN RESGUARDO</v>
      </c>
      <c r="L858" s="167" t="str">
        <f>VLOOKUP($A858,'030523 INVENTARIO'!$A$2:$Y$1148,23,FALSE)</f>
        <v>ROSAURA MENDEZ SALGADO</v>
      </c>
    </row>
    <row r="859" spans="1:12" ht="12.75" hidden="1">
      <c r="A859" s="167" t="str">
        <f>'030523 INVENTARIO'!A859</f>
        <v>0858</v>
      </c>
      <c r="B859" s="167" t="str">
        <f>'030523 INVENTARIO'!T859</f>
        <v>SIN RESGUARDO</v>
      </c>
      <c r="C859" s="167" t="str">
        <f t="shared" si="0"/>
        <v/>
      </c>
      <c r="D859" s="167" t="e">
        <f>IF(VLOOKUP(C859,'Patrimonio 2023'!$C$2:$C$1128,1,FALSE) = C859, "Encontrado", "no")</f>
        <v>#N/A</v>
      </c>
      <c r="E859" s="167" t="str">
        <f>VLOOKUP($A859,'030523 INVENTARIO'!$A$2:$Y$1148,5,FALSE)</f>
        <v>TOSTADOR</v>
      </c>
      <c r="F859" s="168" t="str">
        <f>VLOOKUP($A859,'030523 INVENTARIO'!$A$2:$Y$1148,6,FALSE)</f>
        <v>TOSTADOR</v>
      </c>
      <c r="G859" s="167" t="str">
        <f ca="1">VLOOKUP($A859,'030523 INVENTARIO'!$A$2:$Y$1148,8,FALSE)</f>
        <v>P35DA-0858</v>
      </c>
      <c r="H859" s="168" t="str">
        <f>VLOOKUP($A859,'030523 INVENTARIO'!$A$2:$Y$1148,17,FALSE)</f>
        <v>GENERAL ELECTRIC</v>
      </c>
      <c r="I859" s="167">
        <f>VLOOKUP($A859,'030523 INVENTARIO'!$A$2:$Y$1148,18,FALSE)</f>
        <v>106782</v>
      </c>
      <c r="J859" s="167" t="str">
        <f>VLOOKUP($A859,'030523 INVENTARIO'!$A$2:$Y$1148,19,FALSE)</f>
        <v>F3840S</v>
      </c>
      <c r="K859" s="167" t="str">
        <f>VLOOKUP($A859,'030523 INVENTARIO'!$A$2:$Y$1148,20,FALSE)</f>
        <v>SIN RESGUARDO</v>
      </c>
      <c r="L859" s="167" t="str">
        <f>VLOOKUP($A859,'030523 INVENTARIO'!$A$2:$Y$1148,23,FALSE)</f>
        <v>ROSAURA MENDEZ SALGADO</v>
      </c>
    </row>
    <row r="860" spans="1:12" ht="12.75" hidden="1">
      <c r="A860" s="167" t="str">
        <f>'030523 INVENTARIO'!A860</f>
        <v>0859</v>
      </c>
      <c r="B860" s="168" t="str">
        <f>'030523 INVENTARIO'!T860</f>
        <v>82DH0519010036000566458</v>
      </c>
      <c r="C860" s="167" t="str">
        <f t="shared" si="0"/>
        <v>566458</v>
      </c>
      <c r="D860" s="167" t="str">
        <f>IF(VLOOKUP(C860,'Patrimonio 2023'!$C$2:$C$1128,1,FALSE) = C860, "Encontrado", "no")</f>
        <v>Encontrado</v>
      </c>
      <c r="E860" s="167" t="str">
        <f>VLOOKUP($A860,'030523 INVENTARIO'!$A$2:$Y$1148,5,FALSE)</f>
        <v>REFRIGERADOR</v>
      </c>
      <c r="F860" s="168" t="str">
        <f>VLOOKUP($A860,'030523 INVENTARIO'!$A$2:$Y$1148,6,FALSE)</f>
        <v>REFRIGERADOR BLANCO</v>
      </c>
      <c r="G860" s="167" t="str">
        <f ca="1">VLOOKUP($A860,'030523 INVENTARIO'!$A$2:$Y$1148,8,FALSE)</f>
        <v>P35DA-0859</v>
      </c>
      <c r="H860" s="168" t="str">
        <f>VLOOKUP($A860,'030523 INVENTARIO'!$A$2:$Y$1148,17,FALSE)</f>
        <v>IEM</v>
      </c>
      <c r="I860" s="167" t="str">
        <f>VLOOKUP($A860,'030523 INVENTARIO'!$A$2:$Y$1148,18,FALSE)</f>
        <v>S/M</v>
      </c>
      <c r="J860" s="168" t="str">
        <f>VLOOKUP($A860,'030523 INVENTARIO'!$A$2:$Y$1148,19,FALSE)</f>
        <v>SIN SERIE</v>
      </c>
      <c r="K860" s="168" t="str">
        <f>VLOOKUP($A860,'030523 INVENTARIO'!$A$2:$Y$1148,20,FALSE)</f>
        <v>82DH0519010036000566458</v>
      </c>
      <c r="L860" s="167" t="str">
        <f>VLOOKUP($A860,'030523 INVENTARIO'!$A$2:$Y$1148,23,FALSE)</f>
        <v>ROSAURA MENDEZ SALGADO</v>
      </c>
    </row>
    <row r="861" spans="1:12" ht="12.75" hidden="1">
      <c r="A861" s="167" t="str">
        <f>'030523 INVENTARIO'!A861</f>
        <v>0860</v>
      </c>
      <c r="B861" s="168" t="str">
        <f>'030523 INVENTARIO'!T861</f>
        <v>82DH0519010009000535515</v>
      </c>
      <c r="C861" s="167" t="str">
        <f t="shared" si="0"/>
        <v>535515</v>
      </c>
      <c r="D861" s="167" t="str">
        <f>IF(VLOOKUP(C861,'Patrimonio 2023'!$C$2:$C$1128,1,FALSE) = C861, "Encontrado", "no")</f>
        <v>Encontrado</v>
      </c>
      <c r="E861" s="167" t="str">
        <f>VLOOKUP($A861,'030523 INVENTARIO'!$A$2:$Y$1148,5,FALSE)</f>
        <v>CAMPANA</v>
      </c>
      <c r="F861" s="167" t="str">
        <f>VLOOKUP($A861,'030523 INVENTARIO'!$A$2:$Y$1148,6,FALSE)</f>
        <v>CAMPANA</v>
      </c>
      <c r="G861" s="167" t="str">
        <f ca="1">VLOOKUP($A861,'030523 INVENTARIO'!$A$2:$Y$1148,8,FALSE)</f>
        <v>P35DA-0860</v>
      </c>
      <c r="H861" s="168" t="str">
        <f>VLOOKUP($A861,'030523 INVENTARIO'!$A$2:$Y$1148,17,FALSE)</f>
        <v>MABE</v>
      </c>
      <c r="I861" s="167" t="str">
        <f>VLOOKUP($A861,'030523 INVENTARIO'!$A$2:$Y$1148,18,FALSE)</f>
        <v>MABE 60CM</v>
      </c>
      <c r="J861" s="168" t="str">
        <f>VLOOKUP($A861,'030523 INVENTARIO'!$A$2:$Y$1148,19,FALSE)</f>
        <v>SIN SERIE</v>
      </c>
      <c r="K861" s="168" t="str">
        <f>VLOOKUP($A861,'030523 INVENTARIO'!$A$2:$Y$1148,20,FALSE)</f>
        <v>82DH0519010009000535515</v>
      </c>
      <c r="L861" s="167" t="str">
        <f>VLOOKUP($A861,'030523 INVENTARIO'!$A$2:$Y$1148,23,FALSE)</f>
        <v>ROSAURA MENDEZ SALGADO</v>
      </c>
    </row>
    <row r="862" spans="1:12" ht="12.75" hidden="1">
      <c r="A862" s="167" t="str">
        <f>'030523 INVENTARIO'!A862</f>
        <v>0861</v>
      </c>
      <c r="B862" s="168" t="str">
        <f>'030523 INVENTARIO'!T862</f>
        <v>82DH0512010001000532220</v>
      </c>
      <c r="C862" s="167" t="str">
        <f t="shared" si="0"/>
        <v>532220</v>
      </c>
      <c r="D862" s="167" t="str">
        <f>IF(VLOOKUP(C862,'Patrimonio 2023'!$C$2:$C$1128,1,FALSE) = C862, "Encontrado", "no")</f>
        <v>Encontrado</v>
      </c>
      <c r="E862" s="167" t="str">
        <f>VLOOKUP($A862,'030523 INVENTARIO'!$A$2:$Y$1148,5,FALSE)</f>
        <v>COMPLEMENTARIO DE EQUIPO DE COMEDOR Y COCINA</v>
      </c>
      <c r="F862" s="168" t="str">
        <f>VLOOKUP($A862,'030523 INVENTARIO'!$A$2:$Y$1148,6,FALSE)</f>
        <v>COMPLEMENTO DE EQUIPO ALACENA</v>
      </c>
      <c r="G862" s="167" t="str">
        <f ca="1">VLOOKUP($A862,'030523 INVENTARIO'!$A$2:$Y$1148,8,FALSE)</f>
        <v>P35DA-0861</v>
      </c>
      <c r="H862" s="168" t="str">
        <f>VLOOKUP($A862,'030523 INVENTARIO'!$A$2:$Y$1148,17,FALSE)</f>
        <v>S/M</v>
      </c>
      <c r="I862" s="167" t="str">
        <f>VLOOKUP($A862,'030523 INVENTARIO'!$A$2:$Y$1148,18,FALSE)</f>
        <v>S/M</v>
      </c>
      <c r="J862" s="168" t="str">
        <f>VLOOKUP($A862,'030523 INVENTARIO'!$A$2:$Y$1148,19,FALSE)</f>
        <v>SIN SERIE</v>
      </c>
      <c r="K862" s="168" t="str">
        <f>VLOOKUP($A862,'030523 INVENTARIO'!$A$2:$Y$1148,20,FALSE)</f>
        <v>82DH0512010001000532220</v>
      </c>
      <c r="L862" s="167" t="str">
        <f>VLOOKUP($A862,'030523 INVENTARIO'!$A$2:$Y$1148,23,FALSE)</f>
        <v>ROSAURA MENDEZ SALGADO</v>
      </c>
    </row>
    <row r="863" spans="1:12" ht="12.75" hidden="1">
      <c r="A863" s="167" t="str">
        <f>'030523 INVENTARIO'!A863</f>
        <v>0862</v>
      </c>
      <c r="B863" s="168" t="str">
        <f>'030523 INVENTARIO'!T863</f>
        <v>82DH0519010016000538166</v>
      </c>
      <c r="C863" s="167" t="str">
        <f t="shared" si="0"/>
        <v>538166</v>
      </c>
      <c r="D863" s="167" t="str">
        <f>IF(VLOOKUP(C863,'Patrimonio 2023'!$C$2:$C$1128,1,FALSE) = C863, "Encontrado", "no")</f>
        <v>Encontrado</v>
      </c>
      <c r="E863" s="167" t="str">
        <f>VLOOKUP($A863,'030523 INVENTARIO'!$A$2:$Y$1148,5,FALSE)</f>
        <v>ESTUFA</v>
      </c>
      <c r="F863" s="168" t="str">
        <f>VLOOKUP($A863,'030523 INVENTARIO'!$A$2:$Y$1148,6,FALSE)</f>
        <v>ESTUFA BLANCA</v>
      </c>
      <c r="G863" s="167" t="str">
        <f ca="1">VLOOKUP($A863,'030523 INVENTARIO'!$A$2:$Y$1148,8,FALSE)</f>
        <v>P35DA-0862</v>
      </c>
      <c r="H863" s="168" t="str">
        <f>VLOOKUP($A863,'030523 INVENTARIO'!$A$2:$Y$1148,17,FALSE)</f>
        <v>MABE</v>
      </c>
      <c r="I863" s="167" t="str">
        <f>VLOOKUP($A863,'030523 INVENTARIO'!$A$2:$Y$1148,18,FALSE)</f>
        <v>S/M</v>
      </c>
      <c r="J863" s="168" t="str">
        <f>VLOOKUP($A863,'030523 INVENTARIO'!$A$2:$Y$1148,19,FALSE)</f>
        <v>DA0050</v>
      </c>
      <c r="K863" s="168" t="str">
        <f>VLOOKUP($A863,'030523 INVENTARIO'!$A$2:$Y$1148,20,FALSE)</f>
        <v>82DH0519010016000538166</v>
      </c>
      <c r="L863" s="167" t="str">
        <f>VLOOKUP($A863,'030523 INVENTARIO'!$A$2:$Y$1148,23,FALSE)</f>
        <v>ROSAURA MENDEZ SALGADO</v>
      </c>
    </row>
    <row r="864" spans="1:12" ht="12.75" hidden="1">
      <c r="A864" s="167" t="str">
        <f>'030523 INVENTARIO'!A864</f>
        <v>0863</v>
      </c>
      <c r="B864" s="168" t="str">
        <f>'030523 INVENTARIO'!T864</f>
        <v>82DH0519010009000535514</v>
      </c>
      <c r="C864" s="167" t="str">
        <f t="shared" si="0"/>
        <v>535514</v>
      </c>
      <c r="D864" s="167" t="str">
        <f>IF(VLOOKUP(C864,'Patrimonio 2023'!$C$2:$C$1128,1,FALSE) = C864, "Encontrado", "no")</f>
        <v>Encontrado</v>
      </c>
      <c r="E864" s="167" t="str">
        <f>VLOOKUP($A864,'030523 INVENTARIO'!$A$2:$Y$1148,5,FALSE)</f>
        <v>COMPLEMENTARIO DE EQUIPO DE COMEDOR Y COCINA</v>
      </c>
      <c r="F864" s="168" t="str">
        <f>VLOOKUP($A864,'030523 INVENTARIO'!$A$2:$Y$1148,6,FALSE)</f>
        <v>COMPLEMENTO DE EQUIPO TARJA</v>
      </c>
      <c r="G864" s="167" t="str">
        <f ca="1">VLOOKUP($A864,'030523 INVENTARIO'!$A$2:$Y$1148,8,FALSE)</f>
        <v>P35DA-0863</v>
      </c>
      <c r="H864" s="168" t="str">
        <f>VLOOKUP($A864,'030523 INVENTARIO'!$A$2:$Y$1148,17,FALSE)</f>
        <v>S/M</v>
      </c>
      <c r="I864" s="167" t="str">
        <f>VLOOKUP($A864,'030523 INVENTARIO'!$A$2:$Y$1148,18,FALSE)</f>
        <v>S/M</v>
      </c>
      <c r="J864" s="168" t="str">
        <f>VLOOKUP($A864,'030523 INVENTARIO'!$A$2:$Y$1148,19,FALSE)</f>
        <v>SIN SERIE</v>
      </c>
      <c r="K864" s="168" t="str">
        <f>VLOOKUP($A864,'030523 INVENTARIO'!$A$2:$Y$1148,20,FALSE)</f>
        <v>82DH0519010009000535514</v>
      </c>
      <c r="L864" s="167" t="str">
        <f>VLOOKUP($A864,'030523 INVENTARIO'!$A$2:$Y$1148,23,FALSE)</f>
        <v>ROSAURA MENDEZ SALGADO</v>
      </c>
    </row>
    <row r="865" spans="1:12" ht="12.75" hidden="1">
      <c r="A865" s="167" t="str">
        <f>'030523 INVENTARIO'!A865</f>
        <v>0864</v>
      </c>
      <c r="B865" s="168" t="str">
        <f>'030523 INVENTARIO'!T865</f>
        <v>82DH0511010017000649510</v>
      </c>
      <c r="C865" s="167" t="str">
        <f t="shared" si="0"/>
        <v>649510</v>
      </c>
      <c r="D865" s="167" t="str">
        <f>IF(VLOOKUP(C865,'Patrimonio 2023'!$C$2:$C$1128,1,FALSE) = C865, "Encontrado", "no")</f>
        <v>Encontrado</v>
      </c>
      <c r="E865" s="167" t="str">
        <f>VLOOKUP($A865,'030523 INVENTARIO'!$A$2:$Y$1148,5,FALSE)</f>
        <v>SILLA</v>
      </c>
      <c r="F865" s="167" t="str">
        <f>VLOOKUP($A865,'030523 INVENTARIO'!$A$2:$Y$1148,6,FALSE)</f>
        <v>SILLA DE METAL GRIS PLEGABLE</v>
      </c>
      <c r="G865" s="167" t="str">
        <f ca="1">VLOOKUP($A865,'030523 INVENTARIO'!$A$2:$Y$1148,8,FALSE)</f>
        <v>P35DA-0864</v>
      </c>
      <c r="H865" s="168" t="str">
        <f>VLOOKUP($A865,'030523 INVENTARIO'!$A$2:$Y$1148,17,FALSE)</f>
        <v>S/M</v>
      </c>
      <c r="I865" s="167" t="str">
        <f>VLOOKUP($A865,'030523 INVENTARIO'!$A$2:$Y$1148,18,FALSE)</f>
        <v>S/M</v>
      </c>
      <c r="J865" s="168" t="str">
        <f>VLOOKUP($A865,'030523 INVENTARIO'!$A$2:$Y$1148,19,FALSE)</f>
        <v>SIN SERIE</v>
      </c>
      <c r="K865" s="168" t="str">
        <f>VLOOKUP($A865,'030523 INVENTARIO'!$A$2:$Y$1148,20,FALSE)</f>
        <v>82DH0511010017000649510</v>
      </c>
      <c r="L865" s="167" t="str">
        <f>VLOOKUP($A865,'030523 INVENTARIO'!$A$2:$Y$1148,23,FALSE)</f>
        <v>ROSAURA MENDEZ SALGADO</v>
      </c>
    </row>
    <row r="866" spans="1:12" ht="12.75" hidden="1">
      <c r="A866" s="167" t="str">
        <f>'030523 INVENTARIO'!A866</f>
        <v>0865</v>
      </c>
      <c r="B866" s="168" t="str">
        <f>'030523 INVENTARIO'!T866</f>
        <v>82DH0511010017000649512</v>
      </c>
      <c r="C866" s="167" t="str">
        <f t="shared" si="0"/>
        <v>649512</v>
      </c>
      <c r="D866" s="167" t="str">
        <f>IF(VLOOKUP(C866,'Patrimonio 2023'!$C$2:$C$1128,1,FALSE) = C866, "Encontrado", "no")</f>
        <v>Encontrado</v>
      </c>
      <c r="E866" s="167" t="str">
        <f>VLOOKUP($A866,'030523 INVENTARIO'!$A$2:$Y$1148,5,FALSE)</f>
        <v>SILLA</v>
      </c>
      <c r="F866" s="167" t="str">
        <f>VLOOKUP($A866,'030523 INVENTARIO'!$A$2:$Y$1148,6,FALSE)</f>
        <v>SILLA DE METAL GRIS PLEGABLE</v>
      </c>
      <c r="G866" s="167" t="str">
        <f ca="1">VLOOKUP($A866,'030523 INVENTARIO'!$A$2:$Y$1148,8,FALSE)</f>
        <v>P35DA-0865</v>
      </c>
      <c r="H866" s="168" t="str">
        <f>VLOOKUP($A866,'030523 INVENTARIO'!$A$2:$Y$1148,17,FALSE)</f>
        <v>S/M</v>
      </c>
      <c r="I866" s="167" t="str">
        <f>VLOOKUP($A866,'030523 INVENTARIO'!$A$2:$Y$1148,18,FALSE)</f>
        <v>S/M</v>
      </c>
      <c r="J866" s="168" t="str">
        <f>VLOOKUP($A866,'030523 INVENTARIO'!$A$2:$Y$1148,19,FALSE)</f>
        <v>SIN SERIE</v>
      </c>
      <c r="K866" s="168" t="str">
        <f>VLOOKUP($A866,'030523 INVENTARIO'!$A$2:$Y$1148,20,FALSE)</f>
        <v>82DH0511010017000649512</v>
      </c>
      <c r="L866" s="167" t="str">
        <f>VLOOKUP($A866,'030523 INVENTARIO'!$A$2:$Y$1148,23,FALSE)</f>
        <v>ROSAURA MENDEZ SALGADO</v>
      </c>
    </row>
    <row r="867" spans="1:12" ht="12.75" hidden="1">
      <c r="A867" s="167" t="str">
        <f>'030523 INVENTARIO'!A867</f>
        <v>0866</v>
      </c>
      <c r="B867" s="168" t="str">
        <f>'030523 INVENTARIO'!T867</f>
        <v>82DH0511010017000651083</v>
      </c>
      <c r="C867" s="167" t="str">
        <f t="shared" si="0"/>
        <v>651083</v>
      </c>
      <c r="D867" s="167" t="str">
        <f>IF(VLOOKUP(C867,'Patrimonio 2023'!$C$2:$C$1128,1,FALSE) = C867, "Encontrado", "no")</f>
        <v>Encontrado</v>
      </c>
      <c r="E867" s="167" t="str">
        <f>VLOOKUP($A867,'030523 INVENTARIO'!$A$2:$Y$1148,5,FALSE)</f>
        <v>SILLA</v>
      </c>
      <c r="F867" s="168" t="str">
        <f>VLOOKUP($A867,'030523 INVENTARIO'!$A$2:$Y$1148,6,FALSE)</f>
        <v>SILLA DE METAL GRIS PLEGABLE</v>
      </c>
      <c r="G867" s="167" t="str">
        <f ca="1">VLOOKUP($A867,'030523 INVENTARIO'!$A$2:$Y$1148,8,FALSE)</f>
        <v>P35DA-0866</v>
      </c>
      <c r="H867" s="168" t="str">
        <f>VLOOKUP($A867,'030523 INVENTARIO'!$A$2:$Y$1148,17,FALSE)</f>
        <v>S/M</v>
      </c>
      <c r="I867" s="167" t="str">
        <f>VLOOKUP($A867,'030523 INVENTARIO'!$A$2:$Y$1148,18,FALSE)</f>
        <v>S/M</v>
      </c>
      <c r="J867" s="168" t="str">
        <f>VLOOKUP($A867,'030523 INVENTARIO'!$A$2:$Y$1148,19,FALSE)</f>
        <v>SIN SERIE</v>
      </c>
      <c r="K867" s="168" t="str">
        <f>VLOOKUP($A867,'030523 INVENTARIO'!$A$2:$Y$1148,20,FALSE)</f>
        <v>82DH0511010017000651083</v>
      </c>
      <c r="L867" s="167" t="str">
        <f>VLOOKUP($A867,'030523 INVENTARIO'!$A$2:$Y$1148,23,FALSE)</f>
        <v>ROSAURA MENDEZ SALGADO</v>
      </c>
    </row>
    <row r="868" spans="1:12" ht="12.75" hidden="1">
      <c r="A868" s="167" t="str">
        <f>'030523 INVENTARIO'!A868</f>
        <v>0867</v>
      </c>
      <c r="B868" s="168" t="str">
        <f>'030523 INVENTARIO'!T868</f>
        <v>82DH0511010017000651082</v>
      </c>
      <c r="C868" s="167" t="str">
        <f t="shared" si="0"/>
        <v>651082</v>
      </c>
      <c r="D868" s="167" t="str">
        <f>IF(VLOOKUP(C868,'Patrimonio 2023'!$C$2:$C$1128,1,FALSE) = C868, "Encontrado", "no")</f>
        <v>Encontrado</v>
      </c>
      <c r="E868" s="167" t="str">
        <f>VLOOKUP($A868,'030523 INVENTARIO'!$A$2:$Y$1148,5,FALSE)</f>
        <v>SILLA</v>
      </c>
      <c r="F868" s="168" t="str">
        <f>VLOOKUP($A868,'030523 INVENTARIO'!$A$2:$Y$1148,6,FALSE)</f>
        <v>SILLA DE METAL GRIS PLEGABLE</v>
      </c>
      <c r="G868" s="167" t="str">
        <f ca="1">VLOOKUP($A868,'030523 INVENTARIO'!$A$2:$Y$1148,8,FALSE)</f>
        <v>P35DA-0867</v>
      </c>
      <c r="H868" s="168" t="str">
        <f>VLOOKUP($A868,'030523 INVENTARIO'!$A$2:$Y$1148,17,FALSE)</f>
        <v>S/M</v>
      </c>
      <c r="I868" s="167" t="str">
        <f>VLOOKUP($A868,'030523 INVENTARIO'!$A$2:$Y$1148,18,FALSE)</f>
        <v>S/M</v>
      </c>
      <c r="J868" s="168" t="str">
        <f>VLOOKUP($A868,'030523 INVENTARIO'!$A$2:$Y$1148,19,FALSE)</f>
        <v>SIN SERIE</v>
      </c>
      <c r="K868" s="168" t="str">
        <f>VLOOKUP($A868,'030523 INVENTARIO'!$A$2:$Y$1148,20,FALSE)</f>
        <v>82DH0511010017000651082</v>
      </c>
      <c r="L868" s="167" t="str">
        <f>VLOOKUP($A868,'030523 INVENTARIO'!$A$2:$Y$1148,23,FALSE)</f>
        <v>ROSAURA MENDEZ SALGADO</v>
      </c>
    </row>
    <row r="869" spans="1:12" ht="12.75" hidden="1">
      <c r="A869" s="167" t="str">
        <f>'030523 INVENTARIO'!A869</f>
        <v>0868</v>
      </c>
      <c r="B869" s="168" t="str">
        <f>'030523 INVENTARIO'!T869</f>
        <v>82DH0511010017000651081</v>
      </c>
      <c r="C869" s="167" t="str">
        <f t="shared" si="0"/>
        <v>651081</v>
      </c>
      <c r="D869" s="167" t="str">
        <f>IF(VLOOKUP(C869,'Patrimonio 2023'!$C$2:$C$1128,1,FALSE) = C869, "Encontrado", "no")</f>
        <v>Encontrado</v>
      </c>
      <c r="E869" s="167" t="str">
        <f>VLOOKUP($A869,'030523 INVENTARIO'!$A$2:$Y$1148,5,FALSE)</f>
        <v>SILLA</v>
      </c>
      <c r="F869" s="168" t="str">
        <f>VLOOKUP($A869,'030523 INVENTARIO'!$A$2:$Y$1148,6,FALSE)</f>
        <v>SILLA DE METAL GRIS PLEGABLE</v>
      </c>
      <c r="G869" s="167" t="str">
        <f ca="1">VLOOKUP($A869,'030523 INVENTARIO'!$A$2:$Y$1148,8,FALSE)</f>
        <v>P35DA-0868</v>
      </c>
      <c r="H869" s="168" t="str">
        <f>VLOOKUP($A869,'030523 INVENTARIO'!$A$2:$Y$1148,17,FALSE)</f>
        <v>S/M</v>
      </c>
      <c r="I869" s="167" t="str">
        <f>VLOOKUP($A869,'030523 INVENTARIO'!$A$2:$Y$1148,18,FALSE)</f>
        <v>S/M</v>
      </c>
      <c r="J869" s="168" t="str">
        <f>VLOOKUP($A869,'030523 INVENTARIO'!$A$2:$Y$1148,19,FALSE)</f>
        <v>SIN SERIE</v>
      </c>
      <c r="K869" s="168" t="str">
        <f>VLOOKUP($A869,'030523 INVENTARIO'!$A$2:$Y$1148,20,FALSE)</f>
        <v>82DH0511010017000651081</v>
      </c>
      <c r="L869" s="167" t="str">
        <f>VLOOKUP($A869,'030523 INVENTARIO'!$A$2:$Y$1148,23,FALSE)</f>
        <v>ROSAURA MENDEZ SALGADO</v>
      </c>
    </row>
    <row r="870" spans="1:12" ht="12.75" hidden="1">
      <c r="A870" s="167" t="str">
        <f>'030523 INVENTARIO'!A870</f>
        <v>0869</v>
      </c>
      <c r="B870" s="168" t="str">
        <f>'030523 INVENTARIO'!T870</f>
        <v>82DH0511010017000651080</v>
      </c>
      <c r="C870" s="167" t="str">
        <f t="shared" si="0"/>
        <v>651080</v>
      </c>
      <c r="D870" s="167" t="str">
        <f>IF(VLOOKUP(C870,'Patrimonio 2023'!$C$2:$C$1128,1,FALSE) = C870, "Encontrado", "no")</f>
        <v>Encontrado</v>
      </c>
      <c r="E870" s="167" t="str">
        <f>VLOOKUP($A870,'030523 INVENTARIO'!$A$2:$Y$1148,5,FALSE)</f>
        <v>SILLA</v>
      </c>
      <c r="F870" s="168" t="str">
        <f>VLOOKUP($A870,'030523 INVENTARIO'!$A$2:$Y$1148,6,FALSE)</f>
        <v>SILLA DE METAL GRIS PLEGABLE</v>
      </c>
      <c r="G870" s="167" t="str">
        <f ca="1">VLOOKUP($A870,'030523 INVENTARIO'!$A$2:$Y$1148,8,FALSE)</f>
        <v>P35DA-0869</v>
      </c>
      <c r="H870" s="168" t="str">
        <f>VLOOKUP($A870,'030523 INVENTARIO'!$A$2:$Y$1148,17,FALSE)</f>
        <v>S/M</v>
      </c>
      <c r="I870" s="167" t="str">
        <f>VLOOKUP($A870,'030523 INVENTARIO'!$A$2:$Y$1148,18,FALSE)</f>
        <v>S/M</v>
      </c>
      <c r="J870" s="168" t="str">
        <f>VLOOKUP($A870,'030523 INVENTARIO'!$A$2:$Y$1148,19,FALSE)</f>
        <v>SIN SERIE</v>
      </c>
      <c r="K870" s="168" t="str">
        <f>VLOOKUP($A870,'030523 INVENTARIO'!$A$2:$Y$1148,20,FALSE)</f>
        <v>82DH0511010017000651080</v>
      </c>
      <c r="L870" s="167" t="str">
        <f>VLOOKUP($A870,'030523 INVENTARIO'!$A$2:$Y$1148,23,FALSE)</f>
        <v>ROSAURA MENDEZ SALGADO</v>
      </c>
    </row>
    <row r="871" spans="1:12" ht="12.75" hidden="1">
      <c r="A871" s="167" t="str">
        <f>'030523 INVENTARIO'!A871</f>
        <v>0870</v>
      </c>
      <c r="B871" s="168" t="str">
        <f>'030523 INVENTARIO'!T871</f>
        <v>82DH0511010017000651079</v>
      </c>
      <c r="C871" s="167" t="str">
        <f t="shared" si="0"/>
        <v>651079</v>
      </c>
      <c r="D871" s="167" t="str">
        <f>IF(VLOOKUP(C871,'Patrimonio 2023'!$C$2:$C$1128,1,FALSE) = C871, "Encontrado", "no")</f>
        <v>Encontrado</v>
      </c>
      <c r="E871" s="167" t="str">
        <f>VLOOKUP($A871,'030523 INVENTARIO'!$A$2:$Y$1148,5,FALSE)</f>
        <v>SILLA</v>
      </c>
      <c r="F871" s="168" t="str">
        <f>VLOOKUP($A871,'030523 INVENTARIO'!$A$2:$Y$1148,6,FALSE)</f>
        <v>SILLA DE METAL GRIS PLEGABLE</v>
      </c>
      <c r="G871" s="167" t="str">
        <f ca="1">VLOOKUP($A871,'030523 INVENTARIO'!$A$2:$Y$1148,8,FALSE)</f>
        <v>P35DA-0870</v>
      </c>
      <c r="H871" s="168" t="str">
        <f>VLOOKUP($A871,'030523 INVENTARIO'!$A$2:$Y$1148,17,FALSE)</f>
        <v>S/M</v>
      </c>
      <c r="I871" s="167" t="str">
        <f>VLOOKUP($A871,'030523 INVENTARIO'!$A$2:$Y$1148,18,FALSE)</f>
        <v>S/M</v>
      </c>
      <c r="J871" s="168" t="str">
        <f>VLOOKUP($A871,'030523 INVENTARIO'!$A$2:$Y$1148,19,FALSE)</f>
        <v>SIN SERIE</v>
      </c>
      <c r="K871" s="168" t="str">
        <f>VLOOKUP($A871,'030523 INVENTARIO'!$A$2:$Y$1148,20,FALSE)</f>
        <v>82DH0511010017000651079</v>
      </c>
      <c r="L871" s="167" t="str">
        <f>VLOOKUP($A871,'030523 INVENTARIO'!$A$2:$Y$1148,23,FALSE)</f>
        <v>ROSAURA MENDEZ SALGADO</v>
      </c>
    </row>
    <row r="872" spans="1:12" ht="12.75" hidden="1">
      <c r="A872" s="167" t="str">
        <f>'030523 INVENTARIO'!A872</f>
        <v>0871</v>
      </c>
      <c r="B872" s="168" t="str">
        <f>'030523 INVENTARIO'!T872</f>
        <v>82DH0511010017000651078</v>
      </c>
      <c r="C872" s="167" t="str">
        <f t="shared" si="0"/>
        <v>651078</v>
      </c>
      <c r="D872" s="167" t="str">
        <f>IF(VLOOKUP(C872,'Patrimonio 2023'!$C$2:$C$1128,1,FALSE) = C872, "Encontrado", "no")</f>
        <v>Encontrado</v>
      </c>
      <c r="E872" s="167" t="str">
        <f>VLOOKUP($A872,'030523 INVENTARIO'!$A$2:$Y$1148,5,FALSE)</f>
        <v>SILLA</v>
      </c>
      <c r="F872" s="168" t="str">
        <f>VLOOKUP($A872,'030523 INVENTARIO'!$A$2:$Y$1148,6,FALSE)</f>
        <v>SILLA DE METAL GRIS PLEGABLE</v>
      </c>
      <c r="G872" s="167" t="str">
        <f ca="1">VLOOKUP($A872,'030523 INVENTARIO'!$A$2:$Y$1148,8,FALSE)</f>
        <v>P35DA-0871</v>
      </c>
      <c r="H872" s="168" t="str">
        <f>VLOOKUP($A872,'030523 INVENTARIO'!$A$2:$Y$1148,17,FALSE)</f>
        <v>S/M</v>
      </c>
      <c r="I872" s="167" t="str">
        <f>VLOOKUP($A872,'030523 INVENTARIO'!$A$2:$Y$1148,18,FALSE)</f>
        <v>S/M</v>
      </c>
      <c r="J872" s="168" t="str">
        <f>VLOOKUP($A872,'030523 INVENTARIO'!$A$2:$Y$1148,19,FALSE)</f>
        <v>SIN SERIE</v>
      </c>
      <c r="K872" s="168" t="str">
        <f>VLOOKUP($A872,'030523 INVENTARIO'!$A$2:$Y$1148,20,FALSE)</f>
        <v>82DH0511010017000651078</v>
      </c>
      <c r="L872" s="167" t="str">
        <f>VLOOKUP($A872,'030523 INVENTARIO'!$A$2:$Y$1148,23,FALSE)</f>
        <v>ROSAURA MENDEZ SALGADO</v>
      </c>
    </row>
    <row r="873" spans="1:12" ht="12.75" hidden="1">
      <c r="A873" s="167" t="str">
        <f>'030523 INVENTARIO'!A873</f>
        <v>0872</v>
      </c>
      <c r="B873" s="168" t="str">
        <f>'030523 INVENTARIO'!T873</f>
        <v>82DH0511010017000651077</v>
      </c>
      <c r="C873" s="167" t="str">
        <f t="shared" si="0"/>
        <v>651077</v>
      </c>
      <c r="D873" s="167" t="str">
        <f>IF(VLOOKUP(C873,'Patrimonio 2023'!$C$2:$C$1128,1,FALSE) = C873, "Encontrado", "no")</f>
        <v>Encontrado</v>
      </c>
      <c r="E873" s="167" t="str">
        <f>VLOOKUP($A873,'030523 INVENTARIO'!$A$2:$Y$1148,5,FALSE)</f>
        <v>SILLA</v>
      </c>
      <c r="F873" s="168" t="str">
        <f>VLOOKUP($A873,'030523 INVENTARIO'!$A$2:$Y$1148,6,FALSE)</f>
        <v>SILLA DE METAL GRIS PLEGABLE</v>
      </c>
      <c r="G873" s="167" t="str">
        <f ca="1">VLOOKUP($A873,'030523 INVENTARIO'!$A$2:$Y$1148,8,FALSE)</f>
        <v>P35DA-0872</v>
      </c>
      <c r="H873" s="168" t="str">
        <f>VLOOKUP($A873,'030523 INVENTARIO'!$A$2:$Y$1148,17,FALSE)</f>
        <v>S/M</v>
      </c>
      <c r="I873" s="167" t="str">
        <f>VLOOKUP($A873,'030523 INVENTARIO'!$A$2:$Y$1148,18,FALSE)</f>
        <v>S/M</v>
      </c>
      <c r="J873" s="168" t="str">
        <f>VLOOKUP($A873,'030523 INVENTARIO'!$A$2:$Y$1148,19,FALSE)</f>
        <v>SIN SERIE</v>
      </c>
      <c r="K873" s="168" t="str">
        <f>VLOOKUP($A873,'030523 INVENTARIO'!$A$2:$Y$1148,20,FALSE)</f>
        <v>82DH0511010017000651077</v>
      </c>
      <c r="L873" s="167" t="str">
        <f>VLOOKUP($A873,'030523 INVENTARIO'!$A$2:$Y$1148,23,FALSE)</f>
        <v>ROSAURA MENDEZ SALGADO</v>
      </c>
    </row>
    <row r="874" spans="1:12" ht="12.75" hidden="1">
      <c r="A874" s="167" t="str">
        <f>'030523 INVENTARIO'!A874</f>
        <v>0873</v>
      </c>
      <c r="B874" s="168" t="str">
        <f>'030523 INVENTARIO'!T874</f>
        <v>82DH0511010017000651076</v>
      </c>
      <c r="C874" s="167" t="str">
        <f t="shared" si="0"/>
        <v>651076</v>
      </c>
      <c r="D874" s="167" t="str">
        <f>IF(VLOOKUP(C874,'Patrimonio 2023'!$C$2:$C$1128,1,FALSE) = C874, "Encontrado", "no")</f>
        <v>Encontrado</v>
      </c>
      <c r="E874" s="167" t="str">
        <f>VLOOKUP($A874,'030523 INVENTARIO'!$A$2:$Y$1148,5,FALSE)</f>
        <v>SILLA</v>
      </c>
      <c r="F874" s="168" t="str">
        <f>VLOOKUP($A874,'030523 INVENTARIO'!$A$2:$Y$1148,6,FALSE)</f>
        <v>SILLA DE METAL GRIS PLEGABLE</v>
      </c>
      <c r="G874" s="167" t="str">
        <f ca="1">VLOOKUP($A874,'030523 INVENTARIO'!$A$2:$Y$1148,8,FALSE)</f>
        <v>P35DA-0873</v>
      </c>
      <c r="H874" s="168" t="str">
        <f>VLOOKUP($A874,'030523 INVENTARIO'!$A$2:$Y$1148,17,FALSE)</f>
        <v>S/M</v>
      </c>
      <c r="I874" s="167" t="str">
        <f>VLOOKUP($A874,'030523 INVENTARIO'!$A$2:$Y$1148,18,FALSE)</f>
        <v>S/M</v>
      </c>
      <c r="J874" s="168" t="str">
        <f>VLOOKUP($A874,'030523 INVENTARIO'!$A$2:$Y$1148,19,FALSE)</f>
        <v>SIN SERIE</v>
      </c>
      <c r="K874" s="168" t="str">
        <f>VLOOKUP($A874,'030523 INVENTARIO'!$A$2:$Y$1148,20,FALSE)</f>
        <v>82DH0511010017000651076</v>
      </c>
      <c r="L874" s="167" t="str">
        <f>VLOOKUP($A874,'030523 INVENTARIO'!$A$2:$Y$1148,23,FALSE)</f>
        <v>ROSAURA MENDEZ SALGADO</v>
      </c>
    </row>
    <row r="875" spans="1:12" ht="12.75" hidden="1">
      <c r="A875" s="167" t="str">
        <f>'030523 INVENTARIO'!A875</f>
        <v>0874</v>
      </c>
      <c r="B875" s="168" t="str">
        <f>'030523 INVENTARIO'!T875</f>
        <v>82DH0511010017000651075</v>
      </c>
      <c r="C875" s="167" t="str">
        <f t="shared" si="0"/>
        <v>651075</v>
      </c>
      <c r="D875" s="167" t="str">
        <f>IF(VLOOKUP(C875,'Patrimonio 2023'!$C$2:$C$1128,1,FALSE) = C875, "Encontrado", "no")</f>
        <v>Encontrado</v>
      </c>
      <c r="E875" s="167" t="str">
        <f>VLOOKUP($A875,'030523 INVENTARIO'!$A$2:$Y$1148,5,FALSE)</f>
        <v>SILLA</v>
      </c>
      <c r="F875" s="168" t="str">
        <f>VLOOKUP($A875,'030523 INVENTARIO'!$A$2:$Y$1148,6,FALSE)</f>
        <v>SILLA DE METAL GRIS PLEGABLE</v>
      </c>
      <c r="G875" s="167" t="str">
        <f ca="1">VLOOKUP($A875,'030523 INVENTARIO'!$A$2:$Y$1148,8,FALSE)</f>
        <v>P35DA-0874</v>
      </c>
      <c r="H875" s="168" t="str">
        <f>VLOOKUP($A875,'030523 INVENTARIO'!$A$2:$Y$1148,17,FALSE)</f>
        <v>S/M</v>
      </c>
      <c r="I875" s="167" t="str">
        <f>VLOOKUP($A875,'030523 INVENTARIO'!$A$2:$Y$1148,18,FALSE)</f>
        <v>S/M</v>
      </c>
      <c r="J875" s="168" t="str">
        <f>VLOOKUP($A875,'030523 INVENTARIO'!$A$2:$Y$1148,19,FALSE)</f>
        <v>SIN SERIE</v>
      </c>
      <c r="K875" s="168" t="str">
        <f>VLOOKUP($A875,'030523 INVENTARIO'!$A$2:$Y$1148,20,FALSE)</f>
        <v>82DH0511010017000651075</v>
      </c>
      <c r="L875" s="167" t="str">
        <f>VLOOKUP($A875,'030523 INVENTARIO'!$A$2:$Y$1148,23,FALSE)</f>
        <v>ROSAURA MENDEZ SALGADO</v>
      </c>
    </row>
    <row r="876" spans="1:12" ht="12.75" hidden="1">
      <c r="A876" s="167" t="str">
        <f>'030523 INVENTARIO'!A876</f>
        <v>0875</v>
      </c>
      <c r="B876" s="168" t="str">
        <f>'030523 INVENTARIO'!T876</f>
        <v>82DH0511010017000651074</v>
      </c>
      <c r="C876" s="167" t="str">
        <f t="shared" si="0"/>
        <v>651074</v>
      </c>
      <c r="D876" s="167" t="str">
        <f>IF(VLOOKUP(C876,'Patrimonio 2023'!$C$2:$C$1128,1,FALSE) = C876, "Encontrado", "no")</f>
        <v>Encontrado</v>
      </c>
      <c r="E876" s="167" t="str">
        <f>VLOOKUP($A876,'030523 INVENTARIO'!$A$2:$Y$1148,5,FALSE)</f>
        <v>SILLA</v>
      </c>
      <c r="F876" s="168" t="str">
        <f>VLOOKUP($A876,'030523 INVENTARIO'!$A$2:$Y$1148,6,FALSE)</f>
        <v>SILLA DE METAL GRIS PLEGABLE</v>
      </c>
      <c r="G876" s="167" t="str">
        <f ca="1">VLOOKUP($A876,'030523 INVENTARIO'!$A$2:$Y$1148,8,FALSE)</f>
        <v>P35DA-0875</v>
      </c>
      <c r="H876" s="168" t="str">
        <f>VLOOKUP($A876,'030523 INVENTARIO'!$A$2:$Y$1148,17,FALSE)</f>
        <v>S/M</v>
      </c>
      <c r="I876" s="167" t="str">
        <f>VLOOKUP($A876,'030523 INVENTARIO'!$A$2:$Y$1148,18,FALSE)</f>
        <v>S/M</v>
      </c>
      <c r="J876" s="168" t="str">
        <f>VLOOKUP($A876,'030523 INVENTARIO'!$A$2:$Y$1148,19,FALSE)</f>
        <v>SIN SERIE</v>
      </c>
      <c r="K876" s="168" t="str">
        <f>VLOOKUP($A876,'030523 INVENTARIO'!$A$2:$Y$1148,20,FALSE)</f>
        <v>82DH0511010017000651074</v>
      </c>
      <c r="L876" s="167" t="str">
        <f>VLOOKUP($A876,'030523 INVENTARIO'!$A$2:$Y$1148,23,FALSE)</f>
        <v>ROSAURA MENDEZ SALGADO</v>
      </c>
    </row>
    <row r="877" spans="1:12" ht="12.75" hidden="1">
      <c r="A877" s="167" t="str">
        <f>'030523 INVENTARIO'!A877</f>
        <v>0876</v>
      </c>
      <c r="B877" s="168" t="str">
        <f>'030523 INVENTARIO'!T877</f>
        <v>82DH0511010017000651072</v>
      </c>
      <c r="C877" s="167" t="str">
        <f t="shared" si="0"/>
        <v>651072</v>
      </c>
      <c r="D877" s="167" t="str">
        <f>IF(VLOOKUP(C877,'Patrimonio 2023'!$C$2:$C$1128,1,FALSE) = C877, "Encontrado", "no")</f>
        <v>Encontrado</v>
      </c>
      <c r="E877" s="167" t="str">
        <f>VLOOKUP($A877,'030523 INVENTARIO'!$A$2:$Y$1148,5,FALSE)</f>
        <v>SILLA</v>
      </c>
      <c r="F877" s="168" t="str">
        <f>VLOOKUP($A877,'030523 INVENTARIO'!$A$2:$Y$1148,6,FALSE)</f>
        <v>SILLA DE METAL GRIS PLEGABLE</v>
      </c>
      <c r="G877" s="167" t="str">
        <f ca="1">VLOOKUP($A877,'030523 INVENTARIO'!$A$2:$Y$1148,8,FALSE)</f>
        <v>P35DA-0876</v>
      </c>
      <c r="H877" s="168" t="str">
        <f>VLOOKUP($A877,'030523 INVENTARIO'!$A$2:$Y$1148,17,FALSE)</f>
        <v>S/M</v>
      </c>
      <c r="I877" s="167" t="str">
        <f>VLOOKUP($A877,'030523 INVENTARIO'!$A$2:$Y$1148,18,FALSE)</f>
        <v>S/M</v>
      </c>
      <c r="J877" s="168" t="str">
        <f>VLOOKUP($A877,'030523 INVENTARIO'!$A$2:$Y$1148,19,FALSE)</f>
        <v>SIN SERIE</v>
      </c>
      <c r="K877" s="168" t="str">
        <f>VLOOKUP($A877,'030523 INVENTARIO'!$A$2:$Y$1148,20,FALSE)</f>
        <v>82DH0511010017000651072</v>
      </c>
      <c r="L877" s="167" t="str">
        <f>VLOOKUP($A877,'030523 INVENTARIO'!$A$2:$Y$1148,23,FALSE)</f>
        <v>ROSAURA MENDEZ SALGADO</v>
      </c>
    </row>
    <row r="878" spans="1:12" ht="12.75" hidden="1">
      <c r="A878" s="167" t="str">
        <f>'030523 INVENTARIO'!A878</f>
        <v>0877</v>
      </c>
      <c r="B878" s="167" t="str">
        <f>'030523 INVENTARIO'!T878</f>
        <v>82DH0511010017000649509</v>
      </c>
      <c r="C878" s="167" t="str">
        <f t="shared" si="0"/>
        <v>649509</v>
      </c>
      <c r="D878" s="167" t="str">
        <f>IF(VLOOKUP(C878,'Patrimonio 2023'!$C$2:$C$1128,1,FALSE) = C878, "Encontrado", "no")</f>
        <v>Encontrado</v>
      </c>
      <c r="E878" s="167" t="str">
        <f>VLOOKUP($A878,'030523 INVENTARIO'!$A$2:$Y$1148,5,FALSE)</f>
        <v>SILLA</v>
      </c>
      <c r="F878" s="167" t="str">
        <f>VLOOKUP($A878,'030523 INVENTARIO'!$A$2:$Y$1148,6,FALSE)</f>
        <v>SILLA DE METAL GRIS PLEGABLE</v>
      </c>
      <c r="G878" s="167" t="str">
        <f ca="1">VLOOKUP($A878,'030523 INVENTARIO'!$A$2:$Y$1148,8,FALSE)</f>
        <v>P35DA-0877</v>
      </c>
      <c r="H878" s="168" t="str">
        <f>VLOOKUP($A878,'030523 INVENTARIO'!$A$2:$Y$1148,17,FALSE)</f>
        <v>S/M</v>
      </c>
      <c r="I878" s="167" t="str">
        <f>VLOOKUP($A878,'030523 INVENTARIO'!$A$2:$Y$1148,18,FALSE)</f>
        <v>S/M</v>
      </c>
      <c r="J878" s="167" t="str">
        <f>VLOOKUP($A878,'030523 INVENTARIO'!$A$2:$Y$1148,19,FALSE)</f>
        <v>SIN SERIE</v>
      </c>
      <c r="K878" s="167" t="str">
        <f>VLOOKUP($A878,'030523 INVENTARIO'!$A$2:$Y$1148,20,FALSE)</f>
        <v>82DH0511010017000649509</v>
      </c>
      <c r="L878" s="167" t="str">
        <f>VLOOKUP($A878,'030523 INVENTARIO'!$A$2:$Y$1148,23,FALSE)</f>
        <v>ROSAURA MENDEZ SALGADO</v>
      </c>
    </row>
    <row r="879" spans="1:12" ht="12.75" hidden="1">
      <c r="A879" s="167" t="str">
        <f>'030523 INVENTARIO'!A879</f>
        <v>0878</v>
      </c>
      <c r="B879" s="168" t="str">
        <f>'030523 INVENTARIO'!T879</f>
        <v>82DH0511010017000651073</v>
      </c>
      <c r="C879" s="167" t="str">
        <f t="shared" si="0"/>
        <v>651073</v>
      </c>
      <c r="D879" s="167" t="str">
        <f>IF(VLOOKUP(C879,'Patrimonio 2023'!$C$2:$C$1128,1,FALSE) = C879, "Encontrado", "no")</f>
        <v>Encontrado</v>
      </c>
      <c r="E879" s="167" t="str">
        <f>VLOOKUP($A879,'030523 INVENTARIO'!$A$2:$Y$1148,5,FALSE)</f>
        <v>SILLA</v>
      </c>
      <c r="F879" s="168" t="str">
        <f>VLOOKUP($A879,'030523 INVENTARIO'!$A$2:$Y$1148,6,FALSE)</f>
        <v>SILLA DE METAL GRIS PLEGABLE</v>
      </c>
      <c r="G879" s="167" t="str">
        <f ca="1">VLOOKUP($A879,'030523 INVENTARIO'!$A$2:$Y$1148,8,FALSE)</f>
        <v>P35DA-0878</v>
      </c>
      <c r="H879" s="168" t="str">
        <f>VLOOKUP($A879,'030523 INVENTARIO'!$A$2:$Y$1148,17,FALSE)</f>
        <v>S/M</v>
      </c>
      <c r="I879" s="167" t="str">
        <f>VLOOKUP($A879,'030523 INVENTARIO'!$A$2:$Y$1148,18,FALSE)</f>
        <v>S/M</v>
      </c>
      <c r="J879" s="168" t="str">
        <f>VLOOKUP($A879,'030523 INVENTARIO'!$A$2:$Y$1148,19,FALSE)</f>
        <v>SIN SERIE</v>
      </c>
      <c r="K879" s="168" t="str">
        <f>VLOOKUP($A879,'030523 INVENTARIO'!$A$2:$Y$1148,20,FALSE)</f>
        <v>82DH0511010017000651073</v>
      </c>
      <c r="L879" s="167" t="str">
        <f>VLOOKUP($A879,'030523 INVENTARIO'!$A$2:$Y$1148,23,FALSE)</f>
        <v>ROSAURA MENDEZ SALGADO</v>
      </c>
    </row>
    <row r="880" spans="1:12" ht="12.75" hidden="1">
      <c r="A880" s="167" t="str">
        <f>'030523 INVENTARIO'!A880</f>
        <v>0879</v>
      </c>
      <c r="B880" s="168" t="str">
        <f>'030523 INVENTARIO'!T880</f>
        <v>82DH0511010017000516345</v>
      </c>
      <c r="C880" s="167" t="str">
        <f t="shared" si="0"/>
        <v>516345</v>
      </c>
      <c r="D880" s="167" t="str">
        <f>IF(VLOOKUP(C880,'Patrimonio 2023'!$C$2:$C$1128,1,FALSE) = C880, "Encontrado", "no")</f>
        <v>Encontrado</v>
      </c>
      <c r="E880" s="167" t="str">
        <f>VLOOKUP($A880,'030523 INVENTARIO'!$A$2:$Y$1148,5,FALSE)</f>
        <v>SILLA</v>
      </c>
      <c r="F880" s="168" t="str">
        <f>VLOOKUP($A880,'030523 INVENTARIO'!$A$2:$Y$1148,6,FALSE)</f>
        <v>SILLA DE TELA CAFÉ</v>
      </c>
      <c r="G880" s="167" t="str">
        <f ca="1">VLOOKUP($A880,'030523 INVENTARIO'!$A$2:$Y$1148,8,FALSE)</f>
        <v>P35DA-0879</v>
      </c>
      <c r="H880" s="168" t="str">
        <f>VLOOKUP($A880,'030523 INVENTARIO'!$A$2:$Y$1148,17,FALSE)</f>
        <v>S/M</v>
      </c>
      <c r="I880" s="167" t="str">
        <f>VLOOKUP($A880,'030523 INVENTARIO'!$A$2:$Y$1148,18,FALSE)</f>
        <v>S/M</v>
      </c>
      <c r="J880" s="168" t="str">
        <f>VLOOKUP($A880,'030523 INVENTARIO'!$A$2:$Y$1148,19,FALSE)</f>
        <v>SIN SERIE</v>
      </c>
      <c r="K880" s="168" t="str">
        <f>VLOOKUP($A880,'030523 INVENTARIO'!$A$2:$Y$1148,20,FALSE)</f>
        <v>82DH0511010017000516345</v>
      </c>
      <c r="L880" s="167" t="str">
        <f>VLOOKUP($A880,'030523 INVENTARIO'!$A$2:$Y$1148,23,FALSE)</f>
        <v>ROSAURA MENDEZ SALGADO</v>
      </c>
    </row>
    <row r="881" spans="1:12" ht="12.75" hidden="1">
      <c r="A881" s="167" t="str">
        <f>'030523 INVENTARIO'!A881</f>
        <v>0880</v>
      </c>
      <c r="B881" s="168" t="str">
        <f>'030523 INVENTARIO'!T881</f>
        <v>82DK0511010017000518523</v>
      </c>
      <c r="C881" s="167" t="str">
        <f t="shared" si="0"/>
        <v>518523</v>
      </c>
      <c r="D881" s="167" t="str">
        <f>IF(VLOOKUP(C881,'Patrimonio 2023'!$C$2:$C$1128,1,FALSE) = C881, "Encontrado", "no")</f>
        <v>Encontrado</v>
      </c>
      <c r="E881" s="167" t="str">
        <f>VLOOKUP($A881,'030523 INVENTARIO'!$A$2:$Y$1148,5,FALSE)</f>
        <v>SILLA</v>
      </c>
      <c r="F881" s="168" t="str">
        <f>VLOOKUP($A881,'030523 INVENTARIO'!$A$2:$Y$1148,6,FALSE)</f>
        <v>SILLA DE TELA CAFÉ</v>
      </c>
      <c r="G881" s="167" t="str">
        <f ca="1">VLOOKUP($A881,'030523 INVENTARIO'!$A$2:$Y$1148,8,FALSE)</f>
        <v>P35RM-0880</v>
      </c>
      <c r="H881" s="168" t="str">
        <f>VLOOKUP($A881,'030523 INVENTARIO'!$A$2:$Y$1148,17,FALSE)</f>
        <v>S/M</v>
      </c>
      <c r="I881" s="167" t="str">
        <f>VLOOKUP($A881,'030523 INVENTARIO'!$A$2:$Y$1148,18,FALSE)</f>
        <v>S/M</v>
      </c>
      <c r="J881" s="168" t="str">
        <f>VLOOKUP($A881,'030523 INVENTARIO'!$A$2:$Y$1148,19,FALSE)</f>
        <v>SIN SERIE</v>
      </c>
      <c r="K881" s="168" t="str">
        <f>VLOOKUP($A881,'030523 INVENTARIO'!$A$2:$Y$1148,20,FALSE)</f>
        <v>82DK0511010017000518523</v>
      </c>
      <c r="L881" s="167" t="str">
        <f>VLOOKUP($A881,'030523 INVENTARIO'!$A$2:$Y$1148,23,FALSE)</f>
        <v>BLANCA ELIZABETH ALCANTAR GUERRERO</v>
      </c>
    </row>
    <row r="882" spans="1:12" ht="12.75" hidden="1">
      <c r="A882" s="167" t="str">
        <f>'030523 INVENTARIO'!A882</f>
        <v>0881</v>
      </c>
      <c r="B882" s="167" t="str">
        <f>'030523 INVENTARIO'!T882</f>
        <v>82DH0519010009000535596</v>
      </c>
      <c r="C882" s="167" t="str">
        <f t="shared" si="0"/>
        <v>535596</v>
      </c>
      <c r="D882" s="167" t="str">
        <f>IF(VLOOKUP(C882,'Patrimonio 2023'!$C$2:$C$1128,1,FALSE) = C882, "Encontrado", "no")</f>
        <v>Encontrado</v>
      </c>
      <c r="E882" s="167" t="str">
        <f>VLOOKUP($A882,'030523 INVENTARIO'!$A$2:$Y$1148,5,FALSE)</f>
        <v>COMPLEMENTARIO DE EQUIPO DE COMEDOR Y COCINA</v>
      </c>
      <c r="F882" s="167" t="str">
        <f>VLOOKUP($A882,'030523 INVENTARIO'!$A$2:$Y$1148,6,FALSE)</f>
        <v>COMPLEMENTO DE EQUIPO ALACENA PARTE DE ESTUFA Y FREGADOR</v>
      </c>
      <c r="G882" s="167" t="str">
        <f ca="1">VLOOKUP($A882,'030523 INVENTARIO'!$A$2:$Y$1148,8,FALSE)</f>
        <v>P35DA-0881</v>
      </c>
      <c r="H882" s="168" t="str">
        <f>VLOOKUP($A882,'030523 INVENTARIO'!$A$2:$Y$1148,17,FALSE)</f>
        <v>S/M</v>
      </c>
      <c r="I882" s="167" t="str">
        <f>VLOOKUP($A882,'030523 INVENTARIO'!$A$2:$Y$1148,18,FALSE)</f>
        <v>S/M</v>
      </c>
      <c r="J882" s="167" t="str">
        <f>VLOOKUP($A882,'030523 INVENTARIO'!$A$2:$Y$1148,19,FALSE)</f>
        <v>SIN SERIE</v>
      </c>
      <c r="K882" s="167" t="str">
        <f>VLOOKUP($A882,'030523 INVENTARIO'!$A$2:$Y$1148,20,FALSE)</f>
        <v>82DH0519010009000535596</v>
      </c>
      <c r="L882" s="167" t="str">
        <f>VLOOKUP($A882,'030523 INVENTARIO'!$A$2:$Y$1148,23,FALSE)</f>
        <v>ROSAURA MENDEZ SALGADO</v>
      </c>
    </row>
    <row r="883" spans="1:12" ht="12.75" hidden="1">
      <c r="A883" s="167" t="str">
        <f>'030523 INVENTARIO'!A883</f>
        <v>0882</v>
      </c>
      <c r="B883" s="168" t="str">
        <f>'030523 INVENTARIO'!T883</f>
        <v>82DH0511010004000518490</v>
      </c>
      <c r="C883" s="167" t="str">
        <f t="shared" si="0"/>
        <v>518490</v>
      </c>
      <c r="D883" s="167" t="str">
        <f>IF(VLOOKUP(C883,'Patrimonio 2023'!$C$2:$C$1128,1,FALSE) = C883, "Encontrado", "no")</f>
        <v>Encontrado</v>
      </c>
      <c r="E883" s="167" t="str">
        <f>VLOOKUP($A883,'030523 INVENTARIO'!$A$2:$Y$1148,5,FALSE)</f>
        <v>CAJA FUERTE</v>
      </c>
      <c r="F883" s="167" t="str">
        <f>VLOOKUP($A883,'030523 INVENTARIO'!$A$2:$Y$1148,6,FALSE)</f>
        <v>CAJA FUERTE COLOR GRIS 45X41X45</v>
      </c>
      <c r="G883" s="167" t="str">
        <f ca="1">VLOOKUP($A883,'030523 INVENTARIO'!$A$2:$Y$1148,8,FALSE)</f>
        <v>P21DG-0882</v>
      </c>
      <c r="H883" s="168" t="str">
        <f>VLOOKUP($A883,'030523 INVENTARIO'!$A$2:$Y$1148,17,FALSE)</f>
        <v>S/M</v>
      </c>
      <c r="I883" s="167" t="str">
        <f>VLOOKUP($A883,'030523 INVENTARIO'!$A$2:$Y$1148,18,FALSE)</f>
        <v>S/M</v>
      </c>
      <c r="J883" s="168" t="str">
        <f>VLOOKUP($A883,'030523 INVENTARIO'!$A$2:$Y$1148,19,FALSE)</f>
        <v>SIN SERIE</v>
      </c>
      <c r="K883" s="168" t="str">
        <f>VLOOKUP($A883,'030523 INVENTARIO'!$A$2:$Y$1148,20,FALSE)</f>
        <v>82DH0511010004000518490</v>
      </c>
      <c r="L883" s="167" t="str">
        <f>VLOOKUP($A883,'030523 INVENTARIO'!$A$2:$Y$1148,23,FALSE)</f>
        <v>ALEJANDRO ESTRADA SALINAS</v>
      </c>
    </row>
    <row r="884" spans="1:12" ht="12.75" hidden="1">
      <c r="A884" s="167" t="str">
        <f>'030523 INVENTARIO'!A884</f>
        <v>0883</v>
      </c>
      <c r="B884" s="168" t="str">
        <f>'030523 INVENTARIO'!T884</f>
        <v>82DH0511010017000651393</v>
      </c>
      <c r="C884" s="167" t="str">
        <f t="shared" si="0"/>
        <v>651393</v>
      </c>
      <c r="D884" s="167" t="str">
        <f>IF(VLOOKUP(C884,'Patrimonio 2023'!$C$2:$C$1128,1,FALSE) = C884, "Encontrado", "no")</f>
        <v>Encontrado</v>
      </c>
      <c r="E884" s="167" t="str">
        <f>VLOOKUP($A884,'030523 INVENTARIO'!$A$2:$Y$1148,5,FALSE)</f>
        <v>SILLA</v>
      </c>
      <c r="F884" s="168" t="str">
        <f>VLOOKUP($A884,'030523 INVENTARIO'!$A$2:$Y$1148,6,FALSE)</f>
        <v>SILLA PLEGABLE GRIS</v>
      </c>
      <c r="G884" s="167" t="str">
        <f ca="1">VLOOKUP($A884,'030523 INVENTARIO'!$A$2:$Y$1148,8,FALSE)</f>
        <v>P21DG-0883</v>
      </c>
      <c r="H884" s="168" t="str">
        <f>VLOOKUP($A884,'030523 INVENTARIO'!$A$2:$Y$1148,17,FALSE)</f>
        <v>S/M</v>
      </c>
      <c r="I884" s="167" t="str">
        <f>VLOOKUP($A884,'030523 INVENTARIO'!$A$2:$Y$1148,18,FALSE)</f>
        <v>S/M</v>
      </c>
      <c r="J884" s="168" t="str">
        <f>VLOOKUP($A884,'030523 INVENTARIO'!$A$2:$Y$1148,19,FALSE)</f>
        <v>SIN SERIE</v>
      </c>
      <c r="K884" s="168" t="str">
        <f>VLOOKUP($A884,'030523 INVENTARIO'!$A$2:$Y$1148,20,FALSE)</f>
        <v>82DH0511010017000651393</v>
      </c>
      <c r="L884" s="167" t="str">
        <f>VLOOKUP($A884,'030523 INVENTARIO'!$A$2:$Y$1148,23,FALSE)</f>
        <v>ALEJANDRO ESTRADA SALINAS</v>
      </c>
    </row>
    <row r="885" spans="1:12" ht="12.75" hidden="1">
      <c r="A885" s="167" t="str">
        <f>'030523 INVENTARIO'!A885</f>
        <v>0884</v>
      </c>
      <c r="B885" s="168" t="str">
        <f>'030523 INVENTARIO'!T885</f>
        <v>82DH0511010006000583444</v>
      </c>
      <c r="C885" s="167" t="str">
        <f t="shared" si="0"/>
        <v>583444</v>
      </c>
      <c r="D885" s="167" t="str">
        <f>IF(VLOOKUP(C885,'Patrimonio 2023'!$C$2:$C$1128,1,FALSE) = C885, "Encontrado", "no")</f>
        <v>Encontrado</v>
      </c>
      <c r="E885" s="167" t="str">
        <f>VLOOKUP($A885,'030523 INVENTARIO'!$A$2:$Y$1148,5,FALSE)</f>
        <v>ESCRITORIO</v>
      </c>
      <c r="F885" s="167" t="str">
        <f>VLOOKUP($A885,'030523 INVENTARIO'!$A$2:$Y$1148,6,FALSE)</f>
        <v>ESCRITORIO DE MADERA BASE DE METAL CON 2 CAJONES 120X60</v>
      </c>
      <c r="G885" s="167" t="str">
        <f ca="1">VLOOKUP($A885,'030523 INVENTARIO'!$A$2:$Y$1148,8,FALSE)</f>
        <v>P21DG-0884</v>
      </c>
      <c r="H885" s="168" t="str">
        <f>VLOOKUP($A885,'030523 INVENTARIO'!$A$2:$Y$1148,17,FALSE)</f>
        <v>S/M</v>
      </c>
      <c r="I885" s="167" t="str">
        <f>VLOOKUP($A885,'030523 INVENTARIO'!$A$2:$Y$1148,18,FALSE)</f>
        <v>S/M</v>
      </c>
      <c r="J885" s="168" t="str">
        <f>VLOOKUP($A885,'030523 INVENTARIO'!$A$2:$Y$1148,19,FALSE)</f>
        <v>SIN SERIE</v>
      </c>
      <c r="K885" s="168" t="str">
        <f>VLOOKUP($A885,'030523 INVENTARIO'!$A$2:$Y$1148,20,FALSE)</f>
        <v>82DH0511010006000583444</v>
      </c>
      <c r="L885" s="167" t="str">
        <f>VLOOKUP($A885,'030523 INVENTARIO'!$A$2:$Y$1148,23,FALSE)</f>
        <v>ALEJANDRO ESTRADA SALINAS</v>
      </c>
    </row>
    <row r="886" spans="1:12" ht="12.75" hidden="1">
      <c r="A886" s="167" t="str">
        <f>'030523 INVENTARIO'!A886</f>
        <v>0885</v>
      </c>
      <c r="B886" s="168" t="str">
        <f>'030523 INVENTARIO'!T886</f>
        <v>82DH0529030003000651381</v>
      </c>
      <c r="C886" s="167" t="str">
        <f t="shared" si="0"/>
        <v>651381</v>
      </c>
      <c r="D886" s="167" t="str">
        <f>IF(VLOOKUP(C886,'Patrimonio 2023'!$C$2:$C$1128,1,FALSE) = C886, "Encontrado", "no")</f>
        <v>Encontrado</v>
      </c>
      <c r="E886" s="167" t="str">
        <f>VLOOKUP($A886,'030523 INVENTARIO'!$A$2:$Y$1148,5,FALSE)</f>
        <v>PIZARRON</v>
      </c>
      <c r="F886" s="167" t="str">
        <f>VLOOKUP($A886,'030523 INVENTARIO'!$A$2:$Y$1148,6,FALSE)</f>
        <v>PIZARRON DE CRISTAL</v>
      </c>
      <c r="G886" s="167" t="str">
        <f ca="1">VLOOKUP($A886,'030523 INVENTARIO'!$A$2:$Y$1148,8,FALSE)</f>
        <v>P21DG-0885</v>
      </c>
      <c r="H886" s="168" t="str">
        <f>VLOOKUP($A886,'030523 INVENTARIO'!$A$2:$Y$1148,17,FALSE)</f>
        <v>S/M</v>
      </c>
      <c r="I886" s="167" t="str">
        <f>VLOOKUP($A886,'030523 INVENTARIO'!$A$2:$Y$1148,18,FALSE)</f>
        <v>S/M</v>
      </c>
      <c r="J886" s="168" t="str">
        <f>VLOOKUP($A886,'030523 INVENTARIO'!$A$2:$Y$1148,19,FALSE)</f>
        <v>SIN SERIE</v>
      </c>
      <c r="K886" s="168" t="str">
        <f>VLOOKUP($A886,'030523 INVENTARIO'!$A$2:$Y$1148,20,FALSE)</f>
        <v>82DH0529030003000651381</v>
      </c>
      <c r="L886" s="167" t="str">
        <f>VLOOKUP($A886,'030523 INVENTARIO'!$A$2:$Y$1148,23,FALSE)</f>
        <v>ALEJANDRO ESTRADA SALINAS</v>
      </c>
    </row>
    <row r="887" spans="1:12" ht="12.75" hidden="1">
      <c r="A887" s="167" t="str">
        <f>'030523 INVENTARIO'!A887</f>
        <v>0886</v>
      </c>
      <c r="B887" s="168" t="str">
        <f>'030523 INVENTARIO'!T887</f>
        <v>82DH0564010006000583948</v>
      </c>
      <c r="C887" s="167" t="str">
        <f t="shared" si="0"/>
        <v>583948</v>
      </c>
      <c r="D887" s="167" t="str">
        <f>IF(VLOOKUP(C887,'Patrimonio 2023'!$C$2:$C$1128,1,FALSE) = C887, "Encontrado", "no")</f>
        <v>Encontrado</v>
      </c>
      <c r="E887" s="167" t="str">
        <f>VLOOKUP($A887,'030523 INVENTARIO'!$A$2:$Y$1148,5,FALSE)</f>
        <v>AIRE ACONDICIONADO</v>
      </c>
      <c r="F887" s="168" t="str">
        <f>VLOOKUP($A887,'030523 INVENTARIO'!$A$2:$Y$1148,6,FALSE)</f>
        <v>AIRE ACONDICIONADO BLANCO</v>
      </c>
      <c r="G887" s="167" t="str">
        <f ca="1">VLOOKUP($A887,'030523 INVENTARIO'!$A$2:$Y$1148,8,FALSE)</f>
        <v>P21DG-0886</v>
      </c>
      <c r="H887" s="168" t="str">
        <f>VLOOKUP($A887,'030523 INVENTARIO'!$A$2:$Y$1148,17,FALSE)</f>
        <v>TRANE</v>
      </c>
      <c r="I887" s="167" t="str">
        <f>VLOOKUP($A887,'030523 INVENTARIO'!$A$2:$Y$1148,18,FALSE)</f>
        <v>S/M</v>
      </c>
      <c r="J887" s="167" t="str">
        <f>VLOOKUP($A887,'030523 INVENTARIO'!$A$2:$Y$1148,19,FALSE)</f>
        <v>SIN SERIE</v>
      </c>
      <c r="K887" s="168" t="str">
        <f>VLOOKUP($A887,'030523 INVENTARIO'!$A$2:$Y$1148,20,FALSE)</f>
        <v>82DH0564010006000583948</v>
      </c>
      <c r="L887" s="167" t="str">
        <f>VLOOKUP($A887,'030523 INVENTARIO'!$A$2:$Y$1148,23,FALSE)</f>
        <v>ALEJANDRO ESTRADA SALINAS</v>
      </c>
    </row>
    <row r="888" spans="1:12" ht="12.75" hidden="1">
      <c r="A888" s="167" t="str">
        <f>'030523 INVENTARIO'!A888</f>
        <v>0887</v>
      </c>
      <c r="B888" s="168" t="str">
        <f>'030523 INVENTARIO'!T888</f>
        <v>82DH0512010023000517047</v>
      </c>
      <c r="C888" s="167" t="str">
        <f t="shared" si="0"/>
        <v>517047</v>
      </c>
      <c r="D888" s="167" t="str">
        <f>IF(VLOOKUP(C888,'Patrimonio 2023'!$C$2:$C$1128,1,FALSE) = C888, "Encontrado", "no")</f>
        <v>Encontrado</v>
      </c>
      <c r="E888" s="167" t="str">
        <f>VLOOKUP($A888,'030523 INVENTARIO'!$A$2:$Y$1148,5,FALSE)</f>
        <v>JUEGO DE SALA</v>
      </c>
      <c r="F888" s="168" t="str">
        <f>VLOOKUP($A888,'030523 INVENTARIO'!$A$2:$Y$1148,6,FALSE)</f>
        <v>JUEGO DE SALA NEGRA DE PIEL CON 3 PIEZAS</v>
      </c>
      <c r="G888" s="167" t="str">
        <f ca="1">VLOOKUP($A888,'030523 INVENTARIO'!$A$2:$Y$1148,8,FALSE)</f>
        <v>P21DG-0887</v>
      </c>
      <c r="H888" s="168" t="str">
        <f>VLOOKUP($A888,'030523 INVENTARIO'!$A$2:$Y$1148,17,FALSE)</f>
        <v>S/M</v>
      </c>
      <c r="I888" s="167" t="str">
        <f>VLOOKUP($A888,'030523 INVENTARIO'!$A$2:$Y$1148,18,FALSE)</f>
        <v>S/M</v>
      </c>
      <c r="J888" s="168" t="str">
        <f>VLOOKUP($A888,'030523 INVENTARIO'!$A$2:$Y$1148,19,FALSE)</f>
        <v>SIN SERIE</v>
      </c>
      <c r="K888" s="168" t="str">
        <f>VLOOKUP($A888,'030523 INVENTARIO'!$A$2:$Y$1148,20,FALSE)</f>
        <v>82DH0512010023000517047</v>
      </c>
      <c r="L888" s="167" t="str">
        <f>VLOOKUP($A888,'030523 INVENTARIO'!$A$2:$Y$1148,23,FALSE)</f>
        <v>ALEJANDRO ESTRADA SALINAS</v>
      </c>
    </row>
    <row r="889" spans="1:12" ht="12.75" hidden="1">
      <c r="A889" s="167" t="str">
        <f>'030523 INVENTARIO'!A889</f>
        <v>0888</v>
      </c>
      <c r="B889" s="168" t="str">
        <f>'030523 INVENTARIO'!T889</f>
        <v>82DH0511010027000566240</v>
      </c>
      <c r="C889" s="167" t="str">
        <f t="shared" si="0"/>
        <v>566240</v>
      </c>
      <c r="D889" s="167" t="str">
        <f>IF(VLOOKUP(C889,'Patrimonio 2023'!$C$2:$C$1128,1,FALSE) = C889, "Encontrado", "no")</f>
        <v>Encontrado</v>
      </c>
      <c r="E889" s="167" t="str">
        <f>VLOOKUP($A889,'030523 INVENTARIO'!$A$2:$Y$1148,5,FALSE)</f>
        <v>ALFOMBRA</v>
      </c>
      <c r="F889" s="167" t="str">
        <f>VLOOKUP($A889,'030523 INVENTARIO'!$A$2:$Y$1148,6,FALSE)</f>
        <v>TAPETE DE ALFOMBRA, COLOR VERDE, 2.35X1.60</v>
      </c>
      <c r="G889" s="167" t="str">
        <f ca="1">VLOOKUP($A889,'030523 INVENTARIO'!$A$2:$Y$1148,8,FALSE)</f>
        <v>P21DG-0888</v>
      </c>
      <c r="H889" s="168" t="str">
        <f>VLOOKUP($A889,'030523 INVENTARIO'!$A$2:$Y$1148,17,FALSE)</f>
        <v>S/M</v>
      </c>
      <c r="I889" s="167" t="str">
        <f>VLOOKUP($A889,'030523 INVENTARIO'!$A$2:$Y$1148,18,FALSE)</f>
        <v>S/M</v>
      </c>
      <c r="J889" s="168" t="str">
        <f>VLOOKUP($A889,'030523 INVENTARIO'!$A$2:$Y$1148,19,FALSE)</f>
        <v>SIN SERIE</v>
      </c>
      <c r="K889" s="168" t="str">
        <f>VLOOKUP($A889,'030523 INVENTARIO'!$A$2:$Y$1148,20,FALSE)</f>
        <v>82DH0511010027000566240</v>
      </c>
      <c r="L889" s="167" t="str">
        <f>VLOOKUP($A889,'030523 INVENTARIO'!$A$2:$Y$1148,23,FALSE)</f>
        <v>ALEJANDRO ESTRADA SALINAS</v>
      </c>
    </row>
    <row r="890" spans="1:12" ht="12.75" hidden="1">
      <c r="A890" s="167" t="str">
        <f>'030523 INVENTARIO'!A890</f>
        <v>0889</v>
      </c>
      <c r="B890" s="168" t="str">
        <f>'030523 INVENTARIO'!T890</f>
        <v>82DH0531010065000564745</v>
      </c>
      <c r="C890" s="167" t="str">
        <f t="shared" si="0"/>
        <v>564745</v>
      </c>
      <c r="D890" s="167" t="str">
        <f>IF(VLOOKUP(C890,'Patrimonio 2023'!$C$2:$C$1128,1,FALSE) = C890, "Encontrado", "no")</f>
        <v>Encontrado</v>
      </c>
      <c r="E890" s="167" t="str">
        <f>VLOOKUP($A890,'030523 INVENTARIO'!$A$2:$Y$1148,5,FALSE)</f>
        <v>MESA</v>
      </c>
      <c r="F890" s="167" t="str">
        <f>VLOOKUP($A890,'030523 INVENTARIO'!$A$2:$Y$1148,6,FALSE)</f>
        <v>MESA DE CENTRO DE CRISTAL CON BASE DE METAL 100X65</v>
      </c>
      <c r="G890" s="167" t="str">
        <f ca="1">VLOOKUP($A890,'030523 INVENTARIO'!$A$2:$Y$1148,8,FALSE)</f>
        <v>P21DG-0889</v>
      </c>
      <c r="H890" s="168" t="str">
        <f>VLOOKUP($A890,'030523 INVENTARIO'!$A$2:$Y$1148,17,FALSE)</f>
        <v>S/M</v>
      </c>
      <c r="I890" s="167" t="str">
        <f>VLOOKUP($A890,'030523 INVENTARIO'!$A$2:$Y$1148,18,FALSE)</f>
        <v>S/M</v>
      </c>
      <c r="J890" s="168" t="str">
        <f>VLOOKUP($A890,'030523 INVENTARIO'!$A$2:$Y$1148,19,FALSE)</f>
        <v>SIN SERIE</v>
      </c>
      <c r="K890" s="168" t="str">
        <f>VLOOKUP($A890,'030523 INVENTARIO'!$A$2:$Y$1148,20,FALSE)</f>
        <v>82DH0531010065000564745</v>
      </c>
      <c r="L890" s="167" t="str">
        <f>VLOOKUP($A890,'030523 INVENTARIO'!$A$2:$Y$1148,23,FALSE)</f>
        <v>ALEJANDRO ESTRADA SALINAS</v>
      </c>
    </row>
    <row r="891" spans="1:12" ht="12.75" hidden="1">
      <c r="A891" s="167" t="str">
        <f>'030523 INVENTARIO'!A891</f>
        <v>0890</v>
      </c>
      <c r="B891" s="168" t="str">
        <f>'030523 INVENTARIO'!T891</f>
        <v>82DH0511010008000518495</v>
      </c>
      <c r="C891" s="167" t="str">
        <f t="shared" si="0"/>
        <v>518495</v>
      </c>
      <c r="D891" s="167" t="str">
        <f>IF(VLOOKUP(C891,'Patrimonio 2023'!$C$2:$C$1128,1,FALSE) = C891, "Encontrado", "no")</f>
        <v>Encontrado</v>
      </c>
      <c r="E891" s="167" t="str">
        <f>VLOOKUP($A891,'030523 INVENTARIO'!$A$2:$Y$1148,5,FALSE)</f>
        <v>LIBRERO</v>
      </c>
      <c r="F891" s="167" t="str">
        <f>VLOOKUP($A891,'030523 INVENTARIO'!$A$2:$Y$1148,6,FALSE)</f>
        <v>LIBRERO DE CRISTAL CON BASE DE METAL 190X66X46</v>
      </c>
      <c r="G891" s="167" t="str">
        <f ca="1">VLOOKUP($A891,'030523 INVENTARIO'!$A$2:$Y$1148,8,FALSE)</f>
        <v>P21DG-0890</v>
      </c>
      <c r="H891" s="168" t="str">
        <f>VLOOKUP($A891,'030523 INVENTARIO'!$A$2:$Y$1148,17,FALSE)</f>
        <v>S/M</v>
      </c>
      <c r="I891" s="167" t="str">
        <f>VLOOKUP($A891,'030523 INVENTARIO'!$A$2:$Y$1148,18,FALSE)</f>
        <v>S/M</v>
      </c>
      <c r="J891" s="168" t="str">
        <f>VLOOKUP($A891,'030523 INVENTARIO'!$A$2:$Y$1148,19,FALSE)</f>
        <v>SIN SERIE</v>
      </c>
      <c r="K891" s="168" t="str">
        <f>VLOOKUP($A891,'030523 INVENTARIO'!$A$2:$Y$1148,20,FALSE)</f>
        <v>82DH0511010008000518495</v>
      </c>
      <c r="L891" s="167" t="str">
        <f>VLOOKUP($A891,'030523 INVENTARIO'!$A$2:$Y$1148,23,FALSE)</f>
        <v>ALEJANDRO ESTRADA SALINAS</v>
      </c>
    </row>
    <row r="892" spans="1:12" ht="12.75" hidden="1">
      <c r="A892" s="167" t="str">
        <f>'030523 INVENTARIO'!A892</f>
        <v>0891</v>
      </c>
      <c r="B892" s="168" t="str">
        <f>'030523 INVENTARIO'!T892</f>
        <v>82DH0531010065000564743</v>
      </c>
      <c r="C892" s="167" t="str">
        <f t="shared" si="0"/>
        <v>564743</v>
      </c>
      <c r="D892" s="167" t="str">
        <f>IF(VLOOKUP(C892,'Patrimonio 2023'!$C$2:$C$1128,1,FALSE) = C892, "Encontrado", "no")</f>
        <v>Encontrado</v>
      </c>
      <c r="E892" s="167" t="str">
        <f>VLOOKUP($A892,'030523 INVENTARIO'!$A$2:$Y$1148,5,FALSE)</f>
        <v>MESA</v>
      </c>
      <c r="F892" s="167" t="str">
        <f>VLOOKUP($A892,'030523 INVENTARIO'!$A$2:$Y$1148,6,FALSE)</f>
        <v>MESA CRISTAL Y METAL CON 2 ENTREPAÑOS DE CRISTAL  80X86X46</v>
      </c>
      <c r="G892" s="167" t="str">
        <f ca="1">VLOOKUP($A892,'030523 INVENTARIO'!$A$2:$Y$1148,8,FALSE)</f>
        <v>P21DG-0891</v>
      </c>
      <c r="H892" s="168" t="str">
        <f>VLOOKUP($A892,'030523 INVENTARIO'!$A$2:$Y$1148,17,FALSE)</f>
        <v>S/M</v>
      </c>
      <c r="I892" s="167" t="str">
        <f>VLOOKUP($A892,'030523 INVENTARIO'!$A$2:$Y$1148,18,FALSE)</f>
        <v>S/M</v>
      </c>
      <c r="J892" s="168" t="str">
        <f>VLOOKUP($A892,'030523 INVENTARIO'!$A$2:$Y$1148,19,FALSE)</f>
        <v>SIN SERIE</v>
      </c>
      <c r="K892" s="168" t="str">
        <f>VLOOKUP($A892,'030523 INVENTARIO'!$A$2:$Y$1148,20,FALSE)</f>
        <v>82DH0531010065000564743</v>
      </c>
      <c r="L892" s="167" t="str">
        <f>VLOOKUP($A892,'030523 INVENTARIO'!$A$2:$Y$1148,23,FALSE)</f>
        <v>ALEJANDRO ESTRADA SALINAS</v>
      </c>
    </row>
    <row r="893" spans="1:12" ht="12.75" hidden="1">
      <c r="A893" s="167" t="str">
        <f>'030523 INVENTARIO'!A893</f>
        <v>0892</v>
      </c>
      <c r="B893" s="167" t="str">
        <f>'030523 INVENTARIO'!T893</f>
        <v>82DH0521010005000516948</v>
      </c>
      <c r="C893" s="167" t="str">
        <f t="shared" si="0"/>
        <v>516948</v>
      </c>
      <c r="D893" s="167" t="str">
        <f>IF(VLOOKUP(C893,'Patrimonio 2023'!$C$2:$C$1128,1,FALSE) = C893, "Encontrado", "no")</f>
        <v>Encontrado</v>
      </c>
      <c r="E893" s="167" t="str">
        <f>VLOOKUP($A893,'030523 INVENTARIO'!$A$2:$Y$1148,5,FALSE)</f>
        <v>TELEVISOR</v>
      </c>
      <c r="F893" s="167" t="str">
        <f>VLOOKUP($A893,'030523 INVENTARIO'!$A$2:$Y$1148,6,FALSE)</f>
        <v>TELEVISOR GRIS CON NEGRO 29"</v>
      </c>
      <c r="G893" s="167" t="str">
        <f ca="1">VLOOKUP($A893,'030523 INVENTARIO'!$A$2:$Y$1148,8,FALSE)</f>
        <v>P21DG-0892</v>
      </c>
      <c r="H893" s="168" t="str">
        <f>VLOOKUP($A893,'030523 INVENTARIO'!$A$2:$Y$1148,17,FALSE)</f>
        <v>RCA</v>
      </c>
      <c r="I893" s="167" t="str">
        <f>VLOOKUP($A893,'030523 INVENTARIO'!$A$2:$Y$1148,18,FALSE)</f>
        <v>27B520T</v>
      </c>
      <c r="J893" s="168" t="str">
        <f>VLOOKUP($A893,'030523 INVENTARIO'!$A$2:$Y$1148,19,FALSE)</f>
        <v>E434C81TL</v>
      </c>
      <c r="K893" s="167" t="str">
        <f>VLOOKUP($A893,'030523 INVENTARIO'!$A$2:$Y$1148,20,FALSE)</f>
        <v>82DH0521010005000516948</v>
      </c>
      <c r="L893" s="167" t="str">
        <f>VLOOKUP($A893,'030523 INVENTARIO'!$A$2:$Y$1148,23,FALSE)</f>
        <v>ALEJANDRO ESTRADA SALINAS</v>
      </c>
    </row>
    <row r="894" spans="1:12" ht="12.75" hidden="1">
      <c r="A894" s="167" t="str">
        <f>'030523 INVENTARIO'!A894</f>
        <v>0893</v>
      </c>
      <c r="B894" s="168" t="str">
        <f>'030523 INVENTARIO'!T894</f>
        <v>82DH0511010008000518497</v>
      </c>
      <c r="C894" s="167" t="str">
        <f t="shared" si="0"/>
        <v>518497</v>
      </c>
      <c r="D894" s="167" t="str">
        <f>IF(VLOOKUP(C894,'Patrimonio 2023'!$C$2:$C$1128,1,FALSE) = C894, "Encontrado", "no")</f>
        <v>Encontrado</v>
      </c>
      <c r="E894" s="167" t="str">
        <f>VLOOKUP($A894,'030523 INVENTARIO'!$A$2:$Y$1148,5,FALSE)</f>
        <v>LIBRERO</v>
      </c>
      <c r="F894" s="167" t="str">
        <f>VLOOKUP($A894,'030523 INVENTARIO'!$A$2:$Y$1148,6,FALSE)</f>
        <v>LIBRERO DE CRISTAL CON BASE DE METAL 190X66X46</v>
      </c>
      <c r="G894" s="167" t="str">
        <f ca="1">VLOOKUP($A894,'030523 INVENTARIO'!$A$2:$Y$1148,8,FALSE)</f>
        <v>P21DG-0893</v>
      </c>
      <c r="H894" s="168" t="str">
        <f>VLOOKUP($A894,'030523 INVENTARIO'!$A$2:$Y$1148,17,FALSE)</f>
        <v>S/M</v>
      </c>
      <c r="I894" s="167" t="str">
        <f>VLOOKUP($A894,'030523 INVENTARIO'!$A$2:$Y$1148,18,FALSE)</f>
        <v>S/M</v>
      </c>
      <c r="J894" s="168" t="str">
        <f>VLOOKUP($A894,'030523 INVENTARIO'!$A$2:$Y$1148,19,FALSE)</f>
        <v>SIN SERIE</v>
      </c>
      <c r="K894" s="168" t="str">
        <f>VLOOKUP($A894,'030523 INVENTARIO'!$A$2:$Y$1148,20,FALSE)</f>
        <v>82DH0511010008000518497</v>
      </c>
      <c r="L894" s="167" t="str">
        <f>VLOOKUP($A894,'030523 INVENTARIO'!$A$2:$Y$1148,23,FALSE)</f>
        <v>ALEJANDRO ESTRADA SALINAS</v>
      </c>
    </row>
    <row r="895" spans="1:12" ht="12.75" hidden="1">
      <c r="A895" s="167" t="str">
        <f>'030523 INVENTARIO'!A895</f>
        <v>0894</v>
      </c>
      <c r="B895" s="168" t="str">
        <f>'030523 INVENTARIO'!T895</f>
        <v>82DH0531010065000564747</v>
      </c>
      <c r="C895" s="167" t="str">
        <f t="shared" si="0"/>
        <v>564747</v>
      </c>
      <c r="D895" s="167" t="str">
        <f>IF(VLOOKUP(C895,'Patrimonio 2023'!$C$2:$C$1128,1,FALSE) = C895, "Encontrado", "no")</f>
        <v>Encontrado</v>
      </c>
      <c r="E895" s="167" t="str">
        <f>VLOOKUP($A895,'030523 INVENTARIO'!$A$2:$Y$1148,5,FALSE)</f>
        <v>MESA</v>
      </c>
      <c r="F895" s="167" t="str">
        <f>VLOOKUP($A895,'030523 INVENTARIO'!$A$2:$Y$1148,6,FALSE)</f>
        <v>MESA DE CRISTAL CON BASE DE METAL 71X55</v>
      </c>
      <c r="G895" s="167" t="str">
        <f ca="1">VLOOKUP($A895,'030523 INVENTARIO'!$A$2:$Y$1148,8,FALSE)</f>
        <v>P21DG-0894</v>
      </c>
      <c r="H895" s="168" t="str">
        <f>VLOOKUP($A895,'030523 INVENTARIO'!$A$2:$Y$1148,17,FALSE)</f>
        <v>S/M</v>
      </c>
      <c r="I895" s="167" t="str">
        <f>VLOOKUP($A895,'030523 INVENTARIO'!$A$2:$Y$1148,18,FALSE)</f>
        <v>S/M</v>
      </c>
      <c r="J895" s="168" t="str">
        <f>VLOOKUP($A895,'030523 INVENTARIO'!$A$2:$Y$1148,19,FALSE)</f>
        <v>SIN SERIE</v>
      </c>
      <c r="K895" s="168" t="str">
        <f>VLOOKUP($A895,'030523 INVENTARIO'!$A$2:$Y$1148,20,FALSE)</f>
        <v>82DH0531010065000564747</v>
      </c>
      <c r="L895" s="167" t="str">
        <f>VLOOKUP($A895,'030523 INVENTARIO'!$A$2:$Y$1148,23,FALSE)</f>
        <v>ALEJANDRO ESTRADA SALINAS</v>
      </c>
    </row>
    <row r="896" spans="1:12" ht="12.75" hidden="1">
      <c r="A896" s="167" t="str">
        <f>'030523 INVENTARIO'!A896</f>
        <v>0895</v>
      </c>
      <c r="B896" s="168" t="str">
        <f>'030523 INVENTARIO'!T896</f>
        <v>82DH0511010005000518491</v>
      </c>
      <c r="C896" s="167" t="str">
        <f t="shared" si="0"/>
        <v>518491</v>
      </c>
      <c r="D896" s="167" t="str">
        <f>IF(VLOOKUP(C896,'Patrimonio 2023'!$C$2:$C$1128,1,FALSE) = C896, "Encontrado", "no")</f>
        <v>Encontrado</v>
      </c>
      <c r="E896" s="167" t="str">
        <f>VLOOKUP($A896,'030523 INVENTARIO'!$A$2:$Y$1148,5,FALSE)</f>
        <v>CREDENZA</v>
      </c>
      <c r="F896" s="167" t="str">
        <f>VLOOKUP($A896,'030523 INVENTARIO'!$A$2:$Y$1148,6,FALSE)</f>
        <v>CREDENZA CRISTAL CON 3 CAJONES DE MADERA Y BASE DE METAL  88X140X50</v>
      </c>
      <c r="G896" s="167" t="str">
        <f ca="1">VLOOKUP($A896,'030523 INVENTARIO'!$A$2:$Y$1148,8,FALSE)</f>
        <v>P21DG-0895</v>
      </c>
      <c r="H896" s="168" t="str">
        <f>VLOOKUP($A896,'030523 INVENTARIO'!$A$2:$Y$1148,17,FALSE)</f>
        <v>S/M</v>
      </c>
      <c r="I896" s="167" t="str">
        <f>VLOOKUP($A896,'030523 INVENTARIO'!$A$2:$Y$1148,18,FALSE)</f>
        <v>S/M</v>
      </c>
      <c r="J896" s="168" t="str">
        <f>VLOOKUP($A896,'030523 INVENTARIO'!$A$2:$Y$1148,19,FALSE)</f>
        <v>SIN SERIE</v>
      </c>
      <c r="K896" s="168" t="str">
        <f>VLOOKUP($A896,'030523 INVENTARIO'!$A$2:$Y$1148,20,FALSE)</f>
        <v>82DH0511010005000518491</v>
      </c>
      <c r="L896" s="167" t="str">
        <f>VLOOKUP($A896,'030523 INVENTARIO'!$A$2:$Y$1148,23,FALSE)</f>
        <v>ALEJANDRO ESTRADA SALINAS</v>
      </c>
    </row>
    <row r="897" spans="1:12" ht="12.75" hidden="1">
      <c r="A897" s="167" t="str">
        <f>'030523 INVENTARIO'!A897</f>
        <v>0896</v>
      </c>
      <c r="B897" s="168" t="str">
        <f>'030523 INVENTARIO'!T897</f>
        <v>82DH0511010006000583460</v>
      </c>
      <c r="C897" s="167" t="str">
        <f t="shared" si="0"/>
        <v>583460</v>
      </c>
      <c r="D897" s="167" t="str">
        <f>IF(VLOOKUP(C897,'Patrimonio 2023'!$C$2:$C$1128,1,FALSE) = C897, "Encontrado", "no")</f>
        <v>Encontrado</v>
      </c>
      <c r="E897" s="167" t="str">
        <f>VLOOKUP($A897,'030523 INVENTARIO'!$A$2:$Y$1148,5,FALSE)</f>
        <v>MESA</v>
      </c>
      <c r="F897" s="167" t="str">
        <f>VLOOKUP($A897,'030523 INVENTARIO'!$A$2:$Y$1148,6,FALSE)</f>
        <v>MESA CON RUEDAS 117X39</v>
      </c>
      <c r="G897" s="167" t="str">
        <f ca="1">VLOOKUP($A897,'030523 INVENTARIO'!$A$2:$Y$1148,8,FALSE)</f>
        <v>P21DG-0896</v>
      </c>
      <c r="H897" s="168" t="str">
        <f>VLOOKUP($A897,'030523 INVENTARIO'!$A$2:$Y$1148,17,FALSE)</f>
        <v>S/M</v>
      </c>
      <c r="I897" s="167" t="str">
        <f>VLOOKUP($A897,'030523 INVENTARIO'!$A$2:$Y$1148,18,FALSE)</f>
        <v>S/M</v>
      </c>
      <c r="J897" s="168" t="str">
        <f>VLOOKUP($A897,'030523 INVENTARIO'!$A$2:$Y$1148,19,FALSE)</f>
        <v>SIN SERIE</v>
      </c>
      <c r="K897" s="168" t="str">
        <f>VLOOKUP($A897,'030523 INVENTARIO'!$A$2:$Y$1148,20,FALSE)</f>
        <v>82DH0511010006000583460</v>
      </c>
      <c r="L897" s="167" t="str">
        <f>VLOOKUP($A897,'030523 INVENTARIO'!$A$2:$Y$1148,23,FALSE)</f>
        <v>ALEJANDRO ESTRADA SALINAS</v>
      </c>
    </row>
    <row r="898" spans="1:12" ht="12.75" hidden="1">
      <c r="A898" s="167" t="str">
        <f>'030523 INVENTARIO'!A898</f>
        <v>0897</v>
      </c>
      <c r="B898" s="168" t="str">
        <f>'030523 INVENTARIO'!T898</f>
        <v>82DH0531010065000564749</v>
      </c>
      <c r="C898" s="167" t="str">
        <f t="shared" si="0"/>
        <v>564749</v>
      </c>
      <c r="D898" s="167" t="str">
        <f>IF(VLOOKUP(C898,'Patrimonio 2023'!$C$2:$C$1128,1,FALSE) = C898, "Encontrado", "no")</f>
        <v>Encontrado</v>
      </c>
      <c r="E898" s="167" t="str">
        <f>VLOOKUP($A898,'030523 INVENTARIO'!$A$2:$Y$1148,5,FALSE)</f>
        <v>MESA</v>
      </c>
      <c r="F898" s="167" t="str">
        <f>VLOOKUP($A898,'030523 INVENTARIO'!$A$2:$Y$1148,6,FALSE)</f>
        <v>MESA DE CRISTAL CON BASE DE METAL 71X55</v>
      </c>
      <c r="G898" s="167" t="str">
        <f ca="1">VLOOKUP($A898,'030523 INVENTARIO'!$A$2:$Y$1148,8,FALSE)</f>
        <v>P21DG-0897</v>
      </c>
      <c r="H898" s="168" t="str">
        <f>VLOOKUP($A898,'030523 INVENTARIO'!$A$2:$Y$1148,17,FALSE)</f>
        <v>S/M</v>
      </c>
      <c r="I898" s="167" t="str">
        <f>VLOOKUP($A898,'030523 INVENTARIO'!$A$2:$Y$1148,18,FALSE)</f>
        <v>S/M</v>
      </c>
      <c r="J898" s="168" t="str">
        <f>VLOOKUP($A898,'030523 INVENTARIO'!$A$2:$Y$1148,19,FALSE)</f>
        <v>SIN SERIE</v>
      </c>
      <c r="K898" s="168" t="str">
        <f>VLOOKUP($A898,'030523 INVENTARIO'!$A$2:$Y$1148,20,FALSE)</f>
        <v>82DH0531010065000564749</v>
      </c>
      <c r="L898" s="167" t="str">
        <f>VLOOKUP($A898,'030523 INVENTARIO'!$A$2:$Y$1148,23,FALSE)</f>
        <v>ALEJANDRO ESTRADA SALINAS</v>
      </c>
    </row>
    <row r="899" spans="1:12" ht="12.75" hidden="1">
      <c r="A899" s="167" t="str">
        <f>'030523 INVENTARIO'!A899</f>
        <v>0898</v>
      </c>
      <c r="B899" s="168" t="str">
        <f>'030523 INVENTARIO'!T899</f>
        <v>82DH0512010018000651391</v>
      </c>
      <c r="C899" s="167" t="str">
        <f t="shared" si="0"/>
        <v>651391</v>
      </c>
      <c r="D899" s="167" t="str">
        <f>IF(VLOOKUP(C899,'Patrimonio 2023'!$C$2:$C$1128,1,FALSE) = C899, "Encontrado", "no")</f>
        <v>Encontrado</v>
      </c>
      <c r="E899" s="167" t="str">
        <f>VLOOKUP($A899,'030523 INVENTARIO'!$A$2:$Y$1148,5,FALSE)</f>
        <v>PERCHERO</v>
      </c>
      <c r="F899" s="168" t="str">
        <f>VLOOKUP($A899,'030523 INVENTARIO'!$A$2:$Y$1148,6,FALSE)</f>
        <v>PERCHERO DE MADERA CON BASE DE METAL</v>
      </c>
      <c r="G899" s="167" t="str">
        <f ca="1">VLOOKUP($A899,'030523 INVENTARIO'!$A$2:$Y$1148,8,FALSE)</f>
        <v>P21DG-0898</v>
      </c>
      <c r="H899" s="168" t="str">
        <f>VLOOKUP($A899,'030523 INVENTARIO'!$A$2:$Y$1148,17,FALSE)</f>
        <v>S/M</v>
      </c>
      <c r="I899" s="167" t="str">
        <f>VLOOKUP($A899,'030523 INVENTARIO'!$A$2:$Y$1148,18,FALSE)</f>
        <v>S/M</v>
      </c>
      <c r="J899" s="168" t="str">
        <f>VLOOKUP($A899,'030523 INVENTARIO'!$A$2:$Y$1148,19,FALSE)</f>
        <v>SIN SERIE</v>
      </c>
      <c r="K899" s="168" t="str">
        <f>VLOOKUP($A899,'030523 INVENTARIO'!$A$2:$Y$1148,20,FALSE)</f>
        <v>82DH0512010018000651391</v>
      </c>
      <c r="L899" s="167" t="str">
        <f>VLOOKUP($A899,'030523 INVENTARIO'!$A$2:$Y$1148,23,FALSE)</f>
        <v>ALEJANDRO ESTRADA SALINAS</v>
      </c>
    </row>
    <row r="900" spans="1:12" ht="12.75" hidden="1">
      <c r="A900" s="167" t="str">
        <f>'030523 INVENTARIO'!A900</f>
        <v>0899</v>
      </c>
      <c r="B900" s="168" t="str">
        <f>'030523 INVENTARIO'!T900</f>
        <v>SIN RESGUARDO</v>
      </c>
      <c r="C900" s="167" t="str">
        <f t="shared" si="0"/>
        <v/>
      </c>
      <c r="D900" s="167" t="e">
        <f>IF(VLOOKUP(C900,'Patrimonio 2023'!$C$2:$C$1128,1,FALSE) = C900, "Encontrado", "no")</f>
        <v>#N/A</v>
      </c>
      <c r="E900" s="167" t="str">
        <f>VLOOKUP($A900,'030523 INVENTARIO'!$A$2:$Y$1148,5,FALSE)</f>
        <v>NICHO</v>
      </c>
      <c r="F900" s="168" t="str">
        <f>VLOOKUP($A900,'030523 INVENTARIO'!$A$2:$Y$1148,6,FALSE)</f>
        <v>NICHO PARA BANDERA MADERA CON CRISTAL</v>
      </c>
      <c r="G900" s="167" t="str">
        <f ca="1">VLOOKUP($A900,'030523 INVENTARIO'!$A$2:$Y$1148,8,FALSE)</f>
        <v>P21DG-0899</v>
      </c>
      <c r="H900" s="168" t="str">
        <f>VLOOKUP($A900,'030523 INVENTARIO'!$A$2:$Y$1148,17,FALSE)</f>
        <v>S/M</v>
      </c>
      <c r="I900" s="167" t="str">
        <f>VLOOKUP($A900,'030523 INVENTARIO'!$A$2:$Y$1148,18,FALSE)</f>
        <v>S/M</v>
      </c>
      <c r="J900" s="168" t="str">
        <f>VLOOKUP($A900,'030523 INVENTARIO'!$A$2:$Y$1148,19,FALSE)</f>
        <v>SIN SERIE</v>
      </c>
      <c r="K900" s="168" t="str">
        <f>VLOOKUP($A900,'030523 INVENTARIO'!$A$2:$Y$1148,20,FALSE)</f>
        <v>SIN RESGUARDO</v>
      </c>
      <c r="L900" s="167" t="str">
        <f>VLOOKUP($A900,'030523 INVENTARIO'!$A$2:$Y$1148,23,FALSE)</f>
        <v>ALEJANDRO ESTRADA SALINAS</v>
      </c>
    </row>
    <row r="901" spans="1:12" ht="12.75" hidden="1">
      <c r="A901" s="167" t="str">
        <f>'030523 INVENTARIO'!A901</f>
        <v>0900</v>
      </c>
      <c r="B901" s="167" t="str">
        <f>'030523 INVENTARIO'!T901</f>
        <v>SIN RESGUARDO</v>
      </c>
      <c r="C901" s="167" t="str">
        <f t="shared" si="0"/>
        <v/>
      </c>
      <c r="D901" s="167" t="e">
        <f>IF(VLOOKUP(C901,'Patrimonio 2023'!$C$2:$C$1128,1,FALSE) = C901, "Encontrado", "no")</f>
        <v>#N/A</v>
      </c>
      <c r="E901" s="167" t="str">
        <f>VLOOKUP($A901,'030523 INVENTARIO'!$A$2:$Y$1148,5,FALSE)</f>
        <v>CAJONERA</v>
      </c>
      <c r="F901" s="167" t="str">
        <f>VLOOKUP($A901,'030523 INVENTARIO'!$A$2:$Y$1148,6,FALSE)</f>
        <v>CAJONERA 2 CAJONES 54X52X52</v>
      </c>
      <c r="G901" s="167" t="str">
        <f ca="1">VLOOKUP($A901,'030523 INVENTARIO'!$A$2:$Y$1148,8,FALSE)</f>
        <v>P21DG-0900</v>
      </c>
      <c r="H901" s="168" t="str">
        <f>VLOOKUP($A901,'030523 INVENTARIO'!$A$2:$Y$1148,17,FALSE)</f>
        <v>S/M</v>
      </c>
      <c r="I901" s="167" t="str">
        <f>VLOOKUP($A901,'030523 INVENTARIO'!$A$2:$Y$1148,18,FALSE)</f>
        <v>S/M</v>
      </c>
      <c r="J901" s="167" t="str">
        <f>VLOOKUP($A901,'030523 INVENTARIO'!$A$2:$Y$1148,19,FALSE)</f>
        <v>SIN SERIE</v>
      </c>
      <c r="K901" s="167" t="str">
        <f>VLOOKUP($A901,'030523 INVENTARIO'!$A$2:$Y$1148,20,FALSE)</f>
        <v>SIN RESGUARDO</v>
      </c>
      <c r="L901" s="167" t="str">
        <f>VLOOKUP($A901,'030523 INVENTARIO'!$A$2:$Y$1148,23,FALSE)</f>
        <v>ALEJANDRO ESTRADA SALINAS</v>
      </c>
    </row>
    <row r="902" spans="1:12" ht="12.75" hidden="1">
      <c r="A902" s="167" t="str">
        <f>'030523 INVENTARIO'!A902</f>
        <v>0901</v>
      </c>
      <c r="B902" s="167" t="str">
        <f>'030523 INVENTARIO'!T902</f>
        <v>SIN RESGUARDO</v>
      </c>
      <c r="C902" s="167" t="str">
        <f t="shared" si="0"/>
        <v/>
      </c>
      <c r="D902" s="167" t="e">
        <f>IF(VLOOKUP(C902,'Patrimonio 2023'!$C$2:$C$1128,1,FALSE) = C902, "Encontrado", "no")</f>
        <v>#N/A</v>
      </c>
      <c r="E902" s="167" t="str">
        <f>VLOOKUP($A902,'030523 INVENTARIO'!$A$2:$Y$1148,5,FALSE)</f>
        <v>MESA</v>
      </c>
      <c r="F902" s="167" t="str">
        <f>VLOOKUP($A902,'030523 INVENTARIO'!$A$2:$Y$1148,6,FALSE)</f>
        <v>MESA DE CRISTAL CON BASE DE MADERA Y METAL 160X50</v>
      </c>
      <c r="G902" s="167" t="str">
        <f ca="1">VLOOKUP($A902,'030523 INVENTARIO'!$A$2:$Y$1148,8,FALSE)</f>
        <v>P21DG-0901</v>
      </c>
      <c r="H902" s="168" t="str">
        <f>VLOOKUP($A902,'030523 INVENTARIO'!$A$2:$Y$1148,17,FALSE)</f>
        <v>S/M</v>
      </c>
      <c r="I902" s="167" t="str">
        <f>VLOOKUP($A902,'030523 INVENTARIO'!$A$2:$Y$1148,18,FALSE)</f>
        <v>S/M</v>
      </c>
      <c r="J902" s="167" t="str">
        <f>VLOOKUP($A902,'030523 INVENTARIO'!$A$2:$Y$1148,19,FALSE)</f>
        <v>SIN SERIE</v>
      </c>
      <c r="K902" s="167" t="str">
        <f>VLOOKUP($A902,'030523 INVENTARIO'!$A$2:$Y$1148,20,FALSE)</f>
        <v>SIN RESGUARDO</v>
      </c>
      <c r="L902" s="167" t="str">
        <f>VLOOKUP($A902,'030523 INVENTARIO'!$A$2:$Y$1148,23,FALSE)</f>
        <v>ALEJANDRO ESTRADA SALINAS</v>
      </c>
    </row>
    <row r="903" spans="1:12" ht="12.75" hidden="1">
      <c r="A903" s="167" t="str">
        <f>'030523 INVENTARIO'!A903</f>
        <v>0902</v>
      </c>
      <c r="B903" s="168" t="str">
        <f>'030523 INVENTARIO'!T903</f>
        <v>82DH0511010006000518492</v>
      </c>
      <c r="C903" s="167" t="str">
        <f t="shared" si="0"/>
        <v>518492</v>
      </c>
      <c r="D903" s="167" t="str">
        <f>IF(VLOOKUP(C903,'Patrimonio 2023'!$C$2:$C$1128,1,FALSE) = C903, "Encontrado", "no")</f>
        <v>Encontrado</v>
      </c>
      <c r="E903" s="167" t="str">
        <f>VLOOKUP($A903,'030523 INVENTARIO'!$A$2:$Y$1148,5,FALSE)</f>
        <v>ESCRITORIO</v>
      </c>
      <c r="F903" s="167" t="str">
        <f>VLOOKUP($A903,'030523 INVENTARIO'!$A$2:$Y$1148,6,FALSE)</f>
        <v>ESCRITORIO CRISTAL CON BASE DE METAL Y MADERA  TIPO ISLA DE 3 PIEZAS</v>
      </c>
      <c r="G903" s="167" t="str">
        <f ca="1">VLOOKUP($A903,'030523 INVENTARIO'!$A$2:$Y$1148,8,FALSE)</f>
        <v>P21DG-0902</v>
      </c>
      <c r="H903" s="168" t="str">
        <f>VLOOKUP($A903,'030523 INVENTARIO'!$A$2:$Y$1148,17,FALSE)</f>
        <v>S/M</v>
      </c>
      <c r="I903" s="167" t="str">
        <f>VLOOKUP($A903,'030523 INVENTARIO'!$A$2:$Y$1148,18,FALSE)</f>
        <v>S/M</v>
      </c>
      <c r="J903" s="168" t="str">
        <f>VLOOKUP($A903,'030523 INVENTARIO'!$A$2:$Y$1148,19,FALSE)</f>
        <v>SIN SERIE</v>
      </c>
      <c r="K903" s="168" t="str">
        <f>VLOOKUP($A903,'030523 INVENTARIO'!$A$2:$Y$1148,20,FALSE)</f>
        <v>82DH0511010006000518492</v>
      </c>
      <c r="L903" s="167" t="str">
        <f>VLOOKUP($A903,'030523 INVENTARIO'!$A$2:$Y$1148,23,FALSE)</f>
        <v>ALEJANDRO ESTRADA SALINAS</v>
      </c>
    </row>
    <row r="904" spans="1:12" ht="12.75" hidden="1">
      <c r="A904" s="167" t="str">
        <f>'030523 INVENTARIO'!A904</f>
        <v>0903</v>
      </c>
      <c r="B904" s="168" t="str">
        <f>'030523 INVENTARIO'!T904</f>
        <v>82DH0511010016000564565</v>
      </c>
      <c r="C904" s="167" t="str">
        <f t="shared" si="0"/>
        <v>564565</v>
      </c>
      <c r="D904" s="167" t="str">
        <f>IF(VLOOKUP(C904,'Patrimonio 2023'!$C$2:$C$1128,1,FALSE) = C904, "Encontrado", "no")</f>
        <v>Encontrado</v>
      </c>
      <c r="E904" s="167" t="str">
        <f>VLOOKUP($A904,'030523 INVENTARIO'!$A$2:$Y$1148,5,FALSE)</f>
        <v>SILLON</v>
      </c>
      <c r="F904" s="167" t="str">
        <f>VLOOKUP($A904,'030523 INVENTARIO'!$A$2:$Y$1148,6,FALSE)</f>
        <v>SILLÓN NEGRO DE PIEL FIJO</v>
      </c>
      <c r="G904" s="167" t="str">
        <f ca="1">VLOOKUP($A904,'030523 INVENTARIO'!$A$2:$Y$1148,8,FALSE)</f>
        <v>P21DG-0903</v>
      </c>
      <c r="H904" s="168" t="str">
        <f>VLOOKUP($A904,'030523 INVENTARIO'!$A$2:$Y$1148,17,FALSE)</f>
        <v>S/M</v>
      </c>
      <c r="I904" s="167" t="str">
        <f>VLOOKUP($A904,'030523 INVENTARIO'!$A$2:$Y$1148,18,FALSE)</f>
        <v>S/M</v>
      </c>
      <c r="J904" s="168" t="str">
        <f>VLOOKUP($A904,'030523 INVENTARIO'!$A$2:$Y$1148,19,FALSE)</f>
        <v>SIN SERIE</v>
      </c>
      <c r="K904" s="168" t="str">
        <f>VLOOKUP($A904,'030523 INVENTARIO'!$A$2:$Y$1148,20,FALSE)</f>
        <v>82DH0511010016000564565</v>
      </c>
      <c r="L904" s="167" t="str">
        <f>VLOOKUP($A904,'030523 INVENTARIO'!$A$2:$Y$1148,23,FALSE)</f>
        <v>ALEJANDRO ESTRADA SALINAS</v>
      </c>
    </row>
    <row r="905" spans="1:12" ht="12.75" hidden="1">
      <c r="A905" s="167" t="str">
        <f>'030523 INVENTARIO'!A905</f>
        <v>0904</v>
      </c>
      <c r="B905" s="168" t="str">
        <f>'030523 INVENTARIO'!T905</f>
        <v>82DH0511010016000516018</v>
      </c>
      <c r="C905" s="167" t="str">
        <f t="shared" si="0"/>
        <v>516018</v>
      </c>
      <c r="D905" s="167" t="str">
        <f>IF(VLOOKUP(C905,'Patrimonio 2023'!$C$2:$C$1128,1,FALSE) = C905, "Encontrado", "no")</f>
        <v>Encontrado</v>
      </c>
      <c r="E905" s="167" t="str">
        <f>VLOOKUP($A905,'030523 INVENTARIO'!$A$2:$Y$1148,5,FALSE)</f>
        <v>SILLON</v>
      </c>
      <c r="F905" s="167" t="str">
        <f>VLOOKUP($A905,'030523 INVENTARIO'!$A$2:$Y$1148,6,FALSE)</f>
        <v>SILLÓN NEGRO DE PIEL FIJO</v>
      </c>
      <c r="G905" s="167" t="str">
        <f ca="1">VLOOKUP($A905,'030523 INVENTARIO'!$A$2:$Y$1148,8,FALSE)</f>
        <v>P21DG-0904</v>
      </c>
      <c r="H905" s="168" t="str">
        <f>VLOOKUP($A905,'030523 INVENTARIO'!$A$2:$Y$1148,17,FALSE)</f>
        <v>S/M</v>
      </c>
      <c r="I905" s="167" t="str">
        <f>VLOOKUP($A905,'030523 INVENTARIO'!$A$2:$Y$1148,18,FALSE)</f>
        <v>S/M</v>
      </c>
      <c r="J905" s="168" t="str">
        <f>VLOOKUP($A905,'030523 INVENTARIO'!$A$2:$Y$1148,19,FALSE)</f>
        <v>SIN SERIE</v>
      </c>
      <c r="K905" s="168" t="str">
        <f>VLOOKUP($A905,'030523 INVENTARIO'!$A$2:$Y$1148,20,FALSE)</f>
        <v>82DH0511010016000516018</v>
      </c>
      <c r="L905" s="167" t="str">
        <f>VLOOKUP($A905,'030523 INVENTARIO'!$A$2:$Y$1148,23,FALSE)</f>
        <v>ALEJANDRO ESTRADA SALINAS</v>
      </c>
    </row>
    <row r="906" spans="1:12" ht="12.75" hidden="1">
      <c r="A906" s="167" t="str">
        <f>'030523 INVENTARIO'!A906</f>
        <v>0905</v>
      </c>
      <c r="B906" s="168" t="str">
        <f>'030523 INVENTARIO'!T906</f>
        <v>82DH0511010016000516009</v>
      </c>
      <c r="C906" s="167" t="str">
        <f t="shared" si="0"/>
        <v>516009</v>
      </c>
      <c r="D906" s="167" t="str">
        <f>IF(VLOOKUP(C906,'Patrimonio 2023'!$C$2:$C$1128,1,FALSE) = C906, "Encontrado", "no")</f>
        <v>Encontrado</v>
      </c>
      <c r="E906" s="167" t="str">
        <f>VLOOKUP($A906,'030523 INVENTARIO'!$A$2:$Y$1148,5,FALSE)</f>
        <v>SILLON</v>
      </c>
      <c r="F906" s="167" t="str">
        <f>VLOOKUP($A906,'030523 INVENTARIO'!$A$2:$Y$1148,6,FALSE)</f>
        <v>SILLÓN NEGRO DE PIEL FIJO</v>
      </c>
      <c r="G906" s="167" t="str">
        <f ca="1">VLOOKUP($A906,'030523 INVENTARIO'!$A$2:$Y$1148,8,FALSE)</f>
        <v>P21DG-0905</v>
      </c>
      <c r="H906" s="168" t="str">
        <f>VLOOKUP($A906,'030523 INVENTARIO'!$A$2:$Y$1148,17,FALSE)</f>
        <v>S/M</v>
      </c>
      <c r="I906" s="167" t="str">
        <f>VLOOKUP($A906,'030523 INVENTARIO'!$A$2:$Y$1148,18,FALSE)</f>
        <v>S/M</v>
      </c>
      <c r="J906" s="168" t="str">
        <f>VLOOKUP($A906,'030523 INVENTARIO'!$A$2:$Y$1148,19,FALSE)</f>
        <v>SIN SERIE</v>
      </c>
      <c r="K906" s="168" t="str">
        <f>VLOOKUP($A906,'030523 INVENTARIO'!$A$2:$Y$1148,20,FALSE)</f>
        <v>82DH0511010016000516009</v>
      </c>
      <c r="L906" s="167" t="str">
        <f>VLOOKUP($A906,'030523 INVENTARIO'!$A$2:$Y$1148,23,FALSE)</f>
        <v>ALEJANDRO ESTRADA SALINAS</v>
      </c>
    </row>
    <row r="907" spans="1:12" ht="12.75" hidden="1">
      <c r="A907" s="167" t="str">
        <f>'030523 INVENTARIO'!A907</f>
        <v>0906</v>
      </c>
      <c r="B907" s="168" t="str">
        <f>'030523 INVENTARIO'!T907</f>
        <v>82DH0511010017000651103</v>
      </c>
      <c r="C907" s="167" t="str">
        <f t="shared" si="0"/>
        <v>651103</v>
      </c>
      <c r="D907" s="167" t="str">
        <f>IF(VLOOKUP(C907,'Patrimonio 2023'!$C$2:$C$1128,1,FALSE) = C907, "Encontrado", "no")</f>
        <v>Encontrado</v>
      </c>
      <c r="E907" s="167" t="str">
        <f>VLOOKUP($A907,'030523 INVENTARIO'!$A$2:$Y$1148,5,FALSE)</f>
        <v>SILLA</v>
      </c>
      <c r="F907" s="167" t="str">
        <f>VLOOKUP($A907,'030523 INVENTARIO'!$A$2:$Y$1148,6,FALSE)</f>
        <v>SILLA NEGRA CON RUEDAS</v>
      </c>
      <c r="G907" s="167" t="str">
        <f ca="1">VLOOKUP($A907,'030523 INVENTARIO'!$A$2:$Y$1148,8,FALSE)</f>
        <v>P21DG-0906</v>
      </c>
      <c r="H907" s="168" t="str">
        <f>VLOOKUP($A907,'030523 INVENTARIO'!$A$2:$Y$1148,17,FALSE)</f>
        <v>S/M</v>
      </c>
      <c r="I907" s="167" t="str">
        <f>VLOOKUP($A907,'030523 INVENTARIO'!$A$2:$Y$1148,18,FALSE)</f>
        <v>S/M</v>
      </c>
      <c r="J907" s="168" t="str">
        <f>VLOOKUP($A907,'030523 INVENTARIO'!$A$2:$Y$1148,19,FALSE)</f>
        <v>SIN SERIE</v>
      </c>
      <c r="K907" s="168" t="str">
        <f>VLOOKUP($A907,'030523 INVENTARIO'!$A$2:$Y$1148,20,FALSE)</f>
        <v>82DH0511010017000651103</v>
      </c>
      <c r="L907" s="167" t="str">
        <f>VLOOKUP($A907,'030523 INVENTARIO'!$A$2:$Y$1148,23,FALSE)</f>
        <v>ALEJANDRO ESTRADA SALINAS</v>
      </c>
    </row>
    <row r="908" spans="1:12" ht="12.75" hidden="1">
      <c r="A908" s="167" t="str">
        <f>'030523 INVENTARIO'!A908</f>
        <v>0907</v>
      </c>
      <c r="B908" s="168" t="str">
        <f>'030523 INVENTARIO'!T908</f>
        <v>82DH0511010027000566232</v>
      </c>
      <c r="C908" s="167" t="str">
        <f t="shared" si="0"/>
        <v>566232</v>
      </c>
      <c r="D908" s="167" t="str">
        <f>IF(VLOOKUP(C908,'Patrimonio 2023'!$C$2:$C$1128,1,FALSE) = C908, "Encontrado", "no")</f>
        <v>Encontrado</v>
      </c>
      <c r="E908" s="167" t="str">
        <f>VLOOKUP($A908,'030523 INVENTARIO'!$A$2:$Y$1148,5,FALSE)</f>
        <v>COMPLEMENTARIO DE EQUIPO DE MADERA</v>
      </c>
      <c r="F908" s="168" t="str">
        <f>VLOOKUP($A908,'030523 INVENTARIO'!$A$2:$Y$1148,6,FALSE)</f>
        <v>COMPLEMENTO DE EQUIPO DE MADERA</v>
      </c>
      <c r="G908" s="167" t="str">
        <f ca="1">VLOOKUP($A908,'030523 INVENTARIO'!$A$2:$Y$1148,8,FALSE)</f>
        <v>P21DG-0907</v>
      </c>
      <c r="H908" s="168" t="str">
        <f>VLOOKUP($A908,'030523 INVENTARIO'!$A$2:$Y$1148,17,FALSE)</f>
        <v>S/M</v>
      </c>
      <c r="I908" s="167" t="str">
        <f>VLOOKUP($A908,'030523 INVENTARIO'!$A$2:$Y$1148,18,FALSE)</f>
        <v>S/M</v>
      </c>
      <c r="J908" s="168" t="str">
        <f>VLOOKUP($A908,'030523 INVENTARIO'!$A$2:$Y$1148,19,FALSE)</f>
        <v>SIN SERIE</v>
      </c>
      <c r="K908" s="168" t="str">
        <f>VLOOKUP($A908,'030523 INVENTARIO'!$A$2:$Y$1148,20,FALSE)</f>
        <v>82DH0511010027000566232</v>
      </c>
      <c r="L908" s="167" t="str">
        <f>VLOOKUP($A908,'030523 INVENTARIO'!$A$2:$Y$1148,23,FALSE)</f>
        <v>ALEJANDRO ESTRADA SALINAS</v>
      </c>
    </row>
    <row r="909" spans="1:12" ht="12.75" hidden="1">
      <c r="A909" s="167" t="str">
        <f>'030523 INVENTARIO'!A909</f>
        <v>0908</v>
      </c>
      <c r="B909" s="167" t="str">
        <f>'030523 INVENTARIO'!T909</f>
        <v>82DH0531010065000564847</v>
      </c>
      <c r="C909" s="167" t="str">
        <f t="shared" si="0"/>
        <v>564847</v>
      </c>
      <c r="D909" s="167" t="str">
        <f>IF(VLOOKUP(C909,'Patrimonio 2023'!$C$2:$C$1128,1,FALSE) = C909, "Encontrado", "no")</f>
        <v>Encontrado</v>
      </c>
      <c r="E909" s="167" t="str">
        <f>VLOOKUP($A909,'030523 INVENTARIO'!$A$2:$Y$1148,5,FALSE)</f>
        <v>MESA</v>
      </c>
      <c r="F909" s="167" t="str">
        <f>VLOOKUP($A909,'030523 INVENTARIO'!$A$2:$Y$1148,6,FALSE)</f>
        <v>MESA CON RUEDAS 40X60</v>
      </c>
      <c r="G909" s="167" t="str">
        <f ca="1">VLOOKUP($A909,'030523 INVENTARIO'!$A$2:$Y$1148,8,FALSE)</f>
        <v>P21DG-0908</v>
      </c>
      <c r="H909" s="168" t="str">
        <f>VLOOKUP($A909,'030523 INVENTARIO'!$A$2:$Y$1148,17,FALSE)</f>
        <v>S/M</v>
      </c>
      <c r="I909" s="167" t="str">
        <f>VLOOKUP($A909,'030523 INVENTARIO'!$A$2:$Y$1148,18,FALSE)</f>
        <v>S/M</v>
      </c>
      <c r="J909" s="167" t="str">
        <f>VLOOKUP($A909,'030523 INVENTARIO'!$A$2:$Y$1148,19,FALSE)</f>
        <v>SIN SERIE</v>
      </c>
      <c r="K909" s="167" t="str">
        <f>VLOOKUP($A909,'030523 INVENTARIO'!$A$2:$Y$1148,20,FALSE)</f>
        <v>82DH0531010065000564847</v>
      </c>
      <c r="L909" s="167" t="str">
        <f>VLOOKUP($A909,'030523 INVENTARIO'!$A$2:$Y$1148,23,FALSE)</f>
        <v>ALEJANDRO ESTRADA SALINAS</v>
      </c>
    </row>
    <row r="910" spans="1:12" ht="12.75" hidden="1">
      <c r="A910" s="167" t="str">
        <f>'030523 INVENTARIO'!A910</f>
        <v>0909</v>
      </c>
      <c r="B910" s="167" t="str">
        <f>'030523 INVENTARIO'!T910</f>
        <v>82DH0515010010000519362</v>
      </c>
      <c r="C910" s="167" t="str">
        <f t="shared" si="0"/>
        <v>519362</v>
      </c>
      <c r="D910" s="167" t="str">
        <f>IF(VLOOKUP(C910,'Patrimonio 2023'!$C$2:$C$1128,1,FALSE) = C910, "Encontrado", "no")</f>
        <v>Encontrado</v>
      </c>
      <c r="E910" s="167" t="str">
        <f>VLOOKUP($A910,'030523 INVENTARIO'!$A$2:$Y$1148,5,FALSE)</f>
        <v>IMPRESORA</v>
      </c>
      <c r="F910" s="168" t="str">
        <f>VLOOKUP($A910,'030523 INVENTARIO'!$A$2:$Y$1148,6,FALSE)</f>
        <v>IMPRESORA BLANCA CON NEGRO</v>
      </c>
      <c r="G910" s="167" t="str">
        <f ca="1">VLOOKUP($A910,'030523 INVENTARIO'!$A$2:$Y$1148,8,FALSE)</f>
        <v>P21DG-0909</v>
      </c>
      <c r="H910" s="168" t="str">
        <f>VLOOKUP($A910,'030523 INVENTARIO'!$A$2:$Y$1148,17,FALSE)</f>
        <v>HP</v>
      </c>
      <c r="I910" s="167" t="str">
        <f>VLOOKUP($A910,'030523 INVENTARIO'!$A$2:$Y$1148,18,FALSE)</f>
        <v>LASERJET PRO 400 COLOR M451DW</v>
      </c>
      <c r="J910" s="168" t="str">
        <f>VLOOKUP($A910,'030523 INVENTARIO'!$A$2:$Y$1148,19,FALSE)</f>
        <v>CNDF501806</v>
      </c>
      <c r="K910" s="167" t="str">
        <f>VLOOKUP($A910,'030523 INVENTARIO'!$A$2:$Y$1148,20,FALSE)</f>
        <v>82DH0515010010000519362</v>
      </c>
      <c r="L910" s="167" t="str">
        <f>VLOOKUP($A910,'030523 INVENTARIO'!$A$2:$Y$1148,23,FALSE)</f>
        <v>ALEJANDRO ESTRADA SALINAS</v>
      </c>
    </row>
    <row r="911" spans="1:12" ht="12.75" hidden="1">
      <c r="A911" s="167" t="str">
        <f>'030523 INVENTARIO'!A911</f>
        <v>0910</v>
      </c>
      <c r="B911" s="168" t="str">
        <f>'030523 INVENTARIO'!T911</f>
        <v>82DH0515010016000649416</v>
      </c>
      <c r="C911" s="167" t="str">
        <f t="shared" si="0"/>
        <v>649416</v>
      </c>
      <c r="D911" s="167" t="str">
        <f>IF(VLOOKUP(C911,'Patrimonio 2023'!$C$2:$C$1128,1,FALSE) = C911, "Encontrado", "no")</f>
        <v>Encontrado</v>
      </c>
      <c r="E911" s="167" t="str">
        <f>VLOOKUP($A911,'030523 INVENTARIO'!$A$2:$Y$1148,5,FALSE)</f>
        <v>NO BREAK</v>
      </c>
      <c r="F911" s="168" t="str">
        <f>VLOOKUP($A911,'030523 INVENTARIO'!$A$2:$Y$1148,6,FALSE)</f>
        <v>NO BREAK</v>
      </c>
      <c r="G911" s="167" t="str">
        <f ca="1">VLOOKUP($A911,'030523 INVENTARIO'!$A$2:$Y$1148,8,FALSE)</f>
        <v>P21DG-0910</v>
      </c>
      <c r="H911" s="168" t="str">
        <f>VLOOKUP($A911,'030523 INVENTARIO'!$A$2:$Y$1148,17,FALSE)</f>
        <v>FORZA</v>
      </c>
      <c r="I911" s="167" t="str">
        <f>VLOOKUP($A911,'030523 INVENTARIO'!$A$2:$Y$1148,18,FALSE)</f>
        <v>NT751</v>
      </c>
      <c r="J911" s="168" t="str">
        <f>VLOOKUP($A911,'030523 INVENTARIO'!$A$2:$Y$1148,19,FALSE)</f>
        <v>181222508480</v>
      </c>
      <c r="K911" s="168" t="str">
        <f>VLOOKUP($A911,'030523 INVENTARIO'!$A$2:$Y$1148,20,FALSE)</f>
        <v>82DH0515010016000649416</v>
      </c>
      <c r="L911" s="167" t="str">
        <f>VLOOKUP($A911,'030523 INVENTARIO'!$A$2:$Y$1148,23,FALSE)</f>
        <v>ALEJANDRO ESTRADA SALINAS</v>
      </c>
    </row>
    <row r="912" spans="1:12" ht="12.75" hidden="1">
      <c r="A912" s="167" t="str">
        <f>'030523 INVENTARIO'!A912</f>
        <v>0911</v>
      </c>
      <c r="B912" s="168" t="str">
        <f>'030523 INVENTARIO'!T912</f>
        <v>82DH0565010001000527285</v>
      </c>
      <c r="C912" s="167" t="str">
        <f t="shared" si="0"/>
        <v>527285</v>
      </c>
      <c r="D912" s="167" t="str">
        <f>IF(VLOOKUP(C912,'Patrimonio 2023'!$C$2:$C$1128,1,FALSE) = C912, "Encontrado", "no")</f>
        <v>Encontrado</v>
      </c>
      <c r="E912" s="167" t="str">
        <f>VLOOKUP($A912,'030523 INVENTARIO'!$A$2:$Y$1148,5,FALSE)</f>
        <v>TELEFONO</v>
      </c>
      <c r="F912" s="168" t="str">
        <f>VLOOKUP($A912,'030523 INVENTARIO'!$A$2:$Y$1148,6,FALSE)</f>
        <v>TELEFONO GRIS CON NEGRO</v>
      </c>
      <c r="G912" s="167" t="str">
        <f ca="1">VLOOKUP($A912,'030523 INVENTARIO'!$A$2:$Y$1148,8,FALSE)</f>
        <v>P21DG-0911</v>
      </c>
      <c r="H912" s="168" t="str">
        <f>VLOOKUP($A912,'030523 INVENTARIO'!$A$2:$Y$1148,17,FALSE)</f>
        <v>LINKSYS</v>
      </c>
      <c r="I912" s="167" t="str">
        <f>VLOOKUP($A912,'030523 INVENTARIO'!$A$2:$Y$1148,18,FALSE)</f>
        <v>SPA942</v>
      </c>
      <c r="J912" s="168" t="str">
        <f>VLOOKUP($A912,'030523 INVENTARIO'!$A$2:$Y$1148,19,FALSE)</f>
        <v>4LO00H118287</v>
      </c>
      <c r="K912" s="168" t="str">
        <f>VLOOKUP($A912,'030523 INVENTARIO'!$A$2:$Y$1148,20,FALSE)</f>
        <v>82DH0565010001000527285</v>
      </c>
      <c r="L912" s="167" t="str">
        <f>VLOOKUP($A912,'030523 INVENTARIO'!$A$2:$Y$1148,23,FALSE)</f>
        <v>ALEJANDRO ESTRADA SALINAS</v>
      </c>
    </row>
    <row r="913" spans="1:12" ht="12.75" hidden="1">
      <c r="A913" s="167" t="str">
        <f>'030523 INVENTARIO'!A913</f>
        <v>0912</v>
      </c>
      <c r="B913" s="167" t="str">
        <f>'030523 INVENTARIO'!T913</f>
        <v>82DH0515010003000649646</v>
      </c>
      <c r="C913" s="167" t="str">
        <f t="shared" si="0"/>
        <v>649646</v>
      </c>
      <c r="D913" s="167" t="str">
        <f>IF(VLOOKUP(C913,'Patrimonio 2023'!$C$2:$C$1128,1,FALSE) = C913, "Encontrado", "no")</f>
        <v>Encontrado</v>
      </c>
      <c r="E913" s="167" t="str">
        <f>VLOOKUP($A913,'030523 INVENTARIO'!$A$2:$Y$1148,5,FALSE)</f>
        <v>COMPUTADORA DE ESCRITORIO</v>
      </c>
      <c r="F913" s="167" t="str">
        <f>VLOOKUP($A913,'030523 INVENTARIO'!$A$2:$Y$1148,6,FALSE)</f>
        <v>COMPUTADORA TODO EN UNO BLANCO</v>
      </c>
      <c r="G913" s="167" t="str">
        <f ca="1">VLOOKUP($A913,'030523 INVENTARIO'!$A$2:$Y$1148,8,FALSE)</f>
        <v>P12LP-0912</v>
      </c>
      <c r="H913" s="168" t="str">
        <f>VLOOKUP($A913,'030523 INVENTARIO'!$A$2:$Y$1148,17,FALSE)</f>
        <v>LENOVO</v>
      </c>
      <c r="I913" s="167" t="str">
        <f>VLOOKUP($A913,'030523 INVENTARIO'!$A$2:$Y$1148,18,FALSE)</f>
        <v>CS03112206 (C240)</v>
      </c>
      <c r="J913" s="168" t="str">
        <f>VLOOKUP($A913,'030523 INVENTARIO'!$A$2:$Y$1148,19,FALSE)</f>
        <v>CS01267915</v>
      </c>
      <c r="K913" s="167" t="str">
        <f>VLOOKUP($A913,'030523 INVENTARIO'!$A$2:$Y$1148,20,FALSE)</f>
        <v>82DH0515010003000649646</v>
      </c>
      <c r="L913" s="167" t="str">
        <f>VLOOKUP($A913,'030523 INVENTARIO'!$A$2:$Y$1148,23,FALSE)</f>
        <v>BELEN LIZETH CORTES GAONA</v>
      </c>
    </row>
    <row r="914" spans="1:12" ht="12.75" hidden="1">
      <c r="A914" s="167" t="str">
        <f>'030523 INVENTARIO'!A914</f>
        <v>0913</v>
      </c>
      <c r="B914" s="168" t="str">
        <f>'030523 INVENTARIO'!T914</f>
        <v>82DH0531010065000564773</v>
      </c>
      <c r="C914" s="167" t="str">
        <f t="shared" si="0"/>
        <v>564773</v>
      </c>
      <c r="D914" s="167" t="str">
        <f>IF(VLOOKUP(C914,'Patrimonio 2023'!$C$2:$C$1128,1,FALSE) = C914, "Encontrado", "no")</f>
        <v>Encontrado</v>
      </c>
      <c r="E914" s="167" t="str">
        <f>VLOOKUP($A914,'030523 INVENTARIO'!$A$2:$Y$1148,5,FALSE)</f>
        <v>MESA</v>
      </c>
      <c r="F914" s="167" t="str">
        <f>VLOOKUP($A914,'030523 INVENTARIO'!$A$2:$Y$1148,6,FALSE)</f>
        <v>MESA BASE DE METAL CON MADERA (BEIGE) 60X40</v>
      </c>
      <c r="G914" s="167" t="str">
        <f ca="1">VLOOKUP($A914,'030523 INVENTARIO'!$A$2:$Y$1148,8,FALSE)</f>
        <v>P21DG-0913</v>
      </c>
      <c r="H914" s="168" t="str">
        <f>VLOOKUP($A914,'030523 INVENTARIO'!$A$2:$Y$1148,17,FALSE)</f>
        <v>S/M</v>
      </c>
      <c r="I914" s="167" t="str">
        <f>VLOOKUP($A914,'030523 INVENTARIO'!$A$2:$Y$1148,18,FALSE)</f>
        <v>S/M</v>
      </c>
      <c r="J914" s="168" t="str">
        <f>VLOOKUP($A914,'030523 INVENTARIO'!$A$2:$Y$1148,19,FALSE)</f>
        <v>SIN SERIE</v>
      </c>
      <c r="K914" s="168" t="str">
        <f>VLOOKUP($A914,'030523 INVENTARIO'!$A$2:$Y$1148,20,FALSE)</f>
        <v>82DH0531010065000564773</v>
      </c>
      <c r="L914" s="167" t="str">
        <f>VLOOKUP($A914,'030523 INVENTARIO'!$A$2:$Y$1148,23,FALSE)</f>
        <v>ALEJANDRO ESTRADA SALINAS (SALA DE JUNTAS)</v>
      </c>
    </row>
    <row r="915" spans="1:12" ht="12.75" hidden="1">
      <c r="A915" s="167" t="str">
        <f>'030523 INVENTARIO'!A915</f>
        <v>0914</v>
      </c>
      <c r="B915" s="168" t="str">
        <f>'030523 INVENTARIO'!T915</f>
        <v>82DH0511010017000651101</v>
      </c>
      <c r="C915" s="167" t="str">
        <f t="shared" si="0"/>
        <v>651101</v>
      </c>
      <c r="D915" s="167" t="str">
        <f>IF(VLOOKUP(C915,'Patrimonio 2023'!$C$2:$C$1128,1,FALSE) = C915, "Encontrado", "no")</f>
        <v>Encontrado</v>
      </c>
      <c r="E915" s="167" t="str">
        <f>VLOOKUP($A915,'030523 INVENTARIO'!$A$2:$Y$1148,5,FALSE)</f>
        <v>SILLA</v>
      </c>
      <c r="F915" s="167" t="str">
        <f>VLOOKUP($A915,'030523 INVENTARIO'!$A$2:$Y$1148,6,FALSE)</f>
        <v>SILLA NEGRA CON RUEDAS SECRETARIAL</v>
      </c>
      <c r="G915" s="167" t="str">
        <f ca="1">VLOOKUP($A915,'030523 INVENTARIO'!$A$2:$Y$1148,8,FALSE)</f>
        <v>P25RM-0914</v>
      </c>
      <c r="H915" s="168" t="str">
        <f>VLOOKUP($A915,'030523 INVENTARIO'!$A$2:$Y$1148,17,FALSE)</f>
        <v>S/M</v>
      </c>
      <c r="I915" s="167" t="str">
        <f>VLOOKUP($A915,'030523 INVENTARIO'!$A$2:$Y$1148,18,FALSE)</f>
        <v>S/M</v>
      </c>
      <c r="J915" s="168" t="str">
        <f>VLOOKUP($A915,'030523 INVENTARIO'!$A$2:$Y$1148,19,FALSE)</f>
        <v>SIN SERIE</v>
      </c>
      <c r="K915" s="168" t="str">
        <f>VLOOKUP($A915,'030523 INVENTARIO'!$A$2:$Y$1148,20,FALSE)</f>
        <v>82DH0511010017000651101</v>
      </c>
      <c r="L915" s="167" t="str">
        <f>VLOOKUP($A915,'030523 INVENTARIO'!$A$2:$Y$1148,23,FALSE)</f>
        <v>BLANCA ELIZABETH ALCANTAR GUERRERO</v>
      </c>
    </row>
    <row r="916" spans="1:12" ht="12.75" hidden="1">
      <c r="A916" s="167" t="str">
        <f>'030523 INVENTARIO'!A916</f>
        <v>0915</v>
      </c>
      <c r="B916" s="168" t="str">
        <f>'030523 INVENTARIO'!T916</f>
        <v>82DH0511010017000516235</v>
      </c>
      <c r="C916" s="167" t="str">
        <f t="shared" si="0"/>
        <v>516235</v>
      </c>
      <c r="D916" s="167" t="str">
        <f>IF(VLOOKUP(C916,'Patrimonio 2023'!$C$2:$C$1128,1,FALSE) = C916, "Encontrado", "no")</f>
        <v>Encontrado</v>
      </c>
      <c r="E916" s="167" t="str">
        <f>VLOOKUP($A916,'030523 INVENTARIO'!$A$2:$Y$1148,5,FALSE)</f>
        <v>SILLA</v>
      </c>
      <c r="F916" s="167" t="str">
        <f>VLOOKUP($A916,'030523 INVENTARIO'!$A$2:$Y$1148,6,FALSE)</f>
        <v>SILLA NEGRA CON RUEDAS SECRETARIAL</v>
      </c>
      <c r="G916" s="167" t="str">
        <f ca="1">VLOOKUP($A916,'030523 INVENTARIO'!$A$2:$Y$1148,8,FALSE)</f>
        <v>P05DA-0915</v>
      </c>
      <c r="H916" s="168" t="str">
        <f>VLOOKUP($A916,'030523 INVENTARIO'!$A$2:$Y$1148,17,FALSE)</f>
        <v>S/M</v>
      </c>
      <c r="I916" s="167" t="str">
        <f>VLOOKUP($A916,'030523 INVENTARIO'!$A$2:$Y$1148,18,FALSE)</f>
        <v>S/M</v>
      </c>
      <c r="J916" s="168" t="str">
        <f>VLOOKUP($A916,'030523 INVENTARIO'!$A$2:$Y$1148,19,FALSE)</f>
        <v>SIN SERIE</v>
      </c>
      <c r="K916" s="168" t="str">
        <f>VLOOKUP($A916,'030523 INVENTARIO'!$A$2:$Y$1148,20,FALSE)</f>
        <v>82DH0511010017000516235</v>
      </c>
      <c r="L916" s="167" t="str">
        <f>VLOOKUP($A916,'030523 INVENTARIO'!$A$2:$Y$1148,23,FALSE)</f>
        <v>ROSAURA MENDEZ SALGADO</v>
      </c>
    </row>
    <row r="917" spans="1:12" ht="12.75" hidden="1">
      <c r="A917" s="167" t="str">
        <f>'030523 INVENTARIO'!A917</f>
        <v>0916</v>
      </c>
      <c r="B917" s="168" t="str">
        <f>'030523 INVENTARIO'!T917</f>
        <v>82DH0531010065000564797</v>
      </c>
      <c r="C917" s="167" t="str">
        <f t="shared" si="0"/>
        <v>564797</v>
      </c>
      <c r="D917" s="167" t="str">
        <f>IF(VLOOKUP(C917,'Patrimonio 2023'!$C$2:$C$1128,1,FALSE) = C917, "Encontrado", "no")</f>
        <v>Encontrado</v>
      </c>
      <c r="E917" s="167" t="str">
        <f>VLOOKUP($A917,'030523 INVENTARIO'!$A$2:$Y$1148,5,FALSE)</f>
        <v>MESA</v>
      </c>
      <c r="F917" s="167" t="str">
        <f>VLOOKUP($A917,'030523 INVENTARIO'!$A$2:$Y$1148,6,FALSE)</f>
        <v>MESA DE MADERA Y BASE DE METAL 120X60</v>
      </c>
      <c r="G917" s="167" t="str">
        <f ca="1">VLOOKUP($A917,'030523 INVENTARIO'!$A$2:$Y$1148,8,FALSE)</f>
        <v>P21DG-0916</v>
      </c>
      <c r="H917" s="168" t="str">
        <f>VLOOKUP($A917,'030523 INVENTARIO'!$A$2:$Y$1148,17,FALSE)</f>
        <v>S/M</v>
      </c>
      <c r="I917" s="167" t="str">
        <f>VLOOKUP($A917,'030523 INVENTARIO'!$A$2:$Y$1148,18,FALSE)</f>
        <v>S/M</v>
      </c>
      <c r="J917" s="168" t="str">
        <f>VLOOKUP($A917,'030523 INVENTARIO'!$A$2:$Y$1148,19,FALSE)</f>
        <v>SIN SERIE</v>
      </c>
      <c r="K917" s="168" t="str">
        <f>VLOOKUP($A917,'030523 INVENTARIO'!$A$2:$Y$1148,20,FALSE)</f>
        <v>82DH0531010065000564797</v>
      </c>
      <c r="L917" s="167" t="str">
        <f>VLOOKUP($A917,'030523 INVENTARIO'!$A$2:$Y$1148,23,FALSE)</f>
        <v>ALEJANDRO ESTRADA SALINAS (SALA DE JUNTAS)</v>
      </c>
    </row>
    <row r="918" spans="1:12" ht="12.75">
      <c r="A918" s="167" t="str">
        <f>'030523 INVENTARIO'!A918</f>
        <v>0917</v>
      </c>
      <c r="B918" s="167" t="str">
        <f>'030523 INVENTARIO'!T918</f>
        <v>82DH0515010020000565749</v>
      </c>
      <c r="C918" s="167" t="str">
        <f t="shared" si="0"/>
        <v>565749</v>
      </c>
      <c r="D918" s="167" t="e">
        <f>IF(VLOOKUP(C918,'Patrimonio 2023'!$C$2:$C$1128,1,FALSE) = C918, "Encontrado", "no")</f>
        <v>#N/A</v>
      </c>
      <c r="E918" s="167" t="str">
        <f>VLOOKUP($A918,'030523 INVENTARIO'!$A$2:$Y$1148,5,FALSE)</f>
        <v>REGULADOR DE VOLTAJE</v>
      </c>
      <c r="F918" s="168" t="str">
        <f>VLOOKUP($A918,'030523 INVENTARIO'!$A$2:$Y$1148,6,FALSE)</f>
        <v>REGULADOR GRIS</v>
      </c>
      <c r="G918" s="167" t="str">
        <f ca="1">VLOOKUP($A918,'030523 INVENTARIO'!$A$2:$Y$1148,8,FALSE)</f>
        <v>P21DG-0917</v>
      </c>
      <c r="H918" s="168" t="str">
        <f>VLOOKUP($A918,'030523 INVENTARIO'!$A$2:$Y$1148,17,FALSE)</f>
        <v>SOLA SB</v>
      </c>
      <c r="I918" s="167" t="str">
        <f>VLOOKUP($A918,'030523 INVENTARIO'!$A$2:$Y$1148,18,FALSE)</f>
        <v>PC500</v>
      </c>
      <c r="J918" s="168" t="str">
        <f>VLOOKUP($A918,'030523 INVENTARIO'!$A$2:$Y$1148,19,FALSE)</f>
        <v>93-C</v>
      </c>
      <c r="K918" s="167" t="str">
        <f>VLOOKUP($A918,'030523 INVENTARIO'!$A$2:$Y$1148,20,FALSE)</f>
        <v>82DH0515010020000565749</v>
      </c>
      <c r="L918" s="167" t="str">
        <f>VLOOKUP($A918,'030523 INVENTARIO'!$A$2:$Y$1148,23,FALSE)</f>
        <v>ALEJANDRO ESTRADA SALINAS (SALA DE JUNTAS)</v>
      </c>
    </row>
    <row r="919" spans="1:12" ht="12.75" hidden="1">
      <c r="A919" s="167" t="str">
        <f>'030523 INVENTARIO'!A919</f>
        <v>0918</v>
      </c>
      <c r="B919" s="168" t="str">
        <f>'030523 INVENTARIO'!T919</f>
        <v>82DH0512010011000564517</v>
      </c>
      <c r="C919" s="167" t="str">
        <f t="shared" si="0"/>
        <v>564517</v>
      </c>
      <c r="D919" s="167" t="str">
        <f>IF(VLOOKUP(C919,'Patrimonio 2023'!$C$2:$C$1128,1,FALSE) = C919, "Encontrado", "no")</f>
        <v>Encontrado</v>
      </c>
      <c r="E919" s="167" t="str">
        <f>VLOOKUP($A919,'030523 INVENTARIO'!$A$2:$Y$1148,5,FALSE)</f>
        <v>MODULO</v>
      </c>
      <c r="F919" s="167" t="str">
        <f>VLOOKUP($A919,'030523 INVENTARIO'!$A$2:$Y$1148,6,FALSE)</f>
        <v>MODULO DE MADERA CON RUEDAS PARA COMPUTADORA 68X46</v>
      </c>
      <c r="G919" s="167" t="str">
        <f ca="1">VLOOKUP($A919,'030523 INVENTARIO'!$A$2:$Y$1148,8,FALSE)</f>
        <v>P21DG-0918</v>
      </c>
      <c r="H919" s="168" t="str">
        <f>VLOOKUP($A919,'030523 INVENTARIO'!$A$2:$Y$1148,17,FALSE)</f>
        <v>S/M</v>
      </c>
      <c r="I919" s="167" t="str">
        <f>VLOOKUP($A919,'030523 INVENTARIO'!$A$2:$Y$1148,18,FALSE)</f>
        <v>S/M</v>
      </c>
      <c r="J919" s="168" t="str">
        <f>VLOOKUP($A919,'030523 INVENTARIO'!$A$2:$Y$1148,19,FALSE)</f>
        <v>SIN SERIE</v>
      </c>
      <c r="K919" s="168" t="str">
        <f>VLOOKUP($A919,'030523 INVENTARIO'!$A$2:$Y$1148,20,FALSE)</f>
        <v>82DH0512010011000564517</v>
      </c>
      <c r="L919" s="167" t="str">
        <f>VLOOKUP($A919,'030523 INVENTARIO'!$A$2:$Y$1148,23,FALSE)</f>
        <v>ALEJANDRO ESTRADA SALINAS (SALA DE JUNTAS)</v>
      </c>
    </row>
    <row r="920" spans="1:12" ht="12.75" hidden="1">
      <c r="A920" s="167" t="str">
        <f>'030523 INVENTARIO'!A920</f>
        <v>0919</v>
      </c>
      <c r="B920" s="168" t="str">
        <f>'030523 INVENTARIO'!T920</f>
        <v>82DH0511010008000518496</v>
      </c>
      <c r="C920" s="167" t="str">
        <f t="shared" si="0"/>
        <v>518496</v>
      </c>
      <c r="D920" s="167" t="str">
        <f>IF(VLOOKUP(C920,'Patrimonio 2023'!$C$2:$C$1128,1,FALSE) = C920, "Encontrado", "no")</f>
        <v>Encontrado</v>
      </c>
      <c r="E920" s="167" t="str">
        <f>VLOOKUP($A920,'030523 INVENTARIO'!$A$2:$Y$1148,5,FALSE)</f>
        <v>LIBRERO</v>
      </c>
      <c r="F920" s="167" t="str">
        <f>VLOOKUP($A920,'030523 INVENTARIO'!$A$2:$Y$1148,6,FALSE)</f>
        <v>LIBRERO DE CRISTAL CON SOPORTE DE METAL 225X165X40</v>
      </c>
      <c r="G920" s="167" t="str">
        <f ca="1">VLOOKUP($A920,'030523 INVENTARIO'!$A$2:$Y$1148,8,FALSE)</f>
        <v>P21DG-0919</v>
      </c>
      <c r="H920" s="168" t="str">
        <f>VLOOKUP($A920,'030523 INVENTARIO'!$A$2:$Y$1148,17,FALSE)</f>
        <v>S/M</v>
      </c>
      <c r="I920" s="167" t="str">
        <f>VLOOKUP($A920,'030523 INVENTARIO'!$A$2:$Y$1148,18,FALSE)</f>
        <v>S/M</v>
      </c>
      <c r="J920" s="168" t="str">
        <f>VLOOKUP($A920,'030523 INVENTARIO'!$A$2:$Y$1148,19,FALSE)</f>
        <v>SIN SERIE</v>
      </c>
      <c r="K920" s="168" t="str">
        <f>VLOOKUP($A920,'030523 INVENTARIO'!$A$2:$Y$1148,20,FALSE)</f>
        <v>82DH0511010008000518496</v>
      </c>
      <c r="L920" s="167" t="str">
        <f>VLOOKUP($A920,'030523 INVENTARIO'!$A$2:$Y$1148,23,FALSE)</f>
        <v>ALEJANDRO ESTRADA SALINAS (SALA DE JUNTAS)</v>
      </c>
    </row>
    <row r="921" spans="1:12" ht="12.75" hidden="1">
      <c r="A921" s="167" t="str">
        <f>'030523 INVENTARIO'!A921</f>
        <v>0920</v>
      </c>
      <c r="B921" s="168" t="str">
        <f>'030523 INVENTARIO'!T921</f>
        <v>82DH0531010065000564799</v>
      </c>
      <c r="C921" s="167" t="str">
        <f t="shared" si="0"/>
        <v>564799</v>
      </c>
      <c r="D921" s="167" t="str">
        <f>IF(VLOOKUP(C921,'Patrimonio 2023'!$C$2:$C$1128,1,FALSE) = C921, "Encontrado", "no")</f>
        <v>Encontrado</v>
      </c>
      <c r="E921" s="167" t="str">
        <f>VLOOKUP($A921,'030523 INVENTARIO'!$A$2:$Y$1148,5,FALSE)</f>
        <v>MESA</v>
      </c>
      <c r="F921" s="167" t="str">
        <f>VLOOKUP($A921,'030523 INVENTARIO'!$A$2:$Y$1148,6,FALSE)</f>
        <v>MESA REDONDA DE MADERA  D-120CM</v>
      </c>
      <c r="G921" s="167" t="str">
        <f ca="1">VLOOKUP($A921,'030523 INVENTARIO'!$A$2:$Y$1148,8,FALSE)</f>
        <v>P21DG-0920</v>
      </c>
      <c r="H921" s="168" t="str">
        <f>VLOOKUP($A921,'030523 INVENTARIO'!$A$2:$Y$1148,17,FALSE)</f>
        <v>S/M</v>
      </c>
      <c r="I921" s="167" t="str">
        <f>VLOOKUP($A921,'030523 INVENTARIO'!$A$2:$Y$1148,18,FALSE)</f>
        <v>S/M</v>
      </c>
      <c r="J921" s="168" t="str">
        <f>VLOOKUP($A921,'030523 INVENTARIO'!$A$2:$Y$1148,19,FALSE)</f>
        <v>SIN SERIE</v>
      </c>
      <c r="K921" s="168" t="str">
        <f>VLOOKUP($A921,'030523 INVENTARIO'!$A$2:$Y$1148,20,FALSE)</f>
        <v>82DH0531010065000564799</v>
      </c>
      <c r="L921" s="167" t="str">
        <f>VLOOKUP($A921,'030523 INVENTARIO'!$A$2:$Y$1148,23,FALSE)</f>
        <v>ALEJANDRO ESTRADA SALINAS (SALA DE JUNTAS)</v>
      </c>
    </row>
    <row r="922" spans="1:12" ht="12.75" hidden="1">
      <c r="A922" s="167" t="str">
        <f>'030523 INVENTARIO'!A922</f>
        <v>0921</v>
      </c>
      <c r="B922" s="168" t="str">
        <f>'030523 INVENTARIO'!T922</f>
        <v>82DH0531010065000564784</v>
      </c>
      <c r="C922" s="167" t="str">
        <f t="shared" si="0"/>
        <v>564784</v>
      </c>
      <c r="D922" s="167" t="str">
        <f>IF(VLOOKUP(C922,'Patrimonio 2023'!$C$2:$C$1128,1,FALSE) = C922, "Encontrado", "no")</f>
        <v>Encontrado</v>
      </c>
      <c r="E922" s="167" t="str">
        <f>VLOOKUP($A922,'030523 INVENTARIO'!$A$2:$Y$1148,5,FALSE)</f>
        <v>MESA</v>
      </c>
      <c r="F922" s="167" t="str">
        <f>VLOOKUP($A922,'030523 INVENTARIO'!$A$2:$Y$1148,6,FALSE)</f>
        <v>MESA DE MADERA BASE DE METAL 120X60</v>
      </c>
      <c r="G922" s="167" t="str">
        <f ca="1">VLOOKUP($A922,'030523 INVENTARIO'!$A$2:$Y$1148,8,FALSE)</f>
        <v>P21DG-0921</v>
      </c>
      <c r="H922" s="168" t="str">
        <f>VLOOKUP($A922,'030523 INVENTARIO'!$A$2:$Y$1148,17,FALSE)</f>
        <v>S/M</v>
      </c>
      <c r="I922" s="167" t="str">
        <f>VLOOKUP($A922,'030523 INVENTARIO'!$A$2:$Y$1148,18,FALSE)</f>
        <v>S/M</v>
      </c>
      <c r="J922" s="168" t="str">
        <f>VLOOKUP($A922,'030523 INVENTARIO'!$A$2:$Y$1148,19,FALSE)</f>
        <v>SIN SERIE</v>
      </c>
      <c r="K922" s="168" t="str">
        <f>VLOOKUP($A922,'030523 INVENTARIO'!$A$2:$Y$1148,20,FALSE)</f>
        <v>82DH0531010065000564784</v>
      </c>
      <c r="L922" s="167" t="str">
        <f>VLOOKUP($A922,'030523 INVENTARIO'!$A$2:$Y$1148,23,FALSE)</f>
        <v>ALEJANDRO ESTRADA SALINAS (SALA DE JUNTAS)</v>
      </c>
    </row>
    <row r="923" spans="1:12" ht="12.75" hidden="1">
      <c r="A923" s="167" t="str">
        <f>'030523 INVENTARIO'!A923</f>
        <v>0922</v>
      </c>
      <c r="B923" s="168" t="str">
        <f>'030523 INVENTARIO'!T923</f>
        <v>SIN RESGUARDO</v>
      </c>
      <c r="C923" s="167" t="str">
        <f t="shared" si="0"/>
        <v/>
      </c>
      <c r="D923" s="167" t="e">
        <f>IF(VLOOKUP(C923,'Patrimonio 2023'!$C$2:$C$1128,1,FALSE) = C923, "Encontrado", "no")</f>
        <v>#N/A</v>
      </c>
      <c r="E923" s="167" t="str">
        <f>VLOOKUP($A923,'030523 INVENTARIO'!$A$2:$Y$1148,5,FALSE)</f>
        <v>PANTALLA DE PROYECCION</v>
      </c>
      <c r="F923" s="167" t="str">
        <f>VLOOKUP($A923,'030523 INVENTARIO'!$A$2:$Y$1148,6,FALSE)</f>
        <v>PANTALLA DE PROYECCIÓN 178X163</v>
      </c>
      <c r="G923" s="167" t="str">
        <f ca="1">VLOOKUP($A923,'030523 INVENTARIO'!$A$2:$Y$1148,8,FALSE)</f>
        <v>P21DG-0922</v>
      </c>
      <c r="H923" s="168" t="str">
        <f>VLOOKUP($A923,'030523 INVENTARIO'!$A$2:$Y$1148,17,FALSE)</f>
        <v>S/M</v>
      </c>
      <c r="I923" s="167" t="str">
        <f>VLOOKUP($A923,'030523 INVENTARIO'!$A$2:$Y$1148,18,FALSE)</f>
        <v>S/M</v>
      </c>
      <c r="J923" s="168" t="str">
        <f>VLOOKUP($A923,'030523 INVENTARIO'!$A$2:$Y$1148,19,FALSE)</f>
        <v>SIN SERIE</v>
      </c>
      <c r="K923" s="168" t="str">
        <f>VLOOKUP($A923,'030523 INVENTARIO'!$A$2:$Y$1148,20,FALSE)</f>
        <v>SIN RESGUARDO</v>
      </c>
      <c r="L923" s="167" t="str">
        <f>VLOOKUP($A923,'030523 INVENTARIO'!$A$2:$Y$1148,23,FALSE)</f>
        <v>ALEJANDRO ESTRADA SALINAS (SALA DE JUNTAS)</v>
      </c>
    </row>
    <row r="924" spans="1:12" ht="12.75" hidden="1">
      <c r="A924" s="167" t="str">
        <f>'030523 INVENTARIO'!A924</f>
        <v>0923</v>
      </c>
      <c r="B924" s="168" t="str">
        <f>'030523 INVENTARIO'!T924</f>
        <v>82DH0529030004000583305</v>
      </c>
      <c r="C924" s="167" t="str">
        <f t="shared" si="0"/>
        <v>583305</v>
      </c>
      <c r="D924" s="167" t="str">
        <f>IF(VLOOKUP(C924,'Patrimonio 2023'!$C$2:$C$1128,1,FALSE) = C924, "Encontrado", "no")</f>
        <v>Encontrado</v>
      </c>
      <c r="E924" s="167" t="str">
        <f>VLOOKUP($A924,'030523 INVENTARIO'!$A$2:$Y$1148,5,FALSE)</f>
        <v>ROTAFOLIO</v>
      </c>
      <c r="F924" s="167" t="str">
        <f>VLOOKUP($A924,'030523 INVENTARIO'!$A$2:$Y$1148,6,FALSE)</f>
        <v>ROTAFOLIO 60X90</v>
      </c>
      <c r="G924" s="167" t="str">
        <f ca="1">VLOOKUP($A924,'030523 INVENTARIO'!$A$2:$Y$1148,8,FALSE)</f>
        <v>P21DG-0923</v>
      </c>
      <c r="H924" s="168" t="str">
        <f>VLOOKUP($A924,'030523 INVENTARIO'!$A$2:$Y$1148,17,FALSE)</f>
        <v>S/M</v>
      </c>
      <c r="I924" s="167" t="str">
        <f>VLOOKUP($A924,'030523 INVENTARIO'!$A$2:$Y$1148,18,FALSE)</f>
        <v>S/M</v>
      </c>
      <c r="J924" s="168" t="str">
        <f>VLOOKUP($A924,'030523 INVENTARIO'!$A$2:$Y$1148,19,FALSE)</f>
        <v>SIN SERIE</v>
      </c>
      <c r="K924" s="168" t="str">
        <f>VLOOKUP($A924,'030523 INVENTARIO'!$A$2:$Y$1148,20,FALSE)</f>
        <v>82DH0529030004000583305</v>
      </c>
      <c r="L924" s="167" t="str">
        <f>VLOOKUP($A924,'030523 INVENTARIO'!$A$2:$Y$1148,23,FALSE)</f>
        <v>ALEJANDRO ESTRADA SALINAS (SALA DE JUNTAS)</v>
      </c>
    </row>
    <row r="925" spans="1:12" ht="12.75" hidden="1">
      <c r="A925" s="167" t="str">
        <f>'030523 INVENTARIO'!A925</f>
        <v>0924</v>
      </c>
      <c r="B925" s="167" t="str">
        <f>'030523 INVENTARIO'!T925</f>
        <v>82DH0531010076000651384</v>
      </c>
      <c r="C925" s="167" t="str">
        <f t="shared" si="0"/>
        <v>651384</v>
      </c>
      <c r="D925" s="167" t="str">
        <f>IF(VLOOKUP(C925,'Patrimonio 2023'!$C$2:$C$1128,1,FALSE) = C925, "Encontrado", "no")</f>
        <v>Encontrado</v>
      </c>
      <c r="E925" s="167" t="str">
        <f>VLOOKUP($A925,'030523 INVENTARIO'!$A$2:$Y$1148,5,FALSE)</f>
        <v>PROYECTOR</v>
      </c>
      <c r="F925" s="168" t="str">
        <f>VLOOKUP($A925,'030523 INVENTARIO'!$A$2:$Y$1148,6,FALSE)</f>
        <v>PROYECTOR BLANCO CON GRIS</v>
      </c>
      <c r="G925" s="167" t="str">
        <f ca="1">VLOOKUP($A925,'030523 INVENTARIO'!$A$2:$Y$1148,8,FALSE)</f>
        <v>P21DG-0924</v>
      </c>
      <c r="H925" s="168" t="str">
        <f>VLOOKUP($A925,'030523 INVENTARIO'!$A$2:$Y$1148,17,FALSE)</f>
        <v>EPSON</v>
      </c>
      <c r="I925" s="167" t="str">
        <f>VLOOKUP($A925,'030523 INVENTARIO'!$A$2:$Y$1148,18,FALSE)</f>
        <v>H568A</v>
      </c>
      <c r="J925" s="168" t="str">
        <f>VLOOKUP($A925,'030523 INVENTARIO'!$A$2:$Y$1148,19,FALSE)</f>
        <v>U3CK4503516</v>
      </c>
      <c r="K925" s="167" t="str">
        <f>VLOOKUP($A925,'030523 INVENTARIO'!$A$2:$Y$1148,20,FALSE)</f>
        <v>82DH0531010076000651384</v>
      </c>
      <c r="L925" s="167" t="str">
        <f>VLOOKUP($A925,'030523 INVENTARIO'!$A$2:$Y$1148,23,FALSE)</f>
        <v>ALEJANDRO ESTRADA SALINAS (SALA DE JUNTAS)</v>
      </c>
    </row>
    <row r="926" spans="1:12" ht="12.75" hidden="1">
      <c r="A926" s="167" t="str">
        <f>'030523 INVENTARIO'!A926</f>
        <v>0925</v>
      </c>
      <c r="B926" s="168" t="str">
        <f>'030523 INVENTARIO'!T926</f>
        <v>82DH0564010006000535311</v>
      </c>
      <c r="C926" s="167" t="str">
        <f t="shared" si="0"/>
        <v>535311</v>
      </c>
      <c r="D926" s="167" t="str">
        <f>IF(VLOOKUP(C926,'Patrimonio 2023'!$C$2:$C$1128,1,FALSE) = C926, "Encontrado", "no")</f>
        <v>Encontrado</v>
      </c>
      <c r="E926" s="167" t="str">
        <f>VLOOKUP($A926,'030523 INVENTARIO'!$A$2:$Y$1148,5,FALSE)</f>
        <v>AIRE ACONDICIONADO</v>
      </c>
      <c r="F926" s="168" t="str">
        <f>VLOOKUP($A926,'030523 INVENTARIO'!$A$2:$Y$1148,6,FALSE)</f>
        <v>AIRE ACONDICIONADO BLANCO</v>
      </c>
      <c r="G926" s="167" t="str">
        <f ca="1">VLOOKUP($A926,'030523 INVENTARIO'!$A$2:$Y$1148,8,FALSE)</f>
        <v>P21DG-0925</v>
      </c>
      <c r="H926" s="168" t="str">
        <f>VLOOKUP($A926,'030523 INVENTARIO'!$A$2:$Y$1148,17,FALSE)</f>
        <v>CARRIER</v>
      </c>
      <c r="I926" s="167" t="str">
        <f>VLOOKUP($A926,'030523 INVENTARIO'!$A$2:$Y$1148,18,FALSE)</f>
        <v>S/M</v>
      </c>
      <c r="J926" s="168" t="str">
        <f>VLOOKUP($A926,'030523 INVENTARIO'!$A$2:$Y$1148,19,FALSE)</f>
        <v>SIN SERIE</v>
      </c>
      <c r="K926" s="168" t="str">
        <f>VLOOKUP($A926,'030523 INVENTARIO'!$A$2:$Y$1148,20,FALSE)</f>
        <v>82DH0564010006000535311</v>
      </c>
      <c r="L926" s="167" t="str">
        <f>VLOOKUP($A926,'030523 INVENTARIO'!$A$2:$Y$1148,23,FALSE)</f>
        <v>ALEJANDRO ESTRADA SALINAS (SALA DE JUNTAS)</v>
      </c>
    </row>
    <row r="927" spans="1:12" ht="12.75" hidden="1">
      <c r="A927" s="167" t="str">
        <f>'030523 INVENTARIO'!A927</f>
        <v>0926</v>
      </c>
      <c r="B927" s="168" t="str">
        <f>'030523 INVENTARIO'!T927</f>
        <v>82DH0511010016000516015</v>
      </c>
      <c r="C927" s="167" t="str">
        <f t="shared" si="0"/>
        <v>516015</v>
      </c>
      <c r="D927" s="167" t="str">
        <f>IF(VLOOKUP(C927,'Patrimonio 2023'!$C$2:$C$1128,1,FALSE) = C927, "Encontrado", "no")</f>
        <v>Encontrado</v>
      </c>
      <c r="E927" s="167" t="str">
        <f>VLOOKUP($A927,'030523 INVENTARIO'!$A$2:$Y$1148,5,FALSE)</f>
        <v>SILLON</v>
      </c>
      <c r="F927" s="167" t="str">
        <f>VLOOKUP($A927,'030523 INVENTARIO'!$A$2:$Y$1148,6,FALSE)</f>
        <v>SILLÓN NEGRO DE PIEL EJECUTIVO CON RUEDAS</v>
      </c>
      <c r="G927" s="167" t="str">
        <f ca="1">VLOOKUP($A927,'030523 INVENTARIO'!$A$2:$Y$1148,8,FALSE)</f>
        <v>P21DG-0926</v>
      </c>
      <c r="H927" s="168" t="str">
        <f>VLOOKUP($A927,'030523 INVENTARIO'!$A$2:$Y$1148,17,FALSE)</f>
        <v>S/M</v>
      </c>
      <c r="I927" s="167" t="str">
        <f>VLOOKUP($A927,'030523 INVENTARIO'!$A$2:$Y$1148,18,FALSE)</f>
        <v>S/M</v>
      </c>
      <c r="J927" s="168" t="str">
        <f>VLOOKUP($A927,'030523 INVENTARIO'!$A$2:$Y$1148,19,FALSE)</f>
        <v>SIN SERIE</v>
      </c>
      <c r="K927" s="168" t="str">
        <f>VLOOKUP($A927,'030523 INVENTARIO'!$A$2:$Y$1148,20,FALSE)</f>
        <v>82DH0511010016000516015</v>
      </c>
      <c r="L927" s="167" t="str">
        <f>VLOOKUP($A927,'030523 INVENTARIO'!$A$2:$Y$1148,23,FALSE)</f>
        <v>ALEJANDRO ESTRADA SALINAS (SALA DE JUNTAS)</v>
      </c>
    </row>
    <row r="928" spans="1:12" ht="12.75" hidden="1">
      <c r="A928" s="167" t="str">
        <f>'030523 INVENTARIO'!A928</f>
        <v>0927</v>
      </c>
      <c r="B928" s="168" t="str">
        <f>'030523 INVENTARIO'!T928</f>
        <v>82DH0511010016000518500</v>
      </c>
      <c r="C928" s="167" t="str">
        <f t="shared" si="0"/>
        <v>518500</v>
      </c>
      <c r="D928" s="167" t="str">
        <f>IF(VLOOKUP(C928,'Patrimonio 2023'!$C$2:$C$1128,1,FALSE) = C928, "Encontrado", "no")</f>
        <v>Encontrado</v>
      </c>
      <c r="E928" s="167" t="str">
        <f>VLOOKUP($A928,'030523 INVENTARIO'!$A$2:$Y$1148,5,FALSE)</f>
        <v>SILLON</v>
      </c>
      <c r="F928" s="167" t="str">
        <f>VLOOKUP($A928,'030523 INVENTARIO'!$A$2:$Y$1148,6,FALSE)</f>
        <v>SILLÓN NEGRO DE PIEL EJECUTIVO CON RUEDAS</v>
      </c>
      <c r="G928" s="167" t="str">
        <f ca="1">VLOOKUP($A928,'030523 INVENTARIO'!$A$2:$Y$1148,8,FALSE)</f>
        <v>P21DG-0927</v>
      </c>
      <c r="H928" s="168" t="str">
        <f>VLOOKUP($A928,'030523 INVENTARIO'!$A$2:$Y$1148,17,FALSE)</f>
        <v>S/M</v>
      </c>
      <c r="I928" s="167" t="str">
        <f>VLOOKUP($A928,'030523 INVENTARIO'!$A$2:$Y$1148,18,FALSE)</f>
        <v>S/M</v>
      </c>
      <c r="J928" s="168" t="str">
        <f>VLOOKUP($A928,'030523 INVENTARIO'!$A$2:$Y$1148,19,FALSE)</f>
        <v>SIN SERIE</v>
      </c>
      <c r="K928" s="168" t="str">
        <f>VLOOKUP($A928,'030523 INVENTARIO'!$A$2:$Y$1148,20,FALSE)</f>
        <v>82DH0511010016000518500</v>
      </c>
      <c r="L928" s="167" t="str">
        <f>VLOOKUP($A928,'030523 INVENTARIO'!$A$2:$Y$1148,23,FALSE)</f>
        <v>ALEJANDRO ESTRADA SALINAS (SALA DE JUNTAS)</v>
      </c>
    </row>
    <row r="929" spans="1:12" ht="12.75" hidden="1">
      <c r="A929" s="167" t="str">
        <f>'030523 INVENTARIO'!A929</f>
        <v>0928</v>
      </c>
      <c r="B929" s="168" t="str">
        <f>'030523 INVENTARIO'!T929</f>
        <v>82DH0511010016000564555</v>
      </c>
      <c r="C929" s="167" t="str">
        <f t="shared" si="0"/>
        <v>564555</v>
      </c>
      <c r="D929" s="167" t="str">
        <f>IF(VLOOKUP(C929,'Patrimonio 2023'!$C$2:$C$1128,1,FALSE) = C929, "Encontrado", "no")</f>
        <v>Encontrado</v>
      </c>
      <c r="E929" s="167" t="str">
        <f>VLOOKUP($A929,'030523 INVENTARIO'!$A$2:$Y$1148,5,FALSE)</f>
        <v>SILLON</v>
      </c>
      <c r="F929" s="167" t="str">
        <f>VLOOKUP($A929,'030523 INVENTARIO'!$A$2:$Y$1148,6,FALSE)</f>
        <v>SILLÓN NEGRO DE PIEL EJECUTIVO CON RUEDAS</v>
      </c>
      <c r="G929" s="167" t="str">
        <f ca="1">VLOOKUP($A929,'030523 INVENTARIO'!$A$2:$Y$1148,8,FALSE)</f>
        <v>P21DG-0928</v>
      </c>
      <c r="H929" s="168" t="str">
        <f>VLOOKUP($A929,'030523 INVENTARIO'!$A$2:$Y$1148,17,FALSE)</f>
        <v>S/M</v>
      </c>
      <c r="I929" s="167" t="str">
        <f>VLOOKUP($A929,'030523 INVENTARIO'!$A$2:$Y$1148,18,FALSE)</f>
        <v>S/M</v>
      </c>
      <c r="J929" s="168" t="str">
        <f>VLOOKUP($A929,'030523 INVENTARIO'!$A$2:$Y$1148,19,FALSE)</f>
        <v>SIN SERIE</v>
      </c>
      <c r="K929" s="168" t="str">
        <f>VLOOKUP($A929,'030523 INVENTARIO'!$A$2:$Y$1148,20,FALSE)</f>
        <v>82DH0511010016000564555</v>
      </c>
      <c r="L929" s="167" t="str">
        <f>VLOOKUP($A929,'030523 INVENTARIO'!$A$2:$Y$1148,23,FALSE)</f>
        <v>ALEJANDRO ESTRADA SALINAS (SALA DE JUNTAS)</v>
      </c>
    </row>
    <row r="930" spans="1:12" ht="12.75" hidden="1">
      <c r="A930" s="167" t="str">
        <f>'030523 INVENTARIO'!A930</f>
        <v>0929</v>
      </c>
      <c r="B930" s="168" t="str">
        <f>'030523 INVENTARIO'!T930</f>
        <v>82DH0511010016000517128</v>
      </c>
      <c r="C930" s="167" t="str">
        <f t="shared" si="0"/>
        <v>517128</v>
      </c>
      <c r="D930" s="167" t="str">
        <f>IF(VLOOKUP(C930,'Patrimonio 2023'!$C$2:$C$1128,1,FALSE) = C930, "Encontrado", "no")</f>
        <v>Encontrado</v>
      </c>
      <c r="E930" s="167" t="str">
        <f>VLOOKUP($A930,'030523 INVENTARIO'!$A$2:$Y$1148,5,FALSE)</f>
        <v>SILLON</v>
      </c>
      <c r="F930" s="167" t="str">
        <f>VLOOKUP($A930,'030523 INVENTARIO'!$A$2:$Y$1148,6,FALSE)</f>
        <v>SILLÓN NEGRO DE PIEL EJECUTIVO CON RUEDAS</v>
      </c>
      <c r="G930" s="167" t="str">
        <f ca="1">VLOOKUP($A930,'030523 INVENTARIO'!$A$2:$Y$1148,8,FALSE)</f>
        <v>P21DG-0929</v>
      </c>
      <c r="H930" s="168" t="str">
        <f>VLOOKUP($A930,'030523 INVENTARIO'!$A$2:$Y$1148,17,FALSE)</f>
        <v>S/M</v>
      </c>
      <c r="I930" s="167" t="str">
        <f>VLOOKUP($A930,'030523 INVENTARIO'!$A$2:$Y$1148,18,FALSE)</f>
        <v>S/M</v>
      </c>
      <c r="J930" s="168" t="str">
        <f>VLOOKUP($A930,'030523 INVENTARIO'!$A$2:$Y$1148,19,FALSE)</f>
        <v>SIN SERIE</v>
      </c>
      <c r="K930" s="168" t="str">
        <f>VLOOKUP($A930,'030523 INVENTARIO'!$A$2:$Y$1148,20,FALSE)</f>
        <v>82DH0511010016000517128</v>
      </c>
      <c r="L930" s="167" t="str">
        <f>VLOOKUP($A930,'030523 INVENTARIO'!$A$2:$Y$1148,23,FALSE)</f>
        <v>ALEJANDRO ESTRADA SALINAS (SALA DE JUNTAS)</v>
      </c>
    </row>
    <row r="931" spans="1:12" ht="12.75" hidden="1">
      <c r="A931" s="167" t="str">
        <f>'030523 INVENTARIO'!A931</f>
        <v>0930</v>
      </c>
      <c r="B931" s="168" t="str">
        <f>'030523 INVENTARIO'!T931</f>
        <v>82DH0511010016000516014</v>
      </c>
      <c r="C931" s="167" t="str">
        <f t="shared" si="0"/>
        <v>516014</v>
      </c>
      <c r="D931" s="167" t="str">
        <f>IF(VLOOKUP(C931,'Patrimonio 2023'!$C$2:$C$1128,1,FALSE) = C931, "Encontrado", "no")</f>
        <v>Encontrado</v>
      </c>
      <c r="E931" s="167" t="str">
        <f>VLOOKUP($A931,'030523 INVENTARIO'!$A$2:$Y$1148,5,FALSE)</f>
        <v>SILLON</v>
      </c>
      <c r="F931" s="167" t="str">
        <f>VLOOKUP($A931,'030523 INVENTARIO'!$A$2:$Y$1148,6,FALSE)</f>
        <v>SILLÓN NEGRO DE PIEL EJECUTIVO CON RUEDAS</v>
      </c>
      <c r="G931" s="167" t="str">
        <f ca="1">VLOOKUP($A931,'030523 INVENTARIO'!$A$2:$Y$1148,8,FALSE)</f>
        <v>P24SJ-0930</v>
      </c>
      <c r="H931" s="168" t="str">
        <f>VLOOKUP($A931,'030523 INVENTARIO'!$A$2:$Y$1148,17,FALSE)</f>
        <v>S/M</v>
      </c>
      <c r="I931" s="167" t="str">
        <f>VLOOKUP($A931,'030523 INVENTARIO'!$A$2:$Y$1148,18,FALSE)</f>
        <v>S/M</v>
      </c>
      <c r="J931" s="168" t="str">
        <f>VLOOKUP($A931,'030523 INVENTARIO'!$A$2:$Y$1148,19,FALSE)</f>
        <v>SIN SERIE</v>
      </c>
      <c r="K931" s="168" t="str">
        <f>VLOOKUP($A931,'030523 INVENTARIO'!$A$2:$Y$1148,20,FALSE)</f>
        <v>82DH0511010016000516014</v>
      </c>
      <c r="L931" s="167" t="str">
        <f>VLOOKUP($A931,'030523 INVENTARIO'!$A$2:$Y$1148,23,FALSE)</f>
        <v>RODOLFO GARCIA GARCIA</v>
      </c>
    </row>
    <row r="932" spans="1:12" ht="12.75" hidden="1">
      <c r="A932" s="167" t="str">
        <f>'030523 INVENTARIO'!A932</f>
        <v>0931</v>
      </c>
      <c r="B932" s="168" t="str">
        <f>'030523 INVENTARIO'!T932</f>
        <v>82DH0511010016000516017</v>
      </c>
      <c r="C932" s="167" t="str">
        <f t="shared" si="0"/>
        <v>516017</v>
      </c>
      <c r="D932" s="167" t="str">
        <f>IF(VLOOKUP(C932,'Patrimonio 2023'!$C$2:$C$1128,1,FALSE) = C932, "Encontrado", "no")</f>
        <v>Encontrado</v>
      </c>
      <c r="E932" s="167" t="str">
        <f>VLOOKUP($A932,'030523 INVENTARIO'!$A$2:$Y$1148,5,FALSE)</f>
        <v>SILLON</v>
      </c>
      <c r="F932" s="167" t="str">
        <f>VLOOKUP($A932,'030523 INVENTARIO'!$A$2:$Y$1148,6,FALSE)</f>
        <v>SILLÓN NEGRO DE PIEL EJECUTIVO CON RUEDAS</v>
      </c>
      <c r="G932" s="167" t="str">
        <f ca="1">VLOOKUP($A932,'030523 INVENTARIO'!$A$2:$Y$1148,8,FALSE)</f>
        <v>P21DG-0931</v>
      </c>
      <c r="H932" s="168" t="str">
        <f>VLOOKUP($A932,'030523 INVENTARIO'!$A$2:$Y$1148,17,FALSE)</f>
        <v>S/M</v>
      </c>
      <c r="I932" s="167" t="str">
        <f>VLOOKUP($A932,'030523 INVENTARIO'!$A$2:$Y$1148,18,FALSE)</f>
        <v>S/M</v>
      </c>
      <c r="J932" s="168" t="str">
        <f>VLOOKUP($A932,'030523 INVENTARIO'!$A$2:$Y$1148,19,FALSE)</f>
        <v>SIN SERIE</v>
      </c>
      <c r="K932" s="168" t="str">
        <f>VLOOKUP($A932,'030523 INVENTARIO'!$A$2:$Y$1148,20,FALSE)</f>
        <v>82DH0511010016000516017</v>
      </c>
      <c r="L932" s="167" t="str">
        <f>VLOOKUP($A932,'030523 INVENTARIO'!$A$2:$Y$1148,23,FALSE)</f>
        <v>ALEJANDRO ESTRADA SALINAS (SALA DE JUNTAS)</v>
      </c>
    </row>
    <row r="933" spans="1:12" ht="12.75" hidden="1">
      <c r="A933" s="167" t="str">
        <f>'030523 INVENTARIO'!A933</f>
        <v>0932</v>
      </c>
      <c r="B933" s="168" t="str">
        <f>'030523 INVENTARIO'!T933</f>
        <v>82DH0511010016000518502</v>
      </c>
      <c r="C933" s="167" t="str">
        <f t="shared" si="0"/>
        <v>518502</v>
      </c>
      <c r="D933" s="167" t="str">
        <f>IF(VLOOKUP(C933,'Patrimonio 2023'!$C$2:$C$1128,1,FALSE) = C933, "Encontrado", "no")</f>
        <v>Encontrado</v>
      </c>
      <c r="E933" s="167" t="str">
        <f>VLOOKUP($A933,'030523 INVENTARIO'!$A$2:$Y$1148,5,FALSE)</f>
        <v>SILLON</v>
      </c>
      <c r="F933" s="167" t="str">
        <f>VLOOKUP($A933,'030523 INVENTARIO'!$A$2:$Y$1148,6,FALSE)</f>
        <v>SILLÓN NEGRO DE PIEL EJECUTIVO CON RUEDAS</v>
      </c>
      <c r="G933" s="167" t="str">
        <f ca="1">VLOOKUP($A933,'030523 INVENTARIO'!$A$2:$Y$1148,8,FALSE)</f>
        <v>P21DG-0932</v>
      </c>
      <c r="H933" s="168" t="str">
        <f>VLOOKUP($A933,'030523 INVENTARIO'!$A$2:$Y$1148,17,FALSE)</f>
        <v>S/M</v>
      </c>
      <c r="I933" s="167" t="str">
        <f>VLOOKUP($A933,'030523 INVENTARIO'!$A$2:$Y$1148,18,FALSE)</f>
        <v>S/M</v>
      </c>
      <c r="J933" s="168" t="str">
        <f>VLOOKUP($A933,'030523 INVENTARIO'!$A$2:$Y$1148,19,FALSE)</f>
        <v>SIN SERIE</v>
      </c>
      <c r="K933" s="168" t="str">
        <f>VLOOKUP($A933,'030523 INVENTARIO'!$A$2:$Y$1148,20,FALSE)</f>
        <v>82DH0511010016000518502</v>
      </c>
      <c r="L933" s="167" t="str">
        <f>VLOOKUP($A933,'030523 INVENTARIO'!$A$2:$Y$1148,23,FALSE)</f>
        <v>ALEJANDRO ESTRADA SALINAS (SALA DE JUNTAS)</v>
      </c>
    </row>
    <row r="934" spans="1:12" ht="12.75" hidden="1">
      <c r="A934" s="167" t="str">
        <f>'030523 INVENTARIO'!A934</f>
        <v>0933</v>
      </c>
      <c r="B934" s="168" t="str">
        <f>'030523 INVENTARIO'!T934</f>
        <v>82DH0511010016000564554</v>
      </c>
      <c r="C934" s="167" t="str">
        <f t="shared" si="0"/>
        <v>564554</v>
      </c>
      <c r="D934" s="167" t="str">
        <f>IF(VLOOKUP(C934,'Patrimonio 2023'!$C$2:$C$1128,1,FALSE) = C934, "Encontrado", "no")</f>
        <v>Encontrado</v>
      </c>
      <c r="E934" s="167" t="str">
        <f>VLOOKUP($A934,'030523 INVENTARIO'!$A$2:$Y$1148,5,FALSE)</f>
        <v>SILLON</v>
      </c>
      <c r="F934" s="167" t="str">
        <f>VLOOKUP($A934,'030523 INVENTARIO'!$A$2:$Y$1148,6,FALSE)</f>
        <v>SILLÓN NEGRO DE PIEL EJECUTIVO CON RUEDAS</v>
      </c>
      <c r="G934" s="167" t="str">
        <f ca="1">VLOOKUP($A934,'030523 INVENTARIO'!$A$2:$Y$1148,8,FALSE)</f>
        <v>P21DG-0933</v>
      </c>
      <c r="H934" s="168" t="str">
        <f>VLOOKUP($A934,'030523 INVENTARIO'!$A$2:$Y$1148,17,FALSE)</f>
        <v>S/M</v>
      </c>
      <c r="I934" s="167" t="str">
        <f>VLOOKUP($A934,'030523 INVENTARIO'!$A$2:$Y$1148,18,FALSE)</f>
        <v>S/M</v>
      </c>
      <c r="J934" s="168" t="str">
        <f>VLOOKUP($A934,'030523 INVENTARIO'!$A$2:$Y$1148,19,FALSE)</f>
        <v>SIN SERIE</v>
      </c>
      <c r="K934" s="168" t="str">
        <f>VLOOKUP($A934,'030523 INVENTARIO'!$A$2:$Y$1148,20,FALSE)</f>
        <v>82DH0511010016000564554</v>
      </c>
      <c r="L934" s="167" t="str">
        <f>VLOOKUP($A934,'030523 INVENTARIO'!$A$2:$Y$1148,23,FALSE)</f>
        <v>ALEJANDRO ESTRADA SALINAS (SALA DE JUNTAS)</v>
      </c>
    </row>
    <row r="935" spans="1:12" ht="12.75" hidden="1">
      <c r="A935" s="167" t="str">
        <f>'030523 INVENTARIO'!A935</f>
        <v>0934</v>
      </c>
      <c r="B935" s="168" t="str">
        <f>'030523 INVENTARIO'!T935</f>
        <v>82DH0511010016000516008</v>
      </c>
      <c r="C935" s="167" t="str">
        <f t="shared" si="0"/>
        <v>516008</v>
      </c>
      <c r="D935" s="167" t="str">
        <f>IF(VLOOKUP(C935,'Patrimonio 2023'!$C$2:$C$1128,1,FALSE) = C935, "Encontrado", "no")</f>
        <v>Encontrado</v>
      </c>
      <c r="E935" s="167" t="str">
        <f>VLOOKUP($A935,'030523 INVENTARIO'!$A$2:$Y$1148,5,FALSE)</f>
        <v>SILLON</v>
      </c>
      <c r="F935" s="167" t="str">
        <f>VLOOKUP($A935,'030523 INVENTARIO'!$A$2:$Y$1148,6,FALSE)</f>
        <v>SILLÓN NEGRO DE PIEL EJECUTIVO CON RUEDAS</v>
      </c>
      <c r="G935" s="167" t="str">
        <f ca="1">VLOOKUP($A935,'030523 INVENTARIO'!$A$2:$Y$1148,8,FALSE)</f>
        <v>P21DG-0934</v>
      </c>
      <c r="H935" s="168" t="str">
        <f>VLOOKUP($A935,'030523 INVENTARIO'!$A$2:$Y$1148,17,FALSE)</f>
        <v>S/M</v>
      </c>
      <c r="I935" s="167" t="str">
        <f>VLOOKUP($A935,'030523 INVENTARIO'!$A$2:$Y$1148,18,FALSE)</f>
        <v>S/M</v>
      </c>
      <c r="J935" s="168" t="str">
        <f>VLOOKUP($A935,'030523 INVENTARIO'!$A$2:$Y$1148,19,FALSE)</f>
        <v>SIN SERIE</v>
      </c>
      <c r="K935" s="168" t="str">
        <f>VLOOKUP($A935,'030523 INVENTARIO'!$A$2:$Y$1148,20,FALSE)</f>
        <v>82DH0511010016000516008</v>
      </c>
      <c r="L935" s="167" t="str">
        <f>VLOOKUP($A935,'030523 INVENTARIO'!$A$2:$Y$1148,23,FALSE)</f>
        <v>ALEJANDRO ESTRADA SALINAS (SALA DE JUNTAS)</v>
      </c>
    </row>
    <row r="936" spans="1:12" ht="12.75" hidden="1">
      <c r="A936" s="167" t="str">
        <f>'030523 INVENTARIO'!A936</f>
        <v>0935</v>
      </c>
      <c r="B936" s="168" t="str">
        <f>'030523 INVENTARIO'!T936</f>
        <v>82DH0511010016000516016</v>
      </c>
      <c r="C936" s="167" t="str">
        <f t="shared" si="0"/>
        <v>516016</v>
      </c>
      <c r="D936" s="167" t="str">
        <f>IF(VLOOKUP(C936,'Patrimonio 2023'!$C$2:$C$1128,1,FALSE) = C936, "Encontrado", "no")</f>
        <v>Encontrado</v>
      </c>
      <c r="E936" s="167" t="str">
        <f>VLOOKUP($A936,'030523 INVENTARIO'!$A$2:$Y$1148,5,FALSE)</f>
        <v>SILLON</v>
      </c>
      <c r="F936" s="167" t="str">
        <f>VLOOKUP($A936,'030523 INVENTARIO'!$A$2:$Y$1148,6,FALSE)</f>
        <v>SILLÓN NEGRO DE PIEL EJECUTIVO CON RUEDAS</v>
      </c>
      <c r="G936" s="167" t="str">
        <f ca="1">VLOOKUP($A936,'030523 INVENTARIO'!$A$2:$Y$1148,8,FALSE)</f>
        <v>P21DG-0935</v>
      </c>
      <c r="H936" s="168" t="str">
        <f>VLOOKUP($A936,'030523 INVENTARIO'!$A$2:$Y$1148,17,FALSE)</f>
        <v>S/M</v>
      </c>
      <c r="I936" s="167" t="str">
        <f>VLOOKUP($A936,'030523 INVENTARIO'!$A$2:$Y$1148,18,FALSE)</f>
        <v>S/M</v>
      </c>
      <c r="J936" s="168" t="str">
        <f>VLOOKUP($A936,'030523 INVENTARIO'!$A$2:$Y$1148,19,FALSE)</f>
        <v>SIN SERIE</v>
      </c>
      <c r="K936" s="168" t="str">
        <f>VLOOKUP($A936,'030523 INVENTARIO'!$A$2:$Y$1148,20,FALSE)</f>
        <v>82DH0511010016000516016</v>
      </c>
      <c r="L936" s="167" t="str">
        <f>VLOOKUP($A936,'030523 INVENTARIO'!$A$2:$Y$1148,23,FALSE)</f>
        <v>ALEJANDRO ESTRADA SALINAS (SALA DE JUNTAS)</v>
      </c>
    </row>
    <row r="937" spans="1:12" ht="12.75" hidden="1">
      <c r="A937" s="167" t="str">
        <f>'030523 INVENTARIO'!A937</f>
        <v>0936</v>
      </c>
      <c r="B937" s="168" t="str">
        <f>'030523 INVENTARIO'!T937</f>
        <v>82DH0511010016000515617</v>
      </c>
      <c r="C937" s="167" t="str">
        <f t="shared" si="0"/>
        <v>515617</v>
      </c>
      <c r="D937" s="167" t="str">
        <f>IF(VLOOKUP(C937,'Patrimonio 2023'!$C$2:$C$1128,1,FALSE) = C937, "Encontrado", "no")</f>
        <v>Encontrado</v>
      </c>
      <c r="E937" s="167" t="str">
        <f>VLOOKUP($A937,'030523 INVENTARIO'!$A$2:$Y$1148,5,FALSE)</f>
        <v>SILLON</v>
      </c>
      <c r="F937" s="167" t="str">
        <f>VLOOKUP($A937,'030523 INVENTARIO'!$A$2:$Y$1148,6,FALSE)</f>
        <v>SILLÓN NEGRO DE PIEL EJECUTIVO CON RUEDAS</v>
      </c>
      <c r="G937" s="167" t="str">
        <f ca="1">VLOOKUP($A937,'030523 INVENTARIO'!$A$2:$Y$1148,8,FALSE)</f>
        <v>P21DG-0936</v>
      </c>
      <c r="H937" s="168" t="str">
        <f>VLOOKUP($A937,'030523 INVENTARIO'!$A$2:$Y$1148,17,FALSE)</f>
        <v>S/M</v>
      </c>
      <c r="I937" s="167" t="str">
        <f>VLOOKUP($A937,'030523 INVENTARIO'!$A$2:$Y$1148,18,FALSE)</f>
        <v>S/M</v>
      </c>
      <c r="J937" s="168" t="str">
        <f>VLOOKUP($A937,'030523 INVENTARIO'!$A$2:$Y$1148,19,FALSE)</f>
        <v>SIN SERIE</v>
      </c>
      <c r="K937" s="168" t="str">
        <f>VLOOKUP($A937,'030523 INVENTARIO'!$A$2:$Y$1148,20,FALSE)</f>
        <v>82DH0511010016000515617</v>
      </c>
      <c r="L937" s="167" t="str">
        <f>VLOOKUP($A937,'030523 INVENTARIO'!$A$2:$Y$1148,23,FALSE)</f>
        <v>ALEJANDRO ESTRADA SALINAS (SALA DE JUNTAS)</v>
      </c>
    </row>
    <row r="938" spans="1:12" ht="12.75" hidden="1">
      <c r="A938" s="167" t="str">
        <f>'030523 INVENTARIO'!A938</f>
        <v>0937</v>
      </c>
      <c r="B938" s="168" t="str">
        <f>'030523 INVENTARIO'!T938</f>
        <v>82DH0511010016000518501</v>
      </c>
      <c r="C938" s="167" t="str">
        <f t="shared" si="0"/>
        <v>518501</v>
      </c>
      <c r="D938" s="167" t="str">
        <f>IF(VLOOKUP(C938,'Patrimonio 2023'!$C$2:$C$1128,1,FALSE) = C938, "Encontrado", "no")</f>
        <v>Encontrado</v>
      </c>
      <c r="E938" s="167" t="str">
        <f>VLOOKUP($A938,'030523 INVENTARIO'!$A$2:$Y$1148,5,FALSE)</f>
        <v>SILLON</v>
      </c>
      <c r="F938" s="167" t="str">
        <f>VLOOKUP($A938,'030523 INVENTARIO'!$A$2:$Y$1148,6,FALSE)</f>
        <v>SILLÓN NEGRO DE PIEL EJECUTIVO CON RUEDAS</v>
      </c>
      <c r="G938" s="167" t="str">
        <f ca="1">VLOOKUP($A938,'030523 INVENTARIO'!$A$2:$Y$1148,8,FALSE)</f>
        <v>P21DG-0937</v>
      </c>
      <c r="H938" s="168" t="str">
        <f>VLOOKUP($A938,'030523 INVENTARIO'!$A$2:$Y$1148,17,FALSE)</f>
        <v>S/M</v>
      </c>
      <c r="I938" s="167" t="str">
        <f>VLOOKUP($A938,'030523 INVENTARIO'!$A$2:$Y$1148,18,FALSE)</f>
        <v>S/M</v>
      </c>
      <c r="J938" s="168" t="str">
        <f>VLOOKUP($A938,'030523 INVENTARIO'!$A$2:$Y$1148,19,FALSE)</f>
        <v>SIN SERIE</v>
      </c>
      <c r="K938" s="168" t="str">
        <f>VLOOKUP($A938,'030523 INVENTARIO'!$A$2:$Y$1148,20,FALSE)</f>
        <v>82DH0511010016000518501</v>
      </c>
      <c r="L938" s="167" t="str">
        <f>VLOOKUP($A938,'030523 INVENTARIO'!$A$2:$Y$1148,23,FALSE)</f>
        <v>ALEJANDRO ESTRADA SALINAS (SALA DE JUNTAS)</v>
      </c>
    </row>
    <row r="939" spans="1:12" ht="12.75" hidden="1">
      <c r="A939" s="167" t="str">
        <f>'030523 INVENTARIO'!A939</f>
        <v>0938</v>
      </c>
      <c r="B939" s="168" t="str">
        <f>'030523 INVENTARIO'!T939</f>
        <v>82DH0531010065000564727</v>
      </c>
      <c r="C939" s="167" t="str">
        <f t="shared" si="0"/>
        <v>564727</v>
      </c>
      <c r="D939" s="167" t="str">
        <f>IF(VLOOKUP(C939,'Patrimonio 2023'!$C$2:$C$1128,1,FALSE) = C939, "Encontrado", "no")</f>
        <v>Encontrado</v>
      </c>
      <c r="E939" s="167" t="str">
        <f>VLOOKUP($A939,'030523 INVENTARIO'!$A$2:$Y$1148,5,FALSE)</f>
        <v>MESA</v>
      </c>
      <c r="F939" s="167" t="str">
        <f>VLOOKUP($A939,'030523 INVENTARIO'!$A$2:$Y$1148,6,FALSE)</f>
        <v>MESA DE MADERA CABECERA 140X60</v>
      </c>
      <c r="G939" s="167" t="str">
        <f ca="1">VLOOKUP($A939,'030523 INVENTARIO'!$A$2:$Y$1148,8,FALSE)</f>
        <v>P21DG-0938</v>
      </c>
      <c r="H939" s="168" t="str">
        <f>VLOOKUP($A939,'030523 INVENTARIO'!$A$2:$Y$1148,17,FALSE)</f>
        <v>S/M</v>
      </c>
      <c r="I939" s="167" t="str">
        <f>VLOOKUP($A939,'030523 INVENTARIO'!$A$2:$Y$1148,18,FALSE)</f>
        <v>S/M</v>
      </c>
      <c r="J939" s="168" t="str">
        <f>VLOOKUP($A939,'030523 INVENTARIO'!$A$2:$Y$1148,19,FALSE)</f>
        <v>SIN SERIE</v>
      </c>
      <c r="K939" s="168" t="str">
        <f>VLOOKUP($A939,'030523 INVENTARIO'!$A$2:$Y$1148,20,FALSE)</f>
        <v>82DH0531010065000564727</v>
      </c>
      <c r="L939" s="167" t="str">
        <f>VLOOKUP($A939,'030523 INVENTARIO'!$A$2:$Y$1148,23,FALSE)</f>
        <v>ALEJANDRO ESTRADA SALINAS (SALA DE JUNTAS)</v>
      </c>
    </row>
    <row r="940" spans="1:12" ht="12.75" hidden="1">
      <c r="A940" s="167" t="str">
        <f>'030523 INVENTARIO'!A940</f>
        <v>0939</v>
      </c>
      <c r="B940" s="168" t="str">
        <f>'030523 INVENTARIO'!T940</f>
        <v>82DH0531010065000564723</v>
      </c>
      <c r="C940" s="167" t="str">
        <f t="shared" si="0"/>
        <v>564723</v>
      </c>
      <c r="D940" s="167" t="str">
        <f>IF(VLOOKUP(C940,'Patrimonio 2023'!$C$2:$C$1128,1,FALSE) = C940, "Encontrado", "no")</f>
        <v>Encontrado</v>
      </c>
      <c r="E940" s="167" t="str">
        <f>VLOOKUP($A940,'030523 INVENTARIO'!$A$2:$Y$1148,5,FALSE)</f>
        <v>MESA</v>
      </c>
      <c r="F940" s="167" t="str">
        <f>VLOOKUP($A940,'030523 INVENTARIO'!$A$2:$Y$1148,6,FALSE)</f>
        <v>MESA DE CENTRO CAFÉ CON NEGRO 240X60</v>
      </c>
      <c r="G940" s="167" t="str">
        <f ca="1">VLOOKUP($A940,'030523 INVENTARIO'!$A$2:$Y$1148,8,FALSE)</f>
        <v>P21DG-0939</v>
      </c>
      <c r="H940" s="168" t="str">
        <f>VLOOKUP($A940,'030523 INVENTARIO'!$A$2:$Y$1148,17,FALSE)</f>
        <v>S/M</v>
      </c>
      <c r="I940" s="167" t="str">
        <f>VLOOKUP($A940,'030523 INVENTARIO'!$A$2:$Y$1148,18,FALSE)</f>
        <v>S/M</v>
      </c>
      <c r="J940" s="168" t="str">
        <f>VLOOKUP($A940,'030523 INVENTARIO'!$A$2:$Y$1148,19,FALSE)</f>
        <v>SIN SERIE</v>
      </c>
      <c r="K940" s="168" t="str">
        <f>VLOOKUP($A940,'030523 INVENTARIO'!$A$2:$Y$1148,20,FALSE)</f>
        <v>82DH0531010065000564723</v>
      </c>
      <c r="L940" s="167" t="str">
        <f>VLOOKUP($A940,'030523 INVENTARIO'!$A$2:$Y$1148,23,FALSE)</f>
        <v>ALEJANDRO ESTRADA SALINAS (SALA DE JUNTAS)</v>
      </c>
    </row>
    <row r="941" spans="1:12" ht="12.75" hidden="1">
      <c r="A941" s="167" t="str">
        <f>'030523 INVENTARIO'!A941</f>
        <v>0940</v>
      </c>
      <c r="B941" s="168" t="str">
        <f>'030523 INVENTARIO'!T941</f>
        <v>82DH0531010065000580341</v>
      </c>
      <c r="C941" s="167" t="str">
        <f t="shared" si="0"/>
        <v>580341</v>
      </c>
      <c r="D941" s="167" t="str">
        <f>IF(VLOOKUP(C941,'Patrimonio 2023'!$C$2:$C$1128,1,FALSE) = C941, "Encontrado", "no")</f>
        <v>Encontrado</v>
      </c>
      <c r="E941" s="167" t="str">
        <f>VLOOKUP($A941,'030523 INVENTARIO'!$A$2:$Y$1148,5,FALSE)</f>
        <v>MESA</v>
      </c>
      <c r="F941" s="167" t="str">
        <f>VLOOKUP($A941,'030523 INVENTARIO'!$A$2:$Y$1148,6,FALSE)</f>
        <v>MESA DE CENTRO CAFÉ CON NEGRO 240X60</v>
      </c>
      <c r="G941" s="167" t="str">
        <f ca="1">VLOOKUP($A941,'030523 INVENTARIO'!$A$2:$Y$1148,8,FALSE)</f>
        <v>P21DG-0940</v>
      </c>
      <c r="H941" s="168" t="str">
        <f>VLOOKUP($A941,'030523 INVENTARIO'!$A$2:$Y$1148,17,FALSE)</f>
        <v>S/M</v>
      </c>
      <c r="I941" s="167" t="str">
        <f>VLOOKUP($A941,'030523 INVENTARIO'!$A$2:$Y$1148,18,FALSE)</f>
        <v>S/M</v>
      </c>
      <c r="J941" s="168" t="str">
        <f>VLOOKUP($A941,'030523 INVENTARIO'!$A$2:$Y$1148,19,FALSE)</f>
        <v>SIN SERIE</v>
      </c>
      <c r="K941" s="168" t="str">
        <f>VLOOKUP($A941,'030523 INVENTARIO'!$A$2:$Y$1148,20,FALSE)</f>
        <v>82DH0531010065000580341</v>
      </c>
      <c r="L941" s="167" t="str">
        <f>VLOOKUP($A941,'030523 INVENTARIO'!$A$2:$Y$1148,23,FALSE)</f>
        <v>ALEJANDRO ESTRADA SALINAS (SALA DE JUNTAS)</v>
      </c>
    </row>
    <row r="942" spans="1:12" ht="12.75" hidden="1">
      <c r="A942" s="167" t="str">
        <f>'030523 INVENTARIO'!A942</f>
        <v>0941</v>
      </c>
      <c r="B942" s="168" t="str">
        <f>'030523 INVENTARIO'!T942</f>
        <v>82DH0531010065000564725</v>
      </c>
      <c r="C942" s="167" t="str">
        <f t="shared" si="0"/>
        <v>564725</v>
      </c>
      <c r="D942" s="167" t="str">
        <f>IF(VLOOKUP(C942,'Patrimonio 2023'!$C$2:$C$1128,1,FALSE) = C942, "Encontrado", "no")</f>
        <v>Encontrado</v>
      </c>
      <c r="E942" s="167" t="str">
        <f>VLOOKUP($A942,'030523 INVENTARIO'!$A$2:$Y$1148,5,FALSE)</f>
        <v>MESA</v>
      </c>
      <c r="F942" s="167" t="str">
        <f>VLOOKUP($A942,'030523 INVENTARIO'!$A$2:$Y$1148,6,FALSE)</f>
        <v>MESA DE MADERA CABECERA 140X60</v>
      </c>
      <c r="G942" s="167" t="str">
        <f ca="1">VLOOKUP($A942,'030523 INVENTARIO'!$A$2:$Y$1148,8,FALSE)</f>
        <v>P21DG-0941</v>
      </c>
      <c r="H942" s="168" t="str">
        <f>VLOOKUP($A942,'030523 INVENTARIO'!$A$2:$Y$1148,17,FALSE)</f>
        <v>S/M</v>
      </c>
      <c r="I942" s="167" t="str">
        <f>VLOOKUP($A942,'030523 INVENTARIO'!$A$2:$Y$1148,18,FALSE)</f>
        <v>S/M</v>
      </c>
      <c r="J942" s="168" t="str">
        <f>VLOOKUP($A942,'030523 INVENTARIO'!$A$2:$Y$1148,19,FALSE)</f>
        <v>SIN SERIE</v>
      </c>
      <c r="K942" s="168" t="str">
        <f>VLOOKUP($A942,'030523 INVENTARIO'!$A$2:$Y$1148,20,FALSE)</f>
        <v>82DH0531010065000564725</v>
      </c>
      <c r="L942" s="167" t="str">
        <f>VLOOKUP($A942,'030523 INVENTARIO'!$A$2:$Y$1148,23,FALSE)</f>
        <v>ALEJANDRO ESTRADA SALINAS (SALA DE JUNTAS)</v>
      </c>
    </row>
    <row r="943" spans="1:12" ht="12.75" hidden="1">
      <c r="A943" s="167" t="str">
        <f>'030523 INVENTARIO'!A943</f>
        <v>0942</v>
      </c>
      <c r="B943" s="168" t="str">
        <f>'030523 INVENTARIO'!T943</f>
        <v>82DH0531010065000564721</v>
      </c>
      <c r="C943" s="167" t="str">
        <f t="shared" si="0"/>
        <v>564721</v>
      </c>
      <c r="D943" s="167" t="str">
        <f>IF(VLOOKUP(C943,'Patrimonio 2023'!$C$2:$C$1128,1,FALSE) = C943, "Encontrado", "no")</f>
        <v>Encontrado</v>
      </c>
      <c r="E943" s="167" t="str">
        <f>VLOOKUP($A943,'030523 INVENTARIO'!$A$2:$Y$1148,5,FALSE)</f>
        <v>MESA</v>
      </c>
      <c r="F943" s="167" t="str">
        <f>VLOOKUP($A943,'030523 INVENTARIO'!$A$2:$Y$1148,6,FALSE)</f>
        <v>MESA DE CENTRO CAFÉ CON NEGRO 240X60</v>
      </c>
      <c r="G943" s="167" t="str">
        <f ca="1">VLOOKUP($A943,'030523 INVENTARIO'!$A$2:$Y$1148,8,FALSE)</f>
        <v>P21DG-0942</v>
      </c>
      <c r="H943" s="168" t="str">
        <f>VLOOKUP($A943,'030523 INVENTARIO'!$A$2:$Y$1148,17,FALSE)</f>
        <v>S/M</v>
      </c>
      <c r="I943" s="167" t="str">
        <f>VLOOKUP($A943,'030523 INVENTARIO'!$A$2:$Y$1148,18,FALSE)</f>
        <v>S/M</v>
      </c>
      <c r="J943" s="168" t="str">
        <f>VLOOKUP($A943,'030523 INVENTARIO'!$A$2:$Y$1148,19,FALSE)</f>
        <v>SIN SERIE</v>
      </c>
      <c r="K943" s="168" t="str">
        <f>VLOOKUP($A943,'030523 INVENTARIO'!$A$2:$Y$1148,20,FALSE)</f>
        <v>82DH0531010065000564721</v>
      </c>
      <c r="L943" s="167" t="str">
        <f>VLOOKUP($A943,'030523 INVENTARIO'!$A$2:$Y$1148,23,FALSE)</f>
        <v>ALEJANDRO ESTRADA SALINAS (SALA DE JUNTAS)</v>
      </c>
    </row>
    <row r="944" spans="1:12" ht="12.75" hidden="1">
      <c r="A944" s="167" t="str">
        <f>'030523 INVENTARIO'!A944</f>
        <v>0943</v>
      </c>
      <c r="B944" s="168" t="str">
        <f>'030523 INVENTARIO'!T944</f>
        <v>82DH0531010065000564716</v>
      </c>
      <c r="C944" s="167" t="str">
        <f t="shared" si="0"/>
        <v>564716</v>
      </c>
      <c r="D944" s="167" t="str">
        <f>IF(VLOOKUP(C944,'Patrimonio 2023'!$C$2:$C$1128,1,FALSE) = C944, "Encontrado", "no")</f>
        <v>Encontrado</v>
      </c>
      <c r="E944" s="167" t="str">
        <f>VLOOKUP($A944,'030523 INVENTARIO'!$A$2:$Y$1148,5,FALSE)</f>
        <v>MESA</v>
      </c>
      <c r="F944" s="167" t="str">
        <f>VLOOKUP($A944,'030523 INVENTARIO'!$A$2:$Y$1148,6,FALSE)</f>
        <v>MESA DE CENTRO CAFÉ CON NEGRO 240X60</v>
      </c>
      <c r="G944" s="167" t="str">
        <f ca="1">VLOOKUP($A944,'030523 INVENTARIO'!$A$2:$Y$1148,8,FALSE)</f>
        <v>P21DG-0943</v>
      </c>
      <c r="H944" s="168" t="str">
        <f>VLOOKUP($A944,'030523 INVENTARIO'!$A$2:$Y$1148,17,FALSE)</f>
        <v>S/M</v>
      </c>
      <c r="I944" s="167" t="str">
        <f>VLOOKUP($A944,'030523 INVENTARIO'!$A$2:$Y$1148,18,FALSE)</f>
        <v>S/M</v>
      </c>
      <c r="J944" s="168" t="str">
        <f>VLOOKUP($A944,'030523 INVENTARIO'!$A$2:$Y$1148,19,FALSE)</f>
        <v>SIN SERIE</v>
      </c>
      <c r="K944" s="168" t="str">
        <f>VLOOKUP($A944,'030523 INVENTARIO'!$A$2:$Y$1148,20,FALSE)</f>
        <v>82DH0531010065000564716</v>
      </c>
      <c r="L944" s="167" t="str">
        <f>VLOOKUP($A944,'030523 INVENTARIO'!$A$2:$Y$1148,23,FALSE)</f>
        <v>ALEJANDRO ESTRADA SALINAS (SALA DE JUNTAS)</v>
      </c>
    </row>
    <row r="945" spans="1:12" ht="12.75" hidden="1">
      <c r="A945" s="167" t="str">
        <f>'030523 INVENTARIO'!A945</f>
        <v>0944</v>
      </c>
      <c r="B945" s="168" t="str">
        <f>'030523 INVENTARIO'!T945</f>
        <v>82DH0511010006000534673</v>
      </c>
      <c r="C945" s="167" t="str">
        <f t="shared" si="0"/>
        <v>534673</v>
      </c>
      <c r="D945" s="167" t="str">
        <f>IF(VLOOKUP(C945,'Patrimonio 2023'!$C$2:$C$1128,1,FALSE) = C945, "Encontrado", "no")</f>
        <v>Encontrado</v>
      </c>
      <c r="E945" s="167" t="str">
        <f>VLOOKUP($A945,'030523 INVENTARIO'!$A$2:$Y$1148,5,FALSE)</f>
        <v>ESCRITORIO</v>
      </c>
      <c r="F945" s="167" t="str">
        <f>VLOOKUP($A945,'030523 INVENTARIO'!$A$2:$Y$1148,6,FALSE)</f>
        <v>ESCRITORIO DE MADERA CON 2 CAJONES 120X60</v>
      </c>
      <c r="G945" s="167" t="str">
        <f ca="1">VLOOKUP($A945,'030523 INVENTARIO'!$A$2:$Y$1148,8,FALSE)</f>
        <v>P03CV-0944</v>
      </c>
      <c r="H945" s="168" t="str">
        <f>VLOOKUP($A945,'030523 INVENTARIO'!$A$2:$Y$1148,17,FALSE)</f>
        <v>S/M</v>
      </c>
      <c r="I945" s="167" t="str">
        <f>VLOOKUP($A945,'030523 INVENTARIO'!$A$2:$Y$1148,18,FALSE)</f>
        <v>S/M</v>
      </c>
      <c r="J945" s="168" t="str">
        <f>VLOOKUP($A945,'030523 INVENTARIO'!$A$2:$Y$1148,19,FALSE)</f>
        <v>SIN SERIE</v>
      </c>
      <c r="K945" s="168" t="str">
        <f>VLOOKUP($A945,'030523 INVENTARIO'!$A$2:$Y$1148,20,FALSE)</f>
        <v>82DH0511010006000534673</v>
      </c>
      <c r="L945" s="167" t="str">
        <f>VLOOKUP($A945,'030523 INVENTARIO'!$A$2:$Y$1148,23,FALSE)</f>
        <v>VICTOR HUGO HERNANDEZ PALACIOS</v>
      </c>
    </row>
    <row r="946" spans="1:12" ht="12.75" hidden="1">
      <c r="A946" s="167" t="str">
        <f>'030523 INVENTARIO'!A946</f>
        <v>0945</v>
      </c>
      <c r="B946" s="168" t="str">
        <f>'030523 INVENTARIO'!T946</f>
        <v>82DH0531010065000564786</v>
      </c>
      <c r="C946" s="167" t="str">
        <f t="shared" si="0"/>
        <v>564786</v>
      </c>
      <c r="D946" s="167" t="str">
        <f>IF(VLOOKUP(C946,'Patrimonio 2023'!$C$2:$C$1128,1,FALSE) = C946, "Encontrado", "no")</f>
        <v>Encontrado</v>
      </c>
      <c r="E946" s="167" t="str">
        <f>VLOOKUP($A946,'030523 INVENTARIO'!$A$2:$Y$1148,5,FALSE)</f>
        <v>MESA</v>
      </c>
      <c r="F946" s="167" t="str">
        <f>VLOOKUP($A946,'030523 INVENTARIO'!$A$2:$Y$1148,6,FALSE)</f>
        <v>MESA DE MADERA 44X100X40</v>
      </c>
      <c r="G946" s="167" t="str">
        <f ca="1">VLOOKUP($A946,'030523 INVENTARIO'!$A$2:$Y$1148,8,FALSE)</f>
        <v>P21DG-0945</v>
      </c>
      <c r="H946" s="168" t="str">
        <f>VLOOKUP($A946,'030523 INVENTARIO'!$A$2:$Y$1148,17,FALSE)</f>
        <v>S/M</v>
      </c>
      <c r="I946" s="167" t="str">
        <f>VLOOKUP($A946,'030523 INVENTARIO'!$A$2:$Y$1148,18,FALSE)</f>
        <v>S/M</v>
      </c>
      <c r="J946" s="168" t="str">
        <f>VLOOKUP($A946,'030523 INVENTARIO'!$A$2:$Y$1148,19,FALSE)</f>
        <v>SIN SERIE</v>
      </c>
      <c r="K946" s="168" t="str">
        <f>VLOOKUP($A946,'030523 INVENTARIO'!$A$2:$Y$1148,20,FALSE)</f>
        <v>82DH0531010065000564786</v>
      </c>
      <c r="L946" s="167" t="str">
        <f>VLOOKUP($A946,'030523 INVENTARIO'!$A$2:$Y$1148,23,FALSE)</f>
        <v>ALEJANDRO ESTRADA SALINAS (SALA DE JUNTAS)</v>
      </c>
    </row>
    <row r="947" spans="1:12" ht="12.75" hidden="1">
      <c r="A947" s="167" t="str">
        <f>'030523 INVENTARIO'!A947</f>
        <v>0946</v>
      </c>
      <c r="B947" s="168" t="str">
        <f>'030523 INVENTARIO'!T947</f>
        <v>82DH0515010010000515121</v>
      </c>
      <c r="C947" s="167" t="str">
        <f t="shared" si="0"/>
        <v>515121</v>
      </c>
      <c r="D947" s="167" t="str">
        <f>IF(VLOOKUP(C947,'Patrimonio 2023'!$C$2:$C$1128,1,FALSE) = C947, "Encontrado", "no")</f>
        <v>Encontrado</v>
      </c>
      <c r="E947" s="167" t="str">
        <f>VLOOKUP($A947,'030523 INVENTARIO'!$A$2:$Y$1148,5,FALSE)</f>
        <v>IMPRESORA</v>
      </c>
      <c r="F947" s="168" t="str">
        <f>VLOOKUP($A947,'030523 INVENTARIO'!$A$2:$Y$1148,6,FALSE)</f>
        <v>IMPRESORA</v>
      </c>
      <c r="G947" s="167" t="str">
        <f ca="1">VLOOKUP($A947,'030523 INVENTARIO'!$A$2:$Y$1148,8,FALSE)</f>
        <v>P21DG-0946</v>
      </c>
      <c r="H947" s="168" t="str">
        <f>VLOOKUP($A947,'030523 INVENTARIO'!$A$2:$Y$1148,17,FALSE)</f>
        <v>HP</v>
      </c>
      <c r="I947" s="167" t="str">
        <f>VLOOKUP($A947,'030523 INVENTARIO'!$A$2:$Y$1148,18,FALSE)</f>
        <v>LASERJET 1320</v>
      </c>
      <c r="J947" s="168" t="str">
        <f>VLOOKUP($A947,'030523 INVENTARIO'!$A$2:$Y$1148,19,FALSE)</f>
        <v>CNL1G00442</v>
      </c>
      <c r="K947" s="168" t="str">
        <f>VLOOKUP($A947,'030523 INVENTARIO'!$A$2:$Y$1148,20,FALSE)</f>
        <v>82DH0515010010000515121</v>
      </c>
      <c r="L947" s="167" t="str">
        <f>VLOOKUP($A947,'030523 INVENTARIO'!$A$2:$Y$1148,23,FALSE)</f>
        <v>ALEJANDRO ESTRADA SALINAS (SALA DE JUNTAS)</v>
      </c>
    </row>
    <row r="948" spans="1:12" ht="12.75" hidden="1">
      <c r="A948" s="167" t="str">
        <f>'030523 INVENTARIO'!A948</f>
        <v>0947</v>
      </c>
      <c r="B948" s="167" t="str">
        <f>'030523 INVENTARIO'!T948</f>
        <v>82DH0515010016000650642</v>
      </c>
      <c r="C948" s="167" t="str">
        <f t="shared" si="0"/>
        <v>650642</v>
      </c>
      <c r="D948" s="167" t="str">
        <f>IF(VLOOKUP(C948,'Patrimonio 2023'!$C$2:$C$1128,1,FALSE) = C948, "Encontrado", "no")</f>
        <v>Encontrado</v>
      </c>
      <c r="E948" s="167" t="str">
        <f>VLOOKUP($A948,'030523 INVENTARIO'!$A$2:$Y$1148,5,FALSE)</f>
        <v>NO BREAK</v>
      </c>
      <c r="F948" s="167" t="str">
        <f>VLOOKUP($A948,'030523 INVENTARIO'!$A$2:$Y$1148,6,FALSE)</f>
        <v>NO BREAK</v>
      </c>
      <c r="G948" s="167" t="str">
        <f ca="1">VLOOKUP($A948,'030523 INVENTARIO'!$A$2:$Y$1148,8,FALSE)</f>
        <v>P12SI-0947</v>
      </c>
      <c r="H948" s="168" t="str">
        <f>VLOOKUP($A948,'030523 INVENTARIO'!$A$2:$Y$1148,17,FALSE)</f>
        <v>CYBER ENERGY</v>
      </c>
      <c r="I948" s="167" t="str">
        <f>VLOOKUP($A948,'030523 INVENTARIO'!$A$2:$Y$1148,18,FALSE)</f>
        <v>OM750ATLCD</v>
      </c>
      <c r="J948" s="167" t="str">
        <f>VLOOKUP($A948,'030523 INVENTARIO'!$A$2:$Y$1148,19,FALSE)</f>
        <v>1HZ5Y3000474</v>
      </c>
      <c r="K948" s="167" t="str">
        <f>VLOOKUP($A948,'030523 INVENTARIO'!$A$2:$Y$1148,20,FALSE)</f>
        <v>82DH0515010016000650642</v>
      </c>
      <c r="L948" s="167" t="str">
        <f>VLOOKUP($A948,'030523 INVENTARIO'!$A$2:$Y$1148,23,FALSE)</f>
        <v>CHRISTIAN ZARCO MERCADO</v>
      </c>
    </row>
    <row r="949" spans="1:12" ht="12.75" hidden="1">
      <c r="A949" s="167" t="str">
        <f>'030523 INVENTARIO'!A949</f>
        <v>0948</v>
      </c>
      <c r="B949" s="167" t="str">
        <f>'030523 INVENTARIO'!T949</f>
        <v>82DH0565010001000527290</v>
      </c>
      <c r="C949" s="167" t="str">
        <f t="shared" si="0"/>
        <v>527290</v>
      </c>
      <c r="D949" s="167" t="str">
        <f>IF(VLOOKUP(C949,'Patrimonio 2023'!$C$2:$C$1128,1,FALSE) = C949, "Encontrado", "no")</f>
        <v>Encontrado</v>
      </c>
      <c r="E949" s="167" t="str">
        <f>VLOOKUP($A949,'030523 INVENTARIO'!$A$2:$Y$1148,5,FALSE)</f>
        <v>TELEFONO</v>
      </c>
      <c r="F949" s="167" t="str">
        <f>VLOOKUP($A949,'030523 INVENTARIO'!$A$2:$Y$1148,6,FALSE)</f>
        <v>TELEFONO GRIS</v>
      </c>
      <c r="G949" s="167" t="str">
        <f ca="1">VLOOKUP($A949,'030523 INVENTARIO'!$A$2:$Y$1148,8,FALSE)</f>
        <v>P21DG-0948</v>
      </c>
      <c r="H949" s="168" t="str">
        <f>VLOOKUP($A949,'030523 INVENTARIO'!$A$2:$Y$1148,17,FALSE)</f>
        <v>LINKSYS</v>
      </c>
      <c r="I949" s="167" t="str">
        <f>VLOOKUP($A949,'030523 INVENTARIO'!$A$2:$Y$1148,18,FALSE)</f>
        <v>SPA942</v>
      </c>
      <c r="J949" s="168" t="str">
        <f>VLOOKUP($A949,'030523 INVENTARIO'!$A$2:$Y$1148,19,FALSE)</f>
        <v>4LO00H118468</v>
      </c>
      <c r="K949" s="167" t="str">
        <f>VLOOKUP($A949,'030523 INVENTARIO'!$A$2:$Y$1148,20,FALSE)</f>
        <v>82DH0565010001000527290</v>
      </c>
      <c r="L949" s="167" t="str">
        <f>VLOOKUP($A949,'030523 INVENTARIO'!$A$2:$Y$1148,23,FALSE)</f>
        <v>ALEJANDRO ESTRADA SALINAS (SALA DE JUNTAS)</v>
      </c>
    </row>
    <row r="950" spans="1:12" ht="12.75" hidden="1">
      <c r="A950" s="167" t="str">
        <f>'030523 INVENTARIO'!A950</f>
        <v>0949</v>
      </c>
      <c r="B950" s="168" t="str">
        <f>'030523 INVENTARIO'!T950</f>
        <v>82DH0511010017000516334</v>
      </c>
      <c r="C950" s="167" t="str">
        <f t="shared" si="0"/>
        <v>516334</v>
      </c>
      <c r="D950" s="167" t="str">
        <f>IF(VLOOKUP(C950,'Patrimonio 2023'!$C$2:$C$1128,1,FALSE) = C950, "Encontrado", "no")</f>
        <v>Encontrado</v>
      </c>
      <c r="E950" s="167" t="str">
        <f>VLOOKUP($A950,'030523 INVENTARIO'!$A$2:$Y$1148,5,FALSE)</f>
        <v>SILLA</v>
      </c>
      <c r="F950" s="167" t="str">
        <f>VLOOKUP($A950,'030523 INVENTARIO'!$A$2:$Y$1148,6,FALSE)</f>
        <v>SILLA NEGRA CON RUEDAS</v>
      </c>
      <c r="G950" s="167" t="str">
        <f ca="1">VLOOKUP($A950,'030523 INVENTARIO'!$A$2:$Y$1148,8,FALSE)</f>
        <v>P21DG-0949</v>
      </c>
      <c r="H950" s="168" t="str">
        <f>VLOOKUP($A950,'030523 INVENTARIO'!$A$2:$Y$1148,17,FALSE)</f>
        <v>S/M</v>
      </c>
      <c r="I950" s="167" t="str">
        <f>VLOOKUP($A950,'030523 INVENTARIO'!$A$2:$Y$1148,18,FALSE)</f>
        <v>S/M</v>
      </c>
      <c r="J950" s="167" t="str">
        <f>VLOOKUP($A950,'030523 INVENTARIO'!$A$2:$Y$1148,19,FALSE)</f>
        <v>SIN SERIE</v>
      </c>
      <c r="K950" s="168" t="str">
        <f>VLOOKUP($A950,'030523 INVENTARIO'!$A$2:$Y$1148,20,FALSE)</f>
        <v>82DH0511010017000516334</v>
      </c>
      <c r="L950" s="167" t="str">
        <f>VLOOKUP($A950,'030523 INVENTARIO'!$A$2:$Y$1148,23,FALSE)</f>
        <v>ALEJANDRO ESTRADA SALINAS (SALA DE JUNTAS)</v>
      </c>
    </row>
    <row r="951" spans="1:12" ht="12.75" hidden="1">
      <c r="A951" s="167" t="str">
        <f>'030523 INVENTARIO'!A951</f>
        <v>0950</v>
      </c>
      <c r="B951" s="167" t="str">
        <f>'030523 INVENTARIO'!T951</f>
        <v>82DH0515010001000650662</v>
      </c>
      <c r="C951" s="167" t="str">
        <f t="shared" si="0"/>
        <v>650662</v>
      </c>
      <c r="D951" s="167" t="str">
        <f>IF(VLOOKUP(C951,'Patrimonio 2023'!$C$2:$C$1128,1,FALSE) = C951, "Encontrado", "no")</f>
        <v>Encontrado</v>
      </c>
      <c r="E951" s="167" t="str">
        <f>VLOOKUP($A951,'030523 INVENTARIO'!$A$2:$Y$1148,5,FALSE)</f>
        <v>COMPUTADORA DE ESCRITORIO</v>
      </c>
      <c r="F951" s="168" t="str">
        <f>VLOOKUP($A951,'030523 INVENTARIO'!$A$2:$Y$1148,6,FALSE)</f>
        <v>COMPUTADORA NEGRO</v>
      </c>
      <c r="G951" s="167" t="str">
        <f ca="1">VLOOKUP($A951,'030523 INVENTARIO'!$A$2:$Y$1148,8,FALSE)</f>
        <v>P21DG-0950</v>
      </c>
      <c r="H951" s="168" t="str">
        <f>VLOOKUP($A951,'030523 INVENTARIO'!$A$2:$Y$1148,17,FALSE)</f>
        <v>GHIA</v>
      </c>
      <c r="I951" s="167" t="str">
        <f>VLOOKUP($A951,'030523 INVENTARIO'!$A$2:$Y$1148,18,FALSE)</f>
        <v>PCGHIA2378</v>
      </c>
      <c r="J951" s="168" t="str">
        <f>VLOOKUP($A951,'030523 INVENTARIO'!$A$2:$Y$1148,19,FALSE)</f>
        <v>337860</v>
      </c>
      <c r="K951" s="167" t="str">
        <f>VLOOKUP($A951,'030523 INVENTARIO'!$A$2:$Y$1148,20,FALSE)</f>
        <v>82DH0515010001000650662</v>
      </c>
      <c r="L951" s="167" t="str">
        <f>VLOOKUP($A951,'030523 INVENTARIO'!$A$2:$Y$1148,23,FALSE)</f>
        <v>ALEJANDRO ESTRADA SALINAS (SALA DE JUNTAS)</v>
      </c>
    </row>
    <row r="952" spans="1:12" ht="12.75" hidden="1">
      <c r="A952" s="167" t="str">
        <f>'030523 INVENTARIO'!A952</f>
        <v>0951</v>
      </c>
      <c r="B952" s="168" t="str">
        <f>'030523 INVENTARIO'!T952</f>
        <v>82DH0515010013000651394</v>
      </c>
      <c r="C952" s="167" t="str">
        <f t="shared" si="0"/>
        <v>651394</v>
      </c>
      <c r="D952" s="167" t="str">
        <f>IF(VLOOKUP(C952,'Patrimonio 2023'!$C$2:$C$1128,1,FALSE) = C952, "Encontrado", "no")</f>
        <v>Encontrado</v>
      </c>
      <c r="E952" s="167" t="str">
        <f>VLOOKUP($A952,'030523 INVENTARIO'!$A$2:$Y$1148,5,FALSE)</f>
        <v>MONITOR</v>
      </c>
      <c r="F952" s="167" t="str">
        <f>VLOOKUP($A952,'030523 INVENTARIO'!$A$2:$Y$1148,6,FALSE)</f>
        <v>MONITOR 18.5"</v>
      </c>
      <c r="G952" s="167" t="str">
        <f ca="1">VLOOKUP($A952,'030523 INVENTARIO'!$A$2:$Y$1148,8,FALSE)</f>
        <v>P21DG-0951</v>
      </c>
      <c r="H952" s="168" t="str">
        <f>VLOOKUP($A952,'030523 INVENTARIO'!$A$2:$Y$1148,17,FALSE)</f>
        <v>SAMSUNG</v>
      </c>
      <c r="I952" s="167" t="str">
        <f>VLOOKUP($A952,'030523 INVENTARIO'!$A$2:$Y$1148,18,FALSE)</f>
        <v>933SN</v>
      </c>
      <c r="J952" s="168" t="str">
        <f>VLOOKUP($A952,'030523 INVENTARIO'!$A$2:$Y$1148,19,FALSE)</f>
        <v>CM19H9LS423384F</v>
      </c>
      <c r="K952" s="168" t="str">
        <f>VLOOKUP($A952,'030523 INVENTARIO'!$A$2:$Y$1148,20,FALSE)</f>
        <v>82DH0515010013000651394</v>
      </c>
      <c r="L952" s="167" t="str">
        <f>VLOOKUP($A952,'030523 INVENTARIO'!$A$2:$Y$1148,23,FALSE)</f>
        <v>ALEJANDRO ESTRADA SALINAS (SALA DE JUNTAS)</v>
      </c>
    </row>
    <row r="953" spans="1:12" ht="12.75" hidden="1">
      <c r="A953" s="167" t="str">
        <f>'030523 INVENTARIO'!A953</f>
        <v>0952</v>
      </c>
      <c r="B953" s="168" t="str">
        <f>'030523 INVENTARIO'!T953</f>
        <v>SIN RESGUARDO</v>
      </c>
      <c r="C953" s="167" t="str">
        <f t="shared" si="0"/>
        <v/>
      </c>
      <c r="D953" s="167" t="e">
        <f>IF(VLOOKUP(C953,'Patrimonio 2023'!$C$2:$C$1128,1,FALSE) = C953, "Encontrado", "no")</f>
        <v>#N/A</v>
      </c>
      <c r="E953" s="167" t="str">
        <f>VLOOKUP($A953,'030523 INVENTARIO'!$A$2:$Y$1148,5,FALSE)</f>
        <v>ESCRITORIO</v>
      </c>
      <c r="F953" s="167" t="str">
        <f>VLOOKUP($A953,'030523 INVENTARIO'!$A$2:$Y$1148,6,FALSE)</f>
        <v>ESCRITORIO DE MADERA CON UN CAJON 120X60</v>
      </c>
      <c r="G953" s="167" t="str">
        <f ca="1">VLOOKUP($A953,'030523 INVENTARIO'!$A$2:$Y$1148,8,FALSE)</f>
        <v>P21DG-0952</v>
      </c>
      <c r="H953" s="168" t="str">
        <f>VLOOKUP($A953,'030523 INVENTARIO'!$A$2:$Y$1148,17,FALSE)</f>
        <v>S/M</v>
      </c>
      <c r="I953" s="167" t="str">
        <f>VLOOKUP($A953,'030523 INVENTARIO'!$A$2:$Y$1148,18,FALSE)</f>
        <v>S/M</v>
      </c>
      <c r="J953" s="168" t="str">
        <f>VLOOKUP($A953,'030523 INVENTARIO'!$A$2:$Y$1148,19,FALSE)</f>
        <v>SIN SERIE</v>
      </c>
      <c r="K953" s="168" t="str">
        <f>VLOOKUP($A953,'030523 INVENTARIO'!$A$2:$Y$1148,20,FALSE)</f>
        <v>SIN RESGUARDO</v>
      </c>
      <c r="L953" s="167" t="str">
        <f>VLOOKUP($A953,'030523 INVENTARIO'!$A$2:$Y$1148,23,FALSE)</f>
        <v>JOSE MIGUEL HERNANDEZ CARRANZA</v>
      </c>
    </row>
    <row r="954" spans="1:12" ht="12.75">
      <c r="A954" s="167" t="str">
        <f>'030523 INVENTARIO'!A954</f>
        <v>0953</v>
      </c>
      <c r="B954" s="168" t="str">
        <f>'030523 INVENTARIO'!T954</f>
        <v>82DK0531010094000564894</v>
      </c>
      <c r="C954" s="167" t="str">
        <f t="shared" si="0"/>
        <v>564894</v>
      </c>
      <c r="D954" s="167" t="e">
        <f>IF(VLOOKUP(C954,'Patrimonio 2023'!$C$2:$C$1128,1,FALSE) = C954, "Encontrado", "no")</f>
        <v>#N/A</v>
      </c>
      <c r="E954" s="167" t="str">
        <f>VLOOKUP($A954,'030523 INVENTARIO'!$A$2:$Y$1148,5,FALSE)</f>
        <v>VENTILADOR</v>
      </c>
      <c r="F954" s="168" t="str">
        <f>VLOOKUP($A954,'030523 INVENTARIO'!$A$2:$Y$1148,6,FALSE)</f>
        <v>VENTILADOR BLANCO</v>
      </c>
      <c r="G954" s="167" t="str">
        <f ca="1">VLOOKUP($A954,'030523 INVENTARIO'!$A$2:$Y$1148,8,FALSE)</f>
        <v>P05RM-0953</v>
      </c>
      <c r="H954" s="168" t="str">
        <f>VLOOKUP($A954,'030523 INVENTARIO'!$A$2:$Y$1148,17,FALSE)</f>
        <v>MYTEK</v>
      </c>
      <c r="I954" s="167" t="str">
        <f>VLOOKUP($A954,'030523 INVENTARIO'!$A$2:$Y$1148,18,FALSE)</f>
        <v>S/M</v>
      </c>
      <c r="J954" s="168" t="str">
        <f>VLOOKUP($A954,'030523 INVENTARIO'!$A$2:$Y$1148,19,FALSE)</f>
        <v>SIN SERIE</v>
      </c>
      <c r="K954" s="168" t="str">
        <f>VLOOKUP($A954,'030523 INVENTARIO'!$A$2:$Y$1148,20,FALSE)</f>
        <v>82DK0531010094000564894</v>
      </c>
      <c r="L954" s="167" t="str">
        <f>VLOOKUP($A954,'030523 INVENTARIO'!$A$2:$Y$1148,23,FALSE)</f>
        <v>BLANCA ELIZABETH ALCABTAR GUERRERO</v>
      </c>
    </row>
    <row r="955" spans="1:12" ht="12.75" hidden="1">
      <c r="A955" s="167" t="str">
        <f>'030523 INVENTARIO'!A955</f>
        <v>0954</v>
      </c>
      <c r="B955" s="168" t="str">
        <f>'030523 INVENTARIO'!T955</f>
        <v>82DH0511010017000517894</v>
      </c>
      <c r="C955" s="167" t="str">
        <f t="shared" si="0"/>
        <v>517894</v>
      </c>
      <c r="D955" s="167" t="str">
        <f>IF(VLOOKUP(C955,'Patrimonio 2023'!$C$2:$C$1128,1,FALSE) = C955, "Encontrado", "no")</f>
        <v>Encontrado</v>
      </c>
      <c r="E955" s="167" t="str">
        <f>VLOOKUP($A955,'030523 INVENTARIO'!$A$2:$Y$1148,5,FALSE)</f>
        <v>SILLA</v>
      </c>
      <c r="F955" s="167" t="str">
        <f>VLOOKUP($A955,'030523 INVENTARIO'!$A$2:$Y$1148,6,FALSE)</f>
        <v>SILLA DE TELA NEGRA CON RUEDAS</v>
      </c>
      <c r="G955" s="167" t="str">
        <f ca="1">VLOOKUP($A955,'030523 INVENTARIO'!$A$2:$Y$1148,8,FALSE)</f>
        <v>P21DG-0954</v>
      </c>
      <c r="H955" s="168" t="str">
        <f>VLOOKUP($A955,'030523 INVENTARIO'!$A$2:$Y$1148,17,FALSE)</f>
        <v>S/M</v>
      </c>
      <c r="I955" s="167" t="str">
        <f>VLOOKUP($A955,'030523 INVENTARIO'!$A$2:$Y$1148,18,FALSE)</f>
        <v>S/M</v>
      </c>
      <c r="J955" s="168" t="str">
        <f>VLOOKUP($A955,'030523 INVENTARIO'!$A$2:$Y$1148,19,FALSE)</f>
        <v>SIN SERIE</v>
      </c>
      <c r="K955" s="168" t="str">
        <f>VLOOKUP($A955,'030523 INVENTARIO'!$A$2:$Y$1148,20,FALSE)</f>
        <v>82DH0511010017000517894</v>
      </c>
      <c r="L955" s="167" t="str">
        <f>VLOOKUP($A955,'030523 INVENTARIO'!$A$2:$Y$1148,23,FALSE)</f>
        <v>JOSE MIGUEL HERNANDEZ CARRANZA</v>
      </c>
    </row>
    <row r="956" spans="1:12" ht="12.75">
      <c r="A956" s="167" t="str">
        <f>'030523 INVENTARIO'!A956</f>
        <v>0955</v>
      </c>
      <c r="B956" s="167" t="str">
        <f>'030523 INVENTARIO'!T956</f>
        <v>82DH0515010020000565742</v>
      </c>
      <c r="C956" s="167" t="str">
        <f t="shared" si="0"/>
        <v>565742</v>
      </c>
      <c r="D956" s="167" t="e">
        <f>IF(VLOOKUP(C956,'Patrimonio 2023'!$C$2:$C$1128,1,FALSE) = C956, "Encontrado", "no")</f>
        <v>#N/A</v>
      </c>
      <c r="E956" s="167" t="str">
        <f>VLOOKUP($A956,'030523 INVENTARIO'!$A$2:$Y$1148,5,FALSE)</f>
        <v>REGULADOR DE VOLTAJE</v>
      </c>
      <c r="F956" s="168" t="str">
        <f>VLOOKUP($A956,'030523 INVENTARIO'!$A$2:$Y$1148,6,FALSE)</f>
        <v>REGULADOR</v>
      </c>
      <c r="G956" s="167" t="str">
        <f ca="1">VLOOKUP($A956,'030523 INVENTARIO'!$A$2:$Y$1148,8,FALSE)</f>
        <v>P21DG-0955</v>
      </c>
      <c r="H956" s="168" t="str">
        <f>VLOOKUP($A956,'030523 INVENTARIO'!$A$2:$Y$1148,17,FALSE)</f>
        <v>ISB</v>
      </c>
      <c r="I956" s="167" t="str">
        <f>VLOOKUP($A956,'030523 INVENTARIO'!$A$2:$Y$1148,18,FALSE)</f>
        <v>SOLA BASIC</v>
      </c>
      <c r="J956" s="167" t="str">
        <f>VLOOKUP($A956,'030523 INVENTARIO'!$A$2:$Y$1148,19,FALSE)</f>
        <v>E01E38988</v>
      </c>
      <c r="K956" s="167" t="str">
        <f>VLOOKUP($A956,'030523 INVENTARIO'!$A$2:$Y$1148,20,FALSE)</f>
        <v>82DH0515010020000565742</v>
      </c>
      <c r="L956" s="167" t="str">
        <f>VLOOKUP($A956,'030523 INVENTARIO'!$A$2:$Y$1148,23,FALSE)</f>
        <v>JOSE MIGUEL HERNANDEZ CARRANZA</v>
      </c>
    </row>
    <row r="957" spans="1:12" ht="12.75" hidden="1">
      <c r="A957" s="167" t="str">
        <f>'030523 INVENTARIO'!A957</f>
        <v>0956</v>
      </c>
      <c r="B957" s="167" t="str">
        <f>'030523 INVENTARIO'!T957</f>
        <v>82DH0565010041000543577</v>
      </c>
      <c r="C957" s="167" t="str">
        <f t="shared" si="0"/>
        <v>543577</v>
      </c>
      <c r="D957" s="167" t="str">
        <f>IF(VLOOKUP(C957,'Patrimonio 2023'!$C$2:$C$1128,1,FALSE) = C957, "Encontrado", "no")</f>
        <v>Encontrado</v>
      </c>
      <c r="E957" s="167" t="str">
        <f>VLOOKUP($A957,'030523 INVENTARIO'!$A$2:$Y$1148,5,FALSE)</f>
        <v>MONITOR</v>
      </c>
      <c r="F957" s="167" t="str">
        <f>VLOOKUP($A957,'030523 INVENTARIO'!$A$2:$Y$1148,6,FALSE)</f>
        <v>MONITOR 17"</v>
      </c>
      <c r="G957" s="167" t="str">
        <f ca="1">VLOOKUP($A957,'030523 INVENTARIO'!$A$2:$Y$1148,8,FALSE)</f>
        <v>P21DG-0956</v>
      </c>
      <c r="H957" s="168" t="str">
        <f>VLOOKUP($A957,'030523 INVENTARIO'!$A$2:$Y$1148,17,FALSE)</f>
        <v>SONY</v>
      </c>
      <c r="I957" s="167" t="str">
        <f>VLOOKUP($A957,'030523 INVENTARIO'!$A$2:$Y$1148,18,FALSE)</f>
        <v>SDM-HS73</v>
      </c>
      <c r="J957" s="168" t="str">
        <f>VLOOKUP($A957,'030523 INVENTARIO'!$A$2:$Y$1148,19,FALSE)</f>
        <v>1439146</v>
      </c>
      <c r="K957" s="167" t="str">
        <f>VLOOKUP($A957,'030523 INVENTARIO'!$A$2:$Y$1148,20,FALSE)</f>
        <v>82DH0565010041000543577</v>
      </c>
      <c r="L957" s="167" t="str">
        <f>VLOOKUP($A957,'030523 INVENTARIO'!$A$2:$Y$1148,23,FALSE)</f>
        <v>JOSE MIGUEL HERNANDEZ CARRANZA</v>
      </c>
    </row>
    <row r="958" spans="1:12" ht="12.75" hidden="1">
      <c r="A958" s="167" t="str">
        <f>'030523 INVENTARIO'!A958</f>
        <v>0957</v>
      </c>
      <c r="B958" s="168" t="str">
        <f>'030523 INVENTARIO'!T958</f>
        <v>82DJ0515010001000535534</v>
      </c>
      <c r="C958" s="167" t="str">
        <f t="shared" si="0"/>
        <v>535534</v>
      </c>
      <c r="D958" s="167" t="str">
        <f>IF(VLOOKUP(C958,'Patrimonio 2023'!$C$2:$C$1128,1,FALSE) = C958, "Encontrado", "no")</f>
        <v>Encontrado</v>
      </c>
      <c r="E958" s="167" t="str">
        <f>VLOOKUP($A958,'030523 INVENTARIO'!$A$2:$Y$1148,5,FALSE)</f>
        <v>COMPUTADORA DE ESCRITORIO</v>
      </c>
      <c r="F958" s="167" t="str">
        <f>VLOOKUP($A958,'030523 INVENTARIO'!$A$2:$Y$1148,6,FALSE)</f>
        <v>COMPUTADORA DE ESCRITORIO</v>
      </c>
      <c r="G958" s="167" t="str">
        <f ca="1">VLOOKUP($A958,'030523 INVENTARIO'!$A$2:$Y$1148,8,FALSE)</f>
        <v>P21DG-0957</v>
      </c>
      <c r="H958" s="168" t="str">
        <f>VLOOKUP($A958,'030523 INVENTARIO'!$A$2:$Y$1148,17,FALSE)</f>
        <v>HP</v>
      </c>
      <c r="I958" s="167" t="str">
        <f>VLOOKUP($A958,'030523 INVENTARIO'!$A$2:$Y$1148,18,FALSE)</f>
        <v>DC7800</v>
      </c>
      <c r="J958" s="168" t="str">
        <f>VLOOKUP($A958,'030523 INVENTARIO'!$A$2:$Y$1148,19,FALSE)</f>
        <v>MXJ819036D</v>
      </c>
      <c r="K958" s="168" t="str">
        <f>VLOOKUP($A958,'030523 INVENTARIO'!$A$2:$Y$1148,20,FALSE)</f>
        <v>82DJ0515010001000535534</v>
      </c>
      <c r="L958" s="167" t="str">
        <f>VLOOKUP($A958,'030523 INVENTARIO'!$A$2:$Y$1148,23,FALSE)</f>
        <v>JOSE MIGUEL HERNANDEZ CARRANZA</v>
      </c>
    </row>
    <row r="959" spans="1:12" ht="12.75" hidden="1">
      <c r="A959" s="167" t="str">
        <f>'030523 INVENTARIO'!A959</f>
        <v>0958</v>
      </c>
      <c r="B959" s="167" t="str">
        <f>'030523 INVENTARIO'!T959</f>
        <v>82DH0519010036000543274</v>
      </c>
      <c r="C959" s="167" t="str">
        <f t="shared" si="0"/>
        <v>543274</v>
      </c>
      <c r="D959" s="167" t="str">
        <f>IF(VLOOKUP(C959,'Patrimonio 2023'!$C$2:$C$1128,1,FALSE) = C959, "Encontrado", "no")</f>
        <v>Encontrado</v>
      </c>
      <c r="E959" s="167" t="str">
        <f>VLOOKUP($A959,'030523 INVENTARIO'!$A$2:$Y$1148,5,FALSE)</f>
        <v>REFRIGERADOR</v>
      </c>
      <c r="F959" s="167" t="str">
        <f>VLOOKUP($A959,'030523 INVENTARIO'!$A$2:$Y$1148,6,FALSE)</f>
        <v>REFRIGERADOR BLANCO DE 5FT</v>
      </c>
      <c r="G959" s="167" t="str">
        <f ca="1">VLOOKUP($A959,'030523 INVENTARIO'!$A$2:$Y$1148,8,FALSE)</f>
        <v>P21DG-0958</v>
      </c>
      <c r="H959" s="168" t="str">
        <f>VLOOKUP($A959,'030523 INVENTARIO'!$A$2:$Y$1148,17,FALSE)</f>
        <v>MABE</v>
      </c>
      <c r="I959" s="167" t="str">
        <f>VLOOKUP($A959,'030523 INVENTARIO'!$A$2:$Y$1148,18,FALSE)</f>
        <v>RM62W07</v>
      </c>
      <c r="J959" s="168" t="str">
        <f>VLOOKUP($A959,'030523 INVENTARIO'!$A$2:$Y$1148,19,FALSE)</f>
        <v>SIN SERIE</v>
      </c>
      <c r="K959" s="167" t="str">
        <f>VLOOKUP($A959,'030523 INVENTARIO'!$A$2:$Y$1148,20,FALSE)</f>
        <v>82DH0519010036000543274</v>
      </c>
      <c r="L959" s="167" t="str">
        <f>VLOOKUP($A959,'030523 INVENTARIO'!$A$2:$Y$1148,23,FALSE)</f>
        <v>ALEJANDRO ESTRADA SALINAS (COCINA)</v>
      </c>
    </row>
    <row r="960" spans="1:12" ht="12.75" hidden="1">
      <c r="A960" s="167" t="str">
        <f>'030523 INVENTARIO'!A960</f>
        <v>0959</v>
      </c>
      <c r="B960" s="168" t="str">
        <f>'030523 INVENTARIO'!T960</f>
        <v>82DH0511010009000564611</v>
      </c>
      <c r="C960" s="167" t="str">
        <f t="shared" si="0"/>
        <v>564611</v>
      </c>
      <c r="D960" s="167" t="str">
        <f>IF(VLOOKUP(C960,'Patrimonio 2023'!$C$2:$C$1128,1,FALSE) = C960, "Encontrado", "no")</f>
        <v>Encontrado</v>
      </c>
      <c r="E960" s="167" t="str">
        <f>VLOOKUP($A960,'030523 INVENTARIO'!$A$2:$Y$1148,5,FALSE)</f>
        <v>ESTANTE O ANAQUEL</v>
      </c>
      <c r="F960" s="167" t="str">
        <f>VLOOKUP($A960,'030523 INVENTARIO'!$A$2:$Y$1148,6,FALSE)</f>
        <v>ANAQUEL MADERA CON 4 PUERTAS 180X77X40</v>
      </c>
      <c r="G960" s="167" t="str">
        <f ca="1">VLOOKUP($A960,'030523 INVENTARIO'!$A$2:$Y$1148,8,FALSE)</f>
        <v>P21DG-0959</v>
      </c>
      <c r="H960" s="168" t="str">
        <f>VLOOKUP($A960,'030523 INVENTARIO'!$A$2:$Y$1148,17,FALSE)</f>
        <v>S/M</v>
      </c>
      <c r="I960" s="167" t="str">
        <f>VLOOKUP($A960,'030523 INVENTARIO'!$A$2:$Y$1148,18,FALSE)</f>
        <v>S/M</v>
      </c>
      <c r="J960" s="168" t="str">
        <f>VLOOKUP($A960,'030523 INVENTARIO'!$A$2:$Y$1148,19,FALSE)</f>
        <v>SIN SERIE</v>
      </c>
      <c r="K960" s="168" t="str">
        <f>VLOOKUP($A960,'030523 INVENTARIO'!$A$2:$Y$1148,20,FALSE)</f>
        <v>82DH0511010009000564611</v>
      </c>
      <c r="L960" s="167" t="str">
        <f>VLOOKUP($A960,'030523 INVENTARIO'!$A$2:$Y$1148,23,FALSE)</f>
        <v>ALEJANDRO ESTRADA SALINAS (COCINA)</v>
      </c>
    </row>
    <row r="961" spans="1:12" ht="12.75" hidden="1">
      <c r="A961" s="167" t="str">
        <f>'030523 INVENTARIO'!A961</f>
        <v>0960</v>
      </c>
      <c r="B961" s="168" t="str">
        <f>'030523 INVENTARIO'!T961</f>
        <v>82DH0511010017000564620</v>
      </c>
      <c r="C961" s="167" t="str">
        <f t="shared" si="0"/>
        <v>564620</v>
      </c>
      <c r="D961" s="167" t="str">
        <f>IF(VLOOKUP(C961,'Patrimonio 2023'!$C$2:$C$1128,1,FALSE) = C961, "Encontrado", "no")</f>
        <v>Encontrado</v>
      </c>
      <c r="E961" s="167" t="str">
        <f>VLOOKUP($A961,'030523 INVENTARIO'!$A$2:$Y$1148,5,FALSE)</f>
        <v>SILLA</v>
      </c>
      <c r="F961" s="167" t="str">
        <f>VLOOKUP($A961,'030523 INVENTARIO'!$A$2:$Y$1148,6,FALSE)</f>
        <v>SILLA DE TELA NEGRA FIJA</v>
      </c>
      <c r="G961" s="167" t="str">
        <f ca="1">VLOOKUP($A961,'030523 INVENTARIO'!$A$2:$Y$1148,8,FALSE)</f>
        <v>P21DG-0960</v>
      </c>
      <c r="H961" s="168" t="str">
        <f>VLOOKUP($A961,'030523 INVENTARIO'!$A$2:$Y$1148,17,FALSE)</f>
        <v>S/M</v>
      </c>
      <c r="I961" s="167" t="str">
        <f>VLOOKUP($A961,'030523 INVENTARIO'!$A$2:$Y$1148,18,FALSE)</f>
        <v>S/M</v>
      </c>
      <c r="J961" s="168" t="str">
        <f>VLOOKUP($A961,'030523 INVENTARIO'!$A$2:$Y$1148,19,FALSE)</f>
        <v>SIN SERIE</v>
      </c>
      <c r="K961" s="168" t="str">
        <f>VLOOKUP($A961,'030523 INVENTARIO'!$A$2:$Y$1148,20,FALSE)</f>
        <v>82DH0511010017000564620</v>
      </c>
      <c r="L961" s="167" t="str">
        <f>VLOOKUP($A961,'030523 INVENTARIO'!$A$2:$Y$1148,23,FALSE)</f>
        <v>ALEJANDRO ESTRADA SALINAS (COCINA)</v>
      </c>
    </row>
    <row r="962" spans="1:12" ht="12.75" hidden="1">
      <c r="A962" s="167" t="str">
        <f>'030523 INVENTARIO'!A962</f>
        <v>0961</v>
      </c>
      <c r="B962" s="167" t="str">
        <f>'030523 INVENTARIO'!T962</f>
        <v>82DH0519010026000649404</v>
      </c>
      <c r="C962" s="167" t="str">
        <f t="shared" si="0"/>
        <v>649404</v>
      </c>
      <c r="D962" s="167" t="str">
        <f>IF(VLOOKUP(C962,'Patrimonio 2023'!$C$2:$C$1128,1,FALSE) = C962, "Encontrado", "no")</f>
        <v>Encontrado</v>
      </c>
      <c r="E962" s="167" t="str">
        <f>VLOOKUP($A962,'030523 INVENTARIO'!$A$2:$Y$1148,5,FALSE)</f>
        <v>HORNO</v>
      </c>
      <c r="F962" s="168" t="str">
        <f>VLOOKUP($A962,'030523 INVENTARIO'!$A$2:$Y$1148,6,FALSE)</f>
        <v>HORNO DE MICROONDAS</v>
      </c>
      <c r="G962" s="167" t="str">
        <f ca="1">VLOOKUP($A962,'030523 INVENTARIO'!$A$2:$Y$1148,8,FALSE)</f>
        <v>P21DG-0961</v>
      </c>
      <c r="H962" s="168" t="str">
        <f>VLOOKUP($A962,'030523 INVENTARIO'!$A$2:$Y$1148,17,FALSE)</f>
        <v>PANASONIC</v>
      </c>
      <c r="I962" s="167" t="str">
        <f>VLOOKUP($A962,'030523 INVENTARIO'!$A$2:$Y$1148,18,FALSE)</f>
        <v>NN-SB636W</v>
      </c>
      <c r="J962" s="168" t="str">
        <f>VLOOKUP($A962,'030523 INVENTARIO'!$A$2:$Y$1148,19,FALSE)</f>
        <v>6G29150241</v>
      </c>
      <c r="K962" s="167" t="str">
        <f>VLOOKUP($A962,'030523 INVENTARIO'!$A$2:$Y$1148,20,FALSE)</f>
        <v>82DH0519010026000649404</v>
      </c>
      <c r="L962" s="167" t="str">
        <f>VLOOKUP($A962,'030523 INVENTARIO'!$A$2:$Y$1148,23,FALSE)</f>
        <v>ALEJANDRO ESTRADA SALINAS (COCINA)</v>
      </c>
    </row>
    <row r="963" spans="1:12" ht="12.75" hidden="1">
      <c r="A963" s="167" t="str">
        <f>'030523 INVENTARIO'!A963</f>
        <v>0962</v>
      </c>
      <c r="B963" s="168" t="str">
        <f>'030523 INVENTARIO'!T963</f>
        <v>82DH0511010010000651392</v>
      </c>
      <c r="C963" s="167" t="str">
        <f t="shared" si="0"/>
        <v>651392</v>
      </c>
      <c r="D963" s="167" t="str">
        <f>IF(VLOOKUP(C963,'Patrimonio 2023'!$C$2:$C$1128,1,FALSE) = C963, "Encontrado", "no")</f>
        <v>Encontrado</v>
      </c>
      <c r="E963" s="167" t="str">
        <f>VLOOKUP($A963,'030523 INVENTARIO'!$A$2:$Y$1148,5,FALSE)</f>
        <v>MESA</v>
      </c>
      <c r="F963" s="167" t="str">
        <f>VLOOKUP($A963,'030523 INVENTARIO'!$A$2:$Y$1148,6,FALSE)</f>
        <v>MESA DE MADERA CON BASE METAL 120X60</v>
      </c>
      <c r="G963" s="167" t="str">
        <f ca="1">VLOOKUP($A963,'030523 INVENTARIO'!$A$2:$Y$1148,8,FALSE)</f>
        <v>P21DG-0962</v>
      </c>
      <c r="H963" s="168" t="str">
        <f>VLOOKUP($A963,'030523 INVENTARIO'!$A$2:$Y$1148,17,FALSE)</f>
        <v>S/M</v>
      </c>
      <c r="I963" s="167" t="str">
        <f>VLOOKUP($A963,'030523 INVENTARIO'!$A$2:$Y$1148,18,FALSE)</f>
        <v>S/M</v>
      </c>
      <c r="J963" s="168" t="str">
        <f>VLOOKUP($A963,'030523 INVENTARIO'!$A$2:$Y$1148,19,FALSE)</f>
        <v>SIN SERIE</v>
      </c>
      <c r="K963" s="168" t="str">
        <f>VLOOKUP($A963,'030523 INVENTARIO'!$A$2:$Y$1148,20,FALSE)</f>
        <v>82DH0511010010000651392</v>
      </c>
      <c r="L963" s="167" t="str">
        <f>VLOOKUP($A963,'030523 INVENTARIO'!$A$2:$Y$1148,23,FALSE)</f>
        <v>ALEJANDRO ESTRADA SALINAS (COCINA)</v>
      </c>
    </row>
    <row r="964" spans="1:12" ht="12.75" hidden="1">
      <c r="A964" s="167" t="str">
        <f>'030523 INVENTARIO'!A964</f>
        <v>0963</v>
      </c>
      <c r="B964" s="168" t="str">
        <f>'030523 INVENTARIO'!T964</f>
        <v>82DH0511010010000651386</v>
      </c>
      <c r="C964" s="167" t="str">
        <f t="shared" si="0"/>
        <v>651386</v>
      </c>
      <c r="D964" s="167" t="str">
        <f>IF(VLOOKUP(C964,'Patrimonio 2023'!$C$2:$C$1128,1,FALSE) = C964, "Encontrado", "no")</f>
        <v>Encontrado</v>
      </c>
      <c r="E964" s="167" t="str">
        <f>VLOOKUP($A964,'030523 INVENTARIO'!$A$2:$Y$1148,5,FALSE)</f>
        <v>MESA</v>
      </c>
      <c r="F964" s="167" t="str">
        <f>VLOOKUP($A964,'030523 INVENTARIO'!$A$2:$Y$1148,6,FALSE)</f>
        <v>MESA DE MADERA CON BASE METAL 120X60</v>
      </c>
      <c r="G964" s="167" t="str">
        <f ca="1">VLOOKUP($A964,'030523 INVENTARIO'!$A$2:$Y$1148,8,FALSE)</f>
        <v>P21DG-0963</v>
      </c>
      <c r="H964" s="168" t="str">
        <f>VLOOKUP($A964,'030523 INVENTARIO'!$A$2:$Y$1148,17,FALSE)</f>
        <v>S/M</v>
      </c>
      <c r="I964" s="167" t="str">
        <f>VLOOKUP($A964,'030523 INVENTARIO'!$A$2:$Y$1148,18,FALSE)</f>
        <v>S/M</v>
      </c>
      <c r="J964" s="168" t="str">
        <f>VLOOKUP($A964,'030523 INVENTARIO'!$A$2:$Y$1148,19,FALSE)</f>
        <v>SIN SERIE</v>
      </c>
      <c r="K964" s="168" t="str">
        <f>VLOOKUP($A964,'030523 INVENTARIO'!$A$2:$Y$1148,20,FALSE)</f>
        <v>82DH0511010010000651386</v>
      </c>
      <c r="L964" s="167" t="str">
        <f>VLOOKUP($A964,'030523 INVENTARIO'!$A$2:$Y$1148,23,FALSE)</f>
        <v>ALEJANDRO ESTRADA SALINAS (COCINA)</v>
      </c>
    </row>
    <row r="965" spans="1:12" ht="12.75" hidden="1">
      <c r="A965" s="167" t="str">
        <f>'030523 INVENTARIO'!A965</f>
        <v>0964</v>
      </c>
      <c r="B965" s="168" t="str">
        <f>'030523 INVENTARIO'!T965</f>
        <v>SIN RESGUARDO</v>
      </c>
      <c r="C965" s="167" t="str">
        <f t="shared" si="0"/>
        <v/>
      </c>
      <c r="D965" s="167" t="e">
        <f>IF(VLOOKUP(C965,'Patrimonio 2023'!$C$2:$C$1128,1,FALSE) = C965, "Encontrado", "no")</f>
        <v>#N/A</v>
      </c>
      <c r="E965" s="167" t="str">
        <f>VLOOKUP($A965,'030523 INVENTARIO'!$A$2:$Y$1148,5,FALSE)</f>
        <v>MESA</v>
      </c>
      <c r="F965" s="167" t="str">
        <f>VLOOKUP($A965,'030523 INVENTARIO'!$A$2:$Y$1148,6,FALSE)</f>
        <v>MESA TRAPECIO AZUL CON BASE DE METAL</v>
      </c>
      <c r="G965" s="167" t="str">
        <f ca="1">VLOOKUP($A965,'030523 INVENTARIO'!$A$2:$Y$1148,8,FALSE)</f>
        <v>P21DG-0964</v>
      </c>
      <c r="H965" s="168" t="str">
        <f>VLOOKUP($A965,'030523 INVENTARIO'!$A$2:$Y$1148,17,FALSE)</f>
        <v>S/M</v>
      </c>
      <c r="I965" s="167" t="str">
        <f>VLOOKUP($A965,'030523 INVENTARIO'!$A$2:$Y$1148,18,FALSE)</f>
        <v>S/M</v>
      </c>
      <c r="J965" s="168" t="str">
        <f>VLOOKUP($A965,'030523 INVENTARIO'!$A$2:$Y$1148,19,FALSE)</f>
        <v>SIN SERIE</v>
      </c>
      <c r="K965" s="168" t="str">
        <f>VLOOKUP($A965,'030523 INVENTARIO'!$A$2:$Y$1148,20,FALSE)</f>
        <v>SIN RESGUARDO</v>
      </c>
      <c r="L965" s="167" t="str">
        <f>VLOOKUP($A965,'030523 INVENTARIO'!$A$2:$Y$1148,23,FALSE)</f>
        <v>ALEJANDRO ESTRADA SALINAS (COCINA)</v>
      </c>
    </row>
    <row r="966" spans="1:12" ht="12.75" hidden="1">
      <c r="A966" s="167" t="str">
        <f>'030523 INVENTARIO'!A966</f>
        <v>0965</v>
      </c>
      <c r="B966" s="168" t="str">
        <f>'030523 INVENTARIO'!T966</f>
        <v>82DH0519010006000649406</v>
      </c>
      <c r="C966" s="167" t="str">
        <f t="shared" si="0"/>
        <v>649406</v>
      </c>
      <c r="D966" s="167" t="str">
        <f>IF(VLOOKUP(C966,'Patrimonio 2023'!$C$2:$C$1128,1,FALSE) = C966, "Encontrado", "no")</f>
        <v>Encontrado</v>
      </c>
      <c r="E966" s="167" t="str">
        <f>VLOOKUP($A966,'030523 INVENTARIO'!$A$2:$Y$1148,5,FALSE)</f>
        <v>CAFETERA</v>
      </c>
      <c r="F966" s="168" t="str">
        <f>VLOOKUP($A966,'030523 INVENTARIO'!$A$2:$Y$1148,6,FALSE)</f>
        <v>CAFETERA</v>
      </c>
      <c r="G966" s="167" t="str">
        <f ca="1">VLOOKUP($A966,'030523 INVENTARIO'!$A$2:$Y$1148,8,FALSE)</f>
        <v>P21DG-0965</v>
      </c>
      <c r="H966" s="168" t="str">
        <f>VLOOKUP($A966,'030523 INVENTARIO'!$A$2:$Y$1148,17,FALSE)</f>
        <v>OSTER</v>
      </c>
      <c r="I966" s="167" t="str">
        <f>VLOOKUP($A966,'030523 INVENTARIO'!$A$2:$Y$1148,18,FALSE)</f>
        <v>BVSTDC-3390</v>
      </c>
      <c r="J966" s="168" t="str">
        <f>VLOOKUP($A966,'030523 INVENTARIO'!$A$2:$Y$1148,19,FALSE)</f>
        <v>M199JM</v>
      </c>
      <c r="K966" s="168" t="str">
        <f>VLOOKUP($A966,'030523 INVENTARIO'!$A$2:$Y$1148,20,FALSE)</f>
        <v>82DH0519010006000649406</v>
      </c>
      <c r="L966" s="167" t="str">
        <f>VLOOKUP($A966,'030523 INVENTARIO'!$A$2:$Y$1148,23,FALSE)</f>
        <v>ALEJANDRO ESTRADA SALINAS (COCINA)</v>
      </c>
    </row>
    <row r="967" spans="1:12" ht="12.75" hidden="1">
      <c r="A967" s="167" t="str">
        <f>'030523 INVENTARIO'!A967</f>
        <v>0966</v>
      </c>
      <c r="B967" s="168" t="str">
        <f>'030523 INVENTARIO'!T967</f>
        <v>82DH0531010065000564731</v>
      </c>
      <c r="C967" s="167" t="str">
        <f t="shared" si="0"/>
        <v>564731</v>
      </c>
      <c r="D967" s="167" t="str">
        <f>IF(VLOOKUP(C967,'Patrimonio 2023'!$C$2:$C$1128,1,FALSE) = C967, "Encontrado", "no")</f>
        <v>Encontrado</v>
      </c>
      <c r="E967" s="167" t="str">
        <f>VLOOKUP($A967,'030523 INVENTARIO'!$A$2:$Y$1148,5,FALSE)</f>
        <v>MESA</v>
      </c>
      <c r="F967" s="167" t="str">
        <f>VLOOKUP($A967,'030523 INVENTARIO'!$A$2:$Y$1148,6,FALSE)</f>
        <v>MESA DE CRISTAL CON BASE DE METAL 71X55</v>
      </c>
      <c r="G967" s="167" t="str">
        <f ca="1">VLOOKUP($A967,'030523 INVENTARIO'!$A$2:$Y$1148,8,FALSE)</f>
        <v>P21DG-0966</v>
      </c>
      <c r="H967" s="168" t="str">
        <f>VLOOKUP($A967,'030523 INVENTARIO'!$A$2:$Y$1148,17,FALSE)</f>
        <v>S/M</v>
      </c>
      <c r="I967" s="167" t="str">
        <f>VLOOKUP($A967,'030523 INVENTARIO'!$A$2:$Y$1148,18,FALSE)</f>
        <v>S/M</v>
      </c>
      <c r="J967" s="168" t="str">
        <f>VLOOKUP($A967,'030523 INVENTARIO'!$A$2:$Y$1148,19,FALSE)</f>
        <v>SIN SERIE</v>
      </c>
      <c r="K967" s="168" t="str">
        <f>VLOOKUP($A967,'030523 INVENTARIO'!$A$2:$Y$1148,20,FALSE)</f>
        <v>82DH0531010065000564731</v>
      </c>
      <c r="L967" s="167" t="str">
        <f>VLOOKUP($A967,'030523 INVENTARIO'!$A$2:$Y$1148,23,FALSE)</f>
        <v>ALEJANDRO ESTRADA SALINAS (SALA DE ESPERA)</v>
      </c>
    </row>
    <row r="968" spans="1:12" ht="12.75" hidden="1">
      <c r="A968" s="167" t="str">
        <f>'030523 INVENTARIO'!A968</f>
        <v>0967</v>
      </c>
      <c r="B968" s="168" t="str">
        <f>'030523 INVENTARIO'!T968</f>
        <v>82DH0531010065000564732</v>
      </c>
      <c r="C968" s="167" t="str">
        <f t="shared" si="0"/>
        <v>564732</v>
      </c>
      <c r="D968" s="167" t="str">
        <f>IF(VLOOKUP(C968,'Patrimonio 2023'!$C$2:$C$1128,1,FALSE) = C968, "Encontrado", "no")</f>
        <v>Encontrado</v>
      </c>
      <c r="E968" s="167" t="str">
        <f>VLOOKUP($A968,'030523 INVENTARIO'!$A$2:$Y$1148,5,FALSE)</f>
        <v>MESA</v>
      </c>
      <c r="F968" s="167" t="str">
        <f>VLOOKUP($A968,'030523 INVENTARIO'!$A$2:$Y$1148,6,FALSE)</f>
        <v>MESA DE CRISTAL CON BASE DE METAL 71X55</v>
      </c>
      <c r="G968" s="167" t="str">
        <f ca="1">VLOOKUP($A968,'030523 INVENTARIO'!$A$2:$Y$1148,8,FALSE)</f>
        <v>P21DG-0967</v>
      </c>
      <c r="H968" s="168" t="str">
        <f>VLOOKUP($A968,'030523 INVENTARIO'!$A$2:$Y$1148,17,FALSE)</f>
        <v>S/M</v>
      </c>
      <c r="I968" s="167" t="str">
        <f>VLOOKUP($A968,'030523 INVENTARIO'!$A$2:$Y$1148,18,FALSE)</f>
        <v>S/M</v>
      </c>
      <c r="J968" s="168" t="str">
        <f>VLOOKUP($A968,'030523 INVENTARIO'!$A$2:$Y$1148,19,FALSE)</f>
        <v>SIN SERIE</v>
      </c>
      <c r="K968" s="168" t="str">
        <f>VLOOKUP($A968,'030523 INVENTARIO'!$A$2:$Y$1148,20,FALSE)</f>
        <v>82DH0531010065000564732</v>
      </c>
      <c r="L968" s="167" t="str">
        <f>VLOOKUP($A968,'030523 INVENTARIO'!$A$2:$Y$1148,23,FALSE)</f>
        <v>ALEJANDRO ESTRADA SALINAS (SALA DE ESPERA)</v>
      </c>
    </row>
    <row r="969" spans="1:12" ht="12.75" hidden="1">
      <c r="A969" s="167" t="str">
        <f>'030523 INVENTARIO'!A969</f>
        <v>0968</v>
      </c>
      <c r="B969" s="168" t="str">
        <f>'030523 INVENTARIO'!T969</f>
        <v>82DH0511010010000651380</v>
      </c>
      <c r="C969" s="167" t="str">
        <f t="shared" si="0"/>
        <v>651380</v>
      </c>
      <c r="D969" s="167" t="str">
        <f>IF(VLOOKUP(C969,'Patrimonio 2023'!$C$2:$C$1128,1,FALSE) = C969, "Encontrado", "no")</f>
        <v>Encontrado</v>
      </c>
      <c r="E969" s="167" t="str">
        <f>VLOOKUP($A969,'030523 INVENTARIO'!$A$2:$Y$1148,5,FALSE)</f>
        <v>MESA</v>
      </c>
      <c r="F969" s="167" t="str">
        <f>VLOOKUP($A969,'030523 INVENTARIO'!$A$2:$Y$1148,6,FALSE)</f>
        <v>MESA DE METAL CON MADERA BEIGE 120X60</v>
      </c>
      <c r="G969" s="167" t="str">
        <f ca="1">VLOOKUP($A969,'030523 INVENTARIO'!$A$2:$Y$1148,8,FALSE)</f>
        <v>P21DG-0968</v>
      </c>
      <c r="H969" s="168" t="str">
        <f>VLOOKUP($A969,'030523 INVENTARIO'!$A$2:$Y$1148,17,FALSE)</f>
        <v>S/M</v>
      </c>
      <c r="I969" s="167" t="str">
        <f>VLOOKUP($A969,'030523 INVENTARIO'!$A$2:$Y$1148,18,FALSE)</f>
        <v>S/M</v>
      </c>
      <c r="J969" s="168" t="str">
        <f>VLOOKUP($A969,'030523 INVENTARIO'!$A$2:$Y$1148,19,FALSE)</f>
        <v>SIN SERIE</v>
      </c>
      <c r="K969" s="168" t="str">
        <f>VLOOKUP($A969,'030523 INVENTARIO'!$A$2:$Y$1148,20,FALSE)</f>
        <v>82DH0511010010000651380</v>
      </c>
      <c r="L969" s="167" t="str">
        <f>VLOOKUP($A969,'030523 INVENTARIO'!$A$2:$Y$1148,23,FALSE)</f>
        <v>ALEJANDRO ESTRADA SALINAS (SALA DE ESPERA)</v>
      </c>
    </row>
    <row r="970" spans="1:12" ht="12.75" hidden="1">
      <c r="A970" s="167" t="str">
        <f>'030523 INVENTARIO'!A970</f>
        <v>0969</v>
      </c>
      <c r="B970" s="168" t="str">
        <f>'030523 INVENTARIO'!T970</f>
        <v>82DH0531010065000564729</v>
      </c>
      <c r="C970" s="167" t="str">
        <f t="shared" si="0"/>
        <v>564729</v>
      </c>
      <c r="D970" s="167" t="str">
        <f>IF(VLOOKUP(C970,'Patrimonio 2023'!$C$2:$C$1128,1,FALSE) = C970, "Encontrado", "no")</f>
        <v>Encontrado</v>
      </c>
      <c r="E970" s="167" t="str">
        <f>VLOOKUP($A970,'030523 INVENTARIO'!$A$2:$Y$1148,5,FALSE)</f>
        <v>MESA</v>
      </c>
      <c r="F970" s="167" t="str">
        <f>VLOOKUP($A970,'030523 INVENTARIO'!$A$2:$Y$1148,6,FALSE)</f>
        <v>MESA DE CRISTAL CON BASE DE METAL 100X65</v>
      </c>
      <c r="G970" s="167" t="str">
        <f ca="1">VLOOKUP($A970,'030523 INVENTARIO'!$A$2:$Y$1148,8,FALSE)</f>
        <v>P21DG-0969</v>
      </c>
      <c r="H970" s="168" t="str">
        <f>VLOOKUP($A970,'030523 INVENTARIO'!$A$2:$Y$1148,17,FALSE)</f>
        <v>S/M</v>
      </c>
      <c r="I970" s="167" t="str">
        <f>VLOOKUP($A970,'030523 INVENTARIO'!$A$2:$Y$1148,18,FALSE)</f>
        <v>S/M</v>
      </c>
      <c r="J970" s="168" t="str">
        <f>VLOOKUP($A970,'030523 INVENTARIO'!$A$2:$Y$1148,19,FALSE)</f>
        <v>SIN SERIE</v>
      </c>
      <c r="K970" s="168" t="str">
        <f>VLOOKUP($A970,'030523 INVENTARIO'!$A$2:$Y$1148,20,FALSE)</f>
        <v>82DH0531010065000564729</v>
      </c>
      <c r="L970" s="167" t="str">
        <f>VLOOKUP($A970,'030523 INVENTARIO'!$A$2:$Y$1148,23,FALSE)</f>
        <v>ALEJANDRO ESTRADA SALINAS (SALA DE ESPERA)</v>
      </c>
    </row>
    <row r="971" spans="1:12" ht="12.75" hidden="1">
      <c r="A971" s="167" t="str">
        <f>'030523 INVENTARIO'!A971</f>
        <v>0970</v>
      </c>
      <c r="B971" s="168" t="str">
        <f>'030523 INVENTARIO'!T971</f>
        <v>82DH0512010023000517045</v>
      </c>
      <c r="C971" s="167" t="str">
        <f t="shared" si="0"/>
        <v>517045</v>
      </c>
      <c r="D971" s="167" t="str">
        <f>IF(VLOOKUP(C971,'Patrimonio 2023'!$C$2:$C$1128,1,FALSE) = C971, "Encontrado", "no")</f>
        <v>Encontrado</v>
      </c>
      <c r="E971" s="167" t="str">
        <f>VLOOKUP($A971,'030523 INVENTARIO'!$A$2:$Y$1148,5,FALSE)</f>
        <v>JUEGO DE SALA</v>
      </c>
      <c r="F971" s="168" t="str">
        <f>VLOOKUP($A971,'030523 INVENTARIO'!$A$2:$Y$1148,6,FALSE)</f>
        <v>JUEGO DE SALA DE PIEL NEGRA DE 3 PIEZAS</v>
      </c>
      <c r="G971" s="167" t="str">
        <f ca="1">VLOOKUP($A971,'030523 INVENTARIO'!$A$2:$Y$1148,8,FALSE)</f>
        <v>P21DG-0970</v>
      </c>
      <c r="H971" s="168" t="str">
        <f>VLOOKUP($A971,'030523 INVENTARIO'!$A$2:$Y$1148,17,FALSE)</f>
        <v>S/M</v>
      </c>
      <c r="I971" s="167" t="str">
        <f>VLOOKUP($A971,'030523 INVENTARIO'!$A$2:$Y$1148,18,FALSE)</f>
        <v>S/M</v>
      </c>
      <c r="J971" s="168" t="str">
        <f>VLOOKUP($A971,'030523 INVENTARIO'!$A$2:$Y$1148,19,FALSE)</f>
        <v>SIN SERIE</v>
      </c>
      <c r="K971" s="168" t="str">
        <f>VLOOKUP($A971,'030523 INVENTARIO'!$A$2:$Y$1148,20,FALSE)</f>
        <v>82DH0512010023000517045</v>
      </c>
      <c r="L971" s="167" t="str">
        <f>VLOOKUP($A971,'030523 INVENTARIO'!$A$2:$Y$1148,23,FALSE)</f>
        <v>ALEJANDRO ESTRADA SALINAS (SALA DE ESPERA)</v>
      </c>
    </row>
    <row r="972" spans="1:12" ht="12.75" hidden="1">
      <c r="A972" s="167" t="str">
        <f>'030523 INVENTARIO'!A972</f>
        <v>0971</v>
      </c>
      <c r="B972" s="168" t="str">
        <f>'030523 INVENTARIO'!T972</f>
        <v>82DH0531010094000581260</v>
      </c>
      <c r="C972" s="167" t="str">
        <f t="shared" si="0"/>
        <v>581260</v>
      </c>
      <c r="D972" s="167" t="str">
        <f>IF(VLOOKUP(C972,'Patrimonio 2023'!$C$2:$C$1128,1,FALSE) = C972, "Encontrado", "no")</f>
        <v>Encontrado</v>
      </c>
      <c r="E972" s="167" t="str">
        <f>VLOOKUP($A972,'030523 INVENTARIO'!$A$2:$Y$1148,5,FALSE)</f>
        <v>VENTILADOR</v>
      </c>
      <c r="F972" s="168" t="str">
        <f>VLOOKUP($A972,'030523 INVENTARIO'!$A$2:$Y$1148,6,FALSE)</f>
        <v>VENTILADOR DE PARED GRIS</v>
      </c>
      <c r="G972" s="167" t="str">
        <f ca="1">VLOOKUP($A972,'030523 INVENTARIO'!$A$2:$Y$1148,8,FALSE)</f>
        <v>P21DG-0971</v>
      </c>
      <c r="H972" s="168" t="str">
        <f>VLOOKUP($A972,'030523 INVENTARIO'!$A$2:$Y$1148,17,FALSE)</f>
        <v>NAVIA</v>
      </c>
      <c r="I972" s="167" t="str">
        <f>VLOOKUP($A972,'030523 INVENTARIO'!$A$2:$Y$1148,18,FALSE)</f>
        <v>VPN/018CROS</v>
      </c>
      <c r="J972" s="168" t="str">
        <f>VLOOKUP($A972,'030523 INVENTARIO'!$A$2:$Y$1148,19,FALSE)</f>
        <v>12275</v>
      </c>
      <c r="K972" s="168" t="str">
        <f>VLOOKUP($A972,'030523 INVENTARIO'!$A$2:$Y$1148,20,FALSE)</f>
        <v>82DH0531010094000581260</v>
      </c>
      <c r="L972" s="167" t="str">
        <f>VLOOKUP($A972,'030523 INVENTARIO'!$A$2:$Y$1148,23,FALSE)</f>
        <v>ARACELI CATALINA MARTINEZ MEZA</v>
      </c>
    </row>
    <row r="973" spans="1:12" ht="12.75" hidden="1">
      <c r="A973" s="167" t="str">
        <f>'030523 INVENTARIO'!A973</f>
        <v>0972</v>
      </c>
      <c r="B973" s="168" t="str">
        <f>'030523 INVENTARIO'!T973</f>
        <v>82DH0531010065000564735</v>
      </c>
      <c r="C973" s="167" t="str">
        <f t="shared" si="0"/>
        <v>564735</v>
      </c>
      <c r="D973" s="167" t="str">
        <f>IF(VLOOKUP(C973,'Patrimonio 2023'!$C$2:$C$1128,1,FALSE) = C973, "Encontrado", "no")</f>
        <v>Encontrado</v>
      </c>
      <c r="E973" s="167" t="str">
        <f>VLOOKUP($A973,'030523 INVENTARIO'!$A$2:$Y$1148,5,FALSE)</f>
        <v>MESA</v>
      </c>
      <c r="F973" s="167" t="str">
        <f>VLOOKUP($A973,'030523 INVENTARIO'!$A$2:$Y$1148,6,FALSE)</f>
        <v>MESA DE MADERA COMPLEMENTO TIPO BALA 160X60</v>
      </c>
      <c r="G973" s="167" t="str">
        <f ca="1">VLOOKUP($A973,'030523 INVENTARIO'!$A$2:$Y$1148,8,FALSE)</f>
        <v>P21DG-0972</v>
      </c>
      <c r="H973" s="168" t="str">
        <f>VLOOKUP($A973,'030523 INVENTARIO'!$A$2:$Y$1148,17,FALSE)</f>
        <v>S/M</v>
      </c>
      <c r="I973" s="167" t="str">
        <f>VLOOKUP($A973,'030523 INVENTARIO'!$A$2:$Y$1148,18,FALSE)</f>
        <v>S/M</v>
      </c>
      <c r="J973" s="168" t="str">
        <f>VLOOKUP($A973,'030523 INVENTARIO'!$A$2:$Y$1148,19,FALSE)</f>
        <v>SIN SERIE</v>
      </c>
      <c r="K973" s="168" t="str">
        <f>VLOOKUP($A973,'030523 INVENTARIO'!$A$2:$Y$1148,20,FALSE)</f>
        <v>82DH0531010065000564735</v>
      </c>
      <c r="L973" s="167" t="str">
        <f>VLOOKUP($A973,'030523 INVENTARIO'!$A$2:$Y$1148,23,FALSE)</f>
        <v>ARACELI CATALINA MARTINEZ MEZA</v>
      </c>
    </row>
    <row r="974" spans="1:12" ht="12.75" hidden="1">
      <c r="A974" s="167" t="str">
        <f>'030523 INVENTARIO'!A974</f>
        <v>0973</v>
      </c>
      <c r="B974" s="168" t="str">
        <f>'030523 INVENTARIO'!T974</f>
        <v>82DH0531010065000564751</v>
      </c>
      <c r="C974" s="167" t="str">
        <f t="shared" si="0"/>
        <v>564751</v>
      </c>
      <c r="D974" s="167" t="str">
        <f>IF(VLOOKUP(C974,'Patrimonio 2023'!$C$2:$C$1128,1,FALSE) = C974, "Encontrado", "no")</f>
        <v>Encontrado</v>
      </c>
      <c r="E974" s="167" t="str">
        <f>VLOOKUP($A974,'030523 INVENTARIO'!$A$2:$Y$1148,5,FALSE)</f>
        <v>MESA</v>
      </c>
      <c r="F974" s="167" t="str">
        <f>VLOOKUP($A974,'030523 INVENTARIO'!$A$2:$Y$1148,6,FALSE)</f>
        <v>MESA DE MADERA COMPLEMENTO TIPO BALA 160X60</v>
      </c>
      <c r="G974" s="167" t="str">
        <f ca="1">VLOOKUP($A974,'030523 INVENTARIO'!$A$2:$Y$1148,8,FALSE)</f>
        <v>P21DG-0973</v>
      </c>
      <c r="H974" s="168" t="str">
        <f>VLOOKUP($A974,'030523 INVENTARIO'!$A$2:$Y$1148,17,FALSE)</f>
        <v>S/M</v>
      </c>
      <c r="I974" s="167" t="str">
        <f>VLOOKUP($A974,'030523 INVENTARIO'!$A$2:$Y$1148,18,FALSE)</f>
        <v>S/M</v>
      </c>
      <c r="J974" s="168" t="str">
        <f>VLOOKUP($A974,'030523 INVENTARIO'!$A$2:$Y$1148,19,FALSE)</f>
        <v>SIN SERIE</v>
      </c>
      <c r="K974" s="168" t="str">
        <f>VLOOKUP($A974,'030523 INVENTARIO'!$A$2:$Y$1148,20,FALSE)</f>
        <v>82DH0531010065000564751</v>
      </c>
      <c r="L974" s="167" t="str">
        <f>VLOOKUP($A974,'030523 INVENTARIO'!$A$2:$Y$1148,23,FALSE)</f>
        <v>ARACELI CATALINA MARTINEZ MEZA</v>
      </c>
    </row>
    <row r="975" spans="1:12" ht="12.75" hidden="1">
      <c r="A975" s="167" t="str">
        <f>'030523 INVENTARIO'!A975</f>
        <v>0974</v>
      </c>
      <c r="B975" s="168" t="str">
        <f>'030523 INVENTARIO'!T975</f>
        <v>82DH0511010006000518493</v>
      </c>
      <c r="C975" s="167" t="str">
        <f t="shared" si="0"/>
        <v>518493</v>
      </c>
      <c r="D975" s="167" t="str">
        <f>IF(VLOOKUP(C975,'Patrimonio 2023'!$C$2:$C$1128,1,FALSE) = C975, "Encontrado", "no")</f>
        <v>Encontrado</v>
      </c>
      <c r="E975" s="167" t="str">
        <f>VLOOKUP($A975,'030523 INVENTARIO'!$A$2:$Y$1148,5,FALSE)</f>
        <v>ESCRITORIO</v>
      </c>
      <c r="F975" s="167" t="str">
        <f>VLOOKUP($A975,'030523 INVENTARIO'!$A$2:$Y$1148,6,FALSE)</f>
        <v>ESCRITORIO DE MADERA 2 CAJONES 160X60</v>
      </c>
      <c r="G975" s="167" t="str">
        <f ca="1">VLOOKUP($A975,'030523 INVENTARIO'!$A$2:$Y$1148,8,FALSE)</f>
        <v>P21DG-0974</v>
      </c>
      <c r="H975" s="168" t="str">
        <f>VLOOKUP($A975,'030523 INVENTARIO'!$A$2:$Y$1148,17,FALSE)</f>
        <v>S/M</v>
      </c>
      <c r="I975" s="167" t="str">
        <f>VLOOKUP($A975,'030523 INVENTARIO'!$A$2:$Y$1148,18,FALSE)</f>
        <v>S/M</v>
      </c>
      <c r="J975" s="168" t="str">
        <f>VLOOKUP($A975,'030523 INVENTARIO'!$A$2:$Y$1148,19,FALSE)</f>
        <v>SIN SERIE</v>
      </c>
      <c r="K975" s="168" t="str">
        <f>VLOOKUP($A975,'030523 INVENTARIO'!$A$2:$Y$1148,20,FALSE)</f>
        <v>82DH0511010006000518493</v>
      </c>
      <c r="L975" s="167" t="str">
        <f>VLOOKUP($A975,'030523 INVENTARIO'!$A$2:$Y$1148,23,FALSE)</f>
        <v>ARACELI CATALINA MARTINEZ MEZA</v>
      </c>
    </row>
    <row r="976" spans="1:12" ht="12.75" hidden="1">
      <c r="A976" s="167" t="str">
        <f>'030523 INVENTARIO'!A976</f>
        <v>0975</v>
      </c>
      <c r="B976" s="168" t="str">
        <f>'030523 INVENTARIO'!T976</f>
        <v>82DH0511010001000651395</v>
      </c>
      <c r="C976" s="167" t="str">
        <f t="shared" si="0"/>
        <v>651395</v>
      </c>
      <c r="D976" s="167" t="str">
        <f>IF(VLOOKUP(C976,'Patrimonio 2023'!$C$2:$C$1128,1,FALSE) = C976, "Encontrado", "no")</f>
        <v>Encontrado</v>
      </c>
      <c r="E976" s="167" t="str">
        <f>VLOOKUP($A976,'030523 INVENTARIO'!$A$2:$Y$1148,5,FALSE)</f>
        <v>ARCHIVERO</v>
      </c>
      <c r="F976" s="167" t="str">
        <f>VLOOKUP($A976,'030523 INVENTARIO'!$A$2:$Y$1148,6,FALSE)</f>
        <v>ARCHIVERO DE MADERA CON RUEDAS Y 2 CAJONES 65X49X40</v>
      </c>
      <c r="G976" s="167" t="str">
        <f ca="1">VLOOKUP($A976,'030523 INVENTARIO'!$A$2:$Y$1148,8,FALSE)</f>
        <v>P21DG-0975</v>
      </c>
      <c r="H976" s="168" t="str">
        <f>VLOOKUP($A976,'030523 INVENTARIO'!$A$2:$Y$1148,17,FALSE)</f>
        <v>S/M</v>
      </c>
      <c r="I976" s="167" t="str">
        <f>VLOOKUP($A976,'030523 INVENTARIO'!$A$2:$Y$1148,18,FALSE)</f>
        <v>S/M</v>
      </c>
      <c r="J976" s="168" t="str">
        <f>VLOOKUP($A976,'030523 INVENTARIO'!$A$2:$Y$1148,19,FALSE)</f>
        <v>SIN SERIE</v>
      </c>
      <c r="K976" s="168" t="str">
        <f>VLOOKUP($A976,'030523 INVENTARIO'!$A$2:$Y$1148,20,FALSE)</f>
        <v>82DH0511010001000651395</v>
      </c>
      <c r="L976" s="167" t="str">
        <f>VLOOKUP($A976,'030523 INVENTARIO'!$A$2:$Y$1148,23,FALSE)</f>
        <v>ARACELI CATALINA MARTINEZ MEZA</v>
      </c>
    </row>
    <row r="977" spans="1:12" ht="12.75" hidden="1">
      <c r="A977" s="167" t="str">
        <f>'030523 INVENTARIO'!A977</f>
        <v>0976</v>
      </c>
      <c r="B977" s="167" t="str">
        <f>'030523 INVENTARIO'!T977</f>
        <v>82DH0519010043000649360</v>
      </c>
      <c r="C977" s="167" t="str">
        <f t="shared" si="0"/>
        <v>649360</v>
      </c>
      <c r="D977" s="167" t="str">
        <f>IF(VLOOKUP(C977,'Patrimonio 2023'!$C$2:$C$1128,1,FALSE) = C977, "Encontrado", "no")</f>
        <v>Encontrado</v>
      </c>
      <c r="E977" s="167" t="str">
        <f>VLOOKUP($A977,'030523 INVENTARIO'!$A$2:$Y$1148,5,FALSE)</f>
        <v>VENTILADOR</v>
      </c>
      <c r="F977" s="168" t="str">
        <f>VLOOKUP($A977,'030523 INVENTARIO'!$A$2:$Y$1148,6,FALSE)</f>
        <v>VENTILADOR GRIS</v>
      </c>
      <c r="G977" s="167" t="str">
        <f ca="1">VLOOKUP($A977,'030523 INVENTARIO'!$A$2:$Y$1148,8,FALSE)</f>
        <v>P25RM-0976</v>
      </c>
      <c r="H977" s="168" t="str">
        <f>VLOOKUP($A977,'030523 INVENTARIO'!$A$2:$Y$1148,17,FALSE)</f>
        <v>NAVIA</v>
      </c>
      <c r="I977" s="167" t="str">
        <f>VLOOKUP($A977,'030523 INVENTARIO'!$A$2:$Y$1148,18,FALSE)</f>
        <v>VPN018CROSS</v>
      </c>
      <c r="J977" s="168" t="str">
        <f>VLOOKUP($A977,'030523 INVENTARIO'!$A$2:$Y$1148,19,FALSE)</f>
        <v>12275</v>
      </c>
      <c r="K977" s="167" t="str">
        <f>VLOOKUP($A977,'030523 INVENTARIO'!$A$2:$Y$1148,20,FALSE)</f>
        <v>82DH0519010043000649360</v>
      </c>
      <c r="L977" s="167" t="str">
        <f>VLOOKUP($A977,'030523 INVENTARIO'!$A$2:$Y$1148,23,FALSE)</f>
        <v>BLANCA ELIZABETH ALCANTAR GUERRERO</v>
      </c>
    </row>
    <row r="978" spans="1:12" ht="12.75" hidden="1">
      <c r="A978" s="167" t="str">
        <f>'030523 INVENTARIO'!A978</f>
        <v>0977</v>
      </c>
      <c r="B978" s="167" t="str">
        <f>'030523 INVENTARIO'!T978</f>
        <v>82DH0515010020000650643</v>
      </c>
      <c r="C978" s="167" t="str">
        <f t="shared" si="0"/>
        <v>650643</v>
      </c>
      <c r="D978" s="167" t="str">
        <f>IF(VLOOKUP(C978,'Patrimonio 2023'!$C$2:$C$1128,1,FALSE) = C978, "Encontrado", "no")</f>
        <v>Encontrado</v>
      </c>
      <c r="E978" s="167" t="str">
        <f>VLOOKUP($A978,'030523 INVENTARIO'!$A$2:$Y$1148,5,FALSE)</f>
        <v>REGULADOR DE VOLTAJE</v>
      </c>
      <c r="F978" s="168" t="str">
        <f>VLOOKUP($A978,'030523 INVENTARIO'!$A$2:$Y$1148,6,FALSE)</f>
        <v>REGULADOR NEGRO</v>
      </c>
      <c r="G978" s="167" t="str">
        <f ca="1">VLOOKUP($A978,'030523 INVENTARIO'!$A$2:$Y$1148,8,FALSE)</f>
        <v>P21DG-0977</v>
      </c>
      <c r="H978" s="168" t="str">
        <f>VLOOKUP($A978,'030523 INVENTARIO'!$A$2:$Y$1148,17,FALSE)</f>
        <v>KOBLENZ</v>
      </c>
      <c r="I978" s="167" t="str">
        <f>VLOOKUP($A978,'030523 INVENTARIO'!$A$2:$Y$1148,18,FALSE)</f>
        <v>RS1400-I</v>
      </c>
      <c r="J978" s="168" t="str">
        <f>VLOOKUP($A978,'030523 INVENTARIO'!$A$2:$Y$1148,19,FALSE)</f>
        <v>150714852</v>
      </c>
      <c r="K978" s="167" t="str">
        <f>VLOOKUP($A978,'030523 INVENTARIO'!$A$2:$Y$1148,20,FALSE)</f>
        <v>82DH0515010020000650643</v>
      </c>
      <c r="L978" s="167" t="str">
        <f>VLOOKUP($A978,'030523 INVENTARIO'!$A$2:$Y$1148,23,FALSE)</f>
        <v>ARACELI CATALINA MARTINEZ MEZA</v>
      </c>
    </row>
    <row r="979" spans="1:12" ht="12.75" hidden="1">
      <c r="A979" s="167" t="str">
        <f>'030523 INVENTARIO'!A979</f>
        <v>0978</v>
      </c>
      <c r="B979" s="168" t="str">
        <f>'030523 INVENTARIO'!T979</f>
        <v>82DH0515010001000535503</v>
      </c>
      <c r="C979" s="167" t="str">
        <f t="shared" si="0"/>
        <v>535503</v>
      </c>
      <c r="D979" s="167" t="str">
        <f>IF(VLOOKUP(C979,'Patrimonio 2023'!$C$2:$C$1128,1,FALSE) = C979, "Encontrado", "no")</f>
        <v>Encontrado</v>
      </c>
      <c r="E979" s="167" t="str">
        <f>VLOOKUP($A979,'030523 INVENTARIO'!$A$2:$Y$1148,5,FALSE)</f>
        <v>COMPUTADORA DE ESCRITORIO</v>
      </c>
      <c r="F979" s="167" t="str">
        <f>VLOOKUP($A979,'030523 INVENTARIO'!$A$2:$Y$1148,6,FALSE)</f>
        <v>COMPUTADORA DE ESCRITORIO</v>
      </c>
      <c r="G979" s="167" t="str">
        <f ca="1">VLOOKUP($A979,'030523 INVENTARIO'!$A$2:$Y$1148,8,FALSE)</f>
        <v>P21DG-0978</v>
      </c>
      <c r="H979" s="168" t="str">
        <f>VLOOKUP($A979,'030523 INVENTARIO'!$A$2:$Y$1148,17,FALSE)</f>
        <v>HP</v>
      </c>
      <c r="I979" s="167" t="str">
        <f>VLOOKUP($A979,'030523 INVENTARIO'!$A$2:$Y$1148,18,FALSE)</f>
        <v>DC7800</v>
      </c>
      <c r="J979" s="168" t="str">
        <f>VLOOKUP($A979,'030523 INVENTARIO'!$A$2:$Y$1148,19,FALSE)</f>
        <v>MXJ8190363</v>
      </c>
      <c r="K979" s="168" t="str">
        <f>VLOOKUP($A979,'030523 INVENTARIO'!$A$2:$Y$1148,20,FALSE)</f>
        <v>82DH0515010001000535503</v>
      </c>
      <c r="L979" s="167" t="str">
        <f>VLOOKUP($A979,'030523 INVENTARIO'!$A$2:$Y$1148,23,FALSE)</f>
        <v>ARACELI CATALINA MARTINEZ MEZA</v>
      </c>
    </row>
    <row r="980" spans="1:12" ht="12.75" hidden="1">
      <c r="A980" s="167" t="str">
        <f>'030523 INVENTARIO'!A980</f>
        <v>0979</v>
      </c>
      <c r="B980" s="168" t="str">
        <f>'030523 INVENTARIO'!T980</f>
        <v>82DH0565010041000530461</v>
      </c>
      <c r="C980" s="167" t="str">
        <f t="shared" si="0"/>
        <v>530461</v>
      </c>
      <c r="D980" s="167" t="str">
        <f>IF(VLOOKUP(C980,'Patrimonio 2023'!$C$2:$C$1128,1,FALSE) = C980, "Encontrado", "no")</f>
        <v>Encontrado</v>
      </c>
      <c r="E980" s="167" t="str">
        <f>VLOOKUP($A980,'030523 INVENTARIO'!$A$2:$Y$1148,5,FALSE)</f>
        <v>MONITOR</v>
      </c>
      <c r="F980" s="167" t="str">
        <f>VLOOKUP($A980,'030523 INVENTARIO'!$A$2:$Y$1148,6,FALSE)</f>
        <v>MONITOR 19"</v>
      </c>
      <c r="G980" s="167" t="str">
        <f ca="1">VLOOKUP($A980,'030523 INVENTARIO'!$A$2:$Y$1148,8,FALSE)</f>
        <v>P21DG-0979</v>
      </c>
      <c r="H980" s="168" t="str">
        <f>VLOOKUP($A980,'030523 INVENTARIO'!$A$2:$Y$1148,17,FALSE)</f>
        <v>COMPAQ</v>
      </c>
      <c r="I980" s="167" t="str">
        <f>VLOOKUP($A980,'030523 INVENTARIO'!$A$2:$Y$1148,18,FALSE)</f>
        <v>WF1907</v>
      </c>
      <c r="J980" s="168" t="str">
        <f>VLOOKUP($A980,'030523 INVENTARIO'!$A$2:$Y$1148,19,FALSE)</f>
        <v>CNC820YHWL</v>
      </c>
      <c r="K980" s="168" t="str">
        <f>VLOOKUP($A980,'030523 INVENTARIO'!$A$2:$Y$1148,20,FALSE)</f>
        <v>82DH0565010041000530461</v>
      </c>
      <c r="L980" s="167" t="str">
        <f>VLOOKUP($A980,'030523 INVENTARIO'!$A$2:$Y$1148,23,FALSE)</f>
        <v>ARACELI CATALINA MARTINEZ MEZA</v>
      </c>
    </row>
    <row r="981" spans="1:12" ht="12.75" hidden="1">
      <c r="A981" s="167" t="str">
        <f>'030523 INVENTARIO'!A981</f>
        <v>0980</v>
      </c>
      <c r="B981" s="168" t="str">
        <f>'030523 INVENTARIO'!T981</f>
        <v>82DH0565010001000651390</v>
      </c>
      <c r="C981" s="167" t="str">
        <f t="shared" si="0"/>
        <v>651390</v>
      </c>
      <c r="D981" s="167" t="str">
        <f>IF(VLOOKUP(C981,'Patrimonio 2023'!$C$2:$C$1128,1,FALSE) = C981, "Encontrado", "no")</f>
        <v>Encontrado</v>
      </c>
      <c r="E981" s="167" t="str">
        <f>VLOOKUP($A981,'030523 INVENTARIO'!$A$2:$Y$1148,5,FALSE)</f>
        <v>TELEFONO</v>
      </c>
      <c r="F981" s="168" t="str">
        <f>VLOOKUP($A981,'030523 INVENTARIO'!$A$2:$Y$1148,6,FALSE)</f>
        <v>TELEFONO GRIS</v>
      </c>
      <c r="G981" s="167" t="str">
        <f ca="1">VLOOKUP($A981,'030523 INVENTARIO'!$A$2:$Y$1148,8,FALSE)</f>
        <v>P21DG-0980</v>
      </c>
      <c r="H981" s="168" t="str">
        <f>VLOOKUP($A981,'030523 INVENTARIO'!$A$2:$Y$1148,17,FALSE)</f>
        <v>CISCO</v>
      </c>
      <c r="I981" s="167" t="str">
        <f>VLOOKUP($A981,'030523 INVENTARIO'!$A$2:$Y$1148,18,FALSE)</f>
        <v>SPA504G</v>
      </c>
      <c r="J981" s="168" t="str">
        <f>VLOOKUP($A981,'030523 INVENTARIO'!$A$2:$Y$1148,19,FALSE)</f>
        <v>CCQ18330BDC</v>
      </c>
      <c r="K981" s="168" t="str">
        <f>VLOOKUP($A981,'030523 INVENTARIO'!$A$2:$Y$1148,20,FALSE)</f>
        <v>82DH0565010001000651390</v>
      </c>
      <c r="L981" s="167" t="str">
        <f>VLOOKUP($A981,'030523 INVENTARIO'!$A$2:$Y$1148,23,FALSE)</f>
        <v>ARACELI CATALINA MARTINEZ MEZA</v>
      </c>
    </row>
    <row r="982" spans="1:12" ht="12.75" hidden="1">
      <c r="A982" s="167" t="str">
        <f>'030523 INVENTARIO'!A982</f>
        <v>0981</v>
      </c>
      <c r="B982" s="168" t="str">
        <f>'030523 INVENTARIO'!T982</f>
        <v>82DH0511010001000581379</v>
      </c>
      <c r="C982" s="167" t="str">
        <f t="shared" si="0"/>
        <v>581379</v>
      </c>
      <c r="D982" s="167" t="str">
        <f>IF(VLOOKUP(C982,'Patrimonio 2023'!$C$2:$C$1128,1,FALSE) = C982, "Encontrado", "no")</f>
        <v>Encontrado</v>
      </c>
      <c r="E982" s="167" t="str">
        <f>VLOOKUP($A982,'030523 INVENTARIO'!$A$2:$Y$1148,5,FALSE)</f>
        <v>ARCHIVERO</v>
      </c>
      <c r="F982" s="167" t="str">
        <f>VLOOKUP($A982,'030523 INVENTARIO'!$A$2:$Y$1148,6,FALSE)</f>
        <v>ARCHIVERO DE MADERA CON 4 CAJONES 140X49X60</v>
      </c>
      <c r="G982" s="167" t="str">
        <f ca="1">VLOOKUP($A982,'030523 INVENTARIO'!$A$2:$Y$1148,8,FALSE)</f>
        <v>P21DG-0981</v>
      </c>
      <c r="H982" s="168" t="str">
        <f>VLOOKUP($A982,'030523 INVENTARIO'!$A$2:$Y$1148,17,FALSE)</f>
        <v>S/M</v>
      </c>
      <c r="I982" s="167" t="str">
        <f>VLOOKUP($A982,'030523 INVENTARIO'!$A$2:$Y$1148,18,FALSE)</f>
        <v>S/M</v>
      </c>
      <c r="J982" s="168" t="str">
        <f>VLOOKUP($A982,'030523 INVENTARIO'!$A$2:$Y$1148,19,FALSE)</f>
        <v>SIN SERIE</v>
      </c>
      <c r="K982" s="168" t="str">
        <f>VLOOKUP($A982,'030523 INVENTARIO'!$A$2:$Y$1148,20,FALSE)</f>
        <v>82DH0511010001000581379</v>
      </c>
      <c r="L982" s="167" t="str">
        <f>VLOOKUP($A982,'030523 INVENTARIO'!$A$2:$Y$1148,23,FALSE)</f>
        <v>ARACELI CATALINA MARTINEZ MEZA</v>
      </c>
    </row>
    <row r="983" spans="1:12" ht="12.75" hidden="1">
      <c r="A983" s="167" t="str">
        <f>'030523 INVENTARIO'!A983</f>
        <v>0982</v>
      </c>
      <c r="B983" s="168" t="str">
        <f>'030523 INVENTARIO'!T983</f>
        <v>82DH0511010009000564625</v>
      </c>
      <c r="C983" s="167" t="str">
        <f t="shared" si="0"/>
        <v>564625</v>
      </c>
      <c r="D983" s="167" t="str">
        <f>IF(VLOOKUP(C983,'Patrimonio 2023'!$C$2:$C$1128,1,FALSE) = C983, "Encontrado", "no")</f>
        <v>Encontrado</v>
      </c>
      <c r="E983" s="167" t="str">
        <f>VLOOKUP($A983,'030523 INVENTARIO'!$A$2:$Y$1148,5,FALSE)</f>
        <v>ESTANTE O ANAQUEL</v>
      </c>
      <c r="F983" s="167" t="str">
        <f>VLOOKUP($A983,'030523 INVENTARIO'!$A$2:$Y$1148,6,FALSE)</f>
        <v>ANAQUEL DE MADERA CON 2 PUERTAS (LOCKER) 165X80X40</v>
      </c>
      <c r="G983" s="167" t="str">
        <f ca="1">VLOOKUP($A983,'030523 INVENTARIO'!$A$2:$Y$1148,8,FALSE)</f>
        <v>P21DG-0982</v>
      </c>
      <c r="H983" s="168" t="str">
        <f>VLOOKUP($A983,'030523 INVENTARIO'!$A$2:$Y$1148,17,FALSE)</f>
        <v>S/M</v>
      </c>
      <c r="I983" s="167" t="str">
        <f>VLOOKUP($A983,'030523 INVENTARIO'!$A$2:$Y$1148,18,FALSE)</f>
        <v>S/M</v>
      </c>
      <c r="J983" s="168" t="str">
        <f>VLOOKUP($A983,'030523 INVENTARIO'!$A$2:$Y$1148,19,FALSE)</f>
        <v>SIN SERIE</v>
      </c>
      <c r="K983" s="168" t="str">
        <f>VLOOKUP($A983,'030523 INVENTARIO'!$A$2:$Y$1148,20,FALSE)</f>
        <v>82DH0511010009000564625</v>
      </c>
      <c r="L983" s="167" t="str">
        <f>VLOOKUP($A983,'030523 INVENTARIO'!$A$2:$Y$1148,23,FALSE)</f>
        <v>ARACELI CATALINA MARTINEZ MEZA</v>
      </c>
    </row>
    <row r="984" spans="1:12" ht="12.75" hidden="1">
      <c r="A984" s="167" t="str">
        <f>'030523 INVENTARIO'!A984</f>
        <v>0983</v>
      </c>
      <c r="B984" s="168" t="str">
        <f>'030523 INVENTARIO'!T984</f>
        <v>82DH0511010017000651102</v>
      </c>
      <c r="C984" s="167" t="str">
        <f t="shared" si="0"/>
        <v>651102</v>
      </c>
      <c r="D984" s="167" t="str">
        <f>IF(VLOOKUP(C984,'Patrimonio 2023'!$C$2:$C$1128,1,FALSE) = C984, "Encontrado", "no")</f>
        <v>Encontrado</v>
      </c>
      <c r="E984" s="167" t="str">
        <f>VLOOKUP($A984,'030523 INVENTARIO'!$A$2:$Y$1148,5,FALSE)</f>
        <v>SILLA</v>
      </c>
      <c r="F984" s="168" t="str">
        <f>VLOOKUP($A984,'030523 INVENTARIO'!$A$2:$Y$1148,6,FALSE)</f>
        <v>SILLA NEGRA CON RUEDAS SEMIEJECUTIVA</v>
      </c>
      <c r="G984" s="167" t="str">
        <f ca="1">VLOOKUP($A984,'030523 INVENTARIO'!$A$2:$Y$1148,8,FALSE)</f>
        <v>P21DG-0983</v>
      </c>
      <c r="H984" s="168" t="str">
        <f>VLOOKUP($A984,'030523 INVENTARIO'!$A$2:$Y$1148,17,FALSE)</f>
        <v>S/M</v>
      </c>
      <c r="I984" s="167" t="str">
        <f>VLOOKUP($A984,'030523 INVENTARIO'!$A$2:$Y$1148,18,FALSE)</f>
        <v>S/M</v>
      </c>
      <c r="J984" s="168" t="str">
        <f>VLOOKUP($A984,'030523 INVENTARIO'!$A$2:$Y$1148,19,FALSE)</f>
        <v>SIN SERIE</v>
      </c>
      <c r="K984" s="168" t="str">
        <f>VLOOKUP($A984,'030523 INVENTARIO'!$A$2:$Y$1148,20,FALSE)</f>
        <v>82DH0511010017000651102</v>
      </c>
      <c r="L984" s="167" t="str">
        <f>VLOOKUP($A984,'030523 INVENTARIO'!$A$2:$Y$1148,23,FALSE)</f>
        <v>ARACELI CATALINA MARTINEZ MEZA</v>
      </c>
    </row>
    <row r="985" spans="1:12" ht="12.75" hidden="1">
      <c r="A985" s="167" t="str">
        <f>'030523 INVENTARIO'!A985</f>
        <v>0984</v>
      </c>
      <c r="B985" s="168" t="str">
        <f>'030523 INVENTARIO'!T985</f>
        <v>82DH0511010017000564624</v>
      </c>
      <c r="C985" s="167" t="str">
        <f t="shared" si="0"/>
        <v>564624</v>
      </c>
      <c r="D985" s="167" t="str">
        <f>IF(VLOOKUP(C985,'Patrimonio 2023'!$C$2:$C$1128,1,FALSE) = C985, "Encontrado", "no")</f>
        <v>Encontrado</v>
      </c>
      <c r="E985" s="167" t="str">
        <f>VLOOKUP($A985,'030523 INVENTARIO'!$A$2:$Y$1148,5,FALSE)</f>
        <v>SILLA</v>
      </c>
      <c r="F985" s="167" t="str">
        <f>VLOOKUP($A985,'030523 INVENTARIO'!$A$2:$Y$1148,6,FALSE)</f>
        <v>SILLA NEGRA DE TELA FIJA</v>
      </c>
      <c r="G985" s="167" t="str">
        <f ca="1">VLOOKUP($A985,'030523 INVENTARIO'!$A$2:$Y$1148,8,FALSE)</f>
        <v>P21DG-0984</v>
      </c>
      <c r="H985" s="168" t="str">
        <f>VLOOKUP($A985,'030523 INVENTARIO'!$A$2:$Y$1148,17,FALSE)</f>
        <v>S/M</v>
      </c>
      <c r="I985" s="167" t="str">
        <f>VLOOKUP($A985,'030523 INVENTARIO'!$A$2:$Y$1148,18,FALSE)</f>
        <v>S/M</v>
      </c>
      <c r="J985" s="168" t="str">
        <f>VLOOKUP($A985,'030523 INVENTARIO'!$A$2:$Y$1148,19,FALSE)</f>
        <v>SIN SERIE</v>
      </c>
      <c r="K985" s="168" t="str">
        <f>VLOOKUP($A985,'030523 INVENTARIO'!$A$2:$Y$1148,20,FALSE)</f>
        <v>82DH0511010017000564624</v>
      </c>
      <c r="L985" s="167" t="str">
        <f>VLOOKUP($A985,'030523 INVENTARIO'!$A$2:$Y$1148,23,FALSE)</f>
        <v>ARACELI CATALINA MARTINEZ MEZA</v>
      </c>
    </row>
    <row r="986" spans="1:12" ht="12.75" hidden="1">
      <c r="A986" s="167" t="str">
        <f>'030523 INVENTARIO'!A986</f>
        <v>0985</v>
      </c>
      <c r="B986" s="167" t="str">
        <f>'030523 INVENTARIO'!T986</f>
        <v>SIN RESGUARDO</v>
      </c>
      <c r="C986" s="167" t="str">
        <f t="shared" si="0"/>
        <v/>
      </c>
      <c r="D986" s="167" t="e">
        <f>IF(VLOOKUP(C986,'Patrimonio 2023'!$C$2:$C$1128,1,FALSE) = C986, "Encontrado", "no")</f>
        <v>#N/A</v>
      </c>
      <c r="E986" s="167" t="str">
        <f>VLOOKUP($A986,'030523 INVENTARIO'!$A$2:$Y$1148,5,FALSE)</f>
        <v>TELEFONO</v>
      </c>
      <c r="F986" s="167" t="str">
        <f>VLOOKUP($A986,'030523 INVENTARIO'!$A$2:$Y$1148,6,FALSE)</f>
        <v>TELEFONO</v>
      </c>
      <c r="G986" s="167" t="str">
        <f ca="1">VLOOKUP($A986,'030523 INVENTARIO'!$A$2:$Y$1148,8,FALSE)</f>
        <v>P05RM-0985</v>
      </c>
      <c r="H986" s="168" t="str">
        <f>VLOOKUP($A986,'030523 INVENTARIO'!$A$2:$Y$1148,17,FALSE)</f>
        <v>CISCO</v>
      </c>
      <c r="I986" s="167" t="str">
        <f>VLOOKUP($A986,'030523 INVENTARIO'!$A$2:$Y$1148,18,FALSE)</f>
        <v>CP-7841-K9</v>
      </c>
      <c r="J986" s="167" t="str">
        <f>VLOOKUP($A986,'030523 INVENTARIO'!$A$2:$Y$1148,19,FALSE)</f>
        <v>WZP234004LB</v>
      </c>
      <c r="K986" s="167" t="str">
        <f>VLOOKUP($A986,'030523 INVENTARIO'!$A$2:$Y$1148,20,FALSE)</f>
        <v>SIN RESGUARDO</v>
      </c>
      <c r="L986" s="167" t="str">
        <f>VLOOKUP($A986,'030523 INVENTARIO'!$A$2:$Y$1148,23,FALSE)</f>
        <v>BLANCA ELIZABETH ALCANTAR GUERRERO</v>
      </c>
    </row>
    <row r="987" spans="1:12" ht="12.75" hidden="1">
      <c r="A987" s="167" t="str">
        <f>'030523 INVENTARIO'!A987</f>
        <v>0986</v>
      </c>
      <c r="B987" s="167" t="str">
        <f>'030523 INVENTARIO'!T987</f>
        <v>SIN RESGUARDO</v>
      </c>
      <c r="C987" s="167" t="str">
        <f t="shared" si="0"/>
        <v/>
      </c>
      <c r="D987" s="167" t="e">
        <f>IF(VLOOKUP(C987,'Patrimonio 2023'!$C$2:$C$1128,1,FALSE) = C987, "Encontrado", "no")</f>
        <v>#N/A</v>
      </c>
      <c r="E987" s="167" t="str">
        <f>VLOOKUP($A987,'030523 INVENTARIO'!$A$2:$Y$1148,5,FALSE)</f>
        <v>TELEFONO</v>
      </c>
      <c r="F987" s="167" t="str">
        <f>VLOOKUP($A987,'030523 INVENTARIO'!$A$2:$Y$1148,6,FALSE)</f>
        <v>TELEFONO</v>
      </c>
      <c r="G987" s="167" t="str">
        <f ca="1">VLOOKUP($A987,'030523 INVENTARIO'!$A$2:$Y$1148,8,FALSE)</f>
        <v>P12DG-0986</v>
      </c>
      <c r="H987" s="167" t="str">
        <f>VLOOKUP($A987,'030523 INVENTARIO'!$A$2:$Y$1148,17,FALSE)</f>
        <v>CISCO</v>
      </c>
      <c r="I987" s="167" t="str">
        <f>VLOOKUP($A987,'030523 INVENTARIO'!$A$2:$Y$1148,18,FALSE)</f>
        <v>CP-7800</v>
      </c>
      <c r="J987" s="168" t="str">
        <f>VLOOKUP($A987,'030523 INVENTARIO'!$A$2:$Y$1148,19,FALSE)</f>
        <v>WZP23240Y3X</v>
      </c>
      <c r="K987" s="167" t="str">
        <f>VLOOKUP($A987,'030523 INVENTARIO'!$A$2:$Y$1148,20,FALSE)</f>
        <v>SIN RESGUARDO</v>
      </c>
      <c r="L987" s="167" t="str">
        <f>VLOOKUP($A987,'030523 INVENTARIO'!$A$2:$Y$1148,23,FALSE)</f>
        <v>CHRISTIAN ZARCO MERCADO</v>
      </c>
    </row>
    <row r="988" spans="1:12" ht="12.75" hidden="1">
      <c r="A988" s="167" t="str">
        <f>'030523 INVENTARIO'!A988</f>
        <v>0987</v>
      </c>
      <c r="B988" s="167" t="str">
        <f>'030523 INVENTARIO'!T988</f>
        <v>SIN RESGUARDO</v>
      </c>
      <c r="C988" s="167" t="str">
        <f t="shared" si="0"/>
        <v/>
      </c>
      <c r="D988" s="167" t="e">
        <f>IF(VLOOKUP(C988,'Patrimonio 2023'!$C$2:$C$1128,1,FALSE) = C988, "Encontrado", "no")</f>
        <v>#N/A</v>
      </c>
      <c r="E988" s="167" t="str">
        <f>VLOOKUP($A988,'030523 INVENTARIO'!$A$2:$Y$1148,5,FALSE)</f>
        <v>TELEFONO</v>
      </c>
      <c r="F988" s="167" t="str">
        <f>VLOOKUP($A988,'030523 INVENTARIO'!$A$2:$Y$1148,6,FALSE)</f>
        <v>TELEFONO</v>
      </c>
      <c r="G988" s="167" t="str">
        <f ca="1">VLOOKUP($A988,'030523 INVENTARIO'!$A$2:$Y$1148,8,FALSE)</f>
        <v>P05RM-0987</v>
      </c>
      <c r="H988" s="167" t="str">
        <f>VLOOKUP($A988,'030523 INVENTARIO'!$A$2:$Y$1148,17,FALSE)</f>
        <v>CISCO</v>
      </c>
      <c r="I988" s="167" t="str">
        <f>VLOOKUP($A988,'030523 INVENTARIO'!$A$2:$Y$1148,18,FALSE)</f>
        <v>CP-7841-K9</v>
      </c>
      <c r="J988" s="168" t="str">
        <f>VLOOKUP($A988,'030523 INVENTARIO'!$A$2:$Y$1148,19,FALSE)</f>
        <v>WZP234411A91</v>
      </c>
      <c r="K988" s="167" t="str">
        <f>VLOOKUP($A988,'030523 INVENTARIO'!$A$2:$Y$1148,20,FALSE)</f>
        <v>SIN RESGUARDO</v>
      </c>
      <c r="L988" s="167" t="str">
        <f>VLOOKUP($A988,'030523 INVENTARIO'!$A$2:$Y$1148,23,FALSE)</f>
        <v>BLANCA ELIZABETH ALCANTAR GUERRERO</v>
      </c>
    </row>
    <row r="989" spans="1:12" ht="12.75" hidden="1">
      <c r="A989" s="167" t="str">
        <f>'030523 INVENTARIO'!A989</f>
        <v>0988</v>
      </c>
      <c r="B989" s="167" t="str">
        <f>'030523 INVENTARIO'!T989</f>
        <v>SIN RESGUARDO</v>
      </c>
      <c r="C989" s="167" t="str">
        <f t="shared" si="0"/>
        <v/>
      </c>
      <c r="D989" s="167" t="e">
        <f>IF(VLOOKUP(C989,'Patrimonio 2023'!$C$2:$C$1128,1,FALSE) = C989, "Encontrado", "no")</f>
        <v>#N/A</v>
      </c>
      <c r="E989" s="167" t="str">
        <f>VLOOKUP($A989,'030523 INVENTARIO'!$A$2:$Y$1148,5,FALSE)</f>
        <v>TELEFONO</v>
      </c>
      <c r="F989" s="167" t="str">
        <f>VLOOKUP($A989,'030523 INVENTARIO'!$A$2:$Y$1148,6,FALSE)</f>
        <v>TELEFONO</v>
      </c>
      <c r="G989" s="167" t="str">
        <f ca="1">VLOOKUP($A989,'030523 INVENTARIO'!$A$2:$Y$1148,8,FALSE)</f>
        <v>P12DG-0988</v>
      </c>
      <c r="H989" s="167" t="str">
        <f>VLOOKUP($A989,'030523 INVENTARIO'!$A$2:$Y$1148,17,FALSE)</f>
        <v>CISCO</v>
      </c>
      <c r="I989" s="167" t="str">
        <f>VLOOKUP($A989,'030523 INVENTARIO'!$A$2:$Y$1148,18,FALSE)</f>
        <v>CP-7841-K9</v>
      </c>
      <c r="J989" s="168" t="str">
        <f>VLOOKUP($A989,'030523 INVENTARIO'!$A$2:$Y$1148,19,FALSE)</f>
        <v>WZP232660M7X</v>
      </c>
      <c r="K989" s="167" t="str">
        <f>VLOOKUP($A989,'030523 INVENTARIO'!$A$2:$Y$1148,20,FALSE)</f>
        <v>SIN RESGUARDO</v>
      </c>
      <c r="L989" s="167" t="str">
        <f>VLOOKUP($A989,'030523 INVENTARIO'!$A$2:$Y$1148,23,FALSE)</f>
        <v>CHRISTIAN ZARCO MERCADO</v>
      </c>
    </row>
    <row r="990" spans="1:12" ht="12.75" hidden="1">
      <c r="A990" s="167" t="str">
        <f>'030523 INVENTARIO'!A990</f>
        <v>0989</v>
      </c>
      <c r="B990" s="167" t="str">
        <f>'030523 INVENTARIO'!T990</f>
        <v>SIN RESGUARDO</v>
      </c>
      <c r="C990" s="167" t="str">
        <f t="shared" si="0"/>
        <v/>
      </c>
      <c r="D990" s="167" t="e">
        <f>IF(VLOOKUP(C990,'Patrimonio 2023'!$C$2:$C$1128,1,FALSE) = C990, "Encontrado", "no")</f>
        <v>#N/A</v>
      </c>
      <c r="E990" s="167" t="str">
        <f>VLOOKUP($A990,'030523 INVENTARIO'!$A$2:$Y$1148,5,FALSE)</f>
        <v>TELEFONO</v>
      </c>
      <c r="F990" s="167" t="str">
        <f>VLOOKUP($A990,'030523 INVENTARIO'!$A$2:$Y$1148,6,FALSE)</f>
        <v>TELEFONO</v>
      </c>
      <c r="G990" s="167" t="str">
        <f ca="1">VLOOKUP($A990,'030523 INVENTARIO'!$A$2:$Y$1148,8,FALSE)</f>
        <v>P05RM-0989</v>
      </c>
      <c r="H990" s="168" t="str">
        <f>VLOOKUP($A990,'030523 INVENTARIO'!$A$2:$Y$1148,17,FALSE)</f>
        <v>CISCO</v>
      </c>
      <c r="I990" s="167" t="str">
        <f>VLOOKUP($A990,'030523 INVENTARIO'!$A$2:$Y$1148,18,FALSE)</f>
        <v>S/M</v>
      </c>
      <c r="J990" s="167" t="str">
        <f>VLOOKUP($A990,'030523 INVENTARIO'!$A$2:$Y$1148,19,FALSE)</f>
        <v>SIN SERIE</v>
      </c>
      <c r="K990" s="167" t="str">
        <f>VLOOKUP($A990,'030523 INVENTARIO'!$A$2:$Y$1148,20,FALSE)</f>
        <v>SIN RESGUARDO</v>
      </c>
      <c r="L990" s="167" t="str">
        <f>VLOOKUP($A990,'030523 INVENTARIO'!$A$2:$Y$1148,23,FALSE)</f>
        <v>BLANCA ELIZABETH ALCANTAR GUERRERO</v>
      </c>
    </row>
    <row r="991" spans="1:12" ht="12.75" hidden="1">
      <c r="A991" s="167" t="str">
        <f>'030523 INVENTARIO'!A991</f>
        <v>0990</v>
      </c>
      <c r="B991" s="168" t="str">
        <f>'030523 INVENTARIO'!T991</f>
        <v>82DH0519010043000649781</v>
      </c>
      <c r="C991" s="167" t="str">
        <f t="shared" si="0"/>
        <v>649781</v>
      </c>
      <c r="D991" s="167" t="str">
        <f>IF(VLOOKUP(C991,'Patrimonio 2023'!$C$2:$C$1128,1,FALSE) = C991, "Encontrado", "no")</f>
        <v>Encontrado</v>
      </c>
      <c r="E991" s="167" t="str">
        <f>VLOOKUP($A991,'030523 INVENTARIO'!$A$2:$Y$1148,5,FALSE)</f>
        <v>VENTILADOR</v>
      </c>
      <c r="F991" s="168" t="str">
        <f>VLOOKUP($A991,'030523 INVENTARIO'!$A$2:$Y$1148,6,FALSE)</f>
        <v>VENTILADOR BLANCO</v>
      </c>
      <c r="G991" s="167" t="str">
        <f ca="1">VLOOKUP($A991,'030523 INVENTARIO'!$A$2:$Y$1148,8,FALSE)</f>
        <v>P24RM-0990</v>
      </c>
      <c r="H991" s="168" t="str">
        <f>VLOOKUP($A991,'030523 INVENTARIO'!$A$2:$Y$1148,17,FALSE)</f>
        <v>HOLMES</v>
      </c>
      <c r="I991" s="167" t="str">
        <f>VLOOKUP($A991,'030523 INVENTARIO'!$A$2:$Y$1148,18,FALSE)</f>
        <v>S/M</v>
      </c>
      <c r="J991" s="168" t="str">
        <f>VLOOKUP($A991,'030523 INVENTARIO'!$A$2:$Y$1148,19,FALSE)</f>
        <v>SIN SERIE</v>
      </c>
      <c r="K991" s="168" t="str">
        <f>VLOOKUP($A991,'030523 INVENTARIO'!$A$2:$Y$1148,20,FALSE)</f>
        <v>82DH0519010043000649781</v>
      </c>
      <c r="L991" s="167" t="str">
        <f>VLOOKUP($A991,'030523 INVENTARIO'!$A$2:$Y$1148,23,FALSE)</f>
        <v>BLANCA ELIZABETH ALCABTAR GUERRERO</v>
      </c>
    </row>
    <row r="992" spans="1:12" ht="12.75" hidden="1">
      <c r="A992" s="167" t="str">
        <f>'030523 INVENTARIO'!A992</f>
        <v>0991</v>
      </c>
      <c r="B992" s="168" t="str">
        <f>'030523 INVENTARIO'!T992</f>
        <v>82DH0511010016000649782</v>
      </c>
      <c r="C992" s="167" t="str">
        <f t="shared" si="0"/>
        <v>649782</v>
      </c>
      <c r="D992" s="167" t="str">
        <f>IF(VLOOKUP(C992,'Patrimonio 2023'!$C$2:$C$1128,1,FALSE) = C992, "Encontrado", "no")</f>
        <v>Encontrado</v>
      </c>
      <c r="E992" s="167" t="str">
        <f>VLOOKUP($A992,'030523 INVENTARIO'!$A$2:$Y$1148,5,FALSE)</f>
        <v>SILLON</v>
      </c>
      <c r="F992" s="168" t="str">
        <f>VLOOKUP($A992,'030523 INVENTARIO'!$A$2:$Y$1148,6,FALSE)</f>
        <v>SILLON NEGRO</v>
      </c>
      <c r="G992" s="167" t="str">
        <f ca="1">VLOOKUP($A992,'030523 INVENTARIO'!$A$2:$Y$1148,8,FALSE)</f>
        <v>P24RM-0991</v>
      </c>
      <c r="H992" s="168" t="str">
        <f>VLOOKUP($A992,'030523 INVENTARIO'!$A$2:$Y$1148,17,FALSE)</f>
        <v>S/M</v>
      </c>
      <c r="I992" s="167" t="str">
        <f>VLOOKUP($A992,'030523 INVENTARIO'!$A$2:$Y$1148,18,FALSE)</f>
        <v>S/M</v>
      </c>
      <c r="J992" s="168" t="str">
        <f>VLOOKUP($A992,'030523 INVENTARIO'!$A$2:$Y$1148,19,FALSE)</f>
        <v>SIN SERIE</v>
      </c>
      <c r="K992" s="168" t="str">
        <f>VLOOKUP($A992,'030523 INVENTARIO'!$A$2:$Y$1148,20,FALSE)</f>
        <v>82DH0511010016000649782</v>
      </c>
      <c r="L992" s="167" t="str">
        <f>VLOOKUP($A992,'030523 INVENTARIO'!$A$2:$Y$1148,23,FALSE)</f>
        <v>BLANCA ELIZABETH ALCABTAR GUERRERO</v>
      </c>
    </row>
    <row r="993" spans="1:12" ht="12.75" hidden="1">
      <c r="A993" s="167" t="str">
        <f>'030523 INVENTARIO'!A993</f>
        <v>0992</v>
      </c>
      <c r="B993" s="168" t="str">
        <f>'030523 INVENTARIO'!T993</f>
        <v>82DH0511010006000516962</v>
      </c>
      <c r="C993" s="167" t="str">
        <f t="shared" si="0"/>
        <v>516962</v>
      </c>
      <c r="D993" s="167" t="str">
        <f>IF(VLOOKUP(C993,'Patrimonio 2023'!$C$2:$C$1128,1,FALSE) = C993, "Encontrado", "no")</f>
        <v>Encontrado</v>
      </c>
      <c r="E993" s="167" t="str">
        <f>VLOOKUP($A993,'030523 INVENTARIO'!$A$2:$Y$1148,5,FALSE)</f>
        <v>ESCRITORIO</v>
      </c>
      <c r="F993" s="168" t="str">
        <f>VLOOKUP($A993,'030523 INVENTARIO'!$A$2:$Y$1148,6,FALSE)</f>
        <v>ESCRITORIO MADERA CON METAL</v>
      </c>
      <c r="G993" s="167" t="str">
        <f ca="1">VLOOKUP($A993,'030523 INVENTARIO'!$A$2:$Y$1148,8,FALSE)</f>
        <v>P24CA-0992</v>
      </c>
      <c r="H993" s="168" t="str">
        <f>VLOOKUP($A993,'030523 INVENTARIO'!$A$2:$Y$1148,17,FALSE)</f>
        <v>S/M</v>
      </c>
      <c r="I993" s="167" t="str">
        <f>VLOOKUP($A993,'030523 INVENTARIO'!$A$2:$Y$1148,18,FALSE)</f>
        <v>S/M</v>
      </c>
      <c r="J993" s="168" t="str">
        <f>VLOOKUP($A993,'030523 INVENTARIO'!$A$2:$Y$1148,19,FALSE)</f>
        <v>SIN SERIE</v>
      </c>
      <c r="K993" s="168" t="str">
        <f>VLOOKUP($A993,'030523 INVENTARIO'!$A$2:$Y$1148,20,FALSE)</f>
        <v>82DH0511010006000516962</v>
      </c>
      <c r="L993" s="167" t="str">
        <f>VLOOKUP($A993,'030523 INVENTARIO'!$A$2:$Y$1148,23,FALSE)</f>
        <v>HECTOR MANZO SILVA</v>
      </c>
    </row>
    <row r="994" spans="1:12" ht="12.75" hidden="1">
      <c r="A994" s="167" t="str">
        <f>'030523 INVENTARIO'!A994</f>
        <v>0993</v>
      </c>
      <c r="B994" s="168" t="str">
        <f>'030523 INVENTARIO'!T994</f>
        <v>82DH0515010016000649431</v>
      </c>
      <c r="C994" s="167" t="str">
        <f t="shared" si="0"/>
        <v>649431</v>
      </c>
      <c r="D994" s="167" t="str">
        <f>IF(VLOOKUP(C994,'Patrimonio 2023'!$C$2:$C$1128,1,FALSE) = C994, "Encontrado", "no")</f>
        <v>Encontrado</v>
      </c>
      <c r="E994" s="167" t="str">
        <f>VLOOKUP($A994,'030523 INVENTARIO'!$A$2:$Y$1148,5,FALSE)</f>
        <v>NO BREAK</v>
      </c>
      <c r="F994" s="168" t="str">
        <f>VLOOKUP($A994,'030523 INVENTARIO'!$A$2:$Y$1148,6,FALSE)</f>
        <v>NO BREAK NEGRO</v>
      </c>
      <c r="G994" s="167" t="str">
        <f ca="1">VLOOKUP($A994,'030523 INVENTARIO'!$A$2:$Y$1148,8,FALSE)</f>
        <v>P24CA-0993</v>
      </c>
      <c r="H994" s="168" t="str">
        <f>VLOOKUP($A994,'030523 INVENTARIO'!$A$2:$Y$1148,17,FALSE)</f>
        <v>FORZA</v>
      </c>
      <c r="I994" s="167" t="str">
        <f>VLOOKUP($A994,'030523 INVENTARIO'!$A$2:$Y$1148,18,FALSE)</f>
        <v>NT751</v>
      </c>
      <c r="J994" s="168" t="str">
        <f>VLOOKUP($A994,'030523 INVENTARIO'!$A$2:$Y$1148,19,FALSE)</f>
        <v>SIN SERIE</v>
      </c>
      <c r="K994" s="168" t="str">
        <f>VLOOKUP($A994,'030523 INVENTARIO'!$A$2:$Y$1148,20,FALSE)</f>
        <v>82DH0515010016000649431</v>
      </c>
      <c r="L994" s="167" t="str">
        <f>VLOOKUP($A994,'030523 INVENTARIO'!$A$2:$Y$1148,23,FALSE)</f>
        <v>HECTOR MANZO SILVA</v>
      </c>
    </row>
    <row r="995" spans="1:12" ht="12.75" hidden="1">
      <c r="A995" s="167" t="str">
        <f>'030523 INVENTARIO'!A995</f>
        <v>0994</v>
      </c>
      <c r="B995" s="168" t="str">
        <f>'030523 INVENTARIO'!T995</f>
        <v>82DH0515010033000564673</v>
      </c>
      <c r="C995" s="167" t="str">
        <f t="shared" si="0"/>
        <v>564673</v>
      </c>
      <c r="D995" s="167" t="str">
        <f>IF(VLOOKUP(C995,'Patrimonio 2023'!$C$2:$C$1128,1,FALSE) = C995, "Encontrado", "no")</f>
        <v>Encontrado</v>
      </c>
      <c r="E995" s="167" t="str">
        <f>VLOOKUP($A995,'030523 INVENTARIO'!$A$2:$Y$1148,5,FALSE)</f>
        <v>COMPLEMENTO DE EQUIPO DE MADERA</v>
      </c>
      <c r="F995" s="168" t="str">
        <f>VLOOKUP($A995,'030523 INVENTARIO'!$A$2:$Y$1148,6,FALSE)</f>
        <v>COMPLEMENTO DE EQUIPO DE MADERA</v>
      </c>
      <c r="G995" s="167" t="str">
        <f ca="1">VLOOKUP($A995,'030523 INVENTARIO'!$A$2:$Y$1148,8,FALSE)</f>
        <v>P24CA-0994</v>
      </c>
      <c r="H995" s="168" t="str">
        <f>VLOOKUP($A995,'030523 INVENTARIO'!$A$2:$Y$1148,17,FALSE)</f>
        <v>S/M</v>
      </c>
      <c r="I995" s="167" t="str">
        <f>VLOOKUP($A995,'030523 INVENTARIO'!$A$2:$Y$1148,18,FALSE)</f>
        <v>S/M</v>
      </c>
      <c r="J995" s="168" t="str">
        <f>VLOOKUP($A995,'030523 INVENTARIO'!$A$2:$Y$1148,19,FALSE)</f>
        <v>SIN SERIE</v>
      </c>
      <c r="K995" s="168" t="str">
        <f>VLOOKUP($A995,'030523 INVENTARIO'!$A$2:$Y$1148,20,FALSE)</f>
        <v>82DH0515010033000564673</v>
      </c>
      <c r="L995" s="167" t="str">
        <f>VLOOKUP($A995,'030523 INVENTARIO'!$A$2:$Y$1148,23,FALSE)</f>
        <v>HECTOR MANZO SILVA</v>
      </c>
    </row>
    <row r="996" spans="1:12" ht="12.75" hidden="1">
      <c r="A996" s="167" t="str">
        <f>'030523 INVENTARIO'!A996</f>
        <v>0995</v>
      </c>
      <c r="B996" s="168" t="str">
        <f>'030523 INVENTARIO'!T996</f>
        <v>82DH0531010094000531946</v>
      </c>
      <c r="C996" s="167" t="str">
        <f t="shared" si="0"/>
        <v>531946</v>
      </c>
      <c r="D996" s="167" t="str">
        <f>IF(VLOOKUP(C996,'Patrimonio 2023'!$C$2:$C$1128,1,FALSE) = C996, "Encontrado", "no")</f>
        <v>Encontrado</v>
      </c>
      <c r="E996" s="167" t="str">
        <f>VLOOKUP($A996,'030523 INVENTARIO'!$A$2:$Y$1148,5,FALSE)</f>
        <v>VENTILADOR</v>
      </c>
      <c r="F996" s="168" t="str">
        <f>VLOOKUP($A996,'030523 INVENTARIO'!$A$2:$Y$1148,6,FALSE)</f>
        <v>VENTILADOR BLANCO</v>
      </c>
      <c r="G996" s="167" t="str">
        <f ca="1">VLOOKUP($A996,'030523 INVENTARIO'!$A$2:$Y$1148,8,FALSE)</f>
        <v>P24CA-0995</v>
      </c>
      <c r="H996" s="168" t="str">
        <f>VLOOKUP($A996,'030523 INVENTARIO'!$A$2:$Y$1148,17,FALSE)</f>
        <v>HOLMES</v>
      </c>
      <c r="I996" s="167" t="str">
        <f>VLOOKUP($A996,'030523 INVENTARIO'!$A$2:$Y$1148,18,FALSE)</f>
        <v>S/M</v>
      </c>
      <c r="J996" s="168" t="str">
        <f>VLOOKUP($A996,'030523 INVENTARIO'!$A$2:$Y$1148,19,FALSE)</f>
        <v>SIN SERIE</v>
      </c>
      <c r="K996" s="168" t="str">
        <f>VLOOKUP($A996,'030523 INVENTARIO'!$A$2:$Y$1148,20,FALSE)</f>
        <v>82DH0531010094000531946</v>
      </c>
      <c r="L996" s="167" t="str">
        <f>VLOOKUP($A996,'030523 INVENTARIO'!$A$2:$Y$1148,23,FALSE)</f>
        <v>HECTOR MANZO SILVA</v>
      </c>
    </row>
    <row r="997" spans="1:12" ht="12.75" hidden="1">
      <c r="A997" s="167" t="str">
        <f>'030523 INVENTARIO'!A997</f>
        <v>0996</v>
      </c>
      <c r="B997" s="168" t="str">
        <f>'030523 INVENTARIO'!T997</f>
        <v>SIN RESGUARDO</v>
      </c>
      <c r="C997" s="167" t="str">
        <f t="shared" si="0"/>
        <v/>
      </c>
      <c r="D997" s="167" t="e">
        <f>IF(VLOOKUP(C997,'Patrimonio 2023'!$C$2:$C$1128,1,FALSE) = C997, "Encontrado", "no")</f>
        <v>#N/A</v>
      </c>
      <c r="E997" s="167" t="str">
        <f>VLOOKUP($A997,'030523 INVENTARIO'!$A$2:$Y$1148,5,FALSE)</f>
        <v>COMPUTADORA DE ESCRITORIO</v>
      </c>
      <c r="F997" s="168" t="str">
        <f>VLOOKUP($A997,'030523 INVENTARIO'!$A$2:$Y$1148,6,FALSE)</f>
        <v>COMPUTADORA BLANCO (DOS EN UNO)</v>
      </c>
      <c r="G997" s="167" t="str">
        <f ca="1">VLOOKUP($A997,'030523 INVENTARIO'!$A$2:$Y$1148,8,FALSE)</f>
        <v>P24CA-0996</v>
      </c>
      <c r="H997" s="168" t="str">
        <f>VLOOKUP($A997,'030523 INVENTARIO'!$A$2:$Y$1148,17,FALSE)</f>
        <v>LENOVO</v>
      </c>
      <c r="I997" s="167" t="str">
        <f>VLOOKUP($A997,'030523 INVENTARIO'!$A$2:$Y$1148,18,FALSE)</f>
        <v>S/M</v>
      </c>
      <c r="J997" s="168" t="str">
        <f>VLOOKUP($A997,'030523 INVENTARIO'!$A$2:$Y$1148,19,FALSE)</f>
        <v>CS02498771</v>
      </c>
      <c r="K997" s="168" t="str">
        <f>VLOOKUP($A997,'030523 INVENTARIO'!$A$2:$Y$1148,20,FALSE)</f>
        <v>SIN RESGUARDO</v>
      </c>
      <c r="L997" s="167" t="str">
        <f>VLOOKUP($A997,'030523 INVENTARIO'!$A$2:$Y$1148,23,FALSE)</f>
        <v>HECTOR MANZO SILVA</v>
      </c>
    </row>
    <row r="998" spans="1:12" ht="12.75" hidden="1">
      <c r="A998" s="167" t="str">
        <f>'030523 INVENTARIO'!A998</f>
        <v>0997</v>
      </c>
      <c r="B998" s="167" t="str">
        <f>'030523 INVENTARIO'!T998</f>
        <v>82DJ0511010017000697931</v>
      </c>
      <c r="C998" s="167" t="str">
        <f t="shared" si="0"/>
        <v>697931</v>
      </c>
      <c r="D998" s="167" t="str">
        <f>IF(VLOOKUP(C998,'Patrimonio 2023'!$C$2:$C$1128,1,FALSE) = C998, "Encontrado", "no")</f>
        <v>Encontrado</v>
      </c>
      <c r="E998" s="167" t="str">
        <f>VLOOKUP($A998,'030523 INVENTARIO'!$A$2:$Y$1148,5,FALSE)</f>
        <v>SILLA</v>
      </c>
      <c r="F998" s="167" t="str">
        <f>VLOOKUP($A998,'030523 INVENTARIO'!$A$2:$Y$1148,6,FALSE)</f>
        <v>SILLA NEGRA CON RUEDAS</v>
      </c>
      <c r="G998" s="167" t="str">
        <f ca="1">VLOOKUP($A998,'030523 INVENTARIO'!$A$2:$Y$1148,8,FALSE)</f>
        <v>P12PP-0997</v>
      </c>
      <c r="H998" s="168" t="str">
        <f>VLOOKUP($A998,'030523 INVENTARIO'!$A$2:$Y$1148,17,FALSE)</f>
        <v>TRUE INNOVATIONS</v>
      </c>
      <c r="I998" s="167" t="str">
        <f>VLOOKUP($A998,'030523 INVENTARIO'!$A$2:$Y$1148,18,FALSE)</f>
        <v>ITM./ART. 1517994</v>
      </c>
      <c r="J998" s="167" t="str">
        <f>VLOOKUP($A998,'030523 INVENTARIO'!$A$2:$Y$1148,19,FALSE)</f>
        <v>SIN SERIE</v>
      </c>
      <c r="K998" s="167" t="str">
        <f>VLOOKUP($A998,'030523 INVENTARIO'!$A$2:$Y$1148,20,FALSE)</f>
        <v>82DJ0511010017000697931</v>
      </c>
      <c r="L998" s="167" t="str">
        <f>VLOOKUP($A998,'030523 INVENTARIO'!$A$2:$Y$1148,23,FALSE)</f>
        <v>SUREYMA YADIRA LUNA CONTRERAS</v>
      </c>
    </row>
    <row r="999" spans="1:12" ht="12.75" hidden="1">
      <c r="A999" s="167" t="str">
        <f>'030523 INVENTARIO'!A999</f>
        <v>0998</v>
      </c>
      <c r="B999" s="167" t="str">
        <f>'030523 INVENTARIO'!T999</f>
        <v>SIN RESGUARDO</v>
      </c>
      <c r="C999" s="167" t="str">
        <f t="shared" si="0"/>
        <v/>
      </c>
      <c r="D999" s="167" t="e">
        <f>IF(VLOOKUP(C999,'Patrimonio 2023'!$C$2:$C$1128,1,FALSE) = C999, "Encontrado", "no")</f>
        <v>#N/A</v>
      </c>
      <c r="E999" s="167" t="str">
        <f>VLOOKUP($A999,'030523 INVENTARIO'!$A$2:$Y$1148,5,FALSE)</f>
        <v>VENTILADOR</v>
      </c>
      <c r="F999" s="167" t="str">
        <f>VLOOKUP($A999,'030523 INVENTARIO'!$A$2:$Y$1148,6,FALSE)</f>
        <v xml:space="preserve">VENTILADOR GRIS DE TORRE </v>
      </c>
      <c r="G999" s="167" t="str">
        <f ca="1">VLOOKUP($A999,'030523 INVENTARIO'!$A$2:$Y$1148,8,FALSE)</f>
        <v>P12PL-0998</v>
      </c>
      <c r="H999" s="168" t="str">
        <f>VLOOKUP($A999,'030523 INVENTARIO'!$A$2:$Y$1148,17,FALSE)</f>
        <v>BIRTMAN</v>
      </c>
      <c r="I999" s="167" t="str">
        <f>VLOOKUP($A999,'030523 INVENTARIO'!$A$2:$Y$1148,18,FALSE)</f>
        <v>BT-42I</v>
      </c>
      <c r="J999" s="167" t="str">
        <f>VLOOKUP($A999,'030523 INVENTARIO'!$A$2:$Y$1148,19,FALSE)</f>
        <v>SIN SERIE</v>
      </c>
      <c r="K999" s="167" t="str">
        <f>VLOOKUP($A999,'030523 INVENTARIO'!$A$2:$Y$1148,20,FALSE)</f>
        <v>SIN RESGUARDO</v>
      </c>
      <c r="L999" s="167" t="str">
        <f>VLOOKUP($A999,'030523 INVENTARIO'!$A$2:$Y$1148,23,FALSE)</f>
        <v>EDNA PATRICIA CARMONA CHAVEZ</v>
      </c>
    </row>
    <row r="1000" spans="1:12" ht="12.75" hidden="1">
      <c r="A1000" s="167" t="str">
        <f>'030523 INVENTARIO'!A1000</f>
        <v>0999</v>
      </c>
      <c r="B1000" s="167" t="str">
        <f>'030523 INVENTARIO'!T1000</f>
        <v>82DH0511010017000693401</v>
      </c>
      <c r="C1000" s="167" t="str">
        <f t="shared" si="0"/>
        <v>693401</v>
      </c>
      <c r="D1000" s="167" t="str">
        <f>IF(VLOOKUP(C1000,'Patrimonio 2023'!$C$2:$C$1128,1,FALSE) = C1000, "Encontrado", "no")</f>
        <v>Encontrado</v>
      </c>
      <c r="E1000" s="167" t="str">
        <f>VLOOKUP($A1000,'030523 INVENTARIO'!$A$2:$Y$1148,5,FALSE)</f>
        <v>SILLA</v>
      </c>
      <c r="F1000" s="167" t="str">
        <f>VLOOKUP($A1000,'030523 INVENTARIO'!$A$2:$Y$1148,6,FALSE)</f>
        <v>SILLA NEGRA CON RUEDAS</v>
      </c>
      <c r="G1000" s="167" t="str">
        <f ca="1">VLOOKUP($A1000,'030523 INVENTARIO'!$A$2:$Y$1148,8,FALSE)</f>
        <v>P12SI-0999</v>
      </c>
      <c r="H1000" s="168" t="str">
        <f>VLOOKUP($A1000,'030523 INVENTARIO'!$A$2:$Y$1148,17,FALSE)</f>
        <v>S/M</v>
      </c>
      <c r="I1000" s="167" t="str">
        <f>VLOOKUP($A1000,'030523 INVENTARIO'!$A$2:$Y$1148,18,FALSE)</f>
        <v>S/M</v>
      </c>
      <c r="J1000" s="167" t="str">
        <f>VLOOKUP($A1000,'030523 INVENTARIO'!$A$2:$Y$1148,19,FALSE)</f>
        <v>SIN SERIE</v>
      </c>
      <c r="K1000" s="167" t="str">
        <f>VLOOKUP($A1000,'030523 INVENTARIO'!$A$2:$Y$1148,20,FALSE)</f>
        <v>82DH0511010017000693401</v>
      </c>
      <c r="L1000" s="167" t="str">
        <f>VLOOKUP($A1000,'030523 INVENTARIO'!$A$2:$Y$1148,23,FALSE)</f>
        <v>JUAN PABLO AVILA LOPEZ</v>
      </c>
    </row>
    <row r="1001" spans="1:12" ht="12.75" hidden="1">
      <c r="A1001" s="167" t="str">
        <f>'030523 INVENTARIO'!A1001</f>
        <v>1000</v>
      </c>
      <c r="B1001" s="167" t="str">
        <f>'030523 INVENTARIO'!T1001</f>
        <v>82DH0511010017000693400</v>
      </c>
      <c r="C1001" s="167" t="str">
        <f t="shared" si="0"/>
        <v>693400</v>
      </c>
      <c r="D1001" s="167" t="str">
        <f>IF(VLOOKUP(C1001,'Patrimonio 2023'!$C$2:$C$1128,1,FALSE) = C1001, "Encontrado", "no")</f>
        <v>Encontrado</v>
      </c>
      <c r="E1001" s="167" t="str">
        <f>VLOOKUP($A1001,'030523 INVENTARIO'!$A$2:$Y$1148,5,FALSE)</f>
        <v>SILLA</v>
      </c>
      <c r="F1001" s="167" t="str">
        <f>VLOOKUP($A1001,'030523 INVENTARIO'!$A$2:$Y$1148,6,FALSE)</f>
        <v>SILLA NEGRA CON RUEDAS</v>
      </c>
      <c r="G1001" s="167" t="str">
        <f ca="1">VLOOKUP($A1001,'030523 INVENTARIO'!$A$2:$Y$1148,8,FALSE)</f>
        <v>P12SI-1000</v>
      </c>
      <c r="H1001" s="168" t="str">
        <f>VLOOKUP($A1001,'030523 INVENTARIO'!$A$2:$Y$1148,17,FALSE)</f>
        <v>S/M</v>
      </c>
      <c r="I1001" s="167" t="str">
        <f>VLOOKUP($A1001,'030523 INVENTARIO'!$A$2:$Y$1148,18,FALSE)</f>
        <v>S/M</v>
      </c>
      <c r="J1001" s="167" t="str">
        <f>VLOOKUP($A1001,'030523 INVENTARIO'!$A$2:$Y$1148,19,FALSE)</f>
        <v>SIN SERIE</v>
      </c>
      <c r="K1001" s="167" t="str">
        <f>VLOOKUP($A1001,'030523 INVENTARIO'!$A$2:$Y$1148,20,FALSE)</f>
        <v>82DH0511010017000693400</v>
      </c>
      <c r="L1001" s="167" t="str">
        <f>VLOOKUP($A1001,'030523 INVENTARIO'!$A$2:$Y$1148,23,FALSE)</f>
        <v>CHRISTIAN ZARCO MERCADO</v>
      </c>
    </row>
    <row r="1002" spans="1:12" ht="12.75" hidden="1">
      <c r="A1002" s="167" t="str">
        <f>'030523 INVENTARIO'!A1002</f>
        <v>1001</v>
      </c>
      <c r="B1002" s="167" t="str">
        <f>'030523 INVENTARIO'!T1002</f>
        <v>82DJ0515010013000711758</v>
      </c>
      <c r="C1002" s="167" t="str">
        <f t="shared" si="0"/>
        <v>711758</v>
      </c>
      <c r="D1002" s="167" t="str">
        <f>IF(VLOOKUP(C1002,'Patrimonio 2023'!$C$2:$C$1128,1,FALSE) = C1002, "Encontrado", "no")</f>
        <v>Encontrado</v>
      </c>
      <c r="E1002" s="167" t="str">
        <f>VLOOKUP($A1002,'030523 INVENTARIO'!$A$2:$Y$1148,5,FALSE)</f>
        <v>MONITOR</v>
      </c>
      <c r="F1002" s="167" t="str">
        <f>VLOOKUP($A1002,'030523 INVENTARIO'!$A$2:$Y$1148,6,FALSE)</f>
        <v>MONITOR 29"</v>
      </c>
      <c r="G1002" s="167" t="str">
        <f ca="1">VLOOKUP($A1002,'030523 INVENTARIO'!$A$2:$Y$1148,8,FALSE)</f>
        <v>P12SI-1001</v>
      </c>
      <c r="H1002" s="168" t="str">
        <f>VLOOKUP($A1002,'030523 INVENTARIO'!$A$2:$Y$1148,17,FALSE)</f>
        <v>S/M</v>
      </c>
      <c r="I1002" s="167" t="str">
        <f>VLOOKUP($A1002,'030523 INVENTARIO'!$A$2:$Y$1148,18,FALSE)</f>
        <v>29WP500</v>
      </c>
      <c r="J1002" s="167" t="str">
        <f>VLOOKUP($A1002,'030523 INVENTARIO'!$A$2:$Y$1148,19,FALSE)</f>
        <v>207NTWG1K905</v>
      </c>
      <c r="K1002" s="167" t="str">
        <f>VLOOKUP($A1002,'030523 INVENTARIO'!$A$2:$Y$1148,20,FALSE)</f>
        <v>82DJ0515010013000711758</v>
      </c>
      <c r="L1002" s="167" t="str">
        <f>VLOOKUP($A1002,'030523 INVENTARIO'!$A$2:$Y$1148,23,FALSE)</f>
        <v>KARINA CHAVEZ HERNANDEZ</v>
      </c>
    </row>
    <row r="1003" spans="1:12" ht="12.75" hidden="1">
      <c r="A1003" s="167" t="str">
        <f>'030523 INVENTARIO'!A1003</f>
        <v>1002</v>
      </c>
      <c r="B1003" s="167" t="str">
        <f>'030523 INVENTARIO'!T1003</f>
        <v>82DJ0515010013000711759</v>
      </c>
      <c r="C1003" s="167" t="str">
        <f t="shared" si="0"/>
        <v>711759</v>
      </c>
      <c r="D1003" s="167" t="str">
        <f>IF(VLOOKUP(C1003,'Patrimonio 2023'!$C$2:$C$1128,1,FALSE) = C1003, "Encontrado", "no")</f>
        <v>Encontrado</v>
      </c>
      <c r="E1003" s="167" t="str">
        <f>VLOOKUP($A1003,'030523 INVENTARIO'!$A$2:$Y$1148,5,FALSE)</f>
        <v>MONITOR</v>
      </c>
      <c r="F1003" s="167" t="str">
        <f>VLOOKUP($A1003,'030523 INVENTARIO'!$A$2:$Y$1148,6,FALSE)</f>
        <v>MONITOR 29"</v>
      </c>
      <c r="G1003" s="167" t="str">
        <f ca="1">VLOOKUP($A1003,'030523 INVENTARIO'!$A$2:$Y$1148,8,FALSE)</f>
        <v>P12SI-1002</v>
      </c>
      <c r="H1003" s="168" t="str">
        <f>VLOOKUP($A1003,'030523 INVENTARIO'!$A$2:$Y$1148,17,FALSE)</f>
        <v>LG</v>
      </c>
      <c r="I1003" s="167" t="str">
        <f>VLOOKUP($A1003,'030523 INVENTARIO'!$A$2:$Y$1148,18,FALSE)</f>
        <v>29WP500</v>
      </c>
      <c r="J1003" s="167" t="str">
        <f>VLOOKUP($A1003,'030523 INVENTARIO'!$A$2:$Y$1148,19,FALSE)</f>
        <v>207NTZN1K917</v>
      </c>
      <c r="K1003" s="167" t="str">
        <f>VLOOKUP($A1003,'030523 INVENTARIO'!$A$2:$Y$1148,20,FALSE)</f>
        <v>82DJ0515010013000711759</v>
      </c>
      <c r="L1003" s="167" t="str">
        <f>VLOOKUP($A1003,'030523 INVENTARIO'!$A$2:$Y$1148,23,FALSE)</f>
        <v>MAXIMILIANO ECHEVARRIA CLEMENTE</v>
      </c>
    </row>
    <row r="1004" spans="1:12" ht="12.75" hidden="1">
      <c r="A1004" s="167" t="str">
        <f>'030523 INVENTARIO'!A1004</f>
        <v>1003</v>
      </c>
      <c r="B1004" s="167" t="str">
        <f>'030523 INVENTARIO'!T1004</f>
        <v>82DH0511010017000693402</v>
      </c>
      <c r="C1004" s="167" t="str">
        <f t="shared" si="0"/>
        <v>693402</v>
      </c>
      <c r="D1004" s="167" t="str">
        <f>IF(VLOOKUP(C1004,'Patrimonio 2023'!$C$2:$C$1128,1,FALSE) = C1004, "Encontrado", "no")</f>
        <v>Encontrado</v>
      </c>
      <c r="E1004" s="167" t="str">
        <f>VLOOKUP($A1004,'030523 INVENTARIO'!$A$2:$Y$1148,5,FALSE)</f>
        <v>SILLA</v>
      </c>
      <c r="F1004" s="167" t="str">
        <f>VLOOKUP($A1004,'030523 INVENTARIO'!$A$2:$Y$1148,6,FALSE)</f>
        <v>SILLA NEGRA CON RUEDAS</v>
      </c>
      <c r="G1004" s="167" t="str">
        <f ca="1">VLOOKUP($A1004,'030523 INVENTARIO'!$A$2:$Y$1148,8,FALSE)</f>
        <v>P12SI-1003</v>
      </c>
      <c r="H1004" s="168" t="str">
        <f>VLOOKUP($A1004,'030523 INVENTARIO'!$A$2:$Y$1148,17,FALSE)</f>
        <v>S/M</v>
      </c>
      <c r="I1004" s="167" t="str">
        <f>VLOOKUP($A1004,'030523 INVENTARIO'!$A$2:$Y$1148,18,FALSE)</f>
        <v>S/M</v>
      </c>
      <c r="J1004" s="167" t="str">
        <f>VLOOKUP($A1004,'030523 INVENTARIO'!$A$2:$Y$1148,19,FALSE)</f>
        <v>SIN SERIE</v>
      </c>
      <c r="K1004" s="167" t="str">
        <f>VLOOKUP($A1004,'030523 INVENTARIO'!$A$2:$Y$1148,20,FALSE)</f>
        <v>82DH0511010017000693402</v>
      </c>
      <c r="L1004" s="167" t="str">
        <f>VLOOKUP($A1004,'030523 INVENTARIO'!$A$2:$Y$1148,23,FALSE)</f>
        <v>KARINA CHAVEZ HERNANDEZ</v>
      </c>
    </row>
    <row r="1005" spans="1:12" ht="12.75" hidden="1">
      <c r="A1005" s="167" t="str">
        <f>'030523 INVENTARIO'!A1005</f>
        <v>1004</v>
      </c>
      <c r="B1005" s="167" t="str">
        <f>'030523 INVENTARIO'!T1005</f>
        <v>82DH0511010016000702172</v>
      </c>
      <c r="C1005" s="167" t="str">
        <f t="shared" si="0"/>
        <v>702172</v>
      </c>
      <c r="D1005" s="167" t="str">
        <f>IF(VLOOKUP(C1005,'Patrimonio 2023'!$C$2:$C$1128,1,FALSE) = C1005, "Encontrado", "no")</f>
        <v>Encontrado</v>
      </c>
      <c r="E1005" s="167" t="str">
        <f>VLOOKUP($A1005,'030523 INVENTARIO'!$A$2:$Y$1148,5,FALSE)</f>
        <v>SILLON</v>
      </c>
      <c r="F1005" s="167" t="str">
        <f>VLOOKUP($A1005,'030523 INVENTARIO'!$A$2:$Y$1148,6,FALSE)</f>
        <v>SILLÓN NEGRO DE VINIPIEL FIJO CON BASE METAL NEGRA</v>
      </c>
      <c r="G1005" s="167" t="str">
        <f ca="1">VLOOKUP($A1005,'030523 INVENTARIO'!$A$2:$Y$1148,8,FALSE)</f>
        <v>P24SJ-1004</v>
      </c>
      <c r="H1005" s="168" t="str">
        <f>VLOOKUP($A1005,'030523 INVENTARIO'!$A$2:$Y$1148,17,FALSE)</f>
        <v>S/M</v>
      </c>
      <c r="I1005" s="167" t="str">
        <f>VLOOKUP($A1005,'030523 INVENTARIO'!$A$2:$Y$1148,18,FALSE)</f>
        <v>S/M</v>
      </c>
      <c r="J1005" s="167" t="str">
        <f>VLOOKUP($A1005,'030523 INVENTARIO'!$A$2:$Y$1148,19,FALSE)</f>
        <v>SIN SERIE</v>
      </c>
      <c r="K1005" s="167" t="str">
        <f>VLOOKUP($A1005,'030523 INVENTARIO'!$A$2:$Y$1148,20,FALSE)</f>
        <v>82DH0511010016000702172</v>
      </c>
      <c r="L1005" s="167" t="str">
        <f>VLOOKUP($A1005,'030523 INVENTARIO'!$A$2:$Y$1148,23,FALSE)</f>
        <v>RODOLFO GARCIA GARCIA</v>
      </c>
    </row>
    <row r="1006" spans="1:12" ht="12.75" hidden="1">
      <c r="A1006" s="167" t="str">
        <f>'030523 INVENTARIO'!A1006</f>
        <v>1005</v>
      </c>
      <c r="B1006" s="167" t="str">
        <f>'030523 INVENTARIO'!T1006</f>
        <v>82DH0511010016000702173</v>
      </c>
      <c r="C1006" s="167" t="str">
        <f t="shared" si="0"/>
        <v>702173</v>
      </c>
      <c r="D1006" s="167" t="str">
        <f>IF(VLOOKUP(C1006,'Patrimonio 2023'!$C$2:$C$1128,1,FALSE) = C1006, "Encontrado", "no")</f>
        <v>Encontrado</v>
      </c>
      <c r="E1006" s="167" t="str">
        <f>VLOOKUP($A1006,'030523 INVENTARIO'!$A$2:$Y$1148,5,FALSE)</f>
        <v>SILLON</v>
      </c>
      <c r="F1006" s="167" t="str">
        <f>VLOOKUP($A1006,'030523 INVENTARIO'!$A$2:$Y$1148,6,FALSE)</f>
        <v>SILLÓN NEGRO DE VINIPIEL FIJO CON BASE METAL NEGRA</v>
      </c>
      <c r="G1006" s="167" t="str">
        <f ca="1">VLOOKUP($A1006,'030523 INVENTARIO'!$A$2:$Y$1148,8,FALSE)</f>
        <v>P24SJ-1005</v>
      </c>
      <c r="H1006" s="168" t="str">
        <f>VLOOKUP($A1006,'030523 INVENTARIO'!$A$2:$Y$1148,17,FALSE)</f>
        <v>S/M</v>
      </c>
      <c r="I1006" s="167" t="str">
        <f>VLOOKUP($A1006,'030523 INVENTARIO'!$A$2:$Y$1148,18,FALSE)</f>
        <v>S/M</v>
      </c>
      <c r="J1006" s="167" t="str">
        <f>VLOOKUP($A1006,'030523 INVENTARIO'!$A$2:$Y$1148,19,FALSE)</f>
        <v>SIN SERIE</v>
      </c>
      <c r="K1006" s="167" t="str">
        <f>VLOOKUP($A1006,'030523 INVENTARIO'!$A$2:$Y$1148,20,FALSE)</f>
        <v>82DH0511010016000702173</v>
      </c>
      <c r="L1006" s="167" t="str">
        <f>VLOOKUP($A1006,'030523 INVENTARIO'!$A$2:$Y$1148,23,FALSE)</f>
        <v>RODOLFO GARCIA GARCIA</v>
      </c>
    </row>
    <row r="1007" spans="1:12" ht="12.75" hidden="1">
      <c r="A1007" s="167" t="str">
        <f>'030523 INVENTARIO'!A1007</f>
        <v>1006</v>
      </c>
      <c r="B1007" s="167" t="str">
        <f>'030523 INVENTARIO'!T1007</f>
        <v>82DH0519010043000705581</v>
      </c>
      <c r="C1007" s="167" t="str">
        <f t="shared" si="0"/>
        <v>705581</v>
      </c>
      <c r="D1007" s="167" t="str">
        <f>IF(VLOOKUP(C1007,'Patrimonio 2023'!$C$2:$C$1128,1,FALSE) = C1007, "Encontrado", "no")</f>
        <v>Encontrado</v>
      </c>
      <c r="E1007" s="167" t="str">
        <f>VLOOKUP($A1007,'030523 INVENTARIO'!$A$2:$Y$1148,5,FALSE)</f>
        <v>VENTILADOR</v>
      </c>
      <c r="F1007" s="167" t="str">
        <f>VLOOKUP($A1007,'030523 INVENTARIO'!$A$2:$Y$1148,6,FALSE)</f>
        <v>VENTILADOR NEGRO DE PARED CON ASPAS DE METAL</v>
      </c>
      <c r="G1007" s="167" t="str">
        <f ca="1">VLOOKUP($A1007,'030523 INVENTARIO'!$A$2:$Y$1148,8,FALSE)</f>
        <v>P24SJ-1006</v>
      </c>
      <c r="H1007" s="168" t="str">
        <f>VLOOKUP($A1007,'030523 INVENTARIO'!$A$2:$Y$1148,17,FALSE)</f>
        <v>MYTEK</v>
      </c>
      <c r="I1007" s="167">
        <f>VLOOKUP($A1007,'030523 INVENTARIO'!$A$2:$Y$1148,18,FALSE)</f>
        <v>3196</v>
      </c>
      <c r="J1007" s="167" t="str">
        <f>VLOOKUP($A1007,'030523 INVENTARIO'!$A$2:$Y$1148,19,FALSE)</f>
        <v>SIN SERIE</v>
      </c>
      <c r="K1007" s="167" t="str">
        <f>VLOOKUP($A1007,'030523 INVENTARIO'!$A$2:$Y$1148,20,FALSE)</f>
        <v>82DH0519010043000705581</v>
      </c>
      <c r="L1007" s="167" t="str">
        <f>VLOOKUP($A1007,'030523 INVENTARIO'!$A$2:$Y$1148,23,FALSE)</f>
        <v>RODOLFO GARCIA GARCIA</v>
      </c>
    </row>
    <row r="1008" spans="1:12" ht="12.75" hidden="1">
      <c r="A1008" s="167" t="str">
        <f>'030523 INVENTARIO'!A1008</f>
        <v>1007</v>
      </c>
      <c r="B1008" s="167" t="str">
        <f>'030523 INVENTARIO'!T1008</f>
        <v>SIN RESGUARDO</v>
      </c>
      <c r="C1008" s="167" t="str">
        <f t="shared" si="0"/>
        <v/>
      </c>
      <c r="D1008" s="167" t="e">
        <f>IF(VLOOKUP(C1008,'Patrimonio 2023'!$C$2:$C$1128,1,FALSE) = C1008, "Encontrado", "no")</f>
        <v>#N/A</v>
      </c>
      <c r="E1008" s="167" t="str">
        <f>VLOOKUP($A1008,'030523 INVENTARIO'!$A$2:$Y$1148,5,FALSE)</f>
        <v>TAJALAPIZ</v>
      </c>
      <c r="F1008" s="167" t="str">
        <f>VLOOKUP($A1008,'030523 INVENTARIO'!$A$2:$Y$1148,6,FALSE)</f>
        <v xml:space="preserve">TAJALAPIZ </v>
      </c>
      <c r="G1008" s="167" t="str">
        <f ca="1">VLOOKUP($A1008,'030523 INVENTARIO'!$A$2:$Y$1148,8,FALSE)</f>
        <v>P24SJ-1007</v>
      </c>
      <c r="H1008" s="168" t="str">
        <f>VLOOKUP($A1008,'030523 INVENTARIO'!$A$2:$Y$1148,17,FALSE)</f>
        <v>RIAN</v>
      </c>
      <c r="I1008" s="167" t="str">
        <f>VLOOKUP($A1008,'030523 INVENTARIO'!$A$2:$Y$1148,18,FALSE)</f>
        <v>PY835</v>
      </c>
      <c r="J1008" s="167" t="str">
        <f>VLOOKUP($A1008,'030523 INVENTARIO'!$A$2:$Y$1148,19,FALSE)</f>
        <v>SIN SERIE</v>
      </c>
      <c r="K1008" s="167" t="str">
        <f>VLOOKUP($A1008,'030523 INVENTARIO'!$A$2:$Y$1148,20,FALSE)</f>
        <v>SIN RESGUARDO</v>
      </c>
      <c r="L1008" s="167" t="str">
        <f>VLOOKUP($A1008,'030523 INVENTARIO'!$A$2:$Y$1148,23,FALSE)</f>
        <v>ALEJANDRA LOPEZ MORENO</v>
      </c>
    </row>
    <row r="1009" spans="1:12" ht="12.75" hidden="1">
      <c r="A1009" s="167" t="str">
        <f>'030523 INVENTARIO'!A1009</f>
        <v>1008</v>
      </c>
      <c r="B1009" s="167" t="str">
        <f>'030523 INVENTARIO'!T1009</f>
        <v>82DH0511010016000702175</v>
      </c>
      <c r="C1009" s="167" t="str">
        <f t="shared" si="0"/>
        <v>702175</v>
      </c>
      <c r="D1009" s="167" t="str">
        <f>IF(VLOOKUP(C1009,'Patrimonio 2023'!$C$2:$C$1128,1,FALSE) = C1009, "Encontrado", "no")</f>
        <v>Encontrado</v>
      </c>
      <c r="E1009" s="167" t="str">
        <f>VLOOKUP($A1009,'030523 INVENTARIO'!$A$2:$Y$1148,5,FALSE)</f>
        <v>SILLON</v>
      </c>
      <c r="F1009" s="167" t="str">
        <f>VLOOKUP($A1009,'030523 INVENTARIO'!$A$2:$Y$1148,6,FALSE)</f>
        <v>SILLÓN NEGRO CON RUEDAS</v>
      </c>
      <c r="G1009" s="167" t="str">
        <f ca="1">VLOOKUP($A1009,'030523 INVENTARIO'!$A$2:$Y$1148,8,FALSE)</f>
        <v>P24SJ-1008</v>
      </c>
      <c r="H1009" s="168" t="str">
        <f>VLOOKUP($A1009,'030523 INVENTARIO'!$A$2:$Y$1148,17,FALSE)</f>
        <v>S/M</v>
      </c>
      <c r="I1009" s="167" t="str">
        <f>VLOOKUP($A1009,'030523 INVENTARIO'!$A$2:$Y$1148,18,FALSE)</f>
        <v>S/M</v>
      </c>
      <c r="J1009" s="167" t="str">
        <f>VLOOKUP($A1009,'030523 INVENTARIO'!$A$2:$Y$1148,19,FALSE)</f>
        <v>SIN SERIE</v>
      </c>
      <c r="K1009" s="167" t="str">
        <f>VLOOKUP($A1009,'030523 INVENTARIO'!$A$2:$Y$1148,20,FALSE)</f>
        <v>82DH0511010016000702175</v>
      </c>
      <c r="L1009" s="167" t="str">
        <f>VLOOKUP($A1009,'030523 INVENTARIO'!$A$2:$Y$1148,23,FALSE)</f>
        <v>SANTIAGO ARMANDO CASTILLO GARCIA</v>
      </c>
    </row>
    <row r="1010" spans="1:12" ht="12.75" hidden="1">
      <c r="A1010" s="167" t="str">
        <f>'030523 INVENTARIO'!A1010</f>
        <v>1009</v>
      </c>
      <c r="B1010" s="167" t="str">
        <f>'030523 INVENTARIO'!T1010</f>
        <v>82DH0515010006000702171</v>
      </c>
      <c r="C1010" s="167" t="str">
        <f t="shared" si="0"/>
        <v>702171</v>
      </c>
      <c r="D1010" s="167" t="str">
        <f>IF(VLOOKUP(C1010,'Patrimonio 2023'!$C$2:$C$1128,1,FALSE) = C1010, "Encontrado", "no")</f>
        <v>Encontrado</v>
      </c>
      <c r="E1010" s="167" t="str">
        <f>VLOOKUP($A1010,'030523 INVENTARIO'!$A$2:$Y$1148,5,FALSE)</f>
        <v>DISCO DURO</v>
      </c>
      <c r="F1010" s="167" t="str">
        <f>VLOOKUP($A1010,'030523 INVENTARIO'!$A$2:$Y$1148,6,FALSE)</f>
        <v>DISCO DURO</v>
      </c>
      <c r="G1010" s="167" t="str">
        <f ca="1">VLOOKUP($A1010,'030523 INVENTARIO'!$A$2:$Y$1148,8,FALSE)</f>
        <v>P24NV-1009</v>
      </c>
      <c r="H1010" s="168" t="str">
        <f>VLOOKUP($A1010,'030523 INVENTARIO'!$A$2:$Y$1148,17,FALSE)</f>
        <v>ADATA</v>
      </c>
      <c r="I1010" s="167" t="str">
        <f>VLOOKUP($A1010,'030523 INVENTARIO'!$A$2:$Y$1148,18,FALSE)</f>
        <v>HV300-2T</v>
      </c>
      <c r="J1010" s="167" t="str">
        <f>VLOOKUP($A1010,'030523 INVENTARIO'!$A$2:$Y$1148,19,FALSE)</f>
        <v>1M2720844265</v>
      </c>
      <c r="K1010" s="167" t="str">
        <f>VLOOKUP($A1010,'030523 INVENTARIO'!$A$2:$Y$1148,20,FALSE)</f>
        <v>82DH0515010006000702171</v>
      </c>
      <c r="L1010" s="167" t="str">
        <f>VLOOKUP($A1010,'030523 INVENTARIO'!$A$2:$Y$1148,23,FALSE)</f>
        <v>VICTOR IGNACIO ANAYA RAMOS</v>
      </c>
    </row>
    <row r="1011" spans="1:12" ht="12.75" hidden="1">
      <c r="A1011" s="167" t="str">
        <f>'030523 INVENTARIO'!A1011</f>
        <v>1010</v>
      </c>
      <c r="B1011" s="167" t="str">
        <f>'030523 INVENTARIO'!T1011</f>
        <v>82DH0515010048000702170</v>
      </c>
      <c r="C1011" s="167" t="str">
        <f t="shared" si="0"/>
        <v>702170</v>
      </c>
      <c r="D1011" s="167" t="str">
        <f>IF(VLOOKUP(C1011,'Patrimonio 2023'!$C$2:$C$1128,1,FALSE) = C1011, "Encontrado", "no")</f>
        <v>Encontrado</v>
      </c>
      <c r="E1011" s="167" t="str">
        <f>VLOOKUP($A1011,'030523 INVENTARIO'!$A$2:$Y$1148,5,FALSE)</f>
        <v>ADAPTADOR</v>
      </c>
      <c r="F1011" s="167" t="str">
        <f>VLOOKUP($A1011,'030523 INVENTARIO'!$A$2:$Y$1148,6,FALSE)</f>
        <v>GRABADOR DE CD/DVD</v>
      </c>
      <c r="G1011" s="167" t="str">
        <f ca="1">VLOOKUP($A1011,'030523 INVENTARIO'!$A$2:$Y$1148,8,FALSE)</f>
        <v>P05RM-1010</v>
      </c>
      <c r="H1011" s="168" t="str">
        <f>VLOOKUP($A1011,'030523 INVENTARIO'!$A$2:$Y$1148,17,FALSE)</f>
        <v>LENOVO</v>
      </c>
      <c r="I1011" s="167" t="str">
        <f>VLOOKUP($A1011,'030523 INVENTARIO'!$A$2:$Y$1148,18,FALSE)</f>
        <v>LN-8AENH</v>
      </c>
      <c r="J1011" s="167" t="str">
        <f>VLOOKUP($A1011,'030523 INVENTARIO'!$A$2:$Y$1148,19,FALSE)</f>
        <v>7XA7A05926J1024LTE</v>
      </c>
      <c r="K1011" s="167" t="str">
        <f>VLOOKUP($A1011,'030523 INVENTARIO'!$A$2:$Y$1148,20,FALSE)</f>
        <v>82DH0515010048000702170</v>
      </c>
      <c r="L1011" s="167" t="str">
        <f>VLOOKUP($A1011,'030523 INVENTARIO'!$A$2:$Y$1148,23,FALSE)</f>
        <v>BLANCA ELIZABETH ALCANTAR GUERRERO</v>
      </c>
    </row>
    <row r="1012" spans="1:12" ht="12.75" hidden="1">
      <c r="A1012" s="167" t="str">
        <f>'030523 INVENTARIO'!A1012</f>
        <v>1011</v>
      </c>
      <c r="B1012" s="167" t="str">
        <f>'030523 INVENTARIO'!T1012</f>
        <v>82DH0511010016000702174</v>
      </c>
      <c r="C1012" s="167" t="str">
        <f t="shared" si="0"/>
        <v>702174</v>
      </c>
      <c r="D1012" s="167" t="str">
        <f>IF(VLOOKUP(C1012,'Patrimonio 2023'!$C$2:$C$1128,1,FALSE) = C1012, "Encontrado", "no")</f>
        <v>Encontrado</v>
      </c>
      <c r="E1012" s="167" t="str">
        <f>VLOOKUP($A1012,'030523 INVENTARIO'!$A$2:$Y$1148,5,FALSE)</f>
        <v>SILLON</v>
      </c>
      <c r="F1012" s="167" t="str">
        <f>VLOOKUP($A1012,'030523 INVENTARIO'!$A$2:$Y$1148,6,FALSE)</f>
        <v>SILLÓN NEGRO DE VINIPIEL CON RUEDAS</v>
      </c>
      <c r="G1012" s="167" t="str">
        <f ca="1">VLOOKUP($A1012,'030523 INVENTARIO'!$A$2:$Y$1148,8,FALSE)</f>
        <v>P24CS-1011</v>
      </c>
      <c r="H1012" s="168" t="str">
        <f>VLOOKUP($A1012,'030523 INVENTARIO'!$A$2:$Y$1148,17,FALSE)</f>
        <v>S/M</v>
      </c>
      <c r="I1012" s="167" t="str">
        <f>VLOOKUP($A1012,'030523 INVENTARIO'!$A$2:$Y$1148,18,FALSE)</f>
        <v>S/M</v>
      </c>
      <c r="J1012" s="167" t="str">
        <f>VLOOKUP($A1012,'030523 INVENTARIO'!$A$2:$Y$1148,19,FALSE)</f>
        <v>SIN SERIE</v>
      </c>
      <c r="K1012" s="167" t="str">
        <f>VLOOKUP($A1012,'030523 INVENTARIO'!$A$2:$Y$1148,20,FALSE)</f>
        <v>82DH0511010016000702174</v>
      </c>
      <c r="L1012" s="167" t="str">
        <f>VLOOKUP($A1012,'030523 INVENTARIO'!$A$2:$Y$1148,23,FALSE)</f>
        <v>MA. LOURDES ORTIZ MONDRAGON</v>
      </c>
    </row>
    <row r="1013" spans="1:12" ht="12.75" hidden="1">
      <c r="A1013" s="167" t="str">
        <f>'030523 INVENTARIO'!A1013</f>
        <v>1012</v>
      </c>
      <c r="B1013" s="167" t="str">
        <f>'030523 INVENTARIO'!T1013</f>
        <v>82DJ0512010025000711757</v>
      </c>
      <c r="C1013" s="167" t="str">
        <f t="shared" si="0"/>
        <v>711757</v>
      </c>
      <c r="D1013" s="167" t="str">
        <f>IF(VLOOKUP(C1013,'Patrimonio 2023'!$C$2:$C$1128,1,FALSE) = C1013, "Encontrado", "no")</f>
        <v>Encontrado</v>
      </c>
      <c r="E1013" s="167" t="str">
        <f>VLOOKUP($A1013,'030523 INVENTARIO'!$A$2:$Y$1148,5,FALSE)</f>
        <v>PANTALLA</v>
      </c>
      <c r="F1013" s="167" t="str">
        <f>VLOOKUP($A1013,'030523 INVENTARIO'!$A$2:$Y$1148,6,FALSE)</f>
        <v>PANTALLA 50" UHD 4K LED COLOR NEGRO</v>
      </c>
      <c r="G1013" s="167" t="str">
        <f ca="1">VLOOKUP($A1013,'030523 INVENTARIO'!$A$2:$Y$1148,8,FALSE)</f>
        <v>P12SI-1012</v>
      </c>
      <c r="H1013" s="168" t="str">
        <f>VLOOKUP($A1013,'030523 INVENTARIO'!$A$2:$Y$1148,17,FALSE)</f>
        <v>HISENSE</v>
      </c>
      <c r="I1013" s="167" t="str">
        <f>VLOOKUP($A1013,'030523 INVENTARIO'!$A$2:$Y$1148,18,FALSE)</f>
        <v>50A6H</v>
      </c>
      <c r="J1013" s="167" t="str">
        <f>VLOOKUP($A1013,'030523 INVENTARIO'!$A$2:$Y$1148,19,FALSE)</f>
        <v>50G2214JQH00739</v>
      </c>
      <c r="K1013" s="167" t="str">
        <f>VLOOKUP($A1013,'030523 INVENTARIO'!$A$2:$Y$1148,20,FALSE)</f>
        <v>82DJ0512010025000711757</v>
      </c>
      <c r="L1013" s="167" t="str">
        <f>VLOOKUP($A1013,'030523 INVENTARIO'!$A$2:$Y$1148,23,FALSE)</f>
        <v>CHRISTIAN ZARCO MERCADO</v>
      </c>
    </row>
    <row r="1014" spans="1:12" ht="12.75" hidden="1">
      <c r="A1014" s="167" t="str">
        <f>'030523 INVENTARIO'!A1014</f>
        <v>1013</v>
      </c>
      <c r="B1014" s="167" t="str">
        <f>'030523 INVENTARIO'!T1014</f>
        <v>SIN RESGUARDO</v>
      </c>
      <c r="C1014" s="167" t="str">
        <f t="shared" si="0"/>
        <v/>
      </c>
      <c r="D1014" s="167" t="e">
        <f>IF(VLOOKUP(C1014,'Patrimonio 2023'!$C$2:$C$1128,1,FALSE) = C1014, "Encontrado", "no")</f>
        <v>#N/A</v>
      </c>
      <c r="E1014" s="167" t="str">
        <f>VLOOKUP($A1014,'030523 INVENTARIO'!$A$2:$Y$1148,5,FALSE)</f>
        <v>SILLA</v>
      </c>
      <c r="F1014" s="167" t="str">
        <f>VLOOKUP($A1014,'030523 INVENTARIO'!$A$2:$Y$1148,6,FALSE)</f>
        <v>SILLA DE TELA CAFE</v>
      </c>
      <c r="G1014" s="167" t="str">
        <f ca="1">VLOOKUP($A1014,'030523 INVENTARIO'!$A$2:$Y$1148,8,FALSE)</f>
        <v>P35DA-1013</v>
      </c>
      <c r="H1014" s="167" t="str">
        <f>VLOOKUP($A1014,'030523 INVENTARIO'!$A$2:$Y$1148,17,FALSE)</f>
        <v>S/M</v>
      </c>
      <c r="I1014" s="167" t="str">
        <f>VLOOKUP($A1014,'030523 INVENTARIO'!$A$2:$Y$1148,18,FALSE)</f>
        <v>S/M</v>
      </c>
      <c r="J1014" s="167" t="str">
        <f>VLOOKUP($A1014,'030523 INVENTARIO'!$A$2:$Y$1148,19,FALSE)</f>
        <v>SIN SERIE</v>
      </c>
      <c r="K1014" s="167" t="str">
        <f>VLOOKUP($A1014,'030523 INVENTARIO'!$A$2:$Y$1148,20,FALSE)</f>
        <v>SIN RESGUARDO</v>
      </c>
      <c r="L1014" s="167" t="str">
        <f>VLOOKUP($A1014,'030523 INVENTARIO'!$A$2:$Y$1148,23,FALSE)</f>
        <v>ROSAURA MENDEZ SALGADO</v>
      </c>
    </row>
    <row r="1015" spans="1:12" ht="12.75" hidden="1">
      <c r="A1015" s="167" t="str">
        <f>'030523 INVENTARIO'!A1015</f>
        <v>1014</v>
      </c>
      <c r="B1015" s="167" t="str">
        <f>'030523 INVENTARIO'!T1015</f>
        <v>SIN RESGUARDO</v>
      </c>
      <c r="C1015" s="167" t="str">
        <f t="shared" si="0"/>
        <v/>
      </c>
      <c r="D1015" s="167" t="e">
        <f>IF(VLOOKUP(C1015,'Patrimonio 2023'!$C$2:$C$1128,1,FALSE) = C1015, "Encontrado", "no")</f>
        <v>#N/A</v>
      </c>
      <c r="E1015" s="167" t="str">
        <f>VLOOKUP($A1015,'030523 INVENTARIO'!$A$2:$Y$1148,5,FALSE)</f>
        <v>ARCHIVERO</v>
      </c>
      <c r="F1015" s="167" t="str">
        <f>VLOOKUP($A1015,'030523 INVENTARIO'!$A$2:$Y$1148,6,FALSE)</f>
        <v>ARCHIVERO DE METAL 4 CAJONES COLOR GRIS</v>
      </c>
      <c r="G1015" s="167" t="str">
        <f ca="1">VLOOKUP($A1015,'030523 INVENTARIO'!$A$2:$Y$1148,8,FALSE)</f>
        <v>P05RM-1014</v>
      </c>
      <c r="H1015" s="168" t="str">
        <f>VLOOKUP($A1015,'030523 INVENTARIO'!$A$2:$Y$1148,17,FALSE)</f>
        <v>S/M</v>
      </c>
      <c r="I1015" s="167" t="str">
        <f>VLOOKUP($A1015,'030523 INVENTARIO'!$A$2:$Y$1148,18,FALSE)</f>
        <v>S/M</v>
      </c>
      <c r="J1015" s="167" t="str">
        <f>VLOOKUP($A1015,'030523 INVENTARIO'!$A$2:$Y$1148,19,FALSE)</f>
        <v>SIN SERIE</v>
      </c>
      <c r="K1015" s="167" t="str">
        <f>VLOOKUP($A1015,'030523 INVENTARIO'!$A$2:$Y$1148,20,FALSE)</f>
        <v>SIN RESGUARDO</v>
      </c>
      <c r="L1015" s="167" t="str">
        <f>VLOOKUP($A1015,'030523 INVENTARIO'!$A$2:$Y$1148,23,FALSE)</f>
        <v>BLANCA ELIZABETH ALCANTAR</v>
      </c>
    </row>
    <row r="1016" spans="1:12" ht="12.75" hidden="1">
      <c r="A1016" s="167" t="str">
        <f>'030523 INVENTARIO'!A1016</f>
        <v>1015</v>
      </c>
      <c r="B1016" s="167" t="str">
        <f>'030523 INVENTARIO'!T1016</f>
        <v>82DJ0512010027000756306</v>
      </c>
      <c r="C1016" s="167" t="str">
        <f t="shared" si="0"/>
        <v>756306</v>
      </c>
      <c r="D1016" s="167" t="e">
        <f>IF(VLOOKUP(C1016,'Patrimonio 2023'!$C$2:$C$1128,1,FALSE) = C1016, "Encontrado", "no")</f>
        <v>#N/A</v>
      </c>
      <c r="E1016" s="167" t="str">
        <f>VLOOKUP($A1016,'030523 INVENTARIO'!$A$2:$Y$1148,5,FALSE)</f>
        <v>BASCULA</v>
      </c>
      <c r="F1016" s="167" t="str">
        <f>VLOOKUP($A1016,'030523 INVENTARIO'!$A$2:$Y$1148,6,FALSE)</f>
        <v>BASCULA GRAMERA BLANCA DE HASTA 5 KG</v>
      </c>
      <c r="G1016" s="167" t="str">
        <f ca="1">VLOOKUP($A1016,'030523 INVENTARIO'!$A$2:$Y$1148,8,FALSE)</f>
        <v>P02PP-1015</v>
      </c>
      <c r="H1016" s="168" t="str">
        <f>VLOOKUP($A1016,'030523 INVENTARIO'!$A$2:$Y$1148,17,FALSE)</f>
        <v>STEREN</v>
      </c>
      <c r="I1016" s="167" t="str">
        <f>VLOOKUP($A1016,'030523 INVENTARIO'!$A$2:$Y$1148,18,FALSE)</f>
        <v>MED-080</v>
      </c>
      <c r="J1016" s="167">
        <f>VLOOKUP($A1016,'030523 INVENTARIO'!$A$2:$Y$1148,19,FALSE)</f>
        <v>41480</v>
      </c>
      <c r="K1016" s="167" t="str">
        <f>VLOOKUP($A1016,'030523 INVENTARIO'!$A$2:$Y$1148,20,FALSE)</f>
        <v>82DJ0512010027000756306</v>
      </c>
      <c r="L1016" s="167" t="str">
        <f>VLOOKUP($A1016,'030523 INVENTARIO'!$A$2:$Y$1148,23,FALSE)</f>
        <v>JORGE LUIS MARTINEZ LOPEZ</v>
      </c>
    </row>
    <row r="1017" spans="1:12" ht="12.75" hidden="1">
      <c r="A1017" s="167" t="str">
        <f>'030523 INVENTARIO'!A1017</f>
        <v>1016</v>
      </c>
      <c r="B1017" s="167" t="str">
        <f>'030523 INVENTARIO'!T1017</f>
        <v>82DJ0 512010027 000756307</v>
      </c>
      <c r="C1017" s="167" t="str">
        <f t="shared" si="0"/>
        <v>007563</v>
      </c>
      <c r="D1017" s="167" t="e">
        <f>IF(VLOOKUP(C1017,'Patrimonio 2023'!$C$2:$C$1128,1,FALSE) = C1017, "Encontrado", "no")</f>
        <v>#N/A</v>
      </c>
      <c r="E1017" s="167" t="str">
        <f>VLOOKUP($A1017,'030523 INVENTARIO'!$A$2:$Y$1148,5,FALSE)</f>
        <v>BASCULA</v>
      </c>
      <c r="F1017" s="167" t="str">
        <f>VLOOKUP($A1017,'030523 INVENTARIO'!$A$2:$Y$1148,6,FALSE)</f>
        <v>BASCULA DE HASTA 200KG NEGRA</v>
      </c>
      <c r="G1017" s="167" t="str">
        <f ca="1">VLOOKUP($A1017,'030523 INVENTARIO'!$A$2:$Y$1148,8,FALSE)</f>
        <v>P02PP-1016</v>
      </c>
      <c r="H1017" s="168" t="str">
        <f>VLOOKUP($A1017,'030523 INVENTARIO'!$A$2:$Y$1148,17,FALSE)</f>
        <v>RHINO</v>
      </c>
      <c r="I1017" s="167" t="str">
        <f>VLOOKUP($A1017,'030523 INVENTARIO'!$A$2:$Y$1148,18,FALSE)</f>
        <v>BAPCA-200</v>
      </c>
      <c r="J1017" s="167" t="str">
        <f>VLOOKUP($A1017,'030523 INVENTARIO'!$A$2:$Y$1148,19,FALSE)</f>
        <v>BPCA200-10843-0022</v>
      </c>
      <c r="K1017" s="167" t="str">
        <f>VLOOKUP($A1017,'030523 INVENTARIO'!$A$2:$Y$1148,20,FALSE)</f>
        <v>82DJ0 512010027 000756307</v>
      </c>
      <c r="L1017" s="167" t="str">
        <f>VLOOKUP($A1017,'030523 INVENTARIO'!$A$2:$Y$1148,23,FALSE)</f>
        <v>JORGE LUIS MARTINEZ LOPEZ</v>
      </c>
    </row>
    <row r="1018" spans="1:12" ht="12.75" hidden="1">
      <c r="A1018" s="167" t="str">
        <f>'030523 INVENTARIO'!A1018</f>
        <v>1017</v>
      </c>
      <c r="B1018" s="167" t="str">
        <f>'030523 INVENTARIO'!T1018</f>
        <v>82DJ0567010006000756305</v>
      </c>
      <c r="C1018" s="167" t="str">
        <f t="shared" si="0"/>
        <v>756305</v>
      </c>
      <c r="D1018" s="167" t="e">
        <f>IF(VLOOKUP(C1018,'Patrimonio 2023'!$C$2:$C$1128,1,FALSE) = C1018, "Encontrado", "no")</f>
        <v>#N/A</v>
      </c>
      <c r="E1018" s="167" t="str">
        <f>VLOOKUP($A1018,'030523 INVENTARIO'!$A$2:$Y$1148,5,FALSE)</f>
        <v>MICROMETRO</v>
      </c>
      <c r="F1018" s="167" t="str">
        <f>VLOOKUP($A1018,'030523 INVENTARIO'!$A$2:$Y$1148,6,FALSE)</f>
        <v>CALIBRADOR MICROMETRO RESISTENTE 0 A 25 MM Ob</v>
      </c>
      <c r="G1018" s="167" t="str">
        <f ca="1">VLOOKUP($A1018,'030523 INVENTARIO'!$A$2:$Y$1148,8,FALSE)</f>
        <v>P02PP-1017</v>
      </c>
      <c r="H1018" s="168" t="str">
        <f>VLOOKUP($A1018,'030523 INVENTARIO'!$A$2:$Y$1148,17,FALSE)</f>
        <v>OBI</v>
      </c>
      <c r="I1018" s="167" t="str">
        <f>VLOOKUP($A1018,'030523 INVENTARIO'!$A$2:$Y$1148,18,FALSE)</f>
        <v>OB</v>
      </c>
      <c r="J1018" s="167">
        <f>VLOOKUP($A1018,'030523 INVENTARIO'!$A$2:$Y$1148,19,FALSE)</f>
        <v>264105</v>
      </c>
      <c r="K1018" s="167" t="str">
        <f>VLOOKUP($A1018,'030523 INVENTARIO'!$A$2:$Y$1148,20,FALSE)</f>
        <v>82DJ0567010006000756305</v>
      </c>
      <c r="L1018" s="167" t="str">
        <f>VLOOKUP($A1018,'030523 INVENTARIO'!$A$2:$Y$1148,23,FALSE)</f>
        <v>JORGE LUIS MARTINEZ LOPEZ</v>
      </c>
    </row>
    <row r="1019" spans="1:12" ht="12.75" hidden="1">
      <c r="A1019" s="167" t="str">
        <f>'030523 INVENTARIO'!A1019</f>
        <v>1018</v>
      </c>
      <c r="B1019" s="167" t="str">
        <f>'030523 INVENTARIO'!T1019</f>
        <v>82DK0515010003000734697</v>
      </c>
      <c r="C1019" s="167" t="str">
        <f t="shared" si="0"/>
        <v>734697</v>
      </c>
      <c r="D1019" s="167" t="str">
        <f>IF(VLOOKUP(C1019,'Patrimonio 2023'!$C$2:$C$1128,1,FALSE) = C1019, "Encontrado", "no")</f>
        <v>Encontrado</v>
      </c>
      <c r="E1019" s="167" t="str">
        <f>VLOOKUP($A1019,'030523 INVENTARIO'!$A$2:$Y$1148,5,FALSE)</f>
        <v>COMPUTADORA DE ESCRITORIO</v>
      </c>
      <c r="F1019" s="167" t="str">
        <f>VLOOKUP($A1019,'030523 INVENTARIO'!$A$2:$Y$1148,6,FALSE)</f>
        <v>COMPUTADORA DE ESCRITORIO</v>
      </c>
      <c r="G1019" s="167" t="str">
        <f ca="1">VLOOKUP($A1019,'030523 INVENTARIO'!$A$2:$Y$1148,8,FALSE)</f>
        <v>P03CV-1018</v>
      </c>
      <c r="H1019" s="168" t="str">
        <f>VLOOKUP($A1019,'030523 INVENTARIO'!$A$2:$Y$1148,17,FALSE)</f>
        <v>DELL</v>
      </c>
      <c r="I1019" s="167" t="str">
        <f>VLOOKUP($A1019,'030523 INVENTARIO'!$A$2:$Y$1148,18,FALSE)</f>
        <v>VOSTRO 3710 D17S</v>
      </c>
      <c r="J1019" s="167" t="str">
        <f>VLOOKUP($A1019,'030523 INVENTARIO'!$A$2:$Y$1148,19,FALSE)</f>
        <v>J2558V3</v>
      </c>
      <c r="K1019" s="167" t="str">
        <f>VLOOKUP($A1019,'030523 INVENTARIO'!$A$2:$Y$1148,20,FALSE)</f>
        <v>82DK0515010003000734697</v>
      </c>
      <c r="L1019" s="167" t="str">
        <f>VLOOKUP($A1019,'030523 INVENTARIO'!$A$2:$Y$1148,23,FALSE)</f>
        <v>MARIA AUXILIO VILLAFUERTE RODRIGUEZ</v>
      </c>
    </row>
    <row r="1020" spans="1:12" ht="12.75" hidden="1">
      <c r="A1020" s="167" t="str">
        <f>'030523 INVENTARIO'!A1020</f>
        <v>1019</v>
      </c>
      <c r="B1020" s="167" t="str">
        <f>'030523 INVENTARIO'!T1020</f>
        <v>82DK0515010013000734696</v>
      </c>
      <c r="C1020" s="167" t="str">
        <f t="shared" si="0"/>
        <v>734696</v>
      </c>
      <c r="D1020" s="167" t="str">
        <f>IF(VLOOKUP(C1020,'Patrimonio 2023'!$C$2:$C$1128,1,FALSE) = C1020, "Encontrado", "no")</f>
        <v>Encontrado</v>
      </c>
      <c r="E1020" s="167" t="str">
        <f>VLOOKUP($A1020,'030523 INVENTARIO'!$A$2:$Y$1148,5,FALSE)</f>
        <v>MONITOR</v>
      </c>
      <c r="F1020" s="167" t="str">
        <f>VLOOKUP($A1020,'030523 INVENTARIO'!$A$2:$Y$1148,6,FALSE)</f>
        <v>MONITOR NEGRO DE 21.5" LED</v>
      </c>
      <c r="G1020" s="167" t="str">
        <f ca="1">VLOOKUP($A1020,'030523 INVENTARIO'!$A$2:$Y$1148,8,FALSE)</f>
        <v>P03CV-1019</v>
      </c>
      <c r="H1020" s="168" t="str">
        <f>VLOOKUP($A1020,'030523 INVENTARIO'!$A$2:$Y$1148,17,FALSE)</f>
        <v>DELL</v>
      </c>
      <c r="I1020" s="167" t="str">
        <f>VLOOKUP($A1020,'030523 INVENTARIO'!$A$2:$Y$1148,18,FALSE)</f>
        <v>E2222H</v>
      </c>
      <c r="J1020" s="167" t="str">
        <f>VLOOKUP($A1020,'030523 INVENTARIO'!$A$2:$Y$1148,19,FALSE)</f>
        <v>CN-OMVCKH-FCC00-2AM-ACVX-A03</v>
      </c>
      <c r="K1020" s="167" t="str">
        <f>VLOOKUP($A1020,'030523 INVENTARIO'!$A$2:$Y$1148,20,FALSE)</f>
        <v>82DK0515010013000734696</v>
      </c>
      <c r="L1020" s="167" t="str">
        <f>VLOOKUP($A1020,'030523 INVENTARIO'!$A$2:$Y$1148,23,FALSE)</f>
        <v>MARIA AUXILIO VILLAFUERTE RODRIGUEZ</v>
      </c>
    </row>
    <row r="1024" spans="1:12" ht="12.75">
      <c r="E1024" s="253" t="s">
        <v>8482</v>
      </c>
      <c r="F1024" s="86">
        <v>129</v>
      </c>
      <c r="G1024" s="86" t="s">
        <v>8483</v>
      </c>
    </row>
    <row r="1025" spans="5:7" ht="12.75">
      <c r="E1025" s="254"/>
      <c r="F1025" s="86">
        <v>18</v>
      </c>
      <c r="G1025" s="86" t="s">
        <v>8484</v>
      </c>
    </row>
    <row r="1026" spans="5:7" ht="12.75">
      <c r="E1026" s="254"/>
      <c r="F1026" s="86">
        <v>872</v>
      </c>
      <c r="G1026" s="86" t="s">
        <v>8485</v>
      </c>
    </row>
    <row r="1029" spans="5:7" ht="12.75">
      <c r="F1029" s="86">
        <v>256</v>
      </c>
      <c r="G1029" s="86" t="s">
        <v>8486</v>
      </c>
    </row>
    <row r="1030" spans="5:7" ht="12.75">
      <c r="F1030" s="86">
        <v>871</v>
      </c>
      <c r="G1030" s="86" t="s">
        <v>8487</v>
      </c>
    </row>
  </sheetData>
  <autoFilter ref="B1:D1101">
    <filterColumn colId="0">
      <filters blank="1">
        <filter val="#REF!"/>
        <filter val="."/>
        <filter val="82DH0511010001000518504"/>
        <filter val="82DH0511010001000533227"/>
        <filter val="82DH0511010001000533241"/>
        <filter val="82DH0511010001000570571"/>
        <filter val="82DH0511010001000579099"/>
        <filter val="82DH0511010001000581379"/>
        <filter val="82DH0511010001000581686"/>
        <filter val="82DH0511010001000649513"/>
        <filter val="82DH0511010001000649745"/>
        <filter val="82DH0511010001000651395"/>
        <filter val="82DH0511010003000518526"/>
        <filter val="82DH0511010003000582612"/>
        <filter val="82DH0511010004000518490"/>
        <filter val="82DH0511010005000518491"/>
        <filter val="82DH0511010005000518505"/>
        <filter val="82DH0511010005000518517"/>
        <filter val="82DH0511010005000583322"/>
        <filter val="82DH0511010005000649732"/>
        <filter val="82DH0511010005000649738"/>
        <filter val="82DH0511010005000651084"/>
        <filter val="82DH0511010006000516962"/>
        <filter val="82DH0511010006000516988"/>
        <filter val="82DH0511010006000518492"/>
        <filter val="82DH0511010006000518493"/>
        <filter val="82DH0511010006000518507"/>
        <filter val="82DH0511010006000518511"/>
        <filter val="82DH0511010006000518529"/>
        <filter val="82DH0511010006000534673"/>
        <filter val="82DH0511010006000564903"/>
        <filter val="82DH0511010006000564906"/>
        <filter val="82DH0511010006000583442"/>
        <filter val="82DH0511010006000583444"/>
        <filter val="82DH0511010006000583460"/>
        <filter val="82DH0511010006000583468"/>
        <filter val="82DH0511010006000583484"/>
        <filter val="82DH0511010006000583683"/>
        <filter val="82DH0511010006000649460"/>
        <filter val="82DH0511010006000649741"/>
        <filter val="82DH0511010006000649780"/>
        <filter val="82DH0511010006000651085"/>
        <filter val="82DH0511010006000651123"/>
        <filter val="82DH0511010008000518495"/>
        <filter val="82DH0511010008000518496"/>
        <filter val="82DH0511010008000518497"/>
        <filter val="82DH0511010008000535423"/>
        <filter val="82DH0511010008000649461"/>
        <filter val="82DH0511010008000649768"/>
        <filter val="82DH0511010008000649769"/>
        <filter val="82DH0511010009000518513"/>
        <filter val="82DH0511010009000518514"/>
        <filter val="82DH0511010009000564544"/>
        <filter val="82DH0511010009000564545"/>
        <filter val="82DH0511010009000564611"/>
        <filter val="82DH0511010009000564625"/>
        <filter val="82DH0511010009000584141"/>
        <filter val="82DH0511010009000584143"/>
        <filter val="82DH0511010009000584145"/>
        <filter val="82DH0511010010000649525"/>
        <filter val="82DH0511010010000649532"/>
        <filter val="82DH0511010010000649658"/>
        <filter val="82DH0511010010000649660"/>
        <filter val="82DH0511010010000649682"/>
        <filter val="82DH0511010010000649683"/>
        <filter val="82DH0511010010000649720"/>
        <filter val="82DH0511010010000649722"/>
        <filter val="82DH0511010010000649749"/>
        <filter val="82DH0511010010000649750"/>
        <filter val="82DH0511010010000649757"/>
        <filter val="82DH0511010010000649761"/>
        <filter val="82DH0511010010000649777"/>
        <filter val="82DH0511010010000651071"/>
        <filter val="82DH0511010010000651107"/>
        <filter val="82DH0511010010000651380"/>
        <filter val="82DH0511010010000651386"/>
        <filter val="82DH0511010010000651392"/>
        <filter val="82DH0511010015000515554"/>
        <filter val="82DH0511010015000518498"/>
        <filter val="82DH0511010015000518531"/>
        <filter val="82DH0511010015000518532"/>
        <filter val="82DH0511010015000649511"/>
        <filter val="82DH0511010016000515589"/>
        <filter val="82DH0511010016000515590"/>
        <filter val="82DH0511010016000515592"/>
        <filter val="82DH0511010016000515600"/>
        <filter val="82DH0511010016000515612"/>
        <filter val="82DH0511010016000515613"/>
        <filter val="82DH0511010016000515614"/>
        <filter val="82DH0511010016000515617"/>
        <filter val="82DH0511010016000516008"/>
        <filter val="82DH0511010016000516009"/>
        <filter val="82DH0511010016000516013"/>
        <filter val="82DH0511010016000516014"/>
        <filter val="82DH0511010016000516015"/>
        <filter val="82DH0511010016000516016"/>
        <filter val="82DH0511010016000516017"/>
        <filter val="82DH0511010016000516018"/>
        <filter val="82DH0511010016000517128"/>
        <filter val="82DH0511010016000518500"/>
        <filter val="82DH0511010016000518501"/>
        <filter val="82DH0511010016000518502"/>
        <filter val="82DH0511010016000518521"/>
        <filter val="82DH0511010016000518522"/>
        <filter val="82DH0511010016000564554"/>
        <filter val="82DH0511010016000564555"/>
        <filter val="82DH0511010016000564565"/>
        <filter val="82DH0511010016000564683"/>
        <filter val="82DH0511010016000649519"/>
        <filter val="82DH0511010016000649653"/>
        <filter val="82DH0511010016000649731"/>
        <filter val="82DH0511010016000649762"/>
        <filter val="82DH0511010016000649778"/>
        <filter val="82DH0511010016000649782"/>
        <filter val="82DH0511010016000702172"/>
        <filter val="82DH0511010016000702173"/>
        <filter val="82DH0511010016000702174"/>
        <filter val="82DH0511010016000702175"/>
        <filter val="82DH0511010017000516176"/>
        <filter val="82DH0511010017000516177"/>
        <filter val="82DH0511010017000516228"/>
        <filter val="82DH0511010017000516231"/>
        <filter val="82DH0511010017000516232"/>
        <filter val="82DH0511010017000516234"/>
        <filter val="82DH0511010017000516235"/>
        <filter val="82DH0511010017000516246"/>
        <filter val="82DH0511010017000516282"/>
        <filter val="82DH0511010017000516287"/>
        <filter val="82DH0511010017000516299"/>
        <filter val="82DH0511010017000516331"/>
        <filter val="82DH0511010017000516334"/>
        <filter val="82DH0511010017000516345"/>
        <filter val="82DH0511010017000517894"/>
        <filter val="82DH0511010017000518515"/>
        <filter val="82DH0511010017000518516"/>
        <filter val="82DH0511010017000518533"/>
        <filter val="82DH0511010017000518534"/>
        <filter val="82DH0511010017000518536"/>
        <filter val="82DH0511010017000518537"/>
        <filter val="82DH0511010017000522524"/>
        <filter val="82DH0511010017000563785"/>
        <filter val="82DH0511010017000564587"/>
        <filter val="82DH0511010017000564612"/>
        <filter val="82DH0511010017000564620"/>
        <filter val="82DH0511010017000564623"/>
        <filter val="82DH0511010017000564624"/>
        <filter val="82DH0511010017000649508"/>
        <filter val="82DH0511010017000649509"/>
        <filter val="82DH0511010017000649510"/>
        <filter val="82DH0511010017000649512"/>
        <filter val="82DH0511010017000649517"/>
        <filter val="82DH0511010017000649523"/>
        <filter val="82DH0511010017000649526"/>
        <filter val="82DH0511010017000649527"/>
        <filter val="82DH0511010017000649528"/>
        <filter val="82DH0511010017000649644"/>
        <filter val="82DH0511010017000649712"/>
        <filter val="82DH0511010017000649719"/>
        <filter val="82DH0511010017000649721"/>
        <filter val="82DH0511010017000649725"/>
        <filter val="82DH0511010017000649726"/>
        <filter val="82DH0511010017000649727"/>
        <filter val="82DH0511010017000649728"/>
        <filter val="82DH0511010017000649729"/>
        <filter val="82DH0511010017000649730"/>
        <filter val="82DH0511010017000649744"/>
        <filter val="82DH0511010017000649747"/>
        <filter val="82DH0511010017000649771"/>
        <filter val="82DH0511010017000651072"/>
        <filter val="82DH0511010017000651073"/>
        <filter val="82DH0511010017000651074"/>
        <filter val="82DH0511010017000651075"/>
        <filter val="82DH0511010017000651076"/>
        <filter val="82DH0511010017000651077"/>
        <filter val="82DH0511010017000651078"/>
        <filter val="82DH0511010017000651079"/>
        <filter val="82DH0511010017000651080"/>
        <filter val="82DH0511010017000651081"/>
        <filter val="82DH0511010017000651082"/>
        <filter val="82DH0511010017000651083"/>
        <filter val="82DH0511010017000651101"/>
        <filter val="82DH0511010017000651102"/>
        <filter val="82DH0511010017000651103"/>
        <filter val="82DH0511010017000651105"/>
        <filter val="82DH0511010017000651106"/>
        <filter val="82DH0511010017000651129"/>
        <filter val="82DH0511010017000651379"/>
        <filter val="82DH0511010017000651388"/>
        <filter val="82DH0511010017000651393"/>
        <filter val="82DH0511010017000693400"/>
        <filter val="82DH0511010017000693401"/>
        <filter val="82DH0511010017000693402"/>
        <filter val="82DH0511010020000048003"/>
        <filter val="82DH0511010020000048004"/>
        <filter val="82DH0511010020000649739"/>
        <filter val="82DH0511010027000566232"/>
        <filter val="82DH0511010027000566240"/>
        <filter val="82DH0511010028000532102"/>
        <filter val="82DH0511010028000535441"/>
        <filter val="82DH0511010028000535443"/>
        <filter val="82DH0511010028000535444"/>
        <filter val="82DH0511010028000539026"/>
        <filter val="82DH0511010028000539037"/>
        <filter val="82DH0511010028000539038"/>
        <filter val="82DH0511010028000539044"/>
        <filter val="82DH0511010028000584061"/>
        <filter val="82DH0511010029000649676"/>
        <filter val="82DH0511010029000649737"/>
        <filter val="82DH0511010029000649763"/>
        <filter val="82DH0512010001000532220"/>
        <filter val="82DH0512010006000584026"/>
        <filter val="82DH0512010011000517107"/>
        <filter val="82DH0512010011000564517"/>
        <filter val="82DH0512010011000564518"/>
        <filter val="82DH0512010014000649515"/>
        <filter val="82DH0512010014000649751"/>
        <filter val="82DH0512010018000566902"/>
        <filter val="82DH0512010018000651391"/>
        <filter val="82DH0512010023000517045"/>
        <filter val="82DH0512010023000517047"/>
        <filter val="82DH0512010025000649410"/>
        <filter val="82DH0515010001000535436"/>
        <filter val="82DH0515010001000535454"/>
        <filter val="82DH0515010001000535503"/>
        <filter val="82DH0515010001000539039"/>
        <filter val="82DH0515010001000650662"/>
        <filter val="82DH0515010002000649384"/>
        <filter val="82DH0515010002000651030"/>
        <filter val="82DH0515010003000649376"/>
        <filter val="82DH0515010003000649378"/>
        <filter val="82DH0515010003000649385"/>
        <filter val="82DH0515010003000649443"/>
        <filter val="82DH0515010003000649646"/>
        <filter val="82DH0515010003000649648"/>
        <filter val="82DH0515010003000649742"/>
        <filter val="82DH0515010003000649764"/>
        <filter val="82DH0515010003000649779"/>
        <filter val="82DH0515010003000650638"/>
        <filter val="82DH0515010003000651031"/>
        <filter val="82DH0515010006000649398"/>
        <filter val="82DH0515010006000649399"/>
        <filter val="82DH0515010006000649400"/>
        <filter val="82DH0515010006000650903"/>
        <filter val="82DH0515010006000650904"/>
        <filter val="82DH0515010006000702171"/>
        <filter val="82DH0515010010000515121"/>
        <filter val="82DH0515010010000519351"/>
        <filter val="82DH0515010010000519362"/>
        <filter val="82DH0515010013000649650"/>
        <filter val="82DH0515010013000649651"/>
        <filter val="82DH0515010013000649661"/>
        <filter val="82DH0515010013000649743"/>
        <filter val="82DH0515010013000649765"/>
        <filter val="82DH0515010013000651032"/>
        <filter val="82DH0515010013000651394"/>
        <filter val="82DH0515010014000649522"/>
        <filter val="82DH0515010014000649713"/>
        <filter val="82DH0515010014000649767"/>
        <filter val="82DH0515010016000522283"/>
        <filter val="82DH0515010016000522299"/>
        <filter val="82DH0515010016000524719"/>
        <filter val="82DH0515010016000539059"/>
        <filter val="82DH0515010016000539082"/>
        <filter val="82DH0515010016000539084"/>
        <filter val="82DH0515010016000649411"/>
        <filter val="82DH0515010016000649412"/>
        <filter val="82DH0515010016000649414"/>
        <filter val="82DH0515010016000649415"/>
        <filter val="82DH0515010016000649416"/>
        <filter val="82DH0515010016000649417"/>
        <filter val="82DH0515010016000649428"/>
        <filter val="82DH0515010016000649429"/>
        <filter val="82DH0515010016000649430"/>
        <filter val="82DH0515010016000649431"/>
        <filter val="82DH0515010016000649438"/>
        <filter val="82DH0515010016000650642"/>
        <filter val="82DH0515010016000651121"/>
        <filter val="82DH0515010017000651124"/>
        <filter val="82DH0515010017000651135"/>
        <filter val="82DH0515010017000651138"/>
        <filter val="82DH0515010020000541697"/>
        <filter val="82DH0515010020000565742"/>
        <filter val="82DH0515010020000565749"/>
        <filter val="82DH0515010020000649441"/>
        <filter val="82DH0515010020000649442"/>
        <filter val="82DH0515010020000650634"/>
        <filter val="82DH0515010020000650643"/>
        <filter val="82DH0515010020000650646"/>
        <filter val="82DH0515010020000651122"/>
        <filter val="82DH0515010022000651128"/>
        <filter val="82DH0515010022000651131"/>
        <filter val="82DH0515010025000542283"/>
        <filter val="82DH0515010026000566177"/>
        <filter val="82DH0515010026000566178"/>
        <filter val="82DH0515010026000566183"/>
        <filter val="82DH0515010026000566194"/>
        <filter val="82DH0515010026000649641"/>
        <filter val="82DH0515010026000651136"/>
        <filter val="82DH0515010033000564633"/>
        <filter val="82DH0515010033000564635"/>
        <filter val="82DH0515010033000564669"/>
        <filter val="82DH0515010033000564671"/>
        <filter val="82DH0515010033000564673"/>
        <filter val="82DH0515010033000566420"/>
        <filter val="82DH0515010033000566432"/>
        <filter val="82DH0515010042000649354"/>
        <filter val="82DH0515010042000649355"/>
        <filter val="82DH0515010042000650641"/>
        <filter val="82DH0515010047000651133"/>
        <filter val="82DH0515010047000651134"/>
        <filter val="82DH0515010047000651137"/>
        <filter val="82DH0515010048000702170"/>
        <filter val="82DH0515010055000651140"/>
        <filter val="82DH0515010056000649353"/>
        <filter val="82DH0515010056000651126"/>
        <filter val="82DH0515010056000651127"/>
        <filter val="82DH0515010056000651141"/>
        <filter val="82DH0519010006000649405"/>
        <filter val="82DH0519010006000649406"/>
        <filter val="82DH0519010009000535514"/>
        <filter val="82DH0519010009000535515"/>
        <filter val="82DH0519010009000535596"/>
        <filter val="82DH0519010016000538166"/>
        <filter val="82DH0519010017000565624"/>
        <filter val="82DH0519010017000565655"/>
        <filter val="82DH0519010025000566156"/>
        <filter val="82DH0519010026000649375"/>
        <filter val="82DH0519010026000649402"/>
        <filter val="82DH0519010026000649404"/>
        <filter val="82DH0519010036000543274"/>
        <filter val="82DH0519010036000566458"/>
        <filter val="82DH0519010038000649356"/>
        <filter val="82DH0519010043000649357"/>
        <filter val="82DH0519010043000649359"/>
        <filter val="82DH0519010043000649360"/>
        <filter val="82DH0519010043000649364"/>
        <filter val="82DH0519010043000649367"/>
        <filter val="82DH0519010043000649368"/>
        <filter val="82DH0519010043000649369"/>
        <filter val="82DH0519010043000649370"/>
        <filter val="82DH0519010043000649371"/>
        <filter val="82DH0519010043000649374"/>
        <filter val="82DH0519010043000649723"/>
        <filter val="82DH0519010043000649724"/>
        <filter val="82DH0519010043000649746"/>
        <filter val="82DH0519010043000649770"/>
        <filter val="82DH0519010043000649781"/>
        <filter val="82DH0519010043000650639"/>
        <filter val="82DH0519010043000650640"/>
        <filter val="82DH0519010043000705581"/>
        <filter val="82DH0519010048000539140"/>
        <filter val="82DH0519010048000539141"/>
        <filter val="82DH0521010005000516948"/>
        <filter val="82DH0523010002000649662"/>
        <filter val="82DH0523010002000649663"/>
        <filter val="82DH0523010002000649664"/>
        <filter val="82DH0523010002000649665"/>
        <filter val="82DH0523010002000649666"/>
        <filter val="82DH0523010002000649667"/>
        <filter val="82DH0523010002000649668"/>
        <filter val="82DH0523010002000649669"/>
        <filter val="82DH0529030003000564534"/>
        <filter val="82DH0529030003000649710"/>
        <filter val="82DH0529030003000649718"/>
        <filter val="82DH0529030003000651130"/>
        <filter val="82DH0529030003000651381"/>
        <filter val="82DH0529030004000583305"/>
        <filter val="82DH0529030005000649516"/>
        <filter val="82DH0529030005000649521"/>
        <filter val="82DH0531010065000564679"/>
        <filter val="82DH0531010065000564716"/>
        <filter val="82DH0531010065000564721"/>
        <filter val="82DH0531010065000564723"/>
        <filter val="82DH0531010065000564725"/>
        <filter val="82DH0531010065000564727"/>
        <filter val="82DH0531010065000564729"/>
        <filter val="82DH0531010065000564731"/>
        <filter val="82DH0531010065000564732"/>
        <filter val="82DH0531010065000564735"/>
        <filter val="82DH0531010065000564743"/>
        <filter val="82DH0531010065000564745"/>
        <filter val="82DH0531010065000564747"/>
        <filter val="82DH0531010065000564749"/>
        <filter val="82DH0531010065000564751"/>
        <filter val="82DH0531010065000564754"/>
        <filter val="82DH0531010065000564756"/>
        <filter val="82DH0531010065000564766"/>
        <filter val="82DH0531010065000564772"/>
        <filter val="82DH0531010065000564773"/>
        <filter val="82DH0531010065000564775"/>
        <filter val="82DH0531010065000564779"/>
        <filter val="82DH0531010065000564784"/>
        <filter val="82DH0531010065000564786"/>
        <filter val="82DH0531010065000564797"/>
        <filter val="82DH0531010065000564799"/>
        <filter val="82DH0531010065000564807"/>
        <filter val="82DH0531010065000564828"/>
        <filter val="82DH0531010065000564831"/>
        <filter val="82DH0531010065000564845"/>
        <filter val="82DH0531010065000564847"/>
        <filter val="82DH0531010065000564848"/>
        <filter val="82DH0531010065000564861"/>
        <filter val="82DH0531010065000564862"/>
        <filter val="82DH0531010065000564863"/>
        <filter val="82DH0531010065000564867"/>
        <filter val="82DH0531010065000564868"/>
        <filter val="82DH0531010065000564869"/>
        <filter val="82DH0531010065000564880"/>
        <filter val="82DH0531010065000564882"/>
        <filter val="82DH0531010065000580341"/>
        <filter val="82DH0531010065000580342"/>
        <filter val="82DH0531010065000580346"/>
        <filter val="82DH0531010065000580348"/>
        <filter val="82DH0531010065000580349"/>
        <filter val="82DH0531010076000651384"/>
        <filter val="82DH0531010094000516615"/>
        <filter val="82DH0531010094000531871"/>
        <filter val="82DH0531010094000531946"/>
        <filter val="82DH0531010094000539189"/>
        <filter val="82DH0531010094000581260"/>
        <filter val="82DH0531010094000649529"/>
        <filter val="82DH0564010006000535311"/>
        <filter val="82DH0564010006000583948"/>
        <filter val="82DH0565010001000527018"/>
        <filter val="82DH0565010001000527082"/>
        <filter val="82DH0565010001000527285"/>
        <filter val="82DH0565010001000527290"/>
        <filter val="82DH0565010001000533072"/>
        <filter val="82DH0565010001000539087"/>
        <filter val="82DH0565010001000577963"/>
        <filter val="82DH0565010001000649717"/>
        <filter val="82DH0565010001000649766"/>
        <filter val="82DH0565010001000651111"/>
        <filter val="82DH0565010001000651390"/>
        <filter val="82DH0565010041000530448"/>
        <filter val="82DH0565010041000530461"/>
        <filter val="82DH0565010041000530462"/>
        <filter val="82DH0565010041000530469"/>
        <filter val="82DH0565010041000539111"/>
        <filter val="82DH0565010041000539113"/>
        <filter val="82DH0565010041000539122"/>
        <filter val="82DH0565010041000543574"/>
        <filter val="82DH0565010041000543575"/>
        <filter val="82DH0565010041000543577"/>
        <filter val="82DH0565010041000566530"/>
        <filter val="82DH0565010046000530787"/>
        <filter val="82DI0511010001000564896"/>
        <filter val="82DI0511010001000564901"/>
        <filter val="82DI0511010001000581386"/>
        <filter val="82DI0511010001000581387"/>
        <filter val="82DI0511010001000649475"/>
        <filter val="82DI0511010001000649476"/>
        <filter val="82DI0511010001000649566"/>
        <filter val="82DI0511010005000649559"/>
        <filter val="82DI0511010006000583448"/>
        <filter val="82DI0511010006000583449"/>
        <filter val="82DI0511010006000583455"/>
        <filter val="82DI0511010006000583481"/>
        <filter val="82DI0511010006000649563"/>
        <filter val="82DI0511010006000649708"/>
        <filter val="82DI0511010010000649474"/>
        <filter val="82DI0511010010000649556"/>
        <filter val="82DI0511010010000649557"/>
        <filter val="82DI0511010010000649558"/>
        <filter val="82DI0511010010000649565"/>
        <filter val="82DI0511010016000515607"/>
        <filter val="82DI0511010016000539052"/>
        <filter val="82DI0511010017000516229"/>
        <filter val="82DI0511010017000516230"/>
        <filter val="82DI0511010017000516247"/>
        <filter val="82DI0511010017000516298"/>
        <filter val="82DI0511010017000522768"/>
        <filter val="82DI0511010017000539073"/>
        <filter val="82DI0511010017000649561"/>
        <filter val="82DI0511010017000649567"/>
        <filter val="82DI0511010020000649496"/>
        <filter val="82DI0511010027000649560"/>
        <filter val="82DI0515010001000535446"/>
        <filter val="82DI0515010001000535504"/>
        <filter val="82DI0515010001000539009"/>
        <filter val="82DI0515010001000539017"/>
        <filter val="82DI0515010001000539045"/>
        <filter val="82DI0515010001000564542"/>
        <filter val="82DI0515010001000650665"/>
        <filter val="82DI0515010003000649493"/>
        <filter val="82DI0515010013000650655"/>
        <filter val="82DI0515010016000522294"/>
        <filter val="82DI0515010016000564608"/>
        <filter val="82DI0515010016000649421"/>
        <filter val="82DI0515010016000649422"/>
        <filter val="82DI0515010016000649424"/>
        <filter val="82DI0515010016000649714"/>
        <filter val="82DI0515010020000650895"/>
        <filter val="82DI0515010033000564639"/>
        <filter val="82DI0515010033000564640"/>
        <filter val="82DI0515010033000564654"/>
        <filter val="82DI0519010043000649373"/>
        <filter val="82DI0531010065000564844"/>
        <filter val="82DI0531010065000564864"/>
        <filter val="82DI0531010065000564866"/>
        <filter val="82DI0531010065000564881"/>
        <filter val="82DI0531010094000564893"/>
        <filter val="82DI0565010001000527092"/>
        <filter val="82DI0565010001000533228"/>
        <filter val="82DI0565010041000522226"/>
        <filter val="82DI0565010041000539108"/>
        <filter val="82DI0565010041000539112"/>
        <filter val="82DI0565010041000539123"/>
        <filter val="82DI0565010041000543587"/>
        <filter val="82DI0565010041000543591"/>
        <filter val="82DJ"/>
        <filter val="82DJ0 512010027 000756307"/>
        <filter val="82DJ0511010001000518508"/>
        <filter val="82DJ0511010001000518545"/>
        <filter val="82DJ0511010001000539203"/>
        <filter val="82DJ0511010001000581385"/>
        <filter val="82DJ0511010001000649503"/>
        <filter val="82DJ0511010001000649533"/>
        <filter val="82DJ0511010001000649583"/>
        <filter val="82DJ0511010001000649693"/>
        <filter val="82DJ0511010001000649733"/>
        <filter val="82DJ0511010005000649562"/>
        <filter val="82DJ0511010005000649704"/>
        <filter val="82DJ0511010005000649706"/>
        <filter val="82DJ0511010005000649709"/>
        <filter val="82DJ0511010005000649715"/>
        <filter val="82DJ0511010005000649755"/>
        <filter val="82DJ0511010006000518494"/>
        <filter val="82DJ0511010006000518509"/>
        <filter val="82DJ0511010006000518518"/>
        <filter val="82DJ0511010006000564904"/>
        <filter val="82DJ0511010006000564905"/>
        <filter val="82DJ0511010006000583439"/>
        <filter val="82DJ0511010006000583443"/>
        <filter val="82DJ0511010006000583450"/>
        <filter val="82DJ0511010006000583457"/>
        <filter val="82DJ0511010006000583458"/>
        <filter val="82DJ0511010006000583459"/>
        <filter val="82DJ0511010006000583486"/>
        <filter val="82DJ0511010006000649492"/>
        <filter val="82DJ0511010006000649494"/>
        <filter val="82DJ0511010006000649546"/>
        <filter val="82DJ0511010006000649629"/>
        <filter val="82DJ0511010006000649700"/>
        <filter val="82DJ0511010006000651108"/>
        <filter val="82DJ0511010006000651117"/>
        <filter val="82DJ0511010008000649753"/>
        <filter val="82DJ0511010009000518512"/>
        <filter val="82DJ0511010009000584146"/>
        <filter val="82DJ0511010009000584161"/>
        <filter val="82DJ0511010010000649543"/>
        <filter val="82DJ0511010010000649581"/>
        <filter val="82DJ0511010010000649636"/>
        <filter val="82DJ0511010010000649703"/>
        <filter val="82DJ0511010010000651110"/>
        <filter val="82DJ0511010016000515599"/>
        <filter val="82DJ0511010016000515601"/>
        <filter val="82DJ0511010016000515602"/>
        <filter val="82DJ0511010016000515608"/>
        <filter val="82DJ0511010016000515609"/>
        <filter val="82DJ0511010016000515611"/>
        <filter val="82DJ0511010016000515616"/>
        <filter val="82DJ0511010016000517124"/>
        <filter val="82DJ0511010016000518499"/>
        <filter val="82DJ0511010016000539054"/>
        <filter val="82DJ0511010016000649671"/>
        <filter val="82DJ0511010016000649697"/>
        <filter val="82DJ0511010017000516236"/>
        <filter val="82DJ0511010017000516245"/>
        <filter val="82DJ0511010017000516248"/>
        <filter val="82DJ0511010017000516280"/>
        <filter val="82DJ0511010017000516281"/>
        <filter val="82DJ0511010017000516341"/>
        <filter val="82DJ0511010017000522723"/>
        <filter val="82DJ0511010017000522803"/>
        <filter val="82DJ0511010017000522804"/>
        <filter val="82DJ0511010017000563784"/>
        <filter val="82DJ0511010017000564035"/>
        <filter val="82DJ0511010017000564036"/>
        <filter val="82DJ0511010017000649538"/>
        <filter val="82DJ0511010017000649555"/>
        <filter val="82DJ0511010017000649637"/>
        <filter val="82DJ0511010017000649695"/>
        <filter val="82DJ0511010017000649696"/>
        <filter val="82DJ0511010017000649702"/>
        <filter val="82DJ0511010017000649705"/>
        <filter val="82DJ0511010017000649707"/>
        <filter val="82DJ0511010017000649716"/>
        <filter val="82DJ0511010017000649734"/>
        <filter val="82DJ0511010017000697931"/>
        <filter val="82DJ0511010019000651104"/>
        <filter val="82DJ0511010020000649536"/>
        <filter val="82DJ0511010020000649694"/>
        <filter val="82DJ0511010027000649550"/>
        <filter val="82DJ0511010028000524607"/>
        <filter val="82DJ0511010028000524624"/>
        <filter val="82DJ0511010028000532101"/>
        <filter val="82DJ0511010028000532103"/>
        <filter val="82DJ0511010028000535460"/>
        <filter val="82DJ0511010028000539018"/>
        <filter val="82DJ0511010028000539027"/>
        <filter val="82DJ0511010028000539029"/>
        <filter val="82DJ0511010028000539031"/>
        <filter val="82DJ0511010028000539032"/>
        <filter val="82DJ0511010028000539043"/>
        <filter val="82DJ0511010028000584044"/>
        <filter val="82DJ0511010028000649628"/>
        <filter val="82DJ0511010029000649459"/>
        <filter val="82DJ0511010029000649548"/>
        <filter val="82DJ0511010029000649549"/>
        <filter val="82DJ0511010029000649760"/>
        <filter val="82DJ0512010011000515290"/>
        <filter val="82DJ0512010011000515291"/>
        <filter val="82DJ0512010014000649535"/>
        <filter val="82DJ0512010018000565672"/>
        <filter val="82DJ0512010025000711757"/>
        <filter val="82DJ0512010027000756306"/>
        <filter val="82DJ0515010001000535487"/>
        <filter val="82DJ0515010001000535534"/>
        <filter val="82DJ0515010001000535535"/>
        <filter val="82DJ0515010001000539036"/>
        <filter val="82DJ0515010001000539081"/>
        <filter val="82DJ0515010001000650659"/>
        <filter val="82DJ0515010002000539849"/>
        <filter val="82DJ0515010003000649379"/>
        <filter val="82DJ0515010003000649381"/>
        <filter val="82DJ0515010003000649690"/>
        <filter val="82DJ0515010003000649699"/>
        <filter val="82DJ0515010003000649736"/>
        <filter val="82DJ0515010006000649401"/>
        <filter val="82DJ0515010013000649547"/>
        <filter val="82DJ0515010013000649575"/>
        <filter val="82DJ0515010013000649582"/>
        <filter val="82DJ0515010013000650649"/>
        <filter val="82DJ0515010013000711758"/>
        <filter val="82DJ0515010013000711759"/>
        <filter val="82DJ0515010014000539048"/>
        <filter val="82DJ0515010014000539051"/>
        <filter val="82DJ0515010016000522298"/>
        <filter val="82DJ0515010016000524721"/>
        <filter val="82DJ0515010016000539062"/>
        <filter val="82DJ05150100160005390646"/>
        <filter val="82DJ0515010016000649418"/>
        <filter val="82DJ0515010016000649419"/>
        <filter val="82DJ0515010016000649420"/>
        <filter val="82DJ0515010016000649427"/>
        <filter val="82DJ0515010016000649432"/>
        <filter val="82DJ0515010016000649433"/>
        <filter val="82DJ0515010016000649434"/>
        <filter val="82DJ0515010016000649435"/>
        <filter val="82DJ0515010016000649436"/>
        <filter val="82DJ0515010016000651109"/>
        <filter val="82DJ0515010016000651115"/>
        <filter val="82DJ0515010016000651118"/>
        <filter val="82DJ0515010020000649540"/>
        <filter val="82DJ0515010020000650647"/>
        <filter val="82DJ0515010020000650896"/>
        <filter val="82DJ0515010020000650897"/>
        <filter val="82DJ0515010020000650901"/>
        <filter val="82DJ0515010033000564634"/>
        <filter val="82DJ0515010033000564636"/>
        <filter val="82DJ0515010033000564637"/>
        <filter val="82DJ0515010033000564638"/>
        <filter val="82DJ0515010033000564662"/>
        <filter val="82DJ0515010033000564675"/>
        <filter val="82DJ0515010033000566421"/>
        <filter val="82DJ0515010033000566422"/>
        <filter val="82DJ0515010033000651116"/>
        <filter val="82DJ0515010056000651119"/>
        <filter val="82DJ0519010043000649358"/>
        <filter val="82DJ0519010043000649363"/>
        <filter val="82DJ0519010043000649372"/>
        <filter val="82DJ0519010043000649551"/>
        <filter val="82DJ0519010043000649640"/>
        <filter val="82DJ0519010043000649670"/>
        <filter val="82DJ0519010048000533123"/>
        <filter val="82DJ0519010048000533124"/>
        <filter val="82DJ0519010048000533125"/>
        <filter val="82DJ0519010048000533126"/>
        <filter val="82DJ0519010048000533127"/>
        <filter val="82DJ0519010048000539133"/>
        <filter val="82DJ0519010048000539134"/>
        <filter val="82DJ0519010048000539135"/>
        <filter val="82DJ0519010048000539137"/>
        <filter val="82DJ0519010048000539139"/>
        <filter val="82DJ0519010048000539144"/>
        <filter val="82DJ0519010048000579123"/>
        <filter val="82DJ0519010048000579126"/>
        <filter val="82DJ0519010048000579127"/>
        <filter val="82DJ0519010059000580129"/>
        <filter val="82DJ0529030005000649756"/>
        <filter val="82DJ0531010065000564777"/>
        <filter val="82DJ0531010065000564782"/>
        <filter val="82DJ0531010065000564788"/>
        <filter val="82DJ0531010065000564789"/>
        <filter val="82DJ0531010065000564790"/>
        <filter val="82DJ0531010065000564798"/>
        <filter val="82DJ0531010065000564802"/>
        <filter val="82DJ0531010065000564803"/>
        <filter val="82DJ0531010065000564804"/>
        <filter val="82DJ0531010065000564805"/>
        <filter val="82DJ0531010065000564806"/>
        <filter val="82DJ0531010065000564808"/>
        <filter val="82DJ0531010065000564818"/>
        <filter val="82DJ0531010065000564820"/>
        <filter val="82DJ0531010065000564825"/>
        <filter val="82DJ0531010065000564830"/>
        <filter val="82DJ0531010065000564860"/>
        <filter val="82DJ0531010065000580347"/>
        <filter val="82DJ0531010094000535804"/>
        <filter val="82DJ0531010094000564888"/>
        <filter val="82DJ0531010094000564891"/>
        <filter val="82DJ0531010094000564895"/>
        <filter val="82DJ0531010094000581252"/>
        <filter val="82DJ0565010001000527027"/>
        <filter val="82DJ0565010001000527088"/>
        <filter val="82DJ0565010001000533070"/>
        <filter val="82DJ0565010001000533242"/>
        <filter val="82DJ0565010001000533243"/>
        <filter val="82DJ0565010001000538210"/>
        <filter val="82DJ0565010001000539086"/>
        <filter val="82DJ0565010001000649698"/>
        <filter val="82DJ0565010041000530446"/>
        <filter val="82DJ0565010041000530454"/>
        <filter val="82DJ0565010041000530719"/>
        <filter val="82DJ0565010041000539110"/>
        <filter val="82DJ0565010041000539114"/>
        <filter val="82DJ0565010041000539124"/>
        <filter val="82DJ0565010041000543572"/>
        <filter val="82DJ0565010041000566531"/>
        <filter val="82DJ0567010006000756305"/>
        <filter val="82DJH05101000000570571"/>
        <filter val="82DK0511010001000518519"/>
        <filter val="82DK0511010001000518524"/>
        <filter val="82DK0511010001000518525"/>
        <filter val="82DK0511010001000533168"/>
        <filter val="82DK0511010001000581343"/>
        <filter val="82DK0511010001000581678"/>
        <filter val="82DK0511010001000649470"/>
        <filter val="82DK0511010001000649500"/>
        <filter val="82DK0511010005000583333"/>
        <filter val="82DK0511010005000649483"/>
        <filter val="82DK0511010005000649633"/>
        <filter val="82DK0511010006000518510"/>
        <filter val="82DK0511010006000518527"/>
        <filter val="82DK0511010006000518530"/>
        <filter val="82DK0511010006000534680"/>
        <filter val="82DK0511010006000583456"/>
        <filter val="82DK0511010006000583463"/>
        <filter val="82DK0511010006000583482"/>
        <filter val="82DK0511010006000583483"/>
        <filter val="82DK0511010006000649463"/>
        <filter val="82DK0511010006000649489"/>
        <filter val="82DK0511010006000649632"/>
        <filter val="82DK0511010009000518520"/>
        <filter val="82DK0511010009000584144"/>
        <filter val="82DK0511010010000649464"/>
        <filter val="82DK0511010010000649497"/>
        <filter val="82DK0511010010000651098"/>
        <filter val="82DK0511010016000515615"/>
        <filter val="82DK0511010016000649465"/>
        <filter val="82DK0511010016000649469"/>
        <filter val="82DK0511010016000649505"/>
        <filter val="82DK0511010017000516227"/>
        <filter val="82DK0511010017000516288"/>
        <filter val="82DK0511010017000516302"/>
        <filter val="82DK0511010017000516337"/>
        <filter val="82DK0511010017000516342"/>
        <filter val="82DK0511010017000518523"/>
        <filter val="82DK0511010017000522707"/>
        <filter val="82DK0511010017000522763"/>
        <filter val="82DK0511010017000522767"/>
        <filter val="82DK0511010017000522769"/>
        <filter val="82DK0511010017000522770"/>
        <filter val="82DK0511010017000522771"/>
        <filter val="82DK0511010017000522806"/>
        <filter val="82DK0511010017000522846"/>
        <filter val="82DK0511010017000539074"/>
        <filter val="82DK0511010017000539075"/>
        <filter val="82DK0511010017000539078"/>
        <filter val="82DK0511010017000564597"/>
        <filter val="82DK0511010017000649473"/>
        <filter val="82DK0511010017000649482"/>
        <filter val="82DK0511010017000649485"/>
        <filter val="82DK0511010017000649486"/>
        <filter val="82DK0511010017000649571"/>
        <filter val="82DK0511010017000649574"/>
        <filter val="82DK0511010017000651090"/>
        <filter val="82DK0511010020000048005"/>
        <filter val="82DK0511010020000649462"/>
        <filter val="82DK0511010020000649468"/>
        <filter val="82DK0511010020000649471"/>
        <filter val="82DK0511010020000649472"/>
        <filter val="82DK0511010020000649478"/>
        <filter val="82DK0511010020000649630"/>
        <filter val="82DK0511010020000651091"/>
        <filter val="82DK0511010020000651092"/>
        <filter val="82DK0511010020000651093"/>
        <filter val="82DK0511010020000651094"/>
        <filter val="82DK0511010020000651095"/>
        <filter val="82DK0511010020000651096"/>
        <filter val="82DK0511010020000651097"/>
        <filter val="82DK0511010028000584045"/>
        <filter val="82DK0512010011000535536"/>
        <filter val="82DK0512010011000584051"/>
        <filter val="82DK0515010001000535424"/>
        <filter val="82DK0515010001000535501"/>
        <filter val="82DK0515010001000535527"/>
        <filter val="82DK0515010001000539047"/>
        <filter val="82DK0515010001000539080"/>
        <filter val="82DK0515010001000650658"/>
        <filter val="82DK0515010001000650660"/>
        <filter val="82DK0515010001000650661"/>
        <filter val="82DK0515010001000650663"/>
        <filter val="82DK0515010001000650664"/>
        <filter val="82DK0515010001000650667"/>
        <filter val="82DK0515010002000649383"/>
        <filter val="82DK0515010003000649382"/>
        <filter val="82DK0515010003000649484"/>
        <filter val="82DK0515010003000649507"/>
        <filter val="82DK0515010003000649539"/>
        <filter val="82DK0515010003000734697"/>
        <filter val="82DK0515010010000649480"/>
        <filter val="82DK0515010013000649466"/>
        <filter val="82DK0515010013000649467"/>
        <filter val="82DK0515010013000649570"/>
        <filter val="82DK0515010013000649572"/>
        <filter val="82DK0515010013000650648"/>
        <filter val="82DK0515010013000650651"/>
        <filter val="82DK0515010013000650653"/>
        <filter val="82DK0515010013000650654"/>
        <filter val="82DK0515010013000650657"/>
        <filter val="82DK0515010013000651086"/>
        <filter val="82DK0515010013000651088"/>
        <filter val="82DK0515010013000651089"/>
        <filter val="82DK0515010013000734696"/>
        <filter val="82DK0515010014000539050"/>
        <filter val="82DK0515010014000651112"/>
        <filter val="82DK0515010016000539067"/>
        <filter val="82DK0515010016000649423"/>
        <filter val="82DK0515010016000649425"/>
        <filter val="82DK0515010016000649426"/>
        <filter val="82DK0515010016000649439"/>
        <filter val="82DK0515010016000649490"/>
        <filter val="82DK0515010016000649569"/>
        <filter val="82DK0515010020000650894"/>
        <filter val="82DK0515010020000650898"/>
        <filter val="82DK0515010020000650899"/>
        <filter val="82DK0515010020000650900"/>
        <filter val="82DK0515010020000650902"/>
        <filter val="82DK0515010033000564661"/>
        <filter val="82DK0515010033000564663"/>
        <filter val="82DK0515010033000566418"/>
        <filter val="82DK0515010033000651113"/>
        <filter val="82DK0519010003000649403"/>
        <filter val="82DK0519010043000649479"/>
        <filter val="82DK0519010043000649573"/>
        <filter val="82DK0519010043000649631"/>
        <filter val="82DK0529030003000517070"/>
        <filter val="82DK0531010065000564787"/>
        <filter val="82DK0531010065000564801"/>
        <filter val="82DK0531010065000564817"/>
        <filter val="82DK0531010065000564819"/>
        <filter val="82DK0531010065000564824"/>
        <filter val="82DK0531010065000564826"/>
        <filter val="82DK0531010065000564832"/>
        <filter val="82DK0531010065000564833"/>
        <filter val="82DK0531010065000564835"/>
        <filter val="82DK0531010065000564855"/>
        <filter val="82DK0531010065000564865"/>
        <filter val="82DK0531010065000580343"/>
        <filter val="82DK0531010065000580345"/>
        <filter val="82DK0531010094000564892"/>
        <filter val="82DK0531010094000564894"/>
        <filter val="82DK0531010094000581182"/>
        <filter val="82DK0531010094000581183"/>
        <filter val="82DK0565010001000533366"/>
        <filter val="82DK0565010001000538211"/>
        <filter val="82DK0565010001000649481"/>
        <filter val="82DK0565010001000649491"/>
        <filter val="82DK0565010041000535801"/>
        <filter val="82DK0565010041000539105"/>
        <filter val="82DK0565010041000539107"/>
        <filter val="82DK0565010041000539116"/>
        <filter val="82DK0565010041000539119"/>
        <filter val="82DK0567010020000566042"/>
        <filter val="82DL0511010005000649773"/>
        <filter val="82DL0511010006000518506"/>
        <filter val="82DL0511010016000649775"/>
        <filter val="82DL0511010017000516185"/>
        <filter val="82DL0515010003000649774"/>
        <filter val="82DL0515010013000649776"/>
        <filter val="82DL0515010016000649413"/>
        <filter val="82DL0515010020000649772"/>
        <filter val="82DL0531010065000564762"/>
        <filter val="82DL0565010001000538212"/>
        <filter val="82HJ0511010017000564588"/>
      </filters>
    </filterColumn>
    <filterColumn colId="2">
      <filters blank="1">
        <filter val="#N/A"/>
        <filter val="#REF!"/>
      </filters>
    </filterColumn>
  </autoFilter>
  <mergeCells count="1">
    <mergeCell ref="E1024:E1026"/>
  </mergeCells>
  <printOptions horizontalCentered="1" gridLines="1"/>
  <pageMargins left="0.25" right="0.25" top="0.75" bottom="0.75" header="0" footer="0"/>
  <pageSetup paperSize="5" fitToHeight="0" pageOrder="overThenDown" orientation="landscape" cellComments="atEnd"/>
  <headerFooter>
    <oddHeader>&amp;CBIENES ETIQUETADOS SIN REGISTRO EN PATRIMONIO</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fitToPage="1"/>
  </sheetPr>
  <dimension ref="A1:H1128"/>
  <sheetViews>
    <sheetView workbookViewId="0"/>
  </sheetViews>
  <sheetFormatPr baseColWidth="10" defaultColWidth="12.5703125" defaultRowHeight="15.75" customHeight="1"/>
  <cols>
    <col min="1" max="1" width="4.7109375" customWidth="1"/>
    <col min="2" max="2" width="25.5703125" customWidth="1"/>
    <col min="3" max="3" width="9.5703125" customWidth="1"/>
    <col min="4" max="4" width="34" customWidth="1"/>
    <col min="5" max="5" width="20.7109375" customWidth="1"/>
    <col min="6" max="6" width="29.7109375" customWidth="1"/>
    <col min="7" max="7" width="9" customWidth="1"/>
    <col min="8" max="8" width="36.42578125" customWidth="1"/>
  </cols>
  <sheetData>
    <row r="1" spans="1:8" ht="12.75">
      <c r="A1" s="86" t="s">
        <v>7391</v>
      </c>
      <c r="B1" s="86" t="s">
        <v>7392</v>
      </c>
      <c r="C1" s="86"/>
      <c r="D1" s="86" t="s">
        <v>8489</v>
      </c>
      <c r="E1" s="86" t="s">
        <v>7393</v>
      </c>
      <c r="F1" s="86" t="s">
        <v>7394</v>
      </c>
      <c r="G1" s="86" t="s">
        <v>7395</v>
      </c>
      <c r="H1" s="86" t="s">
        <v>7396</v>
      </c>
    </row>
    <row r="2" spans="1:8" ht="12.75" hidden="1">
      <c r="A2" s="86">
        <v>1</v>
      </c>
      <c r="B2" s="86" t="s">
        <v>1098</v>
      </c>
      <c r="C2" s="86" t="str">
        <f t="shared" ref="C2:C1128" si="0">MID(B2,18,6)</f>
        <v>048003</v>
      </c>
      <c r="D2" s="86" t="str">
        <f>IF(VLOOKUP(C2,'Diferencias patrimonio 2023'!$C$2:$C$1020,1,FALSE)=C2,"Encontrado", "No")</f>
        <v>Encontrado</v>
      </c>
      <c r="E2" s="86" t="s">
        <v>7397</v>
      </c>
      <c r="F2" s="86" t="s">
        <v>501</v>
      </c>
      <c r="G2" s="86" t="s">
        <v>38</v>
      </c>
      <c r="H2" s="86" t="s">
        <v>7398</v>
      </c>
    </row>
    <row r="3" spans="1:8" ht="12.75" hidden="1">
      <c r="A3" s="86">
        <v>2</v>
      </c>
      <c r="B3" s="86" t="s">
        <v>1094</v>
      </c>
      <c r="C3" s="86" t="str">
        <f t="shared" si="0"/>
        <v>048004</v>
      </c>
      <c r="D3" s="86" t="str">
        <f>IF(VLOOKUP(C3,'Diferencias patrimonio 2023'!$C$2:$C$1020,1,FALSE)=C3,"Encontrado", "No")</f>
        <v>Encontrado</v>
      </c>
      <c r="E3" s="86" t="s">
        <v>7399</v>
      </c>
      <c r="F3" s="86" t="s">
        <v>501</v>
      </c>
      <c r="G3" s="86" t="s">
        <v>38</v>
      </c>
      <c r="H3" s="86" t="s">
        <v>7398</v>
      </c>
    </row>
    <row r="4" spans="1:8" ht="12.75" hidden="1">
      <c r="A4" s="86">
        <v>3</v>
      </c>
      <c r="B4" s="86" t="s">
        <v>1065</v>
      </c>
      <c r="C4" s="86" t="str">
        <f t="shared" si="0"/>
        <v>048005</v>
      </c>
      <c r="D4" s="86" t="str">
        <f>IF(VLOOKUP(C4,'Diferencias patrimonio 2023'!$C$2:$C$1020,1,FALSE)=C4,"Encontrado", "No")</f>
        <v>Encontrado</v>
      </c>
      <c r="E4" s="86" t="s">
        <v>7400</v>
      </c>
      <c r="F4" s="86" t="s">
        <v>501</v>
      </c>
      <c r="G4" s="86" t="s">
        <v>38</v>
      </c>
      <c r="H4" s="86" t="s">
        <v>848</v>
      </c>
    </row>
    <row r="5" spans="1:8" ht="12.75" hidden="1">
      <c r="A5" s="86">
        <v>4</v>
      </c>
      <c r="B5" s="86" t="s">
        <v>6500</v>
      </c>
      <c r="C5" s="86" t="str">
        <f t="shared" si="0"/>
        <v>515121</v>
      </c>
      <c r="D5" s="86" t="str">
        <f>IF(VLOOKUP(C5,'Diferencias patrimonio 2023'!$C$2:$C$1020,1,FALSE)=C5,"Encontrado", "No")</f>
        <v>Encontrado</v>
      </c>
      <c r="E5" s="86" t="s">
        <v>7401</v>
      </c>
      <c r="F5" s="86" t="s">
        <v>1199</v>
      </c>
      <c r="G5" s="86" t="s">
        <v>38</v>
      </c>
      <c r="H5" s="86" t="s">
        <v>6062</v>
      </c>
    </row>
    <row r="6" spans="1:8" ht="12.75">
      <c r="A6" s="86">
        <v>5</v>
      </c>
      <c r="B6" s="86" t="s">
        <v>7402</v>
      </c>
      <c r="C6" s="86" t="str">
        <f t="shared" si="0"/>
        <v>515122</v>
      </c>
      <c r="D6" s="86" t="e">
        <f>IF(VLOOKUP(C6,'Diferencias patrimonio 2023'!$C$2:$C$1020,1,FALSE)=C6,"Encontrado", "No")</f>
        <v>#N/A</v>
      </c>
      <c r="E6" s="86" t="s">
        <v>7403</v>
      </c>
      <c r="F6" s="86" t="s">
        <v>1199</v>
      </c>
      <c r="G6" s="86" t="s">
        <v>38</v>
      </c>
      <c r="H6" s="86" t="s">
        <v>7404</v>
      </c>
    </row>
    <row r="7" spans="1:8" ht="12.75">
      <c r="A7" s="86">
        <v>6</v>
      </c>
      <c r="B7" s="86" t="s">
        <v>7405</v>
      </c>
      <c r="C7" s="86" t="str">
        <f t="shared" si="0"/>
        <v>515125</v>
      </c>
      <c r="D7" s="86" t="e">
        <f>IF(VLOOKUP(C7,'Diferencias patrimonio 2023'!$C$2:$C$1020,1,FALSE)=C7,"Encontrado", "No")</f>
        <v>#N/A</v>
      </c>
      <c r="E7" s="86" t="s">
        <v>7406</v>
      </c>
      <c r="F7" s="86" t="s">
        <v>1199</v>
      </c>
      <c r="G7" s="86" t="s">
        <v>38</v>
      </c>
      <c r="H7" s="86" t="s">
        <v>4935</v>
      </c>
    </row>
    <row r="8" spans="1:8" ht="12.75" hidden="1">
      <c r="A8" s="86">
        <v>7</v>
      </c>
      <c r="B8" s="86" t="s">
        <v>3749</v>
      </c>
      <c r="C8" s="86" t="str">
        <f t="shared" si="0"/>
        <v>515290</v>
      </c>
      <c r="D8" s="86" t="str">
        <f>IF(VLOOKUP(C8,'Diferencias patrimonio 2023'!$C$2:$C$1020,1,FALSE)=C8,"Encontrado", "No")</f>
        <v>Encontrado</v>
      </c>
      <c r="E8" s="86" t="s">
        <v>7407</v>
      </c>
      <c r="F8" s="86" t="s">
        <v>7408</v>
      </c>
      <c r="G8" s="86" t="s">
        <v>38</v>
      </c>
      <c r="H8" s="86" t="s">
        <v>1665</v>
      </c>
    </row>
    <row r="9" spans="1:8" ht="12.75" hidden="1">
      <c r="A9" s="86">
        <v>8</v>
      </c>
      <c r="B9" s="86" t="s">
        <v>5532</v>
      </c>
      <c r="C9" s="86" t="str">
        <f t="shared" si="0"/>
        <v>515291</v>
      </c>
      <c r="D9" s="86" t="str">
        <f>IF(VLOOKUP(C9,'Diferencias patrimonio 2023'!$C$2:$C$1020,1,FALSE)=C9,"Encontrado", "No")</f>
        <v>Encontrado</v>
      </c>
      <c r="E9" s="86" t="s">
        <v>7409</v>
      </c>
      <c r="F9" s="86" t="s">
        <v>7408</v>
      </c>
      <c r="G9" s="86" t="s">
        <v>38</v>
      </c>
      <c r="H9" s="86" t="s">
        <v>5310</v>
      </c>
    </row>
    <row r="10" spans="1:8" ht="12.75">
      <c r="A10" s="86">
        <v>9</v>
      </c>
      <c r="B10" s="86" t="s">
        <v>7322</v>
      </c>
      <c r="C10" s="86" t="str">
        <f t="shared" si="0"/>
        <v>515317</v>
      </c>
      <c r="D10" s="86" t="e">
        <f>IF(VLOOKUP(C10,'Diferencias patrimonio 2023'!$C$2:$C$1020,1,FALSE)=C10,"Encontrado", "No")</f>
        <v>#N/A</v>
      </c>
      <c r="E10" s="86" t="s">
        <v>7410</v>
      </c>
      <c r="F10" s="86" t="s">
        <v>7408</v>
      </c>
      <c r="G10" s="86" t="s">
        <v>38</v>
      </c>
      <c r="H10" s="86" t="s">
        <v>7411</v>
      </c>
    </row>
    <row r="11" spans="1:8" ht="12.75">
      <c r="A11" s="86">
        <v>10</v>
      </c>
      <c r="B11" s="86" t="s">
        <v>7241</v>
      </c>
      <c r="C11" s="86" t="str">
        <f t="shared" si="0"/>
        <v>515364</v>
      </c>
      <c r="D11" s="86" t="e">
        <f>IF(VLOOKUP(C11,'Diferencias patrimonio 2023'!$C$2:$C$1020,1,FALSE)=C11,"Encontrado", "No")</f>
        <v>#N/A</v>
      </c>
      <c r="E11" s="86" t="s">
        <v>7412</v>
      </c>
      <c r="F11" s="86" t="s">
        <v>7408</v>
      </c>
      <c r="G11" s="86" t="s">
        <v>38</v>
      </c>
      <c r="H11" s="86" t="s">
        <v>2329</v>
      </c>
    </row>
    <row r="12" spans="1:8" ht="12.75">
      <c r="A12" s="86">
        <v>11</v>
      </c>
      <c r="B12" s="86" t="s">
        <v>7259</v>
      </c>
      <c r="C12" s="86" t="str">
        <f t="shared" si="0"/>
        <v>515365</v>
      </c>
      <c r="D12" s="86" t="e">
        <f>IF(VLOOKUP(C12,'Diferencias patrimonio 2023'!$C$2:$C$1020,1,FALSE)=C12,"Encontrado", "No")</f>
        <v>#N/A</v>
      </c>
      <c r="E12" s="86" t="s">
        <v>7413</v>
      </c>
      <c r="F12" s="86" t="s">
        <v>7408</v>
      </c>
      <c r="G12" s="86" t="s">
        <v>38</v>
      </c>
      <c r="H12" s="86" t="s">
        <v>7414</v>
      </c>
    </row>
    <row r="13" spans="1:8" ht="12.75">
      <c r="A13" s="86">
        <v>12</v>
      </c>
      <c r="B13" s="86" t="s">
        <v>7415</v>
      </c>
      <c r="C13" s="86" t="str">
        <f t="shared" si="0"/>
        <v>515490</v>
      </c>
      <c r="D13" s="86" t="e">
        <f>IF(VLOOKUP(C13,'Diferencias patrimonio 2023'!$C$2:$C$1020,1,FALSE)=C13,"Encontrado", "No")</f>
        <v>#N/A</v>
      </c>
      <c r="E13" s="86" t="s">
        <v>7416</v>
      </c>
      <c r="F13" s="86" t="s">
        <v>7417</v>
      </c>
      <c r="G13" s="86" t="s">
        <v>38</v>
      </c>
      <c r="H13" s="86" t="s">
        <v>6062</v>
      </c>
    </row>
    <row r="14" spans="1:8" ht="12.75" hidden="1">
      <c r="A14" s="86">
        <v>13</v>
      </c>
      <c r="B14" s="86" t="s">
        <v>5087</v>
      </c>
      <c r="C14" s="86" t="str">
        <f t="shared" si="0"/>
        <v>515554</v>
      </c>
      <c r="D14" s="86" t="str">
        <f>IF(VLOOKUP(C14,'Diferencias patrimonio 2023'!$C$2:$C$1020,1,FALSE)=C14,"Encontrado", "No")</f>
        <v>Encontrado</v>
      </c>
      <c r="E14" s="86" t="s">
        <v>7418</v>
      </c>
      <c r="F14" s="86" t="s">
        <v>466</v>
      </c>
      <c r="G14" s="86" t="s">
        <v>38</v>
      </c>
      <c r="H14" s="86" t="s">
        <v>4935</v>
      </c>
    </row>
    <row r="15" spans="1:8" ht="12.75" hidden="1">
      <c r="A15" s="86">
        <v>14</v>
      </c>
      <c r="B15" s="86" t="s">
        <v>4994</v>
      </c>
      <c r="C15" s="86" t="str">
        <f t="shared" si="0"/>
        <v>515589</v>
      </c>
      <c r="D15" s="86" t="str">
        <f>IF(VLOOKUP(C15,'Diferencias patrimonio 2023'!$C$2:$C$1020,1,FALSE)=C15,"Encontrado", "No")</f>
        <v>Encontrado</v>
      </c>
      <c r="E15" s="86" t="s">
        <v>7419</v>
      </c>
      <c r="F15" s="86" t="s">
        <v>184</v>
      </c>
      <c r="G15" s="86" t="s">
        <v>38</v>
      </c>
      <c r="H15" s="86" t="s">
        <v>4935</v>
      </c>
    </row>
    <row r="16" spans="1:8" ht="12.75" hidden="1">
      <c r="A16" s="86">
        <v>15</v>
      </c>
      <c r="B16" s="86" t="s">
        <v>5071</v>
      </c>
      <c r="C16" s="86" t="str">
        <f t="shared" si="0"/>
        <v>515590</v>
      </c>
      <c r="D16" s="86" t="str">
        <f>IF(VLOOKUP(C16,'Diferencias patrimonio 2023'!$C$2:$C$1020,1,FALSE)=C16,"Encontrado", "No")</f>
        <v>Encontrado</v>
      </c>
      <c r="E16" s="86" t="s">
        <v>7420</v>
      </c>
      <c r="F16" s="86" t="s">
        <v>184</v>
      </c>
      <c r="G16" s="86" t="s">
        <v>38</v>
      </c>
      <c r="H16" s="86" t="s">
        <v>4935</v>
      </c>
    </row>
    <row r="17" spans="1:8" ht="12.75" hidden="1">
      <c r="A17" s="86">
        <v>16</v>
      </c>
      <c r="B17" s="86" t="s">
        <v>7421</v>
      </c>
      <c r="C17" s="86" t="str">
        <f t="shared" si="0"/>
        <v>515592</v>
      </c>
      <c r="D17" s="86" t="str">
        <f>IF(VLOOKUP(C17,'Diferencias patrimonio 2023'!$C$2:$C$1020,1,FALSE)=C17,"Encontrado", "No")</f>
        <v>Encontrado</v>
      </c>
      <c r="E17" s="86" t="s">
        <v>7422</v>
      </c>
      <c r="F17" s="86" t="s">
        <v>184</v>
      </c>
      <c r="G17" s="86" t="s">
        <v>38</v>
      </c>
      <c r="H17" s="86" t="s">
        <v>7411</v>
      </c>
    </row>
    <row r="18" spans="1:8" ht="12.75" hidden="1">
      <c r="A18" s="86">
        <v>17</v>
      </c>
      <c r="B18" s="86" t="s">
        <v>2594</v>
      </c>
      <c r="C18" s="86" t="str">
        <f t="shared" si="0"/>
        <v>515599</v>
      </c>
      <c r="D18" s="86" t="str">
        <f>IF(VLOOKUP(C18,'Diferencias patrimonio 2023'!$C$2:$C$1020,1,FALSE)=C18,"Encontrado", "No")</f>
        <v>Encontrado</v>
      </c>
      <c r="E18" s="86" t="s">
        <v>7423</v>
      </c>
      <c r="F18" s="86" t="s">
        <v>184</v>
      </c>
      <c r="G18" s="86" t="s">
        <v>38</v>
      </c>
      <c r="H18" s="86" t="s">
        <v>2552</v>
      </c>
    </row>
    <row r="19" spans="1:8" ht="12.75" hidden="1">
      <c r="A19" s="86">
        <v>18</v>
      </c>
      <c r="B19" s="86" t="s">
        <v>7424</v>
      </c>
      <c r="C19" s="86" t="str">
        <f t="shared" si="0"/>
        <v>515600</v>
      </c>
      <c r="D19" s="86" t="str">
        <f>IF(VLOOKUP(C19,'Diferencias patrimonio 2023'!$C$2:$C$1020,1,FALSE)=C19,"Encontrado", "No")</f>
        <v>Encontrado</v>
      </c>
      <c r="E19" s="86" t="s">
        <v>7425</v>
      </c>
      <c r="F19" s="86" t="s">
        <v>184</v>
      </c>
      <c r="G19" s="86" t="s">
        <v>38</v>
      </c>
      <c r="H19" s="86" t="s">
        <v>1477</v>
      </c>
    </row>
    <row r="20" spans="1:8" ht="12.75" hidden="1">
      <c r="A20" s="86">
        <v>19</v>
      </c>
      <c r="B20" s="86" t="s">
        <v>1997</v>
      </c>
      <c r="C20" s="86" t="str">
        <f t="shared" si="0"/>
        <v>515602</v>
      </c>
      <c r="D20" s="86" t="str">
        <f>IF(VLOOKUP(C20,'Diferencias patrimonio 2023'!$C$2:$C$1020,1,FALSE)=C20,"Encontrado", "No")</f>
        <v>Encontrado</v>
      </c>
      <c r="E20" s="86" t="s">
        <v>7427</v>
      </c>
      <c r="F20" s="86" t="s">
        <v>184</v>
      </c>
      <c r="G20" s="86" t="s">
        <v>38</v>
      </c>
      <c r="H20" s="86" t="s">
        <v>7428</v>
      </c>
    </row>
    <row r="21" spans="1:8" ht="12.75">
      <c r="A21" s="86">
        <v>20</v>
      </c>
      <c r="B21" s="86" t="s">
        <v>7323</v>
      </c>
      <c r="C21" s="86" t="str">
        <f t="shared" si="0"/>
        <v>515606</v>
      </c>
      <c r="D21" s="86" t="e">
        <f>IF(VLOOKUP(C21,'Diferencias patrimonio 2023'!$C$2:$C$1020,1,FALSE)=C21,"Encontrado", "No")</f>
        <v>#N/A</v>
      </c>
      <c r="E21" s="86" t="s">
        <v>7429</v>
      </c>
      <c r="F21" s="86" t="s">
        <v>184</v>
      </c>
      <c r="G21" s="86" t="s">
        <v>38</v>
      </c>
      <c r="H21" s="86" t="s">
        <v>7430</v>
      </c>
    </row>
    <row r="22" spans="1:8" ht="12.75" hidden="1">
      <c r="A22" s="86">
        <v>21</v>
      </c>
      <c r="B22" s="86" t="s">
        <v>7431</v>
      </c>
      <c r="C22" s="86" t="str">
        <f t="shared" si="0"/>
        <v>515607</v>
      </c>
      <c r="D22" s="86" t="str">
        <f>IF(VLOOKUP(C22,'Diferencias patrimonio 2023'!$C$2:$C$1020,1,FALSE)=C22,"Encontrado", "No")</f>
        <v>Encontrado</v>
      </c>
      <c r="E22" s="86" t="s">
        <v>7432</v>
      </c>
      <c r="F22" s="86" t="s">
        <v>184</v>
      </c>
      <c r="G22" s="86" t="s">
        <v>38</v>
      </c>
      <c r="H22" s="86" t="s">
        <v>7430</v>
      </c>
    </row>
    <row r="23" spans="1:8" ht="12.75" hidden="1">
      <c r="A23" s="86">
        <v>22</v>
      </c>
      <c r="B23" s="86" t="s">
        <v>3316</v>
      </c>
      <c r="C23" s="86" t="str">
        <f t="shared" si="0"/>
        <v>515608</v>
      </c>
      <c r="D23" s="86" t="str">
        <f>IF(VLOOKUP(C23,'Diferencias patrimonio 2023'!$C$2:$C$1020,1,FALSE)=C23,"Encontrado", "No")</f>
        <v>Encontrado</v>
      </c>
      <c r="E23" s="86" t="s">
        <v>7433</v>
      </c>
      <c r="F23" s="86" t="s">
        <v>184</v>
      </c>
      <c r="G23" s="86" t="s">
        <v>38</v>
      </c>
      <c r="H23" s="86" t="s">
        <v>7434</v>
      </c>
    </row>
    <row r="24" spans="1:8" ht="12.75" hidden="1">
      <c r="A24" s="86">
        <v>23</v>
      </c>
      <c r="B24" s="86" t="s">
        <v>3322</v>
      </c>
      <c r="C24" s="86" t="str">
        <f t="shared" si="0"/>
        <v>515609</v>
      </c>
      <c r="D24" s="86" t="str">
        <f>IF(VLOOKUP(C24,'Diferencias patrimonio 2023'!$C$2:$C$1020,1,FALSE)=C24,"Encontrado", "No")</f>
        <v>Encontrado</v>
      </c>
      <c r="E24" s="86" t="s">
        <v>7435</v>
      </c>
      <c r="F24" s="86" t="s">
        <v>184</v>
      </c>
      <c r="G24" s="86" t="s">
        <v>38</v>
      </c>
      <c r="H24" s="86" t="s">
        <v>7434</v>
      </c>
    </row>
    <row r="25" spans="1:8" ht="12.75" hidden="1">
      <c r="A25" s="86">
        <v>24</v>
      </c>
      <c r="B25" s="86" t="s">
        <v>1969</v>
      </c>
      <c r="C25" s="86" t="str">
        <f t="shared" si="0"/>
        <v>515611</v>
      </c>
      <c r="D25" s="86" t="str">
        <f>IF(VLOOKUP(C25,'Diferencias patrimonio 2023'!$C$2:$C$1020,1,FALSE)=C25,"Encontrado", "No")</f>
        <v>Encontrado</v>
      </c>
      <c r="E25" s="86" t="s">
        <v>7436</v>
      </c>
      <c r="F25" s="86" t="s">
        <v>184</v>
      </c>
      <c r="G25" s="86" t="s">
        <v>38</v>
      </c>
      <c r="H25" s="86" t="s">
        <v>1672</v>
      </c>
    </row>
    <row r="26" spans="1:8" ht="12.75" hidden="1">
      <c r="A26" s="86">
        <v>25</v>
      </c>
      <c r="B26" s="86" t="s">
        <v>232</v>
      </c>
      <c r="C26" s="86" t="str">
        <f t="shared" si="0"/>
        <v>515612</v>
      </c>
      <c r="D26" s="86" t="str">
        <f>IF(VLOOKUP(C26,'Diferencias patrimonio 2023'!$C$2:$C$1020,1,FALSE)=C26,"Encontrado", "No")</f>
        <v>Encontrado</v>
      </c>
      <c r="E26" s="86" t="s">
        <v>7437</v>
      </c>
      <c r="F26" s="86" t="s">
        <v>184</v>
      </c>
      <c r="G26" s="86" t="s">
        <v>38</v>
      </c>
      <c r="H26" s="86" t="s">
        <v>7398</v>
      </c>
    </row>
    <row r="27" spans="1:8" ht="12.75" hidden="1">
      <c r="A27" s="86">
        <v>26</v>
      </c>
      <c r="B27" s="86" t="s">
        <v>5000</v>
      </c>
      <c r="C27" s="86" t="str">
        <f t="shared" si="0"/>
        <v>515613</v>
      </c>
      <c r="D27" s="86" t="str">
        <f>IF(VLOOKUP(C27,'Diferencias patrimonio 2023'!$C$2:$C$1020,1,FALSE)=C27,"Encontrado", "No")</f>
        <v>Encontrado</v>
      </c>
      <c r="E27" s="86" t="s">
        <v>7438</v>
      </c>
      <c r="F27" s="86" t="s">
        <v>184</v>
      </c>
      <c r="G27" s="86" t="s">
        <v>38</v>
      </c>
      <c r="H27" s="86" t="s">
        <v>4935</v>
      </c>
    </row>
    <row r="28" spans="1:8" ht="12.75" hidden="1">
      <c r="A28" s="86">
        <v>27</v>
      </c>
      <c r="B28" s="86" t="s">
        <v>226</v>
      </c>
      <c r="C28" s="86" t="str">
        <f t="shared" si="0"/>
        <v>515614</v>
      </c>
      <c r="D28" s="86" t="str">
        <f>IF(VLOOKUP(C28,'Diferencias patrimonio 2023'!$C$2:$C$1020,1,FALSE)=C28,"Encontrado", "No")</f>
        <v>Encontrado</v>
      </c>
      <c r="E28" s="86" t="s">
        <v>7439</v>
      </c>
      <c r="F28" s="86" t="s">
        <v>184</v>
      </c>
      <c r="G28" s="86" t="s">
        <v>38</v>
      </c>
      <c r="H28" s="86" t="s">
        <v>7398</v>
      </c>
    </row>
    <row r="29" spans="1:8" ht="12.75" hidden="1">
      <c r="A29" s="86">
        <v>28</v>
      </c>
      <c r="B29" s="86" t="s">
        <v>1011</v>
      </c>
      <c r="C29" s="86" t="str">
        <f t="shared" si="0"/>
        <v>515615</v>
      </c>
      <c r="D29" s="86" t="str">
        <f>IF(VLOOKUP(C29,'Diferencias patrimonio 2023'!$C$2:$C$1020,1,FALSE)=C29,"Encontrado", "No")</f>
        <v>Encontrado</v>
      </c>
      <c r="E29" s="86" t="s">
        <v>7440</v>
      </c>
      <c r="F29" s="86" t="s">
        <v>184</v>
      </c>
      <c r="G29" s="86" t="s">
        <v>38</v>
      </c>
      <c r="H29" s="86" t="s">
        <v>7441</v>
      </c>
    </row>
    <row r="30" spans="1:8" ht="12.75" hidden="1">
      <c r="A30" s="86">
        <v>29</v>
      </c>
      <c r="B30" s="86" t="s">
        <v>7442</v>
      </c>
      <c r="C30" s="86" t="str">
        <f t="shared" si="0"/>
        <v>515616</v>
      </c>
      <c r="D30" s="86" t="str">
        <f>IF(VLOOKUP(C30,'Diferencias patrimonio 2023'!$C$2:$C$1020,1,FALSE)=C30,"Encontrado", "No")</f>
        <v>Encontrado</v>
      </c>
      <c r="E30" s="86" t="s">
        <v>7443</v>
      </c>
      <c r="F30" s="86" t="s">
        <v>184</v>
      </c>
      <c r="G30" s="86" t="s">
        <v>38</v>
      </c>
      <c r="H30" s="86" t="s">
        <v>7414</v>
      </c>
    </row>
    <row r="31" spans="1:8" ht="12.75" hidden="1">
      <c r="A31" s="86">
        <v>30</v>
      </c>
      <c r="B31" s="86" t="s">
        <v>6435</v>
      </c>
      <c r="C31" s="86" t="str">
        <f t="shared" si="0"/>
        <v>515617</v>
      </c>
      <c r="D31" s="86" t="str">
        <f>IF(VLOOKUP(C31,'Diferencias patrimonio 2023'!$C$2:$C$1020,1,FALSE)=C31,"Encontrado", "No")</f>
        <v>Encontrado</v>
      </c>
      <c r="E31" s="86" t="s">
        <v>7444</v>
      </c>
      <c r="F31" s="86" t="s">
        <v>184</v>
      </c>
      <c r="G31" s="86" t="s">
        <v>38</v>
      </c>
      <c r="H31" s="86" t="s">
        <v>6062</v>
      </c>
    </row>
    <row r="32" spans="1:8" ht="12.75" hidden="1">
      <c r="A32" s="86">
        <v>31</v>
      </c>
      <c r="B32" s="86" t="s">
        <v>6423</v>
      </c>
      <c r="C32" s="86" t="str">
        <f t="shared" si="0"/>
        <v>516008</v>
      </c>
      <c r="D32" s="86" t="str">
        <f>IF(VLOOKUP(C32,'Diferencias patrimonio 2023'!$C$2:$C$1020,1,FALSE)=C32,"Encontrado", "No")</f>
        <v>Encontrado</v>
      </c>
      <c r="E32" s="86" t="s">
        <v>7445</v>
      </c>
      <c r="F32" s="86" t="s">
        <v>184</v>
      </c>
      <c r="G32" s="86" t="s">
        <v>38</v>
      </c>
      <c r="H32" s="86" t="s">
        <v>6062</v>
      </c>
    </row>
    <row r="33" spans="1:8" ht="12.75" hidden="1">
      <c r="A33" s="86">
        <v>32</v>
      </c>
      <c r="B33" s="86" t="s">
        <v>6218</v>
      </c>
      <c r="C33" s="86" t="str">
        <f t="shared" si="0"/>
        <v>516009</v>
      </c>
      <c r="D33" s="86" t="str">
        <f>IF(VLOOKUP(C33,'Diferencias patrimonio 2023'!$C$2:$C$1020,1,FALSE)=C33,"Encontrado", "No")</f>
        <v>Encontrado</v>
      </c>
      <c r="E33" s="86" t="s">
        <v>7446</v>
      </c>
      <c r="F33" s="86" t="s">
        <v>184</v>
      </c>
      <c r="G33" s="86" t="s">
        <v>38</v>
      </c>
      <c r="H33" s="86" t="s">
        <v>6062</v>
      </c>
    </row>
    <row r="34" spans="1:8" ht="12.75" hidden="1">
      <c r="A34" s="86">
        <v>33</v>
      </c>
      <c r="B34" s="86" t="s">
        <v>7447</v>
      </c>
      <c r="C34" s="86" t="str">
        <f t="shared" si="0"/>
        <v>516013</v>
      </c>
      <c r="D34" s="86" t="str">
        <f>IF(VLOOKUP(C34,'Diferencias patrimonio 2023'!$C$2:$C$1020,1,FALSE)=C34,"Encontrado", "No")</f>
        <v>Encontrado</v>
      </c>
      <c r="E34" s="86" t="s">
        <v>7448</v>
      </c>
      <c r="F34" s="86" t="s">
        <v>184</v>
      </c>
      <c r="G34" s="86" t="s">
        <v>38</v>
      </c>
      <c r="H34" s="86" t="s">
        <v>7411</v>
      </c>
    </row>
    <row r="35" spans="1:8" ht="12.75" hidden="1">
      <c r="A35" s="86">
        <v>34</v>
      </c>
      <c r="B35" s="86" t="s">
        <v>6399</v>
      </c>
      <c r="C35" s="86" t="str">
        <f t="shared" si="0"/>
        <v>516014</v>
      </c>
      <c r="D35" s="86" t="str">
        <f>IF(VLOOKUP(C35,'Diferencias patrimonio 2023'!$C$2:$C$1020,1,FALSE)=C35,"Encontrado", "No")</f>
        <v>Encontrado</v>
      </c>
      <c r="E35" s="86" t="s">
        <v>7449</v>
      </c>
      <c r="F35" s="86" t="s">
        <v>184</v>
      </c>
      <c r="G35" s="86" t="s">
        <v>38</v>
      </c>
      <c r="H35" s="86" t="s">
        <v>6062</v>
      </c>
    </row>
    <row r="36" spans="1:8" ht="12.75" hidden="1">
      <c r="A36" s="86">
        <v>35</v>
      </c>
      <c r="B36" s="86" t="s">
        <v>6375</v>
      </c>
      <c r="C36" s="86" t="str">
        <f t="shared" si="0"/>
        <v>516015</v>
      </c>
      <c r="D36" s="86" t="str">
        <f>IF(VLOOKUP(C36,'Diferencias patrimonio 2023'!$C$2:$C$1020,1,FALSE)=C36,"Encontrado", "No")</f>
        <v>Encontrado</v>
      </c>
      <c r="E36" s="86" t="s">
        <v>7450</v>
      </c>
      <c r="F36" s="86" t="s">
        <v>184</v>
      </c>
      <c r="G36" s="86" t="s">
        <v>38</v>
      </c>
      <c r="H36" s="86" t="s">
        <v>6062</v>
      </c>
    </row>
    <row r="37" spans="1:8" ht="12.75" hidden="1">
      <c r="A37" s="86">
        <v>36</v>
      </c>
      <c r="B37" s="86" t="s">
        <v>6429</v>
      </c>
      <c r="C37" s="86" t="str">
        <f t="shared" si="0"/>
        <v>516016</v>
      </c>
      <c r="D37" s="86" t="str">
        <f>IF(VLOOKUP(C37,'Diferencias patrimonio 2023'!$C$2:$C$1020,1,FALSE)=C37,"Encontrado", "No")</f>
        <v>Encontrado</v>
      </c>
      <c r="E37" s="86" t="s">
        <v>7451</v>
      </c>
      <c r="F37" s="86" t="s">
        <v>184</v>
      </c>
      <c r="G37" s="86" t="s">
        <v>38</v>
      </c>
      <c r="H37" s="86" t="s">
        <v>6062</v>
      </c>
    </row>
    <row r="38" spans="1:8" ht="12.75" hidden="1">
      <c r="A38" s="86">
        <v>37</v>
      </c>
      <c r="B38" s="86" t="s">
        <v>6405</v>
      </c>
      <c r="C38" s="86" t="str">
        <f t="shared" si="0"/>
        <v>516017</v>
      </c>
      <c r="D38" s="86" t="str">
        <f>IF(VLOOKUP(C38,'Diferencias patrimonio 2023'!$C$2:$C$1020,1,FALSE)=C38,"Encontrado", "No")</f>
        <v>Encontrado</v>
      </c>
      <c r="E38" s="86" t="s">
        <v>7452</v>
      </c>
      <c r="F38" s="86" t="s">
        <v>184</v>
      </c>
      <c r="G38" s="86" t="s">
        <v>38</v>
      </c>
      <c r="H38" s="86" t="s">
        <v>6062</v>
      </c>
    </row>
    <row r="39" spans="1:8" ht="12.75" hidden="1">
      <c r="A39" s="86">
        <v>38</v>
      </c>
      <c r="B39" s="86" t="s">
        <v>6212</v>
      </c>
      <c r="C39" s="86" t="str">
        <f t="shared" si="0"/>
        <v>516018</v>
      </c>
      <c r="D39" s="86" t="str">
        <f>IF(VLOOKUP(C39,'Diferencias patrimonio 2023'!$C$2:$C$1020,1,FALSE)=C39,"Encontrado", "No")</f>
        <v>Encontrado</v>
      </c>
      <c r="E39" s="86" t="s">
        <v>7453</v>
      </c>
      <c r="F39" s="86" t="s">
        <v>184</v>
      </c>
      <c r="G39" s="86" t="s">
        <v>38</v>
      </c>
      <c r="H39" s="86" t="s">
        <v>6062</v>
      </c>
    </row>
    <row r="40" spans="1:8" ht="12.75">
      <c r="A40" s="86">
        <v>39</v>
      </c>
      <c r="B40" s="86" t="s">
        <v>7454</v>
      </c>
      <c r="C40" s="86" t="str">
        <f t="shared" si="0"/>
        <v>516043</v>
      </c>
      <c r="D40" s="86" t="e">
        <f>IF(VLOOKUP(C40,'Diferencias patrimonio 2023'!$C$2:$C$1020,1,FALSE)=C40,"Encontrado", "No")</f>
        <v>#N/A</v>
      </c>
      <c r="E40" s="86" t="s">
        <v>7455</v>
      </c>
      <c r="F40" s="86" t="s">
        <v>248</v>
      </c>
      <c r="G40" s="86" t="s">
        <v>38</v>
      </c>
      <c r="H40" s="86" t="s">
        <v>7430</v>
      </c>
    </row>
    <row r="41" spans="1:8" ht="12.75" hidden="1">
      <c r="A41" s="86">
        <v>40</v>
      </c>
      <c r="B41" s="86" t="s">
        <v>7456</v>
      </c>
      <c r="C41" s="86" t="str">
        <f t="shared" si="0"/>
        <v>516176</v>
      </c>
      <c r="D41" s="86" t="str">
        <f>IF(VLOOKUP(C41,'Diferencias patrimonio 2023'!$C$2:$C$1020,1,FALSE)=C41,"Encontrado", "No")</f>
        <v>Encontrado</v>
      </c>
      <c r="E41" s="86" t="s">
        <v>7457</v>
      </c>
      <c r="F41" s="86" t="s">
        <v>378</v>
      </c>
      <c r="G41" s="86" t="s">
        <v>38</v>
      </c>
      <c r="H41" s="86" t="s">
        <v>3450</v>
      </c>
    </row>
    <row r="42" spans="1:8" ht="12.75" hidden="1">
      <c r="A42" s="86">
        <v>41</v>
      </c>
      <c r="B42" s="86" t="s">
        <v>5253</v>
      </c>
      <c r="C42" s="86" t="str">
        <f t="shared" si="0"/>
        <v>516177</v>
      </c>
      <c r="D42" s="86" t="str">
        <f>IF(VLOOKUP(C42,'Diferencias patrimonio 2023'!$C$2:$C$1020,1,FALSE)=C42,"Encontrado", "No")</f>
        <v>Encontrado</v>
      </c>
      <c r="E42" s="86" t="s">
        <v>7458</v>
      </c>
      <c r="F42" s="86" t="s">
        <v>378</v>
      </c>
      <c r="G42" s="86" t="s">
        <v>38</v>
      </c>
      <c r="H42" s="86" t="s">
        <v>5223</v>
      </c>
    </row>
    <row r="43" spans="1:8" ht="12.75" hidden="1">
      <c r="A43" s="86">
        <v>42</v>
      </c>
      <c r="B43" s="86" t="s">
        <v>5208</v>
      </c>
      <c r="C43" s="86" t="str">
        <f t="shared" si="0"/>
        <v>516185</v>
      </c>
      <c r="D43" s="86" t="str">
        <f>IF(VLOOKUP(C43,'Diferencias patrimonio 2023'!$C$2:$C$1020,1,FALSE)=C43,"Encontrado", "No")</f>
        <v>Encontrado</v>
      </c>
      <c r="E43" s="86" t="s">
        <v>7459</v>
      </c>
      <c r="F43" s="86" t="s">
        <v>378</v>
      </c>
      <c r="G43" s="86" t="s">
        <v>38</v>
      </c>
      <c r="H43" s="86" t="s">
        <v>5138</v>
      </c>
    </row>
    <row r="44" spans="1:8" ht="12.75" hidden="1">
      <c r="A44" s="86">
        <v>43</v>
      </c>
      <c r="B44" s="86" t="s">
        <v>1824</v>
      </c>
      <c r="C44" s="86" t="str">
        <f t="shared" si="0"/>
        <v>516227</v>
      </c>
      <c r="D44" s="86" t="str">
        <f>IF(VLOOKUP(C44,'Diferencias patrimonio 2023'!$C$2:$C$1020,1,FALSE)=C44,"Encontrado", "No")</f>
        <v>Encontrado</v>
      </c>
      <c r="E44" s="86" t="s">
        <v>7460</v>
      </c>
      <c r="F44" s="86" t="s">
        <v>378</v>
      </c>
      <c r="G44" s="86" t="s">
        <v>38</v>
      </c>
      <c r="H44" s="86" t="s">
        <v>1550</v>
      </c>
    </row>
    <row r="45" spans="1:8" ht="12.75" hidden="1">
      <c r="A45" s="86">
        <v>44</v>
      </c>
      <c r="B45" s="86" t="s">
        <v>5763</v>
      </c>
      <c r="C45" s="86" t="str">
        <f t="shared" si="0"/>
        <v>516228</v>
      </c>
      <c r="D45" s="86" t="str">
        <f>IF(VLOOKUP(C45,'Diferencias patrimonio 2023'!$C$2:$C$1020,1,FALSE)=C45,"Encontrado", "No")</f>
        <v>Encontrado</v>
      </c>
      <c r="E45" s="86" t="s">
        <v>7461</v>
      </c>
      <c r="F45" s="86" t="s">
        <v>378</v>
      </c>
      <c r="G45" s="86" t="s">
        <v>38</v>
      </c>
      <c r="H45" s="86" t="s">
        <v>7398</v>
      </c>
    </row>
    <row r="46" spans="1:8" ht="12.75" hidden="1">
      <c r="A46" s="86">
        <v>45</v>
      </c>
      <c r="B46" s="86" t="s">
        <v>4551</v>
      </c>
      <c r="C46" s="86" t="str">
        <f t="shared" si="0"/>
        <v>516229</v>
      </c>
      <c r="D46" s="86" t="str">
        <f>IF(VLOOKUP(C46,'Diferencias patrimonio 2023'!$C$2:$C$1020,1,FALSE)=C46,"Encontrado", "No")</f>
        <v>Encontrado</v>
      </c>
      <c r="E46" s="86" t="s">
        <v>7462</v>
      </c>
      <c r="F46" s="86" t="s">
        <v>378</v>
      </c>
      <c r="G46" s="86" t="s">
        <v>38</v>
      </c>
      <c r="H46" s="86" t="s">
        <v>3840</v>
      </c>
    </row>
    <row r="47" spans="1:8" ht="12.75" hidden="1">
      <c r="A47" s="86">
        <v>46</v>
      </c>
      <c r="B47" s="86" t="s">
        <v>4820</v>
      </c>
      <c r="C47" s="86" t="str">
        <f t="shared" si="0"/>
        <v>516230</v>
      </c>
      <c r="D47" s="86" t="str">
        <f>IF(VLOOKUP(C47,'Diferencias patrimonio 2023'!$C$2:$C$1020,1,FALSE)=C47,"Encontrado", "No")</f>
        <v>Encontrado</v>
      </c>
      <c r="E47" s="86" t="s">
        <v>7463</v>
      </c>
      <c r="F47" s="86" t="s">
        <v>378</v>
      </c>
      <c r="G47" s="86" t="s">
        <v>38</v>
      </c>
      <c r="H47" s="86" t="s">
        <v>7464</v>
      </c>
    </row>
    <row r="48" spans="1:8" ht="12.75" hidden="1">
      <c r="A48" s="86">
        <v>47</v>
      </c>
      <c r="B48" s="86" t="s">
        <v>5316</v>
      </c>
      <c r="C48" s="86" t="str">
        <f t="shared" si="0"/>
        <v>516231</v>
      </c>
      <c r="D48" s="86" t="str">
        <f>IF(VLOOKUP(C48,'Diferencias patrimonio 2023'!$C$2:$C$1020,1,FALSE)=C48,"Encontrado", "No")</f>
        <v>Encontrado</v>
      </c>
      <c r="E48" s="86" t="s">
        <v>7465</v>
      </c>
      <c r="F48" s="86" t="s">
        <v>378</v>
      </c>
      <c r="G48" s="86" t="s">
        <v>38</v>
      </c>
      <c r="H48" s="86" t="s">
        <v>4980</v>
      </c>
    </row>
    <row r="49" spans="1:8" ht="12.75" hidden="1">
      <c r="A49" s="86">
        <v>48</v>
      </c>
      <c r="B49" s="86" t="s">
        <v>5757</v>
      </c>
      <c r="C49" s="86" t="str">
        <f t="shared" si="0"/>
        <v>516232</v>
      </c>
      <c r="D49" s="86" t="str">
        <f>IF(VLOOKUP(C49,'Diferencias patrimonio 2023'!$C$2:$C$1020,1,FALSE)=C49,"Encontrado", "No")</f>
        <v>Encontrado</v>
      </c>
      <c r="E49" s="86" t="s">
        <v>7466</v>
      </c>
      <c r="F49" s="86" t="s">
        <v>378</v>
      </c>
      <c r="G49" s="86" t="s">
        <v>38</v>
      </c>
      <c r="H49" s="86" t="s">
        <v>7398</v>
      </c>
    </row>
    <row r="50" spans="1:8" ht="12.75" hidden="1">
      <c r="A50" s="86">
        <v>49</v>
      </c>
      <c r="B50" s="86" t="s">
        <v>5836</v>
      </c>
      <c r="C50" s="86" t="str">
        <f t="shared" si="0"/>
        <v>516234</v>
      </c>
      <c r="D50" s="86" t="str">
        <f>IF(VLOOKUP(C50,'Diferencias patrimonio 2023'!$C$2:$C$1020,1,FALSE)=C50,"Encontrado", "No")</f>
        <v>Encontrado</v>
      </c>
      <c r="E50" s="86" t="s">
        <v>7467</v>
      </c>
      <c r="F50" s="86" t="s">
        <v>378</v>
      </c>
      <c r="G50" s="86" t="s">
        <v>38</v>
      </c>
      <c r="H50" s="86" t="s">
        <v>7398</v>
      </c>
    </row>
    <row r="51" spans="1:8" ht="12.75" hidden="1">
      <c r="A51" s="86">
        <v>50</v>
      </c>
      <c r="B51" s="86" t="s">
        <v>6290</v>
      </c>
      <c r="C51" s="86" t="str">
        <f t="shared" si="0"/>
        <v>516235</v>
      </c>
      <c r="D51" s="86" t="str">
        <f>IF(VLOOKUP(C51,'Diferencias patrimonio 2023'!$C$2:$C$1020,1,FALSE)=C51,"Encontrado", "No")</f>
        <v>Encontrado</v>
      </c>
      <c r="E51" s="86" t="s">
        <v>7468</v>
      </c>
      <c r="F51" s="86" t="s">
        <v>378</v>
      </c>
      <c r="G51" s="86" t="s">
        <v>38</v>
      </c>
      <c r="H51" s="86" t="s">
        <v>6062</v>
      </c>
    </row>
    <row r="52" spans="1:8" ht="12.75" hidden="1">
      <c r="A52" s="86">
        <v>51</v>
      </c>
      <c r="B52" s="86" t="s">
        <v>3150</v>
      </c>
      <c r="C52" s="86" t="str">
        <f t="shared" si="0"/>
        <v>516236</v>
      </c>
      <c r="D52" s="86" t="str">
        <f>IF(VLOOKUP(C52,'Diferencias patrimonio 2023'!$C$2:$C$1020,1,FALSE)=C52,"Encontrado", "No")</f>
        <v>Encontrado</v>
      </c>
      <c r="E52" s="86" t="s">
        <v>7469</v>
      </c>
      <c r="F52" s="86" t="s">
        <v>378</v>
      </c>
      <c r="G52" s="86" t="s">
        <v>38</v>
      </c>
      <c r="H52" s="86" t="s">
        <v>3092</v>
      </c>
    </row>
    <row r="53" spans="1:8" ht="12.75" hidden="1">
      <c r="A53" s="86">
        <v>52</v>
      </c>
      <c r="B53" s="86" t="s">
        <v>7470</v>
      </c>
      <c r="C53" s="86" t="str">
        <f t="shared" si="0"/>
        <v>516245</v>
      </c>
      <c r="D53" s="86" t="str">
        <f>IF(VLOOKUP(C53,'Diferencias patrimonio 2023'!$C$2:$C$1020,1,FALSE)=C53,"Encontrado", "No")</f>
        <v>Encontrado</v>
      </c>
      <c r="E53" s="86" t="s">
        <v>7471</v>
      </c>
      <c r="F53" s="86" t="s">
        <v>378</v>
      </c>
      <c r="G53" s="86" t="s">
        <v>38</v>
      </c>
      <c r="H53" s="86" t="s">
        <v>7472</v>
      </c>
    </row>
    <row r="54" spans="1:8" ht="12.75" hidden="1">
      <c r="A54" s="86">
        <v>53</v>
      </c>
      <c r="B54" s="86" t="s">
        <v>7473</v>
      </c>
      <c r="C54" s="86" t="str">
        <f t="shared" si="0"/>
        <v>516246</v>
      </c>
      <c r="D54" s="86" t="str">
        <f>IF(VLOOKUP(C54,'Diferencias patrimonio 2023'!$C$2:$C$1020,1,FALSE)=C54,"Encontrado", "No")</f>
        <v>Encontrado</v>
      </c>
      <c r="E54" s="86" t="s">
        <v>7474</v>
      </c>
      <c r="F54" s="86" t="s">
        <v>378</v>
      </c>
      <c r="G54" s="86" t="s">
        <v>38</v>
      </c>
      <c r="H54" s="86" t="s">
        <v>7411</v>
      </c>
    </row>
    <row r="55" spans="1:8" ht="12.75" hidden="1">
      <c r="A55" s="86">
        <v>54</v>
      </c>
      <c r="B55" s="86" t="s">
        <v>3865</v>
      </c>
      <c r="C55" s="86" t="str">
        <f t="shared" si="0"/>
        <v>516247</v>
      </c>
      <c r="D55" s="86" t="str">
        <f>IF(VLOOKUP(C55,'Diferencias patrimonio 2023'!$C$2:$C$1020,1,FALSE)=C55,"Encontrado", "No")</f>
        <v>Encontrado</v>
      </c>
      <c r="E55" s="86" t="s">
        <v>7475</v>
      </c>
      <c r="F55" s="86" t="s">
        <v>378</v>
      </c>
      <c r="G55" s="86" t="s">
        <v>38</v>
      </c>
      <c r="H55" s="86" t="s">
        <v>2329</v>
      </c>
    </row>
    <row r="56" spans="1:8" ht="12.75" hidden="1">
      <c r="A56" s="86">
        <v>55</v>
      </c>
      <c r="B56" s="86" t="s">
        <v>7476</v>
      </c>
      <c r="C56" s="86" t="str">
        <f t="shared" si="0"/>
        <v>516248</v>
      </c>
      <c r="D56" s="86" t="str">
        <f>IF(VLOOKUP(C56,'Diferencias patrimonio 2023'!$C$2:$C$1020,1,FALSE)=C56,"Encontrado", "No")</f>
        <v>Encontrado</v>
      </c>
      <c r="E56" s="86" t="s">
        <v>7477</v>
      </c>
      <c r="F56" s="86" t="s">
        <v>378</v>
      </c>
      <c r="G56" s="86" t="s">
        <v>38</v>
      </c>
      <c r="H56" s="86" t="s">
        <v>4057</v>
      </c>
    </row>
    <row r="57" spans="1:8" ht="12.75" hidden="1">
      <c r="A57" s="86">
        <v>56</v>
      </c>
      <c r="B57" s="86" t="s">
        <v>1818</v>
      </c>
      <c r="C57" s="86" t="str">
        <f t="shared" si="0"/>
        <v>516280</v>
      </c>
      <c r="D57" s="86" t="str">
        <f>IF(VLOOKUP(C57,'Diferencias patrimonio 2023'!$C$2:$C$1020,1,FALSE)=C57,"Encontrado", "No")</f>
        <v>Encontrado</v>
      </c>
      <c r="E57" s="86" t="s">
        <v>7478</v>
      </c>
      <c r="F57" s="86" t="s">
        <v>378</v>
      </c>
      <c r="G57" s="86" t="s">
        <v>38</v>
      </c>
      <c r="H57" s="86" t="s">
        <v>1672</v>
      </c>
    </row>
    <row r="58" spans="1:8" ht="12.75" hidden="1">
      <c r="A58" s="86">
        <v>57</v>
      </c>
      <c r="B58" s="86" t="s">
        <v>1963</v>
      </c>
      <c r="C58" s="86" t="str">
        <f t="shared" si="0"/>
        <v>516281</v>
      </c>
      <c r="D58" s="86" t="str">
        <f>IF(VLOOKUP(C58,'Diferencias patrimonio 2023'!$C$2:$C$1020,1,FALSE)=C58,"Encontrado", "No")</f>
        <v>Encontrado</v>
      </c>
      <c r="E58" s="86" t="s">
        <v>7479</v>
      </c>
      <c r="F58" s="86" t="s">
        <v>378</v>
      </c>
      <c r="G58" s="86" t="s">
        <v>38</v>
      </c>
      <c r="H58" s="86" t="s">
        <v>1890</v>
      </c>
    </row>
    <row r="59" spans="1:8" ht="12.75" hidden="1">
      <c r="A59" s="86">
        <v>58</v>
      </c>
      <c r="B59" s="86" t="s">
        <v>5848</v>
      </c>
      <c r="C59" s="86" t="str">
        <f t="shared" si="0"/>
        <v>516282</v>
      </c>
      <c r="D59" s="86" t="str">
        <f>IF(VLOOKUP(C59,'Diferencias patrimonio 2023'!$C$2:$C$1020,1,FALSE)=C59,"Encontrado", "No")</f>
        <v>Encontrado</v>
      </c>
      <c r="E59" s="86" t="s">
        <v>7480</v>
      </c>
      <c r="F59" s="86" t="s">
        <v>378</v>
      </c>
      <c r="G59" s="86" t="s">
        <v>38</v>
      </c>
      <c r="H59" s="86" t="s">
        <v>7398</v>
      </c>
    </row>
    <row r="60" spans="1:8" ht="12.75" hidden="1">
      <c r="A60" s="86">
        <v>59</v>
      </c>
      <c r="B60" s="86" t="s">
        <v>5702</v>
      </c>
      <c r="C60" s="86" t="str">
        <f t="shared" si="0"/>
        <v>516287</v>
      </c>
      <c r="D60" s="86" t="str">
        <f>IF(VLOOKUP(C60,'Diferencias patrimonio 2023'!$C$2:$C$1020,1,FALSE)=C60,"Encontrado", "No")</f>
        <v>Encontrado</v>
      </c>
      <c r="E60" s="86" t="s">
        <v>7481</v>
      </c>
      <c r="F60" s="86" t="s">
        <v>378</v>
      </c>
      <c r="G60" s="86" t="s">
        <v>38</v>
      </c>
      <c r="H60" s="86" t="s">
        <v>5696</v>
      </c>
    </row>
    <row r="61" spans="1:8" ht="12.75" hidden="1">
      <c r="A61" s="86">
        <v>60</v>
      </c>
      <c r="B61" s="86" t="s">
        <v>1197</v>
      </c>
      <c r="C61" s="86" t="str">
        <f t="shared" si="0"/>
        <v>516288</v>
      </c>
      <c r="D61" s="86" t="str">
        <f>IF(VLOOKUP(C61,'Diferencias patrimonio 2023'!$C$2:$C$1020,1,FALSE)=C61,"Encontrado", "No")</f>
        <v>Encontrado</v>
      </c>
      <c r="E61" s="86" t="s">
        <v>7482</v>
      </c>
      <c r="F61" s="86" t="s">
        <v>378</v>
      </c>
      <c r="G61" s="86" t="s">
        <v>38</v>
      </c>
      <c r="H61" s="86" t="s">
        <v>1164</v>
      </c>
    </row>
    <row r="62" spans="1:8" ht="12.75" hidden="1">
      <c r="A62" s="86">
        <v>61</v>
      </c>
      <c r="B62" s="86" t="s">
        <v>4610</v>
      </c>
      <c r="C62" s="86" t="str">
        <f t="shared" si="0"/>
        <v>516298</v>
      </c>
      <c r="D62" s="86" t="str">
        <f>IF(VLOOKUP(C62,'Diferencias patrimonio 2023'!$C$2:$C$1020,1,FALSE)=C62,"Encontrado", "No")</f>
        <v>Encontrado</v>
      </c>
      <c r="E62" s="86" t="s">
        <v>7483</v>
      </c>
      <c r="F62" s="86" t="s">
        <v>378</v>
      </c>
      <c r="G62" s="86" t="s">
        <v>38</v>
      </c>
      <c r="H62" s="86" t="s">
        <v>7414</v>
      </c>
    </row>
    <row r="63" spans="1:8" ht="12.75" hidden="1">
      <c r="A63" s="86">
        <v>62</v>
      </c>
      <c r="B63" s="86" t="s">
        <v>5824</v>
      </c>
      <c r="C63" s="86" t="str">
        <f t="shared" si="0"/>
        <v>516299</v>
      </c>
      <c r="D63" s="86" t="str">
        <f>IF(VLOOKUP(C63,'Diferencias patrimonio 2023'!$C$2:$C$1020,1,FALSE)=C63,"Encontrado", "No")</f>
        <v>Encontrado</v>
      </c>
      <c r="E63" s="86" t="s">
        <v>7484</v>
      </c>
      <c r="F63" s="86" t="s">
        <v>378</v>
      </c>
      <c r="G63" s="86" t="s">
        <v>38</v>
      </c>
      <c r="H63" s="86" t="s">
        <v>7398</v>
      </c>
    </row>
    <row r="64" spans="1:8" ht="12.75" hidden="1">
      <c r="A64" s="86">
        <v>63</v>
      </c>
      <c r="B64" s="86" t="s">
        <v>1421</v>
      </c>
      <c r="C64" s="86" t="str">
        <f t="shared" si="0"/>
        <v>516302</v>
      </c>
      <c r="D64" s="86" t="str">
        <f>IF(VLOOKUP(C64,'Diferencias patrimonio 2023'!$C$2:$C$1020,1,FALSE)=C64,"Encontrado", "No")</f>
        <v>Encontrado</v>
      </c>
      <c r="E64" s="86" t="s">
        <v>7485</v>
      </c>
      <c r="F64" s="86" t="s">
        <v>378</v>
      </c>
      <c r="G64" s="86" t="s">
        <v>38</v>
      </c>
      <c r="H64" s="86" t="s">
        <v>1386</v>
      </c>
    </row>
    <row r="65" spans="1:8" ht="12.75" hidden="1">
      <c r="A65" s="86">
        <v>64</v>
      </c>
      <c r="B65" s="86" t="s">
        <v>5152</v>
      </c>
      <c r="C65" s="86" t="str">
        <f t="shared" si="0"/>
        <v>516331</v>
      </c>
      <c r="D65" s="86" t="str">
        <f>IF(VLOOKUP(C65,'Diferencias patrimonio 2023'!$C$2:$C$1020,1,FALSE)=C65,"Encontrado", "No")</f>
        <v>Encontrado</v>
      </c>
      <c r="E65" s="86" t="s">
        <v>7486</v>
      </c>
      <c r="F65" s="86" t="s">
        <v>378</v>
      </c>
      <c r="G65" s="86" t="s">
        <v>38</v>
      </c>
      <c r="H65" s="86" t="s">
        <v>4935</v>
      </c>
    </row>
    <row r="66" spans="1:8" ht="12.75" hidden="1">
      <c r="A66" s="86">
        <v>65</v>
      </c>
      <c r="B66" s="86" t="s">
        <v>6522</v>
      </c>
      <c r="C66" s="86" t="str">
        <f t="shared" si="0"/>
        <v>516334</v>
      </c>
      <c r="D66" s="86" t="str">
        <f>IF(VLOOKUP(C66,'Diferencias patrimonio 2023'!$C$2:$C$1020,1,FALSE)=C66,"Encontrado", "No")</f>
        <v>Encontrado</v>
      </c>
      <c r="E66" s="86" t="s">
        <v>7487</v>
      </c>
      <c r="F66" s="86" t="s">
        <v>378</v>
      </c>
      <c r="G66" s="86" t="s">
        <v>38</v>
      </c>
      <c r="H66" s="86" t="s">
        <v>6062</v>
      </c>
    </row>
    <row r="67" spans="1:8" ht="12.75" hidden="1">
      <c r="A67" s="86">
        <v>66</v>
      </c>
      <c r="B67" s="86" t="s">
        <v>611</v>
      </c>
      <c r="C67" s="86" t="str">
        <f t="shared" si="0"/>
        <v>516337</v>
      </c>
      <c r="D67" s="86" t="str">
        <f>IF(VLOOKUP(C67,'Diferencias patrimonio 2023'!$C$2:$C$1020,1,FALSE)=C67,"Encontrado", "No")</f>
        <v>Encontrado</v>
      </c>
      <c r="E67" s="86" t="s">
        <v>7488</v>
      </c>
      <c r="F67" s="86" t="s">
        <v>378</v>
      </c>
      <c r="G67" s="86" t="s">
        <v>38</v>
      </c>
      <c r="H67" s="86" t="s">
        <v>385</v>
      </c>
    </row>
    <row r="68" spans="1:8" ht="12.75" hidden="1">
      <c r="A68" s="86">
        <v>67</v>
      </c>
      <c r="B68" s="86" t="s">
        <v>1455</v>
      </c>
      <c r="C68" s="86" t="str">
        <f t="shared" si="0"/>
        <v>516341</v>
      </c>
      <c r="D68" s="86" t="str">
        <f>IF(VLOOKUP(C68,'Diferencias patrimonio 2023'!$C$2:$C$1020,1,FALSE)=C68,"Encontrado", "No")</f>
        <v>Encontrado</v>
      </c>
      <c r="E68" s="86" t="s">
        <v>7489</v>
      </c>
      <c r="F68" s="86" t="s">
        <v>378</v>
      </c>
      <c r="G68" s="86" t="s">
        <v>38</v>
      </c>
      <c r="H68" s="86" t="s">
        <v>1597</v>
      </c>
    </row>
    <row r="69" spans="1:8" ht="12.75" hidden="1">
      <c r="A69" s="86">
        <v>68</v>
      </c>
      <c r="B69" s="86" t="s">
        <v>7490</v>
      </c>
      <c r="C69" s="86" t="str">
        <f t="shared" si="0"/>
        <v>516342</v>
      </c>
      <c r="D69" s="86" t="str">
        <f>IF(VLOOKUP(C69,'Diferencias patrimonio 2023'!$C$2:$C$1020,1,FALSE)=C69,"Encontrado", "No")</f>
        <v>Encontrado</v>
      </c>
      <c r="E69" s="86" t="s">
        <v>7491</v>
      </c>
      <c r="F69" s="86" t="s">
        <v>378</v>
      </c>
      <c r="G69" s="86" t="s">
        <v>38</v>
      </c>
      <c r="H69" s="86" t="s">
        <v>1597</v>
      </c>
    </row>
    <row r="70" spans="1:8" ht="12.75" hidden="1">
      <c r="A70" s="86">
        <v>69</v>
      </c>
      <c r="B70" s="86" t="s">
        <v>6040</v>
      </c>
      <c r="C70" s="86" t="str">
        <f t="shared" si="0"/>
        <v>516345</v>
      </c>
      <c r="D70" s="86" t="str">
        <f>IF(VLOOKUP(C70,'Diferencias patrimonio 2023'!$C$2:$C$1020,1,FALSE)=C70,"Encontrado", "No")</f>
        <v>Encontrado</v>
      </c>
      <c r="E70" s="86" t="s">
        <v>7492</v>
      </c>
      <c r="F70" s="86" t="s">
        <v>378</v>
      </c>
      <c r="G70" s="86" t="s">
        <v>38</v>
      </c>
      <c r="H70" s="86" t="s">
        <v>7398</v>
      </c>
    </row>
    <row r="71" spans="1:8" ht="12.75" hidden="1">
      <c r="A71" s="86">
        <v>70</v>
      </c>
      <c r="B71" s="86" t="s">
        <v>319</v>
      </c>
      <c r="C71" s="86" t="str">
        <f t="shared" si="0"/>
        <v>516615</v>
      </c>
      <c r="D71" s="86" t="str">
        <f>IF(VLOOKUP(C71,'Diferencias patrimonio 2023'!$C$2:$C$1020,1,FALSE)=C71,"Encontrado", "No")</f>
        <v>Encontrado</v>
      </c>
      <c r="E71" s="86" t="s">
        <v>7493</v>
      </c>
      <c r="F71" s="86" t="s">
        <v>43</v>
      </c>
      <c r="G71" s="86" t="s">
        <v>38</v>
      </c>
      <c r="H71" s="86" t="s">
        <v>7398</v>
      </c>
    </row>
    <row r="72" spans="1:8" ht="12.75">
      <c r="A72" s="86">
        <v>71</v>
      </c>
      <c r="B72" s="86" t="s">
        <v>7494</v>
      </c>
      <c r="C72" s="86" t="str">
        <f t="shared" si="0"/>
        <v>516926</v>
      </c>
      <c r="D72" s="86" t="e">
        <f>IF(VLOOKUP(C72,'Diferencias patrimonio 2023'!$C$2:$C$1020,1,FALSE)=C72,"Encontrado", "No")</f>
        <v>#N/A</v>
      </c>
      <c r="E72" s="86" t="s">
        <v>7495</v>
      </c>
      <c r="F72" s="86" t="s">
        <v>7215</v>
      </c>
      <c r="G72" s="86" t="s">
        <v>38</v>
      </c>
      <c r="H72" s="86" t="s">
        <v>7398</v>
      </c>
    </row>
    <row r="73" spans="1:8" ht="12.75" hidden="1">
      <c r="A73" s="86">
        <v>72</v>
      </c>
      <c r="B73" s="86" t="s">
        <v>6138</v>
      </c>
      <c r="C73" s="86" t="str">
        <f t="shared" si="0"/>
        <v>516948</v>
      </c>
      <c r="D73" s="86" t="str">
        <f>IF(VLOOKUP(C73,'Diferencias patrimonio 2023'!$C$2:$C$1020,1,FALSE)=C73,"Encontrado", "No")</f>
        <v>Encontrado</v>
      </c>
      <c r="E73" s="86" t="s">
        <v>7496</v>
      </c>
      <c r="F73" s="86" t="s">
        <v>2502</v>
      </c>
      <c r="G73" s="86" t="s">
        <v>38</v>
      </c>
      <c r="H73" s="86" t="s">
        <v>6062</v>
      </c>
    </row>
    <row r="74" spans="1:8" ht="12.75" hidden="1">
      <c r="A74" s="86">
        <v>73</v>
      </c>
      <c r="B74" s="86" t="s">
        <v>6815</v>
      </c>
      <c r="C74" s="86" t="str">
        <f t="shared" si="0"/>
        <v>516962</v>
      </c>
      <c r="D74" s="86" t="str">
        <f>IF(VLOOKUP(C74,'Diferencias patrimonio 2023'!$C$2:$C$1020,1,FALSE)=C74,"Encontrado", "No")</f>
        <v>Encontrado</v>
      </c>
      <c r="E74" s="86" t="s">
        <v>7497</v>
      </c>
      <c r="F74" s="86" t="s">
        <v>116</v>
      </c>
      <c r="G74" s="86" t="s">
        <v>38</v>
      </c>
      <c r="H74" s="86" t="s">
        <v>4417</v>
      </c>
    </row>
    <row r="75" spans="1:8" ht="12.75" hidden="1">
      <c r="A75" s="86">
        <v>74</v>
      </c>
      <c r="B75" s="86" t="s">
        <v>5708</v>
      </c>
      <c r="C75" s="86" t="str">
        <f t="shared" si="0"/>
        <v>516988</v>
      </c>
      <c r="D75" s="86" t="str">
        <f>IF(VLOOKUP(C75,'Diferencias patrimonio 2023'!$C$2:$C$1020,1,FALSE)=C75,"Encontrado", "No")</f>
        <v>Encontrado</v>
      </c>
      <c r="E75" s="86" t="s">
        <v>7498</v>
      </c>
      <c r="F75" s="86" t="s">
        <v>116</v>
      </c>
      <c r="G75" s="86" t="s">
        <v>38</v>
      </c>
      <c r="H75" s="86" t="s">
        <v>5696</v>
      </c>
    </row>
    <row r="76" spans="1:8" ht="12.75" hidden="1">
      <c r="A76" s="86">
        <v>75</v>
      </c>
      <c r="B76" s="86" t="s">
        <v>6675</v>
      </c>
      <c r="C76" s="86" t="str">
        <f t="shared" si="0"/>
        <v>517045</v>
      </c>
      <c r="D76" s="86" t="str">
        <f>IF(VLOOKUP(C76,'Diferencias patrimonio 2023'!$C$2:$C$1020,1,FALSE)=C76,"Encontrado", "No")</f>
        <v>Encontrado</v>
      </c>
      <c r="E76" s="86" t="s">
        <v>7499</v>
      </c>
      <c r="F76" s="86" t="s">
        <v>6092</v>
      </c>
      <c r="G76" s="86" t="s">
        <v>38</v>
      </c>
      <c r="H76" s="86" t="s">
        <v>6062</v>
      </c>
    </row>
    <row r="77" spans="1:8" ht="12.75" hidden="1">
      <c r="A77" s="86">
        <v>76</v>
      </c>
      <c r="B77" s="86" t="s">
        <v>6098</v>
      </c>
      <c r="C77" s="86" t="str">
        <f t="shared" si="0"/>
        <v>517047</v>
      </c>
      <c r="D77" s="86" t="str">
        <f>IF(VLOOKUP(C77,'Diferencias patrimonio 2023'!$C$2:$C$1020,1,FALSE)=C77,"Encontrado", "No")</f>
        <v>Encontrado</v>
      </c>
      <c r="E77" s="86" t="s">
        <v>7500</v>
      </c>
      <c r="F77" s="86" t="s">
        <v>6092</v>
      </c>
      <c r="G77" s="86" t="s">
        <v>38</v>
      </c>
      <c r="H77" s="86" t="s">
        <v>6062</v>
      </c>
    </row>
    <row r="78" spans="1:8" ht="12.75">
      <c r="A78" s="86">
        <v>77</v>
      </c>
      <c r="B78" s="86" t="s">
        <v>7505</v>
      </c>
      <c r="C78" s="86" t="str">
        <f t="shared" si="0"/>
        <v>517063</v>
      </c>
      <c r="D78" s="86" t="e">
        <f>IF(VLOOKUP(C78,'Diferencias patrimonio 2023'!$C$2:$C$1020,1,FALSE)=C78,"Encontrado", "No")</f>
        <v>#N/A</v>
      </c>
      <c r="E78" s="86" t="s">
        <v>7506</v>
      </c>
      <c r="F78" s="86" t="s">
        <v>7502</v>
      </c>
      <c r="G78" s="86" t="s">
        <v>38</v>
      </c>
      <c r="H78" s="86" t="s">
        <v>7507</v>
      </c>
    </row>
    <row r="79" spans="1:8" ht="12.75" hidden="1">
      <c r="A79" s="86">
        <v>78</v>
      </c>
      <c r="B79" s="86" t="s">
        <v>7508</v>
      </c>
      <c r="C79" s="86" t="str">
        <f t="shared" si="0"/>
        <v>517070</v>
      </c>
      <c r="D79" s="86" t="str">
        <f>IF(VLOOKUP(C79,'Diferencias patrimonio 2023'!$C$2:$C$1020,1,FALSE)=C79,"Encontrado", "No")</f>
        <v>Encontrado</v>
      </c>
      <c r="E79" s="86" t="s">
        <v>7509</v>
      </c>
      <c r="F79" s="86" t="s">
        <v>7510</v>
      </c>
      <c r="G79" s="86" t="s">
        <v>38</v>
      </c>
      <c r="H79" s="86" t="s">
        <v>1597</v>
      </c>
    </row>
    <row r="80" spans="1:8" ht="12.75" hidden="1">
      <c r="A80" s="86">
        <v>79</v>
      </c>
      <c r="B80" s="86" t="s">
        <v>7511</v>
      </c>
      <c r="C80" s="86" t="str">
        <f t="shared" si="0"/>
        <v>517107</v>
      </c>
      <c r="D80" s="86" t="str">
        <f>IF(VLOOKUP(C80,'Diferencias patrimonio 2023'!$C$2:$C$1020,1,FALSE)=C80,"Encontrado", "No")</f>
        <v>Encontrado</v>
      </c>
      <c r="E80" s="86" t="s">
        <v>7512</v>
      </c>
      <c r="F80" s="86" t="s">
        <v>7408</v>
      </c>
      <c r="G80" s="86" t="s">
        <v>38</v>
      </c>
      <c r="H80" s="86" t="s">
        <v>7411</v>
      </c>
    </row>
    <row r="81" spans="1:8" ht="12.75" hidden="1">
      <c r="A81" s="86">
        <v>80</v>
      </c>
      <c r="B81" s="86" t="s">
        <v>3847</v>
      </c>
      <c r="C81" s="86" t="str">
        <f t="shared" si="0"/>
        <v>517124</v>
      </c>
      <c r="D81" s="86" t="str">
        <f>IF(VLOOKUP(C81,'Diferencias patrimonio 2023'!$C$2:$C$1020,1,FALSE)=C81,"Encontrado", "No")</f>
        <v>Encontrado</v>
      </c>
      <c r="E81" s="86" t="s">
        <v>7513</v>
      </c>
      <c r="F81" s="86" t="s">
        <v>184</v>
      </c>
      <c r="G81" s="86" t="s">
        <v>38</v>
      </c>
      <c r="H81" s="86" t="s">
        <v>1665</v>
      </c>
    </row>
    <row r="82" spans="1:8" ht="12.75" hidden="1">
      <c r="A82" s="86">
        <v>81</v>
      </c>
      <c r="B82" s="86" t="s">
        <v>6393</v>
      </c>
      <c r="C82" s="86" t="str">
        <f t="shared" si="0"/>
        <v>517128</v>
      </c>
      <c r="D82" s="86" t="str">
        <f>IF(VLOOKUP(C82,'Diferencias patrimonio 2023'!$C$2:$C$1020,1,FALSE)=C82,"Encontrado", "No")</f>
        <v>Encontrado</v>
      </c>
      <c r="E82" s="86" t="s">
        <v>7514</v>
      </c>
      <c r="F82" s="86" t="s">
        <v>184</v>
      </c>
      <c r="G82" s="86" t="s">
        <v>38</v>
      </c>
      <c r="H82" s="86" t="s">
        <v>6062</v>
      </c>
    </row>
    <row r="83" spans="1:8" ht="12.75" hidden="1">
      <c r="A83" s="86">
        <v>82</v>
      </c>
      <c r="B83" s="86" t="s">
        <v>6559</v>
      </c>
      <c r="C83" s="86" t="str">
        <f t="shared" si="0"/>
        <v>517894</v>
      </c>
      <c r="D83" s="86" t="str">
        <f>IF(VLOOKUP(C83,'Diferencias patrimonio 2023'!$C$2:$C$1020,1,FALSE)=C83,"Encontrado", "No")</f>
        <v>Encontrado</v>
      </c>
      <c r="E83" s="86" t="s">
        <v>7515</v>
      </c>
      <c r="F83" s="86" t="s">
        <v>378</v>
      </c>
      <c r="G83" s="86" t="s">
        <v>38</v>
      </c>
      <c r="H83" s="86" t="s">
        <v>6062</v>
      </c>
    </row>
    <row r="84" spans="1:8" ht="12.75" hidden="1">
      <c r="A84" s="86">
        <v>83</v>
      </c>
      <c r="B84" s="86" t="s">
        <v>6061</v>
      </c>
      <c r="C84" s="86" t="str">
        <f t="shared" si="0"/>
        <v>518490</v>
      </c>
      <c r="D84" s="86" t="str">
        <f>IF(VLOOKUP(C84,'Diferencias patrimonio 2023'!$C$2:$C$1020,1,FALSE)=C84,"Encontrado", "No")</f>
        <v>Encontrado</v>
      </c>
      <c r="E84" s="86" t="s">
        <v>7516</v>
      </c>
      <c r="F84" s="86" t="s">
        <v>6055</v>
      </c>
      <c r="G84" s="86" t="s">
        <v>38</v>
      </c>
      <c r="H84" s="86" t="s">
        <v>6062</v>
      </c>
    </row>
    <row r="85" spans="1:8" ht="12.75" hidden="1">
      <c r="A85" s="86">
        <v>84</v>
      </c>
      <c r="B85" s="86" t="s">
        <v>6158</v>
      </c>
      <c r="C85" s="86" t="str">
        <f t="shared" si="0"/>
        <v>518491</v>
      </c>
      <c r="D85" s="86" t="str">
        <f>IF(VLOOKUP(C85,'Diferencias patrimonio 2023'!$C$2:$C$1020,1,FALSE)=C85,"Encontrado", "No")</f>
        <v>Encontrado</v>
      </c>
      <c r="E85" s="86" t="s">
        <v>7517</v>
      </c>
      <c r="F85" s="86" t="s">
        <v>29</v>
      </c>
      <c r="G85" s="86" t="s">
        <v>38</v>
      </c>
      <c r="H85" s="86" t="s">
        <v>6062</v>
      </c>
    </row>
    <row r="86" spans="1:8" ht="12.75" hidden="1">
      <c r="A86" s="86">
        <v>85</v>
      </c>
      <c r="B86" s="86" t="s">
        <v>6199</v>
      </c>
      <c r="C86" s="86" t="str">
        <f t="shared" si="0"/>
        <v>518492</v>
      </c>
      <c r="D86" s="86" t="str">
        <f>IF(VLOOKUP(C86,'Diferencias patrimonio 2023'!$C$2:$C$1020,1,FALSE)=C86,"Encontrado", "No")</f>
        <v>Encontrado</v>
      </c>
      <c r="E86" s="86" t="s">
        <v>7518</v>
      </c>
      <c r="F86" s="86" t="s">
        <v>116</v>
      </c>
      <c r="G86" s="86" t="s">
        <v>38</v>
      </c>
      <c r="H86" s="86" t="s">
        <v>6062</v>
      </c>
    </row>
    <row r="87" spans="1:8" ht="12.75" hidden="1">
      <c r="A87" s="86">
        <v>86</v>
      </c>
      <c r="B87" s="86" t="s">
        <v>6704</v>
      </c>
      <c r="C87" s="86" t="str">
        <f t="shared" si="0"/>
        <v>518493</v>
      </c>
      <c r="D87" s="86" t="str">
        <f>IF(VLOOKUP(C87,'Diferencias patrimonio 2023'!$C$2:$C$1020,1,FALSE)=C87,"Encontrado", "No")</f>
        <v>Encontrado</v>
      </c>
      <c r="E87" s="86" t="s">
        <v>7519</v>
      </c>
      <c r="F87" s="86" t="s">
        <v>116</v>
      </c>
      <c r="G87" s="86" t="s">
        <v>38</v>
      </c>
      <c r="H87" s="86" t="s">
        <v>6684</v>
      </c>
    </row>
    <row r="88" spans="1:8" ht="12.75" hidden="1">
      <c r="A88" s="86">
        <v>87</v>
      </c>
      <c r="B88" s="86" t="s">
        <v>3728</v>
      </c>
      <c r="C88" s="86" t="str">
        <f t="shared" si="0"/>
        <v>518494</v>
      </c>
      <c r="D88" s="86" t="str">
        <f>IF(VLOOKUP(C88,'Diferencias patrimonio 2023'!$C$2:$C$1020,1,FALSE)=C88,"Encontrado", "No")</f>
        <v>Encontrado</v>
      </c>
      <c r="E88" s="86" t="s">
        <v>7520</v>
      </c>
      <c r="F88" s="86" t="s">
        <v>116</v>
      </c>
      <c r="G88" s="86" t="s">
        <v>38</v>
      </c>
      <c r="H88" s="86" t="s">
        <v>1665</v>
      </c>
    </row>
    <row r="89" spans="1:8" ht="12.75" hidden="1">
      <c r="A89" s="86">
        <v>88</v>
      </c>
      <c r="B89" s="86" t="s">
        <v>6120</v>
      </c>
      <c r="C89" s="86" t="str">
        <f t="shared" si="0"/>
        <v>518495</v>
      </c>
      <c r="D89" s="86" t="str">
        <f>IF(VLOOKUP(C89,'Diferencias patrimonio 2023'!$C$2:$C$1020,1,FALSE)=C89,"Encontrado", "No")</f>
        <v>Encontrado</v>
      </c>
      <c r="E89" s="86" t="s">
        <v>7521</v>
      </c>
      <c r="F89" s="86" t="s">
        <v>71</v>
      </c>
      <c r="G89" s="86" t="s">
        <v>38</v>
      </c>
      <c r="H89" s="86" t="s">
        <v>6062</v>
      </c>
    </row>
    <row r="90" spans="1:8" ht="12.75" hidden="1">
      <c r="A90" s="86">
        <v>89</v>
      </c>
      <c r="B90" s="86" t="s">
        <v>6322</v>
      </c>
      <c r="C90" s="86" t="str">
        <f t="shared" si="0"/>
        <v>518496</v>
      </c>
      <c r="D90" s="86" t="str">
        <f>IF(VLOOKUP(C90,'Diferencias patrimonio 2023'!$C$2:$C$1020,1,FALSE)=C90,"Encontrado", "No")</f>
        <v>Encontrado</v>
      </c>
      <c r="E90" s="86" t="s">
        <v>7522</v>
      </c>
      <c r="F90" s="86" t="s">
        <v>71</v>
      </c>
      <c r="G90" s="86" t="s">
        <v>38</v>
      </c>
      <c r="H90" s="86" t="s">
        <v>6062</v>
      </c>
    </row>
    <row r="91" spans="1:8" ht="12.75" hidden="1">
      <c r="A91" s="86">
        <v>90</v>
      </c>
      <c r="B91" s="86" t="s">
        <v>6144</v>
      </c>
      <c r="C91" s="86" t="str">
        <f t="shared" si="0"/>
        <v>518497</v>
      </c>
      <c r="D91" s="86" t="str">
        <f>IF(VLOOKUP(C91,'Diferencias patrimonio 2023'!$C$2:$C$1020,1,FALSE)=C91,"Encontrado", "No")</f>
        <v>Encontrado</v>
      </c>
      <c r="E91" s="86" t="s">
        <v>7523</v>
      </c>
      <c r="F91" s="86" t="s">
        <v>71</v>
      </c>
      <c r="G91" s="86" t="s">
        <v>38</v>
      </c>
      <c r="H91" s="86" t="s">
        <v>6062</v>
      </c>
    </row>
    <row r="92" spans="1:8" ht="12.75" hidden="1">
      <c r="A92" s="86">
        <v>91</v>
      </c>
      <c r="B92" s="86" t="s">
        <v>5111</v>
      </c>
      <c r="C92" s="86" t="str">
        <f t="shared" si="0"/>
        <v>518498</v>
      </c>
      <c r="D92" s="86" t="str">
        <f>IF(VLOOKUP(C92,'Diferencias patrimonio 2023'!$C$2:$C$1020,1,FALSE)=C92,"Encontrado", "No")</f>
        <v>Encontrado</v>
      </c>
      <c r="E92" s="86" t="s">
        <v>7524</v>
      </c>
      <c r="F92" s="86" t="s">
        <v>466</v>
      </c>
      <c r="G92" s="86" t="s">
        <v>38</v>
      </c>
      <c r="H92" s="86" t="s">
        <v>4935</v>
      </c>
    </row>
    <row r="93" spans="1:8" ht="12.75" hidden="1">
      <c r="A93" s="86">
        <v>92</v>
      </c>
      <c r="B93" s="86" t="s">
        <v>5565</v>
      </c>
      <c r="C93" s="86" t="str">
        <f t="shared" si="0"/>
        <v>518499</v>
      </c>
      <c r="D93" s="86" t="str">
        <f>IF(VLOOKUP(C93,'Diferencias patrimonio 2023'!$C$2:$C$1020,1,FALSE)=C93,"Encontrado", "No")</f>
        <v>Encontrado</v>
      </c>
      <c r="E93" s="86" t="s">
        <v>7525</v>
      </c>
      <c r="F93" s="86" t="s">
        <v>184</v>
      </c>
      <c r="G93" s="86" t="s">
        <v>38</v>
      </c>
      <c r="H93" s="86" t="s">
        <v>5310</v>
      </c>
    </row>
    <row r="94" spans="1:8" ht="12.75" hidden="1">
      <c r="A94" s="86">
        <v>93</v>
      </c>
      <c r="B94" s="86" t="s">
        <v>6381</v>
      </c>
      <c r="C94" s="86" t="str">
        <f t="shared" si="0"/>
        <v>518500</v>
      </c>
      <c r="D94" s="86" t="str">
        <f>IF(VLOOKUP(C94,'Diferencias patrimonio 2023'!$C$2:$C$1020,1,FALSE)=C94,"Encontrado", "No")</f>
        <v>Encontrado</v>
      </c>
      <c r="E94" s="86" t="s">
        <v>7526</v>
      </c>
      <c r="F94" s="86" t="s">
        <v>184</v>
      </c>
      <c r="G94" s="86" t="s">
        <v>38</v>
      </c>
      <c r="H94" s="86" t="s">
        <v>6062</v>
      </c>
    </row>
    <row r="95" spans="1:8" ht="12.75" hidden="1">
      <c r="A95" s="86">
        <v>94</v>
      </c>
      <c r="B95" s="86" t="s">
        <v>6441</v>
      </c>
      <c r="C95" s="86" t="str">
        <f t="shared" si="0"/>
        <v>518501</v>
      </c>
      <c r="D95" s="86" t="str">
        <f>IF(VLOOKUP(C95,'Diferencias patrimonio 2023'!$C$2:$C$1020,1,FALSE)=C95,"Encontrado", "No")</f>
        <v>Encontrado</v>
      </c>
      <c r="E95" s="86" t="s">
        <v>7527</v>
      </c>
      <c r="F95" s="86" t="s">
        <v>184</v>
      </c>
      <c r="G95" s="86" t="s">
        <v>38</v>
      </c>
      <c r="H95" s="86" t="s">
        <v>6062</v>
      </c>
    </row>
    <row r="96" spans="1:8" ht="12.75" hidden="1">
      <c r="A96" s="86">
        <v>95</v>
      </c>
      <c r="B96" s="86" t="s">
        <v>6411</v>
      </c>
      <c r="C96" s="86" t="str">
        <f t="shared" si="0"/>
        <v>518502</v>
      </c>
      <c r="D96" s="86" t="str">
        <f>IF(VLOOKUP(C96,'Diferencias patrimonio 2023'!$C$2:$C$1020,1,FALSE)=C96,"Encontrado", "No")</f>
        <v>Encontrado</v>
      </c>
      <c r="E96" s="86" t="s">
        <v>7528</v>
      </c>
      <c r="F96" s="86" t="s">
        <v>184</v>
      </c>
      <c r="G96" s="86" t="s">
        <v>38</v>
      </c>
      <c r="H96" s="86" t="s">
        <v>6062</v>
      </c>
    </row>
    <row r="97" spans="1:8" ht="12.75">
      <c r="A97" s="86">
        <v>96</v>
      </c>
      <c r="B97" s="86" t="s">
        <v>7240</v>
      </c>
      <c r="C97" s="86" t="str">
        <f t="shared" si="0"/>
        <v>518503</v>
      </c>
      <c r="D97" s="86" t="e">
        <f>IF(VLOOKUP(C97,'Diferencias patrimonio 2023'!$C$2:$C$1020,1,FALSE)=C97,"Encontrado", "No")</f>
        <v>#N/A</v>
      </c>
      <c r="E97" s="86" t="s">
        <v>7529</v>
      </c>
      <c r="F97" s="86" t="s">
        <v>62</v>
      </c>
      <c r="G97" s="86" t="s">
        <v>38</v>
      </c>
      <c r="H97" s="86" t="s">
        <v>4935</v>
      </c>
    </row>
    <row r="98" spans="1:8" ht="12.75" hidden="1">
      <c r="A98" s="86">
        <v>97</v>
      </c>
      <c r="B98" s="86" t="s">
        <v>5373</v>
      </c>
      <c r="C98" s="86" t="str">
        <f t="shared" si="0"/>
        <v>518504</v>
      </c>
      <c r="D98" s="86" t="str">
        <f>IF(VLOOKUP(C98,'Diferencias patrimonio 2023'!$C$2:$C$1020,1,FALSE)=C98,"Encontrado", "No")</f>
        <v>Encontrado</v>
      </c>
      <c r="E98" s="86" t="s">
        <v>7530</v>
      </c>
      <c r="F98" s="86" t="s">
        <v>62</v>
      </c>
      <c r="G98" s="86" t="s">
        <v>38</v>
      </c>
      <c r="H98" s="86" t="s">
        <v>7531</v>
      </c>
    </row>
    <row r="99" spans="1:8" ht="12.75" hidden="1">
      <c r="A99" s="86">
        <v>98</v>
      </c>
      <c r="B99" s="86" t="s">
        <v>5591</v>
      </c>
      <c r="C99" s="86" t="str">
        <f t="shared" si="0"/>
        <v>518505</v>
      </c>
      <c r="D99" s="86" t="str">
        <f>IF(VLOOKUP(C99,'Diferencias patrimonio 2023'!$C$2:$C$1020,1,FALSE)=C99,"Encontrado", "No")</f>
        <v>Encontrado</v>
      </c>
      <c r="E99" s="86" t="s">
        <v>7532</v>
      </c>
      <c r="F99" s="86" t="s">
        <v>29</v>
      </c>
      <c r="G99" s="86" t="s">
        <v>38</v>
      </c>
      <c r="H99" s="86" t="s">
        <v>5584</v>
      </c>
    </row>
    <row r="100" spans="1:8" ht="12.75" hidden="1">
      <c r="A100" s="86">
        <v>99</v>
      </c>
      <c r="B100" s="86" t="s">
        <v>5201</v>
      </c>
      <c r="C100" s="86" t="str">
        <f t="shared" si="0"/>
        <v>518506</v>
      </c>
      <c r="D100" s="86" t="str">
        <f>IF(VLOOKUP(C100,'Diferencias patrimonio 2023'!$C$2:$C$1020,1,FALSE)=C100,"Encontrado", "No")</f>
        <v>Encontrado</v>
      </c>
      <c r="E100" s="86" t="s">
        <v>7533</v>
      </c>
      <c r="F100" s="86" t="s">
        <v>116</v>
      </c>
      <c r="G100" s="86" t="s">
        <v>38</v>
      </c>
      <c r="H100" s="86" t="s">
        <v>5138</v>
      </c>
    </row>
    <row r="101" spans="1:8" ht="12.75" hidden="1">
      <c r="A101" s="86">
        <v>100</v>
      </c>
      <c r="B101" s="86" t="s">
        <v>5620</v>
      </c>
      <c r="C101" s="86" t="str">
        <f t="shared" si="0"/>
        <v>518507</v>
      </c>
      <c r="D101" s="86" t="str">
        <f>IF(VLOOKUP(C101,'Diferencias patrimonio 2023'!$C$2:$C$1020,1,FALSE)=C101,"Encontrado", "No")</f>
        <v>Encontrado</v>
      </c>
      <c r="E101" s="86" t="s">
        <v>7534</v>
      </c>
      <c r="F101" s="86" t="s">
        <v>116</v>
      </c>
      <c r="G101" s="86" t="s">
        <v>38</v>
      </c>
      <c r="H101" s="86" t="s">
        <v>5584</v>
      </c>
    </row>
    <row r="102" spans="1:8" ht="12.75" hidden="1">
      <c r="A102" s="86">
        <v>101</v>
      </c>
      <c r="B102" s="86" t="s">
        <v>3742</v>
      </c>
      <c r="C102" s="86" t="str">
        <f t="shared" si="0"/>
        <v>518508</v>
      </c>
      <c r="D102" s="86" t="str">
        <f>IF(VLOOKUP(C102,'Diferencias patrimonio 2023'!$C$2:$C$1020,1,FALSE)=C102,"Encontrado", "No")</f>
        <v>Encontrado</v>
      </c>
      <c r="E102" s="86" t="s">
        <v>7535</v>
      </c>
      <c r="F102" s="86" t="s">
        <v>62</v>
      </c>
      <c r="G102" s="86" t="s">
        <v>38</v>
      </c>
      <c r="H102" s="86" t="s">
        <v>1665</v>
      </c>
    </row>
    <row r="103" spans="1:8" ht="12.75" hidden="1">
      <c r="A103" s="86">
        <v>102</v>
      </c>
      <c r="B103" s="86" t="s">
        <v>3106</v>
      </c>
      <c r="C103" s="86" t="str">
        <f t="shared" si="0"/>
        <v>518509</v>
      </c>
      <c r="D103" s="86" t="str">
        <f>IF(VLOOKUP(C103,'Diferencias patrimonio 2023'!$C$2:$C$1020,1,FALSE)=C103,"Encontrado", "No")</f>
        <v>Encontrado</v>
      </c>
      <c r="E103" s="86" t="s">
        <v>7536</v>
      </c>
      <c r="F103" s="86" t="s">
        <v>116</v>
      </c>
      <c r="G103" s="86" t="s">
        <v>38</v>
      </c>
      <c r="H103" s="86" t="s">
        <v>3092</v>
      </c>
    </row>
    <row r="104" spans="1:8" ht="12.75" hidden="1">
      <c r="A104" s="86">
        <v>103</v>
      </c>
      <c r="B104" s="86" t="s">
        <v>925</v>
      </c>
      <c r="C104" s="86" t="str">
        <f t="shared" si="0"/>
        <v>518510</v>
      </c>
      <c r="D104" s="86" t="str">
        <f>IF(VLOOKUP(C104,'Diferencias patrimonio 2023'!$C$2:$C$1020,1,FALSE)=C104,"Encontrado", "No")</f>
        <v>Encontrado</v>
      </c>
      <c r="E104" s="86" t="s">
        <v>7537</v>
      </c>
      <c r="F104" s="86" t="s">
        <v>116</v>
      </c>
      <c r="G104" s="86" t="s">
        <v>38</v>
      </c>
      <c r="H104" s="86" t="s">
        <v>848</v>
      </c>
    </row>
    <row r="105" spans="1:8" ht="12.75" hidden="1">
      <c r="A105" s="86">
        <v>104</v>
      </c>
      <c r="B105" s="86" t="s">
        <v>7538</v>
      </c>
      <c r="C105" s="86" t="str">
        <f t="shared" si="0"/>
        <v>518511</v>
      </c>
      <c r="D105" s="86" t="str">
        <f>IF(VLOOKUP(C105,'Diferencias patrimonio 2023'!$C$2:$C$1020,1,FALSE)=C105,"Encontrado", "No")</f>
        <v>Encontrado</v>
      </c>
      <c r="E105" s="86" t="s">
        <v>7539</v>
      </c>
      <c r="F105" s="86" t="s">
        <v>116</v>
      </c>
      <c r="G105" s="86" t="s">
        <v>38</v>
      </c>
      <c r="H105" s="86" t="s">
        <v>1477</v>
      </c>
    </row>
    <row r="106" spans="1:8" ht="12.75" hidden="1">
      <c r="A106" s="86">
        <v>105</v>
      </c>
      <c r="B106" s="86" t="s">
        <v>5485</v>
      </c>
      <c r="C106" s="86" t="str">
        <f t="shared" si="0"/>
        <v>518512</v>
      </c>
      <c r="D106" s="86" t="str">
        <f>IF(VLOOKUP(C106,'Diferencias patrimonio 2023'!$C$2:$C$1020,1,FALSE)=C106,"Encontrado", "No")</f>
        <v>Encontrado</v>
      </c>
      <c r="E106" s="86" t="s">
        <v>7540</v>
      </c>
      <c r="F106" s="86" t="s">
        <v>80</v>
      </c>
      <c r="G106" s="86" t="s">
        <v>38</v>
      </c>
      <c r="H106" s="86" t="s">
        <v>5310</v>
      </c>
    </row>
    <row r="107" spans="1:8" ht="12.75" hidden="1">
      <c r="A107" s="86">
        <v>106</v>
      </c>
      <c r="B107" s="86" t="s">
        <v>7541</v>
      </c>
      <c r="C107" s="86" t="str">
        <f t="shared" si="0"/>
        <v>518513</v>
      </c>
      <c r="D107" s="86" t="str">
        <f>IF(VLOOKUP(C107,'Diferencias patrimonio 2023'!$C$2:$C$1020,1,FALSE)=C107,"Encontrado", "No")</f>
        <v>Encontrado</v>
      </c>
      <c r="E107" s="86" t="s">
        <v>7542</v>
      </c>
      <c r="F107" s="86" t="s">
        <v>80</v>
      </c>
      <c r="G107" s="86" t="s">
        <v>38</v>
      </c>
      <c r="H107" s="86" t="s">
        <v>7411</v>
      </c>
    </row>
    <row r="108" spans="1:8" ht="12.75" hidden="1">
      <c r="A108" s="86">
        <v>107</v>
      </c>
      <c r="B108" s="86" t="s">
        <v>7543</v>
      </c>
      <c r="C108" s="86" t="str">
        <f t="shared" si="0"/>
        <v>518514</v>
      </c>
      <c r="D108" s="86" t="str">
        <f>IF(VLOOKUP(C108,'Diferencias patrimonio 2023'!$C$2:$C$1020,1,FALSE)=C108,"Encontrado", "No")</f>
        <v>Encontrado</v>
      </c>
      <c r="E108" s="86" t="s">
        <v>7544</v>
      </c>
      <c r="F108" s="86" t="s">
        <v>80</v>
      </c>
      <c r="G108" s="86" t="s">
        <v>38</v>
      </c>
      <c r="H108" s="86" t="s">
        <v>3450</v>
      </c>
    </row>
    <row r="109" spans="1:8" ht="12.75" hidden="1">
      <c r="A109" s="86">
        <v>108</v>
      </c>
      <c r="B109" s="86" t="s">
        <v>5791</v>
      </c>
      <c r="C109" s="86" t="str">
        <f t="shared" si="0"/>
        <v>518515</v>
      </c>
      <c r="D109" s="86" t="str">
        <f>IF(VLOOKUP(C109,'Diferencias patrimonio 2023'!$C$2:$C$1020,1,FALSE)=C109,"Encontrado", "No")</f>
        <v>Encontrado</v>
      </c>
      <c r="E109" s="86" t="s">
        <v>7545</v>
      </c>
      <c r="F109" s="86" t="s">
        <v>378</v>
      </c>
      <c r="G109" s="86" t="s">
        <v>38</v>
      </c>
      <c r="H109" s="86" t="s">
        <v>7398</v>
      </c>
    </row>
    <row r="110" spans="1:8" ht="12.75" hidden="1">
      <c r="A110" s="86">
        <v>109</v>
      </c>
      <c r="B110" s="86" t="s">
        <v>5497</v>
      </c>
      <c r="C110" s="86" t="str">
        <f t="shared" si="0"/>
        <v>518516</v>
      </c>
      <c r="D110" s="86" t="str">
        <f>IF(VLOOKUP(C110,'Diferencias patrimonio 2023'!$C$2:$C$1020,1,FALSE)=C110,"Encontrado", "No")</f>
        <v>Encontrado</v>
      </c>
      <c r="E110" s="86" t="s">
        <v>7546</v>
      </c>
      <c r="F110" s="86" t="s">
        <v>378</v>
      </c>
      <c r="G110" s="86" t="s">
        <v>38</v>
      </c>
      <c r="H110" s="86" t="s">
        <v>7398</v>
      </c>
    </row>
    <row r="111" spans="1:8" ht="12.75" hidden="1">
      <c r="A111" s="86">
        <v>110</v>
      </c>
      <c r="B111" s="86" t="s">
        <v>7547</v>
      </c>
      <c r="C111" s="86" t="str">
        <f t="shared" si="0"/>
        <v>518517</v>
      </c>
      <c r="D111" s="86" t="str">
        <f>IF(VLOOKUP(C111,'Diferencias patrimonio 2023'!$C$2:$C$1020,1,FALSE)=C111,"Encontrado", "No")</f>
        <v>Encontrado</v>
      </c>
      <c r="E111" s="86" t="s">
        <v>7548</v>
      </c>
      <c r="F111" s="86" t="s">
        <v>29</v>
      </c>
      <c r="G111" s="86" t="s">
        <v>38</v>
      </c>
      <c r="H111" s="86" t="s">
        <v>7411</v>
      </c>
    </row>
    <row r="112" spans="1:8" ht="12.75" hidden="1">
      <c r="A112" s="86">
        <v>111</v>
      </c>
      <c r="B112" s="86" t="s">
        <v>7549</v>
      </c>
      <c r="C112" s="86" t="str">
        <f t="shared" si="0"/>
        <v>518518</v>
      </c>
      <c r="D112" s="86" t="str">
        <f>IF(VLOOKUP(C112,'Diferencias patrimonio 2023'!$C$2:$C$1020,1,FALSE)=C112,"Encontrado", "No")</f>
        <v>Encontrado</v>
      </c>
      <c r="E112" s="86" t="s">
        <v>7550</v>
      </c>
      <c r="F112" s="86" t="s">
        <v>116</v>
      </c>
      <c r="G112" s="86" t="s">
        <v>38</v>
      </c>
      <c r="H112" s="86" t="s">
        <v>7472</v>
      </c>
    </row>
    <row r="113" spans="1:8" ht="12.75" hidden="1">
      <c r="A113" s="86">
        <v>112</v>
      </c>
      <c r="B113" s="86" t="s">
        <v>1258</v>
      </c>
      <c r="C113" s="86" t="str">
        <f t="shared" si="0"/>
        <v>518519</v>
      </c>
      <c r="D113" s="86" t="str">
        <f>IF(VLOOKUP(C113,'Diferencias patrimonio 2023'!$C$2:$C$1020,1,FALSE)=C113,"Encontrado", "No")</f>
        <v>Encontrado</v>
      </c>
      <c r="E113" s="86" t="s">
        <v>7551</v>
      </c>
      <c r="F113" s="86" t="s">
        <v>62</v>
      </c>
      <c r="G113" s="86" t="s">
        <v>38</v>
      </c>
      <c r="H113" s="86" t="s">
        <v>1164</v>
      </c>
    </row>
    <row r="114" spans="1:8" ht="12.75" hidden="1">
      <c r="A114" s="86">
        <v>113</v>
      </c>
      <c r="B114" s="86" t="s">
        <v>3336</v>
      </c>
      <c r="C114" s="86" t="str">
        <f t="shared" si="0"/>
        <v>518520</v>
      </c>
      <c r="D114" s="86" t="str">
        <f>IF(VLOOKUP(C114,'Diferencias patrimonio 2023'!$C$2:$C$1020,1,FALSE)=C114,"Encontrado", "No")</f>
        <v>Encontrado</v>
      </c>
      <c r="E114" s="86" t="s">
        <v>7552</v>
      </c>
      <c r="F114" s="86" t="s">
        <v>80</v>
      </c>
      <c r="G114" s="86" t="s">
        <v>100</v>
      </c>
      <c r="H114" s="86" t="s">
        <v>40</v>
      </c>
    </row>
    <row r="115" spans="1:8" ht="12.75" hidden="1">
      <c r="A115" s="86">
        <v>114</v>
      </c>
      <c r="B115" s="86" t="s">
        <v>7553</v>
      </c>
      <c r="C115" s="86" t="str">
        <f t="shared" si="0"/>
        <v>518521</v>
      </c>
      <c r="D115" s="86" t="str">
        <f>IF(VLOOKUP(C115,'Diferencias patrimonio 2023'!$C$2:$C$1020,1,FALSE)=C115,"Encontrado", "No")</f>
        <v>Encontrado</v>
      </c>
      <c r="E115" s="86" t="s">
        <v>7554</v>
      </c>
      <c r="F115" s="86" t="s">
        <v>184</v>
      </c>
      <c r="G115" s="86" t="s">
        <v>38</v>
      </c>
      <c r="H115" s="86" t="s">
        <v>1477</v>
      </c>
    </row>
    <row r="116" spans="1:8" ht="12.75" hidden="1">
      <c r="A116" s="86">
        <v>115</v>
      </c>
      <c r="B116" s="86" t="s">
        <v>7555</v>
      </c>
      <c r="C116" s="86" t="str">
        <f t="shared" si="0"/>
        <v>518522</v>
      </c>
      <c r="D116" s="86" t="str">
        <f>IF(VLOOKUP(C116,'Diferencias patrimonio 2023'!$C$2:$C$1020,1,FALSE)=C116,"Encontrado", "No")</f>
        <v>Encontrado</v>
      </c>
      <c r="E116" s="86" t="s">
        <v>7556</v>
      </c>
      <c r="F116" s="86" t="s">
        <v>184</v>
      </c>
      <c r="G116" s="86" t="s">
        <v>38</v>
      </c>
      <c r="H116" s="86" t="s">
        <v>1477</v>
      </c>
    </row>
    <row r="117" spans="1:8" ht="12.75" hidden="1">
      <c r="A117" s="86">
        <v>116</v>
      </c>
      <c r="B117" s="86" t="s">
        <v>7557</v>
      </c>
      <c r="C117" s="86" t="str">
        <f t="shared" si="0"/>
        <v>518523</v>
      </c>
      <c r="D117" s="86" t="str">
        <f>IF(VLOOKUP(C117,'Diferencias patrimonio 2023'!$C$2:$C$1020,1,FALSE)=C117,"Encontrado", "No")</f>
        <v>Encontrado</v>
      </c>
      <c r="E117" s="86" t="s">
        <v>7558</v>
      </c>
      <c r="F117" s="86" t="s">
        <v>378</v>
      </c>
      <c r="G117" s="86" t="s">
        <v>38</v>
      </c>
      <c r="H117" s="86" t="s">
        <v>7398</v>
      </c>
    </row>
    <row r="118" spans="1:8" ht="12.75" hidden="1">
      <c r="A118" s="86">
        <v>117</v>
      </c>
      <c r="B118" s="86" t="s">
        <v>351</v>
      </c>
      <c r="C118" s="86" t="str">
        <f t="shared" si="0"/>
        <v>518524</v>
      </c>
      <c r="D118" s="86" t="str">
        <f>IF(VLOOKUP(C118,'Diferencias patrimonio 2023'!$C$2:$C$1020,1,FALSE)=C118,"Encontrado", "No")</f>
        <v>Encontrado</v>
      </c>
      <c r="E118" s="86" t="s">
        <v>7559</v>
      </c>
      <c r="F118" s="86" t="s">
        <v>62</v>
      </c>
      <c r="G118" s="86" t="s">
        <v>38</v>
      </c>
      <c r="H118" s="86" t="s">
        <v>332</v>
      </c>
    </row>
    <row r="119" spans="1:8" ht="12.75" hidden="1">
      <c r="A119" s="86">
        <v>118</v>
      </c>
      <c r="B119" s="86" t="s">
        <v>1163</v>
      </c>
      <c r="C119" s="86" t="str">
        <f t="shared" si="0"/>
        <v>518525</v>
      </c>
      <c r="D119" s="86" t="str">
        <f>IF(VLOOKUP(C119,'Diferencias patrimonio 2023'!$C$2:$C$1020,1,FALSE)=C119,"Encontrado", "No")</f>
        <v>Encontrado</v>
      </c>
      <c r="E119" s="86" t="s">
        <v>7560</v>
      </c>
      <c r="F119" s="86" t="s">
        <v>62</v>
      </c>
      <c r="G119" s="86" t="s">
        <v>38</v>
      </c>
      <c r="H119" s="86" t="s">
        <v>1164</v>
      </c>
    </row>
    <row r="120" spans="1:8" ht="12.75" hidden="1">
      <c r="A120" s="86">
        <v>119</v>
      </c>
      <c r="B120" s="86" t="s">
        <v>431</v>
      </c>
      <c r="C120" s="86" t="str">
        <f t="shared" si="0"/>
        <v>518526</v>
      </c>
      <c r="D120" s="86" t="str">
        <f>IF(VLOOKUP(C120,'Diferencias patrimonio 2023'!$C$2:$C$1020,1,FALSE)=C120,"Encontrado", "No")</f>
        <v>Encontrado</v>
      </c>
      <c r="E120" s="86" t="s">
        <v>7561</v>
      </c>
      <c r="F120" s="86" t="s">
        <v>425</v>
      </c>
      <c r="G120" s="86" t="s">
        <v>38</v>
      </c>
      <c r="H120" s="86" t="s">
        <v>7398</v>
      </c>
    </row>
    <row r="121" spans="1:8" ht="12.75" hidden="1">
      <c r="A121" s="86">
        <v>120</v>
      </c>
      <c r="B121" s="86" t="s">
        <v>1392</v>
      </c>
      <c r="C121" s="86" t="str">
        <f t="shared" si="0"/>
        <v>518527</v>
      </c>
      <c r="D121" s="86" t="str">
        <f>IF(VLOOKUP(C121,'Diferencias patrimonio 2023'!$C$2:$C$1020,1,FALSE)=C121,"Encontrado", "No")</f>
        <v>Encontrado</v>
      </c>
      <c r="E121" s="86" t="s">
        <v>7562</v>
      </c>
      <c r="F121" s="86" t="s">
        <v>116</v>
      </c>
      <c r="G121" s="86" t="s">
        <v>38</v>
      </c>
      <c r="H121" s="86" t="s">
        <v>1386</v>
      </c>
    </row>
    <row r="122" spans="1:8" ht="12.75">
      <c r="A122" s="86">
        <v>121</v>
      </c>
      <c r="B122" s="86" t="s">
        <v>7262</v>
      </c>
      <c r="C122" s="86" t="str">
        <f t="shared" si="0"/>
        <v>518528</v>
      </c>
      <c r="D122" s="86" t="e">
        <f>IF(VLOOKUP(C122,'Diferencias patrimonio 2023'!$C$2:$C$1020,1,FALSE)=C122,"Encontrado", "No")</f>
        <v>#N/A</v>
      </c>
      <c r="E122" s="86" t="s">
        <v>7563</v>
      </c>
      <c r="F122" s="86" t="s">
        <v>116</v>
      </c>
      <c r="G122" s="86" t="s">
        <v>38</v>
      </c>
      <c r="H122" s="86" t="s">
        <v>7398</v>
      </c>
    </row>
    <row r="123" spans="1:8" ht="12.75" hidden="1">
      <c r="A123" s="86">
        <v>122</v>
      </c>
      <c r="B123" s="86" t="s">
        <v>121</v>
      </c>
      <c r="C123" s="86" t="str">
        <f t="shared" si="0"/>
        <v>518529</v>
      </c>
      <c r="D123" s="86" t="str">
        <f>IF(VLOOKUP(C123,'Diferencias patrimonio 2023'!$C$2:$C$1020,1,FALSE)=C123,"Encontrado", "No")</f>
        <v>Encontrado</v>
      </c>
      <c r="E123" s="86" t="s">
        <v>7564</v>
      </c>
      <c r="F123" s="86" t="s">
        <v>116</v>
      </c>
      <c r="G123" s="86" t="s">
        <v>38</v>
      </c>
      <c r="H123" s="86" t="s">
        <v>7398</v>
      </c>
    </row>
    <row r="124" spans="1:8" ht="12.75" hidden="1">
      <c r="A124" s="86">
        <v>123</v>
      </c>
      <c r="B124" s="86" t="s">
        <v>369</v>
      </c>
      <c r="C124" s="86" t="str">
        <f t="shared" si="0"/>
        <v>518530</v>
      </c>
      <c r="D124" s="86" t="str">
        <f>IF(VLOOKUP(C124,'Diferencias patrimonio 2023'!$C$2:$C$1020,1,FALSE)=C124,"Encontrado", "No")</f>
        <v>Encontrado</v>
      </c>
      <c r="E124" s="86" t="s">
        <v>7565</v>
      </c>
      <c r="F124" s="86" t="s">
        <v>116</v>
      </c>
      <c r="G124" s="86" t="s">
        <v>38</v>
      </c>
      <c r="H124" s="86" t="s">
        <v>332</v>
      </c>
    </row>
    <row r="125" spans="1:8" ht="12.75" hidden="1">
      <c r="A125" s="86">
        <v>124</v>
      </c>
      <c r="B125" s="86" t="s">
        <v>5093</v>
      </c>
      <c r="C125" s="86" t="str">
        <f t="shared" si="0"/>
        <v>518531</v>
      </c>
      <c r="D125" s="86" t="str">
        <f>IF(VLOOKUP(C125,'Diferencias patrimonio 2023'!$C$2:$C$1020,1,FALSE)=C125,"Encontrado", "No")</f>
        <v>Encontrado</v>
      </c>
      <c r="E125" s="86" t="s">
        <v>7566</v>
      </c>
      <c r="F125" s="86" t="s">
        <v>466</v>
      </c>
      <c r="G125" s="86" t="s">
        <v>38</v>
      </c>
      <c r="H125" s="86" t="s">
        <v>4935</v>
      </c>
    </row>
    <row r="126" spans="1:8" ht="12.75" hidden="1">
      <c r="A126" s="86">
        <v>125</v>
      </c>
      <c r="B126" s="86" t="s">
        <v>556</v>
      </c>
      <c r="C126" s="86" t="str">
        <f t="shared" si="0"/>
        <v>518532</v>
      </c>
      <c r="D126" s="86" t="str">
        <f>IF(VLOOKUP(C126,'Diferencias patrimonio 2023'!$C$2:$C$1020,1,FALSE)=C126,"Encontrado", "No")</f>
        <v>Encontrado</v>
      </c>
      <c r="E126" s="86" t="s">
        <v>7567</v>
      </c>
      <c r="F126" s="86" t="s">
        <v>466</v>
      </c>
      <c r="G126" s="86" t="s">
        <v>38</v>
      </c>
      <c r="H126" s="86" t="s">
        <v>7398</v>
      </c>
    </row>
    <row r="127" spans="1:8" ht="12.75" hidden="1">
      <c r="A127" s="86">
        <v>126</v>
      </c>
      <c r="B127" s="86" t="s">
        <v>5830</v>
      </c>
      <c r="C127" s="86" t="str">
        <f t="shared" si="0"/>
        <v>518533</v>
      </c>
      <c r="D127" s="86" t="str">
        <f>IF(VLOOKUP(C127,'Diferencias patrimonio 2023'!$C$2:$C$1020,1,FALSE)=C127,"Encontrado", "No")</f>
        <v>Encontrado</v>
      </c>
      <c r="E127" s="86" t="s">
        <v>7568</v>
      </c>
      <c r="F127" s="86" t="s">
        <v>378</v>
      </c>
      <c r="G127" s="86" t="s">
        <v>38</v>
      </c>
      <c r="H127" s="86" t="s">
        <v>7398</v>
      </c>
    </row>
    <row r="128" spans="1:8" ht="12.75" hidden="1">
      <c r="A128" s="86">
        <v>127</v>
      </c>
      <c r="B128" s="86" t="s">
        <v>540</v>
      </c>
      <c r="C128" s="86" t="str">
        <f t="shared" si="0"/>
        <v>518534</v>
      </c>
      <c r="D128" s="86" t="str">
        <f>IF(VLOOKUP(C128,'Diferencias patrimonio 2023'!$C$2:$C$1020,1,FALSE)=C128,"Encontrado", "No")</f>
        <v>Encontrado</v>
      </c>
      <c r="E128" s="86" t="s">
        <v>7569</v>
      </c>
      <c r="F128" s="86" t="s">
        <v>378</v>
      </c>
      <c r="G128" s="86" t="s">
        <v>38</v>
      </c>
      <c r="H128" s="86" t="s">
        <v>7398</v>
      </c>
    </row>
    <row r="129" spans="1:8" ht="12.75">
      <c r="A129" s="86">
        <v>128</v>
      </c>
      <c r="B129" s="86" t="s">
        <v>7257</v>
      </c>
      <c r="C129" s="86" t="str">
        <f t="shared" si="0"/>
        <v>518535</v>
      </c>
      <c r="D129" s="86" t="e">
        <f>IF(VLOOKUP(C129,'Diferencias patrimonio 2023'!$C$2:$C$1020,1,FALSE)=C129,"Encontrado", "No")</f>
        <v>#N/A</v>
      </c>
      <c r="E129" s="86" t="s">
        <v>7570</v>
      </c>
      <c r="F129" s="86" t="s">
        <v>378</v>
      </c>
      <c r="G129" s="86" t="s">
        <v>38</v>
      </c>
      <c r="H129" s="86" t="s">
        <v>7398</v>
      </c>
    </row>
    <row r="130" spans="1:8" ht="12.75" hidden="1">
      <c r="A130" s="86">
        <v>129</v>
      </c>
      <c r="B130" s="86" t="s">
        <v>525</v>
      </c>
      <c r="C130" s="86" t="str">
        <f t="shared" si="0"/>
        <v>518536</v>
      </c>
      <c r="D130" s="86" t="str">
        <f>IF(VLOOKUP(C130,'Diferencias patrimonio 2023'!$C$2:$C$1020,1,FALSE)=C130,"Encontrado", "No")</f>
        <v>Encontrado</v>
      </c>
      <c r="E130" s="86" t="s">
        <v>7571</v>
      </c>
      <c r="F130" s="86" t="s">
        <v>378</v>
      </c>
      <c r="G130" s="86" t="s">
        <v>38</v>
      </c>
      <c r="H130" s="86" t="s">
        <v>7398</v>
      </c>
    </row>
    <row r="131" spans="1:8" ht="12.75" hidden="1">
      <c r="A131" s="86">
        <v>130</v>
      </c>
      <c r="B131" s="86" t="s">
        <v>516</v>
      </c>
      <c r="C131" s="86" t="str">
        <f t="shared" si="0"/>
        <v>518537</v>
      </c>
      <c r="D131" s="86" t="str">
        <f>IF(VLOOKUP(C131,'Diferencias patrimonio 2023'!$C$2:$C$1020,1,FALSE)=C131,"Encontrado", "No")</f>
        <v>Encontrado</v>
      </c>
      <c r="E131" s="86" t="s">
        <v>7572</v>
      </c>
      <c r="F131" s="86" t="s">
        <v>378</v>
      </c>
      <c r="G131" s="86" t="s">
        <v>38</v>
      </c>
      <c r="H131" s="86" t="s">
        <v>7398</v>
      </c>
    </row>
    <row r="132" spans="1:8" ht="12.75">
      <c r="A132" s="86">
        <v>131</v>
      </c>
      <c r="B132" s="86" t="s">
        <v>7326</v>
      </c>
      <c r="C132" s="86" t="str">
        <f t="shared" si="0"/>
        <v>518539</v>
      </c>
      <c r="D132" s="86" t="e">
        <f>IF(VLOOKUP(C132,'Diferencias patrimonio 2023'!$C$2:$C$1020,1,FALSE)=C132,"Encontrado", "No")</f>
        <v>#N/A</v>
      </c>
      <c r="E132" s="86" t="s">
        <v>7573</v>
      </c>
      <c r="F132" s="86" t="s">
        <v>378</v>
      </c>
      <c r="G132" s="86" t="s">
        <v>38</v>
      </c>
      <c r="H132" s="86" t="s">
        <v>7398</v>
      </c>
    </row>
    <row r="133" spans="1:8" ht="12.75">
      <c r="A133" s="86">
        <v>132</v>
      </c>
      <c r="B133" s="86" t="s">
        <v>7329</v>
      </c>
      <c r="C133" s="86" t="str">
        <f t="shared" si="0"/>
        <v>518544</v>
      </c>
      <c r="D133" s="86" t="e">
        <f>IF(VLOOKUP(C133,'Diferencias patrimonio 2023'!$C$2:$C$1020,1,FALSE)=C133,"Encontrado", "No")</f>
        <v>#N/A</v>
      </c>
      <c r="E133" s="86" t="s">
        <v>7575</v>
      </c>
      <c r="F133" s="86" t="s">
        <v>62</v>
      </c>
      <c r="G133" s="86" t="s">
        <v>38</v>
      </c>
      <c r="H133" s="86" t="s">
        <v>6062</v>
      </c>
    </row>
    <row r="134" spans="1:8" ht="12.75" hidden="1">
      <c r="A134" s="86">
        <v>133</v>
      </c>
      <c r="B134" s="86" t="s">
        <v>5452</v>
      </c>
      <c r="C134" s="86" t="str">
        <f t="shared" si="0"/>
        <v>518545</v>
      </c>
      <c r="D134" s="86" t="str">
        <f>IF(VLOOKUP(C134,'Diferencias patrimonio 2023'!$C$2:$C$1020,1,FALSE)=C134,"Encontrado", "No")</f>
        <v>Encontrado</v>
      </c>
      <c r="E134" s="86" t="s">
        <v>7576</v>
      </c>
      <c r="F134" s="86" t="s">
        <v>62</v>
      </c>
      <c r="G134" s="86" t="s">
        <v>38</v>
      </c>
      <c r="H134" s="86" t="s">
        <v>5310</v>
      </c>
    </row>
    <row r="135" spans="1:8" ht="12.75" hidden="1">
      <c r="A135" s="86">
        <v>134</v>
      </c>
      <c r="B135" s="86" t="s">
        <v>7577</v>
      </c>
      <c r="C135" s="86" t="str">
        <f t="shared" si="0"/>
        <v>519351</v>
      </c>
      <c r="D135" s="86" t="str">
        <f>IF(VLOOKUP(C135,'Diferencias patrimonio 2023'!$C$2:$C$1020,1,FALSE)=C135,"Encontrado", "No")</f>
        <v>Encontrado</v>
      </c>
      <c r="E135" s="86" t="s">
        <v>7578</v>
      </c>
      <c r="F135" s="86" t="s">
        <v>1199</v>
      </c>
      <c r="G135" s="86" t="s">
        <v>38</v>
      </c>
      <c r="H135" s="86" t="s">
        <v>3450</v>
      </c>
    </row>
    <row r="136" spans="1:8" ht="12.75" hidden="1">
      <c r="A136" s="86">
        <v>135</v>
      </c>
      <c r="B136" s="86" t="s">
        <v>6246</v>
      </c>
      <c r="C136" s="86" t="str">
        <f t="shared" si="0"/>
        <v>519362</v>
      </c>
      <c r="D136" s="86" t="str">
        <f>IF(VLOOKUP(C136,'Diferencias patrimonio 2023'!$C$2:$C$1020,1,FALSE)=C136,"Encontrado", "No")</f>
        <v>Encontrado</v>
      </c>
      <c r="E136" s="86" t="s">
        <v>7579</v>
      </c>
      <c r="F136" s="86" t="s">
        <v>1199</v>
      </c>
      <c r="G136" s="86" t="s">
        <v>38</v>
      </c>
      <c r="H136" s="86" t="s">
        <v>6062</v>
      </c>
    </row>
    <row r="137" spans="1:8" ht="12.75" hidden="1">
      <c r="A137" s="86">
        <v>136</v>
      </c>
      <c r="B137" s="86" t="s">
        <v>1541</v>
      </c>
      <c r="C137" s="86" t="str">
        <f t="shared" si="0"/>
        <v>522226</v>
      </c>
      <c r="D137" s="86" t="str">
        <f>IF(VLOOKUP(C137,'Diferencias patrimonio 2023'!$C$2:$C$1020,1,FALSE)=C137,"Encontrado", "No")</f>
        <v>Encontrado</v>
      </c>
      <c r="E137" s="86" t="s">
        <v>7582</v>
      </c>
      <c r="F137" s="86" t="s">
        <v>151</v>
      </c>
      <c r="G137" s="86" t="s">
        <v>38</v>
      </c>
      <c r="H137" s="86" t="s">
        <v>2329</v>
      </c>
    </row>
    <row r="138" spans="1:8" ht="12.75" hidden="1">
      <c r="A138" s="86">
        <v>137</v>
      </c>
      <c r="B138" s="86" t="s">
        <v>7583</v>
      </c>
      <c r="C138" s="86" t="str">
        <f t="shared" si="0"/>
        <v>522283</v>
      </c>
      <c r="D138" s="86" t="str">
        <f>IF(VLOOKUP(C138,'Diferencias patrimonio 2023'!$C$2:$C$1020,1,FALSE)=C138,"Encontrado", "No")</f>
        <v>Encontrado</v>
      </c>
      <c r="E138" s="86" t="s">
        <v>7584</v>
      </c>
      <c r="F138" s="86" t="s">
        <v>248</v>
      </c>
      <c r="G138" s="86" t="s">
        <v>38</v>
      </c>
      <c r="H138" s="86" t="s">
        <v>7411</v>
      </c>
    </row>
    <row r="139" spans="1:8" ht="12.75">
      <c r="A139" s="86">
        <v>138</v>
      </c>
      <c r="B139" s="86" t="s">
        <v>7585</v>
      </c>
      <c r="C139" s="86" t="str">
        <f t="shared" si="0"/>
        <v>522284</v>
      </c>
      <c r="D139" s="86" t="e">
        <f>IF(VLOOKUP(C139,'Diferencias patrimonio 2023'!$C$2:$C$1020,1,FALSE)=C139,"Encontrado", "No")</f>
        <v>#N/A</v>
      </c>
      <c r="E139" s="86" t="s">
        <v>7586</v>
      </c>
      <c r="F139" s="86" t="s">
        <v>248</v>
      </c>
      <c r="G139" s="86" t="s">
        <v>38</v>
      </c>
      <c r="H139" s="86" t="s">
        <v>7411</v>
      </c>
    </row>
    <row r="140" spans="1:8" ht="12.75">
      <c r="A140" s="86">
        <v>139</v>
      </c>
      <c r="B140" s="86" t="s">
        <v>7587</v>
      </c>
      <c r="C140" s="86" t="str">
        <f t="shared" si="0"/>
        <v>522285</v>
      </c>
      <c r="D140" s="86" t="e">
        <f>IF(VLOOKUP(C140,'Diferencias patrimonio 2023'!$C$2:$C$1020,1,FALSE)=C140,"Encontrado", "No")</f>
        <v>#N/A</v>
      </c>
      <c r="E140" s="86" t="s">
        <v>7588</v>
      </c>
      <c r="F140" s="86" t="s">
        <v>248</v>
      </c>
      <c r="G140" s="86" t="s">
        <v>38</v>
      </c>
      <c r="H140" s="86" t="s">
        <v>1477</v>
      </c>
    </row>
    <row r="141" spans="1:8" ht="12.75" hidden="1">
      <c r="A141" s="86">
        <v>140</v>
      </c>
      <c r="B141" s="86" t="s">
        <v>7589</v>
      </c>
      <c r="C141" s="86" t="str">
        <f t="shared" si="0"/>
        <v>522294</v>
      </c>
      <c r="D141" s="86" t="str">
        <f>IF(VLOOKUP(C141,'Diferencias patrimonio 2023'!$C$2:$C$1020,1,FALSE)=C141,"Encontrado", "No")</f>
        <v>Encontrado</v>
      </c>
      <c r="E141" s="86" t="s">
        <v>7590</v>
      </c>
      <c r="F141" s="86" t="s">
        <v>248</v>
      </c>
      <c r="G141" s="86" t="s">
        <v>38</v>
      </c>
      <c r="H141" s="86" t="s">
        <v>7430</v>
      </c>
    </row>
    <row r="142" spans="1:8" ht="12.75" hidden="1">
      <c r="A142" s="86">
        <v>141</v>
      </c>
      <c r="B142" s="86" t="s">
        <v>1956</v>
      </c>
      <c r="C142" s="86" t="str">
        <f t="shared" si="0"/>
        <v>522298</v>
      </c>
      <c r="D142" s="86" t="str">
        <f>IF(VLOOKUP(C142,'Diferencias patrimonio 2023'!$C$2:$C$1020,1,FALSE)=C142,"Encontrado", "No")</f>
        <v>Encontrado</v>
      </c>
      <c r="E142" s="86" t="s">
        <v>7591</v>
      </c>
      <c r="F142" s="86" t="s">
        <v>248</v>
      </c>
      <c r="G142" s="86" t="s">
        <v>38</v>
      </c>
      <c r="H142" s="86" t="s">
        <v>1890</v>
      </c>
    </row>
    <row r="143" spans="1:8" ht="12.75" hidden="1">
      <c r="A143" s="86">
        <v>142</v>
      </c>
      <c r="B143" s="86" t="s">
        <v>252</v>
      </c>
      <c r="C143" s="86" t="str">
        <f t="shared" si="0"/>
        <v>522299</v>
      </c>
      <c r="D143" s="86" t="str">
        <f>IF(VLOOKUP(C143,'Diferencias patrimonio 2023'!$C$2:$C$1020,1,FALSE)=C143,"Encontrado", "No")</f>
        <v>Encontrado</v>
      </c>
      <c r="E143" s="86" t="s">
        <v>7592</v>
      </c>
      <c r="F143" s="86" t="s">
        <v>248</v>
      </c>
      <c r="G143" s="86" t="s">
        <v>38</v>
      </c>
      <c r="H143" s="86" t="s">
        <v>7398</v>
      </c>
    </row>
    <row r="144" spans="1:8" ht="12.75">
      <c r="A144" s="86">
        <v>143</v>
      </c>
      <c r="B144" s="86" t="s">
        <v>7283</v>
      </c>
      <c r="C144" s="86" t="str">
        <f t="shared" si="0"/>
        <v>522523</v>
      </c>
      <c r="D144" s="86" t="e">
        <f>IF(VLOOKUP(C144,'Diferencias patrimonio 2023'!$C$2:$C$1020,1,FALSE)=C144,"Encontrado", "No")</f>
        <v>#N/A</v>
      </c>
      <c r="E144" s="86" t="s">
        <v>7593</v>
      </c>
      <c r="F144" s="86" t="s">
        <v>378</v>
      </c>
      <c r="G144" s="86" t="s">
        <v>38</v>
      </c>
      <c r="H144" s="86" t="s">
        <v>7411</v>
      </c>
    </row>
    <row r="145" spans="1:8" ht="12.75" hidden="1">
      <c r="A145" s="86">
        <v>144</v>
      </c>
      <c r="B145" s="86" t="s">
        <v>7594</v>
      </c>
      <c r="C145" s="86" t="str">
        <f t="shared" si="0"/>
        <v>522524</v>
      </c>
      <c r="D145" s="86" t="str">
        <f>IF(VLOOKUP(C145,'Diferencias patrimonio 2023'!$C$2:$C$1020,1,FALSE)=C145,"Encontrado", "No")</f>
        <v>Encontrado</v>
      </c>
      <c r="E145" s="86" t="s">
        <v>7595</v>
      </c>
      <c r="F145" s="86" t="s">
        <v>378</v>
      </c>
      <c r="G145" s="86" t="s">
        <v>38</v>
      </c>
      <c r="H145" s="86" t="s">
        <v>7411</v>
      </c>
    </row>
    <row r="146" spans="1:8" ht="12.75" hidden="1">
      <c r="A146" s="86">
        <v>145</v>
      </c>
      <c r="B146" s="86" t="s">
        <v>7596</v>
      </c>
      <c r="C146" s="86" t="str">
        <f t="shared" si="0"/>
        <v>522707</v>
      </c>
      <c r="D146" s="86" t="str">
        <f>IF(VLOOKUP(C146,'Diferencias patrimonio 2023'!$C$2:$C$1020,1,FALSE)=C146,"Encontrado", "No")</f>
        <v>Encontrado</v>
      </c>
      <c r="E146" s="86" t="s">
        <v>7597</v>
      </c>
      <c r="F146" s="86" t="s">
        <v>378</v>
      </c>
      <c r="G146" s="86" t="s">
        <v>38</v>
      </c>
      <c r="H146" s="86" t="s">
        <v>1597</v>
      </c>
    </row>
    <row r="147" spans="1:8" ht="12.75" hidden="1">
      <c r="A147" s="86">
        <v>146</v>
      </c>
      <c r="B147" s="86" t="s">
        <v>1812</v>
      </c>
      <c r="C147" s="86" t="str">
        <f t="shared" si="0"/>
        <v>522723</v>
      </c>
      <c r="D147" s="86" t="str">
        <f>IF(VLOOKUP(C147,'Diferencias patrimonio 2023'!$C$2:$C$1020,1,FALSE)=C147,"Encontrado", "No")</f>
        <v>Encontrado</v>
      </c>
      <c r="E147" s="86" t="s">
        <v>7598</v>
      </c>
      <c r="F147" s="86" t="s">
        <v>378</v>
      </c>
      <c r="G147" s="86" t="s">
        <v>38</v>
      </c>
      <c r="H147" s="86" t="s">
        <v>1672</v>
      </c>
    </row>
    <row r="148" spans="1:8" ht="12.75" hidden="1">
      <c r="A148" s="86">
        <v>147</v>
      </c>
      <c r="B148" s="86" t="s">
        <v>384</v>
      </c>
      <c r="C148" s="86" t="str">
        <f t="shared" si="0"/>
        <v>522763</v>
      </c>
      <c r="D148" s="86" t="str">
        <f>IF(VLOOKUP(C148,'Diferencias patrimonio 2023'!$C$2:$C$1020,1,FALSE)=C148,"Encontrado", "No")</f>
        <v>Encontrado</v>
      </c>
      <c r="E148" s="86" t="s">
        <v>7599</v>
      </c>
      <c r="F148" s="86" t="s">
        <v>378</v>
      </c>
      <c r="G148" s="86" t="s">
        <v>38</v>
      </c>
      <c r="H148" s="86" t="s">
        <v>332</v>
      </c>
    </row>
    <row r="149" spans="1:8" ht="12.75" hidden="1">
      <c r="A149" s="86">
        <v>148</v>
      </c>
      <c r="B149" s="86" t="s">
        <v>1365</v>
      </c>
      <c r="C149" s="86" t="str">
        <f t="shared" si="0"/>
        <v>522767</v>
      </c>
      <c r="D149" s="86" t="str">
        <f>IF(VLOOKUP(C149,'Diferencias patrimonio 2023'!$C$2:$C$1020,1,FALSE)=C149,"Encontrado", "No")</f>
        <v>Encontrado</v>
      </c>
      <c r="E149" s="86" t="s">
        <v>7600</v>
      </c>
      <c r="F149" s="86" t="s">
        <v>378</v>
      </c>
      <c r="G149" s="86" t="s">
        <v>38</v>
      </c>
      <c r="H149" s="86" t="s">
        <v>7601</v>
      </c>
    </row>
    <row r="150" spans="1:8" ht="12.75" hidden="1">
      <c r="A150" s="86">
        <v>149</v>
      </c>
      <c r="B150" s="86" t="s">
        <v>4911</v>
      </c>
      <c r="C150" s="86" t="str">
        <f t="shared" si="0"/>
        <v>522768</v>
      </c>
      <c r="D150" s="86" t="str">
        <f>IF(VLOOKUP(C150,'Diferencias patrimonio 2023'!$C$2:$C$1020,1,FALSE)=C150,"Encontrado", "No")</f>
        <v>Encontrado</v>
      </c>
      <c r="E150" s="86" t="s">
        <v>7602</v>
      </c>
      <c r="F150" s="86" t="s">
        <v>378</v>
      </c>
      <c r="G150" s="86" t="s">
        <v>38</v>
      </c>
      <c r="H150" s="86" t="s">
        <v>7414</v>
      </c>
    </row>
    <row r="151" spans="1:8" ht="12.75" hidden="1">
      <c r="A151" s="86">
        <v>150</v>
      </c>
      <c r="B151" s="86" t="s">
        <v>4616</v>
      </c>
      <c r="C151" s="86" t="str">
        <f t="shared" si="0"/>
        <v>522769</v>
      </c>
      <c r="D151" s="86" t="str">
        <f>IF(VLOOKUP(C151,'Diferencias patrimonio 2023'!$C$2:$C$1020,1,FALSE)=C151,"Encontrado", "No")</f>
        <v>Encontrado</v>
      </c>
      <c r="E151" s="86" t="s">
        <v>7603</v>
      </c>
      <c r="F151" s="86" t="s">
        <v>378</v>
      </c>
      <c r="G151" s="86" t="s">
        <v>38</v>
      </c>
      <c r="H151" s="86" t="s">
        <v>4737</v>
      </c>
    </row>
    <row r="152" spans="1:8" ht="12.75" hidden="1">
      <c r="A152" s="86">
        <v>151</v>
      </c>
      <c r="B152" s="86" t="s">
        <v>4750</v>
      </c>
      <c r="C152" s="86" t="str">
        <f t="shared" si="0"/>
        <v>522770</v>
      </c>
      <c r="D152" s="86" t="str">
        <f>IF(VLOOKUP(C152,'Diferencias patrimonio 2023'!$C$2:$C$1020,1,FALSE)=C152,"Encontrado", "No")</f>
        <v>Encontrado</v>
      </c>
      <c r="E152" s="86" t="s">
        <v>7604</v>
      </c>
      <c r="F152" s="86" t="s">
        <v>378</v>
      </c>
      <c r="G152" s="86" t="s">
        <v>38</v>
      </c>
      <c r="H152" s="86" t="s">
        <v>724</v>
      </c>
    </row>
    <row r="153" spans="1:8" ht="12.75" hidden="1">
      <c r="A153" s="86">
        <v>152</v>
      </c>
      <c r="B153" s="86" t="s">
        <v>7605</v>
      </c>
      <c r="C153" s="86" t="str">
        <f t="shared" si="0"/>
        <v>522771</v>
      </c>
      <c r="D153" s="86" t="str">
        <f>IF(VLOOKUP(C153,'Diferencias patrimonio 2023'!$C$2:$C$1020,1,FALSE)=C153,"Encontrado", "No")</f>
        <v>Encontrado</v>
      </c>
      <c r="E153" s="86" t="s">
        <v>7606</v>
      </c>
      <c r="F153" s="86" t="s">
        <v>378</v>
      </c>
      <c r="G153" s="86" t="s">
        <v>38</v>
      </c>
      <c r="H153" s="86" t="s">
        <v>7398</v>
      </c>
    </row>
    <row r="154" spans="1:8" ht="12.75" hidden="1">
      <c r="A154" s="86">
        <v>153</v>
      </c>
      <c r="B154" s="86" t="s">
        <v>7607</v>
      </c>
      <c r="C154" s="86" t="str">
        <f t="shared" si="0"/>
        <v>522803</v>
      </c>
      <c r="D154" s="86" t="str">
        <f>IF(VLOOKUP(C154,'Diferencias patrimonio 2023'!$C$2:$C$1020,1,FALSE)=C154,"Encontrado", "No")</f>
        <v>Encontrado</v>
      </c>
      <c r="E154" s="86" t="s">
        <v>7608</v>
      </c>
      <c r="F154" s="86" t="s">
        <v>378</v>
      </c>
      <c r="G154" s="86" t="s">
        <v>38</v>
      </c>
      <c r="H154" s="86" t="s">
        <v>7414</v>
      </c>
    </row>
    <row r="155" spans="1:8" ht="12.75" hidden="1">
      <c r="A155" s="86">
        <v>154</v>
      </c>
      <c r="B155" s="86" t="s">
        <v>7609</v>
      </c>
      <c r="C155" s="86" t="str">
        <f t="shared" si="0"/>
        <v>522804</v>
      </c>
      <c r="D155" s="86" t="str">
        <f>IF(VLOOKUP(C155,'Diferencias patrimonio 2023'!$C$2:$C$1020,1,FALSE)=C155,"Encontrado", "No")</f>
        <v>Encontrado</v>
      </c>
      <c r="E155" s="86" t="s">
        <v>7610</v>
      </c>
      <c r="F155" s="86" t="s">
        <v>378</v>
      </c>
      <c r="G155" s="86" t="s">
        <v>38</v>
      </c>
      <c r="H155" s="86" t="s">
        <v>7414</v>
      </c>
    </row>
    <row r="156" spans="1:8" ht="12.75" hidden="1">
      <c r="A156" s="86">
        <v>155</v>
      </c>
      <c r="B156" s="86" t="s">
        <v>883</v>
      </c>
      <c r="C156" s="86" t="str">
        <f t="shared" si="0"/>
        <v>522806</v>
      </c>
      <c r="D156" s="86" t="str">
        <f>IF(VLOOKUP(C156,'Diferencias patrimonio 2023'!$C$2:$C$1020,1,FALSE)=C156,"Encontrado", "No")</f>
        <v>Encontrado</v>
      </c>
      <c r="E156" s="86" t="s">
        <v>7611</v>
      </c>
      <c r="F156" s="86" t="s">
        <v>378</v>
      </c>
      <c r="G156" s="86" t="s">
        <v>38</v>
      </c>
      <c r="H156" s="86" t="s">
        <v>1004</v>
      </c>
    </row>
    <row r="157" spans="1:8" ht="12.75">
      <c r="A157" s="86">
        <v>156</v>
      </c>
      <c r="B157" s="86" t="s">
        <v>7264</v>
      </c>
      <c r="C157" s="86" t="str">
        <f t="shared" si="0"/>
        <v>522825</v>
      </c>
      <c r="D157" s="86" t="e">
        <f>IF(VLOOKUP(C157,'Diferencias patrimonio 2023'!$C$2:$C$1020,1,FALSE)=C157,"Encontrado", "No")</f>
        <v>#N/A</v>
      </c>
      <c r="E157" s="86" t="s">
        <v>7612</v>
      </c>
      <c r="F157" s="86" t="s">
        <v>378</v>
      </c>
      <c r="G157" s="86" t="s">
        <v>38</v>
      </c>
      <c r="H157" s="86" t="s">
        <v>4935</v>
      </c>
    </row>
    <row r="158" spans="1:8" ht="12.75" hidden="1">
      <c r="A158" s="86">
        <v>157</v>
      </c>
      <c r="B158" s="86" t="s">
        <v>4900</v>
      </c>
      <c r="C158" s="86" t="str">
        <f t="shared" si="0"/>
        <v>522846</v>
      </c>
      <c r="D158" s="86" t="str">
        <f>IF(VLOOKUP(C158,'Diferencias patrimonio 2023'!$C$2:$C$1020,1,FALSE)=C158,"Encontrado", "No")</f>
        <v>Encontrado</v>
      </c>
      <c r="E158" s="86" t="s">
        <v>7613</v>
      </c>
      <c r="F158" s="86" t="s">
        <v>378</v>
      </c>
      <c r="G158" s="86" t="s">
        <v>38</v>
      </c>
      <c r="H158" s="86" t="s">
        <v>4737</v>
      </c>
    </row>
    <row r="159" spans="1:8" ht="12.75" hidden="1">
      <c r="A159" s="86">
        <v>158</v>
      </c>
      <c r="B159" s="86" t="s">
        <v>2193</v>
      </c>
      <c r="C159" s="86" t="str">
        <f t="shared" si="0"/>
        <v>524607</v>
      </c>
      <c r="D159" s="86" t="str">
        <f>IF(VLOOKUP(C159,'Diferencias patrimonio 2023'!$C$2:$C$1020,1,FALSE)=C159,"Encontrado", "No")</f>
        <v>Encontrado</v>
      </c>
      <c r="E159" s="86" t="s">
        <v>7614</v>
      </c>
      <c r="F159" s="86" t="s">
        <v>7615</v>
      </c>
      <c r="G159" s="86" t="s">
        <v>38</v>
      </c>
      <c r="H159" s="86" t="s">
        <v>2052</v>
      </c>
    </row>
    <row r="160" spans="1:8" ht="12.75" hidden="1">
      <c r="A160" s="86">
        <v>159</v>
      </c>
      <c r="B160" s="86" t="s">
        <v>2133</v>
      </c>
      <c r="C160" s="86" t="str">
        <f t="shared" si="0"/>
        <v>524624</v>
      </c>
      <c r="D160" s="86" t="str">
        <f>IF(VLOOKUP(C160,'Diferencias patrimonio 2023'!$C$2:$C$1020,1,FALSE)=C160,"Encontrado", "No")</f>
        <v>Encontrado</v>
      </c>
      <c r="E160" s="86" t="s">
        <v>7617</v>
      </c>
      <c r="F160" s="86" t="s">
        <v>7615</v>
      </c>
      <c r="G160" s="86" t="s">
        <v>38</v>
      </c>
      <c r="H160" s="86" t="s">
        <v>2052</v>
      </c>
    </row>
    <row r="161" spans="1:8" ht="12.75" hidden="1">
      <c r="A161" s="86">
        <v>160</v>
      </c>
      <c r="B161" s="86" t="s">
        <v>7618</v>
      </c>
      <c r="C161" s="86" t="str">
        <f t="shared" si="0"/>
        <v>524719</v>
      </c>
      <c r="D161" s="86" t="str">
        <f>IF(VLOOKUP(C161,'Diferencias patrimonio 2023'!$C$2:$C$1020,1,FALSE)=C161,"Encontrado", "No")</f>
        <v>Encontrado</v>
      </c>
      <c r="E161" s="86" t="s">
        <v>7619</v>
      </c>
      <c r="F161" s="86" t="s">
        <v>248</v>
      </c>
      <c r="G161" s="86" t="s">
        <v>38</v>
      </c>
      <c r="H161" s="86" t="s">
        <v>7411</v>
      </c>
    </row>
    <row r="162" spans="1:8" ht="12.75" hidden="1">
      <c r="A162" s="86">
        <v>161</v>
      </c>
      <c r="B162" s="86" t="s">
        <v>5664</v>
      </c>
      <c r="C162" s="86" t="str">
        <f t="shared" si="0"/>
        <v>527018</v>
      </c>
      <c r="D162" s="86" t="str">
        <f>IF(VLOOKUP(C162,'Diferencias patrimonio 2023'!$C$2:$C$1020,1,FALSE)=C162,"Encontrado", "No")</f>
        <v>Encontrado</v>
      </c>
      <c r="E162" s="86" t="s">
        <v>7620</v>
      </c>
      <c r="F162" s="86" t="s">
        <v>162</v>
      </c>
      <c r="G162" s="86" t="s">
        <v>38</v>
      </c>
      <c r="H162" s="86" t="s">
        <v>5584</v>
      </c>
    </row>
    <row r="163" spans="1:8" ht="12.75" hidden="1">
      <c r="A163" s="86">
        <v>162</v>
      </c>
      <c r="B163" s="86" t="s">
        <v>3813</v>
      </c>
      <c r="C163" s="86" t="str">
        <f t="shared" si="0"/>
        <v>527027</v>
      </c>
      <c r="D163" s="86" t="str">
        <f>IF(VLOOKUP(C163,'Diferencias patrimonio 2023'!$C$2:$C$1020,1,FALSE)=C163,"Encontrado", "No")</f>
        <v>Encontrado</v>
      </c>
      <c r="E163" s="86" t="s">
        <v>7621</v>
      </c>
      <c r="F163" s="86" t="s">
        <v>162</v>
      </c>
      <c r="G163" s="86" t="s">
        <v>38</v>
      </c>
      <c r="H163" s="86" t="s">
        <v>1665</v>
      </c>
    </row>
    <row r="164" spans="1:8" ht="12.75" hidden="1">
      <c r="A164" s="86">
        <v>163</v>
      </c>
      <c r="B164" s="86" t="s">
        <v>5357</v>
      </c>
      <c r="C164" s="86" t="str">
        <f t="shared" si="0"/>
        <v>527082</v>
      </c>
      <c r="D164" s="86" t="str">
        <f>IF(VLOOKUP(C164,'Diferencias patrimonio 2023'!$C$2:$C$1020,1,FALSE)=C164,"Encontrado", "No")</f>
        <v>Encontrado</v>
      </c>
      <c r="E164" s="86" t="s">
        <v>7622</v>
      </c>
      <c r="F164" s="86" t="s">
        <v>162</v>
      </c>
      <c r="G164" s="86" t="s">
        <v>38</v>
      </c>
      <c r="H164" s="86" t="s">
        <v>4980</v>
      </c>
    </row>
    <row r="165" spans="1:8" ht="12.75" hidden="1">
      <c r="A165" s="86">
        <v>164</v>
      </c>
      <c r="B165" s="86" t="s">
        <v>4017</v>
      </c>
      <c r="C165" s="86" t="str">
        <f t="shared" si="0"/>
        <v>527088</v>
      </c>
      <c r="D165" s="86" t="str">
        <f>IF(VLOOKUP(C165,'Diferencias patrimonio 2023'!$C$2:$C$1020,1,FALSE)=C165,"Encontrado", "No")</f>
        <v>Encontrado</v>
      </c>
      <c r="E165" s="86" t="s">
        <v>7624</v>
      </c>
      <c r="F165" s="86" t="s">
        <v>162</v>
      </c>
      <c r="G165" s="86" t="s">
        <v>38</v>
      </c>
      <c r="H165" s="86" t="s">
        <v>3984</v>
      </c>
    </row>
    <row r="166" spans="1:8" ht="12.75" hidden="1">
      <c r="A166" s="86">
        <v>165</v>
      </c>
      <c r="B166" s="86" t="s">
        <v>7625</v>
      </c>
      <c r="C166" s="86" t="str">
        <f t="shared" si="0"/>
        <v>527092</v>
      </c>
      <c r="D166" s="86" t="str">
        <f>IF(VLOOKUP(C166,'Diferencias patrimonio 2023'!$C$2:$C$1020,1,FALSE)=C166,"Encontrado", "No")</f>
        <v>Encontrado</v>
      </c>
      <c r="E166" s="86" t="s">
        <v>7626</v>
      </c>
      <c r="F166" s="86" t="s">
        <v>162</v>
      </c>
      <c r="G166" s="86" t="s">
        <v>38</v>
      </c>
      <c r="H166" s="86" t="s">
        <v>7430</v>
      </c>
    </row>
    <row r="167" spans="1:8" ht="12.75" hidden="1">
      <c r="A167" s="86">
        <v>166</v>
      </c>
      <c r="B167" s="86" t="s">
        <v>6261</v>
      </c>
      <c r="C167" s="86" t="str">
        <f t="shared" si="0"/>
        <v>527285</v>
      </c>
      <c r="D167" s="86" t="str">
        <f>IF(VLOOKUP(C167,'Diferencias patrimonio 2023'!$C$2:$C$1020,1,FALSE)=C167,"Encontrado", "No")</f>
        <v>Encontrado</v>
      </c>
      <c r="E167" s="86" t="s">
        <v>7627</v>
      </c>
      <c r="F167" s="86" t="s">
        <v>162</v>
      </c>
      <c r="G167" s="86" t="s">
        <v>38</v>
      </c>
      <c r="H167" s="86" t="s">
        <v>6062</v>
      </c>
    </row>
    <row r="168" spans="1:8" ht="12.75">
      <c r="A168" s="86">
        <v>167</v>
      </c>
      <c r="B168" s="86" t="s">
        <v>7300</v>
      </c>
      <c r="C168" s="86" t="str">
        <f t="shared" si="0"/>
        <v>527286</v>
      </c>
      <c r="D168" s="86" t="e">
        <f>IF(VLOOKUP(C168,'Diferencias patrimonio 2023'!$C$2:$C$1020,1,FALSE)=C168,"Encontrado", "No")</f>
        <v>#N/A</v>
      </c>
      <c r="E168" s="86" t="s">
        <v>7628</v>
      </c>
      <c r="F168" s="86" t="s">
        <v>162</v>
      </c>
      <c r="G168" s="86" t="s">
        <v>38</v>
      </c>
      <c r="H168" s="86" t="s">
        <v>7411</v>
      </c>
    </row>
    <row r="169" spans="1:8" ht="12.75" hidden="1">
      <c r="A169" s="86">
        <v>168</v>
      </c>
      <c r="B169" s="86" t="s">
        <v>6516</v>
      </c>
      <c r="C169" s="86" t="str">
        <f t="shared" si="0"/>
        <v>527290</v>
      </c>
      <c r="D169" s="86" t="str">
        <f>IF(VLOOKUP(C169,'Diferencias patrimonio 2023'!$C$2:$C$1020,1,FALSE)=C169,"Encontrado", "No")</f>
        <v>Encontrado</v>
      </c>
      <c r="E169" s="86" t="s">
        <v>7629</v>
      </c>
      <c r="F169" s="86" t="s">
        <v>162</v>
      </c>
      <c r="G169" s="86" t="s">
        <v>38</v>
      </c>
      <c r="H169" s="86" t="s">
        <v>6062</v>
      </c>
    </row>
    <row r="170" spans="1:8" ht="12.75" hidden="1">
      <c r="A170" s="86">
        <v>169</v>
      </c>
      <c r="B170" s="86" t="s">
        <v>7630</v>
      </c>
      <c r="C170" s="86" t="str">
        <f t="shared" si="0"/>
        <v>530446</v>
      </c>
      <c r="D170" s="86" t="str">
        <f>IF(VLOOKUP(C170,'Diferencias patrimonio 2023'!$C$2:$C$1020,1,FALSE)=C170,"Encontrado", "No")</f>
        <v>Encontrado</v>
      </c>
      <c r="E170" s="86" t="s">
        <v>7631</v>
      </c>
      <c r="F170" s="86" t="s">
        <v>151</v>
      </c>
      <c r="G170" s="86" t="s">
        <v>38</v>
      </c>
      <c r="H170" s="86" t="s">
        <v>7472</v>
      </c>
    </row>
    <row r="171" spans="1:8" ht="12.75" hidden="1">
      <c r="A171" s="86">
        <v>170</v>
      </c>
      <c r="B171" s="86" t="s">
        <v>7632</v>
      </c>
      <c r="C171" s="86" t="str">
        <f t="shared" si="0"/>
        <v>530448</v>
      </c>
      <c r="D171" s="86" t="str">
        <f>IF(VLOOKUP(C171,'Diferencias patrimonio 2023'!$C$2:$C$1020,1,FALSE)=C171,"Encontrado", "No")</f>
        <v>Encontrado</v>
      </c>
      <c r="E171" s="86" t="s">
        <v>7633</v>
      </c>
      <c r="F171" s="86" t="s">
        <v>151</v>
      </c>
      <c r="G171" s="86" t="s">
        <v>38</v>
      </c>
      <c r="H171" s="86" t="s">
        <v>7411</v>
      </c>
    </row>
    <row r="172" spans="1:8" ht="12.75" hidden="1">
      <c r="A172" s="86">
        <v>171</v>
      </c>
      <c r="B172" s="86" t="s">
        <v>2914</v>
      </c>
      <c r="C172" s="86" t="str">
        <f t="shared" si="0"/>
        <v>530454</v>
      </c>
      <c r="D172" s="86" t="str">
        <f>IF(VLOOKUP(C172,'Diferencias patrimonio 2023'!$C$2:$C$1020,1,FALSE)=C172,"Encontrado", "No")</f>
        <v>Encontrado</v>
      </c>
      <c r="E172" s="86" t="s">
        <v>7634</v>
      </c>
      <c r="F172" s="86" t="s">
        <v>151</v>
      </c>
      <c r="G172" s="86" t="s">
        <v>38</v>
      </c>
      <c r="H172" s="86" t="s">
        <v>1672</v>
      </c>
    </row>
    <row r="173" spans="1:8" ht="12.75">
      <c r="A173" s="86">
        <v>172</v>
      </c>
      <c r="B173" s="86" t="s">
        <v>7635</v>
      </c>
      <c r="C173" s="86" t="str">
        <f t="shared" si="0"/>
        <v>530455</v>
      </c>
      <c r="D173" s="86" t="e">
        <f>IF(VLOOKUP(C173,'Diferencias patrimonio 2023'!$C$2:$C$1020,1,FALSE)=C173,"Encontrado", "No")</f>
        <v>#N/A</v>
      </c>
      <c r="E173" s="86" t="s">
        <v>7636</v>
      </c>
      <c r="F173" s="86" t="s">
        <v>151</v>
      </c>
      <c r="G173" s="86" t="s">
        <v>38</v>
      </c>
      <c r="H173" s="86" t="s">
        <v>1477</v>
      </c>
    </row>
    <row r="174" spans="1:8" ht="12.75">
      <c r="A174" s="86">
        <v>173</v>
      </c>
      <c r="B174" s="86" t="s">
        <v>7637</v>
      </c>
      <c r="C174" s="86" t="str">
        <f t="shared" si="0"/>
        <v>530456</v>
      </c>
      <c r="D174" s="86" t="e">
        <f>IF(VLOOKUP(C174,'Diferencias patrimonio 2023'!$C$2:$C$1020,1,FALSE)=C174,"Encontrado", "No")</f>
        <v>#N/A</v>
      </c>
      <c r="E174" s="86" t="s">
        <v>7638</v>
      </c>
      <c r="F174" s="86" t="s">
        <v>151</v>
      </c>
      <c r="G174" s="86" t="s">
        <v>38</v>
      </c>
      <c r="H174" s="86" t="s">
        <v>1477</v>
      </c>
    </row>
    <row r="175" spans="1:8" ht="12.75" hidden="1">
      <c r="A175" s="86">
        <v>174</v>
      </c>
      <c r="B175" s="86" t="s">
        <v>7639</v>
      </c>
      <c r="C175" s="86" t="str">
        <f t="shared" si="0"/>
        <v>530461</v>
      </c>
      <c r="D175" s="86" t="str">
        <f>IF(VLOOKUP(C175,'Diferencias patrimonio 2023'!$C$2:$C$1020,1,FALSE)=C175,"Encontrado", "No")</f>
        <v>Encontrado</v>
      </c>
      <c r="E175" s="86" t="s">
        <v>7640</v>
      </c>
      <c r="F175" s="86" t="s">
        <v>151</v>
      </c>
      <c r="G175" s="86" t="s">
        <v>38</v>
      </c>
      <c r="H175" s="86" t="s">
        <v>7411</v>
      </c>
    </row>
    <row r="176" spans="1:8" ht="12.75" hidden="1">
      <c r="A176" s="86">
        <v>175</v>
      </c>
      <c r="B176" s="86" t="s">
        <v>7641</v>
      </c>
      <c r="C176" s="86" t="str">
        <f t="shared" si="0"/>
        <v>530462</v>
      </c>
      <c r="D176" s="86" t="str">
        <f>IF(VLOOKUP(C176,'Diferencias patrimonio 2023'!$C$2:$C$1020,1,FALSE)=C176,"Encontrado", "No")</f>
        <v>Encontrado</v>
      </c>
      <c r="E176" s="86" t="s">
        <v>7642</v>
      </c>
      <c r="F176" s="86" t="s">
        <v>151</v>
      </c>
      <c r="G176" s="86" t="s">
        <v>38</v>
      </c>
      <c r="H176" s="86" t="s">
        <v>7411</v>
      </c>
    </row>
    <row r="177" spans="1:8" ht="12.75" hidden="1">
      <c r="A177" s="86">
        <v>176</v>
      </c>
      <c r="B177" s="86" t="s">
        <v>7643</v>
      </c>
      <c r="C177" s="86" t="str">
        <f t="shared" si="0"/>
        <v>530469</v>
      </c>
      <c r="D177" s="86" t="str">
        <f>IF(VLOOKUP(C177,'Diferencias patrimonio 2023'!$C$2:$C$1020,1,FALSE)=C177,"Encontrado", "No")</f>
        <v>Encontrado</v>
      </c>
      <c r="E177" s="86" t="s">
        <v>7644</v>
      </c>
      <c r="F177" s="86" t="s">
        <v>151</v>
      </c>
      <c r="G177" s="86" t="s">
        <v>38</v>
      </c>
      <c r="H177" s="86" t="s">
        <v>7411</v>
      </c>
    </row>
    <row r="178" spans="1:8" ht="12.75" hidden="1">
      <c r="A178" s="86">
        <v>177</v>
      </c>
      <c r="B178" s="86" t="s">
        <v>3806</v>
      </c>
      <c r="C178" s="86" t="str">
        <f t="shared" si="0"/>
        <v>530719</v>
      </c>
      <c r="D178" s="86" t="str">
        <f>IF(VLOOKUP(C178,'Diferencias patrimonio 2023'!$C$2:$C$1020,1,FALSE)=C178,"Encontrado", "No")</f>
        <v>Encontrado</v>
      </c>
      <c r="E178" s="86" t="s">
        <v>7645</v>
      </c>
      <c r="F178" s="86" t="s">
        <v>151</v>
      </c>
      <c r="G178" s="86" t="s">
        <v>38</v>
      </c>
      <c r="H178" s="86" t="s">
        <v>1665</v>
      </c>
    </row>
    <row r="179" spans="1:8" ht="12.75" hidden="1">
      <c r="A179" s="86">
        <v>178</v>
      </c>
      <c r="B179" s="86" t="s">
        <v>7646</v>
      </c>
      <c r="C179" s="86" t="str">
        <f t="shared" si="0"/>
        <v>530787</v>
      </c>
      <c r="D179" s="86" t="str">
        <f>IF(VLOOKUP(C179,'Diferencias patrimonio 2023'!$C$2:$C$1020,1,FALSE)=C179,"Encontrado", "No")</f>
        <v>Encontrado</v>
      </c>
      <c r="E179" s="86" t="s">
        <v>7647</v>
      </c>
      <c r="F179" s="86" t="s">
        <v>2734</v>
      </c>
      <c r="G179" s="86" t="s">
        <v>38</v>
      </c>
      <c r="H179" s="86" t="s">
        <v>7411</v>
      </c>
    </row>
    <row r="180" spans="1:8" ht="12.75" hidden="1">
      <c r="A180" s="86">
        <v>179</v>
      </c>
      <c r="B180" s="86" t="s">
        <v>5650</v>
      </c>
      <c r="C180" s="86" t="str">
        <f t="shared" si="0"/>
        <v>531871</v>
      </c>
      <c r="D180" s="86" t="str">
        <f>IF(VLOOKUP(C180,'Diferencias patrimonio 2023'!$C$2:$C$1020,1,FALSE)=C180,"Encontrado", "No")</f>
        <v>Encontrado</v>
      </c>
      <c r="E180" s="86" t="s">
        <v>7648</v>
      </c>
      <c r="F180" s="86" t="s">
        <v>43</v>
      </c>
      <c r="G180" s="86" t="s">
        <v>38</v>
      </c>
      <c r="H180" s="86" t="s">
        <v>5584</v>
      </c>
    </row>
    <row r="181" spans="1:8" ht="12.75" hidden="1">
      <c r="A181" s="86">
        <v>180</v>
      </c>
      <c r="B181" s="86" t="s">
        <v>6833</v>
      </c>
      <c r="C181" s="86" t="str">
        <f t="shared" si="0"/>
        <v>531946</v>
      </c>
      <c r="D181" s="86" t="str">
        <f>IF(VLOOKUP(C181,'Diferencias patrimonio 2023'!$C$2:$C$1020,1,FALSE)=C181,"Encontrado", "No")</f>
        <v>Encontrado</v>
      </c>
      <c r="E181" s="86" t="s">
        <v>7649</v>
      </c>
      <c r="F181" s="86" t="s">
        <v>43</v>
      </c>
      <c r="G181" s="86" t="s">
        <v>38</v>
      </c>
      <c r="H181" s="86" t="s">
        <v>4417</v>
      </c>
    </row>
    <row r="182" spans="1:8" ht="12.75" hidden="1">
      <c r="A182" s="86">
        <v>181</v>
      </c>
      <c r="B182" s="86" t="s">
        <v>2121</v>
      </c>
      <c r="C182" s="86" t="str">
        <f t="shared" si="0"/>
        <v>532101</v>
      </c>
      <c r="D182" s="86" t="str">
        <f>IF(VLOOKUP(C182,'Diferencias patrimonio 2023'!$C$2:$C$1020,1,FALSE)=C182,"Encontrado", "No")</f>
        <v>Encontrado</v>
      </c>
      <c r="E182" s="86" t="s">
        <v>7650</v>
      </c>
      <c r="F182" s="86" t="s">
        <v>7615</v>
      </c>
      <c r="G182" s="86" t="s">
        <v>38</v>
      </c>
      <c r="H182" s="86" t="s">
        <v>2052</v>
      </c>
    </row>
    <row r="183" spans="1:8" ht="12.75" hidden="1">
      <c r="A183" s="86">
        <v>182</v>
      </c>
      <c r="B183" s="86" t="s">
        <v>7651</v>
      </c>
      <c r="C183" s="86" t="str">
        <f t="shared" si="0"/>
        <v>532102</v>
      </c>
      <c r="D183" s="86" t="str">
        <f>IF(VLOOKUP(C183,'Diferencias patrimonio 2023'!$C$2:$C$1020,1,FALSE)=C183,"Encontrado", "No")</f>
        <v>Encontrado</v>
      </c>
      <c r="E183" s="86" t="s">
        <v>7652</v>
      </c>
      <c r="F183" s="86" t="s">
        <v>7615</v>
      </c>
      <c r="G183" s="86" t="s">
        <v>38</v>
      </c>
      <c r="H183" s="86" t="s">
        <v>3450</v>
      </c>
    </row>
    <row r="184" spans="1:8" ht="12.75" hidden="1">
      <c r="A184" s="86">
        <v>183</v>
      </c>
      <c r="B184" s="86" t="s">
        <v>2157</v>
      </c>
      <c r="C184" s="86" t="str">
        <f t="shared" si="0"/>
        <v>532103</v>
      </c>
      <c r="D184" s="86" t="str">
        <f>IF(VLOOKUP(C184,'Diferencias patrimonio 2023'!$C$2:$C$1020,1,FALSE)=C184,"Encontrado", "No")</f>
        <v>Encontrado</v>
      </c>
      <c r="E184" s="86" t="s">
        <v>7653</v>
      </c>
      <c r="F184" s="86" t="s">
        <v>7615</v>
      </c>
      <c r="G184" s="86" t="s">
        <v>38</v>
      </c>
      <c r="H184" s="86" t="s">
        <v>2052</v>
      </c>
    </row>
    <row r="185" spans="1:8" ht="12.75" hidden="1">
      <c r="A185" s="86">
        <v>184</v>
      </c>
      <c r="B185" s="86" t="s">
        <v>5927</v>
      </c>
      <c r="C185" s="86" t="str">
        <f t="shared" si="0"/>
        <v>532220</v>
      </c>
      <c r="D185" s="86" t="str">
        <f>IF(VLOOKUP(C185,'Diferencias patrimonio 2023'!$C$2:$C$1020,1,FALSE)=C185,"Encontrado", "No")</f>
        <v>Encontrado</v>
      </c>
      <c r="E185" s="86" t="s">
        <v>7654</v>
      </c>
      <c r="F185" s="86" t="s">
        <v>7655</v>
      </c>
      <c r="G185" s="86" t="s">
        <v>38</v>
      </c>
      <c r="H185" s="86" t="s">
        <v>7398</v>
      </c>
    </row>
    <row r="186" spans="1:8" ht="12.75" hidden="1">
      <c r="A186" s="86">
        <v>185</v>
      </c>
      <c r="B186" s="86" t="s">
        <v>5547</v>
      </c>
      <c r="C186" s="86" t="str">
        <f t="shared" si="0"/>
        <v>533070</v>
      </c>
      <c r="D186" s="86" t="str">
        <f>IF(VLOOKUP(C186,'Diferencias patrimonio 2023'!$C$2:$C$1020,1,FALSE)=C186,"Encontrado", "No")</f>
        <v>Encontrado</v>
      </c>
      <c r="E186" s="86" t="s">
        <v>7656</v>
      </c>
      <c r="F186" s="86" t="s">
        <v>162</v>
      </c>
      <c r="G186" s="86" t="s">
        <v>38</v>
      </c>
      <c r="H186" s="86" t="s">
        <v>5310</v>
      </c>
    </row>
    <row r="187" spans="1:8" ht="12.75">
      <c r="A187" s="86">
        <v>186</v>
      </c>
      <c r="B187" s="86" t="s">
        <v>7284</v>
      </c>
      <c r="C187" s="86" t="str">
        <f t="shared" si="0"/>
        <v>533071</v>
      </c>
      <c r="D187" s="86" t="e">
        <f>IF(VLOOKUP(C187,'Diferencias patrimonio 2023'!$C$2:$C$1020,1,FALSE)=C187,"Encontrado", "No")</f>
        <v>#N/A</v>
      </c>
      <c r="E187" s="86" t="s">
        <v>7657</v>
      </c>
      <c r="F187" s="86" t="s">
        <v>162</v>
      </c>
      <c r="G187" s="86" t="s">
        <v>38</v>
      </c>
      <c r="H187" s="86" t="s">
        <v>1477</v>
      </c>
    </row>
    <row r="188" spans="1:8" ht="12.75" hidden="1">
      <c r="A188" s="86">
        <v>187</v>
      </c>
      <c r="B188" s="86" t="s">
        <v>7658</v>
      </c>
      <c r="C188" s="86" t="str">
        <f t="shared" si="0"/>
        <v>533072</v>
      </c>
      <c r="D188" s="86" t="str">
        <f>IF(VLOOKUP(C188,'Diferencias patrimonio 2023'!$C$2:$C$1020,1,FALSE)=C188,"Encontrado", "No")</f>
        <v>Encontrado</v>
      </c>
      <c r="E188" s="86" t="s">
        <v>7659</v>
      </c>
      <c r="F188" s="86" t="s">
        <v>162</v>
      </c>
      <c r="G188" s="86" t="s">
        <v>38</v>
      </c>
      <c r="H188" s="86" t="s">
        <v>1477</v>
      </c>
    </row>
    <row r="189" spans="1:8" ht="12.75">
      <c r="A189" s="86">
        <v>188</v>
      </c>
      <c r="B189" s="86" t="s">
        <v>7660</v>
      </c>
      <c r="C189" s="86" t="str">
        <f t="shared" si="0"/>
        <v>533082</v>
      </c>
      <c r="D189" s="86" t="e">
        <f>IF(VLOOKUP(C189,'Diferencias patrimonio 2023'!$C$2:$C$1020,1,FALSE)=C189,"Encontrado", "No")</f>
        <v>#N/A</v>
      </c>
      <c r="E189" s="86" t="s">
        <v>7661</v>
      </c>
      <c r="F189" s="86" t="s">
        <v>162</v>
      </c>
      <c r="G189" s="86" t="s">
        <v>38</v>
      </c>
      <c r="H189" s="86" t="s">
        <v>3984</v>
      </c>
    </row>
    <row r="190" spans="1:8" ht="12.75" hidden="1">
      <c r="A190" s="86">
        <v>189</v>
      </c>
      <c r="B190" s="86" t="s">
        <v>2145</v>
      </c>
      <c r="C190" s="86" t="str">
        <f t="shared" si="0"/>
        <v>533123</v>
      </c>
      <c r="D190" s="86" t="str">
        <f>IF(VLOOKUP(C190,'Diferencias patrimonio 2023'!$C$2:$C$1020,1,FALSE)=C190,"Encontrado", "No")</f>
        <v>Encontrado</v>
      </c>
      <c r="E190" s="86" t="s">
        <v>7662</v>
      </c>
      <c r="F190" s="86" t="s">
        <v>2060</v>
      </c>
      <c r="G190" s="86" t="s">
        <v>38</v>
      </c>
      <c r="H190" s="86" t="s">
        <v>2052</v>
      </c>
    </row>
    <row r="191" spans="1:8" ht="12.75" hidden="1">
      <c r="A191" s="86">
        <v>190</v>
      </c>
      <c r="B191" s="86" t="s">
        <v>2084</v>
      </c>
      <c r="C191" s="86" t="str">
        <f t="shared" si="0"/>
        <v>533124</v>
      </c>
      <c r="D191" s="86" t="str">
        <f>IF(VLOOKUP(C191,'Diferencias patrimonio 2023'!$C$2:$C$1020,1,FALSE)=C191,"Encontrado", "No")</f>
        <v>Encontrado</v>
      </c>
      <c r="E191" s="86" t="s">
        <v>7663</v>
      </c>
      <c r="F191" s="86" t="s">
        <v>2060</v>
      </c>
      <c r="G191" s="86" t="s">
        <v>38</v>
      </c>
      <c r="H191" s="86" t="s">
        <v>2052</v>
      </c>
    </row>
    <row r="192" spans="1:8" ht="12.75" hidden="1">
      <c r="A192" s="86">
        <v>191</v>
      </c>
      <c r="B192" s="86" t="s">
        <v>2199</v>
      </c>
      <c r="C192" s="86" t="str">
        <f t="shared" si="0"/>
        <v>533125</v>
      </c>
      <c r="D192" s="86" t="str">
        <f>IF(VLOOKUP(C192,'Diferencias patrimonio 2023'!$C$2:$C$1020,1,FALSE)=C192,"Encontrado", "No")</f>
        <v>Encontrado</v>
      </c>
      <c r="E192" s="86" t="s">
        <v>7664</v>
      </c>
      <c r="F192" s="86" t="s">
        <v>2060</v>
      </c>
      <c r="G192" s="86" t="s">
        <v>38</v>
      </c>
      <c r="H192" s="86" t="s">
        <v>2052</v>
      </c>
    </row>
    <row r="193" spans="1:8" ht="12.75" hidden="1">
      <c r="A193" s="86">
        <v>192</v>
      </c>
      <c r="B193" s="86" t="s">
        <v>2151</v>
      </c>
      <c r="C193" s="86" t="str">
        <f t="shared" si="0"/>
        <v>533126</v>
      </c>
      <c r="D193" s="86" t="str">
        <f>IF(VLOOKUP(C193,'Diferencias patrimonio 2023'!$C$2:$C$1020,1,FALSE)=C193,"Encontrado", "No")</f>
        <v>Encontrado</v>
      </c>
      <c r="E193" s="86" t="s">
        <v>7665</v>
      </c>
      <c r="F193" s="86" t="s">
        <v>2060</v>
      </c>
      <c r="G193" s="86" t="s">
        <v>38</v>
      </c>
      <c r="H193" s="86" t="s">
        <v>2052</v>
      </c>
    </row>
    <row r="194" spans="1:8" ht="12.75" hidden="1">
      <c r="A194" s="86">
        <v>193</v>
      </c>
      <c r="B194" s="86" t="s">
        <v>2072</v>
      </c>
      <c r="C194" s="86" t="str">
        <f t="shared" si="0"/>
        <v>533127</v>
      </c>
      <c r="D194" s="86" t="str">
        <f>IF(VLOOKUP(C194,'Diferencias patrimonio 2023'!$C$2:$C$1020,1,FALSE)=C194,"Encontrado", "No")</f>
        <v>Encontrado</v>
      </c>
      <c r="E194" s="86" t="s">
        <v>7666</v>
      </c>
      <c r="F194" s="86" t="s">
        <v>2060</v>
      </c>
      <c r="G194" s="86" t="s">
        <v>38</v>
      </c>
      <c r="H194" s="86" t="s">
        <v>2052</v>
      </c>
    </row>
    <row r="195" spans="1:8" ht="12.75" hidden="1">
      <c r="A195" s="86">
        <v>194</v>
      </c>
      <c r="B195" s="86" t="s">
        <v>1265</v>
      </c>
      <c r="C195" s="86" t="str">
        <f t="shared" si="0"/>
        <v>533168</v>
      </c>
      <c r="D195" s="86" t="str">
        <f>IF(VLOOKUP(C195,'Diferencias patrimonio 2023'!$C$2:$C$1020,1,FALSE)=C195,"Encontrado", "No")</f>
        <v>Encontrado</v>
      </c>
      <c r="E195" s="86" t="s">
        <v>7667</v>
      </c>
      <c r="F195" s="86" t="s">
        <v>62</v>
      </c>
      <c r="G195" s="86" t="s">
        <v>38</v>
      </c>
      <c r="H195" s="86" t="s">
        <v>1164</v>
      </c>
    </row>
    <row r="196" spans="1:8" ht="12.75">
      <c r="A196" s="86">
        <v>195</v>
      </c>
      <c r="B196" s="86" t="s">
        <v>7668</v>
      </c>
      <c r="C196" s="86" t="str">
        <f t="shared" si="0"/>
        <v>533213</v>
      </c>
      <c r="D196" s="86" t="e">
        <f>IF(VLOOKUP(C196,'Diferencias patrimonio 2023'!$C$2:$C$1020,1,FALSE)=C196,"Encontrado", "No")</f>
        <v>#N/A</v>
      </c>
      <c r="E196" s="86" t="s">
        <v>7669</v>
      </c>
      <c r="F196" s="86" t="s">
        <v>1275</v>
      </c>
      <c r="G196" s="86" t="s">
        <v>38</v>
      </c>
      <c r="H196" s="86" t="s">
        <v>7414</v>
      </c>
    </row>
    <row r="197" spans="1:8" ht="12.75" hidden="1">
      <c r="A197" s="86">
        <v>196</v>
      </c>
      <c r="B197" s="86" t="s">
        <v>5394</v>
      </c>
      <c r="C197" s="86" t="str">
        <f t="shared" si="0"/>
        <v>533227</v>
      </c>
      <c r="D197" s="86" t="str">
        <f>IF(VLOOKUP(C197,'Diferencias patrimonio 2023'!$C$2:$C$1020,1,FALSE)=C197,"Encontrado", "No")</f>
        <v>Encontrado</v>
      </c>
      <c r="E197" s="86" t="s">
        <v>7670</v>
      </c>
      <c r="F197" s="86" t="s">
        <v>62</v>
      </c>
      <c r="G197" s="86" t="s">
        <v>38</v>
      </c>
      <c r="H197" s="86" t="s">
        <v>7531</v>
      </c>
    </row>
    <row r="198" spans="1:8" ht="12.75" hidden="1">
      <c r="A198" s="86">
        <v>197</v>
      </c>
      <c r="B198" s="86" t="s">
        <v>4853</v>
      </c>
      <c r="C198" s="86" t="str">
        <f t="shared" si="0"/>
        <v>533228</v>
      </c>
      <c r="D198" s="86" t="str">
        <f>IF(VLOOKUP(C198,'Diferencias patrimonio 2023'!$C$2:$C$1020,1,FALSE)=C198,"Encontrado", "No")</f>
        <v>Encontrado</v>
      </c>
      <c r="E198" s="86" t="s">
        <v>7671</v>
      </c>
      <c r="F198" s="86" t="s">
        <v>162</v>
      </c>
      <c r="G198" s="86" t="s">
        <v>38</v>
      </c>
      <c r="H198" s="86" t="s">
        <v>7414</v>
      </c>
    </row>
    <row r="199" spans="1:8" ht="12.75" hidden="1">
      <c r="A199" s="86">
        <v>198</v>
      </c>
      <c r="B199" s="86" t="s">
        <v>7672</v>
      </c>
      <c r="C199" s="86" t="str">
        <f t="shared" si="0"/>
        <v>533241</v>
      </c>
      <c r="D199" s="86" t="str">
        <f>IF(VLOOKUP(C199,'Diferencias patrimonio 2023'!$C$2:$C$1020,1,FALSE)=C199,"Encontrado", "No")</f>
        <v>Encontrado</v>
      </c>
      <c r="E199" s="86" t="s">
        <v>7673</v>
      </c>
      <c r="F199" s="86" t="s">
        <v>62</v>
      </c>
      <c r="G199" s="86" t="s">
        <v>38</v>
      </c>
      <c r="H199" s="86" t="s">
        <v>3450</v>
      </c>
    </row>
    <row r="200" spans="1:8" ht="12.75" hidden="1">
      <c r="A200" s="86">
        <v>199</v>
      </c>
      <c r="B200" s="86" t="s">
        <v>7674</v>
      </c>
      <c r="C200" s="86" t="str">
        <f t="shared" si="0"/>
        <v>533242</v>
      </c>
      <c r="D200" s="86" t="str">
        <f>IF(VLOOKUP(C200,'Diferencias patrimonio 2023'!$C$2:$C$1020,1,FALSE)=C200,"Encontrado", "No")</f>
        <v>Encontrado</v>
      </c>
      <c r="E200" s="86" t="s">
        <v>7675</v>
      </c>
      <c r="F200" s="86" t="s">
        <v>162</v>
      </c>
      <c r="G200" s="86" t="s">
        <v>38</v>
      </c>
      <c r="H200" s="86" t="s">
        <v>7414</v>
      </c>
    </row>
    <row r="201" spans="1:8" ht="12.75" hidden="1">
      <c r="A201" s="86">
        <v>200</v>
      </c>
      <c r="B201" s="86" t="s">
        <v>1922</v>
      </c>
      <c r="C201" s="86" t="str">
        <f t="shared" si="0"/>
        <v>533243</v>
      </c>
      <c r="D201" s="86" t="str">
        <f>IF(VLOOKUP(C201,'Diferencias patrimonio 2023'!$C$2:$C$1020,1,FALSE)=C201,"Encontrado", "No")</f>
        <v>Encontrado</v>
      </c>
      <c r="E201" s="86" t="s">
        <v>7676</v>
      </c>
      <c r="F201" s="86" t="s">
        <v>162</v>
      </c>
      <c r="G201" s="86" t="s">
        <v>38</v>
      </c>
      <c r="H201" s="86" t="s">
        <v>1890</v>
      </c>
    </row>
    <row r="202" spans="1:8" ht="12.75" hidden="1">
      <c r="A202" s="86">
        <v>201</v>
      </c>
      <c r="B202" s="86" t="s">
        <v>291</v>
      </c>
      <c r="C202" s="86" t="str">
        <f t="shared" si="0"/>
        <v>533366</v>
      </c>
      <c r="D202" s="86" t="str">
        <f>IF(VLOOKUP(C202,'Diferencias patrimonio 2023'!$C$2:$C$1020,1,FALSE)=C202,"Encontrado", "No")</f>
        <v>Encontrado</v>
      </c>
      <c r="E202" s="86" t="s">
        <v>7677</v>
      </c>
      <c r="F202" s="86" t="s">
        <v>162</v>
      </c>
      <c r="G202" s="86" t="s">
        <v>38</v>
      </c>
      <c r="H202" s="86" t="s">
        <v>39</v>
      </c>
    </row>
    <row r="203" spans="1:8" ht="12.75" hidden="1">
      <c r="A203" s="86">
        <v>202</v>
      </c>
      <c r="B203" s="86" t="s">
        <v>6485</v>
      </c>
      <c r="C203" s="86" t="str">
        <f t="shared" si="0"/>
        <v>534673</v>
      </c>
      <c r="D203" s="86" t="str">
        <f>IF(VLOOKUP(C203,'Diferencias patrimonio 2023'!$C$2:$C$1020,1,FALSE)=C203,"Encontrado", "No")</f>
        <v>Encontrado</v>
      </c>
      <c r="E203" s="86" t="s">
        <v>7679</v>
      </c>
      <c r="F203" s="86" t="s">
        <v>116</v>
      </c>
      <c r="G203" s="86" t="s">
        <v>38</v>
      </c>
      <c r="H203" s="86" t="s">
        <v>6062</v>
      </c>
    </row>
    <row r="204" spans="1:8" ht="12.75" hidden="1">
      <c r="A204" s="86">
        <v>203</v>
      </c>
      <c r="B204" s="86" t="s">
        <v>1448</v>
      </c>
      <c r="C204" s="86" t="str">
        <f t="shared" si="0"/>
        <v>534680</v>
      </c>
      <c r="D204" s="86" t="str">
        <f>IF(VLOOKUP(C204,'Diferencias patrimonio 2023'!$C$2:$C$1020,1,FALSE)=C204,"Encontrado", "No")</f>
        <v>Encontrado</v>
      </c>
      <c r="E204" s="86" t="s">
        <v>7680</v>
      </c>
      <c r="F204" s="86" t="s">
        <v>116</v>
      </c>
      <c r="G204" s="86" t="s">
        <v>38</v>
      </c>
      <c r="H204" s="86" t="s">
        <v>1164</v>
      </c>
    </row>
    <row r="205" spans="1:8" ht="12.75">
      <c r="A205" s="86">
        <v>204</v>
      </c>
      <c r="B205" s="86" t="s">
        <v>7295</v>
      </c>
      <c r="C205" s="86" t="str">
        <f t="shared" si="0"/>
        <v>535083</v>
      </c>
      <c r="D205" s="86" t="e">
        <f>IF(VLOOKUP(C205,'Diferencias patrimonio 2023'!$C$2:$C$1020,1,FALSE)=C205,"Encontrado", "No")</f>
        <v>#N/A</v>
      </c>
      <c r="E205" s="86" t="s">
        <v>7681</v>
      </c>
      <c r="F205" s="86" t="s">
        <v>210</v>
      </c>
      <c r="G205" s="86" t="s">
        <v>38</v>
      </c>
      <c r="H205" s="86" t="s">
        <v>7411</v>
      </c>
    </row>
    <row r="206" spans="1:8" ht="12.75" hidden="1">
      <c r="A206" s="86">
        <v>205</v>
      </c>
      <c r="B206" s="86" t="s">
        <v>6368</v>
      </c>
      <c r="C206" s="86" t="str">
        <f t="shared" si="0"/>
        <v>535311</v>
      </c>
      <c r="D206" s="86" t="str">
        <f>IF(VLOOKUP(C206,'Diferencias patrimonio 2023'!$C$2:$C$1020,1,FALSE)=C206,"Encontrado", "No")</f>
        <v>Encontrado</v>
      </c>
      <c r="E206" s="86" t="s">
        <v>7682</v>
      </c>
      <c r="F206" s="86" t="s">
        <v>2860</v>
      </c>
      <c r="G206" s="86" t="s">
        <v>38</v>
      </c>
      <c r="H206" s="86" t="s">
        <v>6062</v>
      </c>
    </row>
    <row r="207" spans="1:8" ht="12.75">
      <c r="A207" s="86">
        <v>206</v>
      </c>
      <c r="B207" s="86" t="s">
        <v>7315</v>
      </c>
      <c r="C207" s="86" t="str">
        <f t="shared" si="0"/>
        <v>535415</v>
      </c>
      <c r="D207" s="86" t="e">
        <f>IF(VLOOKUP(C207,'Diferencias patrimonio 2023'!$C$2:$C$1020,1,FALSE)=C207,"Encontrado", "No")</f>
        <v>#N/A</v>
      </c>
      <c r="E207" s="86" t="s">
        <v>7683</v>
      </c>
      <c r="F207" s="86" t="s">
        <v>71</v>
      </c>
      <c r="G207" s="86" t="s">
        <v>38</v>
      </c>
      <c r="H207" s="86" t="s">
        <v>4935</v>
      </c>
    </row>
    <row r="208" spans="1:8" ht="12.75" hidden="1">
      <c r="A208" s="86">
        <v>207</v>
      </c>
      <c r="B208" s="86" t="s">
        <v>77</v>
      </c>
      <c r="C208" s="86" t="str">
        <f t="shared" si="0"/>
        <v>535423</v>
      </c>
      <c r="D208" s="86" t="str">
        <f>IF(VLOOKUP(C208,'Diferencias patrimonio 2023'!$C$2:$C$1020,1,FALSE)=C208,"Encontrado", "No")</f>
        <v>Encontrado</v>
      </c>
      <c r="E208" s="86" t="s">
        <v>7684</v>
      </c>
      <c r="F208" s="86" t="s">
        <v>71</v>
      </c>
      <c r="G208" s="86" t="s">
        <v>38</v>
      </c>
      <c r="H208" s="86" t="s">
        <v>7398</v>
      </c>
    </row>
    <row r="209" spans="1:8" ht="12.75" hidden="1">
      <c r="A209" s="86">
        <v>208</v>
      </c>
      <c r="B209" s="86" t="s">
        <v>2622</v>
      </c>
      <c r="C209" s="86" t="str">
        <f t="shared" si="0"/>
        <v>535424</v>
      </c>
      <c r="D209" s="86" t="str">
        <f>IF(VLOOKUP(C209,'Diferencias patrimonio 2023'!$C$2:$C$1020,1,FALSE)=C209,"Encontrado", "No")</f>
        <v>Encontrado</v>
      </c>
      <c r="E209" s="86" t="s">
        <v>7685</v>
      </c>
      <c r="F209" s="86" t="s">
        <v>7502</v>
      </c>
      <c r="G209" s="86" t="s">
        <v>38</v>
      </c>
      <c r="H209" s="86" t="s">
        <v>7686</v>
      </c>
    </row>
    <row r="210" spans="1:8" ht="12.75" hidden="1">
      <c r="A210" s="86">
        <v>209</v>
      </c>
      <c r="B210" s="86" t="s">
        <v>7687</v>
      </c>
      <c r="C210" s="86" t="str">
        <f t="shared" si="0"/>
        <v>535436</v>
      </c>
      <c r="D210" s="86" t="str">
        <f>IF(VLOOKUP(C210,'Diferencias patrimonio 2023'!$C$2:$C$1020,1,FALSE)=C210,"Encontrado", "No")</f>
        <v>Encontrado</v>
      </c>
      <c r="E210" s="86" t="s">
        <v>7688</v>
      </c>
      <c r="F210" s="86" t="s">
        <v>7502</v>
      </c>
      <c r="G210" s="86" t="s">
        <v>38</v>
      </c>
      <c r="H210" s="86" t="s">
        <v>7411</v>
      </c>
    </row>
    <row r="211" spans="1:8" ht="12.75" hidden="1">
      <c r="A211" s="86">
        <v>210</v>
      </c>
      <c r="B211" s="86" t="s">
        <v>7689</v>
      </c>
      <c r="C211" s="86" t="str">
        <f t="shared" si="0"/>
        <v>535441</v>
      </c>
      <c r="D211" s="86" t="str">
        <f>IF(VLOOKUP(C211,'Diferencias patrimonio 2023'!$C$2:$C$1020,1,FALSE)=C211,"Encontrado", "No")</f>
        <v>Encontrado</v>
      </c>
      <c r="E211" s="86" t="s">
        <v>7690</v>
      </c>
      <c r="F211" s="86" t="s">
        <v>7615</v>
      </c>
      <c r="G211" s="86" t="s">
        <v>38</v>
      </c>
      <c r="H211" s="86" t="s">
        <v>3450</v>
      </c>
    </row>
    <row r="212" spans="1:8" ht="12.75" hidden="1">
      <c r="A212" s="86">
        <v>211</v>
      </c>
      <c r="B212" s="86" t="s">
        <v>7691</v>
      </c>
      <c r="C212" s="86" t="str">
        <f t="shared" si="0"/>
        <v>535443</v>
      </c>
      <c r="D212" s="86" t="str">
        <f>IF(VLOOKUP(C212,'Diferencias patrimonio 2023'!$C$2:$C$1020,1,FALSE)=C212,"Encontrado", "No")</f>
        <v>Encontrado</v>
      </c>
      <c r="E212" s="86" t="s">
        <v>7692</v>
      </c>
      <c r="F212" s="86" t="s">
        <v>7615</v>
      </c>
      <c r="G212" s="86" t="s">
        <v>38</v>
      </c>
      <c r="H212" s="86" t="s">
        <v>3450</v>
      </c>
    </row>
    <row r="213" spans="1:8" ht="12.75" hidden="1">
      <c r="A213" s="86">
        <v>212</v>
      </c>
      <c r="B213" s="86" t="s">
        <v>7693</v>
      </c>
      <c r="C213" s="86" t="str">
        <f t="shared" si="0"/>
        <v>535444</v>
      </c>
      <c r="D213" s="86" t="str">
        <f>IF(VLOOKUP(C213,'Diferencias patrimonio 2023'!$C$2:$C$1020,1,FALSE)=C213,"Encontrado", "No")</f>
        <v>Encontrado</v>
      </c>
      <c r="E213" s="86" t="s">
        <v>7694</v>
      </c>
      <c r="F213" s="86" t="s">
        <v>7615</v>
      </c>
      <c r="G213" s="86" t="s">
        <v>38</v>
      </c>
      <c r="H213" s="86" t="s">
        <v>3450</v>
      </c>
    </row>
    <row r="214" spans="1:8" ht="12.75" hidden="1">
      <c r="A214" s="86">
        <v>213</v>
      </c>
      <c r="B214" s="86" t="s">
        <v>1534</v>
      </c>
      <c r="C214" s="86" t="str">
        <f t="shared" si="0"/>
        <v>535446</v>
      </c>
      <c r="D214" s="86" t="str">
        <f>IF(VLOOKUP(C214,'Diferencias patrimonio 2023'!$C$2:$C$1020,1,FALSE)=C214,"Encontrado", "No")</f>
        <v>Encontrado</v>
      </c>
      <c r="E214" s="86" t="s">
        <v>7695</v>
      </c>
      <c r="F214" s="86" t="s">
        <v>7502</v>
      </c>
      <c r="G214" s="86" t="s">
        <v>38</v>
      </c>
      <c r="H214" s="86" t="s">
        <v>7696</v>
      </c>
    </row>
    <row r="215" spans="1:8" ht="12.75" hidden="1">
      <c r="A215" s="86">
        <v>214</v>
      </c>
      <c r="B215" s="86" t="s">
        <v>2051</v>
      </c>
      <c r="C215" s="86" t="str">
        <f t="shared" si="0"/>
        <v>535460</v>
      </c>
      <c r="D215" s="86" t="str">
        <f>IF(VLOOKUP(C215,'Diferencias patrimonio 2023'!$C$2:$C$1020,1,FALSE)=C215,"Encontrado", "No")</f>
        <v>Encontrado</v>
      </c>
      <c r="E215" s="86" t="s">
        <v>7697</v>
      </c>
      <c r="F215" s="86" t="s">
        <v>7615</v>
      </c>
      <c r="G215" s="86" t="s">
        <v>38</v>
      </c>
      <c r="H215" s="86" t="s">
        <v>2052</v>
      </c>
    </row>
    <row r="216" spans="1:8" ht="12.75" hidden="1">
      <c r="A216" s="86">
        <v>215</v>
      </c>
      <c r="B216" s="86" t="s">
        <v>1942</v>
      </c>
      <c r="C216" s="86" t="str">
        <f t="shared" si="0"/>
        <v>535487</v>
      </c>
      <c r="D216" s="86" t="str">
        <f>IF(VLOOKUP(C216,'Diferencias patrimonio 2023'!$C$2:$C$1020,1,FALSE)=C216,"Encontrado", "No")</f>
        <v>Encontrado</v>
      </c>
      <c r="E216" s="86" t="s">
        <v>7699</v>
      </c>
      <c r="F216" s="86" t="s">
        <v>7502</v>
      </c>
      <c r="G216" s="86" t="s">
        <v>38</v>
      </c>
      <c r="H216" s="86" t="s">
        <v>1890</v>
      </c>
    </row>
    <row r="217" spans="1:8" ht="12.75" hidden="1">
      <c r="A217" s="86">
        <v>216</v>
      </c>
      <c r="B217" s="86" t="s">
        <v>1401</v>
      </c>
      <c r="C217" s="86" t="str">
        <f t="shared" si="0"/>
        <v>535501</v>
      </c>
      <c r="D217" s="86" t="str">
        <f>IF(VLOOKUP(C217,'Diferencias patrimonio 2023'!$C$2:$C$1020,1,FALSE)=C217,"Encontrado", "No")</f>
        <v>Encontrado</v>
      </c>
      <c r="E217" s="86" t="s">
        <v>7700</v>
      </c>
      <c r="F217" s="86" t="s">
        <v>7502</v>
      </c>
      <c r="G217" s="86" t="s">
        <v>38</v>
      </c>
      <c r="H217" s="86" t="s">
        <v>1386</v>
      </c>
    </row>
    <row r="218" spans="1:8" ht="12.75">
      <c r="A218" s="86">
        <v>217</v>
      </c>
      <c r="B218" s="86" t="s">
        <v>8490</v>
      </c>
      <c r="C218" s="86" t="str">
        <f t="shared" si="0"/>
        <v>535502</v>
      </c>
      <c r="D218" s="86" t="e">
        <f>IF(VLOOKUP(C218,'Diferencias patrimonio 2023'!$C$2:$C$1020,1,FALSE)=C218,"Encontrado", "No")</f>
        <v>#N/A</v>
      </c>
      <c r="E218" s="86" t="s">
        <v>7701</v>
      </c>
      <c r="F218" s="86" t="s">
        <v>7502</v>
      </c>
      <c r="G218" s="86" t="s">
        <v>38</v>
      </c>
      <c r="H218" s="86" t="s">
        <v>7702</v>
      </c>
    </row>
    <row r="219" spans="1:8" ht="12.75" hidden="1">
      <c r="A219" s="86">
        <v>218</v>
      </c>
      <c r="B219" s="86" t="s">
        <v>6732</v>
      </c>
      <c r="C219" s="86" t="str">
        <f t="shared" si="0"/>
        <v>535503</v>
      </c>
      <c r="D219" s="86" t="str">
        <f>IF(VLOOKUP(C219,'Diferencias patrimonio 2023'!$C$2:$C$1020,1,FALSE)=C219,"Encontrado", "No")</f>
        <v>Encontrado</v>
      </c>
      <c r="E219" s="86" t="s">
        <v>7703</v>
      </c>
      <c r="F219" s="86" t="s">
        <v>7502</v>
      </c>
      <c r="G219" s="86" t="s">
        <v>38</v>
      </c>
      <c r="H219" s="86" t="s">
        <v>6684</v>
      </c>
    </row>
    <row r="220" spans="1:8" ht="12.75" hidden="1">
      <c r="A220" s="86">
        <v>219</v>
      </c>
      <c r="B220" s="86" t="s">
        <v>4209</v>
      </c>
      <c r="C220" s="86" t="str">
        <f t="shared" si="0"/>
        <v>535504</v>
      </c>
      <c r="D220" s="86" t="str">
        <f>IF(VLOOKUP(C220,'Diferencias patrimonio 2023'!$C$2:$C$1020,1,FALSE)=C220,"Encontrado", "No")</f>
        <v>Encontrado</v>
      </c>
      <c r="E220" s="86" t="s">
        <v>7704</v>
      </c>
      <c r="F220" s="86" t="s">
        <v>7502</v>
      </c>
      <c r="G220" s="86" t="s">
        <v>38</v>
      </c>
      <c r="H220" s="86" t="s">
        <v>2329</v>
      </c>
    </row>
    <row r="221" spans="1:8" ht="12.75" hidden="1">
      <c r="A221" s="86">
        <v>220</v>
      </c>
      <c r="B221" s="86" t="s">
        <v>5943</v>
      </c>
      <c r="C221" s="86" t="str">
        <f t="shared" si="0"/>
        <v>535514</v>
      </c>
      <c r="D221" s="86" t="str">
        <f>IF(VLOOKUP(C221,'Diferencias patrimonio 2023'!$C$2:$C$1020,1,FALSE)=C221,"Encontrado", "No")</f>
        <v>Encontrado</v>
      </c>
      <c r="E221" s="86" t="s">
        <v>7705</v>
      </c>
      <c r="F221" s="86" t="s">
        <v>7706</v>
      </c>
      <c r="G221" s="86" t="s">
        <v>38</v>
      </c>
      <c r="H221" s="86" t="s">
        <v>7398</v>
      </c>
    </row>
    <row r="222" spans="1:8" ht="12.75" hidden="1">
      <c r="A222" s="86">
        <v>221</v>
      </c>
      <c r="B222" s="86" t="s">
        <v>5920</v>
      </c>
      <c r="C222" s="86" t="str">
        <f t="shared" si="0"/>
        <v>535515</v>
      </c>
      <c r="D222" s="86" t="str">
        <f>IF(VLOOKUP(C222,'Diferencias patrimonio 2023'!$C$2:$C$1020,1,FALSE)=C222,"Encontrado", "No")</f>
        <v>Encontrado</v>
      </c>
      <c r="E222" s="86" t="s">
        <v>7707</v>
      </c>
      <c r="F222" s="86" t="s">
        <v>7706</v>
      </c>
      <c r="G222" s="86" t="s">
        <v>38</v>
      </c>
      <c r="H222" s="86" t="s">
        <v>7398</v>
      </c>
    </row>
    <row r="223" spans="1:8" ht="12.75">
      <c r="A223" s="86">
        <v>222</v>
      </c>
      <c r="B223" s="86" t="s">
        <v>7709</v>
      </c>
      <c r="C223" s="86" t="str">
        <f t="shared" si="0"/>
        <v>535517</v>
      </c>
      <c r="D223" s="86" t="e">
        <f>IF(VLOOKUP(C223,'Diferencias patrimonio 2023'!$C$2:$C$1020,1,FALSE)=C223,"Encontrado", "No")</f>
        <v>#N/A</v>
      </c>
      <c r="E223" s="86" t="s">
        <v>7710</v>
      </c>
      <c r="F223" s="86" t="s">
        <v>7711</v>
      </c>
      <c r="G223" s="86" t="s">
        <v>38</v>
      </c>
      <c r="H223" s="86" t="s">
        <v>7398</v>
      </c>
    </row>
    <row r="224" spans="1:8" ht="12.75" hidden="1">
      <c r="A224" s="86">
        <v>223</v>
      </c>
      <c r="B224" s="86" t="s">
        <v>4880</v>
      </c>
      <c r="C224" s="86" t="str">
        <f t="shared" si="0"/>
        <v>535527</v>
      </c>
      <c r="D224" s="86" t="str">
        <f>IF(VLOOKUP(C224,'Diferencias patrimonio 2023'!$C$2:$C$1020,1,FALSE)=C224,"Encontrado", "No")</f>
        <v>Encontrado</v>
      </c>
      <c r="E224" s="86" t="s">
        <v>7712</v>
      </c>
      <c r="F224" s="86" t="s">
        <v>7502</v>
      </c>
      <c r="G224" s="86" t="s">
        <v>38</v>
      </c>
      <c r="H224" s="86" t="s">
        <v>4737</v>
      </c>
    </row>
    <row r="225" spans="1:8" ht="12.75">
      <c r="A225" s="86">
        <v>224</v>
      </c>
      <c r="B225" s="86" t="s">
        <v>7248</v>
      </c>
      <c r="C225" s="86" t="str">
        <f t="shared" si="0"/>
        <v>535528</v>
      </c>
      <c r="D225" s="86" t="e">
        <f>IF(VLOOKUP(C225,'Diferencias patrimonio 2023'!$C$2:$C$1020,1,FALSE)=C225,"Encontrado", "No")</f>
        <v>#N/A</v>
      </c>
      <c r="E225" s="86" t="s">
        <v>7713</v>
      </c>
      <c r="F225" s="86" t="s">
        <v>7502</v>
      </c>
      <c r="G225" s="86" t="s">
        <v>38</v>
      </c>
      <c r="H225" s="86" t="s">
        <v>4417</v>
      </c>
    </row>
    <row r="226" spans="1:8" ht="12.75" hidden="1">
      <c r="A226" s="86">
        <v>225</v>
      </c>
      <c r="B226" s="86" t="s">
        <v>6585</v>
      </c>
      <c r="C226" s="86" t="str">
        <f t="shared" si="0"/>
        <v>535534</v>
      </c>
      <c r="D226" s="86" t="str">
        <f>IF(VLOOKUP(C226,'Diferencias patrimonio 2023'!$C$2:$C$1020,1,FALSE)=C226,"Encontrado", "No")</f>
        <v>Encontrado</v>
      </c>
      <c r="E226" s="86" t="s">
        <v>7714</v>
      </c>
      <c r="F226" s="86" t="s">
        <v>7502</v>
      </c>
      <c r="G226" s="86" t="s">
        <v>38</v>
      </c>
      <c r="H226" s="86" t="s">
        <v>1477</v>
      </c>
    </row>
    <row r="227" spans="1:8" ht="12.75" hidden="1">
      <c r="A227" s="86">
        <v>226</v>
      </c>
      <c r="B227" s="86" t="s">
        <v>2667</v>
      </c>
      <c r="C227" s="86" t="str">
        <f t="shared" si="0"/>
        <v>535536</v>
      </c>
      <c r="D227" s="86" t="str">
        <f>IF(VLOOKUP(C227,'Diferencias patrimonio 2023'!$C$2:$C$1020,1,FALSE)=C227,"Encontrado", "No")</f>
        <v>Encontrado</v>
      </c>
      <c r="E227" s="86" t="s">
        <v>7715</v>
      </c>
      <c r="F227" s="86" t="s">
        <v>7408</v>
      </c>
      <c r="G227" s="86" t="s">
        <v>38</v>
      </c>
      <c r="H227" s="86" t="s">
        <v>7686</v>
      </c>
    </row>
    <row r="228" spans="1:8" ht="12.75" hidden="1">
      <c r="A228" s="86">
        <v>227</v>
      </c>
      <c r="B228" s="86" t="s">
        <v>6052</v>
      </c>
      <c r="C228" s="86" t="str">
        <f t="shared" si="0"/>
        <v>535596</v>
      </c>
      <c r="D228" s="86" t="str">
        <f>IF(VLOOKUP(C228,'Diferencias patrimonio 2023'!$C$2:$C$1020,1,FALSE)=C228,"Encontrado", "No")</f>
        <v>Encontrado</v>
      </c>
      <c r="E228" s="86" t="s">
        <v>7716</v>
      </c>
      <c r="F228" s="86" t="s">
        <v>7706</v>
      </c>
      <c r="G228" s="86" t="s">
        <v>38</v>
      </c>
      <c r="H228" s="86" t="s">
        <v>7398</v>
      </c>
    </row>
    <row r="229" spans="1:8" ht="12.75" hidden="1">
      <c r="A229" s="86">
        <v>228</v>
      </c>
      <c r="B229" s="86" t="s">
        <v>4873</v>
      </c>
      <c r="C229" s="86" t="str">
        <f t="shared" si="0"/>
        <v>535801</v>
      </c>
      <c r="D229" s="86" t="str">
        <f>IF(VLOOKUP(C229,'Diferencias patrimonio 2023'!$C$2:$C$1020,1,FALSE)=C229,"Encontrado", "No")</f>
        <v>Encontrado</v>
      </c>
      <c r="E229" s="86" t="s">
        <v>7717</v>
      </c>
      <c r="F229" s="86" t="s">
        <v>151</v>
      </c>
      <c r="G229" s="86" t="s">
        <v>38</v>
      </c>
      <c r="H229" s="86" t="s">
        <v>4737</v>
      </c>
    </row>
    <row r="230" spans="1:8" ht="12.75" hidden="1">
      <c r="A230" s="86">
        <v>229</v>
      </c>
      <c r="B230" s="86" t="s">
        <v>5540</v>
      </c>
      <c r="C230" s="86" t="str">
        <f t="shared" si="0"/>
        <v>535804</v>
      </c>
      <c r="D230" s="86" t="str">
        <f>IF(VLOOKUP(C230,'Diferencias patrimonio 2023'!$C$2:$C$1020,1,FALSE)=C230,"Encontrado", "No")</f>
        <v>Encontrado</v>
      </c>
      <c r="E230" s="86" t="s">
        <v>7718</v>
      </c>
      <c r="F230" s="86" t="s">
        <v>43</v>
      </c>
      <c r="G230" s="86" t="s">
        <v>38</v>
      </c>
      <c r="H230" s="86" t="s">
        <v>5310</v>
      </c>
    </row>
    <row r="231" spans="1:8" ht="12.75">
      <c r="A231" s="86">
        <v>230</v>
      </c>
      <c r="B231" s="86" t="s">
        <v>7719</v>
      </c>
      <c r="C231" s="86" t="str">
        <f t="shared" si="0"/>
        <v>535815</v>
      </c>
      <c r="D231" s="86" t="e">
        <f>IF(VLOOKUP(C231,'Diferencias patrimonio 2023'!$C$2:$C$1020,1,FALSE)=C231,"Encontrado", "No")</f>
        <v>#N/A</v>
      </c>
      <c r="E231" s="86" t="s">
        <v>7720</v>
      </c>
      <c r="F231" s="86" t="s">
        <v>1275</v>
      </c>
      <c r="G231" s="86" t="s">
        <v>38</v>
      </c>
      <c r="H231" s="86" t="s">
        <v>7411</v>
      </c>
    </row>
    <row r="232" spans="1:8" ht="12.75">
      <c r="A232" s="86">
        <v>231</v>
      </c>
      <c r="B232" s="86" t="s">
        <v>7721</v>
      </c>
      <c r="C232" s="86" t="str">
        <f t="shared" si="0"/>
        <v>535852</v>
      </c>
      <c r="D232" s="86" t="e">
        <f>IF(VLOOKUP(C232,'Diferencias patrimonio 2023'!$C$2:$C$1020,1,FALSE)=C232,"Encontrado", "No")</f>
        <v>#N/A</v>
      </c>
      <c r="E232" s="86" t="s">
        <v>7722</v>
      </c>
      <c r="F232" s="86" t="s">
        <v>1275</v>
      </c>
      <c r="G232" s="86" t="s">
        <v>38</v>
      </c>
      <c r="H232" s="86" t="s">
        <v>7411</v>
      </c>
    </row>
    <row r="233" spans="1:8" ht="12.75">
      <c r="A233" s="86">
        <v>232</v>
      </c>
      <c r="B233" s="86" t="s">
        <v>7723</v>
      </c>
      <c r="C233" s="86" t="str">
        <f t="shared" si="0"/>
        <v>537672</v>
      </c>
      <c r="D233" s="86" t="e">
        <f>IF(VLOOKUP(C233,'Diferencias patrimonio 2023'!$C$2:$C$1020,1,FALSE)=C233,"Encontrado", "No")</f>
        <v>#N/A</v>
      </c>
      <c r="E233" s="86" t="s">
        <v>7724</v>
      </c>
      <c r="F233" s="86" t="s">
        <v>136</v>
      </c>
      <c r="G233" s="86" t="s">
        <v>38</v>
      </c>
      <c r="H233" s="86" t="s">
        <v>7398</v>
      </c>
    </row>
    <row r="234" spans="1:8" ht="12.75">
      <c r="A234" s="86">
        <v>233</v>
      </c>
      <c r="B234" s="86" t="s">
        <v>7725</v>
      </c>
      <c r="C234" s="86" t="str">
        <f t="shared" si="0"/>
        <v>537738</v>
      </c>
      <c r="D234" s="86" t="e">
        <f>IF(VLOOKUP(C234,'Diferencias patrimonio 2023'!$C$2:$C$1020,1,FALSE)=C234,"Encontrado", "No")</f>
        <v>#N/A</v>
      </c>
      <c r="E234" s="86" t="s">
        <v>7726</v>
      </c>
      <c r="F234" s="86" t="s">
        <v>248</v>
      </c>
      <c r="G234" s="86" t="s">
        <v>38</v>
      </c>
      <c r="H234" s="86" t="s">
        <v>4935</v>
      </c>
    </row>
    <row r="235" spans="1:8" ht="12.75">
      <c r="A235" s="86">
        <v>234</v>
      </c>
      <c r="B235" s="86" t="s">
        <v>7727</v>
      </c>
      <c r="C235" s="86" t="str">
        <f t="shared" si="0"/>
        <v>538163</v>
      </c>
      <c r="D235" s="86" t="e">
        <f>IF(VLOOKUP(C235,'Diferencias patrimonio 2023'!$C$2:$C$1020,1,FALSE)=C235,"Encontrado", "No")</f>
        <v>#N/A</v>
      </c>
      <c r="E235" s="86" t="s">
        <v>7728</v>
      </c>
      <c r="F235" s="86" t="s">
        <v>248</v>
      </c>
      <c r="G235" s="86" t="s">
        <v>38</v>
      </c>
      <c r="H235" s="86" t="s">
        <v>6062</v>
      </c>
    </row>
    <row r="236" spans="1:8" ht="12.75" hidden="1">
      <c r="A236" s="86">
        <v>235</v>
      </c>
      <c r="B236" s="86" t="s">
        <v>5936</v>
      </c>
      <c r="C236" s="86" t="str">
        <f t="shared" si="0"/>
        <v>538166</v>
      </c>
      <c r="D236" s="86" t="str">
        <f>IF(VLOOKUP(C236,'Diferencias patrimonio 2023'!$C$2:$C$1020,1,FALSE)=C236,"Encontrado", "No")</f>
        <v>Encontrado</v>
      </c>
      <c r="E236" s="86" t="s">
        <v>7729</v>
      </c>
      <c r="F236" s="86" t="s">
        <v>5929</v>
      </c>
      <c r="G236" s="86" t="s">
        <v>38</v>
      </c>
      <c r="H236" s="86" t="s">
        <v>7398</v>
      </c>
    </row>
    <row r="237" spans="1:8" ht="12.75" hidden="1">
      <c r="A237" s="86">
        <v>236</v>
      </c>
      <c r="B237" s="86" t="s">
        <v>1614</v>
      </c>
      <c r="C237" s="86" t="str">
        <f t="shared" si="0"/>
        <v>538210</v>
      </c>
      <c r="D237" s="86" t="str">
        <f>IF(VLOOKUP(C237,'Diferencias patrimonio 2023'!$C$2:$C$1020,1,FALSE)=C237,"Encontrado", "No")</f>
        <v>Encontrado</v>
      </c>
      <c r="E237" s="86" t="s">
        <v>7730</v>
      </c>
      <c r="F237" s="86" t="s">
        <v>162</v>
      </c>
      <c r="G237" s="86" t="s">
        <v>38</v>
      </c>
      <c r="H237" s="86" t="s">
        <v>1672</v>
      </c>
    </row>
    <row r="238" spans="1:8" ht="12.75" hidden="1">
      <c r="A238" s="86">
        <v>237</v>
      </c>
      <c r="B238" s="86" t="s">
        <v>339</v>
      </c>
      <c r="C238" s="86" t="str">
        <f t="shared" si="0"/>
        <v>538211</v>
      </c>
      <c r="D238" s="86" t="str">
        <f>IF(VLOOKUP(C238,'Diferencias patrimonio 2023'!$C$2:$C$1020,1,FALSE)=C238,"Encontrado", "No")</f>
        <v>Encontrado</v>
      </c>
      <c r="E238" s="86" t="s">
        <v>7731</v>
      </c>
      <c r="F238" s="86" t="s">
        <v>162</v>
      </c>
      <c r="G238" s="86" t="s">
        <v>38</v>
      </c>
      <c r="H238" s="86" t="s">
        <v>332</v>
      </c>
    </row>
    <row r="239" spans="1:8" ht="12.75" hidden="1">
      <c r="A239" s="86">
        <v>238</v>
      </c>
      <c r="B239" s="86" t="s">
        <v>5179</v>
      </c>
      <c r="C239" s="86" t="str">
        <f t="shared" si="0"/>
        <v>538212</v>
      </c>
      <c r="D239" s="86" t="str">
        <f>IF(VLOOKUP(C239,'Diferencias patrimonio 2023'!$C$2:$C$1020,1,FALSE)=C239,"Encontrado", "No")</f>
        <v>Encontrado</v>
      </c>
      <c r="E239" s="86" t="s">
        <v>7732</v>
      </c>
      <c r="F239" s="86" t="s">
        <v>162</v>
      </c>
      <c r="G239" s="86" t="s">
        <v>38</v>
      </c>
      <c r="H239" s="86" t="s">
        <v>5138</v>
      </c>
    </row>
    <row r="240" spans="1:8" ht="12.75">
      <c r="A240" s="86">
        <v>239</v>
      </c>
      <c r="B240" s="86" t="s">
        <v>7733</v>
      </c>
      <c r="C240" s="86" t="str">
        <f t="shared" si="0"/>
        <v>539015</v>
      </c>
      <c r="D240" s="86" t="e">
        <f>IF(VLOOKUP(C240,'Diferencias patrimonio 2023'!$C$2:$C$1020,1,FALSE)=C240,"Encontrado", "No")</f>
        <v>#N/A</v>
      </c>
      <c r="E240" s="86" t="s">
        <v>7734</v>
      </c>
      <c r="F240" s="86" t="s">
        <v>7502</v>
      </c>
      <c r="G240" s="86" t="s">
        <v>38</v>
      </c>
      <c r="H240" s="86" t="s">
        <v>7411</v>
      </c>
    </row>
    <row r="241" spans="1:8" ht="12.75">
      <c r="A241" s="86">
        <v>240</v>
      </c>
      <c r="B241" s="86" t="s">
        <v>7253</v>
      </c>
      <c r="C241" s="86" t="str">
        <f t="shared" si="0"/>
        <v>539016</v>
      </c>
      <c r="D241" s="86" t="e">
        <f>IF(VLOOKUP(C241,'Diferencias patrimonio 2023'!$C$2:$C$1020,1,FALSE)=C241,"Encontrado", "No")</f>
        <v>#N/A</v>
      </c>
      <c r="E241" s="86" t="s">
        <v>7735</v>
      </c>
      <c r="F241" s="86" t="s">
        <v>7502</v>
      </c>
      <c r="G241" s="86" t="s">
        <v>38</v>
      </c>
      <c r="H241" s="86" t="s">
        <v>1477</v>
      </c>
    </row>
    <row r="242" spans="1:8" ht="12.75" hidden="1">
      <c r="A242" s="86">
        <v>241</v>
      </c>
      <c r="B242" s="86" t="s">
        <v>810</v>
      </c>
      <c r="C242" s="86" t="str">
        <f t="shared" si="0"/>
        <v>539017</v>
      </c>
      <c r="D242" s="86" t="str">
        <f>IF(VLOOKUP(C242,'Diferencias patrimonio 2023'!$C$2:$C$1020,1,FALSE)=C242,"Encontrado", "No")</f>
        <v>Encontrado</v>
      </c>
      <c r="E242" s="86" t="s">
        <v>7736</v>
      </c>
      <c r="F242" s="86" t="s">
        <v>7502</v>
      </c>
      <c r="G242" s="86" t="s">
        <v>38</v>
      </c>
      <c r="H242" s="86" t="s">
        <v>2329</v>
      </c>
    </row>
    <row r="243" spans="1:8" ht="12.75" hidden="1">
      <c r="A243" s="86">
        <v>242</v>
      </c>
      <c r="B243" s="86" t="s">
        <v>2097</v>
      </c>
      <c r="C243" s="86" t="str">
        <f t="shared" si="0"/>
        <v>539018</v>
      </c>
      <c r="D243" s="86" t="str">
        <f>IF(VLOOKUP(C243,'Diferencias patrimonio 2023'!$C$2:$C$1020,1,FALSE)=C243,"Encontrado", "No")</f>
        <v>Encontrado</v>
      </c>
      <c r="E243" s="86" t="s">
        <v>7737</v>
      </c>
      <c r="F243" s="86" t="s">
        <v>7615</v>
      </c>
      <c r="G243" s="86" t="s">
        <v>38</v>
      </c>
      <c r="H243" s="86" t="s">
        <v>2052</v>
      </c>
    </row>
    <row r="244" spans="1:8" ht="12.75" hidden="1">
      <c r="A244" s="86">
        <v>243</v>
      </c>
      <c r="B244" s="86" t="s">
        <v>7738</v>
      </c>
      <c r="C244" s="86" t="str">
        <f t="shared" si="0"/>
        <v>539026</v>
      </c>
      <c r="D244" s="86" t="str">
        <f>IF(VLOOKUP(C244,'Diferencias patrimonio 2023'!$C$2:$C$1020,1,FALSE)=C244,"Encontrado", "No")</f>
        <v>Encontrado</v>
      </c>
      <c r="E244" s="86" t="s">
        <v>7739</v>
      </c>
      <c r="F244" s="86" t="s">
        <v>7615</v>
      </c>
      <c r="G244" s="86" t="s">
        <v>38</v>
      </c>
      <c r="H244" s="86" t="s">
        <v>3450</v>
      </c>
    </row>
    <row r="245" spans="1:8" ht="12.75" hidden="1">
      <c r="A245" s="86">
        <v>244</v>
      </c>
      <c r="B245" s="86" t="s">
        <v>2058</v>
      </c>
      <c r="C245" s="86" t="str">
        <f t="shared" si="0"/>
        <v>539027</v>
      </c>
      <c r="D245" s="86" t="str">
        <f>IF(VLOOKUP(C245,'Diferencias patrimonio 2023'!$C$2:$C$1020,1,FALSE)=C245,"Encontrado", "No")</f>
        <v>Encontrado</v>
      </c>
      <c r="E245" s="86" t="s">
        <v>7740</v>
      </c>
      <c r="F245" s="86" t="s">
        <v>7615</v>
      </c>
      <c r="G245" s="86" t="s">
        <v>38</v>
      </c>
      <c r="H245" s="86" t="s">
        <v>2052</v>
      </c>
    </row>
    <row r="246" spans="1:8" ht="12.75" hidden="1">
      <c r="A246" s="86">
        <v>245</v>
      </c>
      <c r="B246" s="86" t="s">
        <v>2139</v>
      </c>
      <c r="C246" s="86" t="str">
        <f t="shared" si="0"/>
        <v>539029</v>
      </c>
      <c r="D246" s="86" t="str">
        <f>IF(VLOOKUP(C246,'Diferencias patrimonio 2023'!$C$2:$C$1020,1,FALSE)=C246,"Encontrado", "No")</f>
        <v>Encontrado</v>
      </c>
      <c r="E246" s="86" t="s">
        <v>7741</v>
      </c>
      <c r="F246" s="86" t="s">
        <v>7615</v>
      </c>
      <c r="G246" s="86" t="s">
        <v>38</v>
      </c>
      <c r="H246" s="86" t="s">
        <v>2052</v>
      </c>
    </row>
    <row r="247" spans="1:8" ht="12.75" hidden="1">
      <c r="A247" s="86">
        <v>246</v>
      </c>
      <c r="B247" s="86" t="s">
        <v>2175</v>
      </c>
      <c r="C247" s="86" t="str">
        <f t="shared" si="0"/>
        <v>539031</v>
      </c>
      <c r="D247" s="86" t="str">
        <f>IF(VLOOKUP(C247,'Diferencias patrimonio 2023'!$C$2:$C$1020,1,FALSE)=C247,"Encontrado", "No")</f>
        <v>Encontrado</v>
      </c>
      <c r="E247" s="86" t="s">
        <v>7742</v>
      </c>
      <c r="F247" s="86" t="s">
        <v>7615</v>
      </c>
      <c r="G247" s="86" t="s">
        <v>38</v>
      </c>
      <c r="H247" s="86" t="s">
        <v>2052</v>
      </c>
    </row>
    <row r="248" spans="1:8" ht="12.75" hidden="1">
      <c r="A248" s="86">
        <v>247</v>
      </c>
      <c r="B248" s="86" t="s">
        <v>2103</v>
      </c>
      <c r="C248" s="86" t="str">
        <f t="shared" si="0"/>
        <v>539032</v>
      </c>
      <c r="D248" s="86" t="str">
        <f>IF(VLOOKUP(C248,'Diferencias patrimonio 2023'!$C$2:$C$1020,1,FALSE)=C248,"Encontrado", "No")</f>
        <v>Encontrado</v>
      </c>
      <c r="E248" s="86" t="s">
        <v>7743</v>
      </c>
      <c r="F248" s="86" t="s">
        <v>7615</v>
      </c>
      <c r="G248" s="86" t="s">
        <v>38</v>
      </c>
      <c r="H248" s="86" t="s">
        <v>2052</v>
      </c>
    </row>
    <row r="249" spans="1:8" ht="12.75">
      <c r="A249" s="86">
        <v>248</v>
      </c>
      <c r="B249" s="86" t="s">
        <v>7744</v>
      </c>
      <c r="C249" s="86" t="str">
        <f t="shared" si="0"/>
        <v>539034</v>
      </c>
      <c r="D249" s="86" t="e">
        <f>IF(VLOOKUP(C249,'Diferencias patrimonio 2023'!$C$2:$C$1020,1,FALSE)=C249,"Encontrado", "No")</f>
        <v>#N/A</v>
      </c>
      <c r="E249" s="86" t="s">
        <v>7745</v>
      </c>
      <c r="F249" s="86" t="s">
        <v>7502</v>
      </c>
      <c r="G249" s="86" t="s">
        <v>38</v>
      </c>
      <c r="H249" s="86" t="s">
        <v>1597</v>
      </c>
    </row>
    <row r="250" spans="1:8" ht="12.75" hidden="1">
      <c r="A250" s="86">
        <v>249</v>
      </c>
      <c r="B250" s="86" t="s">
        <v>2250</v>
      </c>
      <c r="C250" s="86" t="str">
        <f t="shared" si="0"/>
        <v>539036</v>
      </c>
      <c r="D250" s="86" t="str">
        <f>IF(VLOOKUP(C250,'Diferencias patrimonio 2023'!$C$2:$C$1020,1,FALSE)=C250,"Encontrado", "No")</f>
        <v>Encontrado</v>
      </c>
      <c r="E250" s="86" t="s">
        <v>7746</v>
      </c>
      <c r="F250" s="86" t="s">
        <v>7502</v>
      </c>
      <c r="G250" s="86" t="s">
        <v>38</v>
      </c>
      <c r="H250" s="86" t="s">
        <v>2052</v>
      </c>
    </row>
    <row r="251" spans="1:8" ht="12.75" hidden="1">
      <c r="A251" s="86">
        <v>250</v>
      </c>
      <c r="B251" s="86" t="s">
        <v>7747</v>
      </c>
      <c r="C251" s="86" t="str">
        <f t="shared" si="0"/>
        <v>539037</v>
      </c>
      <c r="D251" s="86" t="str">
        <f>IF(VLOOKUP(C251,'Diferencias patrimonio 2023'!$C$2:$C$1020,1,FALSE)=C251,"Encontrado", "No")</f>
        <v>Encontrado</v>
      </c>
      <c r="E251" s="86" t="s">
        <v>7748</v>
      </c>
      <c r="F251" s="86" t="s">
        <v>7615</v>
      </c>
      <c r="G251" s="86" t="s">
        <v>38</v>
      </c>
      <c r="H251" s="86" t="s">
        <v>3450</v>
      </c>
    </row>
    <row r="252" spans="1:8" ht="12.75" hidden="1">
      <c r="A252" s="86">
        <v>251</v>
      </c>
      <c r="B252" s="86" t="s">
        <v>7749</v>
      </c>
      <c r="C252" s="86" t="str">
        <f t="shared" si="0"/>
        <v>539038</v>
      </c>
      <c r="D252" s="86" t="str">
        <f>IF(VLOOKUP(C252,'Diferencias patrimonio 2023'!$C$2:$C$1020,1,FALSE)=C252,"Encontrado", "No")</f>
        <v>Encontrado</v>
      </c>
      <c r="E252" s="86" t="s">
        <v>7750</v>
      </c>
      <c r="F252" s="86" t="s">
        <v>7615</v>
      </c>
      <c r="G252" s="86" t="s">
        <v>38</v>
      </c>
      <c r="H252" s="86" t="s">
        <v>3450</v>
      </c>
    </row>
    <row r="253" spans="1:8" ht="12.75" hidden="1">
      <c r="A253" s="86">
        <v>252</v>
      </c>
      <c r="B253" s="86" t="s">
        <v>2078</v>
      </c>
      <c r="C253" s="86" t="str">
        <f t="shared" si="0"/>
        <v>539043</v>
      </c>
      <c r="D253" s="86" t="str">
        <f>IF(VLOOKUP(C253,'Diferencias patrimonio 2023'!$C$2:$C$1020,1,FALSE)=C253,"Encontrado", "No")</f>
        <v>Encontrado</v>
      </c>
      <c r="E253" s="86" t="s">
        <v>7751</v>
      </c>
      <c r="F253" s="86" t="s">
        <v>7615</v>
      </c>
      <c r="G253" s="86" t="s">
        <v>38</v>
      </c>
      <c r="H253" s="86" t="s">
        <v>2052</v>
      </c>
    </row>
    <row r="254" spans="1:8" ht="12.75" hidden="1">
      <c r="A254" s="86">
        <v>253</v>
      </c>
      <c r="B254" s="86" t="s">
        <v>7752</v>
      </c>
      <c r="C254" s="86" t="str">
        <f t="shared" si="0"/>
        <v>539044</v>
      </c>
      <c r="D254" s="86" t="str">
        <f>IF(VLOOKUP(C254,'Diferencias patrimonio 2023'!$C$2:$C$1020,1,FALSE)=C254,"Encontrado", "No")</f>
        <v>Encontrado</v>
      </c>
      <c r="E254" s="86" t="s">
        <v>7753</v>
      </c>
      <c r="F254" s="86" t="s">
        <v>7615</v>
      </c>
      <c r="G254" s="86" t="s">
        <v>38</v>
      </c>
      <c r="H254" s="86" t="s">
        <v>3450</v>
      </c>
    </row>
    <row r="255" spans="1:8" ht="12.75" hidden="1">
      <c r="A255" s="86">
        <v>254</v>
      </c>
      <c r="B255" s="86" t="s">
        <v>7754</v>
      </c>
      <c r="C255" s="86" t="str">
        <f t="shared" si="0"/>
        <v>539045</v>
      </c>
      <c r="D255" s="86" t="str">
        <f>IF(VLOOKUP(C255,'Diferencias patrimonio 2023'!$C$2:$C$1020,1,FALSE)=C255,"Encontrado", "No")</f>
        <v>Encontrado</v>
      </c>
      <c r="E255" s="86" t="s">
        <v>7755</v>
      </c>
      <c r="F255" s="86" t="s">
        <v>7502</v>
      </c>
      <c r="G255" s="86" t="s">
        <v>38</v>
      </c>
      <c r="H255" s="86" t="s">
        <v>7430</v>
      </c>
    </row>
    <row r="256" spans="1:8" ht="12.75" hidden="1">
      <c r="A256" s="86">
        <v>255</v>
      </c>
      <c r="B256" s="86" t="s">
        <v>4798</v>
      </c>
      <c r="C256" s="86" t="str">
        <f t="shared" si="0"/>
        <v>539047</v>
      </c>
      <c r="D256" s="86" t="str">
        <f>IF(VLOOKUP(C256,'Diferencias patrimonio 2023'!$C$2:$C$1020,1,FALSE)=C256,"Encontrado", "No")</f>
        <v>Encontrado</v>
      </c>
      <c r="E256" s="86" t="s">
        <v>7756</v>
      </c>
      <c r="F256" s="86" t="s">
        <v>7502</v>
      </c>
      <c r="G256" s="86" t="s">
        <v>38</v>
      </c>
      <c r="H256" s="86" t="s">
        <v>1004</v>
      </c>
    </row>
    <row r="257" spans="1:8" ht="12.75" hidden="1">
      <c r="A257" s="86">
        <v>256</v>
      </c>
      <c r="B257" s="86" t="s">
        <v>146</v>
      </c>
      <c r="C257" s="86" t="str">
        <f t="shared" si="0"/>
        <v>539048</v>
      </c>
      <c r="D257" s="86" t="str">
        <f>IF(VLOOKUP(C257,'Diferencias patrimonio 2023'!$C$2:$C$1020,1,FALSE)=C257,"Encontrado", "No")</f>
        <v>Encontrado</v>
      </c>
      <c r="E257" s="86" t="s">
        <v>7757</v>
      </c>
      <c r="F257" s="86" t="s">
        <v>136</v>
      </c>
      <c r="G257" s="86" t="s">
        <v>38</v>
      </c>
      <c r="H257" s="86" t="s">
        <v>7434</v>
      </c>
    </row>
    <row r="258" spans="1:8" ht="12.75">
      <c r="A258" s="86">
        <v>257</v>
      </c>
      <c r="B258" s="86" t="s">
        <v>7758</v>
      </c>
      <c r="C258" s="86" t="str">
        <f t="shared" si="0"/>
        <v>539049</v>
      </c>
      <c r="D258" s="86" t="e">
        <f>IF(VLOOKUP(C258,'Diferencias patrimonio 2023'!$C$2:$C$1020,1,FALSE)=C258,"Encontrado", "No")</f>
        <v>#N/A</v>
      </c>
      <c r="E258" s="86" t="s">
        <v>7759</v>
      </c>
      <c r="F258" s="86" t="s">
        <v>136</v>
      </c>
      <c r="G258" s="86" t="s">
        <v>38</v>
      </c>
      <c r="H258" s="86" t="s">
        <v>7398</v>
      </c>
    </row>
    <row r="259" spans="1:8" ht="12.75" hidden="1">
      <c r="A259" s="86">
        <v>258</v>
      </c>
      <c r="B259" s="86" t="s">
        <v>1332</v>
      </c>
      <c r="C259" s="86" t="str">
        <f t="shared" si="0"/>
        <v>539050</v>
      </c>
      <c r="D259" s="86" t="str">
        <f>IF(VLOOKUP(C259,'Diferencias patrimonio 2023'!$C$2:$C$1020,1,FALSE)=C259,"Encontrado", "No")</f>
        <v>Encontrado</v>
      </c>
      <c r="E259" s="86" t="s">
        <v>7760</v>
      </c>
      <c r="F259" s="86" t="s">
        <v>136</v>
      </c>
      <c r="G259" s="86" t="s">
        <v>38</v>
      </c>
      <c r="H259" s="86" t="s">
        <v>724</v>
      </c>
    </row>
    <row r="260" spans="1:8" ht="12.75" hidden="1">
      <c r="A260" s="86">
        <v>259</v>
      </c>
      <c r="B260" s="86" t="s">
        <v>2639</v>
      </c>
      <c r="C260" s="86" t="str">
        <f t="shared" si="0"/>
        <v>539051</v>
      </c>
      <c r="D260" s="86" t="str">
        <f>IF(VLOOKUP(C260,'Diferencias patrimonio 2023'!$C$2:$C$1020,1,FALSE)=C260,"Encontrado", "No")</f>
        <v>Encontrado</v>
      </c>
      <c r="E260" s="86" t="s">
        <v>7761</v>
      </c>
      <c r="F260" s="86" t="s">
        <v>136</v>
      </c>
      <c r="G260" s="86" t="s">
        <v>38</v>
      </c>
      <c r="H260" s="86" t="s">
        <v>7686</v>
      </c>
    </row>
    <row r="261" spans="1:8" ht="12.75" hidden="1">
      <c r="A261" s="86">
        <v>260</v>
      </c>
      <c r="B261" s="86" t="s">
        <v>7762</v>
      </c>
      <c r="C261" s="86" t="str">
        <f t="shared" si="0"/>
        <v>539052</v>
      </c>
      <c r="D261" s="86" t="str">
        <f>IF(VLOOKUP(C261,'Diferencias patrimonio 2023'!$C$2:$C$1020,1,FALSE)=C261,"Encontrado", "No")</f>
        <v>Encontrado</v>
      </c>
      <c r="E261" s="86" t="s">
        <v>7763</v>
      </c>
      <c r="F261" s="86" t="s">
        <v>184</v>
      </c>
      <c r="G261" s="86" t="s">
        <v>38</v>
      </c>
      <c r="H261" s="86" t="s">
        <v>7430</v>
      </c>
    </row>
    <row r="262" spans="1:8" ht="12.75" hidden="1">
      <c r="A262" s="86">
        <v>261</v>
      </c>
      <c r="B262" s="86" t="s">
        <v>2234</v>
      </c>
      <c r="C262" s="86" t="str">
        <f t="shared" si="0"/>
        <v>539054</v>
      </c>
      <c r="D262" s="86" t="str">
        <f>IF(VLOOKUP(C262,'Diferencias patrimonio 2023'!$C$2:$C$1020,1,FALSE)=C262,"Encontrado", "No")</f>
        <v>Encontrado</v>
      </c>
      <c r="E262" s="86" t="s">
        <v>7764</v>
      </c>
      <c r="F262" s="86" t="s">
        <v>184</v>
      </c>
      <c r="G262" s="86" t="s">
        <v>38</v>
      </c>
      <c r="H262" s="86" t="s">
        <v>2052</v>
      </c>
    </row>
    <row r="263" spans="1:8" ht="12.75" hidden="1">
      <c r="A263" s="86">
        <v>262</v>
      </c>
      <c r="B263" s="86" t="s">
        <v>7310</v>
      </c>
      <c r="C263" s="86" t="str">
        <f t="shared" si="0"/>
        <v>539064</v>
      </c>
      <c r="D263" s="86" t="str">
        <f>IF(VLOOKUP(C263,'Diferencias patrimonio 2023'!$C$2:$C$1020,1,FALSE)=C263,"Encontrado", "No")</f>
        <v>Encontrado</v>
      </c>
      <c r="E263" s="86" t="s">
        <v>7766</v>
      </c>
      <c r="F263" s="86" t="s">
        <v>248</v>
      </c>
      <c r="G263" s="86" t="s">
        <v>38</v>
      </c>
      <c r="H263" s="86" t="s">
        <v>4492</v>
      </c>
    </row>
    <row r="264" spans="1:8" ht="12.75">
      <c r="A264" s="86">
        <v>263</v>
      </c>
      <c r="B264" s="86" t="s">
        <v>7281</v>
      </c>
      <c r="C264" s="86" t="str">
        <f t="shared" si="0"/>
        <v>539065</v>
      </c>
      <c r="D264" s="86" t="e">
        <f>IF(VLOOKUP(C264,'Diferencias patrimonio 2023'!$C$2:$C$1020,1,FALSE)=C264,"Encontrado", "No")</f>
        <v>#N/A</v>
      </c>
      <c r="E264" s="86" t="s">
        <v>7767</v>
      </c>
      <c r="F264" s="86" t="s">
        <v>248</v>
      </c>
      <c r="G264" s="86" t="s">
        <v>38</v>
      </c>
      <c r="H264" s="86" t="s">
        <v>7430</v>
      </c>
    </row>
    <row r="265" spans="1:8" ht="12.75" hidden="1">
      <c r="A265" s="86">
        <v>264</v>
      </c>
      <c r="B265" s="86" t="s">
        <v>1759</v>
      </c>
      <c r="C265" s="86" t="str">
        <f t="shared" si="0"/>
        <v>539067</v>
      </c>
      <c r="D265" s="86" t="str">
        <f>IF(VLOOKUP(C265,'Diferencias patrimonio 2023'!$C$2:$C$1020,1,FALSE)=C265,"Encontrado", "No")</f>
        <v>Encontrado</v>
      </c>
      <c r="E265" s="86" t="s">
        <v>7768</v>
      </c>
      <c r="F265" s="86" t="s">
        <v>248</v>
      </c>
      <c r="G265" s="86" t="s">
        <v>38</v>
      </c>
      <c r="H265" s="86" t="s">
        <v>1386</v>
      </c>
    </row>
    <row r="266" spans="1:8" ht="12.75">
      <c r="A266" s="86">
        <v>265</v>
      </c>
      <c r="B266" s="86" t="s">
        <v>7769</v>
      </c>
      <c r="C266" s="86" t="str">
        <f t="shared" si="0"/>
        <v>539068</v>
      </c>
      <c r="D266" s="86" t="e">
        <f>IF(VLOOKUP(C266,'Diferencias patrimonio 2023'!$C$2:$C$1020,1,FALSE)=C266,"Encontrado", "No")</f>
        <v>#N/A</v>
      </c>
      <c r="E266" s="86" t="s">
        <v>7770</v>
      </c>
      <c r="F266" s="86" t="s">
        <v>248</v>
      </c>
      <c r="G266" s="86" t="s">
        <v>38</v>
      </c>
      <c r="H266" s="86" t="s">
        <v>7398</v>
      </c>
    </row>
    <row r="267" spans="1:8" ht="12.75">
      <c r="A267" s="86">
        <v>266</v>
      </c>
      <c r="B267" s="86" t="s">
        <v>7263</v>
      </c>
      <c r="C267" s="86" t="str">
        <f t="shared" si="0"/>
        <v>539071</v>
      </c>
      <c r="D267" s="86" t="e">
        <f>IF(VLOOKUP(C267,'Diferencias patrimonio 2023'!$C$2:$C$1020,1,FALSE)=C267,"Encontrado", "No")</f>
        <v>#N/A</v>
      </c>
      <c r="E267" s="86" t="s">
        <v>7771</v>
      </c>
      <c r="F267" s="86" t="s">
        <v>248</v>
      </c>
      <c r="G267" s="86" t="s">
        <v>38</v>
      </c>
      <c r="H267" s="86" t="s">
        <v>7414</v>
      </c>
    </row>
    <row r="268" spans="1:8" ht="12.75" hidden="1">
      <c r="A268" s="86">
        <v>267</v>
      </c>
      <c r="B268" s="86" t="s">
        <v>7772</v>
      </c>
      <c r="C268" s="86" t="str">
        <f t="shared" si="0"/>
        <v>539073</v>
      </c>
      <c r="D268" s="86" t="str">
        <f>IF(VLOOKUP(C268,'Diferencias patrimonio 2023'!$C$2:$C$1020,1,FALSE)=C268,"Encontrado", "No")</f>
        <v>Encontrado</v>
      </c>
      <c r="E268" s="86" t="s">
        <v>7773</v>
      </c>
      <c r="F268" s="86" t="s">
        <v>378</v>
      </c>
      <c r="G268" s="86" t="s">
        <v>38</v>
      </c>
      <c r="H268" s="86" t="s">
        <v>7430</v>
      </c>
    </row>
    <row r="269" spans="1:8" ht="12.75" hidden="1">
      <c r="A269" s="86">
        <v>268</v>
      </c>
      <c r="B269" s="86" t="s">
        <v>7774</v>
      </c>
      <c r="C269" s="86" t="str">
        <f t="shared" si="0"/>
        <v>539074</v>
      </c>
      <c r="D269" s="86" t="str">
        <f>IF(VLOOKUP(C269,'Diferencias patrimonio 2023'!$C$2:$C$1020,1,FALSE)=C269,"Encontrado", "No")</f>
        <v>Encontrado</v>
      </c>
      <c r="E269" s="86" t="s">
        <v>7775</v>
      </c>
      <c r="F269" s="86" t="s">
        <v>378</v>
      </c>
      <c r="G269" s="86" t="s">
        <v>38</v>
      </c>
      <c r="H269" s="86" t="s">
        <v>1597</v>
      </c>
    </row>
    <row r="270" spans="1:8" ht="12.75" hidden="1">
      <c r="A270" s="86">
        <v>269</v>
      </c>
      <c r="B270" s="86" t="s">
        <v>7776</v>
      </c>
      <c r="C270" s="86" t="str">
        <f t="shared" si="0"/>
        <v>539075</v>
      </c>
      <c r="D270" s="86" t="str">
        <f>IF(VLOOKUP(C270,'Diferencias patrimonio 2023'!$C$2:$C$1020,1,FALSE)=C270,"Encontrado", "No")</f>
        <v>Encontrado</v>
      </c>
      <c r="E270" s="86" t="s">
        <v>7777</v>
      </c>
      <c r="F270" s="86" t="s">
        <v>378</v>
      </c>
      <c r="G270" s="86" t="s">
        <v>38</v>
      </c>
      <c r="H270" s="86" t="s">
        <v>1597</v>
      </c>
    </row>
    <row r="271" spans="1:8" ht="12.75" hidden="1">
      <c r="A271" s="86">
        <v>270</v>
      </c>
      <c r="B271" s="86" t="s">
        <v>7778</v>
      </c>
      <c r="C271" s="86" t="str">
        <f t="shared" si="0"/>
        <v>539078</v>
      </c>
      <c r="D271" s="86" t="str">
        <f>IF(VLOOKUP(C271,'Diferencias patrimonio 2023'!$C$2:$C$1020,1,FALSE)=C271,"Encontrado", "No")</f>
        <v>Encontrado</v>
      </c>
      <c r="E271" s="86" t="s">
        <v>7779</v>
      </c>
      <c r="F271" s="86" t="s">
        <v>378</v>
      </c>
      <c r="G271" s="86" t="s">
        <v>38</v>
      </c>
      <c r="H271" s="86" t="s">
        <v>1597</v>
      </c>
    </row>
    <row r="272" spans="1:8" ht="12.75" hidden="1">
      <c r="A272" s="86">
        <v>271</v>
      </c>
      <c r="B272" s="86" t="s">
        <v>995</v>
      </c>
      <c r="C272" s="86" t="str">
        <f t="shared" si="0"/>
        <v>539080</v>
      </c>
      <c r="D272" s="86" t="str">
        <f>IF(VLOOKUP(C272,'Diferencias patrimonio 2023'!$C$2:$C$1020,1,FALSE)=C272,"Encontrado", "No")</f>
        <v>Encontrado</v>
      </c>
      <c r="E272" s="86" t="s">
        <v>7780</v>
      </c>
      <c r="F272" s="86" t="s">
        <v>7502</v>
      </c>
      <c r="G272" s="86" t="s">
        <v>38</v>
      </c>
      <c r="H272" s="86" t="s">
        <v>7441</v>
      </c>
    </row>
    <row r="273" spans="1:8" ht="12.75" hidden="1">
      <c r="A273" s="86">
        <v>272</v>
      </c>
      <c r="B273" s="86" t="s">
        <v>2011</v>
      </c>
      <c r="C273" s="86" t="str">
        <f t="shared" si="0"/>
        <v>539081</v>
      </c>
      <c r="D273" s="86" t="str">
        <f>IF(VLOOKUP(C273,'Diferencias patrimonio 2023'!$C$2:$C$1020,1,FALSE)=C273,"Encontrado", "No")</f>
        <v>Encontrado</v>
      </c>
      <c r="E273" s="86" t="s">
        <v>7781</v>
      </c>
      <c r="F273" s="86" t="s">
        <v>7502</v>
      </c>
      <c r="G273" s="86" t="s">
        <v>38</v>
      </c>
      <c r="H273" s="86" t="s">
        <v>7428</v>
      </c>
    </row>
    <row r="274" spans="1:8" ht="12.75" hidden="1">
      <c r="A274" s="86">
        <v>273</v>
      </c>
      <c r="B274" s="86" t="s">
        <v>7782</v>
      </c>
      <c r="C274" s="86" t="str">
        <f t="shared" si="0"/>
        <v>539082</v>
      </c>
      <c r="D274" s="86" t="str">
        <f>IF(VLOOKUP(C274,'Diferencias patrimonio 2023'!$C$2:$C$1020,1,FALSE)=C274,"Encontrado", "No")</f>
        <v>Encontrado</v>
      </c>
      <c r="E274" s="86" t="s">
        <v>7783</v>
      </c>
      <c r="F274" s="86" t="s">
        <v>248</v>
      </c>
      <c r="G274" s="86" t="s">
        <v>38</v>
      </c>
      <c r="H274" s="86" t="s">
        <v>7411</v>
      </c>
    </row>
    <row r="275" spans="1:8" ht="12.75" hidden="1">
      <c r="A275" s="86">
        <v>274</v>
      </c>
      <c r="B275" s="86" t="s">
        <v>7784</v>
      </c>
      <c r="C275" s="86" t="str">
        <f t="shared" si="0"/>
        <v>539084</v>
      </c>
      <c r="D275" s="86" t="str">
        <f>IF(VLOOKUP(C275,'Diferencias patrimonio 2023'!$C$2:$C$1020,1,FALSE)=C275,"Encontrado", "No")</f>
        <v>Encontrado</v>
      </c>
      <c r="E275" s="86" t="s">
        <v>7785</v>
      </c>
      <c r="F275" s="86" t="s">
        <v>248</v>
      </c>
      <c r="G275" s="86" t="s">
        <v>38</v>
      </c>
      <c r="H275" s="86" t="s">
        <v>3450</v>
      </c>
    </row>
    <row r="276" spans="1:8" ht="12.75">
      <c r="A276" s="86">
        <v>275</v>
      </c>
      <c r="B276" s="86" t="s">
        <v>7786</v>
      </c>
      <c r="C276" s="86" t="str">
        <f t="shared" si="0"/>
        <v>539085</v>
      </c>
      <c r="D276" s="86" t="e">
        <f>IF(VLOOKUP(C276,'Diferencias patrimonio 2023'!$C$2:$C$1020,1,FALSE)=C276,"Encontrado", "No")</f>
        <v>#N/A</v>
      </c>
      <c r="E276" s="86" t="s">
        <v>7787</v>
      </c>
      <c r="F276" s="86" t="s">
        <v>162</v>
      </c>
      <c r="G276" s="86" t="s">
        <v>38</v>
      </c>
      <c r="H276" s="86" t="s">
        <v>7411</v>
      </c>
    </row>
    <row r="277" spans="1:8" ht="12.75" hidden="1">
      <c r="A277" s="86">
        <v>276</v>
      </c>
      <c r="B277" s="86" t="s">
        <v>3370</v>
      </c>
      <c r="C277" s="86" t="str">
        <f t="shared" si="0"/>
        <v>539086</v>
      </c>
      <c r="D277" s="86" t="str">
        <f>IF(VLOOKUP(C277,'Diferencias patrimonio 2023'!$C$2:$C$1020,1,FALSE)=C277,"Encontrado", "No")</f>
        <v>Encontrado</v>
      </c>
      <c r="E277" s="86" t="s">
        <v>7788</v>
      </c>
      <c r="F277" s="86" t="s">
        <v>162</v>
      </c>
      <c r="G277" s="86" t="s">
        <v>38</v>
      </c>
      <c r="H277" s="86" t="s">
        <v>7434</v>
      </c>
    </row>
    <row r="278" spans="1:8" ht="12.75" hidden="1">
      <c r="A278" s="86">
        <v>277</v>
      </c>
      <c r="B278" s="86" t="s">
        <v>7789</v>
      </c>
      <c r="C278" s="86" t="str">
        <f t="shared" si="0"/>
        <v>539087</v>
      </c>
      <c r="D278" s="86" t="str">
        <f>IF(VLOOKUP(C278,'Diferencias patrimonio 2023'!$C$2:$C$1020,1,FALSE)=C278,"Encontrado", "No")</f>
        <v>Encontrado</v>
      </c>
      <c r="E278" s="86" t="s">
        <v>7790</v>
      </c>
      <c r="F278" s="86" t="s">
        <v>162</v>
      </c>
      <c r="G278" s="86" t="s">
        <v>38</v>
      </c>
      <c r="H278" s="86" t="s">
        <v>7411</v>
      </c>
    </row>
    <row r="279" spans="1:8" ht="12.75">
      <c r="A279" s="86">
        <v>278</v>
      </c>
      <c r="B279" s="86" t="s">
        <v>7791</v>
      </c>
      <c r="C279" s="86" t="str">
        <f t="shared" si="0"/>
        <v>539098</v>
      </c>
      <c r="D279" s="86" t="e">
        <f>IF(VLOOKUP(C279,'Diferencias patrimonio 2023'!$C$2:$C$1020,1,FALSE)=C279,"Encontrado", "No")</f>
        <v>#N/A</v>
      </c>
      <c r="E279" s="86" t="s">
        <v>7792</v>
      </c>
      <c r="F279" s="86" t="s">
        <v>1275</v>
      </c>
      <c r="G279" s="86" t="s">
        <v>38</v>
      </c>
      <c r="H279" s="86" t="s">
        <v>7411</v>
      </c>
    </row>
    <row r="280" spans="1:8" ht="12.75">
      <c r="A280" s="86">
        <v>279</v>
      </c>
      <c r="B280" s="86" t="s">
        <v>7793</v>
      </c>
      <c r="C280" s="86" t="str">
        <f t="shared" si="0"/>
        <v>539099</v>
      </c>
      <c r="D280" s="86" t="e">
        <f>IF(VLOOKUP(C280,'Diferencias patrimonio 2023'!$C$2:$C$1020,1,FALSE)=C280,"Encontrado", "No")</f>
        <v>#N/A</v>
      </c>
      <c r="E280" s="86" t="s">
        <v>7794</v>
      </c>
      <c r="F280" s="86" t="s">
        <v>1275</v>
      </c>
      <c r="G280" s="86" t="s">
        <v>38</v>
      </c>
      <c r="H280" s="86" t="s">
        <v>7411</v>
      </c>
    </row>
    <row r="281" spans="1:8" ht="12.75">
      <c r="A281" s="86">
        <v>280</v>
      </c>
      <c r="B281" s="86" t="s">
        <v>7795</v>
      </c>
      <c r="C281" s="86" t="str">
        <f t="shared" si="0"/>
        <v>539100</v>
      </c>
      <c r="D281" s="86" t="e">
        <f>IF(VLOOKUP(C281,'Diferencias patrimonio 2023'!$C$2:$C$1020,1,FALSE)=C281,"Encontrado", "No")</f>
        <v>#N/A</v>
      </c>
      <c r="E281" s="86" t="s">
        <v>7796</v>
      </c>
      <c r="F281" s="86" t="s">
        <v>1275</v>
      </c>
      <c r="G281" s="86" t="s">
        <v>38</v>
      </c>
      <c r="H281" s="86" t="s">
        <v>7398</v>
      </c>
    </row>
    <row r="282" spans="1:8" ht="12.75">
      <c r="A282" s="86">
        <v>281</v>
      </c>
      <c r="B282" s="86" t="s">
        <v>7797</v>
      </c>
      <c r="C282" s="86" t="str">
        <f t="shared" si="0"/>
        <v>539102</v>
      </c>
      <c r="D282" s="86" t="e">
        <f>IF(VLOOKUP(C282,'Diferencias patrimonio 2023'!$C$2:$C$1020,1,FALSE)=C282,"Encontrado", "No")</f>
        <v>#N/A</v>
      </c>
      <c r="E282" s="86" t="s">
        <v>7798</v>
      </c>
      <c r="F282" s="86" t="s">
        <v>7799</v>
      </c>
      <c r="G282" s="86" t="s">
        <v>38</v>
      </c>
      <c r="H282" s="86" t="s">
        <v>7411</v>
      </c>
    </row>
    <row r="283" spans="1:8" ht="12.75" hidden="1">
      <c r="A283" s="86">
        <v>282</v>
      </c>
      <c r="B283" s="86" t="s">
        <v>2615</v>
      </c>
      <c r="C283" s="86" t="str">
        <f t="shared" si="0"/>
        <v>539105</v>
      </c>
      <c r="D283" s="86" t="str">
        <f>IF(VLOOKUP(C283,'Diferencias patrimonio 2023'!$C$2:$C$1020,1,FALSE)=C283,"Encontrado", "No")</f>
        <v>Encontrado</v>
      </c>
      <c r="E283" s="86" t="s">
        <v>7800</v>
      </c>
      <c r="F283" s="86" t="s">
        <v>151</v>
      </c>
      <c r="G283" s="86" t="s">
        <v>38</v>
      </c>
      <c r="H283" s="86" t="s">
        <v>7686</v>
      </c>
    </row>
    <row r="284" spans="1:8" ht="12.75" hidden="1">
      <c r="A284" s="86">
        <v>283</v>
      </c>
      <c r="B284" s="86" t="s">
        <v>4791</v>
      </c>
      <c r="C284" s="86" t="str">
        <f t="shared" si="0"/>
        <v>539107</v>
      </c>
      <c r="D284" s="86" t="str">
        <f>IF(VLOOKUP(C284,'Diferencias patrimonio 2023'!$C$2:$C$1020,1,FALSE)=C284,"Encontrado", "No")</f>
        <v>Encontrado</v>
      </c>
      <c r="E284" s="86" t="s">
        <v>7801</v>
      </c>
      <c r="F284" s="86" t="s">
        <v>151</v>
      </c>
      <c r="G284" s="86" t="s">
        <v>38</v>
      </c>
      <c r="H284" s="86" t="s">
        <v>1004</v>
      </c>
    </row>
    <row r="285" spans="1:8" ht="12.75" hidden="1">
      <c r="A285" s="86">
        <v>284</v>
      </c>
      <c r="B285" s="86" t="s">
        <v>4676</v>
      </c>
      <c r="C285" s="86" t="str">
        <f t="shared" si="0"/>
        <v>539108</v>
      </c>
      <c r="D285" s="86" t="str">
        <f>IF(VLOOKUP(C285,'Diferencias patrimonio 2023'!$C$2:$C$1020,1,FALSE)=C285,"Encontrado", "No")</f>
        <v>Encontrado</v>
      </c>
      <c r="E285" s="86" t="s">
        <v>7802</v>
      </c>
      <c r="F285" s="86" t="s">
        <v>151</v>
      </c>
      <c r="G285" s="86" t="s">
        <v>38</v>
      </c>
      <c r="H285" s="86" t="s">
        <v>7414</v>
      </c>
    </row>
    <row r="286" spans="1:8" ht="12.75" hidden="1">
      <c r="A286" s="86">
        <v>285</v>
      </c>
      <c r="B286" s="86" t="s">
        <v>3221</v>
      </c>
      <c r="C286" s="86" t="str">
        <f t="shared" si="0"/>
        <v>539110</v>
      </c>
      <c r="D286" s="86" t="str">
        <f>IF(VLOOKUP(C286,'Diferencias patrimonio 2023'!$C$2:$C$1020,1,FALSE)=C286,"Encontrado", "No")</f>
        <v>Encontrado</v>
      </c>
      <c r="E286" s="86" t="s">
        <v>7803</v>
      </c>
      <c r="F286" s="86" t="s">
        <v>151</v>
      </c>
      <c r="G286" s="86" t="s">
        <v>38</v>
      </c>
      <c r="H286" s="86" t="s">
        <v>3151</v>
      </c>
    </row>
    <row r="287" spans="1:8" ht="12.75" hidden="1">
      <c r="A287" s="86">
        <v>286</v>
      </c>
      <c r="B287" s="86" t="s">
        <v>7804</v>
      </c>
      <c r="C287" s="86" t="str">
        <f t="shared" si="0"/>
        <v>539111</v>
      </c>
      <c r="D287" s="86" t="str">
        <f>IF(VLOOKUP(C287,'Diferencias patrimonio 2023'!$C$2:$C$1020,1,FALSE)=C287,"Encontrado", "No")</f>
        <v>Encontrado</v>
      </c>
      <c r="E287" s="86" t="s">
        <v>7805</v>
      </c>
      <c r="F287" s="86" t="s">
        <v>151</v>
      </c>
      <c r="G287" s="86" t="s">
        <v>38</v>
      </c>
      <c r="H287" s="86" t="s">
        <v>7411</v>
      </c>
    </row>
    <row r="288" spans="1:8" ht="12.75" hidden="1">
      <c r="A288" s="86">
        <v>287</v>
      </c>
      <c r="B288" s="86" t="s">
        <v>7806</v>
      </c>
      <c r="C288" s="86" t="str">
        <f t="shared" si="0"/>
        <v>539112</v>
      </c>
      <c r="D288" s="86" t="str">
        <f>IF(VLOOKUP(C288,'Diferencias patrimonio 2023'!$C$2:$C$1020,1,FALSE)=C288,"Encontrado", "No")</f>
        <v>Encontrado</v>
      </c>
      <c r="E288" s="86" t="s">
        <v>7807</v>
      </c>
      <c r="F288" s="86" t="s">
        <v>151</v>
      </c>
      <c r="G288" s="86" t="s">
        <v>38</v>
      </c>
      <c r="H288" s="86" t="s">
        <v>7430</v>
      </c>
    </row>
    <row r="289" spans="1:8" ht="12.75" hidden="1">
      <c r="A289" s="86">
        <v>288</v>
      </c>
      <c r="B289" s="86" t="s">
        <v>7808</v>
      </c>
      <c r="C289" s="86" t="str">
        <f t="shared" si="0"/>
        <v>539113</v>
      </c>
      <c r="D289" s="86" t="str">
        <f>IF(VLOOKUP(C289,'Diferencias patrimonio 2023'!$C$2:$C$1020,1,FALSE)=C289,"Encontrado", "No")</f>
        <v>Encontrado</v>
      </c>
      <c r="E289" s="86" t="s">
        <v>7809</v>
      </c>
      <c r="F289" s="86" t="s">
        <v>151</v>
      </c>
      <c r="G289" s="86" t="s">
        <v>38</v>
      </c>
      <c r="H289" s="86" t="s">
        <v>7411</v>
      </c>
    </row>
    <row r="290" spans="1:8" ht="12.75" hidden="1">
      <c r="A290" s="86">
        <v>289</v>
      </c>
      <c r="B290" s="86" t="s">
        <v>2018</v>
      </c>
      <c r="C290" s="86" t="str">
        <f t="shared" si="0"/>
        <v>539114</v>
      </c>
      <c r="D290" s="86" t="str">
        <f>IF(VLOOKUP(C290,'Diferencias patrimonio 2023'!$C$2:$C$1020,1,FALSE)=C290,"Encontrado", "No")</f>
        <v>Encontrado</v>
      </c>
      <c r="E290" s="86" t="s">
        <v>7810</v>
      </c>
      <c r="F290" s="86" t="s">
        <v>151</v>
      </c>
      <c r="G290" s="86" t="s">
        <v>38</v>
      </c>
      <c r="H290" s="86" t="s">
        <v>7428</v>
      </c>
    </row>
    <row r="291" spans="1:8" ht="12.75" hidden="1">
      <c r="A291" s="86">
        <v>290</v>
      </c>
      <c r="B291" s="86" t="s">
        <v>1409</v>
      </c>
      <c r="C291" s="86" t="str">
        <f t="shared" si="0"/>
        <v>539116</v>
      </c>
      <c r="D291" s="86" t="str">
        <f>IF(VLOOKUP(C291,'Diferencias patrimonio 2023'!$C$2:$C$1020,1,FALSE)=C291,"Encontrado", "No")</f>
        <v>Encontrado</v>
      </c>
      <c r="E291" s="86" t="s">
        <v>7811</v>
      </c>
      <c r="F291" s="86" t="s">
        <v>151</v>
      </c>
      <c r="G291" s="86" t="s">
        <v>38</v>
      </c>
      <c r="H291" s="86" t="s">
        <v>1386</v>
      </c>
    </row>
    <row r="292" spans="1:8" ht="12.75" hidden="1">
      <c r="A292" s="86">
        <v>291</v>
      </c>
      <c r="B292" s="86" t="s">
        <v>1003</v>
      </c>
      <c r="C292" s="86" t="str">
        <f t="shared" si="0"/>
        <v>539119</v>
      </c>
      <c r="D292" s="86" t="str">
        <f>IF(VLOOKUP(C292,'Diferencias patrimonio 2023'!$C$2:$C$1020,1,FALSE)=C292,"Encontrado", "No")</f>
        <v>Encontrado</v>
      </c>
      <c r="E292" s="86" t="s">
        <v>7812</v>
      </c>
      <c r="F292" s="86" t="s">
        <v>151</v>
      </c>
      <c r="G292" s="86" t="s">
        <v>38</v>
      </c>
      <c r="H292" s="86" t="s">
        <v>7441</v>
      </c>
    </row>
    <row r="293" spans="1:8" ht="12.75">
      <c r="A293" s="86">
        <v>292</v>
      </c>
      <c r="B293" s="86" t="s">
        <v>7813</v>
      </c>
      <c r="C293" s="86" t="str">
        <f t="shared" si="0"/>
        <v>539120</v>
      </c>
      <c r="D293" s="86" t="e">
        <f>IF(VLOOKUP(C293,'Diferencias patrimonio 2023'!$C$2:$C$1020,1,FALSE)=C293,"Encontrado", "No")</f>
        <v>#N/A</v>
      </c>
      <c r="E293" s="86" t="s">
        <v>7814</v>
      </c>
      <c r="F293" s="86" t="s">
        <v>151</v>
      </c>
      <c r="G293" s="86" t="s">
        <v>38</v>
      </c>
      <c r="H293" s="86" t="s">
        <v>1477</v>
      </c>
    </row>
    <row r="294" spans="1:8" ht="12.75" hidden="1">
      <c r="A294" s="86">
        <v>293</v>
      </c>
      <c r="B294" s="86" t="s">
        <v>7815</v>
      </c>
      <c r="C294" s="86" t="str">
        <f t="shared" si="0"/>
        <v>539122</v>
      </c>
      <c r="D294" s="86" t="str">
        <f>IF(VLOOKUP(C294,'Diferencias patrimonio 2023'!$C$2:$C$1020,1,FALSE)=C294,"Encontrado", "No")</f>
        <v>Encontrado</v>
      </c>
      <c r="E294" s="86" t="s">
        <v>7816</v>
      </c>
      <c r="F294" s="86" t="s">
        <v>151</v>
      </c>
      <c r="G294" s="86" t="s">
        <v>38</v>
      </c>
      <c r="H294" s="86" t="s">
        <v>7411</v>
      </c>
    </row>
    <row r="295" spans="1:8" ht="12.75" hidden="1">
      <c r="A295" s="86">
        <v>294</v>
      </c>
      <c r="B295" s="86" t="s">
        <v>4545</v>
      </c>
      <c r="C295" s="86" t="str">
        <f t="shared" si="0"/>
        <v>539123</v>
      </c>
      <c r="D295" s="86" t="str">
        <f>IF(VLOOKUP(C295,'Diferencias patrimonio 2023'!$C$2:$C$1020,1,FALSE)=C295,"Encontrado", "No")</f>
        <v>Encontrado</v>
      </c>
      <c r="E295" s="86" t="s">
        <v>7817</v>
      </c>
      <c r="F295" s="86" t="s">
        <v>151</v>
      </c>
      <c r="G295" s="86" t="s">
        <v>38</v>
      </c>
      <c r="H295" s="86" t="s">
        <v>3840</v>
      </c>
    </row>
    <row r="296" spans="1:8" ht="12.75" hidden="1">
      <c r="A296" s="86">
        <v>295</v>
      </c>
      <c r="B296" s="86" t="s">
        <v>1935</v>
      </c>
      <c r="C296" s="86" t="str">
        <f t="shared" si="0"/>
        <v>539124</v>
      </c>
      <c r="D296" s="86" t="str">
        <f>IF(VLOOKUP(C296,'Diferencias patrimonio 2023'!$C$2:$C$1020,1,FALSE)=C296,"Encontrado", "No")</f>
        <v>Encontrado</v>
      </c>
      <c r="E296" s="86" t="s">
        <v>7818</v>
      </c>
      <c r="F296" s="86" t="s">
        <v>151</v>
      </c>
      <c r="G296" s="86" t="s">
        <v>38</v>
      </c>
      <c r="H296" s="86" t="s">
        <v>1890</v>
      </c>
    </row>
    <row r="297" spans="1:8" ht="12.75" hidden="1">
      <c r="A297" s="86">
        <v>296</v>
      </c>
      <c r="B297" s="86" t="s">
        <v>2109</v>
      </c>
      <c r="C297" s="86" t="str">
        <f t="shared" si="0"/>
        <v>539133</v>
      </c>
      <c r="D297" s="86" t="str">
        <f>IF(VLOOKUP(C297,'Diferencias patrimonio 2023'!$C$2:$C$1020,1,FALSE)=C297,"Encontrado", "No")</f>
        <v>Encontrado</v>
      </c>
      <c r="E297" s="86" t="s">
        <v>7819</v>
      </c>
      <c r="F297" s="86" t="s">
        <v>2060</v>
      </c>
      <c r="G297" s="86" t="s">
        <v>38</v>
      </c>
      <c r="H297" s="86" t="s">
        <v>2052</v>
      </c>
    </row>
    <row r="298" spans="1:8" ht="12.75" hidden="1">
      <c r="A298" s="86">
        <v>297</v>
      </c>
      <c r="B298" s="86" t="s">
        <v>2066</v>
      </c>
      <c r="C298" s="86" t="str">
        <f t="shared" si="0"/>
        <v>539134</v>
      </c>
      <c r="D298" s="86" t="str">
        <f>IF(VLOOKUP(C298,'Diferencias patrimonio 2023'!$C$2:$C$1020,1,FALSE)=C298,"Encontrado", "No")</f>
        <v>Encontrado</v>
      </c>
      <c r="E298" s="86" t="s">
        <v>7820</v>
      </c>
      <c r="F298" s="86" t="s">
        <v>2060</v>
      </c>
      <c r="G298" s="86" t="s">
        <v>38</v>
      </c>
      <c r="H298" s="86" t="s">
        <v>2052</v>
      </c>
    </row>
    <row r="299" spans="1:8" ht="12.75" hidden="1">
      <c r="A299" s="86">
        <v>298</v>
      </c>
      <c r="B299" s="86" t="s">
        <v>2127</v>
      </c>
      <c r="C299" s="86" t="str">
        <f t="shared" si="0"/>
        <v>539135</v>
      </c>
      <c r="D299" s="86" t="str">
        <f>IF(VLOOKUP(C299,'Diferencias patrimonio 2023'!$C$2:$C$1020,1,FALSE)=C299,"Encontrado", "No")</f>
        <v>Encontrado</v>
      </c>
      <c r="E299" s="86" t="s">
        <v>7821</v>
      </c>
      <c r="F299" s="86" t="s">
        <v>2060</v>
      </c>
      <c r="G299" s="86" t="s">
        <v>38</v>
      </c>
      <c r="H299" s="86" t="s">
        <v>2052</v>
      </c>
    </row>
    <row r="300" spans="1:8" ht="12.75" hidden="1">
      <c r="A300" s="86">
        <v>299</v>
      </c>
      <c r="B300" s="86" t="s">
        <v>2115</v>
      </c>
      <c r="C300" s="86" t="str">
        <f t="shared" si="0"/>
        <v>539137</v>
      </c>
      <c r="D300" s="86" t="str">
        <f>IF(VLOOKUP(C300,'Diferencias patrimonio 2023'!$C$2:$C$1020,1,FALSE)=C300,"Encontrado", "No")</f>
        <v>Encontrado</v>
      </c>
      <c r="E300" s="86" t="s">
        <v>7822</v>
      </c>
      <c r="F300" s="86" t="s">
        <v>2060</v>
      </c>
      <c r="G300" s="86" t="s">
        <v>38</v>
      </c>
      <c r="H300" s="86" t="s">
        <v>2052</v>
      </c>
    </row>
    <row r="301" spans="1:8" ht="12.75" hidden="1">
      <c r="A301" s="86">
        <v>300</v>
      </c>
      <c r="B301" s="86" t="s">
        <v>2163</v>
      </c>
      <c r="C301" s="86" t="str">
        <f t="shared" si="0"/>
        <v>539139</v>
      </c>
      <c r="D301" s="86" t="str">
        <f>IF(VLOOKUP(C301,'Diferencias patrimonio 2023'!$C$2:$C$1020,1,FALSE)=C301,"Encontrado", "No")</f>
        <v>Encontrado</v>
      </c>
      <c r="E301" s="86" t="s">
        <v>7823</v>
      </c>
      <c r="F301" s="86" t="s">
        <v>2060</v>
      </c>
      <c r="G301" s="86" t="s">
        <v>38</v>
      </c>
      <c r="H301" s="86" t="s">
        <v>2052</v>
      </c>
    </row>
    <row r="302" spans="1:8" ht="12.75" hidden="1">
      <c r="A302" s="86">
        <v>301</v>
      </c>
      <c r="B302" s="86" t="s">
        <v>7824</v>
      </c>
      <c r="C302" s="86" t="str">
        <f t="shared" si="0"/>
        <v>539140</v>
      </c>
      <c r="D302" s="86" t="str">
        <f>IF(VLOOKUP(C302,'Diferencias patrimonio 2023'!$C$2:$C$1020,1,FALSE)=C302,"Encontrado", "No")</f>
        <v>Encontrado</v>
      </c>
      <c r="E302" s="86" t="s">
        <v>7825</v>
      </c>
      <c r="F302" s="86" t="s">
        <v>2060</v>
      </c>
      <c r="G302" s="86" t="s">
        <v>38</v>
      </c>
      <c r="H302" s="86" t="s">
        <v>3450</v>
      </c>
    </row>
    <row r="303" spans="1:8" ht="12.75" hidden="1">
      <c r="A303" s="86">
        <v>302</v>
      </c>
      <c r="B303" s="86" t="s">
        <v>7826</v>
      </c>
      <c r="C303" s="86" t="str">
        <f t="shared" si="0"/>
        <v>539141</v>
      </c>
      <c r="D303" s="86" t="str">
        <f>IF(VLOOKUP(C303,'Diferencias patrimonio 2023'!$C$2:$C$1020,1,FALSE)=C303,"Encontrado", "No")</f>
        <v>Encontrado</v>
      </c>
      <c r="E303" s="86" t="s">
        <v>7827</v>
      </c>
      <c r="F303" s="86" t="s">
        <v>2060</v>
      </c>
      <c r="G303" s="86" t="s">
        <v>38</v>
      </c>
      <c r="H303" s="86" t="s">
        <v>3450</v>
      </c>
    </row>
    <row r="304" spans="1:8" ht="12.75" hidden="1">
      <c r="A304" s="86">
        <v>303</v>
      </c>
      <c r="B304" s="86" t="s">
        <v>2187</v>
      </c>
      <c r="C304" s="86" t="str">
        <f t="shared" si="0"/>
        <v>539144</v>
      </c>
      <c r="D304" s="86" t="str">
        <f>IF(VLOOKUP(C304,'Diferencias patrimonio 2023'!$C$2:$C$1020,1,FALSE)=C304,"Encontrado", "No")</f>
        <v>Encontrado</v>
      </c>
      <c r="E304" s="86" t="s">
        <v>7828</v>
      </c>
      <c r="F304" s="86" t="s">
        <v>2060</v>
      </c>
      <c r="G304" s="86" t="s">
        <v>38</v>
      </c>
      <c r="H304" s="86" t="s">
        <v>2052</v>
      </c>
    </row>
    <row r="305" spans="1:8" ht="12.75" hidden="1">
      <c r="A305" s="86">
        <v>304</v>
      </c>
      <c r="B305" s="86" t="s">
        <v>5381</v>
      </c>
      <c r="C305" s="86" t="str">
        <f t="shared" si="0"/>
        <v>539189</v>
      </c>
      <c r="D305" s="86" t="str">
        <f>IF(VLOOKUP(C305,'Diferencias patrimonio 2023'!$C$2:$C$1020,1,FALSE)=C305,"Encontrado", "No")</f>
        <v>Encontrado</v>
      </c>
      <c r="E305" s="86" t="s">
        <v>7829</v>
      </c>
      <c r="F305" s="86" t="s">
        <v>43</v>
      </c>
      <c r="G305" s="86" t="s">
        <v>38</v>
      </c>
      <c r="H305" s="86" t="s">
        <v>7531</v>
      </c>
    </row>
    <row r="306" spans="1:8" ht="12.75">
      <c r="A306" s="86">
        <v>305</v>
      </c>
      <c r="B306" s="86" t="s">
        <v>7330</v>
      </c>
      <c r="C306" s="86" t="str">
        <f t="shared" si="0"/>
        <v>539195</v>
      </c>
      <c r="D306" s="86" t="e">
        <f>IF(VLOOKUP(C306,'Diferencias patrimonio 2023'!$C$2:$C$1020,1,FALSE)=C306,"Encontrado", "No")</f>
        <v>#N/A</v>
      </c>
      <c r="E306" s="86" t="s">
        <v>7830</v>
      </c>
      <c r="F306" s="86" t="s">
        <v>43</v>
      </c>
      <c r="G306" s="86" t="s">
        <v>38</v>
      </c>
      <c r="H306" s="86" t="s">
        <v>1477</v>
      </c>
    </row>
    <row r="307" spans="1:8" ht="12.75" hidden="1">
      <c r="A307" s="86">
        <v>306</v>
      </c>
      <c r="B307" s="86" t="s">
        <v>7831</v>
      </c>
      <c r="C307" s="86" t="str">
        <f t="shared" si="0"/>
        <v>539203</v>
      </c>
      <c r="D307" s="86" t="str">
        <f>IF(VLOOKUP(C307,'Diferencias patrimonio 2023'!$C$2:$C$1020,1,FALSE)=C307,"Encontrado", "No")</f>
        <v>Encontrado</v>
      </c>
      <c r="E307" s="86" t="s">
        <v>7832</v>
      </c>
      <c r="F307" s="86" t="s">
        <v>62</v>
      </c>
      <c r="G307" s="86" t="s">
        <v>38</v>
      </c>
      <c r="H307" s="86" t="s">
        <v>7414</v>
      </c>
    </row>
    <row r="308" spans="1:8" ht="12.75" hidden="1">
      <c r="A308" s="86">
        <v>307</v>
      </c>
      <c r="B308" s="86" t="s">
        <v>5577</v>
      </c>
      <c r="C308" s="86" t="str">
        <f t="shared" si="0"/>
        <v>539849</v>
      </c>
      <c r="D308" s="86" t="str">
        <f>IF(VLOOKUP(C308,'Diferencias patrimonio 2023'!$C$2:$C$1020,1,FALSE)=C308,"Encontrado", "No")</f>
        <v>Encontrado</v>
      </c>
      <c r="E308" s="86" t="s">
        <v>7833</v>
      </c>
      <c r="F308" s="86" t="s">
        <v>1275</v>
      </c>
      <c r="G308" s="86" t="s">
        <v>38</v>
      </c>
      <c r="H308" s="86" t="s">
        <v>5310</v>
      </c>
    </row>
    <row r="309" spans="1:8" ht="12.75">
      <c r="A309" s="86">
        <v>308</v>
      </c>
      <c r="B309" s="86" t="s">
        <v>7835</v>
      </c>
      <c r="C309" s="86" t="str">
        <f t="shared" si="0"/>
        <v>539981</v>
      </c>
      <c r="D309" s="86" t="e">
        <f>IF(VLOOKUP(C309,'Diferencias patrimonio 2023'!$C$2:$C$1020,1,FALSE)=C309,"Encontrado", "No")</f>
        <v>#N/A</v>
      </c>
      <c r="E309" s="86" t="s">
        <v>7836</v>
      </c>
      <c r="F309" s="86" t="s">
        <v>1275</v>
      </c>
      <c r="G309" s="86" t="s">
        <v>38</v>
      </c>
      <c r="H309" s="86" t="s">
        <v>7411</v>
      </c>
    </row>
    <row r="310" spans="1:8" ht="12.75" hidden="1">
      <c r="A310" s="86">
        <v>309</v>
      </c>
      <c r="B310" s="86" t="s">
        <v>7837</v>
      </c>
      <c r="C310" s="86" t="str">
        <f t="shared" si="0"/>
        <v>541697</v>
      </c>
      <c r="D310" s="86" t="str">
        <f>IF(VLOOKUP(C310,'Diferencias patrimonio 2023'!$C$2:$C$1020,1,FALSE)=C310,"Encontrado", "No")</f>
        <v>Encontrado</v>
      </c>
      <c r="E310" s="86" t="s">
        <v>7838</v>
      </c>
      <c r="F310" s="86" t="s">
        <v>353</v>
      </c>
      <c r="G310" s="86" t="s">
        <v>38</v>
      </c>
      <c r="H310" s="86" t="s">
        <v>7411</v>
      </c>
    </row>
    <row r="311" spans="1:8" ht="12.75">
      <c r="A311" s="86">
        <v>310</v>
      </c>
      <c r="B311" s="86" t="s">
        <v>7839</v>
      </c>
      <c r="C311" s="86" t="str">
        <f t="shared" si="0"/>
        <v>542042</v>
      </c>
      <c r="D311" s="86" t="e">
        <f>IF(VLOOKUP(C311,'Diferencias patrimonio 2023'!$C$2:$C$1020,1,FALSE)=C311,"Encontrado", "No")</f>
        <v>#N/A</v>
      </c>
      <c r="E311" s="86" t="s">
        <v>7840</v>
      </c>
      <c r="F311" s="86" t="s">
        <v>2299</v>
      </c>
      <c r="G311" s="86" t="s">
        <v>38</v>
      </c>
      <c r="H311" s="86" t="s">
        <v>7411</v>
      </c>
    </row>
    <row r="312" spans="1:8" ht="12.75">
      <c r="A312" s="86">
        <v>311</v>
      </c>
      <c r="B312" s="86" t="s">
        <v>7841</v>
      </c>
      <c r="C312" s="86" t="str">
        <f t="shared" si="0"/>
        <v>542043</v>
      </c>
      <c r="D312" s="86" t="e">
        <f>IF(VLOOKUP(C312,'Diferencias patrimonio 2023'!$C$2:$C$1020,1,FALSE)=C312,"Encontrado", "No")</f>
        <v>#N/A</v>
      </c>
      <c r="E312" s="86" t="s">
        <v>7842</v>
      </c>
      <c r="F312" s="86" t="s">
        <v>2299</v>
      </c>
      <c r="G312" s="86" t="s">
        <v>38</v>
      </c>
      <c r="H312" s="86" t="s">
        <v>7411</v>
      </c>
    </row>
    <row r="313" spans="1:8" ht="12.75">
      <c r="A313" s="86">
        <v>312</v>
      </c>
      <c r="B313" s="86" t="s">
        <v>7288</v>
      </c>
      <c r="C313" s="86" t="str">
        <f t="shared" si="0"/>
        <v>542282</v>
      </c>
      <c r="D313" s="86" t="e">
        <f>IF(VLOOKUP(C313,'Diferencias patrimonio 2023'!$C$2:$C$1020,1,FALSE)=C313,"Encontrado", "No")</f>
        <v>#N/A</v>
      </c>
      <c r="E313" s="86" t="s">
        <v>7843</v>
      </c>
      <c r="F313" s="86" t="s">
        <v>7799</v>
      </c>
      <c r="G313" s="86" t="s">
        <v>38</v>
      </c>
      <c r="H313" s="86" t="s">
        <v>7411</v>
      </c>
    </row>
    <row r="314" spans="1:8" ht="12.75" hidden="1">
      <c r="A314" s="86">
        <v>313</v>
      </c>
      <c r="B314" s="86" t="s">
        <v>7844</v>
      </c>
      <c r="C314" s="86" t="str">
        <f t="shared" si="0"/>
        <v>542283</v>
      </c>
      <c r="D314" s="86" t="str">
        <f>IF(VLOOKUP(C314,'Diferencias patrimonio 2023'!$C$2:$C$1020,1,FALSE)=C314,"Encontrado", "No")</f>
        <v>Encontrado</v>
      </c>
      <c r="E314" s="86" t="s">
        <v>7845</v>
      </c>
      <c r="F314" s="86" t="s">
        <v>7799</v>
      </c>
      <c r="G314" s="86" t="s">
        <v>38</v>
      </c>
      <c r="H314" s="86" t="s">
        <v>7411</v>
      </c>
    </row>
    <row r="315" spans="1:8" ht="12.75" hidden="1">
      <c r="A315" s="86">
        <v>314</v>
      </c>
      <c r="B315" s="86" t="s">
        <v>6593</v>
      </c>
      <c r="C315" s="86" t="str">
        <f t="shared" si="0"/>
        <v>543274</v>
      </c>
      <c r="D315" s="86" t="str">
        <f>IF(VLOOKUP(C315,'Diferencias patrimonio 2023'!$C$2:$C$1020,1,FALSE)=C315,"Encontrado", "No")</f>
        <v>Encontrado</v>
      </c>
      <c r="E315" s="86" t="s">
        <v>7847</v>
      </c>
      <c r="F315" s="86" t="s">
        <v>5904</v>
      </c>
      <c r="G315" s="86" t="s">
        <v>38</v>
      </c>
      <c r="H315" s="86" t="s">
        <v>6062</v>
      </c>
    </row>
    <row r="316" spans="1:8" ht="12.75" hidden="1">
      <c r="A316" s="86">
        <v>315</v>
      </c>
      <c r="B316" s="86" t="s">
        <v>2608</v>
      </c>
      <c r="C316" s="86" t="str">
        <f t="shared" si="0"/>
        <v>543572</v>
      </c>
      <c r="D316" s="86" t="str">
        <f>IF(VLOOKUP(C316,'Diferencias patrimonio 2023'!$C$2:$C$1020,1,FALSE)=C316,"Encontrado", "No")</f>
        <v>Encontrado</v>
      </c>
      <c r="E316" s="86" t="s">
        <v>7848</v>
      </c>
      <c r="F316" s="86" t="s">
        <v>151</v>
      </c>
      <c r="G316" s="86" t="s">
        <v>38</v>
      </c>
      <c r="H316" s="86" t="s">
        <v>7686</v>
      </c>
    </row>
    <row r="317" spans="1:8" ht="12.75" hidden="1">
      <c r="A317" s="86">
        <v>316</v>
      </c>
      <c r="B317" s="86" t="s">
        <v>7849</v>
      </c>
      <c r="C317" s="86" t="str">
        <f t="shared" si="0"/>
        <v>543574</v>
      </c>
      <c r="D317" s="86" t="str">
        <f>IF(VLOOKUP(C317,'Diferencias patrimonio 2023'!$C$2:$C$1020,1,FALSE)=C317,"Encontrado", "No")</f>
        <v>Encontrado</v>
      </c>
      <c r="E317" s="86" t="s">
        <v>7850</v>
      </c>
      <c r="F317" s="86" t="s">
        <v>151</v>
      </c>
      <c r="G317" s="86" t="s">
        <v>38</v>
      </c>
      <c r="H317" s="86" t="s">
        <v>7411</v>
      </c>
    </row>
    <row r="318" spans="1:8" ht="12.75" hidden="1">
      <c r="A318" s="86">
        <v>317</v>
      </c>
      <c r="B318" s="86" t="s">
        <v>5281</v>
      </c>
      <c r="C318" s="86" t="str">
        <f t="shared" si="0"/>
        <v>543575</v>
      </c>
      <c r="D318" s="86" t="str">
        <f>IF(VLOOKUP(C318,'Diferencias patrimonio 2023'!$C$2:$C$1020,1,FALSE)=C318,"Encontrado", "No")</f>
        <v>Encontrado</v>
      </c>
      <c r="E318" s="86" t="s">
        <v>7851</v>
      </c>
      <c r="F318" s="86" t="s">
        <v>151</v>
      </c>
      <c r="G318" s="86" t="s">
        <v>38</v>
      </c>
      <c r="H318" s="86" t="s">
        <v>5223</v>
      </c>
    </row>
    <row r="319" spans="1:8" ht="12.75" hidden="1">
      <c r="A319" s="86">
        <v>318</v>
      </c>
      <c r="B319" s="86" t="s">
        <v>6578</v>
      </c>
      <c r="C319" s="86" t="str">
        <f t="shared" si="0"/>
        <v>543577</v>
      </c>
      <c r="D319" s="86" t="str">
        <f>IF(VLOOKUP(C319,'Diferencias patrimonio 2023'!$C$2:$C$1020,1,FALSE)=C319,"Encontrado", "No")</f>
        <v>Encontrado</v>
      </c>
      <c r="E319" s="86" t="s">
        <v>7852</v>
      </c>
      <c r="F319" s="86" t="s">
        <v>151</v>
      </c>
      <c r="G319" s="86" t="s">
        <v>38</v>
      </c>
      <c r="H319" s="86" t="s">
        <v>6062</v>
      </c>
    </row>
    <row r="320" spans="1:8" ht="12.75" hidden="1">
      <c r="A320" s="86">
        <v>319</v>
      </c>
      <c r="B320" s="86" t="s">
        <v>4439</v>
      </c>
      <c r="C320" s="86" t="str">
        <f t="shared" si="0"/>
        <v>543587</v>
      </c>
      <c r="D320" s="86" t="str">
        <f>IF(VLOOKUP(C320,'Diferencias patrimonio 2023'!$C$2:$C$1020,1,FALSE)=C320,"Encontrado", "No")</f>
        <v>Encontrado</v>
      </c>
      <c r="E320" s="86" t="s">
        <v>7853</v>
      </c>
      <c r="F320" s="86" t="s">
        <v>151</v>
      </c>
      <c r="G320" s="86" t="s">
        <v>38</v>
      </c>
      <c r="H320" s="86" t="s">
        <v>7696</v>
      </c>
    </row>
    <row r="321" spans="1:8" ht="12.75" hidden="1">
      <c r="A321" s="86">
        <v>320</v>
      </c>
      <c r="B321" s="86" t="s">
        <v>4918</v>
      </c>
      <c r="C321" s="86" t="str">
        <f t="shared" si="0"/>
        <v>543591</v>
      </c>
      <c r="D321" s="86" t="str">
        <f>IF(VLOOKUP(C321,'Diferencias patrimonio 2023'!$C$2:$C$1020,1,FALSE)=C321,"Encontrado", "No")</f>
        <v>Encontrado</v>
      </c>
      <c r="E321" s="86" t="s">
        <v>7854</v>
      </c>
      <c r="F321" s="86" t="s">
        <v>151</v>
      </c>
      <c r="G321" s="86" t="s">
        <v>38</v>
      </c>
      <c r="H321" s="86" t="s">
        <v>7414</v>
      </c>
    </row>
    <row r="322" spans="1:8" ht="12.75" hidden="1">
      <c r="A322" s="86">
        <v>321</v>
      </c>
      <c r="B322" s="86" t="s">
        <v>4565</v>
      </c>
      <c r="C322" s="86" t="str">
        <f t="shared" si="0"/>
        <v>563784</v>
      </c>
      <c r="D322" s="86" t="str">
        <f>IF(VLOOKUP(C322,'Diferencias patrimonio 2023'!$C$2:$C$1020,1,FALSE)=C322,"Encontrado", "No")</f>
        <v>Encontrado</v>
      </c>
      <c r="E322" s="86" t="s">
        <v>7855</v>
      </c>
      <c r="F322" s="86" t="s">
        <v>378</v>
      </c>
      <c r="G322" s="86" t="s">
        <v>38</v>
      </c>
      <c r="H322" s="86" t="s">
        <v>7428</v>
      </c>
    </row>
    <row r="323" spans="1:8" ht="12.75" hidden="1">
      <c r="A323" s="86">
        <v>322</v>
      </c>
      <c r="B323" s="86" t="s">
        <v>5632</v>
      </c>
      <c r="C323" s="86" t="str">
        <f t="shared" si="0"/>
        <v>563785</v>
      </c>
      <c r="D323" s="86" t="str">
        <f>IF(VLOOKUP(C323,'Diferencias patrimonio 2023'!$C$2:$C$1020,1,FALSE)=C323,"Encontrado", "No")</f>
        <v>Encontrado</v>
      </c>
      <c r="E323" s="86" t="s">
        <v>7856</v>
      </c>
      <c r="F323" s="86" t="s">
        <v>378</v>
      </c>
      <c r="G323" s="86" t="s">
        <v>38</v>
      </c>
      <c r="H323" s="86" t="s">
        <v>5584</v>
      </c>
    </row>
    <row r="324" spans="1:8" ht="12.75" hidden="1">
      <c r="A324" s="86">
        <v>323</v>
      </c>
      <c r="B324" s="86" t="s">
        <v>5491</v>
      </c>
      <c r="C324" s="86" t="str">
        <f t="shared" si="0"/>
        <v>564035</v>
      </c>
      <c r="D324" s="86" t="str">
        <f>IF(VLOOKUP(C324,'Diferencias patrimonio 2023'!$C$2:$C$1020,1,FALSE)=C324,"Encontrado", "No")</f>
        <v>Encontrado</v>
      </c>
      <c r="E324" s="86" t="s">
        <v>7857</v>
      </c>
      <c r="F324" s="86" t="s">
        <v>378</v>
      </c>
      <c r="G324" s="86" t="s">
        <v>38</v>
      </c>
      <c r="H324" s="86" t="s">
        <v>5310</v>
      </c>
    </row>
    <row r="325" spans="1:8" ht="12.75" hidden="1">
      <c r="A325" s="86">
        <v>324</v>
      </c>
      <c r="B325" s="86" t="s">
        <v>5504</v>
      </c>
      <c r="C325" s="86" t="str">
        <f t="shared" si="0"/>
        <v>564036</v>
      </c>
      <c r="D325" s="86" t="str">
        <f>IF(VLOOKUP(C325,'Diferencias patrimonio 2023'!$C$2:$C$1020,1,FALSE)=C325,"Encontrado", "No")</f>
        <v>Encontrado</v>
      </c>
      <c r="E325" s="86" t="s">
        <v>7858</v>
      </c>
      <c r="F325" s="86" t="s">
        <v>378</v>
      </c>
      <c r="G325" s="86" t="s">
        <v>38</v>
      </c>
      <c r="H325" s="86" t="s">
        <v>5310</v>
      </c>
    </row>
    <row r="326" spans="1:8" ht="12.75">
      <c r="A326" s="86">
        <v>325</v>
      </c>
      <c r="B326" s="86" t="s">
        <v>7860</v>
      </c>
      <c r="C326" s="86" t="str">
        <f t="shared" si="0"/>
        <v>564515</v>
      </c>
      <c r="D326" s="86" t="e">
        <f>IF(VLOOKUP(C326,'Diferencias patrimonio 2023'!$C$2:$C$1020,1,FALSE)=C326,"Encontrado", "No")</f>
        <v>#N/A</v>
      </c>
      <c r="E326" s="86" t="s">
        <v>7861</v>
      </c>
      <c r="F326" s="86" t="s">
        <v>7502</v>
      </c>
      <c r="G326" s="86" t="s">
        <v>38</v>
      </c>
      <c r="H326" s="86" t="s">
        <v>1477</v>
      </c>
    </row>
    <row r="327" spans="1:8" ht="12.75">
      <c r="A327" s="86">
        <v>326</v>
      </c>
      <c r="B327" s="86" t="s">
        <v>7862</v>
      </c>
      <c r="C327" s="86" t="str">
        <f t="shared" si="0"/>
        <v>564516</v>
      </c>
      <c r="D327" s="86" t="e">
        <f>IF(VLOOKUP(C327,'Diferencias patrimonio 2023'!$C$2:$C$1020,1,FALSE)=C327,"Encontrado", "No")</f>
        <v>#N/A</v>
      </c>
      <c r="E327" s="86" t="s">
        <v>7863</v>
      </c>
      <c r="F327" s="86" t="s">
        <v>7502</v>
      </c>
      <c r="G327" s="86" t="s">
        <v>38</v>
      </c>
      <c r="H327" s="86" t="s">
        <v>7411</v>
      </c>
    </row>
    <row r="328" spans="1:8" ht="12.75" hidden="1">
      <c r="A328" s="86">
        <v>327</v>
      </c>
      <c r="B328" s="86" t="s">
        <v>6315</v>
      </c>
      <c r="C328" s="86" t="str">
        <f t="shared" si="0"/>
        <v>564517</v>
      </c>
      <c r="D328" s="86" t="str">
        <f>IF(VLOOKUP(C328,'Diferencias patrimonio 2023'!$C$2:$C$1020,1,FALSE)=C328,"Encontrado", "No")</f>
        <v>Encontrado</v>
      </c>
      <c r="E328" s="86" t="s">
        <v>7864</v>
      </c>
      <c r="F328" s="86" t="s">
        <v>7408</v>
      </c>
      <c r="G328" s="86" t="s">
        <v>38</v>
      </c>
      <c r="H328" s="86" t="s">
        <v>6062</v>
      </c>
    </row>
    <row r="329" spans="1:8" ht="12.75" hidden="1">
      <c r="A329" s="86">
        <v>328</v>
      </c>
      <c r="B329" s="86" t="s">
        <v>7865</v>
      </c>
      <c r="C329" s="86" t="str">
        <f t="shared" si="0"/>
        <v>564518</v>
      </c>
      <c r="D329" s="86" t="str">
        <f>IF(VLOOKUP(C329,'Diferencias patrimonio 2023'!$C$2:$C$1020,1,FALSE)=C329,"Encontrado", "No")</f>
        <v>Encontrado</v>
      </c>
      <c r="E329" s="86" t="s">
        <v>7866</v>
      </c>
      <c r="F329" s="86" t="s">
        <v>7408</v>
      </c>
      <c r="G329" s="86" t="s">
        <v>38</v>
      </c>
      <c r="H329" s="86" t="s">
        <v>3450</v>
      </c>
    </row>
    <row r="330" spans="1:8" ht="12.75" hidden="1">
      <c r="A330" s="86">
        <v>329</v>
      </c>
      <c r="B330" s="86" t="s">
        <v>59</v>
      </c>
      <c r="C330" s="86" t="str">
        <f t="shared" si="0"/>
        <v>564534</v>
      </c>
      <c r="D330" s="86" t="str">
        <f>IF(VLOOKUP(C330,'Diferencias patrimonio 2023'!$C$2:$C$1020,1,FALSE)=C330,"Encontrado", "No")</f>
        <v>Encontrado</v>
      </c>
      <c r="E330" s="86" t="s">
        <v>7867</v>
      </c>
      <c r="F330" s="86" t="s">
        <v>7510</v>
      </c>
      <c r="G330" s="86" t="s">
        <v>38</v>
      </c>
      <c r="H330" s="86" t="s">
        <v>7398</v>
      </c>
    </row>
    <row r="331" spans="1:8" ht="12.75" hidden="1">
      <c r="A331" s="86">
        <v>330</v>
      </c>
      <c r="B331" s="86" t="s">
        <v>4926</v>
      </c>
      <c r="C331" s="86" t="str">
        <f t="shared" si="0"/>
        <v>564542</v>
      </c>
      <c r="D331" s="86" t="str">
        <f>IF(VLOOKUP(C331,'Diferencias patrimonio 2023'!$C$2:$C$1020,1,FALSE)=C331,"Encontrado", "No")</f>
        <v>Encontrado</v>
      </c>
      <c r="E331" s="86" t="s">
        <v>7868</v>
      </c>
      <c r="F331" s="86" t="s">
        <v>7502</v>
      </c>
      <c r="G331" s="86" t="s">
        <v>38</v>
      </c>
      <c r="H331" s="86" t="s">
        <v>7414</v>
      </c>
    </row>
    <row r="332" spans="1:8" ht="12.75">
      <c r="A332" s="86">
        <v>331</v>
      </c>
      <c r="B332" s="86" t="s">
        <v>7242</v>
      </c>
      <c r="C332" s="86" t="str">
        <f t="shared" si="0"/>
        <v>564543</v>
      </c>
      <c r="D332" s="86" t="e">
        <f>IF(VLOOKUP(C332,'Diferencias patrimonio 2023'!$C$2:$C$1020,1,FALSE)=C332,"Encontrado", "No")</f>
        <v>#N/A</v>
      </c>
      <c r="E332" s="86" t="s">
        <v>7869</v>
      </c>
      <c r="F332" s="86" t="s">
        <v>7408</v>
      </c>
      <c r="G332" s="86" t="s">
        <v>38</v>
      </c>
      <c r="H332" s="86" t="s">
        <v>7398</v>
      </c>
    </row>
    <row r="333" spans="1:8" ht="12.75" hidden="1">
      <c r="A333" s="86">
        <v>332</v>
      </c>
      <c r="B333" s="86" t="s">
        <v>5694</v>
      </c>
      <c r="C333" s="86" t="str">
        <f t="shared" si="0"/>
        <v>564544</v>
      </c>
      <c r="D333" s="86" t="str">
        <f>IF(VLOOKUP(C333,'Diferencias patrimonio 2023'!$C$2:$C$1020,1,FALSE)=C333,"Encontrado", "No")</f>
        <v>Encontrado</v>
      </c>
      <c r="E333" s="86" t="s">
        <v>7870</v>
      </c>
      <c r="F333" s="86" t="s">
        <v>80</v>
      </c>
      <c r="G333" s="86" t="s">
        <v>38</v>
      </c>
      <c r="H333" s="86" t="s">
        <v>4935</v>
      </c>
    </row>
    <row r="334" spans="1:8" ht="12.75" hidden="1">
      <c r="A334" s="86">
        <v>333</v>
      </c>
      <c r="B334" s="86" t="s">
        <v>7871</v>
      </c>
      <c r="C334" s="86" t="str">
        <f t="shared" si="0"/>
        <v>564545</v>
      </c>
      <c r="D334" s="86" t="str">
        <f>IF(VLOOKUP(C334,'Diferencias patrimonio 2023'!$C$2:$C$1020,1,FALSE)=C334,"Encontrado", "No")</f>
        <v>Encontrado</v>
      </c>
      <c r="E334" s="86" t="s">
        <v>7872</v>
      </c>
      <c r="F334" s="86" t="s">
        <v>80</v>
      </c>
      <c r="G334" s="86" t="s">
        <v>38</v>
      </c>
      <c r="H334" s="86" t="s">
        <v>7411</v>
      </c>
    </row>
    <row r="335" spans="1:8" ht="12.75" hidden="1">
      <c r="A335" s="86">
        <v>334</v>
      </c>
      <c r="B335" s="86" t="s">
        <v>6417</v>
      </c>
      <c r="C335" s="86" t="str">
        <f t="shared" si="0"/>
        <v>564554</v>
      </c>
      <c r="D335" s="86" t="str">
        <f>IF(VLOOKUP(C335,'Diferencias patrimonio 2023'!$C$2:$C$1020,1,FALSE)=C335,"Encontrado", "No")</f>
        <v>Encontrado</v>
      </c>
      <c r="E335" s="86" t="s">
        <v>7873</v>
      </c>
      <c r="F335" s="86" t="s">
        <v>184</v>
      </c>
      <c r="G335" s="86" t="s">
        <v>38</v>
      </c>
      <c r="H335" s="86" t="s">
        <v>6062</v>
      </c>
    </row>
    <row r="336" spans="1:8" ht="12.75" hidden="1">
      <c r="A336" s="86">
        <v>335</v>
      </c>
      <c r="B336" s="86" t="s">
        <v>6387</v>
      </c>
      <c r="C336" s="86" t="str">
        <f t="shared" si="0"/>
        <v>564555</v>
      </c>
      <c r="D336" s="86" t="str">
        <f>IF(VLOOKUP(C336,'Diferencias patrimonio 2023'!$C$2:$C$1020,1,FALSE)=C336,"Encontrado", "No")</f>
        <v>Encontrado</v>
      </c>
      <c r="E336" s="86" t="s">
        <v>7874</v>
      </c>
      <c r="F336" s="86" t="s">
        <v>184</v>
      </c>
      <c r="G336" s="86" t="s">
        <v>38</v>
      </c>
      <c r="H336" s="86" t="s">
        <v>6062</v>
      </c>
    </row>
    <row r="337" spans="1:8" ht="12.75" hidden="1">
      <c r="A337" s="86">
        <v>336</v>
      </c>
      <c r="B337" s="86" t="s">
        <v>6206</v>
      </c>
      <c r="C337" s="86" t="str">
        <f t="shared" si="0"/>
        <v>564565</v>
      </c>
      <c r="D337" s="86" t="str">
        <f>IF(VLOOKUP(C337,'Diferencias patrimonio 2023'!$C$2:$C$1020,1,FALSE)=C337,"Encontrado", "No")</f>
        <v>Encontrado</v>
      </c>
      <c r="E337" s="86" t="s">
        <v>7875</v>
      </c>
      <c r="F337" s="86" t="s">
        <v>184</v>
      </c>
      <c r="G337" s="86" t="s">
        <v>38</v>
      </c>
      <c r="H337" s="86" t="s">
        <v>6062</v>
      </c>
    </row>
    <row r="338" spans="1:8" ht="12.75">
      <c r="A338" s="86">
        <v>337</v>
      </c>
      <c r="B338" s="86" t="s">
        <v>7290</v>
      </c>
      <c r="C338" s="86" t="str">
        <f t="shared" si="0"/>
        <v>564571</v>
      </c>
      <c r="D338" s="86" t="e">
        <f>IF(VLOOKUP(C338,'Diferencias patrimonio 2023'!$C$2:$C$1020,1,FALSE)=C338,"Encontrado", "No")</f>
        <v>#N/A</v>
      </c>
      <c r="E338" s="86" t="s">
        <v>7876</v>
      </c>
      <c r="F338" s="86" t="s">
        <v>248</v>
      </c>
      <c r="G338" s="86" t="s">
        <v>38</v>
      </c>
      <c r="H338" s="86" t="s">
        <v>7411</v>
      </c>
    </row>
    <row r="339" spans="1:8" ht="12.75" hidden="1">
      <c r="A339" s="86">
        <v>338</v>
      </c>
      <c r="B339" s="86" t="s">
        <v>5855</v>
      </c>
      <c r="C339" s="86" t="str">
        <f t="shared" si="0"/>
        <v>564587</v>
      </c>
      <c r="D339" s="86" t="str">
        <f>IF(VLOOKUP(C339,'Diferencias patrimonio 2023'!$C$2:$C$1020,1,FALSE)=C339,"Encontrado", "No")</f>
        <v>Encontrado</v>
      </c>
      <c r="E339" s="86" t="s">
        <v>7877</v>
      </c>
      <c r="F339" s="86" t="s">
        <v>378</v>
      </c>
      <c r="G339" s="86" t="s">
        <v>38</v>
      </c>
      <c r="H339" s="86" t="s">
        <v>7398</v>
      </c>
    </row>
    <row r="340" spans="1:8" ht="12.75" hidden="1">
      <c r="A340" s="86">
        <v>339</v>
      </c>
      <c r="B340" s="86" t="s">
        <v>7878</v>
      </c>
      <c r="C340" s="86" t="str">
        <f t="shared" si="0"/>
        <v>564588</v>
      </c>
      <c r="D340" s="86" t="str">
        <f>IF(VLOOKUP(C340,'Diferencias patrimonio 2023'!$C$2:$C$1020,1,FALSE)=C340,"Encontrado", "No")</f>
        <v>Encontrado</v>
      </c>
      <c r="E340" s="86" t="s">
        <v>7879</v>
      </c>
      <c r="F340" s="86" t="s">
        <v>378</v>
      </c>
      <c r="G340" s="86" t="s">
        <v>38</v>
      </c>
      <c r="H340" s="86" t="s">
        <v>4935</v>
      </c>
    </row>
    <row r="341" spans="1:8" ht="12.75" hidden="1">
      <c r="A341" s="86">
        <v>340</v>
      </c>
      <c r="B341" s="86" t="s">
        <v>1884</v>
      </c>
      <c r="C341" s="86" t="str">
        <f t="shared" si="0"/>
        <v>564597</v>
      </c>
      <c r="D341" s="86" t="str">
        <f>IF(VLOOKUP(C341,'Diferencias patrimonio 2023'!$C$2:$C$1020,1,FALSE)=C341,"Encontrado", "No")</f>
        <v>Encontrado</v>
      </c>
      <c r="E341" s="86" t="s">
        <v>7880</v>
      </c>
      <c r="F341" s="86" t="s">
        <v>378</v>
      </c>
      <c r="G341" s="86" t="s">
        <v>38</v>
      </c>
      <c r="H341" s="86" t="s">
        <v>1550</v>
      </c>
    </row>
    <row r="342" spans="1:8" ht="12.75" hidden="1">
      <c r="A342" s="86">
        <v>341</v>
      </c>
      <c r="B342" s="86" t="s">
        <v>306</v>
      </c>
      <c r="C342" s="86" t="str">
        <f t="shared" si="0"/>
        <v>564608</v>
      </c>
      <c r="D342" s="86" t="str">
        <f>IF(VLOOKUP(C342,'Diferencias patrimonio 2023'!$C$2:$C$1020,1,FALSE)=C342,"Encontrado", "No")</f>
        <v>Encontrado</v>
      </c>
      <c r="E342" s="86" t="s">
        <v>7881</v>
      </c>
      <c r="F342" s="86" t="s">
        <v>248</v>
      </c>
      <c r="G342" s="86" t="s">
        <v>38</v>
      </c>
      <c r="H342" s="86" t="s">
        <v>2329</v>
      </c>
    </row>
    <row r="343" spans="1:8" ht="12.75" hidden="1">
      <c r="A343" s="86">
        <v>342</v>
      </c>
      <c r="B343" s="86" t="s">
        <v>6601</v>
      </c>
      <c r="C343" s="86" t="str">
        <f t="shared" si="0"/>
        <v>564611</v>
      </c>
      <c r="D343" s="86" t="str">
        <f>IF(VLOOKUP(C343,'Diferencias patrimonio 2023'!$C$2:$C$1020,1,FALSE)=C343,"Encontrado", "No")</f>
        <v>Encontrado</v>
      </c>
      <c r="E343" s="86" t="s">
        <v>7882</v>
      </c>
      <c r="F343" s="86" t="s">
        <v>80</v>
      </c>
      <c r="G343" s="86" t="s">
        <v>38</v>
      </c>
      <c r="H343" s="86" t="s">
        <v>6062</v>
      </c>
    </row>
    <row r="344" spans="1:8" ht="12.75" hidden="1">
      <c r="A344" s="86">
        <v>343</v>
      </c>
      <c r="B344" s="86" t="s">
        <v>6606</v>
      </c>
      <c r="C344" s="86" t="str">
        <f t="shared" si="0"/>
        <v>564620</v>
      </c>
      <c r="D344" s="86" t="str">
        <f>IF(VLOOKUP(C344,'Diferencias patrimonio 2023'!$C$2:$C$1020,1,FALSE)=C344,"Encontrado", "No")</f>
        <v>Encontrado</v>
      </c>
      <c r="E344" s="86" t="s">
        <v>7883</v>
      </c>
      <c r="F344" s="86" t="s">
        <v>378</v>
      </c>
      <c r="G344" s="86" t="s">
        <v>38</v>
      </c>
      <c r="H344" s="86" t="s">
        <v>6684</v>
      </c>
    </row>
    <row r="345" spans="1:8" ht="12.75" hidden="1">
      <c r="A345" s="86">
        <v>344</v>
      </c>
      <c r="B345" s="86" t="s">
        <v>5626</v>
      </c>
      <c r="C345" s="86" t="str">
        <f t="shared" si="0"/>
        <v>564623</v>
      </c>
      <c r="D345" s="86" t="str">
        <f>IF(VLOOKUP(C345,'Diferencias patrimonio 2023'!$C$2:$C$1020,1,FALSE)=C345,"Encontrado", "No")</f>
        <v>Encontrado</v>
      </c>
      <c r="E345" s="86" t="s">
        <v>7884</v>
      </c>
      <c r="F345" s="86" t="s">
        <v>378</v>
      </c>
      <c r="G345" s="86" t="s">
        <v>38</v>
      </c>
      <c r="H345" s="86" t="s">
        <v>5584</v>
      </c>
    </row>
    <row r="346" spans="1:8" ht="12.75" hidden="1">
      <c r="A346" s="86">
        <v>345</v>
      </c>
      <c r="B346" s="86" t="s">
        <v>6774</v>
      </c>
      <c r="C346" s="86" t="str">
        <f t="shared" si="0"/>
        <v>564624</v>
      </c>
      <c r="D346" s="86" t="str">
        <f>IF(VLOOKUP(C346,'Diferencias patrimonio 2023'!$C$2:$C$1020,1,FALSE)=C346,"Encontrado", "No")</f>
        <v>Encontrado</v>
      </c>
      <c r="E346" s="86" t="s">
        <v>7885</v>
      </c>
      <c r="F346" s="86" t="s">
        <v>378</v>
      </c>
      <c r="G346" s="86" t="s">
        <v>38</v>
      </c>
      <c r="H346" s="86" t="s">
        <v>6684</v>
      </c>
    </row>
    <row r="347" spans="1:8" ht="12.75" hidden="1">
      <c r="A347" s="86">
        <v>346</v>
      </c>
      <c r="B347" s="86" t="s">
        <v>6761</v>
      </c>
      <c r="C347" s="86" t="str">
        <f t="shared" si="0"/>
        <v>564625</v>
      </c>
      <c r="D347" s="86" t="str">
        <f>IF(VLOOKUP(C347,'Diferencias patrimonio 2023'!$C$2:$C$1020,1,FALSE)=C347,"Encontrado", "No")</f>
        <v>Encontrado</v>
      </c>
      <c r="E347" s="86" t="s">
        <v>7886</v>
      </c>
      <c r="F347" s="86" t="s">
        <v>80</v>
      </c>
      <c r="G347" s="86" t="s">
        <v>38</v>
      </c>
      <c r="H347" s="86" t="s">
        <v>6684</v>
      </c>
    </row>
    <row r="348" spans="1:8" ht="12.75">
      <c r="A348" s="86">
        <v>347</v>
      </c>
      <c r="B348" s="86" t="s">
        <v>7887</v>
      </c>
      <c r="C348" s="86" t="str">
        <f t="shared" si="0"/>
        <v>564631</v>
      </c>
      <c r="D348" s="86" t="e">
        <f>IF(VLOOKUP(C348,'Diferencias patrimonio 2023'!$C$2:$C$1020,1,FALSE)=C348,"Encontrado", "No")</f>
        <v>#N/A</v>
      </c>
      <c r="E348" s="86" t="s">
        <v>7888</v>
      </c>
      <c r="F348" s="86" t="s">
        <v>7889</v>
      </c>
      <c r="G348" s="86" t="s">
        <v>38</v>
      </c>
      <c r="H348" s="86" t="s">
        <v>7426</v>
      </c>
    </row>
    <row r="349" spans="1:8" ht="12.75">
      <c r="A349" s="86">
        <v>348</v>
      </c>
      <c r="B349" s="86" t="s">
        <v>7890</v>
      </c>
      <c r="C349" s="86" t="str">
        <f t="shared" si="0"/>
        <v>564632</v>
      </c>
      <c r="D349" s="86" t="e">
        <f>IF(VLOOKUP(C349,'Diferencias patrimonio 2023'!$C$2:$C$1020,1,FALSE)=C349,"Encontrado", "No")</f>
        <v>#N/A</v>
      </c>
      <c r="E349" s="86" t="s">
        <v>7891</v>
      </c>
      <c r="F349" s="86" t="s">
        <v>7889</v>
      </c>
      <c r="G349" s="86" t="s">
        <v>38</v>
      </c>
      <c r="H349" s="86" t="s">
        <v>7398</v>
      </c>
    </row>
    <row r="350" spans="1:8" ht="12.75" hidden="1">
      <c r="A350" s="86">
        <v>349</v>
      </c>
      <c r="B350" s="86" t="s">
        <v>7892</v>
      </c>
      <c r="C350" s="86" t="str">
        <f t="shared" si="0"/>
        <v>564633</v>
      </c>
      <c r="D350" s="86" t="str">
        <f>IF(VLOOKUP(C350,'Diferencias patrimonio 2023'!$C$2:$C$1020,1,FALSE)=C350,"Encontrado", "No")</f>
        <v>Encontrado</v>
      </c>
      <c r="E350" s="86" t="s">
        <v>7893</v>
      </c>
      <c r="F350" s="86" t="s">
        <v>1240</v>
      </c>
      <c r="G350" s="86" t="s">
        <v>38</v>
      </c>
      <c r="H350" s="86" t="s">
        <v>1477</v>
      </c>
    </row>
    <row r="351" spans="1:8" ht="12.75" hidden="1">
      <c r="A351" s="86">
        <v>350</v>
      </c>
      <c r="B351" s="86" t="s">
        <v>7894</v>
      </c>
      <c r="C351" s="86" t="str">
        <f t="shared" si="0"/>
        <v>564634</v>
      </c>
      <c r="D351" s="86" t="str">
        <f>IF(VLOOKUP(C351,'Diferencias patrimonio 2023'!$C$2:$C$1020,1,FALSE)=C351,"Encontrado", "No")</f>
        <v>Encontrado</v>
      </c>
      <c r="E351" s="86" t="s">
        <v>7895</v>
      </c>
      <c r="F351" s="86" t="s">
        <v>1240</v>
      </c>
      <c r="G351" s="86" t="s">
        <v>38</v>
      </c>
      <c r="H351" s="86" t="s">
        <v>4057</v>
      </c>
    </row>
    <row r="352" spans="1:8" ht="12.75" hidden="1">
      <c r="A352" s="86">
        <v>351</v>
      </c>
      <c r="B352" s="86" t="s">
        <v>7896</v>
      </c>
      <c r="C352" s="86" t="str">
        <f t="shared" si="0"/>
        <v>564635</v>
      </c>
      <c r="D352" s="86" t="str">
        <f>IF(VLOOKUP(C352,'Diferencias patrimonio 2023'!$C$2:$C$1020,1,FALSE)=C352,"Encontrado", "No")</f>
        <v>Encontrado</v>
      </c>
      <c r="E352" s="86" t="s">
        <v>7897</v>
      </c>
      <c r="F352" s="86" t="s">
        <v>1240</v>
      </c>
      <c r="G352" s="86" t="s">
        <v>38</v>
      </c>
      <c r="H352" s="86" t="s">
        <v>3450</v>
      </c>
    </row>
    <row r="353" spans="1:8" ht="12.75" hidden="1">
      <c r="A353" s="86">
        <v>352</v>
      </c>
      <c r="B353" s="86" t="s">
        <v>4030</v>
      </c>
      <c r="C353" s="86" t="str">
        <f t="shared" si="0"/>
        <v>564636</v>
      </c>
      <c r="D353" s="86" t="str">
        <f>IF(VLOOKUP(C353,'Diferencias patrimonio 2023'!$C$2:$C$1020,1,FALSE)=C353,"Encontrado", "No")</f>
        <v>Encontrado</v>
      </c>
      <c r="E353" s="86" t="s">
        <v>7898</v>
      </c>
      <c r="F353" s="86" t="s">
        <v>1240</v>
      </c>
      <c r="G353" s="86" t="s">
        <v>38</v>
      </c>
      <c r="H353" s="86" t="s">
        <v>3984</v>
      </c>
    </row>
    <row r="354" spans="1:8" ht="12.75" hidden="1">
      <c r="A354" s="86">
        <v>353</v>
      </c>
      <c r="B354" s="86" t="s">
        <v>7899</v>
      </c>
      <c r="C354" s="86" t="str">
        <f t="shared" si="0"/>
        <v>564637</v>
      </c>
      <c r="D354" s="86" t="str">
        <f>IF(VLOOKUP(C354,'Diferencias patrimonio 2023'!$C$2:$C$1020,1,FALSE)=C354,"Encontrado", "No")</f>
        <v>Encontrado</v>
      </c>
      <c r="E354" s="86" t="s">
        <v>7900</v>
      </c>
      <c r="F354" s="86" t="s">
        <v>1240</v>
      </c>
      <c r="G354" s="86" t="s">
        <v>38</v>
      </c>
      <c r="H354" s="86" t="s">
        <v>7472</v>
      </c>
    </row>
    <row r="355" spans="1:8" ht="12.75" hidden="1">
      <c r="A355" s="86">
        <v>354</v>
      </c>
      <c r="B355" s="86" t="s">
        <v>4523</v>
      </c>
      <c r="C355" s="86" t="str">
        <f t="shared" si="0"/>
        <v>564638</v>
      </c>
      <c r="D355" s="86" t="str">
        <f>IF(VLOOKUP(C355,'Diferencias patrimonio 2023'!$C$2:$C$1020,1,FALSE)=C355,"Encontrado", "No")</f>
        <v>Encontrado</v>
      </c>
      <c r="E355" s="86" t="s">
        <v>7901</v>
      </c>
      <c r="F355" s="86" t="s">
        <v>1240</v>
      </c>
      <c r="G355" s="86" t="s">
        <v>38</v>
      </c>
      <c r="H355" s="86" t="s">
        <v>4492</v>
      </c>
    </row>
    <row r="356" spans="1:8" ht="12.75" hidden="1">
      <c r="A356" s="86">
        <v>355</v>
      </c>
      <c r="B356" s="86" t="s">
        <v>7902</v>
      </c>
      <c r="C356" s="86" t="str">
        <f t="shared" si="0"/>
        <v>564639</v>
      </c>
      <c r="D356" s="86" t="str">
        <f>IF(VLOOKUP(C356,'Diferencias patrimonio 2023'!$C$2:$C$1020,1,FALSE)=C356,"Encontrado", "No")</f>
        <v>Encontrado</v>
      </c>
      <c r="E356" s="86" t="s">
        <v>7903</v>
      </c>
      <c r="F356" s="86" t="s">
        <v>1240</v>
      </c>
      <c r="G356" s="86" t="s">
        <v>38</v>
      </c>
      <c r="H356" s="86" t="s">
        <v>7430</v>
      </c>
    </row>
    <row r="357" spans="1:8" ht="12.75" hidden="1">
      <c r="A357" s="86">
        <v>356</v>
      </c>
      <c r="B357" s="86" t="s">
        <v>7904</v>
      </c>
      <c r="C357" s="86" t="str">
        <f t="shared" si="0"/>
        <v>564640</v>
      </c>
      <c r="D357" s="86" t="str">
        <f>IF(VLOOKUP(C357,'Diferencias patrimonio 2023'!$C$2:$C$1020,1,FALSE)=C357,"Encontrado", "No")</f>
        <v>Encontrado</v>
      </c>
      <c r="E357" s="86" t="s">
        <v>7905</v>
      </c>
      <c r="F357" s="86" t="s">
        <v>1240</v>
      </c>
      <c r="G357" s="86" t="s">
        <v>38</v>
      </c>
      <c r="H357" s="86" t="s">
        <v>7430</v>
      </c>
    </row>
    <row r="358" spans="1:8" ht="12.75" hidden="1">
      <c r="A358" s="86">
        <v>357</v>
      </c>
      <c r="B358" s="86" t="s">
        <v>4341</v>
      </c>
      <c r="C358" s="86" t="str">
        <f t="shared" si="0"/>
        <v>564654</v>
      </c>
      <c r="D358" s="86" t="str">
        <f>IF(VLOOKUP(C358,'Diferencias patrimonio 2023'!$C$2:$C$1020,1,FALSE)=C358,"Encontrado", "No")</f>
        <v>Encontrado</v>
      </c>
      <c r="E358" s="86" t="s">
        <v>7906</v>
      </c>
      <c r="F358" s="86" t="s">
        <v>1240</v>
      </c>
      <c r="G358" s="86" t="s">
        <v>38</v>
      </c>
      <c r="H358" s="86" t="s">
        <v>3840</v>
      </c>
    </row>
    <row r="359" spans="1:8" ht="12.75">
      <c r="A359" s="86">
        <v>358</v>
      </c>
      <c r="B359" s="86" t="s">
        <v>7285</v>
      </c>
      <c r="C359" s="86" t="str">
        <f t="shared" si="0"/>
        <v>564659</v>
      </c>
      <c r="D359" s="86" t="e">
        <f>IF(VLOOKUP(C359,'Diferencias patrimonio 2023'!$C$2:$C$1020,1,FALSE)=C359,"Encontrado", "No")</f>
        <v>#N/A</v>
      </c>
      <c r="E359" s="86" t="s">
        <v>7907</v>
      </c>
      <c r="F359" s="86" t="s">
        <v>1240</v>
      </c>
      <c r="G359" s="86" t="s">
        <v>38</v>
      </c>
      <c r="H359" s="86" t="s">
        <v>1550</v>
      </c>
    </row>
    <row r="360" spans="1:8" ht="12.75" hidden="1">
      <c r="A360" s="86">
        <v>359</v>
      </c>
      <c r="B360" s="86" t="s">
        <v>7908</v>
      </c>
      <c r="C360" s="86" t="str">
        <f t="shared" si="0"/>
        <v>564661</v>
      </c>
      <c r="D360" s="86" t="str">
        <f>IF(VLOOKUP(C360,'Diferencias patrimonio 2023'!$C$2:$C$1020,1,FALSE)=C360,"Encontrado", "No")</f>
        <v>Encontrado</v>
      </c>
      <c r="E360" s="86" t="s">
        <v>7909</v>
      </c>
      <c r="F360" s="86" t="s">
        <v>1240</v>
      </c>
      <c r="G360" s="86" t="s">
        <v>38</v>
      </c>
      <c r="H360" s="86" t="s">
        <v>1597</v>
      </c>
    </row>
    <row r="361" spans="1:8" ht="12.75" hidden="1">
      <c r="A361" s="86">
        <v>360</v>
      </c>
      <c r="B361" s="86" t="s">
        <v>1948</v>
      </c>
      <c r="C361" s="86" t="str">
        <f t="shared" si="0"/>
        <v>564662</v>
      </c>
      <c r="D361" s="86" t="str">
        <f>IF(VLOOKUP(C361,'Diferencias patrimonio 2023'!$C$2:$C$1020,1,FALSE)=C361,"Encontrado", "No")</f>
        <v>Encontrado</v>
      </c>
      <c r="E361" s="86" t="s">
        <v>7910</v>
      </c>
      <c r="F361" s="86" t="s">
        <v>1240</v>
      </c>
      <c r="G361" s="86" t="s">
        <v>38</v>
      </c>
      <c r="H361" s="86" t="s">
        <v>1890</v>
      </c>
    </row>
    <row r="362" spans="1:8" ht="12.75" hidden="1">
      <c r="A362" s="86">
        <v>361</v>
      </c>
      <c r="B362" s="86" t="s">
        <v>1378</v>
      </c>
      <c r="C362" s="86" t="str">
        <f t="shared" si="0"/>
        <v>564663</v>
      </c>
      <c r="D362" s="86" t="str">
        <f>IF(VLOOKUP(C362,'Diferencias patrimonio 2023'!$C$2:$C$1020,1,FALSE)=C362,"Encontrado", "No")</f>
        <v>Encontrado</v>
      </c>
      <c r="E362" s="86" t="s">
        <v>7911</v>
      </c>
      <c r="F362" s="86" t="s">
        <v>1240</v>
      </c>
      <c r="G362" s="86" t="s">
        <v>38</v>
      </c>
      <c r="H362" s="86" t="s">
        <v>1386</v>
      </c>
    </row>
    <row r="363" spans="1:8" ht="12.75" hidden="1">
      <c r="A363" s="86">
        <v>362</v>
      </c>
      <c r="B363" s="86" t="s">
        <v>7912</v>
      </c>
      <c r="C363" s="86" t="str">
        <f t="shared" si="0"/>
        <v>564669</v>
      </c>
      <c r="D363" s="86" t="str">
        <f>IF(VLOOKUP(C363,'Diferencias patrimonio 2023'!$C$2:$C$1020,1,FALSE)=C363,"Encontrado", "No")</f>
        <v>Encontrado</v>
      </c>
      <c r="E363" s="86" t="s">
        <v>7913</v>
      </c>
      <c r="F363" s="86" t="s">
        <v>1240</v>
      </c>
      <c r="G363" s="86" t="s">
        <v>38</v>
      </c>
      <c r="H363" s="86" t="s">
        <v>1164</v>
      </c>
    </row>
    <row r="364" spans="1:8" ht="12.75" hidden="1">
      <c r="A364" s="86">
        <v>363</v>
      </c>
      <c r="B364" s="86" t="s">
        <v>7914</v>
      </c>
      <c r="C364" s="86" t="str">
        <f t="shared" si="0"/>
        <v>564671</v>
      </c>
      <c r="D364" s="86" t="str">
        <f>IF(VLOOKUP(C364,'Diferencias patrimonio 2023'!$C$2:$C$1020,1,FALSE)=C364,"Encontrado", "No")</f>
        <v>Encontrado</v>
      </c>
      <c r="E364" s="86" t="s">
        <v>7915</v>
      </c>
      <c r="F364" s="86" t="s">
        <v>1240</v>
      </c>
      <c r="G364" s="86" t="s">
        <v>38</v>
      </c>
      <c r="H364" s="86" t="s">
        <v>7411</v>
      </c>
    </row>
    <row r="365" spans="1:8" ht="12.75" hidden="1">
      <c r="A365" s="86">
        <v>364</v>
      </c>
      <c r="B365" s="86" t="s">
        <v>6827</v>
      </c>
      <c r="C365" s="86" t="str">
        <f t="shared" si="0"/>
        <v>564673</v>
      </c>
      <c r="D365" s="86" t="str">
        <f>IF(VLOOKUP(C365,'Diferencias patrimonio 2023'!$C$2:$C$1020,1,FALSE)=C365,"Encontrado", "No")</f>
        <v>Encontrado</v>
      </c>
      <c r="E365" s="86" t="s">
        <v>7916</v>
      </c>
      <c r="F365" s="86" t="s">
        <v>1240</v>
      </c>
      <c r="G365" s="86" t="s">
        <v>38</v>
      </c>
      <c r="H365" s="86" t="s">
        <v>4417</v>
      </c>
    </row>
    <row r="366" spans="1:8" ht="12.75" hidden="1">
      <c r="A366" s="86">
        <v>365</v>
      </c>
      <c r="B366" s="86" t="s">
        <v>1777</v>
      </c>
      <c r="C366" s="86" t="str">
        <f t="shared" si="0"/>
        <v>564675</v>
      </c>
      <c r="D366" s="86" t="str">
        <f>IF(VLOOKUP(C366,'Diferencias patrimonio 2023'!$C$2:$C$1020,1,FALSE)=C366,"Encontrado", "No")</f>
        <v>Encontrado</v>
      </c>
      <c r="E366" s="86" t="s">
        <v>7917</v>
      </c>
      <c r="F366" s="86" t="s">
        <v>1240</v>
      </c>
      <c r="G366" s="86" t="s">
        <v>38</v>
      </c>
      <c r="H366" s="86" t="s">
        <v>1672</v>
      </c>
    </row>
    <row r="367" spans="1:8" ht="12.75" hidden="1">
      <c r="A367" s="86">
        <v>366</v>
      </c>
      <c r="B367" s="86" t="s">
        <v>7918</v>
      </c>
      <c r="C367" s="86" t="str">
        <f t="shared" si="0"/>
        <v>564679</v>
      </c>
      <c r="D367" s="86" t="str">
        <f>IF(VLOOKUP(C367,'Diferencias patrimonio 2023'!$C$2:$C$1020,1,FALSE)=C367,"Encontrado", "No")</f>
        <v>Encontrado</v>
      </c>
      <c r="E367" s="86" t="s">
        <v>7919</v>
      </c>
      <c r="F367" s="86" t="s">
        <v>93</v>
      </c>
      <c r="G367" s="86" t="s">
        <v>38</v>
      </c>
      <c r="H367" s="86" t="s">
        <v>3450</v>
      </c>
    </row>
    <row r="368" spans="1:8" ht="12.75" hidden="1">
      <c r="A368" s="86">
        <v>367</v>
      </c>
      <c r="B368" s="86" t="s">
        <v>5099</v>
      </c>
      <c r="C368" s="86" t="str">
        <f t="shared" si="0"/>
        <v>564683</v>
      </c>
      <c r="D368" s="86" t="str">
        <f>IF(VLOOKUP(C368,'Diferencias patrimonio 2023'!$C$2:$C$1020,1,FALSE)=C368,"Encontrado", "No")</f>
        <v>Encontrado</v>
      </c>
      <c r="E368" s="86" t="s">
        <v>7920</v>
      </c>
      <c r="F368" s="86" t="s">
        <v>184</v>
      </c>
      <c r="G368" s="86" t="s">
        <v>38</v>
      </c>
      <c r="H368" s="86" t="s">
        <v>4935</v>
      </c>
    </row>
    <row r="369" spans="1:8" ht="12.75" hidden="1">
      <c r="A369" s="86">
        <v>368</v>
      </c>
      <c r="B369" s="86" t="s">
        <v>6479</v>
      </c>
      <c r="C369" s="86" t="str">
        <f t="shared" si="0"/>
        <v>564716</v>
      </c>
      <c r="D369" s="86" t="str">
        <f>IF(VLOOKUP(C369,'Diferencias patrimonio 2023'!$C$2:$C$1020,1,FALSE)=C369,"Encontrado", "No")</f>
        <v>Encontrado</v>
      </c>
      <c r="E369" s="86" t="s">
        <v>7921</v>
      </c>
      <c r="F369" s="86" t="s">
        <v>93</v>
      </c>
      <c r="G369" s="86" t="s">
        <v>38</v>
      </c>
      <c r="H369" s="86" t="s">
        <v>6062</v>
      </c>
    </row>
    <row r="370" spans="1:8" ht="12.75" hidden="1">
      <c r="A370" s="86">
        <v>369</v>
      </c>
      <c r="B370" s="86" t="s">
        <v>6473</v>
      </c>
      <c r="C370" s="86" t="str">
        <f t="shared" si="0"/>
        <v>564721</v>
      </c>
      <c r="D370" s="86" t="str">
        <f>IF(VLOOKUP(C370,'Diferencias patrimonio 2023'!$C$2:$C$1020,1,FALSE)=C370,"Encontrado", "No")</f>
        <v>Encontrado</v>
      </c>
      <c r="E370" s="86" t="s">
        <v>7922</v>
      </c>
      <c r="F370" s="86" t="s">
        <v>93</v>
      </c>
      <c r="G370" s="86" t="s">
        <v>38</v>
      </c>
      <c r="H370" s="86" t="s">
        <v>6062</v>
      </c>
    </row>
    <row r="371" spans="1:8" ht="12.75" hidden="1">
      <c r="A371" s="86">
        <v>370</v>
      </c>
      <c r="B371" s="86" t="s">
        <v>6455</v>
      </c>
      <c r="C371" s="86" t="str">
        <f t="shared" si="0"/>
        <v>564723</v>
      </c>
      <c r="D371" s="86" t="str">
        <f>IF(VLOOKUP(C371,'Diferencias patrimonio 2023'!$C$2:$C$1020,1,FALSE)=C371,"Encontrado", "No")</f>
        <v>Encontrado</v>
      </c>
      <c r="E371" s="86" t="s">
        <v>7923</v>
      </c>
      <c r="F371" s="86" t="s">
        <v>93</v>
      </c>
      <c r="G371" s="86" t="s">
        <v>38</v>
      </c>
      <c r="H371" s="86" t="s">
        <v>6062</v>
      </c>
    </row>
    <row r="372" spans="1:8" ht="12.75" hidden="1">
      <c r="A372" s="86">
        <v>371</v>
      </c>
      <c r="B372" s="86" t="s">
        <v>6467</v>
      </c>
      <c r="C372" s="86" t="str">
        <f t="shared" si="0"/>
        <v>564725</v>
      </c>
      <c r="D372" s="86" t="str">
        <f>IF(VLOOKUP(C372,'Diferencias patrimonio 2023'!$C$2:$C$1020,1,FALSE)=C372,"Encontrado", "No")</f>
        <v>Encontrado</v>
      </c>
      <c r="E372" s="86" t="s">
        <v>7924</v>
      </c>
      <c r="F372" s="86" t="s">
        <v>93</v>
      </c>
      <c r="G372" s="86" t="s">
        <v>38</v>
      </c>
      <c r="H372" s="86" t="s">
        <v>6062</v>
      </c>
    </row>
    <row r="373" spans="1:8" ht="12.75" hidden="1">
      <c r="A373" s="86">
        <v>372</v>
      </c>
      <c r="B373" s="86" t="s">
        <v>6448</v>
      </c>
      <c r="C373" s="86" t="str">
        <f t="shared" si="0"/>
        <v>564727</v>
      </c>
      <c r="D373" s="86" t="str">
        <f>IF(VLOOKUP(C373,'Diferencias patrimonio 2023'!$C$2:$C$1020,1,FALSE)=C373,"Encontrado", "No")</f>
        <v>Encontrado</v>
      </c>
      <c r="E373" s="86" t="s">
        <v>7925</v>
      </c>
      <c r="F373" s="86" t="s">
        <v>93</v>
      </c>
      <c r="G373" s="86" t="s">
        <v>38</v>
      </c>
      <c r="H373" s="86" t="s">
        <v>6062</v>
      </c>
    </row>
    <row r="374" spans="1:8" ht="12.75" hidden="1">
      <c r="A374" s="86">
        <v>373</v>
      </c>
      <c r="B374" s="86" t="s">
        <v>6668</v>
      </c>
      <c r="C374" s="86" t="str">
        <f t="shared" si="0"/>
        <v>564729</v>
      </c>
      <c r="D374" s="86" t="str">
        <f>IF(VLOOKUP(C374,'Diferencias patrimonio 2023'!$C$2:$C$1020,1,FALSE)=C374,"Encontrado", "No")</f>
        <v>Encontrado</v>
      </c>
      <c r="E374" s="86" t="s">
        <v>7926</v>
      </c>
      <c r="F374" s="86" t="s">
        <v>93</v>
      </c>
      <c r="G374" s="86" t="s">
        <v>38</v>
      </c>
      <c r="H374" s="86" t="s">
        <v>6062</v>
      </c>
    </row>
    <row r="375" spans="1:8" ht="12.75" hidden="1">
      <c r="A375" s="86">
        <v>374</v>
      </c>
      <c r="B375" s="86" t="s">
        <v>6647</v>
      </c>
      <c r="C375" s="86" t="str">
        <f t="shared" si="0"/>
        <v>564731</v>
      </c>
      <c r="D375" s="86" t="str">
        <f>IF(VLOOKUP(C375,'Diferencias patrimonio 2023'!$C$2:$C$1020,1,FALSE)=C375,"Encontrado", "No")</f>
        <v>Encontrado</v>
      </c>
      <c r="E375" s="86" t="s">
        <v>7927</v>
      </c>
      <c r="F375" s="86" t="s">
        <v>93</v>
      </c>
      <c r="G375" s="86" t="s">
        <v>38</v>
      </c>
      <c r="H375" s="86" t="s">
        <v>6062</v>
      </c>
    </row>
    <row r="376" spans="1:8" ht="12.75" hidden="1">
      <c r="A376" s="86">
        <v>375</v>
      </c>
      <c r="B376" s="86" t="s">
        <v>6654</v>
      </c>
      <c r="C376" s="86" t="str">
        <f t="shared" si="0"/>
        <v>564732</v>
      </c>
      <c r="D376" s="86" t="str">
        <f>IF(VLOOKUP(C376,'Diferencias patrimonio 2023'!$C$2:$C$1020,1,FALSE)=C376,"Encontrado", "No")</f>
        <v>Encontrado</v>
      </c>
      <c r="E376" s="86" t="s">
        <v>7928</v>
      </c>
      <c r="F376" s="86" t="s">
        <v>93</v>
      </c>
      <c r="G376" s="86" t="s">
        <v>38</v>
      </c>
      <c r="H376" s="86" t="s">
        <v>6062</v>
      </c>
    </row>
    <row r="377" spans="1:8" ht="12.75" hidden="1">
      <c r="A377" s="86">
        <v>376</v>
      </c>
      <c r="B377" s="86" t="s">
        <v>6691</v>
      </c>
      <c r="C377" s="86" t="str">
        <f t="shared" si="0"/>
        <v>564735</v>
      </c>
      <c r="D377" s="86" t="str">
        <f>IF(VLOOKUP(C377,'Diferencias patrimonio 2023'!$C$2:$C$1020,1,FALSE)=C377,"Encontrado", "No")</f>
        <v>Encontrado</v>
      </c>
      <c r="E377" s="86" t="s">
        <v>7929</v>
      </c>
      <c r="F377" s="86" t="s">
        <v>93</v>
      </c>
      <c r="G377" s="86" t="s">
        <v>38</v>
      </c>
      <c r="H377" s="86" t="s">
        <v>6684</v>
      </c>
    </row>
    <row r="378" spans="1:8" ht="12.75">
      <c r="A378" s="86">
        <v>377</v>
      </c>
      <c r="B378" s="86" t="s">
        <v>7327</v>
      </c>
      <c r="C378" s="86" t="str">
        <f t="shared" si="0"/>
        <v>564737</v>
      </c>
      <c r="D378" s="86" t="e">
        <f>IF(VLOOKUP(C378,'Diferencias patrimonio 2023'!$C$2:$C$1020,1,FALSE)=C378,"Encontrado", "No")</f>
        <v>#N/A</v>
      </c>
      <c r="E378" s="86" t="s">
        <v>7930</v>
      </c>
      <c r="F378" s="86" t="s">
        <v>93</v>
      </c>
      <c r="G378" s="86" t="s">
        <v>38</v>
      </c>
      <c r="H378" s="86" t="s">
        <v>6062</v>
      </c>
    </row>
    <row r="379" spans="1:8" ht="12.75">
      <c r="A379" s="86">
        <v>378</v>
      </c>
      <c r="B379" s="86" t="s">
        <v>7328</v>
      </c>
      <c r="C379" s="86" t="str">
        <f t="shared" si="0"/>
        <v>564739</v>
      </c>
      <c r="D379" s="86" t="e">
        <f>IF(VLOOKUP(C379,'Diferencias patrimonio 2023'!$C$2:$C$1020,1,FALSE)=C379,"Encontrado", "No")</f>
        <v>#N/A</v>
      </c>
      <c r="E379" s="86" t="s">
        <v>7931</v>
      </c>
      <c r="F379" s="86" t="s">
        <v>93</v>
      </c>
      <c r="G379" s="86" t="s">
        <v>38</v>
      </c>
      <c r="H379" s="86" t="s">
        <v>6062</v>
      </c>
    </row>
    <row r="380" spans="1:8" ht="12.75">
      <c r="A380" s="86">
        <v>379</v>
      </c>
      <c r="B380" s="86" t="s">
        <v>7245</v>
      </c>
      <c r="C380" s="86" t="str">
        <f t="shared" si="0"/>
        <v>564741</v>
      </c>
      <c r="D380" s="86" t="e">
        <f>IF(VLOOKUP(C380,'Diferencias patrimonio 2023'!$C$2:$C$1020,1,FALSE)=C380,"Encontrado", "No")</f>
        <v>#N/A</v>
      </c>
      <c r="E380" s="86" t="s">
        <v>7932</v>
      </c>
      <c r="F380" s="86" t="s">
        <v>93</v>
      </c>
      <c r="G380" s="86" t="s">
        <v>38</v>
      </c>
      <c r="H380" s="86" t="s">
        <v>7411</v>
      </c>
    </row>
    <row r="381" spans="1:8" ht="12.75" hidden="1">
      <c r="A381" s="86">
        <v>380</v>
      </c>
      <c r="B381" s="86" t="s">
        <v>6127</v>
      </c>
      <c r="C381" s="86" t="str">
        <f t="shared" si="0"/>
        <v>564743</v>
      </c>
      <c r="D381" s="86" t="str">
        <f>IF(VLOOKUP(C381,'Diferencias patrimonio 2023'!$C$2:$C$1020,1,FALSE)=C381,"Encontrado", "No")</f>
        <v>Encontrado</v>
      </c>
      <c r="E381" s="86" t="s">
        <v>7933</v>
      </c>
      <c r="F381" s="86" t="s">
        <v>93</v>
      </c>
      <c r="G381" s="86" t="s">
        <v>38</v>
      </c>
      <c r="H381" s="86" t="s">
        <v>6062</v>
      </c>
    </row>
    <row r="382" spans="1:8" ht="12.75" hidden="1">
      <c r="A382" s="86">
        <v>381</v>
      </c>
      <c r="B382" s="86" t="s">
        <v>6113</v>
      </c>
      <c r="C382" s="86" t="str">
        <f t="shared" si="0"/>
        <v>564745</v>
      </c>
      <c r="D382" s="86" t="str">
        <f>IF(VLOOKUP(C382,'Diferencias patrimonio 2023'!$C$2:$C$1020,1,FALSE)=C382,"Encontrado", "No")</f>
        <v>Encontrado</v>
      </c>
      <c r="E382" s="86" t="s">
        <v>7934</v>
      </c>
      <c r="F382" s="86" t="s">
        <v>93</v>
      </c>
      <c r="G382" s="86" t="s">
        <v>38</v>
      </c>
      <c r="H382" s="86" t="s">
        <v>6062</v>
      </c>
    </row>
    <row r="383" spans="1:8" ht="12.75" hidden="1">
      <c r="A383" s="86">
        <v>382</v>
      </c>
      <c r="B383" s="86" t="s">
        <v>6151</v>
      </c>
      <c r="C383" s="86" t="str">
        <f t="shared" si="0"/>
        <v>564747</v>
      </c>
      <c r="D383" s="86" t="str">
        <f>IF(VLOOKUP(C383,'Diferencias patrimonio 2023'!$C$2:$C$1020,1,FALSE)=C383,"Encontrado", "No")</f>
        <v>Encontrado</v>
      </c>
      <c r="E383" s="86" t="s">
        <v>7935</v>
      </c>
      <c r="F383" s="86" t="s">
        <v>93</v>
      </c>
      <c r="G383" s="86" t="s">
        <v>38</v>
      </c>
      <c r="H383" s="86" t="s">
        <v>6062</v>
      </c>
    </row>
    <row r="384" spans="1:8" ht="12.75" hidden="1">
      <c r="A384" s="86">
        <v>383</v>
      </c>
      <c r="B384" s="86" t="s">
        <v>6171</v>
      </c>
      <c r="C384" s="86" t="str">
        <f t="shared" si="0"/>
        <v>564749</v>
      </c>
      <c r="D384" s="86" t="str">
        <f>IF(VLOOKUP(C384,'Diferencias patrimonio 2023'!$C$2:$C$1020,1,FALSE)=C384,"Encontrado", "No")</f>
        <v>Encontrado</v>
      </c>
      <c r="E384" s="86" t="s">
        <v>7936</v>
      </c>
      <c r="F384" s="86" t="s">
        <v>93</v>
      </c>
      <c r="G384" s="86" t="s">
        <v>38</v>
      </c>
      <c r="H384" s="86" t="s">
        <v>6062</v>
      </c>
    </row>
    <row r="385" spans="1:8" ht="12.75" hidden="1">
      <c r="A385" s="86">
        <v>384</v>
      </c>
      <c r="B385" s="86" t="s">
        <v>6697</v>
      </c>
      <c r="C385" s="86" t="str">
        <f t="shared" si="0"/>
        <v>564751</v>
      </c>
      <c r="D385" s="86" t="str">
        <f>IF(VLOOKUP(C385,'Diferencias patrimonio 2023'!$C$2:$C$1020,1,FALSE)=C385,"Encontrado", "No")</f>
        <v>Encontrado</v>
      </c>
      <c r="E385" s="86" t="s">
        <v>7937</v>
      </c>
      <c r="F385" s="86" t="s">
        <v>93</v>
      </c>
      <c r="G385" s="86" t="s">
        <v>38</v>
      </c>
      <c r="H385" s="86" t="s">
        <v>6684</v>
      </c>
    </row>
    <row r="386" spans="1:8" ht="12.75" hidden="1">
      <c r="A386" s="86">
        <v>385</v>
      </c>
      <c r="B386" s="86" t="s">
        <v>5078</v>
      </c>
      <c r="C386" s="86" t="str">
        <f t="shared" si="0"/>
        <v>564754</v>
      </c>
      <c r="D386" s="86" t="str">
        <f>IF(VLOOKUP(C386,'Diferencias patrimonio 2023'!$C$2:$C$1020,1,FALSE)=C386,"Encontrado", "No")</f>
        <v>Encontrado</v>
      </c>
      <c r="E386" s="86" t="s">
        <v>7938</v>
      </c>
      <c r="F386" s="86" t="s">
        <v>93</v>
      </c>
      <c r="G386" s="86" t="s">
        <v>38</v>
      </c>
      <c r="H386" s="86" t="s">
        <v>4935</v>
      </c>
    </row>
    <row r="387" spans="1:8" ht="12.75" hidden="1">
      <c r="A387" s="86">
        <v>386</v>
      </c>
      <c r="B387" s="86" t="s">
        <v>5230</v>
      </c>
      <c r="C387" s="86" t="str">
        <f t="shared" si="0"/>
        <v>564756</v>
      </c>
      <c r="D387" s="86" t="str">
        <f>IF(VLOOKUP(C387,'Diferencias patrimonio 2023'!$C$2:$C$1020,1,FALSE)=C387,"Encontrado", "No")</f>
        <v>Encontrado</v>
      </c>
      <c r="E387" s="86" t="s">
        <v>7939</v>
      </c>
      <c r="F387" s="86" t="s">
        <v>93</v>
      </c>
      <c r="G387" s="86" t="s">
        <v>38</v>
      </c>
      <c r="H387" s="86" t="s">
        <v>5223</v>
      </c>
    </row>
    <row r="388" spans="1:8" ht="12.75" hidden="1">
      <c r="A388" s="86">
        <v>387</v>
      </c>
      <c r="B388" s="86" t="s">
        <v>5165</v>
      </c>
      <c r="C388" s="86" t="str">
        <f t="shared" si="0"/>
        <v>564762</v>
      </c>
      <c r="D388" s="86" t="str">
        <f>IF(VLOOKUP(C388,'Diferencias patrimonio 2023'!$C$2:$C$1020,1,FALSE)=C388,"Encontrado", "No")</f>
        <v>Encontrado</v>
      </c>
      <c r="E388" s="86" t="s">
        <v>7940</v>
      </c>
      <c r="F388" s="86" t="s">
        <v>93</v>
      </c>
      <c r="G388" s="86" t="s">
        <v>38</v>
      </c>
      <c r="H388" s="86" t="s">
        <v>5138</v>
      </c>
    </row>
    <row r="389" spans="1:8" ht="12.75">
      <c r="A389" s="86">
        <v>388</v>
      </c>
      <c r="B389" s="86" t="s">
        <v>7320</v>
      </c>
      <c r="C389" s="86" t="str">
        <f t="shared" si="0"/>
        <v>564765</v>
      </c>
      <c r="D389" s="86" t="e">
        <f>IF(VLOOKUP(C389,'Diferencias patrimonio 2023'!$C$2:$C$1020,1,FALSE)=C389,"Encontrado", "No")</f>
        <v>#N/A</v>
      </c>
      <c r="E389" s="86" t="s">
        <v>7941</v>
      </c>
      <c r="F389" s="86" t="s">
        <v>93</v>
      </c>
      <c r="G389" s="86" t="s">
        <v>38</v>
      </c>
      <c r="H389" s="86" t="s">
        <v>5223</v>
      </c>
    </row>
    <row r="390" spans="1:8" ht="12.75" hidden="1">
      <c r="A390" s="86">
        <v>389</v>
      </c>
      <c r="B390" s="86" t="s">
        <v>5158</v>
      </c>
      <c r="C390" s="86" t="str">
        <f t="shared" si="0"/>
        <v>564766</v>
      </c>
      <c r="D390" s="86" t="str">
        <f>IF(VLOOKUP(C390,'Diferencias patrimonio 2023'!$C$2:$C$1020,1,FALSE)=C390,"Encontrado", "No")</f>
        <v>Encontrado</v>
      </c>
      <c r="E390" s="86" t="s">
        <v>7942</v>
      </c>
      <c r="F390" s="86" t="s">
        <v>93</v>
      </c>
      <c r="G390" s="86" t="s">
        <v>38</v>
      </c>
      <c r="H390" s="86" t="s">
        <v>4935</v>
      </c>
    </row>
    <row r="391" spans="1:8" ht="12.75" hidden="1">
      <c r="A391" s="86">
        <v>390</v>
      </c>
      <c r="B391" s="86" t="s">
        <v>5005</v>
      </c>
      <c r="C391" s="86" t="str">
        <f t="shared" si="0"/>
        <v>564772</v>
      </c>
      <c r="D391" s="86" t="str">
        <f>IF(VLOOKUP(C391,'Diferencias patrimonio 2023'!$C$2:$C$1020,1,FALSE)=C391,"Encontrado", "No")</f>
        <v>Encontrado</v>
      </c>
      <c r="E391" s="86" t="s">
        <v>7943</v>
      </c>
      <c r="F391" s="86" t="s">
        <v>93</v>
      </c>
      <c r="G391" s="86" t="s">
        <v>38</v>
      </c>
      <c r="H391" s="86" t="s">
        <v>4935</v>
      </c>
    </row>
    <row r="392" spans="1:8" ht="12.75" hidden="1">
      <c r="A392" s="86">
        <v>391</v>
      </c>
      <c r="B392" s="86" t="s">
        <v>6276</v>
      </c>
      <c r="C392" s="86" t="str">
        <f t="shared" si="0"/>
        <v>564773</v>
      </c>
      <c r="D392" s="86" t="str">
        <f>IF(VLOOKUP(C392,'Diferencias patrimonio 2023'!$C$2:$C$1020,1,FALSE)=C392,"Encontrado", "No")</f>
        <v>Encontrado</v>
      </c>
      <c r="E392" s="86" t="s">
        <v>7944</v>
      </c>
      <c r="F392" s="86" t="s">
        <v>93</v>
      </c>
      <c r="G392" s="86" t="s">
        <v>38</v>
      </c>
      <c r="H392" s="86" t="s">
        <v>6062</v>
      </c>
    </row>
    <row r="393" spans="1:8" ht="12.75" hidden="1">
      <c r="A393" s="86">
        <v>392</v>
      </c>
      <c r="B393" s="86" t="s">
        <v>7945</v>
      </c>
      <c r="C393" s="86" t="str">
        <f t="shared" si="0"/>
        <v>564775</v>
      </c>
      <c r="D393" s="86" t="str">
        <f>IF(VLOOKUP(C393,'Diferencias patrimonio 2023'!$C$2:$C$1020,1,FALSE)=C393,"Encontrado", "No")</f>
        <v>Encontrado</v>
      </c>
      <c r="E393" s="86" t="s">
        <v>7946</v>
      </c>
      <c r="F393" s="86" t="s">
        <v>93</v>
      </c>
      <c r="G393" s="86" t="s">
        <v>38</v>
      </c>
      <c r="H393" s="86" t="s">
        <v>7411</v>
      </c>
    </row>
    <row r="394" spans="1:8" ht="12.75" hidden="1">
      <c r="A394" s="86">
        <v>393</v>
      </c>
      <c r="B394" s="86" t="s">
        <v>3302</v>
      </c>
      <c r="C394" s="86" t="str">
        <f t="shared" si="0"/>
        <v>564777</v>
      </c>
      <c r="D394" s="86" t="str">
        <f>IF(VLOOKUP(C394,'Diferencias patrimonio 2023'!$C$2:$C$1020,1,FALSE)=C394,"Encontrado", "No")</f>
        <v>Encontrado</v>
      </c>
      <c r="E394" s="86" t="s">
        <v>7947</v>
      </c>
      <c r="F394" s="86" t="s">
        <v>93</v>
      </c>
      <c r="G394" s="86" t="s">
        <v>38</v>
      </c>
      <c r="H394" s="86" t="s">
        <v>7434</v>
      </c>
    </row>
    <row r="395" spans="1:8" ht="12.75" hidden="1">
      <c r="A395" s="86">
        <v>394</v>
      </c>
      <c r="B395" s="86" t="s">
        <v>5738</v>
      </c>
      <c r="C395" s="86" t="str">
        <f t="shared" si="0"/>
        <v>564779</v>
      </c>
      <c r="D395" s="86" t="str">
        <f>IF(VLOOKUP(C395,'Diferencias patrimonio 2023'!$C$2:$C$1020,1,FALSE)=C395,"Encontrado", "No")</f>
        <v>Encontrado</v>
      </c>
      <c r="E395" s="86" t="s">
        <v>7948</v>
      </c>
      <c r="F395" s="86" t="s">
        <v>93</v>
      </c>
      <c r="G395" s="86" t="s">
        <v>38</v>
      </c>
      <c r="H395" s="86" t="s">
        <v>7398</v>
      </c>
    </row>
    <row r="396" spans="1:8" ht="12.75" hidden="1">
      <c r="A396" s="86">
        <v>395</v>
      </c>
      <c r="B396" s="86" t="s">
        <v>5465</v>
      </c>
      <c r="C396" s="86" t="str">
        <f t="shared" si="0"/>
        <v>564782</v>
      </c>
      <c r="D396" s="86" t="str">
        <f>IF(VLOOKUP(C396,'Diferencias patrimonio 2023'!$C$2:$C$1020,1,FALSE)=C396,"Encontrado", "No")</f>
        <v>Encontrado</v>
      </c>
      <c r="E396" s="86" t="s">
        <v>7949</v>
      </c>
      <c r="F396" s="86" t="s">
        <v>93</v>
      </c>
      <c r="G396" s="86" t="s">
        <v>38</v>
      </c>
      <c r="H396" s="86" t="s">
        <v>5310</v>
      </c>
    </row>
    <row r="397" spans="1:8" ht="12.75" hidden="1">
      <c r="A397" s="86">
        <v>396</v>
      </c>
      <c r="B397" s="86" t="s">
        <v>6336</v>
      </c>
      <c r="C397" s="86" t="str">
        <f t="shared" si="0"/>
        <v>564784</v>
      </c>
      <c r="D397" s="86" t="str">
        <f>IF(VLOOKUP(C397,'Diferencias patrimonio 2023'!$C$2:$C$1020,1,FALSE)=C397,"Encontrado", "No")</f>
        <v>Encontrado</v>
      </c>
      <c r="E397" s="86" t="s">
        <v>7950</v>
      </c>
      <c r="F397" s="86" t="s">
        <v>93</v>
      </c>
      <c r="G397" s="86" t="s">
        <v>38</v>
      </c>
      <c r="H397" s="86" t="s">
        <v>6062</v>
      </c>
    </row>
    <row r="398" spans="1:8" ht="12.75" hidden="1">
      <c r="A398" s="86">
        <v>397</v>
      </c>
      <c r="B398" s="86" t="s">
        <v>6492</v>
      </c>
      <c r="C398" s="86" t="str">
        <f t="shared" si="0"/>
        <v>564786</v>
      </c>
      <c r="D398" s="86" t="str">
        <f>IF(VLOOKUP(C398,'Diferencias patrimonio 2023'!$C$2:$C$1020,1,FALSE)=C398,"Encontrado", "No")</f>
        <v>Encontrado</v>
      </c>
      <c r="E398" s="86" t="s">
        <v>7951</v>
      </c>
      <c r="F398" s="86" t="s">
        <v>93</v>
      </c>
      <c r="G398" s="86" t="s">
        <v>38</v>
      </c>
      <c r="H398" s="86" t="s">
        <v>6062</v>
      </c>
    </row>
    <row r="399" spans="1:8" ht="12.75" hidden="1">
      <c r="A399" s="86">
        <v>398</v>
      </c>
      <c r="B399" s="86" t="s">
        <v>866</v>
      </c>
      <c r="C399" s="86" t="str">
        <f t="shared" si="0"/>
        <v>564787</v>
      </c>
      <c r="D399" s="86" t="str">
        <f>IF(VLOOKUP(C399,'Diferencias patrimonio 2023'!$C$2:$C$1020,1,FALSE)=C399,"Encontrado", "No")</f>
        <v>Encontrado</v>
      </c>
      <c r="E399" s="86" t="s">
        <v>7952</v>
      </c>
      <c r="F399" s="86" t="s">
        <v>93</v>
      </c>
      <c r="G399" s="86" t="s">
        <v>38</v>
      </c>
      <c r="H399" s="86" t="s">
        <v>848</v>
      </c>
    </row>
    <row r="400" spans="1:8" ht="12.75" hidden="1">
      <c r="A400" s="86">
        <v>399</v>
      </c>
      <c r="B400" s="86" t="s">
        <v>4415</v>
      </c>
      <c r="C400" s="86" t="str">
        <f t="shared" si="0"/>
        <v>564788</v>
      </c>
      <c r="D400" s="86" t="str">
        <f>IF(VLOOKUP(C400,'Diferencias patrimonio 2023'!$C$2:$C$1020,1,FALSE)=C400,"Encontrado", "No")</f>
        <v>Encontrado</v>
      </c>
      <c r="E400" s="86" t="s">
        <v>7953</v>
      </c>
      <c r="F400" s="86" t="s">
        <v>93</v>
      </c>
      <c r="G400" s="86" t="s">
        <v>38</v>
      </c>
      <c r="H400" s="86" t="s">
        <v>1477</v>
      </c>
    </row>
    <row r="401" spans="1:8" ht="12.75" hidden="1">
      <c r="A401" s="86">
        <v>400</v>
      </c>
      <c r="B401" s="86" t="s">
        <v>3997</v>
      </c>
      <c r="C401" s="86" t="str">
        <f t="shared" si="0"/>
        <v>564789</v>
      </c>
      <c r="D401" s="86" t="str">
        <f>IF(VLOOKUP(C401,'Diferencias patrimonio 2023'!$C$2:$C$1020,1,FALSE)=C401,"Encontrado", "No")</f>
        <v>Encontrado</v>
      </c>
      <c r="E401" s="86" t="s">
        <v>7954</v>
      </c>
      <c r="F401" s="86" t="s">
        <v>93</v>
      </c>
      <c r="G401" s="86" t="s">
        <v>38</v>
      </c>
      <c r="H401" s="86" t="s">
        <v>3984</v>
      </c>
    </row>
    <row r="402" spans="1:8" ht="12.75" hidden="1">
      <c r="A402" s="86">
        <v>401</v>
      </c>
      <c r="B402" s="86" t="s">
        <v>3189</v>
      </c>
      <c r="C402" s="86" t="str">
        <f t="shared" si="0"/>
        <v>564790</v>
      </c>
      <c r="D402" s="86" t="str">
        <f>IF(VLOOKUP(C402,'Diferencias patrimonio 2023'!$C$2:$C$1020,1,FALSE)=C402,"Encontrado", "No")</f>
        <v>Encontrado</v>
      </c>
      <c r="E402" s="86" t="s">
        <v>7955</v>
      </c>
      <c r="F402" s="86" t="s">
        <v>93</v>
      </c>
      <c r="G402" s="86" t="s">
        <v>38</v>
      </c>
      <c r="H402" s="86" t="s">
        <v>3151</v>
      </c>
    </row>
    <row r="403" spans="1:8" ht="12.75" hidden="1">
      <c r="A403" s="86">
        <v>402</v>
      </c>
      <c r="B403" s="86" t="s">
        <v>6298</v>
      </c>
      <c r="C403" s="86" t="str">
        <f t="shared" si="0"/>
        <v>564797</v>
      </c>
      <c r="D403" s="86" t="str">
        <f>IF(VLOOKUP(C403,'Diferencias patrimonio 2023'!$C$2:$C$1020,1,FALSE)=C403,"Encontrado", "No")</f>
        <v>Encontrado</v>
      </c>
      <c r="E403" s="86" t="s">
        <v>7956</v>
      </c>
      <c r="F403" s="86" t="s">
        <v>93</v>
      </c>
      <c r="G403" s="86" t="s">
        <v>38</v>
      </c>
      <c r="H403" s="86" t="s">
        <v>6062</v>
      </c>
    </row>
    <row r="404" spans="1:8" ht="12.75" hidden="1">
      <c r="A404" s="86">
        <v>403</v>
      </c>
      <c r="B404" s="86" t="s">
        <v>3260</v>
      </c>
      <c r="C404" s="86" t="str">
        <f t="shared" si="0"/>
        <v>564798</v>
      </c>
      <c r="D404" s="86" t="str">
        <f>IF(VLOOKUP(C404,'Diferencias patrimonio 2023'!$C$2:$C$1020,1,FALSE)=C404,"Encontrado", "No")</f>
        <v>Encontrado</v>
      </c>
      <c r="E404" s="86" t="s">
        <v>7957</v>
      </c>
      <c r="F404" s="86" t="s">
        <v>93</v>
      </c>
      <c r="G404" s="86" t="s">
        <v>38</v>
      </c>
      <c r="H404" s="86" t="s">
        <v>7434</v>
      </c>
    </row>
    <row r="405" spans="1:8" ht="12.75" hidden="1">
      <c r="A405" s="86">
        <v>404</v>
      </c>
      <c r="B405" s="86" t="s">
        <v>6329</v>
      </c>
      <c r="C405" s="86" t="str">
        <f t="shared" si="0"/>
        <v>564799</v>
      </c>
      <c r="D405" s="86" t="str">
        <f>IF(VLOOKUP(C405,'Diferencias patrimonio 2023'!$C$2:$C$1020,1,FALSE)=C405,"Encontrado", "No")</f>
        <v>Encontrado</v>
      </c>
      <c r="E405" s="86" t="s">
        <v>7958</v>
      </c>
      <c r="F405" s="86" t="s">
        <v>93</v>
      </c>
      <c r="G405" s="86" t="s">
        <v>38</v>
      </c>
      <c r="H405" s="86" t="s">
        <v>6062</v>
      </c>
    </row>
    <row r="406" spans="1:8" ht="12.75">
      <c r="A406" s="86">
        <v>405</v>
      </c>
      <c r="B406" s="86" t="s">
        <v>7301</v>
      </c>
      <c r="C406" s="86" t="str">
        <f t="shared" si="0"/>
        <v>564800</v>
      </c>
      <c r="D406" s="86" t="e">
        <f>IF(VLOOKUP(C406,'Diferencias patrimonio 2023'!$C$2:$C$1020,1,FALSE)=C406,"Encontrado", "No")</f>
        <v>#N/A</v>
      </c>
      <c r="E406" s="86" t="s">
        <v>7959</v>
      </c>
      <c r="F406" s="86" t="s">
        <v>93</v>
      </c>
      <c r="G406" s="86" t="s">
        <v>38</v>
      </c>
      <c r="H406" s="86" t="s">
        <v>7398</v>
      </c>
    </row>
    <row r="407" spans="1:8" ht="12.75" hidden="1">
      <c r="A407" s="86">
        <v>406</v>
      </c>
      <c r="B407" s="86" t="s">
        <v>7960</v>
      </c>
      <c r="C407" s="86" t="str">
        <f t="shared" si="0"/>
        <v>564801</v>
      </c>
      <c r="D407" s="86" t="str">
        <f>IF(VLOOKUP(C407,'Diferencias patrimonio 2023'!$C$2:$C$1020,1,FALSE)=C407,"Encontrado", "No")</f>
        <v>Encontrado</v>
      </c>
      <c r="E407" s="86" t="s">
        <v>7961</v>
      </c>
      <c r="F407" s="86" t="s">
        <v>93</v>
      </c>
      <c r="G407" s="86" t="s">
        <v>38</v>
      </c>
      <c r="H407" s="86" t="s">
        <v>7398</v>
      </c>
    </row>
    <row r="408" spans="1:8" ht="12.75" hidden="1">
      <c r="A408" s="86">
        <v>407</v>
      </c>
      <c r="B408" s="86" t="s">
        <v>7962</v>
      </c>
      <c r="C408" s="86" t="str">
        <f t="shared" si="0"/>
        <v>564802</v>
      </c>
      <c r="D408" s="86" t="str">
        <f>IF(VLOOKUP(C408,'Diferencias patrimonio 2023'!$C$2:$C$1020,1,FALSE)=C408,"Encontrado", "No")</f>
        <v>Encontrado</v>
      </c>
      <c r="E408" s="86" t="s">
        <v>7963</v>
      </c>
      <c r="F408" s="86" t="s">
        <v>93</v>
      </c>
      <c r="G408" s="86" t="s">
        <v>38</v>
      </c>
      <c r="H408" s="86" t="s">
        <v>7472</v>
      </c>
    </row>
    <row r="409" spans="1:8" ht="12.75" hidden="1">
      <c r="A409" s="86">
        <v>408</v>
      </c>
      <c r="B409" s="86" t="s">
        <v>7964</v>
      </c>
      <c r="C409" s="86" t="str">
        <f t="shared" si="0"/>
        <v>564803</v>
      </c>
      <c r="D409" s="86" t="str">
        <f>IF(VLOOKUP(C409,'Diferencias patrimonio 2023'!$C$2:$C$1020,1,FALSE)=C409,"Encontrado", "No")</f>
        <v>Encontrado</v>
      </c>
      <c r="E409" s="86" t="s">
        <v>7965</v>
      </c>
      <c r="F409" s="86" t="s">
        <v>93</v>
      </c>
      <c r="G409" s="86" t="s">
        <v>38</v>
      </c>
      <c r="H409" s="86" t="s">
        <v>7472</v>
      </c>
    </row>
    <row r="410" spans="1:8" ht="12.75" hidden="1">
      <c r="A410" s="86">
        <v>409</v>
      </c>
      <c r="B410" s="86" t="s">
        <v>3983</v>
      </c>
      <c r="C410" s="86" t="str">
        <f t="shared" si="0"/>
        <v>564804</v>
      </c>
      <c r="D410" s="86" t="str">
        <f>IF(VLOOKUP(C410,'Diferencias patrimonio 2023'!$C$2:$C$1020,1,FALSE)=C410,"Encontrado", "No")</f>
        <v>Encontrado</v>
      </c>
      <c r="E410" s="86" t="s">
        <v>7966</v>
      </c>
      <c r="F410" s="86" t="s">
        <v>93</v>
      </c>
      <c r="G410" s="86" t="s">
        <v>38</v>
      </c>
      <c r="H410" s="86" t="s">
        <v>3984</v>
      </c>
    </row>
    <row r="411" spans="1:8" ht="12.75" hidden="1">
      <c r="A411" s="86">
        <v>410</v>
      </c>
      <c r="B411" s="86" t="s">
        <v>7967</v>
      </c>
      <c r="C411" s="86" t="str">
        <f t="shared" si="0"/>
        <v>564805</v>
      </c>
      <c r="D411" s="86" t="str">
        <f>IF(VLOOKUP(C411,'Diferencias patrimonio 2023'!$C$2:$C$1020,1,FALSE)=C411,"Encontrado", "No")</f>
        <v>Encontrado</v>
      </c>
      <c r="E411" s="86" t="s">
        <v>7968</v>
      </c>
      <c r="F411" s="86" t="s">
        <v>93</v>
      </c>
      <c r="G411" s="86" t="s">
        <v>38</v>
      </c>
      <c r="H411" s="86" t="s">
        <v>4057</v>
      </c>
    </row>
    <row r="412" spans="1:8" ht="12.75" hidden="1">
      <c r="A412" s="86">
        <v>411</v>
      </c>
      <c r="B412" s="86" t="s">
        <v>7969</v>
      </c>
      <c r="C412" s="86" t="str">
        <f t="shared" si="0"/>
        <v>564806</v>
      </c>
      <c r="D412" s="86" t="str">
        <f>IF(VLOOKUP(C412,'Diferencias patrimonio 2023'!$C$2:$C$1020,1,FALSE)=C412,"Encontrado", "No")</f>
        <v>Encontrado</v>
      </c>
      <c r="E412" s="86" t="s">
        <v>7970</v>
      </c>
      <c r="F412" s="86" t="s">
        <v>93</v>
      </c>
      <c r="G412" s="86" t="s">
        <v>38</v>
      </c>
      <c r="H412" s="86" t="s">
        <v>4057</v>
      </c>
    </row>
    <row r="413" spans="1:8" ht="12.75" hidden="1">
      <c r="A413" s="86">
        <v>412</v>
      </c>
      <c r="B413" s="86" t="s">
        <v>7971</v>
      </c>
      <c r="C413" s="86" t="str">
        <f t="shared" si="0"/>
        <v>564807</v>
      </c>
      <c r="D413" s="86" t="str">
        <f>IF(VLOOKUP(C413,'Diferencias patrimonio 2023'!$C$2:$C$1020,1,FALSE)=C413,"Encontrado", "No")</f>
        <v>Encontrado</v>
      </c>
      <c r="E413" s="86" t="s">
        <v>7972</v>
      </c>
      <c r="F413" s="86" t="s">
        <v>93</v>
      </c>
      <c r="G413" s="86" t="s">
        <v>38</v>
      </c>
      <c r="H413" s="86" t="s">
        <v>3450</v>
      </c>
    </row>
    <row r="414" spans="1:8" ht="12.75" hidden="1">
      <c r="A414" s="86">
        <v>413</v>
      </c>
      <c r="B414" s="86" t="s">
        <v>4491</v>
      </c>
      <c r="C414" s="86" t="str">
        <f t="shared" si="0"/>
        <v>564808</v>
      </c>
      <c r="D414" s="86" t="str">
        <f>IF(VLOOKUP(C414,'Diferencias patrimonio 2023'!$C$2:$C$1020,1,FALSE)=C414,"Encontrado", "No")</f>
        <v>Encontrado</v>
      </c>
      <c r="E414" s="86" t="s">
        <v>7973</v>
      </c>
      <c r="F414" s="86" t="s">
        <v>93</v>
      </c>
      <c r="G414" s="86" t="s">
        <v>38</v>
      </c>
      <c r="H414" s="86" t="s">
        <v>4492</v>
      </c>
    </row>
    <row r="415" spans="1:8" ht="12.75" hidden="1">
      <c r="A415" s="86">
        <v>414</v>
      </c>
      <c r="B415" s="86" t="s">
        <v>7974</v>
      </c>
      <c r="C415" s="86" t="str">
        <f t="shared" si="0"/>
        <v>564817</v>
      </c>
      <c r="D415" s="86" t="str">
        <f>IF(VLOOKUP(C415,'Diferencias patrimonio 2023'!$C$2:$C$1020,1,FALSE)=C415,"Encontrado", "No")</f>
        <v>Encontrado</v>
      </c>
      <c r="E415" s="86" t="s">
        <v>7975</v>
      </c>
      <c r="F415" s="86" t="s">
        <v>93</v>
      </c>
      <c r="G415" s="86" t="s">
        <v>38</v>
      </c>
      <c r="H415" s="86" t="s">
        <v>1597</v>
      </c>
    </row>
    <row r="416" spans="1:8" ht="12.75" hidden="1">
      <c r="A416" s="86">
        <v>415</v>
      </c>
      <c r="B416" s="86" t="s">
        <v>1901</v>
      </c>
      <c r="C416" s="86" t="str">
        <f t="shared" si="0"/>
        <v>564818</v>
      </c>
      <c r="D416" s="86" t="str">
        <f>IF(VLOOKUP(C416,'Diferencias patrimonio 2023'!$C$2:$C$1020,1,FALSE)=C416,"Encontrado", "No")</f>
        <v>Encontrado</v>
      </c>
      <c r="E416" s="86" t="s">
        <v>7976</v>
      </c>
      <c r="F416" s="86" t="s">
        <v>93</v>
      </c>
      <c r="G416" s="86" t="s">
        <v>38</v>
      </c>
      <c r="H416" s="86" t="s">
        <v>1890</v>
      </c>
    </row>
    <row r="417" spans="1:8" ht="12.75" hidden="1">
      <c r="A417" s="86">
        <v>416</v>
      </c>
      <c r="B417" s="86" t="s">
        <v>1836</v>
      </c>
      <c r="C417" s="86" t="str">
        <f t="shared" si="0"/>
        <v>564819</v>
      </c>
      <c r="D417" s="86" t="str">
        <f>IF(VLOOKUP(C417,'Diferencias patrimonio 2023'!$C$2:$C$1020,1,FALSE)=C417,"Encontrado", "No")</f>
        <v>Encontrado</v>
      </c>
      <c r="E417" s="86" t="s">
        <v>7977</v>
      </c>
      <c r="F417" s="86" t="s">
        <v>93</v>
      </c>
      <c r="G417" s="86" t="s">
        <v>38</v>
      </c>
      <c r="H417" s="86" t="s">
        <v>1550</v>
      </c>
    </row>
    <row r="418" spans="1:8" ht="12.75" hidden="1">
      <c r="A418" s="86">
        <v>417</v>
      </c>
      <c r="B418" s="86" t="s">
        <v>1771</v>
      </c>
      <c r="C418" s="86" t="str">
        <f t="shared" si="0"/>
        <v>564820</v>
      </c>
      <c r="D418" s="86" t="str">
        <f>IF(VLOOKUP(C418,'Diferencias patrimonio 2023'!$C$2:$C$1020,1,FALSE)=C418,"Encontrado", "No")</f>
        <v>Encontrado</v>
      </c>
      <c r="E418" s="86" t="s">
        <v>7978</v>
      </c>
      <c r="F418" s="86" t="s">
        <v>93</v>
      </c>
      <c r="G418" s="86" t="s">
        <v>38</v>
      </c>
      <c r="H418" s="86" t="s">
        <v>1672</v>
      </c>
    </row>
    <row r="419" spans="1:8" ht="12.75" hidden="1">
      <c r="A419" s="86">
        <v>418</v>
      </c>
      <c r="B419" s="86" t="s">
        <v>7979</v>
      </c>
      <c r="C419" s="86" t="str">
        <f t="shared" si="0"/>
        <v>564824</v>
      </c>
      <c r="D419" s="86" t="str">
        <f>IF(VLOOKUP(C419,'Diferencias patrimonio 2023'!$C$2:$C$1020,1,FALSE)=C419,"Encontrado", "No")</f>
        <v>Encontrado</v>
      </c>
      <c r="E419" s="86" t="s">
        <v>7980</v>
      </c>
      <c r="F419" s="86" t="s">
        <v>93</v>
      </c>
      <c r="G419" s="86" t="s">
        <v>38</v>
      </c>
      <c r="H419" s="86" t="s">
        <v>1597</v>
      </c>
    </row>
    <row r="420" spans="1:8" ht="12.75" hidden="1">
      <c r="A420" s="86">
        <v>419</v>
      </c>
      <c r="B420" s="86" t="s">
        <v>7981</v>
      </c>
      <c r="C420" s="86" t="str">
        <f t="shared" si="0"/>
        <v>564825</v>
      </c>
      <c r="D420" s="86" t="str">
        <f>IF(VLOOKUP(C420,'Diferencias patrimonio 2023'!$C$2:$C$1020,1,FALSE)=C420,"Encontrado", "No")</f>
        <v>Encontrado</v>
      </c>
      <c r="E420" s="86" t="s">
        <v>7982</v>
      </c>
      <c r="F420" s="86" t="s">
        <v>93</v>
      </c>
      <c r="G420" s="86" t="s">
        <v>38</v>
      </c>
      <c r="H420" s="86" t="s">
        <v>3450</v>
      </c>
    </row>
    <row r="421" spans="1:8" ht="12.75" hidden="1">
      <c r="A421" s="86">
        <v>420</v>
      </c>
      <c r="B421" s="86" t="s">
        <v>987</v>
      </c>
      <c r="C421" s="86" t="str">
        <f t="shared" si="0"/>
        <v>564826</v>
      </c>
      <c r="D421" s="86" t="str">
        <f>IF(VLOOKUP(C421,'Diferencias patrimonio 2023'!$C$2:$C$1020,1,FALSE)=C421,"Encontrado", "No")</f>
        <v>Encontrado</v>
      </c>
      <c r="E421" s="86" t="s">
        <v>7983</v>
      </c>
      <c r="F421" s="86" t="s">
        <v>93</v>
      </c>
      <c r="G421" s="86" t="s">
        <v>38</v>
      </c>
      <c r="H421" s="86" t="s">
        <v>7441</v>
      </c>
    </row>
    <row r="422" spans="1:8" ht="12.75" hidden="1">
      <c r="A422" s="86">
        <v>421</v>
      </c>
      <c r="B422" s="86" t="s">
        <v>5260</v>
      </c>
      <c r="C422" s="86" t="str">
        <f t="shared" si="0"/>
        <v>564828</v>
      </c>
      <c r="D422" s="86" t="str">
        <f>IF(VLOOKUP(C422,'Diferencias patrimonio 2023'!$C$2:$C$1020,1,FALSE)=C422,"Encontrado", "No")</f>
        <v>Encontrado</v>
      </c>
      <c r="E422" s="86" t="s">
        <v>7984</v>
      </c>
      <c r="F422" s="86" t="s">
        <v>93</v>
      </c>
      <c r="G422" s="86" t="s">
        <v>38</v>
      </c>
      <c r="H422" s="86" t="s">
        <v>5223</v>
      </c>
    </row>
    <row r="423" spans="1:8" ht="12.75">
      <c r="A423" s="86">
        <v>422</v>
      </c>
      <c r="B423" s="86" t="s">
        <v>7324</v>
      </c>
      <c r="C423" s="86" t="str">
        <f t="shared" si="0"/>
        <v>564829</v>
      </c>
      <c r="D423" s="86" t="e">
        <f>IF(VLOOKUP(C423,'Diferencias patrimonio 2023'!$C$2:$C$1020,1,FALSE)=C423,"Encontrado", "No")</f>
        <v>#N/A</v>
      </c>
      <c r="E423" s="86" t="s">
        <v>7985</v>
      </c>
      <c r="F423" s="86" t="s">
        <v>93</v>
      </c>
      <c r="G423" s="86" t="s">
        <v>38</v>
      </c>
      <c r="H423" s="86" t="s">
        <v>1597</v>
      </c>
    </row>
    <row r="424" spans="1:8" ht="12.75" hidden="1">
      <c r="A424" s="86">
        <v>423</v>
      </c>
      <c r="B424" s="86" t="s">
        <v>2227</v>
      </c>
      <c r="C424" s="86" t="str">
        <f t="shared" si="0"/>
        <v>564830</v>
      </c>
      <c r="D424" s="86" t="str">
        <f>IF(VLOOKUP(C424,'Diferencias patrimonio 2023'!$C$2:$C$1020,1,FALSE)=C424,"Encontrado", "No")</f>
        <v>Encontrado</v>
      </c>
      <c r="E424" s="86" t="s">
        <v>7986</v>
      </c>
      <c r="F424" s="86" t="s">
        <v>93</v>
      </c>
      <c r="G424" s="86" t="s">
        <v>38</v>
      </c>
      <c r="H424" s="86" t="s">
        <v>2052</v>
      </c>
    </row>
    <row r="425" spans="1:8" ht="12.75" hidden="1">
      <c r="A425" s="86">
        <v>424</v>
      </c>
      <c r="B425" s="86" t="s">
        <v>5868</v>
      </c>
      <c r="C425" s="86" t="str">
        <f t="shared" si="0"/>
        <v>564831</v>
      </c>
      <c r="D425" s="86" t="str">
        <f>IF(VLOOKUP(C425,'Diferencias patrimonio 2023'!$C$2:$C$1020,1,FALSE)=C425,"Encontrado", "No")</f>
        <v>Encontrado</v>
      </c>
      <c r="E425" s="86" t="s">
        <v>7987</v>
      </c>
      <c r="F425" s="86" t="s">
        <v>93</v>
      </c>
      <c r="G425" s="86" t="s">
        <v>38</v>
      </c>
      <c r="H425" s="86" t="s">
        <v>7398</v>
      </c>
    </row>
    <row r="426" spans="1:8" ht="12.75" hidden="1">
      <c r="A426" s="86">
        <v>425</v>
      </c>
      <c r="B426" s="86" t="s">
        <v>376</v>
      </c>
      <c r="C426" s="86" t="str">
        <f t="shared" si="0"/>
        <v>564832</v>
      </c>
      <c r="D426" s="86" t="str">
        <f>IF(VLOOKUP(C426,'Diferencias patrimonio 2023'!$C$2:$C$1020,1,FALSE)=C426,"Encontrado", "No")</f>
        <v>Encontrado</v>
      </c>
      <c r="E426" s="86" t="s">
        <v>7988</v>
      </c>
      <c r="F426" s="86" t="s">
        <v>93</v>
      </c>
      <c r="G426" s="86" t="s">
        <v>38</v>
      </c>
      <c r="H426" s="86" t="s">
        <v>332</v>
      </c>
    </row>
    <row r="427" spans="1:8" ht="12.75" hidden="1">
      <c r="A427" s="86">
        <v>426</v>
      </c>
      <c r="B427" s="86" t="s">
        <v>1385</v>
      </c>
      <c r="C427" s="86" t="str">
        <f t="shared" si="0"/>
        <v>564833</v>
      </c>
      <c r="D427" s="86" t="str">
        <f>IF(VLOOKUP(C427,'Diferencias patrimonio 2023'!$C$2:$C$1020,1,FALSE)=C427,"Encontrado", "No")</f>
        <v>Encontrado</v>
      </c>
      <c r="E427" s="86" t="s">
        <v>7989</v>
      </c>
      <c r="F427" s="86" t="s">
        <v>93</v>
      </c>
      <c r="G427" s="86" t="s">
        <v>38</v>
      </c>
      <c r="H427" s="86" t="s">
        <v>1386</v>
      </c>
    </row>
    <row r="428" spans="1:8" ht="12.75" hidden="1">
      <c r="A428" s="86">
        <v>427</v>
      </c>
      <c r="B428" s="86" t="s">
        <v>7990</v>
      </c>
      <c r="C428" s="86" t="str">
        <f t="shared" si="0"/>
        <v>564835</v>
      </c>
      <c r="D428" s="86" t="str">
        <f>IF(VLOOKUP(C428,'Diferencias patrimonio 2023'!$C$2:$C$1020,1,FALSE)=C428,"Encontrado", "No")</f>
        <v>Encontrado</v>
      </c>
      <c r="E428" s="86" t="s">
        <v>7991</v>
      </c>
      <c r="F428" s="86" t="s">
        <v>93</v>
      </c>
      <c r="G428" s="86" t="s">
        <v>38</v>
      </c>
      <c r="H428" s="86" t="s">
        <v>7398</v>
      </c>
    </row>
    <row r="429" spans="1:8" ht="12.75" hidden="1">
      <c r="A429" s="86">
        <v>428</v>
      </c>
      <c r="B429" s="86" t="s">
        <v>4373</v>
      </c>
      <c r="C429" s="86" t="str">
        <f t="shared" si="0"/>
        <v>564844</v>
      </c>
      <c r="D429" s="86" t="str">
        <f>IF(VLOOKUP(C429,'Diferencias patrimonio 2023'!$C$2:$C$1020,1,FALSE)=C429,"Encontrado", "No")</f>
        <v>Encontrado</v>
      </c>
      <c r="E429" s="86" t="s">
        <v>7992</v>
      </c>
      <c r="F429" s="86" t="s">
        <v>93</v>
      </c>
      <c r="G429" s="86" t="s">
        <v>38</v>
      </c>
      <c r="H429" s="86" t="s">
        <v>7696</v>
      </c>
    </row>
    <row r="430" spans="1:8" ht="12.75" hidden="1">
      <c r="A430" s="86">
        <v>429</v>
      </c>
      <c r="B430" s="86" t="s">
        <v>447</v>
      </c>
      <c r="C430" s="86" t="str">
        <f t="shared" si="0"/>
        <v>564845</v>
      </c>
      <c r="D430" s="86" t="str">
        <f>IF(VLOOKUP(C430,'Diferencias patrimonio 2023'!$C$2:$C$1020,1,FALSE)=C430,"Encontrado", "No")</f>
        <v>Encontrado</v>
      </c>
      <c r="E430" s="86" t="s">
        <v>7993</v>
      </c>
      <c r="F430" s="86" t="s">
        <v>93</v>
      </c>
      <c r="G430" s="86" t="s">
        <v>38</v>
      </c>
      <c r="H430" s="86" t="s">
        <v>7398</v>
      </c>
    </row>
    <row r="431" spans="1:8" ht="12.75">
      <c r="A431" s="86">
        <v>430</v>
      </c>
      <c r="B431" s="86" t="s">
        <v>7325</v>
      </c>
      <c r="C431" s="86" t="str">
        <f t="shared" si="0"/>
        <v>564846</v>
      </c>
      <c r="D431" s="86" t="e">
        <f>IF(VLOOKUP(C431,'Diferencias patrimonio 2023'!$C$2:$C$1020,1,FALSE)=C431,"Encontrado", "No")</f>
        <v>#N/A</v>
      </c>
      <c r="E431" s="86" t="s">
        <v>7994</v>
      </c>
      <c r="F431" s="86" t="s">
        <v>93</v>
      </c>
      <c r="G431" s="86" t="s">
        <v>38</v>
      </c>
      <c r="H431" s="86" t="s">
        <v>7398</v>
      </c>
    </row>
    <row r="432" spans="1:8" ht="12.75" hidden="1">
      <c r="A432" s="86">
        <v>431</v>
      </c>
      <c r="B432" s="86" t="s">
        <v>6237</v>
      </c>
      <c r="C432" s="86" t="str">
        <f t="shared" si="0"/>
        <v>564847</v>
      </c>
      <c r="D432" s="86" t="str">
        <f>IF(VLOOKUP(C432,'Diferencias patrimonio 2023'!$C$2:$C$1020,1,FALSE)=C432,"Encontrado", "No")</f>
        <v>Encontrado</v>
      </c>
      <c r="E432" s="86" t="s">
        <v>7995</v>
      </c>
      <c r="F432" s="86" t="s">
        <v>93</v>
      </c>
      <c r="G432" s="86" t="s">
        <v>38</v>
      </c>
      <c r="H432" s="86" t="s">
        <v>7398</v>
      </c>
    </row>
    <row r="433" spans="1:8" ht="12.75" hidden="1">
      <c r="A433" s="86">
        <v>432</v>
      </c>
      <c r="B433" s="86" t="s">
        <v>874</v>
      </c>
      <c r="C433" s="86" t="str">
        <f t="shared" si="0"/>
        <v>564848</v>
      </c>
      <c r="D433" s="86" t="str">
        <f>IF(VLOOKUP(C433,'Diferencias patrimonio 2023'!$C$2:$C$1020,1,FALSE)=C433,"Encontrado", "No")</f>
        <v>Encontrado</v>
      </c>
      <c r="E433" s="86" t="s">
        <v>7996</v>
      </c>
      <c r="F433" s="86" t="s">
        <v>93</v>
      </c>
      <c r="G433" s="86" t="s">
        <v>38</v>
      </c>
      <c r="H433" s="86" t="s">
        <v>7398</v>
      </c>
    </row>
    <row r="434" spans="1:8" ht="12.75" hidden="1">
      <c r="A434" s="86">
        <v>433</v>
      </c>
      <c r="B434" s="86" t="s">
        <v>770</v>
      </c>
      <c r="C434" s="86" t="str">
        <f t="shared" si="0"/>
        <v>564855</v>
      </c>
      <c r="D434" s="86" t="str">
        <f>IF(VLOOKUP(C434,'Diferencias patrimonio 2023'!$C$2:$C$1020,1,FALSE)=C434,"Encontrado", "No")</f>
        <v>Encontrado</v>
      </c>
      <c r="E434" s="86" t="s">
        <v>7997</v>
      </c>
      <c r="F434" s="86" t="s">
        <v>93</v>
      </c>
      <c r="G434" s="86" t="s">
        <v>38</v>
      </c>
      <c r="H434" s="86" t="s">
        <v>848</v>
      </c>
    </row>
    <row r="435" spans="1:8" ht="12.75" hidden="1">
      <c r="A435" s="86">
        <v>434</v>
      </c>
      <c r="B435" s="86" t="s">
        <v>3342</v>
      </c>
      <c r="C435" s="86" t="str">
        <f t="shared" si="0"/>
        <v>564860</v>
      </c>
      <c r="D435" s="86" t="str">
        <f>IF(VLOOKUP(C435,'Diferencias patrimonio 2023'!$C$2:$C$1020,1,FALSE)=C435,"Encontrado", "No")</f>
        <v>Encontrado</v>
      </c>
      <c r="E435" s="86" t="s">
        <v>7998</v>
      </c>
      <c r="F435" s="86" t="s">
        <v>93</v>
      </c>
      <c r="G435" s="86" t="s">
        <v>38</v>
      </c>
      <c r="H435" s="86" t="s">
        <v>7434</v>
      </c>
    </row>
    <row r="436" spans="1:8" ht="12.75" hidden="1">
      <c r="A436" s="86">
        <v>435</v>
      </c>
      <c r="B436" s="86" t="s">
        <v>5818</v>
      </c>
      <c r="C436" s="86" t="str">
        <f t="shared" si="0"/>
        <v>564861</v>
      </c>
      <c r="D436" s="86" t="str">
        <f>IF(VLOOKUP(C436,'Diferencias patrimonio 2023'!$C$2:$C$1020,1,FALSE)=C436,"Encontrado", "No")</f>
        <v>Encontrado</v>
      </c>
      <c r="E436" s="86" t="s">
        <v>7999</v>
      </c>
      <c r="F436" s="86" t="s">
        <v>93</v>
      </c>
      <c r="G436" s="86" t="s">
        <v>38</v>
      </c>
      <c r="H436" s="86" t="s">
        <v>7398</v>
      </c>
    </row>
    <row r="437" spans="1:8" ht="12.75" hidden="1">
      <c r="A437" s="86">
        <v>436</v>
      </c>
      <c r="B437" s="86" t="s">
        <v>5124</v>
      </c>
      <c r="C437" s="86" t="str">
        <f t="shared" si="0"/>
        <v>564862</v>
      </c>
      <c r="D437" s="86" t="str">
        <f>IF(VLOOKUP(C437,'Diferencias patrimonio 2023'!$C$2:$C$1020,1,FALSE)=C437,"Encontrado", "No")</f>
        <v>Encontrado</v>
      </c>
      <c r="E437" s="86" t="s">
        <v>8000</v>
      </c>
      <c r="F437" s="86" t="s">
        <v>93</v>
      </c>
      <c r="G437" s="86" t="s">
        <v>38</v>
      </c>
      <c r="H437" s="86" t="s">
        <v>7398</v>
      </c>
    </row>
    <row r="438" spans="1:8" ht="12.75" hidden="1">
      <c r="A438" s="86">
        <v>437</v>
      </c>
      <c r="B438" s="86" t="s">
        <v>5751</v>
      </c>
      <c r="C438" s="86" t="str">
        <f t="shared" si="0"/>
        <v>564863</v>
      </c>
      <c r="D438" s="86" t="str">
        <f>IF(VLOOKUP(C438,'Diferencias patrimonio 2023'!$C$2:$C$1020,1,FALSE)=C438,"Encontrado", "No")</f>
        <v>Encontrado</v>
      </c>
      <c r="E438" s="86" t="s">
        <v>8001</v>
      </c>
      <c r="F438" s="86" t="s">
        <v>93</v>
      </c>
      <c r="G438" s="86" t="s">
        <v>38</v>
      </c>
      <c r="H438" s="86" t="s">
        <v>7398</v>
      </c>
    </row>
    <row r="439" spans="1:8" ht="12.75" hidden="1">
      <c r="A439" s="86">
        <v>438</v>
      </c>
      <c r="B439" s="86" t="s">
        <v>4839</v>
      </c>
      <c r="C439" s="86" t="str">
        <f t="shared" si="0"/>
        <v>564864</v>
      </c>
      <c r="D439" s="86" t="str">
        <f>IF(VLOOKUP(C439,'Diferencias patrimonio 2023'!$C$2:$C$1020,1,FALSE)=C439,"Encontrado", "No")</f>
        <v>Encontrado</v>
      </c>
      <c r="E439" s="86" t="s">
        <v>8002</v>
      </c>
      <c r="F439" s="86" t="s">
        <v>93</v>
      </c>
      <c r="G439" s="86" t="s">
        <v>38</v>
      </c>
      <c r="H439" s="86" t="s">
        <v>7414</v>
      </c>
    </row>
    <row r="440" spans="1:8" ht="12.75" hidden="1">
      <c r="A440" s="86">
        <v>439</v>
      </c>
      <c r="B440" s="86" t="s">
        <v>4784</v>
      </c>
      <c r="C440" s="86" t="str">
        <f t="shared" si="0"/>
        <v>564865</v>
      </c>
      <c r="D440" s="86" t="str">
        <f>IF(VLOOKUP(C440,'Diferencias patrimonio 2023'!$C$2:$C$1020,1,FALSE)=C440,"Encontrado", "No")</f>
        <v>Encontrado</v>
      </c>
      <c r="E440" s="86" t="s">
        <v>8003</v>
      </c>
      <c r="F440" s="86" t="s">
        <v>93</v>
      </c>
      <c r="G440" s="86" t="s">
        <v>38</v>
      </c>
      <c r="H440" s="86" t="s">
        <v>1004</v>
      </c>
    </row>
    <row r="441" spans="1:8" ht="12.75" hidden="1">
      <c r="A441" s="86">
        <v>440</v>
      </c>
      <c r="B441" s="86" t="s">
        <v>8004</v>
      </c>
      <c r="C441" s="86" t="str">
        <f t="shared" si="0"/>
        <v>564866</v>
      </c>
      <c r="D441" s="86" t="str">
        <f>IF(VLOOKUP(C441,'Diferencias patrimonio 2023'!$C$2:$C$1020,1,FALSE)=C441,"Encontrado", "No")</f>
        <v>Encontrado</v>
      </c>
      <c r="E441" s="86" t="s">
        <v>8005</v>
      </c>
      <c r="F441" s="86" t="s">
        <v>93</v>
      </c>
      <c r="G441" s="86" t="s">
        <v>38</v>
      </c>
      <c r="H441" s="86" t="s">
        <v>1004</v>
      </c>
    </row>
    <row r="442" spans="1:8" ht="12.75" hidden="1">
      <c r="A442" s="86">
        <v>441</v>
      </c>
      <c r="B442" s="86" t="s">
        <v>8006</v>
      </c>
      <c r="C442" s="86" t="str">
        <f t="shared" si="0"/>
        <v>564867</v>
      </c>
      <c r="D442" s="86" t="str">
        <f>IF(VLOOKUP(C442,'Diferencias patrimonio 2023'!$C$2:$C$1020,1,FALSE)=C442,"Encontrado", "No")</f>
        <v>Encontrado</v>
      </c>
      <c r="E442" s="86" t="s">
        <v>8007</v>
      </c>
      <c r="F442" s="86" t="s">
        <v>93</v>
      </c>
      <c r="G442" s="86" t="s">
        <v>38</v>
      </c>
      <c r="H442" s="86" t="s">
        <v>7411</v>
      </c>
    </row>
    <row r="443" spans="1:8" ht="12.75" hidden="1">
      <c r="A443" s="86">
        <v>442</v>
      </c>
      <c r="B443" s="86" t="s">
        <v>399</v>
      </c>
      <c r="C443" s="86" t="str">
        <f t="shared" si="0"/>
        <v>564868</v>
      </c>
      <c r="D443" s="86" t="str">
        <f>IF(VLOOKUP(C443,'Diferencias patrimonio 2023'!$C$2:$C$1020,1,FALSE)=C443,"Encontrado", "No")</f>
        <v>Encontrado</v>
      </c>
      <c r="E443" s="86" t="s">
        <v>8008</v>
      </c>
      <c r="F443" s="86" t="s">
        <v>93</v>
      </c>
      <c r="G443" s="86" t="s">
        <v>38</v>
      </c>
      <c r="H443" s="86" t="s">
        <v>7398</v>
      </c>
    </row>
    <row r="444" spans="1:8" ht="12.75" hidden="1">
      <c r="A444" s="86">
        <v>443</v>
      </c>
      <c r="B444" s="86" t="s">
        <v>5811</v>
      </c>
      <c r="C444" s="86" t="str">
        <f t="shared" si="0"/>
        <v>564869</v>
      </c>
      <c r="D444" s="86" t="str">
        <f>IF(VLOOKUP(C444,'Diferencias patrimonio 2023'!$C$2:$C$1020,1,FALSE)=C444,"Encontrado", "No")</f>
        <v>Encontrado</v>
      </c>
      <c r="E444" s="86" t="s">
        <v>8009</v>
      </c>
      <c r="F444" s="86" t="s">
        <v>93</v>
      </c>
      <c r="G444" s="86" t="s">
        <v>38</v>
      </c>
      <c r="H444" s="86" t="s">
        <v>7398</v>
      </c>
    </row>
    <row r="445" spans="1:8" ht="12.75">
      <c r="A445" s="86">
        <v>444</v>
      </c>
      <c r="B445" s="86" t="s">
        <v>8010</v>
      </c>
      <c r="C445" s="86" t="str">
        <f t="shared" si="0"/>
        <v>564878</v>
      </c>
      <c r="D445" s="86" t="e">
        <f>IF(VLOOKUP(C445,'Diferencias patrimonio 2023'!$C$2:$C$1020,1,FALSE)=C445,"Encontrado", "No")</f>
        <v>#N/A</v>
      </c>
      <c r="E445" s="86" t="s">
        <v>8011</v>
      </c>
      <c r="F445" s="86" t="s">
        <v>93</v>
      </c>
      <c r="G445" s="86" t="s">
        <v>38</v>
      </c>
      <c r="H445" s="86" t="s">
        <v>6062</v>
      </c>
    </row>
    <row r="446" spans="1:8" ht="12.75">
      <c r="A446" s="86">
        <v>445</v>
      </c>
      <c r="B446" s="86" t="s">
        <v>7312</v>
      </c>
      <c r="C446" s="86" t="str">
        <f t="shared" si="0"/>
        <v>564879</v>
      </c>
      <c r="D446" s="86" t="e">
        <f>IF(VLOOKUP(C446,'Diferencias patrimonio 2023'!$C$2:$C$1020,1,FALSE)=C446,"Encontrado", "No")</f>
        <v>#N/A</v>
      </c>
      <c r="E446" s="86" t="s">
        <v>8012</v>
      </c>
      <c r="F446" s="86" t="s">
        <v>93</v>
      </c>
      <c r="G446" s="86" t="s">
        <v>38</v>
      </c>
      <c r="H446" s="86" t="s">
        <v>7411</v>
      </c>
    </row>
    <row r="447" spans="1:8" ht="12.75" hidden="1">
      <c r="A447" s="86">
        <v>446</v>
      </c>
      <c r="B447" s="86" t="s">
        <v>777</v>
      </c>
      <c r="C447" s="86" t="str">
        <f t="shared" si="0"/>
        <v>564880</v>
      </c>
      <c r="D447" s="86" t="str">
        <f>IF(VLOOKUP(C447,'Diferencias patrimonio 2023'!$C$2:$C$1020,1,FALSE)=C447,"Encontrado", "No")</f>
        <v>Encontrado</v>
      </c>
      <c r="E447" s="86" t="s">
        <v>8013</v>
      </c>
      <c r="F447" s="86" t="s">
        <v>93</v>
      </c>
      <c r="G447" s="86" t="s">
        <v>38</v>
      </c>
      <c r="H447" s="86" t="s">
        <v>6062</v>
      </c>
    </row>
    <row r="448" spans="1:8" ht="12.75" hidden="1">
      <c r="A448" s="86">
        <v>447</v>
      </c>
      <c r="B448" s="86" t="s">
        <v>4363</v>
      </c>
      <c r="C448" s="86" t="str">
        <f t="shared" si="0"/>
        <v>564881</v>
      </c>
      <c r="D448" s="86" t="str">
        <f>IF(VLOOKUP(C448,'Diferencias patrimonio 2023'!$C$2:$C$1020,1,FALSE)=C448,"Encontrado", "No")</f>
        <v>Encontrado</v>
      </c>
      <c r="E448" s="86" t="s">
        <v>8014</v>
      </c>
      <c r="F448" s="86" t="s">
        <v>93</v>
      </c>
      <c r="G448" s="86" t="s">
        <v>38</v>
      </c>
      <c r="H448" s="86" t="s">
        <v>7696</v>
      </c>
    </row>
    <row r="449" spans="1:8" ht="12.75" hidden="1">
      <c r="A449" s="86">
        <v>448</v>
      </c>
      <c r="B449" s="86" t="s">
        <v>127</v>
      </c>
      <c r="C449" s="86" t="str">
        <f t="shared" si="0"/>
        <v>564882</v>
      </c>
      <c r="D449" s="86" t="str">
        <f>IF(VLOOKUP(C449,'Diferencias patrimonio 2023'!$C$2:$C$1020,1,FALSE)=C449,"Encontrado", "No")</f>
        <v>Encontrado</v>
      </c>
      <c r="E449" s="86" t="s">
        <v>8015</v>
      </c>
      <c r="F449" s="86" t="s">
        <v>93</v>
      </c>
      <c r="G449" s="86" t="s">
        <v>38</v>
      </c>
      <c r="H449" s="86" t="s">
        <v>7398</v>
      </c>
    </row>
    <row r="450" spans="1:8" ht="12.75">
      <c r="A450" s="86">
        <v>449</v>
      </c>
      <c r="B450" s="86" t="s">
        <v>7296</v>
      </c>
      <c r="C450" s="86" t="str">
        <f t="shared" si="0"/>
        <v>564883</v>
      </c>
      <c r="D450" s="86" t="e">
        <f>IF(VLOOKUP(C450,'Diferencias patrimonio 2023'!$C$2:$C$1020,1,FALSE)=C450,"Encontrado", "No")</f>
        <v>#N/A</v>
      </c>
      <c r="E450" s="86" t="s">
        <v>8016</v>
      </c>
      <c r="F450" s="86" t="s">
        <v>43</v>
      </c>
      <c r="G450" s="86" t="s">
        <v>38</v>
      </c>
      <c r="H450" s="86" t="s">
        <v>4935</v>
      </c>
    </row>
    <row r="451" spans="1:8" ht="12.75">
      <c r="A451" s="86">
        <v>450</v>
      </c>
      <c r="B451" s="86" t="s">
        <v>7271</v>
      </c>
      <c r="C451" s="86" t="str">
        <f t="shared" si="0"/>
        <v>564884</v>
      </c>
      <c r="D451" s="86" t="e">
        <f>IF(VLOOKUP(C451,'Diferencias patrimonio 2023'!$C$2:$C$1020,1,FALSE)=C451,"Encontrado", "No")</f>
        <v>#N/A</v>
      </c>
      <c r="E451" s="86" t="s">
        <v>8017</v>
      </c>
      <c r="F451" s="86" t="s">
        <v>43</v>
      </c>
      <c r="G451" s="86" t="s">
        <v>38</v>
      </c>
      <c r="H451" s="86" t="s">
        <v>4935</v>
      </c>
    </row>
    <row r="452" spans="1:8" ht="12.75" hidden="1">
      <c r="A452" s="86">
        <v>451</v>
      </c>
      <c r="B452" s="86" t="s">
        <v>2588</v>
      </c>
      <c r="C452" s="86" t="str">
        <f t="shared" si="0"/>
        <v>564888</v>
      </c>
      <c r="D452" s="86" t="str">
        <f>IF(VLOOKUP(C452,'Diferencias patrimonio 2023'!$C$2:$C$1020,1,FALSE)=C452,"Encontrado", "No")</f>
        <v>Encontrado</v>
      </c>
      <c r="E452" s="86" t="s">
        <v>8018</v>
      </c>
      <c r="F452" s="86" t="s">
        <v>43</v>
      </c>
      <c r="G452" s="86" t="s">
        <v>38</v>
      </c>
      <c r="H452" s="86" t="s">
        <v>2552</v>
      </c>
    </row>
    <row r="453" spans="1:8" ht="12.75">
      <c r="A453" s="86">
        <v>452</v>
      </c>
      <c r="B453" s="86" t="s">
        <v>7276</v>
      </c>
      <c r="C453" s="86" t="str">
        <f t="shared" si="0"/>
        <v>564889</v>
      </c>
      <c r="D453" s="86" t="e">
        <f>IF(VLOOKUP(C453,'Diferencias patrimonio 2023'!$C$2:$C$1020,1,FALSE)=C453,"Encontrado", "No")</f>
        <v>#N/A</v>
      </c>
      <c r="E453" s="86" t="s">
        <v>8019</v>
      </c>
      <c r="F453" s="86" t="s">
        <v>43</v>
      </c>
      <c r="G453" s="86" t="s">
        <v>38</v>
      </c>
      <c r="H453" s="86" t="s">
        <v>1477</v>
      </c>
    </row>
    <row r="454" spans="1:8" ht="12.75">
      <c r="A454" s="86">
        <v>453</v>
      </c>
      <c r="B454" s="86" t="s">
        <v>8020</v>
      </c>
      <c r="C454" s="86" t="str">
        <f t="shared" si="0"/>
        <v>564890</v>
      </c>
      <c r="D454" s="86" t="e">
        <f>IF(VLOOKUP(C454,'Diferencias patrimonio 2023'!$C$2:$C$1020,1,FALSE)=C454,"Encontrado", "No")</f>
        <v>#N/A</v>
      </c>
      <c r="E454" s="86" t="s">
        <v>8021</v>
      </c>
      <c r="F454" s="86" t="s">
        <v>43</v>
      </c>
      <c r="G454" s="86" t="s">
        <v>38</v>
      </c>
      <c r="H454" s="86" t="s">
        <v>1477</v>
      </c>
    </row>
    <row r="455" spans="1:8" ht="12.75" hidden="1">
      <c r="A455" s="86">
        <v>454</v>
      </c>
      <c r="B455" s="86" t="s">
        <v>4010</v>
      </c>
      <c r="C455" s="86" t="str">
        <f t="shared" si="0"/>
        <v>564891</v>
      </c>
      <c r="D455" s="86" t="str">
        <f>IF(VLOOKUP(C455,'Diferencias patrimonio 2023'!$C$2:$C$1020,1,FALSE)=C455,"Encontrado", "No")</f>
        <v>Encontrado</v>
      </c>
      <c r="E455" s="86" t="s">
        <v>8022</v>
      </c>
      <c r="F455" s="86" t="s">
        <v>43</v>
      </c>
      <c r="G455" s="86" t="s">
        <v>38</v>
      </c>
      <c r="H455" s="86" t="s">
        <v>3984</v>
      </c>
    </row>
    <row r="456" spans="1:8" ht="12.75" hidden="1">
      <c r="A456" s="86">
        <v>455</v>
      </c>
      <c r="B456" s="86" t="s">
        <v>891</v>
      </c>
      <c r="C456" s="86" t="str">
        <f t="shared" si="0"/>
        <v>564892</v>
      </c>
      <c r="D456" s="86" t="str">
        <f>IF(VLOOKUP(C456,'Diferencias patrimonio 2023'!$C$2:$C$1020,1,FALSE)=C456,"Encontrado", "No")</f>
        <v>Encontrado</v>
      </c>
      <c r="E456" s="86" t="s">
        <v>8023</v>
      </c>
      <c r="F456" s="86" t="s">
        <v>43</v>
      </c>
      <c r="G456" s="86" t="s">
        <v>38</v>
      </c>
      <c r="H456" s="86" t="s">
        <v>7441</v>
      </c>
    </row>
    <row r="457" spans="1:8" ht="12.75" hidden="1">
      <c r="A457" s="86">
        <v>456</v>
      </c>
      <c r="B457" s="86" t="s">
        <v>4603</v>
      </c>
      <c r="C457" s="86" t="str">
        <f t="shared" si="0"/>
        <v>564893</v>
      </c>
      <c r="D457" s="86" t="str">
        <f>IF(VLOOKUP(C457,'Diferencias patrimonio 2023'!$C$2:$C$1020,1,FALSE)=C457,"Encontrado", "No")</f>
        <v>Encontrado</v>
      </c>
      <c r="E457" s="86" t="s">
        <v>8024</v>
      </c>
      <c r="F457" s="86" t="s">
        <v>43</v>
      </c>
      <c r="G457" s="86" t="s">
        <v>38</v>
      </c>
      <c r="H457" s="86" t="s">
        <v>7414</v>
      </c>
    </row>
    <row r="458" spans="1:8" ht="12.75" hidden="1">
      <c r="A458" s="86">
        <v>457</v>
      </c>
      <c r="B458" s="86" t="s">
        <v>1915</v>
      </c>
      <c r="C458" s="86" t="str">
        <f t="shared" si="0"/>
        <v>564895</v>
      </c>
      <c r="D458" s="86" t="str">
        <f>IF(VLOOKUP(C458,'Diferencias patrimonio 2023'!$C$2:$C$1020,1,FALSE)=C458,"Encontrado", "No")</f>
        <v>Encontrado</v>
      </c>
      <c r="E458" s="86" t="s">
        <v>8025</v>
      </c>
      <c r="F458" s="86" t="s">
        <v>43</v>
      </c>
      <c r="G458" s="86" t="s">
        <v>38</v>
      </c>
      <c r="H458" s="86" t="s">
        <v>1890</v>
      </c>
    </row>
    <row r="459" spans="1:8" ht="12.75" hidden="1">
      <c r="A459" s="86">
        <v>458</v>
      </c>
      <c r="B459" s="86" t="s">
        <v>4715</v>
      </c>
      <c r="C459" s="86" t="str">
        <f t="shared" si="0"/>
        <v>564896</v>
      </c>
      <c r="D459" s="86" t="str">
        <f>IF(VLOOKUP(C459,'Diferencias patrimonio 2023'!$C$2:$C$1020,1,FALSE)=C459,"Encontrado", "No")</f>
        <v>Encontrado</v>
      </c>
      <c r="E459" s="86" t="s">
        <v>8026</v>
      </c>
      <c r="F459" s="86" t="s">
        <v>62</v>
      </c>
      <c r="G459" s="86" t="s">
        <v>38</v>
      </c>
      <c r="H459" s="86" t="s">
        <v>7414</v>
      </c>
    </row>
    <row r="460" spans="1:8" ht="12.75" hidden="1">
      <c r="A460" s="86">
        <v>459</v>
      </c>
      <c r="B460" s="86" t="s">
        <v>4595</v>
      </c>
      <c r="C460" s="86" t="str">
        <f t="shared" si="0"/>
        <v>564901</v>
      </c>
      <c r="D460" s="86" t="str">
        <f>IF(VLOOKUP(C460,'Diferencias patrimonio 2023'!$C$2:$C$1020,1,FALSE)=C460,"Encontrado", "No")</f>
        <v>Encontrado</v>
      </c>
      <c r="E460" s="86" t="s">
        <v>8027</v>
      </c>
      <c r="F460" s="86" t="s">
        <v>62</v>
      </c>
      <c r="G460" s="86" t="s">
        <v>38</v>
      </c>
      <c r="H460" s="86" t="s">
        <v>7414</v>
      </c>
    </row>
    <row r="461" spans="1:8" ht="12.75" hidden="1">
      <c r="A461" s="86">
        <v>460</v>
      </c>
      <c r="B461" s="86" t="s">
        <v>5350</v>
      </c>
      <c r="C461" s="86" t="str">
        <f t="shared" si="0"/>
        <v>564903</v>
      </c>
      <c r="D461" s="86" t="str">
        <f>IF(VLOOKUP(C461,'Diferencias patrimonio 2023'!$C$2:$C$1020,1,FALSE)=C461,"Encontrado", "No")</f>
        <v>Encontrado</v>
      </c>
      <c r="E461" s="86" t="s">
        <v>8028</v>
      </c>
      <c r="F461" s="86" t="s">
        <v>116</v>
      </c>
      <c r="G461" s="86" t="s">
        <v>38</v>
      </c>
      <c r="H461" s="86" t="s">
        <v>4980</v>
      </c>
    </row>
    <row r="462" spans="1:8" ht="12.75" hidden="1">
      <c r="A462" s="86">
        <v>461</v>
      </c>
      <c r="B462" s="86" t="s">
        <v>8029</v>
      </c>
      <c r="C462" s="86" t="str">
        <f t="shared" si="0"/>
        <v>564904</v>
      </c>
      <c r="D462" s="86" t="str">
        <f>IF(VLOOKUP(C462,'Diferencias patrimonio 2023'!$C$2:$C$1020,1,FALSE)=C462,"Encontrado", "No")</f>
        <v>Encontrado</v>
      </c>
      <c r="E462" s="86" t="s">
        <v>8030</v>
      </c>
      <c r="F462" s="86" t="s">
        <v>116</v>
      </c>
      <c r="G462" s="86" t="s">
        <v>38</v>
      </c>
      <c r="H462" s="86" t="s">
        <v>4057</v>
      </c>
    </row>
    <row r="463" spans="1:8" ht="12.75" hidden="1">
      <c r="A463" s="86">
        <v>462</v>
      </c>
      <c r="B463" s="86" t="s">
        <v>3990</v>
      </c>
      <c r="C463" s="86" t="str">
        <f t="shared" si="0"/>
        <v>564905</v>
      </c>
      <c r="D463" s="86" t="str">
        <f>IF(VLOOKUP(C463,'Diferencias patrimonio 2023'!$C$2:$C$1020,1,FALSE)=C463,"Encontrado", "No")</f>
        <v>Encontrado</v>
      </c>
      <c r="E463" s="86" t="s">
        <v>8031</v>
      </c>
      <c r="F463" s="86" t="s">
        <v>116</v>
      </c>
      <c r="G463" s="86" t="s">
        <v>38</v>
      </c>
      <c r="H463" s="86" t="s">
        <v>3984</v>
      </c>
    </row>
    <row r="464" spans="1:8" ht="12.75" hidden="1">
      <c r="A464" s="86">
        <v>463</v>
      </c>
      <c r="B464" s="86" t="s">
        <v>8032</v>
      </c>
      <c r="C464" s="86" t="str">
        <f t="shared" si="0"/>
        <v>564906</v>
      </c>
      <c r="D464" s="86" t="str">
        <f>IF(VLOOKUP(C464,'Diferencias patrimonio 2023'!$C$2:$C$1020,1,FALSE)=C464,"Encontrado", "No")</f>
        <v>Encontrado</v>
      </c>
      <c r="E464" s="86" t="s">
        <v>8033</v>
      </c>
      <c r="F464" s="86" t="s">
        <v>116</v>
      </c>
      <c r="G464" s="86" t="s">
        <v>38</v>
      </c>
      <c r="H464" s="86" t="s">
        <v>1477</v>
      </c>
    </row>
    <row r="465" spans="1:8" ht="12.75" hidden="1">
      <c r="A465" s="86">
        <v>464</v>
      </c>
      <c r="B465" s="86" t="s">
        <v>5606</v>
      </c>
      <c r="C465" s="86" t="str">
        <f t="shared" si="0"/>
        <v>565624</v>
      </c>
      <c r="D465" s="86" t="str">
        <f>IF(VLOOKUP(C465,'Diferencias patrimonio 2023'!$C$2:$C$1020,1,FALSE)=C465,"Encontrado", "No")</f>
        <v>Encontrado</v>
      </c>
      <c r="E465" s="86" t="s">
        <v>8034</v>
      </c>
      <c r="F465" s="86" t="s">
        <v>850</v>
      </c>
      <c r="G465" s="86" t="s">
        <v>38</v>
      </c>
      <c r="H465" s="86" t="s">
        <v>5584</v>
      </c>
    </row>
    <row r="466" spans="1:8" ht="12.75" hidden="1">
      <c r="A466" s="86">
        <v>465</v>
      </c>
      <c r="B466" s="86" t="s">
        <v>859</v>
      </c>
      <c r="C466" s="86" t="str">
        <f t="shared" si="0"/>
        <v>565655</v>
      </c>
      <c r="D466" s="86" t="str">
        <f>IF(VLOOKUP(C466,'Diferencias patrimonio 2023'!$C$2:$C$1020,1,FALSE)=C466,"Encontrado", "No")</f>
        <v>Encontrado</v>
      </c>
      <c r="E466" s="86" t="s">
        <v>8035</v>
      </c>
      <c r="F466" s="86" t="s">
        <v>850</v>
      </c>
      <c r="G466" s="86" t="s">
        <v>38</v>
      </c>
      <c r="H466" s="86" t="s">
        <v>7398</v>
      </c>
    </row>
    <row r="467" spans="1:8" ht="12.75" hidden="1">
      <c r="A467" s="86">
        <v>466</v>
      </c>
      <c r="B467" s="86" t="s">
        <v>3329</v>
      </c>
      <c r="C467" s="86" t="str">
        <f t="shared" si="0"/>
        <v>565672</v>
      </c>
      <c r="D467" s="86" t="str">
        <f>IF(VLOOKUP(C467,'Diferencias patrimonio 2023'!$C$2:$C$1020,1,FALSE)=C467,"Encontrado", "No")</f>
        <v>Encontrado</v>
      </c>
      <c r="E467" s="86" t="s">
        <v>8036</v>
      </c>
      <c r="F467" s="86" t="s">
        <v>234</v>
      </c>
      <c r="G467" s="86" t="s">
        <v>38</v>
      </c>
      <c r="H467" s="86" t="s">
        <v>7434</v>
      </c>
    </row>
    <row r="468" spans="1:8" ht="12.75">
      <c r="A468" s="86">
        <v>467</v>
      </c>
      <c r="B468" s="86" t="s">
        <v>8037</v>
      </c>
      <c r="C468" s="86" t="str">
        <f t="shared" si="0"/>
        <v>565750</v>
      </c>
      <c r="D468" s="86" t="e">
        <f>IF(VLOOKUP(C468,'Diferencias patrimonio 2023'!$C$2:$C$1020,1,FALSE)=C468,"Encontrado", "No")</f>
        <v>#N/A</v>
      </c>
      <c r="E468" s="86" t="s">
        <v>8038</v>
      </c>
      <c r="F468" s="86" t="s">
        <v>353</v>
      </c>
      <c r="G468" s="86" t="s">
        <v>38</v>
      </c>
      <c r="H468" s="86" t="s">
        <v>4935</v>
      </c>
    </row>
    <row r="469" spans="1:8" ht="12.75">
      <c r="A469" s="86">
        <v>468</v>
      </c>
      <c r="B469" s="86" t="s">
        <v>8040</v>
      </c>
      <c r="C469" s="86" t="str">
        <f t="shared" si="0"/>
        <v>565919</v>
      </c>
      <c r="D469" s="86" t="e">
        <f>IF(VLOOKUP(C469,'Diferencias patrimonio 2023'!$C$2:$C$1020,1,FALSE)=C469,"Encontrado", "No")</f>
        <v>#N/A</v>
      </c>
      <c r="E469" s="86" t="s">
        <v>8041</v>
      </c>
      <c r="F469" s="86" t="s">
        <v>353</v>
      </c>
      <c r="G469" s="86" t="s">
        <v>38</v>
      </c>
      <c r="H469" s="86" t="s">
        <v>7411</v>
      </c>
    </row>
    <row r="470" spans="1:8" ht="12.75" hidden="1">
      <c r="A470" s="86">
        <v>469</v>
      </c>
      <c r="B470" s="86" t="s">
        <v>841</v>
      </c>
      <c r="C470" s="86" t="str">
        <f t="shared" si="0"/>
        <v>566042</v>
      </c>
      <c r="D470" s="86" t="str">
        <f>IF(VLOOKUP(C470,'Diferencias patrimonio 2023'!$C$2:$C$1020,1,FALSE)=C470,"Encontrado", "No")</f>
        <v>Encontrado</v>
      </c>
      <c r="E470" s="86" t="s">
        <v>8043</v>
      </c>
      <c r="F470" s="86" t="s">
        <v>835</v>
      </c>
      <c r="G470" s="86" t="s">
        <v>38</v>
      </c>
      <c r="H470" s="86" t="s">
        <v>385</v>
      </c>
    </row>
    <row r="471" spans="1:8" ht="12.75" hidden="1">
      <c r="A471" s="86">
        <v>470</v>
      </c>
      <c r="B471" s="86" t="s">
        <v>8044</v>
      </c>
      <c r="C471" s="86" t="str">
        <f t="shared" si="0"/>
        <v>566177</v>
      </c>
      <c r="D471" s="86" t="str">
        <f>IF(VLOOKUP(C471,'Diferencias patrimonio 2023'!$C$2:$C$1020,1,FALSE)=C471,"Encontrado", "No")</f>
        <v>Encontrado</v>
      </c>
      <c r="E471" s="86" t="s">
        <v>8045</v>
      </c>
      <c r="F471" s="86" t="s">
        <v>2351</v>
      </c>
      <c r="G471" s="86" t="s">
        <v>38</v>
      </c>
      <c r="H471" s="86" t="s">
        <v>7411</v>
      </c>
    </row>
    <row r="472" spans="1:8" ht="12.75" hidden="1">
      <c r="A472" s="86">
        <v>471</v>
      </c>
      <c r="B472" s="86" t="s">
        <v>8046</v>
      </c>
      <c r="C472" s="86" t="str">
        <f t="shared" si="0"/>
        <v>566178</v>
      </c>
      <c r="D472" s="86" t="str">
        <f>IF(VLOOKUP(C472,'Diferencias patrimonio 2023'!$C$2:$C$1020,1,FALSE)=C472,"Encontrado", "No")</f>
        <v>Encontrado</v>
      </c>
      <c r="E472" s="86" t="s">
        <v>8047</v>
      </c>
      <c r="F472" s="86" t="s">
        <v>2351</v>
      </c>
      <c r="G472" s="86" t="s">
        <v>38</v>
      </c>
      <c r="H472" s="86" t="s">
        <v>7411</v>
      </c>
    </row>
    <row r="473" spans="1:8" ht="12.75" hidden="1">
      <c r="A473" s="86">
        <v>472</v>
      </c>
      <c r="B473" s="86" t="s">
        <v>8048</v>
      </c>
      <c r="C473" s="86" t="str">
        <f t="shared" si="0"/>
        <v>566183</v>
      </c>
      <c r="D473" s="86" t="str">
        <f>IF(VLOOKUP(C473,'Diferencias patrimonio 2023'!$C$2:$C$1020,1,FALSE)=C473,"Encontrado", "No")</f>
        <v>Encontrado</v>
      </c>
      <c r="E473" s="86" t="s">
        <v>8049</v>
      </c>
      <c r="F473" s="86" t="s">
        <v>2351</v>
      </c>
      <c r="G473" s="86" t="s">
        <v>38</v>
      </c>
      <c r="H473" s="86" t="s">
        <v>7411</v>
      </c>
    </row>
    <row r="474" spans="1:8" ht="12.75" hidden="1">
      <c r="A474" s="86">
        <v>473</v>
      </c>
      <c r="B474" s="86" t="s">
        <v>8050</v>
      </c>
      <c r="C474" s="86" t="str">
        <f t="shared" si="0"/>
        <v>566194</v>
      </c>
      <c r="D474" s="86" t="str">
        <f>IF(VLOOKUP(C474,'Diferencias patrimonio 2023'!$C$2:$C$1020,1,FALSE)=C474,"Encontrado", "No")</f>
        <v>Encontrado</v>
      </c>
      <c r="E474" s="86" t="s">
        <v>8051</v>
      </c>
      <c r="F474" s="86" t="s">
        <v>2351</v>
      </c>
      <c r="G474" s="86" t="s">
        <v>38</v>
      </c>
      <c r="H474" s="86" t="s">
        <v>7411</v>
      </c>
    </row>
    <row r="475" spans="1:8" ht="12.75">
      <c r="A475" s="86">
        <v>474</v>
      </c>
      <c r="B475" s="86" t="s">
        <v>8052</v>
      </c>
      <c r="C475" s="86" t="str">
        <f t="shared" si="0"/>
        <v>566204</v>
      </c>
      <c r="D475" s="86" t="e">
        <f>IF(VLOOKUP(C475,'Diferencias patrimonio 2023'!$C$2:$C$1020,1,FALSE)=C475,"Encontrado", "No")</f>
        <v>#N/A</v>
      </c>
      <c r="E475" s="86" t="s">
        <v>8053</v>
      </c>
      <c r="F475" s="86" t="s">
        <v>8054</v>
      </c>
      <c r="G475" s="86" t="s">
        <v>38</v>
      </c>
      <c r="H475" s="86" t="s">
        <v>6062</v>
      </c>
    </row>
    <row r="476" spans="1:8" ht="12.75" hidden="1">
      <c r="A476" s="86">
        <v>475</v>
      </c>
      <c r="B476" s="86" t="s">
        <v>6231</v>
      </c>
      <c r="C476" s="86" t="str">
        <f t="shared" si="0"/>
        <v>566232</v>
      </c>
      <c r="D476" s="86" t="str">
        <f>IF(VLOOKUP(C476,'Diferencias patrimonio 2023'!$C$2:$C$1020,1,FALSE)=C476,"Encontrado", "No")</f>
        <v>Encontrado</v>
      </c>
      <c r="E476" s="86" t="s">
        <v>8055</v>
      </c>
      <c r="F476" s="86" t="s">
        <v>8054</v>
      </c>
      <c r="G476" s="86" t="s">
        <v>38</v>
      </c>
      <c r="H476" s="86" t="s">
        <v>6062</v>
      </c>
    </row>
    <row r="477" spans="1:8" ht="12.75" hidden="1">
      <c r="A477" s="86">
        <v>476</v>
      </c>
      <c r="B477" s="86" t="s">
        <v>6106</v>
      </c>
      <c r="C477" s="86" t="str">
        <f t="shared" si="0"/>
        <v>566240</v>
      </c>
      <c r="D477" s="86" t="str">
        <f>IF(VLOOKUP(C477,'Diferencias patrimonio 2023'!$C$2:$C$1020,1,FALSE)=C477,"Encontrado", "No")</f>
        <v>Encontrado</v>
      </c>
      <c r="E477" s="86" t="s">
        <v>8056</v>
      </c>
      <c r="F477" s="86" t="s">
        <v>8054</v>
      </c>
      <c r="G477" s="86" t="s">
        <v>38</v>
      </c>
      <c r="H477" s="86" t="s">
        <v>6062</v>
      </c>
    </row>
    <row r="478" spans="1:8" ht="12.75">
      <c r="A478" s="86">
        <v>477</v>
      </c>
      <c r="B478" s="86" t="s">
        <v>8058</v>
      </c>
      <c r="C478" s="86" t="str">
        <f t="shared" si="0"/>
        <v>566299</v>
      </c>
      <c r="D478" s="86" t="e">
        <f>IF(VLOOKUP(C478,'Diferencias patrimonio 2023'!$C$2:$C$1020,1,FALSE)=C478,"Encontrado", "No")</f>
        <v>#N/A</v>
      </c>
      <c r="E478" s="86" t="s">
        <v>8059</v>
      </c>
      <c r="F478" s="86" t="s">
        <v>8057</v>
      </c>
      <c r="G478" s="86" t="s">
        <v>38</v>
      </c>
      <c r="H478" s="86" t="s">
        <v>1477</v>
      </c>
    </row>
    <row r="479" spans="1:8" ht="12.75" hidden="1">
      <c r="A479" s="86">
        <v>478</v>
      </c>
      <c r="B479" s="86" t="s">
        <v>283</v>
      </c>
      <c r="C479" s="86" t="str">
        <f t="shared" si="0"/>
        <v>566418</v>
      </c>
      <c r="D479" s="86" t="str">
        <f>IF(VLOOKUP(C479,'Diferencias patrimonio 2023'!$C$2:$C$1020,1,FALSE)=C479,"Encontrado", "No")</f>
        <v>Encontrado</v>
      </c>
      <c r="E479" s="86" t="s">
        <v>8061</v>
      </c>
      <c r="F479" s="86" t="s">
        <v>1240</v>
      </c>
      <c r="G479" s="86" t="s">
        <v>38</v>
      </c>
      <c r="H479" s="86" t="s">
        <v>39</v>
      </c>
    </row>
    <row r="480" spans="1:8" ht="12.75">
      <c r="A480" s="86">
        <v>479</v>
      </c>
      <c r="B480" s="86" t="s">
        <v>7297</v>
      </c>
      <c r="C480" s="86" t="str">
        <f t="shared" si="0"/>
        <v>566419</v>
      </c>
      <c r="D480" s="86" t="e">
        <f>IF(VLOOKUP(C480,'Diferencias patrimonio 2023'!$C$2:$C$1020,1,FALSE)=C480,"Encontrado", "No")</f>
        <v>#N/A</v>
      </c>
      <c r="E480" s="86" t="s">
        <v>8062</v>
      </c>
      <c r="F480" s="86" t="s">
        <v>1240</v>
      </c>
      <c r="G480" s="86" t="s">
        <v>38</v>
      </c>
      <c r="H480" s="86" t="s">
        <v>7411</v>
      </c>
    </row>
    <row r="481" spans="1:8" ht="12.75" hidden="1">
      <c r="A481" s="86">
        <v>480</v>
      </c>
      <c r="B481" s="86" t="s">
        <v>8063</v>
      </c>
      <c r="C481" s="86" t="str">
        <f t="shared" si="0"/>
        <v>566420</v>
      </c>
      <c r="D481" s="86" t="str">
        <f>IF(VLOOKUP(C481,'Diferencias patrimonio 2023'!$C$2:$C$1020,1,FALSE)=C481,"Encontrado", "No")</f>
        <v>Encontrado</v>
      </c>
      <c r="E481" s="86" t="s">
        <v>8064</v>
      </c>
      <c r="F481" s="86" t="s">
        <v>1240</v>
      </c>
      <c r="G481" s="86" t="s">
        <v>38</v>
      </c>
      <c r="H481" s="86" t="s">
        <v>1477</v>
      </c>
    </row>
    <row r="482" spans="1:8" ht="12.75" hidden="1">
      <c r="A482" s="86">
        <v>481</v>
      </c>
      <c r="B482" s="86" t="s">
        <v>3214</v>
      </c>
      <c r="C482" s="86" t="str">
        <f t="shared" si="0"/>
        <v>566421</v>
      </c>
      <c r="D482" s="86" t="str">
        <f>IF(VLOOKUP(C482,'Diferencias patrimonio 2023'!$C$2:$C$1020,1,FALSE)=C482,"Encontrado", "No")</f>
        <v>Encontrado</v>
      </c>
      <c r="E482" s="86" t="s">
        <v>8065</v>
      </c>
      <c r="F482" s="86" t="s">
        <v>1240</v>
      </c>
      <c r="G482" s="86" t="s">
        <v>38</v>
      </c>
      <c r="H482" s="86" t="s">
        <v>3151</v>
      </c>
    </row>
    <row r="483" spans="1:8" ht="12.75" hidden="1">
      <c r="A483" s="86">
        <v>482</v>
      </c>
      <c r="B483" s="86" t="s">
        <v>3771</v>
      </c>
      <c r="C483" s="86" t="str">
        <f t="shared" si="0"/>
        <v>566422</v>
      </c>
      <c r="D483" s="86" t="str">
        <f>IF(VLOOKUP(C483,'Diferencias patrimonio 2023'!$C$2:$C$1020,1,FALSE)=C483,"Encontrado", "No")</f>
        <v>Encontrado</v>
      </c>
      <c r="E483" s="86" t="s">
        <v>8066</v>
      </c>
      <c r="F483" s="86" t="s">
        <v>1240</v>
      </c>
      <c r="G483" s="86" t="s">
        <v>38</v>
      </c>
      <c r="H483" s="86" t="s">
        <v>1665</v>
      </c>
    </row>
    <row r="484" spans="1:8" ht="12.75" hidden="1">
      <c r="A484" s="86">
        <v>483</v>
      </c>
      <c r="B484" s="86" t="s">
        <v>5407</v>
      </c>
      <c r="C484" s="86" t="str">
        <f t="shared" si="0"/>
        <v>566432</v>
      </c>
      <c r="D484" s="86" t="str">
        <f>IF(VLOOKUP(C484,'Diferencias patrimonio 2023'!$C$2:$C$1020,1,FALSE)=C484,"Encontrado", "No")</f>
        <v>Encontrado</v>
      </c>
      <c r="E484" s="86" t="s">
        <v>8067</v>
      </c>
      <c r="F484" s="86" t="s">
        <v>1240</v>
      </c>
      <c r="G484" s="86" t="s">
        <v>38</v>
      </c>
      <c r="H484" s="86" t="s">
        <v>7531</v>
      </c>
    </row>
    <row r="485" spans="1:8" ht="12.75" hidden="1">
      <c r="A485" s="86">
        <v>484</v>
      </c>
      <c r="B485" s="86" t="s">
        <v>5911</v>
      </c>
      <c r="C485" s="86" t="str">
        <f t="shared" si="0"/>
        <v>566458</v>
      </c>
      <c r="D485" s="86" t="str">
        <f>IF(VLOOKUP(C485,'Diferencias patrimonio 2023'!$C$2:$C$1020,1,FALSE)=C485,"Encontrado", "No")</f>
        <v>Encontrado</v>
      </c>
      <c r="E485" s="86" t="s">
        <v>8068</v>
      </c>
      <c r="F485" s="86" t="s">
        <v>5904</v>
      </c>
      <c r="G485" s="86" t="s">
        <v>38</v>
      </c>
      <c r="H485" s="86" t="s">
        <v>7398</v>
      </c>
    </row>
    <row r="486" spans="1:8" ht="12.75" hidden="1">
      <c r="A486" s="86">
        <v>485</v>
      </c>
      <c r="B486" s="86" t="s">
        <v>7244</v>
      </c>
      <c r="C486" s="86" t="str">
        <f t="shared" si="0"/>
        <v>566530</v>
      </c>
      <c r="D486" s="86" t="str">
        <f>IF(VLOOKUP(C486,'Diferencias patrimonio 2023'!$C$2:$C$1020,1,FALSE)=C486,"Encontrado", "No")</f>
        <v>Encontrado</v>
      </c>
      <c r="E486" s="86" t="s">
        <v>8069</v>
      </c>
      <c r="F486" s="86" t="s">
        <v>151</v>
      </c>
      <c r="G486" s="86" t="s">
        <v>38</v>
      </c>
      <c r="H486" s="86" t="s">
        <v>7411</v>
      </c>
    </row>
    <row r="487" spans="1:8" ht="12.75" hidden="1">
      <c r="A487" s="86">
        <v>486</v>
      </c>
      <c r="B487" s="86" t="s">
        <v>2559</v>
      </c>
      <c r="C487" s="86" t="str">
        <f t="shared" si="0"/>
        <v>566531</v>
      </c>
      <c r="D487" s="86" t="str">
        <f>IF(VLOOKUP(C487,'Diferencias patrimonio 2023'!$C$2:$C$1020,1,FALSE)=C487,"Encontrado", "No")</f>
        <v>Encontrado</v>
      </c>
      <c r="E487" s="86" t="s">
        <v>8070</v>
      </c>
      <c r="F487" s="86" t="s">
        <v>151</v>
      </c>
      <c r="G487" s="86" t="s">
        <v>38</v>
      </c>
      <c r="H487" s="86" t="s">
        <v>2552</v>
      </c>
    </row>
    <row r="488" spans="1:8" ht="12.75">
      <c r="A488" s="86">
        <v>487</v>
      </c>
      <c r="B488" s="86" t="s">
        <v>8071</v>
      </c>
      <c r="C488" s="86" t="str">
        <f t="shared" si="0"/>
        <v>566535</v>
      </c>
      <c r="D488" s="86" t="e">
        <f>IF(VLOOKUP(C488,'Diferencias patrimonio 2023'!$C$2:$C$1020,1,FALSE)=C488,"Encontrado", "No")</f>
        <v>#N/A</v>
      </c>
      <c r="E488" s="86" t="s">
        <v>8072</v>
      </c>
      <c r="F488" s="86" t="s">
        <v>151</v>
      </c>
      <c r="G488" s="86" t="s">
        <v>38</v>
      </c>
      <c r="H488" s="86" t="s">
        <v>1477</v>
      </c>
    </row>
    <row r="489" spans="1:8" ht="12.75">
      <c r="A489" s="86">
        <v>488</v>
      </c>
      <c r="B489" s="86" t="s">
        <v>7316</v>
      </c>
      <c r="C489" s="86" t="str">
        <f t="shared" si="0"/>
        <v>566539</v>
      </c>
      <c r="D489" s="86" t="e">
        <f>IF(VLOOKUP(C489,'Diferencias patrimonio 2023'!$C$2:$C$1020,1,FALSE)=C489,"Encontrado", "No")</f>
        <v>#N/A</v>
      </c>
      <c r="E489" s="86" t="s">
        <v>8073</v>
      </c>
      <c r="F489" s="86" t="s">
        <v>93</v>
      </c>
      <c r="G489" s="86" t="s">
        <v>38</v>
      </c>
      <c r="H489" s="86" t="s">
        <v>6062</v>
      </c>
    </row>
    <row r="490" spans="1:8" ht="12.75" hidden="1">
      <c r="A490" s="86">
        <v>489</v>
      </c>
      <c r="B490" s="86" t="s">
        <v>240</v>
      </c>
      <c r="C490" s="86" t="str">
        <f t="shared" si="0"/>
        <v>566902</v>
      </c>
      <c r="D490" s="86" t="str">
        <f>IF(VLOOKUP(C490,'Diferencias patrimonio 2023'!$C$2:$C$1020,1,FALSE)=C490,"Encontrado", "No")</f>
        <v>Encontrado</v>
      </c>
      <c r="E490" s="86" t="s">
        <v>8074</v>
      </c>
      <c r="F490" s="86" t="s">
        <v>234</v>
      </c>
      <c r="G490" s="86" t="s">
        <v>38</v>
      </c>
      <c r="H490" s="86" t="s">
        <v>7398</v>
      </c>
    </row>
    <row r="491" spans="1:8" ht="12.75">
      <c r="A491" s="86">
        <v>490</v>
      </c>
      <c r="B491" s="86" t="s">
        <v>8075</v>
      </c>
      <c r="C491" s="86" t="str">
        <f t="shared" si="0"/>
        <v>569723</v>
      </c>
      <c r="D491" s="86" t="e">
        <f>IF(VLOOKUP(C491,'Diferencias patrimonio 2023'!$C$2:$C$1020,1,FALSE)=C491,"Encontrado", "No")</f>
        <v>#N/A</v>
      </c>
      <c r="E491" s="86" t="s">
        <v>8076</v>
      </c>
      <c r="F491" s="86" t="s">
        <v>8054</v>
      </c>
      <c r="G491" s="86" t="s">
        <v>38</v>
      </c>
      <c r="H491" s="86" t="s">
        <v>6062</v>
      </c>
    </row>
    <row r="492" spans="1:8" ht="12.75" hidden="1">
      <c r="A492" s="86">
        <v>491</v>
      </c>
      <c r="B492" s="86" t="s">
        <v>5131</v>
      </c>
      <c r="C492" s="86" t="str">
        <f t="shared" si="0"/>
        <v>570571</v>
      </c>
      <c r="D492" s="86" t="str">
        <f>IF(VLOOKUP(C492,'Diferencias patrimonio 2023'!$C$2:$C$1020,1,FALSE)=C492,"Encontrado", "No")</f>
        <v>Encontrado</v>
      </c>
      <c r="E492" s="86" t="s">
        <v>8077</v>
      </c>
      <c r="F492" s="86" t="s">
        <v>62</v>
      </c>
      <c r="G492" s="86" t="s">
        <v>38</v>
      </c>
      <c r="H492" s="86" t="s">
        <v>4935</v>
      </c>
    </row>
    <row r="493" spans="1:8" ht="12.75" hidden="1">
      <c r="A493" s="86">
        <v>492</v>
      </c>
      <c r="B493" s="86" t="s">
        <v>171</v>
      </c>
      <c r="C493" s="86" t="str">
        <f t="shared" si="0"/>
        <v>577963</v>
      </c>
      <c r="D493" s="86" t="str">
        <f>IF(VLOOKUP(C493,'Diferencias patrimonio 2023'!$C$2:$C$1020,1,FALSE)=C493,"Encontrado", "No")</f>
        <v>Encontrado</v>
      </c>
      <c r="E493" s="86" t="s">
        <v>8078</v>
      </c>
      <c r="F493" s="86" t="s">
        <v>162</v>
      </c>
      <c r="G493" s="86" t="s">
        <v>38</v>
      </c>
      <c r="H493" s="86" t="s">
        <v>7398</v>
      </c>
    </row>
    <row r="494" spans="1:8" ht="12.75" hidden="1">
      <c r="A494" s="86">
        <v>493</v>
      </c>
      <c r="B494" s="86" t="s">
        <v>4987</v>
      </c>
      <c r="C494" s="86" t="str">
        <f t="shared" si="0"/>
        <v>579099</v>
      </c>
      <c r="D494" s="86" t="str">
        <f>IF(VLOOKUP(C494,'Diferencias patrimonio 2023'!$C$2:$C$1020,1,FALSE)=C494,"Encontrado", "No")</f>
        <v>Encontrado</v>
      </c>
      <c r="E494" s="86" t="s">
        <v>8079</v>
      </c>
      <c r="F494" s="86" t="s">
        <v>62</v>
      </c>
      <c r="G494" s="86" t="s">
        <v>38</v>
      </c>
      <c r="H494" s="86" t="s">
        <v>4935</v>
      </c>
    </row>
    <row r="495" spans="1:8" ht="12.75" hidden="1">
      <c r="A495" s="86">
        <v>494</v>
      </c>
      <c r="B495" s="86" t="s">
        <v>2169</v>
      </c>
      <c r="C495" s="86" t="str">
        <f t="shared" si="0"/>
        <v>579123</v>
      </c>
      <c r="D495" s="86" t="str">
        <f>IF(VLOOKUP(C495,'Diferencias patrimonio 2023'!$C$2:$C$1020,1,FALSE)=C495,"Encontrado", "No")</f>
        <v>Encontrado</v>
      </c>
      <c r="E495" s="86" t="s">
        <v>8080</v>
      </c>
      <c r="F495" s="86" t="s">
        <v>2060</v>
      </c>
      <c r="G495" s="86" t="s">
        <v>38</v>
      </c>
      <c r="H495" s="86" t="s">
        <v>2052</v>
      </c>
    </row>
    <row r="496" spans="1:8" ht="12.75" hidden="1">
      <c r="A496" s="86">
        <v>495</v>
      </c>
      <c r="B496" s="86" t="s">
        <v>2181</v>
      </c>
      <c r="C496" s="86" t="str">
        <f t="shared" si="0"/>
        <v>579126</v>
      </c>
      <c r="D496" s="86" t="str">
        <f>IF(VLOOKUP(C496,'Diferencias patrimonio 2023'!$C$2:$C$1020,1,FALSE)=C496,"Encontrado", "No")</f>
        <v>Encontrado</v>
      </c>
      <c r="E496" s="86" t="s">
        <v>8081</v>
      </c>
      <c r="F496" s="86" t="s">
        <v>2060</v>
      </c>
      <c r="G496" s="86" t="s">
        <v>38</v>
      </c>
      <c r="H496" s="86" t="s">
        <v>2052</v>
      </c>
    </row>
    <row r="497" spans="1:8" ht="12.75" hidden="1">
      <c r="A497" s="86">
        <v>496</v>
      </c>
      <c r="B497" s="86" t="s">
        <v>2090</v>
      </c>
      <c r="C497" s="86" t="str">
        <f t="shared" si="0"/>
        <v>579127</v>
      </c>
      <c r="D497" s="86" t="str">
        <f>IF(VLOOKUP(C497,'Diferencias patrimonio 2023'!$C$2:$C$1020,1,FALSE)=C497,"Encontrado", "No")</f>
        <v>Encontrado</v>
      </c>
      <c r="E497" s="86" t="s">
        <v>8082</v>
      </c>
      <c r="F497" s="86" t="s">
        <v>2060</v>
      </c>
      <c r="G497" s="86" t="s">
        <v>38</v>
      </c>
      <c r="H497" s="86" t="s">
        <v>2052</v>
      </c>
    </row>
    <row r="498" spans="1:8" ht="12.75">
      <c r="A498" s="86">
        <v>497</v>
      </c>
      <c r="B498" s="86" t="s">
        <v>8083</v>
      </c>
      <c r="C498" s="86" t="str">
        <f t="shared" si="0"/>
        <v>579561</v>
      </c>
      <c r="D498" s="86" t="e">
        <f>IF(VLOOKUP(C498,'Diferencias patrimonio 2023'!$C$2:$C$1020,1,FALSE)=C498,"Encontrado", "No")</f>
        <v>#N/A</v>
      </c>
      <c r="E498" s="86" t="s">
        <v>8084</v>
      </c>
      <c r="F498" s="86" t="s">
        <v>151</v>
      </c>
      <c r="G498" s="86" t="s">
        <v>38</v>
      </c>
      <c r="H498" s="86" t="s">
        <v>7414</v>
      </c>
    </row>
    <row r="499" spans="1:8" ht="12.75" hidden="1">
      <c r="A499" s="86">
        <v>498</v>
      </c>
      <c r="B499" s="86" t="s">
        <v>4037</v>
      </c>
      <c r="C499" s="86" t="str">
        <f t="shared" si="0"/>
        <v>580129</v>
      </c>
      <c r="D499" s="86" t="str">
        <f>IF(VLOOKUP(C499,'Diferencias patrimonio 2023'!$C$2:$C$1020,1,FALSE)=C499,"Encontrado", "No")</f>
        <v>Encontrado</v>
      </c>
      <c r="E499" s="86" t="s">
        <v>8086</v>
      </c>
      <c r="F499" s="86" t="s">
        <v>321</v>
      </c>
      <c r="G499" s="86" t="s">
        <v>38</v>
      </c>
      <c r="H499" s="86" t="s">
        <v>3984</v>
      </c>
    </row>
    <row r="500" spans="1:8" ht="12.75" hidden="1">
      <c r="A500" s="86">
        <v>499</v>
      </c>
      <c r="B500" s="86" t="s">
        <v>6461</v>
      </c>
      <c r="C500" s="86" t="str">
        <f t="shared" si="0"/>
        <v>580341</v>
      </c>
      <c r="D500" s="86" t="str">
        <f>IF(VLOOKUP(C500,'Diferencias patrimonio 2023'!$C$2:$C$1020,1,FALSE)=C500,"Encontrado", "No")</f>
        <v>Encontrado</v>
      </c>
      <c r="E500" s="86" t="s">
        <v>8087</v>
      </c>
      <c r="F500" s="86" t="s">
        <v>93</v>
      </c>
      <c r="G500" s="86" t="s">
        <v>38</v>
      </c>
      <c r="H500" s="86" t="s">
        <v>6062</v>
      </c>
    </row>
    <row r="501" spans="1:8" ht="12.75" hidden="1">
      <c r="A501" s="86">
        <v>500</v>
      </c>
      <c r="B501" s="86" t="s">
        <v>8088</v>
      </c>
      <c r="C501" s="86" t="str">
        <f t="shared" si="0"/>
        <v>580342</v>
      </c>
      <c r="D501" s="86" t="str">
        <f>IF(VLOOKUP(C501,'Diferencias patrimonio 2023'!$C$2:$C$1020,1,FALSE)=C501,"Encontrado", "No")</f>
        <v>Encontrado</v>
      </c>
      <c r="E501" s="86" t="s">
        <v>8089</v>
      </c>
      <c r="F501" s="86" t="s">
        <v>93</v>
      </c>
      <c r="G501" s="86" t="s">
        <v>38</v>
      </c>
      <c r="H501" s="86" t="s">
        <v>7411</v>
      </c>
    </row>
    <row r="502" spans="1:8" ht="12.75" hidden="1">
      <c r="A502" s="86">
        <v>501</v>
      </c>
      <c r="B502" s="86" t="s">
        <v>1290</v>
      </c>
      <c r="C502" s="86" t="str">
        <f t="shared" si="0"/>
        <v>580343</v>
      </c>
      <c r="D502" s="86" t="str">
        <f>IF(VLOOKUP(C502,'Diferencias patrimonio 2023'!$C$2:$C$1020,1,FALSE)=C502,"Encontrado", "No")</f>
        <v>Encontrado</v>
      </c>
      <c r="E502" s="86" t="s">
        <v>8090</v>
      </c>
      <c r="F502" s="86" t="s">
        <v>93</v>
      </c>
      <c r="G502" s="86" t="s">
        <v>38</v>
      </c>
      <c r="H502" s="86" t="s">
        <v>724</v>
      </c>
    </row>
    <row r="503" spans="1:8" ht="12.75" hidden="1">
      <c r="A503" s="86">
        <v>502</v>
      </c>
      <c r="B503" s="86" t="s">
        <v>313</v>
      </c>
      <c r="C503" s="86" t="str">
        <f t="shared" si="0"/>
        <v>580345</v>
      </c>
      <c r="D503" s="86" t="str">
        <f>IF(VLOOKUP(C503,'Diferencias patrimonio 2023'!$C$2:$C$1020,1,FALSE)=C503,"Encontrado", "No")</f>
        <v>Encontrado</v>
      </c>
      <c r="E503" s="86" t="s">
        <v>8091</v>
      </c>
      <c r="F503" s="86" t="s">
        <v>93</v>
      </c>
      <c r="G503" s="86" t="s">
        <v>38</v>
      </c>
      <c r="H503" s="86" t="s">
        <v>39</v>
      </c>
    </row>
    <row r="504" spans="1:8" ht="12.75" hidden="1">
      <c r="A504" s="86">
        <v>503</v>
      </c>
      <c r="B504" s="86" t="s">
        <v>491</v>
      </c>
      <c r="C504" s="86" t="str">
        <f t="shared" si="0"/>
        <v>580346</v>
      </c>
      <c r="D504" s="86" t="str">
        <f>IF(VLOOKUP(C504,'Diferencias patrimonio 2023'!$C$2:$C$1020,1,FALSE)=C504,"Encontrado", "No")</f>
        <v>Encontrado</v>
      </c>
      <c r="E504" s="86" t="s">
        <v>8092</v>
      </c>
      <c r="F504" s="86" t="s">
        <v>93</v>
      </c>
      <c r="G504" s="86" t="s">
        <v>38</v>
      </c>
      <c r="H504" s="86" t="s">
        <v>7398</v>
      </c>
    </row>
    <row r="505" spans="1:8" ht="12.75" hidden="1">
      <c r="A505" s="86">
        <v>504</v>
      </c>
      <c r="B505" s="86" t="s">
        <v>5471</v>
      </c>
      <c r="C505" s="86" t="str">
        <f t="shared" si="0"/>
        <v>580347</v>
      </c>
      <c r="D505" s="86" t="str">
        <f>IF(VLOOKUP(C505,'Diferencias patrimonio 2023'!$C$2:$C$1020,1,FALSE)=C505,"Encontrado", "No")</f>
        <v>Encontrado</v>
      </c>
      <c r="E505" s="86" t="s">
        <v>8093</v>
      </c>
      <c r="F505" s="86" t="s">
        <v>93</v>
      </c>
      <c r="G505" s="86" t="s">
        <v>38</v>
      </c>
      <c r="H505" s="86" t="s">
        <v>5310</v>
      </c>
    </row>
    <row r="506" spans="1:8" ht="12.75" hidden="1">
      <c r="A506" s="86">
        <v>505</v>
      </c>
      <c r="B506" s="86" t="s">
        <v>5805</v>
      </c>
      <c r="C506" s="86" t="str">
        <f t="shared" si="0"/>
        <v>580348</v>
      </c>
      <c r="D506" s="86" t="str">
        <f>IF(VLOOKUP(C506,'Diferencias patrimonio 2023'!$C$2:$C$1020,1,FALSE)=C506,"Encontrado", "No")</f>
        <v>Encontrado</v>
      </c>
      <c r="E506" s="86" t="s">
        <v>8094</v>
      </c>
      <c r="F506" s="86" t="s">
        <v>93</v>
      </c>
      <c r="G506" s="86" t="s">
        <v>38</v>
      </c>
      <c r="H506" s="86" t="s">
        <v>7398</v>
      </c>
    </row>
    <row r="507" spans="1:8" ht="12.75" hidden="1">
      <c r="A507" s="86">
        <v>506</v>
      </c>
      <c r="B507" s="86" t="s">
        <v>533</v>
      </c>
      <c r="C507" s="86" t="str">
        <f t="shared" si="0"/>
        <v>580349</v>
      </c>
      <c r="D507" s="86" t="str">
        <f>IF(VLOOKUP(C507,'Diferencias patrimonio 2023'!$C$2:$C$1020,1,FALSE)=C507,"Encontrado", "No")</f>
        <v>Encontrado</v>
      </c>
      <c r="E507" s="86" t="s">
        <v>8095</v>
      </c>
      <c r="F507" s="86" t="s">
        <v>93</v>
      </c>
      <c r="G507" s="86" t="s">
        <v>38</v>
      </c>
      <c r="H507" s="86" t="s">
        <v>7398</v>
      </c>
    </row>
    <row r="508" spans="1:8" ht="12.75">
      <c r="A508" s="86">
        <v>507</v>
      </c>
      <c r="B508" s="86" t="s">
        <v>8096</v>
      </c>
      <c r="C508" s="86" t="str">
        <f t="shared" si="0"/>
        <v>580664</v>
      </c>
      <c r="D508" s="86" t="e">
        <f>IF(VLOOKUP(C508,'Diferencias patrimonio 2023'!$C$2:$C$1020,1,FALSE)=C508,"Encontrado", "No")</f>
        <v>#N/A</v>
      </c>
      <c r="E508" s="86" t="s">
        <v>8097</v>
      </c>
      <c r="F508" s="86" t="s">
        <v>8098</v>
      </c>
      <c r="G508" s="86" t="s">
        <v>38</v>
      </c>
      <c r="H508" s="86" t="s">
        <v>385</v>
      </c>
    </row>
    <row r="509" spans="1:8" ht="12.75">
      <c r="A509" s="86">
        <v>508</v>
      </c>
      <c r="B509" s="86" t="s">
        <v>8099</v>
      </c>
      <c r="C509" s="86" t="str">
        <f t="shared" si="0"/>
        <v>580847</v>
      </c>
      <c r="D509" s="86" t="e">
        <f>IF(VLOOKUP(C509,'Diferencias patrimonio 2023'!$C$2:$C$1020,1,FALSE)=C509,"Encontrado", "No")</f>
        <v>#N/A</v>
      </c>
      <c r="E509" s="86" t="s">
        <v>8100</v>
      </c>
      <c r="F509" s="86" t="s">
        <v>93</v>
      </c>
      <c r="G509" s="86" t="s">
        <v>38</v>
      </c>
      <c r="H509" s="86" t="s">
        <v>1477</v>
      </c>
    </row>
    <row r="510" spans="1:8" ht="12.75" hidden="1">
      <c r="A510" s="86">
        <v>509</v>
      </c>
      <c r="B510" s="86" t="s">
        <v>675</v>
      </c>
      <c r="C510" s="86" t="str">
        <f t="shared" si="0"/>
        <v>581182</v>
      </c>
      <c r="D510" s="86" t="str">
        <f>IF(VLOOKUP(C510,'Diferencias patrimonio 2023'!$C$2:$C$1020,1,FALSE)=C510,"Encontrado", "No")</f>
        <v>Encontrado</v>
      </c>
      <c r="E510" s="86" t="s">
        <v>8101</v>
      </c>
      <c r="F510" s="86" t="s">
        <v>43</v>
      </c>
      <c r="G510" s="86" t="s">
        <v>38</v>
      </c>
      <c r="H510" s="86" t="s">
        <v>385</v>
      </c>
    </row>
    <row r="511" spans="1:8" ht="12.75" hidden="1">
      <c r="A511" s="86">
        <v>510</v>
      </c>
      <c r="B511" s="86" t="s">
        <v>4771</v>
      </c>
      <c r="C511" s="86" t="str">
        <f t="shared" si="0"/>
        <v>581183</v>
      </c>
      <c r="D511" s="86" t="str">
        <f>IF(VLOOKUP(C511,'Diferencias patrimonio 2023'!$C$2:$C$1020,1,FALSE)=C511,"Encontrado", "No")</f>
        <v>Encontrado</v>
      </c>
      <c r="E511" s="86" t="s">
        <v>8102</v>
      </c>
      <c r="F511" s="86" t="s">
        <v>43</v>
      </c>
      <c r="G511" s="86" t="s">
        <v>38</v>
      </c>
      <c r="H511" s="86" t="s">
        <v>1004</v>
      </c>
    </row>
    <row r="512" spans="1:8" ht="12.75" hidden="1">
      <c r="A512" s="86">
        <v>511</v>
      </c>
      <c r="B512" s="86" t="s">
        <v>1990</v>
      </c>
      <c r="C512" s="86" t="str">
        <f t="shared" si="0"/>
        <v>581252</v>
      </c>
      <c r="D512" s="86" t="str">
        <f>IF(VLOOKUP(C512,'Diferencias patrimonio 2023'!$C$2:$C$1020,1,FALSE)=C512,"Encontrado", "No")</f>
        <v>Encontrado</v>
      </c>
      <c r="E512" s="86" t="s">
        <v>8103</v>
      </c>
      <c r="F512" s="86" t="s">
        <v>43</v>
      </c>
      <c r="G512" s="86" t="s">
        <v>38</v>
      </c>
      <c r="H512" s="86" t="s">
        <v>7428</v>
      </c>
    </row>
    <row r="513" spans="1:8" ht="12.75" hidden="1">
      <c r="A513" s="86">
        <v>512</v>
      </c>
      <c r="B513" s="86" t="s">
        <v>6683</v>
      </c>
      <c r="C513" s="86" t="str">
        <f t="shared" si="0"/>
        <v>581260</v>
      </c>
      <c r="D513" s="86" t="str">
        <f>IF(VLOOKUP(C513,'Diferencias patrimonio 2023'!$C$2:$C$1020,1,FALSE)=C513,"Encontrado", "No")</f>
        <v>Encontrado</v>
      </c>
      <c r="E513" s="86" t="s">
        <v>8104</v>
      </c>
      <c r="F513" s="86" t="s">
        <v>43</v>
      </c>
      <c r="G513" s="86" t="s">
        <v>38</v>
      </c>
      <c r="H513" s="86" t="s">
        <v>6062</v>
      </c>
    </row>
    <row r="514" spans="1:8" ht="12.75" hidden="1">
      <c r="A514" s="86">
        <v>513</v>
      </c>
      <c r="B514" s="86" t="s">
        <v>68</v>
      </c>
      <c r="C514" s="86" t="str">
        <f t="shared" si="0"/>
        <v>581343</v>
      </c>
      <c r="D514" s="86" t="str">
        <f>IF(VLOOKUP(C514,'Diferencias patrimonio 2023'!$C$2:$C$1020,1,FALSE)=C514,"Encontrado", "No")</f>
        <v>Encontrado</v>
      </c>
      <c r="E514" s="86" t="s">
        <v>8105</v>
      </c>
      <c r="F514" s="86" t="s">
        <v>62</v>
      </c>
      <c r="G514" s="86" t="s">
        <v>38</v>
      </c>
      <c r="H514" s="86" t="s">
        <v>39</v>
      </c>
    </row>
    <row r="515" spans="1:8" ht="12.75" hidden="1">
      <c r="A515" s="86">
        <v>514</v>
      </c>
      <c r="B515" s="86" t="s">
        <v>6754</v>
      </c>
      <c r="C515" s="86" t="str">
        <f t="shared" si="0"/>
        <v>581379</v>
      </c>
      <c r="D515" s="86" t="str">
        <f>IF(VLOOKUP(C515,'Diferencias patrimonio 2023'!$C$2:$C$1020,1,FALSE)=C515,"Encontrado", "No")</f>
        <v>Encontrado</v>
      </c>
      <c r="E515" s="86" t="s">
        <v>8106</v>
      </c>
      <c r="F515" s="86" t="s">
        <v>62</v>
      </c>
      <c r="G515" s="86" t="s">
        <v>38</v>
      </c>
      <c r="H515" s="86" t="s">
        <v>6684</v>
      </c>
    </row>
    <row r="516" spans="1:8" ht="12.75" hidden="1">
      <c r="A516" s="86">
        <v>515</v>
      </c>
      <c r="B516" s="86" t="s">
        <v>8107</v>
      </c>
      <c r="C516" s="86" t="str">
        <f t="shared" si="0"/>
        <v>581385</v>
      </c>
      <c r="D516" s="86" t="str">
        <f>IF(VLOOKUP(C516,'Diferencias patrimonio 2023'!$C$2:$C$1020,1,FALSE)=C516,"Encontrado", "No")</f>
        <v>Encontrado</v>
      </c>
      <c r="E516" s="86" t="s">
        <v>8108</v>
      </c>
      <c r="F516" s="86" t="s">
        <v>62</v>
      </c>
      <c r="G516" s="86" t="s">
        <v>38</v>
      </c>
      <c r="H516" s="86" t="s">
        <v>7414</v>
      </c>
    </row>
    <row r="517" spans="1:8" ht="12.75" hidden="1">
      <c r="A517" s="86">
        <v>516</v>
      </c>
      <c r="B517" s="86" t="s">
        <v>4729</v>
      </c>
      <c r="C517" s="86" t="str">
        <f t="shared" si="0"/>
        <v>581386</v>
      </c>
      <c r="D517" s="86" t="str">
        <f>IF(VLOOKUP(C517,'Diferencias patrimonio 2023'!$C$2:$C$1020,1,FALSE)=C517,"Encontrado", "No")</f>
        <v>Encontrado</v>
      </c>
      <c r="E517" s="86" t="s">
        <v>8109</v>
      </c>
      <c r="F517" s="86" t="s">
        <v>62</v>
      </c>
      <c r="G517" s="86" t="s">
        <v>38</v>
      </c>
      <c r="H517" s="86" t="s">
        <v>7414</v>
      </c>
    </row>
    <row r="518" spans="1:8" ht="12.75" hidden="1">
      <c r="A518" s="86">
        <v>517</v>
      </c>
      <c r="B518" s="86" t="s">
        <v>4744</v>
      </c>
      <c r="C518" s="86" t="str">
        <f t="shared" si="0"/>
        <v>581387</v>
      </c>
      <c r="D518" s="86" t="str">
        <f>IF(VLOOKUP(C518,'Diferencias patrimonio 2023'!$C$2:$C$1020,1,FALSE)=C518,"Encontrado", "No")</f>
        <v>Encontrado</v>
      </c>
      <c r="E518" s="86" t="s">
        <v>8110</v>
      </c>
      <c r="F518" s="86" t="s">
        <v>62</v>
      </c>
      <c r="G518" s="86" t="s">
        <v>38</v>
      </c>
      <c r="H518" s="86" t="s">
        <v>7414</v>
      </c>
    </row>
    <row r="519" spans="1:8" ht="12.75" hidden="1">
      <c r="A519" s="86">
        <v>518</v>
      </c>
      <c r="B519" s="86" t="s">
        <v>590</v>
      </c>
      <c r="C519" s="86" t="str">
        <f t="shared" si="0"/>
        <v>581678</v>
      </c>
      <c r="D519" s="86" t="str">
        <f>IF(VLOOKUP(C519,'Diferencias patrimonio 2023'!$C$2:$C$1020,1,FALSE)=C519,"Encontrado", "No")</f>
        <v>Encontrado</v>
      </c>
      <c r="E519" s="86" t="s">
        <v>8111</v>
      </c>
      <c r="F519" s="86" t="s">
        <v>62</v>
      </c>
      <c r="G519" s="86" t="s">
        <v>38</v>
      </c>
      <c r="H519" s="86" t="s">
        <v>385</v>
      </c>
    </row>
    <row r="520" spans="1:8" ht="12.75" hidden="1">
      <c r="A520" s="86">
        <v>519</v>
      </c>
      <c r="B520" s="86" t="s">
        <v>5583</v>
      </c>
      <c r="C520" s="86" t="str">
        <f t="shared" si="0"/>
        <v>581686</v>
      </c>
      <c r="D520" s="86" t="str">
        <f>IF(VLOOKUP(C520,'Diferencias patrimonio 2023'!$C$2:$C$1020,1,FALSE)=C520,"Encontrado", "No")</f>
        <v>Encontrado</v>
      </c>
      <c r="E520" s="86" t="s">
        <v>8112</v>
      </c>
      <c r="F520" s="86" t="s">
        <v>62</v>
      </c>
      <c r="G520" s="86" t="s">
        <v>38</v>
      </c>
      <c r="H520" s="86" t="s">
        <v>5584</v>
      </c>
    </row>
    <row r="521" spans="1:8" ht="12.75" hidden="1">
      <c r="A521" s="86">
        <v>520</v>
      </c>
      <c r="B521" s="86" t="s">
        <v>499</v>
      </c>
      <c r="C521" s="86" t="str">
        <f t="shared" si="0"/>
        <v>582612</v>
      </c>
      <c r="D521" s="86" t="str">
        <f>IF(VLOOKUP(C521,'Diferencias patrimonio 2023'!$C$2:$C$1020,1,FALSE)=C521,"Encontrado", "No")</f>
        <v>Encontrado</v>
      </c>
      <c r="E521" s="86" t="s">
        <v>8113</v>
      </c>
      <c r="F521" s="86" t="s">
        <v>425</v>
      </c>
      <c r="G521" s="86" t="s">
        <v>38</v>
      </c>
      <c r="H521" s="86" t="s">
        <v>7398</v>
      </c>
    </row>
    <row r="522" spans="1:8" ht="12.75" hidden="1">
      <c r="A522" s="86">
        <v>521</v>
      </c>
      <c r="B522" s="86" t="s">
        <v>6351</v>
      </c>
      <c r="C522" s="86" t="str">
        <f t="shared" si="0"/>
        <v>583305</v>
      </c>
      <c r="D522" s="86" t="str">
        <f>IF(VLOOKUP(C522,'Diferencias patrimonio 2023'!$C$2:$C$1020,1,FALSE)=C522,"Encontrado", "No")</f>
        <v>Encontrado</v>
      </c>
      <c r="E522" s="86" t="s">
        <v>8114</v>
      </c>
      <c r="F522" s="86" t="s">
        <v>6345</v>
      </c>
      <c r="G522" s="86" t="s">
        <v>38</v>
      </c>
      <c r="H522" s="86" t="s">
        <v>6062</v>
      </c>
    </row>
    <row r="523" spans="1:8" ht="12.75" hidden="1">
      <c r="A523" s="86">
        <v>522</v>
      </c>
      <c r="B523" s="86" t="s">
        <v>8115</v>
      </c>
      <c r="C523" s="86" t="str">
        <f t="shared" si="0"/>
        <v>583322</v>
      </c>
      <c r="D523" s="86" t="str">
        <f>IF(VLOOKUP(C523,'Diferencias patrimonio 2023'!$C$2:$C$1020,1,FALSE)=C523,"Encontrado", "No")</f>
        <v>Encontrado</v>
      </c>
      <c r="E523" s="86" t="s">
        <v>8116</v>
      </c>
      <c r="F523" s="86" t="s">
        <v>29</v>
      </c>
      <c r="G523" s="86" t="s">
        <v>38</v>
      </c>
      <c r="H523" s="86" t="s">
        <v>1477</v>
      </c>
    </row>
    <row r="524" spans="1:8" ht="12.75">
      <c r="A524" s="86">
        <v>523</v>
      </c>
      <c r="B524" s="86" t="s">
        <v>7268</v>
      </c>
      <c r="C524" s="86" t="str">
        <f t="shared" si="0"/>
        <v>583323</v>
      </c>
      <c r="D524" s="86" t="e">
        <f>IF(VLOOKUP(C524,'Diferencias patrimonio 2023'!$C$2:$C$1020,1,FALSE)=C524,"Encontrado", "No")</f>
        <v>#N/A</v>
      </c>
      <c r="E524" s="86" t="s">
        <v>8117</v>
      </c>
      <c r="F524" s="86" t="s">
        <v>29</v>
      </c>
      <c r="G524" s="86" t="s">
        <v>38</v>
      </c>
      <c r="H524" s="86" t="s">
        <v>1597</v>
      </c>
    </row>
    <row r="525" spans="1:8" ht="12.75" hidden="1">
      <c r="A525" s="86">
        <v>524</v>
      </c>
      <c r="B525" s="86" t="s">
        <v>37</v>
      </c>
      <c r="C525" s="86" t="str">
        <f t="shared" si="0"/>
        <v>583333</v>
      </c>
      <c r="D525" s="86" t="str">
        <f>IF(VLOOKUP(C525,'Diferencias patrimonio 2023'!$C$2:$C$1020,1,FALSE)=C525,"Encontrado", "No")</f>
        <v>Encontrado</v>
      </c>
      <c r="E525" s="86" t="s">
        <v>8118</v>
      </c>
      <c r="F525" s="86" t="s">
        <v>29</v>
      </c>
      <c r="G525" s="86" t="s">
        <v>38</v>
      </c>
      <c r="H525" s="86" t="s">
        <v>39</v>
      </c>
    </row>
    <row r="526" spans="1:8" ht="12.75">
      <c r="A526" s="86">
        <v>525</v>
      </c>
      <c r="B526" s="86" t="s">
        <v>8119</v>
      </c>
      <c r="C526" s="86" t="str">
        <f t="shared" si="0"/>
        <v>583368</v>
      </c>
      <c r="D526" s="86" t="e">
        <f>IF(VLOOKUP(C526,'Diferencias patrimonio 2023'!$C$2:$C$1020,1,FALSE)=C526,"Encontrado", "No")</f>
        <v>#N/A</v>
      </c>
      <c r="E526" s="86" t="s">
        <v>8120</v>
      </c>
      <c r="F526" s="86" t="s">
        <v>7215</v>
      </c>
      <c r="G526" s="86" t="s">
        <v>38</v>
      </c>
      <c r="H526" s="86" t="s">
        <v>7398</v>
      </c>
    </row>
    <row r="527" spans="1:8" ht="12.75" hidden="1">
      <c r="A527" s="86">
        <v>526</v>
      </c>
      <c r="B527" s="86" t="s">
        <v>5511</v>
      </c>
      <c r="C527" s="86" t="str">
        <f t="shared" si="0"/>
        <v>583439</v>
      </c>
      <c r="D527" s="86" t="str">
        <f>IF(VLOOKUP(C527,'Diferencias patrimonio 2023'!$C$2:$C$1020,1,FALSE)=C527,"Encontrado", "No")</f>
        <v>Encontrado</v>
      </c>
      <c r="E527" s="86" t="s">
        <v>8122</v>
      </c>
      <c r="F527" s="86" t="s">
        <v>116</v>
      </c>
      <c r="G527" s="86" t="s">
        <v>38</v>
      </c>
      <c r="H527" s="86" t="s">
        <v>5310</v>
      </c>
    </row>
    <row r="528" spans="1:8" ht="12.75" hidden="1">
      <c r="A528" s="86">
        <v>527</v>
      </c>
      <c r="B528" s="86" t="s">
        <v>8123</v>
      </c>
      <c r="C528" s="86" t="str">
        <f t="shared" si="0"/>
        <v>583442</v>
      </c>
      <c r="D528" s="86" t="str">
        <f>IF(VLOOKUP(C528,'Diferencias patrimonio 2023'!$C$2:$C$1020,1,FALSE)=C528,"Encontrado", "No")</f>
        <v>Encontrado</v>
      </c>
      <c r="E528" s="86" t="s">
        <v>8124</v>
      </c>
      <c r="F528" s="86" t="s">
        <v>116</v>
      </c>
      <c r="G528" s="86" t="s">
        <v>38</v>
      </c>
      <c r="H528" s="86" t="s">
        <v>3450</v>
      </c>
    </row>
    <row r="529" spans="1:8" ht="12.75" hidden="1">
      <c r="A529" s="86">
        <v>528</v>
      </c>
      <c r="B529" s="86" t="s">
        <v>3765</v>
      </c>
      <c r="C529" s="86" t="str">
        <f t="shared" si="0"/>
        <v>583443</v>
      </c>
      <c r="D529" s="86" t="str">
        <f>IF(VLOOKUP(C529,'Diferencias patrimonio 2023'!$C$2:$C$1020,1,FALSE)=C529,"Encontrado", "No")</f>
        <v>Encontrado</v>
      </c>
      <c r="E529" s="86" t="s">
        <v>8125</v>
      </c>
      <c r="F529" s="86" t="s">
        <v>116</v>
      </c>
      <c r="G529" s="86" t="s">
        <v>38</v>
      </c>
      <c r="H529" s="86" t="s">
        <v>1665</v>
      </c>
    </row>
    <row r="530" spans="1:8" ht="12.75" hidden="1">
      <c r="A530" s="86">
        <v>529</v>
      </c>
      <c r="B530" s="86" t="s">
        <v>6076</v>
      </c>
      <c r="C530" s="86" t="str">
        <f t="shared" si="0"/>
        <v>583444</v>
      </c>
      <c r="D530" s="86" t="str">
        <f>IF(VLOOKUP(C530,'Diferencias patrimonio 2023'!$C$2:$C$1020,1,FALSE)=C530,"Encontrado", "No")</f>
        <v>Encontrado</v>
      </c>
      <c r="E530" s="86" t="s">
        <v>8126</v>
      </c>
      <c r="F530" s="86" t="s">
        <v>116</v>
      </c>
      <c r="G530" s="86" t="s">
        <v>38</v>
      </c>
      <c r="H530" s="86" t="s">
        <v>6062</v>
      </c>
    </row>
    <row r="531" spans="1:8" ht="12.75" hidden="1">
      <c r="A531" s="86">
        <v>530</v>
      </c>
      <c r="B531" s="86" t="s">
        <v>4329</v>
      </c>
      <c r="C531" s="86" t="str">
        <f t="shared" si="0"/>
        <v>583448</v>
      </c>
      <c r="D531" s="86" t="str">
        <f>IF(VLOOKUP(C531,'Diferencias patrimonio 2023'!$C$2:$C$1020,1,FALSE)=C531,"Encontrado", "No")</f>
        <v>Encontrado</v>
      </c>
      <c r="E531" s="86" t="s">
        <v>8127</v>
      </c>
      <c r="F531" s="86" t="s">
        <v>116</v>
      </c>
      <c r="G531" s="86" t="s">
        <v>38</v>
      </c>
      <c r="H531" s="86" t="s">
        <v>3840</v>
      </c>
    </row>
    <row r="532" spans="1:8" ht="12.75" hidden="1">
      <c r="A532" s="86">
        <v>531</v>
      </c>
      <c r="B532" s="86" t="s">
        <v>3921</v>
      </c>
      <c r="C532" s="86" t="str">
        <f t="shared" si="0"/>
        <v>583449</v>
      </c>
      <c r="D532" s="86" t="str">
        <f>IF(VLOOKUP(C532,'Diferencias patrimonio 2023'!$C$2:$C$1020,1,FALSE)=C532,"Encontrado", "No")</f>
        <v>Encontrado</v>
      </c>
      <c r="E532" s="86" t="s">
        <v>8128</v>
      </c>
      <c r="F532" s="86" t="s">
        <v>116</v>
      </c>
      <c r="G532" s="86" t="s">
        <v>38</v>
      </c>
      <c r="H532" s="86" t="s">
        <v>2329</v>
      </c>
    </row>
    <row r="533" spans="1:8" ht="12.75" hidden="1">
      <c r="A533" s="86">
        <v>532</v>
      </c>
      <c r="B533" s="86" t="s">
        <v>4511</v>
      </c>
      <c r="C533" s="86" t="str">
        <f t="shared" si="0"/>
        <v>583450</v>
      </c>
      <c r="D533" s="86" t="str">
        <f>IF(VLOOKUP(C533,'Diferencias patrimonio 2023'!$C$2:$C$1020,1,FALSE)=C533,"Encontrado", "No")</f>
        <v>Encontrado</v>
      </c>
      <c r="E533" s="86" t="s">
        <v>8129</v>
      </c>
      <c r="F533" s="86" t="s">
        <v>116</v>
      </c>
      <c r="G533" s="86" t="s">
        <v>38</v>
      </c>
      <c r="H533" s="86" t="s">
        <v>4492</v>
      </c>
    </row>
    <row r="534" spans="1:8" ht="12.75" hidden="1">
      <c r="A534" s="86">
        <v>533</v>
      </c>
      <c r="B534" s="86" t="s">
        <v>8130</v>
      </c>
      <c r="C534" s="86" t="str">
        <f t="shared" si="0"/>
        <v>583455</v>
      </c>
      <c r="D534" s="86" t="str">
        <f>IF(VLOOKUP(C534,'Diferencias patrimonio 2023'!$C$2:$C$1020,1,FALSE)=C534,"Encontrado", "No")</f>
        <v>Encontrado</v>
      </c>
      <c r="E534" s="86" t="s">
        <v>8131</v>
      </c>
      <c r="F534" s="86" t="s">
        <v>116</v>
      </c>
      <c r="G534" s="86" t="s">
        <v>38</v>
      </c>
      <c r="H534" s="86" t="s">
        <v>7430</v>
      </c>
    </row>
    <row r="535" spans="1:8" ht="12.75" hidden="1">
      <c r="A535" s="86">
        <v>534</v>
      </c>
      <c r="B535" s="86" t="s">
        <v>1842</v>
      </c>
      <c r="C535" s="86" t="str">
        <f t="shared" si="0"/>
        <v>583456</v>
      </c>
      <c r="D535" s="86" t="str">
        <f>IF(VLOOKUP(C535,'Diferencias patrimonio 2023'!$C$2:$C$1020,1,FALSE)=C535,"Encontrado", "No")</f>
        <v>Encontrado</v>
      </c>
      <c r="E535" s="86" t="s">
        <v>8132</v>
      </c>
      <c r="F535" s="86" t="s">
        <v>116</v>
      </c>
      <c r="G535" s="86" t="s">
        <v>38</v>
      </c>
      <c r="H535" s="86" t="s">
        <v>1550</v>
      </c>
    </row>
    <row r="536" spans="1:8" ht="12.75" hidden="1">
      <c r="A536" s="86">
        <v>535</v>
      </c>
      <c r="B536" s="86" t="s">
        <v>3349</v>
      </c>
      <c r="C536" s="86" t="str">
        <f t="shared" si="0"/>
        <v>583457</v>
      </c>
      <c r="D536" s="86" t="str">
        <f>IF(VLOOKUP(C536,'Diferencias patrimonio 2023'!$C$2:$C$1020,1,FALSE)=C536,"Encontrado", "No")</f>
        <v>Encontrado</v>
      </c>
      <c r="E536" s="86" t="s">
        <v>8133</v>
      </c>
      <c r="F536" s="86" t="s">
        <v>116</v>
      </c>
      <c r="G536" s="86" t="s">
        <v>38</v>
      </c>
      <c r="H536" s="86" t="s">
        <v>7434</v>
      </c>
    </row>
    <row r="537" spans="1:8" ht="12.75" hidden="1">
      <c r="A537" s="86">
        <v>536</v>
      </c>
      <c r="B537" s="86" t="s">
        <v>1765</v>
      </c>
      <c r="C537" s="86" t="str">
        <f t="shared" si="0"/>
        <v>583458</v>
      </c>
      <c r="D537" s="86" t="str">
        <f>IF(VLOOKUP(C537,'Diferencias patrimonio 2023'!$C$2:$C$1020,1,FALSE)=C537,"Encontrado", "No")</f>
        <v>Encontrado</v>
      </c>
      <c r="E537" s="86" t="s">
        <v>8134</v>
      </c>
      <c r="F537" s="86" t="s">
        <v>116</v>
      </c>
      <c r="G537" s="86" t="s">
        <v>38</v>
      </c>
      <c r="H537" s="86" t="s">
        <v>1672</v>
      </c>
    </row>
    <row r="538" spans="1:8" ht="12.75" hidden="1">
      <c r="A538" s="86">
        <v>537</v>
      </c>
      <c r="B538" s="86" t="s">
        <v>1907</v>
      </c>
      <c r="C538" s="86" t="str">
        <f t="shared" si="0"/>
        <v>583459</v>
      </c>
      <c r="D538" s="86" t="str">
        <f>IF(VLOOKUP(C538,'Diferencias patrimonio 2023'!$C$2:$C$1020,1,FALSE)=C538,"Encontrado", "No")</f>
        <v>Encontrado</v>
      </c>
      <c r="E538" s="86" t="s">
        <v>8135</v>
      </c>
      <c r="F538" s="86" t="s">
        <v>116</v>
      </c>
      <c r="G538" s="86" t="s">
        <v>38</v>
      </c>
      <c r="H538" s="86" t="s">
        <v>1890</v>
      </c>
    </row>
    <row r="539" spans="1:8" ht="12.75" hidden="1">
      <c r="A539" s="86">
        <v>538</v>
      </c>
      <c r="B539" s="86" t="s">
        <v>6165</v>
      </c>
      <c r="C539" s="86" t="str">
        <f t="shared" si="0"/>
        <v>583460</v>
      </c>
      <c r="D539" s="86" t="str">
        <f>IF(VLOOKUP(C539,'Diferencias patrimonio 2023'!$C$2:$C$1020,1,FALSE)=C539,"Encontrado", "No")</f>
        <v>Encontrado</v>
      </c>
      <c r="E539" s="86" t="s">
        <v>8136</v>
      </c>
      <c r="F539" s="86" t="s">
        <v>116</v>
      </c>
      <c r="G539" s="86" t="s">
        <v>38</v>
      </c>
      <c r="H539" s="86" t="s">
        <v>6062</v>
      </c>
    </row>
    <row r="540" spans="1:8" ht="12.75" hidden="1">
      <c r="A540" s="86">
        <v>539</v>
      </c>
      <c r="B540" s="86" t="s">
        <v>8137</v>
      </c>
      <c r="C540" s="86" t="str">
        <f t="shared" si="0"/>
        <v>583463</v>
      </c>
      <c r="D540" s="86" t="str">
        <f>IF(VLOOKUP(C540,'Diferencias patrimonio 2023'!$C$2:$C$1020,1,FALSE)=C540,"Encontrado", "No")</f>
        <v>Encontrado</v>
      </c>
      <c r="E540" s="86" t="s">
        <v>8138</v>
      </c>
      <c r="F540" s="86" t="s">
        <v>116</v>
      </c>
      <c r="G540" s="86" t="s">
        <v>38</v>
      </c>
      <c r="H540" s="86" t="s">
        <v>1597</v>
      </c>
    </row>
    <row r="541" spans="1:8" ht="12.75" hidden="1">
      <c r="A541" s="86">
        <v>540</v>
      </c>
      <c r="B541" s="86" t="s">
        <v>134</v>
      </c>
      <c r="C541" s="86" t="str">
        <f t="shared" si="0"/>
        <v>583468</v>
      </c>
      <c r="D541" s="86" t="str">
        <f>IF(VLOOKUP(C541,'Diferencias patrimonio 2023'!$C$2:$C$1020,1,FALSE)=C541,"Encontrado", "No")</f>
        <v>Encontrado</v>
      </c>
      <c r="E541" s="86" t="s">
        <v>8139</v>
      </c>
      <c r="F541" s="86" t="s">
        <v>116</v>
      </c>
      <c r="G541" s="86" t="s">
        <v>38</v>
      </c>
      <c r="H541" s="86" t="s">
        <v>7398</v>
      </c>
    </row>
    <row r="542" spans="1:8" ht="12.75" hidden="1">
      <c r="A542" s="86">
        <v>541</v>
      </c>
      <c r="B542" s="86" t="s">
        <v>4833</v>
      </c>
      <c r="C542" s="86" t="str">
        <f t="shared" si="0"/>
        <v>583481</v>
      </c>
      <c r="D542" s="86" t="str">
        <f>IF(VLOOKUP(C542,'Diferencias patrimonio 2023'!$C$2:$C$1020,1,FALSE)=C542,"Encontrado", "No")</f>
        <v>Encontrado</v>
      </c>
      <c r="E542" s="86" t="s">
        <v>8140</v>
      </c>
      <c r="F542" s="86" t="s">
        <v>116</v>
      </c>
      <c r="G542" s="86" t="s">
        <v>38</v>
      </c>
      <c r="H542" s="86" t="s">
        <v>7414</v>
      </c>
    </row>
    <row r="543" spans="1:8" ht="12.75" hidden="1">
      <c r="A543" s="86">
        <v>542</v>
      </c>
      <c r="B543" s="86" t="s">
        <v>4778</v>
      </c>
      <c r="C543" s="86" t="str">
        <f t="shared" si="0"/>
        <v>583482</v>
      </c>
      <c r="D543" s="86" t="str">
        <f>IF(VLOOKUP(C543,'Diferencias patrimonio 2023'!$C$2:$C$1020,1,FALSE)=C543,"Encontrado", "No")</f>
        <v>Encontrado</v>
      </c>
      <c r="E543" s="86" t="s">
        <v>8141</v>
      </c>
      <c r="F543" s="86" t="s">
        <v>116</v>
      </c>
      <c r="G543" s="86" t="s">
        <v>38</v>
      </c>
      <c r="H543" s="86" t="s">
        <v>1004</v>
      </c>
    </row>
    <row r="544" spans="1:8" ht="12.75" hidden="1">
      <c r="A544" s="86">
        <v>543</v>
      </c>
      <c r="B544" s="86" t="s">
        <v>1317</v>
      </c>
      <c r="C544" s="86" t="str">
        <f t="shared" si="0"/>
        <v>583483</v>
      </c>
      <c r="D544" s="86" t="str">
        <f>IF(VLOOKUP(C544,'Diferencias patrimonio 2023'!$C$2:$C$1020,1,FALSE)=C544,"Encontrado", "No")</f>
        <v>Encontrado</v>
      </c>
      <c r="E544" s="86" t="s">
        <v>8142</v>
      </c>
      <c r="F544" s="86" t="s">
        <v>116</v>
      </c>
      <c r="G544" s="86" t="s">
        <v>38</v>
      </c>
      <c r="H544" s="86" t="s">
        <v>724</v>
      </c>
    </row>
    <row r="545" spans="1:8" ht="12.75" hidden="1">
      <c r="A545" s="86">
        <v>544</v>
      </c>
      <c r="B545" s="86" t="s">
        <v>5016</v>
      </c>
      <c r="C545" s="86" t="str">
        <f t="shared" si="0"/>
        <v>583484</v>
      </c>
      <c r="D545" s="86" t="str">
        <f>IF(VLOOKUP(C545,'Diferencias patrimonio 2023'!$C$2:$C$1020,1,FALSE)=C545,"Encontrado", "No")</f>
        <v>Encontrado</v>
      </c>
      <c r="E545" s="86" t="s">
        <v>8143</v>
      </c>
      <c r="F545" s="86" t="s">
        <v>116</v>
      </c>
      <c r="G545" s="86" t="s">
        <v>38</v>
      </c>
      <c r="H545" s="86" t="s">
        <v>4935</v>
      </c>
    </row>
    <row r="546" spans="1:8" ht="12.75" hidden="1">
      <c r="A546" s="86">
        <v>545</v>
      </c>
      <c r="B546" s="86" t="s">
        <v>8144</v>
      </c>
      <c r="C546" s="86" t="str">
        <f t="shared" si="0"/>
        <v>583486</v>
      </c>
      <c r="D546" s="86" t="str">
        <f>IF(VLOOKUP(C546,'Diferencias patrimonio 2023'!$C$2:$C$1020,1,FALSE)=C546,"Encontrado", "No")</f>
        <v>Encontrado</v>
      </c>
      <c r="E546" s="86" t="s">
        <v>8145</v>
      </c>
      <c r="F546" s="86" t="s">
        <v>116</v>
      </c>
      <c r="G546" s="86" t="s">
        <v>38</v>
      </c>
      <c r="H546" s="86" t="s">
        <v>7414</v>
      </c>
    </row>
    <row r="547" spans="1:8" ht="12.75" hidden="1">
      <c r="A547" s="86">
        <v>546</v>
      </c>
      <c r="B547" s="86" t="s">
        <v>5022</v>
      </c>
      <c r="C547" s="86" t="str">
        <f t="shared" si="0"/>
        <v>583683</v>
      </c>
      <c r="D547" s="86" t="str">
        <f>IF(VLOOKUP(C547,'Diferencias patrimonio 2023'!$C$2:$C$1020,1,FALSE)=C547,"Encontrado", "No")</f>
        <v>Encontrado</v>
      </c>
      <c r="E547" s="86" t="s">
        <v>8146</v>
      </c>
      <c r="F547" s="86" t="s">
        <v>116</v>
      </c>
      <c r="G547" s="86" t="s">
        <v>38</v>
      </c>
      <c r="H547" s="86" t="s">
        <v>4935</v>
      </c>
    </row>
    <row r="548" spans="1:8" ht="12.75">
      <c r="A548" s="86">
        <v>547</v>
      </c>
      <c r="B548" s="86" t="s">
        <v>7321</v>
      </c>
      <c r="C548" s="86" t="str">
        <f t="shared" si="0"/>
        <v>583723</v>
      </c>
      <c r="D548" s="86" t="e">
        <f>IF(VLOOKUP(C548,'Diferencias patrimonio 2023'!$C$2:$C$1020,1,FALSE)=C548,"Encontrado", "No")</f>
        <v>#N/A</v>
      </c>
      <c r="E548" s="86" t="s">
        <v>8147</v>
      </c>
      <c r="F548" s="86" t="s">
        <v>116</v>
      </c>
      <c r="G548" s="86" t="s">
        <v>38</v>
      </c>
      <c r="H548" s="86" t="s">
        <v>4935</v>
      </c>
    </row>
    <row r="549" spans="1:8" ht="12.75" hidden="1">
      <c r="A549" s="86">
        <v>548</v>
      </c>
      <c r="B549" s="86" t="s">
        <v>6090</v>
      </c>
      <c r="C549" s="86" t="str">
        <f t="shared" si="0"/>
        <v>583948</v>
      </c>
      <c r="D549" s="86" t="str">
        <f>IF(VLOOKUP(C549,'Diferencias patrimonio 2023'!$C$2:$C$1020,1,FALSE)=C549,"Encontrado", "No")</f>
        <v>Encontrado</v>
      </c>
      <c r="E549" s="86" t="s">
        <v>8148</v>
      </c>
      <c r="F549" s="86" t="s">
        <v>2860</v>
      </c>
      <c r="G549" s="86" t="s">
        <v>38</v>
      </c>
      <c r="H549" s="86" t="s">
        <v>6062</v>
      </c>
    </row>
    <row r="550" spans="1:8" ht="12.75" hidden="1">
      <c r="A550" s="86">
        <v>549</v>
      </c>
      <c r="B550" s="86" t="s">
        <v>8149</v>
      </c>
      <c r="C550" s="86" t="str">
        <f t="shared" si="0"/>
        <v>584026</v>
      </c>
      <c r="D550" s="86" t="str">
        <f>IF(VLOOKUP(C550,'Diferencias patrimonio 2023'!$C$2:$C$1020,1,FALSE)=C550,"Encontrado", "No")</f>
        <v>Encontrado</v>
      </c>
      <c r="E550" s="86" t="s">
        <v>8150</v>
      </c>
      <c r="F550" s="86" t="s">
        <v>8151</v>
      </c>
      <c r="G550" s="86" t="s">
        <v>38</v>
      </c>
      <c r="H550" s="86" t="s">
        <v>7411</v>
      </c>
    </row>
    <row r="551" spans="1:8" ht="12.75" hidden="1">
      <c r="A551" s="86">
        <v>550</v>
      </c>
      <c r="B551" s="86" t="s">
        <v>3274</v>
      </c>
      <c r="C551" s="86" t="str">
        <f t="shared" si="0"/>
        <v>584044</v>
      </c>
      <c r="D551" s="86" t="str">
        <f>IF(VLOOKUP(C551,'Diferencias patrimonio 2023'!$C$2:$C$1020,1,FALSE)=C551,"Encontrado", "No")</f>
        <v>Encontrado</v>
      </c>
      <c r="E551" s="86" t="s">
        <v>8153</v>
      </c>
      <c r="F551" s="86" t="s">
        <v>7615</v>
      </c>
      <c r="G551" s="86" t="s">
        <v>38</v>
      </c>
      <c r="H551" s="86" t="s">
        <v>7434</v>
      </c>
    </row>
    <row r="552" spans="1:8" ht="12.75" hidden="1">
      <c r="A552" s="86">
        <v>551</v>
      </c>
      <c r="B552" s="86" t="s">
        <v>731</v>
      </c>
      <c r="C552" s="86" t="str">
        <f t="shared" si="0"/>
        <v>584045</v>
      </c>
      <c r="D552" s="86" t="str">
        <f>IF(VLOOKUP(C552,'Diferencias patrimonio 2023'!$C$2:$C$1020,1,FALSE)=C552,"Encontrado", "No")</f>
        <v>Encontrado</v>
      </c>
      <c r="E552" s="86" t="s">
        <v>8154</v>
      </c>
      <c r="F552" s="86" t="s">
        <v>7615</v>
      </c>
      <c r="G552" s="86" t="s">
        <v>38</v>
      </c>
      <c r="H552" s="86" t="s">
        <v>385</v>
      </c>
    </row>
    <row r="553" spans="1:8" ht="12.75" hidden="1">
      <c r="A553" s="86">
        <v>552</v>
      </c>
      <c r="B553" s="86" t="s">
        <v>1177</v>
      </c>
      <c r="C553" s="86" t="str">
        <f t="shared" si="0"/>
        <v>584051</v>
      </c>
      <c r="D553" s="86" t="str">
        <f>IF(VLOOKUP(C553,'Diferencias patrimonio 2023'!$C$2:$C$1020,1,FALSE)=C553,"Encontrado", "No")</f>
        <v>Encontrado</v>
      </c>
      <c r="E553" s="86" t="s">
        <v>8155</v>
      </c>
      <c r="F553" s="86" t="s">
        <v>7408</v>
      </c>
      <c r="G553" s="86" t="s">
        <v>38</v>
      </c>
      <c r="H553" s="86" t="s">
        <v>1164</v>
      </c>
    </row>
    <row r="554" spans="1:8" ht="12.75" hidden="1">
      <c r="A554" s="86">
        <v>553</v>
      </c>
      <c r="B554" s="86" t="s">
        <v>8156</v>
      </c>
      <c r="C554" s="86" t="str">
        <f t="shared" si="0"/>
        <v>584061</v>
      </c>
      <c r="D554" s="86" t="str">
        <f>IF(VLOOKUP(C554,'Diferencias patrimonio 2023'!$C$2:$C$1020,1,FALSE)=C554,"Encontrado", "No")</f>
        <v>Encontrado</v>
      </c>
      <c r="E554" s="86" t="s">
        <v>8157</v>
      </c>
      <c r="F554" s="86" t="s">
        <v>7615</v>
      </c>
      <c r="G554" s="86" t="s">
        <v>38</v>
      </c>
      <c r="H554" s="86" t="s">
        <v>3450</v>
      </c>
    </row>
    <row r="555" spans="1:8" ht="12.75">
      <c r="A555" s="86">
        <v>554</v>
      </c>
      <c r="B555" s="86" t="s">
        <v>8158</v>
      </c>
      <c r="C555" s="86" t="str">
        <f t="shared" si="0"/>
        <v>584085</v>
      </c>
      <c r="D555" s="86" t="e">
        <f>IF(VLOOKUP(C555,'Diferencias patrimonio 2023'!$C$2:$C$1020,1,FALSE)=C555,"Encontrado", "No")</f>
        <v>#N/A</v>
      </c>
      <c r="E555" s="86" t="s">
        <v>8159</v>
      </c>
      <c r="F555" s="86" t="s">
        <v>7502</v>
      </c>
      <c r="G555" s="86" t="s">
        <v>38</v>
      </c>
      <c r="H555" s="86" t="s">
        <v>7398</v>
      </c>
    </row>
    <row r="556" spans="1:8" ht="12.75" hidden="1">
      <c r="A556" s="86">
        <v>555</v>
      </c>
      <c r="B556" s="86" t="s">
        <v>8161</v>
      </c>
      <c r="C556" s="86" t="str">
        <f t="shared" si="0"/>
        <v>584141</v>
      </c>
      <c r="D556" s="86" t="str">
        <f>IF(VLOOKUP(C556,'Diferencias patrimonio 2023'!$C$2:$C$1020,1,FALSE)=C556,"Encontrado", "No")</f>
        <v>Encontrado</v>
      </c>
      <c r="E556" s="86" t="s">
        <v>8162</v>
      </c>
      <c r="F556" s="86" t="s">
        <v>80</v>
      </c>
      <c r="G556" s="86" t="s">
        <v>38</v>
      </c>
      <c r="H556" s="86" t="s">
        <v>7411</v>
      </c>
    </row>
    <row r="557" spans="1:8" ht="12.75" hidden="1">
      <c r="A557" s="86">
        <v>556</v>
      </c>
      <c r="B557" s="86" t="s">
        <v>788</v>
      </c>
      <c r="C557" s="86" t="str">
        <f t="shared" si="0"/>
        <v>584143</v>
      </c>
      <c r="D557" s="86" t="str">
        <f>IF(VLOOKUP(C557,'Diferencias patrimonio 2023'!$C$2:$C$1020,1,FALSE)=C557,"Encontrado", "No")</f>
        <v>Encontrado</v>
      </c>
      <c r="E557" s="86" t="s">
        <v>8163</v>
      </c>
      <c r="F557" s="86" t="s">
        <v>80</v>
      </c>
      <c r="G557" s="86" t="s">
        <v>38</v>
      </c>
      <c r="H557" s="86" t="s">
        <v>7398</v>
      </c>
    </row>
    <row r="558" spans="1:8" ht="12.75" hidden="1">
      <c r="A558" s="86">
        <v>557</v>
      </c>
      <c r="B558" s="86" t="s">
        <v>577</v>
      </c>
      <c r="C558" s="86" t="str">
        <f t="shared" si="0"/>
        <v>584144</v>
      </c>
      <c r="D558" s="86" t="str">
        <f>IF(VLOOKUP(C558,'Diferencias patrimonio 2023'!$C$2:$C$1020,1,FALSE)=C558,"Encontrado", "No")</f>
        <v>Encontrado</v>
      </c>
      <c r="E558" s="86" t="s">
        <v>8164</v>
      </c>
      <c r="F558" s="86" t="s">
        <v>80</v>
      </c>
      <c r="G558" s="86" t="s">
        <v>38</v>
      </c>
      <c r="H558" s="86" t="s">
        <v>385</v>
      </c>
    </row>
    <row r="559" spans="1:8" ht="12.75" hidden="1">
      <c r="A559" s="86">
        <v>558</v>
      </c>
      <c r="B559" s="86" t="s">
        <v>507</v>
      </c>
      <c r="C559" s="86" t="str">
        <f t="shared" si="0"/>
        <v>584145</v>
      </c>
      <c r="D559" s="86" t="str">
        <f>IF(VLOOKUP(C559,'Diferencias patrimonio 2023'!$C$2:$C$1020,1,FALSE)=C559,"Encontrado", "No")</f>
        <v>Encontrado</v>
      </c>
      <c r="E559" s="86" t="s">
        <v>8165</v>
      </c>
      <c r="F559" s="86" t="s">
        <v>80</v>
      </c>
      <c r="G559" s="86" t="s">
        <v>38</v>
      </c>
      <c r="H559" s="86" t="s">
        <v>7398</v>
      </c>
    </row>
    <row r="560" spans="1:8" ht="12.75" hidden="1">
      <c r="A560" s="86">
        <v>559</v>
      </c>
      <c r="B560" s="86" t="s">
        <v>8166</v>
      </c>
      <c r="C560" s="86" t="str">
        <f t="shared" si="0"/>
        <v>584146</v>
      </c>
      <c r="D560" s="86" t="str">
        <f>IF(VLOOKUP(C560,'Diferencias patrimonio 2023'!$C$2:$C$1020,1,FALSE)=C560,"Encontrado", "No")</f>
        <v>Encontrado</v>
      </c>
      <c r="E560" s="86" t="s">
        <v>8167</v>
      </c>
      <c r="F560" s="86" t="s">
        <v>80</v>
      </c>
      <c r="G560" s="86" t="s">
        <v>38</v>
      </c>
      <c r="H560" s="86" t="s">
        <v>7414</v>
      </c>
    </row>
    <row r="561" spans="1:8" ht="12.75" hidden="1">
      <c r="A561" s="86">
        <v>560</v>
      </c>
      <c r="B561" s="86" t="s">
        <v>91</v>
      </c>
      <c r="C561" s="86" t="str">
        <f t="shared" si="0"/>
        <v>584147</v>
      </c>
      <c r="D561" s="86" t="e">
        <f>IF(VLOOKUP(C561,'Diferencias patrimonio 2023'!$C$2:$C$1020,1,FALSE)=C561,"Encontrado", "No")</f>
        <v>#N/A</v>
      </c>
      <c r="E561" s="86" t="s">
        <v>8168</v>
      </c>
      <c r="F561" s="86" t="s">
        <v>80</v>
      </c>
      <c r="G561" s="86" t="s">
        <v>38</v>
      </c>
      <c r="H561" s="86" t="s">
        <v>7398</v>
      </c>
    </row>
    <row r="562" spans="1:8" ht="12.75" hidden="1">
      <c r="A562" s="86">
        <v>561</v>
      </c>
      <c r="B562" s="86" t="s">
        <v>3246</v>
      </c>
      <c r="C562" s="86" t="str">
        <f t="shared" si="0"/>
        <v>584161</v>
      </c>
      <c r="D562" s="86" t="str">
        <f>IF(VLOOKUP(C562,'Diferencias patrimonio 2023'!$C$2:$C$1020,1,FALSE)=C562,"Encontrado", "No")</f>
        <v>Encontrado</v>
      </c>
      <c r="E562" s="86" t="s">
        <v>8169</v>
      </c>
      <c r="F562" s="86" t="s">
        <v>80</v>
      </c>
      <c r="G562" s="86" t="s">
        <v>38</v>
      </c>
      <c r="H562" s="86" t="s">
        <v>7434</v>
      </c>
    </row>
    <row r="563" spans="1:8" ht="12.75">
      <c r="A563" s="86">
        <v>562</v>
      </c>
      <c r="B563" s="86" t="s">
        <v>8170</v>
      </c>
      <c r="C563" s="86" t="str">
        <f t="shared" si="0"/>
        <v>600317</v>
      </c>
      <c r="D563" s="86" t="e">
        <f>IF(VLOOKUP(C563,'Diferencias patrimonio 2023'!$C$2:$C$1020,1,FALSE)=C563,"Encontrado", "No")</f>
        <v>#N/A</v>
      </c>
      <c r="E563" s="86" t="s">
        <v>8171</v>
      </c>
      <c r="F563" s="86" t="s">
        <v>210</v>
      </c>
      <c r="G563" s="86" t="s">
        <v>38</v>
      </c>
      <c r="H563" s="86" t="s">
        <v>7414</v>
      </c>
    </row>
    <row r="564" spans="1:8" ht="12.75" hidden="1">
      <c r="A564" s="86">
        <v>563</v>
      </c>
      <c r="B564" s="86" t="s">
        <v>8172</v>
      </c>
      <c r="C564" s="86" t="str">
        <f t="shared" si="0"/>
        <v>649353</v>
      </c>
      <c r="D564" s="86" t="str">
        <f>IF(VLOOKUP(C564,'Diferencias patrimonio 2023'!$C$2:$C$1020,1,FALSE)=C564,"Encontrado", "No")</f>
        <v>Encontrado</v>
      </c>
      <c r="E564" s="86" t="s">
        <v>8171</v>
      </c>
      <c r="F564" s="86" t="s">
        <v>2311</v>
      </c>
      <c r="G564" s="86" t="s">
        <v>38</v>
      </c>
      <c r="H564" s="86" t="s">
        <v>7411</v>
      </c>
    </row>
    <row r="565" spans="1:8" ht="12.75" hidden="1">
      <c r="A565" s="86">
        <v>564</v>
      </c>
      <c r="B565" s="86" t="s">
        <v>8173</v>
      </c>
      <c r="C565" s="86" t="str">
        <f t="shared" si="0"/>
        <v>649354</v>
      </c>
      <c r="D565" s="86" t="str">
        <f>IF(VLOOKUP(C565,'Diferencias patrimonio 2023'!$C$2:$C$1020,1,FALSE)=C565,"Encontrado", "No")</f>
        <v>Encontrado</v>
      </c>
      <c r="E565" s="86" t="s">
        <v>8171</v>
      </c>
      <c r="F565" s="86" t="s">
        <v>2743</v>
      </c>
      <c r="G565" s="86" t="s">
        <v>38</v>
      </c>
      <c r="H565" s="86" t="s">
        <v>7411</v>
      </c>
    </row>
    <row r="566" spans="1:8" ht="12.75" hidden="1">
      <c r="A566" s="86">
        <v>565</v>
      </c>
      <c r="B566" s="86" t="s">
        <v>8174</v>
      </c>
      <c r="C566" s="86" t="str">
        <f t="shared" si="0"/>
        <v>649355</v>
      </c>
      <c r="D566" s="86" t="str">
        <f>IF(VLOOKUP(C566,'Diferencias patrimonio 2023'!$C$2:$C$1020,1,FALSE)=C566,"Encontrado", "No")</f>
        <v>Encontrado</v>
      </c>
      <c r="E566" s="86" t="s">
        <v>8171</v>
      </c>
      <c r="F566" s="86" t="s">
        <v>2743</v>
      </c>
      <c r="G566" s="86" t="s">
        <v>38</v>
      </c>
      <c r="H566" s="86" t="s">
        <v>7411</v>
      </c>
    </row>
    <row r="567" spans="1:8" ht="12.75" hidden="1">
      <c r="A567" s="86">
        <v>566</v>
      </c>
      <c r="B567" s="86" t="s">
        <v>182</v>
      </c>
      <c r="C567" s="86" t="str">
        <f t="shared" si="0"/>
        <v>649356</v>
      </c>
      <c r="D567" s="86" t="str">
        <f>IF(VLOOKUP(C567,'Diferencias patrimonio 2023'!$C$2:$C$1020,1,FALSE)=C567,"Encontrado", "No")</f>
        <v>Encontrado</v>
      </c>
      <c r="E567" s="86" t="s">
        <v>8171</v>
      </c>
      <c r="F567" s="86" t="s">
        <v>173</v>
      </c>
      <c r="G567" s="86" t="s">
        <v>38</v>
      </c>
      <c r="H567" s="86" t="s">
        <v>7398</v>
      </c>
    </row>
    <row r="568" spans="1:8" ht="12.75" hidden="1">
      <c r="A568" s="86">
        <v>567</v>
      </c>
      <c r="B568" s="86" t="s">
        <v>5303</v>
      </c>
      <c r="C568" s="86" t="str">
        <f t="shared" si="0"/>
        <v>649357</v>
      </c>
      <c r="D568" s="86" t="str">
        <f>IF(VLOOKUP(C568,'Diferencias patrimonio 2023'!$C$2:$C$1020,1,FALSE)=C568,"Encontrado", "No")</f>
        <v>Encontrado</v>
      </c>
      <c r="E568" s="86" t="s">
        <v>8171</v>
      </c>
      <c r="F568" s="86" t="s">
        <v>43</v>
      </c>
      <c r="G568" s="86" t="s">
        <v>38</v>
      </c>
      <c r="H568" s="86" t="s">
        <v>4980</v>
      </c>
    </row>
    <row r="569" spans="1:8" ht="12.75" hidden="1">
      <c r="A569" s="86">
        <v>568</v>
      </c>
      <c r="B569" s="86" t="s">
        <v>3758</v>
      </c>
      <c r="C569" s="86" t="str">
        <f t="shared" si="0"/>
        <v>649358</v>
      </c>
      <c r="D569" s="86" t="str">
        <f>IF(VLOOKUP(C569,'Diferencias patrimonio 2023'!$C$2:$C$1020,1,FALSE)=C569,"Encontrado", "No")</f>
        <v>Encontrado</v>
      </c>
      <c r="E569" s="86" t="s">
        <v>8171</v>
      </c>
      <c r="F569" s="86" t="s">
        <v>43</v>
      </c>
      <c r="G569" s="86" t="s">
        <v>38</v>
      </c>
      <c r="H569" s="86" t="s">
        <v>1665</v>
      </c>
    </row>
    <row r="570" spans="1:8" ht="12.75" hidden="1">
      <c r="A570" s="86">
        <v>569</v>
      </c>
      <c r="B570" s="86" t="s">
        <v>8175</v>
      </c>
      <c r="C570" s="86" t="str">
        <f t="shared" si="0"/>
        <v>649359</v>
      </c>
      <c r="D570" s="86" t="str">
        <f>IF(VLOOKUP(C570,'Diferencias patrimonio 2023'!$C$2:$C$1020,1,FALSE)=C570,"Encontrado", "No")</f>
        <v>Encontrado</v>
      </c>
      <c r="E570" s="86" t="s">
        <v>8171</v>
      </c>
      <c r="F570" s="86" t="s">
        <v>43</v>
      </c>
      <c r="G570" s="86" t="s">
        <v>38</v>
      </c>
      <c r="H570" s="86" t="s">
        <v>7411</v>
      </c>
    </row>
    <row r="571" spans="1:8" ht="12.75" hidden="1">
      <c r="A571" s="86">
        <v>570</v>
      </c>
      <c r="B571" s="86" t="s">
        <v>6718</v>
      </c>
      <c r="C571" s="86" t="str">
        <f t="shared" si="0"/>
        <v>649360</v>
      </c>
      <c r="D571" s="86" t="str">
        <f>IF(VLOOKUP(C571,'Diferencias patrimonio 2023'!$C$2:$C$1020,1,FALSE)=C571,"Encontrado", "No")</f>
        <v>Encontrado</v>
      </c>
      <c r="E571" s="86" t="s">
        <v>8171</v>
      </c>
      <c r="F571" s="86" t="s">
        <v>43</v>
      </c>
      <c r="G571" s="86" t="s">
        <v>38</v>
      </c>
      <c r="H571" s="86" t="s">
        <v>6062</v>
      </c>
    </row>
    <row r="572" spans="1:8" ht="12.75" hidden="1">
      <c r="A572" s="86">
        <v>571</v>
      </c>
      <c r="B572" s="86" t="s">
        <v>1497</v>
      </c>
      <c r="C572" s="86" t="str">
        <f t="shared" si="0"/>
        <v>649363</v>
      </c>
      <c r="D572" s="86" t="str">
        <f>IF(VLOOKUP(C572,'Diferencias patrimonio 2023'!$C$2:$C$1020,1,FALSE)=C572,"Encontrado", "No")</f>
        <v>Encontrado</v>
      </c>
      <c r="E572" s="86" t="s">
        <v>8171</v>
      </c>
      <c r="F572" s="86" t="s">
        <v>43</v>
      </c>
      <c r="G572" s="86" t="s">
        <v>38</v>
      </c>
      <c r="H572" s="86" t="s">
        <v>1477</v>
      </c>
    </row>
    <row r="573" spans="1:8" ht="12.75" hidden="1">
      <c r="A573" s="86">
        <v>572</v>
      </c>
      <c r="B573" s="86" t="s">
        <v>8176</v>
      </c>
      <c r="C573" s="86" t="str">
        <f t="shared" si="0"/>
        <v>649364</v>
      </c>
      <c r="D573" s="86" t="str">
        <f>IF(VLOOKUP(C573,'Diferencias patrimonio 2023'!$C$2:$C$1020,1,FALSE)=C573,"Encontrado", "No")</f>
        <v>Encontrado</v>
      </c>
      <c r="E573" s="86" t="s">
        <v>8171</v>
      </c>
      <c r="F573" s="86" t="s">
        <v>43</v>
      </c>
      <c r="G573" s="86" t="s">
        <v>38</v>
      </c>
      <c r="H573" s="86" t="s">
        <v>1477</v>
      </c>
    </row>
    <row r="574" spans="1:8" ht="12.75">
      <c r="A574" s="86">
        <v>573</v>
      </c>
      <c r="B574" s="86" t="s">
        <v>7319</v>
      </c>
      <c r="C574" s="86" t="str">
        <f t="shared" si="0"/>
        <v>649365</v>
      </c>
      <c r="D574" s="86" t="e">
        <f>IF(VLOOKUP(C574,'Diferencias patrimonio 2023'!$C$2:$C$1020,1,FALSE)=C574,"Encontrado", "No")</f>
        <v>#N/A</v>
      </c>
      <c r="E574" s="86" t="s">
        <v>8171</v>
      </c>
      <c r="F574" s="86" t="s">
        <v>43</v>
      </c>
      <c r="G574" s="86" t="s">
        <v>38</v>
      </c>
      <c r="H574" s="86" t="s">
        <v>5310</v>
      </c>
    </row>
    <row r="575" spans="1:8" ht="12.75" hidden="1">
      <c r="A575" s="86">
        <v>574</v>
      </c>
      <c r="B575" s="86" t="s">
        <v>7314</v>
      </c>
      <c r="C575" s="86" t="str">
        <f t="shared" si="0"/>
        <v>649366</v>
      </c>
      <c r="D575" s="86" t="e">
        <f>IF(VLOOKUP(C575,'Diferencias patrimonio 2023'!$C$2:$C$1020,1,FALSE)=C575,"Encontrado", "No")</f>
        <v>#N/A</v>
      </c>
      <c r="E575" s="86" t="s">
        <v>8171</v>
      </c>
      <c r="F575" s="86" t="s">
        <v>43</v>
      </c>
      <c r="G575" s="86" t="s">
        <v>38</v>
      </c>
      <c r="H575" s="86" t="s">
        <v>7398</v>
      </c>
    </row>
    <row r="576" spans="1:8" ht="12.75" hidden="1">
      <c r="A576" s="86">
        <v>575</v>
      </c>
      <c r="B576" s="86" t="s">
        <v>423</v>
      </c>
      <c r="C576" s="86" t="str">
        <f t="shared" si="0"/>
        <v>649367</v>
      </c>
      <c r="D576" s="86" t="str">
        <f>IF(VLOOKUP(C576,'Diferencias patrimonio 2023'!$C$2:$C$1020,1,FALSE)=C576,"Encontrado", "No")</f>
        <v>Encontrado</v>
      </c>
      <c r="E576" s="86" t="s">
        <v>8171</v>
      </c>
      <c r="F576" s="86" t="s">
        <v>43</v>
      </c>
      <c r="G576" s="86" t="s">
        <v>38</v>
      </c>
      <c r="H576" s="86" t="s">
        <v>7398</v>
      </c>
    </row>
    <row r="577" spans="1:8" ht="12.75" hidden="1">
      <c r="A577" s="86">
        <v>576</v>
      </c>
      <c r="B577" s="86" t="s">
        <v>8177</v>
      </c>
      <c r="C577" s="86" t="str">
        <f t="shared" si="0"/>
        <v>649368</v>
      </c>
      <c r="D577" s="86" t="str">
        <f>IF(VLOOKUP(C577,'Diferencias patrimonio 2023'!$C$2:$C$1020,1,FALSE)=C577,"Encontrado", "No")</f>
        <v>Encontrado</v>
      </c>
      <c r="E577" s="86" t="s">
        <v>8171</v>
      </c>
      <c r="F577" s="86" t="s">
        <v>43</v>
      </c>
      <c r="G577" s="86" t="s">
        <v>38</v>
      </c>
      <c r="H577" s="86" t="s">
        <v>3450</v>
      </c>
    </row>
    <row r="578" spans="1:8" ht="12.75" hidden="1">
      <c r="A578" s="86">
        <v>577</v>
      </c>
      <c r="B578" s="86" t="s">
        <v>8178</v>
      </c>
      <c r="C578" s="86" t="str">
        <f t="shared" si="0"/>
        <v>649369</v>
      </c>
      <c r="D578" s="86" t="str">
        <f>IF(VLOOKUP(C578,'Diferencias patrimonio 2023'!$C$2:$C$1020,1,FALSE)=C578,"Encontrado", "No")</f>
        <v>Encontrado</v>
      </c>
      <c r="E578" s="86" t="s">
        <v>8171</v>
      </c>
      <c r="F578" s="86" t="s">
        <v>43</v>
      </c>
      <c r="G578" s="86" t="s">
        <v>38</v>
      </c>
      <c r="H578" s="86" t="s">
        <v>3450</v>
      </c>
    </row>
    <row r="579" spans="1:8" ht="12.75" hidden="1">
      <c r="A579" s="86">
        <v>578</v>
      </c>
      <c r="B579" s="86" t="s">
        <v>8179</v>
      </c>
      <c r="C579" s="86" t="str">
        <f t="shared" si="0"/>
        <v>649370</v>
      </c>
      <c r="D579" s="86" t="str">
        <f>IF(VLOOKUP(C579,'Diferencias patrimonio 2023'!$C$2:$C$1020,1,FALSE)=C579,"Encontrado", "No")</f>
        <v>Encontrado</v>
      </c>
      <c r="E579" s="86" t="s">
        <v>8171</v>
      </c>
      <c r="F579" s="86" t="s">
        <v>43</v>
      </c>
      <c r="G579" s="86" t="s">
        <v>38</v>
      </c>
      <c r="H579" s="86" t="s">
        <v>3450</v>
      </c>
    </row>
    <row r="580" spans="1:8" ht="12.75" hidden="1">
      <c r="A580" s="86">
        <v>579</v>
      </c>
      <c r="B580" s="86" t="s">
        <v>8180</v>
      </c>
      <c r="C580" s="86" t="str">
        <f t="shared" si="0"/>
        <v>649371</v>
      </c>
      <c r="D580" s="86" t="str">
        <f>IF(VLOOKUP(C580,'Diferencias patrimonio 2023'!$C$2:$C$1020,1,FALSE)=C580,"Encontrado", "No")</f>
        <v>Encontrado</v>
      </c>
      <c r="E580" s="86" t="s">
        <v>8171</v>
      </c>
      <c r="F580" s="86" t="s">
        <v>43</v>
      </c>
      <c r="G580" s="86" t="s">
        <v>38</v>
      </c>
      <c r="H580" s="86" t="s">
        <v>7411</v>
      </c>
    </row>
    <row r="581" spans="1:8" ht="12.75" hidden="1">
      <c r="A581" s="86">
        <v>580</v>
      </c>
      <c r="B581" s="86" t="s">
        <v>3410</v>
      </c>
      <c r="C581" s="86" t="str">
        <f t="shared" si="0"/>
        <v>649372</v>
      </c>
      <c r="D581" s="86" t="str">
        <f>IF(VLOOKUP(C581,'Diferencias patrimonio 2023'!$C$2:$C$1020,1,FALSE)=C581,"Encontrado", "No")</f>
        <v>Encontrado</v>
      </c>
      <c r="E581" s="86" t="s">
        <v>8171</v>
      </c>
      <c r="F581" s="86" t="s">
        <v>43</v>
      </c>
      <c r="G581" s="86" t="s">
        <v>38</v>
      </c>
      <c r="H581" s="86" t="s">
        <v>7434</v>
      </c>
    </row>
    <row r="582" spans="1:8" ht="12.75" hidden="1">
      <c r="A582" s="86">
        <v>581</v>
      </c>
      <c r="B582" s="86" t="s">
        <v>8181</v>
      </c>
      <c r="C582" s="86" t="str">
        <f t="shared" si="0"/>
        <v>649373</v>
      </c>
      <c r="D582" s="86" t="str">
        <f>IF(VLOOKUP(C582,'Diferencias patrimonio 2023'!$C$2:$C$1020,1,FALSE)=C582,"Encontrado", "No")</f>
        <v>Encontrado</v>
      </c>
      <c r="E582" s="86" t="s">
        <v>8171</v>
      </c>
      <c r="F582" s="86" t="s">
        <v>43</v>
      </c>
      <c r="G582" s="86" t="s">
        <v>38</v>
      </c>
      <c r="H582" s="86" t="s">
        <v>7430</v>
      </c>
    </row>
    <row r="583" spans="1:8" ht="12.75" hidden="1">
      <c r="A583" s="86">
        <v>582</v>
      </c>
      <c r="B583" s="86" t="s">
        <v>50</v>
      </c>
      <c r="C583" s="86" t="str">
        <f t="shared" si="0"/>
        <v>649374</v>
      </c>
      <c r="D583" s="86" t="str">
        <f>IF(VLOOKUP(C583,'Diferencias patrimonio 2023'!$C$2:$C$1020,1,FALSE)=C583,"Encontrado", "No")</f>
        <v>Encontrado</v>
      </c>
      <c r="E583" s="86" t="s">
        <v>8171</v>
      </c>
      <c r="F583" s="86" t="s">
        <v>43</v>
      </c>
      <c r="G583" s="86" t="s">
        <v>38</v>
      </c>
      <c r="H583" s="86" t="s">
        <v>7398</v>
      </c>
    </row>
    <row r="584" spans="1:8" ht="12.75" hidden="1">
      <c r="A584" s="86">
        <v>583</v>
      </c>
      <c r="B584" s="86" t="s">
        <v>5887</v>
      </c>
      <c r="C584" s="86" t="str">
        <f t="shared" si="0"/>
        <v>649375</v>
      </c>
      <c r="D584" s="86" t="str">
        <f>IF(VLOOKUP(C584,'Diferencias patrimonio 2023'!$C$2:$C$1020,1,FALSE)=C584,"Encontrado", "No")</f>
        <v>Encontrado</v>
      </c>
      <c r="E584" s="86" t="s">
        <v>8171</v>
      </c>
      <c r="F584" s="86" t="s">
        <v>5778</v>
      </c>
      <c r="G584" s="86" t="s">
        <v>38</v>
      </c>
      <c r="H584" s="86" t="s">
        <v>7398</v>
      </c>
    </row>
    <row r="585" spans="1:8" ht="12.75" hidden="1">
      <c r="A585" s="86">
        <v>584</v>
      </c>
      <c r="B585" s="86" t="s">
        <v>5049</v>
      </c>
      <c r="C585" s="86" t="str">
        <f t="shared" si="0"/>
        <v>649376</v>
      </c>
      <c r="D585" s="86" t="str">
        <f>IF(VLOOKUP(C585,'Diferencias patrimonio 2023'!$C$2:$C$1020,1,FALSE)=C585,"Encontrado", "No")</f>
        <v>Encontrado</v>
      </c>
      <c r="E585" s="86" t="s">
        <v>8171</v>
      </c>
      <c r="F585" s="86" t="s">
        <v>199</v>
      </c>
      <c r="G585" s="86" t="s">
        <v>38</v>
      </c>
      <c r="H585" s="86" t="s">
        <v>4935</v>
      </c>
    </row>
    <row r="586" spans="1:8" ht="12.75" hidden="1">
      <c r="A586" s="86">
        <v>585</v>
      </c>
      <c r="B586" s="86" t="s">
        <v>3281</v>
      </c>
      <c r="C586" s="86" t="str">
        <f t="shared" si="0"/>
        <v>649379</v>
      </c>
      <c r="D586" s="86" t="str">
        <f>IF(VLOOKUP(C586,'Diferencias patrimonio 2023'!$C$2:$C$1020,1,FALSE)=C586,"Encontrado", "No")</f>
        <v>Encontrado</v>
      </c>
      <c r="E586" s="86" t="s">
        <v>8171</v>
      </c>
      <c r="F586" s="86" t="s">
        <v>199</v>
      </c>
      <c r="G586" s="86" t="s">
        <v>38</v>
      </c>
      <c r="H586" s="86" t="s">
        <v>7434</v>
      </c>
    </row>
    <row r="587" spans="1:8" ht="12.75" hidden="1">
      <c r="A587" s="86">
        <v>586</v>
      </c>
      <c r="B587" s="86" t="s">
        <v>4050</v>
      </c>
      <c r="C587" s="86" t="str">
        <f t="shared" si="0"/>
        <v>649381</v>
      </c>
      <c r="D587" s="86" t="str">
        <f>IF(VLOOKUP(C587,'Diferencias patrimonio 2023'!$C$2:$C$1020,1,FALSE)=C587,"Encontrado", "No")</f>
        <v>Encontrado</v>
      </c>
      <c r="E587" s="86" t="s">
        <v>8171</v>
      </c>
      <c r="F587" s="86" t="s">
        <v>199</v>
      </c>
      <c r="G587" s="86" t="s">
        <v>38</v>
      </c>
      <c r="H587" s="86" t="s">
        <v>3984</v>
      </c>
    </row>
    <row r="588" spans="1:8" ht="12.75" hidden="1">
      <c r="A588" s="86">
        <v>587</v>
      </c>
      <c r="B588" s="86" t="s">
        <v>1283</v>
      </c>
      <c r="C588" s="86" t="str">
        <f t="shared" si="0"/>
        <v>649383</v>
      </c>
      <c r="D588" s="86" t="str">
        <f>IF(VLOOKUP(C588,'Diferencias patrimonio 2023'!$C$2:$C$1020,1,FALSE)=C588,"Encontrado", "No")</f>
        <v>Encontrado</v>
      </c>
      <c r="E588" s="86" t="s">
        <v>8171</v>
      </c>
      <c r="F588" s="86" t="s">
        <v>1275</v>
      </c>
      <c r="G588" s="86" t="s">
        <v>38</v>
      </c>
      <c r="H588" s="86" t="s">
        <v>1164</v>
      </c>
    </row>
    <row r="589" spans="1:8" ht="12.75" hidden="1">
      <c r="A589" s="86">
        <v>588</v>
      </c>
      <c r="B589" s="86" t="s">
        <v>8182</v>
      </c>
      <c r="C589" s="86" t="str">
        <f t="shared" si="0"/>
        <v>649384</v>
      </c>
      <c r="D589" s="86" t="str">
        <f>IF(VLOOKUP(C589,'Diferencias patrimonio 2023'!$C$2:$C$1020,1,FALSE)=C589,"Encontrado", "No")</f>
        <v>Encontrado</v>
      </c>
      <c r="E589" s="86" t="s">
        <v>8171</v>
      </c>
      <c r="F589" s="86" t="s">
        <v>1275</v>
      </c>
      <c r="G589" s="86" t="s">
        <v>38</v>
      </c>
      <c r="H589" s="86" t="s">
        <v>1477</v>
      </c>
    </row>
    <row r="590" spans="1:8" ht="12.75" hidden="1">
      <c r="A590" s="86">
        <v>589</v>
      </c>
      <c r="B590" s="86" t="s">
        <v>208</v>
      </c>
      <c r="C590" s="86" t="str">
        <f t="shared" si="0"/>
        <v>649385</v>
      </c>
      <c r="D590" s="86" t="str">
        <f>IF(VLOOKUP(C590,'Diferencias patrimonio 2023'!$C$2:$C$1020,1,FALSE)=C590,"Encontrado", "No")</f>
        <v>Encontrado</v>
      </c>
      <c r="E590" s="86" t="s">
        <v>8171</v>
      </c>
      <c r="F590" s="86" t="s">
        <v>199</v>
      </c>
      <c r="G590" s="86" t="s">
        <v>38</v>
      </c>
      <c r="H590" s="86" t="s">
        <v>7398</v>
      </c>
    </row>
    <row r="591" spans="1:8" ht="12.75" hidden="1">
      <c r="A591" s="86">
        <v>590</v>
      </c>
      <c r="B591" s="86" t="s">
        <v>219</v>
      </c>
      <c r="C591" s="86" t="str">
        <f t="shared" si="0"/>
        <v>649398</v>
      </c>
      <c r="D591" s="86" t="str">
        <f>IF(VLOOKUP(C591,'Diferencias patrimonio 2023'!$C$2:$C$1020,1,FALSE)=C591,"Encontrado", "No")</f>
        <v>Encontrado</v>
      </c>
      <c r="E591" s="86" t="s">
        <v>8171</v>
      </c>
      <c r="F591" s="86" t="s">
        <v>210</v>
      </c>
      <c r="G591" s="86" t="s">
        <v>38</v>
      </c>
      <c r="H591" s="86" t="s">
        <v>7398</v>
      </c>
    </row>
    <row r="592" spans="1:8" ht="12.75" hidden="1">
      <c r="A592" s="86">
        <v>591</v>
      </c>
      <c r="B592" s="86" t="s">
        <v>5058</v>
      </c>
      <c r="C592" s="86" t="str">
        <f t="shared" si="0"/>
        <v>649399</v>
      </c>
      <c r="D592" s="86" t="str">
        <f>IF(VLOOKUP(C592,'Diferencias patrimonio 2023'!$C$2:$C$1020,1,FALSE)=C592,"Encontrado", "No")</f>
        <v>Encontrado</v>
      </c>
      <c r="E592" s="86" t="s">
        <v>8171</v>
      </c>
      <c r="F592" s="86" t="s">
        <v>210</v>
      </c>
      <c r="G592" s="86" t="s">
        <v>38</v>
      </c>
      <c r="H592" s="86" t="s">
        <v>4935</v>
      </c>
    </row>
    <row r="593" spans="1:8" ht="12.75" hidden="1">
      <c r="A593" s="86">
        <v>592</v>
      </c>
      <c r="B593" s="86" t="s">
        <v>8183</v>
      </c>
      <c r="C593" s="86" t="str">
        <f t="shared" si="0"/>
        <v>649400</v>
      </c>
      <c r="D593" s="86" t="str">
        <f>IF(VLOOKUP(C593,'Diferencias patrimonio 2023'!$C$2:$C$1020,1,FALSE)=C593,"Encontrado", "No")</f>
        <v>Encontrado</v>
      </c>
      <c r="E593" s="86" t="s">
        <v>8171</v>
      </c>
      <c r="F593" s="86" t="s">
        <v>210</v>
      </c>
      <c r="G593" s="86" t="s">
        <v>38</v>
      </c>
      <c r="H593" s="86" t="s">
        <v>3450</v>
      </c>
    </row>
    <row r="594" spans="1:8" ht="12.75" hidden="1">
      <c r="A594" s="86">
        <v>593</v>
      </c>
      <c r="B594" s="86" t="s">
        <v>1975</v>
      </c>
      <c r="C594" s="86" t="str">
        <f t="shared" si="0"/>
        <v>649401</v>
      </c>
      <c r="D594" s="86" t="str">
        <f>IF(VLOOKUP(C594,'Diferencias patrimonio 2023'!$C$2:$C$1020,1,FALSE)=C594,"Encontrado", "No")</f>
        <v>Encontrado</v>
      </c>
      <c r="E594" s="86" t="s">
        <v>8171</v>
      </c>
      <c r="F594" s="86" t="s">
        <v>210</v>
      </c>
      <c r="G594" s="86" t="s">
        <v>38</v>
      </c>
      <c r="H594" s="86" t="s">
        <v>1597</v>
      </c>
    </row>
    <row r="595" spans="1:8" ht="12.75" hidden="1">
      <c r="A595" s="86">
        <v>594</v>
      </c>
      <c r="B595" s="86" t="s">
        <v>5878</v>
      </c>
      <c r="C595" s="86" t="str">
        <f t="shared" si="0"/>
        <v>649402</v>
      </c>
      <c r="D595" s="86" t="str">
        <f>IF(VLOOKUP(C595,'Diferencias patrimonio 2023'!$C$2:$C$1020,1,FALSE)=C595,"Encontrado", "No")</f>
        <v>Encontrado</v>
      </c>
      <c r="E595" s="86" t="s">
        <v>8171</v>
      </c>
      <c r="F595" s="86" t="s">
        <v>5778</v>
      </c>
      <c r="G595" s="86" t="s">
        <v>38</v>
      </c>
      <c r="H595" s="86" t="s">
        <v>7398</v>
      </c>
    </row>
    <row r="596" spans="1:8" ht="12.75" hidden="1">
      <c r="A596" s="86">
        <v>595</v>
      </c>
      <c r="B596" s="86" t="s">
        <v>1149</v>
      </c>
      <c r="C596" s="86" t="str">
        <f t="shared" si="0"/>
        <v>649403</v>
      </c>
      <c r="D596" s="86" t="str">
        <f>IF(VLOOKUP(C596,'Diferencias patrimonio 2023'!$C$2:$C$1020,1,FALSE)=C596,"Encontrado", "No")</f>
        <v>Encontrado</v>
      </c>
      <c r="E596" s="86" t="s">
        <v>8171</v>
      </c>
      <c r="F596" s="86" t="s">
        <v>1142</v>
      </c>
      <c r="G596" s="86" t="s">
        <v>38</v>
      </c>
      <c r="H596" s="86" t="s">
        <v>385</v>
      </c>
    </row>
    <row r="597" spans="1:8" ht="12.75" hidden="1">
      <c r="A597" s="86">
        <v>596</v>
      </c>
      <c r="B597" s="86" t="s">
        <v>6615</v>
      </c>
      <c r="C597" s="86" t="str">
        <f t="shared" si="0"/>
        <v>649404</v>
      </c>
      <c r="D597" s="86" t="str">
        <f>IF(VLOOKUP(C597,'Diferencias patrimonio 2023'!$C$2:$C$1020,1,FALSE)=C597,"Encontrado", "No")</f>
        <v>Encontrado</v>
      </c>
      <c r="E597" s="86" t="s">
        <v>8171</v>
      </c>
      <c r="F597" s="86" t="s">
        <v>5778</v>
      </c>
      <c r="G597" s="86" t="s">
        <v>38</v>
      </c>
      <c r="H597" s="86" t="s">
        <v>6062</v>
      </c>
    </row>
    <row r="598" spans="1:8" ht="12.75" hidden="1">
      <c r="A598" s="86">
        <v>597</v>
      </c>
      <c r="B598" s="86" t="s">
        <v>5599</v>
      </c>
      <c r="C598" s="86" t="str">
        <f t="shared" si="0"/>
        <v>649405</v>
      </c>
      <c r="D598" s="86" t="str">
        <f>IF(VLOOKUP(C598,'Diferencias patrimonio 2023'!$C$2:$C$1020,1,FALSE)=C598,"Encontrado", "No")</f>
        <v>Encontrado</v>
      </c>
      <c r="E598" s="86" t="s">
        <v>8171</v>
      </c>
      <c r="F598" s="86" t="s">
        <v>387</v>
      </c>
      <c r="G598" s="86" t="s">
        <v>38</v>
      </c>
      <c r="H598" s="86" t="s">
        <v>4935</v>
      </c>
    </row>
    <row r="599" spans="1:8" ht="12.75" hidden="1">
      <c r="A599" s="86">
        <v>598</v>
      </c>
      <c r="B599" s="86" t="s">
        <v>6641</v>
      </c>
      <c r="C599" s="86" t="str">
        <f t="shared" si="0"/>
        <v>649406</v>
      </c>
      <c r="D599" s="86" t="str">
        <f>IF(VLOOKUP(C599,'Diferencias patrimonio 2023'!$C$2:$C$1020,1,FALSE)=C599,"Encontrado", "No")</f>
        <v>Encontrado</v>
      </c>
      <c r="E599" s="86" t="s">
        <v>8171</v>
      </c>
      <c r="F599" s="86" t="s">
        <v>387</v>
      </c>
      <c r="G599" s="86" t="s">
        <v>38</v>
      </c>
      <c r="H599" s="86" t="s">
        <v>6062</v>
      </c>
    </row>
    <row r="600" spans="1:8" ht="12.75" hidden="1">
      <c r="A600" s="86">
        <v>599</v>
      </c>
      <c r="B600" s="86" t="s">
        <v>5039</v>
      </c>
      <c r="C600" s="86" t="str">
        <f t="shared" si="0"/>
        <v>649410</v>
      </c>
      <c r="D600" s="86" t="str">
        <f>IF(VLOOKUP(C600,'Diferencias patrimonio 2023'!$C$2:$C$1020,1,FALSE)=C600,"Encontrado", "No")</f>
        <v>Encontrado</v>
      </c>
      <c r="E600" s="86" t="s">
        <v>8171</v>
      </c>
      <c r="F600" s="86" t="s">
        <v>8184</v>
      </c>
      <c r="G600" s="86" t="s">
        <v>38</v>
      </c>
      <c r="H600" s="86" t="s">
        <v>4935</v>
      </c>
    </row>
    <row r="601" spans="1:8" ht="12.75" hidden="1">
      <c r="A601" s="86">
        <v>600</v>
      </c>
      <c r="B601" s="86" t="s">
        <v>8185</v>
      </c>
      <c r="C601" s="86" t="str">
        <f t="shared" si="0"/>
        <v>649411</v>
      </c>
      <c r="D601" s="86" t="str">
        <f>IF(VLOOKUP(C601,'Diferencias patrimonio 2023'!$C$2:$C$1020,1,FALSE)=C601,"Encontrado", "No")</f>
        <v>Encontrado</v>
      </c>
      <c r="E601" s="86" t="s">
        <v>8171</v>
      </c>
      <c r="F601" s="86" t="s">
        <v>248</v>
      </c>
      <c r="G601" s="86" t="s">
        <v>38</v>
      </c>
      <c r="H601" s="86" t="s">
        <v>7411</v>
      </c>
    </row>
    <row r="602" spans="1:8" ht="12.75" hidden="1">
      <c r="A602" s="86">
        <v>601</v>
      </c>
      <c r="B602" s="86" t="s">
        <v>5715</v>
      </c>
      <c r="C602" s="86" t="str">
        <f t="shared" si="0"/>
        <v>649412</v>
      </c>
      <c r="D602" s="86" t="str">
        <f>IF(VLOOKUP(C602,'Diferencias patrimonio 2023'!$C$2:$C$1020,1,FALSE)=C602,"Encontrado", "No")</f>
        <v>Encontrado</v>
      </c>
      <c r="E602" s="86" t="s">
        <v>8171</v>
      </c>
      <c r="F602" s="86" t="s">
        <v>248</v>
      </c>
      <c r="G602" s="86" t="s">
        <v>38</v>
      </c>
      <c r="H602" s="86" t="s">
        <v>5696</v>
      </c>
    </row>
    <row r="603" spans="1:8" ht="12.75" hidden="1">
      <c r="A603" s="86">
        <v>602</v>
      </c>
      <c r="B603" s="86" t="s">
        <v>5186</v>
      </c>
      <c r="C603" s="86" t="str">
        <f t="shared" si="0"/>
        <v>649413</v>
      </c>
      <c r="D603" s="86" t="str">
        <f>IF(VLOOKUP(C603,'Diferencias patrimonio 2023'!$C$2:$C$1020,1,FALSE)=C603,"Encontrado", "No")</f>
        <v>Encontrado</v>
      </c>
      <c r="E603" s="86" t="s">
        <v>8171</v>
      </c>
      <c r="F603" s="86" t="s">
        <v>248</v>
      </c>
      <c r="G603" s="86" t="s">
        <v>38</v>
      </c>
      <c r="H603" s="86" t="s">
        <v>5138</v>
      </c>
    </row>
    <row r="604" spans="1:8" ht="12.75" hidden="1">
      <c r="A604" s="86">
        <v>603</v>
      </c>
      <c r="B604" s="86" t="s">
        <v>5274</v>
      </c>
      <c r="C604" s="86" t="str">
        <f t="shared" si="0"/>
        <v>649414</v>
      </c>
      <c r="D604" s="86" t="str">
        <f>IF(VLOOKUP(C604,'Diferencias patrimonio 2023'!$C$2:$C$1020,1,FALSE)=C604,"Encontrado", "No")</f>
        <v>Encontrado</v>
      </c>
      <c r="E604" s="86" t="s">
        <v>8171</v>
      </c>
      <c r="F604" s="86" t="s">
        <v>248</v>
      </c>
      <c r="G604" s="86" t="s">
        <v>38</v>
      </c>
      <c r="H604" s="86" t="s">
        <v>5223</v>
      </c>
    </row>
    <row r="605" spans="1:8" ht="12.75" hidden="1">
      <c r="A605" s="86">
        <v>604</v>
      </c>
      <c r="B605" s="86" t="s">
        <v>5065</v>
      </c>
      <c r="C605" s="86" t="str">
        <f t="shared" si="0"/>
        <v>649415</v>
      </c>
      <c r="D605" s="86" t="str">
        <f>IF(VLOOKUP(C605,'Diferencias patrimonio 2023'!$C$2:$C$1020,1,FALSE)=C605,"Encontrado", "No")</f>
        <v>Encontrado</v>
      </c>
      <c r="E605" s="86" t="s">
        <v>8171</v>
      </c>
      <c r="F605" s="86" t="s">
        <v>248</v>
      </c>
      <c r="G605" s="86" t="s">
        <v>38</v>
      </c>
      <c r="H605" s="86" t="s">
        <v>4935</v>
      </c>
    </row>
    <row r="606" spans="1:8" ht="12.75" hidden="1">
      <c r="A606" s="86">
        <v>605</v>
      </c>
      <c r="B606" s="86" t="s">
        <v>6253</v>
      </c>
      <c r="C606" s="86" t="str">
        <f t="shared" si="0"/>
        <v>649416</v>
      </c>
      <c r="D606" s="86" t="str">
        <f>IF(VLOOKUP(C606,'Diferencias patrimonio 2023'!$C$2:$C$1020,1,FALSE)=C606,"Encontrado", "No")</f>
        <v>Encontrado</v>
      </c>
      <c r="E606" s="86" t="s">
        <v>8171</v>
      </c>
      <c r="F606" s="86" t="s">
        <v>248</v>
      </c>
      <c r="G606" s="86" t="s">
        <v>38</v>
      </c>
      <c r="H606" s="86" t="s">
        <v>6062</v>
      </c>
    </row>
    <row r="607" spans="1:8" ht="12.75" hidden="1">
      <c r="A607" s="86">
        <v>606</v>
      </c>
      <c r="B607" s="86" t="s">
        <v>8186</v>
      </c>
      <c r="C607" s="86" t="str">
        <f t="shared" si="0"/>
        <v>649417</v>
      </c>
      <c r="D607" s="86" t="str">
        <f>IF(VLOOKUP(C607,'Diferencias patrimonio 2023'!$C$2:$C$1020,1,FALSE)=C607,"Encontrado", "No")</f>
        <v>Encontrado</v>
      </c>
      <c r="E607" s="86" t="s">
        <v>8171</v>
      </c>
      <c r="F607" s="86" t="s">
        <v>248</v>
      </c>
      <c r="G607" s="86" t="s">
        <v>38</v>
      </c>
      <c r="H607" s="86" t="s">
        <v>3450</v>
      </c>
    </row>
    <row r="608" spans="1:8" ht="12.75" hidden="1">
      <c r="A608" s="86">
        <v>607</v>
      </c>
      <c r="B608" s="86" t="s">
        <v>8187</v>
      </c>
      <c r="C608" s="86" t="str">
        <f t="shared" si="0"/>
        <v>649418</v>
      </c>
      <c r="D608" s="86" t="str">
        <f>IF(VLOOKUP(C608,'Diferencias patrimonio 2023'!$C$2:$C$1020,1,FALSE)=C608,"Encontrado", "No")</f>
        <v>Encontrado</v>
      </c>
      <c r="E608" s="86" t="s">
        <v>8171</v>
      </c>
      <c r="F608" s="86" t="s">
        <v>248</v>
      </c>
      <c r="G608" s="86" t="s">
        <v>38</v>
      </c>
      <c r="H608" s="86" t="s">
        <v>4057</v>
      </c>
    </row>
    <row r="609" spans="1:8" ht="12.75" hidden="1">
      <c r="A609" s="86">
        <v>608</v>
      </c>
      <c r="B609" s="86" t="s">
        <v>8188</v>
      </c>
      <c r="C609" s="86" t="str">
        <f t="shared" si="0"/>
        <v>649419</v>
      </c>
      <c r="D609" s="86" t="str">
        <f>IF(VLOOKUP(C609,'Diferencias patrimonio 2023'!$C$2:$C$1020,1,FALSE)=C609,"Encontrado", "No")</f>
        <v>Encontrado</v>
      </c>
      <c r="E609" s="86" t="s">
        <v>8171</v>
      </c>
      <c r="F609" s="86" t="s">
        <v>248</v>
      </c>
      <c r="G609" s="86" t="s">
        <v>38</v>
      </c>
      <c r="H609" s="86" t="s">
        <v>7472</v>
      </c>
    </row>
    <row r="610" spans="1:8" ht="12.75" hidden="1">
      <c r="A610" s="86">
        <v>609</v>
      </c>
      <c r="B610" s="86" t="s">
        <v>4530</v>
      </c>
      <c r="C610" s="86" t="str">
        <f t="shared" si="0"/>
        <v>649420</v>
      </c>
      <c r="D610" s="86" t="str">
        <f>IF(VLOOKUP(C610,'Diferencias patrimonio 2023'!$C$2:$C$1020,1,FALSE)=C610,"Encontrado", "No")</f>
        <v>Encontrado</v>
      </c>
      <c r="E610" s="86" t="s">
        <v>8171</v>
      </c>
      <c r="F610" s="86" t="s">
        <v>248</v>
      </c>
      <c r="G610" s="86" t="s">
        <v>38</v>
      </c>
      <c r="H610" s="86" t="s">
        <v>4492</v>
      </c>
    </row>
    <row r="611" spans="1:8" ht="12.75" hidden="1">
      <c r="A611" s="86">
        <v>610</v>
      </c>
      <c r="B611" s="86" t="s">
        <v>4348</v>
      </c>
      <c r="C611" s="86" t="str">
        <f t="shared" si="0"/>
        <v>649421</v>
      </c>
      <c r="D611" s="86" t="str">
        <f>IF(VLOOKUP(C611,'Diferencias patrimonio 2023'!$C$2:$C$1020,1,FALSE)=C611,"Encontrado", "No")</f>
        <v>Encontrado</v>
      </c>
      <c r="E611" s="86" t="s">
        <v>8171</v>
      </c>
      <c r="F611" s="86" t="s">
        <v>248</v>
      </c>
      <c r="G611" s="86" t="s">
        <v>38</v>
      </c>
      <c r="H611" s="86" t="s">
        <v>3840</v>
      </c>
    </row>
    <row r="612" spans="1:8" ht="12.75" hidden="1">
      <c r="A612" s="86">
        <v>611</v>
      </c>
      <c r="B612" s="86" t="s">
        <v>4399</v>
      </c>
      <c r="C612" s="86" t="str">
        <f t="shared" si="0"/>
        <v>649422</v>
      </c>
      <c r="D612" s="86" t="str">
        <f>IF(VLOOKUP(C612,'Diferencias patrimonio 2023'!$C$2:$C$1020,1,FALSE)=C612,"Encontrado", "No")</f>
        <v>Encontrado</v>
      </c>
      <c r="E612" s="86" t="s">
        <v>8171</v>
      </c>
      <c r="F612" s="86" t="s">
        <v>248</v>
      </c>
      <c r="G612" s="86" t="s">
        <v>38</v>
      </c>
      <c r="H612" s="86" t="s">
        <v>7696</v>
      </c>
    </row>
    <row r="613" spans="1:8" ht="12.75" hidden="1">
      <c r="A613" s="86">
        <v>612</v>
      </c>
      <c r="B613" s="86" t="s">
        <v>4846</v>
      </c>
      <c r="C613" s="86" t="str">
        <f t="shared" si="0"/>
        <v>649423</v>
      </c>
      <c r="D613" s="86" t="str">
        <f>IF(VLOOKUP(C613,'Diferencias patrimonio 2023'!$C$2:$C$1020,1,FALSE)=C613,"Encontrado", "No")</f>
        <v>Encontrado</v>
      </c>
      <c r="E613" s="86" t="s">
        <v>8171</v>
      </c>
      <c r="F613" s="86" t="s">
        <v>248</v>
      </c>
      <c r="G613" s="86" t="s">
        <v>38</v>
      </c>
      <c r="H613" s="86" t="s">
        <v>4737</v>
      </c>
    </row>
    <row r="614" spans="1:8" ht="12.75" hidden="1">
      <c r="A614" s="86">
        <v>613</v>
      </c>
      <c r="B614" s="86" t="s">
        <v>4894</v>
      </c>
      <c r="C614" s="86" t="str">
        <f t="shared" si="0"/>
        <v>649424</v>
      </c>
      <c r="D614" s="86" t="str">
        <f>IF(VLOOKUP(C614,'Diferencias patrimonio 2023'!$C$2:$C$1020,1,FALSE)=C614,"Encontrado", "No")</f>
        <v>Encontrado</v>
      </c>
      <c r="E614" s="86" t="s">
        <v>8171</v>
      </c>
      <c r="F614" s="86" t="s">
        <v>248</v>
      </c>
      <c r="G614" s="86" t="s">
        <v>38</v>
      </c>
      <c r="H614" s="86" t="s">
        <v>7414</v>
      </c>
    </row>
    <row r="615" spans="1:8" ht="12.75" hidden="1">
      <c r="A615" s="86">
        <v>614</v>
      </c>
      <c r="B615" s="86" t="s">
        <v>1234</v>
      </c>
      <c r="C615" s="86" t="str">
        <f t="shared" si="0"/>
        <v>649425</v>
      </c>
      <c r="D615" s="86" t="str">
        <f>IF(VLOOKUP(C615,'Diferencias patrimonio 2023'!$C$2:$C$1020,1,FALSE)=C615,"Encontrado", "No")</f>
        <v>Encontrado</v>
      </c>
      <c r="E615" s="86" t="s">
        <v>8171</v>
      </c>
      <c r="F615" s="86" t="s">
        <v>248</v>
      </c>
      <c r="G615" s="86" t="s">
        <v>38</v>
      </c>
      <c r="H615" s="86" t="s">
        <v>1164</v>
      </c>
    </row>
    <row r="616" spans="1:8" ht="12.75" hidden="1">
      <c r="A616" s="86">
        <v>615</v>
      </c>
      <c r="B616" s="86" t="s">
        <v>981</v>
      </c>
      <c r="C616" s="86" t="str">
        <f t="shared" si="0"/>
        <v>649426</v>
      </c>
      <c r="D616" s="86" t="str">
        <f>IF(VLOOKUP(C616,'Diferencias patrimonio 2023'!$C$2:$C$1020,1,FALSE)=C616,"Encontrado", "No")</f>
        <v>Encontrado</v>
      </c>
      <c r="E616" s="86" t="s">
        <v>8171</v>
      </c>
      <c r="F616" s="86" t="s">
        <v>248</v>
      </c>
      <c r="G616" s="86" t="s">
        <v>38</v>
      </c>
      <c r="H616" s="86" t="s">
        <v>7441</v>
      </c>
    </row>
    <row r="617" spans="1:8" ht="12.75" hidden="1">
      <c r="A617" s="86">
        <v>616</v>
      </c>
      <c r="B617" s="86" t="s">
        <v>5554</v>
      </c>
      <c r="C617" s="86" t="str">
        <f t="shared" si="0"/>
        <v>649427</v>
      </c>
      <c r="D617" s="86" t="str">
        <f>IF(VLOOKUP(C617,'Diferencias patrimonio 2023'!$C$2:$C$1020,1,FALSE)=C617,"Encontrado", "No")</f>
        <v>Encontrado</v>
      </c>
      <c r="E617" s="86" t="s">
        <v>8171</v>
      </c>
      <c r="F617" s="86" t="s">
        <v>248</v>
      </c>
      <c r="G617" s="86" t="s">
        <v>38</v>
      </c>
      <c r="H617" s="86" t="s">
        <v>5310</v>
      </c>
    </row>
    <row r="618" spans="1:8" ht="12.75" hidden="1">
      <c r="A618" s="86">
        <v>617</v>
      </c>
      <c r="B618" s="86" t="s">
        <v>5671</v>
      </c>
      <c r="C618" s="86" t="str">
        <f t="shared" si="0"/>
        <v>649428</v>
      </c>
      <c r="D618" s="86" t="str">
        <f>IF(VLOOKUP(C618,'Diferencias patrimonio 2023'!$C$2:$C$1020,1,FALSE)=C618,"Encontrado", "No")</f>
        <v>Encontrado</v>
      </c>
      <c r="E618" s="86" t="s">
        <v>8171</v>
      </c>
      <c r="F618" s="86" t="s">
        <v>248</v>
      </c>
      <c r="G618" s="86" t="s">
        <v>38</v>
      </c>
      <c r="H618" s="86" t="s">
        <v>5584</v>
      </c>
    </row>
    <row r="619" spans="1:8" ht="12.75" hidden="1">
      <c r="A619" s="86">
        <v>618</v>
      </c>
      <c r="B619" s="86" t="s">
        <v>5422</v>
      </c>
      <c r="C619" s="86" t="str">
        <f t="shared" si="0"/>
        <v>649429</v>
      </c>
      <c r="D619" s="86" t="str">
        <f>IF(VLOOKUP(C619,'Diferencias patrimonio 2023'!$C$2:$C$1020,1,FALSE)=C619,"Encontrado", "No")</f>
        <v>Encontrado</v>
      </c>
      <c r="E619" s="86" t="s">
        <v>8171</v>
      </c>
      <c r="F619" s="86" t="s">
        <v>248</v>
      </c>
      <c r="G619" s="86" t="s">
        <v>38</v>
      </c>
      <c r="H619" s="86" t="s">
        <v>7531</v>
      </c>
    </row>
    <row r="620" spans="1:8" ht="12.75" hidden="1">
      <c r="A620" s="86">
        <v>619</v>
      </c>
      <c r="B620" s="86" t="s">
        <v>5330</v>
      </c>
      <c r="C620" s="86" t="str">
        <f t="shared" si="0"/>
        <v>649430</v>
      </c>
      <c r="D620" s="86" t="str">
        <f>IF(VLOOKUP(C620,'Diferencias patrimonio 2023'!$C$2:$C$1020,1,FALSE)=C620,"Encontrado", "No")</f>
        <v>Encontrado</v>
      </c>
      <c r="E620" s="86" t="s">
        <v>8171</v>
      </c>
      <c r="F620" s="86" t="s">
        <v>248</v>
      </c>
      <c r="G620" s="86" t="s">
        <v>38</v>
      </c>
      <c r="H620" s="86" t="s">
        <v>4980</v>
      </c>
    </row>
    <row r="621" spans="1:8" ht="12.75" hidden="1">
      <c r="A621" s="86">
        <v>620</v>
      </c>
      <c r="B621" s="86" t="s">
        <v>6821</v>
      </c>
      <c r="C621" s="86" t="str">
        <f t="shared" si="0"/>
        <v>649431</v>
      </c>
      <c r="D621" s="86" t="str">
        <f>IF(VLOOKUP(C621,'Diferencias patrimonio 2023'!$C$2:$C$1020,1,FALSE)=C621,"Encontrado", "No")</f>
        <v>Encontrado</v>
      </c>
      <c r="E621" s="86" t="s">
        <v>8171</v>
      </c>
      <c r="F621" s="86" t="s">
        <v>248</v>
      </c>
      <c r="G621" s="86" t="s">
        <v>38</v>
      </c>
      <c r="H621" s="86" t="s">
        <v>4417</v>
      </c>
    </row>
    <row r="622" spans="1:8" ht="12.75" hidden="1">
      <c r="A622" s="86">
        <v>621</v>
      </c>
      <c r="B622" s="86" t="s">
        <v>3390</v>
      </c>
      <c r="C622" s="86" t="str">
        <f t="shared" si="0"/>
        <v>649432</v>
      </c>
      <c r="D622" s="86" t="str">
        <f>IF(VLOOKUP(C622,'Diferencias patrimonio 2023'!$C$2:$C$1020,1,FALSE)=C622,"Encontrado", "No")</f>
        <v>Encontrado</v>
      </c>
      <c r="E622" s="86" t="s">
        <v>8171</v>
      </c>
      <c r="F622" s="86" t="s">
        <v>248</v>
      </c>
      <c r="G622" s="86" t="s">
        <v>38</v>
      </c>
      <c r="H622" s="86" t="s">
        <v>7434</v>
      </c>
    </row>
    <row r="623" spans="1:8" ht="12.75" hidden="1">
      <c r="A623" s="86">
        <v>622</v>
      </c>
      <c r="B623" s="86" t="s">
        <v>3208</v>
      </c>
      <c r="C623" s="86" t="str">
        <f t="shared" si="0"/>
        <v>649433</v>
      </c>
      <c r="D623" s="86" t="str">
        <f>IF(VLOOKUP(C623,'Diferencias patrimonio 2023'!$C$2:$C$1020,1,FALSE)=C623,"Encontrado", "No")</f>
        <v>Encontrado</v>
      </c>
      <c r="E623" s="86" t="s">
        <v>8171</v>
      </c>
      <c r="F623" s="86" t="s">
        <v>248</v>
      </c>
      <c r="G623" s="86" t="s">
        <v>38</v>
      </c>
      <c r="H623" s="86" t="s">
        <v>3151</v>
      </c>
    </row>
    <row r="624" spans="1:8" ht="12.75" hidden="1">
      <c r="A624" s="86">
        <v>623</v>
      </c>
      <c r="B624" s="86" t="s">
        <v>1796</v>
      </c>
      <c r="C624" s="86" t="str">
        <f t="shared" si="0"/>
        <v>649434</v>
      </c>
      <c r="D624" s="86" t="str">
        <f>IF(VLOOKUP(C624,'Diferencias patrimonio 2023'!$C$2:$C$1020,1,FALSE)=C624,"Encontrado", "No")</f>
        <v>Encontrado</v>
      </c>
      <c r="E624" s="86" t="s">
        <v>8171</v>
      </c>
      <c r="F624" s="86" t="s">
        <v>248</v>
      </c>
      <c r="G624" s="86" t="s">
        <v>38</v>
      </c>
      <c r="H624" s="86" t="s">
        <v>1672</v>
      </c>
    </row>
    <row r="625" spans="1:8" ht="12.75" hidden="1">
      <c r="A625" s="86">
        <v>624</v>
      </c>
      <c r="B625" s="86" t="s">
        <v>4024</v>
      </c>
      <c r="C625" s="86" t="str">
        <f t="shared" si="0"/>
        <v>649435</v>
      </c>
      <c r="D625" s="86" t="str">
        <f>IF(VLOOKUP(C625,'Diferencias patrimonio 2023'!$C$2:$C$1020,1,FALSE)=C625,"Encontrado", "No")</f>
        <v>Encontrado</v>
      </c>
      <c r="E625" s="86" t="s">
        <v>8171</v>
      </c>
      <c r="F625" s="86" t="s">
        <v>248</v>
      </c>
      <c r="G625" s="86" t="s">
        <v>38</v>
      </c>
      <c r="H625" s="86" t="s">
        <v>3984</v>
      </c>
    </row>
    <row r="626" spans="1:8" ht="12.75" hidden="1">
      <c r="A626" s="86">
        <v>625</v>
      </c>
      <c r="B626" s="86" t="s">
        <v>3779</v>
      </c>
      <c r="C626" s="86" t="str">
        <f t="shared" si="0"/>
        <v>649436</v>
      </c>
      <c r="D626" s="86" t="str">
        <f>IF(VLOOKUP(C626,'Diferencias patrimonio 2023'!$C$2:$C$1020,1,FALSE)=C626,"Encontrado", "No")</f>
        <v>Encontrado</v>
      </c>
      <c r="E626" s="86" t="s">
        <v>8171</v>
      </c>
      <c r="F626" s="86" t="s">
        <v>248</v>
      </c>
      <c r="G626" s="86" t="s">
        <v>38</v>
      </c>
      <c r="H626" s="86" t="s">
        <v>1665</v>
      </c>
    </row>
    <row r="627" spans="1:8" ht="12.75" hidden="1">
      <c r="A627" s="86">
        <v>626</v>
      </c>
      <c r="B627" s="86" t="s">
        <v>8189</v>
      </c>
      <c r="C627" s="86" t="str">
        <f t="shared" si="0"/>
        <v>649438</v>
      </c>
      <c r="D627" s="86" t="str">
        <f>IF(VLOOKUP(C627,'Diferencias patrimonio 2023'!$C$2:$C$1020,1,FALSE)=C627,"Encontrado", "No")</f>
        <v>Encontrado</v>
      </c>
      <c r="E627" s="86" t="s">
        <v>8171</v>
      </c>
      <c r="F627" s="86" t="s">
        <v>248</v>
      </c>
      <c r="G627" s="86" t="s">
        <v>38</v>
      </c>
      <c r="H627" s="86" t="s">
        <v>7411</v>
      </c>
    </row>
    <row r="628" spans="1:8" ht="12.75" hidden="1">
      <c r="A628" s="86">
        <v>627</v>
      </c>
      <c r="B628" s="86" t="s">
        <v>4813</v>
      </c>
      <c r="C628" s="86" t="str">
        <f t="shared" si="0"/>
        <v>649439</v>
      </c>
      <c r="D628" s="86" t="str">
        <f>IF(VLOOKUP(C628,'Diferencias patrimonio 2023'!$C$2:$C$1020,1,FALSE)=C628,"Encontrado", "No")</f>
        <v>Encontrado</v>
      </c>
      <c r="E628" s="86" t="s">
        <v>8171</v>
      </c>
      <c r="F628" s="86" t="s">
        <v>248</v>
      </c>
      <c r="G628" s="86" t="s">
        <v>38</v>
      </c>
      <c r="H628" s="86" t="s">
        <v>1004</v>
      </c>
    </row>
    <row r="629" spans="1:8" ht="12.75" hidden="1">
      <c r="A629" s="86">
        <v>628</v>
      </c>
      <c r="B629" s="86" t="s">
        <v>8190</v>
      </c>
      <c r="C629" s="86" t="str">
        <f t="shared" si="0"/>
        <v>649441</v>
      </c>
      <c r="D629" s="86" t="str">
        <f>IF(VLOOKUP(C629,'Diferencias patrimonio 2023'!$C$2:$C$1020,1,FALSE)=C629,"Encontrado", "No")</f>
        <v>Encontrado</v>
      </c>
      <c r="E629" s="86" t="s">
        <v>8171</v>
      </c>
      <c r="F629" s="86" t="s">
        <v>353</v>
      </c>
      <c r="G629" s="86" t="s">
        <v>38</v>
      </c>
      <c r="H629" s="86" t="s">
        <v>3450</v>
      </c>
    </row>
    <row r="630" spans="1:8" ht="12.75" hidden="1">
      <c r="A630" s="86">
        <v>629</v>
      </c>
      <c r="B630" s="86" t="s">
        <v>1415</v>
      </c>
      <c r="C630" s="86" t="str">
        <f t="shared" si="0"/>
        <v>649442</v>
      </c>
      <c r="D630" s="86" t="str">
        <f>IF(VLOOKUP(C630,'Diferencias patrimonio 2023'!$C$2:$C$1020,1,FALSE)=C630,"Encontrado", "No")</f>
        <v>Encontrado</v>
      </c>
      <c r="E630" s="86" t="s">
        <v>8171</v>
      </c>
      <c r="F630" s="86" t="s">
        <v>353</v>
      </c>
      <c r="G630" s="86" t="s">
        <v>38</v>
      </c>
      <c r="H630" s="86" t="s">
        <v>4935</v>
      </c>
    </row>
    <row r="631" spans="1:8" ht="12.75" hidden="1">
      <c r="A631" s="86">
        <v>630</v>
      </c>
      <c r="B631" s="86" t="s">
        <v>2499</v>
      </c>
      <c r="C631" s="86" t="str">
        <f t="shared" si="0"/>
        <v>649443</v>
      </c>
      <c r="D631" s="86" t="str">
        <f>IF(VLOOKUP(C631,'Diferencias patrimonio 2023'!$C$2:$C$1020,1,FALSE)=C631,"Encontrado", "No")</f>
        <v>Encontrado</v>
      </c>
      <c r="E631" s="86" t="s">
        <v>8171</v>
      </c>
      <c r="F631" s="86" t="s">
        <v>199</v>
      </c>
      <c r="G631" s="86" t="s">
        <v>38</v>
      </c>
      <c r="H631" s="86" t="s">
        <v>7398</v>
      </c>
    </row>
    <row r="632" spans="1:8" ht="12.75" hidden="1">
      <c r="A632" s="86">
        <v>631</v>
      </c>
      <c r="B632" s="86" t="s">
        <v>1514</v>
      </c>
      <c r="C632" s="86" t="str">
        <f t="shared" si="0"/>
        <v>649459</v>
      </c>
      <c r="D632" s="86" t="str">
        <f>IF(VLOOKUP(C632,'Diferencias patrimonio 2023'!$C$2:$C$1020,1,FALSE)=C632,"Encontrado", "No")</f>
        <v>Encontrado</v>
      </c>
      <c r="E632" s="86" t="s">
        <v>8171</v>
      </c>
      <c r="F632" s="86" t="s">
        <v>3521</v>
      </c>
      <c r="G632" s="86" t="s">
        <v>38</v>
      </c>
      <c r="H632" s="86" t="s">
        <v>1477</v>
      </c>
    </row>
    <row r="633" spans="1:8" ht="12.75" hidden="1">
      <c r="A633" s="86">
        <v>632</v>
      </c>
      <c r="B633" s="86" t="s">
        <v>8191</v>
      </c>
      <c r="C633" s="86" t="str">
        <f t="shared" si="0"/>
        <v>649460</v>
      </c>
      <c r="D633" s="86" t="str">
        <f>IF(VLOOKUP(C633,'Diferencias patrimonio 2023'!$C$2:$C$1020,1,FALSE)=C633,"Encontrado", "No")</f>
        <v>Encontrado</v>
      </c>
      <c r="E633" s="86" t="s">
        <v>8171</v>
      </c>
      <c r="F633" s="86" t="s">
        <v>116</v>
      </c>
      <c r="G633" s="86" t="s">
        <v>38</v>
      </c>
      <c r="H633" s="86" t="s">
        <v>1477</v>
      </c>
    </row>
    <row r="634" spans="1:8" ht="12.75" hidden="1">
      <c r="A634" s="86">
        <v>633</v>
      </c>
      <c r="B634" s="86" t="s">
        <v>8192</v>
      </c>
      <c r="C634" s="86" t="str">
        <f t="shared" si="0"/>
        <v>649461</v>
      </c>
      <c r="D634" s="86" t="str">
        <f>IF(VLOOKUP(C634,'Diferencias patrimonio 2023'!$C$2:$C$1020,1,FALSE)=C634,"Encontrado", "No")</f>
        <v>Encontrado</v>
      </c>
      <c r="E634" s="86" t="s">
        <v>8171</v>
      </c>
      <c r="F634" s="86" t="s">
        <v>71</v>
      </c>
      <c r="G634" s="86" t="s">
        <v>38</v>
      </c>
      <c r="H634" s="86" t="s">
        <v>1477</v>
      </c>
    </row>
    <row r="635" spans="1:8" ht="12.75" hidden="1">
      <c r="A635" s="86">
        <v>634</v>
      </c>
      <c r="B635" s="86" t="s">
        <v>1122</v>
      </c>
      <c r="C635" s="86" t="str">
        <f t="shared" si="0"/>
        <v>649462</v>
      </c>
      <c r="D635" s="86" t="str">
        <f>IF(VLOOKUP(C635,'Diferencias patrimonio 2023'!$C$2:$C$1020,1,FALSE)=C635,"Encontrado", "No")</f>
        <v>Encontrado</v>
      </c>
      <c r="E635" s="86" t="s">
        <v>8171</v>
      </c>
      <c r="F635" s="86" t="s">
        <v>501</v>
      </c>
      <c r="G635" s="86" t="s">
        <v>38</v>
      </c>
      <c r="H635" s="86" t="s">
        <v>385</v>
      </c>
    </row>
    <row r="636" spans="1:8" ht="12.75" hidden="1">
      <c r="A636" s="86">
        <v>635</v>
      </c>
      <c r="B636" s="86" t="s">
        <v>604</v>
      </c>
      <c r="C636" s="86" t="str">
        <f t="shared" si="0"/>
        <v>649463</v>
      </c>
      <c r="D636" s="86" t="str">
        <f>IF(VLOOKUP(C636,'Diferencias patrimonio 2023'!$C$2:$C$1020,1,FALSE)=C636,"Encontrado", "No")</f>
        <v>Encontrado</v>
      </c>
      <c r="E636" s="86" t="s">
        <v>8171</v>
      </c>
      <c r="F636" s="86" t="s">
        <v>116</v>
      </c>
      <c r="G636" s="86" t="s">
        <v>38</v>
      </c>
      <c r="H636" s="86" t="s">
        <v>385</v>
      </c>
    </row>
    <row r="637" spans="1:8" ht="12.75" hidden="1">
      <c r="A637" s="86">
        <v>636</v>
      </c>
      <c r="B637" s="86" t="s">
        <v>597</v>
      </c>
      <c r="C637" s="86" t="str">
        <f t="shared" si="0"/>
        <v>649464</v>
      </c>
      <c r="D637" s="86" t="str">
        <f>IF(VLOOKUP(C637,'Diferencias patrimonio 2023'!$C$2:$C$1020,1,FALSE)=C637,"Encontrado", "No")</f>
        <v>Encontrado</v>
      </c>
      <c r="E637" s="86" t="s">
        <v>8171</v>
      </c>
      <c r="F637" s="86" t="s">
        <v>93</v>
      </c>
      <c r="G637" s="86" t="s">
        <v>38</v>
      </c>
      <c r="H637" s="86" t="s">
        <v>385</v>
      </c>
    </row>
    <row r="638" spans="1:8" ht="12.75" hidden="1">
      <c r="A638" s="86">
        <v>637</v>
      </c>
      <c r="B638" s="86" t="s">
        <v>658</v>
      </c>
      <c r="C638" s="86" t="str">
        <f t="shared" si="0"/>
        <v>649465</v>
      </c>
      <c r="D638" s="86" t="str">
        <f>IF(VLOOKUP(C638,'Diferencias patrimonio 2023'!$C$2:$C$1020,1,FALSE)=C638,"Encontrado", "No")</f>
        <v>Encontrado</v>
      </c>
      <c r="E638" s="86" t="s">
        <v>8171</v>
      </c>
      <c r="F638" s="86" t="s">
        <v>184</v>
      </c>
      <c r="G638" s="86" t="s">
        <v>38</v>
      </c>
      <c r="H638" s="86" t="s">
        <v>385</v>
      </c>
    </row>
    <row r="639" spans="1:8" ht="12.75" hidden="1">
      <c r="A639" s="86">
        <v>638</v>
      </c>
      <c r="B639" s="86" t="s">
        <v>918</v>
      </c>
      <c r="C639" s="86" t="str">
        <f t="shared" si="0"/>
        <v>649466</v>
      </c>
      <c r="D639" s="86" t="str">
        <f>IF(VLOOKUP(C639,'Diferencias patrimonio 2023'!$C$2:$C$1020,1,FALSE)=C639,"Encontrado", "No")</f>
        <v>Encontrado</v>
      </c>
      <c r="E639" s="86" t="s">
        <v>8171</v>
      </c>
      <c r="F639" s="86" t="s">
        <v>151</v>
      </c>
      <c r="G639" s="86" t="s">
        <v>38</v>
      </c>
      <c r="H639" s="86" t="s">
        <v>848</v>
      </c>
    </row>
    <row r="640" spans="1:8" ht="12.75" hidden="1">
      <c r="A640" s="86">
        <v>639</v>
      </c>
      <c r="B640" s="86" t="s">
        <v>970</v>
      </c>
      <c r="C640" s="86" t="str">
        <f t="shared" si="0"/>
        <v>649467</v>
      </c>
      <c r="D640" s="86" t="str">
        <f>IF(VLOOKUP(C640,'Diferencias patrimonio 2023'!$C$2:$C$1020,1,FALSE)=C640,"Encontrado", "No")</f>
        <v>Encontrado</v>
      </c>
      <c r="E640" s="86" t="s">
        <v>8171</v>
      </c>
      <c r="F640" s="86" t="s">
        <v>151</v>
      </c>
      <c r="G640" s="86" t="s">
        <v>38</v>
      </c>
      <c r="H640" s="86" t="s">
        <v>7441</v>
      </c>
    </row>
    <row r="641" spans="1:8" ht="12.75" hidden="1">
      <c r="A641" s="86">
        <v>640</v>
      </c>
      <c r="B641" s="86" t="s">
        <v>1106</v>
      </c>
      <c r="C641" s="86" t="str">
        <f t="shared" si="0"/>
        <v>649468</v>
      </c>
      <c r="D641" s="86" t="str">
        <f>IF(VLOOKUP(C641,'Diferencias patrimonio 2023'!$C$2:$C$1020,1,FALSE)=C641,"Encontrado", "No")</f>
        <v>Encontrado</v>
      </c>
      <c r="E641" s="86" t="s">
        <v>8171</v>
      </c>
      <c r="F641" s="86" t="s">
        <v>501</v>
      </c>
      <c r="G641" s="86" t="s">
        <v>38</v>
      </c>
      <c r="H641" s="86" t="s">
        <v>848</v>
      </c>
    </row>
    <row r="642" spans="1:8" ht="12.75" hidden="1">
      <c r="A642" s="86">
        <v>641</v>
      </c>
      <c r="B642" s="86" t="s">
        <v>932</v>
      </c>
      <c r="C642" s="86" t="str">
        <f t="shared" si="0"/>
        <v>649469</v>
      </c>
      <c r="D642" s="86" t="str">
        <f>IF(VLOOKUP(C642,'Diferencias patrimonio 2023'!$C$2:$C$1020,1,FALSE)=C642,"Encontrado", "No")</f>
        <v>Encontrado</v>
      </c>
      <c r="E642" s="86" t="s">
        <v>8171</v>
      </c>
      <c r="F642" s="86" t="s">
        <v>184</v>
      </c>
      <c r="G642" s="86" t="s">
        <v>38</v>
      </c>
      <c r="H642" s="86" t="s">
        <v>848</v>
      </c>
    </row>
    <row r="643" spans="1:8" ht="12.75" hidden="1">
      <c r="A643" s="86">
        <v>642</v>
      </c>
      <c r="B643" s="86" t="s">
        <v>584</v>
      </c>
      <c r="C643" s="86" t="str">
        <f t="shared" si="0"/>
        <v>649470</v>
      </c>
      <c r="D643" s="86" t="str">
        <f>IF(VLOOKUP(C643,'Diferencias patrimonio 2023'!$C$2:$C$1020,1,FALSE)=C643,"Encontrado", "No")</f>
        <v>Encontrado</v>
      </c>
      <c r="E643" s="86" t="s">
        <v>8171</v>
      </c>
      <c r="F643" s="86" t="s">
        <v>62</v>
      </c>
      <c r="G643" s="86" t="s">
        <v>38</v>
      </c>
      <c r="H643" s="86" t="s">
        <v>385</v>
      </c>
    </row>
    <row r="644" spans="1:8" ht="12.75" hidden="1">
      <c r="A644" s="86">
        <v>643</v>
      </c>
      <c r="B644" s="86" t="s">
        <v>1110</v>
      </c>
      <c r="C644" s="86" t="str">
        <f t="shared" si="0"/>
        <v>649471</v>
      </c>
      <c r="D644" s="86" t="str">
        <f>IF(VLOOKUP(C644,'Diferencias patrimonio 2023'!$C$2:$C$1020,1,FALSE)=C644,"Encontrado", "No")</f>
        <v>Encontrado</v>
      </c>
      <c r="E644" s="86" t="s">
        <v>8171</v>
      </c>
      <c r="F644" s="86" t="s">
        <v>501</v>
      </c>
      <c r="G644" s="86" t="s">
        <v>38</v>
      </c>
      <c r="H644" s="86" t="s">
        <v>385</v>
      </c>
    </row>
    <row r="645" spans="1:8" ht="12.75" hidden="1">
      <c r="A645" s="86">
        <v>644</v>
      </c>
      <c r="B645" s="86" t="s">
        <v>1114</v>
      </c>
      <c r="C645" s="86" t="str">
        <f t="shared" si="0"/>
        <v>649472</v>
      </c>
      <c r="D645" s="86" t="str">
        <f>IF(VLOOKUP(C645,'Diferencias patrimonio 2023'!$C$2:$C$1020,1,FALSE)=C645,"Encontrado", "No")</f>
        <v>Encontrado</v>
      </c>
      <c r="E645" s="86" t="s">
        <v>8171</v>
      </c>
      <c r="F645" s="86" t="s">
        <v>501</v>
      </c>
      <c r="G645" s="86" t="s">
        <v>38</v>
      </c>
      <c r="H645" s="86" t="s">
        <v>385</v>
      </c>
    </row>
    <row r="646" spans="1:8" ht="12.75" hidden="1">
      <c r="A646" s="86">
        <v>645</v>
      </c>
      <c r="B646" s="86" t="s">
        <v>617</v>
      </c>
      <c r="C646" s="86" t="str">
        <f t="shared" si="0"/>
        <v>649473</v>
      </c>
      <c r="D646" s="86" t="str">
        <f>IF(VLOOKUP(C646,'Diferencias patrimonio 2023'!$C$2:$C$1020,1,FALSE)=C646,"Encontrado", "No")</f>
        <v>Encontrado</v>
      </c>
      <c r="E646" s="86" t="s">
        <v>8171</v>
      </c>
      <c r="F646" s="86" t="s">
        <v>378</v>
      </c>
      <c r="G646" s="86" t="s">
        <v>38</v>
      </c>
      <c r="H646" s="86" t="s">
        <v>385</v>
      </c>
    </row>
    <row r="647" spans="1:8" ht="12.75" hidden="1">
      <c r="A647" s="86">
        <v>646</v>
      </c>
      <c r="B647" s="86" t="s">
        <v>4650</v>
      </c>
      <c r="C647" s="86" t="str">
        <f t="shared" si="0"/>
        <v>649474</v>
      </c>
      <c r="D647" s="86" t="str">
        <f>IF(VLOOKUP(C647,'Diferencias patrimonio 2023'!$C$2:$C$1020,1,FALSE)=C647,"Encontrado", "No")</f>
        <v>Encontrado</v>
      </c>
      <c r="E647" s="86" t="s">
        <v>8171</v>
      </c>
      <c r="F647" s="86" t="s">
        <v>93</v>
      </c>
      <c r="G647" s="86" t="s">
        <v>38</v>
      </c>
      <c r="H647" s="86" t="s">
        <v>7414</v>
      </c>
    </row>
    <row r="648" spans="1:8" ht="12.75" hidden="1">
      <c r="A648" s="86">
        <v>647</v>
      </c>
      <c r="B648" s="86" t="s">
        <v>4736</v>
      </c>
      <c r="C648" s="86" t="str">
        <f t="shared" si="0"/>
        <v>649475</v>
      </c>
      <c r="D648" s="86" t="str">
        <f>IF(VLOOKUP(C648,'Diferencias patrimonio 2023'!$C$2:$C$1020,1,FALSE)=C648,"Encontrado", "No")</f>
        <v>Encontrado</v>
      </c>
      <c r="E648" s="86" t="s">
        <v>8171</v>
      </c>
      <c r="F648" s="86" t="s">
        <v>62</v>
      </c>
      <c r="G648" s="86" t="s">
        <v>38</v>
      </c>
      <c r="H648" s="86" t="s">
        <v>7414</v>
      </c>
    </row>
    <row r="649" spans="1:8" ht="12.75" hidden="1">
      <c r="A649" s="86">
        <v>648</v>
      </c>
      <c r="B649" s="86" t="s">
        <v>4588</v>
      </c>
      <c r="C649" s="86" t="str">
        <f t="shared" si="0"/>
        <v>649476</v>
      </c>
      <c r="D649" s="86" t="str">
        <f>IF(VLOOKUP(C649,'Diferencias patrimonio 2023'!$C$2:$C$1020,1,FALSE)=C649,"Encontrado", "No")</f>
        <v>Encontrado</v>
      </c>
      <c r="E649" s="86" t="s">
        <v>8171</v>
      </c>
      <c r="F649" s="86" t="s">
        <v>62</v>
      </c>
      <c r="G649" s="86" t="s">
        <v>38</v>
      </c>
      <c r="H649" s="86" t="s">
        <v>7414</v>
      </c>
    </row>
    <row r="650" spans="1:8" ht="12.75">
      <c r="A650" s="86">
        <v>649</v>
      </c>
      <c r="B650" s="86" t="s">
        <v>8193</v>
      </c>
      <c r="C650" s="86" t="str">
        <f t="shared" si="0"/>
        <v>649477</v>
      </c>
      <c r="D650" s="86" t="e">
        <f>IF(VLOOKUP(C650,'Diferencias patrimonio 2023'!$C$2:$C$1020,1,FALSE)=C650,"Encontrado", "No")</f>
        <v>#N/A</v>
      </c>
      <c r="E650" s="86" t="s">
        <v>8171</v>
      </c>
      <c r="F650" s="86" t="s">
        <v>1199</v>
      </c>
      <c r="G650" s="86" t="s">
        <v>38</v>
      </c>
      <c r="H650" s="86" t="s">
        <v>7414</v>
      </c>
    </row>
    <row r="651" spans="1:8" ht="12.75" hidden="1">
      <c r="A651" s="86">
        <v>650</v>
      </c>
      <c r="B651" s="86" t="s">
        <v>1118</v>
      </c>
      <c r="C651" s="86" t="str">
        <f t="shared" si="0"/>
        <v>649478</v>
      </c>
      <c r="D651" s="86" t="str">
        <f>IF(VLOOKUP(C651,'Diferencias patrimonio 2023'!$C$2:$C$1020,1,FALSE)=C651,"Encontrado", "No")</f>
        <v>Encontrado</v>
      </c>
      <c r="E651" s="86" t="s">
        <v>8171</v>
      </c>
      <c r="F651" s="86" t="s">
        <v>501</v>
      </c>
      <c r="G651" s="86" t="s">
        <v>38</v>
      </c>
      <c r="H651" s="86" t="s">
        <v>1164</v>
      </c>
    </row>
    <row r="652" spans="1:8" ht="12.75" hidden="1">
      <c r="A652" s="86">
        <v>651</v>
      </c>
      <c r="B652" s="86" t="s">
        <v>1273</v>
      </c>
      <c r="C652" s="86" t="str">
        <f t="shared" si="0"/>
        <v>649479</v>
      </c>
      <c r="D652" s="86" t="str">
        <f>IF(VLOOKUP(C652,'Diferencias patrimonio 2023'!$C$2:$C$1020,1,FALSE)=C652,"Encontrado", "No")</f>
        <v>Encontrado</v>
      </c>
      <c r="E652" s="86" t="s">
        <v>8171</v>
      </c>
      <c r="F652" s="86" t="s">
        <v>43</v>
      </c>
      <c r="G652" s="86" t="s">
        <v>38</v>
      </c>
      <c r="H652" s="86" t="s">
        <v>1164</v>
      </c>
    </row>
    <row r="653" spans="1:8" ht="12.75" hidden="1">
      <c r="A653" s="86">
        <v>652</v>
      </c>
      <c r="B653" s="86" t="s">
        <v>1207</v>
      </c>
      <c r="C653" s="86" t="str">
        <f t="shared" si="0"/>
        <v>649480</v>
      </c>
      <c r="D653" s="86" t="str">
        <f>IF(VLOOKUP(C653,'Diferencias patrimonio 2023'!$C$2:$C$1020,1,FALSE)=C653,"Encontrado", "No")</f>
        <v>Encontrado</v>
      </c>
      <c r="E653" s="86" t="s">
        <v>8171</v>
      </c>
      <c r="F653" s="86" t="s">
        <v>1199</v>
      </c>
      <c r="G653" s="86" t="s">
        <v>38</v>
      </c>
      <c r="H653" s="86" t="s">
        <v>1164</v>
      </c>
    </row>
    <row r="654" spans="1:8" ht="12.75" hidden="1">
      <c r="A654" s="86">
        <v>653</v>
      </c>
      <c r="B654" s="86" t="s">
        <v>1214</v>
      </c>
      <c r="C654" s="86" t="str">
        <f t="shared" si="0"/>
        <v>649481</v>
      </c>
      <c r="D654" s="86" t="str">
        <f>IF(VLOOKUP(C654,'Diferencias patrimonio 2023'!$C$2:$C$1020,1,FALSE)=C654,"Encontrado", "No")</f>
        <v>Encontrado</v>
      </c>
      <c r="E654" s="86" t="s">
        <v>8171</v>
      </c>
      <c r="F654" s="86" t="s">
        <v>162</v>
      </c>
      <c r="G654" s="86" t="s">
        <v>38</v>
      </c>
      <c r="H654" s="86" t="s">
        <v>1164</v>
      </c>
    </row>
    <row r="655" spans="1:8" ht="12.75" hidden="1">
      <c r="A655" s="86">
        <v>654</v>
      </c>
      <c r="B655" s="86" t="s">
        <v>1251</v>
      </c>
      <c r="C655" s="86" t="str">
        <f t="shared" si="0"/>
        <v>649482</v>
      </c>
      <c r="D655" s="86" t="str">
        <f>IF(VLOOKUP(C655,'Diferencias patrimonio 2023'!$C$2:$C$1020,1,FALSE)=C655,"Encontrado", "No")</f>
        <v>Encontrado</v>
      </c>
      <c r="E655" s="86" t="s">
        <v>8171</v>
      </c>
      <c r="F655" s="86" t="s">
        <v>378</v>
      </c>
      <c r="G655" s="86" t="s">
        <v>38</v>
      </c>
      <c r="H655" s="86" t="s">
        <v>1164</v>
      </c>
    </row>
    <row r="656" spans="1:8" ht="12.75" hidden="1">
      <c r="A656" s="86">
        <v>655</v>
      </c>
      <c r="B656" s="86" t="s">
        <v>1171</v>
      </c>
      <c r="C656" s="86" t="str">
        <f t="shared" si="0"/>
        <v>649483</v>
      </c>
      <c r="D656" s="86" t="str">
        <f>IF(VLOOKUP(C656,'Diferencias patrimonio 2023'!$C$2:$C$1020,1,FALSE)=C656,"Encontrado", "No")</f>
        <v>Encontrado</v>
      </c>
      <c r="E656" s="86" t="s">
        <v>8171</v>
      </c>
      <c r="F656" s="86" t="s">
        <v>29</v>
      </c>
      <c r="G656" s="86" t="s">
        <v>38</v>
      </c>
      <c r="H656" s="86" t="s">
        <v>1164</v>
      </c>
    </row>
    <row r="657" spans="1:8" ht="12.75" hidden="1">
      <c r="A657" s="86">
        <v>656</v>
      </c>
      <c r="B657" s="86" t="s">
        <v>2899</v>
      </c>
      <c r="C657" s="86" t="str">
        <f t="shared" si="0"/>
        <v>649484</v>
      </c>
      <c r="D657" s="86" t="str">
        <f>IF(VLOOKUP(C657,'Diferencias patrimonio 2023'!$C$2:$C$1020,1,FALSE)=C657,"Encontrado", "No")</f>
        <v>Encontrado</v>
      </c>
      <c r="E657" s="86" t="s">
        <v>8171</v>
      </c>
      <c r="F657" s="86" t="s">
        <v>199</v>
      </c>
      <c r="G657" s="86" t="s">
        <v>38</v>
      </c>
      <c r="H657" s="86" t="s">
        <v>7601</v>
      </c>
    </row>
    <row r="658" spans="1:8" ht="12.75" hidden="1">
      <c r="A658" s="86">
        <v>657</v>
      </c>
      <c r="B658" s="86" t="s">
        <v>1311</v>
      </c>
      <c r="C658" s="86" t="str">
        <f t="shared" si="0"/>
        <v>649485</v>
      </c>
      <c r="D658" s="86" t="str">
        <f>IF(VLOOKUP(C658,'Diferencias patrimonio 2023'!$C$2:$C$1020,1,FALSE)=C658,"Encontrado", "No")</f>
        <v>Encontrado</v>
      </c>
      <c r="E658" s="86" t="s">
        <v>8171</v>
      </c>
      <c r="F658" s="86" t="s">
        <v>378</v>
      </c>
      <c r="G658" s="86" t="s">
        <v>38</v>
      </c>
      <c r="H658" s="86" t="s">
        <v>1386</v>
      </c>
    </row>
    <row r="659" spans="1:8" ht="12.75" hidden="1">
      <c r="A659" s="86">
        <v>658</v>
      </c>
      <c r="B659" s="86" t="s">
        <v>1296</v>
      </c>
      <c r="C659" s="86" t="str">
        <f t="shared" si="0"/>
        <v>649486</v>
      </c>
      <c r="D659" s="86" t="str">
        <f>IF(VLOOKUP(C659,'Diferencias patrimonio 2023'!$C$2:$C$1020,1,FALSE)=C659,"Encontrado", "No")</f>
        <v>Encontrado</v>
      </c>
      <c r="E659" s="86" t="s">
        <v>8171</v>
      </c>
      <c r="F659" s="86" t="s">
        <v>378</v>
      </c>
      <c r="G659" s="86" t="s">
        <v>38</v>
      </c>
      <c r="H659" s="86" t="s">
        <v>1386</v>
      </c>
    </row>
    <row r="660" spans="1:8" ht="12.75">
      <c r="A660" s="86">
        <v>659</v>
      </c>
      <c r="B660" s="86" t="s">
        <v>8194</v>
      </c>
      <c r="C660" s="86" t="str">
        <f t="shared" si="0"/>
        <v>649487</v>
      </c>
      <c r="D660" s="86" t="e">
        <f>IF(VLOOKUP(C660,'Diferencias patrimonio 2023'!$C$2:$C$1020,1,FALSE)=C660,"Encontrado", "No")</f>
        <v>#N/A</v>
      </c>
      <c r="E660" s="86" t="s">
        <v>8171</v>
      </c>
      <c r="F660" s="86" t="s">
        <v>151</v>
      </c>
      <c r="G660" s="86" t="s">
        <v>38</v>
      </c>
      <c r="H660" s="86" t="s">
        <v>1164</v>
      </c>
    </row>
    <row r="661" spans="1:8" ht="12.75">
      <c r="A661" s="86">
        <v>660</v>
      </c>
      <c r="B661" s="86" t="s">
        <v>8195</v>
      </c>
      <c r="C661" s="86" t="str">
        <f t="shared" si="0"/>
        <v>649488</v>
      </c>
      <c r="D661" s="86" t="e">
        <f>IF(VLOOKUP(C661,'Diferencias patrimonio 2023'!$C$2:$C$1020,1,FALSE)=C661,"Encontrado", "No")</f>
        <v>#N/A</v>
      </c>
      <c r="E661" s="86" t="s">
        <v>8171</v>
      </c>
      <c r="F661" s="86" t="s">
        <v>199</v>
      </c>
      <c r="G661" s="86" t="s">
        <v>38</v>
      </c>
      <c r="H661" s="86" t="s">
        <v>1164</v>
      </c>
    </row>
    <row r="662" spans="1:8" ht="12.75" hidden="1">
      <c r="A662" s="86">
        <v>661</v>
      </c>
      <c r="B662" s="86" t="s">
        <v>1184</v>
      </c>
      <c r="C662" s="86" t="str">
        <f t="shared" si="0"/>
        <v>649489</v>
      </c>
      <c r="D662" s="86" t="str">
        <f>IF(VLOOKUP(C662,'Diferencias patrimonio 2023'!$C$2:$C$1020,1,FALSE)=C662,"Encontrado", "No")</f>
        <v>Encontrado</v>
      </c>
      <c r="E662" s="86" t="s">
        <v>8171</v>
      </c>
      <c r="F662" s="86" t="s">
        <v>116</v>
      </c>
      <c r="G662" s="86" t="s">
        <v>38</v>
      </c>
      <c r="H662" s="86" t="s">
        <v>7601</v>
      </c>
    </row>
    <row r="663" spans="1:8" ht="12.75" hidden="1">
      <c r="A663" s="86">
        <v>662</v>
      </c>
      <c r="B663" s="86" t="s">
        <v>1441</v>
      </c>
      <c r="C663" s="86" t="str">
        <f t="shared" si="0"/>
        <v>649490</v>
      </c>
      <c r="D663" s="86" t="str">
        <f>IF(VLOOKUP(C663,'Diferencias patrimonio 2023'!$C$2:$C$1020,1,FALSE)=C663,"Encontrado", "No")</f>
        <v>Encontrado</v>
      </c>
      <c r="E663" s="86" t="s">
        <v>8171</v>
      </c>
      <c r="F663" s="86" t="s">
        <v>248</v>
      </c>
      <c r="G663" s="86" t="s">
        <v>38</v>
      </c>
      <c r="H663" s="86" t="s">
        <v>7601</v>
      </c>
    </row>
    <row r="664" spans="1:8" ht="12.75" hidden="1">
      <c r="A664" s="86">
        <v>663</v>
      </c>
      <c r="B664" s="86" t="s">
        <v>4887</v>
      </c>
      <c r="C664" s="86" t="str">
        <f t="shared" si="0"/>
        <v>649491</v>
      </c>
      <c r="D664" s="86" t="str">
        <f>IF(VLOOKUP(C664,'Diferencias patrimonio 2023'!$C$2:$C$1020,1,FALSE)=C664,"Encontrado", "No")</f>
        <v>Encontrado</v>
      </c>
      <c r="E664" s="86" t="s">
        <v>8171</v>
      </c>
      <c r="F664" s="86" t="s">
        <v>162</v>
      </c>
      <c r="G664" s="86" t="s">
        <v>38</v>
      </c>
      <c r="H664" s="86" t="s">
        <v>4737</v>
      </c>
    </row>
    <row r="665" spans="1:8" ht="12.75" hidden="1">
      <c r="A665" s="86">
        <v>664</v>
      </c>
      <c r="B665" s="86" t="s">
        <v>8196</v>
      </c>
      <c r="C665" s="86" t="str">
        <f t="shared" si="0"/>
        <v>649492</v>
      </c>
      <c r="D665" s="86" t="str">
        <f>IF(VLOOKUP(C665,'Diferencias patrimonio 2023'!$C$2:$C$1020,1,FALSE)=C665,"Encontrado", "No")</f>
        <v>Encontrado</v>
      </c>
      <c r="E665" s="86" t="s">
        <v>8171</v>
      </c>
      <c r="F665" s="86" t="s">
        <v>116</v>
      </c>
      <c r="G665" s="86" t="s">
        <v>38</v>
      </c>
      <c r="H665" s="86" t="s">
        <v>7414</v>
      </c>
    </row>
    <row r="666" spans="1:8" ht="12.75" hidden="1">
      <c r="A666" s="86">
        <v>665</v>
      </c>
      <c r="B666" s="86" t="s">
        <v>3172</v>
      </c>
      <c r="C666" s="86" t="str">
        <f t="shared" si="0"/>
        <v>649494</v>
      </c>
      <c r="D666" s="86" t="str">
        <f>IF(VLOOKUP(C666,'Diferencias patrimonio 2023'!$C$2:$C$1020,1,FALSE)=C666,"Encontrado", "No")</f>
        <v>Encontrado</v>
      </c>
      <c r="E666" s="86" t="s">
        <v>8171</v>
      </c>
      <c r="F666" s="86" t="s">
        <v>116</v>
      </c>
      <c r="G666" s="86" t="s">
        <v>38</v>
      </c>
      <c r="H666" s="86" t="s">
        <v>3092</v>
      </c>
    </row>
    <row r="667" spans="1:8" ht="12.75">
      <c r="A667" s="86">
        <v>666</v>
      </c>
      <c r="B667" s="86" t="s">
        <v>8197</v>
      </c>
      <c r="C667" s="86" t="str">
        <f t="shared" si="0"/>
        <v>649495</v>
      </c>
      <c r="D667" s="86" t="e">
        <f>IF(VLOOKUP(C667,'Diferencias patrimonio 2023'!$C$2:$C$1020,1,FALSE)=C667,"Encontrado", "No")</f>
        <v>#N/A</v>
      </c>
      <c r="E667" s="86" t="s">
        <v>8171</v>
      </c>
      <c r="F667" s="86" t="s">
        <v>8198</v>
      </c>
      <c r="G667" s="86" t="s">
        <v>38</v>
      </c>
      <c r="H667" s="86" t="s">
        <v>7414</v>
      </c>
    </row>
    <row r="668" spans="1:8" ht="12.75" hidden="1">
      <c r="A668" s="86">
        <v>667</v>
      </c>
      <c r="B668" s="86" t="s">
        <v>4827</v>
      </c>
      <c r="C668" s="86" t="str">
        <f t="shared" si="0"/>
        <v>649496</v>
      </c>
      <c r="D668" s="86" t="str">
        <f>IF(VLOOKUP(C668,'Diferencias patrimonio 2023'!$C$2:$C$1020,1,FALSE)=C668,"Encontrado", "No")</f>
        <v>Encontrado</v>
      </c>
      <c r="E668" s="86" t="s">
        <v>8171</v>
      </c>
      <c r="F668" s="86" t="s">
        <v>501</v>
      </c>
      <c r="G668" s="86" t="s">
        <v>38</v>
      </c>
      <c r="H668" s="86" t="s">
        <v>7414</v>
      </c>
    </row>
    <row r="669" spans="1:8" ht="12.75" hidden="1">
      <c r="A669" s="86">
        <v>668</v>
      </c>
      <c r="B669" s="86" t="s">
        <v>4860</v>
      </c>
      <c r="C669" s="86" t="str">
        <f t="shared" si="0"/>
        <v>649497</v>
      </c>
      <c r="D669" s="86" t="str">
        <f>IF(VLOOKUP(C669,'Diferencias patrimonio 2023'!$C$2:$C$1020,1,FALSE)=C669,"Encontrado", "No")</f>
        <v>Encontrado</v>
      </c>
      <c r="E669" s="86" t="s">
        <v>8171</v>
      </c>
      <c r="F669" s="86" t="s">
        <v>93</v>
      </c>
      <c r="G669" s="86" t="s">
        <v>38</v>
      </c>
      <c r="H669" s="86" t="s">
        <v>4737</v>
      </c>
    </row>
    <row r="670" spans="1:8" ht="12.75">
      <c r="A670" s="86">
        <v>669</v>
      </c>
      <c r="B670" s="86" t="s">
        <v>8199</v>
      </c>
      <c r="C670" s="86" t="str">
        <f t="shared" si="0"/>
        <v>649498</v>
      </c>
      <c r="D670" s="86" t="e">
        <f>IF(VLOOKUP(C670,'Diferencias patrimonio 2023'!$C$2:$C$1020,1,FALSE)=C670,"Encontrado", "No")</f>
        <v>#N/A</v>
      </c>
      <c r="E670" s="86" t="s">
        <v>8171</v>
      </c>
      <c r="F670" s="86" t="s">
        <v>199</v>
      </c>
      <c r="G670" s="86" t="s">
        <v>38</v>
      </c>
      <c r="H670" s="86" t="s">
        <v>4737</v>
      </c>
    </row>
    <row r="671" spans="1:8" ht="12.75">
      <c r="A671" s="86">
        <v>670</v>
      </c>
      <c r="B671" s="86" t="s">
        <v>8200</v>
      </c>
      <c r="C671" s="86" t="str">
        <f t="shared" si="0"/>
        <v>649499</v>
      </c>
      <c r="D671" s="86" t="e">
        <f>IF(VLOOKUP(C671,'Diferencias patrimonio 2023'!$C$2:$C$1020,1,FALSE)=C671,"Encontrado", "No")</f>
        <v>#N/A</v>
      </c>
      <c r="E671" s="86" t="s">
        <v>8171</v>
      </c>
      <c r="F671" s="86" t="s">
        <v>151</v>
      </c>
      <c r="G671" s="86" t="s">
        <v>38</v>
      </c>
      <c r="H671" s="86" t="s">
        <v>4737</v>
      </c>
    </row>
    <row r="672" spans="1:8" ht="12.75" hidden="1">
      <c r="A672" s="86">
        <v>671</v>
      </c>
      <c r="B672" s="86" t="s">
        <v>4757</v>
      </c>
      <c r="C672" s="86" t="str">
        <f t="shared" si="0"/>
        <v>649500</v>
      </c>
      <c r="D672" s="86" t="str">
        <f>IF(VLOOKUP(C672,'Diferencias patrimonio 2023'!$C$2:$C$1020,1,FALSE)=C672,"Encontrado", "No")</f>
        <v>Encontrado</v>
      </c>
      <c r="E672" s="86" t="s">
        <v>8171</v>
      </c>
      <c r="F672" s="86" t="s">
        <v>62</v>
      </c>
      <c r="G672" s="86" t="s">
        <v>38</v>
      </c>
      <c r="H672" s="86" t="s">
        <v>1004</v>
      </c>
    </row>
    <row r="673" spans="1:8" ht="12.75">
      <c r="A673" s="86">
        <v>672</v>
      </c>
      <c r="B673" s="86" t="s">
        <v>8201</v>
      </c>
      <c r="C673" s="86" t="str">
        <f t="shared" si="0"/>
        <v>649501</v>
      </c>
      <c r="D673" s="86" t="e">
        <f>IF(VLOOKUP(C673,'Diferencias patrimonio 2023'!$C$2:$C$1020,1,FALSE)=C673,"Encontrado", "No")</f>
        <v>#N/A</v>
      </c>
      <c r="E673" s="86" t="s">
        <v>8171</v>
      </c>
      <c r="F673" s="86" t="s">
        <v>151</v>
      </c>
      <c r="G673" s="86" t="s">
        <v>38</v>
      </c>
      <c r="H673" s="86" t="s">
        <v>7414</v>
      </c>
    </row>
    <row r="674" spans="1:8" ht="12.75">
      <c r="A674" s="86">
        <v>673</v>
      </c>
      <c r="B674" s="86" t="s">
        <v>8202</v>
      </c>
      <c r="C674" s="86" t="str">
        <f t="shared" si="0"/>
        <v>649502</v>
      </c>
      <c r="D674" s="86" t="e">
        <f>IF(VLOOKUP(C674,'Diferencias patrimonio 2023'!$C$2:$C$1020,1,FALSE)=C674,"Encontrado", "No")</f>
        <v>#N/A</v>
      </c>
      <c r="E674" s="86" t="s">
        <v>8171</v>
      </c>
      <c r="F674" s="86" t="s">
        <v>116</v>
      </c>
      <c r="G674" s="86" t="s">
        <v>38</v>
      </c>
      <c r="H674" s="86" t="s">
        <v>7414</v>
      </c>
    </row>
    <row r="675" spans="1:8" ht="12.75" hidden="1">
      <c r="A675" s="86">
        <v>674</v>
      </c>
      <c r="B675" s="86" t="s">
        <v>8203</v>
      </c>
      <c r="C675" s="86" t="str">
        <f t="shared" si="0"/>
        <v>649503</v>
      </c>
      <c r="D675" s="86" t="str">
        <f>IF(VLOOKUP(C675,'Diferencias patrimonio 2023'!$C$2:$C$1020,1,FALSE)=C675,"Encontrado", "No")</f>
        <v>Encontrado</v>
      </c>
      <c r="E675" s="86" t="s">
        <v>8171</v>
      </c>
      <c r="F675" s="86" t="s">
        <v>62</v>
      </c>
      <c r="G675" s="86" t="s">
        <v>38</v>
      </c>
      <c r="H675" s="86" t="s">
        <v>7414</v>
      </c>
    </row>
    <row r="676" spans="1:8" ht="12.75">
      <c r="A676" s="86">
        <v>675</v>
      </c>
      <c r="B676" s="86" t="s">
        <v>8204</v>
      </c>
      <c r="C676" s="86" t="str">
        <f t="shared" si="0"/>
        <v>649504</v>
      </c>
      <c r="D676" s="86" t="e">
        <f>IF(VLOOKUP(C676,'Diferencias patrimonio 2023'!$C$2:$C$1020,1,FALSE)=C676,"Encontrado", "No")</f>
        <v>#N/A</v>
      </c>
      <c r="E676" s="86" t="s">
        <v>8171</v>
      </c>
      <c r="F676" s="86" t="s">
        <v>8198</v>
      </c>
      <c r="G676" s="86" t="s">
        <v>38</v>
      </c>
      <c r="H676" s="86" t="s">
        <v>332</v>
      </c>
    </row>
    <row r="677" spans="1:8" ht="12.75" hidden="1">
      <c r="A677" s="86">
        <v>676</v>
      </c>
      <c r="B677" s="86" t="s">
        <v>259</v>
      </c>
      <c r="C677" s="86" t="str">
        <f t="shared" si="0"/>
        <v>649505</v>
      </c>
      <c r="D677" s="86" t="str">
        <f>IF(VLOOKUP(C677,'Diferencias patrimonio 2023'!$C$2:$C$1020,1,FALSE)=C677,"Encontrado", "No")</f>
        <v>Encontrado</v>
      </c>
      <c r="E677" s="86" t="s">
        <v>8171</v>
      </c>
      <c r="F677" s="86" t="s">
        <v>184</v>
      </c>
      <c r="G677" s="86" t="s">
        <v>38</v>
      </c>
      <c r="H677" s="86" t="s">
        <v>39</v>
      </c>
    </row>
    <row r="678" spans="1:8" ht="12.75" hidden="1">
      <c r="A678" s="86">
        <v>677</v>
      </c>
      <c r="B678" s="86" t="s">
        <v>268</v>
      </c>
      <c r="C678" s="86" t="str">
        <f t="shared" si="0"/>
        <v>649506</v>
      </c>
      <c r="D678" s="86" t="e">
        <f>IF(VLOOKUP(C678,'Diferencias patrimonio 2023'!$C$2:$C$1020,1,FALSE)=C678,"Encontrado", "No")</f>
        <v>#N/A</v>
      </c>
      <c r="E678" s="86" t="s">
        <v>8171</v>
      </c>
      <c r="F678" s="86" t="s">
        <v>116</v>
      </c>
      <c r="G678" s="86" t="s">
        <v>38</v>
      </c>
      <c r="H678" s="86" t="s">
        <v>39</v>
      </c>
    </row>
    <row r="679" spans="1:8" ht="12.75" hidden="1">
      <c r="A679" s="86">
        <v>678</v>
      </c>
      <c r="B679" s="86" t="s">
        <v>5862</v>
      </c>
      <c r="C679" s="86" t="str">
        <f t="shared" si="0"/>
        <v>649508</v>
      </c>
      <c r="D679" s="86" t="str">
        <f>IF(VLOOKUP(C679,'Diferencias patrimonio 2023'!$C$2:$C$1020,1,FALSE)=C679,"Encontrado", "No")</f>
        <v>Encontrado</v>
      </c>
      <c r="E679" s="86" t="s">
        <v>8171</v>
      </c>
      <c r="F679" s="86" t="s">
        <v>378</v>
      </c>
      <c r="G679" s="86" t="s">
        <v>38</v>
      </c>
      <c r="H679" s="86" t="s">
        <v>7398</v>
      </c>
    </row>
    <row r="680" spans="1:8" ht="12.75" hidden="1">
      <c r="A680" s="86">
        <v>679</v>
      </c>
      <c r="B680" s="86" t="s">
        <v>6028</v>
      </c>
      <c r="C680" s="86" t="str">
        <f t="shared" si="0"/>
        <v>649509</v>
      </c>
      <c r="D680" s="86" t="str">
        <f>IF(VLOOKUP(C680,'Diferencias patrimonio 2023'!$C$2:$C$1020,1,FALSE)=C680,"Encontrado", "No")</f>
        <v>Encontrado</v>
      </c>
      <c r="E680" s="86" t="s">
        <v>8171</v>
      </c>
      <c r="F680" s="86" t="s">
        <v>378</v>
      </c>
      <c r="G680" s="86" t="s">
        <v>38</v>
      </c>
      <c r="H680" s="86" t="s">
        <v>7398</v>
      </c>
    </row>
    <row r="681" spans="1:8" ht="12.75" hidden="1">
      <c r="A681" s="86">
        <v>680</v>
      </c>
      <c r="B681" s="86" t="s">
        <v>5950</v>
      </c>
      <c r="C681" s="86" t="str">
        <f t="shared" si="0"/>
        <v>649510</v>
      </c>
      <c r="D681" s="86" t="str">
        <f>IF(VLOOKUP(C681,'Diferencias patrimonio 2023'!$C$2:$C$1020,1,FALSE)=C681,"Encontrado", "No")</f>
        <v>Encontrado</v>
      </c>
      <c r="E681" s="86" t="s">
        <v>8171</v>
      </c>
      <c r="F681" s="86" t="s">
        <v>378</v>
      </c>
      <c r="G681" s="86" t="s">
        <v>38</v>
      </c>
      <c r="H681" s="86" t="s">
        <v>7398</v>
      </c>
    </row>
    <row r="682" spans="1:8" ht="12.75" hidden="1">
      <c r="A682" s="86">
        <v>681</v>
      </c>
      <c r="B682" s="86" t="s">
        <v>472</v>
      </c>
      <c r="C682" s="86" t="str">
        <f t="shared" si="0"/>
        <v>649511</v>
      </c>
      <c r="D682" s="86" t="str">
        <f>IF(VLOOKUP(C682,'Diferencias patrimonio 2023'!$C$2:$C$1020,1,FALSE)=C682,"Encontrado", "No")</f>
        <v>Encontrado</v>
      </c>
      <c r="E682" s="86" t="s">
        <v>8171</v>
      </c>
      <c r="F682" s="86" t="s">
        <v>466</v>
      </c>
      <c r="G682" s="86" t="s">
        <v>38</v>
      </c>
      <c r="H682" s="86" t="s">
        <v>7398</v>
      </c>
    </row>
    <row r="683" spans="1:8" ht="12.75" hidden="1">
      <c r="A683" s="86">
        <v>682</v>
      </c>
      <c r="B683" s="86" t="s">
        <v>5956</v>
      </c>
      <c r="C683" s="86" t="str">
        <f t="shared" si="0"/>
        <v>649512</v>
      </c>
      <c r="D683" s="86" t="str">
        <f>IF(VLOOKUP(C683,'Diferencias patrimonio 2023'!$C$2:$C$1020,1,FALSE)=C683,"Encontrado", "No")</f>
        <v>Encontrado</v>
      </c>
      <c r="E683" s="86" t="s">
        <v>8171</v>
      </c>
      <c r="F683" s="86" t="s">
        <v>378</v>
      </c>
      <c r="G683" s="86" t="s">
        <v>38</v>
      </c>
      <c r="H683" s="86" t="s">
        <v>7398</v>
      </c>
    </row>
    <row r="684" spans="1:8" ht="12.75" hidden="1">
      <c r="A684" s="86">
        <v>683</v>
      </c>
      <c r="B684" s="86" t="s">
        <v>108</v>
      </c>
      <c r="C684" s="86" t="str">
        <f t="shared" si="0"/>
        <v>649513</v>
      </c>
      <c r="D684" s="86" t="str">
        <f>IF(VLOOKUP(C684,'Diferencias patrimonio 2023'!$C$2:$C$1020,1,FALSE)=C684,"Encontrado", "No")</f>
        <v>Encontrado</v>
      </c>
      <c r="E684" s="86" t="s">
        <v>8171</v>
      </c>
      <c r="F684" s="86" t="s">
        <v>62</v>
      </c>
      <c r="G684" s="86" t="s">
        <v>38</v>
      </c>
      <c r="H684" s="86" t="s">
        <v>7398</v>
      </c>
    </row>
    <row r="685" spans="1:8" ht="12.75">
      <c r="A685" s="86">
        <v>684</v>
      </c>
      <c r="B685" s="86" t="s">
        <v>8205</v>
      </c>
      <c r="C685" s="86" t="str">
        <f t="shared" si="0"/>
        <v>649514</v>
      </c>
      <c r="D685" s="86" t="e">
        <f>IF(VLOOKUP(C685,'Diferencias patrimonio 2023'!$C$2:$C$1020,1,FALSE)=C685,"Encontrado", "No")</f>
        <v>#N/A</v>
      </c>
      <c r="E685" s="86" t="s">
        <v>8171</v>
      </c>
      <c r="F685" s="86" t="s">
        <v>43</v>
      </c>
      <c r="G685" s="86" t="s">
        <v>38</v>
      </c>
      <c r="H685" s="86" t="s">
        <v>7398</v>
      </c>
    </row>
    <row r="686" spans="1:8" ht="12.75" hidden="1">
      <c r="A686" s="86">
        <v>685</v>
      </c>
      <c r="B686" s="86" t="s">
        <v>454</v>
      </c>
      <c r="C686" s="86" t="str">
        <f t="shared" si="0"/>
        <v>649515</v>
      </c>
      <c r="D686" s="86" t="str">
        <f>IF(VLOOKUP(C686,'Diferencias patrimonio 2023'!$C$2:$C$1020,1,FALSE)=C686,"Encontrado", "No")</f>
        <v>Encontrado</v>
      </c>
      <c r="E686" s="86" t="s">
        <v>8171</v>
      </c>
      <c r="F686" s="86" t="s">
        <v>8206</v>
      </c>
      <c r="G686" s="86" t="s">
        <v>38</v>
      </c>
      <c r="H686" s="86" t="s">
        <v>7398</v>
      </c>
    </row>
    <row r="687" spans="1:8" ht="12.75" hidden="1">
      <c r="A687" s="86">
        <v>686</v>
      </c>
      <c r="B687" s="86" t="s">
        <v>197</v>
      </c>
      <c r="C687" s="86" t="str">
        <f t="shared" si="0"/>
        <v>649516</v>
      </c>
      <c r="D687" s="86" t="str">
        <f>IF(VLOOKUP(C687,'Diferencias patrimonio 2023'!$C$2:$C$1020,1,FALSE)=C687,"Encontrado", "No")</f>
        <v>Encontrado</v>
      </c>
      <c r="E687" s="86" t="s">
        <v>8171</v>
      </c>
      <c r="F687" s="86" t="s">
        <v>8207</v>
      </c>
      <c r="G687" s="86" t="s">
        <v>38</v>
      </c>
      <c r="H687" s="86" t="s">
        <v>7398</v>
      </c>
    </row>
    <row r="688" spans="1:8" ht="12.75" hidden="1">
      <c r="A688" s="86">
        <v>687</v>
      </c>
      <c r="B688" s="86" t="s">
        <v>439</v>
      </c>
      <c r="C688" s="86" t="str">
        <f t="shared" si="0"/>
        <v>649517</v>
      </c>
      <c r="D688" s="86" t="str">
        <f>IF(VLOOKUP(C688,'Diferencias patrimonio 2023'!$C$2:$C$1020,1,FALSE)=C688,"Encontrado", "No")</f>
        <v>Encontrado</v>
      </c>
      <c r="E688" s="86" t="s">
        <v>8171</v>
      </c>
      <c r="F688" s="86" t="s">
        <v>378</v>
      </c>
      <c r="G688" s="86" t="s">
        <v>38</v>
      </c>
      <c r="H688" s="86" t="s">
        <v>7398</v>
      </c>
    </row>
    <row r="689" spans="1:8" ht="12.75">
      <c r="A689" s="86">
        <v>688</v>
      </c>
      <c r="B689" s="86" t="s">
        <v>8208</v>
      </c>
      <c r="C689" s="86" t="str">
        <f t="shared" si="0"/>
        <v>649518</v>
      </c>
      <c r="D689" s="86" t="e">
        <f>IF(VLOOKUP(C689,'Diferencias patrimonio 2023'!$C$2:$C$1020,1,FALSE)=C689,"Encontrado", "No")</f>
        <v>#N/A</v>
      </c>
      <c r="E689" s="86" t="s">
        <v>8171</v>
      </c>
      <c r="F689" s="86" t="s">
        <v>136</v>
      </c>
      <c r="G689" s="86" t="s">
        <v>38</v>
      </c>
      <c r="H689" s="86" t="s">
        <v>7398</v>
      </c>
    </row>
    <row r="690" spans="1:8" ht="12.75" hidden="1">
      <c r="A690" s="86">
        <v>689</v>
      </c>
      <c r="B690" s="86" t="s">
        <v>190</v>
      </c>
      <c r="C690" s="86" t="str">
        <f t="shared" si="0"/>
        <v>649519</v>
      </c>
      <c r="D690" s="86" t="str">
        <f>IF(VLOOKUP(C690,'Diferencias patrimonio 2023'!$C$2:$C$1020,1,FALSE)=C690,"Encontrado", "No")</f>
        <v>Encontrado</v>
      </c>
      <c r="E690" s="86" t="s">
        <v>8171</v>
      </c>
      <c r="F690" s="86" t="s">
        <v>184</v>
      </c>
      <c r="G690" s="86" t="s">
        <v>38</v>
      </c>
      <c r="H690" s="86" t="s">
        <v>7398</v>
      </c>
    </row>
    <row r="691" spans="1:8" ht="12.75">
      <c r="A691" s="86">
        <v>690</v>
      </c>
      <c r="B691" s="86" t="s">
        <v>8209</v>
      </c>
      <c r="C691" s="86" t="str">
        <f t="shared" si="0"/>
        <v>649520</v>
      </c>
      <c r="D691" s="86" t="e">
        <f>IF(VLOOKUP(C691,'Diferencias patrimonio 2023'!$C$2:$C$1020,1,FALSE)=C691,"Encontrado", "No")</f>
        <v>#N/A</v>
      </c>
      <c r="E691" s="86" t="s">
        <v>8171</v>
      </c>
      <c r="F691" s="86" t="s">
        <v>151</v>
      </c>
      <c r="G691" s="86" t="s">
        <v>38</v>
      </c>
      <c r="H691" s="86" t="s">
        <v>7398</v>
      </c>
    </row>
    <row r="692" spans="1:8" ht="12.75" hidden="1">
      <c r="A692" s="86">
        <v>691</v>
      </c>
      <c r="B692" s="86" t="s">
        <v>563</v>
      </c>
      <c r="C692" s="86" t="str">
        <f t="shared" si="0"/>
        <v>649521</v>
      </c>
      <c r="D692" s="86" t="str">
        <f>IF(VLOOKUP(C692,'Diferencias patrimonio 2023'!$C$2:$C$1020,1,FALSE)=C692,"Encontrado", "No")</f>
        <v>Encontrado</v>
      </c>
      <c r="E692" s="86" t="s">
        <v>8171</v>
      </c>
      <c r="F692" s="86" t="s">
        <v>8207</v>
      </c>
      <c r="G692" s="86" t="s">
        <v>38</v>
      </c>
      <c r="H692" s="86" t="s">
        <v>7398</v>
      </c>
    </row>
    <row r="693" spans="1:8" ht="12.75" hidden="1">
      <c r="A693" s="86">
        <v>692</v>
      </c>
      <c r="B693" s="86" t="s">
        <v>696</v>
      </c>
      <c r="C693" s="86" t="str">
        <f t="shared" si="0"/>
        <v>649522</v>
      </c>
      <c r="D693" s="86" t="str">
        <f>IF(VLOOKUP(C693,'Diferencias patrimonio 2023'!$C$2:$C$1020,1,FALSE)=C693,"Encontrado", "No")</f>
        <v>Encontrado</v>
      </c>
      <c r="E693" s="86" t="s">
        <v>8171</v>
      </c>
      <c r="F693" s="86" t="s">
        <v>136</v>
      </c>
      <c r="G693" s="86" t="s">
        <v>38</v>
      </c>
      <c r="H693" s="86" t="s">
        <v>7398</v>
      </c>
    </row>
    <row r="694" spans="1:8" ht="12.75" hidden="1">
      <c r="A694" s="86">
        <v>693</v>
      </c>
      <c r="B694" s="86" t="s">
        <v>5842</v>
      </c>
      <c r="C694" s="86" t="str">
        <f t="shared" si="0"/>
        <v>649523</v>
      </c>
      <c r="D694" s="86" t="str">
        <f>IF(VLOOKUP(C694,'Diferencias patrimonio 2023'!$C$2:$C$1020,1,FALSE)=C694,"Encontrado", "No")</f>
        <v>Encontrado</v>
      </c>
      <c r="E694" s="86" t="s">
        <v>8171</v>
      </c>
      <c r="F694" s="86" t="s">
        <v>378</v>
      </c>
      <c r="G694" s="86" t="s">
        <v>38</v>
      </c>
      <c r="H694" s="86" t="s">
        <v>7398</v>
      </c>
    </row>
    <row r="695" spans="1:8" ht="12.75">
      <c r="A695" s="86">
        <v>694</v>
      </c>
      <c r="B695" s="86" t="s">
        <v>8210</v>
      </c>
      <c r="C695" s="86" t="str">
        <f t="shared" si="0"/>
        <v>649524</v>
      </c>
      <c r="D695" s="86" t="e">
        <f>IF(VLOOKUP(C695,'Diferencias patrimonio 2023'!$C$2:$C$1020,1,FALSE)=C695,"Encontrado", "No")</f>
        <v>#N/A</v>
      </c>
      <c r="E695" s="86" t="s">
        <v>8171</v>
      </c>
      <c r="F695" s="86" t="s">
        <v>62</v>
      </c>
      <c r="G695" s="86" t="s">
        <v>38</v>
      </c>
      <c r="H695" s="86" t="s">
        <v>332</v>
      </c>
    </row>
    <row r="696" spans="1:8" ht="12.75" hidden="1">
      <c r="A696" s="86">
        <v>695</v>
      </c>
      <c r="B696" s="86" t="s">
        <v>5776</v>
      </c>
      <c r="C696" s="86" t="str">
        <f t="shared" si="0"/>
        <v>649525</v>
      </c>
      <c r="D696" s="86" t="str">
        <f>IF(VLOOKUP(C696,'Diferencias patrimonio 2023'!$C$2:$C$1020,1,FALSE)=C696,"Encontrado", "No")</f>
        <v>Encontrado</v>
      </c>
      <c r="E696" s="86" t="s">
        <v>8171</v>
      </c>
      <c r="F696" s="86" t="s">
        <v>93</v>
      </c>
      <c r="G696" s="86" t="s">
        <v>38</v>
      </c>
      <c r="H696" s="86" t="s">
        <v>7398</v>
      </c>
    </row>
    <row r="697" spans="1:8" ht="12.75" hidden="1">
      <c r="A697" s="86">
        <v>696</v>
      </c>
      <c r="B697" s="86" t="s">
        <v>5798</v>
      </c>
      <c r="C697" s="86" t="str">
        <f t="shared" si="0"/>
        <v>649526</v>
      </c>
      <c r="D697" s="86" t="str">
        <f>IF(VLOOKUP(C697,'Diferencias patrimonio 2023'!$C$2:$C$1020,1,FALSE)=C697,"Encontrado", "No")</f>
        <v>Encontrado</v>
      </c>
      <c r="E697" s="86" t="s">
        <v>8171</v>
      </c>
      <c r="F697" s="86" t="s">
        <v>378</v>
      </c>
      <c r="G697" s="86" t="s">
        <v>38</v>
      </c>
      <c r="H697" s="86" t="s">
        <v>7398</v>
      </c>
    </row>
    <row r="698" spans="1:8" ht="12.75" hidden="1">
      <c r="A698" s="86">
        <v>697</v>
      </c>
      <c r="B698" s="86" t="s">
        <v>1467</v>
      </c>
      <c r="C698" s="86" t="str">
        <f t="shared" si="0"/>
        <v>649527</v>
      </c>
      <c r="D698" s="86" t="str">
        <f>IF(VLOOKUP(C698,'Diferencias patrimonio 2023'!$C$2:$C$1020,1,FALSE)=C698,"Encontrado", "No")</f>
        <v>Encontrado</v>
      </c>
      <c r="E698" s="86" t="s">
        <v>8171</v>
      </c>
      <c r="F698" s="86" t="s">
        <v>378</v>
      </c>
      <c r="G698" s="86" t="s">
        <v>38</v>
      </c>
      <c r="H698" s="86" t="s">
        <v>7398</v>
      </c>
    </row>
    <row r="699" spans="1:8" ht="12.75" hidden="1">
      <c r="A699" s="86">
        <v>698</v>
      </c>
      <c r="B699" s="86" t="s">
        <v>1191</v>
      </c>
      <c r="C699" s="86" t="str">
        <f t="shared" si="0"/>
        <v>649528</v>
      </c>
      <c r="D699" s="86" t="str">
        <f>IF(VLOOKUP(C699,'Diferencias patrimonio 2023'!$C$2:$C$1020,1,FALSE)=C699,"Encontrado", "No")</f>
        <v>Encontrado</v>
      </c>
      <c r="E699" s="86" t="s">
        <v>8171</v>
      </c>
      <c r="F699" s="86" t="s">
        <v>378</v>
      </c>
      <c r="G699" s="86" t="s">
        <v>38</v>
      </c>
      <c r="H699" s="86" t="s">
        <v>7398</v>
      </c>
    </row>
    <row r="700" spans="1:8" ht="12.75" hidden="1">
      <c r="A700" s="86">
        <v>699</v>
      </c>
      <c r="B700" s="86" t="s">
        <v>464</v>
      </c>
      <c r="C700" s="86" t="str">
        <f t="shared" si="0"/>
        <v>649529</v>
      </c>
      <c r="D700" s="86" t="str">
        <f>IF(VLOOKUP(C700,'Diferencias patrimonio 2023'!$C$2:$C$1020,1,FALSE)=C700,"Encontrado", "No")</f>
        <v>Encontrado</v>
      </c>
      <c r="E700" s="86" t="s">
        <v>8171</v>
      </c>
      <c r="F700" s="86" t="s">
        <v>43</v>
      </c>
      <c r="G700" s="86" t="s">
        <v>38</v>
      </c>
      <c r="H700" s="86" t="s">
        <v>7398</v>
      </c>
    </row>
    <row r="701" spans="1:8" ht="12.75">
      <c r="A701" s="86">
        <v>700</v>
      </c>
      <c r="B701" s="86" t="s">
        <v>8211</v>
      </c>
      <c r="C701" s="86" t="str">
        <f t="shared" si="0"/>
        <v>649530</v>
      </c>
      <c r="D701" s="86" t="e">
        <f>IF(VLOOKUP(C701,'Diferencias patrimonio 2023'!$C$2:$C$1020,1,FALSE)=C701,"Encontrado", "No")</f>
        <v>#N/A</v>
      </c>
      <c r="E701" s="86" t="s">
        <v>8171</v>
      </c>
      <c r="F701" s="86" t="s">
        <v>1199</v>
      </c>
      <c r="G701" s="86" t="s">
        <v>38</v>
      </c>
      <c r="H701" s="86" t="s">
        <v>7398</v>
      </c>
    </row>
    <row r="702" spans="1:8" ht="12.75">
      <c r="A702" s="86">
        <v>701</v>
      </c>
      <c r="B702" s="86" t="s">
        <v>7252</v>
      </c>
      <c r="C702" s="86" t="str">
        <f t="shared" si="0"/>
        <v>649531</v>
      </c>
      <c r="D702" s="86" t="e">
        <f>IF(VLOOKUP(C702,'Diferencias patrimonio 2023'!$C$2:$C$1020,1,FALSE)=C702,"Encontrado", "No")</f>
        <v>#N/A</v>
      </c>
      <c r="E702" s="86" t="s">
        <v>8171</v>
      </c>
      <c r="F702" s="86" t="s">
        <v>116</v>
      </c>
      <c r="G702" s="86" t="s">
        <v>38</v>
      </c>
      <c r="H702" s="86" t="s">
        <v>7398</v>
      </c>
    </row>
    <row r="703" spans="1:8" ht="12.75" hidden="1">
      <c r="A703" s="86">
        <v>702</v>
      </c>
      <c r="B703" s="86" t="s">
        <v>756</v>
      </c>
      <c r="C703" s="86" t="str">
        <f t="shared" si="0"/>
        <v>649532</v>
      </c>
      <c r="D703" s="86" t="str">
        <f>IF(VLOOKUP(C703,'Diferencias patrimonio 2023'!$C$2:$C$1020,1,FALSE)=C703,"Encontrado", "No")</f>
        <v>Encontrado</v>
      </c>
      <c r="E703" s="86" t="s">
        <v>8171</v>
      </c>
      <c r="F703" s="86" t="s">
        <v>93</v>
      </c>
      <c r="G703" s="86" t="s">
        <v>38</v>
      </c>
      <c r="H703" s="86" t="s">
        <v>7398</v>
      </c>
    </row>
    <row r="704" spans="1:8" ht="12.75" hidden="1">
      <c r="A704" s="86">
        <v>703</v>
      </c>
      <c r="B704" s="86" t="s">
        <v>3267</v>
      </c>
      <c r="C704" s="86" t="str">
        <f t="shared" si="0"/>
        <v>649533</v>
      </c>
      <c r="D704" s="86" t="str">
        <f>IF(VLOOKUP(C704,'Diferencias patrimonio 2023'!$C$2:$C$1020,1,FALSE)=C704,"Encontrado", "No")</f>
        <v>Encontrado</v>
      </c>
      <c r="E704" s="86" t="s">
        <v>8171</v>
      </c>
      <c r="F704" s="86" t="s">
        <v>62</v>
      </c>
      <c r="G704" s="86" t="s">
        <v>38</v>
      </c>
      <c r="H704" s="86" t="s">
        <v>7434</v>
      </c>
    </row>
    <row r="705" spans="1:8" ht="12.75">
      <c r="A705" s="86">
        <v>704</v>
      </c>
      <c r="B705" s="86" t="s">
        <v>8212</v>
      </c>
      <c r="C705" s="86" t="str">
        <f t="shared" si="0"/>
        <v>649534</v>
      </c>
      <c r="D705" s="86" t="e">
        <f>IF(VLOOKUP(C705,'Diferencias patrimonio 2023'!$C$2:$C$1020,1,FALSE)=C705,"Encontrado", "No")</f>
        <v>#N/A</v>
      </c>
      <c r="E705" s="86" t="s">
        <v>8171</v>
      </c>
      <c r="F705" s="86" t="s">
        <v>151</v>
      </c>
      <c r="G705" s="86" t="s">
        <v>38</v>
      </c>
      <c r="H705" s="86" t="s">
        <v>7434</v>
      </c>
    </row>
    <row r="706" spans="1:8" ht="12.75" hidden="1">
      <c r="A706" s="86">
        <v>705</v>
      </c>
      <c r="B706" s="86" t="s">
        <v>3442</v>
      </c>
      <c r="C706" s="86" t="str">
        <f t="shared" si="0"/>
        <v>649535</v>
      </c>
      <c r="D706" s="86" t="str">
        <f>IF(VLOOKUP(C706,'Diferencias patrimonio 2023'!$C$2:$C$1020,1,FALSE)=C706,"Encontrado", "No")</f>
        <v>Encontrado</v>
      </c>
      <c r="E706" s="86" t="s">
        <v>8171</v>
      </c>
      <c r="F706" s="86" t="s">
        <v>8206</v>
      </c>
      <c r="G706" s="86" t="s">
        <v>38</v>
      </c>
      <c r="H706" s="86" t="s">
        <v>7434</v>
      </c>
    </row>
    <row r="707" spans="1:8" ht="12.75" hidden="1">
      <c r="A707" s="86">
        <v>706</v>
      </c>
      <c r="B707" s="86" t="s">
        <v>3290</v>
      </c>
      <c r="C707" s="86" t="str">
        <f t="shared" si="0"/>
        <v>649536</v>
      </c>
      <c r="D707" s="86" t="str">
        <f>IF(VLOOKUP(C707,'Diferencias patrimonio 2023'!$C$2:$C$1020,1,FALSE)=C707,"Encontrado", "No")</f>
        <v>Encontrado</v>
      </c>
      <c r="E707" s="86" t="s">
        <v>8171</v>
      </c>
      <c r="F707" s="86" t="s">
        <v>501</v>
      </c>
      <c r="G707" s="86" t="s">
        <v>38</v>
      </c>
      <c r="H707" s="86" t="s">
        <v>7434</v>
      </c>
    </row>
    <row r="708" spans="1:8" ht="12.75">
      <c r="A708" s="86">
        <v>707</v>
      </c>
      <c r="B708" s="86" t="s">
        <v>8213</v>
      </c>
      <c r="C708" s="86" t="str">
        <f t="shared" si="0"/>
        <v>649537</v>
      </c>
      <c r="D708" s="86" t="e">
        <f>IF(VLOOKUP(C708,'Diferencias patrimonio 2023'!$C$2:$C$1020,1,FALSE)=C708,"Encontrado", "No")</f>
        <v>#N/A</v>
      </c>
      <c r="E708" s="86" t="s">
        <v>8171</v>
      </c>
      <c r="F708" s="86" t="s">
        <v>8206</v>
      </c>
      <c r="G708" s="86" t="s">
        <v>38</v>
      </c>
      <c r="H708" s="86" t="s">
        <v>7434</v>
      </c>
    </row>
    <row r="709" spans="1:8" ht="12.75" hidden="1">
      <c r="A709" s="86">
        <v>708</v>
      </c>
      <c r="B709" s="86" t="s">
        <v>3296</v>
      </c>
      <c r="C709" s="86" t="str">
        <f t="shared" si="0"/>
        <v>649538</v>
      </c>
      <c r="D709" s="86" t="str">
        <f>IF(VLOOKUP(C709,'Diferencias patrimonio 2023'!$C$2:$C$1020,1,FALSE)=C709,"Encontrado", "No")</f>
        <v>Encontrado</v>
      </c>
      <c r="E709" s="86" t="s">
        <v>8171</v>
      </c>
      <c r="F709" s="86" t="s">
        <v>378</v>
      </c>
      <c r="G709" s="86" t="s">
        <v>38</v>
      </c>
      <c r="H709" s="86" t="s">
        <v>7434</v>
      </c>
    </row>
    <row r="710" spans="1:8" ht="12.75" hidden="1">
      <c r="A710" s="86">
        <v>709</v>
      </c>
      <c r="B710" s="86" t="s">
        <v>1434</v>
      </c>
      <c r="C710" s="86" t="str">
        <f t="shared" si="0"/>
        <v>649539</v>
      </c>
      <c r="D710" s="86" t="str">
        <f>IF(VLOOKUP(C710,'Diferencias patrimonio 2023'!$C$2:$C$1020,1,FALSE)=C710,"Encontrado", "No")</f>
        <v>Encontrado</v>
      </c>
      <c r="E710" s="86" t="s">
        <v>8171</v>
      </c>
      <c r="F710" s="86" t="s">
        <v>199</v>
      </c>
      <c r="G710" s="86" t="s">
        <v>38</v>
      </c>
      <c r="H710" s="86" t="s">
        <v>385</v>
      </c>
    </row>
    <row r="711" spans="1:8" ht="12.75" hidden="1">
      <c r="A711" s="86">
        <v>710</v>
      </c>
      <c r="B711" s="86" t="s">
        <v>3418</v>
      </c>
      <c r="C711" s="86" t="str">
        <f t="shared" si="0"/>
        <v>649540</v>
      </c>
      <c r="D711" s="86" t="str">
        <f>IF(VLOOKUP(C711,'Diferencias patrimonio 2023'!$C$2:$C$1020,1,FALSE)=C711,"Encontrado", "No")</f>
        <v>Encontrado</v>
      </c>
      <c r="E711" s="86" t="s">
        <v>8171</v>
      </c>
      <c r="F711" s="86" t="s">
        <v>353</v>
      </c>
      <c r="G711" s="86" t="s">
        <v>38</v>
      </c>
      <c r="H711" s="86" t="s">
        <v>7434</v>
      </c>
    </row>
    <row r="712" spans="1:8" ht="12.75">
      <c r="A712" s="86">
        <v>711</v>
      </c>
      <c r="B712" s="86" t="s">
        <v>7279</v>
      </c>
      <c r="C712" s="86" t="str">
        <f t="shared" si="0"/>
        <v>649541</v>
      </c>
      <c r="D712" s="86" t="e">
        <f>IF(VLOOKUP(C712,'Diferencias patrimonio 2023'!$C$2:$C$1020,1,FALSE)=C712,"Encontrado", "No")</f>
        <v>#N/A</v>
      </c>
      <c r="E712" s="86" t="s">
        <v>8171</v>
      </c>
      <c r="F712" s="86" t="s">
        <v>501</v>
      </c>
      <c r="G712" s="86" t="s">
        <v>38</v>
      </c>
      <c r="H712" s="86" t="s">
        <v>7434</v>
      </c>
    </row>
    <row r="713" spans="1:8" ht="12.75">
      <c r="A713" s="86">
        <v>712</v>
      </c>
      <c r="B713" s="86" t="s">
        <v>7278</v>
      </c>
      <c r="C713" s="86" t="str">
        <f t="shared" si="0"/>
        <v>649542</v>
      </c>
      <c r="D713" s="86" t="e">
        <f>IF(VLOOKUP(C713,'Diferencias patrimonio 2023'!$C$2:$C$1020,1,FALSE)=C713,"Encontrado", "No")</f>
        <v>#N/A</v>
      </c>
      <c r="E713" s="86" t="s">
        <v>8171</v>
      </c>
      <c r="F713" s="86" t="s">
        <v>501</v>
      </c>
      <c r="G713" s="86" t="s">
        <v>38</v>
      </c>
      <c r="H713" s="86" t="s">
        <v>7434</v>
      </c>
    </row>
    <row r="714" spans="1:8" ht="12.75" hidden="1">
      <c r="A714" s="86">
        <v>713</v>
      </c>
      <c r="B714" s="86" t="s">
        <v>3309</v>
      </c>
      <c r="C714" s="86" t="str">
        <f t="shared" si="0"/>
        <v>649543</v>
      </c>
      <c r="D714" s="86" t="str">
        <f>IF(VLOOKUP(C714,'Diferencias patrimonio 2023'!$C$2:$C$1020,1,FALSE)=C714,"Encontrado", "No")</f>
        <v>Encontrado</v>
      </c>
      <c r="E714" s="86" t="s">
        <v>8171</v>
      </c>
      <c r="F714" s="86" t="s">
        <v>93</v>
      </c>
      <c r="G714" s="86" t="s">
        <v>38</v>
      </c>
      <c r="H714" s="86" t="s">
        <v>7434</v>
      </c>
    </row>
    <row r="715" spans="1:8" ht="12.75">
      <c r="A715" s="86">
        <v>714</v>
      </c>
      <c r="B715" s="86" t="s">
        <v>8214</v>
      </c>
      <c r="C715" s="86" t="str">
        <f t="shared" si="0"/>
        <v>649544</v>
      </c>
      <c r="D715" s="86" t="e">
        <f>IF(VLOOKUP(C715,'Diferencias patrimonio 2023'!$C$2:$C$1020,1,FALSE)=C715,"Encontrado", "No")</f>
        <v>#N/A</v>
      </c>
      <c r="E715" s="86" t="s">
        <v>8171</v>
      </c>
      <c r="F715" s="86" t="s">
        <v>162</v>
      </c>
      <c r="G715" s="86" t="s">
        <v>38</v>
      </c>
      <c r="H715" s="86" t="s">
        <v>7434</v>
      </c>
    </row>
    <row r="716" spans="1:8" ht="12.75">
      <c r="A716" s="86">
        <v>715</v>
      </c>
      <c r="B716" s="86" t="s">
        <v>8215</v>
      </c>
      <c r="C716" s="86" t="str">
        <f t="shared" si="0"/>
        <v>649545</v>
      </c>
      <c r="D716" s="86" t="e">
        <f>IF(VLOOKUP(C716,'Diferencias patrimonio 2023'!$C$2:$C$1020,1,FALSE)=C716,"Encontrado", "No")</f>
        <v>#N/A</v>
      </c>
      <c r="E716" s="86" t="s">
        <v>8171</v>
      </c>
      <c r="F716" s="86" t="s">
        <v>136</v>
      </c>
      <c r="G716" s="86" t="s">
        <v>38</v>
      </c>
      <c r="H716" s="86" t="s">
        <v>7434</v>
      </c>
    </row>
    <row r="717" spans="1:8" ht="12.75" hidden="1">
      <c r="A717" s="86">
        <v>716</v>
      </c>
      <c r="B717" s="86" t="s">
        <v>3430</v>
      </c>
      <c r="C717" s="86" t="str">
        <f t="shared" si="0"/>
        <v>649546</v>
      </c>
      <c r="D717" s="86" t="str">
        <f>IF(VLOOKUP(C717,'Diferencias patrimonio 2023'!$C$2:$C$1020,1,FALSE)=C717,"Encontrado", "No")</f>
        <v>Encontrado</v>
      </c>
      <c r="E717" s="86" t="s">
        <v>8171</v>
      </c>
      <c r="F717" s="86" t="s">
        <v>116</v>
      </c>
      <c r="G717" s="86" t="s">
        <v>38</v>
      </c>
      <c r="H717" s="86" t="s">
        <v>7434</v>
      </c>
    </row>
    <row r="718" spans="1:8" ht="12.75" hidden="1">
      <c r="A718" s="86">
        <v>717</v>
      </c>
      <c r="B718" s="86" t="s">
        <v>3356</v>
      </c>
      <c r="C718" s="86" t="str">
        <f t="shared" si="0"/>
        <v>649547</v>
      </c>
      <c r="D718" s="86" t="str">
        <f>IF(VLOOKUP(C718,'Diferencias patrimonio 2023'!$C$2:$C$1020,1,FALSE)=C718,"Encontrado", "No")</f>
        <v>Encontrado</v>
      </c>
      <c r="E718" s="86" t="s">
        <v>8171</v>
      </c>
      <c r="F718" s="86" t="s">
        <v>151</v>
      </c>
      <c r="G718" s="86" t="s">
        <v>38</v>
      </c>
      <c r="H718" s="86" t="s">
        <v>7434</v>
      </c>
    </row>
    <row r="719" spans="1:8" ht="12.75" hidden="1">
      <c r="A719" s="86">
        <v>718</v>
      </c>
      <c r="B719" s="86" t="s">
        <v>3396</v>
      </c>
      <c r="C719" s="86" t="str">
        <f t="shared" si="0"/>
        <v>649548</v>
      </c>
      <c r="D719" s="86" t="str">
        <f>IF(VLOOKUP(C719,'Diferencias patrimonio 2023'!$C$2:$C$1020,1,FALSE)=C719,"Encontrado", "No")</f>
        <v>Encontrado</v>
      </c>
      <c r="E719" s="86" t="s">
        <v>8171</v>
      </c>
      <c r="F719" s="86" t="s">
        <v>3521</v>
      </c>
      <c r="G719" s="86" t="s">
        <v>38</v>
      </c>
      <c r="H719" s="86" t="s">
        <v>7434</v>
      </c>
    </row>
    <row r="720" spans="1:8" ht="12.75" hidden="1">
      <c r="A720" s="86">
        <v>719</v>
      </c>
      <c r="B720" s="86" t="s">
        <v>3436</v>
      </c>
      <c r="C720" s="86" t="str">
        <f t="shared" si="0"/>
        <v>649549</v>
      </c>
      <c r="D720" s="86" t="str">
        <f>IF(VLOOKUP(C720,'Diferencias patrimonio 2023'!$C$2:$C$1020,1,FALSE)=C720,"Encontrado", "No")</f>
        <v>Encontrado</v>
      </c>
      <c r="E720" s="86" t="s">
        <v>8171</v>
      </c>
      <c r="F720" s="86" t="s">
        <v>3521</v>
      </c>
      <c r="G720" s="86" t="s">
        <v>38</v>
      </c>
      <c r="H720" s="86" t="s">
        <v>7434</v>
      </c>
    </row>
    <row r="721" spans="1:8" ht="12.75" hidden="1">
      <c r="A721" s="86">
        <v>720</v>
      </c>
      <c r="B721" s="86" t="s">
        <v>3424</v>
      </c>
      <c r="C721" s="86" t="str">
        <f t="shared" si="0"/>
        <v>649550</v>
      </c>
      <c r="D721" s="86" t="str">
        <f>IF(VLOOKUP(C721,'Diferencias patrimonio 2023'!$C$2:$C$1020,1,FALSE)=C721,"Encontrado", "No")</f>
        <v>Encontrado</v>
      </c>
      <c r="E721" s="86" t="s">
        <v>8171</v>
      </c>
      <c r="F721" s="86" t="s">
        <v>8054</v>
      </c>
      <c r="G721" s="86" t="s">
        <v>38</v>
      </c>
      <c r="H721" s="86" t="s">
        <v>7434</v>
      </c>
    </row>
    <row r="722" spans="1:8" ht="12.75" hidden="1">
      <c r="A722" s="86">
        <v>721</v>
      </c>
      <c r="B722" s="86" t="s">
        <v>3254</v>
      </c>
      <c r="C722" s="86" t="str">
        <f t="shared" si="0"/>
        <v>649551</v>
      </c>
      <c r="D722" s="86" t="str">
        <f>IF(VLOOKUP(C722,'Diferencias patrimonio 2023'!$C$2:$C$1020,1,FALSE)=C722,"Encontrado", "No")</f>
        <v>Encontrado</v>
      </c>
      <c r="E722" s="86" t="s">
        <v>8171</v>
      </c>
      <c r="F722" s="86" t="s">
        <v>43</v>
      </c>
      <c r="G722" s="86" t="s">
        <v>38</v>
      </c>
      <c r="H722" s="86" t="s">
        <v>7434</v>
      </c>
    </row>
    <row r="723" spans="1:8" ht="12.75">
      <c r="A723" s="86">
        <v>722</v>
      </c>
      <c r="B723" s="86" t="s">
        <v>7254</v>
      </c>
      <c r="C723" s="86" t="str">
        <f t="shared" si="0"/>
        <v>649552</v>
      </c>
      <c r="D723" s="86" t="e">
        <f>IF(VLOOKUP(C723,'Diferencias patrimonio 2023'!$C$2:$C$1020,1,FALSE)=C723,"Encontrado", "No")</f>
        <v>#N/A</v>
      </c>
      <c r="E723" s="86" t="s">
        <v>8171</v>
      </c>
      <c r="F723" s="86" t="s">
        <v>501</v>
      </c>
      <c r="G723" s="86" t="s">
        <v>38</v>
      </c>
      <c r="H723" s="86" t="s">
        <v>7434</v>
      </c>
    </row>
    <row r="724" spans="1:8" ht="12.75">
      <c r="A724" s="86">
        <v>723</v>
      </c>
      <c r="B724" s="86" t="s">
        <v>8216</v>
      </c>
      <c r="C724" s="86" t="str">
        <f t="shared" si="0"/>
        <v>649553</v>
      </c>
      <c r="D724" s="86" t="e">
        <f>IF(VLOOKUP(C724,'Diferencias patrimonio 2023'!$C$2:$C$1020,1,FALSE)=C724,"Encontrado", "No")</f>
        <v>#N/A</v>
      </c>
      <c r="E724" s="86" t="s">
        <v>8171</v>
      </c>
      <c r="F724" s="86" t="s">
        <v>501</v>
      </c>
      <c r="G724" s="86" t="s">
        <v>38</v>
      </c>
      <c r="H724" s="86" t="s">
        <v>7434</v>
      </c>
    </row>
    <row r="725" spans="1:8" ht="12.75">
      <c r="A725" s="86">
        <v>724</v>
      </c>
      <c r="B725" s="86" t="s">
        <v>8217</v>
      </c>
      <c r="C725" s="86" t="str">
        <f t="shared" si="0"/>
        <v>649554</v>
      </c>
      <c r="D725" s="86" t="e">
        <f>IF(VLOOKUP(C725,'Diferencias patrimonio 2023'!$C$2:$C$1020,1,FALSE)=C725,"Encontrado", "No")</f>
        <v>#N/A</v>
      </c>
      <c r="E725" s="86" t="s">
        <v>8171</v>
      </c>
      <c r="F725" s="86" t="s">
        <v>501</v>
      </c>
      <c r="G725" s="86" t="s">
        <v>38</v>
      </c>
      <c r="H725" s="86" t="s">
        <v>7434</v>
      </c>
    </row>
    <row r="726" spans="1:8" ht="12.75" hidden="1">
      <c r="A726" s="86">
        <v>725</v>
      </c>
      <c r="B726" s="86" t="s">
        <v>3117</v>
      </c>
      <c r="C726" s="86" t="str">
        <f t="shared" si="0"/>
        <v>649555</v>
      </c>
      <c r="D726" s="86" t="str">
        <f>IF(VLOOKUP(C726,'Diferencias patrimonio 2023'!$C$2:$C$1020,1,FALSE)=C726,"Encontrado", "No")</f>
        <v>Encontrado</v>
      </c>
      <c r="E726" s="86" t="s">
        <v>8171</v>
      </c>
      <c r="F726" s="86" t="s">
        <v>378</v>
      </c>
      <c r="G726" s="86" t="s">
        <v>38</v>
      </c>
      <c r="H726" s="86" t="s">
        <v>8218</v>
      </c>
    </row>
    <row r="727" spans="1:8" ht="12.75" hidden="1">
      <c r="A727" s="86">
        <v>726</v>
      </c>
      <c r="B727" s="86" t="s">
        <v>8219</v>
      </c>
      <c r="C727" s="86" t="str">
        <f t="shared" si="0"/>
        <v>649556</v>
      </c>
      <c r="D727" s="86" t="str">
        <f>IF(VLOOKUP(C727,'Diferencias patrimonio 2023'!$C$2:$C$1020,1,FALSE)=C727,"Encontrado", "No")</f>
        <v>Encontrado</v>
      </c>
      <c r="E727" s="86" t="s">
        <v>8171</v>
      </c>
      <c r="F727" s="86" t="s">
        <v>93</v>
      </c>
      <c r="G727" s="86" t="s">
        <v>38</v>
      </c>
      <c r="H727" s="86" t="s">
        <v>7430</v>
      </c>
    </row>
    <row r="728" spans="1:8" ht="12.75" hidden="1">
      <c r="A728" s="86">
        <v>727</v>
      </c>
      <c r="B728" s="86" t="s">
        <v>8220</v>
      </c>
      <c r="C728" s="86" t="str">
        <f t="shared" si="0"/>
        <v>649557</v>
      </c>
      <c r="D728" s="86" t="str">
        <f>IF(VLOOKUP(C728,'Diferencias patrimonio 2023'!$C$2:$C$1020,1,FALSE)=C728,"Encontrado", "No")</f>
        <v>Encontrado</v>
      </c>
      <c r="E728" s="86" t="s">
        <v>8171</v>
      </c>
      <c r="F728" s="86" t="s">
        <v>93</v>
      </c>
      <c r="G728" s="86" t="s">
        <v>38</v>
      </c>
      <c r="H728" s="86" t="s">
        <v>7430</v>
      </c>
    </row>
    <row r="729" spans="1:8" ht="12.75" hidden="1">
      <c r="A729" s="86">
        <v>728</v>
      </c>
      <c r="B729" s="86" t="s">
        <v>8221</v>
      </c>
      <c r="C729" s="86" t="str">
        <f t="shared" si="0"/>
        <v>649558</v>
      </c>
      <c r="D729" s="86" t="str">
        <f>IF(VLOOKUP(C729,'Diferencias patrimonio 2023'!$C$2:$C$1020,1,FALSE)=C729,"Encontrado", "No")</f>
        <v>Encontrado</v>
      </c>
      <c r="E729" s="86" t="s">
        <v>8171</v>
      </c>
      <c r="F729" s="86" t="s">
        <v>93</v>
      </c>
      <c r="G729" s="86" t="s">
        <v>38</v>
      </c>
      <c r="H729" s="86" t="s">
        <v>7430</v>
      </c>
    </row>
    <row r="730" spans="1:8" ht="12.75" hidden="1">
      <c r="A730" s="86">
        <v>729</v>
      </c>
      <c r="B730" s="86" t="s">
        <v>8222</v>
      </c>
      <c r="C730" s="86" t="str">
        <f t="shared" si="0"/>
        <v>649559</v>
      </c>
      <c r="D730" s="86" t="str">
        <f>IF(VLOOKUP(C730,'Diferencias patrimonio 2023'!$C$2:$C$1020,1,FALSE)=C730,"Encontrado", "No")</f>
        <v>Encontrado</v>
      </c>
      <c r="E730" s="86" t="s">
        <v>8171</v>
      </c>
      <c r="F730" s="86" t="s">
        <v>29</v>
      </c>
      <c r="G730" s="86" t="s">
        <v>38</v>
      </c>
      <c r="H730" s="86" t="s">
        <v>7430</v>
      </c>
    </row>
    <row r="731" spans="1:8" ht="12.75" hidden="1">
      <c r="A731" s="86">
        <v>730</v>
      </c>
      <c r="B731" s="86" t="s">
        <v>4386</v>
      </c>
      <c r="C731" s="86" t="str">
        <f t="shared" si="0"/>
        <v>649560</v>
      </c>
      <c r="D731" s="86" t="str">
        <f>IF(VLOOKUP(C731,'Diferencias patrimonio 2023'!$C$2:$C$1020,1,FALSE)=C731,"Encontrado", "No")</f>
        <v>Encontrado</v>
      </c>
      <c r="E731" s="86" t="s">
        <v>8171</v>
      </c>
      <c r="F731" s="86" t="s">
        <v>8054</v>
      </c>
      <c r="G731" s="86" t="s">
        <v>38</v>
      </c>
      <c r="H731" s="86" t="s">
        <v>7696</v>
      </c>
    </row>
    <row r="732" spans="1:8" ht="12.75" hidden="1">
      <c r="A732" s="86">
        <v>731</v>
      </c>
      <c r="B732" s="86" t="s">
        <v>4392</v>
      </c>
      <c r="C732" s="86" t="str">
        <f t="shared" si="0"/>
        <v>649561</v>
      </c>
      <c r="D732" s="86" t="str">
        <f>IF(VLOOKUP(C732,'Diferencias patrimonio 2023'!$C$2:$C$1020,1,FALSE)=C732,"Encontrado", "No")</f>
        <v>Encontrado</v>
      </c>
      <c r="E732" s="86" t="s">
        <v>8171</v>
      </c>
      <c r="F732" s="86" t="s">
        <v>378</v>
      </c>
      <c r="G732" s="86" t="s">
        <v>38</v>
      </c>
      <c r="H732" s="86" t="s">
        <v>7696</v>
      </c>
    </row>
    <row r="733" spans="1:8" ht="12.75" hidden="1">
      <c r="A733" s="86">
        <v>732</v>
      </c>
      <c r="B733" s="86" t="s">
        <v>8223</v>
      </c>
      <c r="C733" s="86" t="str">
        <f t="shared" si="0"/>
        <v>649562</v>
      </c>
      <c r="D733" s="86" t="str">
        <f>IF(VLOOKUP(C733,'Diferencias patrimonio 2023'!$C$2:$C$1020,1,FALSE)=C733,"Encontrado", "No")</f>
        <v>Encontrado</v>
      </c>
      <c r="E733" s="86" t="s">
        <v>8171</v>
      </c>
      <c r="F733" s="86" t="s">
        <v>29</v>
      </c>
      <c r="G733" s="86" t="s">
        <v>38</v>
      </c>
      <c r="H733" s="86" t="s">
        <v>8224</v>
      </c>
    </row>
    <row r="734" spans="1:8" ht="12.75" hidden="1">
      <c r="A734" s="86">
        <v>733</v>
      </c>
      <c r="B734" s="86" t="s">
        <v>4380</v>
      </c>
      <c r="C734" s="86" t="str">
        <f t="shared" si="0"/>
        <v>649563</v>
      </c>
      <c r="D734" s="86" t="str">
        <f>IF(VLOOKUP(C734,'Diferencias patrimonio 2023'!$C$2:$C$1020,1,FALSE)=C734,"Encontrado", "No")</f>
        <v>Encontrado</v>
      </c>
      <c r="E734" s="86" t="s">
        <v>8171</v>
      </c>
      <c r="F734" s="86" t="s">
        <v>116</v>
      </c>
      <c r="G734" s="86" t="s">
        <v>38</v>
      </c>
      <c r="H734" s="86" t="s">
        <v>7696</v>
      </c>
    </row>
    <row r="735" spans="1:8" ht="12.75" hidden="1">
      <c r="A735" s="86">
        <v>734</v>
      </c>
      <c r="B735" s="86" t="s">
        <v>4195</v>
      </c>
      <c r="C735" s="86" t="str">
        <f t="shared" si="0"/>
        <v>649565</v>
      </c>
      <c r="D735" s="86" t="str">
        <f>IF(VLOOKUP(C735,'Diferencias patrimonio 2023'!$C$2:$C$1020,1,FALSE)=C735,"Encontrado", "No")</f>
        <v>Encontrado</v>
      </c>
      <c r="E735" s="86" t="s">
        <v>8171</v>
      </c>
      <c r="F735" s="86" t="s">
        <v>93</v>
      </c>
      <c r="G735" s="86" t="s">
        <v>38</v>
      </c>
      <c r="H735" s="86" t="s">
        <v>7696</v>
      </c>
    </row>
    <row r="736" spans="1:8" ht="12.75" hidden="1">
      <c r="A736" s="86">
        <v>735</v>
      </c>
      <c r="B736" s="86" t="s">
        <v>8226</v>
      </c>
      <c r="C736" s="86" t="str">
        <f t="shared" si="0"/>
        <v>649566</v>
      </c>
      <c r="D736" s="86" t="str">
        <f>IF(VLOOKUP(C736,'Diferencias patrimonio 2023'!$C$2:$C$1020,1,FALSE)=C736,"Encontrado", "No")</f>
        <v>Encontrado</v>
      </c>
      <c r="E736" s="86" t="s">
        <v>8171</v>
      </c>
      <c r="F736" s="86" t="s">
        <v>62</v>
      </c>
      <c r="G736" s="86" t="s">
        <v>38</v>
      </c>
      <c r="H736" s="86" t="s">
        <v>7430</v>
      </c>
    </row>
    <row r="737" spans="1:8" ht="12.75" hidden="1">
      <c r="A737" s="86">
        <v>736</v>
      </c>
      <c r="B737" s="86" t="s">
        <v>8227</v>
      </c>
      <c r="C737" s="86" t="str">
        <f t="shared" si="0"/>
        <v>649567</v>
      </c>
      <c r="D737" s="86" t="str">
        <f>IF(VLOOKUP(C737,'Diferencias patrimonio 2023'!$C$2:$C$1020,1,FALSE)=C737,"Encontrado", "No")</f>
        <v>Encontrado</v>
      </c>
      <c r="E737" s="86" t="s">
        <v>8171</v>
      </c>
      <c r="F737" s="86" t="s">
        <v>378</v>
      </c>
      <c r="G737" s="86" t="s">
        <v>38</v>
      </c>
      <c r="H737" s="86" t="s">
        <v>7430</v>
      </c>
    </row>
    <row r="738" spans="1:8" ht="12.75">
      <c r="A738" s="86">
        <v>737</v>
      </c>
      <c r="B738" s="86" t="s">
        <v>8228</v>
      </c>
      <c r="C738" s="86" t="str">
        <f t="shared" si="0"/>
        <v>649568</v>
      </c>
      <c r="D738" s="86" t="e">
        <f>IF(VLOOKUP(C738,'Diferencias patrimonio 2023'!$C$2:$C$1020,1,FALSE)=C738,"Encontrado", "No")</f>
        <v>#N/A</v>
      </c>
      <c r="E738" s="86" t="s">
        <v>8171</v>
      </c>
      <c r="F738" s="86" t="s">
        <v>162</v>
      </c>
      <c r="G738" s="86" t="s">
        <v>38</v>
      </c>
      <c r="H738" s="86" t="s">
        <v>7430</v>
      </c>
    </row>
    <row r="739" spans="1:8" ht="12.75" hidden="1">
      <c r="A739" s="86">
        <v>738</v>
      </c>
      <c r="B739" s="86" t="s">
        <v>8229</v>
      </c>
      <c r="C739" s="86" t="str">
        <f t="shared" si="0"/>
        <v>649569</v>
      </c>
      <c r="D739" s="86" t="str">
        <f>IF(VLOOKUP(C739,'Diferencias patrimonio 2023'!$C$2:$C$1020,1,FALSE)=C739,"Encontrado", "No")</f>
        <v>Encontrado</v>
      </c>
      <c r="E739" s="86" t="s">
        <v>8171</v>
      </c>
      <c r="F739" s="86" t="s">
        <v>248</v>
      </c>
      <c r="G739" s="86" t="s">
        <v>38</v>
      </c>
      <c r="H739" s="86" t="s">
        <v>1597</v>
      </c>
    </row>
    <row r="740" spans="1:8" ht="12.75" hidden="1">
      <c r="A740" s="86">
        <v>739</v>
      </c>
      <c r="B740" s="86" t="s">
        <v>8230</v>
      </c>
      <c r="C740" s="86" t="str">
        <f t="shared" si="0"/>
        <v>649570</v>
      </c>
      <c r="D740" s="86" t="str">
        <f>IF(VLOOKUP(C740,'Diferencias patrimonio 2023'!$C$2:$C$1020,1,FALSE)=C740,"Encontrado", "No")</f>
        <v>Encontrado</v>
      </c>
      <c r="E740" s="86" t="s">
        <v>8171</v>
      </c>
      <c r="F740" s="86" t="s">
        <v>151</v>
      </c>
      <c r="G740" s="86" t="s">
        <v>38</v>
      </c>
      <c r="H740" s="86" t="s">
        <v>1597</v>
      </c>
    </row>
    <row r="741" spans="1:8" ht="12.75" hidden="1">
      <c r="A741" s="86">
        <v>740</v>
      </c>
      <c r="B741" s="86" t="s">
        <v>8231</v>
      </c>
      <c r="C741" s="86" t="str">
        <f t="shared" si="0"/>
        <v>649571</v>
      </c>
      <c r="D741" s="86" t="str">
        <f>IF(VLOOKUP(C741,'Diferencias patrimonio 2023'!$C$2:$C$1020,1,FALSE)=C741,"Encontrado", "No")</f>
        <v>Encontrado</v>
      </c>
      <c r="E741" s="86" t="s">
        <v>8171</v>
      </c>
      <c r="F741" s="86" t="s">
        <v>378</v>
      </c>
      <c r="G741" s="86" t="s">
        <v>38</v>
      </c>
      <c r="H741" s="86" t="s">
        <v>1597</v>
      </c>
    </row>
    <row r="742" spans="1:8" ht="12.75" hidden="1">
      <c r="A742" s="86">
        <v>741</v>
      </c>
      <c r="B742" s="86" t="s">
        <v>1878</v>
      </c>
      <c r="C742" s="86" t="str">
        <f t="shared" si="0"/>
        <v>649572</v>
      </c>
      <c r="D742" s="86" t="str">
        <f>IF(VLOOKUP(C742,'Diferencias patrimonio 2023'!$C$2:$C$1020,1,FALSE)=C742,"Encontrado", "No")</f>
        <v>Encontrado</v>
      </c>
      <c r="E742" s="86" t="s">
        <v>8171</v>
      </c>
      <c r="F742" s="86" t="s">
        <v>151</v>
      </c>
      <c r="G742" s="86" t="s">
        <v>38</v>
      </c>
      <c r="H742" s="86" t="s">
        <v>1550</v>
      </c>
    </row>
    <row r="743" spans="1:8" ht="12.75" hidden="1">
      <c r="A743" s="86">
        <v>742</v>
      </c>
      <c r="B743" s="86" t="s">
        <v>1856</v>
      </c>
      <c r="C743" s="86" t="str">
        <f t="shared" si="0"/>
        <v>649573</v>
      </c>
      <c r="D743" s="86" t="str">
        <f>IF(VLOOKUP(C743,'Diferencias patrimonio 2023'!$C$2:$C$1020,1,FALSE)=C743,"Encontrado", "No")</f>
        <v>Encontrado</v>
      </c>
      <c r="E743" s="86" t="s">
        <v>8171</v>
      </c>
      <c r="F743" s="86" t="s">
        <v>43</v>
      </c>
      <c r="G743" s="86" t="s">
        <v>38</v>
      </c>
      <c r="H743" s="86" t="s">
        <v>1550</v>
      </c>
    </row>
    <row r="744" spans="1:8" ht="12.75" hidden="1">
      <c r="A744" s="86">
        <v>743</v>
      </c>
      <c r="B744" s="86" t="s">
        <v>1830</v>
      </c>
      <c r="C744" s="86" t="str">
        <f t="shared" si="0"/>
        <v>649574</v>
      </c>
      <c r="D744" s="86" t="str">
        <f>IF(VLOOKUP(C744,'Diferencias patrimonio 2023'!$C$2:$C$1020,1,FALSE)=C744,"Encontrado", "No")</f>
        <v>Encontrado</v>
      </c>
      <c r="E744" s="86" t="s">
        <v>8171</v>
      </c>
      <c r="F744" s="86" t="s">
        <v>378</v>
      </c>
      <c r="G744" s="86" t="s">
        <v>38</v>
      </c>
      <c r="H744" s="86" t="s">
        <v>1550</v>
      </c>
    </row>
    <row r="745" spans="1:8" ht="12.75" hidden="1">
      <c r="A745" s="86">
        <v>744</v>
      </c>
      <c r="B745" s="86" t="s">
        <v>1929</v>
      </c>
      <c r="C745" s="86" t="str">
        <f t="shared" si="0"/>
        <v>649575</v>
      </c>
      <c r="D745" s="86" t="str">
        <f>IF(VLOOKUP(C745,'Diferencias patrimonio 2023'!$C$2:$C$1020,1,FALSE)=C745,"Encontrado", "No")</f>
        <v>Encontrado</v>
      </c>
      <c r="E745" s="86" t="s">
        <v>8171</v>
      </c>
      <c r="F745" s="86" t="s">
        <v>151</v>
      </c>
      <c r="G745" s="86" t="s">
        <v>38</v>
      </c>
      <c r="H745" s="86" t="s">
        <v>1890</v>
      </c>
    </row>
    <row r="746" spans="1:8" ht="12.75">
      <c r="A746" s="86">
        <v>745</v>
      </c>
      <c r="B746" s="86" t="s">
        <v>7280</v>
      </c>
      <c r="C746" s="86" t="str">
        <f t="shared" si="0"/>
        <v>649576</v>
      </c>
      <c r="D746" s="86" t="e">
        <f>IF(VLOOKUP(C746,'Diferencias patrimonio 2023'!$C$2:$C$1020,1,FALSE)=C746,"Encontrado", "No")</f>
        <v>#N/A</v>
      </c>
      <c r="E746" s="86" t="s">
        <v>8171</v>
      </c>
      <c r="F746" s="86" t="s">
        <v>501</v>
      </c>
      <c r="G746" s="86" t="s">
        <v>38</v>
      </c>
      <c r="H746" s="86" t="s">
        <v>2052</v>
      </c>
    </row>
    <row r="747" spans="1:8" ht="12.75">
      <c r="A747" s="86">
        <v>746</v>
      </c>
      <c r="B747" s="86" t="s">
        <v>8232</v>
      </c>
      <c r="C747" s="86" t="str">
        <f t="shared" si="0"/>
        <v>649577</v>
      </c>
      <c r="D747" s="86" t="e">
        <f>IF(VLOOKUP(C747,'Diferencias patrimonio 2023'!$C$2:$C$1020,1,FALSE)=C747,"Encontrado", "No")</f>
        <v>#N/A</v>
      </c>
      <c r="E747" s="86" t="s">
        <v>8171</v>
      </c>
      <c r="F747" s="86" t="s">
        <v>501</v>
      </c>
      <c r="G747" s="86" t="s">
        <v>38</v>
      </c>
      <c r="H747" s="86" t="s">
        <v>2052</v>
      </c>
    </row>
    <row r="748" spans="1:8" ht="12.75">
      <c r="A748" s="86">
        <v>747</v>
      </c>
      <c r="B748" s="86" t="s">
        <v>8233</v>
      </c>
      <c r="C748" s="86" t="str">
        <f t="shared" si="0"/>
        <v>649578</v>
      </c>
      <c r="D748" s="86" t="e">
        <f>IF(VLOOKUP(C748,'Diferencias patrimonio 2023'!$C$2:$C$1020,1,FALSE)=C748,"Encontrado", "No")</f>
        <v>#N/A</v>
      </c>
      <c r="E748" s="86" t="s">
        <v>8171</v>
      </c>
      <c r="F748" s="86" t="s">
        <v>501</v>
      </c>
      <c r="G748" s="86" t="s">
        <v>38</v>
      </c>
      <c r="H748" s="86" t="s">
        <v>2052</v>
      </c>
    </row>
    <row r="749" spans="1:8" ht="12.75">
      <c r="A749" s="86">
        <v>748</v>
      </c>
      <c r="B749" s="86" t="s">
        <v>8234</v>
      </c>
      <c r="C749" s="86" t="str">
        <f t="shared" si="0"/>
        <v>649579</v>
      </c>
      <c r="D749" s="86" t="e">
        <f>IF(VLOOKUP(C749,'Diferencias patrimonio 2023'!$C$2:$C$1020,1,FALSE)=C749,"Encontrado", "No")</f>
        <v>#N/A</v>
      </c>
      <c r="E749" s="86" t="s">
        <v>8171</v>
      </c>
      <c r="F749" s="86" t="s">
        <v>501</v>
      </c>
      <c r="G749" s="86" t="s">
        <v>38</v>
      </c>
      <c r="H749" s="86" t="s">
        <v>2052</v>
      </c>
    </row>
    <row r="750" spans="1:8" ht="12.75">
      <c r="A750" s="86">
        <v>749</v>
      </c>
      <c r="B750" s="86" t="s">
        <v>8235</v>
      </c>
      <c r="C750" s="86" t="str">
        <f t="shared" si="0"/>
        <v>649580</v>
      </c>
      <c r="D750" s="86" t="e">
        <f>IF(VLOOKUP(C750,'Diferencias patrimonio 2023'!$C$2:$C$1020,1,FALSE)=C750,"Encontrado", "No")</f>
        <v>#N/A</v>
      </c>
      <c r="E750" s="86" t="s">
        <v>8171</v>
      </c>
      <c r="F750" s="86" t="s">
        <v>501</v>
      </c>
      <c r="G750" s="86" t="s">
        <v>38</v>
      </c>
      <c r="H750" s="86" t="s">
        <v>2052</v>
      </c>
    </row>
    <row r="751" spans="1:8" ht="12.75" hidden="1">
      <c r="A751" s="86">
        <v>750</v>
      </c>
      <c r="B751" s="86" t="s">
        <v>2220</v>
      </c>
      <c r="C751" s="86" t="str">
        <f t="shared" si="0"/>
        <v>649581</v>
      </c>
      <c r="D751" s="86" t="str">
        <f>IF(VLOOKUP(C751,'Diferencias patrimonio 2023'!$C$2:$C$1020,1,FALSE)=C751,"Encontrado", "No")</f>
        <v>Encontrado</v>
      </c>
      <c r="E751" s="86" t="s">
        <v>8171</v>
      </c>
      <c r="F751" s="86" t="s">
        <v>93</v>
      </c>
      <c r="G751" s="86" t="s">
        <v>38</v>
      </c>
      <c r="H751" s="86" t="s">
        <v>2052</v>
      </c>
    </row>
    <row r="752" spans="1:8" ht="12.75" hidden="1">
      <c r="A752" s="86">
        <v>751</v>
      </c>
      <c r="B752" s="86" t="s">
        <v>2243</v>
      </c>
      <c r="C752" s="86" t="str">
        <f t="shared" si="0"/>
        <v>649582</v>
      </c>
      <c r="D752" s="86" t="str">
        <f>IF(VLOOKUP(C752,'Diferencias patrimonio 2023'!$C$2:$C$1020,1,FALSE)=C752,"Encontrado", "No")</f>
        <v>Encontrado</v>
      </c>
      <c r="E752" s="86" t="s">
        <v>8171</v>
      </c>
      <c r="F752" s="86" t="s">
        <v>151</v>
      </c>
      <c r="G752" s="86" t="s">
        <v>38</v>
      </c>
      <c r="H752" s="86" t="s">
        <v>2052</v>
      </c>
    </row>
    <row r="753" spans="1:8" ht="12.75" hidden="1">
      <c r="A753" s="86">
        <v>752</v>
      </c>
      <c r="B753" s="86" t="s">
        <v>2213</v>
      </c>
      <c r="C753" s="86" t="str">
        <f t="shared" si="0"/>
        <v>649583</v>
      </c>
      <c r="D753" s="86" t="str">
        <f>IF(VLOOKUP(C753,'Diferencias patrimonio 2023'!$C$2:$C$1020,1,FALSE)=C753,"Encontrado", "No")</f>
        <v>Encontrado</v>
      </c>
      <c r="E753" s="86" t="s">
        <v>8171</v>
      </c>
      <c r="F753" s="86" t="s">
        <v>62</v>
      </c>
      <c r="G753" s="86" t="s">
        <v>38</v>
      </c>
      <c r="H753" s="86" t="s">
        <v>2052</v>
      </c>
    </row>
    <row r="754" spans="1:8" ht="12.75">
      <c r="A754" s="86">
        <v>753</v>
      </c>
      <c r="B754" s="86" t="s">
        <v>8236</v>
      </c>
      <c r="C754" s="86" t="str">
        <f t="shared" si="0"/>
        <v>649584</v>
      </c>
      <c r="D754" s="86" t="e">
        <f>IF(VLOOKUP(C754,'Diferencias patrimonio 2023'!$C$2:$C$1020,1,FALSE)=C754,"Encontrado", "No")</f>
        <v>#N/A</v>
      </c>
      <c r="E754" s="86" t="s">
        <v>8171</v>
      </c>
      <c r="F754" s="86" t="s">
        <v>501</v>
      </c>
      <c r="G754" s="86" t="s">
        <v>38</v>
      </c>
      <c r="H754" s="86" t="s">
        <v>2052</v>
      </c>
    </row>
    <row r="755" spans="1:8" ht="12.75">
      <c r="A755" s="86">
        <v>754</v>
      </c>
      <c r="B755" s="86" t="s">
        <v>8237</v>
      </c>
      <c r="C755" s="86" t="str">
        <f t="shared" si="0"/>
        <v>649585</v>
      </c>
      <c r="D755" s="86" t="e">
        <f>IF(VLOOKUP(C755,'Diferencias patrimonio 2023'!$C$2:$C$1020,1,FALSE)=C755,"Encontrado", "No")</f>
        <v>#N/A</v>
      </c>
      <c r="E755" s="86" t="s">
        <v>8171</v>
      </c>
      <c r="F755" s="86" t="s">
        <v>501</v>
      </c>
      <c r="G755" s="86" t="s">
        <v>38</v>
      </c>
      <c r="H755" s="86" t="s">
        <v>2052</v>
      </c>
    </row>
    <row r="756" spans="1:8" ht="12.75">
      <c r="A756" s="86">
        <v>755</v>
      </c>
      <c r="B756" s="86" t="s">
        <v>8238</v>
      </c>
      <c r="C756" s="86" t="str">
        <f t="shared" si="0"/>
        <v>649586</v>
      </c>
      <c r="D756" s="86" t="e">
        <f>IF(VLOOKUP(C756,'Diferencias patrimonio 2023'!$C$2:$C$1020,1,FALSE)=C756,"Encontrado", "No")</f>
        <v>#N/A</v>
      </c>
      <c r="E756" s="86" t="s">
        <v>8171</v>
      </c>
      <c r="F756" s="86" t="s">
        <v>501</v>
      </c>
      <c r="G756" s="86" t="s">
        <v>38</v>
      </c>
      <c r="H756" s="86" t="s">
        <v>2052</v>
      </c>
    </row>
    <row r="757" spans="1:8" ht="12.75">
      <c r="A757" s="86">
        <v>756</v>
      </c>
      <c r="B757" s="86" t="s">
        <v>8239</v>
      </c>
      <c r="C757" s="86" t="str">
        <f t="shared" si="0"/>
        <v>649587</v>
      </c>
      <c r="D757" s="86" t="e">
        <f>IF(VLOOKUP(C757,'Diferencias patrimonio 2023'!$C$2:$C$1020,1,FALSE)=C757,"Encontrado", "No")</f>
        <v>#N/A</v>
      </c>
      <c r="E757" s="86" t="s">
        <v>8171</v>
      </c>
      <c r="F757" s="86" t="s">
        <v>501</v>
      </c>
      <c r="G757" s="86" t="s">
        <v>38</v>
      </c>
      <c r="H757" s="86" t="s">
        <v>2052</v>
      </c>
    </row>
    <row r="758" spans="1:8" ht="12.75">
      <c r="A758" s="86">
        <v>757</v>
      </c>
      <c r="B758" s="86" t="s">
        <v>8240</v>
      </c>
      <c r="C758" s="86" t="str">
        <f t="shared" si="0"/>
        <v>649588</v>
      </c>
      <c r="D758" s="86" t="e">
        <f>IF(VLOOKUP(C758,'Diferencias patrimonio 2023'!$C$2:$C$1020,1,FALSE)=C758,"Encontrado", "No")</f>
        <v>#N/A</v>
      </c>
      <c r="E758" s="86" t="s">
        <v>8171</v>
      </c>
      <c r="F758" s="86" t="s">
        <v>501</v>
      </c>
      <c r="G758" s="86" t="s">
        <v>38</v>
      </c>
      <c r="H758" s="86" t="s">
        <v>2052</v>
      </c>
    </row>
    <row r="759" spans="1:8" ht="12.75">
      <c r="A759" s="86">
        <v>758</v>
      </c>
      <c r="B759" s="86" t="s">
        <v>8241</v>
      </c>
      <c r="C759" s="86" t="str">
        <f t="shared" si="0"/>
        <v>649589</v>
      </c>
      <c r="D759" s="86" t="e">
        <f>IF(VLOOKUP(C759,'Diferencias patrimonio 2023'!$C$2:$C$1020,1,FALSE)=C759,"Encontrado", "No")</f>
        <v>#N/A</v>
      </c>
      <c r="E759" s="86" t="s">
        <v>8171</v>
      </c>
      <c r="F759" s="86" t="s">
        <v>501</v>
      </c>
      <c r="G759" s="86" t="s">
        <v>38</v>
      </c>
      <c r="H759" s="86" t="s">
        <v>2052</v>
      </c>
    </row>
    <row r="760" spans="1:8" ht="12.75">
      <c r="A760" s="86">
        <v>759</v>
      </c>
      <c r="B760" s="86" t="s">
        <v>8242</v>
      </c>
      <c r="C760" s="86" t="str">
        <f t="shared" si="0"/>
        <v>649590</v>
      </c>
      <c r="D760" s="86" t="e">
        <f>IF(VLOOKUP(C760,'Diferencias patrimonio 2023'!$C$2:$C$1020,1,FALSE)=C760,"Encontrado", "No")</f>
        <v>#N/A</v>
      </c>
      <c r="E760" s="86" t="s">
        <v>8171</v>
      </c>
      <c r="F760" s="86" t="s">
        <v>501</v>
      </c>
      <c r="G760" s="86" t="s">
        <v>38</v>
      </c>
      <c r="H760" s="86" t="s">
        <v>2052</v>
      </c>
    </row>
    <row r="761" spans="1:8" ht="12.75">
      <c r="A761" s="86">
        <v>760</v>
      </c>
      <c r="B761" s="86" t="s">
        <v>8243</v>
      </c>
      <c r="C761" s="86" t="str">
        <f t="shared" si="0"/>
        <v>649591</v>
      </c>
      <c r="D761" s="86" t="e">
        <f>IF(VLOOKUP(C761,'Diferencias patrimonio 2023'!$C$2:$C$1020,1,FALSE)=C761,"Encontrado", "No")</f>
        <v>#N/A</v>
      </c>
      <c r="E761" s="86" t="s">
        <v>8171</v>
      </c>
      <c r="F761" s="86" t="s">
        <v>501</v>
      </c>
      <c r="G761" s="86" t="s">
        <v>38</v>
      </c>
      <c r="H761" s="86" t="s">
        <v>2052</v>
      </c>
    </row>
    <row r="762" spans="1:8" ht="12.75">
      <c r="A762" s="86">
        <v>761</v>
      </c>
      <c r="B762" s="86" t="s">
        <v>8244</v>
      </c>
      <c r="C762" s="86" t="str">
        <f t="shared" si="0"/>
        <v>649592</v>
      </c>
      <c r="D762" s="86" t="e">
        <f>IF(VLOOKUP(C762,'Diferencias patrimonio 2023'!$C$2:$C$1020,1,FALSE)=C762,"Encontrado", "No")</f>
        <v>#N/A</v>
      </c>
      <c r="E762" s="86" t="s">
        <v>8171</v>
      </c>
      <c r="F762" s="86" t="s">
        <v>501</v>
      </c>
      <c r="G762" s="86" t="s">
        <v>38</v>
      </c>
      <c r="H762" s="86" t="s">
        <v>2052</v>
      </c>
    </row>
    <row r="763" spans="1:8" ht="12.75">
      <c r="A763" s="86">
        <v>762</v>
      </c>
      <c r="B763" s="86" t="s">
        <v>8245</v>
      </c>
      <c r="C763" s="86" t="str">
        <f t="shared" si="0"/>
        <v>649593</v>
      </c>
      <c r="D763" s="86" t="e">
        <f>IF(VLOOKUP(C763,'Diferencias patrimonio 2023'!$C$2:$C$1020,1,FALSE)=C763,"Encontrado", "No")</f>
        <v>#N/A</v>
      </c>
      <c r="E763" s="86" t="s">
        <v>8171</v>
      </c>
      <c r="F763" s="86" t="s">
        <v>501</v>
      </c>
      <c r="G763" s="86" t="s">
        <v>38</v>
      </c>
      <c r="H763" s="86" t="s">
        <v>2052</v>
      </c>
    </row>
    <row r="764" spans="1:8" ht="12.75">
      <c r="A764" s="86">
        <v>763</v>
      </c>
      <c r="B764" s="86" t="s">
        <v>8246</v>
      </c>
      <c r="C764" s="86" t="str">
        <f t="shared" si="0"/>
        <v>649594</v>
      </c>
      <c r="D764" s="86" t="e">
        <f>IF(VLOOKUP(C764,'Diferencias patrimonio 2023'!$C$2:$C$1020,1,FALSE)=C764,"Encontrado", "No")</f>
        <v>#N/A</v>
      </c>
      <c r="E764" s="86" t="s">
        <v>8171</v>
      </c>
      <c r="F764" s="86" t="s">
        <v>501</v>
      </c>
      <c r="G764" s="86" t="s">
        <v>38</v>
      </c>
      <c r="H764" s="86" t="s">
        <v>2052</v>
      </c>
    </row>
    <row r="765" spans="1:8" ht="12.75">
      <c r="A765" s="86">
        <v>764</v>
      </c>
      <c r="B765" s="86" t="s">
        <v>8247</v>
      </c>
      <c r="C765" s="86" t="str">
        <f t="shared" si="0"/>
        <v>649595</v>
      </c>
      <c r="D765" s="86" t="e">
        <f>IF(VLOOKUP(C765,'Diferencias patrimonio 2023'!$C$2:$C$1020,1,FALSE)=C765,"Encontrado", "No")</f>
        <v>#N/A</v>
      </c>
      <c r="E765" s="86" t="s">
        <v>8171</v>
      </c>
      <c r="F765" s="86" t="s">
        <v>501</v>
      </c>
      <c r="G765" s="86" t="s">
        <v>38</v>
      </c>
      <c r="H765" s="86" t="s">
        <v>2052</v>
      </c>
    </row>
    <row r="766" spans="1:8" ht="12.75">
      <c r="A766" s="86">
        <v>765</v>
      </c>
      <c r="B766" s="86" t="s">
        <v>8248</v>
      </c>
      <c r="C766" s="86" t="str">
        <f t="shared" si="0"/>
        <v>649596</v>
      </c>
      <c r="D766" s="86" t="e">
        <f>IF(VLOOKUP(C766,'Diferencias patrimonio 2023'!$C$2:$C$1020,1,FALSE)=C766,"Encontrado", "No")</f>
        <v>#N/A</v>
      </c>
      <c r="E766" s="86" t="s">
        <v>8171</v>
      </c>
      <c r="F766" s="86" t="s">
        <v>501</v>
      </c>
      <c r="G766" s="86" t="s">
        <v>38</v>
      </c>
      <c r="H766" s="86" t="s">
        <v>2052</v>
      </c>
    </row>
    <row r="767" spans="1:8" ht="12.75">
      <c r="A767" s="86">
        <v>766</v>
      </c>
      <c r="B767" s="86" t="s">
        <v>8249</v>
      </c>
      <c r="C767" s="86" t="str">
        <f t="shared" si="0"/>
        <v>649597</v>
      </c>
      <c r="D767" s="86" t="e">
        <f>IF(VLOOKUP(C767,'Diferencias patrimonio 2023'!$C$2:$C$1020,1,FALSE)=C767,"Encontrado", "No")</f>
        <v>#N/A</v>
      </c>
      <c r="E767" s="86" t="s">
        <v>8171</v>
      </c>
      <c r="F767" s="86" t="s">
        <v>501</v>
      </c>
      <c r="G767" s="86" t="s">
        <v>38</v>
      </c>
      <c r="H767" s="86" t="s">
        <v>2052</v>
      </c>
    </row>
    <row r="768" spans="1:8" ht="12.75">
      <c r="A768" s="86">
        <v>767</v>
      </c>
      <c r="B768" s="86" t="s">
        <v>8250</v>
      </c>
      <c r="C768" s="86" t="str">
        <f t="shared" si="0"/>
        <v>649598</v>
      </c>
      <c r="D768" s="86" t="e">
        <f>IF(VLOOKUP(C768,'Diferencias patrimonio 2023'!$C$2:$C$1020,1,FALSE)=C768,"Encontrado", "No")</f>
        <v>#N/A</v>
      </c>
      <c r="E768" s="86" t="s">
        <v>8171</v>
      </c>
      <c r="F768" s="86" t="s">
        <v>501</v>
      </c>
      <c r="G768" s="86" t="s">
        <v>38</v>
      </c>
      <c r="H768" s="86" t="s">
        <v>2052</v>
      </c>
    </row>
    <row r="769" spans="1:8" ht="12.75">
      <c r="A769" s="86">
        <v>768</v>
      </c>
      <c r="B769" s="86" t="s">
        <v>8251</v>
      </c>
      <c r="C769" s="86" t="str">
        <f t="shared" si="0"/>
        <v>649599</v>
      </c>
      <c r="D769" s="86" t="e">
        <f>IF(VLOOKUP(C769,'Diferencias patrimonio 2023'!$C$2:$C$1020,1,FALSE)=C769,"Encontrado", "No")</f>
        <v>#N/A</v>
      </c>
      <c r="E769" s="86" t="s">
        <v>8171</v>
      </c>
      <c r="F769" s="86" t="s">
        <v>501</v>
      </c>
      <c r="G769" s="86" t="s">
        <v>38</v>
      </c>
      <c r="H769" s="86" t="s">
        <v>2052</v>
      </c>
    </row>
    <row r="770" spans="1:8" ht="12.75">
      <c r="A770" s="86">
        <v>769</v>
      </c>
      <c r="B770" s="86" t="s">
        <v>8252</v>
      </c>
      <c r="C770" s="86" t="str">
        <f t="shared" si="0"/>
        <v>649600</v>
      </c>
      <c r="D770" s="86" t="e">
        <f>IF(VLOOKUP(C770,'Diferencias patrimonio 2023'!$C$2:$C$1020,1,FALSE)=C770,"Encontrado", "No")</f>
        <v>#N/A</v>
      </c>
      <c r="E770" s="86" t="s">
        <v>8171</v>
      </c>
      <c r="F770" s="86" t="s">
        <v>501</v>
      </c>
      <c r="G770" s="86" t="s">
        <v>38</v>
      </c>
      <c r="H770" s="86" t="s">
        <v>2052</v>
      </c>
    </row>
    <row r="771" spans="1:8" ht="12.75">
      <c r="A771" s="86">
        <v>770</v>
      </c>
      <c r="B771" s="86" t="s">
        <v>8253</v>
      </c>
      <c r="C771" s="86" t="str">
        <f t="shared" si="0"/>
        <v>649601</v>
      </c>
      <c r="D771" s="86" t="e">
        <f>IF(VLOOKUP(C771,'Diferencias patrimonio 2023'!$C$2:$C$1020,1,FALSE)=C771,"Encontrado", "No")</f>
        <v>#N/A</v>
      </c>
      <c r="E771" s="86" t="s">
        <v>8171</v>
      </c>
      <c r="F771" s="86" t="s">
        <v>501</v>
      </c>
      <c r="G771" s="86" t="s">
        <v>38</v>
      </c>
      <c r="H771" s="86" t="s">
        <v>2052</v>
      </c>
    </row>
    <row r="772" spans="1:8" ht="12.75">
      <c r="A772" s="86">
        <v>771</v>
      </c>
      <c r="B772" s="86" t="s">
        <v>8254</v>
      </c>
      <c r="C772" s="86" t="str">
        <f t="shared" si="0"/>
        <v>649602</v>
      </c>
      <c r="D772" s="86" t="e">
        <f>IF(VLOOKUP(C772,'Diferencias patrimonio 2023'!$C$2:$C$1020,1,FALSE)=C772,"Encontrado", "No")</f>
        <v>#N/A</v>
      </c>
      <c r="E772" s="86" t="s">
        <v>8171</v>
      </c>
      <c r="F772" s="86" t="s">
        <v>501</v>
      </c>
      <c r="G772" s="86" t="s">
        <v>38</v>
      </c>
      <c r="H772" s="86" t="s">
        <v>2052</v>
      </c>
    </row>
    <row r="773" spans="1:8" ht="12.75">
      <c r="A773" s="86">
        <v>772</v>
      </c>
      <c r="B773" s="86" t="s">
        <v>8255</v>
      </c>
      <c r="C773" s="86" t="str">
        <f t="shared" si="0"/>
        <v>649603</v>
      </c>
      <c r="D773" s="86" t="e">
        <f>IF(VLOOKUP(C773,'Diferencias patrimonio 2023'!$C$2:$C$1020,1,FALSE)=C773,"Encontrado", "No")</f>
        <v>#N/A</v>
      </c>
      <c r="E773" s="86" t="s">
        <v>8171</v>
      </c>
      <c r="F773" s="86" t="s">
        <v>501</v>
      </c>
      <c r="G773" s="86" t="s">
        <v>38</v>
      </c>
      <c r="H773" s="86" t="s">
        <v>2052</v>
      </c>
    </row>
    <row r="774" spans="1:8" ht="12.75">
      <c r="A774" s="86">
        <v>773</v>
      </c>
      <c r="B774" s="86" t="s">
        <v>8256</v>
      </c>
      <c r="C774" s="86" t="str">
        <f t="shared" si="0"/>
        <v>649604</v>
      </c>
      <c r="D774" s="86" t="e">
        <f>IF(VLOOKUP(C774,'Diferencias patrimonio 2023'!$C$2:$C$1020,1,FALSE)=C774,"Encontrado", "No")</f>
        <v>#N/A</v>
      </c>
      <c r="E774" s="86" t="s">
        <v>8171</v>
      </c>
      <c r="F774" s="86" t="s">
        <v>501</v>
      </c>
      <c r="G774" s="86" t="s">
        <v>38</v>
      </c>
      <c r="H774" s="86" t="s">
        <v>2052</v>
      </c>
    </row>
    <row r="775" spans="1:8" ht="12.75">
      <c r="A775" s="86">
        <v>774</v>
      </c>
      <c r="B775" s="86" t="s">
        <v>8257</v>
      </c>
      <c r="C775" s="86" t="str">
        <f t="shared" si="0"/>
        <v>649605</v>
      </c>
      <c r="D775" s="86" t="e">
        <f>IF(VLOOKUP(C775,'Diferencias patrimonio 2023'!$C$2:$C$1020,1,FALSE)=C775,"Encontrado", "No")</f>
        <v>#N/A</v>
      </c>
      <c r="E775" s="86" t="s">
        <v>8171</v>
      </c>
      <c r="F775" s="86" t="s">
        <v>501</v>
      </c>
      <c r="G775" s="86" t="s">
        <v>38</v>
      </c>
      <c r="H775" s="86" t="s">
        <v>2052</v>
      </c>
    </row>
    <row r="776" spans="1:8" ht="12.75">
      <c r="A776" s="86">
        <v>775</v>
      </c>
      <c r="B776" s="86" t="s">
        <v>8258</v>
      </c>
      <c r="C776" s="86" t="str">
        <f t="shared" si="0"/>
        <v>649606</v>
      </c>
      <c r="D776" s="86" t="e">
        <f>IF(VLOOKUP(C776,'Diferencias patrimonio 2023'!$C$2:$C$1020,1,FALSE)=C776,"Encontrado", "No")</f>
        <v>#N/A</v>
      </c>
      <c r="E776" s="86" t="s">
        <v>8171</v>
      </c>
      <c r="F776" s="86" t="s">
        <v>501</v>
      </c>
      <c r="G776" s="86" t="s">
        <v>38</v>
      </c>
      <c r="H776" s="86" t="s">
        <v>2052</v>
      </c>
    </row>
    <row r="777" spans="1:8" ht="12.75">
      <c r="A777" s="86">
        <v>776</v>
      </c>
      <c r="B777" s="86" t="s">
        <v>8259</v>
      </c>
      <c r="C777" s="86" t="str">
        <f t="shared" si="0"/>
        <v>649607</v>
      </c>
      <c r="D777" s="86" t="e">
        <f>IF(VLOOKUP(C777,'Diferencias patrimonio 2023'!$C$2:$C$1020,1,FALSE)=C777,"Encontrado", "No")</f>
        <v>#N/A</v>
      </c>
      <c r="E777" s="86" t="s">
        <v>8171</v>
      </c>
      <c r="F777" s="86" t="s">
        <v>501</v>
      </c>
      <c r="G777" s="86" t="s">
        <v>38</v>
      </c>
      <c r="H777" s="86" t="s">
        <v>2052</v>
      </c>
    </row>
    <row r="778" spans="1:8" ht="12.75">
      <c r="A778" s="86">
        <v>777</v>
      </c>
      <c r="B778" s="86" t="s">
        <v>8260</v>
      </c>
      <c r="C778" s="86" t="str">
        <f t="shared" si="0"/>
        <v>649608</v>
      </c>
      <c r="D778" s="86" t="e">
        <f>IF(VLOOKUP(C778,'Diferencias patrimonio 2023'!$C$2:$C$1020,1,FALSE)=C778,"Encontrado", "No")</f>
        <v>#N/A</v>
      </c>
      <c r="E778" s="86" t="s">
        <v>8171</v>
      </c>
      <c r="F778" s="86" t="s">
        <v>501</v>
      </c>
      <c r="G778" s="86" t="s">
        <v>38</v>
      </c>
      <c r="H778" s="86" t="s">
        <v>2052</v>
      </c>
    </row>
    <row r="779" spans="1:8" ht="12.75">
      <c r="A779" s="86">
        <v>778</v>
      </c>
      <c r="B779" s="86" t="s">
        <v>8261</v>
      </c>
      <c r="C779" s="86" t="str">
        <f t="shared" si="0"/>
        <v>649609</v>
      </c>
      <c r="D779" s="86" t="e">
        <f>IF(VLOOKUP(C779,'Diferencias patrimonio 2023'!$C$2:$C$1020,1,FALSE)=C779,"Encontrado", "No")</f>
        <v>#N/A</v>
      </c>
      <c r="E779" s="86" t="s">
        <v>8171</v>
      </c>
      <c r="F779" s="86" t="s">
        <v>501</v>
      </c>
      <c r="G779" s="86" t="s">
        <v>38</v>
      </c>
      <c r="H779" s="86" t="s">
        <v>2052</v>
      </c>
    </row>
    <row r="780" spans="1:8" ht="12.75">
      <c r="A780" s="86">
        <v>779</v>
      </c>
      <c r="B780" s="86" t="s">
        <v>8262</v>
      </c>
      <c r="C780" s="86" t="str">
        <f t="shared" si="0"/>
        <v>649610</v>
      </c>
      <c r="D780" s="86" t="e">
        <f>IF(VLOOKUP(C780,'Diferencias patrimonio 2023'!$C$2:$C$1020,1,FALSE)=C780,"Encontrado", "No")</f>
        <v>#N/A</v>
      </c>
      <c r="E780" s="86" t="s">
        <v>8171</v>
      </c>
      <c r="F780" s="86" t="s">
        <v>501</v>
      </c>
      <c r="G780" s="86" t="s">
        <v>38</v>
      </c>
      <c r="H780" s="86" t="s">
        <v>2052</v>
      </c>
    </row>
    <row r="781" spans="1:8" ht="12.75">
      <c r="A781" s="86">
        <v>780</v>
      </c>
      <c r="B781" s="86" t="s">
        <v>8263</v>
      </c>
      <c r="C781" s="86" t="str">
        <f t="shared" si="0"/>
        <v>649611</v>
      </c>
      <c r="D781" s="86" t="e">
        <f>IF(VLOOKUP(C781,'Diferencias patrimonio 2023'!$C$2:$C$1020,1,FALSE)=C781,"Encontrado", "No")</f>
        <v>#N/A</v>
      </c>
      <c r="E781" s="86" t="s">
        <v>8171</v>
      </c>
      <c r="F781" s="86" t="s">
        <v>501</v>
      </c>
      <c r="G781" s="86" t="s">
        <v>38</v>
      </c>
      <c r="H781" s="86" t="s">
        <v>2052</v>
      </c>
    </row>
    <row r="782" spans="1:8" ht="12.75">
      <c r="A782" s="86">
        <v>781</v>
      </c>
      <c r="B782" s="86" t="s">
        <v>8264</v>
      </c>
      <c r="C782" s="86" t="str">
        <f t="shared" si="0"/>
        <v>649612</v>
      </c>
      <c r="D782" s="86" t="e">
        <f>IF(VLOOKUP(C782,'Diferencias patrimonio 2023'!$C$2:$C$1020,1,FALSE)=C782,"Encontrado", "No")</f>
        <v>#N/A</v>
      </c>
      <c r="E782" s="86" t="s">
        <v>8171</v>
      </c>
      <c r="F782" s="86" t="s">
        <v>501</v>
      </c>
      <c r="G782" s="86" t="s">
        <v>38</v>
      </c>
      <c r="H782" s="86" t="s">
        <v>2052</v>
      </c>
    </row>
    <row r="783" spans="1:8" ht="12.75">
      <c r="A783" s="86">
        <v>782</v>
      </c>
      <c r="B783" s="86" t="s">
        <v>8265</v>
      </c>
      <c r="C783" s="86" t="str">
        <f t="shared" si="0"/>
        <v>649613</v>
      </c>
      <c r="D783" s="86" t="e">
        <f>IF(VLOOKUP(C783,'Diferencias patrimonio 2023'!$C$2:$C$1020,1,FALSE)=C783,"Encontrado", "No")</f>
        <v>#N/A</v>
      </c>
      <c r="E783" s="86" t="s">
        <v>8171</v>
      </c>
      <c r="F783" s="86" t="s">
        <v>501</v>
      </c>
      <c r="G783" s="86" t="s">
        <v>38</v>
      </c>
      <c r="H783" s="86" t="s">
        <v>2052</v>
      </c>
    </row>
    <row r="784" spans="1:8" ht="12.75">
      <c r="A784" s="86">
        <v>783</v>
      </c>
      <c r="B784" s="86" t="s">
        <v>8266</v>
      </c>
      <c r="C784" s="86" t="str">
        <f t="shared" si="0"/>
        <v>649614</v>
      </c>
      <c r="D784" s="86" t="e">
        <f>IF(VLOOKUP(C784,'Diferencias patrimonio 2023'!$C$2:$C$1020,1,FALSE)=C784,"Encontrado", "No")</f>
        <v>#N/A</v>
      </c>
      <c r="E784" s="86" t="s">
        <v>8171</v>
      </c>
      <c r="F784" s="86" t="s">
        <v>501</v>
      </c>
      <c r="G784" s="86" t="s">
        <v>38</v>
      </c>
      <c r="H784" s="86" t="s">
        <v>2052</v>
      </c>
    </row>
    <row r="785" spans="1:8" ht="12.75">
      <c r="A785" s="86">
        <v>784</v>
      </c>
      <c r="B785" s="86" t="s">
        <v>8267</v>
      </c>
      <c r="C785" s="86" t="str">
        <f t="shared" si="0"/>
        <v>649615</v>
      </c>
      <c r="D785" s="86" t="e">
        <f>IF(VLOOKUP(C785,'Diferencias patrimonio 2023'!$C$2:$C$1020,1,FALSE)=C785,"Encontrado", "No")</f>
        <v>#N/A</v>
      </c>
      <c r="E785" s="86" t="s">
        <v>8171</v>
      </c>
      <c r="F785" s="86" t="s">
        <v>501</v>
      </c>
      <c r="G785" s="86" t="s">
        <v>38</v>
      </c>
      <c r="H785" s="86" t="s">
        <v>2052</v>
      </c>
    </row>
    <row r="786" spans="1:8" ht="12.75">
      <c r="A786" s="86">
        <v>785</v>
      </c>
      <c r="B786" s="86" t="s">
        <v>8268</v>
      </c>
      <c r="C786" s="86" t="str">
        <f t="shared" si="0"/>
        <v>649616</v>
      </c>
      <c r="D786" s="86" t="e">
        <f>IF(VLOOKUP(C786,'Diferencias patrimonio 2023'!$C$2:$C$1020,1,FALSE)=C786,"Encontrado", "No")</f>
        <v>#N/A</v>
      </c>
      <c r="E786" s="86" t="s">
        <v>8171</v>
      </c>
      <c r="F786" s="86" t="s">
        <v>501</v>
      </c>
      <c r="G786" s="86" t="s">
        <v>38</v>
      </c>
      <c r="H786" s="86" t="s">
        <v>2052</v>
      </c>
    </row>
    <row r="787" spans="1:8" ht="12.75">
      <c r="A787" s="86">
        <v>786</v>
      </c>
      <c r="B787" s="86" t="s">
        <v>8269</v>
      </c>
      <c r="C787" s="86" t="str">
        <f t="shared" si="0"/>
        <v>649617</v>
      </c>
      <c r="D787" s="86" t="e">
        <f>IF(VLOOKUP(C787,'Diferencias patrimonio 2023'!$C$2:$C$1020,1,FALSE)=C787,"Encontrado", "No")</f>
        <v>#N/A</v>
      </c>
      <c r="E787" s="86" t="s">
        <v>8171</v>
      </c>
      <c r="F787" s="86" t="s">
        <v>501</v>
      </c>
      <c r="G787" s="86" t="s">
        <v>38</v>
      </c>
      <c r="H787" s="86" t="s">
        <v>2052</v>
      </c>
    </row>
    <row r="788" spans="1:8" ht="12.75">
      <c r="A788" s="86">
        <v>787</v>
      </c>
      <c r="B788" s="86" t="s">
        <v>8270</v>
      </c>
      <c r="C788" s="86" t="str">
        <f t="shared" si="0"/>
        <v>649618</v>
      </c>
      <c r="D788" s="86" t="e">
        <f>IF(VLOOKUP(C788,'Diferencias patrimonio 2023'!$C$2:$C$1020,1,FALSE)=C788,"Encontrado", "No")</f>
        <v>#N/A</v>
      </c>
      <c r="E788" s="86" t="s">
        <v>8171</v>
      </c>
      <c r="F788" s="86" t="s">
        <v>501</v>
      </c>
      <c r="G788" s="86" t="s">
        <v>38</v>
      </c>
      <c r="H788" s="86" t="s">
        <v>2052</v>
      </c>
    </row>
    <row r="789" spans="1:8" ht="12.75">
      <c r="A789" s="86">
        <v>788</v>
      </c>
      <c r="B789" s="86" t="s">
        <v>8271</v>
      </c>
      <c r="C789" s="86" t="str">
        <f t="shared" si="0"/>
        <v>649619</v>
      </c>
      <c r="D789" s="86" t="e">
        <f>IF(VLOOKUP(C789,'Diferencias patrimonio 2023'!$C$2:$C$1020,1,FALSE)=C789,"Encontrado", "No")</f>
        <v>#N/A</v>
      </c>
      <c r="E789" s="86" t="s">
        <v>8171</v>
      </c>
      <c r="F789" s="86" t="s">
        <v>501</v>
      </c>
      <c r="G789" s="86" t="s">
        <v>38</v>
      </c>
      <c r="H789" s="86" t="s">
        <v>2052</v>
      </c>
    </row>
    <row r="790" spans="1:8" ht="12.75">
      <c r="A790" s="86">
        <v>789</v>
      </c>
      <c r="B790" s="86" t="s">
        <v>8272</v>
      </c>
      <c r="C790" s="86" t="str">
        <f t="shared" si="0"/>
        <v>649620</v>
      </c>
      <c r="D790" s="86" t="e">
        <f>IF(VLOOKUP(C790,'Diferencias patrimonio 2023'!$C$2:$C$1020,1,FALSE)=C790,"Encontrado", "No")</f>
        <v>#N/A</v>
      </c>
      <c r="E790" s="86" t="s">
        <v>8171</v>
      </c>
      <c r="F790" s="86" t="s">
        <v>501</v>
      </c>
      <c r="G790" s="86" t="s">
        <v>38</v>
      </c>
      <c r="H790" s="86" t="s">
        <v>2052</v>
      </c>
    </row>
    <row r="791" spans="1:8" ht="12.75">
      <c r="A791" s="86">
        <v>790</v>
      </c>
      <c r="B791" s="86" t="s">
        <v>8273</v>
      </c>
      <c r="C791" s="86" t="str">
        <f t="shared" si="0"/>
        <v>649621</v>
      </c>
      <c r="D791" s="86" t="e">
        <f>IF(VLOOKUP(C791,'Diferencias patrimonio 2023'!$C$2:$C$1020,1,FALSE)=C791,"Encontrado", "No")</f>
        <v>#N/A</v>
      </c>
      <c r="E791" s="86" t="s">
        <v>8171</v>
      </c>
      <c r="F791" s="86" t="s">
        <v>501</v>
      </c>
      <c r="G791" s="86" t="s">
        <v>38</v>
      </c>
      <c r="H791" s="86" t="s">
        <v>2052</v>
      </c>
    </row>
    <row r="792" spans="1:8" ht="12.75">
      <c r="A792" s="86">
        <v>791</v>
      </c>
      <c r="B792" s="86" t="s">
        <v>8274</v>
      </c>
      <c r="C792" s="86" t="str">
        <f t="shared" si="0"/>
        <v>649622</v>
      </c>
      <c r="D792" s="86" t="e">
        <f>IF(VLOOKUP(C792,'Diferencias patrimonio 2023'!$C$2:$C$1020,1,FALSE)=C792,"Encontrado", "No")</f>
        <v>#N/A</v>
      </c>
      <c r="E792" s="86" t="s">
        <v>8171</v>
      </c>
      <c r="F792" s="86" t="s">
        <v>501</v>
      </c>
      <c r="G792" s="86" t="s">
        <v>38</v>
      </c>
      <c r="H792" s="86" t="s">
        <v>2052</v>
      </c>
    </row>
    <row r="793" spans="1:8" ht="12.75">
      <c r="A793" s="86">
        <v>792</v>
      </c>
      <c r="B793" s="86" t="s">
        <v>8275</v>
      </c>
      <c r="C793" s="86" t="str">
        <f t="shared" si="0"/>
        <v>649623</v>
      </c>
      <c r="D793" s="86" t="e">
        <f>IF(VLOOKUP(C793,'Diferencias patrimonio 2023'!$C$2:$C$1020,1,FALSE)=C793,"Encontrado", "No")</f>
        <v>#N/A</v>
      </c>
      <c r="E793" s="86" t="s">
        <v>8171</v>
      </c>
      <c r="F793" s="86" t="s">
        <v>501</v>
      </c>
      <c r="G793" s="86" t="s">
        <v>38</v>
      </c>
      <c r="H793" s="86" t="s">
        <v>2052</v>
      </c>
    </row>
    <row r="794" spans="1:8" ht="12.75">
      <c r="A794" s="86">
        <v>793</v>
      </c>
      <c r="B794" s="86" t="s">
        <v>8276</v>
      </c>
      <c r="C794" s="86" t="str">
        <f t="shared" si="0"/>
        <v>649624</v>
      </c>
      <c r="D794" s="86" t="e">
        <f>IF(VLOOKUP(C794,'Diferencias patrimonio 2023'!$C$2:$C$1020,1,FALSE)=C794,"Encontrado", "No")</f>
        <v>#N/A</v>
      </c>
      <c r="E794" s="86" t="s">
        <v>8171</v>
      </c>
      <c r="F794" s="86" t="s">
        <v>501</v>
      </c>
      <c r="G794" s="86" t="s">
        <v>38</v>
      </c>
      <c r="H794" s="86" t="s">
        <v>2052</v>
      </c>
    </row>
    <row r="795" spans="1:8" ht="12.75">
      <c r="A795" s="86">
        <v>794</v>
      </c>
      <c r="B795" s="86" t="s">
        <v>8277</v>
      </c>
      <c r="C795" s="86" t="str">
        <f t="shared" si="0"/>
        <v>649625</v>
      </c>
      <c r="D795" s="86" t="e">
        <f>IF(VLOOKUP(C795,'Diferencias patrimonio 2023'!$C$2:$C$1020,1,FALSE)=C795,"Encontrado", "No")</f>
        <v>#N/A</v>
      </c>
      <c r="E795" s="86" t="s">
        <v>8171</v>
      </c>
      <c r="F795" s="86" t="s">
        <v>501</v>
      </c>
      <c r="G795" s="86" t="s">
        <v>38</v>
      </c>
      <c r="H795" s="86" t="s">
        <v>2052</v>
      </c>
    </row>
    <row r="796" spans="1:8" ht="12.75">
      <c r="A796" s="86">
        <v>795</v>
      </c>
      <c r="B796" s="86" t="s">
        <v>8278</v>
      </c>
      <c r="C796" s="86" t="str">
        <f t="shared" si="0"/>
        <v>649626</v>
      </c>
      <c r="D796" s="86" t="e">
        <f>IF(VLOOKUP(C796,'Diferencias patrimonio 2023'!$C$2:$C$1020,1,FALSE)=C796,"Encontrado", "No")</f>
        <v>#N/A</v>
      </c>
      <c r="E796" s="86" t="s">
        <v>8171</v>
      </c>
      <c r="F796" s="86" t="s">
        <v>501</v>
      </c>
      <c r="G796" s="86" t="s">
        <v>38</v>
      </c>
      <c r="H796" s="86" t="s">
        <v>2052</v>
      </c>
    </row>
    <row r="797" spans="1:8" ht="12.75">
      <c r="A797" s="86">
        <v>796</v>
      </c>
      <c r="B797" s="86" t="s">
        <v>8279</v>
      </c>
      <c r="C797" s="86" t="str">
        <f t="shared" si="0"/>
        <v>649627</v>
      </c>
      <c r="D797" s="86" t="e">
        <f>IF(VLOOKUP(C797,'Diferencias patrimonio 2023'!$C$2:$C$1020,1,FALSE)=C797,"Encontrado", "No")</f>
        <v>#N/A</v>
      </c>
      <c r="E797" s="86" t="s">
        <v>8171</v>
      </c>
      <c r="F797" s="86" t="s">
        <v>501</v>
      </c>
      <c r="G797" s="86" t="s">
        <v>38</v>
      </c>
      <c r="H797" s="86" t="s">
        <v>2052</v>
      </c>
    </row>
    <row r="798" spans="1:8" ht="12.75" hidden="1">
      <c r="A798" s="86">
        <v>797</v>
      </c>
      <c r="B798" s="86" t="s">
        <v>1982</v>
      </c>
      <c r="C798" s="86" t="str">
        <f t="shared" si="0"/>
        <v>649628</v>
      </c>
      <c r="D798" s="86" t="str">
        <f>IF(VLOOKUP(C798,'Diferencias patrimonio 2023'!$C$2:$C$1020,1,FALSE)=C798,"Encontrado", "No")</f>
        <v>Encontrado</v>
      </c>
      <c r="E798" s="86" t="s">
        <v>8171</v>
      </c>
      <c r="F798" s="86" t="s">
        <v>7615</v>
      </c>
      <c r="G798" s="86" t="s">
        <v>38</v>
      </c>
      <c r="H798" s="86" t="s">
        <v>7428</v>
      </c>
    </row>
    <row r="799" spans="1:8" ht="12.75" hidden="1">
      <c r="A799" s="86">
        <v>798</v>
      </c>
      <c r="B799" s="86" t="s">
        <v>2003</v>
      </c>
      <c r="C799" s="86" t="str">
        <f t="shared" si="0"/>
        <v>649629</v>
      </c>
      <c r="D799" s="86" t="str">
        <f>IF(VLOOKUP(C799,'Diferencias patrimonio 2023'!$C$2:$C$1020,1,FALSE)=C799,"Encontrado", "No")</f>
        <v>Encontrado</v>
      </c>
      <c r="E799" s="86" t="s">
        <v>8171</v>
      </c>
      <c r="F799" s="86" t="s">
        <v>116</v>
      </c>
      <c r="G799" s="86" t="s">
        <v>38</v>
      </c>
      <c r="H799" s="86" t="s">
        <v>7428</v>
      </c>
    </row>
    <row r="800" spans="1:8" ht="12.75" hidden="1">
      <c r="A800" s="86">
        <v>799</v>
      </c>
      <c r="B800" s="86" t="s">
        <v>8280</v>
      </c>
      <c r="C800" s="86" t="str">
        <f t="shared" si="0"/>
        <v>649630</v>
      </c>
      <c r="D800" s="86" t="str">
        <f>IF(VLOOKUP(C800,'Diferencias patrimonio 2023'!$C$2:$C$1020,1,FALSE)=C800,"Encontrado", "No")</f>
        <v>Encontrado</v>
      </c>
      <c r="E800" s="86" t="s">
        <v>8171</v>
      </c>
      <c r="F800" s="86" t="s">
        <v>501</v>
      </c>
      <c r="G800" s="86" t="s">
        <v>38</v>
      </c>
      <c r="H800" s="86" t="s">
        <v>1597</v>
      </c>
    </row>
    <row r="801" spans="1:8" ht="12.75" hidden="1">
      <c r="A801" s="86">
        <v>800</v>
      </c>
      <c r="B801" s="86" t="s">
        <v>8281</v>
      </c>
      <c r="C801" s="86" t="str">
        <f t="shared" si="0"/>
        <v>649631</v>
      </c>
      <c r="D801" s="86" t="str">
        <f>IF(VLOOKUP(C801,'Diferencias patrimonio 2023'!$C$2:$C$1020,1,FALSE)=C801,"Encontrado", "No")</f>
        <v>Encontrado</v>
      </c>
      <c r="E801" s="86" t="s">
        <v>8171</v>
      </c>
      <c r="F801" s="86" t="s">
        <v>43</v>
      </c>
      <c r="G801" s="86" t="s">
        <v>38</v>
      </c>
      <c r="H801" s="86" t="s">
        <v>1597</v>
      </c>
    </row>
    <row r="802" spans="1:8" ht="12.75" hidden="1">
      <c r="A802" s="86">
        <v>801</v>
      </c>
      <c r="B802" s="86" t="s">
        <v>8282</v>
      </c>
      <c r="C802" s="86" t="str">
        <f t="shared" si="0"/>
        <v>649632</v>
      </c>
      <c r="D802" s="86" t="str">
        <f>IF(VLOOKUP(C802,'Diferencias patrimonio 2023'!$C$2:$C$1020,1,FALSE)=C802,"Encontrado", "No")</f>
        <v>Encontrado</v>
      </c>
      <c r="E802" s="86" t="s">
        <v>8171</v>
      </c>
      <c r="F802" s="86" t="s">
        <v>116</v>
      </c>
      <c r="G802" s="86" t="s">
        <v>38</v>
      </c>
      <c r="H802" s="86" t="s">
        <v>1597</v>
      </c>
    </row>
    <row r="803" spans="1:8" ht="12.75" hidden="1">
      <c r="A803" s="86">
        <v>802</v>
      </c>
      <c r="B803" s="86" t="s">
        <v>7307</v>
      </c>
      <c r="C803" s="86" t="str">
        <f t="shared" si="0"/>
        <v>649633</v>
      </c>
      <c r="D803" s="86" t="str">
        <f>IF(VLOOKUP(C803,'Diferencias patrimonio 2023'!$C$2:$C$1020,1,FALSE)=C803,"Encontrado", "No")</f>
        <v>Encontrado</v>
      </c>
      <c r="E803" s="86" t="s">
        <v>8171</v>
      </c>
      <c r="F803" s="86" t="s">
        <v>29</v>
      </c>
      <c r="G803" s="86" t="s">
        <v>38</v>
      </c>
      <c r="H803" s="86" t="s">
        <v>1597</v>
      </c>
    </row>
    <row r="804" spans="1:8" ht="12.75">
      <c r="A804" s="86">
        <v>803</v>
      </c>
      <c r="B804" s="86" t="s">
        <v>7274</v>
      </c>
      <c r="C804" s="86" t="str">
        <f t="shared" si="0"/>
        <v>649634</v>
      </c>
      <c r="D804" s="86" t="e">
        <f>IF(VLOOKUP(C804,'Diferencias patrimonio 2023'!$C$2:$C$1020,1,FALSE)=C804,"Encontrado", "No")</f>
        <v>#N/A</v>
      </c>
      <c r="E804" s="86" t="s">
        <v>8171</v>
      </c>
      <c r="F804" s="86" t="s">
        <v>8207</v>
      </c>
      <c r="G804" s="86" t="s">
        <v>38</v>
      </c>
      <c r="H804" s="86" t="s">
        <v>1597</v>
      </c>
    </row>
    <row r="805" spans="1:8" ht="12.75">
      <c r="A805" s="86">
        <v>804</v>
      </c>
      <c r="B805" s="86" t="s">
        <v>8283</v>
      </c>
      <c r="C805" s="86" t="str">
        <f t="shared" si="0"/>
        <v>649635</v>
      </c>
      <c r="D805" s="86" t="e">
        <f>IF(VLOOKUP(C805,'Diferencias patrimonio 2023'!$C$2:$C$1020,1,FALSE)=C805,"Encontrado", "No")</f>
        <v>#N/A</v>
      </c>
      <c r="E805" s="86" t="s">
        <v>8171</v>
      </c>
      <c r="F805" s="86" t="s">
        <v>8054</v>
      </c>
      <c r="G805" s="86" t="s">
        <v>38</v>
      </c>
      <c r="H805" s="86" t="s">
        <v>1597</v>
      </c>
    </row>
    <row r="806" spans="1:8" ht="12.75" hidden="1">
      <c r="A806" s="86">
        <v>805</v>
      </c>
      <c r="B806" s="86" t="s">
        <v>1848</v>
      </c>
      <c r="C806" s="86" t="str">
        <f t="shared" si="0"/>
        <v>649636</v>
      </c>
      <c r="D806" s="86" t="str">
        <f>IF(VLOOKUP(C806,'Diferencias patrimonio 2023'!$C$2:$C$1020,1,FALSE)=C806,"Encontrado", "No")</f>
        <v>Encontrado</v>
      </c>
      <c r="E806" s="86" t="s">
        <v>8171</v>
      </c>
      <c r="F806" s="86" t="s">
        <v>93</v>
      </c>
      <c r="G806" s="86" t="s">
        <v>38</v>
      </c>
      <c r="H806" s="86" t="s">
        <v>1890</v>
      </c>
    </row>
    <row r="807" spans="1:8" ht="12.75" hidden="1">
      <c r="A807" s="86">
        <v>806</v>
      </c>
      <c r="B807" s="86" t="s">
        <v>2206</v>
      </c>
      <c r="C807" s="86" t="str">
        <f t="shared" si="0"/>
        <v>649637</v>
      </c>
      <c r="D807" s="86" t="str">
        <f>IF(VLOOKUP(C807,'Diferencias patrimonio 2023'!$C$2:$C$1020,1,FALSE)=C807,"Encontrado", "No")</f>
        <v>Encontrado</v>
      </c>
      <c r="E807" s="86" t="s">
        <v>8171</v>
      </c>
      <c r="F807" s="86" t="s">
        <v>378</v>
      </c>
      <c r="G807" s="86" t="s">
        <v>38</v>
      </c>
      <c r="H807" s="86" t="s">
        <v>2052</v>
      </c>
    </row>
    <row r="808" spans="1:8" ht="12.75">
      <c r="A808" s="86">
        <v>807</v>
      </c>
      <c r="B808" s="86" t="s">
        <v>8284</v>
      </c>
      <c r="C808" s="86" t="str">
        <f t="shared" si="0"/>
        <v>649638</v>
      </c>
      <c r="D808" s="86" t="e">
        <f>IF(VLOOKUP(C808,'Diferencias patrimonio 2023'!$C$2:$C$1020,1,FALSE)=C808,"Encontrado", "No")</f>
        <v>#N/A</v>
      </c>
      <c r="E808" s="86" t="s">
        <v>8171</v>
      </c>
      <c r="F808" s="86" t="s">
        <v>501</v>
      </c>
      <c r="G808" s="86" t="s">
        <v>38</v>
      </c>
      <c r="H808" s="86" t="s">
        <v>2052</v>
      </c>
    </row>
    <row r="809" spans="1:8" ht="12.75">
      <c r="A809" s="86">
        <v>808</v>
      </c>
      <c r="B809" s="86" t="s">
        <v>8285</v>
      </c>
      <c r="C809" s="86" t="str">
        <f t="shared" si="0"/>
        <v>649639</v>
      </c>
      <c r="D809" s="86" t="e">
        <f>IF(VLOOKUP(C809,'Diferencias patrimonio 2023'!$C$2:$C$1020,1,FALSE)=C809,"Encontrado", "No")</f>
        <v>#N/A</v>
      </c>
      <c r="E809" s="86" t="s">
        <v>8171</v>
      </c>
      <c r="F809" s="86" t="s">
        <v>501</v>
      </c>
      <c r="G809" s="86" t="s">
        <v>38</v>
      </c>
      <c r="H809" s="86" t="s">
        <v>2052</v>
      </c>
    </row>
    <row r="810" spans="1:8" ht="12.75" hidden="1">
      <c r="A810" s="86">
        <v>809</v>
      </c>
      <c r="B810" s="86" t="s">
        <v>2256</v>
      </c>
      <c r="C810" s="86" t="str">
        <f t="shared" si="0"/>
        <v>649640</v>
      </c>
      <c r="D810" s="86" t="str">
        <f>IF(VLOOKUP(C810,'Diferencias patrimonio 2023'!$C$2:$C$1020,1,FALSE)=C810,"Encontrado", "No")</f>
        <v>Encontrado</v>
      </c>
      <c r="E810" s="86" t="s">
        <v>8171</v>
      </c>
      <c r="F810" s="86" t="s">
        <v>43</v>
      </c>
      <c r="G810" s="86" t="s">
        <v>38</v>
      </c>
      <c r="H810" s="86" t="s">
        <v>2052</v>
      </c>
    </row>
    <row r="811" spans="1:8" ht="12.75" hidden="1">
      <c r="A811" s="86">
        <v>810</v>
      </c>
      <c r="B811" s="86" t="s">
        <v>8286</v>
      </c>
      <c r="C811" s="86" t="str">
        <f t="shared" si="0"/>
        <v>649641</v>
      </c>
      <c r="D811" s="86" t="str">
        <f>IF(VLOOKUP(C811,'Diferencias patrimonio 2023'!$C$2:$C$1020,1,FALSE)=C811,"Encontrado", "No")</f>
        <v>Encontrado</v>
      </c>
      <c r="E811" s="86" t="s">
        <v>8171</v>
      </c>
      <c r="F811" s="86" t="s">
        <v>2351</v>
      </c>
      <c r="G811" s="86" t="s">
        <v>38</v>
      </c>
      <c r="H811" s="86" t="s">
        <v>7411</v>
      </c>
    </row>
    <row r="812" spans="1:8" ht="12.75">
      <c r="A812" s="86">
        <v>811</v>
      </c>
      <c r="B812" s="86" t="s">
        <v>7269</v>
      </c>
      <c r="C812" s="86" t="str">
        <f t="shared" si="0"/>
        <v>649642</v>
      </c>
      <c r="D812" s="86" t="e">
        <f>IF(VLOOKUP(C812,'Diferencias patrimonio 2023'!$C$2:$C$1020,1,FALSE)=C812,"Encontrado", "No")</f>
        <v>#N/A</v>
      </c>
      <c r="E812" s="86" t="s">
        <v>8171</v>
      </c>
      <c r="F812" s="86" t="s">
        <v>116</v>
      </c>
      <c r="G812" s="86" t="s">
        <v>38</v>
      </c>
      <c r="H812" s="86" t="s">
        <v>7411</v>
      </c>
    </row>
    <row r="813" spans="1:8" ht="12.75">
      <c r="A813" s="86">
        <v>812</v>
      </c>
      <c r="B813" s="86" t="s">
        <v>7243</v>
      </c>
      <c r="C813" s="86" t="str">
        <f t="shared" si="0"/>
        <v>649643</v>
      </c>
      <c r="D813" s="86" t="e">
        <f>IF(VLOOKUP(C813,'Diferencias patrimonio 2023'!$C$2:$C$1020,1,FALSE)=C813,"Encontrado", "No")</f>
        <v>#N/A</v>
      </c>
      <c r="E813" s="86" t="s">
        <v>8171</v>
      </c>
      <c r="F813" s="86" t="s">
        <v>151</v>
      </c>
      <c r="G813" s="86" t="s">
        <v>38</v>
      </c>
      <c r="H813" s="86" t="s">
        <v>7411</v>
      </c>
    </row>
    <row r="814" spans="1:8" ht="12.75" hidden="1">
      <c r="A814" s="86">
        <v>813</v>
      </c>
      <c r="B814" s="86" t="s">
        <v>7265</v>
      </c>
      <c r="C814" s="86" t="str">
        <f t="shared" si="0"/>
        <v>649644</v>
      </c>
      <c r="D814" s="86" t="str">
        <f>IF(VLOOKUP(C814,'Diferencias patrimonio 2023'!$C$2:$C$1020,1,FALSE)=C814,"Encontrado", "No")</f>
        <v>Encontrado</v>
      </c>
      <c r="E814" s="86" t="s">
        <v>8171</v>
      </c>
      <c r="F814" s="86" t="s">
        <v>378</v>
      </c>
      <c r="G814" s="86" t="s">
        <v>38</v>
      </c>
      <c r="H814" s="86" t="s">
        <v>7411</v>
      </c>
    </row>
    <row r="815" spans="1:8" ht="12.75">
      <c r="A815" s="86">
        <v>814</v>
      </c>
      <c r="B815" s="86" t="s">
        <v>8287</v>
      </c>
      <c r="C815" s="86" t="str">
        <f t="shared" si="0"/>
        <v>649645</v>
      </c>
      <c r="D815" s="86" t="e">
        <f>IF(VLOOKUP(C815,'Diferencias patrimonio 2023'!$C$2:$C$1020,1,FALSE)=C815,"Encontrado", "No")</f>
        <v>#N/A</v>
      </c>
      <c r="E815" s="86" t="s">
        <v>8171</v>
      </c>
      <c r="F815" s="86" t="s">
        <v>93</v>
      </c>
      <c r="G815" s="86" t="s">
        <v>38</v>
      </c>
      <c r="H815" s="86" t="s">
        <v>7411</v>
      </c>
    </row>
    <row r="816" spans="1:8" ht="12.75" hidden="1">
      <c r="A816" s="86">
        <v>815</v>
      </c>
      <c r="B816" s="86" t="s">
        <v>8288</v>
      </c>
      <c r="C816" s="86" t="str">
        <f t="shared" si="0"/>
        <v>649646</v>
      </c>
      <c r="D816" s="86" t="str">
        <f>IF(VLOOKUP(C816,'Diferencias patrimonio 2023'!$C$2:$C$1020,1,FALSE)=C816,"Encontrado", "No")</f>
        <v>Encontrado</v>
      </c>
      <c r="E816" s="86" t="s">
        <v>8171</v>
      </c>
      <c r="F816" s="86" t="s">
        <v>199</v>
      </c>
      <c r="G816" s="86" t="s">
        <v>38</v>
      </c>
      <c r="H816" s="86" t="s">
        <v>7411</v>
      </c>
    </row>
    <row r="817" spans="1:8" ht="12.75">
      <c r="A817" s="86">
        <v>816</v>
      </c>
      <c r="B817" s="86" t="s">
        <v>8289</v>
      </c>
      <c r="C817" s="86" t="str">
        <f t="shared" si="0"/>
        <v>649647</v>
      </c>
      <c r="D817" s="86" t="e">
        <f>IF(VLOOKUP(C817,'Diferencias patrimonio 2023'!$C$2:$C$1020,1,FALSE)=C817,"Encontrado", "No")</f>
        <v>#N/A</v>
      </c>
      <c r="E817" s="86" t="s">
        <v>8171</v>
      </c>
      <c r="F817" s="86" t="s">
        <v>2351</v>
      </c>
      <c r="G817" s="86" t="s">
        <v>38</v>
      </c>
      <c r="H817" s="86" t="s">
        <v>7411</v>
      </c>
    </row>
    <row r="818" spans="1:8" ht="12.75" hidden="1">
      <c r="A818" s="86">
        <v>817</v>
      </c>
      <c r="B818" s="86" t="s">
        <v>8290</v>
      </c>
      <c r="C818" s="86" t="str">
        <f t="shared" si="0"/>
        <v>649648</v>
      </c>
      <c r="D818" s="86" t="str">
        <f>IF(VLOOKUP(C818,'Diferencias patrimonio 2023'!$C$2:$C$1020,1,FALSE)=C818,"Encontrado", "No")</f>
        <v>Encontrado</v>
      </c>
      <c r="E818" s="86" t="s">
        <v>8171</v>
      </c>
      <c r="F818" s="86" t="s">
        <v>199</v>
      </c>
      <c r="G818" s="86" t="s">
        <v>38</v>
      </c>
      <c r="H818" s="86" t="s">
        <v>7411</v>
      </c>
    </row>
    <row r="819" spans="1:8" ht="12.75">
      <c r="A819" s="86">
        <v>818</v>
      </c>
      <c r="B819" s="86" t="s">
        <v>8291</v>
      </c>
      <c r="C819" s="86" t="str">
        <f t="shared" si="0"/>
        <v>649649</v>
      </c>
      <c r="D819" s="86" t="e">
        <f>IF(VLOOKUP(C819,'Diferencias patrimonio 2023'!$C$2:$C$1020,1,FALSE)=C819,"Encontrado", "No")</f>
        <v>#N/A</v>
      </c>
      <c r="E819" s="86" t="s">
        <v>8171</v>
      </c>
      <c r="F819" s="86" t="s">
        <v>199</v>
      </c>
      <c r="G819" s="86" t="s">
        <v>38</v>
      </c>
      <c r="H819" s="86" t="s">
        <v>7411</v>
      </c>
    </row>
    <row r="820" spans="1:8" ht="12.75" hidden="1">
      <c r="A820" s="86">
        <v>819</v>
      </c>
      <c r="B820" s="86" t="s">
        <v>8292</v>
      </c>
      <c r="C820" s="86" t="str">
        <f t="shared" si="0"/>
        <v>649650</v>
      </c>
      <c r="D820" s="86" t="str">
        <f>IF(VLOOKUP(C820,'Diferencias patrimonio 2023'!$C$2:$C$1020,1,FALSE)=C820,"Encontrado", "No")</f>
        <v>Encontrado</v>
      </c>
      <c r="E820" s="86" t="s">
        <v>8171</v>
      </c>
      <c r="F820" s="86" t="s">
        <v>151</v>
      </c>
      <c r="G820" s="86" t="s">
        <v>38</v>
      </c>
      <c r="H820" s="86" t="s">
        <v>7411</v>
      </c>
    </row>
    <row r="821" spans="1:8" ht="12.75" hidden="1">
      <c r="A821" s="86">
        <v>820</v>
      </c>
      <c r="B821" s="86" t="s">
        <v>8293</v>
      </c>
      <c r="C821" s="86" t="str">
        <f t="shared" si="0"/>
        <v>649651</v>
      </c>
      <c r="D821" s="86" t="str">
        <f>IF(VLOOKUP(C821,'Diferencias patrimonio 2023'!$C$2:$C$1020,1,FALSE)=C821,"Encontrado", "No")</f>
        <v>Encontrado</v>
      </c>
      <c r="E821" s="86" t="s">
        <v>8171</v>
      </c>
      <c r="F821" s="86" t="s">
        <v>151</v>
      </c>
      <c r="G821" s="86" t="s">
        <v>38</v>
      </c>
      <c r="H821" s="86" t="s">
        <v>7411</v>
      </c>
    </row>
    <row r="822" spans="1:8" ht="12.75">
      <c r="A822" s="86">
        <v>821</v>
      </c>
      <c r="B822" s="86" t="s">
        <v>8294</v>
      </c>
      <c r="C822" s="86" t="str">
        <f t="shared" si="0"/>
        <v>649652</v>
      </c>
      <c r="D822" s="86" t="e">
        <f>IF(VLOOKUP(C822,'Diferencias patrimonio 2023'!$C$2:$C$1020,1,FALSE)=C822,"Encontrado", "No")</f>
        <v>#N/A</v>
      </c>
      <c r="E822" s="86" t="s">
        <v>8171</v>
      </c>
      <c r="F822" s="86" t="s">
        <v>116</v>
      </c>
      <c r="G822" s="86" t="s">
        <v>38</v>
      </c>
      <c r="H822" s="86" t="s">
        <v>7411</v>
      </c>
    </row>
    <row r="823" spans="1:8" ht="12.75" hidden="1">
      <c r="A823" s="86">
        <v>822</v>
      </c>
      <c r="B823" s="86" t="s">
        <v>8295</v>
      </c>
      <c r="C823" s="86" t="str">
        <f t="shared" si="0"/>
        <v>649653</v>
      </c>
      <c r="D823" s="86" t="str">
        <f>IF(VLOOKUP(C823,'Diferencias patrimonio 2023'!$C$2:$C$1020,1,FALSE)=C823,"Encontrado", "No")</f>
        <v>Encontrado</v>
      </c>
      <c r="E823" s="86" t="s">
        <v>8171</v>
      </c>
      <c r="F823" s="86" t="s">
        <v>184</v>
      </c>
      <c r="G823" s="86" t="s">
        <v>38</v>
      </c>
      <c r="H823" s="86" t="s">
        <v>7411</v>
      </c>
    </row>
    <row r="824" spans="1:8" ht="12.75">
      <c r="A824" s="86">
        <v>823</v>
      </c>
      <c r="B824" s="86" t="s">
        <v>8296</v>
      </c>
      <c r="C824" s="86" t="str">
        <f t="shared" si="0"/>
        <v>649654</v>
      </c>
      <c r="D824" s="86" t="e">
        <f>IF(VLOOKUP(C824,'Diferencias patrimonio 2023'!$C$2:$C$1020,1,FALSE)=C824,"Encontrado", "No")</f>
        <v>#N/A</v>
      </c>
      <c r="E824" s="86" t="s">
        <v>8171</v>
      </c>
      <c r="F824" s="86" t="s">
        <v>43</v>
      </c>
      <c r="G824" s="86" t="s">
        <v>38</v>
      </c>
      <c r="H824" s="86" t="s">
        <v>7411</v>
      </c>
    </row>
    <row r="825" spans="1:8" ht="12.75">
      <c r="A825" s="86">
        <v>824</v>
      </c>
      <c r="B825" s="86" t="s">
        <v>7267</v>
      </c>
      <c r="C825" s="86" t="str">
        <f t="shared" si="0"/>
        <v>649655</v>
      </c>
      <c r="D825" s="86" t="e">
        <f>IF(VLOOKUP(C825,'Diferencias patrimonio 2023'!$C$2:$C$1020,1,FALSE)=C825,"Encontrado", "No")</f>
        <v>#N/A</v>
      </c>
      <c r="E825" s="86" t="s">
        <v>8171</v>
      </c>
      <c r="F825" s="86" t="s">
        <v>93</v>
      </c>
      <c r="G825" s="86" t="s">
        <v>38</v>
      </c>
      <c r="H825" s="86" t="s">
        <v>7411</v>
      </c>
    </row>
    <row r="826" spans="1:8" ht="12.75">
      <c r="A826" s="86">
        <v>825</v>
      </c>
      <c r="B826" s="86" t="s">
        <v>8297</v>
      </c>
      <c r="C826" s="86" t="str">
        <f t="shared" si="0"/>
        <v>649656</v>
      </c>
      <c r="D826" s="86" t="e">
        <f>IF(VLOOKUP(C826,'Diferencias patrimonio 2023'!$C$2:$C$1020,1,FALSE)=C826,"Encontrado", "No")</f>
        <v>#N/A</v>
      </c>
      <c r="E826" s="86" t="s">
        <v>8171</v>
      </c>
      <c r="F826" s="86" t="s">
        <v>93</v>
      </c>
      <c r="G826" s="86" t="s">
        <v>38</v>
      </c>
      <c r="H826" s="86" t="s">
        <v>7411</v>
      </c>
    </row>
    <row r="827" spans="1:8" ht="12.75">
      <c r="A827" s="86">
        <v>826</v>
      </c>
      <c r="B827" s="86" t="s">
        <v>8298</v>
      </c>
      <c r="C827" s="86" t="str">
        <f t="shared" si="0"/>
        <v>649657</v>
      </c>
      <c r="D827" s="86" t="e">
        <f>IF(VLOOKUP(C827,'Diferencias patrimonio 2023'!$C$2:$C$1020,1,FALSE)=C827,"Encontrado", "No")</f>
        <v>#N/A</v>
      </c>
      <c r="E827" s="86" t="s">
        <v>8171</v>
      </c>
      <c r="F827" s="86" t="s">
        <v>93</v>
      </c>
      <c r="G827" s="86" t="s">
        <v>38</v>
      </c>
      <c r="H827" s="86" t="s">
        <v>7411</v>
      </c>
    </row>
    <row r="828" spans="1:8" ht="12.75" hidden="1">
      <c r="A828" s="86">
        <v>827</v>
      </c>
      <c r="B828" s="86" t="s">
        <v>8299</v>
      </c>
      <c r="C828" s="86" t="str">
        <f t="shared" si="0"/>
        <v>649658</v>
      </c>
      <c r="D828" s="86" t="str">
        <f>IF(VLOOKUP(C828,'Diferencias patrimonio 2023'!$C$2:$C$1020,1,FALSE)=C828,"Encontrado", "No")</f>
        <v>Encontrado</v>
      </c>
      <c r="E828" s="86" t="s">
        <v>8171</v>
      </c>
      <c r="F828" s="86" t="s">
        <v>93</v>
      </c>
      <c r="G828" s="86" t="s">
        <v>38</v>
      </c>
      <c r="H828" s="86" t="s">
        <v>7411</v>
      </c>
    </row>
    <row r="829" spans="1:8" ht="12.75">
      <c r="A829" s="86">
        <v>828</v>
      </c>
      <c r="B829" s="86" t="s">
        <v>8300</v>
      </c>
      <c r="C829" s="86" t="str">
        <f t="shared" si="0"/>
        <v>649659</v>
      </c>
      <c r="D829" s="86" t="e">
        <f>IF(VLOOKUP(C829,'Diferencias patrimonio 2023'!$C$2:$C$1020,1,FALSE)=C829,"Encontrado", "No")</f>
        <v>#N/A</v>
      </c>
      <c r="E829" s="86" t="s">
        <v>8171</v>
      </c>
      <c r="F829" s="86" t="s">
        <v>1275</v>
      </c>
      <c r="G829" s="86" t="s">
        <v>100</v>
      </c>
      <c r="H829" s="86" t="s">
        <v>7404</v>
      </c>
    </row>
    <row r="830" spans="1:8" ht="12.75" hidden="1">
      <c r="A830" s="86">
        <v>829</v>
      </c>
      <c r="B830" s="86" t="s">
        <v>8301</v>
      </c>
      <c r="C830" s="86" t="str">
        <f t="shared" si="0"/>
        <v>649660</v>
      </c>
      <c r="D830" s="86" t="str">
        <f>IF(VLOOKUP(C830,'Diferencias patrimonio 2023'!$C$2:$C$1020,1,FALSE)=C830,"Encontrado", "No")</f>
        <v>Encontrado</v>
      </c>
      <c r="E830" s="86" t="s">
        <v>8171</v>
      </c>
      <c r="F830" s="86" t="s">
        <v>93</v>
      </c>
      <c r="G830" s="86" t="s">
        <v>38</v>
      </c>
      <c r="H830" s="86" t="s">
        <v>7411</v>
      </c>
    </row>
    <row r="831" spans="1:8" ht="12.75" hidden="1">
      <c r="A831" s="86">
        <v>830</v>
      </c>
      <c r="B831" s="86" t="s">
        <v>8302</v>
      </c>
      <c r="C831" s="86" t="str">
        <f t="shared" si="0"/>
        <v>649661</v>
      </c>
      <c r="D831" s="86" t="str">
        <f>IF(VLOOKUP(C831,'Diferencias patrimonio 2023'!$C$2:$C$1020,1,FALSE)=C831,"Encontrado", "No")</f>
        <v>Encontrado</v>
      </c>
      <c r="E831" s="86" t="s">
        <v>8171</v>
      </c>
      <c r="F831" s="86" t="s">
        <v>151</v>
      </c>
      <c r="G831" s="86" t="s">
        <v>38</v>
      </c>
      <c r="H831" s="86" t="s">
        <v>7411</v>
      </c>
    </row>
    <row r="832" spans="1:8" ht="12.75" hidden="1">
      <c r="A832" s="86">
        <v>831</v>
      </c>
      <c r="B832" s="86" t="s">
        <v>8303</v>
      </c>
      <c r="C832" s="86" t="str">
        <f t="shared" si="0"/>
        <v>649662</v>
      </c>
      <c r="D832" s="86" t="str">
        <f>IF(VLOOKUP(C832,'Diferencias patrimonio 2023'!$C$2:$C$1020,1,FALSE)=C832,"Encontrado", "No")</f>
        <v>Encontrado</v>
      </c>
      <c r="E832" s="86" t="s">
        <v>8171</v>
      </c>
      <c r="F832" s="86" t="s">
        <v>8304</v>
      </c>
      <c r="G832" s="86" t="s">
        <v>38</v>
      </c>
      <c r="H832" s="86" t="s">
        <v>7411</v>
      </c>
    </row>
    <row r="833" spans="1:8" ht="12.75" hidden="1">
      <c r="A833" s="86">
        <v>832</v>
      </c>
      <c r="B833" s="86" t="s">
        <v>8305</v>
      </c>
      <c r="C833" s="86" t="str">
        <f t="shared" si="0"/>
        <v>649663</v>
      </c>
      <c r="D833" s="86" t="str">
        <f>IF(VLOOKUP(C833,'Diferencias patrimonio 2023'!$C$2:$C$1020,1,FALSE)=C833,"Encontrado", "No")</f>
        <v>Encontrado</v>
      </c>
      <c r="E833" s="86" t="s">
        <v>8171</v>
      </c>
      <c r="F833" s="86" t="s">
        <v>8304</v>
      </c>
      <c r="G833" s="86" t="s">
        <v>38</v>
      </c>
      <c r="H833" s="86" t="s">
        <v>7411</v>
      </c>
    </row>
    <row r="834" spans="1:8" ht="12.75" hidden="1">
      <c r="A834" s="86">
        <v>833</v>
      </c>
      <c r="B834" s="86" t="s">
        <v>8306</v>
      </c>
      <c r="C834" s="86" t="str">
        <f t="shared" si="0"/>
        <v>649664</v>
      </c>
      <c r="D834" s="86" t="str">
        <f>IF(VLOOKUP(C834,'Diferencias patrimonio 2023'!$C$2:$C$1020,1,FALSE)=C834,"Encontrado", "No")</f>
        <v>Encontrado</v>
      </c>
      <c r="E834" s="86" t="s">
        <v>8171</v>
      </c>
      <c r="F834" s="86" t="s">
        <v>8304</v>
      </c>
      <c r="G834" s="86" t="s">
        <v>38</v>
      </c>
      <c r="H834" s="86" t="s">
        <v>7411</v>
      </c>
    </row>
    <row r="835" spans="1:8" ht="12.75" hidden="1">
      <c r="A835" s="86">
        <v>834</v>
      </c>
      <c r="B835" s="86" t="s">
        <v>8307</v>
      </c>
      <c r="C835" s="86" t="str">
        <f t="shared" si="0"/>
        <v>649665</v>
      </c>
      <c r="D835" s="86" t="str">
        <f>IF(VLOOKUP(C835,'Diferencias patrimonio 2023'!$C$2:$C$1020,1,FALSE)=C835,"Encontrado", "No")</f>
        <v>Encontrado</v>
      </c>
      <c r="E835" s="86" t="s">
        <v>8171</v>
      </c>
      <c r="F835" s="86" t="s">
        <v>8304</v>
      </c>
      <c r="G835" s="86" t="s">
        <v>38</v>
      </c>
      <c r="H835" s="86" t="s">
        <v>7411</v>
      </c>
    </row>
    <row r="836" spans="1:8" ht="12.75" hidden="1">
      <c r="A836" s="86">
        <v>835</v>
      </c>
      <c r="B836" s="86" t="s">
        <v>8308</v>
      </c>
      <c r="C836" s="86" t="str">
        <f t="shared" si="0"/>
        <v>649666</v>
      </c>
      <c r="D836" s="86" t="str">
        <f>IF(VLOOKUP(C836,'Diferencias patrimonio 2023'!$C$2:$C$1020,1,FALSE)=C836,"Encontrado", "No")</f>
        <v>Encontrado</v>
      </c>
      <c r="E836" s="86" t="s">
        <v>8171</v>
      </c>
      <c r="F836" s="86" t="s">
        <v>8304</v>
      </c>
      <c r="G836" s="86" t="s">
        <v>38</v>
      </c>
      <c r="H836" s="86" t="s">
        <v>7411</v>
      </c>
    </row>
    <row r="837" spans="1:8" ht="12.75" hidden="1">
      <c r="A837" s="86">
        <v>836</v>
      </c>
      <c r="B837" s="86" t="s">
        <v>8309</v>
      </c>
      <c r="C837" s="86" t="str">
        <f t="shared" si="0"/>
        <v>649667</v>
      </c>
      <c r="D837" s="86" t="str">
        <f>IF(VLOOKUP(C837,'Diferencias patrimonio 2023'!$C$2:$C$1020,1,FALSE)=C837,"Encontrado", "No")</f>
        <v>Encontrado</v>
      </c>
      <c r="E837" s="86" t="s">
        <v>8171</v>
      </c>
      <c r="F837" s="86" t="s">
        <v>8304</v>
      </c>
      <c r="G837" s="86" t="s">
        <v>38</v>
      </c>
      <c r="H837" s="86" t="s">
        <v>7411</v>
      </c>
    </row>
    <row r="838" spans="1:8" ht="12.75" hidden="1">
      <c r="A838" s="86">
        <v>837</v>
      </c>
      <c r="B838" s="86" t="s">
        <v>8310</v>
      </c>
      <c r="C838" s="86" t="str">
        <f t="shared" si="0"/>
        <v>649668</v>
      </c>
      <c r="D838" s="86" t="str">
        <f>IF(VLOOKUP(C838,'Diferencias patrimonio 2023'!$C$2:$C$1020,1,FALSE)=C838,"Encontrado", "No")</f>
        <v>Encontrado</v>
      </c>
      <c r="E838" s="86" t="s">
        <v>8171</v>
      </c>
      <c r="F838" s="86" t="s">
        <v>8304</v>
      </c>
      <c r="G838" s="86" t="s">
        <v>38</v>
      </c>
      <c r="H838" s="86" t="s">
        <v>7411</v>
      </c>
    </row>
    <row r="839" spans="1:8" ht="12.75" hidden="1">
      <c r="A839" s="86">
        <v>838</v>
      </c>
      <c r="B839" s="86" t="s">
        <v>8311</v>
      </c>
      <c r="C839" s="86" t="str">
        <f t="shared" si="0"/>
        <v>649669</v>
      </c>
      <c r="D839" s="86" t="str">
        <f>IF(VLOOKUP(C839,'Diferencias patrimonio 2023'!$C$2:$C$1020,1,FALSE)=C839,"Encontrado", "No")</f>
        <v>Encontrado</v>
      </c>
      <c r="E839" s="86" t="s">
        <v>8171</v>
      </c>
      <c r="F839" s="86" t="s">
        <v>8304</v>
      </c>
      <c r="G839" s="86" t="s">
        <v>38</v>
      </c>
      <c r="H839" s="86" t="s">
        <v>7411</v>
      </c>
    </row>
    <row r="840" spans="1:8" ht="12.75" hidden="1">
      <c r="A840" s="86">
        <v>839</v>
      </c>
      <c r="B840" s="86" t="s">
        <v>2647</v>
      </c>
      <c r="C840" s="86" t="str">
        <f t="shared" si="0"/>
        <v>649670</v>
      </c>
      <c r="D840" s="86" t="str">
        <f>IF(VLOOKUP(C840,'Diferencias patrimonio 2023'!$C$2:$C$1020,1,FALSE)=C840,"Encontrado", "No")</f>
        <v>Encontrado</v>
      </c>
      <c r="E840" s="86" t="s">
        <v>8171</v>
      </c>
      <c r="F840" s="86" t="s">
        <v>43</v>
      </c>
      <c r="G840" s="86" t="s">
        <v>38</v>
      </c>
      <c r="H840" s="86" t="s">
        <v>7686</v>
      </c>
    </row>
    <row r="841" spans="1:8" ht="12.75" hidden="1">
      <c r="A841" s="86">
        <v>840</v>
      </c>
      <c r="B841" s="86" t="s">
        <v>2660</v>
      </c>
      <c r="C841" s="86" t="str">
        <f t="shared" si="0"/>
        <v>649671</v>
      </c>
      <c r="D841" s="86" t="str">
        <f>IF(VLOOKUP(C841,'Diferencias patrimonio 2023'!$C$2:$C$1020,1,FALSE)=C841,"Encontrado", "No")</f>
        <v>Encontrado</v>
      </c>
      <c r="E841" s="86" t="s">
        <v>8171</v>
      </c>
      <c r="F841" s="86" t="s">
        <v>184</v>
      </c>
      <c r="G841" s="86" t="s">
        <v>38</v>
      </c>
      <c r="H841" s="86" t="s">
        <v>7686</v>
      </c>
    </row>
    <row r="842" spans="1:8" ht="12.75">
      <c r="A842" s="86">
        <v>841</v>
      </c>
      <c r="B842" s="86" t="s">
        <v>8312</v>
      </c>
      <c r="C842" s="86" t="str">
        <f t="shared" si="0"/>
        <v>649672</v>
      </c>
      <c r="D842" s="86" t="e">
        <f>IF(VLOOKUP(C842,'Diferencias patrimonio 2023'!$C$2:$C$1020,1,FALSE)=C842,"Encontrado", "No")</f>
        <v>#N/A</v>
      </c>
      <c r="E842" s="86" t="s">
        <v>8171</v>
      </c>
      <c r="F842" s="86" t="s">
        <v>1199</v>
      </c>
      <c r="G842" s="86" t="s">
        <v>38</v>
      </c>
      <c r="H842" s="86" t="s">
        <v>7686</v>
      </c>
    </row>
    <row r="843" spans="1:8" ht="12.75">
      <c r="A843" s="86">
        <v>842</v>
      </c>
      <c r="B843" s="86" t="s">
        <v>8313</v>
      </c>
      <c r="C843" s="86" t="str">
        <f t="shared" si="0"/>
        <v>649673</v>
      </c>
      <c r="D843" s="86" t="e">
        <f>IF(VLOOKUP(C843,'Diferencias patrimonio 2023'!$C$2:$C$1020,1,FALSE)=C843,"Encontrado", "No")</f>
        <v>#N/A</v>
      </c>
      <c r="E843" s="86" t="s">
        <v>8171</v>
      </c>
      <c r="F843" s="86" t="s">
        <v>199</v>
      </c>
      <c r="G843" s="86" t="s">
        <v>38</v>
      </c>
      <c r="H843" s="86" t="s">
        <v>7411</v>
      </c>
    </row>
    <row r="844" spans="1:8" ht="12.75">
      <c r="A844" s="86">
        <v>843</v>
      </c>
      <c r="B844" s="86" t="s">
        <v>8314</v>
      </c>
      <c r="C844" s="86" t="str">
        <f t="shared" si="0"/>
        <v>649674</v>
      </c>
      <c r="D844" s="86" t="e">
        <f>IF(VLOOKUP(C844,'Diferencias patrimonio 2023'!$C$2:$C$1020,1,FALSE)=C844,"Encontrado", "No")</f>
        <v>#N/A</v>
      </c>
      <c r="E844" s="86" t="s">
        <v>8171</v>
      </c>
      <c r="F844" s="86" t="s">
        <v>1275</v>
      </c>
      <c r="G844" s="86" t="s">
        <v>38</v>
      </c>
      <c r="H844" s="86" t="s">
        <v>7411</v>
      </c>
    </row>
    <row r="845" spans="1:8" ht="12.75">
      <c r="A845" s="86">
        <v>844</v>
      </c>
      <c r="B845" s="86" t="s">
        <v>8315</v>
      </c>
      <c r="C845" s="86" t="str">
        <f t="shared" si="0"/>
        <v>649675</v>
      </c>
      <c r="D845" s="86" t="e">
        <f>IF(VLOOKUP(C845,'Diferencias patrimonio 2023'!$C$2:$C$1020,1,FALSE)=C845,"Encontrado", "No")</f>
        <v>#N/A</v>
      </c>
      <c r="E845" s="86" t="s">
        <v>8171</v>
      </c>
      <c r="F845" s="86" t="s">
        <v>151</v>
      </c>
      <c r="G845" s="86" t="s">
        <v>38</v>
      </c>
      <c r="H845" s="86" t="s">
        <v>7411</v>
      </c>
    </row>
    <row r="846" spans="1:8" ht="12.75" hidden="1">
      <c r="A846" s="86">
        <v>845</v>
      </c>
      <c r="B846" s="86" t="s">
        <v>8316</v>
      </c>
      <c r="C846" s="86" t="str">
        <f t="shared" si="0"/>
        <v>649676</v>
      </c>
      <c r="D846" s="86" t="str">
        <f>IF(VLOOKUP(C846,'Diferencias patrimonio 2023'!$C$2:$C$1020,1,FALSE)=C846,"Encontrado", "No")</f>
        <v>Encontrado</v>
      </c>
      <c r="E846" s="86" t="s">
        <v>8171</v>
      </c>
      <c r="F846" s="86" t="s">
        <v>3521</v>
      </c>
      <c r="G846" s="86" t="s">
        <v>38</v>
      </c>
      <c r="H846" s="86" t="s">
        <v>7411</v>
      </c>
    </row>
    <row r="847" spans="1:8" ht="12.75">
      <c r="A847" s="86">
        <v>846</v>
      </c>
      <c r="B847" s="86" t="s">
        <v>8317</v>
      </c>
      <c r="C847" s="86" t="str">
        <f t="shared" si="0"/>
        <v>649677</v>
      </c>
      <c r="D847" s="86" t="e">
        <f>IF(VLOOKUP(C847,'Diferencias patrimonio 2023'!$C$2:$C$1020,1,FALSE)=C847,"Encontrado", "No")</f>
        <v>#N/A</v>
      </c>
      <c r="E847" s="86" t="s">
        <v>8171</v>
      </c>
      <c r="F847" s="86" t="s">
        <v>353</v>
      </c>
      <c r="G847" s="86" t="s">
        <v>38</v>
      </c>
      <c r="H847" s="86" t="s">
        <v>7411</v>
      </c>
    </row>
    <row r="848" spans="1:8" ht="12.75">
      <c r="A848" s="86">
        <v>847</v>
      </c>
      <c r="B848" s="86" t="s">
        <v>8318</v>
      </c>
      <c r="C848" s="86" t="str">
        <f t="shared" si="0"/>
        <v>649678</v>
      </c>
      <c r="D848" s="86" t="e">
        <f>IF(VLOOKUP(C848,'Diferencias patrimonio 2023'!$C$2:$C$1020,1,FALSE)=C848,"Encontrado", "No")</f>
        <v>#N/A</v>
      </c>
      <c r="E848" s="86" t="s">
        <v>8171</v>
      </c>
      <c r="F848" s="86" t="s">
        <v>2743</v>
      </c>
      <c r="G848" s="86" t="s">
        <v>38</v>
      </c>
      <c r="H848" s="86" t="s">
        <v>7411</v>
      </c>
    </row>
    <row r="849" spans="1:8" ht="12.75">
      <c r="A849" s="86">
        <v>848</v>
      </c>
      <c r="B849" s="86" t="s">
        <v>8319</v>
      </c>
      <c r="C849" s="86" t="str">
        <f t="shared" si="0"/>
        <v>649679</v>
      </c>
      <c r="D849" s="86" t="e">
        <f>IF(VLOOKUP(C849,'Diferencias patrimonio 2023'!$C$2:$C$1020,1,FALSE)=C849,"Encontrado", "No")</f>
        <v>#N/A</v>
      </c>
      <c r="E849" s="86" t="s">
        <v>8171</v>
      </c>
      <c r="F849" s="86" t="s">
        <v>2743</v>
      </c>
      <c r="G849" s="86" t="s">
        <v>38</v>
      </c>
      <c r="H849" s="86" t="s">
        <v>7411</v>
      </c>
    </row>
    <row r="850" spans="1:8" ht="12.75">
      <c r="A850" s="86">
        <v>849</v>
      </c>
      <c r="B850" s="86" t="s">
        <v>8320</v>
      </c>
      <c r="C850" s="86" t="str">
        <f t="shared" si="0"/>
        <v>649680</v>
      </c>
      <c r="D850" s="86" t="e">
        <f>IF(VLOOKUP(C850,'Diferencias patrimonio 2023'!$C$2:$C$1020,1,FALSE)=C850,"Encontrado", "No")</f>
        <v>#N/A</v>
      </c>
      <c r="E850" s="86" t="s">
        <v>8171</v>
      </c>
      <c r="F850" s="86" t="s">
        <v>162</v>
      </c>
      <c r="G850" s="86" t="s">
        <v>38</v>
      </c>
      <c r="H850" s="86" t="s">
        <v>7411</v>
      </c>
    </row>
    <row r="851" spans="1:8" ht="12.75">
      <c r="A851" s="86">
        <v>850</v>
      </c>
      <c r="B851" s="86" t="s">
        <v>8321</v>
      </c>
      <c r="C851" s="86" t="str">
        <f t="shared" si="0"/>
        <v>649681</v>
      </c>
      <c r="D851" s="86" t="e">
        <f>IF(VLOOKUP(C851,'Diferencias patrimonio 2023'!$C$2:$C$1020,1,FALSE)=C851,"Encontrado", "No")</f>
        <v>#N/A</v>
      </c>
      <c r="E851" s="86" t="s">
        <v>8171</v>
      </c>
      <c r="F851" s="86" t="s">
        <v>501</v>
      </c>
      <c r="G851" s="86" t="s">
        <v>38</v>
      </c>
      <c r="H851" s="86" t="s">
        <v>7411</v>
      </c>
    </row>
    <row r="852" spans="1:8" ht="12.75" hidden="1">
      <c r="A852" s="86">
        <v>851</v>
      </c>
      <c r="B852" s="86" t="s">
        <v>8322</v>
      </c>
      <c r="C852" s="86" t="str">
        <f t="shared" si="0"/>
        <v>649682</v>
      </c>
      <c r="D852" s="86" t="str">
        <f>IF(VLOOKUP(C852,'Diferencias patrimonio 2023'!$C$2:$C$1020,1,FALSE)=C852,"Encontrado", "No")</f>
        <v>Encontrado</v>
      </c>
      <c r="E852" s="86" t="s">
        <v>8171</v>
      </c>
      <c r="F852" s="86" t="s">
        <v>93</v>
      </c>
      <c r="G852" s="86" t="s">
        <v>38</v>
      </c>
      <c r="H852" s="86" t="s">
        <v>7411</v>
      </c>
    </row>
    <row r="853" spans="1:8" ht="12.75" hidden="1">
      <c r="A853" s="86">
        <v>852</v>
      </c>
      <c r="B853" s="86" t="s">
        <v>8323</v>
      </c>
      <c r="C853" s="86" t="str">
        <f t="shared" si="0"/>
        <v>649683</v>
      </c>
      <c r="D853" s="86" t="str">
        <f>IF(VLOOKUP(C853,'Diferencias patrimonio 2023'!$C$2:$C$1020,1,FALSE)=C853,"Encontrado", "No")</f>
        <v>Encontrado</v>
      </c>
      <c r="E853" s="86" t="s">
        <v>8171</v>
      </c>
      <c r="F853" s="86" t="s">
        <v>93</v>
      </c>
      <c r="G853" s="86" t="s">
        <v>38</v>
      </c>
      <c r="H853" s="86" t="s">
        <v>7411</v>
      </c>
    </row>
    <row r="854" spans="1:8" ht="12.75">
      <c r="A854" s="86">
        <v>853</v>
      </c>
      <c r="B854" s="86" t="s">
        <v>8324</v>
      </c>
      <c r="C854" s="86" t="str">
        <f t="shared" si="0"/>
        <v>649684</v>
      </c>
      <c r="D854" s="86" t="e">
        <f>IF(VLOOKUP(C854,'Diferencias patrimonio 2023'!$C$2:$C$1020,1,FALSE)=C854,"Encontrado", "No")</f>
        <v>#N/A</v>
      </c>
      <c r="E854" s="86" t="s">
        <v>8171</v>
      </c>
      <c r="F854" s="86" t="s">
        <v>151</v>
      </c>
      <c r="G854" s="86" t="s">
        <v>38</v>
      </c>
      <c r="H854" s="86" t="s">
        <v>7411</v>
      </c>
    </row>
    <row r="855" spans="1:8" ht="12.75">
      <c r="A855" s="86">
        <v>854</v>
      </c>
      <c r="B855" s="86" t="s">
        <v>8325</v>
      </c>
      <c r="C855" s="86" t="str">
        <f t="shared" si="0"/>
        <v>649685</v>
      </c>
      <c r="D855" s="86" t="e">
        <f>IF(VLOOKUP(C855,'Diferencias patrimonio 2023'!$C$2:$C$1020,1,FALSE)=C855,"Encontrado", "No")</f>
        <v>#N/A</v>
      </c>
      <c r="E855" s="86" t="s">
        <v>8171</v>
      </c>
      <c r="F855" s="86" t="s">
        <v>2743</v>
      </c>
      <c r="G855" s="86" t="s">
        <v>38</v>
      </c>
      <c r="H855" s="86" t="s">
        <v>7411</v>
      </c>
    </row>
    <row r="856" spans="1:8" ht="12.75">
      <c r="A856" s="86">
        <v>855</v>
      </c>
      <c r="B856" s="86" t="s">
        <v>8326</v>
      </c>
      <c r="C856" s="86" t="str">
        <f t="shared" si="0"/>
        <v>649686</v>
      </c>
      <c r="D856" s="86" t="e">
        <f>IF(VLOOKUP(C856,'Diferencias patrimonio 2023'!$C$2:$C$1020,1,FALSE)=C856,"Encontrado", "No")</f>
        <v>#N/A</v>
      </c>
      <c r="E856" s="86" t="s">
        <v>8171</v>
      </c>
      <c r="F856" s="86" t="s">
        <v>248</v>
      </c>
      <c r="G856" s="86" t="s">
        <v>38</v>
      </c>
      <c r="H856" s="86" t="s">
        <v>7411</v>
      </c>
    </row>
    <row r="857" spans="1:8" ht="12.75">
      <c r="A857" s="86">
        <v>856</v>
      </c>
      <c r="B857" s="86" t="s">
        <v>8327</v>
      </c>
      <c r="C857" s="86" t="str">
        <f t="shared" si="0"/>
        <v>649687</v>
      </c>
      <c r="D857" s="86" t="e">
        <f>IF(VLOOKUP(C857,'Diferencias patrimonio 2023'!$C$2:$C$1020,1,FALSE)=C857,"Encontrado", "No")</f>
        <v>#N/A</v>
      </c>
      <c r="E857" s="86" t="s">
        <v>8171</v>
      </c>
      <c r="F857" s="86" t="s">
        <v>248</v>
      </c>
      <c r="G857" s="86" t="s">
        <v>38</v>
      </c>
      <c r="H857" s="86" t="s">
        <v>7686</v>
      </c>
    </row>
    <row r="858" spans="1:8" ht="12.75">
      <c r="A858" s="86">
        <v>857</v>
      </c>
      <c r="B858" s="86" t="s">
        <v>8328</v>
      </c>
      <c r="C858" s="86" t="str">
        <f t="shared" si="0"/>
        <v>649688</v>
      </c>
      <c r="D858" s="86" t="e">
        <f>IF(VLOOKUP(C858,'Diferencias patrimonio 2023'!$C$2:$C$1020,1,FALSE)=C858,"Encontrado", "No")</f>
        <v>#N/A</v>
      </c>
      <c r="E858" s="86" t="s">
        <v>8171</v>
      </c>
      <c r="F858" s="86" t="s">
        <v>199</v>
      </c>
      <c r="G858" s="86" t="s">
        <v>38</v>
      </c>
      <c r="H858" s="86" t="s">
        <v>7686</v>
      </c>
    </row>
    <row r="859" spans="1:8" ht="12.75">
      <c r="A859" s="86">
        <v>858</v>
      </c>
      <c r="B859" s="86" t="s">
        <v>8329</v>
      </c>
      <c r="C859" s="86" t="str">
        <f t="shared" si="0"/>
        <v>649689</v>
      </c>
      <c r="D859" s="86" t="e">
        <f>IF(VLOOKUP(C859,'Diferencias patrimonio 2023'!$C$2:$C$1020,1,FALSE)=C859,"Encontrado", "No")</f>
        <v>#N/A</v>
      </c>
      <c r="E859" s="86" t="s">
        <v>8171</v>
      </c>
      <c r="F859" s="86" t="s">
        <v>136</v>
      </c>
      <c r="G859" s="86" t="s">
        <v>38</v>
      </c>
      <c r="H859" s="86" t="s">
        <v>7686</v>
      </c>
    </row>
    <row r="860" spans="1:8" ht="12.75" hidden="1">
      <c r="A860" s="86">
        <v>859</v>
      </c>
      <c r="B860" s="86" t="s">
        <v>2579</v>
      </c>
      <c r="C860" s="86" t="str">
        <f t="shared" si="0"/>
        <v>649690</v>
      </c>
      <c r="D860" s="86" t="str">
        <f>IF(VLOOKUP(C860,'Diferencias patrimonio 2023'!$C$2:$C$1020,1,FALSE)=C860,"Encontrado", "No")</f>
        <v>Encontrado</v>
      </c>
      <c r="E860" s="86" t="s">
        <v>8171</v>
      </c>
      <c r="F860" s="86" t="s">
        <v>199</v>
      </c>
      <c r="G860" s="86" t="s">
        <v>38</v>
      </c>
      <c r="H860" s="86" t="s">
        <v>2552</v>
      </c>
    </row>
    <row r="861" spans="1:8" ht="12.75">
      <c r="A861" s="86">
        <v>860</v>
      </c>
      <c r="B861" s="86" t="s">
        <v>7294</v>
      </c>
      <c r="C861" s="86" t="str">
        <f t="shared" si="0"/>
        <v>649691</v>
      </c>
      <c r="D861" s="86" t="e">
        <f>IF(VLOOKUP(C861,'Diferencias patrimonio 2023'!$C$2:$C$1020,1,FALSE)=C861,"Encontrado", "No")</f>
        <v>#N/A</v>
      </c>
      <c r="E861" s="86" t="s">
        <v>8171</v>
      </c>
      <c r="F861" s="86" t="s">
        <v>8206</v>
      </c>
      <c r="G861" s="86" t="s">
        <v>38</v>
      </c>
      <c r="H861" s="86" t="s">
        <v>2552</v>
      </c>
    </row>
    <row r="862" spans="1:8" ht="12.75">
      <c r="A862" s="86">
        <v>861</v>
      </c>
      <c r="B862" s="86" t="s">
        <v>8330</v>
      </c>
      <c r="C862" s="86" t="str">
        <f t="shared" si="0"/>
        <v>649692</v>
      </c>
      <c r="D862" s="86" t="e">
        <f>IF(VLOOKUP(C862,'Diferencias patrimonio 2023'!$C$2:$C$1020,1,FALSE)=C862,"Encontrado", "No")</f>
        <v>#N/A</v>
      </c>
      <c r="E862" s="86" t="s">
        <v>8171</v>
      </c>
      <c r="F862" s="86" t="s">
        <v>199</v>
      </c>
      <c r="G862" s="86" t="s">
        <v>38</v>
      </c>
      <c r="H862" s="86" t="s">
        <v>7411</v>
      </c>
    </row>
    <row r="863" spans="1:8" ht="12.75" hidden="1">
      <c r="A863" s="86">
        <v>862</v>
      </c>
      <c r="B863" s="86" t="s">
        <v>3137</v>
      </c>
      <c r="C863" s="86" t="str">
        <f t="shared" si="0"/>
        <v>649693</v>
      </c>
      <c r="D863" s="86" t="str">
        <f>IF(VLOOKUP(C863,'Diferencias patrimonio 2023'!$C$2:$C$1020,1,FALSE)=C863,"Encontrado", "No")</f>
        <v>Encontrado</v>
      </c>
      <c r="E863" s="86" t="s">
        <v>8171</v>
      </c>
      <c r="F863" s="86" t="s">
        <v>62</v>
      </c>
      <c r="G863" s="86" t="s">
        <v>38</v>
      </c>
      <c r="H863" s="86" t="s">
        <v>3092</v>
      </c>
    </row>
    <row r="864" spans="1:8" ht="12.75" hidden="1">
      <c r="A864" s="86">
        <v>863</v>
      </c>
      <c r="B864" s="86" t="s">
        <v>3130</v>
      </c>
      <c r="C864" s="86" t="str">
        <f t="shared" si="0"/>
        <v>649694</v>
      </c>
      <c r="D864" s="86" t="str">
        <f>IF(VLOOKUP(C864,'Diferencias patrimonio 2023'!$C$2:$C$1020,1,FALSE)=C864,"Encontrado", "No")</f>
        <v>Encontrado</v>
      </c>
      <c r="E864" s="86" t="s">
        <v>8171</v>
      </c>
      <c r="F864" s="86" t="s">
        <v>501</v>
      </c>
      <c r="G864" s="86" t="s">
        <v>38</v>
      </c>
      <c r="H864" s="86" t="s">
        <v>3092</v>
      </c>
    </row>
    <row r="865" spans="1:8" ht="12.75" hidden="1">
      <c r="A865" s="86">
        <v>864</v>
      </c>
      <c r="B865" s="86" t="s">
        <v>3227</v>
      </c>
      <c r="C865" s="86" t="str">
        <f t="shared" si="0"/>
        <v>649695</v>
      </c>
      <c r="D865" s="86" t="str">
        <f>IF(VLOOKUP(C865,'Diferencias patrimonio 2023'!$C$2:$C$1020,1,FALSE)=C865,"Encontrado", "No")</f>
        <v>Encontrado</v>
      </c>
      <c r="E865" s="86" t="s">
        <v>8171</v>
      </c>
      <c r="F865" s="86" t="s">
        <v>378</v>
      </c>
      <c r="G865" s="86" t="s">
        <v>38</v>
      </c>
      <c r="H865" s="86" t="s">
        <v>3092</v>
      </c>
    </row>
    <row r="866" spans="1:8" ht="12.75" hidden="1">
      <c r="A866" s="86">
        <v>865</v>
      </c>
      <c r="B866" s="86" t="s">
        <v>3123</v>
      </c>
      <c r="C866" s="86" t="str">
        <f t="shared" si="0"/>
        <v>649696</v>
      </c>
      <c r="D866" s="86" t="str">
        <f>IF(VLOOKUP(C866,'Diferencias patrimonio 2023'!$C$2:$C$1020,1,FALSE)=C866,"Encontrado", "No")</f>
        <v>Encontrado</v>
      </c>
      <c r="E866" s="86" t="s">
        <v>8171</v>
      </c>
      <c r="F866" s="86" t="s">
        <v>378</v>
      </c>
      <c r="G866" s="86" t="s">
        <v>38</v>
      </c>
      <c r="H866" s="86" t="s">
        <v>3092</v>
      </c>
    </row>
    <row r="867" spans="1:8" ht="12.75" hidden="1">
      <c r="A867" s="86">
        <v>866</v>
      </c>
      <c r="B867" s="86" t="s">
        <v>3112</v>
      </c>
      <c r="C867" s="86" t="str">
        <f t="shared" si="0"/>
        <v>649697</v>
      </c>
      <c r="D867" s="86" t="str">
        <f>IF(VLOOKUP(C867,'Diferencias patrimonio 2023'!$C$2:$C$1020,1,FALSE)=C867,"Encontrado", "No")</f>
        <v>Encontrado</v>
      </c>
      <c r="E867" s="86" t="s">
        <v>8171</v>
      </c>
      <c r="F867" s="86" t="s">
        <v>184</v>
      </c>
      <c r="G867" s="86" t="s">
        <v>38</v>
      </c>
      <c r="H867" s="86" t="s">
        <v>3092</v>
      </c>
    </row>
    <row r="868" spans="1:8" ht="12.75" hidden="1">
      <c r="A868" s="86">
        <v>867</v>
      </c>
      <c r="B868" s="86" t="s">
        <v>3090</v>
      </c>
      <c r="C868" s="86" t="str">
        <f t="shared" si="0"/>
        <v>649698</v>
      </c>
      <c r="D868" s="86" t="str">
        <f>IF(VLOOKUP(C868,'Diferencias patrimonio 2023'!$C$2:$C$1020,1,FALSE)=C868,"Encontrado", "No")</f>
        <v>Encontrado</v>
      </c>
      <c r="E868" s="86" t="s">
        <v>8171</v>
      </c>
      <c r="F868" s="86" t="s">
        <v>162</v>
      </c>
      <c r="G868" s="86" t="s">
        <v>38</v>
      </c>
      <c r="H868" s="86" t="s">
        <v>3092</v>
      </c>
    </row>
    <row r="869" spans="1:8" ht="12.75" hidden="1">
      <c r="A869" s="86">
        <v>868</v>
      </c>
      <c r="B869" s="86" t="s">
        <v>3202</v>
      </c>
      <c r="C869" s="86" t="str">
        <f t="shared" si="0"/>
        <v>649699</v>
      </c>
      <c r="D869" s="86" t="str">
        <f>IF(VLOOKUP(C869,'Diferencias patrimonio 2023'!$C$2:$C$1020,1,FALSE)=C869,"Encontrado", "No")</f>
        <v>Encontrado</v>
      </c>
      <c r="E869" s="86" t="s">
        <v>8171</v>
      </c>
      <c r="F869" s="86" t="s">
        <v>199</v>
      </c>
      <c r="G869" s="86" t="s">
        <v>38</v>
      </c>
      <c r="H869" s="86" t="s">
        <v>3151</v>
      </c>
    </row>
    <row r="870" spans="1:8" ht="12.75" hidden="1">
      <c r="A870" s="86">
        <v>869</v>
      </c>
      <c r="B870" s="86" t="s">
        <v>3195</v>
      </c>
      <c r="C870" s="86" t="str">
        <f t="shared" si="0"/>
        <v>649700</v>
      </c>
      <c r="D870" s="86" t="str">
        <f>IF(VLOOKUP(C870,'Diferencias patrimonio 2023'!$C$2:$C$1020,1,FALSE)=C870,"Encontrado", "No")</f>
        <v>Encontrado</v>
      </c>
      <c r="E870" s="86" t="s">
        <v>8171</v>
      </c>
      <c r="F870" s="86" t="s">
        <v>116</v>
      </c>
      <c r="G870" s="86" t="s">
        <v>38</v>
      </c>
      <c r="H870" s="86" t="s">
        <v>3151</v>
      </c>
    </row>
    <row r="871" spans="1:8" ht="12.75">
      <c r="A871" s="86">
        <v>870</v>
      </c>
      <c r="B871" s="86" t="s">
        <v>7275</v>
      </c>
      <c r="C871" s="86" t="str">
        <f t="shared" si="0"/>
        <v>649701</v>
      </c>
      <c r="D871" s="86" t="e">
        <f>IF(VLOOKUP(C871,'Diferencias patrimonio 2023'!$C$2:$C$1020,1,FALSE)=C871,"Encontrado", "No")</f>
        <v>#N/A</v>
      </c>
      <c r="E871" s="86" t="s">
        <v>8171</v>
      </c>
      <c r="F871" s="86" t="s">
        <v>378</v>
      </c>
      <c r="G871" s="86" t="s">
        <v>38</v>
      </c>
      <c r="H871" s="86" t="s">
        <v>4492</v>
      </c>
    </row>
    <row r="872" spans="1:8" ht="12.75" hidden="1">
      <c r="A872" s="86">
        <v>871</v>
      </c>
      <c r="B872" s="86" t="s">
        <v>4558</v>
      </c>
      <c r="C872" s="86" t="str">
        <f t="shared" si="0"/>
        <v>649702</v>
      </c>
      <c r="D872" s="86" t="str">
        <f>IF(VLOOKUP(C872,'Diferencias patrimonio 2023'!$C$2:$C$1020,1,FALSE)=C872,"Encontrado", "No")</f>
        <v>Encontrado</v>
      </c>
      <c r="E872" s="86" t="s">
        <v>8171</v>
      </c>
      <c r="F872" s="86" t="s">
        <v>378</v>
      </c>
      <c r="G872" s="86" t="s">
        <v>38</v>
      </c>
      <c r="H872" s="86" t="s">
        <v>4492</v>
      </c>
    </row>
    <row r="873" spans="1:8" ht="12.75" hidden="1">
      <c r="A873" s="86">
        <v>872</v>
      </c>
      <c r="B873" s="86" t="s">
        <v>4201</v>
      </c>
      <c r="C873" s="86" t="str">
        <f t="shared" si="0"/>
        <v>649703</v>
      </c>
      <c r="D873" s="86" t="str">
        <f>IF(VLOOKUP(C873,'Diferencias patrimonio 2023'!$C$2:$C$1020,1,FALSE)=C873,"Encontrado", "No")</f>
        <v>Encontrado</v>
      </c>
      <c r="E873" s="86" t="s">
        <v>8171</v>
      </c>
      <c r="F873" s="86" t="s">
        <v>93</v>
      </c>
      <c r="G873" s="86" t="s">
        <v>38</v>
      </c>
      <c r="H873" s="86" t="s">
        <v>4492</v>
      </c>
    </row>
    <row r="874" spans="1:8" ht="12.75" hidden="1">
      <c r="A874" s="86">
        <v>873</v>
      </c>
      <c r="B874" s="86" t="s">
        <v>4504</v>
      </c>
      <c r="C874" s="86" t="str">
        <f t="shared" si="0"/>
        <v>649704</v>
      </c>
      <c r="D874" s="86" t="str">
        <f>IF(VLOOKUP(C874,'Diferencias patrimonio 2023'!$C$2:$C$1020,1,FALSE)=C874,"Encontrado", "No")</f>
        <v>Encontrado</v>
      </c>
      <c r="E874" s="86" t="s">
        <v>8171</v>
      </c>
      <c r="F874" s="86" t="s">
        <v>29</v>
      </c>
      <c r="G874" s="86" t="s">
        <v>38</v>
      </c>
      <c r="H874" s="86" t="s">
        <v>4492</v>
      </c>
    </row>
    <row r="875" spans="1:8" ht="12.75" hidden="1">
      <c r="A875" s="86">
        <v>874</v>
      </c>
      <c r="B875" s="86" t="s">
        <v>4076</v>
      </c>
      <c r="C875" s="86" t="str">
        <f t="shared" si="0"/>
        <v>649705</v>
      </c>
      <c r="D875" s="86" t="str">
        <f>IF(VLOOKUP(C875,'Diferencias patrimonio 2023'!$C$2:$C$1020,1,FALSE)=C875,"Encontrado", "No")</f>
        <v>Encontrado</v>
      </c>
      <c r="E875" s="86" t="s">
        <v>8171</v>
      </c>
      <c r="F875" s="86" t="s">
        <v>378</v>
      </c>
      <c r="G875" s="86" t="s">
        <v>38</v>
      </c>
      <c r="H875" s="86" t="s">
        <v>4492</v>
      </c>
    </row>
    <row r="876" spans="1:8" ht="12.75" hidden="1">
      <c r="A876" s="86">
        <v>875</v>
      </c>
      <c r="B876" s="86" t="s">
        <v>8331</v>
      </c>
      <c r="C876" s="86" t="str">
        <f t="shared" si="0"/>
        <v>649706</v>
      </c>
      <c r="D876" s="86" t="str">
        <f>IF(VLOOKUP(C876,'Diferencias patrimonio 2023'!$C$2:$C$1020,1,FALSE)=C876,"Encontrado", "No")</f>
        <v>Encontrado</v>
      </c>
      <c r="E876" s="86" t="s">
        <v>8171</v>
      </c>
      <c r="F876" s="86" t="s">
        <v>29</v>
      </c>
      <c r="G876" s="86" t="s">
        <v>38</v>
      </c>
      <c r="H876" s="86" t="s">
        <v>4057</v>
      </c>
    </row>
    <row r="877" spans="1:8" ht="12.75" hidden="1">
      <c r="A877" s="86">
        <v>876</v>
      </c>
      <c r="B877" s="86" t="s">
        <v>4043</v>
      </c>
      <c r="C877" s="86" t="str">
        <f t="shared" si="0"/>
        <v>649707</v>
      </c>
      <c r="D877" s="86" t="str">
        <f>IF(VLOOKUP(C877,'Diferencias patrimonio 2023'!$C$2:$C$1020,1,FALSE)=C877,"Encontrado", "No")</f>
        <v>Encontrado</v>
      </c>
      <c r="E877" s="86" t="s">
        <v>8171</v>
      </c>
      <c r="F877" s="86" t="s">
        <v>378</v>
      </c>
      <c r="G877" s="86" t="s">
        <v>38</v>
      </c>
      <c r="H877" s="86" t="s">
        <v>3984</v>
      </c>
    </row>
    <row r="878" spans="1:8" ht="12.75" hidden="1">
      <c r="A878" s="86">
        <v>877</v>
      </c>
      <c r="B878" s="86" t="s">
        <v>4335</v>
      </c>
      <c r="C878" s="86" t="str">
        <f t="shared" si="0"/>
        <v>649708</v>
      </c>
      <c r="D878" s="86" t="str">
        <f>IF(VLOOKUP(C878,'Diferencias patrimonio 2023'!$C$2:$C$1020,1,FALSE)=C878,"Encontrado", "No")</f>
        <v>Encontrado</v>
      </c>
      <c r="E878" s="86" t="s">
        <v>8171</v>
      </c>
      <c r="F878" s="86" t="s">
        <v>116</v>
      </c>
      <c r="G878" s="86" t="s">
        <v>38</v>
      </c>
      <c r="H878" s="86" t="s">
        <v>3840</v>
      </c>
    </row>
    <row r="879" spans="1:8" ht="12.75" hidden="1">
      <c r="A879" s="86">
        <v>878</v>
      </c>
      <c r="B879" s="86" t="s">
        <v>8332</v>
      </c>
      <c r="C879" s="86" t="str">
        <f t="shared" si="0"/>
        <v>649709</v>
      </c>
      <c r="D879" s="86" t="str">
        <f>IF(VLOOKUP(C879,'Diferencias patrimonio 2023'!$C$2:$C$1020,1,FALSE)=C879,"Encontrado", "No")</f>
        <v>Encontrado</v>
      </c>
      <c r="E879" s="86" t="s">
        <v>8171</v>
      </c>
      <c r="F879" s="86" t="s">
        <v>29</v>
      </c>
      <c r="G879" s="86" t="s">
        <v>38</v>
      </c>
      <c r="H879" s="86" t="s">
        <v>7472</v>
      </c>
    </row>
    <row r="880" spans="1:8" ht="12.75" hidden="1">
      <c r="A880" s="86">
        <v>879</v>
      </c>
      <c r="B880" s="86" t="s">
        <v>8333</v>
      </c>
      <c r="C880" s="86" t="str">
        <f t="shared" si="0"/>
        <v>649710</v>
      </c>
      <c r="D880" s="86" t="str">
        <f>IF(VLOOKUP(C880,'Diferencias patrimonio 2023'!$C$2:$C$1020,1,FALSE)=C880,"Encontrado", "No")</f>
        <v>Encontrado</v>
      </c>
      <c r="E880" s="86" t="s">
        <v>8171</v>
      </c>
      <c r="F880" s="86" t="s">
        <v>7510</v>
      </c>
      <c r="G880" s="86" t="s">
        <v>38</v>
      </c>
      <c r="H880" s="86" t="s">
        <v>7411</v>
      </c>
    </row>
    <row r="881" spans="1:8" ht="12.75">
      <c r="A881" s="86">
        <v>880</v>
      </c>
      <c r="B881" s="86" t="s">
        <v>8334</v>
      </c>
      <c r="C881" s="86" t="str">
        <f t="shared" si="0"/>
        <v>649711</v>
      </c>
      <c r="D881" s="86" t="e">
        <f>IF(VLOOKUP(C881,'Diferencias patrimonio 2023'!$C$2:$C$1020,1,FALSE)=C881,"Encontrado", "No")</f>
        <v>#N/A</v>
      </c>
      <c r="E881" s="86" t="s">
        <v>8171</v>
      </c>
      <c r="F881" s="86" t="s">
        <v>184</v>
      </c>
      <c r="G881" s="86" t="s">
        <v>38</v>
      </c>
      <c r="H881" s="86" t="s">
        <v>2329</v>
      </c>
    </row>
    <row r="882" spans="1:8" ht="12.75" hidden="1">
      <c r="A882" s="86">
        <v>881</v>
      </c>
      <c r="B882" s="86" t="s">
        <v>7277</v>
      </c>
      <c r="C882" s="86" t="str">
        <f t="shared" si="0"/>
        <v>649712</v>
      </c>
      <c r="D882" s="86" t="str">
        <f>IF(VLOOKUP(C882,'Diferencias patrimonio 2023'!$C$2:$C$1020,1,FALSE)=C882,"Encontrado", "No")</f>
        <v>Encontrado</v>
      </c>
      <c r="E882" s="86" t="s">
        <v>8171</v>
      </c>
      <c r="F882" s="86" t="s">
        <v>378</v>
      </c>
      <c r="G882" s="86" t="s">
        <v>38</v>
      </c>
      <c r="H882" s="86" t="s">
        <v>7411</v>
      </c>
    </row>
    <row r="883" spans="1:8" ht="12.75" hidden="1">
      <c r="A883" s="86">
        <v>882</v>
      </c>
      <c r="B883" s="86" t="s">
        <v>8335</v>
      </c>
      <c r="C883" s="86" t="str">
        <f t="shared" si="0"/>
        <v>649713</v>
      </c>
      <c r="D883" s="86" t="str">
        <f>IF(VLOOKUP(C883,'Diferencias patrimonio 2023'!$C$2:$C$1020,1,FALSE)=C883,"Encontrado", "No")</f>
        <v>Encontrado</v>
      </c>
      <c r="E883" s="86" t="s">
        <v>8171</v>
      </c>
      <c r="F883" s="86" t="s">
        <v>136</v>
      </c>
      <c r="G883" s="86" t="s">
        <v>38</v>
      </c>
      <c r="H883" s="86" t="s">
        <v>7411</v>
      </c>
    </row>
    <row r="884" spans="1:8" ht="12.75" hidden="1">
      <c r="A884" s="86">
        <v>883</v>
      </c>
      <c r="B884" s="86" t="s">
        <v>3403</v>
      </c>
      <c r="C884" s="86" t="str">
        <f t="shared" si="0"/>
        <v>649714</v>
      </c>
      <c r="D884" s="86" t="str">
        <f>IF(VLOOKUP(C884,'Diferencias patrimonio 2023'!$C$2:$C$1020,1,FALSE)=C884,"Encontrado", "No")</f>
        <v>Encontrado</v>
      </c>
      <c r="E884" s="86" t="s">
        <v>8171</v>
      </c>
      <c r="F884" s="86" t="s">
        <v>248</v>
      </c>
      <c r="G884" s="86" t="s">
        <v>38</v>
      </c>
      <c r="H884" s="86" t="s">
        <v>2329</v>
      </c>
    </row>
    <row r="885" spans="1:8" ht="12.75" hidden="1">
      <c r="A885" s="86">
        <v>884</v>
      </c>
      <c r="B885" s="86" t="s">
        <v>4004</v>
      </c>
      <c r="C885" s="86" t="str">
        <f t="shared" si="0"/>
        <v>649715</v>
      </c>
      <c r="D885" s="86" t="str">
        <f>IF(VLOOKUP(C885,'Diferencias patrimonio 2023'!$C$2:$C$1020,1,FALSE)=C885,"Encontrado", "No")</f>
        <v>Encontrado</v>
      </c>
      <c r="E885" s="86" t="s">
        <v>8171</v>
      </c>
      <c r="F885" s="86" t="s">
        <v>29</v>
      </c>
      <c r="G885" s="86" t="s">
        <v>38</v>
      </c>
      <c r="H885" s="86" t="s">
        <v>3984</v>
      </c>
    </row>
    <row r="886" spans="1:8" ht="12.75" hidden="1">
      <c r="A886" s="86">
        <v>885</v>
      </c>
      <c r="B886" s="86" t="s">
        <v>8336</v>
      </c>
      <c r="C886" s="86" t="str">
        <f t="shared" si="0"/>
        <v>649716</v>
      </c>
      <c r="D886" s="86" t="str">
        <f>IF(VLOOKUP(C886,'Diferencias patrimonio 2023'!$C$2:$C$1020,1,FALSE)=C886,"Encontrado", "No")</f>
        <v>Encontrado</v>
      </c>
      <c r="E886" s="86" t="s">
        <v>8171</v>
      </c>
      <c r="F886" s="86" t="s">
        <v>378</v>
      </c>
      <c r="G886" s="86" t="s">
        <v>38</v>
      </c>
      <c r="H886" s="86" t="s">
        <v>8224</v>
      </c>
    </row>
    <row r="887" spans="1:8" ht="12.75" hidden="1">
      <c r="A887" s="86">
        <v>886</v>
      </c>
      <c r="B887" s="86" t="s">
        <v>8337</v>
      </c>
      <c r="C887" s="86" t="str">
        <f t="shared" si="0"/>
        <v>649717</v>
      </c>
      <c r="D887" s="86" t="str">
        <f>IF(VLOOKUP(C887,'Diferencias patrimonio 2023'!$C$2:$C$1020,1,FALSE)=C887,"Encontrado", "No")</f>
        <v>Encontrado</v>
      </c>
      <c r="E887" s="86" t="s">
        <v>8171</v>
      </c>
      <c r="F887" s="86" t="s">
        <v>162</v>
      </c>
      <c r="G887" s="86" t="s">
        <v>38</v>
      </c>
      <c r="H887" s="86" t="s">
        <v>3450</v>
      </c>
    </row>
    <row r="888" spans="1:8" ht="12.75" hidden="1">
      <c r="A888" s="86">
        <v>887</v>
      </c>
      <c r="B888" s="86" t="s">
        <v>8338</v>
      </c>
      <c r="C888" s="86" t="str">
        <f t="shared" si="0"/>
        <v>649718</v>
      </c>
      <c r="D888" s="86" t="str">
        <f>IF(VLOOKUP(C888,'Diferencias patrimonio 2023'!$C$2:$C$1020,1,FALSE)=C888,"Encontrado", "No")</f>
        <v>Encontrado</v>
      </c>
      <c r="E888" s="86" t="s">
        <v>8171</v>
      </c>
      <c r="F888" s="86" t="s">
        <v>7510</v>
      </c>
      <c r="G888" s="86" t="s">
        <v>38</v>
      </c>
      <c r="H888" s="86" t="s">
        <v>3450</v>
      </c>
    </row>
    <row r="889" spans="1:8" ht="12.75" hidden="1">
      <c r="A889" s="86">
        <v>888</v>
      </c>
      <c r="B889" s="86" t="s">
        <v>8339</v>
      </c>
      <c r="C889" s="86" t="str">
        <f t="shared" si="0"/>
        <v>649719</v>
      </c>
      <c r="D889" s="86" t="str">
        <f>IF(VLOOKUP(C889,'Diferencias patrimonio 2023'!$C$2:$C$1020,1,FALSE)=C889,"Encontrado", "No")</f>
        <v>Encontrado</v>
      </c>
      <c r="E889" s="86" t="s">
        <v>8171</v>
      </c>
      <c r="F889" s="86" t="s">
        <v>378</v>
      </c>
      <c r="G889" s="86" t="s">
        <v>38</v>
      </c>
      <c r="H889" s="86" t="s">
        <v>3450</v>
      </c>
    </row>
    <row r="890" spans="1:8" ht="12.75" hidden="1">
      <c r="A890" s="86">
        <v>889</v>
      </c>
      <c r="B890" s="86" t="s">
        <v>8340</v>
      </c>
      <c r="C890" s="86" t="str">
        <f t="shared" si="0"/>
        <v>649720</v>
      </c>
      <c r="D890" s="86" t="str">
        <f>IF(VLOOKUP(C890,'Diferencias patrimonio 2023'!$C$2:$C$1020,1,FALSE)=C890,"Encontrado", "No")</f>
        <v>Encontrado</v>
      </c>
      <c r="E890" s="86" t="s">
        <v>8171</v>
      </c>
      <c r="F890" s="86" t="s">
        <v>93</v>
      </c>
      <c r="G890" s="86" t="s">
        <v>38</v>
      </c>
      <c r="H890" s="86" t="s">
        <v>3450</v>
      </c>
    </row>
    <row r="891" spans="1:8" ht="12.75" hidden="1">
      <c r="A891" s="86">
        <v>890</v>
      </c>
      <c r="B891" s="86" t="s">
        <v>8341</v>
      </c>
      <c r="C891" s="86" t="str">
        <f t="shared" si="0"/>
        <v>649721</v>
      </c>
      <c r="D891" s="86" t="str">
        <f>IF(VLOOKUP(C891,'Diferencias patrimonio 2023'!$C$2:$C$1020,1,FALSE)=C891,"Encontrado", "No")</f>
        <v>Encontrado</v>
      </c>
      <c r="E891" s="86" t="s">
        <v>8171</v>
      </c>
      <c r="F891" s="86" t="s">
        <v>378</v>
      </c>
      <c r="G891" s="86" t="s">
        <v>38</v>
      </c>
      <c r="H891" s="86" t="s">
        <v>3450</v>
      </c>
    </row>
    <row r="892" spans="1:8" ht="12.75" hidden="1">
      <c r="A892" s="86">
        <v>891</v>
      </c>
      <c r="B892" s="86" t="s">
        <v>8342</v>
      </c>
      <c r="C892" s="86" t="str">
        <f t="shared" si="0"/>
        <v>649722</v>
      </c>
      <c r="D892" s="86" t="str">
        <f>IF(VLOOKUP(C892,'Diferencias patrimonio 2023'!$C$2:$C$1020,1,FALSE)=C892,"Encontrado", "No")</f>
        <v>Encontrado</v>
      </c>
      <c r="E892" s="86" t="s">
        <v>8171</v>
      </c>
      <c r="F892" s="86" t="s">
        <v>93</v>
      </c>
      <c r="G892" s="86" t="s">
        <v>38</v>
      </c>
      <c r="H892" s="86" t="s">
        <v>3450</v>
      </c>
    </row>
    <row r="893" spans="1:8" ht="12.75" hidden="1">
      <c r="A893" s="86">
        <v>892</v>
      </c>
      <c r="B893" s="86" t="s">
        <v>7293</v>
      </c>
      <c r="C893" s="86" t="str">
        <f t="shared" si="0"/>
        <v>649723</v>
      </c>
      <c r="D893" s="86" t="str">
        <f>IF(VLOOKUP(C893,'Diferencias patrimonio 2023'!$C$2:$C$1020,1,FALSE)=C893,"Encontrado", "No")</f>
        <v>Encontrado</v>
      </c>
      <c r="E893" s="86" t="s">
        <v>8171</v>
      </c>
      <c r="F893" s="86" t="s">
        <v>43</v>
      </c>
      <c r="G893" s="86" t="s">
        <v>38</v>
      </c>
      <c r="H893" s="86" t="s">
        <v>3450</v>
      </c>
    </row>
    <row r="894" spans="1:8" ht="12.75" hidden="1">
      <c r="A894" s="86">
        <v>893</v>
      </c>
      <c r="B894" s="86" t="s">
        <v>8343</v>
      </c>
      <c r="C894" s="86" t="str">
        <f t="shared" si="0"/>
        <v>649724</v>
      </c>
      <c r="D894" s="86" t="str">
        <f>IF(VLOOKUP(C894,'Diferencias patrimonio 2023'!$C$2:$C$1020,1,FALSE)=C894,"Encontrado", "No")</f>
        <v>Encontrado</v>
      </c>
      <c r="E894" s="86" t="s">
        <v>8171</v>
      </c>
      <c r="F894" s="86" t="s">
        <v>43</v>
      </c>
      <c r="G894" s="86" t="s">
        <v>38</v>
      </c>
      <c r="H894" s="86" t="s">
        <v>3450</v>
      </c>
    </row>
    <row r="895" spans="1:8" ht="12.75" hidden="1">
      <c r="A895" s="86">
        <v>894</v>
      </c>
      <c r="B895" s="86" t="s">
        <v>8344</v>
      </c>
      <c r="C895" s="86" t="str">
        <f t="shared" si="0"/>
        <v>649725</v>
      </c>
      <c r="D895" s="86" t="str">
        <f>IF(VLOOKUP(C895,'Diferencias patrimonio 2023'!$C$2:$C$1020,1,FALSE)=C895,"Encontrado", "No")</f>
        <v>Encontrado</v>
      </c>
      <c r="E895" s="86" t="s">
        <v>8171</v>
      </c>
      <c r="F895" s="86" t="s">
        <v>378</v>
      </c>
      <c r="G895" s="86" t="s">
        <v>38</v>
      </c>
      <c r="H895" s="86" t="s">
        <v>3450</v>
      </c>
    </row>
    <row r="896" spans="1:8" ht="12.75" hidden="1">
      <c r="A896" s="86">
        <v>895</v>
      </c>
      <c r="B896" s="86" t="s">
        <v>8345</v>
      </c>
      <c r="C896" s="86" t="str">
        <f t="shared" si="0"/>
        <v>649726</v>
      </c>
      <c r="D896" s="86" t="str">
        <f>IF(VLOOKUP(C896,'Diferencias patrimonio 2023'!$C$2:$C$1020,1,FALSE)=C896,"Encontrado", "No")</f>
        <v>Encontrado</v>
      </c>
      <c r="E896" s="86" t="s">
        <v>8171</v>
      </c>
      <c r="F896" s="86" t="s">
        <v>378</v>
      </c>
      <c r="G896" s="86" t="s">
        <v>38</v>
      </c>
      <c r="H896" s="86" t="s">
        <v>3450</v>
      </c>
    </row>
    <row r="897" spans="1:8" ht="12.75" hidden="1">
      <c r="A897" s="86">
        <v>896</v>
      </c>
      <c r="B897" s="86" t="s">
        <v>8346</v>
      </c>
      <c r="C897" s="86" t="str">
        <f t="shared" si="0"/>
        <v>649727</v>
      </c>
      <c r="D897" s="86" t="str">
        <f>IF(VLOOKUP(C897,'Diferencias patrimonio 2023'!$C$2:$C$1020,1,FALSE)=C897,"Encontrado", "No")</f>
        <v>Encontrado</v>
      </c>
      <c r="E897" s="86" t="s">
        <v>8171</v>
      </c>
      <c r="F897" s="86" t="s">
        <v>378</v>
      </c>
      <c r="G897" s="86" t="s">
        <v>38</v>
      </c>
      <c r="H897" s="86" t="s">
        <v>3450</v>
      </c>
    </row>
    <row r="898" spans="1:8" ht="12.75" hidden="1">
      <c r="A898" s="86">
        <v>897</v>
      </c>
      <c r="B898" s="86" t="s">
        <v>8347</v>
      </c>
      <c r="C898" s="86" t="str">
        <f t="shared" si="0"/>
        <v>649728</v>
      </c>
      <c r="D898" s="86" t="str">
        <f>IF(VLOOKUP(C898,'Diferencias patrimonio 2023'!$C$2:$C$1020,1,FALSE)=C898,"Encontrado", "No")</f>
        <v>Encontrado</v>
      </c>
      <c r="E898" s="86" t="s">
        <v>8171</v>
      </c>
      <c r="F898" s="86" t="s">
        <v>378</v>
      </c>
      <c r="G898" s="86" t="s">
        <v>38</v>
      </c>
      <c r="H898" s="86" t="s">
        <v>3450</v>
      </c>
    </row>
    <row r="899" spans="1:8" ht="12.75" hidden="1">
      <c r="A899" s="86">
        <v>898</v>
      </c>
      <c r="B899" s="86" t="s">
        <v>8348</v>
      </c>
      <c r="C899" s="86" t="str">
        <f t="shared" si="0"/>
        <v>649729</v>
      </c>
      <c r="D899" s="86" t="str">
        <f>IF(VLOOKUP(C899,'Diferencias patrimonio 2023'!$C$2:$C$1020,1,FALSE)=C899,"Encontrado", "No")</f>
        <v>Encontrado</v>
      </c>
      <c r="E899" s="86" t="s">
        <v>8171</v>
      </c>
      <c r="F899" s="86" t="s">
        <v>378</v>
      </c>
      <c r="G899" s="86" t="s">
        <v>38</v>
      </c>
      <c r="H899" s="86" t="s">
        <v>3450</v>
      </c>
    </row>
    <row r="900" spans="1:8" ht="12.75" hidden="1">
      <c r="A900" s="86">
        <v>899</v>
      </c>
      <c r="B900" s="86" t="s">
        <v>8349</v>
      </c>
      <c r="C900" s="86" t="str">
        <f t="shared" si="0"/>
        <v>649730</v>
      </c>
      <c r="D900" s="86" t="str">
        <f>IF(VLOOKUP(C900,'Diferencias patrimonio 2023'!$C$2:$C$1020,1,FALSE)=C900,"Encontrado", "No")</f>
        <v>Encontrado</v>
      </c>
      <c r="E900" s="86" t="s">
        <v>8171</v>
      </c>
      <c r="F900" s="86" t="s">
        <v>378</v>
      </c>
      <c r="G900" s="86" t="s">
        <v>38</v>
      </c>
      <c r="H900" s="86" t="s">
        <v>3450</v>
      </c>
    </row>
    <row r="901" spans="1:8" ht="12.75" hidden="1">
      <c r="A901" s="86">
        <v>900</v>
      </c>
      <c r="B901" s="86" t="s">
        <v>8350</v>
      </c>
      <c r="C901" s="86" t="str">
        <f t="shared" si="0"/>
        <v>649731</v>
      </c>
      <c r="D901" s="86" t="str">
        <f>IF(VLOOKUP(C901,'Diferencias patrimonio 2023'!$C$2:$C$1020,1,FALSE)=C901,"Encontrado", "No")</f>
        <v>Encontrado</v>
      </c>
      <c r="E901" s="86" t="s">
        <v>8171</v>
      </c>
      <c r="F901" s="86" t="s">
        <v>184</v>
      </c>
      <c r="G901" s="86" t="s">
        <v>38</v>
      </c>
      <c r="H901" s="86" t="s">
        <v>3450</v>
      </c>
    </row>
    <row r="902" spans="1:8" ht="12.75" hidden="1">
      <c r="A902" s="86">
        <v>901</v>
      </c>
      <c r="B902" s="86" t="s">
        <v>8351</v>
      </c>
      <c r="C902" s="86" t="str">
        <f t="shared" si="0"/>
        <v>649732</v>
      </c>
      <c r="D902" s="86" t="str">
        <f>IF(VLOOKUP(C902,'Diferencias patrimonio 2023'!$C$2:$C$1020,1,FALSE)=C902,"Encontrado", "No")</f>
        <v>Encontrado</v>
      </c>
      <c r="E902" s="86" t="s">
        <v>8171</v>
      </c>
      <c r="F902" s="86" t="s">
        <v>29</v>
      </c>
      <c r="G902" s="86" t="s">
        <v>38</v>
      </c>
      <c r="H902" s="86" t="s">
        <v>3450</v>
      </c>
    </row>
    <row r="903" spans="1:8" ht="12.75" hidden="1">
      <c r="A903" s="86">
        <v>902</v>
      </c>
      <c r="B903" s="86" t="s">
        <v>3735</v>
      </c>
      <c r="C903" s="86" t="str">
        <f t="shared" si="0"/>
        <v>649733</v>
      </c>
      <c r="D903" s="86" t="str">
        <f>IF(VLOOKUP(C903,'Diferencias patrimonio 2023'!$C$2:$C$1020,1,FALSE)=C903,"Encontrado", "No")</f>
        <v>Encontrado</v>
      </c>
      <c r="E903" s="86" t="s">
        <v>8171</v>
      </c>
      <c r="F903" s="86" t="s">
        <v>62</v>
      </c>
      <c r="G903" s="86" t="s">
        <v>38</v>
      </c>
      <c r="H903" s="86" t="s">
        <v>1665</v>
      </c>
    </row>
    <row r="904" spans="1:8" ht="12.75" hidden="1">
      <c r="A904" s="86">
        <v>903</v>
      </c>
      <c r="B904" s="86" t="s">
        <v>3791</v>
      </c>
      <c r="C904" s="86" t="str">
        <f t="shared" si="0"/>
        <v>649734</v>
      </c>
      <c r="D904" s="86" t="str">
        <f>IF(VLOOKUP(C904,'Diferencias patrimonio 2023'!$C$2:$C$1020,1,FALSE)=C904,"Encontrado", "No")</f>
        <v>Encontrado</v>
      </c>
      <c r="E904" s="86" t="s">
        <v>8171</v>
      </c>
      <c r="F904" s="86" t="s">
        <v>378</v>
      </c>
      <c r="G904" s="86" t="s">
        <v>38</v>
      </c>
      <c r="H904" s="86" t="s">
        <v>1665</v>
      </c>
    </row>
    <row r="905" spans="1:8" ht="12.75">
      <c r="A905" s="86">
        <v>904</v>
      </c>
      <c r="B905" s="86" t="s">
        <v>8352</v>
      </c>
      <c r="C905" s="86" t="str">
        <f t="shared" si="0"/>
        <v>649735</v>
      </c>
      <c r="D905" s="86" t="e">
        <f>IF(VLOOKUP(C905,'Diferencias patrimonio 2023'!$C$2:$C$1020,1,FALSE)=C905,"Encontrado", "No")</f>
        <v>#N/A</v>
      </c>
      <c r="E905" s="86" t="s">
        <v>8171</v>
      </c>
      <c r="F905" s="86" t="s">
        <v>43</v>
      </c>
      <c r="G905" s="86" t="s">
        <v>38</v>
      </c>
      <c r="H905" s="86" t="s">
        <v>1665</v>
      </c>
    </row>
    <row r="906" spans="1:8" ht="12.75" hidden="1">
      <c r="A906" s="86">
        <v>905</v>
      </c>
      <c r="B906" s="86" t="s">
        <v>3799</v>
      </c>
      <c r="C906" s="86" t="str">
        <f t="shared" si="0"/>
        <v>649736</v>
      </c>
      <c r="D906" s="86" t="str">
        <f>IF(VLOOKUP(C906,'Diferencias patrimonio 2023'!$C$2:$C$1020,1,FALSE)=C906,"Encontrado", "No")</f>
        <v>Encontrado</v>
      </c>
      <c r="E906" s="86" t="s">
        <v>8171</v>
      </c>
      <c r="F906" s="86" t="s">
        <v>199</v>
      </c>
      <c r="G906" s="86" t="s">
        <v>38</v>
      </c>
      <c r="H906" s="86" t="s">
        <v>1665</v>
      </c>
    </row>
    <row r="907" spans="1:8" ht="12.75" hidden="1">
      <c r="A907" s="86">
        <v>906</v>
      </c>
      <c r="B907" s="86" t="s">
        <v>8353</v>
      </c>
      <c r="C907" s="86" t="str">
        <f t="shared" si="0"/>
        <v>649737</v>
      </c>
      <c r="D907" s="86" t="str">
        <f>IF(VLOOKUP(C907,'Diferencias patrimonio 2023'!$C$2:$C$1020,1,FALSE)=C907,"Encontrado", "No")</f>
        <v>Encontrado</v>
      </c>
      <c r="E907" s="86" t="s">
        <v>8171</v>
      </c>
      <c r="F907" s="86" t="s">
        <v>3521</v>
      </c>
      <c r="G907" s="86" t="s">
        <v>38</v>
      </c>
      <c r="H907" s="86" t="s">
        <v>3450</v>
      </c>
    </row>
    <row r="908" spans="1:8" ht="12.75" hidden="1">
      <c r="A908" s="86">
        <v>907</v>
      </c>
      <c r="B908" s="86" t="s">
        <v>8354</v>
      </c>
      <c r="C908" s="86" t="str">
        <f t="shared" si="0"/>
        <v>649738</v>
      </c>
      <c r="D908" s="86" t="str">
        <f>IF(VLOOKUP(C908,'Diferencias patrimonio 2023'!$C$2:$C$1020,1,FALSE)=C908,"Encontrado", "No")</f>
        <v>Encontrado</v>
      </c>
      <c r="E908" s="86" t="s">
        <v>8171</v>
      </c>
      <c r="F908" s="86" t="s">
        <v>29</v>
      </c>
      <c r="G908" s="86" t="s">
        <v>38</v>
      </c>
      <c r="H908" s="86" t="s">
        <v>3450</v>
      </c>
    </row>
    <row r="909" spans="1:8" ht="12.75" hidden="1">
      <c r="A909" s="86">
        <v>908</v>
      </c>
      <c r="B909" s="86" t="s">
        <v>8355</v>
      </c>
      <c r="C909" s="86" t="str">
        <f t="shared" si="0"/>
        <v>649739</v>
      </c>
      <c r="D909" s="86" t="str">
        <f>IF(VLOOKUP(C909,'Diferencias patrimonio 2023'!$C$2:$C$1020,1,FALSE)=C909,"Encontrado", "No")</f>
        <v>Encontrado</v>
      </c>
      <c r="E909" s="86" t="s">
        <v>8171</v>
      </c>
      <c r="F909" s="86" t="s">
        <v>501</v>
      </c>
      <c r="G909" s="86" t="s">
        <v>38</v>
      </c>
      <c r="H909" s="86" t="s">
        <v>3450</v>
      </c>
    </row>
    <row r="910" spans="1:8" ht="12.75">
      <c r="A910" s="86">
        <v>909</v>
      </c>
      <c r="B910" s="86" t="s">
        <v>8356</v>
      </c>
      <c r="C910" s="86" t="str">
        <f t="shared" si="0"/>
        <v>649740</v>
      </c>
      <c r="D910" s="86" t="e">
        <f>IF(VLOOKUP(C910,'Diferencias patrimonio 2023'!$C$2:$C$1020,1,FALSE)=C910,"Encontrado", "No")</f>
        <v>#N/A</v>
      </c>
      <c r="E910" s="86" t="s">
        <v>8171</v>
      </c>
      <c r="F910" s="86" t="s">
        <v>116</v>
      </c>
      <c r="G910" s="86" t="s">
        <v>38</v>
      </c>
      <c r="H910" s="86" t="s">
        <v>3450</v>
      </c>
    </row>
    <row r="911" spans="1:8" ht="12.75" hidden="1">
      <c r="A911" s="86">
        <v>910</v>
      </c>
      <c r="B911" s="86" t="s">
        <v>5401</v>
      </c>
      <c r="C911" s="86" t="str">
        <f t="shared" si="0"/>
        <v>649741</v>
      </c>
      <c r="D911" s="86" t="str">
        <f>IF(VLOOKUP(C911,'Diferencias patrimonio 2023'!$C$2:$C$1020,1,FALSE)=C911,"Encontrado", "No")</f>
        <v>Encontrado</v>
      </c>
      <c r="E911" s="86" t="s">
        <v>8171</v>
      </c>
      <c r="F911" s="86" t="s">
        <v>116</v>
      </c>
      <c r="G911" s="86" t="s">
        <v>38</v>
      </c>
      <c r="H911" s="86" t="s">
        <v>7531</v>
      </c>
    </row>
    <row r="912" spans="1:8" ht="12.75" hidden="1">
      <c r="A912" s="86">
        <v>911</v>
      </c>
      <c r="B912" s="86" t="s">
        <v>5415</v>
      </c>
      <c r="C912" s="86" t="str">
        <f t="shared" si="0"/>
        <v>649742</v>
      </c>
      <c r="D912" s="86" t="str">
        <f>IF(VLOOKUP(C912,'Diferencias patrimonio 2023'!$C$2:$C$1020,1,FALSE)=C912,"Encontrado", "No")</f>
        <v>Encontrado</v>
      </c>
      <c r="E912" s="86" t="s">
        <v>8171</v>
      </c>
      <c r="F912" s="86" t="s">
        <v>199</v>
      </c>
      <c r="G912" s="86" t="s">
        <v>38</v>
      </c>
      <c r="H912" s="86" t="s">
        <v>7531</v>
      </c>
    </row>
    <row r="913" spans="1:8" ht="12.75" hidden="1">
      <c r="A913" s="86">
        <v>912</v>
      </c>
      <c r="B913" s="86" t="s">
        <v>5429</v>
      </c>
      <c r="C913" s="86" t="str">
        <f t="shared" si="0"/>
        <v>649743</v>
      </c>
      <c r="D913" s="86" t="str">
        <f>IF(VLOOKUP(C913,'Diferencias patrimonio 2023'!$C$2:$C$1020,1,FALSE)=C913,"Encontrado", "No")</f>
        <v>Encontrado</v>
      </c>
      <c r="E913" s="86" t="s">
        <v>8171</v>
      </c>
      <c r="F913" s="86" t="s">
        <v>151</v>
      </c>
      <c r="G913" s="86" t="s">
        <v>38</v>
      </c>
      <c r="H913" s="86" t="s">
        <v>7531</v>
      </c>
    </row>
    <row r="914" spans="1:8" ht="12.75" hidden="1">
      <c r="A914" s="86">
        <v>913</v>
      </c>
      <c r="B914" s="86" t="s">
        <v>5439</v>
      </c>
      <c r="C914" s="86" t="str">
        <f t="shared" si="0"/>
        <v>649744</v>
      </c>
      <c r="D914" s="86" t="str">
        <f>IF(VLOOKUP(C914,'Diferencias patrimonio 2023'!$C$2:$C$1020,1,FALSE)=C914,"Encontrado", "No")</f>
        <v>Encontrado</v>
      </c>
      <c r="E914" s="86" t="s">
        <v>8171</v>
      </c>
      <c r="F914" s="86" t="s">
        <v>378</v>
      </c>
      <c r="G914" s="86" t="s">
        <v>38</v>
      </c>
      <c r="H914" s="86" t="s">
        <v>7531</v>
      </c>
    </row>
    <row r="915" spans="1:8" ht="12.75" hidden="1">
      <c r="A915" s="86">
        <v>914</v>
      </c>
      <c r="B915" s="86" t="s">
        <v>5296</v>
      </c>
      <c r="C915" s="86" t="str">
        <f t="shared" si="0"/>
        <v>649745</v>
      </c>
      <c r="D915" s="86" t="str">
        <f>IF(VLOOKUP(C915,'Diferencias patrimonio 2023'!$C$2:$C$1020,1,FALSE)=C915,"Encontrado", "No")</f>
        <v>Encontrado</v>
      </c>
      <c r="E915" s="86" t="s">
        <v>8171</v>
      </c>
      <c r="F915" s="86" t="s">
        <v>62</v>
      </c>
      <c r="G915" s="86" t="s">
        <v>38</v>
      </c>
      <c r="H915" s="86" t="s">
        <v>4980</v>
      </c>
    </row>
    <row r="916" spans="1:8" ht="12.75" hidden="1">
      <c r="A916" s="86">
        <v>915</v>
      </c>
      <c r="B916" s="86" t="s">
        <v>5117</v>
      </c>
      <c r="C916" s="86" t="str">
        <f t="shared" si="0"/>
        <v>649746</v>
      </c>
      <c r="D916" s="86" t="str">
        <f>IF(VLOOKUP(C916,'Diferencias patrimonio 2023'!$C$2:$C$1020,1,FALSE)=C916,"Encontrado", "No")</f>
        <v>Encontrado</v>
      </c>
      <c r="E916" s="86" t="s">
        <v>8171</v>
      </c>
      <c r="F916" s="86" t="s">
        <v>43</v>
      </c>
      <c r="G916" s="86" t="s">
        <v>38</v>
      </c>
      <c r="H916" s="86" t="s">
        <v>4980</v>
      </c>
    </row>
    <row r="917" spans="1:8" ht="12.75" hidden="1">
      <c r="A917" s="86">
        <v>916</v>
      </c>
      <c r="B917" s="86" t="s">
        <v>5309</v>
      </c>
      <c r="C917" s="86" t="str">
        <f t="shared" si="0"/>
        <v>649747</v>
      </c>
      <c r="D917" s="86" t="str">
        <f>IF(VLOOKUP(C917,'Diferencias patrimonio 2023'!$C$2:$C$1020,1,FALSE)=C917,"Encontrado", "No")</f>
        <v>Encontrado</v>
      </c>
      <c r="E917" s="86" t="s">
        <v>8171</v>
      </c>
      <c r="F917" s="86" t="s">
        <v>378</v>
      </c>
      <c r="G917" s="86" t="s">
        <v>38</v>
      </c>
      <c r="H917" s="86" t="s">
        <v>4980</v>
      </c>
    </row>
    <row r="918" spans="1:8" ht="12.75">
      <c r="A918" s="86">
        <v>917</v>
      </c>
      <c r="B918" s="86" t="s">
        <v>8357</v>
      </c>
      <c r="C918" s="86" t="str">
        <f t="shared" si="0"/>
        <v>649748</v>
      </c>
      <c r="D918" s="86" t="e">
        <f>IF(VLOOKUP(C918,'Diferencias patrimonio 2023'!$C$2:$C$1020,1,FALSE)=C918,"Encontrado", "No")</f>
        <v>#N/A</v>
      </c>
      <c r="E918" s="86" t="s">
        <v>8171</v>
      </c>
      <c r="F918" s="86" t="s">
        <v>162</v>
      </c>
      <c r="G918" s="86" t="s">
        <v>38</v>
      </c>
      <c r="H918" s="86" t="s">
        <v>4980</v>
      </c>
    </row>
    <row r="919" spans="1:8" ht="12.75" hidden="1">
      <c r="A919" s="86">
        <v>918</v>
      </c>
      <c r="B919" s="86" t="s">
        <v>5335</v>
      </c>
      <c r="C919" s="86" t="str">
        <f t="shared" si="0"/>
        <v>649749</v>
      </c>
      <c r="D919" s="86" t="str">
        <f>IF(VLOOKUP(C919,'Diferencias patrimonio 2023'!$C$2:$C$1020,1,FALSE)=C919,"Encontrado", "No")</f>
        <v>Encontrado</v>
      </c>
      <c r="E919" s="86" t="s">
        <v>8171</v>
      </c>
      <c r="F919" s="86" t="s">
        <v>93</v>
      </c>
      <c r="G919" s="86" t="s">
        <v>38</v>
      </c>
      <c r="H919" s="86" t="s">
        <v>4980</v>
      </c>
    </row>
    <row r="920" spans="1:8" ht="12.75" hidden="1">
      <c r="A920" s="86">
        <v>919</v>
      </c>
      <c r="B920" s="86" t="s">
        <v>5388</v>
      </c>
      <c r="C920" s="86" t="str">
        <f t="shared" si="0"/>
        <v>649750</v>
      </c>
      <c r="D920" s="86" t="str">
        <f>IF(VLOOKUP(C920,'Diferencias patrimonio 2023'!$C$2:$C$1020,1,FALSE)=C920,"Encontrado", "No")</f>
        <v>Encontrado</v>
      </c>
      <c r="E920" s="86" t="s">
        <v>8171</v>
      </c>
      <c r="F920" s="86" t="s">
        <v>93</v>
      </c>
      <c r="G920" s="86" t="s">
        <v>38</v>
      </c>
      <c r="H920" s="86" t="s">
        <v>7531</v>
      </c>
    </row>
    <row r="921" spans="1:8" ht="12.75" hidden="1">
      <c r="A921" s="86">
        <v>920</v>
      </c>
      <c r="B921" s="86" t="s">
        <v>5323</v>
      </c>
      <c r="C921" s="86" t="str">
        <f t="shared" si="0"/>
        <v>649751</v>
      </c>
      <c r="D921" s="86" t="str">
        <f>IF(VLOOKUP(C921,'Diferencias patrimonio 2023'!$C$2:$C$1020,1,FALSE)=C921,"Encontrado", "No")</f>
        <v>Encontrado</v>
      </c>
      <c r="E921" s="86" t="s">
        <v>8171</v>
      </c>
      <c r="F921" s="86" t="s">
        <v>8206</v>
      </c>
      <c r="G921" s="86" t="s">
        <v>38</v>
      </c>
      <c r="H921" s="86" t="s">
        <v>4980</v>
      </c>
    </row>
    <row r="922" spans="1:8" ht="12.75">
      <c r="A922" s="86">
        <v>921</v>
      </c>
      <c r="B922" s="86" t="s">
        <v>8358</v>
      </c>
      <c r="C922" s="86" t="str">
        <f t="shared" si="0"/>
        <v>649752</v>
      </c>
      <c r="D922" s="86" t="e">
        <f>IF(VLOOKUP(C922,'Diferencias patrimonio 2023'!$C$2:$C$1020,1,FALSE)=C922,"Encontrado", "No")</f>
        <v>#N/A</v>
      </c>
      <c r="E922" s="86" t="s">
        <v>8171</v>
      </c>
      <c r="F922" s="86" t="s">
        <v>501</v>
      </c>
      <c r="G922" s="86" t="s">
        <v>38</v>
      </c>
      <c r="H922" s="86" t="s">
        <v>5310</v>
      </c>
    </row>
    <row r="923" spans="1:8" ht="12.75">
      <c r="A923" s="86">
        <v>922</v>
      </c>
      <c r="B923" s="86" t="s">
        <v>5458</v>
      </c>
      <c r="C923" s="86" t="str">
        <f t="shared" si="0"/>
        <v>649753</v>
      </c>
      <c r="D923" s="86" t="str">
        <f>IF(VLOOKUP(C923,'Diferencias patrimonio 2023'!$C$2:$C$1020,1,FALSE)=C923,"Encontrado", "No")</f>
        <v>Encontrado</v>
      </c>
      <c r="E923" s="86" t="s">
        <v>8171</v>
      </c>
      <c r="F923" s="86" t="s">
        <v>71</v>
      </c>
      <c r="G923" s="86" t="s">
        <v>38</v>
      </c>
      <c r="H923" s="86" t="s">
        <v>5310</v>
      </c>
    </row>
    <row r="924" spans="1:8" ht="12.75" hidden="1">
      <c r="A924" s="86">
        <v>923</v>
      </c>
      <c r="B924" s="86" t="s">
        <v>8359</v>
      </c>
      <c r="C924" s="86" t="str">
        <f t="shared" si="0"/>
        <v>649754</v>
      </c>
      <c r="D924" s="86" t="e">
        <f>IF(VLOOKUP(C924,'Diferencias patrimonio 2023'!$C$2:$C$1020,1,FALSE)=C924,"Encontrado", "No")</f>
        <v>#N/A</v>
      </c>
      <c r="E924" s="86" t="s">
        <v>8171</v>
      </c>
      <c r="F924" s="86" t="s">
        <v>71</v>
      </c>
      <c r="G924" s="86" t="s">
        <v>38</v>
      </c>
      <c r="H924" s="86" t="s">
        <v>5310</v>
      </c>
    </row>
    <row r="925" spans="1:8" ht="12.75" hidden="1">
      <c r="A925" s="86">
        <v>924</v>
      </c>
      <c r="B925" s="86" t="s">
        <v>5518</v>
      </c>
      <c r="C925" s="86" t="str">
        <f t="shared" si="0"/>
        <v>649755</v>
      </c>
      <c r="D925" s="86" t="str">
        <f>IF(VLOOKUP(C925,'Diferencias patrimonio 2023'!$C$2:$C$1020,1,FALSE)=C925,"Encontrado", "No")</f>
        <v>Encontrado</v>
      </c>
      <c r="E925" s="86" t="s">
        <v>8171</v>
      </c>
      <c r="F925" s="86" t="s">
        <v>29</v>
      </c>
      <c r="G925" s="86" t="s">
        <v>38</v>
      </c>
      <c r="H925" s="86" t="s">
        <v>5310</v>
      </c>
    </row>
    <row r="926" spans="1:8" ht="12.75" hidden="1">
      <c r="A926" s="86">
        <v>925</v>
      </c>
      <c r="B926" s="86" t="s">
        <v>5445</v>
      </c>
      <c r="C926" s="86" t="str">
        <f t="shared" si="0"/>
        <v>649756</v>
      </c>
      <c r="D926" s="86" t="str">
        <f>IF(VLOOKUP(C926,'Diferencias patrimonio 2023'!$C$2:$C$1020,1,FALSE)=C926,"Encontrado", "No")</f>
        <v>Encontrado</v>
      </c>
      <c r="E926" s="86" t="s">
        <v>8171</v>
      </c>
      <c r="F926" s="86" t="s">
        <v>8207</v>
      </c>
      <c r="G926" s="86" t="s">
        <v>38</v>
      </c>
      <c r="H926" s="86" t="s">
        <v>5310</v>
      </c>
    </row>
    <row r="927" spans="1:8" ht="12.75" hidden="1">
      <c r="A927" s="86">
        <v>926</v>
      </c>
      <c r="B927" s="86" t="s">
        <v>651</v>
      </c>
      <c r="C927" s="86" t="str">
        <f t="shared" si="0"/>
        <v>649757</v>
      </c>
      <c r="D927" s="86" t="str">
        <f>IF(VLOOKUP(C927,'Diferencias patrimonio 2023'!$C$2:$C$1020,1,FALSE)=C927,"Encontrado", "No")</f>
        <v>Encontrado</v>
      </c>
      <c r="E927" s="86" t="s">
        <v>8171</v>
      </c>
      <c r="F927" s="86" t="s">
        <v>93</v>
      </c>
      <c r="G927" s="86" t="s">
        <v>38</v>
      </c>
      <c r="H927" s="86" t="s">
        <v>5584</v>
      </c>
    </row>
    <row r="928" spans="1:8" ht="12.75">
      <c r="A928" s="86">
        <v>927</v>
      </c>
      <c r="B928" s="86" t="s">
        <v>8360</v>
      </c>
      <c r="C928" s="86" t="str">
        <f t="shared" si="0"/>
        <v>649758</v>
      </c>
      <c r="D928" s="86" t="e">
        <f>IF(VLOOKUP(C928,'Diferencias patrimonio 2023'!$C$2:$C$1020,1,FALSE)=C928,"Encontrado", "No")</f>
        <v>#N/A</v>
      </c>
      <c r="E928" s="86" t="s">
        <v>8171</v>
      </c>
      <c r="F928" s="86" t="s">
        <v>199</v>
      </c>
      <c r="G928" s="86" t="s">
        <v>38</v>
      </c>
      <c r="H928" s="86" t="s">
        <v>7531</v>
      </c>
    </row>
    <row r="929" spans="1:8" ht="12.75">
      <c r="A929" s="86">
        <v>928</v>
      </c>
      <c r="B929" s="86" t="s">
        <v>8361</v>
      </c>
      <c r="C929" s="86" t="str">
        <f t="shared" si="0"/>
        <v>649759</v>
      </c>
      <c r="D929" s="86" t="e">
        <f>IF(VLOOKUP(C929,'Diferencias patrimonio 2023'!$C$2:$C$1020,1,FALSE)=C929,"Encontrado", "No")</f>
        <v>#N/A</v>
      </c>
      <c r="E929" s="86" t="s">
        <v>8171</v>
      </c>
      <c r="F929" s="86" t="s">
        <v>151</v>
      </c>
      <c r="G929" s="86" t="s">
        <v>38</v>
      </c>
      <c r="H929" s="86" t="s">
        <v>5584</v>
      </c>
    </row>
    <row r="930" spans="1:8" ht="12.75" hidden="1">
      <c r="A930" s="86">
        <v>929</v>
      </c>
      <c r="B930" s="86" t="s">
        <v>5525</v>
      </c>
      <c r="C930" s="86" t="str">
        <f t="shared" si="0"/>
        <v>649760</v>
      </c>
      <c r="D930" s="86" t="str">
        <f>IF(VLOOKUP(C930,'Diferencias patrimonio 2023'!$C$2:$C$1020,1,FALSE)=C930,"Encontrado", "No")</f>
        <v>Encontrado</v>
      </c>
      <c r="E930" s="86" t="s">
        <v>8171</v>
      </c>
      <c r="F930" s="86" t="s">
        <v>3521</v>
      </c>
      <c r="G930" s="86" t="s">
        <v>38</v>
      </c>
      <c r="H930" s="86" t="s">
        <v>5310</v>
      </c>
    </row>
    <row r="931" spans="1:8" ht="12.75" hidden="1">
      <c r="A931" s="86">
        <v>930</v>
      </c>
      <c r="B931" s="86" t="s">
        <v>5657</v>
      </c>
      <c r="C931" s="86" t="str">
        <f t="shared" si="0"/>
        <v>649761</v>
      </c>
      <c r="D931" s="86" t="str">
        <f>IF(VLOOKUP(C931,'Diferencias patrimonio 2023'!$C$2:$C$1020,1,FALSE)=C931,"Encontrado", "No")</f>
        <v>Encontrado</v>
      </c>
      <c r="E931" s="86" t="s">
        <v>8171</v>
      </c>
      <c r="F931" s="86" t="s">
        <v>93</v>
      </c>
      <c r="G931" s="86" t="s">
        <v>38</v>
      </c>
      <c r="H931" s="86" t="s">
        <v>5584</v>
      </c>
    </row>
    <row r="932" spans="1:8" ht="12.75" hidden="1">
      <c r="A932" s="86">
        <v>931</v>
      </c>
      <c r="B932" s="86" t="s">
        <v>5644</v>
      </c>
      <c r="C932" s="86" t="str">
        <f t="shared" si="0"/>
        <v>649762</v>
      </c>
      <c r="D932" s="86" t="str">
        <f>IF(VLOOKUP(C932,'Diferencias patrimonio 2023'!$C$2:$C$1020,1,FALSE)=C932,"Encontrado", "No")</f>
        <v>Encontrado</v>
      </c>
      <c r="E932" s="86" t="s">
        <v>8171</v>
      </c>
      <c r="F932" s="86" t="s">
        <v>184</v>
      </c>
      <c r="G932" s="86" t="s">
        <v>38</v>
      </c>
      <c r="H932" s="86" t="s">
        <v>5584</v>
      </c>
    </row>
    <row r="933" spans="1:8" ht="12.75" hidden="1">
      <c r="A933" s="86">
        <v>932</v>
      </c>
      <c r="B933" s="86" t="s">
        <v>5613</v>
      </c>
      <c r="C933" s="86" t="str">
        <f t="shared" si="0"/>
        <v>649763</v>
      </c>
      <c r="D933" s="86" t="str">
        <f>IF(VLOOKUP(C933,'Diferencias patrimonio 2023'!$C$2:$C$1020,1,FALSE)=C933,"Encontrado", "No")</f>
        <v>Encontrado</v>
      </c>
      <c r="E933" s="86" t="s">
        <v>8171</v>
      </c>
      <c r="F933" s="86" t="s">
        <v>3521</v>
      </c>
      <c r="G933" s="86" t="s">
        <v>38</v>
      </c>
      <c r="H933" s="86" t="s">
        <v>5584</v>
      </c>
    </row>
    <row r="934" spans="1:8" ht="12.75" hidden="1">
      <c r="A934" s="86">
        <v>933</v>
      </c>
      <c r="B934" s="86" t="s">
        <v>1156</v>
      </c>
      <c r="C934" s="86" t="str">
        <f t="shared" si="0"/>
        <v>649765</v>
      </c>
      <c r="D934" s="86" t="str">
        <f>IF(VLOOKUP(C934,'Diferencias patrimonio 2023'!$C$2:$C$1020,1,FALSE)=C934,"Encontrado", "No")</f>
        <v>Encontrado</v>
      </c>
      <c r="E934" s="86" t="s">
        <v>8171</v>
      </c>
      <c r="F934" s="86" t="s">
        <v>151</v>
      </c>
      <c r="G934" s="86" t="s">
        <v>38</v>
      </c>
      <c r="H934" s="86" t="s">
        <v>4935</v>
      </c>
    </row>
    <row r="935" spans="1:8" ht="12.75" hidden="1">
      <c r="A935" s="86">
        <v>934</v>
      </c>
      <c r="B935" s="86" t="s">
        <v>5029</v>
      </c>
      <c r="C935" s="86" t="str">
        <f t="shared" si="0"/>
        <v>649766</v>
      </c>
      <c r="D935" s="86" t="str">
        <f>IF(VLOOKUP(C935,'Diferencias patrimonio 2023'!$C$2:$C$1020,1,FALSE)=C935,"Encontrado", "No")</f>
        <v>Encontrado</v>
      </c>
      <c r="E935" s="86" t="s">
        <v>8171</v>
      </c>
      <c r="F935" s="86" t="s">
        <v>162</v>
      </c>
      <c r="G935" s="86" t="s">
        <v>38</v>
      </c>
      <c r="H935" s="86" t="s">
        <v>4935</v>
      </c>
    </row>
    <row r="936" spans="1:8" ht="12.75" hidden="1">
      <c r="A936" s="86">
        <v>935</v>
      </c>
      <c r="B936" s="86" t="s">
        <v>4964</v>
      </c>
      <c r="C936" s="86" t="str">
        <f t="shared" si="0"/>
        <v>649767</v>
      </c>
      <c r="D936" s="86" t="str">
        <f>IF(VLOOKUP(C936,'Diferencias patrimonio 2023'!$C$2:$C$1020,1,FALSE)=C936,"Encontrado", "No")</f>
        <v>Encontrado</v>
      </c>
      <c r="E936" s="86" t="s">
        <v>8171</v>
      </c>
      <c r="F936" s="86" t="s">
        <v>136</v>
      </c>
      <c r="G936" s="86" t="s">
        <v>38</v>
      </c>
      <c r="H936" s="86" t="s">
        <v>4935</v>
      </c>
    </row>
    <row r="937" spans="1:8" ht="12.75" hidden="1">
      <c r="A937" s="86">
        <v>936</v>
      </c>
      <c r="B937" s="86" t="s">
        <v>4948</v>
      </c>
      <c r="C937" s="86" t="str">
        <f t="shared" si="0"/>
        <v>649768</v>
      </c>
      <c r="D937" s="86" t="str">
        <f>IF(VLOOKUP(C937,'Diferencias patrimonio 2023'!$C$2:$C$1020,1,FALSE)=C937,"Encontrado", "No")</f>
        <v>Encontrado</v>
      </c>
      <c r="E937" s="86" t="s">
        <v>8171</v>
      </c>
      <c r="F937" s="86" t="s">
        <v>71</v>
      </c>
      <c r="G937" s="86" t="s">
        <v>38</v>
      </c>
      <c r="H937" s="86" t="s">
        <v>4935</v>
      </c>
    </row>
    <row r="938" spans="1:8" ht="12.75" hidden="1">
      <c r="A938" s="86">
        <v>937</v>
      </c>
      <c r="B938" s="86" t="s">
        <v>4942</v>
      </c>
      <c r="C938" s="86" t="str">
        <f t="shared" si="0"/>
        <v>649769</v>
      </c>
      <c r="D938" s="86" t="str">
        <f>IF(VLOOKUP(C938,'Diferencias patrimonio 2023'!$C$2:$C$1020,1,FALSE)=C938,"Encontrado", "No")</f>
        <v>Encontrado</v>
      </c>
      <c r="E938" s="86" t="s">
        <v>8171</v>
      </c>
      <c r="F938" s="86" t="s">
        <v>71</v>
      </c>
      <c r="G938" s="86" t="s">
        <v>38</v>
      </c>
      <c r="H938" s="86" t="s">
        <v>4935</v>
      </c>
    </row>
    <row r="939" spans="1:8" ht="12.75" hidden="1">
      <c r="A939" s="86">
        <v>938</v>
      </c>
      <c r="B939" s="86" t="s">
        <v>5731</v>
      </c>
      <c r="C939" s="86" t="str">
        <f t="shared" si="0"/>
        <v>649770</v>
      </c>
      <c r="D939" s="86" t="str">
        <f>IF(VLOOKUP(C939,'Diferencias patrimonio 2023'!$C$2:$C$1020,1,FALSE)=C939,"Encontrado", "No")</f>
        <v>Encontrado</v>
      </c>
      <c r="E939" s="86" t="s">
        <v>8171</v>
      </c>
      <c r="F939" s="86" t="s">
        <v>43</v>
      </c>
      <c r="G939" s="86" t="s">
        <v>38</v>
      </c>
      <c r="H939" s="86" t="s">
        <v>4935</v>
      </c>
    </row>
    <row r="940" spans="1:8" ht="12.75" hidden="1">
      <c r="A940" s="86">
        <v>939</v>
      </c>
      <c r="B940" s="86" t="s">
        <v>5245</v>
      </c>
      <c r="C940" s="86" t="str">
        <f t="shared" si="0"/>
        <v>649771</v>
      </c>
      <c r="D940" s="86" t="str">
        <f>IF(VLOOKUP(C940,'Diferencias patrimonio 2023'!$C$2:$C$1020,1,FALSE)=C940,"Encontrado", "No")</f>
        <v>Encontrado</v>
      </c>
      <c r="E940" s="86" t="s">
        <v>8171</v>
      </c>
      <c r="F940" s="86" t="s">
        <v>378</v>
      </c>
      <c r="G940" s="86" t="s">
        <v>38</v>
      </c>
      <c r="H940" s="86" t="s">
        <v>5223</v>
      </c>
    </row>
    <row r="941" spans="1:8" ht="12.75" hidden="1">
      <c r="A941" s="86">
        <v>940</v>
      </c>
      <c r="B941" s="86" t="s">
        <v>5193</v>
      </c>
      <c r="C941" s="86" t="str">
        <f t="shared" si="0"/>
        <v>649772</v>
      </c>
      <c r="D941" s="86" t="str">
        <f>IF(VLOOKUP(C941,'Diferencias patrimonio 2023'!$C$2:$C$1020,1,FALSE)=C941,"Encontrado", "No")</f>
        <v>Encontrado</v>
      </c>
      <c r="E941" s="86" t="s">
        <v>8171</v>
      </c>
      <c r="F941" s="86" t="s">
        <v>353</v>
      </c>
      <c r="G941" s="86" t="s">
        <v>38</v>
      </c>
      <c r="H941" s="86" t="s">
        <v>5138</v>
      </c>
    </row>
    <row r="942" spans="1:8" ht="12.75" hidden="1">
      <c r="A942" s="86">
        <v>941</v>
      </c>
      <c r="B942" s="86" t="s">
        <v>5172</v>
      </c>
      <c r="C942" s="86" t="str">
        <f t="shared" si="0"/>
        <v>649773</v>
      </c>
      <c r="D942" s="86" t="str">
        <f>IF(VLOOKUP(C942,'Diferencias patrimonio 2023'!$C$2:$C$1020,1,FALSE)=C942,"Encontrado", "No")</f>
        <v>Encontrado</v>
      </c>
      <c r="E942" s="86" t="s">
        <v>8171</v>
      </c>
      <c r="F942" s="86" t="s">
        <v>29</v>
      </c>
      <c r="G942" s="86" t="s">
        <v>38</v>
      </c>
      <c r="H942" s="86" t="s">
        <v>5138</v>
      </c>
    </row>
    <row r="943" spans="1:8" ht="12.75" hidden="1">
      <c r="A943" s="86">
        <v>942</v>
      </c>
      <c r="B943" s="86" t="s">
        <v>1031</v>
      </c>
      <c r="C943" s="86" t="str">
        <f t="shared" si="0"/>
        <v>649774</v>
      </c>
      <c r="D943" s="86" t="str">
        <f>IF(VLOOKUP(C943,'Diferencias patrimonio 2023'!$C$2:$C$1020,1,FALSE)=C943,"Encontrado", "No")</f>
        <v>Encontrado</v>
      </c>
      <c r="E943" s="86" t="s">
        <v>8171</v>
      </c>
      <c r="F943" s="86" t="s">
        <v>199</v>
      </c>
      <c r="G943" s="86" t="s">
        <v>38</v>
      </c>
      <c r="H943" s="86" t="s">
        <v>260</v>
      </c>
    </row>
    <row r="944" spans="1:8" ht="12.75" hidden="1">
      <c r="A944" s="86">
        <v>943</v>
      </c>
      <c r="B944" s="86" t="s">
        <v>1023</v>
      </c>
      <c r="C944" s="86" t="str">
        <f t="shared" si="0"/>
        <v>649775</v>
      </c>
      <c r="D944" s="86" t="str">
        <f>IF(VLOOKUP(C944,'Diferencias patrimonio 2023'!$C$2:$C$1020,1,FALSE)=C944,"Encontrado", "No")</f>
        <v>Encontrado</v>
      </c>
      <c r="E944" s="86" t="s">
        <v>8171</v>
      </c>
      <c r="F944" s="86" t="s">
        <v>184</v>
      </c>
      <c r="G944" s="86" t="s">
        <v>38</v>
      </c>
      <c r="H944" s="86" t="s">
        <v>260</v>
      </c>
    </row>
    <row r="945" spans="1:8" ht="12.75" hidden="1">
      <c r="A945" s="86">
        <v>944</v>
      </c>
      <c r="B945" s="86" t="s">
        <v>1039</v>
      </c>
      <c r="C945" s="86" t="str">
        <f t="shared" si="0"/>
        <v>649776</v>
      </c>
      <c r="D945" s="86" t="str">
        <f>IF(VLOOKUP(C945,'Diferencias patrimonio 2023'!$C$2:$C$1020,1,FALSE)=C945,"Encontrado", "No")</f>
        <v>Encontrado</v>
      </c>
      <c r="E945" s="86" t="s">
        <v>8171</v>
      </c>
      <c r="F945" s="86" t="s">
        <v>151</v>
      </c>
      <c r="G945" s="86" t="s">
        <v>38</v>
      </c>
      <c r="H945" s="86" t="s">
        <v>260</v>
      </c>
    </row>
    <row r="946" spans="1:8" ht="12.75" hidden="1">
      <c r="A946" s="86">
        <v>945</v>
      </c>
      <c r="B946" s="86" t="s">
        <v>4971</v>
      </c>
      <c r="C946" s="86" t="str">
        <f t="shared" si="0"/>
        <v>649777</v>
      </c>
      <c r="D946" s="86" t="str">
        <f>IF(VLOOKUP(C946,'Diferencias patrimonio 2023'!$C$2:$C$1020,1,FALSE)=C946,"Encontrado", "No")</f>
        <v>Encontrado</v>
      </c>
      <c r="E946" s="86" t="s">
        <v>8171</v>
      </c>
      <c r="F946" s="86" t="s">
        <v>93</v>
      </c>
      <c r="G946" s="86" t="s">
        <v>38</v>
      </c>
      <c r="H946" s="86" t="s">
        <v>4935</v>
      </c>
    </row>
    <row r="947" spans="1:8" ht="12.75" hidden="1">
      <c r="A947" s="86">
        <v>946</v>
      </c>
      <c r="B947" s="86" t="s">
        <v>5105</v>
      </c>
      <c r="C947" s="86" t="str">
        <f t="shared" si="0"/>
        <v>649778</v>
      </c>
      <c r="D947" s="86" t="str">
        <f>IF(VLOOKUP(C947,'Diferencias patrimonio 2023'!$C$2:$C$1020,1,FALSE)=C947,"Encontrado", "No")</f>
        <v>Encontrado</v>
      </c>
      <c r="E947" s="86" t="s">
        <v>8171</v>
      </c>
      <c r="F947" s="86" t="s">
        <v>184</v>
      </c>
      <c r="G947" s="86" t="s">
        <v>38</v>
      </c>
      <c r="H947" s="86" t="s">
        <v>4935</v>
      </c>
    </row>
    <row r="948" spans="1:8" ht="12.75" hidden="1">
      <c r="A948" s="86">
        <v>947</v>
      </c>
      <c r="B948" s="86" t="s">
        <v>5289</v>
      </c>
      <c r="C948" s="86" t="str">
        <f t="shared" si="0"/>
        <v>649779</v>
      </c>
      <c r="D948" s="86" t="str">
        <f>IF(VLOOKUP(C948,'Diferencias patrimonio 2023'!$C$2:$C$1020,1,FALSE)=C948,"Encontrado", "No")</f>
        <v>Encontrado</v>
      </c>
      <c r="E948" s="86" t="s">
        <v>8171</v>
      </c>
      <c r="F948" s="86" t="s">
        <v>199</v>
      </c>
      <c r="G948" s="86" t="s">
        <v>38</v>
      </c>
      <c r="H948" s="86" t="s">
        <v>5223</v>
      </c>
    </row>
    <row r="949" spans="1:8" ht="12.75" hidden="1">
      <c r="A949" s="86">
        <v>948</v>
      </c>
      <c r="B949" s="86" t="s">
        <v>5267</v>
      </c>
      <c r="C949" s="86" t="str">
        <f t="shared" si="0"/>
        <v>649780</v>
      </c>
      <c r="D949" s="86" t="str">
        <f>IF(VLOOKUP(C949,'Diferencias patrimonio 2023'!$C$2:$C$1020,1,FALSE)=C949,"Encontrado", "No")</f>
        <v>Encontrado</v>
      </c>
      <c r="E949" s="86" t="s">
        <v>8171</v>
      </c>
      <c r="F949" s="86" t="s">
        <v>116</v>
      </c>
      <c r="G949" s="86" t="s">
        <v>38</v>
      </c>
      <c r="H949" s="86" t="s">
        <v>5223</v>
      </c>
    </row>
    <row r="950" spans="1:8" ht="12.75" hidden="1">
      <c r="A950" s="86">
        <v>949</v>
      </c>
      <c r="B950" s="86" t="s">
        <v>5239</v>
      </c>
      <c r="C950" s="86" t="str">
        <f t="shared" si="0"/>
        <v>649781</v>
      </c>
      <c r="D950" s="86" t="str">
        <f>IF(VLOOKUP(C950,'Diferencias patrimonio 2023'!$C$2:$C$1020,1,FALSE)=C950,"Encontrado", "No")</f>
        <v>Encontrado</v>
      </c>
      <c r="E950" s="86" t="s">
        <v>8171</v>
      </c>
      <c r="F950" s="86" t="s">
        <v>43</v>
      </c>
      <c r="G950" s="86" t="s">
        <v>38</v>
      </c>
      <c r="H950" s="86" t="s">
        <v>4417</v>
      </c>
    </row>
    <row r="951" spans="1:8" ht="12.75" hidden="1">
      <c r="A951" s="86">
        <v>950</v>
      </c>
      <c r="B951" s="86" t="s">
        <v>6809</v>
      </c>
      <c r="C951" s="86" t="str">
        <f t="shared" si="0"/>
        <v>649782</v>
      </c>
      <c r="D951" s="86" t="str">
        <f>IF(VLOOKUP(C951,'Diferencias patrimonio 2023'!$C$2:$C$1020,1,FALSE)=C951,"Encontrado", "No")</f>
        <v>Encontrado</v>
      </c>
      <c r="E951" s="86" t="s">
        <v>8171</v>
      </c>
      <c r="F951" s="86" t="s">
        <v>184</v>
      </c>
      <c r="G951" s="86" t="s">
        <v>38</v>
      </c>
      <c r="H951" s="86" t="s">
        <v>4417</v>
      </c>
    </row>
    <row r="952" spans="1:8" ht="12.75" hidden="1">
      <c r="A952" s="86">
        <v>951</v>
      </c>
      <c r="B952" s="86" t="s">
        <v>482</v>
      </c>
      <c r="C952" s="86" t="str">
        <f t="shared" si="0"/>
        <v>650634</v>
      </c>
      <c r="D952" s="86" t="str">
        <f>IF(VLOOKUP(C952,'Diferencias patrimonio 2023'!$C$2:$C$1020,1,FALSE)=C952,"Encontrado", "No")</f>
        <v>Encontrado</v>
      </c>
      <c r="E952" s="86" t="s">
        <v>8171</v>
      </c>
      <c r="F952" s="86" t="s">
        <v>353</v>
      </c>
      <c r="G952" s="86" t="s">
        <v>38</v>
      </c>
      <c r="H952" s="86" t="s">
        <v>7398</v>
      </c>
    </row>
    <row r="953" spans="1:8" ht="12.75" hidden="1">
      <c r="A953" s="86">
        <v>952</v>
      </c>
      <c r="B953" s="86" t="s">
        <v>8362</v>
      </c>
      <c r="C953" s="86" t="str">
        <f t="shared" si="0"/>
        <v>650638</v>
      </c>
      <c r="D953" s="86" t="str">
        <f>IF(VLOOKUP(C953,'Diferencias patrimonio 2023'!$C$2:$C$1020,1,FALSE)=C953,"Encontrado", "No")</f>
        <v>Encontrado</v>
      </c>
      <c r="E953" s="86" t="s">
        <v>8171</v>
      </c>
      <c r="F953" s="86" t="s">
        <v>199</v>
      </c>
      <c r="G953" s="86" t="s">
        <v>38</v>
      </c>
      <c r="H953" s="86" t="s">
        <v>7411</v>
      </c>
    </row>
    <row r="954" spans="1:8" ht="12.75" hidden="1">
      <c r="A954" s="86">
        <v>953</v>
      </c>
      <c r="B954" s="86" t="s">
        <v>409</v>
      </c>
      <c r="C954" s="86" t="str">
        <f t="shared" si="0"/>
        <v>650639</v>
      </c>
      <c r="D954" s="86" t="str">
        <f>IF(VLOOKUP(C954,'Diferencias patrimonio 2023'!$C$2:$C$1020,1,FALSE)=C954,"Encontrado", "No")</f>
        <v>Encontrado</v>
      </c>
      <c r="E954" s="86" t="s">
        <v>8171</v>
      </c>
      <c r="F954" s="86" t="s">
        <v>43</v>
      </c>
      <c r="G954" s="86" t="s">
        <v>38</v>
      </c>
      <c r="H954" s="86" t="s">
        <v>7398</v>
      </c>
    </row>
    <row r="955" spans="1:8" ht="12.75" hidden="1">
      <c r="A955" s="86">
        <v>954</v>
      </c>
      <c r="B955" s="86" t="s">
        <v>416</v>
      </c>
      <c r="C955" s="86" t="str">
        <f t="shared" si="0"/>
        <v>650640</v>
      </c>
      <c r="D955" s="86" t="str">
        <f>IF(VLOOKUP(C955,'Diferencias patrimonio 2023'!$C$2:$C$1020,1,FALSE)=C955,"Encontrado", "No")</f>
        <v>Encontrado</v>
      </c>
      <c r="E955" s="86" t="s">
        <v>8171</v>
      </c>
      <c r="F955" s="86" t="s">
        <v>43</v>
      </c>
      <c r="G955" s="86" t="s">
        <v>38</v>
      </c>
      <c r="H955" s="86" t="s">
        <v>7398</v>
      </c>
    </row>
    <row r="956" spans="1:8" ht="12.75" hidden="1">
      <c r="A956" s="86">
        <v>955</v>
      </c>
      <c r="B956" s="86" t="s">
        <v>8363</v>
      </c>
      <c r="C956" s="86" t="str">
        <f t="shared" si="0"/>
        <v>650641</v>
      </c>
      <c r="D956" s="86" t="str">
        <f>IF(VLOOKUP(C956,'Diferencias patrimonio 2023'!$C$2:$C$1020,1,FALSE)=C956,"Encontrado", "No")</f>
        <v>Encontrado</v>
      </c>
      <c r="E956" s="86" t="s">
        <v>8171</v>
      </c>
      <c r="F956" s="86" t="s">
        <v>2743</v>
      </c>
      <c r="G956" s="86" t="s">
        <v>38</v>
      </c>
      <c r="H956" s="86" t="s">
        <v>7411</v>
      </c>
    </row>
    <row r="957" spans="1:8" ht="12.75" hidden="1">
      <c r="A957" s="86">
        <v>956</v>
      </c>
      <c r="B957" s="86" t="s">
        <v>6509</v>
      </c>
      <c r="C957" s="86" t="str">
        <f t="shared" si="0"/>
        <v>650642</v>
      </c>
      <c r="D957" s="86" t="str">
        <f>IF(VLOOKUP(C957,'Diferencias patrimonio 2023'!$C$2:$C$1020,1,FALSE)=C957,"Encontrado", "No")</f>
        <v>Encontrado</v>
      </c>
      <c r="E957" s="86" t="s">
        <v>8171</v>
      </c>
      <c r="F957" s="86" t="s">
        <v>248</v>
      </c>
      <c r="G957" s="86" t="s">
        <v>38</v>
      </c>
      <c r="H957" s="86" t="s">
        <v>6062</v>
      </c>
    </row>
    <row r="958" spans="1:8" ht="12.75" hidden="1">
      <c r="A958" s="86">
        <v>957</v>
      </c>
      <c r="B958" s="86" t="s">
        <v>6726</v>
      </c>
      <c r="C958" s="86" t="str">
        <f t="shared" si="0"/>
        <v>650643</v>
      </c>
      <c r="D958" s="86" t="str">
        <f>IF(VLOOKUP(C958,'Diferencias patrimonio 2023'!$C$2:$C$1020,1,FALSE)=C958,"Encontrado", "No")</f>
        <v>Encontrado</v>
      </c>
      <c r="E958" s="86" t="s">
        <v>8171</v>
      </c>
      <c r="F958" s="86" t="s">
        <v>353</v>
      </c>
      <c r="G958" s="86" t="s">
        <v>38</v>
      </c>
      <c r="H958" s="86" t="s">
        <v>6684</v>
      </c>
    </row>
    <row r="959" spans="1:8" ht="12.75">
      <c r="A959" s="86">
        <v>958</v>
      </c>
      <c r="B959" s="86" t="s">
        <v>7305</v>
      </c>
      <c r="C959" s="86" t="str">
        <f t="shared" si="0"/>
        <v>650644</v>
      </c>
      <c r="D959" s="86" t="e">
        <f>IF(VLOOKUP(C959,'Diferencias patrimonio 2023'!$C$2:$C$1020,1,FALSE)=C959,"Encontrado", "No")</f>
        <v>#N/A</v>
      </c>
      <c r="E959" s="86" t="s">
        <v>8171</v>
      </c>
      <c r="F959" s="86" t="s">
        <v>353</v>
      </c>
      <c r="G959" s="86" t="s">
        <v>38</v>
      </c>
      <c r="H959" s="86" t="s">
        <v>4935</v>
      </c>
    </row>
    <row r="960" spans="1:8" ht="12.75">
      <c r="A960" s="86">
        <v>959</v>
      </c>
      <c r="B960" s="86" t="s">
        <v>7311</v>
      </c>
      <c r="C960" s="86" t="str">
        <f t="shared" si="0"/>
        <v>650645</v>
      </c>
      <c r="D960" s="86" t="e">
        <f>IF(VLOOKUP(C960,'Diferencias patrimonio 2023'!$C$2:$C$1020,1,FALSE)=C960,"Encontrado", "No")</f>
        <v>#N/A</v>
      </c>
      <c r="E960" s="86" t="s">
        <v>8171</v>
      </c>
      <c r="F960" s="86" t="s">
        <v>353</v>
      </c>
      <c r="G960" s="86" t="s">
        <v>38</v>
      </c>
      <c r="H960" s="86" t="s">
        <v>3450</v>
      </c>
    </row>
    <row r="961" spans="1:8" ht="12.75" hidden="1">
      <c r="A961" s="86">
        <v>960</v>
      </c>
      <c r="B961" s="86" t="s">
        <v>8364</v>
      </c>
      <c r="C961" s="86" t="str">
        <f t="shared" si="0"/>
        <v>650646</v>
      </c>
      <c r="D961" s="86" t="str">
        <f>IF(VLOOKUP(C961,'Diferencias patrimonio 2023'!$C$2:$C$1020,1,FALSE)=C961,"Encontrado", "No")</f>
        <v>Encontrado</v>
      </c>
      <c r="E961" s="86" t="s">
        <v>8171</v>
      </c>
      <c r="F961" s="86" t="s">
        <v>353</v>
      </c>
      <c r="G961" s="86" t="s">
        <v>38</v>
      </c>
      <c r="H961" s="86" t="s">
        <v>7411</v>
      </c>
    </row>
    <row r="962" spans="1:8" ht="12.75" hidden="1">
      <c r="A962" s="86">
        <v>961</v>
      </c>
      <c r="B962" s="86" t="s">
        <v>3099</v>
      </c>
      <c r="C962" s="86" t="str">
        <f t="shared" si="0"/>
        <v>650647</v>
      </c>
      <c r="D962" s="86" t="str">
        <f>IF(VLOOKUP(C962,'Diferencias patrimonio 2023'!$C$2:$C$1020,1,FALSE)=C962,"Encontrado", "No")</f>
        <v>Encontrado</v>
      </c>
      <c r="E962" s="86" t="s">
        <v>8171</v>
      </c>
      <c r="F962" s="86" t="s">
        <v>353</v>
      </c>
      <c r="G962" s="86" t="s">
        <v>38</v>
      </c>
      <c r="H962" s="86" t="s">
        <v>3092</v>
      </c>
    </row>
    <row r="963" spans="1:8" ht="12.75" hidden="1">
      <c r="A963" s="86">
        <v>962</v>
      </c>
      <c r="B963" s="86" t="s">
        <v>636</v>
      </c>
      <c r="C963" s="86" t="str">
        <f t="shared" si="0"/>
        <v>650648</v>
      </c>
      <c r="D963" s="86" t="str">
        <f>IF(VLOOKUP(C963,'Diferencias patrimonio 2023'!$C$2:$C$1020,1,FALSE)=C963,"Encontrado", "No")</f>
        <v>Encontrado</v>
      </c>
      <c r="E963" s="86" t="s">
        <v>8171</v>
      </c>
      <c r="F963" s="86" t="s">
        <v>151</v>
      </c>
      <c r="G963" s="86" t="s">
        <v>38</v>
      </c>
      <c r="H963" s="86" t="s">
        <v>385</v>
      </c>
    </row>
    <row r="964" spans="1:8" ht="12.75" hidden="1">
      <c r="A964" s="86">
        <v>963</v>
      </c>
      <c r="B964" s="86" t="s">
        <v>3165</v>
      </c>
      <c r="C964" s="86" t="str">
        <f t="shared" si="0"/>
        <v>650649</v>
      </c>
      <c r="D964" s="86" t="str">
        <f>IF(VLOOKUP(C964,'Diferencias patrimonio 2023'!$C$2:$C$1020,1,FALSE)=C964,"Encontrado", "No")</f>
        <v>Encontrado</v>
      </c>
      <c r="E964" s="86" t="s">
        <v>8171</v>
      </c>
      <c r="F964" s="86" t="s">
        <v>151</v>
      </c>
      <c r="G964" s="86" t="s">
        <v>38</v>
      </c>
      <c r="H964" s="86" t="s">
        <v>3092</v>
      </c>
    </row>
    <row r="965" spans="1:8" ht="12.75">
      <c r="A965" s="86">
        <v>964</v>
      </c>
      <c r="B965" s="86" t="s">
        <v>7256</v>
      </c>
      <c r="C965" s="86" t="str">
        <f t="shared" si="0"/>
        <v>650650</v>
      </c>
      <c r="D965" s="86" t="e">
        <f>IF(VLOOKUP(C965,'Diferencias patrimonio 2023'!$C$2:$C$1020,1,FALSE)=C965,"Encontrado", "No")</f>
        <v>#N/A</v>
      </c>
      <c r="E965" s="86" t="s">
        <v>8171</v>
      </c>
      <c r="F965" s="86" t="s">
        <v>151</v>
      </c>
      <c r="G965" s="86" t="s">
        <v>38</v>
      </c>
      <c r="H965" s="86" t="s">
        <v>7601</v>
      </c>
    </row>
    <row r="966" spans="1:8" ht="12.75" hidden="1">
      <c r="A966" s="86">
        <v>965</v>
      </c>
      <c r="B966" s="86" t="s">
        <v>910</v>
      </c>
      <c r="C966" s="86" t="str">
        <f t="shared" si="0"/>
        <v>650651</v>
      </c>
      <c r="D966" s="86" t="str">
        <f>IF(VLOOKUP(C966,'Diferencias patrimonio 2023'!$C$2:$C$1020,1,FALSE)=C966,"Encontrado", "No")</f>
        <v>Encontrado</v>
      </c>
      <c r="E966" s="86" t="s">
        <v>8171</v>
      </c>
      <c r="F966" s="86" t="s">
        <v>151</v>
      </c>
      <c r="G966" s="86" t="s">
        <v>38</v>
      </c>
      <c r="H966" s="86" t="s">
        <v>848</v>
      </c>
    </row>
    <row r="967" spans="1:8" ht="12.75">
      <c r="A967" s="86">
        <v>966</v>
      </c>
      <c r="B967" s="86" t="s">
        <v>8365</v>
      </c>
      <c r="C967" s="86" t="str">
        <f t="shared" si="0"/>
        <v>650652</v>
      </c>
      <c r="D967" s="86" t="e">
        <f>IF(VLOOKUP(C967,'Diferencias patrimonio 2023'!$C$2:$C$1020,1,FALSE)=C967,"Encontrado", "No")</f>
        <v>#N/A</v>
      </c>
      <c r="E967" s="86" t="s">
        <v>8171</v>
      </c>
      <c r="F967" s="86" t="s">
        <v>151</v>
      </c>
      <c r="G967" s="86" t="s">
        <v>38</v>
      </c>
      <c r="H967" s="86" t="s">
        <v>724</v>
      </c>
    </row>
    <row r="968" spans="1:8" ht="12.75" hidden="1">
      <c r="A968" s="86">
        <v>967</v>
      </c>
      <c r="B968" s="86" t="s">
        <v>160</v>
      </c>
      <c r="C968" s="86" t="str">
        <f t="shared" si="0"/>
        <v>650653</v>
      </c>
      <c r="D968" s="86" t="str">
        <f>IF(VLOOKUP(C968,'Diferencias patrimonio 2023'!$C$2:$C$1020,1,FALSE)=C968,"Encontrado", "No")</f>
        <v>Encontrado</v>
      </c>
      <c r="E968" s="86" t="s">
        <v>8171</v>
      </c>
      <c r="F968" s="86" t="s">
        <v>151</v>
      </c>
      <c r="G968" s="86" t="s">
        <v>38</v>
      </c>
      <c r="H968" s="86" t="s">
        <v>1164</v>
      </c>
    </row>
    <row r="969" spans="1:8" ht="12.75" hidden="1">
      <c r="A969" s="86">
        <v>968</v>
      </c>
      <c r="B969" s="86" t="s">
        <v>622</v>
      </c>
      <c r="C969" s="86" t="str">
        <f t="shared" si="0"/>
        <v>650654</v>
      </c>
      <c r="D969" s="86" t="str">
        <f>IF(VLOOKUP(C969,'Diferencias patrimonio 2023'!$C$2:$C$1020,1,FALSE)=C969,"Encontrado", "No")</f>
        <v>Encontrado</v>
      </c>
      <c r="E969" s="86" t="s">
        <v>8171</v>
      </c>
      <c r="F969" s="86" t="s">
        <v>151</v>
      </c>
      <c r="G969" s="86" t="s">
        <v>38</v>
      </c>
      <c r="H969" s="86" t="s">
        <v>385</v>
      </c>
    </row>
    <row r="970" spans="1:8" ht="12.75" hidden="1">
      <c r="A970" s="86">
        <v>969</v>
      </c>
      <c r="B970" s="86" t="s">
        <v>4657</v>
      </c>
      <c r="C970" s="86" t="str">
        <f t="shared" si="0"/>
        <v>650655</v>
      </c>
      <c r="D970" s="86" t="str">
        <f>IF(VLOOKUP(C970,'Diferencias patrimonio 2023'!$C$2:$C$1020,1,FALSE)=C970,"Encontrado", "No")</f>
        <v>Encontrado</v>
      </c>
      <c r="E970" s="86" t="s">
        <v>8171</v>
      </c>
      <c r="F970" s="86" t="s">
        <v>151</v>
      </c>
      <c r="G970" s="86" t="s">
        <v>38</v>
      </c>
      <c r="H970" s="86" t="s">
        <v>7414</v>
      </c>
    </row>
    <row r="971" spans="1:8" ht="12.75">
      <c r="A971" s="86">
        <v>970</v>
      </c>
      <c r="B971" s="86" t="s">
        <v>8366</v>
      </c>
      <c r="C971" s="86" t="str">
        <f t="shared" si="0"/>
        <v>650656</v>
      </c>
      <c r="D971" s="86" t="e">
        <f>IF(VLOOKUP(C971,'Diferencias patrimonio 2023'!$C$2:$C$1020,1,FALSE)=C971,"Encontrado", "No")</f>
        <v>#N/A</v>
      </c>
      <c r="E971" s="86" t="s">
        <v>8171</v>
      </c>
      <c r="F971" s="86" t="s">
        <v>151</v>
      </c>
      <c r="G971" s="86" t="s">
        <v>38</v>
      </c>
      <c r="H971" s="86" t="s">
        <v>3092</v>
      </c>
    </row>
    <row r="972" spans="1:8" ht="12.75" hidden="1">
      <c r="A972" s="86">
        <v>971</v>
      </c>
      <c r="B972" s="86" t="s">
        <v>3363</v>
      </c>
      <c r="C972" s="86" t="str">
        <f t="shared" si="0"/>
        <v>650657</v>
      </c>
      <c r="D972" s="86" t="str">
        <f>IF(VLOOKUP(C972,'Diferencias patrimonio 2023'!$C$2:$C$1020,1,FALSE)=C972,"Encontrado", "No")</f>
        <v>Encontrado</v>
      </c>
      <c r="E972" s="86" t="s">
        <v>8171</v>
      </c>
      <c r="F972" s="86" t="s">
        <v>151</v>
      </c>
      <c r="G972" s="86" t="s">
        <v>38</v>
      </c>
      <c r="H972" s="86" t="s">
        <v>385</v>
      </c>
    </row>
    <row r="973" spans="1:8" ht="12.75" hidden="1">
      <c r="A973" s="86">
        <v>972</v>
      </c>
      <c r="B973" s="86" t="s">
        <v>629</v>
      </c>
      <c r="C973" s="86" t="str">
        <f t="shared" si="0"/>
        <v>650658</v>
      </c>
      <c r="D973" s="86" t="str">
        <f>IF(VLOOKUP(C973,'Diferencias patrimonio 2023'!$C$2:$C$1020,1,FALSE)=C973,"Encontrado", "No")</f>
        <v>Encontrado</v>
      </c>
      <c r="E973" s="86" t="s">
        <v>8171</v>
      </c>
      <c r="F973" s="86" t="s">
        <v>7502</v>
      </c>
      <c r="G973" s="86" t="s">
        <v>38</v>
      </c>
      <c r="H973" s="86" t="s">
        <v>385</v>
      </c>
    </row>
    <row r="974" spans="1:8" ht="12.75" hidden="1">
      <c r="A974" s="86">
        <v>973</v>
      </c>
      <c r="B974" s="86" t="s">
        <v>3158</v>
      </c>
      <c r="C974" s="86" t="str">
        <f t="shared" si="0"/>
        <v>650659</v>
      </c>
      <c r="D974" s="86" t="str">
        <f>IF(VLOOKUP(C974,'Diferencias patrimonio 2023'!$C$2:$C$1020,1,FALSE)=C974,"Encontrado", "No")</f>
        <v>Encontrado</v>
      </c>
      <c r="E974" s="86" t="s">
        <v>8171</v>
      </c>
      <c r="F974" s="86" t="s">
        <v>7502</v>
      </c>
      <c r="G974" s="86" t="s">
        <v>38</v>
      </c>
      <c r="H974" s="86" t="s">
        <v>3092</v>
      </c>
    </row>
    <row r="975" spans="1:8" ht="12.75" hidden="1">
      <c r="A975" s="86">
        <v>974</v>
      </c>
      <c r="B975" s="86" t="s">
        <v>4291</v>
      </c>
      <c r="C975" s="86" t="str">
        <f t="shared" si="0"/>
        <v>650660</v>
      </c>
      <c r="D975" s="86" t="str">
        <f>IF(VLOOKUP(C975,'Diferencias patrimonio 2023'!$C$2:$C$1020,1,FALSE)=C975,"Encontrado", "No")</f>
        <v>Encontrado</v>
      </c>
      <c r="E975" s="86" t="s">
        <v>8171</v>
      </c>
      <c r="F975" s="86" t="s">
        <v>7502</v>
      </c>
      <c r="G975" s="86" t="s">
        <v>38</v>
      </c>
      <c r="H975" s="86" t="s">
        <v>7601</v>
      </c>
    </row>
    <row r="976" spans="1:8" ht="12.75" hidden="1">
      <c r="A976" s="86">
        <v>975</v>
      </c>
      <c r="B976" s="86" t="s">
        <v>947</v>
      </c>
      <c r="C976" s="86" t="str">
        <f t="shared" si="0"/>
        <v>650661</v>
      </c>
      <c r="D976" s="86" t="str">
        <f>IF(VLOOKUP(C976,'Diferencias patrimonio 2023'!$C$2:$C$1020,1,FALSE)=C976,"Encontrado", "No")</f>
        <v>Encontrado</v>
      </c>
      <c r="E976" s="86" t="s">
        <v>8171</v>
      </c>
      <c r="F976" s="86" t="s">
        <v>7502</v>
      </c>
      <c r="G976" s="86" t="s">
        <v>38</v>
      </c>
      <c r="H976" s="86" t="s">
        <v>848</v>
      </c>
    </row>
    <row r="977" spans="1:8" ht="12.75" hidden="1">
      <c r="A977" s="86">
        <v>976</v>
      </c>
      <c r="B977" s="86" t="s">
        <v>6530</v>
      </c>
      <c r="C977" s="86" t="str">
        <f t="shared" si="0"/>
        <v>650662</v>
      </c>
      <c r="D977" s="86" t="str">
        <f>IF(VLOOKUP(C977,'Diferencias patrimonio 2023'!$C$2:$C$1020,1,FALSE)=C977,"Encontrado", "No")</f>
        <v>Encontrado</v>
      </c>
      <c r="E977" s="86" t="s">
        <v>8171</v>
      </c>
      <c r="F977" s="86" t="s">
        <v>7502</v>
      </c>
      <c r="G977" s="86" t="s">
        <v>38</v>
      </c>
      <c r="H977" s="86" t="s">
        <v>6062</v>
      </c>
    </row>
    <row r="978" spans="1:8" ht="12.75" hidden="1">
      <c r="A978" s="86">
        <v>977</v>
      </c>
      <c r="B978" s="86" t="s">
        <v>1324</v>
      </c>
      <c r="C978" s="86" t="str">
        <f t="shared" si="0"/>
        <v>650663</v>
      </c>
      <c r="D978" s="86" t="str">
        <f>IF(VLOOKUP(C978,'Diferencias patrimonio 2023'!$C$2:$C$1020,1,FALSE)=C978,"Encontrado", "No")</f>
        <v>Encontrado</v>
      </c>
      <c r="E978" s="86" t="s">
        <v>8171</v>
      </c>
      <c r="F978" s="86" t="s">
        <v>7502</v>
      </c>
      <c r="G978" s="86" t="s">
        <v>38</v>
      </c>
      <c r="H978" s="86" t="s">
        <v>724</v>
      </c>
    </row>
    <row r="979" spans="1:8" ht="12.75" hidden="1">
      <c r="A979" s="86">
        <v>978</v>
      </c>
      <c r="B979" s="86" t="s">
        <v>1869</v>
      </c>
      <c r="C979" s="86" t="str">
        <f t="shared" si="0"/>
        <v>650664</v>
      </c>
      <c r="D979" s="86" t="str">
        <f>IF(VLOOKUP(C979,'Diferencias patrimonio 2023'!$C$2:$C$1020,1,FALSE)=C979,"Encontrado", "No")</f>
        <v>Encontrado</v>
      </c>
      <c r="E979" s="86" t="s">
        <v>8171</v>
      </c>
      <c r="F979" s="86" t="s">
        <v>7502</v>
      </c>
      <c r="G979" s="86" t="s">
        <v>38</v>
      </c>
      <c r="H979" s="86" t="s">
        <v>1164</v>
      </c>
    </row>
    <row r="980" spans="1:8" ht="12.75" hidden="1">
      <c r="A980" s="86">
        <v>979</v>
      </c>
      <c r="B980" s="86" t="s">
        <v>4664</v>
      </c>
      <c r="C980" s="86" t="str">
        <f t="shared" si="0"/>
        <v>650665</v>
      </c>
      <c r="D980" s="86" t="str">
        <f>IF(VLOOKUP(C980,'Diferencias patrimonio 2023'!$C$2:$C$1020,1,FALSE)=C980,"Encontrado", "No")</f>
        <v>Encontrado</v>
      </c>
      <c r="E980" s="86" t="s">
        <v>8171</v>
      </c>
      <c r="F980" s="86" t="s">
        <v>7502</v>
      </c>
      <c r="G980" s="86" t="s">
        <v>38</v>
      </c>
      <c r="H980" s="86" t="s">
        <v>7414</v>
      </c>
    </row>
    <row r="981" spans="1:8" ht="12.75">
      <c r="A981" s="86">
        <v>980</v>
      </c>
      <c r="B981" s="86" t="s">
        <v>7304</v>
      </c>
      <c r="C981" s="86" t="str">
        <f t="shared" si="0"/>
        <v>650666</v>
      </c>
      <c r="D981" s="86" t="e">
        <f>IF(VLOOKUP(C981,'Diferencias patrimonio 2023'!$C$2:$C$1020,1,FALSE)=C981,"Encontrado", "No")</f>
        <v>#N/A</v>
      </c>
      <c r="E981" s="86" t="s">
        <v>8171</v>
      </c>
      <c r="F981" s="86" t="s">
        <v>7502</v>
      </c>
      <c r="G981" s="86" t="s">
        <v>38</v>
      </c>
      <c r="H981" s="86" t="s">
        <v>3092</v>
      </c>
    </row>
    <row r="982" spans="1:8" ht="12.75" hidden="1">
      <c r="A982" s="86">
        <v>981</v>
      </c>
      <c r="B982" s="86" t="s">
        <v>3377</v>
      </c>
      <c r="C982" s="86" t="str">
        <f t="shared" si="0"/>
        <v>650667</v>
      </c>
      <c r="D982" s="86" t="str">
        <f>IF(VLOOKUP(C982,'Diferencias patrimonio 2023'!$C$2:$C$1020,1,FALSE)=C982,"Encontrado", "No")</f>
        <v>Encontrado</v>
      </c>
      <c r="E982" s="86" t="s">
        <v>8171</v>
      </c>
      <c r="F982" s="86" t="s">
        <v>7502</v>
      </c>
      <c r="G982" s="86" t="s">
        <v>38</v>
      </c>
      <c r="H982" s="86" t="s">
        <v>385</v>
      </c>
    </row>
    <row r="983" spans="1:8" ht="12.75">
      <c r="A983" s="86">
        <v>982</v>
      </c>
      <c r="B983" s="86" t="s">
        <v>8367</v>
      </c>
      <c r="C983" s="86" t="str">
        <f t="shared" si="0"/>
        <v>650893</v>
      </c>
      <c r="D983" s="86" t="e">
        <f>IF(VLOOKUP(C983,'Diferencias patrimonio 2023'!$C$2:$C$1020,1,FALSE)=C983,"Encontrado", "No")</f>
        <v>#N/A</v>
      </c>
      <c r="E983" s="86" t="s">
        <v>8171</v>
      </c>
      <c r="F983" s="86" t="s">
        <v>353</v>
      </c>
      <c r="G983" s="86" t="s">
        <v>38</v>
      </c>
      <c r="H983" s="86" t="s">
        <v>6684</v>
      </c>
    </row>
    <row r="984" spans="1:8" ht="12.75" hidden="1">
      <c r="A984" s="86">
        <v>983</v>
      </c>
      <c r="B984" s="86" t="s">
        <v>644</v>
      </c>
      <c r="C984" s="86" t="str">
        <f t="shared" si="0"/>
        <v>650894</v>
      </c>
      <c r="D984" s="86" t="str">
        <f>IF(VLOOKUP(C984,'Diferencias patrimonio 2023'!$C$2:$C$1020,1,FALSE)=C984,"Encontrado", "No")</f>
        <v>Encontrado</v>
      </c>
      <c r="E984" s="86" t="s">
        <v>8171</v>
      </c>
      <c r="F984" s="86" t="s">
        <v>353</v>
      </c>
      <c r="G984" s="86" t="s">
        <v>38</v>
      </c>
      <c r="H984" s="86" t="s">
        <v>385</v>
      </c>
    </row>
    <row r="985" spans="1:8" ht="12.75" hidden="1">
      <c r="A985" s="86">
        <v>984</v>
      </c>
      <c r="B985" s="86" t="s">
        <v>4708</v>
      </c>
      <c r="C985" s="86" t="str">
        <f t="shared" si="0"/>
        <v>650895</v>
      </c>
      <c r="D985" s="86" t="str">
        <f>IF(VLOOKUP(C985,'Diferencias patrimonio 2023'!$C$2:$C$1020,1,FALSE)=C985,"Encontrado", "No")</f>
        <v>Encontrado</v>
      </c>
      <c r="E985" s="86" t="s">
        <v>8171</v>
      </c>
      <c r="F985" s="86" t="s">
        <v>353</v>
      </c>
      <c r="G985" s="86" t="s">
        <v>38</v>
      </c>
      <c r="H985" s="86" t="s">
        <v>7414</v>
      </c>
    </row>
    <row r="986" spans="1:8" ht="12.75" hidden="1">
      <c r="A986" s="86">
        <v>985</v>
      </c>
      <c r="B986" s="86" t="s">
        <v>3183</v>
      </c>
      <c r="C986" s="86" t="str">
        <f t="shared" si="0"/>
        <v>650896</v>
      </c>
      <c r="D986" s="86" t="str">
        <f>IF(VLOOKUP(C986,'Diferencias patrimonio 2023'!$C$2:$C$1020,1,FALSE)=C986,"Encontrado", "No")</f>
        <v>Encontrado</v>
      </c>
      <c r="E986" s="86" t="s">
        <v>8171</v>
      </c>
      <c r="F986" s="86" t="s">
        <v>353</v>
      </c>
      <c r="G986" s="86" t="s">
        <v>38</v>
      </c>
      <c r="H986" s="86" t="s">
        <v>3092</v>
      </c>
    </row>
    <row r="987" spans="1:8" ht="12.75" hidden="1">
      <c r="A987" s="86">
        <v>986</v>
      </c>
      <c r="B987" s="86" t="s">
        <v>2271</v>
      </c>
      <c r="C987" s="86" t="str">
        <f t="shared" si="0"/>
        <v>650897</v>
      </c>
      <c r="D987" s="86" t="str">
        <f>IF(VLOOKUP(C987,'Diferencias patrimonio 2023'!$C$2:$C$1020,1,FALSE)=C987,"Encontrado", "No")</f>
        <v>Encontrado</v>
      </c>
      <c r="E987" s="86" t="s">
        <v>8171</v>
      </c>
      <c r="F987" s="86" t="s">
        <v>353</v>
      </c>
      <c r="G987" s="86" t="s">
        <v>38</v>
      </c>
      <c r="H987" s="86" t="s">
        <v>2052</v>
      </c>
    </row>
    <row r="988" spans="1:8" ht="12.75" hidden="1">
      <c r="A988" s="86">
        <v>987</v>
      </c>
      <c r="B988" s="86" t="s">
        <v>940</v>
      </c>
      <c r="C988" s="86" t="str">
        <f t="shared" si="0"/>
        <v>650898</v>
      </c>
      <c r="D988" s="86" t="str">
        <f>IF(VLOOKUP(C988,'Diferencias patrimonio 2023'!$C$2:$C$1020,1,FALSE)=C988,"Encontrado", "No")</f>
        <v>Encontrado</v>
      </c>
      <c r="E988" s="86" t="s">
        <v>8171</v>
      </c>
      <c r="F988" s="86" t="s">
        <v>353</v>
      </c>
      <c r="G988" s="86" t="s">
        <v>38</v>
      </c>
      <c r="H988" s="86" t="s">
        <v>848</v>
      </c>
    </row>
    <row r="989" spans="1:8" ht="12.75" hidden="1">
      <c r="A989" s="86">
        <v>988</v>
      </c>
      <c r="B989" s="86" t="s">
        <v>1339</v>
      </c>
      <c r="C989" s="86" t="str">
        <f t="shared" si="0"/>
        <v>650899</v>
      </c>
      <c r="D989" s="86" t="str">
        <f>IF(VLOOKUP(C989,'Diferencias patrimonio 2023'!$C$2:$C$1020,1,FALSE)=C989,"Encontrado", "No")</f>
        <v>Encontrado</v>
      </c>
      <c r="E989" s="86" t="s">
        <v>8171</v>
      </c>
      <c r="F989" s="86" t="s">
        <v>353</v>
      </c>
      <c r="G989" s="86" t="s">
        <v>38</v>
      </c>
      <c r="H989" s="86" t="s">
        <v>724</v>
      </c>
    </row>
    <row r="990" spans="1:8" ht="12.75" hidden="1">
      <c r="A990" s="86">
        <v>989</v>
      </c>
      <c r="B990" s="86" t="s">
        <v>362</v>
      </c>
      <c r="C990" s="86" t="str">
        <f t="shared" si="0"/>
        <v>650900</v>
      </c>
      <c r="D990" s="86" t="str">
        <f>IF(VLOOKUP(C990,'Diferencias patrimonio 2023'!$C$2:$C$1020,1,FALSE)=C990,"Encontrado", "No")</f>
        <v>Encontrado</v>
      </c>
      <c r="E990" s="86" t="s">
        <v>8171</v>
      </c>
      <c r="F990" s="86" t="s">
        <v>353</v>
      </c>
      <c r="G990" s="86" t="s">
        <v>38</v>
      </c>
      <c r="H990" s="86" t="s">
        <v>332</v>
      </c>
    </row>
    <row r="991" spans="1:8" ht="12.75" hidden="1">
      <c r="A991" s="86">
        <v>990</v>
      </c>
      <c r="B991" s="86" t="s">
        <v>3383</v>
      </c>
      <c r="C991" s="86" t="str">
        <f t="shared" si="0"/>
        <v>650901</v>
      </c>
      <c r="D991" s="86" t="str">
        <f>IF(VLOOKUP(C991,'Diferencias patrimonio 2023'!$C$2:$C$1020,1,FALSE)=C991,"Encontrado", "No")</f>
        <v>Encontrado</v>
      </c>
      <c r="E991" s="86" t="s">
        <v>8171</v>
      </c>
      <c r="F991" s="86" t="s">
        <v>353</v>
      </c>
      <c r="G991" s="86" t="s">
        <v>38</v>
      </c>
      <c r="H991" s="86" t="s">
        <v>7434</v>
      </c>
    </row>
    <row r="992" spans="1:8" ht="12.75" hidden="1">
      <c r="A992" s="86">
        <v>991</v>
      </c>
      <c r="B992" s="86" t="s">
        <v>1862</v>
      </c>
      <c r="C992" s="86" t="str">
        <f t="shared" si="0"/>
        <v>650902</v>
      </c>
      <c r="D992" s="86" t="str">
        <f>IF(VLOOKUP(C992,'Diferencias patrimonio 2023'!$C$2:$C$1020,1,FALSE)=C992,"Encontrado", "No")</f>
        <v>Encontrado</v>
      </c>
      <c r="E992" s="86" t="s">
        <v>8171</v>
      </c>
      <c r="F992" s="86" t="s">
        <v>353</v>
      </c>
      <c r="G992" s="86" t="s">
        <v>38</v>
      </c>
      <c r="H992" s="86" t="s">
        <v>1550</v>
      </c>
    </row>
    <row r="993" spans="1:8" ht="12.75" hidden="1">
      <c r="A993" s="86">
        <v>992</v>
      </c>
      <c r="B993" s="86" t="s">
        <v>8368</v>
      </c>
      <c r="C993" s="86" t="str">
        <f t="shared" si="0"/>
        <v>650903</v>
      </c>
      <c r="D993" s="86" t="str">
        <f>IF(VLOOKUP(C993,'Diferencias patrimonio 2023'!$C$2:$C$1020,1,FALSE)=C993,"Encontrado", "No")</f>
        <v>Encontrado</v>
      </c>
      <c r="E993" s="86" t="s">
        <v>8171</v>
      </c>
      <c r="F993" s="86" t="s">
        <v>210</v>
      </c>
      <c r="G993" s="86" t="s">
        <v>38</v>
      </c>
      <c r="H993" s="86" t="s">
        <v>7411</v>
      </c>
    </row>
    <row r="994" spans="1:8" ht="12.75" hidden="1">
      <c r="A994" s="86">
        <v>993</v>
      </c>
      <c r="B994" s="86" t="s">
        <v>8369</v>
      </c>
      <c r="C994" s="86" t="str">
        <f t="shared" si="0"/>
        <v>650904</v>
      </c>
      <c r="D994" s="86" t="str">
        <f>IF(VLOOKUP(C994,'Diferencias patrimonio 2023'!$C$2:$C$1020,1,FALSE)=C994,"Encontrado", "No")</f>
        <v>Encontrado</v>
      </c>
      <c r="E994" s="86" t="s">
        <v>8171</v>
      </c>
      <c r="F994" s="86" t="s">
        <v>210</v>
      </c>
      <c r="G994" s="86" t="s">
        <v>38</v>
      </c>
      <c r="H994" s="86" t="s">
        <v>7411</v>
      </c>
    </row>
    <row r="995" spans="1:8" ht="12.75">
      <c r="A995" s="86">
        <v>994</v>
      </c>
      <c r="B995" s="86" t="s">
        <v>7289</v>
      </c>
      <c r="C995" s="86" t="str">
        <f t="shared" si="0"/>
        <v>650905</v>
      </c>
      <c r="D995" s="86" t="e">
        <f>IF(VLOOKUP(C995,'Diferencias patrimonio 2023'!$C$2:$C$1020,1,FALSE)=C995,"Encontrado", "No")</f>
        <v>#N/A</v>
      </c>
      <c r="E995" s="86" t="s">
        <v>8171</v>
      </c>
      <c r="F995" s="86" t="s">
        <v>2817</v>
      </c>
      <c r="G995" s="86" t="s">
        <v>38</v>
      </c>
      <c r="H995" s="86" t="s">
        <v>7411</v>
      </c>
    </row>
    <row r="996" spans="1:8" ht="12.75" hidden="1">
      <c r="A996" s="86">
        <v>995</v>
      </c>
      <c r="B996" s="86" t="s">
        <v>8370</v>
      </c>
      <c r="C996" s="86" t="str">
        <f t="shared" si="0"/>
        <v>651030</v>
      </c>
      <c r="D996" s="86" t="str">
        <f>IF(VLOOKUP(C996,'Diferencias patrimonio 2023'!$C$2:$C$1020,1,FALSE)=C996,"Encontrado", "No")</f>
        <v>Encontrado</v>
      </c>
      <c r="E996" s="86" t="s">
        <v>8171</v>
      </c>
      <c r="F996" s="86" t="s">
        <v>1275</v>
      </c>
      <c r="G996" s="86" t="s">
        <v>38</v>
      </c>
      <c r="H996" s="86" t="s">
        <v>7411</v>
      </c>
    </row>
    <row r="997" spans="1:8" ht="12.75" hidden="1">
      <c r="A997" s="86">
        <v>996</v>
      </c>
      <c r="B997" s="86" t="s">
        <v>8371</v>
      </c>
      <c r="C997" s="86" t="str">
        <f t="shared" si="0"/>
        <v>651031</v>
      </c>
      <c r="D997" s="86" t="str">
        <f>IF(VLOOKUP(C997,'Diferencias patrimonio 2023'!$C$2:$C$1020,1,FALSE)=C997,"Encontrado", "No")</f>
        <v>Encontrado</v>
      </c>
      <c r="E997" s="86" t="s">
        <v>8171</v>
      </c>
      <c r="F997" s="86" t="s">
        <v>199</v>
      </c>
      <c r="G997" s="86" t="s">
        <v>38</v>
      </c>
      <c r="H997" s="86" t="s">
        <v>7411</v>
      </c>
    </row>
    <row r="998" spans="1:8" ht="12.75" hidden="1">
      <c r="A998" s="86">
        <v>997</v>
      </c>
      <c r="B998" s="86" t="s">
        <v>8372</v>
      </c>
      <c r="C998" s="86" t="str">
        <f t="shared" si="0"/>
        <v>651032</v>
      </c>
      <c r="D998" s="86" t="str">
        <f>IF(VLOOKUP(C998,'Diferencias patrimonio 2023'!$C$2:$C$1020,1,FALSE)=C998,"Encontrado", "No")</f>
        <v>Encontrado</v>
      </c>
      <c r="E998" s="86" t="s">
        <v>8171</v>
      </c>
      <c r="F998" s="86" t="s">
        <v>151</v>
      </c>
      <c r="G998" s="86" t="s">
        <v>38</v>
      </c>
      <c r="H998" s="86" t="s">
        <v>7411</v>
      </c>
    </row>
    <row r="999" spans="1:8" ht="12.75" hidden="1">
      <c r="A999" s="86">
        <v>998</v>
      </c>
      <c r="B999" s="86" t="s">
        <v>548</v>
      </c>
      <c r="C999" s="86" t="str">
        <f t="shared" si="0"/>
        <v>651071</v>
      </c>
      <c r="D999" s="86" t="str">
        <f>IF(VLOOKUP(C999,'Diferencias patrimonio 2023'!$C$2:$C$1020,1,FALSE)=C999,"Encontrado", "No")</f>
        <v>Encontrado</v>
      </c>
      <c r="E999" s="86" t="s">
        <v>8171</v>
      </c>
      <c r="F999" s="86" t="s">
        <v>93</v>
      </c>
      <c r="G999" s="86" t="s">
        <v>38</v>
      </c>
      <c r="H999" s="86" t="s">
        <v>7398</v>
      </c>
    </row>
    <row r="1000" spans="1:8" ht="12.75" hidden="1">
      <c r="A1000" s="86">
        <v>999</v>
      </c>
      <c r="B1000" s="86" t="s">
        <v>6022</v>
      </c>
      <c r="C1000" s="86" t="str">
        <f t="shared" si="0"/>
        <v>651072</v>
      </c>
      <c r="D1000" s="86" t="str">
        <f>IF(VLOOKUP(C1000,'Diferencias patrimonio 2023'!$C$2:$C$1020,1,FALSE)=C1000,"Encontrado", "No")</f>
        <v>Encontrado</v>
      </c>
      <c r="E1000" s="86" t="s">
        <v>8171</v>
      </c>
      <c r="F1000" s="86" t="s">
        <v>378</v>
      </c>
      <c r="G1000" s="86" t="s">
        <v>38</v>
      </c>
      <c r="H1000" s="86" t="s">
        <v>7398</v>
      </c>
    </row>
    <row r="1001" spans="1:8" ht="12.75" hidden="1">
      <c r="A1001" s="86">
        <v>1000</v>
      </c>
      <c r="B1001" s="86" t="s">
        <v>6034</v>
      </c>
      <c r="C1001" s="86" t="str">
        <f t="shared" si="0"/>
        <v>651073</v>
      </c>
      <c r="D1001" s="86" t="str">
        <f>IF(VLOOKUP(C1001,'Diferencias patrimonio 2023'!$C$2:$C$1020,1,FALSE)=C1001,"Encontrado", "No")</f>
        <v>Encontrado</v>
      </c>
      <c r="E1001" s="86" t="s">
        <v>8171</v>
      </c>
      <c r="F1001" s="86" t="s">
        <v>378</v>
      </c>
      <c r="G1001" s="86" t="s">
        <v>38</v>
      </c>
      <c r="H1001" s="86" t="s">
        <v>7398</v>
      </c>
    </row>
    <row r="1002" spans="1:8" ht="12.75" hidden="1">
      <c r="A1002" s="86">
        <v>1001</v>
      </c>
      <c r="B1002" s="86" t="s">
        <v>6016</v>
      </c>
      <c r="C1002" s="86" t="str">
        <f t="shared" si="0"/>
        <v>651074</v>
      </c>
      <c r="D1002" s="86" t="str">
        <f>IF(VLOOKUP(C1002,'Diferencias patrimonio 2023'!$C$2:$C$1020,1,FALSE)=C1002,"Encontrado", "No")</f>
        <v>Encontrado</v>
      </c>
      <c r="E1002" s="86" t="s">
        <v>8171</v>
      </c>
      <c r="F1002" s="86" t="s">
        <v>378</v>
      </c>
      <c r="G1002" s="86" t="s">
        <v>38</v>
      </c>
      <c r="H1002" s="86" t="s">
        <v>7398</v>
      </c>
    </row>
    <row r="1003" spans="1:8" ht="12.75" hidden="1">
      <c r="A1003" s="86">
        <v>1002</v>
      </c>
      <c r="B1003" s="86" t="s">
        <v>6010</v>
      </c>
      <c r="C1003" s="86" t="str">
        <f t="shared" si="0"/>
        <v>651075</v>
      </c>
      <c r="D1003" s="86" t="str">
        <f>IF(VLOOKUP(C1003,'Diferencias patrimonio 2023'!$C$2:$C$1020,1,FALSE)=C1003,"Encontrado", "No")</f>
        <v>Encontrado</v>
      </c>
      <c r="E1003" s="86" t="s">
        <v>8171</v>
      </c>
      <c r="F1003" s="86" t="s">
        <v>378</v>
      </c>
      <c r="G1003" s="86" t="s">
        <v>38</v>
      </c>
      <c r="H1003" s="86" t="s">
        <v>7398</v>
      </c>
    </row>
    <row r="1004" spans="1:8" ht="12.75" hidden="1">
      <c r="A1004" s="86">
        <v>1003</v>
      </c>
      <c r="B1004" s="86" t="s">
        <v>6004</v>
      </c>
      <c r="C1004" s="86" t="str">
        <f t="shared" si="0"/>
        <v>651076</v>
      </c>
      <c r="D1004" s="86" t="str">
        <f>IF(VLOOKUP(C1004,'Diferencias patrimonio 2023'!$C$2:$C$1020,1,FALSE)=C1004,"Encontrado", "No")</f>
        <v>Encontrado</v>
      </c>
      <c r="E1004" s="86" t="s">
        <v>8171</v>
      </c>
      <c r="F1004" s="86" t="s">
        <v>378</v>
      </c>
      <c r="G1004" s="86" t="s">
        <v>38</v>
      </c>
      <c r="H1004" s="86" t="s">
        <v>7398</v>
      </c>
    </row>
    <row r="1005" spans="1:8" ht="12.75" hidden="1">
      <c r="A1005" s="86">
        <v>1004</v>
      </c>
      <c r="B1005" s="86" t="s">
        <v>5998</v>
      </c>
      <c r="C1005" s="86" t="str">
        <f t="shared" si="0"/>
        <v>651077</v>
      </c>
      <c r="D1005" s="86" t="str">
        <f>IF(VLOOKUP(C1005,'Diferencias patrimonio 2023'!$C$2:$C$1020,1,FALSE)=C1005,"Encontrado", "No")</f>
        <v>Encontrado</v>
      </c>
      <c r="E1005" s="86" t="s">
        <v>8171</v>
      </c>
      <c r="F1005" s="86" t="s">
        <v>378</v>
      </c>
      <c r="G1005" s="86" t="s">
        <v>38</v>
      </c>
      <c r="H1005" s="86" t="s">
        <v>7398</v>
      </c>
    </row>
    <row r="1006" spans="1:8" ht="12.75" hidden="1">
      <c r="A1006" s="86">
        <v>1005</v>
      </c>
      <c r="B1006" s="86" t="s">
        <v>5992</v>
      </c>
      <c r="C1006" s="86" t="str">
        <f t="shared" si="0"/>
        <v>651078</v>
      </c>
      <c r="D1006" s="86" t="str">
        <f>IF(VLOOKUP(C1006,'Diferencias patrimonio 2023'!$C$2:$C$1020,1,FALSE)=C1006,"Encontrado", "No")</f>
        <v>Encontrado</v>
      </c>
      <c r="E1006" s="86" t="s">
        <v>8171</v>
      </c>
      <c r="F1006" s="86" t="s">
        <v>378</v>
      </c>
      <c r="G1006" s="86" t="s">
        <v>38</v>
      </c>
      <c r="H1006" s="86" t="s">
        <v>7398</v>
      </c>
    </row>
    <row r="1007" spans="1:8" ht="12.75" hidden="1">
      <c r="A1007" s="86">
        <v>1006</v>
      </c>
      <c r="B1007" s="86" t="s">
        <v>5986</v>
      </c>
      <c r="C1007" s="86" t="str">
        <f t="shared" si="0"/>
        <v>651079</v>
      </c>
      <c r="D1007" s="86" t="str">
        <f>IF(VLOOKUP(C1007,'Diferencias patrimonio 2023'!$C$2:$C$1020,1,FALSE)=C1007,"Encontrado", "No")</f>
        <v>Encontrado</v>
      </c>
      <c r="E1007" s="86" t="s">
        <v>8171</v>
      </c>
      <c r="F1007" s="86" t="s">
        <v>378</v>
      </c>
      <c r="G1007" s="86" t="s">
        <v>38</v>
      </c>
      <c r="H1007" s="86" t="s">
        <v>7398</v>
      </c>
    </row>
    <row r="1008" spans="1:8" ht="12.75" hidden="1">
      <c r="A1008" s="86">
        <v>1007</v>
      </c>
      <c r="B1008" s="86" t="s">
        <v>5980</v>
      </c>
      <c r="C1008" s="86" t="str">
        <f t="shared" si="0"/>
        <v>651080</v>
      </c>
      <c r="D1008" s="86" t="str">
        <f>IF(VLOOKUP(C1008,'Diferencias patrimonio 2023'!$C$2:$C$1020,1,FALSE)=C1008,"Encontrado", "No")</f>
        <v>Encontrado</v>
      </c>
      <c r="E1008" s="86" t="s">
        <v>8171</v>
      </c>
      <c r="F1008" s="86" t="s">
        <v>378</v>
      </c>
      <c r="G1008" s="86" t="s">
        <v>38</v>
      </c>
      <c r="H1008" s="86" t="s">
        <v>7398</v>
      </c>
    </row>
    <row r="1009" spans="1:8" ht="12.75" hidden="1">
      <c r="A1009" s="86">
        <v>1008</v>
      </c>
      <c r="B1009" s="86" t="s">
        <v>5974</v>
      </c>
      <c r="C1009" s="86" t="str">
        <f t="shared" si="0"/>
        <v>651081</v>
      </c>
      <c r="D1009" s="86" t="str">
        <f>IF(VLOOKUP(C1009,'Diferencias patrimonio 2023'!$C$2:$C$1020,1,FALSE)=C1009,"Encontrado", "No")</f>
        <v>Encontrado</v>
      </c>
      <c r="E1009" s="86" t="s">
        <v>8171</v>
      </c>
      <c r="F1009" s="86" t="s">
        <v>378</v>
      </c>
      <c r="G1009" s="86" t="s">
        <v>38</v>
      </c>
      <c r="H1009" s="86" t="s">
        <v>7398</v>
      </c>
    </row>
    <row r="1010" spans="1:8" ht="12.75" hidden="1">
      <c r="A1010" s="86">
        <v>1009</v>
      </c>
      <c r="B1010" s="86" t="s">
        <v>5968</v>
      </c>
      <c r="C1010" s="86" t="str">
        <f t="shared" si="0"/>
        <v>651082</v>
      </c>
      <c r="D1010" s="86" t="str">
        <f>IF(VLOOKUP(C1010,'Diferencias patrimonio 2023'!$C$2:$C$1020,1,FALSE)=C1010,"Encontrado", "No")</f>
        <v>Encontrado</v>
      </c>
      <c r="E1010" s="86" t="s">
        <v>8171</v>
      </c>
      <c r="F1010" s="86" t="s">
        <v>378</v>
      </c>
      <c r="G1010" s="86" t="s">
        <v>38</v>
      </c>
      <c r="H1010" s="86" t="s">
        <v>7398</v>
      </c>
    </row>
    <row r="1011" spans="1:8" ht="12.75" hidden="1">
      <c r="A1011" s="86">
        <v>1010</v>
      </c>
      <c r="B1011" s="86" t="s">
        <v>5962</v>
      </c>
      <c r="C1011" s="86" t="str">
        <f t="shared" si="0"/>
        <v>651083</v>
      </c>
      <c r="D1011" s="86" t="str">
        <f>IF(VLOOKUP(C1011,'Diferencias patrimonio 2023'!$C$2:$C$1020,1,FALSE)=C1011,"Encontrado", "No")</f>
        <v>Encontrado</v>
      </c>
      <c r="E1011" s="86" t="s">
        <v>8171</v>
      </c>
      <c r="F1011" s="86" t="s">
        <v>378</v>
      </c>
      <c r="G1011" s="86" t="s">
        <v>38</v>
      </c>
      <c r="H1011" s="86" t="s">
        <v>7398</v>
      </c>
    </row>
    <row r="1012" spans="1:8" ht="12.75" hidden="1">
      <c r="A1012" s="86">
        <v>1011</v>
      </c>
      <c r="B1012" s="86" t="s">
        <v>114</v>
      </c>
      <c r="C1012" s="86" t="str">
        <f t="shared" si="0"/>
        <v>651084</v>
      </c>
      <c r="D1012" s="86" t="str">
        <f>IF(VLOOKUP(C1012,'Diferencias patrimonio 2023'!$C$2:$C$1020,1,FALSE)=C1012,"Encontrado", "No")</f>
        <v>Encontrado</v>
      </c>
      <c r="E1012" s="86" t="s">
        <v>8171</v>
      </c>
      <c r="F1012" s="86" t="s">
        <v>29</v>
      </c>
      <c r="G1012" s="86" t="s">
        <v>38</v>
      </c>
      <c r="H1012" s="86" t="s">
        <v>7398</v>
      </c>
    </row>
    <row r="1013" spans="1:8" ht="12.75" hidden="1">
      <c r="A1013" s="86">
        <v>1012</v>
      </c>
      <c r="B1013" s="86" t="s">
        <v>1426</v>
      </c>
      <c r="C1013" s="86" t="str">
        <f t="shared" si="0"/>
        <v>651085</v>
      </c>
      <c r="D1013" s="86" t="str">
        <f>IF(VLOOKUP(C1013,'Diferencias patrimonio 2023'!$C$2:$C$1020,1,FALSE)=C1013,"Encontrado", "No")</f>
        <v>Encontrado</v>
      </c>
      <c r="E1013" s="86" t="s">
        <v>8171</v>
      </c>
      <c r="F1013" s="86" t="s">
        <v>116</v>
      </c>
      <c r="G1013" s="86" t="s">
        <v>38</v>
      </c>
      <c r="H1013" s="86" t="s">
        <v>7398</v>
      </c>
    </row>
    <row r="1014" spans="1:8" ht="12.75" hidden="1">
      <c r="A1014" s="86">
        <v>1013</v>
      </c>
      <c r="B1014" s="86" t="s">
        <v>712</v>
      </c>
      <c r="C1014" s="86" t="str">
        <f t="shared" si="0"/>
        <v>651086</v>
      </c>
      <c r="D1014" s="86" t="str">
        <f>IF(VLOOKUP(C1014,'Diferencias patrimonio 2023'!$C$2:$C$1020,1,FALSE)=C1014,"Encontrado", "No")</f>
        <v>Encontrado</v>
      </c>
      <c r="E1014" s="86" t="s">
        <v>8171</v>
      </c>
      <c r="F1014" s="86" t="s">
        <v>151</v>
      </c>
      <c r="G1014" s="86" t="s">
        <v>38</v>
      </c>
      <c r="H1014" s="86" t="s">
        <v>385</v>
      </c>
    </row>
    <row r="1015" spans="1:8" ht="12.75" hidden="1">
      <c r="A1015" s="86">
        <v>1014</v>
      </c>
      <c r="B1015" s="86" t="s">
        <v>8373</v>
      </c>
      <c r="C1015" s="86" t="str">
        <f t="shared" si="0"/>
        <v>651087</v>
      </c>
      <c r="D1015" s="86" t="e">
        <f>IF(VLOOKUP(C1015,'Diferencias patrimonio 2023'!$C$2:$C$1020,1,FALSE)=C1015,"Encontrado", "No")</f>
        <v>#N/A</v>
      </c>
      <c r="E1015" s="86" t="s">
        <v>8171</v>
      </c>
      <c r="F1015" s="86" t="s">
        <v>151</v>
      </c>
      <c r="G1015" s="86" t="s">
        <v>38</v>
      </c>
      <c r="H1015" s="86" t="s">
        <v>385</v>
      </c>
    </row>
    <row r="1016" spans="1:8" ht="12.75" hidden="1">
      <c r="A1016" s="86">
        <v>1015</v>
      </c>
      <c r="B1016" s="86" t="s">
        <v>1133</v>
      </c>
      <c r="C1016" s="86" t="str">
        <f t="shared" si="0"/>
        <v>651088</v>
      </c>
      <c r="D1016" s="86" t="str">
        <f>IF(VLOOKUP(C1016,'Diferencias patrimonio 2023'!$C$2:$C$1020,1,FALSE)=C1016,"Encontrado", "No")</f>
        <v>Encontrado</v>
      </c>
      <c r="E1016" s="86" t="s">
        <v>8171</v>
      </c>
      <c r="F1016" s="86" t="s">
        <v>151</v>
      </c>
      <c r="G1016" s="86" t="s">
        <v>38</v>
      </c>
      <c r="H1016" s="86" t="s">
        <v>385</v>
      </c>
    </row>
    <row r="1017" spans="1:8" ht="12.75" hidden="1">
      <c r="A1017" s="86">
        <v>1016</v>
      </c>
      <c r="B1017" s="86" t="s">
        <v>1140</v>
      </c>
      <c r="C1017" s="86" t="str">
        <f t="shared" si="0"/>
        <v>651089</v>
      </c>
      <c r="D1017" s="86" t="str">
        <f>IF(VLOOKUP(C1017,'Diferencias patrimonio 2023'!$C$2:$C$1020,1,FALSE)=C1017,"Encontrado", "No")</f>
        <v>Encontrado</v>
      </c>
      <c r="E1017" s="86" t="s">
        <v>8171</v>
      </c>
      <c r="F1017" s="86" t="s">
        <v>151</v>
      </c>
      <c r="G1017" s="86" t="s">
        <v>38</v>
      </c>
      <c r="H1017" s="86" t="s">
        <v>385</v>
      </c>
    </row>
    <row r="1018" spans="1:8" ht="12.75" hidden="1">
      <c r="A1018" s="86">
        <v>1017</v>
      </c>
      <c r="B1018" s="86" t="s">
        <v>961</v>
      </c>
      <c r="C1018" s="86" t="str">
        <f t="shared" si="0"/>
        <v>651090</v>
      </c>
      <c r="D1018" s="86" t="str">
        <f>IF(VLOOKUP(C1018,'Diferencias patrimonio 2023'!$C$2:$C$1020,1,FALSE)=C1018,"Encontrado", "No")</f>
        <v>Encontrado</v>
      </c>
      <c r="E1018" s="86" t="s">
        <v>8171</v>
      </c>
      <c r="F1018" s="86" t="s">
        <v>378</v>
      </c>
      <c r="G1018" s="86" t="s">
        <v>38</v>
      </c>
      <c r="H1018" s="86" t="s">
        <v>848</v>
      </c>
    </row>
    <row r="1019" spans="1:8" ht="12.75" hidden="1">
      <c r="A1019" s="86">
        <v>1018</v>
      </c>
      <c r="B1019" s="86" t="s">
        <v>1102</v>
      </c>
      <c r="C1019" s="86" t="str">
        <f t="shared" si="0"/>
        <v>651091</v>
      </c>
      <c r="D1019" s="86" t="str">
        <f>IF(VLOOKUP(C1019,'Diferencias patrimonio 2023'!$C$2:$C$1020,1,FALSE)=C1019,"Encontrado", "No")</f>
        <v>Encontrado</v>
      </c>
      <c r="E1019" s="86" t="s">
        <v>8171</v>
      </c>
      <c r="F1019" s="86" t="s">
        <v>501</v>
      </c>
      <c r="G1019" s="86" t="s">
        <v>38</v>
      </c>
      <c r="H1019" s="86" t="s">
        <v>848</v>
      </c>
    </row>
    <row r="1020" spans="1:8" ht="12.75" hidden="1">
      <c r="A1020" s="86">
        <v>1019</v>
      </c>
      <c r="B1020" s="86" t="s">
        <v>1083</v>
      </c>
      <c r="C1020" s="86" t="str">
        <f t="shared" si="0"/>
        <v>651092</v>
      </c>
      <c r="D1020" s="86" t="str">
        <f>IF(VLOOKUP(C1020,'Diferencias patrimonio 2023'!$C$2:$C$1020,1,FALSE)=C1020,"Encontrado", "No")</f>
        <v>Encontrado</v>
      </c>
      <c r="E1020" s="86" t="s">
        <v>8171</v>
      </c>
      <c r="F1020" s="86" t="s">
        <v>501</v>
      </c>
      <c r="G1020" s="86" t="s">
        <v>38</v>
      </c>
      <c r="H1020" s="86" t="s">
        <v>848</v>
      </c>
    </row>
    <row r="1021" spans="1:8" ht="12.75" hidden="1">
      <c r="A1021" s="86">
        <v>1020</v>
      </c>
      <c r="B1021" s="86" t="s">
        <v>1053</v>
      </c>
      <c r="C1021" s="86" t="str">
        <f t="shared" si="0"/>
        <v>651093</v>
      </c>
      <c r="D1021" s="86" t="str">
        <f>IF(VLOOKUP(C1021,'Diferencias patrimonio 2023'!$C$2:$C$1020,1,FALSE)=C1021,"Encontrado", "No")</f>
        <v>Encontrado</v>
      </c>
      <c r="E1021" s="86" t="s">
        <v>8171</v>
      </c>
      <c r="F1021" s="86" t="s">
        <v>501</v>
      </c>
      <c r="G1021" s="86" t="s">
        <v>38</v>
      </c>
      <c r="H1021" s="86" t="s">
        <v>848</v>
      </c>
    </row>
    <row r="1022" spans="1:8" ht="12.75" hidden="1">
      <c r="A1022" s="86">
        <v>1021</v>
      </c>
      <c r="B1022" s="86" t="s">
        <v>1077</v>
      </c>
      <c r="C1022" s="86" t="str">
        <f t="shared" si="0"/>
        <v>651094</v>
      </c>
      <c r="D1022" s="86" t="str">
        <f>IF(VLOOKUP(C1022,'Diferencias patrimonio 2023'!$C$2:$C$1020,1,FALSE)=C1022,"Encontrado", "No")</f>
        <v>Encontrado</v>
      </c>
      <c r="E1022" s="86" t="s">
        <v>8171</v>
      </c>
      <c r="F1022" s="86" t="s">
        <v>501</v>
      </c>
      <c r="G1022" s="86" t="s">
        <v>38</v>
      </c>
      <c r="H1022" s="86" t="s">
        <v>848</v>
      </c>
    </row>
    <row r="1023" spans="1:8" ht="12.75" hidden="1">
      <c r="A1023" s="86">
        <v>1022</v>
      </c>
      <c r="B1023" s="86" t="s">
        <v>1059</v>
      </c>
      <c r="C1023" s="86" t="str">
        <f t="shared" si="0"/>
        <v>651095</v>
      </c>
      <c r="D1023" s="86" t="str">
        <f>IF(VLOOKUP(C1023,'Diferencias patrimonio 2023'!$C$2:$C$1020,1,FALSE)=C1023,"Encontrado", "No")</f>
        <v>Encontrado</v>
      </c>
      <c r="E1023" s="86" t="s">
        <v>8171</v>
      </c>
      <c r="F1023" s="86" t="s">
        <v>501</v>
      </c>
      <c r="G1023" s="86" t="s">
        <v>38</v>
      </c>
      <c r="H1023" s="86" t="s">
        <v>848</v>
      </c>
    </row>
    <row r="1024" spans="1:8" ht="12.75" hidden="1">
      <c r="A1024" s="86">
        <v>1023</v>
      </c>
      <c r="B1024" s="86" t="s">
        <v>1089</v>
      </c>
      <c r="C1024" s="86" t="str">
        <f t="shared" si="0"/>
        <v>651096</v>
      </c>
      <c r="D1024" s="86" t="str">
        <f>IF(VLOOKUP(C1024,'Diferencias patrimonio 2023'!$C$2:$C$1020,1,FALSE)=C1024,"Encontrado", "No")</f>
        <v>Encontrado</v>
      </c>
      <c r="E1024" s="86" t="s">
        <v>8171</v>
      </c>
      <c r="F1024" s="86" t="s">
        <v>501</v>
      </c>
      <c r="G1024" s="86" t="s">
        <v>38</v>
      </c>
      <c r="H1024" s="86" t="s">
        <v>848</v>
      </c>
    </row>
    <row r="1025" spans="1:8" ht="12.75" hidden="1">
      <c r="A1025" s="86">
        <v>1024</v>
      </c>
      <c r="B1025" s="86" t="s">
        <v>1071</v>
      </c>
      <c r="C1025" s="86" t="str">
        <f t="shared" si="0"/>
        <v>651097</v>
      </c>
      <c r="D1025" s="86" t="str">
        <f>IF(VLOOKUP(C1025,'Diferencias patrimonio 2023'!$C$2:$C$1020,1,FALSE)=C1025,"Encontrado", "No")</f>
        <v>Encontrado</v>
      </c>
      <c r="E1025" s="86" t="s">
        <v>8171</v>
      </c>
      <c r="F1025" s="86" t="s">
        <v>501</v>
      </c>
      <c r="G1025" s="86" t="s">
        <v>38</v>
      </c>
      <c r="H1025" s="86" t="s">
        <v>848</v>
      </c>
    </row>
    <row r="1026" spans="1:8" ht="12.75" hidden="1">
      <c r="A1026" s="86">
        <v>1025</v>
      </c>
      <c r="B1026" s="86" t="s">
        <v>763</v>
      </c>
      <c r="C1026" s="86" t="str">
        <f t="shared" si="0"/>
        <v>651098</v>
      </c>
      <c r="D1026" s="86" t="str">
        <f>IF(VLOOKUP(C1026,'Diferencias patrimonio 2023'!$C$2:$C$1020,1,FALSE)=C1026,"Encontrado", "No")</f>
        <v>Encontrado</v>
      </c>
      <c r="E1026" s="86" t="s">
        <v>8171</v>
      </c>
      <c r="F1026" s="86" t="s">
        <v>93</v>
      </c>
      <c r="G1026" s="86" t="s">
        <v>38</v>
      </c>
      <c r="H1026" s="86" t="s">
        <v>848</v>
      </c>
    </row>
    <row r="1027" spans="1:8" ht="12.75">
      <c r="A1027" s="86">
        <v>1026</v>
      </c>
      <c r="B1027" s="86" t="s">
        <v>8374</v>
      </c>
      <c r="C1027" s="86" t="str">
        <f t="shared" si="0"/>
        <v>651099</v>
      </c>
      <c r="D1027" s="86" t="e">
        <f>IF(VLOOKUP(C1027,'Diferencias patrimonio 2023'!$C$2:$C$1020,1,FALSE)=C1027,"Encontrado", "No")</f>
        <v>#N/A</v>
      </c>
      <c r="E1027" s="86" t="s">
        <v>8171</v>
      </c>
      <c r="F1027" s="86" t="s">
        <v>151</v>
      </c>
      <c r="G1027" s="86" t="s">
        <v>38</v>
      </c>
      <c r="H1027" s="86" t="s">
        <v>7441</v>
      </c>
    </row>
    <row r="1028" spans="1:8" ht="12.75">
      <c r="A1028" s="86">
        <v>1027</v>
      </c>
      <c r="B1028" s="86" t="s">
        <v>8375</v>
      </c>
      <c r="C1028" s="86" t="str">
        <f t="shared" si="0"/>
        <v>651100</v>
      </c>
      <c r="D1028" s="86" t="e">
        <f>IF(VLOOKUP(C1028,'Diferencias patrimonio 2023'!$C$2:$C$1020,1,FALSE)=C1028,"Encontrado", "No")</f>
        <v>#N/A</v>
      </c>
      <c r="E1028" s="86" t="s">
        <v>8171</v>
      </c>
      <c r="F1028" s="86" t="s">
        <v>1240</v>
      </c>
      <c r="G1028" s="86" t="s">
        <v>38</v>
      </c>
      <c r="H1028" s="86" t="s">
        <v>7398</v>
      </c>
    </row>
    <row r="1029" spans="1:8" ht="12.75" hidden="1">
      <c r="A1029" s="86">
        <v>1028</v>
      </c>
      <c r="B1029" s="86" t="s">
        <v>6284</v>
      </c>
      <c r="C1029" s="86" t="str">
        <f t="shared" si="0"/>
        <v>651101</v>
      </c>
      <c r="D1029" s="86" t="str">
        <f>IF(VLOOKUP(C1029,'Diferencias patrimonio 2023'!$C$2:$C$1020,1,FALSE)=C1029,"Encontrado", "No")</f>
        <v>Encontrado</v>
      </c>
      <c r="E1029" s="86" t="s">
        <v>8171</v>
      </c>
      <c r="F1029" s="86" t="s">
        <v>378</v>
      </c>
      <c r="G1029" s="86" t="s">
        <v>38</v>
      </c>
      <c r="H1029" s="86" t="s">
        <v>6062</v>
      </c>
    </row>
    <row r="1030" spans="1:8" ht="12.75" hidden="1">
      <c r="A1030" s="86">
        <v>1029</v>
      </c>
      <c r="B1030" s="86" t="s">
        <v>6768</v>
      </c>
      <c r="C1030" s="86" t="str">
        <f t="shared" si="0"/>
        <v>651102</v>
      </c>
      <c r="D1030" s="86" t="str">
        <f>IF(VLOOKUP(C1030,'Diferencias patrimonio 2023'!$C$2:$C$1020,1,FALSE)=C1030,"Encontrado", "No")</f>
        <v>Encontrado</v>
      </c>
      <c r="E1030" s="86" t="s">
        <v>8171</v>
      </c>
      <c r="F1030" s="86" t="s">
        <v>378</v>
      </c>
      <c r="G1030" s="86" t="s">
        <v>38</v>
      </c>
      <c r="H1030" s="86" t="s">
        <v>6062</v>
      </c>
    </row>
    <row r="1031" spans="1:8" ht="12.75" hidden="1">
      <c r="A1031" s="86">
        <v>1030</v>
      </c>
      <c r="B1031" s="86" t="s">
        <v>6224</v>
      </c>
      <c r="C1031" s="86" t="str">
        <f t="shared" si="0"/>
        <v>651103</v>
      </c>
      <c r="D1031" s="86" t="str">
        <f>IF(VLOOKUP(C1031,'Diferencias patrimonio 2023'!$C$2:$C$1020,1,FALSE)=C1031,"Encontrado", "No")</f>
        <v>Encontrado</v>
      </c>
      <c r="E1031" s="86" t="s">
        <v>8171</v>
      </c>
      <c r="F1031" s="86" t="s">
        <v>378</v>
      </c>
      <c r="G1031" s="86" t="s">
        <v>38</v>
      </c>
      <c r="H1031" s="86" t="s">
        <v>6062</v>
      </c>
    </row>
    <row r="1032" spans="1:8" ht="12.75" hidden="1">
      <c r="A1032" s="86">
        <v>1031</v>
      </c>
      <c r="B1032" s="86" t="s">
        <v>8376</v>
      </c>
      <c r="C1032" s="86" t="str">
        <f t="shared" si="0"/>
        <v>651104</v>
      </c>
      <c r="D1032" s="86" t="str">
        <f>IF(VLOOKUP(C1032,'Diferencias patrimonio 2023'!$C$2:$C$1020,1,FALSE)=C1032,"Encontrado", "No")</f>
        <v>Encontrado</v>
      </c>
      <c r="E1032" s="86" t="s">
        <v>8171</v>
      </c>
      <c r="F1032" s="86" t="s">
        <v>2060</v>
      </c>
      <c r="G1032" s="86" t="s">
        <v>38</v>
      </c>
      <c r="H1032" s="86" t="s">
        <v>3450</v>
      </c>
    </row>
    <row r="1033" spans="1:8" ht="12.75" hidden="1">
      <c r="A1033" s="86">
        <v>1032</v>
      </c>
      <c r="B1033" s="86" t="s">
        <v>8377</v>
      </c>
      <c r="C1033" s="86" t="str">
        <f t="shared" si="0"/>
        <v>651105</v>
      </c>
      <c r="D1033" s="86" t="str">
        <f>IF(VLOOKUP(C1033,'Diferencias patrimonio 2023'!$C$2:$C$1020,1,FALSE)=C1033,"Encontrado", "No")</f>
        <v>Encontrado</v>
      </c>
      <c r="E1033" s="86" t="s">
        <v>8171</v>
      </c>
      <c r="F1033" s="86" t="s">
        <v>378</v>
      </c>
      <c r="G1033" s="86" t="s">
        <v>38</v>
      </c>
      <c r="H1033" s="86" t="s">
        <v>3450</v>
      </c>
    </row>
    <row r="1034" spans="1:8" ht="12.75" hidden="1">
      <c r="A1034" s="86">
        <v>1033</v>
      </c>
      <c r="B1034" s="86" t="s">
        <v>8378</v>
      </c>
      <c r="C1034" s="86" t="str">
        <f t="shared" si="0"/>
        <v>651106</v>
      </c>
      <c r="D1034" s="86" t="str">
        <f>IF(VLOOKUP(C1034,'Diferencias patrimonio 2023'!$C$2:$C$1020,1,FALSE)=C1034,"Encontrado", "No")</f>
        <v>Encontrado</v>
      </c>
      <c r="E1034" s="86" t="s">
        <v>8171</v>
      </c>
      <c r="F1034" s="86" t="s">
        <v>378</v>
      </c>
      <c r="G1034" s="86" t="s">
        <v>38</v>
      </c>
      <c r="H1034" s="86" t="s">
        <v>3450</v>
      </c>
    </row>
    <row r="1035" spans="1:8" ht="12.75" hidden="1">
      <c r="A1035" s="86">
        <v>1034</v>
      </c>
      <c r="B1035" s="86" t="s">
        <v>7308</v>
      </c>
      <c r="C1035" s="86" t="str">
        <f t="shared" si="0"/>
        <v>651107</v>
      </c>
      <c r="D1035" s="86" t="str">
        <f>IF(VLOOKUP(C1035,'Diferencias patrimonio 2023'!$C$2:$C$1020,1,FALSE)=C1035,"Encontrado", "No")</f>
        <v>Encontrado</v>
      </c>
      <c r="E1035" s="86" t="s">
        <v>8171</v>
      </c>
      <c r="F1035" s="86" t="s">
        <v>93</v>
      </c>
      <c r="G1035" s="86" t="s">
        <v>38</v>
      </c>
      <c r="H1035" s="86" t="s">
        <v>3450</v>
      </c>
    </row>
    <row r="1036" spans="1:8" ht="12.75" hidden="1">
      <c r="A1036" s="86">
        <v>1035</v>
      </c>
      <c r="B1036" s="86" t="s">
        <v>8379</v>
      </c>
      <c r="C1036" s="86" t="str">
        <f t="shared" si="0"/>
        <v>651108</v>
      </c>
      <c r="D1036" s="86" t="str">
        <f>IF(VLOOKUP(C1036,'Diferencias patrimonio 2023'!$C$2:$C$1020,1,FALSE)=C1036,"Encontrado", "No")</f>
        <v>Encontrado</v>
      </c>
      <c r="E1036" s="86" t="s">
        <v>8171</v>
      </c>
      <c r="F1036" s="86" t="s">
        <v>116</v>
      </c>
      <c r="G1036" s="86" t="s">
        <v>38</v>
      </c>
      <c r="H1036" s="86" t="s">
        <v>8224</v>
      </c>
    </row>
    <row r="1037" spans="1:8" ht="12.75" hidden="1">
      <c r="A1037" s="86">
        <v>1036</v>
      </c>
      <c r="B1037" s="86" t="s">
        <v>8380</v>
      </c>
      <c r="C1037" s="86" t="str">
        <f t="shared" si="0"/>
        <v>651109</v>
      </c>
      <c r="D1037" s="86" t="str">
        <f>IF(VLOOKUP(C1037,'Diferencias patrimonio 2023'!$C$2:$C$1020,1,FALSE)=C1037,"Encontrado", "No")</f>
        <v>Encontrado</v>
      </c>
      <c r="E1037" s="86" t="s">
        <v>8171</v>
      </c>
      <c r="F1037" s="86" t="s">
        <v>248</v>
      </c>
      <c r="G1037" s="86" t="s">
        <v>38</v>
      </c>
      <c r="H1037" s="86" t="s">
        <v>8224</v>
      </c>
    </row>
    <row r="1038" spans="1:8" ht="12.75" hidden="1">
      <c r="A1038" s="86">
        <v>1037</v>
      </c>
      <c r="B1038" s="86" t="s">
        <v>8381</v>
      </c>
      <c r="C1038" s="86" t="str">
        <f t="shared" si="0"/>
        <v>651110</v>
      </c>
      <c r="D1038" s="86" t="str">
        <f>IF(VLOOKUP(C1038,'Diferencias patrimonio 2023'!$C$2:$C$1020,1,FALSE)=C1038,"Encontrado", "No")</f>
        <v>Encontrado</v>
      </c>
      <c r="E1038" s="86" t="s">
        <v>8171</v>
      </c>
      <c r="F1038" s="86" t="s">
        <v>93</v>
      </c>
      <c r="G1038" s="86" t="s">
        <v>38</v>
      </c>
      <c r="H1038" s="86" t="s">
        <v>8224</v>
      </c>
    </row>
    <row r="1039" spans="1:8" ht="12.75" hidden="1">
      <c r="A1039" s="86">
        <v>1038</v>
      </c>
      <c r="B1039" s="86" t="s">
        <v>8382</v>
      </c>
      <c r="C1039" s="86" t="str">
        <f t="shared" si="0"/>
        <v>651111</v>
      </c>
      <c r="D1039" s="86" t="str">
        <f>IF(VLOOKUP(C1039,'Diferencias patrimonio 2023'!$C$2:$C$1020,1,FALSE)=C1039,"Encontrado", "No")</f>
        <v>Encontrado</v>
      </c>
      <c r="E1039" s="86" t="s">
        <v>8171</v>
      </c>
      <c r="F1039" s="86" t="s">
        <v>162</v>
      </c>
      <c r="G1039" s="86" t="s">
        <v>38</v>
      </c>
      <c r="H1039" s="86" t="s">
        <v>7411</v>
      </c>
    </row>
    <row r="1040" spans="1:8" ht="12.75" hidden="1">
      <c r="A1040" s="86">
        <v>1039</v>
      </c>
      <c r="B1040" s="86" t="s">
        <v>8383</v>
      </c>
      <c r="C1040" s="86" t="str">
        <f t="shared" si="0"/>
        <v>651112</v>
      </c>
      <c r="D1040" s="86" t="str">
        <f>IF(VLOOKUP(C1040,'Diferencias patrimonio 2023'!$C$2:$C$1020,1,FALSE)=C1040,"Encontrado", "No")</f>
        <v>Encontrado</v>
      </c>
      <c r="E1040" s="86" t="s">
        <v>8171</v>
      </c>
      <c r="F1040" s="86" t="s">
        <v>136</v>
      </c>
      <c r="G1040" s="86" t="s">
        <v>38</v>
      </c>
      <c r="H1040" s="86" t="s">
        <v>1597</v>
      </c>
    </row>
    <row r="1041" spans="1:8" ht="12.75" hidden="1">
      <c r="A1041" s="86">
        <v>1040</v>
      </c>
      <c r="B1041" s="86" t="s">
        <v>4804</v>
      </c>
      <c r="C1041" s="86" t="str">
        <f t="shared" si="0"/>
        <v>651113</v>
      </c>
      <c r="D1041" s="86" t="str">
        <f>IF(VLOOKUP(C1041,'Diferencias patrimonio 2023'!$C$2:$C$1020,1,FALSE)=C1041,"Encontrado", "No")</f>
        <v>Encontrado</v>
      </c>
      <c r="E1041" s="86" t="s">
        <v>8171</v>
      </c>
      <c r="F1041" s="86" t="s">
        <v>1240</v>
      </c>
      <c r="G1041" s="86" t="s">
        <v>38</v>
      </c>
      <c r="H1041" s="86" t="s">
        <v>1004</v>
      </c>
    </row>
    <row r="1042" spans="1:8" ht="12.75">
      <c r="A1042" s="86">
        <v>1041</v>
      </c>
      <c r="B1042" s="86" t="s">
        <v>8384</v>
      </c>
      <c r="C1042" s="86" t="str">
        <f t="shared" si="0"/>
        <v>651114</v>
      </c>
      <c r="D1042" s="86" t="e">
        <f>IF(VLOOKUP(C1042,'Diferencias patrimonio 2023'!$C$2:$C$1020,1,FALSE)=C1042,"Encontrado", "No")</f>
        <v>#N/A</v>
      </c>
      <c r="E1042" s="86" t="s">
        <v>8171</v>
      </c>
      <c r="F1042" s="86" t="s">
        <v>3521</v>
      </c>
      <c r="G1042" s="86" t="s">
        <v>38</v>
      </c>
      <c r="H1042" s="86" t="s">
        <v>1004</v>
      </c>
    </row>
    <row r="1043" spans="1:8" ht="12.75" hidden="1">
      <c r="A1043" s="86">
        <v>1042</v>
      </c>
      <c r="B1043" s="86" t="s">
        <v>2572</v>
      </c>
      <c r="C1043" s="86" t="str">
        <f t="shared" si="0"/>
        <v>651115</v>
      </c>
      <c r="D1043" s="86" t="str">
        <f>IF(VLOOKUP(C1043,'Diferencias patrimonio 2023'!$C$2:$C$1020,1,FALSE)=C1043,"Encontrado", "No")</f>
        <v>Encontrado</v>
      </c>
      <c r="E1043" s="86" t="s">
        <v>8171</v>
      </c>
      <c r="F1043" s="86" t="s">
        <v>248</v>
      </c>
      <c r="G1043" s="86" t="s">
        <v>38</v>
      </c>
      <c r="H1043" s="86" t="s">
        <v>2552</v>
      </c>
    </row>
    <row r="1044" spans="1:8" ht="12.75" hidden="1">
      <c r="A1044" s="86">
        <v>1043</v>
      </c>
      <c r="B1044" s="86" t="s">
        <v>2565</v>
      </c>
      <c r="C1044" s="86" t="str">
        <f t="shared" si="0"/>
        <v>651116</v>
      </c>
      <c r="D1044" s="86" t="str">
        <f>IF(VLOOKUP(C1044,'Diferencias patrimonio 2023'!$C$2:$C$1020,1,FALSE)=C1044,"Encontrado", "No")</f>
        <v>Encontrado</v>
      </c>
      <c r="E1044" s="86" t="s">
        <v>8171</v>
      </c>
      <c r="F1044" s="86" t="s">
        <v>1240</v>
      </c>
      <c r="G1044" s="86" t="s">
        <v>38</v>
      </c>
      <c r="H1044" s="86" t="s">
        <v>2552</v>
      </c>
    </row>
    <row r="1045" spans="1:8" ht="12.75" hidden="1">
      <c r="A1045" s="86">
        <v>1044</v>
      </c>
      <c r="B1045" s="86" t="s">
        <v>2551</v>
      </c>
      <c r="C1045" s="86" t="str">
        <f t="shared" si="0"/>
        <v>651117</v>
      </c>
      <c r="D1045" s="86" t="str">
        <f>IF(VLOOKUP(C1045,'Diferencias patrimonio 2023'!$C$2:$C$1020,1,FALSE)=C1045,"Encontrado", "No")</f>
        <v>Encontrado</v>
      </c>
      <c r="E1045" s="86" t="s">
        <v>8171</v>
      </c>
      <c r="F1045" s="86" t="s">
        <v>116</v>
      </c>
      <c r="G1045" s="86" t="s">
        <v>38</v>
      </c>
      <c r="H1045" s="86" t="s">
        <v>2552</v>
      </c>
    </row>
    <row r="1046" spans="1:8" ht="12.75" hidden="1">
      <c r="A1046" s="86">
        <v>1045</v>
      </c>
      <c r="B1046" s="86" t="s">
        <v>2654</v>
      </c>
      <c r="C1046" s="86" t="str">
        <f t="shared" si="0"/>
        <v>651118</v>
      </c>
      <c r="D1046" s="86" t="str">
        <f>IF(VLOOKUP(C1046,'Diferencias patrimonio 2023'!$C$2:$C$1020,1,FALSE)=C1046,"Encontrado", "No")</f>
        <v>Encontrado</v>
      </c>
      <c r="E1046" s="86" t="s">
        <v>8171</v>
      </c>
      <c r="F1046" s="86" t="s">
        <v>248</v>
      </c>
      <c r="G1046" s="86" t="s">
        <v>38</v>
      </c>
      <c r="H1046" s="86" t="s">
        <v>7686</v>
      </c>
    </row>
    <row r="1047" spans="1:8" ht="12.75" hidden="1">
      <c r="A1047" s="86">
        <v>1046</v>
      </c>
      <c r="B1047" s="86" t="s">
        <v>2632</v>
      </c>
      <c r="C1047" s="86" t="str">
        <f t="shared" si="0"/>
        <v>651119</v>
      </c>
      <c r="D1047" s="86" t="str">
        <f>IF(VLOOKUP(C1047,'Diferencias patrimonio 2023'!$C$2:$C$1020,1,FALSE)=C1047,"Encontrado", "No")</f>
        <v>Encontrado</v>
      </c>
      <c r="E1047" s="86" t="s">
        <v>8171</v>
      </c>
      <c r="F1047" s="86" t="s">
        <v>2311</v>
      </c>
      <c r="G1047" s="86" t="s">
        <v>38</v>
      </c>
      <c r="H1047" s="86" t="s">
        <v>7686</v>
      </c>
    </row>
    <row r="1048" spans="1:8" ht="12.75">
      <c r="A1048" s="86">
        <v>1047</v>
      </c>
      <c r="B1048" s="86" t="s">
        <v>8385</v>
      </c>
      <c r="C1048" s="86" t="str">
        <f t="shared" si="0"/>
        <v>651120</v>
      </c>
      <c r="D1048" s="86" t="e">
        <f>IF(VLOOKUP(C1048,'Diferencias patrimonio 2023'!$C$2:$C$1020,1,FALSE)=C1048,"Encontrado", "No")</f>
        <v>#N/A</v>
      </c>
      <c r="E1048" s="86" t="s">
        <v>8171</v>
      </c>
      <c r="F1048" s="86" t="s">
        <v>1275</v>
      </c>
      <c r="G1048" s="86" t="s">
        <v>38</v>
      </c>
      <c r="H1048" s="86" t="s">
        <v>7686</v>
      </c>
    </row>
    <row r="1049" spans="1:8" ht="12.75" hidden="1">
      <c r="A1049" s="86">
        <v>1048</v>
      </c>
      <c r="B1049" s="86" t="s">
        <v>8386</v>
      </c>
      <c r="C1049" s="86" t="str">
        <f t="shared" si="0"/>
        <v>651121</v>
      </c>
      <c r="D1049" s="86" t="str">
        <f>IF(VLOOKUP(C1049,'Diferencias patrimonio 2023'!$C$2:$C$1020,1,FALSE)=C1049,"Encontrado", "No")</f>
        <v>Encontrado</v>
      </c>
      <c r="E1049" s="86" t="s">
        <v>8171</v>
      </c>
      <c r="F1049" s="86" t="s">
        <v>248</v>
      </c>
      <c r="G1049" s="86" t="s">
        <v>38</v>
      </c>
      <c r="H1049" s="86" t="s">
        <v>7411</v>
      </c>
    </row>
    <row r="1050" spans="1:8" ht="12.75" hidden="1">
      <c r="A1050" s="86">
        <v>1049</v>
      </c>
      <c r="B1050" s="86" t="s">
        <v>8387</v>
      </c>
      <c r="C1050" s="86" t="str">
        <f t="shared" si="0"/>
        <v>651122</v>
      </c>
      <c r="D1050" s="86" t="str">
        <f>IF(VLOOKUP(C1050,'Diferencias patrimonio 2023'!$C$2:$C$1020,1,FALSE)=C1050,"Encontrado", "No")</f>
        <v>Encontrado</v>
      </c>
      <c r="E1050" s="86" t="s">
        <v>8171</v>
      </c>
      <c r="F1050" s="86" t="s">
        <v>353</v>
      </c>
      <c r="G1050" s="86" t="s">
        <v>38</v>
      </c>
      <c r="H1050" s="86" t="s">
        <v>7411</v>
      </c>
    </row>
    <row r="1051" spans="1:8" ht="12.75" hidden="1">
      <c r="A1051" s="86">
        <v>1050</v>
      </c>
      <c r="B1051" s="86" t="s">
        <v>8388</v>
      </c>
      <c r="C1051" s="86" t="str">
        <f t="shared" si="0"/>
        <v>651123</v>
      </c>
      <c r="D1051" s="86" t="str">
        <f>IF(VLOOKUP(C1051,'Diferencias patrimonio 2023'!$C$2:$C$1020,1,FALSE)=C1051,"Encontrado", "No")</f>
        <v>Encontrado</v>
      </c>
      <c r="E1051" s="86" t="s">
        <v>8171</v>
      </c>
      <c r="F1051" s="86" t="s">
        <v>116</v>
      </c>
      <c r="G1051" s="86" t="s">
        <v>38</v>
      </c>
      <c r="H1051" s="86" t="s">
        <v>7411</v>
      </c>
    </row>
    <row r="1052" spans="1:8" ht="12.75" hidden="1">
      <c r="A1052" s="86">
        <v>1051</v>
      </c>
      <c r="B1052" s="86" t="s">
        <v>8389</v>
      </c>
      <c r="C1052" s="86" t="str">
        <f t="shared" si="0"/>
        <v>651124</v>
      </c>
      <c r="D1052" s="86" t="str">
        <f>IF(VLOOKUP(C1052,'Diferencias patrimonio 2023'!$C$2:$C$1020,1,FALSE)=C1052,"Encontrado", "No")</f>
        <v>Encontrado</v>
      </c>
      <c r="E1052" s="86" t="s">
        <v>8171</v>
      </c>
      <c r="F1052" s="86" t="s">
        <v>2817</v>
      </c>
      <c r="G1052" s="86" t="s">
        <v>38</v>
      </c>
      <c r="H1052" s="86" t="s">
        <v>7411</v>
      </c>
    </row>
    <row r="1053" spans="1:8" ht="12.75">
      <c r="A1053" s="86">
        <v>1052</v>
      </c>
      <c r="B1053" s="86" t="s">
        <v>8390</v>
      </c>
      <c r="C1053" s="86" t="str">
        <f t="shared" si="0"/>
        <v>651125</v>
      </c>
      <c r="D1053" s="86" t="e">
        <f>IF(VLOOKUP(C1053,'Diferencias patrimonio 2023'!$C$2:$C$1020,1,FALSE)=C1053,"Encontrado", "No")</f>
        <v>#N/A</v>
      </c>
      <c r="E1053" s="86" t="s">
        <v>8171</v>
      </c>
      <c r="F1053" s="86" t="s">
        <v>248</v>
      </c>
      <c r="G1053" s="86" t="s">
        <v>517</v>
      </c>
      <c r="H1053" s="86" t="s">
        <v>7411</v>
      </c>
    </row>
    <row r="1054" spans="1:8" ht="12.75" hidden="1">
      <c r="A1054" s="86">
        <v>1053</v>
      </c>
      <c r="B1054" s="86" t="s">
        <v>8391</v>
      </c>
      <c r="C1054" s="86" t="str">
        <f t="shared" si="0"/>
        <v>651126</v>
      </c>
      <c r="D1054" s="86" t="str">
        <f>IF(VLOOKUP(C1054,'Diferencias patrimonio 2023'!$C$2:$C$1020,1,FALSE)=C1054,"Encontrado", "No")</f>
        <v>Encontrado</v>
      </c>
      <c r="E1054" s="86" t="s">
        <v>8171</v>
      </c>
      <c r="F1054" s="86" t="s">
        <v>2311</v>
      </c>
      <c r="G1054" s="86" t="s">
        <v>38</v>
      </c>
      <c r="H1054" s="86" t="s">
        <v>7411</v>
      </c>
    </row>
    <row r="1055" spans="1:8" ht="12.75" hidden="1">
      <c r="A1055" s="86">
        <v>1054</v>
      </c>
      <c r="B1055" s="86" t="s">
        <v>8392</v>
      </c>
      <c r="C1055" s="86" t="str">
        <f t="shared" si="0"/>
        <v>651127</v>
      </c>
      <c r="D1055" s="86" t="str">
        <f>IF(VLOOKUP(C1055,'Diferencias patrimonio 2023'!$C$2:$C$1020,1,FALSE)=C1055,"Encontrado", "No")</f>
        <v>Encontrado</v>
      </c>
      <c r="E1055" s="86" t="s">
        <v>8171</v>
      </c>
      <c r="F1055" s="86" t="s">
        <v>2311</v>
      </c>
      <c r="G1055" s="86" t="s">
        <v>38</v>
      </c>
      <c r="H1055" s="86" t="s">
        <v>7411</v>
      </c>
    </row>
    <row r="1056" spans="1:8" ht="12.75" hidden="1">
      <c r="A1056" s="86">
        <v>1055</v>
      </c>
      <c r="B1056" s="86" t="s">
        <v>8393</v>
      </c>
      <c r="C1056" s="86" t="str">
        <f t="shared" si="0"/>
        <v>651128</v>
      </c>
      <c r="D1056" s="86" t="str">
        <f>IF(VLOOKUP(C1056,'Diferencias patrimonio 2023'!$C$2:$C$1020,1,FALSE)=C1056,"Encontrado", "No")</f>
        <v>Encontrado</v>
      </c>
      <c r="E1056" s="86" t="s">
        <v>8171</v>
      </c>
      <c r="F1056" s="86" t="s">
        <v>2299</v>
      </c>
      <c r="G1056" s="86" t="s">
        <v>38</v>
      </c>
      <c r="H1056" s="86" t="s">
        <v>7411</v>
      </c>
    </row>
    <row r="1057" spans="1:8" ht="12.75" hidden="1">
      <c r="A1057" s="86">
        <v>1056</v>
      </c>
      <c r="B1057" s="86" t="s">
        <v>8394</v>
      </c>
      <c r="C1057" s="86" t="str">
        <f t="shared" si="0"/>
        <v>651129</v>
      </c>
      <c r="D1057" s="86" t="str">
        <f>IF(VLOOKUP(C1057,'Diferencias patrimonio 2023'!$C$2:$C$1020,1,FALSE)=C1057,"Encontrado", "No")</f>
        <v>Encontrado</v>
      </c>
      <c r="E1057" s="86" t="s">
        <v>8171</v>
      </c>
      <c r="F1057" s="86" t="s">
        <v>378</v>
      </c>
      <c r="G1057" s="86" t="s">
        <v>38</v>
      </c>
      <c r="H1057" s="86" t="s">
        <v>7411</v>
      </c>
    </row>
    <row r="1058" spans="1:8" ht="12.75" hidden="1">
      <c r="A1058" s="86">
        <v>1057</v>
      </c>
      <c r="B1058" s="86" t="s">
        <v>8395</v>
      </c>
      <c r="C1058" s="86" t="str">
        <f t="shared" si="0"/>
        <v>651130</v>
      </c>
      <c r="D1058" s="86" t="str">
        <f>IF(VLOOKUP(C1058,'Diferencias patrimonio 2023'!$C$2:$C$1020,1,FALSE)=C1058,"Encontrado", "No")</f>
        <v>Encontrado</v>
      </c>
      <c r="E1058" s="86" t="s">
        <v>8171</v>
      </c>
      <c r="F1058" s="86" t="s">
        <v>7510</v>
      </c>
      <c r="G1058" s="86" t="s">
        <v>38</v>
      </c>
      <c r="H1058" s="86" t="s">
        <v>7411</v>
      </c>
    </row>
    <row r="1059" spans="1:8" ht="12.75" hidden="1">
      <c r="A1059" s="86">
        <v>1058</v>
      </c>
      <c r="B1059" s="86" t="s">
        <v>8396</v>
      </c>
      <c r="C1059" s="86" t="str">
        <f t="shared" si="0"/>
        <v>651131</v>
      </c>
      <c r="D1059" s="86" t="str">
        <f>IF(VLOOKUP(C1059,'Diferencias patrimonio 2023'!$C$2:$C$1020,1,FALSE)=C1059,"Encontrado", "No")</f>
        <v>Encontrado</v>
      </c>
      <c r="E1059" s="86" t="s">
        <v>8171</v>
      </c>
      <c r="F1059" s="86" t="s">
        <v>2299</v>
      </c>
      <c r="G1059" s="86" t="s">
        <v>517</v>
      </c>
      <c r="H1059" s="86" t="s">
        <v>7411</v>
      </c>
    </row>
    <row r="1060" spans="1:8" ht="12.75">
      <c r="A1060" s="86">
        <v>1059</v>
      </c>
      <c r="B1060" s="86" t="s">
        <v>8397</v>
      </c>
      <c r="C1060" s="86" t="str">
        <f t="shared" si="0"/>
        <v>651132</v>
      </c>
      <c r="D1060" s="86" t="e">
        <f>IF(VLOOKUP(C1060,'Diferencias patrimonio 2023'!$C$2:$C$1020,1,FALSE)=C1060,"Encontrado", "No")</f>
        <v>#N/A</v>
      </c>
      <c r="E1060" s="86" t="s">
        <v>8171</v>
      </c>
      <c r="F1060" s="86" t="s">
        <v>151</v>
      </c>
      <c r="G1060" s="86" t="s">
        <v>38</v>
      </c>
      <c r="H1060" s="86" t="s">
        <v>7411</v>
      </c>
    </row>
    <row r="1061" spans="1:8" ht="12.75" hidden="1">
      <c r="A1061" s="86">
        <v>1060</v>
      </c>
      <c r="B1061" s="86" t="s">
        <v>8398</v>
      </c>
      <c r="C1061" s="86" t="str">
        <f t="shared" si="0"/>
        <v>651133</v>
      </c>
      <c r="D1061" s="86" t="str">
        <f>IF(VLOOKUP(C1061,'Diferencias patrimonio 2023'!$C$2:$C$1020,1,FALSE)=C1061,"Encontrado", "No")</f>
        <v>Encontrado</v>
      </c>
      <c r="E1061" s="86" t="s">
        <v>8171</v>
      </c>
      <c r="F1061" s="86" t="s">
        <v>2734</v>
      </c>
      <c r="G1061" s="86" t="s">
        <v>38</v>
      </c>
      <c r="H1061" s="86" t="s">
        <v>7411</v>
      </c>
    </row>
    <row r="1062" spans="1:8" ht="12.75" hidden="1">
      <c r="A1062" s="86">
        <v>1061</v>
      </c>
      <c r="B1062" s="86" t="s">
        <v>8399</v>
      </c>
      <c r="C1062" s="86" t="str">
        <f t="shared" si="0"/>
        <v>651134</v>
      </c>
      <c r="D1062" s="86" t="str">
        <f>IF(VLOOKUP(C1062,'Diferencias patrimonio 2023'!$C$2:$C$1020,1,FALSE)=C1062,"Encontrado", "No")</f>
        <v>Encontrado</v>
      </c>
      <c r="E1062" s="86" t="s">
        <v>8171</v>
      </c>
      <c r="F1062" s="86" t="s">
        <v>2734</v>
      </c>
      <c r="G1062" s="86" t="s">
        <v>38</v>
      </c>
      <c r="H1062" s="86" t="s">
        <v>7411</v>
      </c>
    </row>
    <row r="1063" spans="1:8" ht="12.75" hidden="1">
      <c r="A1063" s="86">
        <v>1062</v>
      </c>
      <c r="B1063" s="86" t="s">
        <v>8400</v>
      </c>
      <c r="C1063" s="86" t="str">
        <f t="shared" si="0"/>
        <v>651135</v>
      </c>
      <c r="D1063" s="86" t="str">
        <f>IF(VLOOKUP(C1063,'Diferencias patrimonio 2023'!$C$2:$C$1020,1,FALSE)=C1063,"Encontrado", "No")</f>
        <v>Encontrado</v>
      </c>
      <c r="E1063" s="86" t="s">
        <v>8171</v>
      </c>
      <c r="F1063" s="86" t="s">
        <v>2817</v>
      </c>
      <c r="G1063" s="86" t="s">
        <v>38</v>
      </c>
      <c r="H1063" s="86" t="s">
        <v>7411</v>
      </c>
    </row>
    <row r="1064" spans="1:8" ht="12.75" hidden="1">
      <c r="A1064" s="86">
        <v>1063</v>
      </c>
      <c r="B1064" s="86" t="s">
        <v>8401</v>
      </c>
      <c r="C1064" s="86" t="str">
        <f t="shared" si="0"/>
        <v>651136</v>
      </c>
      <c r="D1064" s="86" t="str">
        <f>IF(VLOOKUP(C1064,'Diferencias patrimonio 2023'!$C$2:$C$1020,1,FALSE)=C1064,"Encontrado", "No")</f>
        <v>Encontrado</v>
      </c>
      <c r="E1064" s="86" t="s">
        <v>8171</v>
      </c>
      <c r="F1064" s="86" t="s">
        <v>2351</v>
      </c>
      <c r="G1064" s="86" t="s">
        <v>38</v>
      </c>
      <c r="H1064" s="86" t="s">
        <v>7411</v>
      </c>
    </row>
    <row r="1065" spans="1:8" ht="12.75" hidden="1">
      <c r="A1065" s="86">
        <v>1064</v>
      </c>
      <c r="B1065" s="86" t="s">
        <v>8402</v>
      </c>
      <c r="C1065" s="86" t="str">
        <f t="shared" si="0"/>
        <v>651137</v>
      </c>
      <c r="D1065" s="86" t="str">
        <f>IF(VLOOKUP(C1065,'Diferencias patrimonio 2023'!$C$2:$C$1020,1,FALSE)=C1065,"Encontrado", "No")</f>
        <v>Encontrado</v>
      </c>
      <c r="E1065" s="86" t="s">
        <v>8171</v>
      </c>
      <c r="F1065" s="86" t="s">
        <v>2734</v>
      </c>
      <c r="G1065" s="86" t="s">
        <v>38</v>
      </c>
      <c r="H1065" s="86" t="s">
        <v>7411</v>
      </c>
    </row>
    <row r="1066" spans="1:8" ht="12.75" hidden="1">
      <c r="A1066" s="86">
        <v>1065</v>
      </c>
      <c r="B1066" s="86" t="s">
        <v>8403</v>
      </c>
      <c r="C1066" s="86" t="str">
        <f t="shared" si="0"/>
        <v>651138</v>
      </c>
      <c r="D1066" s="86" t="str">
        <f>IF(VLOOKUP(C1066,'Diferencias patrimonio 2023'!$C$2:$C$1020,1,FALSE)=C1066,"Encontrado", "No")</f>
        <v>Encontrado</v>
      </c>
      <c r="E1066" s="86" t="s">
        <v>8171</v>
      </c>
      <c r="F1066" s="86" t="s">
        <v>2817</v>
      </c>
      <c r="G1066" s="86" t="s">
        <v>38</v>
      </c>
      <c r="H1066" s="86" t="s">
        <v>7411</v>
      </c>
    </row>
    <row r="1067" spans="1:8" ht="12.75">
      <c r="A1067" s="86">
        <v>1066</v>
      </c>
      <c r="B1067" s="86" t="s">
        <v>8404</v>
      </c>
      <c r="C1067" s="86" t="str">
        <f t="shared" si="0"/>
        <v>651139</v>
      </c>
      <c r="D1067" s="86" t="e">
        <f>IF(VLOOKUP(C1067,'Diferencias patrimonio 2023'!$C$2:$C$1020,1,FALSE)=C1067,"Encontrado", "No")</f>
        <v>#N/A</v>
      </c>
      <c r="E1067" s="86" t="s">
        <v>8171</v>
      </c>
      <c r="F1067" s="86" t="s">
        <v>2351</v>
      </c>
      <c r="G1067" s="86" t="s">
        <v>38</v>
      </c>
      <c r="H1067" s="86" t="s">
        <v>7411</v>
      </c>
    </row>
    <row r="1068" spans="1:8" ht="12.75" hidden="1">
      <c r="A1068" s="86">
        <v>1067</v>
      </c>
      <c r="B1068" s="86" t="s">
        <v>8405</v>
      </c>
      <c r="C1068" s="86" t="str">
        <f t="shared" si="0"/>
        <v>651140</v>
      </c>
      <c r="D1068" s="86" t="str">
        <f>IF(VLOOKUP(C1068,'Diferencias patrimonio 2023'!$C$2:$C$1020,1,FALSE)=C1068,"Encontrado", "No")</f>
        <v>Encontrado</v>
      </c>
      <c r="E1068" s="86" t="s">
        <v>8171</v>
      </c>
      <c r="F1068" s="86" t="s">
        <v>8406</v>
      </c>
      <c r="G1068" s="86" t="s">
        <v>38</v>
      </c>
      <c r="H1068" s="86" t="s">
        <v>7411</v>
      </c>
    </row>
    <row r="1069" spans="1:8" ht="12.75" hidden="1">
      <c r="A1069" s="86">
        <v>1068</v>
      </c>
      <c r="B1069" s="86" t="s">
        <v>8407</v>
      </c>
      <c r="C1069" s="86" t="str">
        <f t="shared" si="0"/>
        <v>651141</v>
      </c>
      <c r="D1069" s="86" t="str">
        <f>IF(VLOOKUP(C1069,'Diferencias patrimonio 2023'!$C$2:$C$1020,1,FALSE)=C1069,"Encontrado", "No")</f>
        <v>Encontrado</v>
      </c>
      <c r="E1069" s="86" t="s">
        <v>8171</v>
      </c>
      <c r="F1069" s="86" t="s">
        <v>2311</v>
      </c>
      <c r="G1069" s="86" t="s">
        <v>38</v>
      </c>
      <c r="H1069" s="86" t="s">
        <v>7411</v>
      </c>
    </row>
    <row r="1070" spans="1:8" ht="12.75" hidden="1">
      <c r="A1070" s="86">
        <v>1069</v>
      </c>
      <c r="B1070" s="86" t="s">
        <v>4905</v>
      </c>
      <c r="C1070" s="86" t="str">
        <f t="shared" si="0"/>
        <v>651379</v>
      </c>
      <c r="D1070" s="86" t="str">
        <f>IF(VLOOKUP(C1070,'Diferencias patrimonio 2023'!$C$2:$C$1020,1,FALSE)=C1070,"Encontrado", "No")</f>
        <v>Encontrado</v>
      </c>
      <c r="E1070" s="86" t="s">
        <v>8171</v>
      </c>
      <c r="F1070" s="86" t="s">
        <v>378</v>
      </c>
      <c r="G1070" s="86" t="s">
        <v>38</v>
      </c>
      <c r="H1070" s="86" t="s">
        <v>6062</v>
      </c>
    </row>
    <row r="1071" spans="1:8" ht="12.75" hidden="1">
      <c r="A1071" s="86">
        <v>1070</v>
      </c>
      <c r="B1071" s="86" t="s">
        <v>6661</v>
      </c>
      <c r="C1071" s="86" t="str">
        <f t="shared" si="0"/>
        <v>651380</v>
      </c>
      <c r="D1071" s="86" t="str">
        <f>IF(VLOOKUP(C1071,'Diferencias patrimonio 2023'!$C$2:$C$1020,1,FALSE)=C1071,"Encontrado", "No")</f>
        <v>Encontrado</v>
      </c>
      <c r="E1071" s="86" t="s">
        <v>8171</v>
      </c>
      <c r="F1071" s="86" t="s">
        <v>93</v>
      </c>
      <c r="G1071" s="86" t="s">
        <v>38</v>
      </c>
      <c r="H1071" s="86" t="s">
        <v>6062</v>
      </c>
    </row>
    <row r="1072" spans="1:8" ht="12.75" hidden="1">
      <c r="A1072" s="86">
        <v>1071</v>
      </c>
      <c r="B1072" s="86" t="s">
        <v>6083</v>
      </c>
      <c r="C1072" s="86" t="str">
        <f t="shared" si="0"/>
        <v>651381</v>
      </c>
      <c r="D1072" s="86" t="str">
        <f>IF(VLOOKUP(C1072,'Diferencias patrimonio 2023'!$C$2:$C$1020,1,FALSE)=C1072,"Encontrado", "No")</f>
        <v>Encontrado</v>
      </c>
      <c r="E1072" s="86" t="s">
        <v>8171</v>
      </c>
      <c r="F1072" s="86" t="s">
        <v>7510</v>
      </c>
      <c r="G1072" s="86" t="s">
        <v>38</v>
      </c>
      <c r="H1072" s="86" t="s">
        <v>6062</v>
      </c>
    </row>
    <row r="1073" spans="1:8" ht="12.75">
      <c r="A1073" s="86">
        <v>1072</v>
      </c>
      <c r="B1073" s="86" t="s">
        <v>8408</v>
      </c>
      <c r="C1073" s="86" t="str">
        <f t="shared" si="0"/>
        <v>651382</v>
      </c>
      <c r="D1073" s="86" t="e">
        <f>IF(VLOOKUP(C1073,'Diferencias patrimonio 2023'!$C$2:$C$1020,1,FALSE)=C1073,"Encontrado", "No")</f>
        <v>#N/A</v>
      </c>
      <c r="E1073" s="86" t="s">
        <v>8171</v>
      </c>
      <c r="F1073" s="86" t="s">
        <v>162</v>
      </c>
      <c r="G1073" s="86" t="s">
        <v>38</v>
      </c>
      <c r="H1073" s="86" t="s">
        <v>6062</v>
      </c>
    </row>
    <row r="1074" spans="1:8" ht="12.75">
      <c r="A1074" s="86">
        <v>1073</v>
      </c>
      <c r="B1074" s="86" t="s">
        <v>8409</v>
      </c>
      <c r="C1074" s="86" t="str">
        <f t="shared" si="0"/>
        <v>651383</v>
      </c>
      <c r="D1074" s="86" t="e">
        <f>IF(VLOOKUP(C1074,'Diferencias patrimonio 2023'!$C$2:$C$1020,1,FALSE)=C1074,"Encontrado", "No")</f>
        <v>#N/A</v>
      </c>
      <c r="E1074" s="86" t="s">
        <v>8171</v>
      </c>
      <c r="F1074" s="86" t="s">
        <v>116</v>
      </c>
      <c r="G1074" s="86" t="s">
        <v>38</v>
      </c>
      <c r="H1074" s="86" t="s">
        <v>6062</v>
      </c>
    </row>
    <row r="1075" spans="1:8" ht="12.75" hidden="1">
      <c r="A1075" s="86">
        <v>1074</v>
      </c>
      <c r="B1075" s="86" t="s">
        <v>6362</v>
      </c>
      <c r="C1075" s="86" t="str">
        <f t="shared" si="0"/>
        <v>651384</v>
      </c>
      <c r="D1075" s="86" t="str">
        <f>IF(VLOOKUP(C1075,'Diferencias patrimonio 2023'!$C$2:$C$1020,1,FALSE)=C1075,"Encontrado", "No")</f>
        <v>Encontrado</v>
      </c>
      <c r="E1075" s="86" t="s">
        <v>8171</v>
      </c>
      <c r="F1075" s="86" t="s">
        <v>6353</v>
      </c>
      <c r="G1075" s="86" t="s">
        <v>38</v>
      </c>
      <c r="H1075" s="86" t="s">
        <v>6062</v>
      </c>
    </row>
    <row r="1076" spans="1:8" ht="12.75">
      <c r="A1076" s="86">
        <v>1075</v>
      </c>
      <c r="B1076" s="86" t="s">
        <v>8410</v>
      </c>
      <c r="C1076" s="86" t="str">
        <f t="shared" si="0"/>
        <v>651385</v>
      </c>
      <c r="D1076" s="86" t="e">
        <f>IF(VLOOKUP(C1076,'Diferencias patrimonio 2023'!$C$2:$C$1020,1,FALSE)=C1076,"Encontrado", "No")</f>
        <v>#N/A</v>
      </c>
      <c r="E1076" s="86" t="s">
        <v>8171</v>
      </c>
      <c r="F1076" s="86" t="s">
        <v>353</v>
      </c>
      <c r="G1076" s="86" t="s">
        <v>38</v>
      </c>
      <c r="H1076" s="86" t="s">
        <v>6062</v>
      </c>
    </row>
    <row r="1077" spans="1:8" ht="12.75" hidden="1">
      <c r="A1077" s="86">
        <v>1076</v>
      </c>
      <c r="B1077" s="86" t="s">
        <v>6628</v>
      </c>
      <c r="C1077" s="86" t="str">
        <f t="shared" si="0"/>
        <v>651386</v>
      </c>
      <c r="D1077" s="86" t="str">
        <f>IF(VLOOKUP(C1077,'Diferencias patrimonio 2023'!$C$2:$C$1020,1,FALSE)=C1077,"Encontrado", "No")</f>
        <v>Encontrado</v>
      </c>
      <c r="E1077" s="86" t="s">
        <v>8171</v>
      </c>
      <c r="F1077" s="86" t="s">
        <v>93</v>
      </c>
      <c r="G1077" s="86" t="s">
        <v>38</v>
      </c>
      <c r="H1077" s="86" t="s">
        <v>6062</v>
      </c>
    </row>
    <row r="1078" spans="1:8" ht="12.75">
      <c r="A1078" s="86">
        <v>1077</v>
      </c>
      <c r="B1078" s="86" t="s">
        <v>8411</v>
      </c>
      <c r="C1078" s="86" t="str">
        <f t="shared" si="0"/>
        <v>651387</v>
      </c>
      <c r="D1078" s="86" t="e">
        <f>IF(VLOOKUP(C1078,'Diferencias patrimonio 2023'!$C$2:$C$1020,1,FALSE)=C1078,"Encontrado", "No")</f>
        <v>#N/A</v>
      </c>
      <c r="E1078" s="86" t="s">
        <v>8171</v>
      </c>
      <c r="F1078" s="86" t="s">
        <v>199</v>
      </c>
      <c r="G1078" s="86" t="s">
        <v>38</v>
      </c>
      <c r="H1078" s="86" t="s">
        <v>6062</v>
      </c>
    </row>
    <row r="1079" spans="1:8" ht="12.75" hidden="1">
      <c r="A1079" s="86">
        <v>1078</v>
      </c>
      <c r="B1079" s="86" t="s">
        <v>5433</v>
      </c>
      <c r="C1079" s="86" t="str">
        <f t="shared" si="0"/>
        <v>651388</v>
      </c>
      <c r="D1079" s="86" t="str">
        <f>IF(VLOOKUP(C1079,'Diferencias patrimonio 2023'!$C$2:$C$1020,1,FALSE)=C1079,"Encontrado", "No")</f>
        <v>Encontrado</v>
      </c>
      <c r="E1079" s="86" t="s">
        <v>8171</v>
      </c>
      <c r="F1079" s="86" t="s">
        <v>378</v>
      </c>
      <c r="G1079" s="86" t="s">
        <v>38</v>
      </c>
      <c r="H1079" s="86" t="s">
        <v>6062</v>
      </c>
    </row>
    <row r="1080" spans="1:8" ht="12.75">
      <c r="A1080" s="86">
        <v>1079</v>
      </c>
      <c r="B1080" s="86" t="s">
        <v>8412</v>
      </c>
      <c r="C1080" s="86" t="str">
        <f t="shared" si="0"/>
        <v>651389</v>
      </c>
      <c r="D1080" s="86" t="e">
        <f>IF(VLOOKUP(C1080,'Diferencias patrimonio 2023'!$C$2:$C$1020,1,FALSE)=C1080,"Encontrado", "No")</f>
        <v>#N/A</v>
      </c>
      <c r="E1080" s="86" t="s">
        <v>8171</v>
      </c>
      <c r="F1080" s="86" t="s">
        <v>199</v>
      </c>
      <c r="G1080" s="86" t="s">
        <v>38</v>
      </c>
      <c r="H1080" s="86" t="s">
        <v>6684</v>
      </c>
    </row>
    <row r="1081" spans="1:8" ht="12.75" hidden="1">
      <c r="A1081" s="86">
        <v>1080</v>
      </c>
      <c r="B1081" s="86" t="s">
        <v>6746</v>
      </c>
      <c r="C1081" s="86" t="str">
        <f t="shared" si="0"/>
        <v>651390</v>
      </c>
      <c r="D1081" s="86" t="str">
        <f>IF(VLOOKUP(C1081,'Diferencias patrimonio 2023'!$C$2:$C$1020,1,FALSE)=C1081,"Encontrado", "No")</f>
        <v>Encontrado</v>
      </c>
      <c r="E1081" s="86" t="s">
        <v>8171</v>
      </c>
      <c r="F1081" s="86" t="s">
        <v>162</v>
      </c>
      <c r="G1081" s="86" t="s">
        <v>38</v>
      </c>
      <c r="H1081" s="86" t="s">
        <v>6684</v>
      </c>
    </row>
    <row r="1082" spans="1:8" ht="12.75" hidden="1">
      <c r="A1082" s="86">
        <v>1081</v>
      </c>
      <c r="B1082" s="86" t="s">
        <v>6178</v>
      </c>
      <c r="C1082" s="86" t="str">
        <f t="shared" si="0"/>
        <v>651391</v>
      </c>
      <c r="D1082" s="86" t="str">
        <f>IF(VLOOKUP(C1082,'Diferencias patrimonio 2023'!$C$2:$C$1020,1,FALSE)=C1082,"Encontrado", "No")</f>
        <v>Encontrado</v>
      </c>
      <c r="E1082" s="86" t="s">
        <v>8171</v>
      </c>
      <c r="F1082" s="86" t="s">
        <v>234</v>
      </c>
      <c r="G1082" s="86" t="s">
        <v>38</v>
      </c>
      <c r="H1082" s="86" t="s">
        <v>6062</v>
      </c>
    </row>
    <row r="1083" spans="1:8" ht="12.75" hidden="1">
      <c r="A1083" s="86">
        <v>1082</v>
      </c>
      <c r="B1083" s="86" t="s">
        <v>6622</v>
      </c>
      <c r="C1083" s="86" t="str">
        <f t="shared" si="0"/>
        <v>651392</v>
      </c>
      <c r="D1083" s="86" t="str">
        <f>IF(VLOOKUP(C1083,'Diferencias patrimonio 2023'!$C$2:$C$1020,1,FALSE)=C1083,"Encontrado", "No")</f>
        <v>Encontrado</v>
      </c>
      <c r="E1083" s="86" t="s">
        <v>8171</v>
      </c>
      <c r="F1083" s="86" t="s">
        <v>93</v>
      </c>
      <c r="G1083" s="86" t="s">
        <v>38</v>
      </c>
      <c r="H1083" s="86" t="s">
        <v>6062</v>
      </c>
    </row>
    <row r="1084" spans="1:8" ht="12.75" hidden="1">
      <c r="A1084" s="86">
        <v>1083</v>
      </c>
      <c r="B1084" s="86" t="s">
        <v>6069</v>
      </c>
      <c r="C1084" s="86" t="str">
        <f t="shared" si="0"/>
        <v>651393</v>
      </c>
      <c r="D1084" s="86" t="str">
        <f>IF(VLOOKUP(C1084,'Diferencias patrimonio 2023'!$C$2:$C$1020,1,FALSE)=C1084,"Encontrado", "No")</f>
        <v>Encontrado</v>
      </c>
      <c r="E1084" s="86" t="s">
        <v>8171</v>
      </c>
      <c r="F1084" s="86" t="s">
        <v>378</v>
      </c>
      <c r="G1084" s="86" t="s">
        <v>38</v>
      </c>
      <c r="H1084" s="86" t="s">
        <v>6062</v>
      </c>
    </row>
    <row r="1085" spans="1:8" ht="12.75" hidden="1">
      <c r="A1085" s="86">
        <v>1084</v>
      </c>
      <c r="B1085" s="86" t="s">
        <v>6538</v>
      </c>
      <c r="C1085" s="86" t="str">
        <f t="shared" si="0"/>
        <v>651394</v>
      </c>
      <c r="D1085" s="86" t="str">
        <f>IF(VLOOKUP(C1085,'Diferencias patrimonio 2023'!$C$2:$C$1020,1,FALSE)=C1085,"Encontrado", "No")</f>
        <v>Encontrado</v>
      </c>
      <c r="E1085" s="86" t="s">
        <v>8171</v>
      </c>
      <c r="F1085" s="86" t="s">
        <v>151</v>
      </c>
      <c r="G1085" s="86" t="s">
        <v>38</v>
      </c>
      <c r="H1085" s="86" t="s">
        <v>6062</v>
      </c>
    </row>
    <row r="1086" spans="1:8" ht="12.75" hidden="1">
      <c r="A1086" s="86">
        <v>1085</v>
      </c>
      <c r="B1086" s="86" t="s">
        <v>6711</v>
      </c>
      <c r="C1086" s="86" t="str">
        <f t="shared" si="0"/>
        <v>651395</v>
      </c>
      <c r="D1086" s="86" t="str">
        <f>IF(VLOOKUP(C1086,'Diferencias patrimonio 2023'!$C$2:$C$1020,1,FALSE)=C1086,"Encontrado", "No")</f>
        <v>Encontrado</v>
      </c>
      <c r="E1086" s="86" t="s">
        <v>8171</v>
      </c>
      <c r="F1086" s="86" t="s">
        <v>62</v>
      </c>
      <c r="G1086" s="86" t="s">
        <v>38</v>
      </c>
      <c r="H1086" s="86" t="s">
        <v>6684</v>
      </c>
    </row>
    <row r="1087" spans="1:8" ht="12.75" hidden="1">
      <c r="A1087" s="86">
        <v>1086</v>
      </c>
      <c r="B1087" s="86" t="s">
        <v>8413</v>
      </c>
      <c r="C1087" s="86" t="str">
        <f t="shared" si="0"/>
        <v>693400</v>
      </c>
      <c r="D1087" s="86" t="str">
        <f>IF(VLOOKUP(C1087,'Diferencias patrimonio 2023'!$C$2:$C$1020,1,FALSE)=C1087,"Encontrado", "No")</f>
        <v>Encontrado</v>
      </c>
      <c r="E1087" s="86" t="s">
        <v>8171</v>
      </c>
      <c r="F1087" s="86" t="s">
        <v>378</v>
      </c>
      <c r="G1087" s="86" t="s">
        <v>38</v>
      </c>
      <c r="H1087" s="86" t="s">
        <v>1477</v>
      </c>
    </row>
    <row r="1088" spans="1:8" ht="12.75" hidden="1">
      <c r="A1088" s="86">
        <v>1087</v>
      </c>
      <c r="B1088" s="86" t="s">
        <v>8414</v>
      </c>
      <c r="C1088" s="86" t="str">
        <f t="shared" si="0"/>
        <v>693401</v>
      </c>
      <c r="D1088" s="86" t="str">
        <f>IF(VLOOKUP(C1088,'Diferencias patrimonio 2023'!$C$2:$C$1020,1,FALSE)=C1088,"Encontrado", "No")</f>
        <v>Encontrado</v>
      </c>
      <c r="E1088" s="86" t="s">
        <v>8171</v>
      </c>
      <c r="F1088" s="86" t="s">
        <v>378</v>
      </c>
      <c r="G1088" s="86" t="s">
        <v>38</v>
      </c>
      <c r="H1088" s="86" t="s">
        <v>1477</v>
      </c>
    </row>
    <row r="1089" spans="1:8" ht="12.75" hidden="1">
      <c r="A1089" s="86">
        <v>1088</v>
      </c>
      <c r="B1089" s="86" t="s">
        <v>8415</v>
      </c>
      <c r="C1089" s="86" t="str">
        <f t="shared" si="0"/>
        <v>693402</v>
      </c>
      <c r="D1089" s="86" t="str">
        <f>IF(VLOOKUP(C1089,'Diferencias patrimonio 2023'!$C$2:$C$1020,1,FALSE)=C1089,"Encontrado", "No")</f>
        <v>Encontrado</v>
      </c>
      <c r="E1089" s="86" t="s">
        <v>8171</v>
      </c>
      <c r="F1089" s="86" t="s">
        <v>378</v>
      </c>
      <c r="G1089" s="86" t="s">
        <v>38</v>
      </c>
      <c r="H1089" s="86" t="s">
        <v>1477</v>
      </c>
    </row>
    <row r="1090" spans="1:8" ht="12.75" hidden="1">
      <c r="A1090" s="86">
        <v>1089</v>
      </c>
      <c r="B1090" s="86" t="s">
        <v>6846</v>
      </c>
      <c r="C1090" s="86" t="str">
        <f t="shared" si="0"/>
        <v>697931</v>
      </c>
      <c r="D1090" s="86" t="str">
        <f>IF(VLOOKUP(C1090,'Diferencias patrimonio 2023'!$C$2:$C$1020,1,FALSE)=C1090,"Encontrado", "No")</f>
        <v>Encontrado</v>
      </c>
      <c r="E1090" s="86" t="s">
        <v>8171</v>
      </c>
      <c r="F1090" s="86" t="s">
        <v>378</v>
      </c>
      <c r="G1090" s="86" t="s">
        <v>38</v>
      </c>
      <c r="H1090" s="86" t="s">
        <v>1597</v>
      </c>
    </row>
    <row r="1091" spans="1:8" ht="12.75" hidden="1">
      <c r="A1091" s="86">
        <v>1090</v>
      </c>
      <c r="B1091" s="86" t="s">
        <v>6899</v>
      </c>
      <c r="C1091" s="86" t="str">
        <f t="shared" si="0"/>
        <v>702170</v>
      </c>
      <c r="D1091" s="86" t="str">
        <f>IF(VLOOKUP(C1091,'Diferencias patrimonio 2023'!$C$2:$C$1020,1,FALSE)=C1091,"Encontrado", "No")</f>
        <v>Encontrado</v>
      </c>
      <c r="E1091" s="86" t="s">
        <v>8171</v>
      </c>
      <c r="F1091" s="86" t="s">
        <v>8416</v>
      </c>
      <c r="G1091" s="86" t="s">
        <v>38</v>
      </c>
      <c r="H1091" s="86" t="s">
        <v>5696</v>
      </c>
    </row>
    <row r="1092" spans="1:8" ht="12.75" hidden="1">
      <c r="A1092" s="86">
        <v>1091</v>
      </c>
      <c r="B1092" s="86" t="s">
        <v>6893</v>
      </c>
      <c r="C1092" s="86" t="str">
        <f t="shared" si="0"/>
        <v>702171</v>
      </c>
      <c r="D1092" s="86" t="str">
        <f>IF(VLOOKUP(C1092,'Diferencias patrimonio 2023'!$C$2:$C$1020,1,FALSE)=C1092,"Encontrado", "No")</f>
        <v>Encontrado</v>
      </c>
      <c r="E1092" s="86" t="s">
        <v>8171</v>
      </c>
      <c r="F1092" s="86" t="s">
        <v>210</v>
      </c>
      <c r="G1092" s="86" t="s">
        <v>38</v>
      </c>
      <c r="H1092" s="86" t="s">
        <v>5696</v>
      </c>
    </row>
    <row r="1093" spans="1:8" ht="12.75" hidden="1">
      <c r="A1093" s="86">
        <v>1092</v>
      </c>
      <c r="B1093" s="86" t="s">
        <v>6873</v>
      </c>
      <c r="C1093" s="86" t="str">
        <f t="shared" si="0"/>
        <v>702172</v>
      </c>
      <c r="D1093" s="86" t="str">
        <f>IF(VLOOKUP(C1093,'Diferencias patrimonio 2023'!$C$2:$C$1020,1,FALSE)=C1093,"Encontrado", "No")</f>
        <v>Encontrado</v>
      </c>
      <c r="E1093" s="86" t="s">
        <v>8171</v>
      </c>
      <c r="F1093" s="86" t="s">
        <v>184</v>
      </c>
      <c r="G1093" s="86" t="s">
        <v>38</v>
      </c>
      <c r="H1093" s="86" t="s">
        <v>4935</v>
      </c>
    </row>
    <row r="1094" spans="1:8" ht="12.75" hidden="1">
      <c r="A1094" s="86">
        <v>1093</v>
      </c>
      <c r="B1094" s="86" t="s">
        <v>6876</v>
      </c>
      <c r="C1094" s="86" t="str">
        <f t="shared" si="0"/>
        <v>702173</v>
      </c>
      <c r="D1094" s="86" t="str">
        <f>IF(VLOOKUP(C1094,'Diferencias patrimonio 2023'!$C$2:$C$1020,1,FALSE)=C1094,"Encontrado", "No")</f>
        <v>Encontrado</v>
      </c>
      <c r="E1094" s="86" t="s">
        <v>8171</v>
      </c>
      <c r="F1094" s="86" t="s">
        <v>184</v>
      </c>
      <c r="G1094" s="86" t="s">
        <v>38</v>
      </c>
      <c r="H1094" s="86" t="s">
        <v>4935</v>
      </c>
    </row>
    <row r="1095" spans="1:8" ht="12.75" hidden="1">
      <c r="A1095" s="86">
        <v>1094</v>
      </c>
      <c r="B1095" s="86" t="s">
        <v>6903</v>
      </c>
      <c r="C1095" s="86" t="str">
        <f t="shared" si="0"/>
        <v>702174</v>
      </c>
      <c r="D1095" s="86" t="str">
        <f>IF(VLOOKUP(C1095,'Diferencias patrimonio 2023'!$C$2:$C$1020,1,FALSE)=C1095,"Encontrado", "No")</f>
        <v>Encontrado</v>
      </c>
      <c r="E1095" s="86" t="s">
        <v>8171</v>
      </c>
      <c r="F1095" s="86" t="s">
        <v>184</v>
      </c>
      <c r="G1095" s="86" t="s">
        <v>38</v>
      </c>
      <c r="H1095" s="86" t="s">
        <v>4935</v>
      </c>
    </row>
    <row r="1096" spans="1:8" ht="12.75" hidden="1">
      <c r="A1096" s="86">
        <v>1095</v>
      </c>
      <c r="B1096" s="86" t="s">
        <v>6888</v>
      </c>
      <c r="C1096" s="86" t="str">
        <f t="shared" si="0"/>
        <v>702175</v>
      </c>
      <c r="D1096" s="86" t="str">
        <f>IF(VLOOKUP(C1096,'Diferencias patrimonio 2023'!$C$2:$C$1020,1,FALSE)=C1096,"Encontrado", "No")</f>
        <v>Encontrado</v>
      </c>
      <c r="E1096" s="86" t="s">
        <v>8171</v>
      </c>
      <c r="F1096" s="86" t="s">
        <v>184</v>
      </c>
      <c r="G1096" s="86" t="s">
        <v>38</v>
      </c>
      <c r="H1096" s="86" t="s">
        <v>5223</v>
      </c>
    </row>
    <row r="1097" spans="1:8" ht="12.75" hidden="1">
      <c r="A1097" s="86">
        <v>1096</v>
      </c>
      <c r="B1097" s="86" t="s">
        <v>6880</v>
      </c>
      <c r="C1097" s="86" t="str">
        <f t="shared" si="0"/>
        <v>705581</v>
      </c>
      <c r="D1097" s="86" t="str">
        <f>IF(VLOOKUP(C1097,'Diferencias patrimonio 2023'!$C$2:$C$1020,1,FALSE)=C1097,"Encontrado", "No")</f>
        <v>Encontrado</v>
      </c>
      <c r="E1097" s="86" t="s">
        <v>8171</v>
      </c>
      <c r="F1097" s="86" t="s">
        <v>43</v>
      </c>
      <c r="G1097" s="86" t="s">
        <v>38</v>
      </c>
      <c r="H1097" s="86" t="s">
        <v>4935</v>
      </c>
    </row>
    <row r="1098" spans="1:8" ht="12.75">
      <c r="A1098" s="86">
        <v>1097</v>
      </c>
      <c r="B1098" s="86" t="s">
        <v>7331</v>
      </c>
      <c r="C1098" s="86" t="str">
        <f t="shared" si="0"/>
        <v>705582</v>
      </c>
      <c r="D1098" s="86" t="e">
        <f>IF(VLOOKUP(C1098,'Diferencias patrimonio 2023'!$C$2:$C$1020,1,FALSE)=C1098,"Encontrado", "No")</f>
        <v>#N/A</v>
      </c>
      <c r="E1098" s="86" t="s">
        <v>8171</v>
      </c>
      <c r="F1098" s="86" t="s">
        <v>43</v>
      </c>
      <c r="G1098" s="86" t="s">
        <v>38</v>
      </c>
      <c r="H1098" s="86" t="s">
        <v>3092</v>
      </c>
    </row>
    <row r="1099" spans="1:8" ht="12.75">
      <c r="A1099" s="86">
        <v>1098</v>
      </c>
      <c r="B1099" s="86" t="s">
        <v>6909</v>
      </c>
      <c r="C1099" s="86" t="str">
        <f t="shared" si="0"/>
        <v>711757</v>
      </c>
      <c r="D1099" s="86" t="str">
        <f>IF(VLOOKUP(C1099,'Diferencias patrimonio 2023'!$C$2:$C$1020,1,FALSE)=C1099,"Encontrado", "No")</f>
        <v>Encontrado</v>
      </c>
      <c r="E1099" s="86" t="s">
        <v>8171</v>
      </c>
      <c r="F1099" s="86" t="s">
        <v>8184</v>
      </c>
      <c r="G1099" s="86" t="s">
        <v>38</v>
      </c>
      <c r="H1099" s="86" t="s">
        <v>1477</v>
      </c>
    </row>
    <row r="1100" spans="1:8" ht="12.75">
      <c r="A1100" s="86">
        <v>1099</v>
      </c>
      <c r="B1100" s="86" t="s">
        <v>6862</v>
      </c>
      <c r="C1100" s="86" t="str">
        <f t="shared" si="0"/>
        <v>711758</v>
      </c>
      <c r="D1100" s="86" t="str">
        <f>IF(VLOOKUP(C1100,'Diferencias patrimonio 2023'!$C$2:$C$1020,1,FALSE)=C1100,"Encontrado", "No")</f>
        <v>Encontrado</v>
      </c>
      <c r="E1100" s="86" t="s">
        <v>8171</v>
      </c>
      <c r="F1100" s="86" t="s">
        <v>151</v>
      </c>
      <c r="G1100" s="86" t="s">
        <v>38</v>
      </c>
      <c r="H1100" s="86" t="s">
        <v>1477</v>
      </c>
    </row>
    <row r="1101" spans="1:8" ht="12.75">
      <c r="A1101" s="86">
        <v>1100</v>
      </c>
      <c r="B1101" s="86" t="s">
        <v>6866</v>
      </c>
      <c r="C1101" s="86" t="str">
        <f t="shared" si="0"/>
        <v>711759</v>
      </c>
      <c r="D1101" s="86" t="str">
        <f>IF(VLOOKUP(C1101,'Diferencias patrimonio 2023'!$C$2:$C$1020,1,FALSE)=C1101,"Encontrado", "No")</f>
        <v>Encontrado</v>
      </c>
      <c r="E1101" s="86" t="s">
        <v>8171</v>
      </c>
      <c r="F1101" s="86" t="s">
        <v>151</v>
      </c>
      <c r="G1101" s="86" t="s">
        <v>38</v>
      </c>
      <c r="H1101" s="86" t="s">
        <v>1477</v>
      </c>
    </row>
    <row r="1102" spans="1:8" ht="12.75">
      <c r="A1102" s="86">
        <v>1101</v>
      </c>
      <c r="B1102" s="86" t="s">
        <v>7128</v>
      </c>
      <c r="C1102" s="86" t="str">
        <f t="shared" si="0"/>
        <v>712066</v>
      </c>
      <c r="D1102" s="86" t="e">
        <f>IF(VLOOKUP(C1102,'Diferencias patrimonio 2023'!$C$2:$C$1020,1,FALSE)=C1102,"Encontrado", "No")</f>
        <v>#N/A</v>
      </c>
      <c r="E1102" s="86" t="s">
        <v>8171</v>
      </c>
      <c r="F1102" s="86" t="s">
        <v>378</v>
      </c>
      <c r="G1102" s="86" t="s">
        <v>38</v>
      </c>
      <c r="H1102" s="86" t="s">
        <v>3450</v>
      </c>
    </row>
    <row r="1103" spans="1:8" ht="12.75">
      <c r="A1103" s="86">
        <v>1102</v>
      </c>
      <c r="B1103" s="86" t="s">
        <v>7072</v>
      </c>
      <c r="C1103" s="86" t="str">
        <f t="shared" si="0"/>
        <v>712067</v>
      </c>
      <c r="D1103" s="86" t="e">
        <f>IF(VLOOKUP(C1103,'Diferencias patrimonio 2023'!$C$2:$C$1020,1,FALSE)=C1103,"Encontrado", "No")</f>
        <v>#N/A</v>
      </c>
      <c r="E1103" s="86" t="s">
        <v>8171</v>
      </c>
      <c r="F1103" s="86" t="s">
        <v>378</v>
      </c>
      <c r="G1103" s="86" t="s">
        <v>38</v>
      </c>
      <c r="H1103" s="86" t="s">
        <v>3450</v>
      </c>
    </row>
    <row r="1104" spans="1:8" ht="12.75">
      <c r="A1104" s="86">
        <v>1103</v>
      </c>
      <c r="B1104" s="86" t="s">
        <v>7070</v>
      </c>
      <c r="C1104" s="86" t="str">
        <f t="shared" si="0"/>
        <v>712068</v>
      </c>
      <c r="D1104" s="86" t="e">
        <f>IF(VLOOKUP(C1104,'Diferencias patrimonio 2023'!$C$2:$C$1020,1,FALSE)=C1104,"Encontrado", "No")</f>
        <v>#N/A</v>
      </c>
      <c r="E1104" s="86" t="s">
        <v>8171</v>
      </c>
      <c r="F1104" s="86" t="s">
        <v>378</v>
      </c>
      <c r="G1104" s="86" t="s">
        <v>38</v>
      </c>
      <c r="H1104" s="86" t="s">
        <v>3450</v>
      </c>
    </row>
    <row r="1105" spans="1:8" ht="12.75">
      <c r="A1105" s="86">
        <v>1104</v>
      </c>
      <c r="B1105" s="86" t="s">
        <v>7111</v>
      </c>
      <c r="C1105" s="86" t="str">
        <f t="shared" si="0"/>
        <v>712069</v>
      </c>
      <c r="D1105" s="86" t="e">
        <f>IF(VLOOKUP(C1105,'Diferencias patrimonio 2023'!$C$2:$C$1020,1,FALSE)=C1105,"Encontrado", "No")</f>
        <v>#N/A</v>
      </c>
      <c r="E1105" s="86" t="s">
        <v>8171</v>
      </c>
      <c r="F1105" s="86" t="s">
        <v>378</v>
      </c>
      <c r="G1105" s="86" t="s">
        <v>38</v>
      </c>
      <c r="H1105" s="86" t="s">
        <v>3450</v>
      </c>
    </row>
    <row r="1106" spans="1:8" ht="12.75">
      <c r="A1106" s="86">
        <v>1105</v>
      </c>
      <c r="B1106" s="86" t="s">
        <v>7129</v>
      </c>
      <c r="C1106" s="86" t="str">
        <f t="shared" si="0"/>
        <v>712070</v>
      </c>
      <c r="D1106" s="86" t="e">
        <f>IF(VLOOKUP(C1106,'Diferencias patrimonio 2023'!$C$2:$C$1020,1,FALSE)=C1106,"Encontrado", "No")</f>
        <v>#N/A</v>
      </c>
      <c r="E1106" s="86" t="s">
        <v>8171</v>
      </c>
      <c r="F1106" s="86" t="s">
        <v>378</v>
      </c>
      <c r="G1106" s="86" t="s">
        <v>38</v>
      </c>
      <c r="H1106" s="86" t="s">
        <v>3450</v>
      </c>
    </row>
    <row r="1107" spans="1:8" ht="12.75">
      <c r="A1107" s="86">
        <v>1106</v>
      </c>
      <c r="B1107" s="86" t="s">
        <v>7131</v>
      </c>
      <c r="C1107" s="86" t="str">
        <f t="shared" si="0"/>
        <v>712071</v>
      </c>
      <c r="D1107" s="86" t="e">
        <f>IF(VLOOKUP(C1107,'Diferencias patrimonio 2023'!$C$2:$C$1020,1,FALSE)=C1107,"Encontrado", "No")</f>
        <v>#N/A</v>
      </c>
      <c r="E1107" s="86" t="s">
        <v>8171</v>
      </c>
      <c r="F1107" s="86" t="s">
        <v>378</v>
      </c>
      <c r="G1107" s="86" t="s">
        <v>38</v>
      </c>
      <c r="H1107" s="86" t="s">
        <v>3450</v>
      </c>
    </row>
    <row r="1108" spans="1:8" ht="12.75">
      <c r="A1108" s="86">
        <v>1107</v>
      </c>
      <c r="B1108" s="86" t="s">
        <v>7357</v>
      </c>
      <c r="C1108" s="86" t="str">
        <f t="shared" si="0"/>
        <v>734682</v>
      </c>
      <c r="D1108" s="86" t="e">
        <f>IF(VLOOKUP(C1108,'Diferencias patrimonio 2023'!$C$2:$C$1020,1,FALSE)=C1108,"Encontrado", "No")</f>
        <v>#N/A</v>
      </c>
      <c r="E1108" s="86" t="s">
        <v>8171</v>
      </c>
      <c r="F1108" s="86" t="s">
        <v>184</v>
      </c>
      <c r="G1108" s="86" t="s">
        <v>38</v>
      </c>
      <c r="H1108" s="86" t="s">
        <v>7428</v>
      </c>
    </row>
    <row r="1109" spans="1:8" ht="12.75">
      <c r="A1109" s="86">
        <v>1108</v>
      </c>
      <c r="B1109" s="86" t="s">
        <v>7135</v>
      </c>
      <c r="C1109" s="86" t="str">
        <f t="shared" si="0"/>
        <v>734683</v>
      </c>
      <c r="D1109" s="86" t="e">
        <f>IF(VLOOKUP(C1109,'Diferencias patrimonio 2023'!$C$2:$C$1020,1,FALSE)=C1109,"Encontrado", "No")</f>
        <v>#N/A</v>
      </c>
      <c r="E1109" s="86" t="s">
        <v>8171</v>
      </c>
      <c r="F1109" s="86" t="s">
        <v>184</v>
      </c>
      <c r="G1109" s="86" t="s">
        <v>38</v>
      </c>
      <c r="H1109" s="86" t="s">
        <v>493</v>
      </c>
    </row>
    <row r="1110" spans="1:8" ht="12.75">
      <c r="A1110" s="86">
        <v>1109</v>
      </c>
      <c r="B1110" s="86" t="s">
        <v>7367</v>
      </c>
      <c r="C1110" s="86" t="str">
        <f t="shared" si="0"/>
        <v>734684</v>
      </c>
      <c r="D1110" s="86" t="e">
        <f>IF(VLOOKUP(C1110,'Diferencias patrimonio 2023'!$C$2:$C$1020,1,FALSE)=C1110,"Encontrado", "No")</f>
        <v>#N/A</v>
      </c>
      <c r="E1110" s="86" t="s">
        <v>8171</v>
      </c>
      <c r="F1110" s="86" t="s">
        <v>151</v>
      </c>
      <c r="G1110" s="86" t="s">
        <v>38</v>
      </c>
      <c r="H1110" s="86" t="s">
        <v>3151</v>
      </c>
    </row>
    <row r="1111" spans="1:8" ht="12.75">
      <c r="A1111" s="86">
        <v>1110</v>
      </c>
      <c r="B1111" s="86" t="s">
        <v>7368</v>
      </c>
      <c r="C1111" s="86" t="str">
        <f t="shared" si="0"/>
        <v>734685</v>
      </c>
      <c r="D1111" s="86" t="e">
        <f>IF(VLOOKUP(C1111,'Diferencias patrimonio 2023'!$C$2:$C$1020,1,FALSE)=C1111,"Encontrado", "No")</f>
        <v>#N/A</v>
      </c>
      <c r="E1111" s="86" t="s">
        <v>8171</v>
      </c>
      <c r="F1111" s="86" t="s">
        <v>199</v>
      </c>
      <c r="G1111" s="86" t="s">
        <v>38</v>
      </c>
      <c r="H1111" s="86" t="s">
        <v>3151</v>
      </c>
    </row>
    <row r="1112" spans="1:8" ht="12.75">
      <c r="A1112" s="86">
        <v>1111</v>
      </c>
      <c r="B1112" s="86" t="s">
        <v>7370</v>
      </c>
      <c r="C1112" s="86" t="str">
        <f t="shared" si="0"/>
        <v>734686</v>
      </c>
      <c r="D1112" s="86" t="e">
        <f>IF(VLOOKUP(C1112,'Diferencias patrimonio 2023'!$C$2:$C$1020,1,FALSE)=C1112,"Encontrado", "No")</f>
        <v>#N/A</v>
      </c>
      <c r="E1112" s="86" t="s">
        <v>8171</v>
      </c>
      <c r="F1112" s="86" t="s">
        <v>151</v>
      </c>
      <c r="G1112" s="86" t="s">
        <v>38</v>
      </c>
      <c r="H1112" s="86" t="s">
        <v>1477</v>
      </c>
    </row>
    <row r="1113" spans="1:8" ht="12.75">
      <c r="A1113" s="86">
        <v>1112</v>
      </c>
      <c r="B1113" s="86" t="s">
        <v>7110</v>
      </c>
      <c r="C1113" s="86" t="str">
        <f t="shared" si="0"/>
        <v>734687</v>
      </c>
      <c r="D1113" s="86" t="e">
        <f>IF(VLOOKUP(C1113,'Diferencias patrimonio 2023'!$C$2:$C$1020,1,FALSE)=C1113,"Encontrado", "No")</f>
        <v>#N/A</v>
      </c>
      <c r="E1113" s="86" t="s">
        <v>8171</v>
      </c>
      <c r="F1113" s="86" t="s">
        <v>199</v>
      </c>
      <c r="G1113" s="86" t="s">
        <v>38</v>
      </c>
      <c r="H1113" s="86" t="s">
        <v>2052</v>
      </c>
    </row>
    <row r="1114" spans="1:8" ht="12.75">
      <c r="A1114" s="86">
        <v>1113</v>
      </c>
      <c r="B1114" s="86" t="s">
        <v>7107</v>
      </c>
      <c r="C1114" s="86" t="str">
        <f t="shared" si="0"/>
        <v>734688</v>
      </c>
      <c r="D1114" s="86" t="e">
        <f>IF(VLOOKUP(C1114,'Diferencias patrimonio 2023'!$C$2:$C$1020,1,FALSE)=C1114,"Encontrado", "No")</f>
        <v>#N/A</v>
      </c>
      <c r="E1114" s="86" t="s">
        <v>8171</v>
      </c>
      <c r="F1114" s="86" t="s">
        <v>151</v>
      </c>
      <c r="G1114" s="86" t="s">
        <v>38</v>
      </c>
      <c r="H1114" s="86" t="s">
        <v>2052</v>
      </c>
    </row>
    <row r="1115" spans="1:8" ht="12.75">
      <c r="A1115" s="86">
        <v>1114</v>
      </c>
      <c r="B1115" s="86" t="s">
        <v>7372</v>
      </c>
      <c r="C1115" s="86" t="str">
        <f t="shared" si="0"/>
        <v>734689</v>
      </c>
      <c r="D1115" s="86" t="e">
        <f>IF(VLOOKUP(C1115,'Diferencias patrimonio 2023'!$C$2:$C$1020,1,FALSE)=C1115,"Encontrado", "No")</f>
        <v>#N/A</v>
      </c>
      <c r="E1115" s="86" t="s">
        <v>8171</v>
      </c>
      <c r="F1115" s="86" t="s">
        <v>151</v>
      </c>
      <c r="G1115" s="86" t="s">
        <v>38</v>
      </c>
      <c r="H1115" s="86" t="s">
        <v>1890</v>
      </c>
    </row>
    <row r="1116" spans="1:8" ht="12.75">
      <c r="A1116" s="86">
        <v>1115</v>
      </c>
      <c r="B1116" s="86" t="s">
        <v>7121</v>
      </c>
      <c r="C1116" s="86" t="str">
        <f t="shared" si="0"/>
        <v>734690</v>
      </c>
      <c r="D1116" s="86" t="e">
        <f>IF(VLOOKUP(C1116,'Diferencias patrimonio 2023'!$C$2:$C$1020,1,FALSE)=C1116,"Encontrado", "No")</f>
        <v>#N/A</v>
      </c>
      <c r="E1116" s="86" t="s">
        <v>8171</v>
      </c>
      <c r="F1116" s="86" t="s">
        <v>199</v>
      </c>
      <c r="G1116" s="86" t="s">
        <v>38</v>
      </c>
      <c r="H1116" s="86" t="s">
        <v>1890</v>
      </c>
    </row>
    <row r="1117" spans="1:8" ht="12.75">
      <c r="A1117" s="86">
        <v>1116</v>
      </c>
      <c r="B1117" s="86" t="s">
        <v>7168</v>
      </c>
      <c r="C1117" s="86" t="str">
        <f t="shared" si="0"/>
        <v>734691</v>
      </c>
      <c r="D1117" s="86" t="e">
        <f>IF(VLOOKUP(C1117,'Diferencias patrimonio 2023'!$C$2:$C$1020,1,FALSE)=C1117,"Encontrado", "No")</f>
        <v>#N/A</v>
      </c>
      <c r="E1117" s="86" t="s">
        <v>8171</v>
      </c>
      <c r="F1117" s="86" t="s">
        <v>151</v>
      </c>
      <c r="G1117" s="86" t="s">
        <v>38</v>
      </c>
      <c r="H1117" s="86" t="s">
        <v>2552</v>
      </c>
    </row>
    <row r="1118" spans="1:8" ht="12.75">
      <c r="A1118" s="86">
        <v>1117</v>
      </c>
      <c r="B1118" s="86" t="s">
        <v>7170</v>
      </c>
      <c r="C1118" s="86" t="str">
        <f t="shared" si="0"/>
        <v>734692</v>
      </c>
      <c r="D1118" s="86" t="e">
        <f>IF(VLOOKUP(C1118,'Diferencias patrimonio 2023'!$C$2:$C$1020,1,FALSE)=C1118,"Encontrado", "No")</f>
        <v>#N/A</v>
      </c>
      <c r="E1118" s="86" t="s">
        <v>8171</v>
      </c>
      <c r="F1118" s="86" t="s">
        <v>199</v>
      </c>
      <c r="G1118" s="86" t="s">
        <v>38</v>
      </c>
      <c r="H1118" s="86" t="s">
        <v>2552</v>
      </c>
    </row>
    <row r="1119" spans="1:8" ht="12.75">
      <c r="A1119" s="86">
        <v>1118</v>
      </c>
      <c r="B1119" s="86" t="s">
        <v>8417</v>
      </c>
      <c r="C1119" s="86" t="str">
        <f t="shared" si="0"/>
        <v>734693</v>
      </c>
      <c r="D1119" s="86" t="e">
        <f>IF(VLOOKUP(C1119,'Diferencias patrimonio 2023'!$C$2:$C$1020,1,FALSE)=C1119,"Encontrado", "No")</f>
        <v>#N/A</v>
      </c>
      <c r="E1119" s="86" t="s">
        <v>8171</v>
      </c>
      <c r="F1119" s="86" t="s">
        <v>151</v>
      </c>
      <c r="G1119" s="86" t="s">
        <v>38</v>
      </c>
      <c r="H1119" s="86" t="s">
        <v>2329</v>
      </c>
    </row>
    <row r="1120" spans="1:8" ht="12.75">
      <c r="A1120" s="86">
        <v>1119</v>
      </c>
      <c r="B1120" s="86" t="s">
        <v>6947</v>
      </c>
      <c r="C1120" s="86" t="str">
        <f t="shared" si="0"/>
        <v>734694</v>
      </c>
      <c r="D1120" s="86" t="e">
        <f>IF(VLOOKUP(C1120,'Diferencias patrimonio 2023'!$C$2:$C$1020,1,FALSE)=C1120,"Encontrado", "No")</f>
        <v>#N/A</v>
      </c>
      <c r="E1120" s="86" t="s">
        <v>8171</v>
      </c>
      <c r="F1120" s="86" t="s">
        <v>151</v>
      </c>
      <c r="G1120" s="86" t="s">
        <v>38</v>
      </c>
      <c r="H1120" s="86" t="s">
        <v>876</v>
      </c>
    </row>
    <row r="1121" spans="1:8" ht="12.75">
      <c r="A1121" s="86">
        <v>1120</v>
      </c>
      <c r="B1121" s="86" t="s">
        <v>6944</v>
      </c>
      <c r="C1121" s="86" t="str">
        <f t="shared" si="0"/>
        <v>734695</v>
      </c>
      <c r="D1121" s="86" t="e">
        <f>IF(VLOOKUP(C1121,'Diferencias patrimonio 2023'!$C$2:$C$1020,1,FALSE)=C1121,"Encontrado", "No")</f>
        <v>#N/A</v>
      </c>
      <c r="E1121" s="86" t="s">
        <v>8171</v>
      </c>
      <c r="F1121" s="86" t="s">
        <v>199</v>
      </c>
      <c r="G1121" s="86" t="s">
        <v>38</v>
      </c>
      <c r="H1121" s="86" t="s">
        <v>876</v>
      </c>
    </row>
    <row r="1122" spans="1:8" ht="12.75">
      <c r="A1122" s="86">
        <v>1121</v>
      </c>
      <c r="B1122" s="86" t="s">
        <v>6941</v>
      </c>
      <c r="C1122" s="86" t="str">
        <f t="shared" si="0"/>
        <v>734696</v>
      </c>
      <c r="D1122" s="86" t="str">
        <f>IF(VLOOKUP(C1122,'Diferencias patrimonio 2023'!$C$2:$C$1020,1,FALSE)=C1122,"Encontrado", "No")</f>
        <v>Encontrado</v>
      </c>
      <c r="E1122" s="86" t="s">
        <v>8171</v>
      </c>
      <c r="F1122" s="86" t="s">
        <v>151</v>
      </c>
      <c r="G1122" s="86" t="s">
        <v>38</v>
      </c>
      <c r="H1122" s="86" t="s">
        <v>1004</v>
      </c>
    </row>
    <row r="1123" spans="1:8" ht="12.75">
      <c r="A1123" s="86">
        <v>1122</v>
      </c>
      <c r="B1123" s="86" t="s">
        <v>6936</v>
      </c>
      <c r="C1123" s="86" t="str">
        <f t="shared" si="0"/>
        <v>734697</v>
      </c>
      <c r="D1123" s="86" t="str">
        <f>IF(VLOOKUP(C1123,'Diferencias patrimonio 2023'!$C$2:$C$1020,1,FALSE)=C1123,"Encontrado", "No")</f>
        <v>Encontrado</v>
      </c>
      <c r="E1123" s="86" t="s">
        <v>8171</v>
      </c>
      <c r="F1123" s="86" t="s">
        <v>199</v>
      </c>
      <c r="G1123" s="86" t="s">
        <v>38</v>
      </c>
      <c r="H1123" s="86" t="s">
        <v>1004</v>
      </c>
    </row>
    <row r="1124" spans="1:8" ht="12.75">
      <c r="A1124" s="86">
        <v>1123</v>
      </c>
      <c r="B1124" s="86" t="s">
        <v>7011</v>
      </c>
      <c r="C1124" s="86" t="str">
        <f t="shared" si="0"/>
        <v>734698</v>
      </c>
      <c r="D1124" s="86" t="e">
        <f>IF(VLOOKUP(C1124,'Diferencias patrimonio 2023'!$C$2:$C$1020,1,FALSE)=C1124,"Encontrado", "No")</f>
        <v>#N/A</v>
      </c>
      <c r="E1124" s="86" t="s">
        <v>8171</v>
      </c>
      <c r="F1124" s="86" t="s">
        <v>151</v>
      </c>
      <c r="G1124" s="86" t="s">
        <v>38</v>
      </c>
      <c r="H1124" s="86" t="s">
        <v>6062</v>
      </c>
    </row>
    <row r="1125" spans="1:8" ht="12.75">
      <c r="A1125" s="86">
        <v>1124</v>
      </c>
      <c r="B1125" s="86" t="s">
        <v>7161</v>
      </c>
      <c r="C1125" s="86" t="str">
        <f t="shared" si="0"/>
        <v>734699</v>
      </c>
      <c r="D1125" s="86" t="e">
        <f>IF(VLOOKUP(C1125,'Diferencias patrimonio 2023'!$C$2:$C$1020,1,FALSE)=C1125,"Encontrado", "No")</f>
        <v>#N/A</v>
      </c>
      <c r="E1125" s="86" t="s">
        <v>8171</v>
      </c>
      <c r="F1125" s="86" t="s">
        <v>199</v>
      </c>
      <c r="G1125" s="86" t="s">
        <v>38</v>
      </c>
      <c r="H1125" s="86" t="s">
        <v>6062</v>
      </c>
    </row>
    <row r="1126" spans="1:8" ht="12.75">
      <c r="A1126" s="86">
        <v>1125</v>
      </c>
      <c r="B1126" s="86" t="s">
        <v>6959</v>
      </c>
      <c r="C1126" s="86" t="str">
        <f t="shared" si="0"/>
        <v>734700</v>
      </c>
      <c r="D1126" s="86" t="e">
        <f>IF(VLOOKUP(C1126,'Diferencias patrimonio 2023'!$C$2:$C$1020,1,FALSE)=C1126,"Encontrado", "No")</f>
        <v>#N/A</v>
      </c>
      <c r="E1126" s="86" t="s">
        <v>8171</v>
      </c>
      <c r="F1126" s="86" t="s">
        <v>151</v>
      </c>
      <c r="G1126" s="86" t="s">
        <v>38</v>
      </c>
      <c r="H1126" s="86" t="s">
        <v>5223</v>
      </c>
    </row>
    <row r="1127" spans="1:8" ht="12.75">
      <c r="A1127" s="86">
        <v>1126</v>
      </c>
      <c r="B1127" s="86" t="s">
        <v>6956</v>
      </c>
      <c r="C1127" s="86" t="str">
        <f t="shared" si="0"/>
        <v>734701</v>
      </c>
      <c r="D1127" s="86" t="e">
        <f>IF(VLOOKUP(C1127,'Diferencias patrimonio 2023'!$C$2:$C$1020,1,FALSE)=C1127,"Encontrado", "No")</f>
        <v>#N/A</v>
      </c>
      <c r="E1127" s="86" t="s">
        <v>8171</v>
      </c>
      <c r="F1127" s="86" t="s">
        <v>199</v>
      </c>
      <c r="G1127" s="86" t="s">
        <v>38</v>
      </c>
      <c r="H1127" s="86" t="s">
        <v>5223</v>
      </c>
    </row>
    <row r="1128" spans="1:8" ht="12.75">
      <c r="A1128" s="86">
        <v>1127</v>
      </c>
      <c r="B1128" s="86" t="s">
        <v>7360</v>
      </c>
      <c r="C1128" s="86" t="str">
        <f t="shared" si="0"/>
        <v>735470</v>
      </c>
      <c r="D1128" s="86" t="e">
        <f>IF(VLOOKUP(C1128,'Diferencias patrimonio 2023'!$C$2:$C$1020,1,FALSE)=C1128,"Encontrado", "No")</f>
        <v>#N/A</v>
      </c>
      <c r="E1128" s="86" t="s">
        <v>8171</v>
      </c>
      <c r="F1128" s="86" t="s">
        <v>184</v>
      </c>
      <c r="G1128" s="86" t="s">
        <v>38</v>
      </c>
      <c r="H1128" s="86" t="s">
        <v>1477</v>
      </c>
    </row>
  </sheetData>
  <autoFilter ref="A1:H1128">
    <filterColumn colId="3">
      <filters>
        <filter val="#N/A"/>
      </filters>
    </filterColumn>
  </autoFilter>
  <printOptions horizontalCentered="1" gridLines="1"/>
  <pageMargins left="0.25" right="0.25" top="0.75" bottom="0.75" header="0" footer="0"/>
  <pageSetup paperSize="5" fitToHeight="0" pageOrder="overThenDown" orientation="landscape" cellComments="atEnd"/>
  <headerFooter>
    <oddHeader>&amp;CBIENES REGISTRADOS EN PATRIMONIO Y NO SE ENCUENTRAN EN TOMA FISICA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A874"/>
  <sheetViews>
    <sheetView workbookViewId="0"/>
  </sheetViews>
  <sheetFormatPr baseColWidth="10" defaultColWidth="12.5703125" defaultRowHeight="15.75" customHeight="1"/>
  <cols>
    <col min="1" max="1" width="23.42578125" customWidth="1"/>
  </cols>
  <sheetData>
    <row r="1" spans="1:1" ht="25.5">
      <c r="A1" s="169" t="s">
        <v>8491</v>
      </c>
    </row>
    <row r="2" spans="1:1" ht="12.75">
      <c r="A2" s="167" t="s">
        <v>8492</v>
      </c>
    </row>
    <row r="3" spans="1:1" ht="12.75">
      <c r="A3" s="167" t="s">
        <v>8493</v>
      </c>
    </row>
    <row r="4" spans="1:1" ht="12.75">
      <c r="A4" s="167" t="s">
        <v>8494</v>
      </c>
    </row>
    <row r="5" spans="1:1" ht="12.75">
      <c r="A5" s="167" t="s">
        <v>8495</v>
      </c>
    </row>
    <row r="6" spans="1:1" ht="12.75">
      <c r="A6" s="167" t="s">
        <v>8496</v>
      </c>
    </row>
    <row r="7" spans="1:1" ht="12.75">
      <c r="A7" s="167" t="s">
        <v>8497</v>
      </c>
    </row>
    <row r="8" spans="1:1" ht="12.75" hidden="1">
      <c r="A8" s="167" t="s">
        <v>8498</v>
      </c>
    </row>
    <row r="9" spans="1:1" ht="12.75" hidden="1">
      <c r="A9" s="167" t="s">
        <v>8498</v>
      </c>
    </row>
    <row r="10" spans="1:1" ht="12.75">
      <c r="A10" s="167" t="s">
        <v>8499</v>
      </c>
    </row>
    <row r="11" spans="1:1" ht="12.75">
      <c r="A11" s="167" t="s">
        <v>8500</v>
      </c>
    </row>
    <row r="12" spans="1:1" ht="12.75">
      <c r="A12" s="167" t="s">
        <v>8501</v>
      </c>
    </row>
    <row r="13" spans="1:1" ht="12.75">
      <c r="A13" s="167" t="s">
        <v>8502</v>
      </c>
    </row>
    <row r="14" spans="1:1" ht="12.75">
      <c r="A14" s="167" t="s">
        <v>8503</v>
      </c>
    </row>
    <row r="15" spans="1:1" ht="12.75" hidden="1">
      <c r="A15" s="167" t="s">
        <v>8498</v>
      </c>
    </row>
    <row r="16" spans="1:1" ht="12.75">
      <c r="A16" s="167" t="s">
        <v>8504</v>
      </c>
    </row>
    <row r="17" spans="1:1" ht="12.75">
      <c r="A17" s="167" t="s">
        <v>8505</v>
      </c>
    </row>
    <row r="18" spans="1:1" ht="12.75">
      <c r="A18" s="167" t="s">
        <v>8506</v>
      </c>
    </row>
    <row r="19" spans="1:1" ht="12.75">
      <c r="A19" s="167" t="s">
        <v>8507</v>
      </c>
    </row>
    <row r="20" spans="1:1" ht="12.75">
      <c r="A20" s="167" t="s">
        <v>8508</v>
      </c>
    </row>
    <row r="21" spans="1:1" ht="12.75">
      <c r="A21" s="167" t="s">
        <v>8509</v>
      </c>
    </row>
    <row r="22" spans="1:1" ht="12.75" hidden="1">
      <c r="A22" s="167" t="s">
        <v>8498</v>
      </c>
    </row>
    <row r="23" spans="1:1" ht="12.75" hidden="1">
      <c r="A23" s="167" t="s">
        <v>8498</v>
      </c>
    </row>
    <row r="24" spans="1:1" ht="12.75">
      <c r="A24" s="167" t="s">
        <v>8510</v>
      </c>
    </row>
    <row r="25" spans="1:1" ht="12.75">
      <c r="A25" s="167" t="s">
        <v>8511</v>
      </c>
    </row>
    <row r="26" spans="1:1" ht="12.75">
      <c r="A26" s="167" t="s">
        <v>8512</v>
      </c>
    </row>
    <row r="27" spans="1:1" ht="12.75">
      <c r="A27" s="167" t="s">
        <v>8513</v>
      </c>
    </row>
    <row r="28" spans="1:1" ht="12.75">
      <c r="A28" s="167" t="s">
        <v>8514</v>
      </c>
    </row>
    <row r="29" spans="1:1" ht="12.75">
      <c r="A29" s="167" t="s">
        <v>8515</v>
      </c>
    </row>
    <row r="30" spans="1:1" ht="12.75">
      <c r="A30" s="167" t="s">
        <v>8516</v>
      </c>
    </row>
    <row r="31" spans="1:1" ht="12.75" hidden="1">
      <c r="A31" s="167" t="s">
        <v>8498</v>
      </c>
    </row>
    <row r="32" spans="1:1" ht="12.75" hidden="1">
      <c r="A32" s="167" t="s">
        <v>8498</v>
      </c>
    </row>
    <row r="33" spans="1:1" ht="12.75">
      <c r="A33" s="167" t="s">
        <v>8517</v>
      </c>
    </row>
    <row r="34" spans="1:1" ht="12.75">
      <c r="A34" s="167" t="s">
        <v>8518</v>
      </c>
    </row>
    <row r="35" spans="1:1" ht="12.75">
      <c r="A35" s="167" t="s">
        <v>8519</v>
      </c>
    </row>
    <row r="36" spans="1:1" ht="12.75">
      <c r="A36" s="167" t="s">
        <v>8520</v>
      </c>
    </row>
    <row r="37" spans="1:1" ht="12.75">
      <c r="A37" s="167" t="s">
        <v>8521</v>
      </c>
    </row>
    <row r="38" spans="1:1" ht="12.75">
      <c r="A38" s="167" t="s">
        <v>8522</v>
      </c>
    </row>
    <row r="39" spans="1:1" ht="12.75" hidden="1">
      <c r="A39" s="167" t="s">
        <v>8498</v>
      </c>
    </row>
    <row r="40" spans="1:1" ht="12.75">
      <c r="A40" s="167" t="s">
        <v>8523</v>
      </c>
    </row>
    <row r="41" spans="1:1" ht="12.75">
      <c r="A41" s="167" t="s">
        <v>8524</v>
      </c>
    </row>
    <row r="42" spans="1:1" ht="12.75">
      <c r="A42" s="167" t="s">
        <v>8525</v>
      </c>
    </row>
    <row r="43" spans="1:1" ht="12.75">
      <c r="A43" s="167" t="s">
        <v>8526</v>
      </c>
    </row>
    <row r="44" spans="1:1" ht="12.75">
      <c r="A44" s="167" t="s">
        <v>8527</v>
      </c>
    </row>
    <row r="45" spans="1:1" ht="12.75">
      <c r="A45" s="167" t="s">
        <v>8528</v>
      </c>
    </row>
    <row r="46" spans="1:1" ht="12.75">
      <c r="A46" s="167" t="s">
        <v>8529</v>
      </c>
    </row>
    <row r="47" spans="1:1" ht="12.75" hidden="1">
      <c r="A47" s="167" t="s">
        <v>8498</v>
      </c>
    </row>
    <row r="48" spans="1:1" ht="12.75">
      <c r="A48" s="167" t="s">
        <v>8530</v>
      </c>
    </row>
    <row r="49" spans="1:1" ht="12.75">
      <c r="A49" s="167" t="s">
        <v>8531</v>
      </c>
    </row>
    <row r="50" spans="1:1" ht="12.75">
      <c r="A50" s="167" t="s">
        <v>8532</v>
      </c>
    </row>
    <row r="51" spans="1:1" ht="12.75">
      <c r="A51" s="167" t="s">
        <v>8533</v>
      </c>
    </row>
    <row r="52" spans="1:1" ht="12.75">
      <c r="A52" s="167" t="s">
        <v>8534</v>
      </c>
    </row>
    <row r="53" spans="1:1" ht="12.75">
      <c r="A53" s="167" t="s">
        <v>8535</v>
      </c>
    </row>
    <row r="54" spans="1:1" ht="12.75">
      <c r="A54" s="167" t="s">
        <v>8536</v>
      </c>
    </row>
    <row r="55" spans="1:1" ht="12.75">
      <c r="A55" s="167" t="s">
        <v>8537</v>
      </c>
    </row>
    <row r="56" spans="1:1" ht="12.75">
      <c r="A56" s="167" t="s">
        <v>8538</v>
      </c>
    </row>
    <row r="57" spans="1:1" ht="12.75">
      <c r="A57" s="167" t="s">
        <v>8539</v>
      </c>
    </row>
    <row r="58" spans="1:1" ht="12.75">
      <c r="A58" s="167" t="s">
        <v>8540</v>
      </c>
    </row>
    <row r="59" spans="1:1" ht="12.75">
      <c r="A59" s="167" t="s">
        <v>8541</v>
      </c>
    </row>
    <row r="60" spans="1:1" ht="12.75">
      <c r="A60" s="167" t="s">
        <v>8542</v>
      </c>
    </row>
    <row r="61" spans="1:1" ht="12.75">
      <c r="A61" s="167" t="s">
        <v>8543</v>
      </c>
    </row>
    <row r="62" spans="1:1" ht="12.75">
      <c r="A62" s="167" t="s">
        <v>8544</v>
      </c>
    </row>
    <row r="63" spans="1:1" ht="12.75">
      <c r="A63" s="167" t="s">
        <v>8545</v>
      </c>
    </row>
    <row r="64" spans="1:1" ht="12.75">
      <c r="A64" s="167" t="s">
        <v>8546</v>
      </c>
    </row>
    <row r="65" spans="1:1" ht="12.75">
      <c r="A65" s="167" t="s">
        <v>8547</v>
      </c>
    </row>
    <row r="66" spans="1:1" ht="12.75">
      <c r="A66" s="167" t="s">
        <v>8548</v>
      </c>
    </row>
    <row r="67" spans="1:1" ht="12.75" hidden="1">
      <c r="A67" s="167" t="s">
        <v>8498</v>
      </c>
    </row>
    <row r="68" spans="1:1" ht="12.75">
      <c r="A68" s="167" t="s">
        <v>8549</v>
      </c>
    </row>
    <row r="69" spans="1:1" ht="12.75">
      <c r="A69" s="167" t="s">
        <v>8550</v>
      </c>
    </row>
    <row r="70" spans="1:1" ht="12.75">
      <c r="A70" s="167" t="s">
        <v>8551</v>
      </c>
    </row>
    <row r="71" spans="1:1" ht="12.75">
      <c r="A71" s="167" t="s">
        <v>8552</v>
      </c>
    </row>
    <row r="72" spans="1:1" ht="12.75">
      <c r="A72" s="167" t="s">
        <v>8553</v>
      </c>
    </row>
    <row r="73" spans="1:1" ht="12.75">
      <c r="A73" s="167" t="s">
        <v>8554</v>
      </c>
    </row>
    <row r="74" spans="1:1" ht="12.75">
      <c r="A74" s="167" t="s">
        <v>8555</v>
      </c>
    </row>
    <row r="75" spans="1:1" ht="12.75">
      <c r="A75" s="167" t="s">
        <v>8556</v>
      </c>
    </row>
    <row r="76" spans="1:1" ht="12.75">
      <c r="A76" s="167" t="s">
        <v>8557</v>
      </c>
    </row>
    <row r="77" spans="1:1" ht="12.75">
      <c r="A77" s="167" t="s">
        <v>8558</v>
      </c>
    </row>
    <row r="78" spans="1:1" ht="12.75">
      <c r="A78" s="167" t="s">
        <v>8559</v>
      </c>
    </row>
    <row r="79" spans="1:1" ht="12.75">
      <c r="A79" s="167" t="s">
        <v>8560</v>
      </c>
    </row>
    <row r="80" spans="1:1" ht="12.75">
      <c r="A80" s="167" t="s">
        <v>8561</v>
      </c>
    </row>
    <row r="81" spans="1:1" ht="12.75" hidden="1">
      <c r="A81" s="167" t="s">
        <v>8498</v>
      </c>
    </row>
    <row r="82" spans="1:1" ht="12.75">
      <c r="A82" s="167" t="s">
        <v>8562</v>
      </c>
    </row>
    <row r="83" spans="1:1" ht="12.75" hidden="1">
      <c r="A83" s="167" t="s">
        <v>8498</v>
      </c>
    </row>
    <row r="84" spans="1:1" ht="12.75">
      <c r="A84" s="167" t="s">
        <v>8563</v>
      </c>
    </row>
    <row r="85" spans="1:1" ht="12.75">
      <c r="A85" s="167" t="s">
        <v>8564</v>
      </c>
    </row>
    <row r="86" spans="1:1" ht="12.75">
      <c r="A86" s="167" t="s">
        <v>8565</v>
      </c>
    </row>
    <row r="87" spans="1:1" ht="12.75">
      <c r="A87" s="167" t="s">
        <v>8566</v>
      </c>
    </row>
    <row r="88" spans="1:1" ht="12.75">
      <c r="A88" s="167" t="s">
        <v>8567</v>
      </c>
    </row>
    <row r="89" spans="1:1" ht="12.75">
      <c r="A89" s="167" t="s">
        <v>8568</v>
      </c>
    </row>
    <row r="90" spans="1:1" ht="12.75">
      <c r="A90" s="167" t="s">
        <v>8569</v>
      </c>
    </row>
    <row r="91" spans="1:1" ht="12.75">
      <c r="A91" s="167" t="s">
        <v>8570</v>
      </c>
    </row>
    <row r="92" spans="1:1" ht="12.75">
      <c r="A92" s="167" t="s">
        <v>8571</v>
      </c>
    </row>
    <row r="93" spans="1:1" ht="12.75">
      <c r="A93" s="167" t="s">
        <v>8572</v>
      </c>
    </row>
    <row r="94" spans="1:1" ht="12.75">
      <c r="A94" s="167" t="s">
        <v>8573</v>
      </c>
    </row>
    <row r="95" spans="1:1" ht="12.75">
      <c r="A95" s="167" t="s">
        <v>8574</v>
      </c>
    </row>
    <row r="96" spans="1:1" ht="12.75">
      <c r="A96" s="167" t="s">
        <v>8575</v>
      </c>
    </row>
    <row r="97" spans="1:1" ht="12.75">
      <c r="A97" s="167" t="s">
        <v>8576</v>
      </c>
    </row>
    <row r="98" spans="1:1" ht="12.75">
      <c r="A98" s="167" t="s">
        <v>8577</v>
      </c>
    </row>
    <row r="99" spans="1:1" ht="12.75" hidden="1">
      <c r="A99" s="167" t="s">
        <v>8498</v>
      </c>
    </row>
    <row r="100" spans="1:1" ht="12.75" hidden="1">
      <c r="A100" s="167" t="s">
        <v>8498</v>
      </c>
    </row>
    <row r="101" spans="1:1" ht="12.75" hidden="1">
      <c r="A101" s="167" t="s">
        <v>8498</v>
      </c>
    </row>
    <row r="102" spans="1:1" ht="12.75">
      <c r="A102" s="167" t="s">
        <v>8578</v>
      </c>
    </row>
    <row r="103" spans="1:1" ht="12.75">
      <c r="A103" s="167" t="s">
        <v>8579</v>
      </c>
    </row>
    <row r="104" spans="1:1" ht="12.75">
      <c r="A104" s="167" t="s">
        <v>8580</v>
      </c>
    </row>
    <row r="105" spans="1:1" ht="12.75">
      <c r="A105" s="167" t="s">
        <v>8581</v>
      </c>
    </row>
    <row r="106" spans="1:1" ht="12.75">
      <c r="A106" s="167" t="s">
        <v>8582</v>
      </c>
    </row>
    <row r="107" spans="1:1" ht="12.75">
      <c r="A107" s="167" t="s">
        <v>8583</v>
      </c>
    </row>
    <row r="108" spans="1:1" ht="12.75">
      <c r="A108" s="167" t="s">
        <v>8584</v>
      </c>
    </row>
    <row r="109" spans="1:1" ht="12.75">
      <c r="A109" s="167" t="s">
        <v>8585</v>
      </c>
    </row>
    <row r="110" spans="1:1" ht="12.75">
      <c r="A110" s="167" t="s">
        <v>8586</v>
      </c>
    </row>
    <row r="111" spans="1:1" ht="12.75">
      <c r="A111" s="167" t="s">
        <v>8587</v>
      </c>
    </row>
    <row r="112" spans="1:1" ht="12.75">
      <c r="A112" s="167" t="s">
        <v>8588</v>
      </c>
    </row>
    <row r="113" spans="1:1" ht="12.75">
      <c r="A113" s="167" t="s">
        <v>8589</v>
      </c>
    </row>
    <row r="114" spans="1:1" ht="12.75">
      <c r="A114" s="167" t="s">
        <v>8590</v>
      </c>
    </row>
    <row r="115" spans="1:1" ht="12.75">
      <c r="A115" s="167" t="s">
        <v>8591</v>
      </c>
    </row>
    <row r="116" spans="1:1" ht="12.75">
      <c r="A116" s="167" t="s">
        <v>8592</v>
      </c>
    </row>
    <row r="117" spans="1:1" ht="12.75">
      <c r="A117" s="167" t="s">
        <v>8593</v>
      </c>
    </row>
    <row r="118" spans="1:1" ht="12.75">
      <c r="A118" s="167" t="s">
        <v>8594</v>
      </c>
    </row>
    <row r="119" spans="1:1" ht="12.75" hidden="1">
      <c r="A119" s="167" t="s">
        <v>8498</v>
      </c>
    </row>
    <row r="120" spans="1:1" ht="12.75" hidden="1">
      <c r="A120" s="167" t="s">
        <v>8498</v>
      </c>
    </row>
    <row r="121" spans="1:1" ht="12.75">
      <c r="A121" s="167" t="s">
        <v>8595</v>
      </c>
    </row>
    <row r="122" spans="1:1" ht="12.75">
      <c r="A122" s="167" t="s">
        <v>8596</v>
      </c>
    </row>
    <row r="123" spans="1:1" ht="12.75">
      <c r="A123" s="167" t="s">
        <v>8597</v>
      </c>
    </row>
    <row r="124" spans="1:1" ht="12.75">
      <c r="A124" s="167" t="s">
        <v>8598</v>
      </c>
    </row>
    <row r="125" spans="1:1" ht="12.75">
      <c r="A125" s="167" t="s">
        <v>8599</v>
      </c>
    </row>
    <row r="126" spans="1:1" ht="12.75">
      <c r="A126" s="167" t="s">
        <v>8600</v>
      </c>
    </row>
    <row r="127" spans="1:1" ht="12.75">
      <c r="A127" s="167" t="s">
        <v>8601</v>
      </c>
    </row>
    <row r="128" spans="1:1" ht="12.75">
      <c r="A128" s="167" t="s">
        <v>8602</v>
      </c>
    </row>
    <row r="129" spans="1:1" ht="12.75">
      <c r="A129" s="167" t="s">
        <v>8603</v>
      </c>
    </row>
    <row r="130" spans="1:1" ht="12.75">
      <c r="A130" s="167" t="s">
        <v>8604</v>
      </c>
    </row>
    <row r="131" spans="1:1" ht="12.75">
      <c r="A131" s="167" t="s">
        <v>8605</v>
      </c>
    </row>
    <row r="132" spans="1:1" ht="12.75">
      <c r="A132" s="167" t="s">
        <v>8606</v>
      </c>
    </row>
    <row r="133" spans="1:1" ht="12.75" hidden="1">
      <c r="A133" s="167" t="s">
        <v>8498</v>
      </c>
    </row>
    <row r="134" spans="1:1" ht="12.75" hidden="1">
      <c r="A134" s="167" t="s">
        <v>8498</v>
      </c>
    </row>
    <row r="135" spans="1:1" ht="12.75">
      <c r="A135" s="167" t="s">
        <v>8607</v>
      </c>
    </row>
    <row r="136" spans="1:1" ht="12.75">
      <c r="A136" s="167" t="s">
        <v>8608</v>
      </c>
    </row>
    <row r="137" spans="1:1" ht="12.75">
      <c r="A137" s="167" t="s">
        <v>8609</v>
      </c>
    </row>
    <row r="138" spans="1:1" ht="12.75">
      <c r="A138" s="167" t="s">
        <v>8610</v>
      </c>
    </row>
    <row r="139" spans="1:1" ht="12.75">
      <c r="A139" s="167" t="s">
        <v>8611</v>
      </c>
    </row>
    <row r="140" spans="1:1" ht="12.75" hidden="1">
      <c r="A140" s="167" t="s">
        <v>8498</v>
      </c>
    </row>
    <row r="141" spans="1:1" ht="12.75" hidden="1">
      <c r="A141" s="167" t="s">
        <v>8498</v>
      </c>
    </row>
    <row r="142" spans="1:1" ht="12.75">
      <c r="A142" s="167" t="s">
        <v>8612</v>
      </c>
    </row>
    <row r="143" spans="1:1" ht="12.75">
      <c r="A143" s="167" t="s">
        <v>8613</v>
      </c>
    </row>
    <row r="144" spans="1:1" ht="12.75" hidden="1">
      <c r="A144" s="167" t="s">
        <v>8498</v>
      </c>
    </row>
    <row r="145" spans="1:1" ht="12.75">
      <c r="A145" s="167" t="s">
        <v>8614</v>
      </c>
    </row>
    <row r="146" spans="1:1" ht="12.75" hidden="1">
      <c r="A146" s="167" t="s">
        <v>8498</v>
      </c>
    </row>
    <row r="147" spans="1:1" ht="12.75">
      <c r="A147" s="167" t="s">
        <v>8615</v>
      </c>
    </row>
    <row r="148" spans="1:1" ht="12.75">
      <c r="A148" s="167" t="s">
        <v>8616</v>
      </c>
    </row>
    <row r="149" spans="1:1" ht="12.75">
      <c r="A149" s="167" t="s">
        <v>8617</v>
      </c>
    </row>
    <row r="150" spans="1:1" ht="12.75">
      <c r="A150" s="167" t="s">
        <v>8618</v>
      </c>
    </row>
    <row r="151" spans="1:1" ht="12.75">
      <c r="A151" s="167" t="s">
        <v>8619</v>
      </c>
    </row>
    <row r="152" spans="1:1" ht="12.75">
      <c r="A152" s="167" t="s">
        <v>8620</v>
      </c>
    </row>
    <row r="153" spans="1:1" ht="12.75">
      <c r="A153" s="167" t="s">
        <v>8621</v>
      </c>
    </row>
    <row r="154" spans="1:1" ht="12.75">
      <c r="A154" s="167" t="s">
        <v>8622</v>
      </c>
    </row>
    <row r="155" spans="1:1" ht="12.75" hidden="1">
      <c r="A155" s="167" t="s">
        <v>8498</v>
      </c>
    </row>
    <row r="156" spans="1:1" ht="12.75">
      <c r="A156" s="167" t="s">
        <v>8623</v>
      </c>
    </row>
    <row r="157" spans="1:1" ht="12.75">
      <c r="A157" s="167" t="s">
        <v>8624</v>
      </c>
    </row>
    <row r="158" spans="1:1" ht="12.75">
      <c r="A158" s="167" t="s">
        <v>8625</v>
      </c>
    </row>
    <row r="159" spans="1:1" ht="12.75">
      <c r="A159" s="167" t="s">
        <v>8626</v>
      </c>
    </row>
    <row r="160" spans="1:1" ht="12.75">
      <c r="A160" s="167" t="s">
        <v>8627</v>
      </c>
    </row>
    <row r="161" spans="1:1" ht="12.75">
      <c r="A161" s="167" t="s">
        <v>8628</v>
      </c>
    </row>
    <row r="162" spans="1:1" ht="12.75">
      <c r="A162" s="167" t="s">
        <v>8629</v>
      </c>
    </row>
    <row r="163" spans="1:1" ht="12.75">
      <c r="A163" s="167" t="s">
        <v>8630</v>
      </c>
    </row>
    <row r="164" spans="1:1" ht="12.75" hidden="1">
      <c r="A164" s="167" t="s">
        <v>8498</v>
      </c>
    </row>
    <row r="165" spans="1:1" ht="12.75" hidden="1">
      <c r="A165" s="167" t="s">
        <v>8498</v>
      </c>
    </row>
    <row r="166" spans="1:1" ht="12.75">
      <c r="A166" s="167" t="s">
        <v>8631</v>
      </c>
    </row>
    <row r="167" spans="1:1" ht="12.75" hidden="1">
      <c r="A167" s="167" t="s">
        <v>8498</v>
      </c>
    </row>
    <row r="168" spans="1:1" ht="12.75">
      <c r="A168" s="167" t="s">
        <v>8632</v>
      </c>
    </row>
    <row r="169" spans="1:1" ht="12.75">
      <c r="A169" s="167" t="s">
        <v>8633</v>
      </c>
    </row>
    <row r="170" spans="1:1" ht="12.75">
      <c r="A170" s="167" t="s">
        <v>8634</v>
      </c>
    </row>
    <row r="171" spans="1:1" ht="12.75">
      <c r="A171" s="167" t="s">
        <v>8635</v>
      </c>
    </row>
    <row r="172" spans="1:1" ht="12.75">
      <c r="A172" s="167" t="s">
        <v>8636</v>
      </c>
    </row>
    <row r="173" spans="1:1" ht="12.75">
      <c r="A173" s="167" t="s">
        <v>8637</v>
      </c>
    </row>
    <row r="174" spans="1:1" ht="12.75">
      <c r="A174" s="167" t="s">
        <v>8638</v>
      </c>
    </row>
    <row r="175" spans="1:1" ht="12.75">
      <c r="A175" s="167" t="s">
        <v>8639</v>
      </c>
    </row>
    <row r="176" spans="1:1" ht="12.75">
      <c r="A176" s="167" t="s">
        <v>8640</v>
      </c>
    </row>
    <row r="177" spans="1:1" ht="12.75">
      <c r="A177" s="167" t="s">
        <v>8641</v>
      </c>
    </row>
    <row r="178" spans="1:1" ht="12.75">
      <c r="A178" s="167" t="s">
        <v>8642</v>
      </c>
    </row>
    <row r="179" spans="1:1" ht="12.75">
      <c r="A179" s="167" t="s">
        <v>8643</v>
      </c>
    </row>
    <row r="180" spans="1:1" ht="12.75">
      <c r="A180" s="167" t="s">
        <v>8644</v>
      </c>
    </row>
    <row r="181" spans="1:1" ht="12.75" hidden="1">
      <c r="A181" s="167" t="s">
        <v>8498</v>
      </c>
    </row>
    <row r="182" spans="1:1" ht="12.75" hidden="1">
      <c r="A182" s="167" t="s">
        <v>8498</v>
      </c>
    </row>
    <row r="183" spans="1:1" ht="12.75">
      <c r="A183" s="167" t="s">
        <v>8645</v>
      </c>
    </row>
    <row r="184" spans="1:1" ht="12.75">
      <c r="A184" s="167" t="s">
        <v>8646</v>
      </c>
    </row>
    <row r="185" spans="1:1" ht="12.75">
      <c r="A185" s="167" t="s">
        <v>8647</v>
      </c>
    </row>
    <row r="186" spans="1:1" ht="12.75">
      <c r="A186" s="167" t="s">
        <v>8648</v>
      </c>
    </row>
    <row r="187" spans="1:1" ht="12.75">
      <c r="A187" s="167" t="s">
        <v>8649</v>
      </c>
    </row>
    <row r="188" spans="1:1" ht="12.75">
      <c r="A188" s="167" t="s">
        <v>8650</v>
      </c>
    </row>
    <row r="189" spans="1:1" ht="12.75">
      <c r="A189" s="167" t="s">
        <v>8651</v>
      </c>
    </row>
    <row r="190" spans="1:1" ht="12.75">
      <c r="A190" s="167" t="s">
        <v>8652</v>
      </c>
    </row>
    <row r="191" spans="1:1" ht="12.75">
      <c r="A191" s="167" t="s">
        <v>8653</v>
      </c>
    </row>
    <row r="192" spans="1:1" ht="12.75">
      <c r="A192" s="167" t="s">
        <v>8654</v>
      </c>
    </row>
    <row r="193" spans="1:1" ht="12.75">
      <c r="A193" s="167" t="s">
        <v>8655</v>
      </c>
    </row>
    <row r="194" spans="1:1" ht="12.75">
      <c r="A194" s="167" t="s">
        <v>8656</v>
      </c>
    </row>
    <row r="195" spans="1:1" ht="12.75">
      <c r="A195" s="167" t="s">
        <v>8657</v>
      </c>
    </row>
    <row r="196" spans="1:1" ht="12.75">
      <c r="A196" s="167" t="s">
        <v>8658</v>
      </c>
    </row>
    <row r="197" spans="1:1" ht="12.75">
      <c r="A197" s="167" t="s">
        <v>8659</v>
      </c>
    </row>
    <row r="198" spans="1:1" ht="12.75">
      <c r="A198" s="167" t="s">
        <v>8660</v>
      </c>
    </row>
    <row r="199" spans="1:1" ht="12.75">
      <c r="A199" s="167" t="s">
        <v>8661</v>
      </c>
    </row>
    <row r="200" spans="1:1" ht="12.75">
      <c r="A200" s="167" t="s">
        <v>8662</v>
      </c>
    </row>
    <row r="201" spans="1:1" ht="12.75">
      <c r="A201" s="167" t="s">
        <v>8663</v>
      </c>
    </row>
    <row r="202" spans="1:1" ht="12.75" hidden="1">
      <c r="A202" s="167" t="s">
        <v>8498</v>
      </c>
    </row>
    <row r="203" spans="1:1" ht="12.75" hidden="1">
      <c r="A203" s="167" t="s">
        <v>8498</v>
      </c>
    </row>
    <row r="204" spans="1:1" ht="12.75" hidden="1">
      <c r="A204" s="167" t="s">
        <v>8498</v>
      </c>
    </row>
    <row r="205" spans="1:1" ht="12.75" hidden="1">
      <c r="A205" s="167" t="s">
        <v>8498</v>
      </c>
    </row>
    <row r="206" spans="1:1" ht="12.75">
      <c r="A206" s="167" t="s">
        <v>8664</v>
      </c>
    </row>
    <row r="207" spans="1:1" ht="12.75">
      <c r="A207" s="167" t="s">
        <v>8665</v>
      </c>
    </row>
    <row r="208" spans="1:1" ht="12.75">
      <c r="A208" s="167" t="s">
        <v>8666</v>
      </c>
    </row>
    <row r="209" spans="1:1" ht="12.75">
      <c r="A209" s="167" t="s">
        <v>8667</v>
      </c>
    </row>
    <row r="210" spans="1:1" ht="12.75">
      <c r="A210" s="167" t="s">
        <v>8668</v>
      </c>
    </row>
    <row r="211" spans="1:1" ht="12.75">
      <c r="A211" s="167" t="s">
        <v>8669</v>
      </c>
    </row>
    <row r="212" spans="1:1" ht="12.75">
      <c r="A212" s="167" t="s">
        <v>8670</v>
      </c>
    </row>
    <row r="213" spans="1:1" ht="12.75">
      <c r="A213" s="167" t="s">
        <v>8671</v>
      </c>
    </row>
    <row r="214" spans="1:1" ht="12.75">
      <c r="A214" s="167" t="s">
        <v>8672</v>
      </c>
    </row>
    <row r="215" spans="1:1" ht="12.75">
      <c r="A215" s="167" t="s">
        <v>8673</v>
      </c>
    </row>
    <row r="216" spans="1:1" ht="12.75">
      <c r="A216" s="167" t="s">
        <v>8674</v>
      </c>
    </row>
    <row r="217" spans="1:1" ht="12.75">
      <c r="A217" s="167" t="s">
        <v>8675</v>
      </c>
    </row>
    <row r="218" spans="1:1" ht="12.75">
      <c r="A218" s="167" t="s">
        <v>8676</v>
      </c>
    </row>
    <row r="219" spans="1:1" ht="12.75">
      <c r="A219" s="167" t="s">
        <v>8677</v>
      </c>
    </row>
    <row r="220" spans="1:1" ht="12.75">
      <c r="A220" s="167" t="s">
        <v>8678</v>
      </c>
    </row>
    <row r="221" spans="1:1" ht="12.75">
      <c r="A221" s="167" t="s">
        <v>8679</v>
      </c>
    </row>
    <row r="222" spans="1:1" ht="12.75">
      <c r="A222" s="167" t="s">
        <v>8680</v>
      </c>
    </row>
    <row r="223" spans="1:1" ht="12.75">
      <c r="A223" s="167" t="s">
        <v>8681</v>
      </c>
    </row>
    <row r="224" spans="1:1" ht="12.75">
      <c r="A224" s="167" t="s">
        <v>8682</v>
      </c>
    </row>
    <row r="225" spans="1:1" ht="12.75">
      <c r="A225" s="167" t="s">
        <v>8683</v>
      </c>
    </row>
    <row r="226" spans="1:1" ht="12.75">
      <c r="A226" s="167" t="s">
        <v>8684</v>
      </c>
    </row>
    <row r="227" spans="1:1" ht="12.75">
      <c r="A227" s="167" t="s">
        <v>8685</v>
      </c>
    </row>
    <row r="228" spans="1:1" ht="12.75">
      <c r="A228" s="167" t="s">
        <v>8686</v>
      </c>
    </row>
    <row r="229" spans="1:1" ht="12.75">
      <c r="A229" s="167" t="s">
        <v>8687</v>
      </c>
    </row>
    <row r="230" spans="1:1" ht="12.75">
      <c r="A230" s="167" t="s">
        <v>8688</v>
      </c>
    </row>
    <row r="231" spans="1:1" ht="12.75">
      <c r="A231" s="167" t="s">
        <v>8689</v>
      </c>
    </row>
    <row r="232" spans="1:1" ht="12.75">
      <c r="A232" s="167" t="s">
        <v>8690</v>
      </c>
    </row>
    <row r="233" spans="1:1" ht="12.75">
      <c r="A233" s="167" t="s">
        <v>8691</v>
      </c>
    </row>
    <row r="234" spans="1:1" ht="12.75">
      <c r="A234" s="167" t="s">
        <v>8692</v>
      </c>
    </row>
    <row r="235" spans="1:1" ht="12.75">
      <c r="A235" s="167" t="s">
        <v>8693</v>
      </c>
    </row>
    <row r="236" spans="1:1" ht="12.75">
      <c r="A236" s="167" t="s">
        <v>8694</v>
      </c>
    </row>
    <row r="237" spans="1:1" ht="12.75">
      <c r="A237" s="167" t="s">
        <v>8695</v>
      </c>
    </row>
    <row r="238" spans="1:1" ht="12.75">
      <c r="A238" s="167" t="s">
        <v>8696</v>
      </c>
    </row>
    <row r="239" spans="1:1" ht="12.75" hidden="1">
      <c r="A239" s="167" t="s">
        <v>8498</v>
      </c>
    </row>
    <row r="240" spans="1:1" ht="12.75" hidden="1">
      <c r="A240" s="167" t="s">
        <v>8498</v>
      </c>
    </row>
    <row r="241" spans="1:1" ht="12.75">
      <c r="A241" s="167" t="s">
        <v>8697</v>
      </c>
    </row>
    <row r="242" spans="1:1" ht="12.75" hidden="1">
      <c r="A242" s="167" t="s">
        <v>8498</v>
      </c>
    </row>
    <row r="243" spans="1:1" ht="12.75" hidden="1">
      <c r="A243" s="167" t="s">
        <v>8498</v>
      </c>
    </row>
    <row r="244" spans="1:1" ht="12.75" hidden="1">
      <c r="A244" s="167" t="s">
        <v>8498</v>
      </c>
    </row>
    <row r="245" spans="1:1" ht="12.75">
      <c r="A245" s="167" t="s">
        <v>8698</v>
      </c>
    </row>
    <row r="246" spans="1:1" ht="12.75">
      <c r="A246" s="167" t="s">
        <v>8699</v>
      </c>
    </row>
    <row r="247" spans="1:1" ht="12.75">
      <c r="A247" s="167" t="s">
        <v>8700</v>
      </c>
    </row>
    <row r="248" spans="1:1" ht="12.75">
      <c r="A248" s="167" t="s">
        <v>8701</v>
      </c>
    </row>
    <row r="249" spans="1:1" ht="12.75">
      <c r="A249" s="167" t="s">
        <v>8702</v>
      </c>
    </row>
    <row r="250" spans="1:1" ht="12.75">
      <c r="A250" s="167" t="s">
        <v>8703</v>
      </c>
    </row>
    <row r="251" spans="1:1" ht="12.75" hidden="1">
      <c r="A251" s="167" t="s">
        <v>8498</v>
      </c>
    </row>
    <row r="252" spans="1:1" ht="12.75">
      <c r="A252" s="167" t="s">
        <v>8704</v>
      </c>
    </row>
    <row r="253" spans="1:1" ht="12.75">
      <c r="A253" s="167" t="s">
        <v>8705</v>
      </c>
    </row>
    <row r="254" spans="1:1" ht="12.75">
      <c r="A254" s="167" t="s">
        <v>8706</v>
      </c>
    </row>
    <row r="255" spans="1:1" ht="12.75">
      <c r="A255" s="167" t="s">
        <v>8707</v>
      </c>
    </row>
    <row r="256" spans="1:1" ht="12.75">
      <c r="A256" s="167" t="s">
        <v>8708</v>
      </c>
    </row>
    <row r="257" spans="1:1" ht="12.75">
      <c r="A257" s="167" t="s">
        <v>8709</v>
      </c>
    </row>
    <row r="258" spans="1:1" ht="12.75">
      <c r="A258" s="167" t="s">
        <v>8710</v>
      </c>
    </row>
    <row r="259" spans="1:1" ht="12.75">
      <c r="A259" s="167" t="s">
        <v>8711</v>
      </c>
    </row>
    <row r="260" spans="1:1" ht="12.75">
      <c r="A260" s="167" t="s">
        <v>8712</v>
      </c>
    </row>
    <row r="261" spans="1:1" ht="12.75">
      <c r="A261" s="167" t="s">
        <v>8713</v>
      </c>
    </row>
    <row r="262" spans="1:1" ht="12.75">
      <c r="A262" s="167" t="s">
        <v>8714</v>
      </c>
    </row>
    <row r="263" spans="1:1" ht="12.75">
      <c r="A263" s="167" t="s">
        <v>8715</v>
      </c>
    </row>
    <row r="264" spans="1:1" ht="12.75">
      <c r="A264" s="167" t="s">
        <v>8716</v>
      </c>
    </row>
    <row r="265" spans="1:1" ht="12.75">
      <c r="A265" s="167" t="s">
        <v>8717</v>
      </c>
    </row>
    <row r="266" spans="1:1" ht="12.75">
      <c r="A266" s="167" t="s">
        <v>8718</v>
      </c>
    </row>
    <row r="267" spans="1:1" ht="12.75">
      <c r="A267" s="167" t="s">
        <v>8719</v>
      </c>
    </row>
    <row r="268" spans="1:1" ht="12.75">
      <c r="A268" s="167" t="s">
        <v>8720</v>
      </c>
    </row>
    <row r="269" spans="1:1" ht="12.75">
      <c r="A269" s="167" t="s">
        <v>8721</v>
      </c>
    </row>
    <row r="270" spans="1:1" ht="12.75">
      <c r="A270" s="167" t="s">
        <v>8722</v>
      </c>
    </row>
    <row r="271" spans="1:1" ht="12.75">
      <c r="A271" s="167" t="s">
        <v>8723</v>
      </c>
    </row>
    <row r="272" spans="1:1" ht="12.75">
      <c r="A272" s="167" t="s">
        <v>8724</v>
      </c>
    </row>
    <row r="273" spans="1:1" ht="12.75" hidden="1">
      <c r="A273" s="167" t="s">
        <v>8498</v>
      </c>
    </row>
    <row r="274" spans="1:1" ht="12.75" hidden="1">
      <c r="A274" s="167" t="s">
        <v>8498</v>
      </c>
    </row>
    <row r="275" spans="1:1" ht="12.75">
      <c r="A275" s="167" t="s">
        <v>8725</v>
      </c>
    </row>
    <row r="276" spans="1:1" ht="12.75">
      <c r="A276" s="167" t="s">
        <v>8726</v>
      </c>
    </row>
    <row r="277" spans="1:1" ht="12.75">
      <c r="A277" s="167" t="s">
        <v>8727</v>
      </c>
    </row>
    <row r="278" spans="1:1" ht="12.75">
      <c r="A278" s="167" t="s">
        <v>8728</v>
      </c>
    </row>
    <row r="279" spans="1:1" ht="12.75">
      <c r="A279" s="167" t="s">
        <v>8729</v>
      </c>
    </row>
    <row r="280" spans="1:1" ht="12.75">
      <c r="A280" s="167" t="s">
        <v>8730</v>
      </c>
    </row>
    <row r="281" spans="1:1" ht="12.75">
      <c r="A281" s="167" t="s">
        <v>8731</v>
      </c>
    </row>
    <row r="282" spans="1:1" ht="12.75">
      <c r="A282" s="167" t="s">
        <v>8732</v>
      </c>
    </row>
    <row r="283" spans="1:1" ht="12.75">
      <c r="A283" s="167" t="s">
        <v>8733</v>
      </c>
    </row>
    <row r="284" spans="1:1" ht="12.75">
      <c r="A284" s="167" t="s">
        <v>8734</v>
      </c>
    </row>
    <row r="285" spans="1:1" ht="12.75" hidden="1">
      <c r="A285" s="167" t="s">
        <v>8498</v>
      </c>
    </row>
    <row r="286" spans="1:1" ht="12.75">
      <c r="A286" s="167" t="s">
        <v>8735</v>
      </c>
    </row>
    <row r="287" spans="1:1" ht="12.75">
      <c r="A287" s="167" t="s">
        <v>8736</v>
      </c>
    </row>
    <row r="288" spans="1:1" ht="12.75">
      <c r="A288" s="167" t="s">
        <v>8737</v>
      </c>
    </row>
    <row r="289" spans="1:1" ht="12.75">
      <c r="A289" s="167" t="s">
        <v>8738</v>
      </c>
    </row>
    <row r="290" spans="1:1" ht="12.75">
      <c r="A290" s="167" t="s">
        <v>8739</v>
      </c>
    </row>
    <row r="291" spans="1:1" ht="12.75">
      <c r="A291" s="167" t="s">
        <v>8740</v>
      </c>
    </row>
    <row r="292" spans="1:1" ht="12.75">
      <c r="A292" s="167" t="s">
        <v>8741</v>
      </c>
    </row>
    <row r="293" spans="1:1" ht="12.75">
      <c r="A293" s="167" t="s">
        <v>8742</v>
      </c>
    </row>
    <row r="294" spans="1:1" ht="12.75">
      <c r="A294" s="167" t="s">
        <v>8743</v>
      </c>
    </row>
    <row r="295" spans="1:1" ht="12.75">
      <c r="A295" s="167" t="s">
        <v>8744</v>
      </c>
    </row>
    <row r="296" spans="1:1" ht="12.75">
      <c r="A296" s="167" t="s">
        <v>8745</v>
      </c>
    </row>
    <row r="297" spans="1:1" ht="12.75" hidden="1">
      <c r="A297" s="167" t="s">
        <v>8498</v>
      </c>
    </row>
    <row r="298" spans="1:1" ht="12.75">
      <c r="A298" s="167" t="s">
        <v>8746</v>
      </c>
    </row>
    <row r="299" spans="1:1" ht="12.75">
      <c r="A299" s="167" t="s">
        <v>8747</v>
      </c>
    </row>
    <row r="300" spans="1:1" ht="12.75">
      <c r="A300" s="167" t="s">
        <v>8748</v>
      </c>
    </row>
    <row r="301" spans="1:1" ht="12.75">
      <c r="A301" s="167" t="s">
        <v>8749</v>
      </c>
    </row>
    <row r="302" spans="1:1" ht="12.75">
      <c r="A302" s="167" t="s">
        <v>8750</v>
      </c>
    </row>
    <row r="303" spans="1:1" ht="12.75">
      <c r="A303" s="167" t="s">
        <v>8751</v>
      </c>
    </row>
    <row r="304" spans="1:1" ht="12.75">
      <c r="A304" s="167" t="s">
        <v>8752</v>
      </c>
    </row>
    <row r="305" spans="1:1" ht="12.75">
      <c r="A305" s="167" t="s">
        <v>8753</v>
      </c>
    </row>
    <row r="306" spans="1:1" ht="12.75">
      <c r="A306" s="167" t="s">
        <v>8754</v>
      </c>
    </row>
    <row r="307" spans="1:1" ht="12.75">
      <c r="A307" s="167" t="s">
        <v>8755</v>
      </c>
    </row>
    <row r="308" spans="1:1" ht="12.75">
      <c r="A308" s="167" t="s">
        <v>8756</v>
      </c>
    </row>
    <row r="309" spans="1:1" ht="12.75">
      <c r="A309" s="167" t="s">
        <v>8757</v>
      </c>
    </row>
    <row r="310" spans="1:1" ht="12.75">
      <c r="A310" s="167" t="s">
        <v>8758</v>
      </c>
    </row>
    <row r="311" spans="1:1" ht="12.75">
      <c r="A311" s="167" t="s">
        <v>8759</v>
      </c>
    </row>
    <row r="312" spans="1:1" ht="12.75">
      <c r="A312" s="167" t="s">
        <v>8760</v>
      </c>
    </row>
    <row r="313" spans="1:1" ht="12.75">
      <c r="A313" s="167" t="s">
        <v>8761</v>
      </c>
    </row>
    <row r="314" spans="1:1" ht="12.75">
      <c r="A314" s="167" t="s">
        <v>8762</v>
      </c>
    </row>
    <row r="315" spans="1:1" ht="12.75" hidden="1">
      <c r="A315" s="167" t="s">
        <v>8498</v>
      </c>
    </row>
    <row r="316" spans="1:1" ht="12.75">
      <c r="A316" s="167" t="s">
        <v>8763</v>
      </c>
    </row>
    <row r="317" spans="1:1" ht="12.75">
      <c r="A317" s="167" t="s">
        <v>8764</v>
      </c>
    </row>
    <row r="318" spans="1:1" ht="12.75">
      <c r="A318" s="167" t="s">
        <v>8765</v>
      </c>
    </row>
    <row r="319" spans="1:1" ht="12.75">
      <c r="A319" s="167" t="s">
        <v>8766</v>
      </c>
    </row>
    <row r="320" spans="1:1" ht="12.75" hidden="1">
      <c r="A320" s="167" t="s">
        <v>8498</v>
      </c>
    </row>
    <row r="321" spans="1:1" ht="12.75">
      <c r="A321" s="167" t="s">
        <v>8767</v>
      </c>
    </row>
    <row r="322" spans="1:1" ht="12.75">
      <c r="A322" s="167" t="s">
        <v>8768</v>
      </c>
    </row>
    <row r="323" spans="1:1" ht="12.75">
      <c r="A323" s="167" t="s">
        <v>8769</v>
      </c>
    </row>
    <row r="324" spans="1:1" ht="12.75">
      <c r="A324" s="167" t="s">
        <v>8770</v>
      </c>
    </row>
    <row r="325" spans="1:1" ht="12.75" hidden="1">
      <c r="A325" s="167" t="s">
        <v>8498</v>
      </c>
    </row>
    <row r="326" spans="1:1" ht="12.75">
      <c r="A326" s="167" t="s">
        <v>8771</v>
      </c>
    </row>
    <row r="327" spans="1:1" ht="12.75">
      <c r="A327" s="167" t="s">
        <v>8772</v>
      </c>
    </row>
    <row r="328" spans="1:1" ht="12.75">
      <c r="A328" s="167" t="s">
        <v>8773</v>
      </c>
    </row>
    <row r="329" spans="1:1" ht="12.75">
      <c r="A329" s="167" t="s">
        <v>8774</v>
      </c>
    </row>
    <row r="330" spans="1:1" ht="12.75">
      <c r="A330" s="167" t="s">
        <v>8775</v>
      </c>
    </row>
    <row r="331" spans="1:1" ht="12.75">
      <c r="A331" s="167" t="s">
        <v>8776</v>
      </c>
    </row>
    <row r="332" spans="1:1" ht="12.75">
      <c r="A332" s="167" t="s">
        <v>8777</v>
      </c>
    </row>
    <row r="333" spans="1:1" ht="12.75">
      <c r="A333" s="167" t="s">
        <v>8778</v>
      </c>
    </row>
    <row r="334" spans="1:1" ht="12.75">
      <c r="A334" s="167" t="s">
        <v>8779</v>
      </c>
    </row>
    <row r="335" spans="1:1" ht="12.75">
      <c r="A335" s="167" t="s">
        <v>8780</v>
      </c>
    </row>
    <row r="336" spans="1:1" ht="12.75">
      <c r="A336" s="167" t="s">
        <v>8781</v>
      </c>
    </row>
    <row r="337" spans="1:1" ht="12.75">
      <c r="A337" s="167" t="s">
        <v>8782</v>
      </c>
    </row>
    <row r="338" spans="1:1" ht="12.75">
      <c r="A338" s="167" t="s">
        <v>8783</v>
      </c>
    </row>
    <row r="339" spans="1:1" ht="12.75">
      <c r="A339" s="167" t="s">
        <v>8784</v>
      </c>
    </row>
    <row r="340" spans="1:1" ht="12.75">
      <c r="A340" s="167" t="s">
        <v>8785</v>
      </c>
    </row>
    <row r="341" spans="1:1" ht="12.75">
      <c r="A341" s="167" t="s">
        <v>8786</v>
      </c>
    </row>
    <row r="342" spans="1:1" ht="12.75">
      <c r="A342" s="167" t="s">
        <v>8787</v>
      </c>
    </row>
    <row r="343" spans="1:1" ht="12.75">
      <c r="A343" s="167" t="s">
        <v>8788</v>
      </c>
    </row>
    <row r="344" spans="1:1" ht="12.75">
      <c r="A344" s="167" t="s">
        <v>8789</v>
      </c>
    </row>
    <row r="345" spans="1:1" ht="12.75" hidden="1">
      <c r="A345" s="167" t="s">
        <v>8498</v>
      </c>
    </row>
    <row r="346" spans="1:1" ht="12.75" hidden="1">
      <c r="A346" s="167" t="s">
        <v>8498</v>
      </c>
    </row>
    <row r="347" spans="1:1" ht="12.75" hidden="1">
      <c r="A347" s="167" t="s">
        <v>8498</v>
      </c>
    </row>
    <row r="348" spans="1:1" ht="12.75" hidden="1">
      <c r="A348" s="167" t="s">
        <v>8498</v>
      </c>
    </row>
    <row r="349" spans="1:1" ht="12.75">
      <c r="A349" s="167" t="s">
        <v>8790</v>
      </c>
    </row>
    <row r="350" spans="1:1" ht="12.75">
      <c r="A350" s="167" t="s">
        <v>8791</v>
      </c>
    </row>
    <row r="351" spans="1:1" ht="12.75">
      <c r="A351" s="167" t="s">
        <v>8792</v>
      </c>
    </row>
    <row r="352" spans="1:1" ht="12.75">
      <c r="A352" s="167" t="s">
        <v>8793</v>
      </c>
    </row>
    <row r="353" spans="1:1" ht="12.75">
      <c r="A353" s="167" t="s">
        <v>8794</v>
      </c>
    </row>
    <row r="354" spans="1:1" ht="12.75">
      <c r="A354" s="167" t="s">
        <v>8795</v>
      </c>
    </row>
    <row r="355" spans="1:1" ht="12.75">
      <c r="A355" s="167" t="s">
        <v>8796</v>
      </c>
    </row>
    <row r="356" spans="1:1" ht="12.75">
      <c r="A356" s="167" t="s">
        <v>8797</v>
      </c>
    </row>
    <row r="357" spans="1:1" ht="12.75">
      <c r="A357" s="167" t="s">
        <v>8798</v>
      </c>
    </row>
    <row r="358" spans="1:1" ht="12.75">
      <c r="A358" s="167" t="s">
        <v>8799</v>
      </c>
    </row>
    <row r="359" spans="1:1" ht="12.75">
      <c r="A359" s="167" t="s">
        <v>8800</v>
      </c>
    </row>
    <row r="360" spans="1:1" ht="12.75">
      <c r="A360" s="167" t="s">
        <v>8801</v>
      </c>
    </row>
    <row r="361" spans="1:1" ht="12.75">
      <c r="A361" s="167" t="s">
        <v>8802</v>
      </c>
    </row>
    <row r="362" spans="1:1" ht="12.75">
      <c r="A362" s="167" t="s">
        <v>8803</v>
      </c>
    </row>
    <row r="363" spans="1:1" ht="12.75" hidden="1">
      <c r="A363" s="167" t="s">
        <v>8498</v>
      </c>
    </row>
    <row r="364" spans="1:1" ht="12.75">
      <c r="A364" s="167" t="s">
        <v>8804</v>
      </c>
    </row>
    <row r="365" spans="1:1" ht="12.75">
      <c r="A365" s="167" t="s">
        <v>8805</v>
      </c>
    </row>
    <row r="366" spans="1:1" ht="12.75">
      <c r="A366" s="167" t="s">
        <v>8806</v>
      </c>
    </row>
    <row r="367" spans="1:1" ht="12.75">
      <c r="A367" s="167" t="s">
        <v>8807</v>
      </c>
    </row>
    <row r="368" spans="1:1" ht="12.75">
      <c r="A368" s="167" t="s">
        <v>8808</v>
      </c>
    </row>
    <row r="369" spans="1:1" ht="12.75">
      <c r="A369" s="167" t="s">
        <v>8809</v>
      </c>
    </row>
    <row r="370" spans="1:1" ht="12.75">
      <c r="A370" s="167" t="s">
        <v>8810</v>
      </c>
    </row>
    <row r="371" spans="1:1" ht="12.75">
      <c r="A371" s="167" t="s">
        <v>8811</v>
      </c>
    </row>
    <row r="372" spans="1:1" ht="12.75">
      <c r="A372" s="167" t="s">
        <v>8812</v>
      </c>
    </row>
    <row r="373" spans="1:1" ht="12.75" hidden="1">
      <c r="A373" s="167" t="s">
        <v>8498</v>
      </c>
    </row>
    <row r="374" spans="1:1" ht="12.75">
      <c r="A374" s="167" t="s">
        <v>8813</v>
      </c>
    </row>
    <row r="375" spans="1:1" ht="12.75">
      <c r="A375" s="167" t="s">
        <v>8814</v>
      </c>
    </row>
    <row r="376" spans="1:1" ht="12.75">
      <c r="A376" s="167" t="s">
        <v>8815</v>
      </c>
    </row>
    <row r="377" spans="1:1" ht="12.75">
      <c r="A377" s="167" t="s">
        <v>8816</v>
      </c>
    </row>
    <row r="378" spans="1:1" ht="12.75">
      <c r="A378" s="167" t="s">
        <v>8817</v>
      </c>
    </row>
    <row r="379" spans="1:1" ht="12.75">
      <c r="A379" s="167" t="s">
        <v>8818</v>
      </c>
    </row>
    <row r="380" spans="1:1" ht="12.75">
      <c r="A380" s="167" t="s">
        <v>8819</v>
      </c>
    </row>
    <row r="381" spans="1:1" ht="12.75">
      <c r="A381" s="167" t="s">
        <v>8820</v>
      </c>
    </row>
    <row r="382" spans="1:1" ht="12.75">
      <c r="A382" s="167" t="s">
        <v>8821</v>
      </c>
    </row>
    <row r="383" spans="1:1" ht="12.75">
      <c r="A383" s="167" t="s">
        <v>8822</v>
      </c>
    </row>
    <row r="384" spans="1:1" ht="12.75">
      <c r="A384" s="167" t="s">
        <v>8823</v>
      </c>
    </row>
    <row r="385" spans="1:1" ht="12.75">
      <c r="A385" s="167" t="s">
        <v>8824</v>
      </c>
    </row>
    <row r="386" spans="1:1" ht="12.75">
      <c r="A386" s="167" t="s">
        <v>8825</v>
      </c>
    </row>
    <row r="387" spans="1:1" ht="12.75">
      <c r="A387" s="167" t="s">
        <v>8826</v>
      </c>
    </row>
    <row r="388" spans="1:1" ht="12.75">
      <c r="A388" s="167" t="s">
        <v>8827</v>
      </c>
    </row>
    <row r="389" spans="1:1" ht="12.75">
      <c r="A389" s="167" t="s">
        <v>8828</v>
      </c>
    </row>
    <row r="390" spans="1:1" ht="12.75">
      <c r="A390" s="167" t="s">
        <v>8829</v>
      </c>
    </row>
    <row r="391" spans="1:1" ht="12.75">
      <c r="A391" s="167" t="s">
        <v>8830</v>
      </c>
    </row>
    <row r="392" spans="1:1" ht="12.75">
      <c r="A392" s="167" t="s">
        <v>8831</v>
      </c>
    </row>
    <row r="393" spans="1:1" ht="12.75">
      <c r="A393" s="167" t="s">
        <v>8832</v>
      </c>
    </row>
    <row r="394" spans="1:1" ht="12.75">
      <c r="A394" s="167" t="s">
        <v>8833</v>
      </c>
    </row>
    <row r="395" spans="1:1" ht="12.75">
      <c r="A395" s="167" t="s">
        <v>8834</v>
      </c>
    </row>
    <row r="396" spans="1:1" ht="12.75">
      <c r="A396" s="167" t="s">
        <v>8835</v>
      </c>
    </row>
    <row r="397" spans="1:1" ht="12.75">
      <c r="A397" s="167" t="s">
        <v>8836</v>
      </c>
    </row>
    <row r="398" spans="1:1" ht="12.75">
      <c r="A398" s="167" t="s">
        <v>8837</v>
      </c>
    </row>
    <row r="399" spans="1:1" ht="12.75">
      <c r="A399" s="167" t="s">
        <v>8838</v>
      </c>
    </row>
    <row r="400" spans="1:1" ht="12.75">
      <c r="A400" s="167" t="s">
        <v>8839</v>
      </c>
    </row>
    <row r="401" spans="1:1" ht="12.75">
      <c r="A401" s="167" t="s">
        <v>8840</v>
      </c>
    </row>
    <row r="402" spans="1:1" ht="12.75">
      <c r="A402" s="167" t="s">
        <v>8841</v>
      </c>
    </row>
    <row r="403" spans="1:1" ht="12.75">
      <c r="A403" s="167" t="s">
        <v>8842</v>
      </c>
    </row>
    <row r="404" spans="1:1" ht="12.75">
      <c r="A404" s="167" t="s">
        <v>8843</v>
      </c>
    </row>
    <row r="405" spans="1:1" ht="12.75">
      <c r="A405" s="167" t="s">
        <v>8844</v>
      </c>
    </row>
    <row r="406" spans="1:1" ht="12.75">
      <c r="A406" s="167" t="s">
        <v>8845</v>
      </c>
    </row>
    <row r="407" spans="1:1" ht="12.75">
      <c r="A407" s="167" t="s">
        <v>8846</v>
      </c>
    </row>
    <row r="408" spans="1:1" ht="12.75">
      <c r="A408" s="167" t="s">
        <v>8847</v>
      </c>
    </row>
    <row r="409" spans="1:1" ht="12.75">
      <c r="A409" s="167" t="s">
        <v>8848</v>
      </c>
    </row>
    <row r="410" spans="1:1" ht="12.75">
      <c r="A410" s="167" t="s">
        <v>8849</v>
      </c>
    </row>
    <row r="411" spans="1:1" ht="12.75">
      <c r="A411" s="167" t="s">
        <v>8850</v>
      </c>
    </row>
    <row r="412" spans="1:1" ht="12.75">
      <c r="A412" s="167" t="s">
        <v>8851</v>
      </c>
    </row>
    <row r="413" spans="1:1" ht="12.75">
      <c r="A413" s="167" t="s">
        <v>8852</v>
      </c>
    </row>
    <row r="414" spans="1:1" ht="12.75">
      <c r="A414" s="167" t="s">
        <v>8853</v>
      </c>
    </row>
    <row r="415" spans="1:1" ht="12.75">
      <c r="A415" s="167" t="s">
        <v>8854</v>
      </c>
    </row>
    <row r="416" spans="1:1" ht="12.75">
      <c r="A416" s="167" t="s">
        <v>8855</v>
      </c>
    </row>
    <row r="417" spans="1:1" ht="12.75">
      <c r="A417" s="167" t="s">
        <v>8856</v>
      </c>
    </row>
    <row r="418" spans="1:1" ht="12.75">
      <c r="A418" s="167" t="s">
        <v>8857</v>
      </c>
    </row>
    <row r="419" spans="1:1" ht="12.75">
      <c r="A419" s="167" t="s">
        <v>8858</v>
      </c>
    </row>
    <row r="420" spans="1:1" ht="12.75">
      <c r="A420" s="167" t="s">
        <v>8859</v>
      </c>
    </row>
    <row r="421" spans="1:1" ht="12.75">
      <c r="A421" s="167" t="s">
        <v>8860</v>
      </c>
    </row>
    <row r="422" spans="1:1" ht="12.75">
      <c r="A422" s="167" t="s">
        <v>8861</v>
      </c>
    </row>
    <row r="423" spans="1:1" ht="12.75">
      <c r="A423" s="167" t="s">
        <v>8862</v>
      </c>
    </row>
    <row r="424" spans="1:1" ht="12.75" hidden="1">
      <c r="A424" s="167" t="s">
        <v>8498</v>
      </c>
    </row>
    <row r="425" spans="1:1" ht="12.75" hidden="1">
      <c r="A425" s="167" t="s">
        <v>8498</v>
      </c>
    </row>
    <row r="426" spans="1:1" ht="12.75">
      <c r="A426" s="167" t="s">
        <v>8863</v>
      </c>
    </row>
    <row r="427" spans="1:1" ht="12.75">
      <c r="A427" s="167" t="s">
        <v>8864</v>
      </c>
    </row>
    <row r="428" spans="1:1" ht="12.75">
      <c r="A428" s="167" t="s">
        <v>8865</v>
      </c>
    </row>
    <row r="429" spans="1:1" ht="12.75">
      <c r="A429" s="167" t="s">
        <v>8866</v>
      </c>
    </row>
    <row r="430" spans="1:1" ht="12.75">
      <c r="A430" s="167" t="s">
        <v>8867</v>
      </c>
    </row>
    <row r="431" spans="1:1" ht="12.75">
      <c r="A431" s="167" t="s">
        <v>8868</v>
      </c>
    </row>
    <row r="432" spans="1:1" ht="12.75">
      <c r="A432" s="167" t="s">
        <v>8869</v>
      </c>
    </row>
    <row r="433" spans="1:1" ht="12.75">
      <c r="A433" s="167" t="s">
        <v>8870</v>
      </c>
    </row>
    <row r="434" spans="1:1" ht="12.75">
      <c r="A434" s="167" t="s">
        <v>8871</v>
      </c>
    </row>
    <row r="435" spans="1:1" ht="12.75">
      <c r="A435" s="167" t="s">
        <v>8872</v>
      </c>
    </row>
    <row r="436" spans="1:1" ht="12.75">
      <c r="A436" s="167" t="s">
        <v>8873</v>
      </c>
    </row>
    <row r="437" spans="1:1" ht="12.75">
      <c r="A437" s="167" t="s">
        <v>8874</v>
      </c>
    </row>
    <row r="438" spans="1:1" ht="12.75">
      <c r="A438" s="167" t="s">
        <v>8875</v>
      </c>
    </row>
    <row r="439" spans="1:1" ht="12.75" hidden="1">
      <c r="A439" s="167" t="s">
        <v>8498</v>
      </c>
    </row>
    <row r="440" spans="1:1" ht="12.75">
      <c r="A440" s="167" t="s">
        <v>8876</v>
      </c>
    </row>
    <row r="441" spans="1:1" ht="12.75" hidden="1">
      <c r="A441" s="167" t="s">
        <v>8498</v>
      </c>
    </row>
    <row r="442" spans="1:1" ht="12.75">
      <c r="A442" s="167" t="s">
        <v>8877</v>
      </c>
    </row>
    <row r="443" spans="1:1" ht="12.75">
      <c r="A443" s="167" t="s">
        <v>8878</v>
      </c>
    </row>
    <row r="444" spans="1:1" ht="12.75">
      <c r="A444" s="167" t="s">
        <v>8879</v>
      </c>
    </row>
    <row r="445" spans="1:1" ht="12.75">
      <c r="A445" s="167" t="s">
        <v>8880</v>
      </c>
    </row>
    <row r="446" spans="1:1" ht="12.75">
      <c r="A446" s="167" t="s">
        <v>8881</v>
      </c>
    </row>
    <row r="447" spans="1:1" ht="12.75" hidden="1">
      <c r="A447" s="167" t="s">
        <v>8498</v>
      </c>
    </row>
    <row r="448" spans="1:1" ht="12.75">
      <c r="A448" s="167" t="s">
        <v>8882</v>
      </c>
    </row>
    <row r="449" spans="1:1" ht="12.75">
      <c r="A449" s="167" t="s">
        <v>8883</v>
      </c>
    </row>
    <row r="450" spans="1:1" ht="12.75">
      <c r="A450" s="167" t="s">
        <v>8884</v>
      </c>
    </row>
    <row r="451" spans="1:1" ht="12.75">
      <c r="A451" s="167" t="s">
        <v>8885</v>
      </c>
    </row>
    <row r="452" spans="1:1" ht="12.75">
      <c r="A452" s="167" t="s">
        <v>8886</v>
      </c>
    </row>
    <row r="453" spans="1:1" ht="12.75">
      <c r="A453" s="167" t="s">
        <v>8887</v>
      </c>
    </row>
    <row r="454" spans="1:1" ht="12.75">
      <c r="A454" s="167" t="s">
        <v>8888</v>
      </c>
    </row>
    <row r="455" spans="1:1" ht="12.75">
      <c r="A455" s="167" t="s">
        <v>8889</v>
      </c>
    </row>
    <row r="456" spans="1:1" ht="12.75">
      <c r="A456" s="167" t="s">
        <v>8890</v>
      </c>
    </row>
    <row r="457" spans="1:1" ht="12.75">
      <c r="A457" s="167" t="s">
        <v>8891</v>
      </c>
    </row>
    <row r="458" spans="1:1" ht="12.75">
      <c r="A458" s="167" t="s">
        <v>8892</v>
      </c>
    </row>
    <row r="459" spans="1:1" ht="12.75">
      <c r="A459" s="167" t="s">
        <v>8893</v>
      </c>
    </row>
    <row r="460" spans="1:1" ht="12.75">
      <c r="A460" s="167" t="s">
        <v>8894</v>
      </c>
    </row>
    <row r="461" spans="1:1" ht="12.75">
      <c r="A461" s="167" t="s">
        <v>8895</v>
      </c>
    </row>
    <row r="462" spans="1:1" ht="12.75">
      <c r="A462" s="167" t="s">
        <v>8896</v>
      </c>
    </row>
    <row r="463" spans="1:1" ht="12.75">
      <c r="A463" s="167" t="s">
        <v>8897</v>
      </c>
    </row>
    <row r="464" spans="1:1" ht="12.75">
      <c r="A464" s="167" t="s">
        <v>8898</v>
      </c>
    </row>
    <row r="465" spans="1:1" ht="12.75">
      <c r="A465" s="167" t="s">
        <v>8899</v>
      </c>
    </row>
    <row r="466" spans="1:1" ht="12.75">
      <c r="A466" s="167" t="s">
        <v>8900</v>
      </c>
    </row>
    <row r="467" spans="1:1" ht="12.75">
      <c r="A467" s="167" t="s">
        <v>8901</v>
      </c>
    </row>
    <row r="468" spans="1:1" ht="12.75">
      <c r="A468" s="167" t="s">
        <v>8902</v>
      </c>
    </row>
    <row r="469" spans="1:1" ht="12.75">
      <c r="A469" s="167" t="s">
        <v>8903</v>
      </c>
    </row>
    <row r="470" spans="1:1" ht="12.75">
      <c r="A470" s="167" t="s">
        <v>8904</v>
      </c>
    </row>
    <row r="471" spans="1:1" ht="12.75">
      <c r="A471" s="167" t="s">
        <v>8905</v>
      </c>
    </row>
    <row r="472" spans="1:1" ht="12.75">
      <c r="A472" s="167" t="s">
        <v>8906</v>
      </c>
    </row>
    <row r="473" spans="1:1" ht="12.75">
      <c r="A473" s="167" t="s">
        <v>8907</v>
      </c>
    </row>
    <row r="474" spans="1:1" ht="12.75">
      <c r="A474" s="167" t="s">
        <v>8908</v>
      </c>
    </row>
    <row r="475" spans="1:1" ht="12.75">
      <c r="A475" s="167" t="s">
        <v>8909</v>
      </c>
    </row>
    <row r="476" spans="1:1" ht="12.75">
      <c r="A476" s="167" t="s">
        <v>8910</v>
      </c>
    </row>
    <row r="477" spans="1:1" ht="12.75">
      <c r="A477" s="167" t="s">
        <v>8911</v>
      </c>
    </row>
    <row r="478" spans="1:1" ht="12.75">
      <c r="A478" s="167" t="s">
        <v>8912</v>
      </c>
    </row>
    <row r="479" spans="1:1" ht="12.75">
      <c r="A479" s="167" t="s">
        <v>8913</v>
      </c>
    </row>
    <row r="480" spans="1:1" ht="12.75">
      <c r="A480" s="167" t="s">
        <v>8914</v>
      </c>
    </row>
    <row r="481" spans="1:1" ht="12.75">
      <c r="A481" s="167" t="s">
        <v>8915</v>
      </c>
    </row>
    <row r="482" spans="1:1" ht="12.75">
      <c r="A482" s="167" t="s">
        <v>8916</v>
      </c>
    </row>
    <row r="483" spans="1:1" ht="12.75">
      <c r="A483" s="167" t="s">
        <v>8917</v>
      </c>
    </row>
    <row r="484" spans="1:1" ht="12.75">
      <c r="A484" s="167" t="s">
        <v>8918</v>
      </c>
    </row>
    <row r="485" spans="1:1" ht="12.75">
      <c r="A485" s="167" t="s">
        <v>8919</v>
      </c>
    </row>
    <row r="486" spans="1:1" ht="12.75">
      <c r="A486" s="167" t="s">
        <v>8920</v>
      </c>
    </row>
    <row r="487" spans="1:1" ht="12.75">
      <c r="A487" s="167" t="s">
        <v>8921</v>
      </c>
    </row>
    <row r="488" spans="1:1" ht="12.75">
      <c r="A488" s="167" t="s">
        <v>8922</v>
      </c>
    </row>
    <row r="489" spans="1:1" ht="12.75">
      <c r="A489" s="167" t="s">
        <v>8923</v>
      </c>
    </row>
    <row r="490" spans="1:1" ht="12.75">
      <c r="A490" s="167" t="s">
        <v>8924</v>
      </c>
    </row>
    <row r="491" spans="1:1" ht="12.75">
      <c r="A491" s="167" t="s">
        <v>8925</v>
      </c>
    </row>
    <row r="492" spans="1:1" ht="12.75">
      <c r="A492" s="167" t="s">
        <v>8926</v>
      </c>
    </row>
    <row r="493" spans="1:1" ht="12.75">
      <c r="A493" s="167" t="s">
        <v>8927</v>
      </c>
    </row>
    <row r="494" spans="1:1" ht="12.75">
      <c r="A494" s="167" t="s">
        <v>8928</v>
      </c>
    </row>
    <row r="495" spans="1:1" ht="12.75">
      <c r="A495" s="167" t="s">
        <v>8929</v>
      </c>
    </row>
    <row r="496" spans="1:1" ht="12.75">
      <c r="A496" s="167" t="s">
        <v>8930</v>
      </c>
    </row>
    <row r="497" spans="1:1" ht="12.75">
      <c r="A497" s="167" t="s">
        <v>8931</v>
      </c>
    </row>
    <row r="498" spans="1:1" ht="12.75">
      <c r="A498" s="167" t="s">
        <v>8932</v>
      </c>
    </row>
    <row r="499" spans="1:1" ht="12.75">
      <c r="A499" s="167" t="s">
        <v>8933</v>
      </c>
    </row>
    <row r="500" spans="1:1" ht="12.75">
      <c r="A500" s="167" t="s">
        <v>8934</v>
      </c>
    </row>
    <row r="501" spans="1:1" ht="12.75">
      <c r="A501" s="167" t="s">
        <v>8935</v>
      </c>
    </row>
    <row r="502" spans="1:1" ht="12.75">
      <c r="A502" s="167" t="s">
        <v>8936</v>
      </c>
    </row>
    <row r="503" spans="1:1" ht="12.75">
      <c r="A503" s="167" t="s">
        <v>8937</v>
      </c>
    </row>
    <row r="504" spans="1:1" ht="12.75">
      <c r="A504" s="167" t="s">
        <v>8938</v>
      </c>
    </row>
    <row r="505" spans="1:1" ht="12.75" hidden="1">
      <c r="A505" s="167" t="s">
        <v>8498</v>
      </c>
    </row>
    <row r="506" spans="1:1" ht="12.75">
      <c r="A506" s="167" t="s">
        <v>8939</v>
      </c>
    </row>
    <row r="507" spans="1:1" ht="12.75" hidden="1">
      <c r="A507" s="167" t="s">
        <v>8498</v>
      </c>
    </row>
    <row r="508" spans="1:1" ht="12.75">
      <c r="A508" s="167" t="s">
        <v>8940</v>
      </c>
    </row>
    <row r="509" spans="1:1" ht="12.75">
      <c r="A509" s="167" t="s">
        <v>8941</v>
      </c>
    </row>
    <row r="510" spans="1:1" ht="12.75">
      <c r="A510" s="167" t="s">
        <v>8942</v>
      </c>
    </row>
    <row r="511" spans="1:1" ht="12.75">
      <c r="A511" s="167" t="s">
        <v>8943</v>
      </c>
    </row>
    <row r="512" spans="1:1" ht="12.75">
      <c r="A512" s="167" t="s">
        <v>8944</v>
      </c>
    </row>
    <row r="513" spans="1:1" ht="12.75">
      <c r="A513" s="167" t="s">
        <v>8945</v>
      </c>
    </row>
    <row r="514" spans="1:1" ht="12.75" hidden="1">
      <c r="A514" s="167" t="s">
        <v>8498</v>
      </c>
    </row>
    <row r="515" spans="1:1" ht="12.75" hidden="1">
      <c r="A515" s="167" t="s">
        <v>8498</v>
      </c>
    </row>
    <row r="516" spans="1:1" ht="12.75">
      <c r="A516" s="167" t="s">
        <v>8946</v>
      </c>
    </row>
    <row r="517" spans="1:1" ht="12.75">
      <c r="A517" s="167" t="s">
        <v>8947</v>
      </c>
    </row>
    <row r="518" spans="1:1" ht="12.75">
      <c r="A518" s="167" t="s">
        <v>8948</v>
      </c>
    </row>
    <row r="519" spans="1:1" ht="12.75">
      <c r="A519" s="167" t="s">
        <v>8949</v>
      </c>
    </row>
    <row r="520" spans="1:1" ht="12.75">
      <c r="A520" s="167" t="s">
        <v>8950</v>
      </c>
    </row>
    <row r="521" spans="1:1" ht="12.75">
      <c r="A521" s="167" t="s">
        <v>8951</v>
      </c>
    </row>
    <row r="522" spans="1:1" ht="12.75">
      <c r="A522" s="167" t="s">
        <v>8952</v>
      </c>
    </row>
    <row r="523" spans="1:1" ht="12.75">
      <c r="A523" s="167" t="s">
        <v>8953</v>
      </c>
    </row>
    <row r="524" spans="1:1" ht="12.75">
      <c r="A524" s="167" t="s">
        <v>8954</v>
      </c>
    </row>
    <row r="525" spans="1:1" ht="12.75">
      <c r="A525" s="167" t="s">
        <v>8955</v>
      </c>
    </row>
    <row r="526" spans="1:1" ht="12.75">
      <c r="A526" s="167" t="s">
        <v>8956</v>
      </c>
    </row>
    <row r="527" spans="1:1" ht="12.75">
      <c r="A527" s="167" t="s">
        <v>8957</v>
      </c>
    </row>
    <row r="528" spans="1:1" ht="12.75">
      <c r="A528" s="167" t="s">
        <v>8958</v>
      </c>
    </row>
    <row r="529" spans="1:1" ht="12.75">
      <c r="A529" s="167" t="s">
        <v>8959</v>
      </c>
    </row>
    <row r="530" spans="1:1" ht="12.75">
      <c r="A530" s="167" t="s">
        <v>8960</v>
      </c>
    </row>
    <row r="531" spans="1:1" ht="12.75">
      <c r="A531" s="167" t="s">
        <v>8961</v>
      </c>
    </row>
    <row r="532" spans="1:1" ht="12.75">
      <c r="A532" s="167" t="s">
        <v>8962</v>
      </c>
    </row>
    <row r="533" spans="1:1" ht="12.75">
      <c r="A533" s="167" t="s">
        <v>8963</v>
      </c>
    </row>
    <row r="534" spans="1:1" ht="12.75">
      <c r="A534" s="167" t="s">
        <v>8964</v>
      </c>
    </row>
    <row r="535" spans="1:1" ht="12.75">
      <c r="A535" s="167" t="s">
        <v>8965</v>
      </c>
    </row>
    <row r="536" spans="1:1" ht="12.75">
      <c r="A536" s="167" t="s">
        <v>8966</v>
      </c>
    </row>
    <row r="537" spans="1:1" ht="12.75">
      <c r="A537" s="167" t="s">
        <v>8967</v>
      </c>
    </row>
    <row r="538" spans="1:1" ht="12.75" hidden="1">
      <c r="A538" s="167" t="s">
        <v>8498</v>
      </c>
    </row>
    <row r="539" spans="1:1" ht="12.75">
      <c r="A539" s="167" t="s">
        <v>8968</v>
      </c>
    </row>
    <row r="540" spans="1:1" ht="12.75">
      <c r="A540" s="167" t="s">
        <v>8969</v>
      </c>
    </row>
    <row r="541" spans="1:1" ht="12.75">
      <c r="A541" s="167" t="s">
        <v>8970</v>
      </c>
    </row>
    <row r="542" spans="1:1" ht="12.75">
      <c r="A542" s="167" t="s">
        <v>8971</v>
      </c>
    </row>
    <row r="543" spans="1:1" ht="12.75" hidden="1">
      <c r="A543" s="167" t="s">
        <v>8498</v>
      </c>
    </row>
    <row r="544" spans="1:1" ht="12.75" hidden="1">
      <c r="A544" s="167" t="s">
        <v>8498</v>
      </c>
    </row>
    <row r="545" spans="1:1" ht="12.75">
      <c r="A545" s="167" t="s">
        <v>8972</v>
      </c>
    </row>
    <row r="546" spans="1:1" ht="12.75" hidden="1">
      <c r="A546" s="167" t="s">
        <v>8498</v>
      </c>
    </row>
    <row r="547" spans="1:1" ht="12.75">
      <c r="A547" s="167" t="s">
        <v>8973</v>
      </c>
    </row>
    <row r="548" spans="1:1" ht="12.75">
      <c r="A548" s="167" t="s">
        <v>8974</v>
      </c>
    </row>
    <row r="549" spans="1:1" ht="12.75">
      <c r="A549" s="167" t="s">
        <v>8975</v>
      </c>
    </row>
    <row r="550" spans="1:1" ht="12.75">
      <c r="A550" s="167" t="s">
        <v>8976</v>
      </c>
    </row>
    <row r="551" spans="1:1" ht="12.75">
      <c r="A551" s="167" t="s">
        <v>8977</v>
      </c>
    </row>
    <row r="552" spans="1:1" ht="12.75" hidden="1">
      <c r="A552" s="167" t="s">
        <v>8498</v>
      </c>
    </row>
    <row r="553" spans="1:1" ht="12.75" hidden="1">
      <c r="A553" s="167" t="s">
        <v>8498</v>
      </c>
    </row>
    <row r="554" spans="1:1" ht="12.75">
      <c r="A554" s="167" t="s">
        <v>8978</v>
      </c>
    </row>
    <row r="555" spans="1:1" ht="12.75">
      <c r="A555" s="167" t="s">
        <v>8979</v>
      </c>
    </row>
    <row r="556" spans="1:1" ht="12.75">
      <c r="A556" s="167" t="s">
        <v>8980</v>
      </c>
    </row>
    <row r="557" spans="1:1" ht="12.75">
      <c r="A557" s="167" t="s">
        <v>8981</v>
      </c>
    </row>
    <row r="558" spans="1:1" ht="12.75">
      <c r="A558" s="167" t="s">
        <v>8982</v>
      </c>
    </row>
    <row r="559" spans="1:1" ht="12.75">
      <c r="A559" s="167" t="s">
        <v>8983</v>
      </c>
    </row>
    <row r="560" spans="1:1" ht="12.75">
      <c r="A560" s="167" t="s">
        <v>8984</v>
      </c>
    </row>
    <row r="561" spans="1:1" ht="12.75">
      <c r="A561" s="167" t="s">
        <v>8985</v>
      </c>
    </row>
    <row r="562" spans="1:1" ht="12.75">
      <c r="A562" s="167" t="s">
        <v>8986</v>
      </c>
    </row>
    <row r="563" spans="1:1" ht="12.75">
      <c r="A563" s="167" t="s">
        <v>8987</v>
      </c>
    </row>
    <row r="564" spans="1:1" ht="12.75" hidden="1">
      <c r="A564" s="167" t="s">
        <v>8498</v>
      </c>
    </row>
    <row r="565" spans="1:1" ht="12.75" hidden="1">
      <c r="A565" s="167" t="s">
        <v>8498</v>
      </c>
    </row>
    <row r="566" spans="1:1" ht="12.75">
      <c r="A566" s="167" t="s">
        <v>8988</v>
      </c>
    </row>
    <row r="567" spans="1:1" ht="12.75">
      <c r="A567" s="167" t="s">
        <v>8989</v>
      </c>
    </row>
    <row r="568" spans="1:1" ht="12.75">
      <c r="A568" s="167" t="s">
        <v>8990</v>
      </c>
    </row>
    <row r="569" spans="1:1" ht="12.75">
      <c r="A569" s="167" t="s">
        <v>8991</v>
      </c>
    </row>
    <row r="570" spans="1:1" ht="12.75">
      <c r="A570" s="167" t="s">
        <v>8992</v>
      </c>
    </row>
    <row r="571" spans="1:1" ht="12.75">
      <c r="A571" s="167" t="s">
        <v>8993</v>
      </c>
    </row>
    <row r="572" spans="1:1" ht="12.75">
      <c r="A572" s="167" t="s">
        <v>8994</v>
      </c>
    </row>
    <row r="573" spans="1:1" ht="12.75" hidden="1">
      <c r="A573" s="167" t="s">
        <v>8498</v>
      </c>
    </row>
    <row r="574" spans="1:1" ht="12.75" hidden="1">
      <c r="A574" s="167" t="s">
        <v>8498</v>
      </c>
    </row>
    <row r="575" spans="1:1" ht="12.75">
      <c r="A575" s="167" t="s">
        <v>8995</v>
      </c>
    </row>
    <row r="576" spans="1:1" ht="12.75">
      <c r="A576" s="167" t="s">
        <v>8996</v>
      </c>
    </row>
    <row r="577" spans="1:1" ht="12.75">
      <c r="A577" s="167" t="s">
        <v>8997</v>
      </c>
    </row>
    <row r="578" spans="1:1" ht="12.75">
      <c r="A578" s="167" t="s">
        <v>8998</v>
      </c>
    </row>
    <row r="579" spans="1:1" ht="12.75">
      <c r="A579" s="167" t="s">
        <v>8999</v>
      </c>
    </row>
    <row r="580" spans="1:1" ht="12.75">
      <c r="A580" s="167" t="s">
        <v>9000</v>
      </c>
    </row>
    <row r="581" spans="1:1" ht="12.75">
      <c r="A581" s="167" t="s">
        <v>9001</v>
      </c>
    </row>
    <row r="582" spans="1:1" ht="12.75">
      <c r="A582" s="167" t="s">
        <v>9002</v>
      </c>
    </row>
    <row r="583" spans="1:1" ht="12.75">
      <c r="A583" s="167" t="s">
        <v>9003</v>
      </c>
    </row>
    <row r="584" spans="1:1" ht="12.75">
      <c r="A584" s="167" t="s">
        <v>9004</v>
      </c>
    </row>
    <row r="585" spans="1:1" ht="12.75">
      <c r="A585" s="167" t="s">
        <v>9005</v>
      </c>
    </row>
    <row r="586" spans="1:1" ht="12.75">
      <c r="A586" s="167" t="s">
        <v>9006</v>
      </c>
    </row>
    <row r="587" spans="1:1" ht="12.75">
      <c r="A587" s="167" t="s">
        <v>9007</v>
      </c>
    </row>
    <row r="588" spans="1:1" ht="12.75">
      <c r="A588" s="167" t="s">
        <v>9008</v>
      </c>
    </row>
    <row r="589" spans="1:1" ht="12.75">
      <c r="A589" s="167" t="s">
        <v>9009</v>
      </c>
    </row>
    <row r="590" spans="1:1" ht="12.75">
      <c r="A590" s="167" t="s">
        <v>9010</v>
      </c>
    </row>
    <row r="591" spans="1:1" ht="12.75">
      <c r="A591" s="167" t="s">
        <v>9011</v>
      </c>
    </row>
    <row r="592" spans="1:1" ht="12.75">
      <c r="A592" s="167" t="s">
        <v>9012</v>
      </c>
    </row>
    <row r="593" spans="1:1" ht="12.75">
      <c r="A593" s="167" t="s">
        <v>9013</v>
      </c>
    </row>
    <row r="594" spans="1:1" ht="12.75">
      <c r="A594" s="167" t="s">
        <v>9014</v>
      </c>
    </row>
    <row r="595" spans="1:1" ht="12.75">
      <c r="A595" s="167" t="s">
        <v>9015</v>
      </c>
    </row>
    <row r="596" spans="1:1" ht="12.75">
      <c r="A596" s="167" t="s">
        <v>9016</v>
      </c>
    </row>
    <row r="597" spans="1:1" ht="12.75" hidden="1">
      <c r="A597" s="167" t="s">
        <v>8498</v>
      </c>
    </row>
    <row r="598" spans="1:1" ht="12.75" hidden="1">
      <c r="A598" s="167" t="s">
        <v>8498</v>
      </c>
    </row>
    <row r="599" spans="1:1" ht="12.75">
      <c r="A599" s="167" t="s">
        <v>9017</v>
      </c>
    </row>
    <row r="600" spans="1:1" ht="12.75">
      <c r="A600" s="167" t="s">
        <v>9018</v>
      </c>
    </row>
    <row r="601" spans="1:1" ht="12.75">
      <c r="A601" s="167" t="s">
        <v>9019</v>
      </c>
    </row>
    <row r="602" spans="1:1" ht="12.75">
      <c r="A602" s="167" t="s">
        <v>9020</v>
      </c>
    </row>
    <row r="603" spans="1:1" ht="12.75">
      <c r="A603" s="167" t="s">
        <v>9021</v>
      </c>
    </row>
    <row r="604" spans="1:1" ht="12.75">
      <c r="A604" s="167" t="s">
        <v>9022</v>
      </c>
    </row>
    <row r="605" spans="1:1" ht="12.75">
      <c r="A605" s="167" t="s">
        <v>9023</v>
      </c>
    </row>
    <row r="606" spans="1:1" ht="12.75">
      <c r="A606" s="167" t="s">
        <v>9024</v>
      </c>
    </row>
    <row r="607" spans="1:1" ht="12.75">
      <c r="A607" s="167" t="s">
        <v>9025</v>
      </c>
    </row>
    <row r="608" spans="1:1" ht="12.75">
      <c r="A608" s="167" t="s">
        <v>9026</v>
      </c>
    </row>
    <row r="609" spans="1:1" ht="12.75">
      <c r="A609" s="167" t="s">
        <v>9027</v>
      </c>
    </row>
    <row r="610" spans="1:1" ht="12.75">
      <c r="A610" s="167" t="s">
        <v>9028</v>
      </c>
    </row>
    <row r="611" spans="1:1" ht="12.75">
      <c r="A611" s="167" t="s">
        <v>9029</v>
      </c>
    </row>
    <row r="612" spans="1:1" ht="12.75">
      <c r="A612" s="167" t="s">
        <v>9030</v>
      </c>
    </row>
    <row r="613" spans="1:1" ht="12.75">
      <c r="A613" s="167" t="s">
        <v>9031</v>
      </c>
    </row>
    <row r="614" spans="1:1" ht="12.75">
      <c r="A614" s="167" t="s">
        <v>9032</v>
      </c>
    </row>
    <row r="615" spans="1:1" ht="12.75">
      <c r="A615" s="167" t="s">
        <v>9033</v>
      </c>
    </row>
    <row r="616" spans="1:1" ht="12.75">
      <c r="A616" s="167" t="s">
        <v>9034</v>
      </c>
    </row>
    <row r="617" spans="1:1" ht="12.75">
      <c r="A617" s="167" t="s">
        <v>9035</v>
      </c>
    </row>
    <row r="618" spans="1:1" ht="12.75">
      <c r="A618" s="167" t="s">
        <v>9036</v>
      </c>
    </row>
    <row r="619" spans="1:1" ht="12.75">
      <c r="A619" s="167" t="s">
        <v>9037</v>
      </c>
    </row>
    <row r="620" spans="1:1" ht="12.75">
      <c r="A620" s="167" t="s">
        <v>9038</v>
      </c>
    </row>
    <row r="621" spans="1:1" ht="12.75">
      <c r="A621" s="167" t="s">
        <v>9039</v>
      </c>
    </row>
    <row r="622" spans="1:1" ht="12.75">
      <c r="A622" s="167" t="s">
        <v>9040</v>
      </c>
    </row>
    <row r="623" spans="1:1" ht="12.75">
      <c r="A623" s="167" t="s">
        <v>9041</v>
      </c>
    </row>
    <row r="624" spans="1:1" ht="12.75">
      <c r="A624" s="167" t="s">
        <v>9042</v>
      </c>
    </row>
    <row r="625" spans="1:1" ht="12.75">
      <c r="A625" s="167" t="s">
        <v>9043</v>
      </c>
    </row>
    <row r="626" spans="1:1" ht="12.75">
      <c r="A626" s="167" t="s">
        <v>9044</v>
      </c>
    </row>
    <row r="627" spans="1:1" ht="12.75">
      <c r="A627" s="167" t="s">
        <v>9045</v>
      </c>
    </row>
    <row r="628" spans="1:1" ht="12.75">
      <c r="A628" s="167" t="s">
        <v>9046</v>
      </c>
    </row>
    <row r="629" spans="1:1" ht="12.75">
      <c r="A629" s="167" t="s">
        <v>9047</v>
      </c>
    </row>
    <row r="630" spans="1:1" ht="12.75">
      <c r="A630" s="167" t="s">
        <v>9048</v>
      </c>
    </row>
    <row r="631" spans="1:1" ht="12.75">
      <c r="A631" s="167" t="s">
        <v>9049</v>
      </c>
    </row>
    <row r="632" spans="1:1" ht="12.75">
      <c r="A632" s="167" t="s">
        <v>9050</v>
      </c>
    </row>
    <row r="633" spans="1:1" ht="12.75">
      <c r="A633" s="167" t="s">
        <v>9051</v>
      </c>
    </row>
    <row r="634" spans="1:1" ht="12.75">
      <c r="A634" s="167" t="s">
        <v>9052</v>
      </c>
    </row>
    <row r="635" spans="1:1" ht="12.75">
      <c r="A635" s="167" t="s">
        <v>9053</v>
      </c>
    </row>
    <row r="636" spans="1:1" ht="12.75">
      <c r="A636" s="167" t="s">
        <v>9054</v>
      </c>
    </row>
    <row r="637" spans="1:1" ht="12.75">
      <c r="A637" s="167" t="s">
        <v>9055</v>
      </c>
    </row>
    <row r="638" spans="1:1" ht="12.75">
      <c r="A638" s="167" t="s">
        <v>9056</v>
      </c>
    </row>
    <row r="639" spans="1:1" ht="12.75">
      <c r="A639" s="167" t="s">
        <v>9057</v>
      </c>
    </row>
    <row r="640" spans="1:1" ht="12.75">
      <c r="A640" s="167" t="s">
        <v>9058</v>
      </c>
    </row>
    <row r="641" spans="1:1" ht="12.75">
      <c r="A641" s="167" t="s">
        <v>9059</v>
      </c>
    </row>
    <row r="642" spans="1:1" ht="12.75">
      <c r="A642" s="167" t="s">
        <v>9060</v>
      </c>
    </row>
    <row r="643" spans="1:1" ht="12.75" hidden="1">
      <c r="A643" s="167" t="s">
        <v>8498</v>
      </c>
    </row>
    <row r="644" spans="1:1" ht="12.75">
      <c r="A644" s="167" t="s">
        <v>9061</v>
      </c>
    </row>
    <row r="645" spans="1:1" ht="12.75">
      <c r="A645" s="167" t="s">
        <v>9062</v>
      </c>
    </row>
    <row r="646" spans="1:1" ht="12.75">
      <c r="A646" s="167" t="s">
        <v>9063</v>
      </c>
    </row>
    <row r="647" spans="1:1" ht="12.75">
      <c r="A647" s="167" t="s">
        <v>9064</v>
      </c>
    </row>
    <row r="648" spans="1:1" ht="12.75">
      <c r="A648" s="167" t="s">
        <v>9065</v>
      </c>
    </row>
    <row r="649" spans="1:1" ht="12.75">
      <c r="A649" s="167" t="s">
        <v>9066</v>
      </c>
    </row>
    <row r="650" spans="1:1" ht="12.75">
      <c r="A650" s="167" t="s">
        <v>9067</v>
      </c>
    </row>
    <row r="651" spans="1:1" ht="12.75">
      <c r="A651" s="167" t="s">
        <v>9068</v>
      </c>
    </row>
    <row r="652" spans="1:1" ht="12.75">
      <c r="A652" s="167" t="s">
        <v>9069</v>
      </c>
    </row>
    <row r="653" spans="1:1" ht="12.75">
      <c r="A653" s="167" t="s">
        <v>9070</v>
      </c>
    </row>
    <row r="654" spans="1:1" ht="12.75">
      <c r="A654" s="167" t="s">
        <v>9071</v>
      </c>
    </row>
    <row r="655" spans="1:1" ht="12.75">
      <c r="A655" s="167" t="s">
        <v>9072</v>
      </c>
    </row>
    <row r="656" spans="1:1" ht="12.75">
      <c r="A656" s="167" t="s">
        <v>9073</v>
      </c>
    </row>
    <row r="657" spans="1:1" ht="12.75">
      <c r="A657" s="167" t="s">
        <v>9074</v>
      </c>
    </row>
    <row r="658" spans="1:1" ht="12.75">
      <c r="A658" s="167" t="s">
        <v>9075</v>
      </c>
    </row>
    <row r="659" spans="1:1" ht="12.75">
      <c r="A659" s="167" t="s">
        <v>9076</v>
      </c>
    </row>
    <row r="660" spans="1:1" ht="12.75">
      <c r="A660" s="167" t="s">
        <v>9077</v>
      </c>
    </row>
    <row r="661" spans="1:1" ht="12.75" hidden="1">
      <c r="A661" s="167" t="s">
        <v>8498</v>
      </c>
    </row>
    <row r="662" spans="1:1" ht="12.75" hidden="1">
      <c r="A662" s="167" t="s">
        <v>8498</v>
      </c>
    </row>
    <row r="663" spans="1:1" ht="12.75">
      <c r="A663" s="167" t="s">
        <v>9078</v>
      </c>
    </row>
    <row r="664" spans="1:1" ht="12.75">
      <c r="A664" s="167" t="s">
        <v>9079</v>
      </c>
    </row>
    <row r="665" spans="1:1" ht="12.75">
      <c r="A665" s="167" t="s">
        <v>9080</v>
      </c>
    </row>
    <row r="666" spans="1:1" ht="12.75">
      <c r="A666" s="167" t="s">
        <v>9081</v>
      </c>
    </row>
    <row r="667" spans="1:1" ht="12.75">
      <c r="A667" s="167" t="s">
        <v>9082</v>
      </c>
    </row>
    <row r="668" spans="1:1" ht="12.75">
      <c r="A668" s="167" t="s">
        <v>9083</v>
      </c>
    </row>
    <row r="669" spans="1:1" ht="12.75">
      <c r="A669" s="167" t="s">
        <v>9084</v>
      </c>
    </row>
    <row r="670" spans="1:1" ht="12.75">
      <c r="A670" s="167" t="s">
        <v>9085</v>
      </c>
    </row>
    <row r="671" spans="1:1" ht="12.75">
      <c r="A671" s="167" t="s">
        <v>9086</v>
      </c>
    </row>
    <row r="672" spans="1:1" ht="12.75" hidden="1">
      <c r="A672" s="167" t="s">
        <v>8498</v>
      </c>
    </row>
    <row r="673" spans="1:1" ht="12.75" hidden="1">
      <c r="A673" s="167" t="s">
        <v>8498</v>
      </c>
    </row>
    <row r="674" spans="1:1" ht="12.75">
      <c r="A674" s="167" t="s">
        <v>9087</v>
      </c>
    </row>
    <row r="675" spans="1:1" ht="12.75">
      <c r="A675" s="167" t="s">
        <v>9088</v>
      </c>
    </row>
    <row r="676" spans="1:1" ht="12.75">
      <c r="A676" s="167" t="s">
        <v>9089</v>
      </c>
    </row>
    <row r="677" spans="1:1" ht="12.75">
      <c r="A677" s="167" t="s">
        <v>9090</v>
      </c>
    </row>
    <row r="678" spans="1:1" ht="12.75">
      <c r="A678" s="167" t="s">
        <v>9091</v>
      </c>
    </row>
    <row r="679" spans="1:1" ht="12.75">
      <c r="A679" s="167" t="s">
        <v>9092</v>
      </c>
    </row>
    <row r="680" spans="1:1" ht="12.75">
      <c r="A680" s="167" t="s">
        <v>9093</v>
      </c>
    </row>
    <row r="681" spans="1:1" ht="12.75">
      <c r="A681" s="167" t="s">
        <v>9094</v>
      </c>
    </row>
    <row r="682" spans="1:1" ht="12.75">
      <c r="A682" s="167" t="s">
        <v>9095</v>
      </c>
    </row>
    <row r="683" spans="1:1" ht="12.75">
      <c r="A683" s="167" t="s">
        <v>9096</v>
      </c>
    </row>
    <row r="684" spans="1:1" ht="12.75">
      <c r="A684" s="167" t="s">
        <v>9097</v>
      </c>
    </row>
    <row r="685" spans="1:1" ht="12.75">
      <c r="A685" s="167" t="s">
        <v>9098</v>
      </c>
    </row>
    <row r="686" spans="1:1" ht="12.75">
      <c r="A686" s="167" t="s">
        <v>9099</v>
      </c>
    </row>
    <row r="687" spans="1:1" ht="12.75">
      <c r="A687" s="167" t="s">
        <v>9100</v>
      </c>
    </row>
    <row r="688" spans="1:1" ht="12.75">
      <c r="A688" s="167" t="s">
        <v>9101</v>
      </c>
    </row>
    <row r="689" spans="1:1" ht="12.75">
      <c r="A689" s="167" t="s">
        <v>9102</v>
      </c>
    </row>
    <row r="690" spans="1:1" ht="12.75" hidden="1">
      <c r="A690" s="167" t="s">
        <v>8498</v>
      </c>
    </row>
    <row r="691" spans="1:1" ht="12.75" hidden="1">
      <c r="A691" s="167" t="s">
        <v>8498</v>
      </c>
    </row>
    <row r="692" spans="1:1" ht="12.75">
      <c r="A692" s="167" t="s">
        <v>9103</v>
      </c>
    </row>
    <row r="693" spans="1:1" ht="12.75">
      <c r="A693" s="167" t="s">
        <v>9104</v>
      </c>
    </row>
    <row r="694" spans="1:1" ht="12.75" hidden="1">
      <c r="A694" s="167" t="s">
        <v>8498</v>
      </c>
    </row>
    <row r="695" spans="1:1" ht="12.75" hidden="1">
      <c r="A695" s="167" t="s">
        <v>8498</v>
      </c>
    </row>
    <row r="696" spans="1:1" ht="12.75">
      <c r="A696" s="167" t="s">
        <v>9105</v>
      </c>
    </row>
    <row r="697" spans="1:1" ht="12.75">
      <c r="A697" s="167" t="s">
        <v>9106</v>
      </c>
    </row>
    <row r="698" spans="1:1" ht="12.75">
      <c r="A698" s="167" t="s">
        <v>9107</v>
      </c>
    </row>
    <row r="699" spans="1:1" ht="12.75">
      <c r="A699" s="167" t="s">
        <v>9108</v>
      </c>
    </row>
    <row r="700" spans="1:1" ht="12.75">
      <c r="A700" s="167" t="s">
        <v>9109</v>
      </c>
    </row>
    <row r="701" spans="1:1" ht="12.75">
      <c r="A701" s="167" t="s">
        <v>9110</v>
      </c>
    </row>
    <row r="702" spans="1:1" ht="12.75">
      <c r="A702" s="167" t="s">
        <v>9111</v>
      </c>
    </row>
    <row r="703" spans="1:1" ht="12.75">
      <c r="A703" s="167" t="s">
        <v>9112</v>
      </c>
    </row>
    <row r="704" spans="1:1" ht="12.75">
      <c r="A704" s="167" t="s">
        <v>9113</v>
      </c>
    </row>
    <row r="705" spans="1:1" ht="12.75">
      <c r="A705" s="167" t="s">
        <v>9114</v>
      </c>
    </row>
    <row r="706" spans="1:1" ht="12.75">
      <c r="A706" s="167" t="s">
        <v>9115</v>
      </c>
    </row>
    <row r="707" spans="1:1" ht="12.75">
      <c r="A707" s="167" t="s">
        <v>9116</v>
      </c>
    </row>
    <row r="708" spans="1:1" ht="12.75">
      <c r="A708" s="167" t="s">
        <v>9117</v>
      </c>
    </row>
    <row r="709" spans="1:1" ht="12.75">
      <c r="A709" s="167" t="s">
        <v>9118</v>
      </c>
    </row>
    <row r="710" spans="1:1" ht="12.75">
      <c r="A710" s="167" t="s">
        <v>9119</v>
      </c>
    </row>
    <row r="711" spans="1:1" ht="12.75">
      <c r="A711" s="167" t="s">
        <v>9120</v>
      </c>
    </row>
    <row r="712" spans="1:1" ht="12.75" hidden="1">
      <c r="A712" s="167" t="s">
        <v>8498</v>
      </c>
    </row>
    <row r="713" spans="1:1" ht="12.75">
      <c r="A713" s="167" t="s">
        <v>9121</v>
      </c>
    </row>
    <row r="714" spans="1:1" ht="12.75">
      <c r="A714" s="167" t="s">
        <v>9122</v>
      </c>
    </row>
    <row r="715" spans="1:1" ht="12.75">
      <c r="A715" s="167" t="s">
        <v>9123</v>
      </c>
    </row>
    <row r="716" spans="1:1" ht="12.75">
      <c r="A716" s="167" t="s">
        <v>9124</v>
      </c>
    </row>
    <row r="717" spans="1:1" ht="12.75">
      <c r="A717" s="167" t="s">
        <v>9125</v>
      </c>
    </row>
    <row r="718" spans="1:1" ht="12.75">
      <c r="A718" s="167" t="s">
        <v>9126</v>
      </c>
    </row>
    <row r="719" spans="1:1" ht="12.75">
      <c r="A719" s="167" t="s">
        <v>9127</v>
      </c>
    </row>
    <row r="720" spans="1:1" ht="12.75">
      <c r="A720" s="167" t="s">
        <v>9128</v>
      </c>
    </row>
    <row r="721" spans="1:1" ht="12.75">
      <c r="A721" s="167" t="s">
        <v>9129</v>
      </c>
    </row>
    <row r="722" spans="1:1" ht="12.75">
      <c r="A722" s="167" t="s">
        <v>9130</v>
      </c>
    </row>
    <row r="723" spans="1:1" ht="12.75">
      <c r="A723" s="167" t="s">
        <v>9131</v>
      </c>
    </row>
    <row r="724" spans="1:1" ht="12.75" hidden="1">
      <c r="A724" s="167" t="s">
        <v>8498</v>
      </c>
    </row>
    <row r="725" spans="1:1" ht="12.75" hidden="1">
      <c r="A725" s="167" t="s">
        <v>8498</v>
      </c>
    </row>
    <row r="726" spans="1:1" ht="12.75">
      <c r="A726" s="167" t="s">
        <v>9132</v>
      </c>
    </row>
    <row r="727" spans="1:1" ht="12.75">
      <c r="A727" s="167" t="s">
        <v>9133</v>
      </c>
    </row>
    <row r="728" spans="1:1" ht="12.75">
      <c r="A728" s="167" t="s">
        <v>9134</v>
      </c>
    </row>
    <row r="729" spans="1:1" ht="12.75">
      <c r="A729" s="167" t="s">
        <v>9135</v>
      </c>
    </row>
    <row r="730" spans="1:1" ht="12.75">
      <c r="A730" s="167" t="s">
        <v>9136</v>
      </c>
    </row>
    <row r="731" spans="1:1" ht="12.75">
      <c r="A731" s="167" t="s">
        <v>9137</v>
      </c>
    </row>
    <row r="732" spans="1:1" ht="12.75">
      <c r="A732" s="167" t="s">
        <v>9138</v>
      </c>
    </row>
    <row r="733" spans="1:1" ht="12.75">
      <c r="A733" s="167" t="s">
        <v>9139</v>
      </c>
    </row>
    <row r="734" spans="1:1" ht="12.75">
      <c r="A734" s="167" t="s">
        <v>9140</v>
      </c>
    </row>
    <row r="735" spans="1:1" ht="12.75">
      <c r="A735" s="167" t="s">
        <v>9141</v>
      </c>
    </row>
    <row r="736" spans="1:1" ht="12.75">
      <c r="A736" s="167" t="s">
        <v>9142</v>
      </c>
    </row>
    <row r="737" spans="1:1" ht="12.75">
      <c r="A737" s="167" t="s">
        <v>9143</v>
      </c>
    </row>
    <row r="738" spans="1:1" ht="12.75">
      <c r="A738" s="167" t="s">
        <v>9144</v>
      </c>
    </row>
    <row r="739" spans="1:1" ht="12.75">
      <c r="A739" s="167" t="s">
        <v>9145</v>
      </c>
    </row>
    <row r="740" spans="1:1" ht="12.75">
      <c r="A740" s="167" t="s">
        <v>9146</v>
      </c>
    </row>
    <row r="741" spans="1:1" ht="12.75">
      <c r="A741" s="167" t="s">
        <v>9147</v>
      </c>
    </row>
    <row r="742" spans="1:1" ht="12.75" hidden="1">
      <c r="A742" s="167" t="s">
        <v>8498</v>
      </c>
    </row>
    <row r="743" spans="1:1" ht="12.75">
      <c r="A743" s="167" t="s">
        <v>9148</v>
      </c>
    </row>
    <row r="744" spans="1:1" ht="12.75" hidden="1">
      <c r="A744" s="167" t="s">
        <v>8498</v>
      </c>
    </row>
    <row r="745" spans="1:1" ht="12.75">
      <c r="A745" s="167" t="s">
        <v>9149</v>
      </c>
    </row>
    <row r="746" spans="1:1" ht="12.75">
      <c r="A746" s="167" t="s">
        <v>9150</v>
      </c>
    </row>
    <row r="747" spans="1:1" ht="12.75">
      <c r="A747" s="167" t="s">
        <v>9151</v>
      </c>
    </row>
    <row r="748" spans="1:1" ht="12.75">
      <c r="A748" s="167" t="s">
        <v>9152</v>
      </c>
    </row>
    <row r="749" spans="1:1" ht="12.75" hidden="1">
      <c r="A749" s="167" t="s">
        <v>8498</v>
      </c>
    </row>
    <row r="750" spans="1:1" ht="12.75" hidden="1">
      <c r="A750" s="167" t="s">
        <v>8498</v>
      </c>
    </row>
    <row r="751" spans="1:1" ht="12.75">
      <c r="A751" s="167" t="s">
        <v>9153</v>
      </c>
    </row>
    <row r="752" spans="1:1" ht="12.75">
      <c r="A752" s="167" t="s">
        <v>9154</v>
      </c>
    </row>
    <row r="753" spans="1:1" ht="12.75" hidden="1">
      <c r="A753" s="167" t="s">
        <v>8498</v>
      </c>
    </row>
    <row r="754" spans="1:1" ht="12.75" hidden="1">
      <c r="A754" s="167" t="s">
        <v>8498</v>
      </c>
    </row>
    <row r="755" spans="1:1" ht="12.75">
      <c r="A755" s="167" t="s">
        <v>9155</v>
      </c>
    </row>
    <row r="756" spans="1:1" ht="12.75">
      <c r="A756" s="167" t="s">
        <v>9156</v>
      </c>
    </row>
    <row r="757" spans="1:1" ht="12.75">
      <c r="A757" s="167" t="s">
        <v>9157</v>
      </c>
    </row>
    <row r="758" spans="1:1" ht="12.75" hidden="1">
      <c r="A758" s="167" t="s">
        <v>8498</v>
      </c>
    </row>
    <row r="759" spans="1:1" ht="12.75">
      <c r="A759" s="167" t="s">
        <v>9158</v>
      </c>
    </row>
    <row r="760" spans="1:1" ht="12.75" hidden="1">
      <c r="A760" s="167" t="s">
        <v>8498</v>
      </c>
    </row>
    <row r="761" spans="1:1" ht="12.75">
      <c r="A761" s="167" t="s">
        <v>9159</v>
      </c>
    </row>
    <row r="762" spans="1:1" ht="12.75">
      <c r="A762" s="167" t="s">
        <v>9160</v>
      </c>
    </row>
    <row r="763" spans="1:1" ht="12.75">
      <c r="A763" s="167" t="s">
        <v>9161</v>
      </c>
    </row>
    <row r="764" spans="1:1" ht="12.75">
      <c r="A764" s="167" t="s">
        <v>9162</v>
      </c>
    </row>
    <row r="765" spans="1:1" ht="12.75">
      <c r="A765" s="167" t="s">
        <v>9163</v>
      </c>
    </row>
    <row r="766" spans="1:1" ht="12.75">
      <c r="A766" s="167" t="s">
        <v>9164</v>
      </c>
    </row>
    <row r="767" spans="1:1" ht="12.75">
      <c r="A767" s="167" t="s">
        <v>9165</v>
      </c>
    </row>
    <row r="768" spans="1:1" ht="12.75">
      <c r="A768" s="167" t="s">
        <v>9166</v>
      </c>
    </row>
    <row r="769" spans="1:1" ht="12.75">
      <c r="A769" s="167" t="s">
        <v>9167</v>
      </c>
    </row>
    <row r="770" spans="1:1" ht="12.75">
      <c r="A770" s="167" t="s">
        <v>9168</v>
      </c>
    </row>
    <row r="771" spans="1:1" ht="12.75">
      <c r="A771" s="167" t="s">
        <v>9169</v>
      </c>
    </row>
    <row r="772" spans="1:1" ht="12.75">
      <c r="A772" s="167" t="s">
        <v>9170</v>
      </c>
    </row>
    <row r="773" spans="1:1" ht="12.75">
      <c r="A773" s="167" t="s">
        <v>9171</v>
      </c>
    </row>
    <row r="774" spans="1:1" ht="12.75">
      <c r="A774" s="167" t="s">
        <v>9172</v>
      </c>
    </row>
    <row r="775" spans="1:1" ht="12.75">
      <c r="A775" s="167" t="s">
        <v>9173</v>
      </c>
    </row>
    <row r="776" spans="1:1" ht="12.75" hidden="1">
      <c r="A776" s="167" t="s">
        <v>8498</v>
      </c>
    </row>
    <row r="777" spans="1:1" ht="12.75" hidden="1">
      <c r="A777" s="167" t="s">
        <v>8498</v>
      </c>
    </row>
    <row r="778" spans="1:1" ht="12.75">
      <c r="A778" s="167" t="s">
        <v>9174</v>
      </c>
    </row>
    <row r="779" spans="1:1" ht="12.75">
      <c r="A779" s="167" t="s">
        <v>9175</v>
      </c>
    </row>
    <row r="780" spans="1:1" ht="12.75">
      <c r="A780" s="167" t="s">
        <v>9176</v>
      </c>
    </row>
    <row r="781" spans="1:1" ht="12.75">
      <c r="A781" s="167" t="s">
        <v>9177</v>
      </c>
    </row>
    <row r="782" spans="1:1" ht="12.75">
      <c r="A782" s="167" t="s">
        <v>9178</v>
      </c>
    </row>
    <row r="783" spans="1:1" ht="12.75">
      <c r="A783" s="167" t="s">
        <v>9179</v>
      </c>
    </row>
    <row r="784" spans="1:1" ht="12.75">
      <c r="A784" s="167" t="s">
        <v>9180</v>
      </c>
    </row>
    <row r="785" spans="1:1" ht="12.75">
      <c r="A785" s="167" t="s">
        <v>9181</v>
      </c>
    </row>
    <row r="786" spans="1:1" ht="12.75">
      <c r="A786" s="167" t="s">
        <v>9182</v>
      </c>
    </row>
    <row r="787" spans="1:1" ht="12.75">
      <c r="A787" s="167" t="s">
        <v>9183</v>
      </c>
    </row>
    <row r="788" spans="1:1" ht="12.75">
      <c r="A788" s="167" t="s">
        <v>9184</v>
      </c>
    </row>
    <row r="789" spans="1:1" ht="12.75">
      <c r="A789" s="167" t="s">
        <v>9185</v>
      </c>
    </row>
    <row r="790" spans="1:1" ht="12.75">
      <c r="A790" s="167" t="s">
        <v>9186</v>
      </c>
    </row>
    <row r="791" spans="1:1" ht="12.75">
      <c r="A791" s="167" t="s">
        <v>9187</v>
      </c>
    </row>
    <row r="792" spans="1:1" ht="12.75">
      <c r="A792" s="167" t="s">
        <v>9188</v>
      </c>
    </row>
    <row r="793" spans="1:1" ht="12.75">
      <c r="A793" s="167" t="s">
        <v>9189</v>
      </c>
    </row>
    <row r="794" spans="1:1" ht="12.75">
      <c r="A794" s="167" t="s">
        <v>9190</v>
      </c>
    </row>
    <row r="795" spans="1:1" ht="12.75">
      <c r="A795" s="167" t="s">
        <v>9191</v>
      </c>
    </row>
    <row r="796" spans="1:1" ht="12.75">
      <c r="A796" s="167" t="s">
        <v>9192</v>
      </c>
    </row>
    <row r="797" spans="1:1" ht="12.75">
      <c r="A797" s="167" t="s">
        <v>9193</v>
      </c>
    </row>
    <row r="798" spans="1:1" ht="12.75">
      <c r="A798" s="167" t="s">
        <v>9194</v>
      </c>
    </row>
    <row r="799" spans="1:1" ht="12.75">
      <c r="A799" s="167" t="s">
        <v>9195</v>
      </c>
    </row>
    <row r="800" spans="1:1" ht="12.75">
      <c r="A800" s="167" t="s">
        <v>9196</v>
      </c>
    </row>
    <row r="801" spans="1:1" ht="12.75">
      <c r="A801" s="167" t="s">
        <v>9197</v>
      </c>
    </row>
    <row r="802" spans="1:1" ht="12.75">
      <c r="A802" s="167" t="s">
        <v>9198</v>
      </c>
    </row>
    <row r="803" spans="1:1" ht="12.75">
      <c r="A803" s="167" t="s">
        <v>9199</v>
      </c>
    </row>
    <row r="804" spans="1:1" ht="12.75">
      <c r="A804" s="167" t="s">
        <v>9200</v>
      </c>
    </row>
    <row r="805" spans="1:1" ht="12.75">
      <c r="A805" s="167" t="s">
        <v>9201</v>
      </c>
    </row>
    <row r="806" spans="1:1" ht="12.75">
      <c r="A806" s="167" t="s">
        <v>9202</v>
      </c>
    </row>
    <row r="807" spans="1:1" ht="12.75">
      <c r="A807" s="167" t="s">
        <v>9203</v>
      </c>
    </row>
    <row r="808" spans="1:1" ht="12.75">
      <c r="A808" s="167" t="s">
        <v>9204</v>
      </c>
    </row>
    <row r="809" spans="1:1" ht="12.75">
      <c r="A809" s="167" t="s">
        <v>9205</v>
      </c>
    </row>
    <row r="810" spans="1:1" ht="12.75">
      <c r="A810" s="167" t="s">
        <v>9206</v>
      </c>
    </row>
    <row r="811" spans="1:1" ht="12.75">
      <c r="A811" s="167" t="s">
        <v>9207</v>
      </c>
    </row>
    <row r="812" spans="1:1" ht="12.75">
      <c r="A812" s="167" t="s">
        <v>9208</v>
      </c>
    </row>
    <row r="813" spans="1:1" ht="12.75">
      <c r="A813" s="167" t="s">
        <v>9209</v>
      </c>
    </row>
    <row r="814" spans="1:1" ht="12.75">
      <c r="A814" s="167" t="s">
        <v>9210</v>
      </c>
    </row>
    <row r="815" spans="1:1" ht="12.75">
      <c r="A815" s="167" t="s">
        <v>9211</v>
      </c>
    </row>
    <row r="816" spans="1:1" ht="12.75">
      <c r="A816" s="167" t="s">
        <v>9212</v>
      </c>
    </row>
    <row r="817" spans="1:1" ht="12.75">
      <c r="A817" s="167" t="s">
        <v>9213</v>
      </c>
    </row>
    <row r="818" spans="1:1" ht="12.75" hidden="1">
      <c r="A818" s="167" t="s">
        <v>8498</v>
      </c>
    </row>
    <row r="819" spans="1:1" ht="12.75" hidden="1">
      <c r="A819" s="167" t="s">
        <v>8498</v>
      </c>
    </row>
    <row r="820" spans="1:1" ht="12.75" hidden="1">
      <c r="A820" s="167" t="s">
        <v>8498</v>
      </c>
    </row>
    <row r="821" spans="1:1" ht="12.75">
      <c r="A821" s="167" t="s">
        <v>9214</v>
      </c>
    </row>
    <row r="822" spans="1:1" ht="12.75">
      <c r="A822" s="167" t="s">
        <v>9215</v>
      </c>
    </row>
    <row r="823" spans="1:1" ht="12.75">
      <c r="A823" s="167" t="s">
        <v>9216</v>
      </c>
    </row>
    <row r="824" spans="1:1" ht="12.75">
      <c r="A824" s="167" t="s">
        <v>9217</v>
      </c>
    </row>
    <row r="825" spans="1:1" ht="12.75">
      <c r="A825" s="167" t="s">
        <v>9218</v>
      </c>
    </row>
    <row r="826" spans="1:1" ht="12.75">
      <c r="A826" s="167" t="s">
        <v>9219</v>
      </c>
    </row>
    <row r="827" spans="1:1" ht="12.75">
      <c r="A827" s="167" t="s">
        <v>9220</v>
      </c>
    </row>
    <row r="828" spans="1:1" ht="12.75">
      <c r="A828" s="167" t="s">
        <v>9221</v>
      </c>
    </row>
    <row r="829" spans="1:1" ht="12.75">
      <c r="A829" s="167" t="s">
        <v>9222</v>
      </c>
    </row>
    <row r="830" spans="1:1" ht="12.75">
      <c r="A830" s="167" t="s">
        <v>9223</v>
      </c>
    </row>
    <row r="831" spans="1:1" ht="12.75">
      <c r="A831" s="167" t="s">
        <v>9224</v>
      </c>
    </row>
    <row r="832" spans="1:1" ht="12.75">
      <c r="A832" s="167" t="s">
        <v>9225</v>
      </c>
    </row>
    <row r="833" spans="1:1" ht="12.75">
      <c r="A833" s="167" t="s">
        <v>9226</v>
      </c>
    </row>
    <row r="834" spans="1:1" ht="12.75">
      <c r="A834" s="167" t="s">
        <v>9227</v>
      </c>
    </row>
    <row r="835" spans="1:1" ht="12.75">
      <c r="A835" s="167" t="s">
        <v>9228</v>
      </c>
    </row>
    <row r="836" spans="1:1" ht="12.75">
      <c r="A836" s="167" t="s">
        <v>9229</v>
      </c>
    </row>
    <row r="837" spans="1:1" ht="12.75">
      <c r="A837" s="167" t="s">
        <v>9230</v>
      </c>
    </row>
    <row r="838" spans="1:1" ht="12.75">
      <c r="A838" s="167" t="s">
        <v>9231</v>
      </c>
    </row>
    <row r="839" spans="1:1" ht="12.75">
      <c r="A839" s="167" t="s">
        <v>9232</v>
      </c>
    </row>
    <row r="840" spans="1:1" ht="12.75">
      <c r="A840" s="167" t="s">
        <v>9233</v>
      </c>
    </row>
    <row r="841" spans="1:1" ht="12.75" hidden="1">
      <c r="A841" s="167" t="s">
        <v>8498</v>
      </c>
    </row>
    <row r="842" spans="1:1" ht="12.75">
      <c r="A842" s="167" t="s">
        <v>9234</v>
      </c>
    </row>
    <row r="843" spans="1:1" ht="12.75">
      <c r="A843" s="167" t="s">
        <v>9235</v>
      </c>
    </row>
    <row r="844" spans="1:1" ht="12.75">
      <c r="A844" s="167" t="s">
        <v>9236</v>
      </c>
    </row>
    <row r="845" spans="1:1" ht="12.75">
      <c r="A845" s="167" t="s">
        <v>9237</v>
      </c>
    </row>
    <row r="846" spans="1:1" ht="12.75">
      <c r="A846" s="167" t="s">
        <v>9238</v>
      </c>
    </row>
    <row r="847" spans="1:1" ht="12.75">
      <c r="A847" s="167" t="s">
        <v>9239</v>
      </c>
    </row>
    <row r="848" spans="1:1" ht="12.75">
      <c r="A848" s="167" t="s">
        <v>9240</v>
      </c>
    </row>
    <row r="849" spans="1:1" ht="12.75">
      <c r="A849" s="167" t="s">
        <v>9241</v>
      </c>
    </row>
    <row r="850" spans="1:1" ht="12.75">
      <c r="A850" s="167" t="s">
        <v>9242</v>
      </c>
    </row>
    <row r="851" spans="1:1" ht="12.75">
      <c r="A851" s="167" t="s">
        <v>9243</v>
      </c>
    </row>
    <row r="852" spans="1:1" ht="12.75">
      <c r="A852" s="167" t="s">
        <v>9244</v>
      </c>
    </row>
    <row r="853" spans="1:1" ht="12.75">
      <c r="A853" s="167" t="s">
        <v>9245</v>
      </c>
    </row>
    <row r="854" spans="1:1" ht="12.75">
      <c r="A854" s="167" t="s">
        <v>9246</v>
      </c>
    </row>
    <row r="855" spans="1:1" ht="12.75">
      <c r="A855" s="167" t="s">
        <v>9247</v>
      </c>
    </row>
    <row r="856" spans="1:1" ht="12.75">
      <c r="A856" s="167" t="s">
        <v>9248</v>
      </c>
    </row>
    <row r="857" spans="1:1" ht="12.75">
      <c r="A857" s="167" t="s">
        <v>9249</v>
      </c>
    </row>
    <row r="858" spans="1:1" ht="12.75">
      <c r="A858" s="167" t="s">
        <v>9250</v>
      </c>
    </row>
    <row r="859" spans="1:1" ht="12.75">
      <c r="A859" s="167" t="s">
        <v>9251</v>
      </c>
    </row>
    <row r="860" spans="1:1" ht="12.75">
      <c r="A860" s="167" t="s">
        <v>9252</v>
      </c>
    </row>
    <row r="861" spans="1:1" ht="12.75">
      <c r="A861" s="167" t="s">
        <v>9253</v>
      </c>
    </row>
    <row r="862" spans="1:1" ht="12.75">
      <c r="A862" s="167" t="s">
        <v>9254</v>
      </c>
    </row>
    <row r="863" spans="1:1" ht="12.75">
      <c r="A863" s="167" t="s">
        <v>9255</v>
      </c>
    </row>
    <row r="864" spans="1:1" ht="12.75">
      <c r="A864" s="167" t="s">
        <v>9256</v>
      </c>
    </row>
    <row r="865" spans="1:1" ht="12.75">
      <c r="A865" s="167" t="s">
        <v>9257</v>
      </c>
    </row>
    <row r="866" spans="1:1" ht="12.75">
      <c r="A866" s="167" t="s">
        <v>9258</v>
      </c>
    </row>
    <row r="867" spans="1:1" ht="12.75">
      <c r="A867" s="167" t="s">
        <v>9259</v>
      </c>
    </row>
    <row r="868" spans="1:1" ht="12.75">
      <c r="A868" s="167" t="s">
        <v>9260</v>
      </c>
    </row>
    <row r="869" spans="1:1" ht="12.75">
      <c r="A869" s="167" t="s">
        <v>9261</v>
      </c>
    </row>
    <row r="870" spans="1:1" ht="12.75">
      <c r="A870" s="167" t="s">
        <v>9262</v>
      </c>
    </row>
    <row r="871" spans="1:1" ht="12.75" hidden="1">
      <c r="A871" s="167" t="s">
        <v>8498</v>
      </c>
    </row>
    <row r="872" spans="1:1" ht="12.75">
      <c r="A872" s="167" t="s">
        <v>9263</v>
      </c>
    </row>
    <row r="873" spans="1:1" ht="12.75">
      <c r="A873" s="167" t="s">
        <v>9264</v>
      </c>
    </row>
    <row r="874" spans="1:1" ht="12.75">
      <c r="A874" s="167" t="s">
        <v>9265</v>
      </c>
    </row>
  </sheetData>
  <autoFilter ref="A1:A874">
    <filterColumn colId="0">
      <filters>
        <filter val="048003"/>
        <filter val="048004"/>
        <filter val="048005"/>
        <filter val="515121"/>
        <filter val="515290"/>
        <filter val="515291"/>
        <filter val="515554"/>
        <filter val="515589"/>
        <filter val="515590"/>
        <filter val="515592"/>
        <filter val="515599"/>
        <filter val="515600"/>
        <filter val="515601"/>
        <filter val="515602"/>
        <filter val="515607"/>
        <filter val="515608"/>
        <filter val="515609"/>
        <filter val="515611"/>
        <filter val="515613"/>
        <filter val="515615"/>
        <filter val="515616"/>
        <filter val="515617"/>
        <filter val="516008"/>
        <filter val="516009"/>
        <filter val="516013"/>
        <filter val="516014"/>
        <filter val="516015"/>
        <filter val="516016"/>
        <filter val="516017"/>
        <filter val="516018"/>
        <filter val="516176"/>
        <filter val="516177"/>
        <filter val="516185"/>
        <filter val="516227"/>
        <filter val="516228"/>
        <filter val="516229"/>
        <filter val="516230"/>
        <filter val="516231"/>
        <filter val="516232"/>
        <filter val="516234"/>
        <filter val="516235"/>
        <filter val="516236"/>
        <filter val="516245"/>
        <filter val="516246"/>
        <filter val="516247"/>
        <filter val="516248"/>
        <filter val="516280"/>
        <filter val="516281"/>
        <filter val="516282"/>
        <filter val="516287"/>
        <filter val="516288"/>
        <filter val="516298"/>
        <filter val="516299"/>
        <filter val="516302"/>
        <filter val="516331"/>
        <filter val="516334"/>
        <filter val="516341"/>
        <filter val="516342"/>
        <filter val="516345"/>
        <filter val="516948"/>
        <filter val="516988"/>
        <filter val="517047"/>
        <filter val="517070"/>
        <filter val="517107"/>
        <filter val="517124"/>
        <filter val="517128"/>
        <filter val="517894"/>
        <filter val="518490"/>
        <filter val="518491"/>
        <filter val="518492"/>
        <filter val="518494"/>
        <filter val="518495"/>
        <filter val="518496"/>
        <filter val="518497"/>
        <filter val="518498"/>
        <filter val="518499"/>
        <filter val="518500"/>
        <filter val="518501"/>
        <filter val="518502"/>
        <filter val="518504"/>
        <filter val="518505"/>
        <filter val="518506"/>
        <filter val="518507"/>
        <filter val="518508"/>
        <filter val="518509"/>
        <filter val="518510"/>
        <filter val="518511"/>
        <filter val="518512"/>
        <filter val="518513"/>
        <filter val="518514"/>
        <filter val="518515"/>
        <filter val="518516"/>
        <filter val="518517"/>
        <filter val="518518"/>
        <filter val="518519"/>
        <filter val="518520"/>
        <filter val="518521"/>
        <filter val="518522"/>
        <filter val="518523"/>
        <filter val="518525"/>
        <filter val="518527"/>
        <filter val="518531"/>
        <filter val="518533"/>
        <filter val="518545"/>
        <filter val="519351"/>
        <filter val="519362"/>
        <filter val="522226"/>
        <filter val="522283"/>
        <filter val="522294"/>
        <filter val="522298"/>
        <filter val="522524"/>
        <filter val="522707"/>
        <filter val="522723"/>
        <filter val="522767"/>
        <filter val="522768"/>
        <filter val="522769"/>
        <filter val="522770"/>
        <filter val="522771"/>
        <filter val="522803"/>
        <filter val="522804"/>
        <filter val="522806"/>
        <filter val="522846"/>
        <filter val="524607"/>
        <filter val="524624"/>
        <filter val="524719"/>
        <filter val="524721"/>
        <filter val="527018"/>
        <filter val="527027"/>
        <filter val="527082"/>
        <filter val="527088"/>
        <filter val="527092"/>
        <filter val="527285"/>
        <filter val="527290"/>
        <filter val="530446"/>
        <filter val="530448"/>
        <filter val="530454"/>
        <filter val="530462"/>
        <filter val="530469"/>
        <filter val="530719"/>
        <filter val="530787"/>
        <filter val="531871"/>
        <filter val="532101"/>
        <filter val="532102"/>
        <filter val="532103"/>
        <filter val="532220"/>
        <filter val="533070"/>
        <filter val="533072"/>
        <filter val="533123"/>
        <filter val="533124"/>
        <filter val="533125"/>
        <filter val="533126"/>
        <filter val="533127"/>
        <filter val="533168"/>
        <filter val="533227"/>
        <filter val="533228"/>
        <filter val="533241"/>
        <filter val="533242"/>
        <filter val="533243"/>
        <filter val="534673"/>
        <filter val="534680"/>
        <filter val="535311"/>
        <filter val="535424"/>
        <filter val="535436"/>
        <filter val="535441"/>
        <filter val="535443"/>
        <filter val="535444"/>
        <filter val="535446"/>
        <filter val="535454"/>
        <filter val="535460"/>
        <filter val="535487"/>
        <filter val="535501"/>
        <filter val="535504"/>
        <filter val="535514"/>
        <filter val="535515"/>
        <filter val="535527"/>
        <filter val="535535"/>
        <filter val="535536"/>
        <filter val="535596"/>
        <filter val="535801"/>
        <filter val="535804"/>
        <filter val="538166"/>
        <filter val="538210"/>
        <filter val="538212"/>
        <filter val="539009"/>
        <filter val="539017"/>
        <filter val="539018"/>
        <filter val="539026"/>
        <filter val="539027"/>
        <filter val="539029"/>
        <filter val="539031"/>
        <filter val="539032"/>
        <filter val="539036"/>
        <filter val="539037"/>
        <filter val="539038"/>
        <filter val="539039"/>
        <filter val="539043"/>
        <filter val="539044"/>
        <filter val="539045"/>
        <filter val="539047"/>
        <filter val="539050"/>
        <filter val="539051"/>
        <filter val="539052"/>
        <filter val="539054"/>
        <filter val="539059"/>
        <filter val="539062"/>
        <filter val="539064"/>
        <filter val="539067"/>
        <filter val="539073"/>
        <filter val="539074"/>
        <filter val="539075"/>
        <filter val="539078"/>
        <filter val="539080"/>
        <filter val="539081"/>
        <filter val="539082"/>
        <filter val="539084"/>
        <filter val="539086"/>
        <filter val="539087"/>
        <filter val="539105"/>
        <filter val="539107"/>
        <filter val="539108"/>
        <filter val="539110"/>
        <filter val="539111"/>
        <filter val="539112"/>
        <filter val="539113"/>
        <filter val="539114"/>
        <filter val="539116"/>
        <filter val="539119"/>
        <filter val="539122"/>
        <filter val="539123"/>
        <filter val="539124"/>
        <filter val="539133"/>
        <filter val="539134"/>
        <filter val="539135"/>
        <filter val="539137"/>
        <filter val="539139"/>
        <filter val="539140"/>
        <filter val="539141"/>
        <filter val="539144"/>
        <filter val="539189"/>
        <filter val="539203"/>
        <filter val="539849"/>
        <filter val="541697"/>
        <filter val="542283"/>
        <filter val="543572"/>
        <filter val="543574"/>
        <filter val="543575"/>
        <filter val="543587"/>
        <filter val="543591"/>
        <filter val="563784"/>
        <filter val="563785"/>
        <filter val="564035"/>
        <filter val="564036"/>
        <filter val="564517"/>
        <filter val="564518"/>
        <filter val="564542"/>
        <filter val="564544"/>
        <filter val="564545"/>
        <filter val="564554"/>
        <filter val="564555"/>
        <filter val="564565"/>
        <filter val="564587"/>
        <filter val="564588"/>
        <filter val="564597"/>
        <filter val="564612"/>
        <filter val="564623"/>
        <filter val="564633"/>
        <filter val="564634"/>
        <filter val="564635"/>
        <filter val="564636"/>
        <filter val="564637"/>
        <filter val="564638"/>
        <filter val="564639"/>
        <filter val="564640"/>
        <filter val="564654"/>
        <filter val="564661"/>
        <filter val="564662"/>
        <filter val="564663"/>
        <filter val="564669"/>
        <filter val="564671"/>
        <filter val="564675"/>
        <filter val="564679"/>
        <filter val="564683"/>
        <filter val="564716"/>
        <filter val="564721"/>
        <filter val="564723"/>
        <filter val="564725"/>
        <filter val="564727"/>
        <filter val="564743"/>
        <filter val="564745"/>
        <filter val="564747"/>
        <filter val="564749"/>
        <filter val="564754"/>
        <filter val="564756"/>
        <filter val="564762"/>
        <filter val="564766"/>
        <filter val="564772"/>
        <filter val="564773"/>
        <filter val="564775"/>
        <filter val="564777"/>
        <filter val="564779"/>
        <filter val="564782"/>
        <filter val="564784"/>
        <filter val="564786"/>
        <filter val="564787"/>
        <filter val="564788"/>
        <filter val="564789"/>
        <filter val="564790"/>
        <filter val="564797"/>
        <filter val="564798"/>
        <filter val="564799"/>
        <filter val="564801"/>
        <filter val="564802"/>
        <filter val="564803"/>
        <filter val="564804"/>
        <filter val="564805"/>
        <filter val="564806"/>
        <filter val="564807"/>
        <filter val="564808"/>
        <filter val="564817"/>
        <filter val="564818"/>
        <filter val="564819"/>
        <filter val="564820"/>
        <filter val="564824"/>
        <filter val="564825"/>
        <filter val="564826"/>
        <filter val="564828"/>
        <filter val="564830"/>
        <filter val="564831"/>
        <filter val="564833"/>
        <filter val="564844"/>
        <filter val="564847"/>
        <filter val="564848"/>
        <filter val="564855"/>
        <filter val="564860"/>
        <filter val="564861"/>
        <filter val="564862"/>
        <filter val="564863"/>
        <filter val="564864"/>
        <filter val="564865"/>
        <filter val="564866"/>
        <filter val="564867"/>
        <filter val="564869"/>
        <filter val="564880"/>
        <filter val="564881"/>
        <filter val="564888"/>
        <filter val="564891"/>
        <filter val="564892"/>
        <filter val="564893"/>
        <filter val="564894"/>
        <filter val="564895"/>
        <filter val="564896"/>
        <filter val="564901"/>
        <filter val="564903"/>
        <filter val="564904"/>
        <filter val="564905"/>
        <filter val="564906"/>
        <filter val="565624"/>
        <filter val="565655"/>
        <filter val="565672"/>
        <filter val="565742"/>
        <filter val="565749"/>
        <filter val="566042"/>
        <filter val="566156"/>
        <filter val="566177"/>
        <filter val="566178"/>
        <filter val="566183"/>
        <filter val="566194"/>
        <filter val="566232"/>
        <filter val="566240"/>
        <filter val="566420"/>
        <filter val="566421"/>
        <filter val="566422"/>
        <filter val="566432"/>
        <filter val="566458"/>
        <filter val="566530"/>
        <filter val="566531"/>
        <filter val="570571"/>
        <filter val="579099"/>
        <filter val="579123"/>
        <filter val="579126"/>
        <filter val="579127"/>
        <filter val="580129"/>
        <filter val="580341"/>
        <filter val="580342"/>
        <filter val="580343"/>
        <filter val="580347"/>
        <filter val="580348"/>
        <filter val="581183"/>
        <filter val="581252"/>
        <filter val="581385"/>
        <filter val="581386"/>
        <filter val="581387"/>
        <filter val="581686"/>
        <filter val="583305"/>
        <filter val="583322"/>
        <filter val="583439"/>
        <filter val="583442"/>
        <filter val="583443"/>
        <filter val="583444"/>
        <filter val="583448"/>
        <filter val="583449"/>
        <filter val="583450"/>
        <filter val="583455"/>
        <filter val="583456"/>
        <filter val="583457"/>
        <filter val="583458"/>
        <filter val="583459"/>
        <filter val="583460"/>
        <filter val="583463"/>
        <filter val="583481"/>
        <filter val="583482"/>
        <filter val="583483"/>
        <filter val="583484"/>
        <filter val="583486"/>
        <filter val="583683"/>
        <filter val="583948"/>
        <filter val="584026"/>
        <filter val="584044"/>
        <filter val="584045"/>
        <filter val="584051"/>
        <filter val="584061"/>
        <filter val="584141"/>
        <filter val="584143"/>
        <filter val="584146"/>
        <filter val="584161"/>
        <filter val="649353"/>
        <filter val="649354"/>
        <filter val="649355"/>
        <filter val="649357"/>
        <filter val="649358"/>
        <filter val="649359"/>
        <filter val="649363"/>
        <filter val="649364"/>
        <filter val="649366"/>
        <filter val="649368"/>
        <filter val="649369"/>
        <filter val="649370"/>
        <filter val="649371"/>
        <filter val="649372"/>
        <filter val="649373"/>
        <filter val="649375"/>
        <filter val="649376"/>
        <filter val="649378"/>
        <filter val="649379"/>
        <filter val="649381"/>
        <filter val="649382"/>
        <filter val="649383"/>
        <filter val="649384"/>
        <filter val="649399"/>
        <filter val="649400"/>
        <filter val="649401"/>
        <filter val="649402"/>
        <filter val="649403"/>
        <filter val="649405"/>
        <filter val="649410"/>
        <filter val="649411"/>
        <filter val="649412"/>
        <filter val="649413"/>
        <filter val="649414"/>
        <filter val="649415"/>
        <filter val="649416"/>
        <filter val="649417"/>
        <filter val="649418"/>
        <filter val="649419"/>
        <filter val="649420"/>
        <filter val="649421"/>
        <filter val="649422"/>
        <filter val="649423"/>
        <filter val="649424"/>
        <filter val="649425"/>
        <filter val="649426"/>
        <filter val="649427"/>
        <filter val="649428"/>
        <filter val="649429"/>
        <filter val="649430"/>
        <filter val="649432"/>
        <filter val="649433"/>
        <filter val="649434"/>
        <filter val="649435"/>
        <filter val="649436"/>
        <filter val="649438"/>
        <filter val="649439"/>
        <filter val="649441"/>
        <filter val="649442"/>
        <filter val="649443"/>
        <filter val="649459"/>
        <filter val="649460"/>
        <filter val="649461"/>
        <filter val="649462"/>
        <filter val="649466"/>
        <filter val="649467"/>
        <filter val="649468"/>
        <filter val="649469"/>
        <filter val="649471"/>
        <filter val="649472"/>
        <filter val="649474"/>
        <filter val="649475"/>
        <filter val="649476"/>
        <filter val="649478"/>
        <filter val="649479"/>
        <filter val="649480"/>
        <filter val="649481"/>
        <filter val="649482"/>
        <filter val="649483"/>
        <filter val="649484"/>
        <filter val="649485"/>
        <filter val="649486"/>
        <filter val="649489"/>
        <filter val="649490"/>
        <filter val="649491"/>
        <filter val="649492"/>
        <filter val="649493"/>
        <filter val="649494"/>
        <filter val="649496"/>
        <filter val="649497"/>
        <filter val="649500"/>
        <filter val="649503"/>
        <filter val="649507"/>
        <filter val="649508"/>
        <filter val="649509"/>
        <filter val="649510"/>
        <filter val="649512"/>
        <filter val="649522"/>
        <filter val="649523"/>
        <filter val="649525"/>
        <filter val="649526"/>
        <filter val="649527"/>
        <filter val="649528"/>
        <filter val="649532"/>
        <filter val="649533"/>
        <filter val="649535"/>
        <filter val="649536"/>
        <filter val="649538"/>
        <filter val="649539"/>
        <filter val="649540"/>
        <filter val="649543"/>
        <filter val="649546"/>
        <filter val="649547"/>
        <filter val="649548"/>
        <filter val="649549"/>
        <filter val="649550"/>
        <filter val="649551"/>
        <filter val="649555"/>
        <filter val="649556"/>
        <filter val="649557"/>
        <filter val="649558"/>
        <filter val="649559"/>
        <filter val="649560"/>
        <filter val="649561"/>
        <filter val="649562"/>
        <filter val="649563"/>
        <filter val="649565"/>
        <filter val="649566"/>
        <filter val="649567"/>
        <filter val="649569"/>
        <filter val="649570"/>
        <filter val="649571"/>
        <filter val="649572"/>
        <filter val="649573"/>
        <filter val="649574"/>
        <filter val="649575"/>
        <filter val="649581"/>
        <filter val="649582"/>
        <filter val="649583"/>
        <filter val="649628"/>
        <filter val="649629"/>
        <filter val="649630"/>
        <filter val="649631"/>
        <filter val="649632"/>
        <filter val="649633"/>
        <filter val="649636"/>
        <filter val="649637"/>
        <filter val="649640"/>
        <filter val="649641"/>
        <filter val="649644"/>
        <filter val="649646"/>
        <filter val="649648"/>
        <filter val="649650"/>
        <filter val="649651"/>
        <filter val="649653"/>
        <filter val="649658"/>
        <filter val="649660"/>
        <filter val="649661"/>
        <filter val="649662"/>
        <filter val="649663"/>
        <filter val="649664"/>
        <filter val="649665"/>
        <filter val="649666"/>
        <filter val="649667"/>
        <filter val="649668"/>
        <filter val="649669"/>
        <filter val="649670"/>
        <filter val="649671"/>
        <filter val="649676"/>
        <filter val="649682"/>
        <filter val="649683"/>
        <filter val="649690"/>
        <filter val="649693"/>
        <filter val="649694"/>
        <filter val="649695"/>
        <filter val="649696"/>
        <filter val="649697"/>
        <filter val="649698"/>
        <filter val="649699"/>
        <filter val="649700"/>
        <filter val="649702"/>
        <filter val="649703"/>
        <filter val="649704"/>
        <filter val="649705"/>
        <filter val="649706"/>
        <filter val="649707"/>
        <filter val="649708"/>
        <filter val="649709"/>
        <filter val="649710"/>
        <filter val="649712"/>
        <filter val="649713"/>
        <filter val="649714"/>
        <filter val="649715"/>
        <filter val="649716"/>
        <filter val="649717"/>
        <filter val="649718"/>
        <filter val="649719"/>
        <filter val="649720"/>
        <filter val="649721"/>
        <filter val="649722"/>
        <filter val="649723"/>
        <filter val="649724"/>
        <filter val="649725"/>
        <filter val="649726"/>
        <filter val="649727"/>
        <filter val="649728"/>
        <filter val="649729"/>
        <filter val="649730"/>
        <filter val="649731"/>
        <filter val="649732"/>
        <filter val="649733"/>
        <filter val="649734"/>
        <filter val="649736"/>
        <filter val="649737"/>
        <filter val="649738"/>
        <filter val="649739"/>
        <filter val="649741"/>
        <filter val="649742"/>
        <filter val="649743"/>
        <filter val="649744"/>
        <filter val="649745"/>
        <filter val="649746"/>
        <filter val="649747"/>
        <filter val="649749"/>
        <filter val="649750"/>
        <filter val="649751"/>
        <filter val="649754"/>
        <filter val="649755"/>
        <filter val="649756"/>
        <filter val="649760"/>
        <filter val="649761"/>
        <filter val="649762"/>
        <filter val="649763"/>
        <filter val="649764"/>
        <filter val="649765"/>
        <filter val="649766"/>
        <filter val="649767"/>
        <filter val="649768"/>
        <filter val="649769"/>
        <filter val="649770"/>
        <filter val="649771"/>
        <filter val="649772"/>
        <filter val="649773"/>
        <filter val="649774"/>
        <filter val="649775"/>
        <filter val="649776"/>
        <filter val="649777"/>
        <filter val="649778"/>
        <filter val="649779"/>
        <filter val="649780"/>
        <filter val="649781"/>
        <filter val="650638"/>
        <filter val="650641"/>
        <filter val="650642"/>
        <filter val="650646"/>
        <filter val="650647"/>
        <filter val="650649"/>
        <filter val="650651"/>
        <filter val="650655"/>
        <filter val="650657"/>
        <filter val="650659"/>
        <filter val="650660"/>
        <filter val="650661"/>
        <filter val="650662"/>
        <filter val="650663"/>
        <filter val="650664"/>
        <filter val="650665"/>
        <filter val="650667"/>
        <filter val="650895"/>
        <filter val="650896"/>
        <filter val="650897"/>
        <filter val="650898"/>
        <filter val="650899"/>
        <filter val="650901"/>
        <filter val="650902"/>
        <filter val="650903"/>
        <filter val="650904"/>
        <filter val="651030"/>
        <filter val="651031"/>
        <filter val="651032"/>
        <filter val="651072"/>
        <filter val="651073"/>
        <filter val="651074"/>
        <filter val="651075"/>
        <filter val="651076"/>
        <filter val="651077"/>
        <filter val="651078"/>
        <filter val="651079"/>
        <filter val="651080"/>
        <filter val="651081"/>
        <filter val="651082"/>
        <filter val="651083"/>
        <filter val="651085"/>
        <filter val="651086"/>
        <filter val="651087"/>
        <filter val="651088"/>
        <filter val="651089"/>
        <filter val="651090"/>
        <filter val="651091"/>
        <filter val="651092"/>
        <filter val="651093"/>
        <filter val="651094"/>
        <filter val="651095"/>
        <filter val="651096"/>
        <filter val="651097"/>
        <filter val="651098"/>
        <filter val="651101"/>
        <filter val="651103"/>
        <filter val="651104"/>
        <filter val="651105"/>
        <filter val="651106"/>
        <filter val="651107"/>
        <filter val="651108"/>
        <filter val="651109"/>
        <filter val="651110"/>
        <filter val="651111"/>
        <filter val="651112"/>
        <filter val="651113"/>
        <filter val="651115"/>
        <filter val="651116"/>
        <filter val="651117"/>
        <filter val="651118"/>
        <filter val="651119"/>
        <filter val="651121"/>
        <filter val="651122"/>
        <filter val="651123"/>
        <filter val="651124"/>
        <filter val="651126"/>
        <filter val="651127"/>
        <filter val="651128"/>
        <filter val="651129"/>
        <filter val="651130"/>
        <filter val="651131"/>
        <filter val="651133"/>
        <filter val="651134"/>
        <filter val="651135"/>
        <filter val="651136"/>
        <filter val="651137"/>
        <filter val="651138"/>
        <filter val="651140"/>
        <filter val="651141"/>
        <filter val="651379"/>
        <filter val="651381"/>
        <filter val="651384"/>
        <filter val="651388"/>
        <filter val="651391"/>
        <filter val="651393"/>
        <filter val="651394"/>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pageSetUpPr fitToPage="1"/>
  </sheetPr>
  <dimension ref="A1:AE1483"/>
  <sheetViews>
    <sheetView workbookViewId="0">
      <pane ySplit="1" topLeftCell="A2" activePane="bottomLeft" state="frozen"/>
      <selection pane="bottomLeft" activeCell="B3" sqref="B3"/>
    </sheetView>
  </sheetViews>
  <sheetFormatPr baseColWidth="10" defaultColWidth="12.5703125" defaultRowHeight="15.75" customHeight="1"/>
  <cols>
    <col min="1" max="1" width="9.28515625" customWidth="1"/>
    <col min="2" max="2" width="4.85546875" customWidth="1"/>
    <col min="3" max="3" width="10.42578125" customWidth="1"/>
    <col min="4" max="4" width="3.5703125" customWidth="1"/>
    <col min="5" max="5" width="13.7109375" customWidth="1"/>
    <col min="6" max="6" width="34.42578125" customWidth="1"/>
    <col min="7" max="7" width="19" hidden="1" customWidth="1"/>
    <col min="8" max="8" width="19" customWidth="1"/>
    <col min="9" max="9" width="9.7109375" hidden="1" customWidth="1"/>
    <col min="10" max="10" width="15.7109375" hidden="1" customWidth="1"/>
    <col min="11" max="11" width="11.5703125" hidden="1" customWidth="1"/>
    <col min="12" max="12" width="9.5703125" hidden="1" customWidth="1"/>
    <col min="13" max="13" width="13.85546875" hidden="1" customWidth="1"/>
    <col min="14" max="14" width="12" hidden="1" customWidth="1"/>
    <col min="15" max="16" width="12.42578125" hidden="1" customWidth="1"/>
    <col min="17" max="19" width="15.42578125" customWidth="1"/>
    <col min="20" max="20" width="26.7109375" customWidth="1"/>
    <col min="21" max="21" width="14.140625" customWidth="1"/>
    <col min="22" max="22" width="24.28515625" customWidth="1"/>
    <col min="23" max="23" width="49.7109375" customWidth="1"/>
    <col min="24" max="24" width="27.42578125" customWidth="1"/>
    <col min="25" max="25" width="32.28515625" customWidth="1"/>
    <col min="26" max="29" width="8.42578125" customWidth="1"/>
    <col min="30" max="30" width="9.140625" customWidth="1"/>
    <col min="31" max="31" width="23.140625" customWidth="1"/>
  </cols>
  <sheetData>
    <row r="1" spans="1:31" ht="71.25">
      <c r="A1" s="1" t="s">
        <v>0</v>
      </c>
      <c r="B1" s="1" t="s">
        <v>1</v>
      </c>
      <c r="C1" s="1" t="s">
        <v>2</v>
      </c>
      <c r="D1" s="1" t="s">
        <v>3</v>
      </c>
      <c r="E1" s="2" t="s">
        <v>4</v>
      </c>
      <c r="F1" s="2" t="s">
        <v>5</v>
      </c>
      <c r="G1" s="2" t="s">
        <v>6</v>
      </c>
      <c r="H1" s="2" t="s">
        <v>7</v>
      </c>
      <c r="I1" s="2"/>
      <c r="J1" s="2" t="s">
        <v>8</v>
      </c>
      <c r="K1" s="172" t="s">
        <v>9</v>
      </c>
      <c r="L1" s="2" t="s">
        <v>10</v>
      </c>
      <c r="M1" s="2" t="s">
        <v>11</v>
      </c>
      <c r="N1" s="2" t="s">
        <v>12</v>
      </c>
      <c r="O1" s="2" t="s">
        <v>13</v>
      </c>
      <c r="P1" s="2"/>
      <c r="Q1" s="2" t="s">
        <v>14</v>
      </c>
      <c r="R1" s="4" t="s">
        <v>15</v>
      </c>
      <c r="S1" s="4" t="s">
        <v>16</v>
      </c>
      <c r="T1" s="1" t="s">
        <v>17</v>
      </c>
      <c r="U1" s="4" t="s">
        <v>18</v>
      </c>
      <c r="V1" s="2" t="s">
        <v>19</v>
      </c>
      <c r="W1" s="4" t="s">
        <v>20</v>
      </c>
      <c r="X1" s="4" t="s">
        <v>21</v>
      </c>
      <c r="Y1" s="4" t="s">
        <v>8428</v>
      </c>
      <c r="Z1" s="6" t="s">
        <v>23</v>
      </c>
      <c r="AA1" s="7"/>
      <c r="AB1" s="8" t="s">
        <v>24</v>
      </c>
      <c r="AC1" s="8" t="s">
        <v>25</v>
      </c>
      <c r="AD1" s="8" t="s">
        <v>13</v>
      </c>
    </row>
    <row r="2" spans="1:31" ht="15.75" customHeight="1">
      <c r="A2" s="9" t="s">
        <v>26</v>
      </c>
      <c r="B2" s="10" t="s">
        <v>27</v>
      </c>
      <c r="C2" s="11" t="s">
        <v>28</v>
      </c>
      <c r="D2" s="12"/>
      <c r="E2" s="13" t="s">
        <v>29</v>
      </c>
      <c r="F2" s="6" t="s">
        <v>30</v>
      </c>
      <c r="G2" s="15" t="str">
        <f ca="1">IFERROR(__xludf.DUMMYFUNCTION("CONCATENATE($B2,(VLOOKUP($C2,CATALOGOS!$F$2:$H$6,3,FALSE)),(VLOOKUP($V2,CATALOGOS!$J$2:$K$18,2,FALSE)),""-"",TO_TEXT(A2))"),"P05DA-0001")</f>
        <v>P05DA-0001</v>
      </c>
      <c r="H2" s="6" t="str">
        <f ca="1">IFERROR(__xludf.DUMMYFUNCTION("CONCATENATE($B2,(VLOOKUP($C2,CATALOGOS!$F$2:$H$6,3,FALSE)),(VLOOKUP($V2,CATALOGOS!$J$2:$K$18,2,FALSE)),""-"",TO_TEXT($A2))"),"P05DA-0001")</f>
        <v>P05DA-0001</v>
      </c>
      <c r="I2" s="16" t="str">
        <f t="shared" ref="I2:I19" ca="1" si="0">H2</f>
        <v>P05DA-0001</v>
      </c>
      <c r="J2" s="6" t="s">
        <v>31</v>
      </c>
      <c r="K2" s="6" t="s">
        <v>32</v>
      </c>
      <c r="L2" s="6" t="s">
        <v>33</v>
      </c>
      <c r="M2" s="6" t="s">
        <v>34</v>
      </c>
      <c r="N2" s="17"/>
      <c r="O2" s="17"/>
      <c r="P2" s="17" t="str">
        <f t="shared" ref="P2:P26" si="1">IF(COUNTIF($M$2:$M$997,M2)&gt;1,"REPETIDO","OK")</f>
        <v>OK</v>
      </c>
      <c r="Q2" s="17" t="s">
        <v>35</v>
      </c>
      <c r="R2" s="6" t="s">
        <v>35</v>
      </c>
      <c r="S2" s="6" t="s">
        <v>36</v>
      </c>
      <c r="T2" s="10" t="s">
        <v>37</v>
      </c>
      <c r="U2" s="173" t="s">
        <v>38</v>
      </c>
      <c r="V2" s="11" t="s">
        <v>28</v>
      </c>
      <c r="W2" s="22" t="s">
        <v>40</v>
      </c>
      <c r="X2" s="22" t="s">
        <v>40</v>
      </c>
      <c r="Y2" s="22"/>
      <c r="Z2" s="6"/>
      <c r="AA2" s="6"/>
      <c r="AB2" s="23"/>
      <c r="AC2" s="24"/>
      <c r="AE2" s="25" t="s">
        <v>41</v>
      </c>
    </row>
    <row r="3" spans="1:31" ht="15.75" customHeight="1">
      <c r="A3" s="9" t="s">
        <v>42</v>
      </c>
      <c r="B3" s="10" t="s">
        <v>27</v>
      </c>
      <c r="C3" s="11" t="s">
        <v>28</v>
      </c>
      <c r="D3" s="12"/>
      <c r="E3" s="13" t="s">
        <v>43</v>
      </c>
      <c r="F3" s="6" t="s">
        <v>44</v>
      </c>
      <c r="G3" s="15" t="str">
        <f ca="1">IFERROR(__xludf.DUMMYFUNCTION("CONCATENATE(B3,(VLOOKUP(C3,CATALOGOS!$F$2:$H$6,3,FALSE)),(VLOOKUP($V3,CATALOGOS!$J$2:$K$18,2,FALSE)),""-"",TO_TEXT(A3))"),"P05DA-0002")</f>
        <v>P05DA-0002</v>
      </c>
      <c r="H3" s="6" t="str">
        <f ca="1">IFERROR(__xludf.DUMMYFUNCTION("CONCATENATE($B3,(VLOOKUP($C3,CATALOGOS!$F$2:$H$6,3,FALSE)),(VLOOKUP($V3,CATALOGOS!$J$2:$K$18,2,FALSE)),""-"",TO_TEXT($A3))"),"P05DA-0002")</f>
        <v>P05DA-0002</v>
      </c>
      <c r="I3" s="16" t="str">
        <f t="shared" ca="1" si="0"/>
        <v>P05DA-0002</v>
      </c>
      <c r="J3" s="6" t="s">
        <v>45</v>
      </c>
      <c r="K3" s="6" t="s">
        <v>46</v>
      </c>
      <c r="L3" s="6" t="s">
        <v>47</v>
      </c>
      <c r="M3" s="6" t="s">
        <v>48</v>
      </c>
      <c r="N3" s="17"/>
      <c r="O3" s="17"/>
      <c r="P3" s="17" t="str">
        <f t="shared" si="1"/>
        <v>OK</v>
      </c>
      <c r="Q3" s="17" t="s">
        <v>49</v>
      </c>
      <c r="R3" s="6">
        <v>3358</v>
      </c>
      <c r="S3" s="6" t="s">
        <v>36</v>
      </c>
      <c r="T3" s="10" t="s">
        <v>50</v>
      </c>
      <c r="U3" s="173" t="s">
        <v>38</v>
      </c>
      <c r="V3" s="11" t="s">
        <v>28</v>
      </c>
      <c r="W3" s="22" t="s">
        <v>40</v>
      </c>
      <c r="X3" s="22" t="s">
        <v>40</v>
      </c>
      <c r="Y3" s="22"/>
      <c r="AB3" s="23"/>
      <c r="AC3" s="26"/>
      <c r="AE3" s="27" t="s">
        <v>51</v>
      </c>
    </row>
    <row r="4" spans="1:31" ht="15.75" customHeight="1">
      <c r="A4" s="9" t="s">
        <v>52</v>
      </c>
      <c r="B4" s="10" t="s">
        <v>27</v>
      </c>
      <c r="C4" s="11" t="s">
        <v>28</v>
      </c>
      <c r="D4" s="12"/>
      <c r="E4" s="13" t="s">
        <v>53</v>
      </c>
      <c r="F4" s="6" t="s">
        <v>9267</v>
      </c>
      <c r="G4" s="15" t="str">
        <f ca="1">IFERROR(__xludf.DUMMYFUNCTION("CONCATENATE(B4,(VLOOKUP(C4,CATALOGOS!$F$2:$H$6,3,FALSE)),(VLOOKUP($V4,CATALOGOS!$J$2:$K$18,2,FALSE)),""-"",TO_TEXT(A4))"),"P05DA-0003")</f>
        <v>P05DA-0003</v>
      </c>
      <c r="H4" s="6" t="str">
        <f ca="1">IFERROR(__xludf.DUMMYFUNCTION("CONCATENATE($B4,(VLOOKUP($C4,CATALOGOS!$F$2:$H$6,3,FALSE)),(VLOOKUP($V4,CATALOGOS!$J$2:$K$18,2,FALSE)),""-"",TO_TEXT($A4))"),"P05DA-0003")</f>
        <v>P05DA-0003</v>
      </c>
      <c r="I4" s="16" t="str">
        <f t="shared" ca="1" si="0"/>
        <v>P05DA-0003</v>
      </c>
      <c r="J4" s="6" t="s">
        <v>55</v>
      </c>
      <c r="K4" s="6" t="s">
        <v>56</v>
      </c>
      <c r="L4" s="6" t="s">
        <v>57</v>
      </c>
      <c r="M4" s="6" t="s">
        <v>58</v>
      </c>
      <c r="N4" s="17"/>
      <c r="O4" s="17"/>
      <c r="P4" s="17" t="str">
        <f t="shared" si="1"/>
        <v>OK</v>
      </c>
      <c r="Q4" s="17" t="s">
        <v>35</v>
      </c>
      <c r="R4" s="6" t="s">
        <v>35</v>
      </c>
      <c r="S4" s="6" t="s">
        <v>36</v>
      </c>
      <c r="T4" s="10" t="s">
        <v>59</v>
      </c>
      <c r="U4" s="173" t="s">
        <v>38</v>
      </c>
      <c r="V4" s="174" t="s">
        <v>28</v>
      </c>
      <c r="W4" s="22" t="s">
        <v>40</v>
      </c>
      <c r="X4" s="22" t="s">
        <v>40</v>
      </c>
      <c r="Y4" s="22"/>
      <c r="Z4" s="6"/>
      <c r="AA4" s="6"/>
      <c r="AB4" s="23"/>
      <c r="AC4" s="24"/>
      <c r="AE4" s="29" t="s">
        <v>60</v>
      </c>
    </row>
    <row r="5" spans="1:31" ht="15.75" customHeight="1">
      <c r="A5" s="10" t="s">
        <v>61</v>
      </c>
      <c r="B5" s="10" t="s">
        <v>27</v>
      </c>
      <c r="C5" s="11" t="s">
        <v>28</v>
      </c>
      <c r="D5" s="12"/>
      <c r="E5" s="13" t="s">
        <v>62</v>
      </c>
      <c r="F5" s="6" t="s">
        <v>63</v>
      </c>
      <c r="G5" s="15" t="str">
        <f ca="1">IFERROR(__xludf.DUMMYFUNCTION("CONCATENATE(B5,(VLOOKUP(C5,CATALOGOS!$F$2:$H$6,3,FALSE)),(VLOOKUP($V5,CATALOGOS!$J$2:$K$18,2,FALSE)),""-"",TO_TEXT(A5))"),"P05DA-0004")</f>
        <v>P05DA-0004</v>
      </c>
      <c r="H5" s="6" t="str">
        <f ca="1">IFERROR(__xludf.DUMMYFUNCTION("CONCATENATE($B5,(VLOOKUP($C5,CATALOGOS!$F$2:$H$6,3,FALSE)),(VLOOKUP($V5,CATALOGOS!$J$2:$K$18,2,FALSE)),""-"",TO_TEXT($A5))"),"P05DA-0004")</f>
        <v>P05DA-0004</v>
      </c>
      <c r="I5" s="16" t="str">
        <f t="shared" ca="1" si="0"/>
        <v>P05DA-0004</v>
      </c>
      <c r="J5" s="6" t="s">
        <v>64</v>
      </c>
      <c r="K5" s="6" t="s">
        <v>65</v>
      </c>
      <c r="L5" s="6" t="s">
        <v>66</v>
      </c>
      <c r="M5" s="6" t="s">
        <v>67</v>
      </c>
      <c r="N5" s="17"/>
      <c r="O5" s="17"/>
      <c r="P5" s="17" t="str">
        <f t="shared" si="1"/>
        <v>OK</v>
      </c>
      <c r="Q5" s="17" t="s">
        <v>35</v>
      </c>
      <c r="R5" s="6" t="s">
        <v>35</v>
      </c>
      <c r="S5" s="6" t="s">
        <v>36</v>
      </c>
      <c r="T5" s="10" t="s">
        <v>68</v>
      </c>
      <c r="U5" s="173" t="s">
        <v>38</v>
      </c>
      <c r="V5" s="11" t="s">
        <v>28</v>
      </c>
      <c r="W5" s="22" t="s">
        <v>40</v>
      </c>
      <c r="X5" s="22" t="s">
        <v>40</v>
      </c>
      <c r="Y5" s="22"/>
      <c r="Z5" s="7"/>
      <c r="AA5" s="7"/>
      <c r="AB5" s="23"/>
      <c r="AC5" s="26"/>
      <c r="AE5" s="30" t="s">
        <v>69</v>
      </c>
    </row>
    <row r="6" spans="1:31" ht="15.75" customHeight="1">
      <c r="A6" s="10" t="s">
        <v>70</v>
      </c>
      <c r="B6" s="10" t="s">
        <v>27</v>
      </c>
      <c r="C6" s="11" t="s">
        <v>28</v>
      </c>
      <c r="D6" s="12"/>
      <c r="E6" s="13" t="s">
        <v>71</v>
      </c>
      <c r="F6" s="6" t="s">
        <v>72</v>
      </c>
      <c r="G6" s="15" t="str">
        <f ca="1">IFERROR(__xludf.DUMMYFUNCTION("CONCATENATE(B6,(VLOOKUP(C6,CATALOGOS!$F$2:$H$6,3,FALSE)),(VLOOKUP(V6,CATALOGOS!$J$2:$K$18,2,FALSE)),""-"",TO_TEXT(A6))"),"P05DA-0005")</f>
        <v>P05DA-0005</v>
      </c>
      <c r="H6" s="6" t="str">
        <f ca="1">IFERROR(__xludf.DUMMYFUNCTION("CONCATENATE($B6,(VLOOKUP($C6,CATALOGOS!$F$2:$H$6,3,FALSE)),(VLOOKUP($V6,CATALOGOS!$J$2:$K$18,2,FALSE)),""-"",TO_TEXT($A6))"),"P05DA-0005")</f>
        <v>P05DA-0005</v>
      </c>
      <c r="I6" s="16" t="str">
        <f t="shared" ca="1" si="0"/>
        <v>P05DA-0005</v>
      </c>
      <c r="J6" s="6" t="s">
        <v>73</v>
      </c>
      <c r="K6" s="6" t="s">
        <v>74</v>
      </c>
      <c r="L6" s="6" t="s">
        <v>75</v>
      </c>
      <c r="M6" s="6" t="s">
        <v>76</v>
      </c>
      <c r="N6" s="17"/>
      <c r="O6" s="17"/>
      <c r="P6" s="17" t="str">
        <f t="shared" si="1"/>
        <v>OK</v>
      </c>
      <c r="Q6" s="17" t="s">
        <v>35</v>
      </c>
      <c r="R6" s="6" t="s">
        <v>35</v>
      </c>
      <c r="S6" s="6" t="s">
        <v>36</v>
      </c>
      <c r="T6" s="10" t="s">
        <v>77</v>
      </c>
      <c r="U6" s="173" t="s">
        <v>38</v>
      </c>
      <c r="V6" s="11" t="s">
        <v>28</v>
      </c>
      <c r="W6" s="22" t="s">
        <v>40</v>
      </c>
      <c r="X6" s="22" t="s">
        <v>40</v>
      </c>
      <c r="Y6" s="22"/>
      <c r="Z6" s="7"/>
      <c r="AA6" s="7"/>
      <c r="AB6" s="23"/>
      <c r="AC6" s="26"/>
      <c r="AE6" s="31" t="s">
        <v>78</v>
      </c>
    </row>
    <row r="7" spans="1:31" ht="15.75" customHeight="1">
      <c r="A7" s="10" t="s">
        <v>79</v>
      </c>
      <c r="B7" s="10" t="s">
        <v>27</v>
      </c>
      <c r="C7" s="11" t="s">
        <v>28</v>
      </c>
      <c r="D7" s="12"/>
      <c r="E7" s="13" t="s">
        <v>80</v>
      </c>
      <c r="F7" s="6" t="s">
        <v>81</v>
      </c>
      <c r="G7" s="15" t="str">
        <f ca="1">IFERROR(__xludf.DUMMYFUNCTION("CONCATENATE(B7,(VLOOKUP(C7,CATALOGOS!$F$2:$H$6,3,FALSE)),(VLOOKUP(V7,CATALOGOS!$J$2:$K$18,2,FALSE)),""-"",TO_TEXT(A7))"),"P05DA-0006")</f>
        <v>P05DA-0006</v>
      </c>
      <c r="H7" s="6" t="str">
        <f ca="1">IFERROR(__xludf.DUMMYFUNCTION("CONCATENATE($B7,(VLOOKUP($C7,CATALOGOS!$F$2:$H$6,3,FALSE)),(VLOOKUP($V7,CATALOGOS!$J$2:$K$18,2,FALSE)),""-"",TO_TEXT($A7))"),"P05DA-0006")</f>
        <v>P05DA-0006</v>
      </c>
      <c r="I7" s="16" t="str">
        <f t="shared" ca="1" si="0"/>
        <v>P05DA-0006</v>
      </c>
      <c r="J7" s="6" t="s">
        <v>82</v>
      </c>
      <c r="K7" s="6" t="s">
        <v>83</v>
      </c>
      <c r="L7" s="6">
        <v>0</v>
      </c>
      <c r="M7" s="32" t="s">
        <v>84</v>
      </c>
      <c r="N7" s="17"/>
      <c r="O7" s="17"/>
      <c r="P7" s="17" t="str">
        <f t="shared" si="1"/>
        <v>OK</v>
      </c>
      <c r="Q7" s="17" t="s">
        <v>35</v>
      </c>
      <c r="R7" s="6" t="s">
        <v>35</v>
      </c>
      <c r="S7" s="6" t="s">
        <v>36</v>
      </c>
      <c r="T7" s="10" t="s">
        <v>85</v>
      </c>
      <c r="U7" s="173" t="s">
        <v>38</v>
      </c>
      <c r="V7" s="11" t="s">
        <v>28</v>
      </c>
      <c r="W7" s="22" t="s">
        <v>40</v>
      </c>
      <c r="X7" s="22" t="s">
        <v>40</v>
      </c>
      <c r="Y7" s="22"/>
      <c r="Z7" s="6"/>
      <c r="AA7" s="6"/>
      <c r="AB7" s="23"/>
      <c r="AC7" s="33"/>
      <c r="AE7" s="34" t="s">
        <v>86</v>
      </c>
    </row>
    <row r="8" spans="1:31" ht="15.75" customHeight="1">
      <c r="A8" s="10" t="s">
        <v>87</v>
      </c>
      <c r="B8" s="10" t="s">
        <v>27</v>
      </c>
      <c r="C8" s="11" t="s">
        <v>28</v>
      </c>
      <c r="D8" s="12"/>
      <c r="E8" s="13" t="s">
        <v>80</v>
      </c>
      <c r="F8" s="6" t="s">
        <v>8429</v>
      </c>
      <c r="G8" s="15" t="str">
        <f ca="1">IFERROR(__xludf.DUMMYFUNCTION("CONCATENATE(B8,(VLOOKUP(C8,CATALOGOS!$F$2:$H$6,3,FALSE)),(VLOOKUP(V8,CATALOGOS!$J$2:$K$18,2,FALSE)),""-"",TO_TEXT(A8))"),"P05DA-0007")</f>
        <v>P05DA-0007</v>
      </c>
      <c r="H8" s="6" t="str">
        <f ca="1">IFERROR(__xludf.DUMMYFUNCTION("CONCATENATE($B8,(VLOOKUP($C8,CATALOGOS!$F$2:$H$6,3,FALSE)),(VLOOKUP($V8,CATALOGOS!$J$2:$K$18,2,FALSE)),""-"",TO_TEXT($A8))"),"P05DA-0007")</f>
        <v>P05DA-0007</v>
      </c>
      <c r="I8" s="16" t="str">
        <f t="shared" ca="1" si="0"/>
        <v>P05DA-0007</v>
      </c>
      <c r="J8" s="6" t="s">
        <v>7389</v>
      </c>
      <c r="K8" s="6" t="s">
        <v>88</v>
      </c>
      <c r="L8" s="6" t="s">
        <v>89</v>
      </c>
      <c r="M8" s="6" t="s">
        <v>8430</v>
      </c>
      <c r="N8" s="17"/>
      <c r="O8" s="17"/>
      <c r="P8" s="17" t="str">
        <f t="shared" si="1"/>
        <v>OK</v>
      </c>
      <c r="Q8" s="17" t="s">
        <v>35</v>
      </c>
      <c r="R8" s="6" t="s">
        <v>35</v>
      </c>
      <c r="S8" s="6" t="s">
        <v>36</v>
      </c>
      <c r="T8" s="10" t="s">
        <v>91</v>
      </c>
      <c r="U8" s="173" t="s">
        <v>38</v>
      </c>
      <c r="V8" s="11" t="s">
        <v>28</v>
      </c>
      <c r="W8" s="22" t="s">
        <v>40</v>
      </c>
      <c r="X8" s="22" t="s">
        <v>40</v>
      </c>
      <c r="Y8" s="22"/>
      <c r="Z8" s="7"/>
      <c r="AA8" s="7"/>
      <c r="AB8" s="23"/>
      <c r="AC8" s="26"/>
      <c r="AE8" s="175" t="s">
        <v>8431</v>
      </c>
    </row>
    <row r="9" spans="1:31" ht="15.75" customHeight="1">
      <c r="A9" s="10" t="s">
        <v>92</v>
      </c>
      <c r="B9" s="10" t="s">
        <v>27</v>
      </c>
      <c r="C9" s="11" t="s">
        <v>28</v>
      </c>
      <c r="D9" s="12"/>
      <c r="E9" s="13" t="s">
        <v>93</v>
      </c>
      <c r="F9" s="6" t="s">
        <v>94</v>
      </c>
      <c r="G9" s="15" t="str">
        <f ca="1">IFERROR(__xludf.DUMMYFUNCTION("CONCATENATE(B9,(VLOOKUP(C9,CATALOGOS!$F$2:$H$6,3,FALSE)),(VLOOKUP(V9,CATALOGOS!$J$2:$K$18,2,FALSE)),""-"",TO_TEXT(A9))"),"P05DA-0008")</f>
        <v>P05DA-0008</v>
      </c>
      <c r="H9" s="6" t="str">
        <f ca="1">IFERROR(__xludf.DUMMYFUNCTION("CONCATENATE($B9,(VLOOKUP($C9,CATALOGOS!$F$2:$H$6,3,FALSE)),(VLOOKUP($V9,CATALOGOS!$J$2:$K$18,2,FALSE)),""-"",TO_TEXT($A9))"),"P05DA-0008")</f>
        <v>P05DA-0008</v>
      </c>
      <c r="I9" s="16" t="str">
        <f t="shared" ca="1" si="0"/>
        <v>P05DA-0008</v>
      </c>
      <c r="J9" s="6" t="s">
        <v>95</v>
      </c>
      <c r="K9" s="6" t="s">
        <v>96</v>
      </c>
      <c r="L9" s="6" t="s">
        <v>97</v>
      </c>
      <c r="M9" s="6" t="s">
        <v>98</v>
      </c>
      <c r="N9" s="17"/>
      <c r="O9" s="17"/>
      <c r="P9" s="17" t="str">
        <f t="shared" si="1"/>
        <v>OK</v>
      </c>
      <c r="Q9" s="17" t="s">
        <v>35</v>
      </c>
      <c r="R9" s="6" t="s">
        <v>35</v>
      </c>
      <c r="S9" s="6" t="s">
        <v>36</v>
      </c>
      <c r="T9" s="10" t="s">
        <v>99</v>
      </c>
      <c r="U9" s="173" t="s">
        <v>38</v>
      </c>
      <c r="V9" s="11" t="s">
        <v>28</v>
      </c>
      <c r="W9" s="22" t="s">
        <v>40</v>
      </c>
      <c r="X9" s="22" t="s">
        <v>40</v>
      </c>
      <c r="Y9" s="22"/>
      <c r="Z9" s="6" t="s">
        <v>101</v>
      </c>
      <c r="AA9" s="6"/>
      <c r="AB9" s="23"/>
      <c r="AC9" s="24"/>
    </row>
    <row r="10" spans="1:31" ht="15.75" customHeight="1">
      <c r="A10" s="10" t="s">
        <v>102</v>
      </c>
      <c r="B10" s="10" t="s">
        <v>27</v>
      </c>
      <c r="C10" s="11" t="s">
        <v>28</v>
      </c>
      <c r="D10" s="12"/>
      <c r="E10" s="13" t="s">
        <v>62</v>
      </c>
      <c r="F10" s="6" t="s">
        <v>103</v>
      </c>
      <c r="G10" s="15" t="str">
        <f ca="1">IFERROR(__xludf.DUMMYFUNCTION("CONCATENATE(B10,(VLOOKUP(C10,CATALOGOS!$F$2:$H$6,3,FALSE)),(VLOOKUP(V10,CATALOGOS!$J$2:$K$18,2,FALSE)),""-"",TO_TEXT(A10))"),"P05DA-0009")</f>
        <v>P05DA-0009</v>
      </c>
      <c r="H10" s="6" t="str">
        <f ca="1">IFERROR(__xludf.DUMMYFUNCTION("CONCATENATE($B10,(VLOOKUP($C10,CATALOGOS!$F$2:$H$6,3,FALSE)),(VLOOKUP($V10,CATALOGOS!$J$2:$K$18,2,FALSE)),""-"",TO_TEXT($A10))"),"P05DA-0009")</f>
        <v>P05DA-0009</v>
      </c>
      <c r="I10" s="16" t="str">
        <f t="shared" ca="1" si="0"/>
        <v>P05DA-0009</v>
      </c>
      <c r="J10" s="6" t="s">
        <v>104</v>
      </c>
      <c r="K10" s="6" t="s">
        <v>105</v>
      </c>
      <c r="L10" s="6" t="s">
        <v>106</v>
      </c>
      <c r="M10" s="6" t="s">
        <v>107</v>
      </c>
      <c r="N10" s="17"/>
      <c r="O10" s="17"/>
      <c r="P10" s="17" t="str">
        <f t="shared" si="1"/>
        <v>OK</v>
      </c>
      <c r="Q10" s="17" t="s">
        <v>35</v>
      </c>
      <c r="R10" s="6" t="s">
        <v>35</v>
      </c>
      <c r="S10" s="6" t="s">
        <v>36</v>
      </c>
      <c r="T10" s="10" t="s">
        <v>108</v>
      </c>
      <c r="U10" s="173" t="s">
        <v>38</v>
      </c>
      <c r="V10" s="11" t="s">
        <v>28</v>
      </c>
      <c r="W10" s="22" t="s">
        <v>40</v>
      </c>
      <c r="X10" s="22" t="s">
        <v>40</v>
      </c>
      <c r="Y10" s="22"/>
      <c r="Z10" s="6"/>
      <c r="AA10" s="6"/>
      <c r="AB10" s="23"/>
      <c r="AC10" s="24"/>
    </row>
    <row r="11" spans="1:31" ht="15.75" customHeight="1">
      <c r="A11" s="10" t="s">
        <v>109</v>
      </c>
      <c r="B11" s="10" t="s">
        <v>27</v>
      </c>
      <c r="C11" s="11" t="s">
        <v>28</v>
      </c>
      <c r="D11" s="12"/>
      <c r="E11" s="13" t="s">
        <v>29</v>
      </c>
      <c r="F11" s="6" t="s">
        <v>110</v>
      </c>
      <c r="G11" s="15" t="str">
        <f ca="1">IFERROR(__xludf.DUMMYFUNCTION("CONCATENATE(B11,(VLOOKUP(C11,CATALOGOS!$F$2:$H$6,3,FALSE)),(VLOOKUP(V11,CATALOGOS!$J$2:$K$18,2,FALSE)),""-"",TO_TEXT(A11))"),"P05DA-0010")</f>
        <v>P05DA-0010</v>
      </c>
      <c r="H11" s="6" t="str">
        <f ca="1">IFERROR(__xludf.DUMMYFUNCTION("CONCATENATE($B11,(VLOOKUP($C11,CATALOGOS!$F$2:$H$6,3,FALSE)),(VLOOKUP($V11,CATALOGOS!$J$2:$K$18,2,FALSE)),""-"",TO_TEXT($A11))"),"P05DA-0010")</f>
        <v>P05DA-0010</v>
      </c>
      <c r="I11" s="16" t="str">
        <f t="shared" ca="1" si="0"/>
        <v>P05DA-0010</v>
      </c>
      <c r="J11" s="6" t="s">
        <v>111</v>
      </c>
      <c r="K11" s="36"/>
      <c r="L11" s="6" t="s">
        <v>112</v>
      </c>
      <c r="M11" s="6" t="s">
        <v>113</v>
      </c>
      <c r="N11" s="17"/>
      <c r="O11" s="35"/>
      <c r="P11" s="17" t="str">
        <f t="shared" si="1"/>
        <v>OK</v>
      </c>
      <c r="Q11" s="17" t="s">
        <v>35</v>
      </c>
      <c r="R11" s="6" t="s">
        <v>35</v>
      </c>
      <c r="S11" s="6" t="s">
        <v>36</v>
      </c>
      <c r="T11" s="10" t="s">
        <v>114</v>
      </c>
      <c r="U11" s="173" t="s">
        <v>38</v>
      </c>
      <c r="V11" s="11" t="s">
        <v>28</v>
      </c>
      <c r="W11" s="22" t="s">
        <v>40</v>
      </c>
      <c r="X11" s="22" t="s">
        <v>40</v>
      </c>
      <c r="Y11" s="22"/>
      <c r="Z11" s="6"/>
      <c r="AA11" s="6"/>
      <c r="AB11" s="23"/>
      <c r="AC11" s="33"/>
    </row>
    <row r="12" spans="1:31" ht="15.75" customHeight="1">
      <c r="A12" s="10" t="s">
        <v>115</v>
      </c>
      <c r="B12" s="10" t="s">
        <v>27</v>
      </c>
      <c r="C12" s="11" t="s">
        <v>28</v>
      </c>
      <c r="D12" s="12"/>
      <c r="E12" s="13" t="s">
        <v>116</v>
      </c>
      <c r="F12" s="6" t="s">
        <v>117</v>
      </c>
      <c r="G12" s="15" t="str">
        <f ca="1">IFERROR(__xludf.DUMMYFUNCTION("CONCATENATE(B12,(VLOOKUP(C12,CATALOGOS!$F$2:$H$6,3,FALSE)),(VLOOKUP(V12,CATALOGOS!$J$2:$K$18,2,FALSE)),""-"",TO_TEXT(A12))"),"P05DA-0011")</f>
        <v>P05DA-0011</v>
      </c>
      <c r="H12" s="6" t="str">
        <f ca="1">IFERROR(__xludf.DUMMYFUNCTION("CONCATENATE($B12,(VLOOKUP($C12,CATALOGOS!$F$2:$H$6,3,FALSE)),(VLOOKUP($V12,CATALOGOS!$J$2:$K$18,2,FALSE)),""-"",TO_TEXT($A12))"),"P05DA-0011")</f>
        <v>P05DA-0011</v>
      </c>
      <c r="I12" s="16" t="str">
        <f t="shared" ca="1" si="0"/>
        <v>P05DA-0011</v>
      </c>
      <c r="J12" s="6" t="s">
        <v>118</v>
      </c>
      <c r="K12" s="37"/>
      <c r="L12" s="6" t="s">
        <v>119</v>
      </c>
      <c r="M12" s="6" t="s">
        <v>120</v>
      </c>
      <c r="N12" s="17"/>
      <c r="O12" s="17"/>
      <c r="P12" s="17" t="str">
        <f t="shared" si="1"/>
        <v>OK</v>
      </c>
      <c r="Q12" s="17" t="s">
        <v>35</v>
      </c>
      <c r="R12" s="6" t="s">
        <v>35</v>
      </c>
      <c r="S12" s="6" t="s">
        <v>36</v>
      </c>
      <c r="T12" s="10" t="s">
        <v>121</v>
      </c>
      <c r="U12" s="173" t="s">
        <v>38</v>
      </c>
      <c r="V12" s="11" t="s">
        <v>28</v>
      </c>
      <c r="W12" s="22" t="s">
        <v>40</v>
      </c>
      <c r="X12" s="22" t="s">
        <v>40</v>
      </c>
      <c r="Y12" s="22"/>
      <c r="Z12" s="6"/>
      <c r="AA12" s="6"/>
      <c r="AB12" s="23"/>
      <c r="AC12" s="33"/>
    </row>
    <row r="13" spans="1:31" ht="15.75" customHeight="1">
      <c r="A13" s="10" t="s">
        <v>122</v>
      </c>
      <c r="B13" s="10" t="s">
        <v>27</v>
      </c>
      <c r="C13" s="11" t="s">
        <v>28</v>
      </c>
      <c r="D13" s="12"/>
      <c r="E13" s="13" t="s">
        <v>116</v>
      </c>
      <c r="F13" s="6" t="s">
        <v>123</v>
      </c>
      <c r="G13" s="15" t="str">
        <f ca="1">IFERROR(__xludf.DUMMYFUNCTION("CONCATENATE(B13,(VLOOKUP(C13,CATALOGOS!$F$2:$H$6,3,FALSE)),(VLOOKUP(V13,CATALOGOS!$J$2:$K$18,2,FALSE)),""-"",TO_TEXT(A13))"),"P05DA-0012")</f>
        <v>P05DA-0012</v>
      </c>
      <c r="H13" s="6" t="str">
        <f ca="1">IFERROR(__xludf.DUMMYFUNCTION("CONCATENATE($B13,(VLOOKUP($C13,CATALOGOS!$F$2:$H$6,3,FALSE)),(VLOOKUP($V13,CATALOGOS!$J$2:$K$18,2,FALSE)),""-"",TO_TEXT($A13))"),"P05DA-0012")</f>
        <v>P05DA-0012</v>
      </c>
      <c r="I13" s="16" t="str">
        <f t="shared" ca="1" si="0"/>
        <v>P05DA-0012</v>
      </c>
      <c r="J13" s="6" t="s">
        <v>124</v>
      </c>
      <c r="K13" s="36"/>
      <c r="L13" s="6" t="s">
        <v>125</v>
      </c>
      <c r="M13" s="6" t="s">
        <v>126</v>
      </c>
      <c r="N13" s="17"/>
      <c r="O13" s="17"/>
      <c r="P13" s="17" t="str">
        <f t="shared" si="1"/>
        <v>OK</v>
      </c>
      <c r="Q13" s="17" t="s">
        <v>35</v>
      </c>
      <c r="R13" s="6" t="s">
        <v>35</v>
      </c>
      <c r="S13" s="6" t="s">
        <v>36</v>
      </c>
      <c r="T13" s="10" t="s">
        <v>127</v>
      </c>
      <c r="U13" s="173" t="s">
        <v>38</v>
      </c>
      <c r="V13" s="11" t="s">
        <v>28</v>
      </c>
      <c r="W13" s="22" t="s">
        <v>40</v>
      </c>
      <c r="X13" s="22" t="s">
        <v>40</v>
      </c>
      <c r="Y13" s="22"/>
      <c r="Z13" s="36"/>
      <c r="AA13" s="36"/>
      <c r="AB13" s="23"/>
      <c r="AC13" s="33"/>
    </row>
    <row r="14" spans="1:31" ht="15.75" customHeight="1">
      <c r="A14" s="10" t="s">
        <v>128</v>
      </c>
      <c r="B14" s="10" t="s">
        <v>27</v>
      </c>
      <c r="C14" s="11" t="s">
        <v>28</v>
      </c>
      <c r="D14" s="12"/>
      <c r="E14" s="13" t="s">
        <v>116</v>
      </c>
      <c r="F14" s="6" t="s">
        <v>129</v>
      </c>
      <c r="G14" s="15" t="str">
        <f ca="1">IFERROR(__xludf.DUMMYFUNCTION("CONCATENATE(B14,(VLOOKUP(C14,CATALOGOS!$F$2:$H$6,3,FALSE)),(VLOOKUP(V14,CATALOGOS!$J$2:$K$18,2,FALSE)),""-"",TO_TEXT(A14))"),"P05DA-0013")</f>
        <v>P05DA-0013</v>
      </c>
      <c r="H14" s="6" t="str">
        <f ca="1">IFERROR(__xludf.DUMMYFUNCTION("CONCATENATE($B14,(VLOOKUP($C14,CATALOGOS!$F$2:$H$6,3,FALSE)),(VLOOKUP($V14,CATALOGOS!$J$2:$K$18,2,FALSE)),""-"",TO_TEXT($A14))"),"P05DA-0013")</f>
        <v>P05DA-0013</v>
      </c>
      <c r="I14" s="16" t="str">
        <f t="shared" ca="1" si="0"/>
        <v>P05DA-0013</v>
      </c>
      <c r="J14" s="6" t="s">
        <v>130</v>
      </c>
      <c r="K14" s="6" t="s">
        <v>131</v>
      </c>
      <c r="L14" s="6" t="s">
        <v>132</v>
      </c>
      <c r="M14" s="6" t="s">
        <v>133</v>
      </c>
      <c r="N14" s="17"/>
      <c r="O14" s="17"/>
      <c r="P14" s="17" t="str">
        <f t="shared" si="1"/>
        <v>OK</v>
      </c>
      <c r="Q14" s="17" t="s">
        <v>35</v>
      </c>
      <c r="R14" s="6" t="s">
        <v>35</v>
      </c>
      <c r="S14" s="6" t="s">
        <v>36</v>
      </c>
      <c r="T14" s="10" t="s">
        <v>134</v>
      </c>
      <c r="U14" s="173" t="s">
        <v>38</v>
      </c>
      <c r="V14" s="11" t="s">
        <v>28</v>
      </c>
      <c r="W14" s="22" t="s">
        <v>40</v>
      </c>
      <c r="X14" s="22" t="s">
        <v>40</v>
      </c>
      <c r="Y14" s="22"/>
      <c r="Z14" s="6"/>
      <c r="AA14" s="6"/>
      <c r="AB14" s="23"/>
      <c r="AC14" s="33"/>
    </row>
    <row r="15" spans="1:31" ht="15.75" customHeight="1">
      <c r="A15" s="10" t="s">
        <v>135</v>
      </c>
      <c r="B15" s="10" t="s">
        <v>27</v>
      </c>
      <c r="C15" s="11" t="s">
        <v>28</v>
      </c>
      <c r="D15" s="12"/>
      <c r="E15" s="13" t="s">
        <v>136</v>
      </c>
      <c r="F15" s="6" t="s">
        <v>137</v>
      </c>
      <c r="G15" s="15" t="str">
        <f ca="1">IFERROR(__xludf.DUMMYFUNCTION("CONCATENATE(B15,(VLOOKUP(C15,CATALOGOS!$F$2:$H$6,3,FALSE)),(VLOOKUP(V15,CATALOGOS!$J$2:$K$18,2,FALSE)),""-"",TO_TEXT(A15))"),"P05DA-0014")</f>
        <v>P05DA-0014</v>
      </c>
      <c r="H15" s="6" t="str">
        <f ca="1">IFERROR(__xludf.DUMMYFUNCTION("CONCATENATE($B15,(VLOOKUP($C15,CATALOGOS!$F$2:$H$6,3,FALSE)),(VLOOKUP($V15,CATALOGOS!$J$2:$K$18,2,FALSE)),""-"",TO_TEXT($A15))"),"P05DA-0014")</f>
        <v>P05DA-0014</v>
      </c>
      <c r="I15" s="16" t="str">
        <f t="shared" ca="1" si="0"/>
        <v>P05DA-0014</v>
      </c>
      <c r="J15" s="6" t="s">
        <v>138</v>
      </c>
      <c r="K15" s="6" t="s">
        <v>139</v>
      </c>
      <c r="L15" s="6" t="s">
        <v>140</v>
      </c>
      <c r="M15" s="6" t="s">
        <v>141</v>
      </c>
      <c r="N15" s="17"/>
      <c r="O15" s="17"/>
      <c r="P15" s="17" t="str">
        <f t="shared" si="1"/>
        <v>REPETIDO</v>
      </c>
      <c r="Q15" s="17" t="s">
        <v>143</v>
      </c>
      <c r="R15" s="6" t="s">
        <v>144</v>
      </c>
      <c r="S15" s="6" t="s">
        <v>145</v>
      </c>
      <c r="T15" s="10" t="s">
        <v>146</v>
      </c>
      <c r="U15" s="173" t="s">
        <v>38</v>
      </c>
      <c r="V15" s="11" t="s">
        <v>28</v>
      </c>
      <c r="W15" s="22" t="s">
        <v>40</v>
      </c>
      <c r="X15" s="22" t="s">
        <v>40</v>
      </c>
      <c r="Y15" s="22"/>
      <c r="Z15" s="6"/>
      <c r="AA15" s="6" t="s">
        <v>149</v>
      </c>
      <c r="AB15" s="23"/>
      <c r="AC15" s="24"/>
    </row>
    <row r="16" spans="1:31" ht="15.75" customHeight="1">
      <c r="A16" s="10" t="s">
        <v>150</v>
      </c>
      <c r="B16" s="10" t="s">
        <v>27</v>
      </c>
      <c r="C16" s="11" t="s">
        <v>28</v>
      </c>
      <c r="D16" s="12"/>
      <c r="E16" s="13" t="s">
        <v>151</v>
      </c>
      <c r="F16" s="6" t="s">
        <v>152</v>
      </c>
      <c r="G16" s="15" t="str">
        <f ca="1">IFERROR(__xludf.DUMMYFUNCTION("CONCATENATE(B16,(VLOOKUP(C16,CATALOGOS!$F$2:$H$6,3,FALSE)),(VLOOKUP(V16,CATALOGOS!$J$2:$K$18,2,FALSE)),""-"",TO_TEXT(A16))"),"P05DA-0015")</f>
        <v>P05DA-0015</v>
      </c>
      <c r="H16" s="6" t="str">
        <f ca="1">IFERROR(__xludf.DUMMYFUNCTION("CONCATENATE($B16,(VLOOKUP($C16,CATALOGOS!$F$2:$H$6,3,FALSE)),(VLOOKUP($V16,CATALOGOS!$J$2:$K$18,2,FALSE)),""-"",TO_TEXT($A16))"),"P05DA-0015")</f>
        <v>P05DA-0015</v>
      </c>
      <c r="I16" s="16" t="str">
        <f t="shared" ca="1" si="0"/>
        <v>P05DA-0015</v>
      </c>
      <c r="J16" s="6" t="s">
        <v>153</v>
      </c>
      <c r="K16" s="6" t="s">
        <v>154</v>
      </c>
      <c r="L16" s="6" t="s">
        <v>155</v>
      </c>
      <c r="M16" s="6" t="s">
        <v>156</v>
      </c>
      <c r="N16" s="17"/>
      <c r="O16" s="17"/>
      <c r="P16" s="17" t="str">
        <f t="shared" si="1"/>
        <v>OK</v>
      </c>
      <c r="Q16" s="17" t="s">
        <v>157</v>
      </c>
      <c r="R16" s="6" t="s">
        <v>158</v>
      </c>
      <c r="S16" s="6" t="s">
        <v>159</v>
      </c>
      <c r="T16" s="10" t="s">
        <v>160</v>
      </c>
      <c r="U16" s="173" t="s">
        <v>38</v>
      </c>
      <c r="V16" s="11" t="s">
        <v>28</v>
      </c>
      <c r="W16" s="22" t="s">
        <v>40</v>
      </c>
      <c r="X16" s="22" t="s">
        <v>40</v>
      </c>
      <c r="Y16" s="22"/>
      <c r="Z16" s="6"/>
      <c r="AA16" s="6"/>
      <c r="AB16" s="23"/>
      <c r="AC16" s="24"/>
    </row>
    <row r="17" spans="1:30" ht="15.75" customHeight="1">
      <c r="A17" s="10" t="s">
        <v>161</v>
      </c>
      <c r="B17" s="10" t="s">
        <v>27</v>
      </c>
      <c r="C17" s="11" t="s">
        <v>28</v>
      </c>
      <c r="D17" s="12"/>
      <c r="E17" s="13" t="s">
        <v>162</v>
      </c>
      <c r="F17" s="6" t="s">
        <v>163</v>
      </c>
      <c r="G17" s="15" t="str">
        <f ca="1">IFERROR(__xludf.DUMMYFUNCTION("CONCATENATE(B17,(VLOOKUP(C17,CATALOGOS!$F$2:$H$6,3,FALSE)),(VLOOKUP(V17,CATALOGOS!$J$2:$K$18,2,FALSE)),""-"",TO_TEXT(A17))"),"P05DA-0016")</f>
        <v>P05DA-0016</v>
      </c>
      <c r="H17" s="6" t="str">
        <f ca="1">IFERROR(__xludf.DUMMYFUNCTION("CONCATENATE($B17,(VLOOKUP($C17,CATALOGOS!$F$2:$H$6,3,FALSE)),(VLOOKUP($V17,CATALOGOS!$J$2:$K$18,2,FALSE)),""-"",TO_TEXT($A17))"),"P05DA-0016")</f>
        <v>P05DA-0016</v>
      </c>
      <c r="I17" s="16" t="str">
        <f t="shared" ca="1" si="0"/>
        <v>P05DA-0016</v>
      </c>
      <c r="J17" s="6" t="s">
        <v>164</v>
      </c>
      <c r="K17" s="6" t="s">
        <v>165</v>
      </c>
      <c r="L17" s="6" t="s">
        <v>166</v>
      </c>
      <c r="M17" s="32" t="s">
        <v>167</v>
      </c>
      <c r="N17" s="17"/>
      <c r="O17" s="17"/>
      <c r="P17" s="17" t="str">
        <f t="shared" si="1"/>
        <v>OK</v>
      </c>
      <c r="Q17" s="17" t="s">
        <v>168</v>
      </c>
      <c r="R17" s="6" t="s">
        <v>169</v>
      </c>
      <c r="S17" s="6" t="s">
        <v>170</v>
      </c>
      <c r="T17" s="10" t="s">
        <v>171</v>
      </c>
      <c r="U17" s="173" t="s">
        <v>38</v>
      </c>
      <c r="V17" s="11" t="s">
        <v>28</v>
      </c>
      <c r="W17" s="22" t="s">
        <v>40</v>
      </c>
      <c r="X17" s="22" t="s">
        <v>40</v>
      </c>
      <c r="Y17" s="22"/>
      <c r="Z17" s="7"/>
      <c r="AA17" s="7"/>
      <c r="AB17" s="23"/>
      <c r="AC17" s="26"/>
    </row>
    <row r="18" spans="1:30" ht="15.75" customHeight="1">
      <c r="A18" s="10" t="s">
        <v>172</v>
      </c>
      <c r="B18" s="10" t="s">
        <v>27</v>
      </c>
      <c r="C18" s="11" t="s">
        <v>28</v>
      </c>
      <c r="D18" s="12"/>
      <c r="E18" s="13" t="s">
        <v>173</v>
      </c>
      <c r="F18" s="6" t="s">
        <v>174</v>
      </c>
      <c r="G18" s="15" t="str">
        <f ca="1">IFERROR(__xludf.DUMMYFUNCTION("CONCATENATE(B18,(VLOOKUP(C18,CATALOGOS!$F$2:$H$6,3,FALSE)),(VLOOKUP(V18,CATALOGOS!$J$2:$K$18,2,FALSE)),""-"",TO_TEXT(A18))"),"P05DA-0017")</f>
        <v>P05DA-0017</v>
      </c>
      <c r="H18" s="6" t="str">
        <f ca="1">IFERROR(__xludf.DUMMYFUNCTION("CONCATENATE($B18,(VLOOKUP($C18,CATALOGOS!$F$2:$H$6,3,FALSE)),(VLOOKUP($V18,CATALOGOS!$J$2:$K$18,2,FALSE)),""-"",TO_TEXT($A18))"),"P05DA-0017")</f>
        <v>P05DA-0017</v>
      </c>
      <c r="I18" s="16" t="str">
        <f t="shared" ca="1" si="0"/>
        <v>P05DA-0017</v>
      </c>
      <c r="J18" s="6" t="s">
        <v>175</v>
      </c>
      <c r="K18" s="6" t="s">
        <v>176</v>
      </c>
      <c r="L18" s="6" t="s">
        <v>177</v>
      </c>
      <c r="M18" s="6" t="s">
        <v>178</v>
      </c>
      <c r="N18" s="17"/>
      <c r="O18" s="17"/>
      <c r="P18" s="17" t="str">
        <f t="shared" si="1"/>
        <v>OK</v>
      </c>
      <c r="Q18" s="17" t="s">
        <v>179</v>
      </c>
      <c r="R18" s="6" t="s">
        <v>180</v>
      </c>
      <c r="S18" s="6" t="s">
        <v>181</v>
      </c>
      <c r="T18" s="10" t="s">
        <v>182</v>
      </c>
      <c r="U18" s="173" t="s">
        <v>38</v>
      </c>
      <c r="V18" s="11" t="s">
        <v>28</v>
      </c>
      <c r="W18" s="22" t="s">
        <v>40</v>
      </c>
      <c r="X18" s="22" t="s">
        <v>40</v>
      </c>
      <c r="Y18" s="22"/>
      <c r="Z18" s="7"/>
      <c r="AA18" s="7"/>
      <c r="AB18" s="23"/>
      <c r="AC18" s="26"/>
    </row>
    <row r="19" spans="1:30" ht="15.75" customHeight="1">
      <c r="A19" s="10" t="s">
        <v>183</v>
      </c>
      <c r="B19" s="10" t="s">
        <v>27</v>
      </c>
      <c r="C19" s="11" t="s">
        <v>28</v>
      </c>
      <c r="D19" s="12"/>
      <c r="E19" s="13" t="s">
        <v>184</v>
      </c>
      <c r="F19" s="6" t="s">
        <v>185</v>
      </c>
      <c r="G19" s="15" t="str">
        <f ca="1">IFERROR(__xludf.DUMMYFUNCTION("CONCATENATE(B19,(VLOOKUP(C19,CATALOGOS!$F$2:$H$6,3,FALSE)),(VLOOKUP(V19,CATALOGOS!$J$2:$K$18,2,FALSE)),""-"",TO_TEXT(A19))"),"P05DA-0018")</f>
        <v>P05DA-0018</v>
      </c>
      <c r="H19" s="6" t="str">
        <f ca="1">IFERROR(__xludf.DUMMYFUNCTION("CONCATENATE($B19,(VLOOKUP($C19,CATALOGOS!$F$2:$H$6,3,FALSE)),(VLOOKUP($V19,CATALOGOS!$J$2:$K$18,2,FALSE)),""-"",TO_TEXT($A19))"),"P05DA-0018")</f>
        <v>P05DA-0018</v>
      </c>
      <c r="I19" s="16" t="str">
        <f t="shared" ca="1" si="0"/>
        <v>P05DA-0018</v>
      </c>
      <c r="J19" s="6" t="s">
        <v>186</v>
      </c>
      <c r="K19" s="6" t="s">
        <v>187</v>
      </c>
      <c r="L19" s="6" t="s">
        <v>188</v>
      </c>
      <c r="M19" s="6" t="s">
        <v>189</v>
      </c>
      <c r="N19" s="17"/>
      <c r="O19" s="17"/>
      <c r="P19" s="17" t="str">
        <f t="shared" si="1"/>
        <v>OK</v>
      </c>
      <c r="Q19" s="35" t="s">
        <v>35</v>
      </c>
      <c r="R19" s="6" t="s">
        <v>35</v>
      </c>
      <c r="S19" s="10" t="s">
        <v>36</v>
      </c>
      <c r="T19" s="10" t="s">
        <v>190</v>
      </c>
      <c r="U19" s="173" t="s">
        <v>38</v>
      </c>
      <c r="V19" s="11" t="s">
        <v>28</v>
      </c>
      <c r="W19" s="22" t="s">
        <v>40</v>
      </c>
      <c r="X19" s="22" t="s">
        <v>40</v>
      </c>
      <c r="Y19" s="22"/>
      <c r="Z19" s="6"/>
      <c r="AA19" s="6"/>
      <c r="AB19" s="23"/>
      <c r="AC19" s="24"/>
    </row>
    <row r="20" spans="1:30" ht="15.75" customHeight="1">
      <c r="A20" s="10" t="s">
        <v>191</v>
      </c>
      <c r="B20" s="10" t="s">
        <v>27</v>
      </c>
      <c r="C20" s="11" t="s">
        <v>28</v>
      </c>
      <c r="D20" s="12"/>
      <c r="E20" s="13" t="s">
        <v>53</v>
      </c>
      <c r="F20" s="6" t="s">
        <v>192</v>
      </c>
      <c r="G20" s="15" t="str">
        <f ca="1">IFERROR(__xludf.DUMMYFUNCTION("CONCATENATE(B20,(VLOOKUP(C20,CATALOGOS!$F$2:$H$6,3,FALSE)),(VLOOKUP(V20,CATALOGOS!$J$2:$K$18,2,FALSE)),""-"",TO_TEXT(A20))"),"P05DA-0019")</f>
        <v>P05DA-0019</v>
      </c>
      <c r="H20" s="6" t="str">
        <f ca="1">IFERROR(__xludf.DUMMYFUNCTION("CONCATENATE($B20,(VLOOKUP($C20,CATALOGOS!$F$2:$H$6,3,FALSE)),(VLOOKUP($V20,CATALOGOS!$J$2:$K$18,2,FALSE)),""-"",TO_TEXT($A20))"),"P05DA-0019")</f>
        <v>P05DA-0019</v>
      </c>
      <c r="I20" s="6"/>
      <c r="J20" s="6" t="s">
        <v>193</v>
      </c>
      <c r="K20" s="6" t="s">
        <v>194</v>
      </c>
      <c r="L20" s="6" t="s">
        <v>195</v>
      </c>
      <c r="M20" s="6" t="s">
        <v>196</v>
      </c>
      <c r="N20" s="17"/>
      <c r="O20" s="17"/>
      <c r="P20" s="17" t="str">
        <f t="shared" si="1"/>
        <v>OK</v>
      </c>
      <c r="Q20" s="35" t="s">
        <v>35</v>
      </c>
      <c r="R20" s="6" t="s">
        <v>35</v>
      </c>
      <c r="S20" s="10" t="s">
        <v>36</v>
      </c>
      <c r="T20" s="10" t="s">
        <v>197</v>
      </c>
      <c r="U20" s="173" t="s">
        <v>38</v>
      </c>
      <c r="V20" s="11" t="s">
        <v>28</v>
      </c>
      <c r="W20" s="22" t="s">
        <v>40</v>
      </c>
      <c r="X20" s="22" t="s">
        <v>40</v>
      </c>
      <c r="Y20" s="22"/>
      <c r="Z20" s="7"/>
      <c r="AA20" s="7"/>
      <c r="AB20" s="23"/>
      <c r="AC20" s="26"/>
    </row>
    <row r="21" spans="1:30" ht="15.75" customHeight="1">
      <c r="A21" s="10" t="s">
        <v>198</v>
      </c>
      <c r="B21" s="10" t="s">
        <v>27</v>
      </c>
      <c r="C21" s="11" t="s">
        <v>28</v>
      </c>
      <c r="D21" s="12"/>
      <c r="E21" s="13" t="s">
        <v>199</v>
      </c>
      <c r="F21" s="6" t="s">
        <v>200</v>
      </c>
      <c r="G21" s="15" t="str">
        <f ca="1">IFERROR(__xludf.DUMMYFUNCTION("CONCATENATE(B21,(VLOOKUP(C21,CATALOGOS!$F$2:$H$6,3,FALSE)),(VLOOKUP(V21,CATALOGOS!$J$2:$K$18,2,FALSE)),""-"",TO_TEXT(A21))"),"P05DA-0020")</f>
        <v>P05DA-0020</v>
      </c>
      <c r="H21" s="6" t="str">
        <f ca="1">IFERROR(__xludf.DUMMYFUNCTION("CONCATENATE($B21,(VLOOKUP($C21,CATALOGOS!$F$2:$H$6,3,FALSE)),(VLOOKUP($V21,CATALOGOS!$J$2:$K$18,2,FALSE)),""-"",TO_TEXT($A21))"),"P05DA-0020")</f>
        <v>P05DA-0020</v>
      </c>
      <c r="I21" s="6"/>
      <c r="J21" s="6" t="s">
        <v>201</v>
      </c>
      <c r="K21" s="6" t="s">
        <v>202</v>
      </c>
      <c r="L21" s="6" t="s">
        <v>203</v>
      </c>
      <c r="M21" s="6" t="s">
        <v>204</v>
      </c>
      <c r="N21" s="17"/>
      <c r="O21" s="17"/>
      <c r="P21" s="17" t="str">
        <f t="shared" si="1"/>
        <v>OK</v>
      </c>
      <c r="Q21" s="17" t="s">
        <v>205</v>
      </c>
      <c r="R21" s="6" t="s">
        <v>206</v>
      </c>
      <c r="S21" s="6" t="s">
        <v>207</v>
      </c>
      <c r="T21" s="10" t="s">
        <v>208</v>
      </c>
      <c r="U21" s="173" t="s">
        <v>38</v>
      </c>
      <c r="V21" s="11" t="s">
        <v>28</v>
      </c>
      <c r="W21" s="22" t="s">
        <v>40</v>
      </c>
      <c r="X21" s="22" t="s">
        <v>40</v>
      </c>
      <c r="Y21" s="22"/>
      <c r="Z21" s="7"/>
      <c r="AA21" s="7"/>
      <c r="AB21" s="23"/>
      <c r="AC21" s="26"/>
    </row>
    <row r="22" spans="1:30" ht="15.75" customHeight="1">
      <c r="A22" s="10" t="s">
        <v>209</v>
      </c>
      <c r="B22" s="10" t="s">
        <v>27</v>
      </c>
      <c r="C22" s="11" t="s">
        <v>28</v>
      </c>
      <c r="D22" s="12"/>
      <c r="E22" s="13" t="s">
        <v>210</v>
      </c>
      <c r="F22" s="6" t="s">
        <v>211</v>
      </c>
      <c r="G22" s="15" t="str">
        <f ca="1">IFERROR(__xludf.DUMMYFUNCTION("CONCATENATE(B22,(VLOOKUP(C22,CATALOGOS!$F$2:$H$6,3,FALSE)),(VLOOKUP(V22,CATALOGOS!$J$2:$K$18,2,FALSE)),""-"",TO_TEXT(A22))"),"P05DA-0021")</f>
        <v>P05DA-0021</v>
      </c>
      <c r="H22" s="6" t="str">
        <f ca="1">IFERROR(__xludf.DUMMYFUNCTION("CONCATENATE($B22,(VLOOKUP($C22,CATALOGOS!$F$2:$H$6,3,FALSE)),(VLOOKUP($V22,CATALOGOS!$J$2:$K$18,2,FALSE)),""-"",TO_TEXT($A22))"),"P05DA-0021")</f>
        <v>P05DA-0021</v>
      </c>
      <c r="I22" s="6"/>
      <c r="J22" s="6" t="s">
        <v>212</v>
      </c>
      <c r="K22" s="6" t="s">
        <v>213</v>
      </c>
      <c r="L22" s="6" t="s">
        <v>214</v>
      </c>
      <c r="M22" s="6" t="s">
        <v>215</v>
      </c>
      <c r="N22" s="17"/>
      <c r="O22" s="17"/>
      <c r="P22" s="17" t="str">
        <f t="shared" si="1"/>
        <v>OK</v>
      </c>
      <c r="Q22" s="17" t="s">
        <v>216</v>
      </c>
      <c r="R22" s="6" t="s">
        <v>217</v>
      </c>
      <c r="S22" s="6" t="s">
        <v>218</v>
      </c>
      <c r="T22" s="10" t="s">
        <v>219</v>
      </c>
      <c r="U22" s="173" t="s">
        <v>38</v>
      </c>
      <c r="V22" s="11" t="s">
        <v>28</v>
      </c>
      <c r="W22" s="22" t="s">
        <v>40</v>
      </c>
      <c r="X22" s="22" t="s">
        <v>40</v>
      </c>
      <c r="Y22" s="22"/>
      <c r="Z22" s="7"/>
      <c r="AA22" s="7"/>
      <c r="AB22" s="23"/>
      <c r="AC22" s="26"/>
    </row>
    <row r="23" spans="1:30" ht="15.75" customHeight="1">
      <c r="A23" s="10" t="s">
        <v>220</v>
      </c>
      <c r="B23" s="10" t="s">
        <v>27</v>
      </c>
      <c r="C23" s="11" t="s">
        <v>28</v>
      </c>
      <c r="D23" s="12"/>
      <c r="E23" s="13" t="s">
        <v>184</v>
      </c>
      <c r="F23" s="6" t="s">
        <v>221</v>
      </c>
      <c r="G23" s="15" t="str">
        <f ca="1">IFERROR(__xludf.DUMMYFUNCTION("CONCATENATE(B23,(VLOOKUP(C23,CATALOGOS!$F$2:$H$6,3,FALSE)),(VLOOKUP(V23,CATALOGOS!$J$2:$K$18,2,FALSE)),""-"",TO_TEXT(A23))"),"P05DA-0022")</f>
        <v>P05DA-0022</v>
      </c>
      <c r="H23" s="6" t="str">
        <f ca="1">IFERROR(__xludf.DUMMYFUNCTION("CONCATENATE($B23,(VLOOKUP($C23,CATALOGOS!$F$2:$H$6,3,FALSE)),(VLOOKUP($V23,CATALOGOS!$J$2:$K$18,2,FALSE)),""-"",TO_TEXT($A23))"),"P05DA-0022")</f>
        <v>P05DA-0022</v>
      </c>
      <c r="I23" s="6"/>
      <c r="J23" s="6" t="s">
        <v>222</v>
      </c>
      <c r="K23" s="6" t="s">
        <v>223</v>
      </c>
      <c r="L23" s="6" t="s">
        <v>224</v>
      </c>
      <c r="M23" s="6" t="s">
        <v>225</v>
      </c>
      <c r="N23" s="17"/>
      <c r="O23" s="17"/>
      <c r="P23" s="17" t="str">
        <f t="shared" si="1"/>
        <v>OK</v>
      </c>
      <c r="Q23" s="17" t="s">
        <v>35</v>
      </c>
      <c r="R23" s="6" t="s">
        <v>35</v>
      </c>
      <c r="S23" s="6" t="s">
        <v>36</v>
      </c>
      <c r="T23" s="10" t="s">
        <v>226</v>
      </c>
      <c r="U23" s="173" t="s">
        <v>38</v>
      </c>
      <c r="V23" s="11" t="s">
        <v>28</v>
      </c>
      <c r="W23" s="22" t="s">
        <v>40</v>
      </c>
      <c r="X23" s="22" t="s">
        <v>40</v>
      </c>
      <c r="Y23" s="22"/>
      <c r="Z23" s="7"/>
      <c r="AA23" s="7"/>
      <c r="AB23" s="23"/>
      <c r="AC23" s="26"/>
    </row>
    <row r="24" spans="1:30" ht="15.75" customHeight="1">
      <c r="A24" s="10" t="s">
        <v>227</v>
      </c>
      <c r="B24" s="10" t="s">
        <v>27</v>
      </c>
      <c r="C24" s="11" t="s">
        <v>28</v>
      </c>
      <c r="D24" s="12"/>
      <c r="E24" s="13" t="s">
        <v>184</v>
      </c>
      <c r="F24" s="6" t="s">
        <v>221</v>
      </c>
      <c r="G24" s="15" t="str">
        <f ca="1">IFERROR(__xludf.DUMMYFUNCTION("CONCATENATE(B24,(VLOOKUP(C24,CATALOGOS!$F$2:$H$6,3,FALSE)),(VLOOKUP(V24,CATALOGOS!$J$2:$K$18,2,FALSE)),""-"",TO_TEXT(A24))"),"P05DA-0023")</f>
        <v>P05DA-0023</v>
      </c>
      <c r="H24" s="6" t="str">
        <f ca="1">IFERROR(__xludf.DUMMYFUNCTION("CONCATENATE($B24,(VLOOKUP($C24,CATALOGOS!$F$2:$H$6,3,FALSE)),(VLOOKUP($V24,CATALOGOS!$J$2:$K$18,2,FALSE)),""-"",TO_TEXT($A24))"),"P05DA-0023")</f>
        <v>P05DA-0023</v>
      </c>
      <c r="I24" s="6"/>
      <c r="J24" s="6" t="s">
        <v>228</v>
      </c>
      <c r="K24" s="6" t="s">
        <v>229</v>
      </c>
      <c r="L24" s="6" t="s">
        <v>230</v>
      </c>
      <c r="M24" s="6" t="s">
        <v>231</v>
      </c>
      <c r="N24" s="17"/>
      <c r="O24" s="17"/>
      <c r="P24" s="17" t="str">
        <f t="shared" si="1"/>
        <v>OK</v>
      </c>
      <c r="Q24" s="17" t="s">
        <v>35</v>
      </c>
      <c r="R24" s="6" t="s">
        <v>35</v>
      </c>
      <c r="S24" s="17" t="s">
        <v>36</v>
      </c>
      <c r="T24" s="35" t="s">
        <v>232</v>
      </c>
      <c r="U24" s="173" t="s">
        <v>38</v>
      </c>
      <c r="V24" s="11" t="s">
        <v>28</v>
      </c>
      <c r="W24" s="22" t="s">
        <v>40</v>
      </c>
      <c r="X24" s="22" t="s">
        <v>40</v>
      </c>
      <c r="Y24" s="22"/>
      <c r="Z24" s="7"/>
      <c r="AA24" s="7"/>
      <c r="AB24" s="23"/>
      <c r="AC24" s="26"/>
    </row>
    <row r="25" spans="1:30" ht="15.75" customHeight="1">
      <c r="A25" s="10" t="s">
        <v>233</v>
      </c>
      <c r="B25" s="10" t="s">
        <v>27</v>
      </c>
      <c r="C25" s="11" t="s">
        <v>28</v>
      </c>
      <c r="D25" s="12"/>
      <c r="E25" s="13" t="s">
        <v>234</v>
      </c>
      <c r="F25" s="6" t="s">
        <v>235</v>
      </c>
      <c r="G25" s="15" t="str">
        <f ca="1">IFERROR(__xludf.DUMMYFUNCTION("CONCATENATE(B25,(VLOOKUP(C25,CATALOGOS!$F$2:$H$6,3,FALSE)),(VLOOKUP(V25,CATALOGOS!$J$2:$K$18,2,FALSE)),""-"",TO_TEXT(A25))"),"P05DA-0024")</f>
        <v>P05DA-0024</v>
      </c>
      <c r="H25" s="6" t="str">
        <f ca="1">IFERROR(__xludf.DUMMYFUNCTION("CONCATENATE($B25,(VLOOKUP($C25,CATALOGOS!$F$2:$H$6,3,FALSE)),(VLOOKUP($V25,CATALOGOS!$J$2:$K$18,2,FALSE)),""-"",TO_TEXT($A25))"),"P05DA-0024")</f>
        <v>P05DA-0024</v>
      </c>
      <c r="I25" s="6"/>
      <c r="J25" s="6" t="s">
        <v>236</v>
      </c>
      <c r="K25" s="6" t="s">
        <v>237</v>
      </c>
      <c r="L25" s="6" t="s">
        <v>238</v>
      </c>
      <c r="M25" s="6" t="s">
        <v>239</v>
      </c>
      <c r="N25" s="17"/>
      <c r="O25" s="17"/>
      <c r="P25" s="17" t="str">
        <f t="shared" si="1"/>
        <v>OK</v>
      </c>
      <c r="Q25" s="17" t="s">
        <v>35</v>
      </c>
      <c r="R25" s="6" t="s">
        <v>35</v>
      </c>
      <c r="S25" s="17" t="s">
        <v>36</v>
      </c>
      <c r="T25" s="35" t="s">
        <v>240</v>
      </c>
      <c r="U25" s="173" t="s">
        <v>38</v>
      </c>
      <c r="V25" s="174" t="s">
        <v>28</v>
      </c>
      <c r="W25" s="22" t="s">
        <v>40</v>
      </c>
      <c r="X25" s="22" t="s">
        <v>40</v>
      </c>
      <c r="Y25" s="22"/>
      <c r="Z25" s="7"/>
      <c r="AA25" s="7"/>
      <c r="AB25" s="23"/>
      <c r="AC25" s="26"/>
    </row>
    <row r="26" spans="1:30" ht="15.75" customHeight="1">
      <c r="A26" s="10" t="s">
        <v>241</v>
      </c>
      <c r="B26" s="10" t="s">
        <v>27</v>
      </c>
      <c r="C26" s="11" t="s">
        <v>28</v>
      </c>
      <c r="D26" s="38"/>
      <c r="E26" s="13" t="s">
        <v>242</v>
      </c>
      <c r="F26" s="6" t="s">
        <v>242</v>
      </c>
      <c r="G26" s="15" t="str">
        <f ca="1">IFERROR(__xludf.DUMMYFUNCTION("CONCATENATE(B26,(VLOOKUP(C26,CATALOGOS!$F$2:$H$6,3,FALSE)),(VLOOKUP(V26,CATALOGOS!$J$2:$K$18,2,FALSE)),""-"",TO_TEXT(A26))"),"P05DA-0025")</f>
        <v>P05DA-0025</v>
      </c>
      <c r="H26" s="6" t="str">
        <f ca="1">IFERROR(__xludf.DUMMYFUNCTION("CONCATENATE($B26,(VLOOKUP($C26,CATALOGOS!$F$2:$H$6,3,FALSE)),(VLOOKUP($V26,CATALOGOS!$J$2:$K$18,2,FALSE)),""-"",TO_TEXT($A26))"),"P05DA-0025")</f>
        <v>P05DA-0025</v>
      </c>
      <c r="I26" s="6"/>
      <c r="J26" s="6" t="s">
        <v>243</v>
      </c>
      <c r="K26" s="6" t="s">
        <v>244</v>
      </c>
      <c r="L26" s="36"/>
      <c r="M26" s="6" t="s">
        <v>141</v>
      </c>
      <c r="N26" s="17"/>
      <c r="O26" s="17"/>
      <c r="P26" s="17" t="str">
        <f t="shared" si="1"/>
        <v>REPETIDO</v>
      </c>
      <c r="Q26" s="17" t="s">
        <v>245</v>
      </c>
      <c r="R26" s="6" t="s">
        <v>246</v>
      </c>
      <c r="S26" s="6" t="s">
        <v>36</v>
      </c>
      <c r="T26" s="10" t="s">
        <v>85</v>
      </c>
      <c r="U26" s="173" t="s">
        <v>38</v>
      </c>
      <c r="V26" s="11" t="s">
        <v>28</v>
      </c>
      <c r="W26" s="22" t="s">
        <v>40</v>
      </c>
      <c r="X26" s="22" t="s">
        <v>40</v>
      </c>
      <c r="Y26" s="22"/>
      <c r="Z26" s="7"/>
      <c r="AA26" s="7"/>
      <c r="AB26" s="26"/>
      <c r="AC26" s="26"/>
    </row>
    <row r="27" spans="1:30" ht="15.75" customHeight="1">
      <c r="A27" s="10" t="s">
        <v>247</v>
      </c>
      <c r="B27" s="10" t="s">
        <v>27</v>
      </c>
      <c r="C27" s="11" t="s">
        <v>28</v>
      </c>
      <c r="D27" s="38"/>
      <c r="E27" s="13" t="s">
        <v>248</v>
      </c>
      <c r="F27" s="6" t="s">
        <v>249</v>
      </c>
      <c r="G27" s="15" t="str">
        <f ca="1">IFERROR(__xludf.DUMMYFUNCTION("CONCATENATE(B27,(VLOOKUP(C27,CATALOGOS!$F$2:$H$6,3,FALSE)),(VLOOKUP(V27,CATALOGOS!$J$2:$K$18,2,FALSE)),""-"",TO_TEXT(A27))"),"P05DA-0026")</f>
        <v>P05DA-0026</v>
      </c>
      <c r="H27" s="6" t="str">
        <f ca="1">IFERROR(__xludf.DUMMYFUNCTION("CONCATENATE($B27,(VLOOKUP($C27,CATALOGOS!$F$2:$H$6,3,FALSE)),(VLOOKUP($V27,CATALOGOS!$J$2:$K$18,2,FALSE)),""-"",TO_TEXT($A27))"),"P05DA-0026")</f>
        <v>P05DA-0026</v>
      </c>
      <c r="I27" s="6"/>
      <c r="J27" s="6"/>
      <c r="K27" s="6"/>
      <c r="L27" s="36"/>
      <c r="M27" s="6" t="s">
        <v>141</v>
      </c>
      <c r="N27" s="17"/>
      <c r="O27" s="17"/>
      <c r="P27" s="17"/>
      <c r="Q27" s="35" t="s">
        <v>250</v>
      </c>
      <c r="R27" s="6" t="s">
        <v>251</v>
      </c>
      <c r="S27" s="6">
        <v>5827700022</v>
      </c>
      <c r="T27" s="10" t="s">
        <v>252</v>
      </c>
      <c r="U27" s="173" t="s">
        <v>38</v>
      </c>
      <c r="V27" s="11" t="s">
        <v>28</v>
      </c>
      <c r="W27" s="20" t="s">
        <v>40</v>
      </c>
      <c r="X27" s="20" t="s">
        <v>40</v>
      </c>
      <c r="Y27" s="20"/>
      <c r="Z27" s="7"/>
      <c r="AA27" s="7"/>
      <c r="AB27" s="26"/>
      <c r="AC27" s="26"/>
    </row>
    <row r="28" spans="1:30" ht="15.75" customHeight="1">
      <c r="A28" s="10" t="s">
        <v>253</v>
      </c>
      <c r="B28" s="10" t="s">
        <v>27</v>
      </c>
      <c r="C28" s="11" t="s">
        <v>28</v>
      </c>
      <c r="D28" s="12"/>
      <c r="E28" s="13" t="s">
        <v>184</v>
      </c>
      <c r="F28" s="6" t="s">
        <v>254</v>
      </c>
      <c r="G28" s="6" t="str">
        <f ca="1">IFERROR(__xludf.DUMMYFUNCTION("CONCATENATE(B28,(VLOOKUP(C28,CATALOGOS!$F$2:$H$6,3,FALSE)),(VLOOKUP(V28,CATALOGOS!$J$2:$K$18,2,FALSE)),""-"",TO_TEXT(A28))"),"P05RM-0027")</f>
        <v>P05RM-0027</v>
      </c>
      <c r="H28" s="6" t="str">
        <f ca="1">IFERROR(__xludf.DUMMYFUNCTION("CONCATENATE($B28,(VLOOKUP($C28,CATALOGOS!$F$2:$H$6,3,FALSE)),(VLOOKUP($V28,CATALOGOS!$J$2:$K$18,2,FALSE)),""-"",TO_TEXT($A28))"),"P05RM-0027")</f>
        <v>P05RM-0027</v>
      </c>
      <c r="I28" s="6"/>
      <c r="J28" s="6" t="s">
        <v>255</v>
      </c>
      <c r="K28" s="6" t="s">
        <v>256</v>
      </c>
      <c r="L28" s="6" t="s">
        <v>257</v>
      </c>
      <c r="M28" s="6" t="s">
        <v>258</v>
      </c>
      <c r="N28" s="17"/>
      <c r="O28" s="17"/>
      <c r="P28" s="17" t="str">
        <f t="shared" ref="P28:P430" si="2">IF(COUNTIF($M$2:$M$997,M28)&gt;1,"REPETIDO","OK")</f>
        <v>OK</v>
      </c>
      <c r="Q28" s="17" t="s">
        <v>35</v>
      </c>
      <c r="R28" s="6" t="s">
        <v>35</v>
      </c>
      <c r="S28" s="17" t="s">
        <v>36</v>
      </c>
      <c r="T28" s="35" t="s">
        <v>259</v>
      </c>
      <c r="U28" s="173" t="s">
        <v>38</v>
      </c>
      <c r="V28" s="11" t="s">
        <v>147</v>
      </c>
      <c r="W28" s="20" t="s">
        <v>260</v>
      </c>
      <c r="X28" s="20" t="s">
        <v>260</v>
      </c>
      <c r="Y28" s="20"/>
      <c r="Z28" s="7"/>
      <c r="AA28" s="7"/>
      <c r="AB28" s="23"/>
      <c r="AC28" s="26"/>
    </row>
    <row r="29" spans="1:30" ht="15.75" customHeight="1">
      <c r="A29" s="10" t="s">
        <v>262</v>
      </c>
      <c r="B29" s="10" t="s">
        <v>27</v>
      </c>
      <c r="C29" s="11" t="s">
        <v>28</v>
      </c>
      <c r="D29" s="12"/>
      <c r="E29" s="13" t="s">
        <v>116</v>
      </c>
      <c r="F29" s="6" t="s">
        <v>263</v>
      </c>
      <c r="G29" s="15" t="str">
        <f ca="1">IFERROR(__xludf.DUMMYFUNCTION("CONCATENATE(B29,(VLOOKUP(C29,CATALOGOS!$F$2:$H$6,3,FALSE)),(VLOOKUP(V29,CATALOGOS!$J$2:$K$18,2,FALSE)),""-"",TO_TEXT(A29))"),"P05DA-0028")</f>
        <v>P05DA-0028</v>
      </c>
      <c r="H29" s="6" t="str">
        <f ca="1">IFERROR(__xludf.DUMMYFUNCTION("CONCATENATE($B29,(VLOOKUP($C29,CATALOGOS!$F$2:$H$6,3,FALSE)),(VLOOKUP($V29,CATALOGOS!$J$2:$K$18,2,FALSE)),""-"",TO_TEXT($A29))"),"P05DA-0028")</f>
        <v>P05DA-0028</v>
      </c>
      <c r="I29" s="6"/>
      <c r="J29" s="6" t="s">
        <v>264</v>
      </c>
      <c r="K29" s="6" t="s">
        <v>265</v>
      </c>
      <c r="L29" s="6" t="s">
        <v>266</v>
      </c>
      <c r="M29" s="6" t="s">
        <v>267</v>
      </c>
      <c r="N29" s="17"/>
      <c r="O29" s="17"/>
      <c r="P29" s="17" t="str">
        <f t="shared" si="2"/>
        <v>OK</v>
      </c>
      <c r="Q29" s="17" t="s">
        <v>35</v>
      </c>
      <c r="R29" s="6" t="s">
        <v>35</v>
      </c>
      <c r="S29" s="17" t="s">
        <v>36</v>
      </c>
      <c r="T29" s="35" t="s">
        <v>268</v>
      </c>
      <c r="U29" s="173" t="s">
        <v>38</v>
      </c>
      <c r="V29" s="11" t="s">
        <v>28</v>
      </c>
      <c r="W29" s="22" t="s">
        <v>39</v>
      </c>
      <c r="X29" s="22" t="s">
        <v>39</v>
      </c>
      <c r="Y29" s="22"/>
      <c r="Z29" s="7"/>
      <c r="AA29" s="7"/>
      <c r="AB29" s="23"/>
      <c r="AC29" s="26"/>
    </row>
    <row r="30" spans="1:30" ht="15.75" customHeight="1">
      <c r="A30" s="10" t="s">
        <v>269</v>
      </c>
      <c r="B30" s="10" t="s">
        <v>27</v>
      </c>
      <c r="C30" s="11" t="s">
        <v>28</v>
      </c>
      <c r="D30" s="12"/>
      <c r="E30" s="13" t="s">
        <v>199</v>
      </c>
      <c r="F30" s="6" t="s">
        <v>199</v>
      </c>
      <c r="G30" s="15" t="str">
        <f ca="1">IFERROR(__xludf.DUMMYFUNCTION("CONCATENATE(B30,(VLOOKUP(C30,CATALOGOS!$F$2:$H$6,3,FALSE)),(VLOOKUP(V30,CATALOGOS!$J$2:$K$18,2,FALSE)),""-"",TO_TEXT(A30))"),"P05DA-0029")</f>
        <v>P05DA-0029</v>
      </c>
      <c r="H30" s="6" t="str">
        <f ca="1">IFERROR(__xludf.DUMMYFUNCTION("CONCATENATE($B30,(VLOOKUP($C30,CATALOGOS!$F$2:$H$6,3,FALSE)),(VLOOKUP($V30,CATALOGOS!$J$2:$K$18,2,FALSE)),""-"",TO_TEXT($A30))"),"P05DA-0029")</f>
        <v>P05DA-0029</v>
      </c>
      <c r="I30" s="6"/>
      <c r="J30" s="6" t="s">
        <v>270</v>
      </c>
      <c r="K30" s="6" t="s">
        <v>271</v>
      </c>
      <c r="L30" s="36"/>
      <c r="M30" s="6" t="s">
        <v>272</v>
      </c>
      <c r="N30" s="17"/>
      <c r="O30" s="17"/>
      <c r="P30" s="17" t="str">
        <f t="shared" si="2"/>
        <v>OK</v>
      </c>
      <c r="Q30" s="17" t="s">
        <v>273</v>
      </c>
      <c r="R30" s="6" t="s">
        <v>274</v>
      </c>
      <c r="S30" s="6">
        <v>11392903015651</v>
      </c>
      <c r="T30" s="10" t="s">
        <v>85</v>
      </c>
      <c r="U30" s="173" t="s">
        <v>38</v>
      </c>
      <c r="V30" s="11" t="s">
        <v>28</v>
      </c>
      <c r="W30" s="22" t="s">
        <v>39</v>
      </c>
      <c r="X30" s="22" t="s">
        <v>39</v>
      </c>
      <c r="Y30" s="22"/>
      <c r="Z30" s="6"/>
      <c r="AA30" s="6"/>
      <c r="AB30" s="41" t="s">
        <v>275</v>
      </c>
      <c r="AC30" s="42">
        <v>44403</v>
      </c>
      <c r="AD30" s="8" t="s">
        <v>276</v>
      </c>
    </row>
    <row r="31" spans="1:30" ht="15.75" customHeight="1">
      <c r="A31" s="10" t="s">
        <v>277</v>
      </c>
      <c r="B31" s="10" t="s">
        <v>27</v>
      </c>
      <c r="C31" s="11" t="s">
        <v>28</v>
      </c>
      <c r="D31" s="12"/>
      <c r="E31" s="13" t="s">
        <v>278</v>
      </c>
      <c r="F31" s="43" t="s">
        <v>278</v>
      </c>
      <c r="G31" s="15" t="str">
        <f ca="1">IFERROR(__xludf.DUMMYFUNCTION("CONCATENATE(B31,(VLOOKUP(C31,CATALOGOS!$F$2:$H$6,3,FALSE)),(VLOOKUP(V31,CATALOGOS!$J$2:$K$18,2,FALSE)),""-"",TO_TEXT(A31))"),"P05DA-0030")</f>
        <v>P05DA-0030</v>
      </c>
      <c r="H31" s="6" t="str">
        <f ca="1">IFERROR(__xludf.DUMMYFUNCTION("CONCATENATE($B31,(VLOOKUP($C31,CATALOGOS!$F$2:$H$6,3,FALSE)),(VLOOKUP($V31,CATALOGOS!$J$2:$K$18,2,FALSE)),""-"",TO_TEXT($A31))"),"P05DA-0030")</f>
        <v>P05DA-0030</v>
      </c>
      <c r="I31" s="6"/>
      <c r="J31" s="6" t="s">
        <v>279</v>
      </c>
      <c r="K31" s="6" t="s">
        <v>280</v>
      </c>
      <c r="L31" s="6" t="s">
        <v>8432</v>
      </c>
      <c r="M31" s="6" t="s">
        <v>282</v>
      </c>
      <c r="N31" s="17"/>
      <c r="O31" s="17"/>
      <c r="P31" s="17" t="str">
        <f t="shared" si="2"/>
        <v>OK</v>
      </c>
      <c r="Q31" s="17" t="s">
        <v>35</v>
      </c>
      <c r="R31" s="6" t="s">
        <v>35</v>
      </c>
      <c r="S31" s="17" t="s">
        <v>36</v>
      </c>
      <c r="T31" s="35" t="s">
        <v>283</v>
      </c>
      <c r="U31" s="173" t="s">
        <v>38</v>
      </c>
      <c r="V31" s="11" t="s">
        <v>28</v>
      </c>
      <c r="W31" s="22" t="s">
        <v>39</v>
      </c>
      <c r="X31" s="22" t="s">
        <v>39</v>
      </c>
      <c r="Y31" s="22"/>
      <c r="Z31" s="7"/>
      <c r="AA31" s="7"/>
      <c r="AB31" s="23"/>
      <c r="AC31" s="26"/>
    </row>
    <row r="32" spans="1:30" ht="15.75" customHeight="1">
      <c r="A32" s="10" t="s">
        <v>284</v>
      </c>
      <c r="B32" s="10" t="s">
        <v>27</v>
      </c>
      <c r="C32" s="11" t="s">
        <v>28</v>
      </c>
      <c r="D32" s="12"/>
      <c r="E32" s="13" t="s">
        <v>162</v>
      </c>
      <c r="F32" s="6" t="s">
        <v>285</v>
      </c>
      <c r="G32" s="15" t="str">
        <f ca="1">IFERROR(__xludf.DUMMYFUNCTION("CONCATENATE(B32,(VLOOKUP(C32,CATALOGOS!$F$2:$H$6,3,FALSE)),(VLOOKUP(V32,CATALOGOS!$J$2:$K$18,2,FALSE)),""-"",TO_TEXT(A32))"),"P05DA-0031")</f>
        <v>P05DA-0031</v>
      </c>
      <c r="H32" s="6" t="str">
        <f ca="1">IFERROR(__xludf.DUMMYFUNCTION("CONCATENATE($B32,(VLOOKUP($C32,CATALOGOS!$F$2:$H$6,3,FALSE)),(VLOOKUP($V32,CATALOGOS!$J$2:$K$18,2,FALSE)),""-"",TO_TEXT($A32))"),"P05DA-0031")</f>
        <v>P05DA-0031</v>
      </c>
      <c r="I32" s="6"/>
      <c r="J32" s="6" t="s">
        <v>286</v>
      </c>
      <c r="K32" s="6" t="s">
        <v>287</v>
      </c>
      <c r="L32" s="6" t="s">
        <v>288</v>
      </c>
      <c r="M32" s="6" t="s">
        <v>289</v>
      </c>
      <c r="N32" s="17"/>
      <c r="O32" s="17"/>
      <c r="P32" s="17" t="str">
        <f t="shared" si="2"/>
        <v>OK</v>
      </c>
      <c r="Q32" s="17" t="s">
        <v>168</v>
      </c>
      <c r="R32" s="6" t="s">
        <v>169</v>
      </c>
      <c r="S32" s="17" t="s">
        <v>290</v>
      </c>
      <c r="T32" s="35" t="s">
        <v>291</v>
      </c>
      <c r="U32" s="173" t="s">
        <v>38</v>
      </c>
      <c r="V32" s="11" t="s">
        <v>28</v>
      </c>
      <c r="W32" s="22" t="s">
        <v>39</v>
      </c>
      <c r="X32" s="22" t="s">
        <v>39</v>
      </c>
      <c r="Y32" s="22"/>
      <c r="Z32" s="7"/>
      <c r="AA32" s="7"/>
      <c r="AB32" s="23"/>
      <c r="AC32" s="26"/>
    </row>
    <row r="33" spans="1:30" ht="15.75" customHeight="1">
      <c r="A33" s="10" t="s">
        <v>292</v>
      </c>
      <c r="B33" s="10" t="s">
        <v>27</v>
      </c>
      <c r="C33" s="11" t="s">
        <v>28</v>
      </c>
      <c r="D33" s="12"/>
      <c r="E33" s="13" t="s">
        <v>151</v>
      </c>
      <c r="F33" s="6" t="s">
        <v>293</v>
      </c>
      <c r="G33" s="15" t="str">
        <f ca="1">IFERROR(__xludf.DUMMYFUNCTION("CONCATENATE(B33,(VLOOKUP(C33,CATALOGOS!$F$2:$H$6,3,FALSE)),(VLOOKUP(V33,CATALOGOS!$J$2:$K$18,2,FALSE)),""-"",TO_TEXT(A33))"),"P05DA-0032")</f>
        <v>P05DA-0032</v>
      </c>
      <c r="H33" s="6" t="str">
        <f ca="1">IFERROR(__xludf.DUMMYFUNCTION("CONCATENATE($B33,(VLOOKUP($C33,CATALOGOS!$F$2:$H$6,3,FALSE)),(VLOOKUP($V33,CATALOGOS!$J$2:$K$18,2,FALSE)),""-"",TO_TEXT($A33))"),"P05DA-0032")</f>
        <v>P05DA-0032</v>
      </c>
      <c r="I33" s="6"/>
      <c r="J33" s="6" t="s">
        <v>294</v>
      </c>
      <c r="K33" s="6" t="s">
        <v>295</v>
      </c>
      <c r="L33" s="36"/>
      <c r="M33" s="6" t="s">
        <v>296</v>
      </c>
      <c r="N33" s="17"/>
      <c r="O33" s="17"/>
      <c r="P33" s="17" t="str">
        <f t="shared" si="2"/>
        <v>OK</v>
      </c>
      <c r="Q33" s="17" t="s">
        <v>297</v>
      </c>
      <c r="R33" s="6" t="s">
        <v>298</v>
      </c>
      <c r="S33" s="6" t="s">
        <v>299</v>
      </c>
      <c r="T33" s="10" t="s">
        <v>85</v>
      </c>
      <c r="U33" s="173" t="s">
        <v>38</v>
      </c>
      <c r="V33" s="11" t="s">
        <v>28</v>
      </c>
      <c r="W33" s="22" t="s">
        <v>39</v>
      </c>
      <c r="X33" s="22" t="s">
        <v>39</v>
      </c>
      <c r="Y33" s="22"/>
      <c r="Z33" s="6"/>
      <c r="AA33" s="6"/>
      <c r="AB33" s="41" t="s">
        <v>275</v>
      </c>
      <c r="AC33" s="42">
        <v>44403</v>
      </c>
      <c r="AD33" s="8">
        <v>0</v>
      </c>
    </row>
    <row r="34" spans="1:30" ht="15.75" customHeight="1">
      <c r="A34" s="10" t="s">
        <v>300</v>
      </c>
      <c r="B34" s="10" t="s">
        <v>27</v>
      </c>
      <c r="C34" s="11" t="s">
        <v>28</v>
      </c>
      <c r="D34" s="12"/>
      <c r="E34" s="13" t="s">
        <v>248</v>
      </c>
      <c r="F34" s="6" t="s">
        <v>248</v>
      </c>
      <c r="G34" s="15" t="str">
        <f ca="1">IFERROR(__xludf.DUMMYFUNCTION("CONCATENATE(B34,(VLOOKUP(C34,CATALOGOS!$F$2:$H$6,3,FALSE)),(VLOOKUP(V34,CATALOGOS!$J$2:$K$18,2,FALSE)),""-"",TO_TEXT(A34))"),"P05DA-0033")</f>
        <v>P05DA-0033</v>
      </c>
      <c r="H34" s="6" t="str">
        <f ca="1">IFERROR(__xludf.DUMMYFUNCTION("CONCATENATE($B34,(VLOOKUP($C34,CATALOGOS!$F$2:$H$6,3,FALSE)),(VLOOKUP($V34,CATALOGOS!$J$2:$K$18,2,FALSE)),""-"",TO_TEXT($A34))"),"P05DA-0033")</f>
        <v>P05DA-0033</v>
      </c>
      <c r="I34" s="6"/>
      <c r="J34" s="6" t="s">
        <v>301</v>
      </c>
      <c r="K34" s="6" t="s">
        <v>302</v>
      </c>
      <c r="L34" s="36"/>
      <c r="M34" s="6" t="s">
        <v>141</v>
      </c>
      <c r="N34" s="44"/>
      <c r="O34" s="17"/>
      <c r="P34" s="17" t="str">
        <f t="shared" si="2"/>
        <v>REPETIDO</v>
      </c>
      <c r="Q34" s="17" t="s">
        <v>303</v>
      </c>
      <c r="R34" s="6" t="s">
        <v>304</v>
      </c>
      <c r="S34" s="6" t="s">
        <v>305</v>
      </c>
      <c r="T34" s="10" t="s">
        <v>306</v>
      </c>
      <c r="U34" s="173" t="s">
        <v>38</v>
      </c>
      <c r="V34" s="11" t="s">
        <v>28</v>
      </c>
      <c r="W34" s="22" t="s">
        <v>39</v>
      </c>
      <c r="X34" s="22" t="s">
        <v>39</v>
      </c>
      <c r="Y34" s="22"/>
      <c r="Z34" s="7"/>
      <c r="AA34" s="7"/>
      <c r="AB34" s="23"/>
      <c r="AC34" s="26"/>
    </row>
    <row r="35" spans="1:30" ht="15.75" customHeight="1">
      <c r="A35" s="10" t="s">
        <v>307</v>
      </c>
      <c r="B35" s="10" t="s">
        <v>27</v>
      </c>
      <c r="C35" s="11" t="s">
        <v>28</v>
      </c>
      <c r="D35" s="12"/>
      <c r="E35" s="13" t="s">
        <v>93</v>
      </c>
      <c r="F35" s="6" t="s">
        <v>308</v>
      </c>
      <c r="G35" s="15" t="str">
        <f ca="1">IFERROR(__xludf.DUMMYFUNCTION("CONCATENATE(B35,(VLOOKUP(C35,CATALOGOS!$F$2:$H$6,3,FALSE)),(VLOOKUP(V35,CATALOGOS!$J$2:$K$18,2,FALSE)),""-"",TO_TEXT(A35))"),"P05DA-0034")</f>
        <v>P05DA-0034</v>
      </c>
      <c r="H35" s="6" t="str">
        <f ca="1">IFERROR(__xludf.DUMMYFUNCTION("CONCATENATE($B35,(VLOOKUP($C35,CATALOGOS!$F$2:$H$6,3,FALSE)),(VLOOKUP($V35,CATALOGOS!$J$2:$K$18,2,FALSE)),""-"",TO_TEXT($A35))"),"P05DA-0034")</f>
        <v>P05DA-0034</v>
      </c>
      <c r="I35" s="6"/>
      <c r="J35" s="6" t="s">
        <v>309</v>
      </c>
      <c r="K35" s="6" t="s">
        <v>310</v>
      </c>
      <c r="L35" s="6" t="s">
        <v>311</v>
      </c>
      <c r="M35" s="6" t="s">
        <v>312</v>
      </c>
      <c r="N35" s="17"/>
      <c r="O35" s="17"/>
      <c r="P35" s="17" t="str">
        <f t="shared" si="2"/>
        <v>OK</v>
      </c>
      <c r="Q35" s="17" t="s">
        <v>35</v>
      </c>
      <c r="R35" s="6" t="s">
        <v>35</v>
      </c>
      <c r="S35" s="17" t="s">
        <v>36</v>
      </c>
      <c r="T35" s="35" t="s">
        <v>313</v>
      </c>
      <c r="U35" s="173" t="s">
        <v>38</v>
      </c>
      <c r="V35" s="11" t="s">
        <v>28</v>
      </c>
      <c r="W35" s="22" t="s">
        <v>39</v>
      </c>
      <c r="X35" s="22" t="s">
        <v>39</v>
      </c>
      <c r="Y35" s="22"/>
      <c r="Z35" s="7"/>
      <c r="AA35" s="7"/>
      <c r="AB35" s="23"/>
      <c r="AC35" s="26"/>
    </row>
    <row r="36" spans="1:30" ht="15.75" customHeight="1">
      <c r="A36" s="10" t="s">
        <v>314</v>
      </c>
      <c r="B36" s="10" t="s">
        <v>27</v>
      </c>
      <c r="C36" s="11" t="s">
        <v>28</v>
      </c>
      <c r="D36" s="12"/>
      <c r="E36" s="13" t="s">
        <v>43</v>
      </c>
      <c r="F36" s="6" t="s">
        <v>315</v>
      </c>
      <c r="G36" s="15" t="str">
        <f ca="1">IFERROR(__xludf.DUMMYFUNCTION("CONCATENATE(B36,(VLOOKUP(C36,CATALOGOS!$F$2:$H$6,3,FALSE)),(VLOOKUP(V36,CATALOGOS!$J$2:$K$18,2,FALSE)),""-"",TO_TEXT(A36))"),"P05DA-0035")</f>
        <v>P05DA-0035</v>
      </c>
      <c r="H36" s="6" t="str">
        <f ca="1">IFERROR(__xludf.DUMMYFUNCTION("CONCATENATE($B36,(VLOOKUP($C36,CATALOGOS!$F$2:$H$6,3,FALSE)),(VLOOKUP($V36,CATALOGOS!$J$2:$K$18,2,FALSE)),""-"",TO_TEXT($A36))"),"P05DA-0035")</f>
        <v>P05DA-0035</v>
      </c>
      <c r="I36" s="6"/>
      <c r="J36" s="6" t="s">
        <v>316</v>
      </c>
      <c r="K36" s="6" t="s">
        <v>317</v>
      </c>
      <c r="L36" s="36"/>
      <c r="M36" s="6" t="s">
        <v>141</v>
      </c>
      <c r="N36" s="17"/>
      <c r="O36" s="17"/>
      <c r="P36" s="17" t="str">
        <f t="shared" si="2"/>
        <v>REPETIDO</v>
      </c>
      <c r="Q36" s="17" t="s">
        <v>318</v>
      </c>
      <c r="R36" s="6">
        <v>10188</v>
      </c>
      <c r="S36" s="6" t="s">
        <v>36</v>
      </c>
      <c r="T36" s="10" t="s">
        <v>319</v>
      </c>
      <c r="U36" s="173" t="s">
        <v>38</v>
      </c>
      <c r="V36" s="11" t="s">
        <v>28</v>
      </c>
      <c r="W36" s="22" t="s">
        <v>39</v>
      </c>
      <c r="X36" s="22" t="s">
        <v>39</v>
      </c>
      <c r="Y36" s="22"/>
      <c r="Z36" s="7"/>
      <c r="AA36" s="7"/>
      <c r="AB36" s="23"/>
      <c r="AC36" s="26"/>
    </row>
    <row r="37" spans="1:30" ht="15.75" customHeight="1">
      <c r="A37" s="10" t="s">
        <v>320</v>
      </c>
      <c r="B37" s="10" t="s">
        <v>27</v>
      </c>
      <c r="C37" s="11" t="s">
        <v>28</v>
      </c>
      <c r="D37" s="38"/>
      <c r="E37" s="13" t="s">
        <v>321</v>
      </c>
      <c r="F37" s="6" t="s">
        <v>322</v>
      </c>
      <c r="G37" s="15" t="str">
        <f ca="1">IFERROR(__xludf.DUMMYFUNCTION("CONCATENATE(B37,(VLOOKUP(C37,CATALOGOS!$F$2:$H$6,3,FALSE)),(VLOOKUP(V37,CATALOGOS!$J$2:$K$18,2,FALSE)),""-"",TO_TEXT(A37))"),"P05DA-0036")</f>
        <v>P05DA-0036</v>
      </c>
      <c r="H37" s="6" t="str">
        <f ca="1">IFERROR(__xludf.DUMMYFUNCTION("CONCATENATE($B37,(VLOOKUP($C37,CATALOGOS!$F$2:$H$6,3,FALSE)),(VLOOKUP($V37,CATALOGOS!$J$2:$K$18,2,FALSE)),""-"",TO_TEXT($A37))"),"P05DA-0036")</f>
        <v>P05DA-0036</v>
      </c>
      <c r="I37" s="6"/>
      <c r="J37" s="6" t="s">
        <v>323</v>
      </c>
      <c r="K37" s="6" t="s">
        <v>324</v>
      </c>
      <c r="L37" s="36"/>
      <c r="M37" s="6" t="s">
        <v>141</v>
      </c>
      <c r="N37" s="17"/>
      <c r="O37" s="17"/>
      <c r="P37" s="17" t="str">
        <f t="shared" si="2"/>
        <v>REPETIDO</v>
      </c>
      <c r="Q37" s="17" t="s">
        <v>325</v>
      </c>
      <c r="R37" s="6" t="s">
        <v>326</v>
      </c>
      <c r="S37" s="6" t="s">
        <v>36</v>
      </c>
      <c r="T37" s="32" t="s">
        <v>85</v>
      </c>
      <c r="U37" s="173" t="s">
        <v>38</v>
      </c>
      <c r="V37" s="11" t="s">
        <v>28</v>
      </c>
      <c r="W37" s="22" t="s">
        <v>39</v>
      </c>
      <c r="X37" s="22" t="s">
        <v>39</v>
      </c>
      <c r="Y37" s="22"/>
      <c r="Z37" s="7"/>
      <c r="AA37" s="7"/>
      <c r="AB37" s="26"/>
      <c r="AC37" s="26"/>
    </row>
    <row r="38" spans="1:30" ht="15.75" customHeight="1">
      <c r="A38" s="10" t="s">
        <v>327</v>
      </c>
      <c r="B38" s="10" t="s">
        <v>27</v>
      </c>
      <c r="C38" s="11" t="s">
        <v>28</v>
      </c>
      <c r="D38" s="12"/>
      <c r="E38" s="13" t="s">
        <v>151</v>
      </c>
      <c r="F38" s="6" t="s">
        <v>293</v>
      </c>
      <c r="G38" s="15" t="str">
        <f ca="1">IFERROR(__xludf.DUMMYFUNCTION("CONCATENATE(B38,(VLOOKUP(C38,CATALOGOS!$F$2:$H$6,3,FALSE)),(VLOOKUP(V38,CATALOGOS!$J$2:$K$18,2,FALSE)),""-"",TO_TEXT(A38))"),"P05DA-0037")</f>
        <v>P05DA-0037</v>
      </c>
      <c r="H38" s="6" t="str">
        <f ca="1">IFERROR(__xludf.DUMMYFUNCTION("CONCATENATE($B38,(VLOOKUP($C38,CATALOGOS!$F$2:$H$6,3,FALSE)),(VLOOKUP($V38,CATALOGOS!$J$2:$K$18,2,FALSE)),""-"",TO_TEXT($A38))"),"P05DA-0037")</f>
        <v>P05DA-0037</v>
      </c>
      <c r="I38" s="6"/>
      <c r="J38" s="6" t="s">
        <v>328</v>
      </c>
      <c r="K38" s="6" t="s">
        <v>329</v>
      </c>
      <c r="L38" s="36"/>
      <c r="M38" s="6" t="s">
        <v>330</v>
      </c>
      <c r="N38" s="17"/>
      <c r="O38" s="17"/>
      <c r="P38" s="17" t="str">
        <f t="shared" si="2"/>
        <v>OK</v>
      </c>
      <c r="Q38" s="17" t="s">
        <v>297</v>
      </c>
      <c r="R38" s="6" t="s">
        <v>298</v>
      </c>
      <c r="S38" s="6" t="s">
        <v>331</v>
      </c>
      <c r="T38" s="10" t="s">
        <v>85</v>
      </c>
      <c r="U38" s="173" t="s">
        <v>38</v>
      </c>
      <c r="V38" s="11" t="s">
        <v>28</v>
      </c>
      <c r="W38" s="22" t="s">
        <v>332</v>
      </c>
      <c r="X38" s="22" t="s">
        <v>332</v>
      </c>
      <c r="Y38" s="22"/>
      <c r="Z38" s="6"/>
      <c r="AA38" s="6"/>
      <c r="AB38" s="41" t="s">
        <v>92</v>
      </c>
      <c r="AC38" s="42">
        <v>44348</v>
      </c>
      <c r="AD38" s="45">
        <v>0</v>
      </c>
    </row>
    <row r="39" spans="1:30" ht="15.75" customHeight="1">
      <c r="A39" s="10" t="s">
        <v>333</v>
      </c>
      <c r="B39" s="10" t="s">
        <v>27</v>
      </c>
      <c r="C39" s="11" t="s">
        <v>28</v>
      </c>
      <c r="D39" s="12"/>
      <c r="E39" s="13" t="s">
        <v>162</v>
      </c>
      <c r="F39" s="6" t="s">
        <v>285</v>
      </c>
      <c r="G39" s="15" t="str">
        <f ca="1">IFERROR(__xludf.DUMMYFUNCTION("CONCATENATE(B39,(VLOOKUP(C39,CATALOGOS!$F$2:$H$6,3,FALSE)),(VLOOKUP(V39,CATALOGOS!$J$2:$K$18,2,FALSE)),""-"",TO_TEXT(A39))"),"P05DA-0038")</f>
        <v>P05DA-0038</v>
      </c>
      <c r="H39" s="6" t="str">
        <f ca="1">IFERROR(__xludf.DUMMYFUNCTION("CONCATENATE($B39,(VLOOKUP($C39,CATALOGOS!$F$2:$H$6,3,FALSE)),(VLOOKUP($V39,CATALOGOS!$J$2:$K$18,2,FALSE)),""-"",TO_TEXT($A39))"),"P05DA-0038")</f>
        <v>P05DA-0038</v>
      </c>
      <c r="I39" s="6"/>
      <c r="J39" s="6" t="s">
        <v>334</v>
      </c>
      <c r="K39" s="6" t="s">
        <v>335</v>
      </c>
      <c r="L39" s="6" t="s">
        <v>336</v>
      </c>
      <c r="M39" s="6" t="s">
        <v>337</v>
      </c>
      <c r="N39" s="17"/>
      <c r="O39" s="17"/>
      <c r="P39" s="17" t="str">
        <f t="shared" si="2"/>
        <v>OK</v>
      </c>
      <c r="Q39" s="17" t="s">
        <v>168</v>
      </c>
      <c r="R39" s="6" t="s">
        <v>169</v>
      </c>
      <c r="S39" s="17" t="s">
        <v>338</v>
      </c>
      <c r="T39" s="35" t="s">
        <v>339</v>
      </c>
      <c r="U39" s="173" t="s">
        <v>38</v>
      </c>
      <c r="V39" s="11" t="s">
        <v>28</v>
      </c>
      <c r="W39" s="22" t="s">
        <v>332</v>
      </c>
      <c r="X39" s="22" t="s">
        <v>332</v>
      </c>
      <c r="Y39" s="22"/>
      <c r="Z39" s="7"/>
      <c r="AA39" s="7"/>
      <c r="AB39" s="23"/>
      <c r="AC39" s="26"/>
    </row>
    <row r="40" spans="1:30" ht="15.75" customHeight="1">
      <c r="A40" s="10" t="s">
        <v>341</v>
      </c>
      <c r="B40" s="10" t="s">
        <v>27</v>
      </c>
      <c r="C40" s="11" t="s">
        <v>28</v>
      </c>
      <c r="D40" s="12"/>
      <c r="E40" s="13" t="s">
        <v>199</v>
      </c>
      <c r="F40" s="6" t="s">
        <v>199</v>
      </c>
      <c r="G40" s="15" t="str">
        <f ca="1">IFERROR(__xludf.DUMMYFUNCTION("CONCATENATE(B40,(VLOOKUP(C40,CATALOGOS!$F$2:$H$6,3,FALSE)),(VLOOKUP(V40,CATALOGOS!$J$2:$K$18,2,FALSE)),""-"",TO_TEXT(A40))"),"P05DA-0039")</f>
        <v>P05DA-0039</v>
      </c>
      <c r="H40" s="6" t="str">
        <f ca="1">IFERROR(__xludf.DUMMYFUNCTION("CONCATENATE($B40,(VLOOKUP($C40,CATALOGOS!$F$2:$H$6,3,FALSE)),(VLOOKUP($V40,CATALOGOS!$J$2:$K$18,2,FALSE)),""-"",TO_TEXT($A40))"),"P05DA-0039")</f>
        <v>P05DA-0039</v>
      </c>
      <c r="I40" s="6"/>
      <c r="J40" s="6" t="s">
        <v>342</v>
      </c>
      <c r="K40" s="6" t="s">
        <v>343</v>
      </c>
      <c r="L40" s="36"/>
      <c r="M40" s="6" t="s">
        <v>344</v>
      </c>
      <c r="N40" s="17"/>
      <c r="O40" s="17"/>
      <c r="P40" s="17" t="str">
        <f t="shared" si="2"/>
        <v>OK</v>
      </c>
      <c r="Q40" s="17" t="s">
        <v>273</v>
      </c>
      <c r="R40" s="6" t="s">
        <v>274</v>
      </c>
      <c r="S40" s="6">
        <v>11392903011586</v>
      </c>
      <c r="T40" s="10" t="s">
        <v>85</v>
      </c>
      <c r="U40" s="173" t="s">
        <v>38</v>
      </c>
      <c r="V40" s="11" t="s">
        <v>28</v>
      </c>
      <c r="W40" s="22" t="s">
        <v>332</v>
      </c>
      <c r="X40" s="22" t="s">
        <v>332</v>
      </c>
      <c r="Y40" s="22"/>
      <c r="Z40" s="6"/>
      <c r="AA40" s="6"/>
      <c r="AB40" s="41" t="s">
        <v>92</v>
      </c>
      <c r="AC40" s="42">
        <v>44348</v>
      </c>
      <c r="AD40" s="8" t="s">
        <v>276</v>
      </c>
    </row>
    <row r="41" spans="1:30" ht="15.75" customHeight="1">
      <c r="A41" s="10" t="s">
        <v>345</v>
      </c>
      <c r="B41" s="10" t="s">
        <v>27</v>
      </c>
      <c r="C41" s="11" t="s">
        <v>28</v>
      </c>
      <c r="D41" s="12"/>
      <c r="E41" s="13" t="s">
        <v>62</v>
      </c>
      <c r="F41" s="6" t="s">
        <v>346</v>
      </c>
      <c r="G41" s="15" t="str">
        <f ca="1">IFERROR(__xludf.DUMMYFUNCTION("CONCATENATE(B41,(VLOOKUP(C41,CATALOGOS!$F$2:$H$6,3,FALSE)),(VLOOKUP(V41,CATALOGOS!$J$2:$K$18,2,FALSE)),""-"",TO_TEXT(A41))"),"P05DA-0040")</f>
        <v>P05DA-0040</v>
      </c>
      <c r="H41" s="6" t="str">
        <f ca="1">IFERROR(__xludf.DUMMYFUNCTION("CONCATENATE($B41,(VLOOKUP($C41,CATALOGOS!$F$2:$H$6,3,FALSE)),(VLOOKUP($V41,CATALOGOS!$J$2:$K$18,2,FALSE)),""-"",TO_TEXT($A41))"),"P05DA-0040")</f>
        <v>P05DA-0040</v>
      </c>
      <c r="I41" s="6"/>
      <c r="J41" s="6" t="s">
        <v>347</v>
      </c>
      <c r="K41" s="6" t="s">
        <v>348</v>
      </c>
      <c r="L41" s="6" t="s">
        <v>349</v>
      </c>
      <c r="M41" s="6" t="s">
        <v>350</v>
      </c>
      <c r="N41" s="17"/>
      <c r="O41" s="17"/>
      <c r="P41" s="17" t="str">
        <f t="shared" si="2"/>
        <v>OK</v>
      </c>
      <c r="Q41" s="17" t="s">
        <v>35</v>
      </c>
      <c r="R41" s="6" t="s">
        <v>35</v>
      </c>
      <c r="S41" s="35" t="s">
        <v>36</v>
      </c>
      <c r="T41" s="35" t="s">
        <v>351</v>
      </c>
      <c r="U41" s="173" t="s">
        <v>38</v>
      </c>
      <c r="V41" s="11" t="s">
        <v>28</v>
      </c>
      <c r="W41" s="22" t="s">
        <v>332</v>
      </c>
      <c r="X41" s="22" t="s">
        <v>332</v>
      </c>
      <c r="Y41" s="22"/>
      <c r="Z41" s="7"/>
      <c r="AA41" s="7"/>
      <c r="AB41" s="23"/>
      <c r="AC41" s="26"/>
    </row>
    <row r="42" spans="1:30" ht="15.75" customHeight="1">
      <c r="A42" s="10" t="s">
        <v>352</v>
      </c>
      <c r="B42" s="10" t="s">
        <v>27</v>
      </c>
      <c r="C42" s="11" t="s">
        <v>28</v>
      </c>
      <c r="D42" s="12"/>
      <c r="E42" s="13" t="s">
        <v>353</v>
      </c>
      <c r="F42" s="6" t="s">
        <v>354</v>
      </c>
      <c r="G42" s="15" t="str">
        <f ca="1">IFERROR(__xludf.DUMMYFUNCTION("CONCATENATE(B42,(VLOOKUP(C42,CATALOGOS!$F$2:$H$6,3,FALSE)),(VLOOKUP(V42,CATALOGOS!$J$2:$K$18,2,FALSE)),""-"",TO_TEXT(A42))"),"P05DA-0041")</f>
        <v>P05DA-0041</v>
      </c>
      <c r="H42" s="6" t="str">
        <f ca="1">IFERROR(__xludf.DUMMYFUNCTION("CONCATENATE($B42,(VLOOKUP($C42,CATALOGOS!$F$2:$H$6,3,FALSE)),(VLOOKUP($V42,CATALOGOS!$J$2:$K$18,2,FALSE)),""-"",TO_TEXT($A42))"),"P05DA-0041")</f>
        <v>P05DA-0041</v>
      </c>
      <c r="I42" s="6"/>
      <c r="J42" s="6" t="s">
        <v>355</v>
      </c>
      <c r="K42" s="6" t="s">
        <v>356</v>
      </c>
      <c r="L42" s="6" t="s">
        <v>357</v>
      </c>
      <c r="M42" s="6" t="s">
        <v>358</v>
      </c>
      <c r="N42" s="17"/>
      <c r="O42" s="17"/>
      <c r="P42" s="17" t="str">
        <f t="shared" si="2"/>
        <v>OK</v>
      </c>
      <c r="Q42" s="17" t="s">
        <v>359</v>
      </c>
      <c r="R42" s="6" t="s">
        <v>360</v>
      </c>
      <c r="S42" s="17" t="s">
        <v>361</v>
      </c>
      <c r="T42" s="35" t="s">
        <v>362</v>
      </c>
      <c r="U42" s="173" t="s">
        <v>38</v>
      </c>
      <c r="V42" s="11" t="s">
        <v>28</v>
      </c>
      <c r="W42" s="22" t="s">
        <v>332</v>
      </c>
      <c r="X42" s="22" t="s">
        <v>332</v>
      </c>
      <c r="Y42" s="22"/>
      <c r="Z42" s="7"/>
      <c r="AA42" s="7"/>
      <c r="AB42" s="23"/>
      <c r="AC42" s="26"/>
    </row>
    <row r="43" spans="1:30" ht="15.75" customHeight="1">
      <c r="A43" s="10" t="s">
        <v>363</v>
      </c>
      <c r="B43" s="10" t="s">
        <v>27</v>
      </c>
      <c r="C43" s="11" t="s">
        <v>28</v>
      </c>
      <c r="D43" s="12"/>
      <c r="E43" s="13" t="s">
        <v>116</v>
      </c>
      <c r="F43" s="6" t="s">
        <v>364</v>
      </c>
      <c r="G43" s="15" t="str">
        <f ca="1">IFERROR(__xludf.DUMMYFUNCTION("CONCATENATE(B43,(VLOOKUP(C43,CATALOGOS!$F$2:$H$6,3,FALSE)),(VLOOKUP(V43,CATALOGOS!$J$2:$K$18,2,FALSE)),""-"",TO_TEXT(A43))"),"P05DA-0042")</f>
        <v>P05DA-0042</v>
      </c>
      <c r="H43" s="6" t="str">
        <f ca="1">IFERROR(__xludf.DUMMYFUNCTION("CONCATENATE($B43,(VLOOKUP($C43,CATALOGOS!$F$2:$H$6,3,FALSE)),(VLOOKUP($V43,CATALOGOS!$J$2:$K$18,2,FALSE)),""-"",TO_TEXT($A43))"),"P05DA-0042")</f>
        <v>P05DA-0042</v>
      </c>
      <c r="I43" s="6"/>
      <c r="J43" s="6" t="s">
        <v>365</v>
      </c>
      <c r="K43" s="6" t="s">
        <v>366</v>
      </c>
      <c r="L43" s="6" t="s">
        <v>367</v>
      </c>
      <c r="M43" s="6" t="s">
        <v>368</v>
      </c>
      <c r="N43" s="17"/>
      <c r="O43" s="17"/>
      <c r="P43" s="17" t="str">
        <f t="shared" si="2"/>
        <v>OK</v>
      </c>
      <c r="Q43" s="17" t="s">
        <v>35</v>
      </c>
      <c r="R43" s="6" t="s">
        <v>35</v>
      </c>
      <c r="S43" s="17" t="s">
        <v>36</v>
      </c>
      <c r="T43" s="35" t="s">
        <v>369</v>
      </c>
      <c r="U43" s="173" t="s">
        <v>38</v>
      </c>
      <c r="V43" s="11" t="s">
        <v>28</v>
      </c>
      <c r="W43" s="22" t="s">
        <v>332</v>
      </c>
      <c r="X43" s="22" t="s">
        <v>332</v>
      </c>
      <c r="Y43" s="22"/>
      <c r="Z43" s="7"/>
      <c r="AA43" s="7"/>
      <c r="AB43" s="23"/>
      <c r="AC43" s="26"/>
    </row>
    <row r="44" spans="1:30" ht="15.75" customHeight="1">
      <c r="A44" s="10" t="s">
        <v>370</v>
      </c>
      <c r="B44" s="10" t="s">
        <v>27</v>
      </c>
      <c r="C44" s="11" t="s">
        <v>28</v>
      </c>
      <c r="D44" s="12"/>
      <c r="E44" s="13" t="s">
        <v>93</v>
      </c>
      <c r="F44" s="6" t="s">
        <v>371</v>
      </c>
      <c r="G44" s="15" t="str">
        <f ca="1">IFERROR(__xludf.DUMMYFUNCTION("CONCATENATE(B44,(VLOOKUP(C44,CATALOGOS!$F$2:$H$6,3,FALSE)),(VLOOKUP(V44,CATALOGOS!$J$2:$K$18,2,FALSE)),""-"",TO_TEXT(A44))"),"P05DA-0043")</f>
        <v>P05DA-0043</v>
      </c>
      <c r="H44" s="6" t="str">
        <f ca="1">IFERROR(__xludf.DUMMYFUNCTION("CONCATENATE($B44,(VLOOKUP($C44,CATALOGOS!$F$2:$H$6,3,FALSE)),(VLOOKUP($V44,CATALOGOS!$J$2:$K$18,2,FALSE)),""-"",TO_TEXT($A44))"),"P05DA-0043")</f>
        <v>P05DA-0043</v>
      </c>
      <c r="I44" s="6"/>
      <c r="J44" s="6" t="s">
        <v>372</v>
      </c>
      <c r="K44" s="6" t="s">
        <v>373</v>
      </c>
      <c r="L44" s="6" t="s">
        <v>374</v>
      </c>
      <c r="M44" s="6" t="s">
        <v>375</v>
      </c>
      <c r="N44" s="17"/>
      <c r="O44" s="17"/>
      <c r="P44" s="17" t="str">
        <f t="shared" si="2"/>
        <v>OK</v>
      </c>
      <c r="Q44" s="17" t="s">
        <v>35</v>
      </c>
      <c r="R44" s="6" t="s">
        <v>35</v>
      </c>
      <c r="S44" s="17" t="s">
        <v>36</v>
      </c>
      <c r="T44" s="35" t="s">
        <v>376</v>
      </c>
      <c r="U44" s="173" t="s">
        <v>38</v>
      </c>
      <c r="V44" s="11" t="s">
        <v>28</v>
      </c>
      <c r="W44" s="22" t="s">
        <v>332</v>
      </c>
      <c r="X44" s="22" t="s">
        <v>332</v>
      </c>
      <c r="Y44" s="22"/>
      <c r="Z44" s="7"/>
      <c r="AA44" s="7"/>
      <c r="AB44" s="23"/>
      <c r="AC44" s="26"/>
    </row>
    <row r="45" spans="1:30" ht="15.75" customHeight="1">
      <c r="A45" s="10" t="s">
        <v>377</v>
      </c>
      <c r="B45" s="10" t="s">
        <v>27</v>
      </c>
      <c r="C45" s="11" t="s">
        <v>28</v>
      </c>
      <c r="D45" s="38"/>
      <c r="E45" s="13" t="s">
        <v>378</v>
      </c>
      <c r="F45" s="6" t="s">
        <v>379</v>
      </c>
      <c r="G45" s="15" t="str">
        <f ca="1">IFERROR(__xludf.DUMMYFUNCTION("CONCATENATE(B45,(VLOOKUP(C45,CATALOGOS!$F$2:$H$6,3,FALSE)),(VLOOKUP(V45,CATALOGOS!$J$2:$K$18,2,FALSE)),""-"",TO_TEXT(A45))"),"P05DA-0044")</f>
        <v>P05DA-0044</v>
      </c>
      <c r="H45" s="6" t="str">
        <f ca="1">IFERROR(__xludf.DUMMYFUNCTION("CONCATENATE($B45,(VLOOKUP($C45,CATALOGOS!$F$2:$H$6,3,FALSE)),(VLOOKUP($V45,CATALOGOS!$J$2:$K$18,2,FALSE)),""-"",TO_TEXT($A45))"),"P05DA-0044")</f>
        <v>P05DA-0044</v>
      </c>
      <c r="I45" s="6"/>
      <c r="J45" s="6" t="s">
        <v>380</v>
      </c>
      <c r="K45" s="6" t="s">
        <v>381</v>
      </c>
      <c r="L45" s="6" t="s">
        <v>382</v>
      </c>
      <c r="M45" s="6" t="s">
        <v>383</v>
      </c>
      <c r="N45" s="17"/>
      <c r="O45" s="17"/>
      <c r="P45" s="17" t="str">
        <f t="shared" si="2"/>
        <v>OK</v>
      </c>
      <c r="Q45" s="17" t="s">
        <v>35</v>
      </c>
      <c r="R45" s="6" t="s">
        <v>35</v>
      </c>
      <c r="S45" s="46" t="s">
        <v>36</v>
      </c>
      <c r="T45" s="35" t="s">
        <v>384</v>
      </c>
      <c r="U45" s="173" t="s">
        <v>517</v>
      </c>
      <c r="V45" s="11" t="s">
        <v>28</v>
      </c>
      <c r="W45" s="22" t="s">
        <v>332</v>
      </c>
      <c r="X45" s="22" t="s">
        <v>332</v>
      </c>
      <c r="Y45" s="22"/>
      <c r="Z45" s="7"/>
      <c r="AA45" s="7"/>
      <c r="AB45" s="26"/>
      <c r="AC45" s="26"/>
    </row>
    <row r="46" spans="1:30" ht="15.75" customHeight="1">
      <c r="A46" s="10" t="s">
        <v>386</v>
      </c>
      <c r="B46" s="10" t="s">
        <v>27</v>
      </c>
      <c r="C46" s="11" t="s">
        <v>28</v>
      </c>
      <c r="D46" s="12"/>
      <c r="E46" s="13" t="s">
        <v>387</v>
      </c>
      <c r="F46" s="6" t="s">
        <v>387</v>
      </c>
      <c r="G46" s="15" t="str">
        <f ca="1">IFERROR(__xludf.DUMMYFUNCTION("CONCATENATE(B46,(VLOOKUP(C46,CATALOGOS!$F$2:$H$6,3,FALSE)),(VLOOKUP(V46,CATALOGOS!$J$2:$K$18,2,FALSE)),""-"",TO_TEXT(A46))"),"P05DA-0045")</f>
        <v>P05DA-0045</v>
      </c>
      <c r="H46" s="6" t="str">
        <f ca="1">IFERROR(__xludf.DUMMYFUNCTION("CONCATENATE($B46,(VLOOKUP($C46,CATALOGOS!$F$2:$H$6,3,FALSE)),(VLOOKUP($V46,CATALOGOS!$J$2:$K$18,2,FALSE)),""-"",TO_TEXT($A46))"),"P05DA-0045")</f>
        <v>P05DA-0045</v>
      </c>
      <c r="I46" s="6"/>
      <c r="J46" s="6" t="s">
        <v>388</v>
      </c>
      <c r="K46" s="6" t="s">
        <v>389</v>
      </c>
      <c r="L46" s="36"/>
      <c r="M46" s="6" t="s">
        <v>141</v>
      </c>
      <c r="N46" s="17"/>
      <c r="O46" s="17"/>
      <c r="P46" s="17" t="str">
        <f t="shared" si="2"/>
        <v>REPETIDO</v>
      </c>
      <c r="Q46" s="17" t="s">
        <v>390</v>
      </c>
      <c r="R46" s="6">
        <v>40514</v>
      </c>
      <c r="S46" s="6" t="s">
        <v>391</v>
      </c>
      <c r="T46" s="10" t="s">
        <v>85</v>
      </c>
      <c r="U46" s="173" t="s">
        <v>38</v>
      </c>
      <c r="V46" s="11" t="s">
        <v>28</v>
      </c>
      <c r="W46" s="22" t="s">
        <v>392</v>
      </c>
      <c r="X46" s="22" t="s">
        <v>392</v>
      </c>
      <c r="Y46" s="22"/>
      <c r="Z46" s="7"/>
      <c r="AA46" s="7"/>
      <c r="AB46" s="23"/>
      <c r="AC46" s="26"/>
    </row>
    <row r="47" spans="1:30" ht="15.75" customHeight="1">
      <c r="A47" s="10" t="s">
        <v>393</v>
      </c>
      <c r="B47" s="10" t="s">
        <v>27</v>
      </c>
      <c r="C47" s="11" t="s">
        <v>28</v>
      </c>
      <c r="D47" s="12"/>
      <c r="E47" s="13" t="s">
        <v>93</v>
      </c>
      <c r="F47" s="6" t="s">
        <v>394</v>
      </c>
      <c r="G47" s="15" t="str">
        <f ca="1">IFERROR(__xludf.DUMMYFUNCTION("CONCATENATE(B47,(VLOOKUP(C47,CATALOGOS!$F$2:$H$6,3,FALSE)),(VLOOKUP(V47,CATALOGOS!$J$2:$K$18,2,FALSE)),""-"",TO_TEXT(A47))"),"P05DA-0046")</f>
        <v>P05DA-0046</v>
      </c>
      <c r="H47" s="6" t="str">
        <f ca="1">IFERROR(__xludf.DUMMYFUNCTION("CONCATENATE($B47,(VLOOKUP($C47,CATALOGOS!$F$2:$H$6,3,FALSE)),(VLOOKUP($V47,CATALOGOS!$J$2:$K$18,2,FALSE)),""-"",TO_TEXT($A47))"),"P05DA-0046")</f>
        <v>P05DA-0046</v>
      </c>
      <c r="I47" s="6"/>
      <c r="J47" s="6" t="s">
        <v>395</v>
      </c>
      <c r="K47" s="6" t="s">
        <v>396</v>
      </c>
      <c r="L47" s="6" t="s">
        <v>397</v>
      </c>
      <c r="M47" s="43" t="s">
        <v>398</v>
      </c>
      <c r="N47" s="17"/>
      <c r="O47" s="17"/>
      <c r="P47" s="17" t="str">
        <f t="shared" si="2"/>
        <v>OK</v>
      </c>
      <c r="Q47" s="17" t="s">
        <v>35</v>
      </c>
      <c r="R47" s="6" t="s">
        <v>35</v>
      </c>
      <c r="S47" s="6" t="s">
        <v>36</v>
      </c>
      <c r="T47" s="10" t="s">
        <v>399</v>
      </c>
      <c r="U47" s="173" t="s">
        <v>38</v>
      </c>
      <c r="V47" s="11" t="s">
        <v>28</v>
      </c>
      <c r="W47" s="22" t="s">
        <v>392</v>
      </c>
      <c r="X47" s="22" t="s">
        <v>392</v>
      </c>
      <c r="Y47" s="22"/>
      <c r="Z47" s="7"/>
      <c r="AA47" s="7"/>
      <c r="AB47" s="23"/>
      <c r="AC47" s="26"/>
    </row>
    <row r="48" spans="1:30" ht="15.75" customHeight="1">
      <c r="A48" s="10" t="s">
        <v>400</v>
      </c>
      <c r="B48" s="10" t="s">
        <v>27</v>
      </c>
      <c r="C48" s="11" t="s">
        <v>28</v>
      </c>
      <c r="D48" s="12"/>
      <c r="E48" s="13" t="s">
        <v>43</v>
      </c>
      <c r="F48" s="6" t="s">
        <v>401</v>
      </c>
      <c r="G48" s="15" t="str">
        <f ca="1">IFERROR(__xludf.DUMMYFUNCTION("CONCATENATE(B48,(VLOOKUP(C48,CATALOGOS!$F$2:$H$6,3,FALSE)),(VLOOKUP(V48,CATALOGOS!$J$2:$K$18,2,FALSE)),""-"",TO_TEXT(A48))"),"P05DA-0047")</f>
        <v>P05DA-0047</v>
      </c>
      <c r="H48" s="6" t="str">
        <f ca="1">IFERROR(__xludf.DUMMYFUNCTION("CONCATENATE($B48,(VLOOKUP($C48,CATALOGOS!$F$2:$H$6,3,FALSE)),(VLOOKUP($V48,CATALOGOS!$J$2:$K$18,2,FALSE)),""-"",TO_TEXT($A48))"),"P05DA-0047")</f>
        <v>P05DA-0047</v>
      </c>
      <c r="I48" s="6"/>
      <c r="J48" s="6" t="s">
        <v>402</v>
      </c>
      <c r="K48" s="6" t="s">
        <v>403</v>
      </c>
      <c r="L48" s="6" t="s">
        <v>404</v>
      </c>
      <c r="M48" s="6" t="s">
        <v>405</v>
      </c>
      <c r="N48" s="17"/>
      <c r="O48" s="17"/>
      <c r="P48" s="17" t="str">
        <f t="shared" si="2"/>
        <v>OK</v>
      </c>
      <c r="Q48" s="17" t="s">
        <v>406</v>
      </c>
      <c r="R48" s="10" t="s">
        <v>407</v>
      </c>
      <c r="S48" s="17" t="s">
        <v>408</v>
      </c>
      <c r="T48" s="35" t="s">
        <v>409</v>
      </c>
      <c r="U48" s="173" t="s">
        <v>38</v>
      </c>
      <c r="V48" s="11" t="s">
        <v>28</v>
      </c>
      <c r="W48" s="22" t="s">
        <v>392</v>
      </c>
      <c r="X48" s="22" t="s">
        <v>392</v>
      </c>
      <c r="Y48" s="22"/>
      <c r="Z48" s="7"/>
      <c r="AA48" s="7"/>
      <c r="AB48" s="23"/>
      <c r="AC48" s="26"/>
    </row>
    <row r="49" spans="1:29" ht="15.75" customHeight="1">
      <c r="A49" s="10" t="s">
        <v>410</v>
      </c>
      <c r="B49" s="10" t="s">
        <v>27</v>
      </c>
      <c r="C49" s="11" t="s">
        <v>28</v>
      </c>
      <c r="D49" s="12"/>
      <c r="E49" s="13" t="s">
        <v>43</v>
      </c>
      <c r="F49" s="6" t="s">
        <v>401</v>
      </c>
      <c r="G49" s="15" t="str">
        <f ca="1">IFERROR(__xludf.DUMMYFUNCTION("CONCATENATE(B49,(VLOOKUP(C49,CATALOGOS!$F$2:$H$6,3,FALSE)),(VLOOKUP(V49,CATALOGOS!$J$2:$K$18,2,FALSE)),""-"",TO_TEXT(A49))"),"P05DA-0048")</f>
        <v>P05DA-0048</v>
      </c>
      <c r="H49" s="6" t="str">
        <f ca="1">IFERROR(__xludf.DUMMYFUNCTION("CONCATENATE($B49,(VLOOKUP($C49,CATALOGOS!$F$2:$H$6,3,FALSE)),(VLOOKUP($V49,CATALOGOS!$J$2:$K$18,2,FALSE)),""-"",TO_TEXT($A49))"),"P05DA-0048")</f>
        <v>P05DA-0048</v>
      </c>
      <c r="I49" s="6"/>
      <c r="J49" s="6" t="s">
        <v>411</v>
      </c>
      <c r="K49" s="6" t="s">
        <v>412</v>
      </c>
      <c r="L49" s="6" t="s">
        <v>413</v>
      </c>
      <c r="M49" s="6" t="s">
        <v>414</v>
      </c>
      <c r="N49" s="17"/>
      <c r="O49" s="17"/>
      <c r="P49" s="17" t="str">
        <f t="shared" si="2"/>
        <v>OK</v>
      </c>
      <c r="Q49" s="17" t="s">
        <v>406</v>
      </c>
      <c r="R49" s="6" t="s">
        <v>407</v>
      </c>
      <c r="S49" s="17" t="s">
        <v>415</v>
      </c>
      <c r="T49" s="35" t="s">
        <v>416</v>
      </c>
      <c r="U49" s="173" t="s">
        <v>38</v>
      </c>
      <c r="V49" s="11" t="s">
        <v>28</v>
      </c>
      <c r="W49" s="22" t="s">
        <v>392</v>
      </c>
      <c r="X49" s="22" t="s">
        <v>392</v>
      </c>
      <c r="Y49" s="22"/>
      <c r="Z49" s="7"/>
      <c r="AA49" s="7"/>
      <c r="AB49" s="23"/>
      <c r="AC49" s="26"/>
    </row>
    <row r="50" spans="1:29" ht="15.75" customHeight="1">
      <c r="A50" s="10" t="s">
        <v>417</v>
      </c>
      <c r="B50" s="10" t="s">
        <v>27</v>
      </c>
      <c r="C50" s="11" t="s">
        <v>28</v>
      </c>
      <c r="D50" s="12"/>
      <c r="E50" s="13" t="s">
        <v>43</v>
      </c>
      <c r="F50" s="6" t="s">
        <v>401</v>
      </c>
      <c r="G50" s="15" t="str">
        <f ca="1">IFERROR(__xludf.DUMMYFUNCTION("CONCATENATE(B50,(VLOOKUP(C50,CATALOGOS!$F$2:$H$6,3,FALSE)),(VLOOKUP(V50,CATALOGOS!$J$2:$K$18,2,FALSE)),""-"",TO_TEXT(A50))"),"P05DA-0049")</f>
        <v>P05DA-0049</v>
      </c>
      <c r="H50" s="6" t="str">
        <f ca="1">IFERROR(__xludf.DUMMYFUNCTION("CONCATENATE($B50,(VLOOKUP($C50,CATALOGOS!$F$2:$H$6,3,FALSE)),(VLOOKUP($V50,CATALOGOS!$J$2:$K$18,2,FALSE)),""-"",TO_TEXT($A50))"),"P05DA-0049")</f>
        <v>P05DA-0049</v>
      </c>
      <c r="I50" s="6"/>
      <c r="J50" s="6" t="s">
        <v>418</v>
      </c>
      <c r="K50" s="6" t="s">
        <v>419</v>
      </c>
      <c r="L50" s="6" t="s">
        <v>420</v>
      </c>
      <c r="M50" s="6" t="s">
        <v>421</v>
      </c>
      <c r="N50" s="17"/>
      <c r="O50" s="17"/>
      <c r="P50" s="17" t="str">
        <f t="shared" si="2"/>
        <v>OK</v>
      </c>
      <c r="Q50" s="17" t="s">
        <v>406</v>
      </c>
      <c r="R50" s="6" t="s">
        <v>407</v>
      </c>
      <c r="S50" s="17" t="s">
        <v>422</v>
      </c>
      <c r="T50" s="35" t="s">
        <v>423</v>
      </c>
      <c r="U50" s="173" t="s">
        <v>38</v>
      </c>
      <c r="V50" s="11" t="s">
        <v>28</v>
      </c>
      <c r="W50" s="22" t="s">
        <v>392</v>
      </c>
      <c r="X50" s="22" t="s">
        <v>392</v>
      </c>
      <c r="Y50" s="22"/>
      <c r="Z50" s="7"/>
      <c r="AA50" s="7"/>
      <c r="AB50" s="23"/>
      <c r="AC50" s="26"/>
    </row>
    <row r="51" spans="1:29" ht="15.75" customHeight="1">
      <c r="A51" s="10" t="s">
        <v>424</v>
      </c>
      <c r="B51" s="10" t="s">
        <v>27</v>
      </c>
      <c r="C51" s="11" t="s">
        <v>28</v>
      </c>
      <c r="D51" s="12"/>
      <c r="E51" s="13" t="s">
        <v>425</v>
      </c>
      <c r="F51" s="43" t="s">
        <v>426</v>
      </c>
      <c r="G51" s="15" t="str">
        <f ca="1">IFERROR(__xludf.DUMMYFUNCTION("CONCATENATE(B51,(VLOOKUP(C51,CATALOGOS!$F$2:$H$6,3,FALSE)),(VLOOKUP(V51,CATALOGOS!$J$2:$K$18,2,FALSE)),""-"",TO_TEXT(A51))"),"P05DA-0050")</f>
        <v>P05DA-0050</v>
      </c>
      <c r="H51" s="6" t="str">
        <f ca="1">IFERROR(__xludf.DUMMYFUNCTION("CONCATENATE($B51,(VLOOKUP($C51,CATALOGOS!$F$2:$H$6,3,FALSE)),(VLOOKUP($V51,CATALOGOS!$J$2:$K$18,2,FALSE)),""-"",TO_TEXT($A51))"),"P05DA-0050")</f>
        <v>P05DA-0050</v>
      </c>
      <c r="I51" s="6"/>
      <c r="J51" s="6" t="s">
        <v>427</v>
      </c>
      <c r="K51" s="6" t="s">
        <v>428</v>
      </c>
      <c r="L51" s="6" t="s">
        <v>429</v>
      </c>
      <c r="M51" s="6" t="s">
        <v>430</v>
      </c>
      <c r="N51" s="17"/>
      <c r="O51" s="17"/>
      <c r="P51" s="17" t="str">
        <f t="shared" si="2"/>
        <v>OK</v>
      </c>
      <c r="Q51" s="17" t="s">
        <v>35</v>
      </c>
      <c r="R51" s="6" t="s">
        <v>35</v>
      </c>
      <c r="S51" s="17" t="s">
        <v>36</v>
      </c>
      <c r="T51" s="35" t="s">
        <v>431</v>
      </c>
      <c r="U51" s="173" t="s">
        <v>38</v>
      </c>
      <c r="V51" s="11" t="s">
        <v>28</v>
      </c>
      <c r="W51" s="22" t="s">
        <v>392</v>
      </c>
      <c r="X51" s="22" t="s">
        <v>392</v>
      </c>
      <c r="Y51" s="22"/>
      <c r="Z51" s="6"/>
      <c r="AA51" s="6" t="s">
        <v>432</v>
      </c>
      <c r="AB51" s="23"/>
      <c r="AC51" s="26"/>
    </row>
    <row r="52" spans="1:29" ht="15.75" customHeight="1">
      <c r="A52" s="10" t="s">
        <v>433</v>
      </c>
      <c r="B52" s="10" t="s">
        <v>27</v>
      </c>
      <c r="C52" s="11" t="s">
        <v>28</v>
      </c>
      <c r="D52" s="12"/>
      <c r="E52" s="13" t="s">
        <v>378</v>
      </c>
      <c r="F52" s="43" t="s">
        <v>434</v>
      </c>
      <c r="G52" s="64" t="str">
        <f ca="1">IFERROR(__xludf.DUMMYFUNCTION("CONCATENATE(B52,(VLOOKUP(C52,CATALOGOS!$F$2:$H$6,3,FALSE)),(VLOOKUP(V52,CATALOGOS!$J$2:$K$18,2,FALSE)),""-"",TO_TEXT(A52))"),"P05DA-0051")</f>
        <v>P05DA-0051</v>
      </c>
      <c r="H52" s="6" t="str">
        <f ca="1">IFERROR(__xludf.DUMMYFUNCTION("CONCATENATE($B52,(VLOOKUP($C52,CATALOGOS!$F$2:$H$6,3,FALSE)),(VLOOKUP($V52,CATALOGOS!$J$2:$K$18,2,FALSE)),""-"",TO_TEXT($A52))"),"P05DA-0051")</f>
        <v>P05DA-0051</v>
      </c>
      <c r="I52" s="6"/>
      <c r="J52" s="6" t="s">
        <v>435</v>
      </c>
      <c r="K52" s="6" t="s">
        <v>436</v>
      </c>
      <c r="L52" s="6" t="s">
        <v>437</v>
      </c>
      <c r="M52" s="6" t="s">
        <v>438</v>
      </c>
      <c r="N52" s="17"/>
      <c r="O52" s="17"/>
      <c r="P52" s="17" t="str">
        <f t="shared" si="2"/>
        <v>OK</v>
      </c>
      <c r="Q52" s="35" t="s">
        <v>35</v>
      </c>
      <c r="R52" s="6" t="s">
        <v>35</v>
      </c>
      <c r="S52" s="17" t="s">
        <v>36</v>
      </c>
      <c r="T52" s="35" t="s">
        <v>439</v>
      </c>
      <c r="U52" s="173" t="s">
        <v>100</v>
      </c>
      <c r="V52" s="11" t="s">
        <v>28</v>
      </c>
      <c r="W52" s="22" t="s">
        <v>392</v>
      </c>
      <c r="X52" s="22" t="s">
        <v>392</v>
      </c>
      <c r="Y52" s="22"/>
      <c r="Z52" s="6"/>
      <c r="AA52" s="6" t="s">
        <v>440</v>
      </c>
      <c r="AB52" s="23"/>
      <c r="AC52" s="26"/>
    </row>
    <row r="53" spans="1:29" ht="15.75" customHeight="1">
      <c r="A53" s="10" t="s">
        <v>441</v>
      </c>
      <c r="B53" s="10" t="s">
        <v>27</v>
      </c>
      <c r="C53" s="11" t="s">
        <v>28</v>
      </c>
      <c r="D53" s="12"/>
      <c r="E53" s="13" t="s">
        <v>93</v>
      </c>
      <c r="F53" s="43" t="s">
        <v>442</v>
      </c>
      <c r="G53" s="15" t="str">
        <f ca="1">IFERROR(__xludf.DUMMYFUNCTION("CONCATENATE(B53,(VLOOKUP(C53,CATALOGOS!$F$2:$H$6,3,FALSE)),(VLOOKUP(V53,CATALOGOS!$J$2:$K$18,2,FALSE)),""-"",TO_TEXT(A53))"),"P05DA-0052")</f>
        <v>P05DA-0052</v>
      </c>
      <c r="H53" s="6" t="str">
        <f ca="1">IFERROR(__xludf.DUMMYFUNCTION("CONCATENATE($B53,(VLOOKUP($C53,CATALOGOS!$F$2:$H$6,3,FALSE)),(VLOOKUP($V53,CATALOGOS!$J$2:$K$18,2,FALSE)),""-"",TO_TEXT($A53))"),"P05DA-0052")</f>
        <v>P05DA-0052</v>
      </c>
      <c r="I53" s="6"/>
      <c r="J53" s="6" t="s">
        <v>443</v>
      </c>
      <c r="K53" s="6" t="s">
        <v>444</v>
      </c>
      <c r="L53" s="6" t="s">
        <v>445</v>
      </c>
      <c r="M53" s="6" t="s">
        <v>446</v>
      </c>
      <c r="N53" s="17"/>
      <c r="O53" s="17"/>
      <c r="P53" s="17" t="str">
        <f t="shared" si="2"/>
        <v>OK</v>
      </c>
      <c r="Q53" s="17" t="s">
        <v>35</v>
      </c>
      <c r="R53" s="6" t="s">
        <v>35</v>
      </c>
      <c r="S53" s="17" t="s">
        <v>36</v>
      </c>
      <c r="T53" s="35" t="s">
        <v>447</v>
      </c>
      <c r="U53" s="173" t="s">
        <v>38</v>
      </c>
      <c r="V53" s="11" t="s">
        <v>28</v>
      </c>
      <c r="W53" s="22" t="s">
        <v>392</v>
      </c>
      <c r="X53" s="22" t="s">
        <v>392</v>
      </c>
      <c r="Y53" s="22"/>
      <c r="Z53" s="6"/>
      <c r="AA53" s="6" t="s">
        <v>432</v>
      </c>
      <c r="AB53" s="23"/>
      <c r="AC53" s="26"/>
    </row>
    <row r="54" spans="1:29" ht="15.75" customHeight="1">
      <c r="A54" s="10" t="s">
        <v>448</v>
      </c>
      <c r="B54" s="10" t="s">
        <v>27</v>
      </c>
      <c r="C54" s="11" t="s">
        <v>28</v>
      </c>
      <c r="D54" s="12"/>
      <c r="E54" s="13" t="s">
        <v>184</v>
      </c>
      <c r="F54" s="6" t="s">
        <v>449</v>
      </c>
      <c r="G54" s="15" t="str">
        <f ca="1">IFERROR(__xludf.DUMMYFUNCTION("CONCATENATE(B54,(VLOOKUP(C54,CATALOGOS!$F$2:$H$6,3,FALSE)),(VLOOKUP(V54,CATALOGOS!$J$2:$K$18,2,FALSE)),""-"",TO_TEXT(A54))"),"P05DA-0053")</f>
        <v>P05DA-0053</v>
      </c>
      <c r="H54" s="6" t="str">
        <f ca="1">IFERROR(__xludf.DUMMYFUNCTION("CONCATENATE($B54,(VLOOKUP($C54,CATALOGOS!$F$2:$H$6,3,FALSE)),(VLOOKUP($V54,CATALOGOS!$J$2:$K$18,2,FALSE)),""-"",TO_TEXT($A54))"),"P05DA-0053")</f>
        <v>P05DA-0053</v>
      </c>
      <c r="I54" s="6"/>
      <c r="J54" s="6" t="s">
        <v>450</v>
      </c>
      <c r="K54" s="6" t="s">
        <v>451</v>
      </c>
      <c r="L54" s="6" t="s">
        <v>452</v>
      </c>
      <c r="M54" s="6" t="s">
        <v>453</v>
      </c>
      <c r="N54" s="17"/>
      <c r="O54" s="17"/>
      <c r="P54" s="17" t="str">
        <f t="shared" si="2"/>
        <v>OK</v>
      </c>
      <c r="Q54" s="17" t="s">
        <v>35</v>
      </c>
      <c r="R54" s="6" t="s">
        <v>35</v>
      </c>
      <c r="S54" s="17" t="s">
        <v>36</v>
      </c>
      <c r="T54" s="35" t="s">
        <v>454</v>
      </c>
      <c r="U54" s="173" t="s">
        <v>38</v>
      </c>
      <c r="V54" s="11" t="s">
        <v>28</v>
      </c>
      <c r="W54" s="22" t="s">
        <v>392</v>
      </c>
      <c r="X54" s="22" t="s">
        <v>392</v>
      </c>
      <c r="Y54" s="20" t="s">
        <v>455</v>
      </c>
      <c r="Z54" s="7"/>
      <c r="AA54" s="7"/>
      <c r="AB54" s="23"/>
      <c r="AC54" s="26"/>
    </row>
    <row r="55" spans="1:29" ht="15.75" customHeight="1">
      <c r="A55" s="10" t="s">
        <v>456</v>
      </c>
      <c r="B55" s="10" t="s">
        <v>27</v>
      </c>
      <c r="C55" s="11" t="s">
        <v>28</v>
      </c>
      <c r="D55" s="12"/>
      <c r="E55" s="13" t="s">
        <v>43</v>
      </c>
      <c r="F55" s="43" t="s">
        <v>457</v>
      </c>
      <c r="G55" s="15" t="str">
        <f ca="1">IFERROR(__xludf.DUMMYFUNCTION("CONCATENATE(B55,(VLOOKUP(C55,CATALOGOS!$F$2:$H$6,3,FALSE)),(VLOOKUP(V55,CATALOGOS!$J$2:$K$18,2,FALSE)),""-"",TO_TEXT(A55))"),"P05DA-0054")</f>
        <v>P05DA-0054</v>
      </c>
      <c r="H55" s="6" t="str">
        <f ca="1">IFERROR(__xludf.DUMMYFUNCTION("CONCATENATE($B55,(VLOOKUP($C55,CATALOGOS!$F$2:$H$6,3,FALSE)),(VLOOKUP($V55,CATALOGOS!$J$2:$K$18,2,FALSE)),""-"",TO_TEXT($A55))"),"P05DA-0054")</f>
        <v>P05DA-0054</v>
      </c>
      <c r="I55" s="6"/>
      <c r="J55" s="6" t="s">
        <v>458</v>
      </c>
      <c r="K55" s="6" t="s">
        <v>459</v>
      </c>
      <c r="L55" s="6" t="s">
        <v>460</v>
      </c>
      <c r="M55" s="6" t="s">
        <v>461</v>
      </c>
      <c r="N55" s="17"/>
      <c r="O55" s="17"/>
      <c r="P55" s="17" t="str">
        <f t="shared" si="2"/>
        <v>OK</v>
      </c>
      <c r="Q55" s="17" t="s">
        <v>462</v>
      </c>
      <c r="R55" s="6" t="s">
        <v>35</v>
      </c>
      <c r="S55" s="17" t="s">
        <v>463</v>
      </c>
      <c r="T55" s="35" t="s">
        <v>464</v>
      </c>
      <c r="U55" s="173" t="s">
        <v>38</v>
      </c>
      <c r="V55" s="11" t="s">
        <v>28</v>
      </c>
      <c r="W55" s="22" t="s">
        <v>392</v>
      </c>
      <c r="X55" s="22" t="s">
        <v>392</v>
      </c>
      <c r="Y55" s="22"/>
      <c r="Z55" s="6"/>
      <c r="AA55" s="6" t="s">
        <v>432</v>
      </c>
      <c r="AB55" s="23"/>
      <c r="AC55" s="26"/>
    </row>
    <row r="56" spans="1:29" ht="15.75" customHeight="1">
      <c r="A56" s="10" t="s">
        <v>465</v>
      </c>
      <c r="B56" s="10" t="s">
        <v>27</v>
      </c>
      <c r="C56" s="11" t="s">
        <v>28</v>
      </c>
      <c r="D56" s="12"/>
      <c r="E56" s="13" t="s">
        <v>466</v>
      </c>
      <c r="F56" s="6" t="s">
        <v>467</v>
      </c>
      <c r="G56" s="15" t="str">
        <f ca="1">IFERROR(__xludf.DUMMYFUNCTION("CONCATENATE(B56,(VLOOKUP(C56,CATALOGOS!$F$2:$H$6,3,FALSE)),(VLOOKUP(V56,CATALOGOS!$J$2:$K$18,2,FALSE)),""-"",TO_TEXT(A56))"),"P05DA-0055")</f>
        <v>P05DA-0055</v>
      </c>
      <c r="H56" s="6" t="str">
        <f ca="1">IFERROR(__xludf.DUMMYFUNCTION("CONCATENATE($B56,(VLOOKUP($C56,CATALOGOS!$F$2:$H$6,3,FALSE)),(VLOOKUP($V56,CATALOGOS!$J$2:$K$18,2,FALSE)),""-"",TO_TEXT($A56))"),"P05DA-0055")</f>
        <v>P05DA-0055</v>
      </c>
      <c r="I56" s="6"/>
      <c r="J56" s="6" t="s">
        <v>468</v>
      </c>
      <c r="K56" s="6" t="s">
        <v>469</v>
      </c>
      <c r="L56" s="6" t="s">
        <v>470</v>
      </c>
      <c r="M56" s="6" t="s">
        <v>471</v>
      </c>
      <c r="N56" s="17"/>
      <c r="O56" s="17"/>
      <c r="P56" s="17" t="str">
        <f t="shared" si="2"/>
        <v>OK</v>
      </c>
      <c r="Q56" s="17" t="s">
        <v>35</v>
      </c>
      <c r="R56" s="6" t="s">
        <v>35</v>
      </c>
      <c r="S56" s="17" t="s">
        <v>36</v>
      </c>
      <c r="T56" s="35" t="s">
        <v>472</v>
      </c>
      <c r="U56" s="173" t="s">
        <v>38</v>
      </c>
      <c r="V56" s="11" t="s">
        <v>28</v>
      </c>
      <c r="W56" s="22" t="s">
        <v>392</v>
      </c>
      <c r="X56" s="22" t="s">
        <v>392</v>
      </c>
      <c r="Y56" s="22"/>
      <c r="Z56" s="7"/>
      <c r="AA56" s="7"/>
      <c r="AB56" s="23"/>
      <c r="AC56" s="26"/>
    </row>
    <row r="57" spans="1:29" ht="15.75" customHeight="1">
      <c r="A57" s="10" t="s">
        <v>473</v>
      </c>
      <c r="B57" s="10" t="s">
        <v>27</v>
      </c>
      <c r="C57" s="11" t="s">
        <v>28</v>
      </c>
      <c r="D57" s="12"/>
      <c r="E57" s="13" t="s">
        <v>353</v>
      </c>
      <c r="F57" s="43" t="s">
        <v>475</v>
      </c>
      <c r="G57" s="6" t="str">
        <f ca="1">IFERROR(__xludf.DUMMYFUNCTION("CONCATENATE(B57,(VLOOKUP(C57,CATALOGOS!$F$2:$H$6,3,FALSE)),(VLOOKUP(V57,CATALOGOS!$J$2:$K$18,2,FALSE)),""-"",TO_TEXT(A57))"),"P05RM-0056")</f>
        <v>P05RM-0056</v>
      </c>
      <c r="H57" s="6" t="str">
        <f ca="1">IFERROR(__xludf.DUMMYFUNCTION("CONCATENATE($B57,(VLOOKUP($C57,CATALOGOS!$F$2:$H$6,3,FALSE)),(VLOOKUP($V57,CATALOGOS!$J$2:$K$18,2,FALSE)),""-"",TO_TEXT($A57))"),"P05RM-0056")</f>
        <v>P05RM-0056</v>
      </c>
      <c r="I57" s="6"/>
      <c r="J57" s="6" t="s">
        <v>476</v>
      </c>
      <c r="K57" s="6" t="s">
        <v>477</v>
      </c>
      <c r="L57" s="6" t="s">
        <v>478</v>
      </c>
      <c r="M57" s="43" t="s">
        <v>479</v>
      </c>
      <c r="N57" s="17"/>
      <c r="O57" s="17"/>
      <c r="P57" s="17" t="str">
        <f t="shared" si="2"/>
        <v>OK</v>
      </c>
      <c r="Q57" s="17" t="s">
        <v>480</v>
      </c>
      <c r="R57" s="6">
        <v>1300</v>
      </c>
      <c r="S57" s="17" t="s">
        <v>481</v>
      </c>
      <c r="T57" s="35" t="s">
        <v>482</v>
      </c>
      <c r="U57" s="173" t="s">
        <v>38</v>
      </c>
      <c r="V57" s="11" t="s">
        <v>147</v>
      </c>
      <c r="W57" s="20" t="s">
        <v>484</v>
      </c>
      <c r="X57" s="20" t="s">
        <v>484</v>
      </c>
      <c r="Y57" s="20"/>
      <c r="Z57" s="7"/>
      <c r="AA57" s="7"/>
      <c r="AB57" s="23"/>
      <c r="AC57" s="26"/>
    </row>
    <row r="58" spans="1:29" ht="15.75" customHeight="1">
      <c r="A58" s="10" t="s">
        <v>485</v>
      </c>
      <c r="B58" s="10" t="s">
        <v>27</v>
      </c>
      <c r="C58" s="11" t="s">
        <v>28</v>
      </c>
      <c r="D58" s="12"/>
      <c r="E58" s="13" t="s">
        <v>93</v>
      </c>
      <c r="F58" s="48" t="s">
        <v>486</v>
      </c>
      <c r="G58" s="6" t="str">
        <f ca="1">IFERROR(__xludf.DUMMYFUNCTION("CONCATENATE(B58,(VLOOKUP(C58,CATALOGOS!$F$2:$H$6,3,FALSE)),(VLOOKUP(V58,CATALOGOS!$J$2:$K$18,2,FALSE)),""-"",TO_TEXT(A58))"),"P05RM-0057")</f>
        <v>P05RM-0057</v>
      </c>
      <c r="H58" s="6" t="str">
        <f ca="1">IFERROR(__xludf.DUMMYFUNCTION("CONCATENATE($B58,(VLOOKUP($C58,CATALOGOS!$F$2:$H$6,3,FALSE)),(VLOOKUP($V58,CATALOGOS!$J$2:$K$18,2,FALSE)),""-"",TO_TEXT($A58))"),"P05RM-0057")</f>
        <v>P05RM-0057</v>
      </c>
      <c r="I58" s="6"/>
      <c r="J58" s="6" t="s">
        <v>487</v>
      </c>
      <c r="K58" s="6" t="s">
        <v>488</v>
      </c>
      <c r="L58" s="6" t="s">
        <v>489</v>
      </c>
      <c r="M58" s="6" t="s">
        <v>490</v>
      </c>
      <c r="N58" s="17"/>
      <c r="O58" s="17"/>
      <c r="P58" s="17" t="str">
        <f t="shared" si="2"/>
        <v>OK</v>
      </c>
      <c r="Q58" s="17" t="s">
        <v>35</v>
      </c>
      <c r="R58" s="6" t="s">
        <v>35</v>
      </c>
      <c r="S58" s="17" t="s">
        <v>36</v>
      </c>
      <c r="T58" s="35" t="s">
        <v>491</v>
      </c>
      <c r="U58" s="173" t="s">
        <v>38</v>
      </c>
      <c r="V58" s="11" t="s">
        <v>147</v>
      </c>
      <c r="W58" s="20" t="s">
        <v>493</v>
      </c>
      <c r="X58" s="20" t="s">
        <v>493</v>
      </c>
      <c r="Y58" s="20"/>
      <c r="Z58" s="7"/>
      <c r="AA58" s="7"/>
      <c r="AB58" s="23"/>
      <c r="AC58" s="26"/>
    </row>
    <row r="59" spans="1:29" ht="15.75" customHeight="1">
      <c r="A59" s="10" t="s">
        <v>494</v>
      </c>
      <c r="B59" s="10" t="s">
        <v>27</v>
      </c>
      <c r="C59" s="11" t="s">
        <v>28</v>
      </c>
      <c r="D59" s="12"/>
      <c r="E59" s="13" t="s">
        <v>425</v>
      </c>
      <c r="F59" s="43" t="s">
        <v>426</v>
      </c>
      <c r="G59" s="15" t="str">
        <f ca="1">IFERROR(__xludf.DUMMYFUNCTION("CONCATENATE(B59,(VLOOKUP(C59,CATALOGOS!$F$2:$H$6,3,FALSE)),(VLOOKUP(V59,CATALOGOS!$J$2:$K$18,2,FALSE)),""-"",TO_TEXT(A59))"),"P05DA-0058")</f>
        <v>P05DA-0058</v>
      </c>
      <c r="H59" s="6" t="str">
        <f ca="1">IFERROR(__xludf.DUMMYFUNCTION("CONCATENATE($B59,(VLOOKUP($C59,CATALOGOS!$F$2:$H$6,3,FALSE)),(VLOOKUP($V59,CATALOGOS!$J$2:$K$18,2,FALSE)),""-"",TO_TEXT($A59))"),"P05DA-0058")</f>
        <v>P05DA-0058</v>
      </c>
      <c r="I59" s="6"/>
      <c r="J59" s="6" t="s">
        <v>495</v>
      </c>
      <c r="K59" s="6" t="s">
        <v>496</v>
      </c>
      <c r="L59" s="6" t="s">
        <v>497</v>
      </c>
      <c r="M59" s="6" t="s">
        <v>498</v>
      </c>
      <c r="N59" s="17"/>
      <c r="O59" s="17"/>
      <c r="P59" s="17" t="str">
        <f t="shared" si="2"/>
        <v>OK</v>
      </c>
      <c r="Q59" s="17" t="s">
        <v>35</v>
      </c>
      <c r="R59" s="6" t="s">
        <v>35</v>
      </c>
      <c r="S59" s="17" t="s">
        <v>36</v>
      </c>
      <c r="T59" s="35" t="s">
        <v>499</v>
      </c>
      <c r="U59" s="173" t="s">
        <v>38</v>
      </c>
      <c r="V59" s="11" t="s">
        <v>28</v>
      </c>
      <c r="W59" s="22" t="s">
        <v>392</v>
      </c>
      <c r="X59" s="22" t="s">
        <v>392</v>
      </c>
      <c r="Y59" s="22"/>
      <c r="Z59" s="7"/>
      <c r="AA59" s="7"/>
      <c r="AB59" s="23"/>
      <c r="AC59" s="26"/>
    </row>
    <row r="60" spans="1:29" ht="15.75" customHeight="1">
      <c r="A60" s="10" t="s">
        <v>500</v>
      </c>
      <c r="B60" s="10" t="s">
        <v>27</v>
      </c>
      <c r="C60" s="11" t="s">
        <v>28</v>
      </c>
      <c r="D60" s="12"/>
      <c r="E60" s="13" t="s">
        <v>501</v>
      </c>
      <c r="F60" s="6" t="s">
        <v>502</v>
      </c>
      <c r="G60" s="15" t="str">
        <f ca="1">IFERROR(__xludf.DUMMYFUNCTION("CONCATENATE(B60,(VLOOKUP(C60,CATALOGOS!$F$2:$H$6,3,FALSE)),(VLOOKUP(V60,CATALOGOS!$J$2:$K$18,2,FALSE)),""-"",TO_TEXT(A60))"),"P05RM-0059")</f>
        <v>P05RM-0059</v>
      </c>
      <c r="H60" s="6" t="str">
        <f ca="1">IFERROR(__xludf.DUMMYFUNCTION("CONCATENATE($B60,(VLOOKUP($C60,CATALOGOS!$F$2:$H$6,3,FALSE)),(VLOOKUP($V60,CATALOGOS!$J$2:$K$18,2,FALSE)),""-"",TO_TEXT($A60))"),"P05RM-0059")</f>
        <v>P05RM-0059</v>
      </c>
      <c r="I60" s="6"/>
      <c r="J60" s="6" t="s">
        <v>503</v>
      </c>
      <c r="K60" s="6" t="s">
        <v>504</v>
      </c>
      <c r="L60" s="6" t="s">
        <v>505</v>
      </c>
      <c r="M60" s="6" t="s">
        <v>506</v>
      </c>
      <c r="N60" s="17"/>
      <c r="O60" s="17"/>
      <c r="P60" s="17" t="str">
        <f t="shared" si="2"/>
        <v>OK</v>
      </c>
      <c r="Q60" s="17" t="s">
        <v>35</v>
      </c>
      <c r="R60" s="6" t="s">
        <v>35</v>
      </c>
      <c r="S60" s="17" t="s">
        <v>36</v>
      </c>
      <c r="T60" s="35" t="s">
        <v>507</v>
      </c>
      <c r="U60" s="173" t="s">
        <v>38</v>
      </c>
      <c r="V60" s="11" t="s">
        <v>147</v>
      </c>
      <c r="W60" s="20" t="s">
        <v>508</v>
      </c>
      <c r="X60" s="20" t="s">
        <v>508</v>
      </c>
      <c r="Y60" s="20"/>
      <c r="Z60" s="6"/>
      <c r="AA60" s="6" t="s">
        <v>509</v>
      </c>
      <c r="AB60" s="23"/>
      <c r="AC60" s="26"/>
    </row>
    <row r="61" spans="1:29" ht="15.75" customHeight="1">
      <c r="A61" s="10" t="s">
        <v>510</v>
      </c>
      <c r="B61" s="10" t="s">
        <v>474</v>
      </c>
      <c r="C61" s="11" t="s">
        <v>28</v>
      </c>
      <c r="D61" s="12"/>
      <c r="E61" s="13" t="s">
        <v>378</v>
      </c>
      <c r="F61" s="43" t="s">
        <v>511</v>
      </c>
      <c r="G61" s="6" t="str">
        <f ca="1">IFERROR(__xludf.DUMMYFUNCTION("CONCATENATE(B61,(VLOOKUP(C61,CATALOGOS!$F$2:$H$6,3,FALSE)),(VLOOKUP(V61,CATALOGOS!$J$2:$K$18,2,FALSE)),""-"",TO_TEXT(A61))"),"P35DA-0060")</f>
        <v>P35DA-0060</v>
      </c>
      <c r="H61" s="6" t="str">
        <f ca="1">IFERROR(__xludf.DUMMYFUNCTION("CONCATENATE($B61,(VLOOKUP($C61,CATALOGOS!$F$2:$H$6,3,FALSE)),(VLOOKUP($V61,CATALOGOS!$J$2:$K$18,2,FALSE)),""-"",TO_TEXT($A61))"),"P35DA-0060")</f>
        <v>P35DA-0060</v>
      </c>
      <c r="I61" s="6"/>
      <c r="J61" s="6" t="s">
        <v>512</v>
      </c>
      <c r="K61" s="6" t="s">
        <v>513</v>
      </c>
      <c r="L61" s="6" t="s">
        <v>514</v>
      </c>
      <c r="M61" s="6" t="s">
        <v>515</v>
      </c>
      <c r="N61" s="17"/>
      <c r="O61" s="17"/>
      <c r="P61" s="17" t="str">
        <f t="shared" si="2"/>
        <v>OK</v>
      </c>
      <c r="Q61" s="17" t="s">
        <v>35</v>
      </c>
      <c r="R61" s="6" t="s">
        <v>35</v>
      </c>
      <c r="S61" s="17" t="s">
        <v>36</v>
      </c>
      <c r="T61" s="17" t="s">
        <v>516</v>
      </c>
      <c r="U61" s="173" t="s">
        <v>517</v>
      </c>
      <c r="V61" s="11" t="s">
        <v>28</v>
      </c>
      <c r="W61" s="22" t="s">
        <v>392</v>
      </c>
      <c r="X61" s="22" t="s">
        <v>392</v>
      </c>
      <c r="Y61" s="22"/>
      <c r="Z61" s="6"/>
      <c r="AA61" s="6" t="s">
        <v>518</v>
      </c>
      <c r="AB61" s="23"/>
      <c r="AC61" s="26"/>
    </row>
    <row r="62" spans="1:29" ht="15.75" customHeight="1">
      <c r="A62" s="10" t="s">
        <v>519</v>
      </c>
      <c r="B62" s="10" t="s">
        <v>27</v>
      </c>
      <c r="C62" s="11" t="s">
        <v>28</v>
      </c>
      <c r="D62" s="12"/>
      <c r="E62" s="13" t="s">
        <v>378</v>
      </c>
      <c r="F62" s="6" t="s">
        <v>520</v>
      </c>
      <c r="G62" s="6" t="str">
        <f ca="1">IFERROR(__xludf.DUMMYFUNCTION("CONCATENATE(B62,(VLOOKUP(C62,CATALOGOS!$F$2:$H$6,3,FALSE)),(VLOOKUP(V62,CATALOGOS!$J$2:$K$18,2,FALSE)),""-"",TO_TEXT(A62))"),"P05DA-0061")</f>
        <v>P05DA-0061</v>
      </c>
      <c r="H62" s="6" t="str">
        <f ca="1">IFERROR(__xludf.DUMMYFUNCTION("CONCATENATE($B62,(VLOOKUP($C62,CATALOGOS!$F$2:$H$6,3,FALSE)),(VLOOKUP($V62,CATALOGOS!$J$2:$K$18,2,FALSE)),""-"",TO_TEXT($A62))"),"P05DA-0061")</f>
        <v>P05DA-0061</v>
      </c>
      <c r="I62" s="6"/>
      <c r="J62" s="6" t="s">
        <v>521</v>
      </c>
      <c r="K62" s="6" t="s">
        <v>522</v>
      </c>
      <c r="L62" s="6" t="s">
        <v>523</v>
      </c>
      <c r="M62" s="6" t="s">
        <v>524</v>
      </c>
      <c r="N62" s="17"/>
      <c r="O62" s="17"/>
      <c r="P62" s="17" t="str">
        <f t="shared" si="2"/>
        <v>OK</v>
      </c>
      <c r="Q62" s="17" t="s">
        <v>35</v>
      </c>
      <c r="R62" s="6" t="s">
        <v>35</v>
      </c>
      <c r="S62" s="17" t="s">
        <v>36</v>
      </c>
      <c r="T62" s="17" t="s">
        <v>525</v>
      </c>
      <c r="U62" s="173" t="s">
        <v>38</v>
      </c>
      <c r="V62" s="11" t="s">
        <v>28</v>
      </c>
      <c r="W62" s="22" t="s">
        <v>392</v>
      </c>
      <c r="X62" s="22" t="s">
        <v>392</v>
      </c>
      <c r="Y62" s="22"/>
      <c r="Z62" s="6"/>
      <c r="AA62" s="6" t="s">
        <v>526</v>
      </c>
      <c r="AB62" s="23"/>
      <c r="AC62" s="26"/>
    </row>
    <row r="63" spans="1:29" ht="15.75" customHeight="1">
      <c r="A63" s="10" t="s">
        <v>527</v>
      </c>
      <c r="B63" s="10" t="s">
        <v>27</v>
      </c>
      <c r="C63" s="11" t="s">
        <v>28</v>
      </c>
      <c r="D63" s="12"/>
      <c r="E63" s="13" t="s">
        <v>93</v>
      </c>
      <c r="F63" s="6" t="s">
        <v>528</v>
      </c>
      <c r="G63" s="15" t="str">
        <f ca="1">IFERROR(__xludf.DUMMYFUNCTION("CONCATENATE(B63,(VLOOKUP(C63,CATALOGOS!$F$2:$H$6,3,FALSE)),(VLOOKUP(V63,CATALOGOS!$J$2:$K$18,2,FALSE)),""-"",TO_TEXT(A63))"),"P05DA-0062")</f>
        <v>P05DA-0062</v>
      </c>
      <c r="H63" s="6" t="str">
        <f ca="1">IFERROR(__xludf.DUMMYFUNCTION("CONCATENATE($B63,(VLOOKUP($C63,CATALOGOS!$F$2:$H$6,3,FALSE)),(VLOOKUP($V63,CATALOGOS!$J$2:$K$18,2,FALSE)),""-"",TO_TEXT($A63))"),"P05DA-0062")</f>
        <v>P05DA-0062</v>
      </c>
      <c r="I63" s="6"/>
      <c r="J63" s="6" t="s">
        <v>529</v>
      </c>
      <c r="K63" s="6" t="s">
        <v>530</v>
      </c>
      <c r="L63" s="6" t="s">
        <v>531</v>
      </c>
      <c r="M63" s="6" t="s">
        <v>532</v>
      </c>
      <c r="N63" s="17"/>
      <c r="O63" s="17"/>
      <c r="P63" s="17" t="str">
        <f t="shared" si="2"/>
        <v>OK</v>
      </c>
      <c r="Q63" s="17" t="s">
        <v>35</v>
      </c>
      <c r="R63" s="6" t="s">
        <v>35</v>
      </c>
      <c r="S63" s="17" t="s">
        <v>36</v>
      </c>
      <c r="T63" s="17" t="s">
        <v>533</v>
      </c>
      <c r="U63" s="173" t="s">
        <v>38</v>
      </c>
      <c r="V63" s="11" t="s">
        <v>28</v>
      </c>
      <c r="W63" s="22" t="s">
        <v>392</v>
      </c>
      <c r="X63" s="22" t="s">
        <v>392</v>
      </c>
      <c r="Y63" s="22"/>
      <c r="Z63" s="6"/>
      <c r="AA63" s="6"/>
      <c r="AB63" s="23"/>
      <c r="AC63" s="26"/>
    </row>
    <row r="64" spans="1:29" ht="15.75" customHeight="1">
      <c r="A64" s="10" t="s">
        <v>534</v>
      </c>
      <c r="B64" s="10" t="s">
        <v>474</v>
      </c>
      <c r="C64" s="11" t="s">
        <v>28</v>
      </c>
      <c r="D64" s="12"/>
      <c r="E64" s="13" t="s">
        <v>378</v>
      </c>
      <c r="F64" s="6" t="s">
        <v>535</v>
      </c>
      <c r="G64" s="15" t="str">
        <f ca="1">IFERROR(__xludf.DUMMYFUNCTION("CONCATENATE(B64,(VLOOKUP(C64,CATALOGOS!$F$2:$H$6,3,FALSE)),(VLOOKUP(V64,CATALOGOS!$J$2:$K$18,2,FALSE)),""-"",TO_TEXT(A64))"),"P35DA-0063")</f>
        <v>P35DA-0063</v>
      </c>
      <c r="H64" s="6" t="str">
        <f ca="1">IFERROR(__xludf.DUMMYFUNCTION("CONCATENATE($B64,(VLOOKUP($C64,CATALOGOS!$F$2:$H$6,3,FALSE)),(VLOOKUP($V64,CATALOGOS!$J$2:$K$18,2,FALSE)),""-"",TO_TEXT($A64))"),"P35DA-0063")</f>
        <v>P35DA-0063</v>
      </c>
      <c r="I64" s="6"/>
      <c r="J64" s="6" t="s">
        <v>536</v>
      </c>
      <c r="K64" s="6" t="s">
        <v>537</v>
      </c>
      <c r="L64" s="6" t="s">
        <v>538</v>
      </c>
      <c r="M64" s="6" t="s">
        <v>539</v>
      </c>
      <c r="N64" s="17"/>
      <c r="O64" s="17"/>
      <c r="P64" s="17" t="str">
        <f t="shared" si="2"/>
        <v>OK</v>
      </c>
      <c r="Q64" s="17" t="s">
        <v>35</v>
      </c>
      <c r="R64" s="6" t="s">
        <v>35</v>
      </c>
      <c r="S64" s="17" t="s">
        <v>36</v>
      </c>
      <c r="T64" s="17" t="s">
        <v>540</v>
      </c>
      <c r="U64" s="173" t="s">
        <v>38</v>
      </c>
      <c r="V64" s="11" t="s">
        <v>28</v>
      </c>
      <c r="W64" s="22" t="s">
        <v>392</v>
      </c>
      <c r="X64" s="22" t="s">
        <v>392</v>
      </c>
      <c r="Y64" s="22"/>
      <c r="Z64" s="6"/>
      <c r="AA64" s="6" t="s">
        <v>541</v>
      </c>
      <c r="AB64" s="23"/>
      <c r="AC64" s="26"/>
    </row>
    <row r="65" spans="1:29" ht="15.75" customHeight="1">
      <c r="A65" s="10" t="s">
        <v>542</v>
      </c>
      <c r="B65" s="10" t="s">
        <v>27</v>
      </c>
      <c r="C65" s="11" t="s">
        <v>28</v>
      </c>
      <c r="D65" s="12"/>
      <c r="E65" s="13" t="s">
        <v>93</v>
      </c>
      <c r="F65" s="6" t="s">
        <v>543</v>
      </c>
      <c r="G65" s="15" t="str">
        <f ca="1">IFERROR(__xludf.DUMMYFUNCTION("CONCATENATE(B65,(VLOOKUP(C65,CATALOGOS!$F$2:$H$6,3,FALSE)),(VLOOKUP(V65,CATALOGOS!$J$2:$K$18,2,FALSE)),""-"",TO_TEXT(A65))"),"P05DA-0064")</f>
        <v>P05DA-0064</v>
      </c>
      <c r="H65" s="6" t="str">
        <f ca="1">IFERROR(__xludf.DUMMYFUNCTION("CONCATENATE($B65,(VLOOKUP($C65,CATALOGOS!$F$2:$H$6,3,FALSE)),(VLOOKUP($V65,CATALOGOS!$J$2:$K$18,2,FALSE)),""-"",TO_TEXT($A65))"),"P05DA-0064")</f>
        <v>P05DA-0064</v>
      </c>
      <c r="I65" s="6"/>
      <c r="J65" s="6" t="s">
        <v>544</v>
      </c>
      <c r="K65" s="6" t="s">
        <v>545</v>
      </c>
      <c r="L65" s="6" t="s">
        <v>546</v>
      </c>
      <c r="M65" s="6" t="s">
        <v>547</v>
      </c>
      <c r="N65" s="17"/>
      <c r="O65" s="17"/>
      <c r="P65" s="17" t="str">
        <f t="shared" si="2"/>
        <v>OK</v>
      </c>
      <c r="Q65" s="17" t="s">
        <v>35</v>
      </c>
      <c r="R65" s="6" t="s">
        <v>35</v>
      </c>
      <c r="S65" s="17" t="s">
        <v>36</v>
      </c>
      <c r="T65" s="17" t="s">
        <v>548</v>
      </c>
      <c r="U65" s="173" t="s">
        <v>549</v>
      </c>
      <c r="V65" s="11" t="s">
        <v>28</v>
      </c>
      <c r="W65" s="22" t="s">
        <v>392</v>
      </c>
      <c r="X65" s="22" t="s">
        <v>392</v>
      </c>
      <c r="Y65" s="22"/>
      <c r="Z65" s="6"/>
      <c r="AA65" s="6" t="s">
        <v>541</v>
      </c>
      <c r="AB65" s="23"/>
      <c r="AC65" s="26"/>
    </row>
    <row r="66" spans="1:29" ht="15.75" customHeight="1">
      <c r="A66" s="10" t="s">
        <v>550</v>
      </c>
      <c r="B66" s="10" t="s">
        <v>27</v>
      </c>
      <c r="C66" s="11" t="s">
        <v>28</v>
      </c>
      <c r="D66" s="12"/>
      <c r="E66" s="13" t="s">
        <v>466</v>
      </c>
      <c r="F66" s="6" t="s">
        <v>551</v>
      </c>
      <c r="G66" s="15" t="str">
        <f ca="1">IFERROR(__xludf.DUMMYFUNCTION("CONCATENATE(B66,(VLOOKUP(C66,CATALOGOS!$F$2:$H$6,3,FALSE)),(VLOOKUP(V66,CATALOGOS!$J$2:$K$18,2,FALSE)),""-"",TO_TEXT(A66))"),"P05DA-0065")</f>
        <v>P05DA-0065</v>
      </c>
      <c r="H66" s="6" t="str">
        <f ca="1">IFERROR(__xludf.DUMMYFUNCTION("CONCATENATE($B66,(VLOOKUP($C66,CATALOGOS!$F$2:$H$6,3,FALSE)),(VLOOKUP($V66,CATALOGOS!$J$2:$K$18,2,FALSE)),""-"",TO_TEXT($A66))"),"P05DA-0065")</f>
        <v>P05DA-0065</v>
      </c>
      <c r="I66" s="6"/>
      <c r="J66" s="6" t="s">
        <v>552</v>
      </c>
      <c r="K66" s="6" t="s">
        <v>553</v>
      </c>
      <c r="L66" s="6" t="s">
        <v>554</v>
      </c>
      <c r="M66" s="6" t="s">
        <v>555</v>
      </c>
      <c r="N66" s="17"/>
      <c r="O66" s="17"/>
      <c r="P66" s="17" t="str">
        <f t="shared" si="2"/>
        <v>OK</v>
      </c>
      <c r="Q66" s="17" t="s">
        <v>35</v>
      </c>
      <c r="R66" s="6" t="s">
        <v>35</v>
      </c>
      <c r="S66" s="17" t="s">
        <v>36</v>
      </c>
      <c r="T66" s="17" t="s">
        <v>556</v>
      </c>
      <c r="U66" s="173" t="s">
        <v>38</v>
      </c>
      <c r="V66" s="11" t="s">
        <v>28</v>
      </c>
      <c r="W66" s="22" t="s">
        <v>392</v>
      </c>
      <c r="X66" s="22" t="s">
        <v>392</v>
      </c>
      <c r="Y66" s="22"/>
      <c r="Z66" s="7"/>
      <c r="AA66" s="7"/>
      <c r="AB66" s="23"/>
      <c r="AC66" s="26"/>
    </row>
    <row r="67" spans="1:29" ht="15.75" customHeight="1">
      <c r="A67" s="10" t="s">
        <v>557</v>
      </c>
      <c r="B67" s="10" t="s">
        <v>27</v>
      </c>
      <c r="C67" s="11" t="s">
        <v>28</v>
      </c>
      <c r="D67" s="12"/>
      <c r="E67" s="13" t="s">
        <v>53</v>
      </c>
      <c r="F67" s="6" t="s">
        <v>558</v>
      </c>
      <c r="G67" s="15" t="str">
        <f ca="1">IFERROR(__xludf.DUMMYFUNCTION("CONCATENATE(B67,(VLOOKUP(C67,CATALOGOS!$F$2:$H$6,3,FALSE)),(VLOOKUP(V67,CATALOGOS!$J$2:$K$18,2,FALSE)),""-"",TO_TEXT(A67))"),"P05DA-0066")</f>
        <v>P05DA-0066</v>
      </c>
      <c r="H67" s="6" t="str">
        <f ca="1">IFERROR(__xludf.DUMMYFUNCTION("CONCATENATE($B67,(VLOOKUP($C67,CATALOGOS!$F$2:$H$6,3,FALSE)),(VLOOKUP($V67,CATALOGOS!$J$2:$K$18,2,FALSE)),""-"",TO_TEXT($A67))"),"P05DA-0066")</f>
        <v>P05DA-0066</v>
      </c>
      <c r="I67" s="6"/>
      <c r="J67" s="6" t="s">
        <v>559</v>
      </c>
      <c r="K67" s="6" t="s">
        <v>560</v>
      </c>
      <c r="L67" s="6" t="s">
        <v>561</v>
      </c>
      <c r="M67" s="6" t="s">
        <v>562</v>
      </c>
      <c r="N67" s="17"/>
      <c r="O67" s="17"/>
      <c r="P67" s="17" t="str">
        <f t="shared" si="2"/>
        <v>OK</v>
      </c>
      <c r="Q67" s="17" t="s">
        <v>35</v>
      </c>
      <c r="R67" s="6" t="s">
        <v>35</v>
      </c>
      <c r="S67" s="17" t="s">
        <v>36</v>
      </c>
      <c r="T67" s="17" t="s">
        <v>563</v>
      </c>
      <c r="U67" s="173" t="s">
        <v>38</v>
      </c>
      <c r="V67" s="11" t="s">
        <v>28</v>
      </c>
      <c r="W67" s="22" t="s">
        <v>392</v>
      </c>
      <c r="X67" s="22" t="s">
        <v>392</v>
      </c>
      <c r="Y67" s="22"/>
      <c r="Z67" s="7"/>
      <c r="AA67" s="7"/>
      <c r="AB67" s="23"/>
      <c r="AC67" s="26"/>
    </row>
    <row r="68" spans="1:29" ht="15.75" customHeight="1">
      <c r="A68" s="10" t="s">
        <v>564</v>
      </c>
      <c r="B68" s="10" t="s">
        <v>27</v>
      </c>
      <c r="C68" s="11" t="s">
        <v>28</v>
      </c>
      <c r="D68" s="38"/>
      <c r="E68" s="13" t="s">
        <v>565</v>
      </c>
      <c r="F68" s="6" t="s">
        <v>566</v>
      </c>
      <c r="G68" s="15" t="str">
        <f ca="1">IFERROR(__xludf.DUMMYFUNCTION("CONCATENATE(B68,(VLOOKUP(C68,CATALOGOS!$F$2:$H$6,3,FALSE)),(VLOOKUP(V68,CATALOGOS!$J$2:$K$18,2,FALSE)),""-"",TO_TEXT(A68))"),"P05DA-0067")</f>
        <v>P05DA-0067</v>
      </c>
      <c r="H68" s="6" t="str">
        <f ca="1">IFERROR(__xludf.DUMMYFUNCTION("CONCATENATE($B68,(VLOOKUP($C68,CATALOGOS!$F$2:$H$6,3,FALSE)),(VLOOKUP($V68,CATALOGOS!$J$2:$K$18,2,FALSE)),""-"",TO_TEXT($A68))"),"P05DA-0067")</f>
        <v>P05DA-0067</v>
      </c>
      <c r="I68" s="6"/>
      <c r="J68" s="6" t="s">
        <v>567</v>
      </c>
      <c r="K68" s="6" t="s">
        <v>568</v>
      </c>
      <c r="L68" s="6" t="s">
        <v>569</v>
      </c>
      <c r="M68" s="6" t="s">
        <v>570</v>
      </c>
      <c r="N68" s="17"/>
      <c r="O68" s="17"/>
      <c r="P68" s="17" t="str">
        <f t="shared" si="2"/>
        <v>OK</v>
      </c>
      <c r="Q68" s="17" t="s">
        <v>35</v>
      </c>
      <c r="R68" s="6" t="s">
        <v>35</v>
      </c>
      <c r="S68" s="46" t="s">
        <v>36</v>
      </c>
      <c r="T68" s="17" t="s">
        <v>85</v>
      </c>
      <c r="U68" s="173" t="s">
        <v>38</v>
      </c>
      <c r="V68" s="11" t="s">
        <v>28</v>
      </c>
      <c r="W68" s="22" t="s">
        <v>392</v>
      </c>
      <c r="X68" s="22" t="s">
        <v>392</v>
      </c>
      <c r="Y68" s="22"/>
      <c r="Z68" s="7"/>
      <c r="AA68" s="7"/>
      <c r="AB68" s="26"/>
      <c r="AC68" s="26"/>
    </row>
    <row r="69" spans="1:29" ht="15.75" customHeight="1">
      <c r="A69" s="10" t="s">
        <v>571</v>
      </c>
      <c r="B69" s="10" t="s">
        <v>27</v>
      </c>
      <c r="C69" s="11" t="s">
        <v>28</v>
      </c>
      <c r="D69" s="12"/>
      <c r="E69" s="13" t="s">
        <v>501</v>
      </c>
      <c r="F69" s="6" t="s">
        <v>572</v>
      </c>
      <c r="G69" s="6" t="str">
        <f ca="1">IFERROR(__xludf.DUMMYFUNCTION("CONCATENATE(B69,(VLOOKUP(C69,CATALOGOS!$F$2:$H$6,3,FALSE)),(VLOOKUP(V69,CATALOGOS!$J$2:$K$18,2,FALSE)),""-"",TO_TEXT(A69))"),"P05RM-0068")</f>
        <v>P05RM-0068</v>
      </c>
      <c r="H69" s="6" t="str">
        <f ca="1">IFERROR(__xludf.DUMMYFUNCTION("CONCATENATE($B69,(VLOOKUP($C69,CATALOGOS!$F$2:$H$6,3,FALSE)),(VLOOKUP($V69,CATALOGOS!$J$2:$K$18,2,FALSE)),""-"",TO_TEXT($A69))"),"P05RM-0068")</f>
        <v>P05RM-0068</v>
      </c>
      <c r="I69" s="6"/>
      <c r="J69" s="6" t="s">
        <v>573</v>
      </c>
      <c r="K69" s="6" t="s">
        <v>574</v>
      </c>
      <c r="L69" s="6" t="s">
        <v>575</v>
      </c>
      <c r="M69" s="6" t="s">
        <v>576</v>
      </c>
      <c r="N69" s="17"/>
      <c r="O69" s="17"/>
      <c r="P69" s="17" t="str">
        <f t="shared" si="2"/>
        <v>OK</v>
      </c>
      <c r="Q69" s="17" t="s">
        <v>35</v>
      </c>
      <c r="R69" s="6" t="s">
        <v>35</v>
      </c>
      <c r="S69" s="17" t="s">
        <v>36</v>
      </c>
      <c r="T69" s="17" t="s">
        <v>577</v>
      </c>
      <c r="U69" s="173" t="s">
        <v>38</v>
      </c>
      <c r="V69" s="11" t="s">
        <v>147</v>
      </c>
      <c r="W69" s="22" t="s">
        <v>493</v>
      </c>
      <c r="X69" s="22" t="s">
        <v>493</v>
      </c>
      <c r="Y69" s="22"/>
      <c r="Z69" s="7"/>
      <c r="AA69" s="7"/>
      <c r="AB69" s="23"/>
      <c r="AC69" s="26"/>
    </row>
    <row r="70" spans="1:29" ht="15.75" customHeight="1">
      <c r="A70" s="10" t="s">
        <v>578</v>
      </c>
      <c r="B70" s="10" t="s">
        <v>27</v>
      </c>
      <c r="C70" s="11" t="s">
        <v>28</v>
      </c>
      <c r="D70" s="12"/>
      <c r="E70" s="13" t="s">
        <v>501</v>
      </c>
      <c r="F70" s="6" t="s">
        <v>579</v>
      </c>
      <c r="G70" s="6" t="str">
        <f ca="1">IFERROR(__xludf.DUMMYFUNCTION("CONCATENATE(B70,(VLOOKUP(C70,CATALOGOS!$F$2:$H$6,3,FALSE)),(VLOOKUP(V70,CATALOGOS!$J$2:$K$18,2,FALSE)),""-"",TO_TEXT(A70))"),"P05RM-0069")</f>
        <v>P05RM-0069</v>
      </c>
      <c r="H70" s="6" t="str">
        <f ca="1">IFERROR(__xludf.DUMMYFUNCTION("CONCATENATE($B70,(VLOOKUP($C70,CATALOGOS!$F$2:$H$6,3,FALSE)),(VLOOKUP($V70,CATALOGOS!$J$2:$K$18,2,FALSE)),""-"",TO_TEXT($A70))"),"P05RM-0069")</f>
        <v>P05RM-0069</v>
      </c>
      <c r="I70" s="6"/>
      <c r="J70" s="6" t="s">
        <v>580</v>
      </c>
      <c r="K70" s="6" t="s">
        <v>581</v>
      </c>
      <c r="L70" s="6" t="s">
        <v>582</v>
      </c>
      <c r="M70" s="6" t="s">
        <v>583</v>
      </c>
      <c r="N70" s="17"/>
      <c r="O70" s="17"/>
      <c r="P70" s="17" t="str">
        <f t="shared" si="2"/>
        <v>OK</v>
      </c>
      <c r="Q70" s="17" t="s">
        <v>35</v>
      </c>
      <c r="R70" s="6" t="s">
        <v>35</v>
      </c>
      <c r="S70" s="17" t="s">
        <v>36</v>
      </c>
      <c r="T70" s="17" t="s">
        <v>584</v>
      </c>
      <c r="U70" s="173" t="s">
        <v>38</v>
      </c>
      <c r="V70" s="11" t="s">
        <v>147</v>
      </c>
      <c r="W70" s="22" t="s">
        <v>493</v>
      </c>
      <c r="X70" s="22" t="s">
        <v>493</v>
      </c>
      <c r="Y70" s="22"/>
      <c r="Z70" s="7"/>
      <c r="AA70" s="7"/>
      <c r="AB70" s="23"/>
      <c r="AC70" s="26"/>
    </row>
    <row r="71" spans="1:29" ht="15.75" customHeight="1">
      <c r="A71" s="10" t="s">
        <v>275</v>
      </c>
      <c r="B71" s="10" t="s">
        <v>27</v>
      </c>
      <c r="C71" s="11" t="s">
        <v>28</v>
      </c>
      <c r="D71" s="12"/>
      <c r="E71" s="13" t="s">
        <v>62</v>
      </c>
      <c r="F71" s="6" t="s">
        <v>585</v>
      </c>
      <c r="G71" s="6" t="str">
        <f ca="1">IFERROR(__xludf.DUMMYFUNCTION("CONCATENATE(B71,(VLOOKUP(C71,CATALOGOS!$F$2:$H$6,3,FALSE)),(VLOOKUP(V71,CATALOGOS!$J$2:$K$18,2,FALSE)),""-"",TO_TEXT(A71))"),"P05RM-0070")</f>
        <v>P05RM-0070</v>
      </c>
      <c r="H71" s="6" t="str">
        <f ca="1">IFERROR(__xludf.DUMMYFUNCTION("CONCATENATE($B71,(VLOOKUP($C71,CATALOGOS!$F$2:$H$6,3,FALSE)),(VLOOKUP($V71,CATALOGOS!$J$2:$K$18,2,FALSE)),""-"",TO_TEXT($A71))"),"P05RM-0070")</f>
        <v>P05RM-0070</v>
      </c>
      <c r="I71" s="6"/>
      <c r="J71" s="6" t="s">
        <v>586</v>
      </c>
      <c r="K71" s="6" t="s">
        <v>587</v>
      </c>
      <c r="L71" s="6" t="s">
        <v>588</v>
      </c>
      <c r="M71" s="6" t="s">
        <v>589</v>
      </c>
      <c r="N71" s="17"/>
      <c r="O71" s="17"/>
      <c r="P71" s="17" t="str">
        <f t="shared" si="2"/>
        <v>OK</v>
      </c>
      <c r="Q71" s="17" t="s">
        <v>35</v>
      </c>
      <c r="R71" s="6" t="s">
        <v>35</v>
      </c>
      <c r="S71" s="17" t="s">
        <v>36</v>
      </c>
      <c r="T71" s="17" t="s">
        <v>590</v>
      </c>
      <c r="U71" s="173" t="s">
        <v>38</v>
      </c>
      <c r="V71" s="11" t="s">
        <v>147</v>
      </c>
      <c r="W71" s="22" t="s">
        <v>493</v>
      </c>
      <c r="X71" s="22" t="s">
        <v>493</v>
      </c>
      <c r="Y71" s="22"/>
      <c r="Z71" s="7"/>
      <c r="AA71" s="7"/>
      <c r="AB71" s="23"/>
      <c r="AC71" s="26"/>
    </row>
    <row r="72" spans="1:29" ht="15.75" customHeight="1">
      <c r="A72" s="10" t="s">
        <v>591</v>
      </c>
      <c r="B72" s="10" t="s">
        <v>27</v>
      </c>
      <c r="C72" s="11" t="s">
        <v>28</v>
      </c>
      <c r="D72" s="12"/>
      <c r="E72" s="13" t="s">
        <v>93</v>
      </c>
      <c r="F72" s="6" t="s">
        <v>592</v>
      </c>
      <c r="G72" s="6" t="str">
        <f ca="1">IFERROR(__xludf.DUMMYFUNCTION("CONCATENATE(B72,(VLOOKUP(C72,CATALOGOS!$F$2:$H$6,3,FALSE)),(VLOOKUP(V72,CATALOGOS!$J$2:$K$18,2,FALSE)),""-"",TO_TEXT(A72))"),"P05RM-0071")</f>
        <v>P05RM-0071</v>
      </c>
      <c r="H72" s="6" t="str">
        <f ca="1">IFERROR(__xludf.DUMMYFUNCTION("CONCATENATE($B72,(VLOOKUP($C72,CATALOGOS!$F$2:$H$6,3,FALSE)),(VLOOKUP($V72,CATALOGOS!$J$2:$K$18,2,FALSE)),""-"",TO_TEXT($A72))"),"P05RM-0071")</f>
        <v>P05RM-0071</v>
      </c>
      <c r="I72" s="6"/>
      <c r="J72" s="6" t="s">
        <v>593</v>
      </c>
      <c r="K72" s="6" t="s">
        <v>594</v>
      </c>
      <c r="L72" s="6" t="s">
        <v>595</v>
      </c>
      <c r="M72" s="6" t="s">
        <v>596</v>
      </c>
      <c r="N72" s="17"/>
      <c r="O72" s="17"/>
      <c r="P72" s="17" t="str">
        <f t="shared" si="2"/>
        <v>OK</v>
      </c>
      <c r="Q72" s="17" t="s">
        <v>35</v>
      </c>
      <c r="R72" s="49" t="s">
        <v>35</v>
      </c>
      <c r="S72" s="17" t="s">
        <v>36</v>
      </c>
      <c r="T72" s="17" t="s">
        <v>597</v>
      </c>
      <c r="U72" s="173" t="s">
        <v>38</v>
      </c>
      <c r="V72" s="11" t="s">
        <v>147</v>
      </c>
      <c r="W72" s="22" t="s">
        <v>493</v>
      </c>
      <c r="X72" s="22" t="s">
        <v>493</v>
      </c>
      <c r="Y72" s="22"/>
      <c r="Z72" s="7"/>
      <c r="AA72" s="7"/>
      <c r="AB72" s="23"/>
      <c r="AC72" s="26"/>
    </row>
    <row r="73" spans="1:29" ht="15.75" customHeight="1">
      <c r="A73" s="10" t="s">
        <v>598</v>
      </c>
      <c r="B73" s="10" t="s">
        <v>27</v>
      </c>
      <c r="C73" s="11" t="s">
        <v>28</v>
      </c>
      <c r="D73" s="12"/>
      <c r="E73" s="13" t="s">
        <v>116</v>
      </c>
      <c r="F73" s="6" t="s">
        <v>599</v>
      </c>
      <c r="G73" s="6" t="str">
        <f ca="1">IFERROR(__xludf.DUMMYFUNCTION("CONCATENATE(B73,(VLOOKUP(C73,CATALOGOS!$F$2:$H$6,3,FALSE)),(VLOOKUP(V73,CATALOGOS!$J$2:$K$18,2,FALSE)),""-"",TO_TEXT(A73))"),"P05RM-0072")</f>
        <v>P05RM-0072</v>
      </c>
      <c r="H73" s="6" t="str">
        <f ca="1">IFERROR(__xludf.DUMMYFUNCTION("CONCATENATE($B73,(VLOOKUP($C73,CATALOGOS!$F$2:$H$6,3,FALSE)),(VLOOKUP($V73,CATALOGOS!$J$2:$K$18,2,FALSE)),""-"",TO_TEXT($A73))"),"P05RM-0072")</f>
        <v>P05RM-0072</v>
      </c>
      <c r="I73" s="6"/>
      <c r="J73" s="6" t="s">
        <v>600</v>
      </c>
      <c r="K73" s="6" t="s">
        <v>601</v>
      </c>
      <c r="L73" s="6" t="s">
        <v>602</v>
      </c>
      <c r="M73" s="6" t="s">
        <v>603</v>
      </c>
      <c r="N73" s="17"/>
      <c r="O73" s="17"/>
      <c r="P73" s="17" t="str">
        <f t="shared" si="2"/>
        <v>OK</v>
      </c>
      <c r="Q73" s="17" t="s">
        <v>35</v>
      </c>
      <c r="R73" s="6" t="s">
        <v>35</v>
      </c>
      <c r="S73" s="17" t="s">
        <v>36</v>
      </c>
      <c r="T73" s="17" t="s">
        <v>604</v>
      </c>
      <c r="U73" s="173" t="s">
        <v>38</v>
      </c>
      <c r="V73" s="11" t="s">
        <v>147</v>
      </c>
      <c r="W73" s="22" t="s">
        <v>493</v>
      </c>
      <c r="X73" s="22" t="s">
        <v>493</v>
      </c>
      <c r="Y73" s="22"/>
      <c r="Z73" s="7"/>
      <c r="AA73" s="7"/>
      <c r="AB73" s="23"/>
      <c r="AC73" s="26"/>
    </row>
    <row r="74" spans="1:29" ht="15.75" customHeight="1">
      <c r="A74" s="10" t="s">
        <v>605</v>
      </c>
      <c r="B74" s="10" t="s">
        <v>27</v>
      </c>
      <c r="C74" s="11" t="s">
        <v>28</v>
      </c>
      <c r="D74" s="12"/>
      <c r="E74" s="13" t="s">
        <v>378</v>
      </c>
      <c r="F74" s="6" t="s">
        <v>606</v>
      </c>
      <c r="G74" s="6" t="str">
        <f ca="1">IFERROR(__xludf.DUMMYFUNCTION("CONCATENATE(B74,(VLOOKUP(C74,CATALOGOS!$F$2:$H$6,3,FALSE)),(VLOOKUP(V74,CATALOGOS!$J$2:$K$18,2,FALSE)),""-"",TO_TEXT(A74))"),"P05RM-0073")</f>
        <v>P05RM-0073</v>
      </c>
      <c r="H74" s="6" t="str">
        <f ca="1">IFERROR(__xludf.DUMMYFUNCTION("CONCATENATE($B74,(VLOOKUP($C74,CATALOGOS!$F$2:$H$6,3,FALSE)),(VLOOKUP($V74,CATALOGOS!$J$2:$K$18,2,FALSE)),""-"",TO_TEXT($A74))"),"P05RM-0073")</f>
        <v>P05RM-0073</v>
      </c>
      <c r="I74" s="6"/>
      <c r="J74" s="6" t="s">
        <v>607</v>
      </c>
      <c r="K74" s="6" t="s">
        <v>608</v>
      </c>
      <c r="L74" s="6" t="s">
        <v>609</v>
      </c>
      <c r="M74" s="6" t="s">
        <v>610</v>
      </c>
      <c r="N74" s="17"/>
      <c r="O74" s="17"/>
      <c r="P74" s="17" t="str">
        <f t="shared" si="2"/>
        <v>OK</v>
      </c>
      <c r="Q74" s="17" t="s">
        <v>35</v>
      </c>
      <c r="R74" s="6" t="s">
        <v>35</v>
      </c>
      <c r="S74" s="17" t="s">
        <v>36</v>
      </c>
      <c r="T74" s="17" t="s">
        <v>611</v>
      </c>
      <c r="U74" s="173" t="s">
        <v>38</v>
      </c>
      <c r="V74" s="11" t="s">
        <v>147</v>
      </c>
      <c r="W74" s="22" t="s">
        <v>493</v>
      </c>
      <c r="X74" s="22" t="s">
        <v>493</v>
      </c>
      <c r="Y74" s="22"/>
      <c r="Z74" s="7"/>
      <c r="AA74" s="7"/>
      <c r="AB74" s="23"/>
      <c r="AC74" s="26"/>
    </row>
    <row r="75" spans="1:29" ht="15.75" customHeight="1">
      <c r="A75" s="10" t="s">
        <v>612</v>
      </c>
      <c r="B75" s="10" t="s">
        <v>27</v>
      </c>
      <c r="C75" s="11" t="s">
        <v>28</v>
      </c>
      <c r="D75" s="12"/>
      <c r="E75" s="13" t="s">
        <v>378</v>
      </c>
      <c r="F75" s="6" t="s">
        <v>606</v>
      </c>
      <c r="G75" s="6" t="str">
        <f ca="1">IFERROR(__xludf.DUMMYFUNCTION("CONCATENATE(B75,(VLOOKUP(C75,CATALOGOS!$F$2:$H$6,3,FALSE)),(VLOOKUP(V75,CATALOGOS!$J$2:$K$18,2,FALSE)),""-"",TO_TEXT(A75))"),"P05RM-0074")</f>
        <v>P05RM-0074</v>
      </c>
      <c r="H75" s="6" t="str">
        <f ca="1">IFERROR(__xludf.DUMMYFUNCTION("CONCATENATE($B75,(VLOOKUP($C75,CATALOGOS!$F$2:$H$6,3,FALSE)),(VLOOKUP($V75,CATALOGOS!$J$2:$K$18,2,FALSE)),""-"",TO_TEXT($A75))"),"P05RM-0074")</f>
        <v>P05RM-0074</v>
      </c>
      <c r="I75" s="6"/>
      <c r="J75" s="6" t="s">
        <v>613</v>
      </c>
      <c r="K75" s="6" t="s">
        <v>614</v>
      </c>
      <c r="L75" s="6" t="s">
        <v>615</v>
      </c>
      <c r="M75" s="6" t="s">
        <v>616</v>
      </c>
      <c r="N75" s="17"/>
      <c r="O75" s="17"/>
      <c r="P75" s="17" t="str">
        <f t="shared" si="2"/>
        <v>OK</v>
      </c>
      <c r="Q75" s="17" t="s">
        <v>35</v>
      </c>
      <c r="R75" s="6" t="s">
        <v>35</v>
      </c>
      <c r="S75" s="17" t="s">
        <v>36</v>
      </c>
      <c r="T75" s="17" t="s">
        <v>617</v>
      </c>
      <c r="U75" s="173" t="s">
        <v>38</v>
      </c>
      <c r="V75" s="11" t="s">
        <v>147</v>
      </c>
      <c r="W75" s="22" t="s">
        <v>493</v>
      </c>
      <c r="X75" s="22" t="s">
        <v>493</v>
      </c>
      <c r="Y75" s="22"/>
      <c r="Z75" s="7"/>
      <c r="AA75" s="7"/>
      <c r="AB75" s="23"/>
      <c r="AC75" s="26"/>
    </row>
    <row r="76" spans="1:29" ht="15.75" customHeight="1">
      <c r="A76" s="10" t="s">
        <v>618</v>
      </c>
      <c r="B76" s="10" t="s">
        <v>27</v>
      </c>
      <c r="C76" s="11" t="s">
        <v>28</v>
      </c>
      <c r="D76" s="12"/>
      <c r="E76" s="13" t="s">
        <v>151</v>
      </c>
      <c r="F76" s="6" t="s">
        <v>152</v>
      </c>
      <c r="G76" s="6" t="str">
        <f ca="1">IFERROR(__xludf.DUMMYFUNCTION("CONCATENATE(B76,(VLOOKUP(C76,CATALOGOS!$F$2:$H$6,3,FALSE)),(VLOOKUP(V76,CATALOGOS!$J$2:$K$18,2,FALSE)),""-"",TO_TEXT(A76))"),"P05RM-0075")</f>
        <v>P05RM-0075</v>
      </c>
      <c r="H76" s="6" t="str">
        <f ca="1">IFERROR(__xludf.DUMMYFUNCTION("CONCATENATE($B76,(VLOOKUP($C76,CATALOGOS!$F$2:$H$6,3,FALSE)),(VLOOKUP($V76,CATALOGOS!$J$2:$K$18,2,FALSE)),""-"",TO_TEXT($A76))"),"P05RM-0075")</f>
        <v>P05RM-0075</v>
      </c>
      <c r="I76" s="6"/>
      <c r="J76" s="6" t="s">
        <v>619</v>
      </c>
      <c r="K76" s="6" t="s">
        <v>620</v>
      </c>
      <c r="L76" s="6" t="s">
        <v>621</v>
      </c>
      <c r="M76" s="6" t="s">
        <v>141</v>
      </c>
      <c r="N76" s="17"/>
      <c r="O76" s="17"/>
      <c r="P76" s="17" t="str">
        <f t="shared" si="2"/>
        <v>REPETIDO</v>
      </c>
      <c r="Q76" s="17" t="s">
        <v>157</v>
      </c>
      <c r="R76" s="6" t="s">
        <v>158</v>
      </c>
      <c r="S76" s="17" t="s">
        <v>36</v>
      </c>
      <c r="T76" s="10" t="s">
        <v>622</v>
      </c>
      <c r="U76" s="173" t="s">
        <v>38</v>
      </c>
      <c r="V76" s="11" t="s">
        <v>147</v>
      </c>
      <c r="W76" s="22" t="s">
        <v>493</v>
      </c>
      <c r="X76" s="22" t="s">
        <v>493</v>
      </c>
      <c r="Y76" s="22"/>
      <c r="Z76" s="7"/>
      <c r="AA76" s="7"/>
      <c r="AB76" s="23"/>
      <c r="AC76" s="26"/>
    </row>
    <row r="77" spans="1:29" ht="15.75" customHeight="1">
      <c r="A77" s="10" t="s">
        <v>623</v>
      </c>
      <c r="B77" s="10" t="s">
        <v>27</v>
      </c>
      <c r="C77" s="11" t="s">
        <v>28</v>
      </c>
      <c r="D77" s="12"/>
      <c r="E77" s="13" t="s">
        <v>199</v>
      </c>
      <c r="F77" s="6" t="s">
        <v>199</v>
      </c>
      <c r="G77" s="6" t="str">
        <f ca="1">IFERROR(__xludf.DUMMYFUNCTION("CONCATENATE(B77,(VLOOKUP(C77,CATALOGOS!$F$2:$H$6,3,FALSE)),(VLOOKUP(V77,CATALOGOS!$J$2:$K$18,2,FALSE)),""-"",TO_TEXT(A77))"),"P05RM-0076")</f>
        <v>P05RM-0076</v>
      </c>
      <c r="H77" s="6" t="str">
        <f ca="1">IFERROR(__xludf.DUMMYFUNCTION("CONCATENATE($B77,(VLOOKUP($C77,CATALOGOS!$F$2:$H$6,3,FALSE)),(VLOOKUP($V77,CATALOGOS!$J$2:$K$18,2,FALSE)),""-"",TO_TEXT($A77))"),"P05RM-0076")</f>
        <v>P05RM-0076</v>
      </c>
      <c r="I77" s="6"/>
      <c r="J77" s="6" t="s">
        <v>624</v>
      </c>
      <c r="K77" s="6" t="s">
        <v>625</v>
      </c>
      <c r="L77" s="6" t="s">
        <v>626</v>
      </c>
      <c r="M77" s="6" t="s">
        <v>627</v>
      </c>
      <c r="N77" s="17"/>
      <c r="O77" s="17"/>
      <c r="P77" s="17" t="str">
        <f t="shared" si="2"/>
        <v>OK</v>
      </c>
      <c r="Q77" s="17" t="s">
        <v>157</v>
      </c>
      <c r="R77" s="6">
        <v>2378</v>
      </c>
      <c r="S77" s="17" t="s">
        <v>628</v>
      </c>
      <c r="T77" s="17" t="s">
        <v>629</v>
      </c>
      <c r="U77" s="173" t="s">
        <v>38</v>
      </c>
      <c r="V77" s="11" t="s">
        <v>147</v>
      </c>
      <c r="W77" s="22" t="s">
        <v>493</v>
      </c>
      <c r="X77" s="22" t="s">
        <v>493</v>
      </c>
      <c r="Y77" s="22"/>
      <c r="Z77" s="7"/>
      <c r="AA77" s="7"/>
      <c r="AB77" s="23"/>
      <c r="AC77" s="26"/>
    </row>
    <row r="78" spans="1:29" ht="15.75" customHeight="1">
      <c r="A78" s="10" t="s">
        <v>630</v>
      </c>
      <c r="B78" s="10" t="s">
        <v>27</v>
      </c>
      <c r="C78" s="11" t="s">
        <v>28</v>
      </c>
      <c r="D78" s="12"/>
      <c r="E78" s="13" t="s">
        <v>151</v>
      </c>
      <c r="F78" s="6" t="s">
        <v>152</v>
      </c>
      <c r="G78" s="6" t="str">
        <f ca="1">IFERROR(__xludf.DUMMYFUNCTION("CONCATENATE(B78,(VLOOKUP(C78,CATALOGOS!$F$2:$H$6,3,FALSE)),(VLOOKUP(V78,CATALOGOS!$J$2:$K$18,2,FALSE)),""-"",TO_TEXT(A78))"),"P05RM-0077")</f>
        <v>P05RM-0077</v>
      </c>
      <c r="H78" s="6" t="str">
        <f ca="1">IFERROR(__xludf.DUMMYFUNCTION("CONCATENATE($B78,(VLOOKUP($C78,CATALOGOS!$F$2:$H$6,3,FALSE)),(VLOOKUP($V78,CATALOGOS!$J$2:$K$18,2,FALSE)),""-"",TO_TEXT($A78))"),"P05RM-0077")</f>
        <v>P05RM-0077</v>
      </c>
      <c r="I78" s="6"/>
      <c r="J78" s="6" t="s">
        <v>631</v>
      </c>
      <c r="K78" s="6" t="s">
        <v>632</v>
      </c>
      <c r="L78" s="6" t="s">
        <v>633</v>
      </c>
      <c r="M78" s="6" t="s">
        <v>634</v>
      </c>
      <c r="N78" s="17"/>
      <c r="O78" s="17"/>
      <c r="P78" s="17" t="str">
        <f t="shared" si="2"/>
        <v>OK</v>
      </c>
      <c r="Q78" s="17" t="s">
        <v>157</v>
      </c>
      <c r="R78" s="6" t="s">
        <v>158</v>
      </c>
      <c r="S78" s="17" t="s">
        <v>635</v>
      </c>
      <c r="T78" s="10" t="s">
        <v>636</v>
      </c>
      <c r="U78" s="173" t="s">
        <v>38</v>
      </c>
      <c r="V78" s="11" t="s">
        <v>147</v>
      </c>
      <c r="W78" s="22" t="s">
        <v>493</v>
      </c>
      <c r="X78" s="22" t="s">
        <v>493</v>
      </c>
      <c r="Y78" s="22"/>
      <c r="Z78" s="7"/>
      <c r="AA78" s="7"/>
      <c r="AB78" s="23"/>
      <c r="AC78" s="26"/>
    </row>
    <row r="79" spans="1:29" ht="15.75" customHeight="1">
      <c r="A79" s="10" t="s">
        <v>637</v>
      </c>
      <c r="B79" s="10" t="s">
        <v>27</v>
      </c>
      <c r="C79" s="11" t="s">
        <v>28</v>
      </c>
      <c r="D79" s="12"/>
      <c r="E79" s="13" t="s">
        <v>353</v>
      </c>
      <c r="F79" s="43" t="s">
        <v>638</v>
      </c>
      <c r="G79" s="6" t="str">
        <f ca="1">IFERROR(__xludf.DUMMYFUNCTION("CONCATENATE(B79,(VLOOKUP(C79,CATALOGOS!$F$2:$H$6,3,FALSE)),(VLOOKUP(V79,CATALOGOS!$J$2:$K$18,2,FALSE)),""-"",TO_TEXT(A79))"),"P05RM-0078")</f>
        <v>P05RM-0078</v>
      </c>
      <c r="H79" s="6" t="str">
        <f ca="1">IFERROR(__xludf.DUMMYFUNCTION("CONCATENATE($B79,(VLOOKUP($C79,CATALOGOS!$F$2:$H$6,3,FALSE)),(VLOOKUP($V79,CATALOGOS!$J$2:$K$18,2,FALSE)),""-"",TO_TEXT($A79))"),"P05RM-0078")</f>
        <v>P05RM-0078</v>
      </c>
      <c r="I79" s="6"/>
      <c r="J79" s="6" t="s">
        <v>639</v>
      </c>
      <c r="K79" s="6" t="s">
        <v>640</v>
      </c>
      <c r="L79" s="6" t="s">
        <v>641</v>
      </c>
      <c r="M79" s="6" t="s">
        <v>642</v>
      </c>
      <c r="N79" s="17"/>
      <c r="O79" s="17"/>
      <c r="P79" s="17" t="str">
        <f t="shared" si="2"/>
        <v>OK</v>
      </c>
      <c r="Q79" s="17" t="s">
        <v>359</v>
      </c>
      <c r="R79" s="6" t="s">
        <v>360</v>
      </c>
      <c r="S79" s="17" t="s">
        <v>643</v>
      </c>
      <c r="T79" s="17" t="s">
        <v>644</v>
      </c>
      <c r="U79" s="173" t="s">
        <v>38</v>
      </c>
      <c r="V79" s="11" t="s">
        <v>147</v>
      </c>
      <c r="W79" s="22" t="s">
        <v>493</v>
      </c>
      <c r="X79" s="22" t="s">
        <v>493</v>
      </c>
      <c r="Y79" s="22"/>
      <c r="Z79" s="7"/>
      <c r="AA79" s="7"/>
      <c r="AB79" s="23"/>
      <c r="AC79" s="26"/>
    </row>
    <row r="80" spans="1:29" ht="15.75" customHeight="1">
      <c r="A80" s="10" t="s">
        <v>645</v>
      </c>
      <c r="B80" s="10" t="s">
        <v>27</v>
      </c>
      <c r="C80" s="11" t="s">
        <v>28</v>
      </c>
      <c r="D80" s="12"/>
      <c r="E80" s="13" t="s">
        <v>93</v>
      </c>
      <c r="F80" s="6" t="s">
        <v>646</v>
      </c>
      <c r="G80" s="6" t="str">
        <f ca="1">IFERROR(__xludf.DUMMYFUNCTION("CONCATENATE(B80,(VLOOKUP(C80,CATALOGOS!$F$2:$H$6,3,FALSE)),(VLOOKUP(V80,CATALOGOS!$J$2:$K$18,2,FALSE)),""-"",TO_TEXT(A80))"),"P05RM-0079")</f>
        <v>P05RM-0079</v>
      </c>
      <c r="H80" s="6" t="str">
        <f ca="1">IFERROR(__xludf.DUMMYFUNCTION("CONCATENATE($B80,(VLOOKUP($C80,CATALOGOS!$F$2:$H$6,3,FALSE)),(VLOOKUP($V80,CATALOGOS!$J$2:$K$18,2,FALSE)),""-"",TO_TEXT($A80))"),"P05RM-0079")</f>
        <v>P05RM-0079</v>
      </c>
      <c r="I80" s="6"/>
      <c r="J80" s="6" t="s">
        <v>647</v>
      </c>
      <c r="K80" s="6" t="s">
        <v>648</v>
      </c>
      <c r="L80" s="6" t="s">
        <v>649</v>
      </c>
      <c r="M80" s="6" t="s">
        <v>650</v>
      </c>
      <c r="N80" s="17"/>
      <c r="O80" s="17"/>
      <c r="P80" s="17" t="str">
        <f t="shared" si="2"/>
        <v>OK</v>
      </c>
      <c r="Q80" s="17" t="s">
        <v>35</v>
      </c>
      <c r="R80" s="6" t="s">
        <v>35</v>
      </c>
      <c r="S80" s="17" t="s">
        <v>36</v>
      </c>
      <c r="T80" s="17" t="s">
        <v>651</v>
      </c>
      <c r="U80" s="173" t="s">
        <v>38</v>
      </c>
      <c r="V80" s="11" t="s">
        <v>147</v>
      </c>
      <c r="W80" s="22" t="s">
        <v>493</v>
      </c>
      <c r="X80" s="22" t="s">
        <v>493</v>
      </c>
      <c r="Y80" s="22"/>
      <c r="Z80" s="7"/>
      <c r="AA80" s="7"/>
      <c r="AB80" s="23"/>
      <c r="AC80" s="26"/>
    </row>
    <row r="81" spans="1:30" ht="15.75" customHeight="1">
      <c r="A81" s="10" t="s">
        <v>652</v>
      </c>
      <c r="B81" s="10" t="s">
        <v>27</v>
      </c>
      <c r="C81" s="11" t="s">
        <v>28</v>
      </c>
      <c r="D81" s="12"/>
      <c r="E81" s="13" t="s">
        <v>184</v>
      </c>
      <c r="F81" s="6" t="s">
        <v>653</v>
      </c>
      <c r="G81" s="6" t="str">
        <f ca="1">IFERROR(__xludf.DUMMYFUNCTION("CONCATENATE(B81,(VLOOKUP(C81,CATALOGOS!$F$2:$H$6,3,FALSE)),(VLOOKUP(V81,CATALOGOS!$J$2:$K$18,2,FALSE)),""-"",TO_TEXT(A81))"),"P05RM-0080")</f>
        <v>P05RM-0080</v>
      </c>
      <c r="H81" s="6" t="str">
        <f ca="1">IFERROR(__xludf.DUMMYFUNCTION("CONCATENATE($B81,(VLOOKUP($C81,CATALOGOS!$F$2:$H$6,3,FALSE)),(VLOOKUP($V81,CATALOGOS!$J$2:$K$18,2,FALSE)),""-"",TO_TEXT($A81))"),"P05RM-0080")</f>
        <v>P05RM-0080</v>
      </c>
      <c r="I81" s="6"/>
      <c r="J81" s="6" t="s">
        <v>654</v>
      </c>
      <c r="K81" s="6" t="s">
        <v>655</v>
      </c>
      <c r="L81" s="6" t="s">
        <v>656</v>
      </c>
      <c r="M81" s="6" t="s">
        <v>657</v>
      </c>
      <c r="N81" s="17"/>
      <c r="O81" s="17"/>
      <c r="P81" s="17" t="str">
        <f t="shared" si="2"/>
        <v>OK</v>
      </c>
      <c r="Q81" s="17" t="s">
        <v>35</v>
      </c>
      <c r="R81" s="6" t="s">
        <v>35</v>
      </c>
      <c r="S81" s="17" t="s">
        <v>36</v>
      </c>
      <c r="T81" s="17" t="s">
        <v>658</v>
      </c>
      <c r="U81" s="173" t="s">
        <v>38</v>
      </c>
      <c r="V81" s="11" t="s">
        <v>147</v>
      </c>
      <c r="W81" s="22" t="s">
        <v>493</v>
      </c>
      <c r="X81" s="22" t="s">
        <v>493</v>
      </c>
      <c r="Y81" s="22"/>
      <c r="Z81" s="7"/>
      <c r="AA81" s="7"/>
      <c r="AB81" s="23"/>
      <c r="AC81" s="26"/>
    </row>
    <row r="82" spans="1:30" ht="15.75" customHeight="1">
      <c r="A82" s="10" t="s">
        <v>659</v>
      </c>
      <c r="B82" s="10" t="s">
        <v>27</v>
      </c>
      <c r="C82" s="11" t="s">
        <v>28</v>
      </c>
      <c r="D82" s="12"/>
      <c r="E82" s="13" t="s">
        <v>162</v>
      </c>
      <c r="F82" s="6" t="s">
        <v>162</v>
      </c>
      <c r="G82" s="6" t="str">
        <f ca="1">IFERROR(__xludf.DUMMYFUNCTION("CONCATENATE(B82,(VLOOKUP(C82,CATALOGOS!$F$2:$H$6,3,FALSE)),(VLOOKUP(V82,CATALOGOS!$J$2:$K$18,2,FALSE)),""-"",TO_TEXT(A82))"),"P05RM-0081")</f>
        <v>P05RM-0081</v>
      </c>
      <c r="H82" s="6" t="str">
        <f ca="1">IFERROR(__xludf.DUMMYFUNCTION("CONCATENATE($B82,(VLOOKUP($C82,CATALOGOS!$F$2:$H$6,3,FALSE)),(VLOOKUP($V82,CATALOGOS!$J$2:$K$18,2,FALSE)),""-"",TO_TEXT($A82))"),"P05RM-0081")</f>
        <v>P05RM-0081</v>
      </c>
      <c r="I82" s="6"/>
      <c r="J82" s="6" t="s">
        <v>660</v>
      </c>
      <c r="K82" s="6" t="s">
        <v>661</v>
      </c>
      <c r="L82" s="6" t="s">
        <v>662</v>
      </c>
      <c r="M82" s="6" t="s">
        <v>141</v>
      </c>
      <c r="N82" s="17"/>
      <c r="O82" s="17"/>
      <c r="P82" s="17" t="str">
        <f t="shared" si="2"/>
        <v>REPETIDO</v>
      </c>
      <c r="Q82" s="17" t="s">
        <v>663</v>
      </c>
      <c r="R82" s="6" t="s">
        <v>664</v>
      </c>
      <c r="S82" s="17" t="s">
        <v>665</v>
      </c>
      <c r="T82" s="17" t="s">
        <v>85</v>
      </c>
      <c r="U82" s="173" t="s">
        <v>38</v>
      </c>
      <c r="V82" s="11" t="s">
        <v>147</v>
      </c>
      <c r="W82" s="22" t="s">
        <v>493</v>
      </c>
      <c r="X82" s="22" t="s">
        <v>493</v>
      </c>
      <c r="Y82" s="22"/>
      <c r="Z82" s="7"/>
      <c r="AA82" s="7"/>
      <c r="AB82" s="23"/>
      <c r="AC82" s="26"/>
    </row>
    <row r="83" spans="1:30" ht="15.75" customHeight="1">
      <c r="A83" s="10" t="s">
        <v>666</v>
      </c>
      <c r="B83" s="10" t="s">
        <v>27</v>
      </c>
      <c r="C83" s="11" t="s">
        <v>28</v>
      </c>
      <c r="D83" s="38"/>
      <c r="E83" s="13" t="s">
        <v>43</v>
      </c>
      <c r="F83" s="6" t="s">
        <v>667</v>
      </c>
      <c r="G83" s="6" t="str">
        <f ca="1">IFERROR(__xludf.DUMMYFUNCTION("CONCATENATE(B83,(VLOOKUP(C83,CATALOGOS!$F$2:$H$6,3,FALSE)),(VLOOKUP(V83,CATALOGOS!$J$2:$K$18,2,FALSE)),""-"",TO_TEXT(A83))"),"P05RM-0082")</f>
        <v>P05RM-0082</v>
      </c>
      <c r="H83" s="6" t="str">
        <f ca="1">IFERROR(__xludf.DUMMYFUNCTION("CONCATENATE($B83,(VLOOKUP($C83,CATALOGOS!$F$2:$H$6,3,FALSE)),(VLOOKUP($V83,CATALOGOS!$J$2:$K$18,2,FALSE)),""-"",TO_TEXT($A83))"),"P05RM-0082")</f>
        <v>P05RM-0082</v>
      </c>
      <c r="I83" s="6"/>
      <c r="J83" s="6" t="s">
        <v>668</v>
      </c>
      <c r="K83" s="6" t="s">
        <v>669</v>
      </c>
      <c r="L83" s="6" t="s">
        <v>670</v>
      </c>
      <c r="M83" s="6" t="s">
        <v>671</v>
      </c>
      <c r="N83" s="17"/>
      <c r="O83" s="17"/>
      <c r="P83" s="17" t="str">
        <f t="shared" si="2"/>
        <v>OK</v>
      </c>
      <c r="Q83" s="17" t="s">
        <v>672</v>
      </c>
      <c r="R83" s="6" t="s">
        <v>673</v>
      </c>
      <c r="S83" s="46" t="s">
        <v>674</v>
      </c>
      <c r="T83" s="17" t="s">
        <v>675</v>
      </c>
      <c r="U83" s="173" t="s">
        <v>38</v>
      </c>
      <c r="V83" s="11" t="s">
        <v>147</v>
      </c>
      <c r="W83" s="22" t="s">
        <v>493</v>
      </c>
      <c r="X83" s="22" t="s">
        <v>493</v>
      </c>
      <c r="Y83" s="22"/>
      <c r="Z83" s="7"/>
      <c r="AA83" s="7"/>
      <c r="AB83" s="38" t="s">
        <v>675</v>
      </c>
      <c r="AC83" s="38"/>
      <c r="AD83" s="8"/>
    </row>
    <row r="84" spans="1:30" ht="15.75" customHeight="1">
      <c r="A84" s="10" t="s">
        <v>676</v>
      </c>
      <c r="B84" s="10" t="s">
        <v>27</v>
      </c>
      <c r="C84" s="11" t="s">
        <v>28</v>
      </c>
      <c r="D84" s="12"/>
      <c r="E84" s="13" t="s">
        <v>199</v>
      </c>
      <c r="F84" s="6" t="s">
        <v>677</v>
      </c>
      <c r="G84" s="6" t="str">
        <f ca="1">IFERROR(__xludf.DUMMYFUNCTION("CONCATENATE(B84,(VLOOKUP(C84,CATALOGOS!$F$2:$H$6,3,FALSE)),(VLOOKUP(V84,CATALOGOS!$J$2:$K$18,2,FALSE)),""-"",TO_TEXT(A84))"),"P05RH-0083")</f>
        <v>P05RH-0083</v>
      </c>
      <c r="H84" s="6" t="str">
        <f ca="1">IFERROR(__xludf.DUMMYFUNCTION("CONCATENATE($B84,(VLOOKUP($C84,CATALOGOS!$F$2:$H$6,3,FALSE)),(VLOOKUP($V84,CATALOGOS!$J$2:$K$18,2,FALSE)),""-"",TO_TEXT($A84))"),"P05RH-0083")</f>
        <v>P05RH-0083</v>
      </c>
      <c r="I84" s="6"/>
      <c r="J84" s="6" t="s">
        <v>678</v>
      </c>
      <c r="K84" s="6" t="s">
        <v>679</v>
      </c>
      <c r="L84" s="6" t="s">
        <v>680</v>
      </c>
      <c r="M84" s="6" t="s">
        <v>681</v>
      </c>
      <c r="N84" s="17"/>
      <c r="O84" s="17"/>
      <c r="P84" s="17" t="str">
        <f t="shared" si="2"/>
        <v>OK</v>
      </c>
      <c r="Q84" s="17" t="s">
        <v>682</v>
      </c>
      <c r="R84" s="6" t="s">
        <v>683</v>
      </c>
      <c r="S84" s="6" t="s">
        <v>684</v>
      </c>
      <c r="T84" s="10" t="s">
        <v>685</v>
      </c>
      <c r="U84" s="173" t="s">
        <v>38</v>
      </c>
      <c r="V84" s="11" t="s">
        <v>723</v>
      </c>
      <c r="W84" s="20" t="s">
        <v>687</v>
      </c>
      <c r="X84" s="20" t="s">
        <v>687</v>
      </c>
      <c r="Y84" s="20"/>
      <c r="Z84" s="7"/>
      <c r="AA84" s="7"/>
      <c r="AB84" s="23"/>
      <c r="AC84" s="26"/>
    </row>
    <row r="85" spans="1:30" ht="15.75" customHeight="1">
      <c r="A85" s="10" t="s">
        <v>688</v>
      </c>
      <c r="B85" s="10" t="s">
        <v>27</v>
      </c>
      <c r="C85" s="11" t="s">
        <v>28</v>
      </c>
      <c r="D85" s="12"/>
      <c r="E85" s="13" t="s">
        <v>136</v>
      </c>
      <c r="F85" s="6" t="s">
        <v>689</v>
      </c>
      <c r="G85" s="6" t="str">
        <f ca="1">IFERROR(__xludf.DUMMYFUNCTION("CONCATENATE(B85,(VLOOKUP(C85,CATALOGOS!$F$2:$H$6,3,FALSE)),(VLOOKUP(V85,CATALOGOS!$J$2:$K$18,2,FALSE)),""-"",TO_TEXT(A85))"),"P05RM-0084")</f>
        <v>P05RM-0084</v>
      </c>
      <c r="H85" s="6" t="str">
        <f ca="1">IFERROR(__xludf.DUMMYFUNCTION("CONCATENATE($B85,(VLOOKUP($C85,CATALOGOS!$F$2:$H$6,3,FALSE)),(VLOOKUP($V85,CATALOGOS!$J$2:$K$18,2,FALSE)),""-"",TO_TEXT($A85))"),"P05RM-0084")</f>
        <v>P05RM-0084</v>
      </c>
      <c r="I85" s="6"/>
      <c r="J85" s="6" t="s">
        <v>690</v>
      </c>
      <c r="K85" s="6" t="s">
        <v>691</v>
      </c>
      <c r="L85" s="6" t="s">
        <v>692</v>
      </c>
      <c r="M85" s="6" t="s">
        <v>693</v>
      </c>
      <c r="N85" s="17"/>
      <c r="O85" s="17"/>
      <c r="P85" s="17" t="str">
        <f t="shared" si="2"/>
        <v>OK</v>
      </c>
      <c r="Q85" s="17" t="s">
        <v>205</v>
      </c>
      <c r="R85" s="6" t="s">
        <v>694</v>
      </c>
      <c r="S85" s="17" t="s">
        <v>695</v>
      </c>
      <c r="T85" s="17" t="s">
        <v>696</v>
      </c>
      <c r="U85" s="173" t="s">
        <v>8433</v>
      </c>
      <c r="V85" s="11" t="s">
        <v>147</v>
      </c>
      <c r="W85" s="22" t="s">
        <v>484</v>
      </c>
      <c r="X85" s="22" t="s">
        <v>484</v>
      </c>
      <c r="Y85" s="22"/>
      <c r="Z85" s="7"/>
      <c r="AA85" s="7"/>
      <c r="AB85" s="23"/>
      <c r="AC85" s="26"/>
    </row>
    <row r="86" spans="1:30" ht="15.75" customHeight="1">
      <c r="A86" s="10" t="s">
        <v>697</v>
      </c>
      <c r="B86" s="10" t="s">
        <v>27</v>
      </c>
      <c r="C86" s="11" t="s">
        <v>28</v>
      </c>
      <c r="D86" s="12"/>
      <c r="E86" s="13" t="s">
        <v>151</v>
      </c>
      <c r="F86" s="6" t="s">
        <v>698</v>
      </c>
      <c r="G86" s="6" t="str">
        <f ca="1">IFERROR(__xludf.DUMMYFUNCTION("CONCATENATE(B86,(VLOOKUP(C86,CATALOGOS!$F$2:$H$6,3,FALSE)),(VLOOKUP(V86,CATALOGOS!$J$2:$K$18,2,FALSE)),""-"",TO_TEXT(A86))"),"P05RM-0085")</f>
        <v>P05RM-0085</v>
      </c>
      <c r="H86" s="6" t="str">
        <f ca="1">IFERROR(__xludf.DUMMYFUNCTION("CONCATENATE($B86,(VLOOKUP($C86,CATALOGOS!$F$2:$H$6,3,FALSE)),(VLOOKUP($V86,CATALOGOS!$J$2:$K$18,2,FALSE)),""-"",TO_TEXT($A86))"),"P05RM-0085")</f>
        <v>P05RM-0085</v>
      </c>
      <c r="I86" s="6"/>
      <c r="J86" s="6" t="s">
        <v>699</v>
      </c>
      <c r="K86" s="6" t="s">
        <v>700</v>
      </c>
      <c r="L86" s="6" t="s">
        <v>701</v>
      </c>
      <c r="M86" s="43" t="s">
        <v>702</v>
      </c>
      <c r="N86" s="17"/>
      <c r="O86" s="17"/>
      <c r="P86" s="17" t="str">
        <f t="shared" si="2"/>
        <v>OK</v>
      </c>
      <c r="Q86" s="17" t="s">
        <v>703</v>
      </c>
      <c r="R86" s="6" t="s">
        <v>704</v>
      </c>
      <c r="S86" s="32" t="s">
        <v>705</v>
      </c>
      <c r="T86" s="32" t="s">
        <v>8373</v>
      </c>
      <c r="U86" s="173" t="s">
        <v>38</v>
      </c>
      <c r="V86" s="11" t="s">
        <v>147</v>
      </c>
      <c r="W86" s="22" t="s">
        <v>484</v>
      </c>
      <c r="X86" s="22" t="s">
        <v>484</v>
      </c>
      <c r="Y86" s="22"/>
      <c r="Z86" s="7"/>
      <c r="AA86" s="7"/>
      <c r="AB86" s="23"/>
      <c r="AC86" s="26"/>
    </row>
    <row r="87" spans="1:30" ht="15.75" customHeight="1">
      <c r="A87" s="10" t="s">
        <v>706</v>
      </c>
      <c r="B87" s="10" t="s">
        <v>27</v>
      </c>
      <c r="C87" s="11" t="s">
        <v>28</v>
      </c>
      <c r="D87" s="12"/>
      <c r="E87" s="13" t="s">
        <v>151</v>
      </c>
      <c r="F87" s="6" t="s">
        <v>698</v>
      </c>
      <c r="G87" s="6" t="str">
        <f ca="1">IFERROR(__xludf.DUMMYFUNCTION("CONCATENATE(B87,(VLOOKUP(C87,CATALOGOS!$F$2:$H$6,3,FALSE)),(VLOOKUP(V87,CATALOGOS!$J$2:$K$18,2,FALSE)),""-"",TO_TEXT(A87))"),"P05RM-0086")</f>
        <v>P05RM-0086</v>
      </c>
      <c r="H87" s="6" t="str">
        <f ca="1">IFERROR(__xludf.DUMMYFUNCTION("CONCATENATE($B87,(VLOOKUP($C87,CATALOGOS!$F$2:$H$6,3,FALSE)),(VLOOKUP($V87,CATALOGOS!$J$2:$K$18,2,FALSE)),""-"",TO_TEXT($A87))"),"P05RM-0086")</f>
        <v>P05RM-0086</v>
      </c>
      <c r="I87" s="6"/>
      <c r="J87" s="6" t="s">
        <v>707</v>
      </c>
      <c r="K87" s="6" t="s">
        <v>708</v>
      </c>
      <c r="L87" s="6" t="s">
        <v>709</v>
      </c>
      <c r="M87" s="6" t="s">
        <v>710</v>
      </c>
      <c r="N87" s="17"/>
      <c r="O87" s="17"/>
      <c r="P87" s="17" t="str">
        <f t="shared" si="2"/>
        <v>OK</v>
      </c>
      <c r="Q87" s="17" t="s">
        <v>703</v>
      </c>
      <c r="R87" s="6" t="s">
        <v>704</v>
      </c>
      <c r="S87" s="32" t="s">
        <v>711</v>
      </c>
      <c r="T87" s="32" t="s">
        <v>712</v>
      </c>
      <c r="U87" s="173" t="s">
        <v>38</v>
      </c>
      <c r="V87" s="11" t="s">
        <v>147</v>
      </c>
      <c r="W87" s="22" t="s">
        <v>484</v>
      </c>
      <c r="X87" s="22" t="s">
        <v>484</v>
      </c>
      <c r="Y87" s="22"/>
      <c r="Z87" s="7"/>
      <c r="AA87" s="7"/>
      <c r="AB87" s="23"/>
      <c r="AC87" s="26"/>
    </row>
    <row r="88" spans="1:30" ht="15.75" customHeight="1">
      <c r="A88" s="10" t="s">
        <v>713</v>
      </c>
      <c r="B88" s="10" t="s">
        <v>27</v>
      </c>
      <c r="C88" s="11" t="s">
        <v>28</v>
      </c>
      <c r="D88" s="12"/>
      <c r="E88" s="13" t="s">
        <v>151</v>
      </c>
      <c r="F88" s="6" t="s">
        <v>714</v>
      </c>
      <c r="G88" s="15" t="str">
        <f ca="1">IFERROR(__xludf.DUMMYFUNCTION("CONCATENATE(B88,(VLOOKUP(C88,CATALOGOS!$F$2:$H$6,3,FALSE)),(VLOOKUP(V88,CATALOGOS!$J$2:$K$18,2,FALSE)),""-"",TO_TEXT(A88))"),"P05RH-0087")</f>
        <v>P05RH-0087</v>
      </c>
      <c r="H88" s="6" t="str">
        <f ca="1">IFERROR(__xludf.DUMMYFUNCTION("CONCATENATE($B88,(VLOOKUP($C88,CATALOGOS!$F$2:$H$6,3,FALSE)),(VLOOKUP($V88,CATALOGOS!$J$2:$K$18,2,FALSE)),""-"",TO_TEXT($A88))"),"P05RH-0087")</f>
        <v>P05RH-0087</v>
      </c>
      <c r="I88" s="6"/>
      <c r="J88" s="6" t="s">
        <v>715</v>
      </c>
      <c r="K88" s="6" t="s">
        <v>716</v>
      </c>
      <c r="L88" s="6" t="s">
        <v>717</v>
      </c>
      <c r="M88" s="6" t="s">
        <v>718</v>
      </c>
      <c r="N88" s="17"/>
      <c r="O88" s="17"/>
      <c r="P88" s="17" t="str">
        <f t="shared" si="2"/>
        <v>OK</v>
      </c>
      <c r="Q88" s="17" t="s">
        <v>719</v>
      </c>
      <c r="R88" s="6" t="s">
        <v>720</v>
      </c>
      <c r="S88" s="17" t="s">
        <v>721</v>
      </c>
      <c r="T88" s="17" t="s">
        <v>722</v>
      </c>
      <c r="U88" s="173" t="s">
        <v>38</v>
      </c>
      <c r="V88" s="11" t="s">
        <v>723</v>
      </c>
      <c r="W88" s="20" t="s">
        <v>724</v>
      </c>
      <c r="X88" s="20" t="s">
        <v>724</v>
      </c>
      <c r="Y88" s="20"/>
      <c r="Z88" s="7"/>
      <c r="AA88" s="7"/>
      <c r="AB88" s="23"/>
      <c r="AC88" s="26"/>
    </row>
    <row r="89" spans="1:30" ht="15.75" customHeight="1">
      <c r="A89" s="10" t="s">
        <v>725</v>
      </c>
      <c r="B89" s="10" t="s">
        <v>27</v>
      </c>
      <c r="C89" s="11" t="s">
        <v>28</v>
      </c>
      <c r="D89" s="12"/>
      <c r="E89" s="13" t="s">
        <v>501</v>
      </c>
      <c r="F89" s="6" t="s">
        <v>726</v>
      </c>
      <c r="G89" s="6" t="str">
        <f ca="1">IFERROR(__xludf.DUMMYFUNCTION("CONCATENATE(B89,(VLOOKUP(C89,CATALOGOS!$F$2:$H$6,3,FALSE)),(VLOOKUP(V89,CATALOGOS!$J$2:$K$18,2,FALSE)),""-"",TO_TEXT(A89))"),"P05RM-0088")</f>
        <v>P05RM-0088</v>
      </c>
      <c r="H89" s="6" t="str">
        <f ca="1">IFERROR(__xludf.DUMMYFUNCTION("CONCATENATE($B89,(VLOOKUP($C89,CATALOGOS!$F$2:$H$6,3,FALSE)),(VLOOKUP($V89,CATALOGOS!$J$2:$K$18,2,FALSE)),""-"",TO_TEXT($A89))"),"P05RM-0088")</f>
        <v>P05RM-0088</v>
      </c>
      <c r="I89" s="6"/>
      <c r="J89" s="6" t="s">
        <v>727</v>
      </c>
      <c r="K89" s="6" t="s">
        <v>728</v>
      </c>
      <c r="L89" s="6" t="s">
        <v>729</v>
      </c>
      <c r="M89" s="6" t="s">
        <v>730</v>
      </c>
      <c r="N89" s="17"/>
      <c r="O89" s="17"/>
      <c r="P89" s="17" t="str">
        <f t="shared" si="2"/>
        <v>OK</v>
      </c>
      <c r="Q89" s="17" t="s">
        <v>35</v>
      </c>
      <c r="R89" s="6" t="s">
        <v>35</v>
      </c>
      <c r="S89" s="17" t="s">
        <v>36</v>
      </c>
      <c r="T89" s="17" t="s">
        <v>731</v>
      </c>
      <c r="U89" s="173" t="s">
        <v>38</v>
      </c>
      <c r="V89" s="11" t="s">
        <v>147</v>
      </c>
      <c r="W89" s="22" t="s">
        <v>484</v>
      </c>
      <c r="X89" s="22" t="s">
        <v>484</v>
      </c>
      <c r="Y89" s="22"/>
      <c r="Z89" s="7"/>
      <c r="AA89" s="7"/>
      <c r="AB89" s="23"/>
      <c r="AC89" s="26"/>
    </row>
    <row r="90" spans="1:30" ht="15.75" customHeight="1">
      <c r="A90" s="10" t="s">
        <v>732</v>
      </c>
      <c r="B90" s="10" t="s">
        <v>27</v>
      </c>
      <c r="C90" s="11" t="s">
        <v>28</v>
      </c>
      <c r="D90" s="12"/>
      <c r="E90" s="13" t="s">
        <v>210</v>
      </c>
      <c r="F90" s="6" t="s">
        <v>733</v>
      </c>
      <c r="G90" s="6" t="str">
        <f ca="1">IFERROR(__xludf.DUMMYFUNCTION("CONCATENATE(B90,(VLOOKUP(C90,CATALOGOS!$F$2:$H$6,3,FALSE)),(VLOOKUP(V90,CATALOGOS!$J$2:$K$18,2,FALSE)),""-"",TO_TEXT(A90))"),"P05RM-0089")</f>
        <v>P05RM-0089</v>
      </c>
      <c r="H90" s="6" t="str">
        <f ca="1">IFERROR(__xludf.DUMMYFUNCTION("CONCATENATE($B90,(VLOOKUP($C90,CATALOGOS!$F$2:$H$6,3,FALSE)),(VLOOKUP($V90,CATALOGOS!$J$2:$K$18,2,FALSE)),""-"",TO_TEXT($A90))"),"P05RM-0089")</f>
        <v>P05RM-0089</v>
      </c>
      <c r="I90" s="6"/>
      <c r="J90" s="6" t="s">
        <v>734</v>
      </c>
      <c r="K90" s="6" t="s">
        <v>735</v>
      </c>
      <c r="L90" s="36"/>
      <c r="M90" s="6" t="s">
        <v>736</v>
      </c>
      <c r="N90" s="17"/>
      <c r="O90" s="17"/>
      <c r="P90" s="17" t="str">
        <f t="shared" si="2"/>
        <v>OK</v>
      </c>
      <c r="Q90" s="17" t="s">
        <v>216</v>
      </c>
      <c r="R90" s="6" t="s">
        <v>737</v>
      </c>
      <c r="S90" s="6">
        <v>194708563</v>
      </c>
      <c r="T90" s="10" t="s">
        <v>85</v>
      </c>
      <c r="U90" s="173" t="s">
        <v>38</v>
      </c>
      <c r="V90" s="11" t="s">
        <v>147</v>
      </c>
      <c r="W90" s="22" t="s">
        <v>484</v>
      </c>
      <c r="X90" s="22" t="s">
        <v>484</v>
      </c>
      <c r="Y90" s="22"/>
      <c r="Z90" s="7"/>
      <c r="AA90" s="7"/>
      <c r="AB90" s="23"/>
      <c r="AC90" s="26"/>
    </row>
    <row r="91" spans="1:30" ht="15.75" customHeight="1">
      <c r="A91" s="10" t="s">
        <v>738</v>
      </c>
      <c r="B91" s="10" t="s">
        <v>27</v>
      </c>
      <c r="C91" s="11" t="s">
        <v>28</v>
      </c>
      <c r="D91" s="12"/>
      <c r="E91" s="13" t="s">
        <v>53</v>
      </c>
      <c r="F91" s="6" t="s">
        <v>739</v>
      </c>
      <c r="G91" s="6" t="str">
        <f ca="1">IFERROR(__xludf.DUMMYFUNCTION("CONCATENATE(B91,(VLOOKUP(C91,CATALOGOS!$F$2:$H$6,3,FALSE)),(VLOOKUP(V91,CATALOGOS!$J$2:$K$18,2,FALSE)),""-"",TO_TEXT(A91))"),"P05RM-0090")</f>
        <v>P05RM-0090</v>
      </c>
      <c r="H91" s="6" t="str">
        <f ca="1">IFERROR(__xludf.DUMMYFUNCTION("CONCATENATE($B91,(VLOOKUP($C91,CATALOGOS!$F$2:$H$6,3,FALSE)),(VLOOKUP($V91,CATALOGOS!$J$2:$K$18,2,FALSE)),""-"",TO_TEXT($A91))"),"P05RM-0090")</f>
        <v>P05RM-0090</v>
      </c>
      <c r="I91" s="6"/>
      <c r="J91" s="6" t="s">
        <v>740</v>
      </c>
      <c r="K91" s="6" t="s">
        <v>741</v>
      </c>
      <c r="L91" s="36"/>
      <c r="M91" s="6" t="s">
        <v>141</v>
      </c>
      <c r="N91" s="17"/>
      <c r="O91" s="17"/>
      <c r="P91" s="17" t="str">
        <f t="shared" si="2"/>
        <v>REPETIDO</v>
      </c>
      <c r="Q91" s="35" t="s">
        <v>35</v>
      </c>
      <c r="R91" s="6" t="s">
        <v>35</v>
      </c>
      <c r="S91" s="10" t="s">
        <v>36</v>
      </c>
      <c r="T91" s="32" t="s">
        <v>85</v>
      </c>
      <c r="U91" s="173" t="s">
        <v>38</v>
      </c>
      <c r="V91" s="11" t="s">
        <v>147</v>
      </c>
      <c r="W91" s="22" t="s">
        <v>484</v>
      </c>
      <c r="X91" s="22" t="s">
        <v>484</v>
      </c>
      <c r="Y91" s="22"/>
      <c r="Z91" s="7"/>
      <c r="AA91" s="7"/>
      <c r="AB91" s="23"/>
      <c r="AC91" s="26"/>
    </row>
    <row r="92" spans="1:30" ht="15.75" customHeight="1">
      <c r="A92" s="10" t="s">
        <v>742</v>
      </c>
      <c r="B92" s="10" t="s">
        <v>27</v>
      </c>
      <c r="C92" s="11" t="s">
        <v>28</v>
      </c>
      <c r="D92" s="12"/>
      <c r="E92" s="13" t="s">
        <v>93</v>
      </c>
      <c r="F92" s="6" t="s">
        <v>743</v>
      </c>
      <c r="G92" s="6" t="str">
        <f ca="1">IFERROR(__xludf.DUMMYFUNCTION("CONCATENATE(B92,(VLOOKUP(C92,CATALOGOS!$F$2:$H$6,3,FALSE)),(VLOOKUP(V92,CATALOGOS!$J$2:$K$18,2,FALSE)),""-"",TO_TEXT(A92))"),"P05RM-0091")</f>
        <v>P05RM-0091</v>
      </c>
      <c r="H92" s="6" t="str">
        <f ca="1">IFERROR(__xludf.DUMMYFUNCTION("CONCATENATE($B92,(VLOOKUP($C92,CATALOGOS!$F$2:$H$6,3,FALSE)),(VLOOKUP($V92,CATALOGOS!$J$2:$K$18,2,FALSE)),""-"",TO_TEXT($A92))"),"P05RM-0091")</f>
        <v>P05RM-0091</v>
      </c>
      <c r="I92" s="6"/>
      <c r="J92" s="6" t="s">
        <v>744</v>
      </c>
      <c r="K92" s="6" t="s">
        <v>745</v>
      </c>
      <c r="L92" s="6" t="s">
        <v>746</v>
      </c>
      <c r="M92" s="6" t="s">
        <v>747</v>
      </c>
      <c r="N92" s="17"/>
      <c r="O92" s="17"/>
      <c r="P92" s="17" t="str">
        <f t="shared" si="2"/>
        <v>OK</v>
      </c>
      <c r="Q92" s="17" t="s">
        <v>35</v>
      </c>
      <c r="R92" s="6" t="s">
        <v>35</v>
      </c>
      <c r="S92" s="17" t="s">
        <v>36</v>
      </c>
      <c r="T92" s="17" t="s">
        <v>748</v>
      </c>
      <c r="U92" s="173" t="s">
        <v>38</v>
      </c>
      <c r="V92" s="11" t="s">
        <v>147</v>
      </c>
      <c r="W92" s="22" t="s">
        <v>484</v>
      </c>
      <c r="X92" s="22" t="s">
        <v>484</v>
      </c>
      <c r="Y92" s="22"/>
      <c r="Z92" s="6"/>
      <c r="AA92" s="6" t="s">
        <v>749</v>
      </c>
      <c r="AB92" s="23"/>
      <c r="AC92" s="26"/>
    </row>
    <row r="93" spans="1:30" ht="15.75" customHeight="1">
      <c r="A93" s="10" t="s">
        <v>750</v>
      </c>
      <c r="B93" s="10" t="s">
        <v>27</v>
      </c>
      <c r="C93" s="11" t="s">
        <v>28</v>
      </c>
      <c r="D93" s="12"/>
      <c r="E93" s="13" t="s">
        <v>93</v>
      </c>
      <c r="F93" s="6" t="s">
        <v>751</v>
      </c>
      <c r="G93" s="6" t="str">
        <f ca="1">IFERROR(__xludf.DUMMYFUNCTION("CONCATENATE(B93,(VLOOKUP(C93,CATALOGOS!$F$2:$H$6,3,FALSE)),(VLOOKUP(V93,CATALOGOS!$J$2:$K$18,2,FALSE)),""-"",TO_TEXT(A93))"),"P05RM-0092")</f>
        <v>P05RM-0092</v>
      </c>
      <c r="H93" s="6" t="str">
        <f ca="1">IFERROR(__xludf.DUMMYFUNCTION("CONCATENATE($B93,(VLOOKUP($C93,CATALOGOS!$F$2:$H$6,3,FALSE)),(VLOOKUP($V93,CATALOGOS!$J$2:$K$18,2,FALSE)),""-"",TO_TEXT($A93))"),"P05RM-0092")</f>
        <v>P05RM-0092</v>
      </c>
      <c r="I93" s="6"/>
      <c r="J93" s="6" t="s">
        <v>752</v>
      </c>
      <c r="K93" s="6" t="s">
        <v>753</v>
      </c>
      <c r="L93" s="6" t="s">
        <v>754</v>
      </c>
      <c r="M93" s="43" t="s">
        <v>755</v>
      </c>
      <c r="N93" s="17"/>
      <c r="O93" s="17"/>
      <c r="P93" s="17" t="str">
        <f t="shared" si="2"/>
        <v>OK</v>
      </c>
      <c r="Q93" s="17" t="s">
        <v>35</v>
      </c>
      <c r="R93" s="6" t="s">
        <v>35</v>
      </c>
      <c r="S93" s="17" t="s">
        <v>36</v>
      </c>
      <c r="T93" s="17" t="s">
        <v>756</v>
      </c>
      <c r="U93" s="173" t="s">
        <v>38</v>
      </c>
      <c r="V93" s="11" t="s">
        <v>147</v>
      </c>
      <c r="W93" s="22" t="s">
        <v>484</v>
      </c>
      <c r="X93" s="22" t="s">
        <v>484</v>
      </c>
      <c r="Y93" s="22"/>
      <c r="Z93" s="7"/>
      <c r="AA93" s="7"/>
      <c r="AB93" s="23"/>
      <c r="AC93" s="26"/>
    </row>
    <row r="94" spans="1:30" ht="15.75" customHeight="1">
      <c r="A94" s="10" t="s">
        <v>757</v>
      </c>
      <c r="B94" s="10" t="s">
        <v>27</v>
      </c>
      <c r="C94" s="11" t="s">
        <v>28</v>
      </c>
      <c r="D94" s="12"/>
      <c r="E94" s="13" t="s">
        <v>93</v>
      </c>
      <c r="F94" s="6" t="s">
        <v>758</v>
      </c>
      <c r="G94" s="6" t="str">
        <f ca="1">IFERROR(__xludf.DUMMYFUNCTION("CONCATENATE(B94,(VLOOKUP(C94,CATALOGOS!$F$2:$H$6,3,FALSE)),(VLOOKUP(V94,CATALOGOS!$J$2:$K$18,2,FALSE)),""-"",TO_TEXT(A94))"),"P05RM-0093")</f>
        <v>P05RM-0093</v>
      </c>
      <c r="H94" s="6" t="str">
        <f ca="1">IFERROR(__xludf.DUMMYFUNCTION("CONCATENATE($B94,(VLOOKUP($C94,CATALOGOS!$F$2:$H$6,3,FALSE)),(VLOOKUP($V94,CATALOGOS!$J$2:$K$18,2,FALSE)),""-"",TO_TEXT($A94))"),"P05RM-0093")</f>
        <v>P05RM-0093</v>
      </c>
      <c r="I94" s="6"/>
      <c r="J94" s="6" t="s">
        <v>759</v>
      </c>
      <c r="K94" s="6" t="s">
        <v>760</v>
      </c>
      <c r="L94" s="6" t="s">
        <v>761</v>
      </c>
      <c r="M94" s="6" t="s">
        <v>762</v>
      </c>
      <c r="N94" s="17"/>
      <c r="O94" s="17"/>
      <c r="P94" s="17" t="str">
        <f t="shared" si="2"/>
        <v>OK</v>
      </c>
      <c r="Q94" s="17" t="s">
        <v>35</v>
      </c>
      <c r="R94" s="6" t="s">
        <v>35</v>
      </c>
      <c r="S94" s="17" t="s">
        <v>36</v>
      </c>
      <c r="T94" s="17" t="s">
        <v>763</v>
      </c>
      <c r="U94" s="173" t="s">
        <v>38</v>
      </c>
      <c r="V94" s="11" t="s">
        <v>147</v>
      </c>
      <c r="W94" s="22" t="s">
        <v>484</v>
      </c>
      <c r="X94" s="22" t="s">
        <v>484</v>
      </c>
      <c r="Y94" s="22"/>
      <c r="Z94" s="6"/>
      <c r="AA94" s="6" t="s">
        <v>749</v>
      </c>
      <c r="AB94" s="23"/>
      <c r="AC94" s="26"/>
    </row>
    <row r="95" spans="1:30" ht="15.75" customHeight="1">
      <c r="A95" s="10" t="s">
        <v>764</v>
      </c>
      <c r="B95" s="10" t="s">
        <v>27</v>
      </c>
      <c r="C95" s="11" t="s">
        <v>28</v>
      </c>
      <c r="D95" s="12"/>
      <c r="E95" s="13" t="s">
        <v>93</v>
      </c>
      <c r="F95" s="6" t="s">
        <v>765</v>
      </c>
      <c r="G95" s="15" t="str">
        <f ca="1">IFERROR(__xludf.DUMMYFUNCTION("CONCATENATE(B95,(VLOOKUP(C95,CATALOGOS!$F$2:$H$6,3,FALSE)),(VLOOKUP(V95,CATALOGOS!$J$2:$K$18,2,FALSE)),""-"",TO_TEXT(A95))"),"P05DA-0094")</f>
        <v>P05DA-0094</v>
      </c>
      <c r="H95" s="6" t="str">
        <f ca="1">IFERROR(__xludf.DUMMYFUNCTION("CONCATENATE($B95,(VLOOKUP($C95,CATALOGOS!$F$2:$H$6,3,FALSE)),(VLOOKUP($V95,CATALOGOS!$J$2:$K$18,2,FALSE)),""-"",TO_TEXT($A95))"),"P05DA-0094")</f>
        <v>P05DA-0094</v>
      </c>
      <c r="I95" s="6"/>
      <c r="J95" s="6" t="s">
        <v>766</v>
      </c>
      <c r="K95" s="6" t="s">
        <v>767</v>
      </c>
      <c r="L95" s="6" t="s">
        <v>768</v>
      </c>
      <c r="M95" s="6" t="s">
        <v>769</v>
      </c>
      <c r="N95" s="17"/>
      <c r="O95" s="17"/>
      <c r="P95" s="17" t="str">
        <f t="shared" si="2"/>
        <v>OK</v>
      </c>
      <c r="Q95" s="17" t="s">
        <v>35</v>
      </c>
      <c r="R95" s="6" t="s">
        <v>35</v>
      </c>
      <c r="S95" s="17" t="s">
        <v>36</v>
      </c>
      <c r="T95" s="17" t="s">
        <v>770</v>
      </c>
      <c r="U95" s="173" t="s">
        <v>38</v>
      </c>
      <c r="V95" s="11" t="s">
        <v>28</v>
      </c>
      <c r="W95" s="20" t="s">
        <v>392</v>
      </c>
      <c r="X95" s="20" t="s">
        <v>392</v>
      </c>
      <c r="Y95" s="20"/>
      <c r="Z95" s="6"/>
      <c r="AA95" s="6" t="s">
        <v>432</v>
      </c>
      <c r="AB95" s="23"/>
      <c r="AC95" s="26"/>
    </row>
    <row r="96" spans="1:30" ht="15.75" customHeight="1">
      <c r="A96" s="10" t="s">
        <v>771</v>
      </c>
      <c r="B96" s="10" t="s">
        <v>27</v>
      </c>
      <c r="C96" s="11" t="s">
        <v>28</v>
      </c>
      <c r="D96" s="12"/>
      <c r="E96" s="13" t="s">
        <v>93</v>
      </c>
      <c r="F96" s="6" t="s">
        <v>772</v>
      </c>
      <c r="G96" s="6" t="str">
        <f ca="1">IFERROR(__xludf.DUMMYFUNCTION("CONCATENATE(B96,(VLOOKUP(C96,CATALOGOS!$F$2:$H$6,3,FALSE)),(VLOOKUP(V96,CATALOGOS!$J$2:$K$18,2,FALSE)),""-"",TO_TEXT(A96))"),"P05RM-0095")</f>
        <v>P05RM-0095</v>
      </c>
      <c r="H96" s="6" t="str">
        <f ca="1">IFERROR(__xludf.DUMMYFUNCTION("CONCATENATE($B96,(VLOOKUP($C96,CATALOGOS!$F$2:$H$6,3,FALSE)),(VLOOKUP($V96,CATALOGOS!$J$2:$K$18,2,FALSE)),""-"",TO_TEXT($A96))"),"P05RM-0095")</f>
        <v>P05RM-0095</v>
      </c>
      <c r="I96" s="6"/>
      <c r="J96" s="6" t="s">
        <v>773</v>
      </c>
      <c r="K96" s="6" t="s">
        <v>774</v>
      </c>
      <c r="L96" s="6" t="s">
        <v>775</v>
      </c>
      <c r="M96" s="6" t="s">
        <v>776</v>
      </c>
      <c r="N96" s="17"/>
      <c r="O96" s="17"/>
      <c r="P96" s="17" t="str">
        <f t="shared" si="2"/>
        <v>OK</v>
      </c>
      <c r="Q96" s="17" t="s">
        <v>35</v>
      </c>
      <c r="R96" s="6" t="s">
        <v>35</v>
      </c>
      <c r="S96" s="17" t="s">
        <v>36</v>
      </c>
      <c r="T96" s="17" t="s">
        <v>777</v>
      </c>
      <c r="U96" s="173" t="s">
        <v>38</v>
      </c>
      <c r="V96" s="11" t="s">
        <v>147</v>
      </c>
      <c r="W96" s="22" t="s">
        <v>484</v>
      </c>
      <c r="X96" s="22" t="s">
        <v>484</v>
      </c>
      <c r="Y96" s="22"/>
      <c r="Z96" s="7"/>
      <c r="AA96" s="7"/>
      <c r="AB96" s="23"/>
      <c r="AC96" s="26"/>
    </row>
    <row r="97" spans="1:29" ht="15.75" customHeight="1">
      <c r="A97" s="10" t="s">
        <v>778</v>
      </c>
      <c r="B97" s="10" t="s">
        <v>27</v>
      </c>
      <c r="C97" s="11" t="s">
        <v>28</v>
      </c>
      <c r="D97" s="12"/>
      <c r="E97" s="13" t="s">
        <v>93</v>
      </c>
      <c r="F97" s="6" t="s">
        <v>779</v>
      </c>
      <c r="G97" s="6" t="str">
        <f ca="1">IFERROR(__xludf.DUMMYFUNCTION("CONCATENATE(B97,(VLOOKUP(C97,CATALOGOS!$F$2:$H$6,3,FALSE)),(VLOOKUP(V97,CATALOGOS!$J$2:$K$18,2,FALSE)),""-"",TO_TEXT(A97))"),"P05RM-0096")</f>
        <v>P05RM-0096</v>
      </c>
      <c r="H97" s="6" t="str">
        <f ca="1">IFERROR(__xludf.DUMMYFUNCTION("CONCATENATE($B97,(VLOOKUP($C97,CATALOGOS!$F$2:$H$6,3,FALSE)),(VLOOKUP($V97,CATALOGOS!$J$2:$K$18,2,FALSE)),""-"",TO_TEXT($A97))"),"P05RM-0096")</f>
        <v>P05RM-0096</v>
      </c>
      <c r="I97" s="6"/>
      <c r="J97" s="6" t="s">
        <v>780</v>
      </c>
      <c r="K97" s="6" t="s">
        <v>781</v>
      </c>
      <c r="L97" s="36"/>
      <c r="M97" s="6" t="s">
        <v>141</v>
      </c>
      <c r="N97" s="17"/>
      <c r="O97" s="17"/>
      <c r="P97" s="17" t="str">
        <f t="shared" si="2"/>
        <v>REPETIDO</v>
      </c>
      <c r="Q97" s="35" t="s">
        <v>35</v>
      </c>
      <c r="R97" s="6" t="s">
        <v>35</v>
      </c>
      <c r="S97" s="10" t="s">
        <v>36</v>
      </c>
      <c r="T97" s="32" t="s">
        <v>85</v>
      </c>
      <c r="U97" s="173" t="s">
        <v>38</v>
      </c>
      <c r="V97" s="11" t="s">
        <v>147</v>
      </c>
      <c r="W97" s="22" t="s">
        <v>484</v>
      </c>
      <c r="X97" s="22" t="s">
        <v>484</v>
      </c>
      <c r="Y97" s="22"/>
      <c r="Z97" s="7"/>
      <c r="AA97" s="7"/>
      <c r="AB97" s="23"/>
      <c r="AC97" s="26"/>
    </row>
    <row r="98" spans="1:29" ht="15.75" customHeight="1">
      <c r="A98" s="10" t="s">
        <v>782</v>
      </c>
      <c r="B98" s="10" t="s">
        <v>27</v>
      </c>
      <c r="C98" s="11" t="s">
        <v>28</v>
      </c>
      <c r="D98" s="12"/>
      <c r="E98" s="13" t="s">
        <v>501</v>
      </c>
      <c r="F98" s="6" t="s">
        <v>783</v>
      </c>
      <c r="G98" s="6" t="str">
        <f ca="1">IFERROR(__xludf.DUMMYFUNCTION("CONCATENATE(B98,(VLOOKUP(C98,CATALOGOS!$F$2:$H$6,3,FALSE)),(VLOOKUP(V98,CATALOGOS!$J$2:$K$18,2,FALSE)),""-"",TO_TEXT(A98))"),"P05RM-0097")</f>
        <v>P05RM-0097</v>
      </c>
      <c r="H98" s="6" t="str">
        <f ca="1">IFERROR(__xludf.DUMMYFUNCTION("CONCATENATE($B98,(VLOOKUP($C98,CATALOGOS!$F$2:$H$6,3,FALSE)),(VLOOKUP($V98,CATALOGOS!$J$2:$K$18,2,FALSE)),""-"",TO_TEXT($A98))"),"P05RM-0097")</f>
        <v>P05RM-0097</v>
      </c>
      <c r="I98" s="6"/>
      <c r="J98" s="6" t="s">
        <v>784</v>
      </c>
      <c r="K98" s="6" t="s">
        <v>785</v>
      </c>
      <c r="L98" s="6" t="s">
        <v>786</v>
      </c>
      <c r="M98" s="6" t="s">
        <v>787</v>
      </c>
      <c r="N98" s="17"/>
      <c r="O98" s="17"/>
      <c r="P98" s="17" t="str">
        <f t="shared" si="2"/>
        <v>OK</v>
      </c>
      <c r="Q98" s="17" t="s">
        <v>35</v>
      </c>
      <c r="R98" s="6" t="s">
        <v>35</v>
      </c>
      <c r="S98" s="17" t="s">
        <v>36</v>
      </c>
      <c r="T98" s="17" t="s">
        <v>788</v>
      </c>
      <c r="U98" s="173" t="s">
        <v>38</v>
      </c>
      <c r="V98" s="11" t="s">
        <v>147</v>
      </c>
      <c r="W98" s="22" t="s">
        <v>484</v>
      </c>
      <c r="X98" s="22" t="s">
        <v>484</v>
      </c>
      <c r="Y98" s="22"/>
      <c r="Z98" s="6"/>
      <c r="AA98" s="6" t="s">
        <v>749</v>
      </c>
      <c r="AB98" s="23"/>
      <c r="AC98" s="26"/>
    </row>
    <row r="99" spans="1:29" ht="15.75" customHeight="1">
      <c r="A99" s="10" t="s">
        <v>789</v>
      </c>
      <c r="B99" s="10" t="s">
        <v>27</v>
      </c>
      <c r="C99" s="11" t="s">
        <v>28</v>
      </c>
      <c r="D99" s="12"/>
      <c r="E99" s="13" t="s">
        <v>199</v>
      </c>
      <c r="F99" s="6" t="s">
        <v>199</v>
      </c>
      <c r="G99" s="6" t="str">
        <f ca="1">IFERROR(__xludf.DUMMYFUNCTION("CONCATENATE(B99,(VLOOKUP(C99,CATALOGOS!$F$2:$H$6,3,FALSE)),(VLOOKUP(V99,CATALOGOS!$J$2:$K$18,2,FALSE)),""-"",TO_TEXT(A99))"),"P05RM-0098")</f>
        <v>P05RM-0098</v>
      </c>
      <c r="H99" s="6" t="str">
        <f ca="1">IFERROR(__xludf.DUMMYFUNCTION("CONCATENATE($B99,(VLOOKUP($C99,CATALOGOS!$F$2:$H$6,3,FALSE)),(VLOOKUP($V99,CATALOGOS!$J$2:$K$18,2,FALSE)),""-"",TO_TEXT($A99))"),"P05RM-0098")</f>
        <v>P05RM-0098</v>
      </c>
      <c r="I99" s="6"/>
      <c r="J99" s="6" t="s">
        <v>790</v>
      </c>
      <c r="K99" s="6" t="s">
        <v>791</v>
      </c>
      <c r="L99" s="6" t="s">
        <v>792</v>
      </c>
      <c r="M99" s="6" t="s">
        <v>793</v>
      </c>
      <c r="N99" s="17"/>
      <c r="O99" s="17"/>
      <c r="P99" s="17" t="str">
        <f t="shared" si="2"/>
        <v>OK</v>
      </c>
      <c r="Q99" s="17" t="s">
        <v>205</v>
      </c>
      <c r="R99" s="6" t="s">
        <v>794</v>
      </c>
      <c r="S99" s="17" t="s">
        <v>795</v>
      </c>
      <c r="T99" s="17" t="s">
        <v>796</v>
      </c>
      <c r="U99" s="173" t="s">
        <v>38</v>
      </c>
      <c r="V99" s="11" t="s">
        <v>147</v>
      </c>
      <c r="W99" s="22" t="s">
        <v>484</v>
      </c>
      <c r="X99" s="22" t="s">
        <v>484</v>
      </c>
      <c r="Y99" s="22"/>
      <c r="Z99" s="7"/>
      <c r="AA99" s="7"/>
      <c r="AB99" s="23"/>
      <c r="AC99" s="26"/>
    </row>
    <row r="100" spans="1:29" ht="15.75" customHeight="1">
      <c r="A100" s="10" t="s">
        <v>797</v>
      </c>
      <c r="B100" s="10" t="s">
        <v>27</v>
      </c>
      <c r="C100" s="11" t="s">
        <v>28</v>
      </c>
      <c r="D100" s="12"/>
      <c r="E100" s="13" t="s">
        <v>199</v>
      </c>
      <c r="F100" s="6" t="s">
        <v>798</v>
      </c>
      <c r="G100" s="6" t="str">
        <f ca="1">IFERROR(__xludf.DUMMYFUNCTION("CONCATENATE(B100,(VLOOKUP(C100,CATALOGOS!$F$2:$H$6,3,FALSE)),(VLOOKUP(V100,CATALOGOS!$J$2:$K$18,2,FALSE)),""-"",TO_TEXT(A100))"),"P05RM-0099")</f>
        <v>P05RM-0099</v>
      </c>
      <c r="H100" s="6" t="str">
        <f ca="1">IFERROR(__xludf.DUMMYFUNCTION("CONCATENATE($B100,(VLOOKUP($C100,CATALOGOS!$F$2:$H$6,3,FALSE)),(VLOOKUP($V100,CATALOGOS!$J$2:$K$18,2,FALSE)),""-"",TO_TEXT($A100))"),"P05RM-0099")</f>
        <v>P05RM-0099</v>
      </c>
      <c r="I100" s="6"/>
      <c r="J100" s="6" t="s">
        <v>799</v>
      </c>
      <c r="K100" s="6" t="s">
        <v>800</v>
      </c>
      <c r="L100" s="6" t="s">
        <v>801</v>
      </c>
      <c r="M100" s="43" t="s">
        <v>141</v>
      </c>
      <c r="N100" s="17"/>
      <c r="O100" s="17"/>
      <c r="P100" s="17" t="str">
        <f t="shared" si="2"/>
        <v>REPETIDO</v>
      </c>
      <c r="Q100" s="17" t="s">
        <v>205</v>
      </c>
      <c r="R100" s="6" t="s">
        <v>802</v>
      </c>
      <c r="S100" s="17" t="s">
        <v>803</v>
      </c>
      <c r="T100" s="10" t="s">
        <v>804</v>
      </c>
      <c r="U100" s="178" t="s">
        <v>549</v>
      </c>
      <c r="V100" s="11" t="s">
        <v>147</v>
      </c>
      <c r="W100" s="22" t="s">
        <v>484</v>
      </c>
      <c r="X100" s="22" t="s">
        <v>484</v>
      </c>
      <c r="Y100" s="22"/>
      <c r="Z100" s="7"/>
      <c r="AA100" s="7"/>
      <c r="AB100" s="23"/>
      <c r="AC100" s="26"/>
    </row>
    <row r="101" spans="1:29" ht="15.75" customHeight="1">
      <c r="A101" s="10" t="s">
        <v>805</v>
      </c>
      <c r="B101" s="10" t="s">
        <v>27</v>
      </c>
      <c r="C101" s="11" t="s">
        <v>28</v>
      </c>
      <c r="D101" s="12"/>
      <c r="E101" s="13" t="s">
        <v>199</v>
      </c>
      <c r="F101" s="6" t="s">
        <v>199</v>
      </c>
      <c r="G101" s="6" t="str">
        <f ca="1">IFERROR(__xludf.DUMMYFUNCTION("CONCATENATE(B101,(VLOOKUP(C101,CATALOGOS!$F$2:$H$6,3,FALSE)),(VLOOKUP(V101,CATALOGOS!$J$2:$K$18,2,FALSE)),""-"",TO_TEXT(A101))"),"P05RM-0100")</f>
        <v>P05RM-0100</v>
      </c>
      <c r="H101" s="6" t="str">
        <f ca="1">IFERROR(__xludf.DUMMYFUNCTION("CONCATENATE($B101,(VLOOKUP($C101,CATALOGOS!$F$2:$H$6,3,FALSE)),(VLOOKUP($V101,CATALOGOS!$J$2:$K$18,2,FALSE)),""-"",TO_TEXT($A101))"),"P05RM-0100")</f>
        <v>P05RM-0100</v>
      </c>
      <c r="I101" s="6"/>
      <c r="J101" s="6" t="s">
        <v>806</v>
      </c>
      <c r="K101" s="6" t="s">
        <v>807</v>
      </c>
      <c r="L101" s="6" t="s">
        <v>808</v>
      </c>
      <c r="M101" s="43" t="s">
        <v>141</v>
      </c>
      <c r="N101" s="17"/>
      <c r="O101" s="17"/>
      <c r="P101" s="17" t="str">
        <f t="shared" si="2"/>
        <v>REPETIDO</v>
      </c>
      <c r="Q101" s="17" t="s">
        <v>205</v>
      </c>
      <c r="R101" s="6" t="s">
        <v>794</v>
      </c>
      <c r="S101" s="17" t="s">
        <v>809</v>
      </c>
      <c r="T101" s="17" t="s">
        <v>810</v>
      </c>
      <c r="U101" s="173" t="s">
        <v>38</v>
      </c>
      <c r="V101" s="11" t="s">
        <v>147</v>
      </c>
      <c r="W101" s="22" t="s">
        <v>484</v>
      </c>
      <c r="X101" s="22" t="s">
        <v>484</v>
      </c>
      <c r="Y101" s="22"/>
      <c r="Z101" s="7"/>
      <c r="AA101" s="7"/>
      <c r="AB101" s="23"/>
      <c r="AC101" s="26"/>
    </row>
    <row r="102" spans="1:29" ht="15.75" customHeight="1">
      <c r="A102" s="10" t="s">
        <v>811</v>
      </c>
      <c r="B102" s="10" t="s">
        <v>27</v>
      </c>
      <c r="C102" s="11" t="s">
        <v>28</v>
      </c>
      <c r="D102" s="12"/>
      <c r="E102" s="13" t="s">
        <v>199</v>
      </c>
      <c r="F102" s="6" t="s">
        <v>199</v>
      </c>
      <c r="G102" s="6" t="str">
        <f ca="1">IFERROR(__xludf.DUMMYFUNCTION("CONCATENATE(B102,(VLOOKUP(C102,CATALOGOS!$F$2:$H$6,3,FALSE)),(VLOOKUP(V102,CATALOGOS!$J$2:$K$18,2,FALSE)),""-"",TO_TEXT(A102))"),"P05RM-0101")</f>
        <v>P05RM-0101</v>
      </c>
      <c r="H102" s="6" t="str">
        <f ca="1">IFERROR(__xludf.DUMMYFUNCTION("CONCATENATE($B102,(VLOOKUP($C102,CATALOGOS!$F$2:$H$6,3,FALSE)),(VLOOKUP($V102,CATALOGOS!$J$2:$K$18,2,FALSE)),""-"",TO_TEXT($A102))"),"P05RM-0101")</f>
        <v>P05RM-0101</v>
      </c>
      <c r="I102" s="6"/>
      <c r="J102" s="6" t="s">
        <v>812</v>
      </c>
      <c r="K102" s="6" t="s">
        <v>813</v>
      </c>
      <c r="L102" s="36"/>
      <c r="M102" s="6" t="s">
        <v>814</v>
      </c>
      <c r="N102" s="17"/>
      <c r="O102" s="17"/>
      <c r="P102" s="17" t="str">
        <f t="shared" si="2"/>
        <v>OK</v>
      </c>
      <c r="Q102" s="17" t="s">
        <v>205</v>
      </c>
      <c r="R102" s="6" t="s">
        <v>794</v>
      </c>
      <c r="S102" s="6" t="s">
        <v>815</v>
      </c>
      <c r="T102" s="10" t="s">
        <v>816</v>
      </c>
      <c r="U102" s="178" t="s">
        <v>817</v>
      </c>
      <c r="V102" s="20" t="s">
        <v>147</v>
      </c>
      <c r="W102" s="22" t="s">
        <v>484</v>
      </c>
      <c r="X102" s="22" t="s">
        <v>484</v>
      </c>
      <c r="Y102" s="22"/>
      <c r="Z102" s="6"/>
      <c r="AA102" s="6" t="s">
        <v>749</v>
      </c>
      <c r="AB102" s="23"/>
      <c r="AC102" s="26"/>
    </row>
    <row r="103" spans="1:29" ht="15.75" customHeight="1">
      <c r="A103" s="10" t="s">
        <v>818</v>
      </c>
      <c r="B103" s="10" t="s">
        <v>27</v>
      </c>
      <c r="C103" s="11" t="s">
        <v>28</v>
      </c>
      <c r="D103" s="12"/>
      <c r="E103" s="13" t="s">
        <v>199</v>
      </c>
      <c r="F103" s="6" t="s">
        <v>199</v>
      </c>
      <c r="G103" s="6" t="str">
        <f ca="1">IFERROR(__xludf.DUMMYFUNCTION("CONCATENATE(B103,(VLOOKUP(C103,CATALOGOS!$F$2:$H$6,3,FALSE)),(VLOOKUP(V103,CATALOGOS!$J$2:$K$18,2,FALSE)),""-"",TO_TEXT(A103))"),"P05RM-0102")</f>
        <v>P05RM-0102</v>
      </c>
      <c r="H103" s="6" t="str">
        <f ca="1">IFERROR(__xludf.DUMMYFUNCTION("CONCATENATE($B103,(VLOOKUP($C103,CATALOGOS!$F$2:$H$6,3,FALSE)),(VLOOKUP($V103,CATALOGOS!$J$2:$K$18,2,FALSE)),""-"",TO_TEXT($A103))"),"P05RM-0102")</f>
        <v>P05RM-0102</v>
      </c>
      <c r="I103" s="6"/>
      <c r="J103" s="6" t="s">
        <v>819</v>
      </c>
      <c r="K103" s="6" t="s">
        <v>820</v>
      </c>
      <c r="L103" s="6" t="s">
        <v>821</v>
      </c>
      <c r="M103" s="43" t="s">
        <v>141</v>
      </c>
      <c r="N103" s="17"/>
      <c r="O103" s="17"/>
      <c r="P103" s="17" t="str">
        <f t="shared" si="2"/>
        <v>REPETIDO</v>
      </c>
      <c r="Q103" s="17" t="s">
        <v>205</v>
      </c>
      <c r="R103" s="6" t="s">
        <v>794</v>
      </c>
      <c r="S103" s="17" t="s">
        <v>822</v>
      </c>
      <c r="T103" s="17" t="s">
        <v>823</v>
      </c>
      <c r="U103" s="173" t="s">
        <v>38</v>
      </c>
      <c r="V103" s="11" t="s">
        <v>147</v>
      </c>
      <c r="W103" s="22" t="s">
        <v>484</v>
      </c>
      <c r="X103" s="22" t="s">
        <v>484</v>
      </c>
      <c r="Y103" s="22"/>
      <c r="Z103" s="7"/>
      <c r="AA103" s="7"/>
      <c r="AB103" s="23"/>
      <c r="AC103" s="26"/>
    </row>
    <row r="104" spans="1:29" ht="15.75" customHeight="1">
      <c r="A104" s="10" t="s">
        <v>824</v>
      </c>
      <c r="B104" s="10" t="s">
        <v>27</v>
      </c>
      <c r="C104" s="11" t="s">
        <v>28</v>
      </c>
      <c r="D104" s="12"/>
      <c r="E104" s="13" t="s">
        <v>353</v>
      </c>
      <c r="F104" s="6" t="s">
        <v>354</v>
      </c>
      <c r="G104" s="6" t="str">
        <f ca="1">IFERROR(__xludf.DUMMYFUNCTION("CONCATENATE(B104,(VLOOKUP(C104,CATALOGOS!$F$2:$H$6,3,FALSE)),(VLOOKUP(V104,CATALOGOS!$J$2:$K$18,2,FALSE)),""-"",TO_TEXT(A104))"),"P05RM-0103")</f>
        <v>P05RM-0103</v>
      </c>
      <c r="H104" s="6" t="str">
        <f ca="1">IFERROR(__xludf.DUMMYFUNCTION("CONCATENATE($B104,(VLOOKUP($C104,CATALOGOS!$F$2:$H$6,3,FALSE)),(VLOOKUP($V104,CATALOGOS!$J$2:$K$18,2,FALSE)),""-"",TO_TEXT($A104))"),"P05RM-0103")</f>
        <v>P05RM-0103</v>
      </c>
      <c r="I104" s="6"/>
      <c r="J104" s="6" t="s">
        <v>825</v>
      </c>
      <c r="K104" s="6" t="s">
        <v>826</v>
      </c>
      <c r="L104" s="36"/>
      <c r="M104" s="6" t="s">
        <v>141</v>
      </c>
      <c r="N104" s="17"/>
      <c r="O104" s="17"/>
      <c r="P104" s="17" t="str">
        <f t="shared" si="2"/>
        <v>REPETIDO</v>
      </c>
      <c r="Q104" s="17" t="s">
        <v>827</v>
      </c>
      <c r="R104" s="6" t="s">
        <v>828</v>
      </c>
      <c r="S104" s="6" t="s">
        <v>829</v>
      </c>
      <c r="T104" s="10" t="s">
        <v>85</v>
      </c>
      <c r="U104" s="173" t="s">
        <v>38</v>
      </c>
      <c r="V104" s="11" t="s">
        <v>147</v>
      </c>
      <c r="W104" s="22" t="s">
        <v>484</v>
      </c>
      <c r="X104" s="22" t="s">
        <v>484</v>
      </c>
      <c r="Y104" s="22"/>
      <c r="Z104" s="6"/>
      <c r="AA104" s="6" t="s">
        <v>749</v>
      </c>
      <c r="AB104" s="23"/>
      <c r="AC104" s="26"/>
    </row>
    <row r="105" spans="1:29" ht="15.75" customHeight="1">
      <c r="A105" s="10" t="s">
        <v>830</v>
      </c>
      <c r="B105" s="10" t="s">
        <v>27</v>
      </c>
      <c r="C105" s="11" t="s">
        <v>28</v>
      </c>
      <c r="D105" s="12"/>
      <c r="E105" s="13" t="s">
        <v>378</v>
      </c>
      <c r="F105" s="6" t="s">
        <v>831</v>
      </c>
      <c r="G105" s="6" t="str">
        <f ca="1">IFERROR(__xludf.DUMMYFUNCTION("CONCATENATE(B105,(VLOOKUP(C105,CATALOGOS!$F$2:$H$6,3,FALSE)),(VLOOKUP(V105,CATALOGOS!$J$2:$K$18,2,FALSE)),""-"",TO_TEXT(A105))"),"P05RM-0104")</f>
        <v>P05RM-0104</v>
      </c>
      <c r="H105" s="6" t="str">
        <f ca="1">IFERROR(__xludf.DUMMYFUNCTION("CONCATENATE($B105,(VLOOKUP($C105,CATALOGOS!$F$2:$H$6,3,FALSE)),(VLOOKUP($V105,CATALOGOS!$J$2:$K$18,2,FALSE)),""-"",TO_TEXT($A105))"),"P05RM-0104")</f>
        <v>P05RM-0104</v>
      </c>
      <c r="I105" s="6"/>
      <c r="J105" s="6" t="s">
        <v>832</v>
      </c>
      <c r="K105" s="6" t="s">
        <v>833</v>
      </c>
      <c r="L105" s="36"/>
      <c r="M105" s="6" t="s">
        <v>141</v>
      </c>
      <c r="N105" s="17"/>
      <c r="O105" s="17"/>
      <c r="P105" s="17" t="str">
        <f t="shared" si="2"/>
        <v>REPETIDO</v>
      </c>
      <c r="Q105" s="35" t="s">
        <v>35</v>
      </c>
      <c r="R105" s="6" t="s">
        <v>35</v>
      </c>
      <c r="S105" s="10" t="s">
        <v>36</v>
      </c>
      <c r="T105" s="32" t="s">
        <v>85</v>
      </c>
      <c r="U105" s="173" t="s">
        <v>38</v>
      </c>
      <c r="V105" s="11" t="s">
        <v>147</v>
      </c>
      <c r="W105" s="22" t="s">
        <v>484</v>
      </c>
      <c r="X105" s="22" t="s">
        <v>484</v>
      </c>
      <c r="Y105" s="22"/>
      <c r="Z105" s="7"/>
      <c r="AA105" s="7"/>
      <c r="AB105" s="23"/>
      <c r="AC105" s="26"/>
    </row>
    <row r="106" spans="1:29" ht="15.75" customHeight="1">
      <c r="A106" s="10" t="s">
        <v>834</v>
      </c>
      <c r="B106" s="10" t="s">
        <v>27</v>
      </c>
      <c r="C106" s="11" t="s">
        <v>28</v>
      </c>
      <c r="D106" s="38"/>
      <c r="E106" s="13" t="s">
        <v>835</v>
      </c>
      <c r="F106" s="43" t="s">
        <v>836</v>
      </c>
      <c r="G106" s="6" t="str">
        <f ca="1">IFERROR(__xludf.DUMMYFUNCTION("CONCATENATE(B106,(VLOOKUP(C106,CATALOGOS!$F$2:$H$6,3,FALSE)),(VLOOKUP(V106,CATALOGOS!$J$2:$K$18,2,FALSE)),""-"",TO_TEXT(A106))"),"P05RM-0105")</f>
        <v>P05RM-0105</v>
      </c>
      <c r="H106" s="6" t="str">
        <f ca="1">IFERROR(__xludf.DUMMYFUNCTION("CONCATENATE($B106,(VLOOKUP($C106,CATALOGOS!$F$2:$H$6,3,FALSE)),(VLOOKUP($V106,CATALOGOS!$J$2:$K$18,2,FALSE)),""-"",TO_TEXT($A106))"),"P05RM-0105")</f>
        <v>P05RM-0105</v>
      </c>
      <c r="I106" s="6"/>
      <c r="J106" s="6" t="s">
        <v>837</v>
      </c>
      <c r="K106" s="6" t="s">
        <v>838</v>
      </c>
      <c r="L106" s="6" t="s">
        <v>839</v>
      </c>
      <c r="M106" s="6" t="s">
        <v>141</v>
      </c>
      <c r="N106" s="17"/>
      <c r="O106" s="17"/>
      <c r="P106" s="17" t="str">
        <f t="shared" si="2"/>
        <v>REPETIDO</v>
      </c>
      <c r="Q106" s="17" t="s">
        <v>840</v>
      </c>
      <c r="R106" s="6" t="s">
        <v>35</v>
      </c>
      <c r="S106" s="6" t="s">
        <v>36</v>
      </c>
      <c r="T106" s="17" t="s">
        <v>841</v>
      </c>
      <c r="U106" s="173" t="s">
        <v>38</v>
      </c>
      <c r="V106" s="11" t="s">
        <v>147</v>
      </c>
      <c r="W106" s="22" t="s">
        <v>484</v>
      </c>
      <c r="X106" s="22" t="s">
        <v>484</v>
      </c>
      <c r="Y106" s="22"/>
      <c r="Z106" s="7"/>
      <c r="AA106" s="7"/>
      <c r="AB106" s="26"/>
      <c r="AC106" s="26"/>
    </row>
    <row r="107" spans="1:29" ht="15.75" customHeight="1">
      <c r="A107" s="10" t="s">
        <v>842</v>
      </c>
      <c r="B107" s="10" t="s">
        <v>27</v>
      </c>
      <c r="C107" s="11" t="s">
        <v>28</v>
      </c>
      <c r="D107" s="12"/>
      <c r="E107" s="13" t="s">
        <v>843</v>
      </c>
      <c r="F107" s="6" t="s">
        <v>843</v>
      </c>
      <c r="G107" s="6" t="str">
        <f ca="1">IFERROR(__xludf.DUMMYFUNCTION("CONCATENATE(B107,(VLOOKUP(C107,CATALOGOS!$F$2:$H$6,3,FALSE)),(VLOOKUP(V107,CATALOGOS!$J$2:$K$18,2,FALSE)),""-"",TO_TEXT(A107))"),"P05DA-0106")</f>
        <v>P05DA-0106</v>
      </c>
      <c r="H107" s="6" t="str">
        <f ca="1">IFERROR(__xludf.DUMMYFUNCTION("CONCATENATE($B107,(VLOOKUP($C107,CATALOGOS!$F$2:$H$6,3,FALSE)),(VLOOKUP($V107,CATALOGOS!$J$2:$K$18,2,FALSE)),""-"",TO_TEXT($A107))"),"P05DA-0106")</f>
        <v>P05DA-0106</v>
      </c>
      <c r="I107" s="6"/>
      <c r="J107" s="6" t="s">
        <v>844</v>
      </c>
      <c r="K107" s="6" t="s">
        <v>845</v>
      </c>
      <c r="L107" s="6" t="s">
        <v>846</v>
      </c>
      <c r="M107" s="43" t="s">
        <v>141</v>
      </c>
      <c r="N107" s="17"/>
      <c r="O107" s="17"/>
      <c r="P107" s="17" t="str">
        <f t="shared" si="2"/>
        <v>REPETIDO</v>
      </c>
      <c r="Q107" s="51" t="s">
        <v>35</v>
      </c>
      <c r="R107" s="6" t="s">
        <v>35</v>
      </c>
      <c r="S107" s="17" t="s">
        <v>36</v>
      </c>
      <c r="T107" s="17" t="s">
        <v>847</v>
      </c>
      <c r="U107" s="173" t="s">
        <v>38</v>
      </c>
      <c r="V107" s="11" t="s">
        <v>28</v>
      </c>
      <c r="W107" s="20" t="s">
        <v>848</v>
      </c>
      <c r="X107" s="20" t="s">
        <v>848</v>
      </c>
      <c r="Y107" s="20"/>
      <c r="Z107" s="7"/>
      <c r="AA107" s="7"/>
      <c r="AB107" s="23"/>
      <c r="AC107" s="26"/>
    </row>
    <row r="108" spans="1:29" ht="15.75" customHeight="1">
      <c r="A108" s="10" t="s">
        <v>849</v>
      </c>
      <c r="B108" s="10" t="s">
        <v>27</v>
      </c>
      <c r="C108" s="11" t="s">
        <v>28</v>
      </c>
      <c r="D108" s="12"/>
      <c r="E108" s="13" t="s">
        <v>850</v>
      </c>
      <c r="F108" s="43" t="s">
        <v>851</v>
      </c>
      <c r="G108" s="6" t="str">
        <f ca="1">IFERROR(__xludf.DUMMYFUNCTION("CONCATENATE(B108,(VLOOKUP(C108,CATALOGOS!$F$2:$H$6,3,FALSE)),(VLOOKUP(V108,CATALOGOS!$J$2:$K$18,2,FALSE)),""-"",TO_TEXT(A108))"),"P05DA-0107")</f>
        <v>P05DA-0107</v>
      </c>
      <c r="H108" s="6" t="str">
        <f ca="1">IFERROR(__xludf.DUMMYFUNCTION("CONCATENATE($B108,(VLOOKUP($C108,CATALOGOS!$F$2:$H$6,3,FALSE)),(VLOOKUP($V108,CATALOGOS!$J$2:$K$18,2,FALSE)),""-"",TO_TEXT($A108))"),"P05DA-0107")</f>
        <v>P05DA-0107</v>
      </c>
      <c r="I108" s="6"/>
      <c r="J108" s="6" t="s">
        <v>852</v>
      </c>
      <c r="K108" s="6" t="s">
        <v>853</v>
      </c>
      <c r="L108" s="6" t="s">
        <v>854</v>
      </c>
      <c r="M108" s="6" t="s">
        <v>855</v>
      </c>
      <c r="N108" s="17"/>
      <c r="O108" s="17"/>
      <c r="P108" s="17" t="str">
        <f t="shared" si="2"/>
        <v>OK</v>
      </c>
      <c r="Q108" s="17" t="s">
        <v>856</v>
      </c>
      <c r="R108" s="6" t="s">
        <v>857</v>
      </c>
      <c r="S108" s="6" t="s">
        <v>858</v>
      </c>
      <c r="T108" s="10" t="s">
        <v>859</v>
      </c>
      <c r="U108" s="173" t="s">
        <v>38</v>
      </c>
      <c r="V108" s="11" t="s">
        <v>28</v>
      </c>
      <c r="W108" s="20" t="s">
        <v>848</v>
      </c>
      <c r="X108" s="20" t="s">
        <v>848</v>
      </c>
      <c r="Y108" s="20"/>
      <c r="Z108" s="7"/>
      <c r="AA108" s="7"/>
      <c r="AB108" s="23"/>
      <c r="AC108" s="26"/>
    </row>
    <row r="109" spans="1:29" ht="15.75" customHeight="1">
      <c r="A109" s="10" t="s">
        <v>860</v>
      </c>
      <c r="B109" s="10" t="s">
        <v>27</v>
      </c>
      <c r="C109" s="11" t="s">
        <v>28</v>
      </c>
      <c r="D109" s="12"/>
      <c r="E109" s="13" t="s">
        <v>93</v>
      </c>
      <c r="F109" s="6" t="s">
        <v>861</v>
      </c>
      <c r="G109" s="6" t="str">
        <f ca="1">IFERROR(__xludf.DUMMYFUNCTION("CONCATENATE(B109,(VLOOKUP(C109,CATALOGOS!$F$2:$H$6,3,FALSE)),(VLOOKUP(V109,CATALOGOS!$J$2:$K$18,2,FALSE)),""-"",TO_TEXT(A109))"),"P05DA-0108")</f>
        <v>P05DA-0108</v>
      </c>
      <c r="H109" s="6" t="str">
        <f ca="1">IFERROR(__xludf.DUMMYFUNCTION("CONCATENATE($B109,(VLOOKUP($C109,CATALOGOS!$F$2:$H$6,3,FALSE)),(VLOOKUP($V109,CATALOGOS!$J$2:$K$18,2,FALSE)),""-"",TO_TEXT($A109))"),"P05DA-0108")</f>
        <v>P05DA-0108</v>
      </c>
      <c r="I109" s="6"/>
      <c r="J109" s="6" t="s">
        <v>862</v>
      </c>
      <c r="K109" s="6" t="s">
        <v>863</v>
      </c>
      <c r="L109" s="6" t="s">
        <v>864</v>
      </c>
      <c r="M109" s="6" t="s">
        <v>865</v>
      </c>
      <c r="N109" s="17"/>
      <c r="O109" s="17"/>
      <c r="P109" s="17" t="str">
        <f t="shared" si="2"/>
        <v>OK</v>
      </c>
      <c r="Q109" s="17" t="s">
        <v>35</v>
      </c>
      <c r="R109" s="6" t="s">
        <v>35</v>
      </c>
      <c r="S109" s="17" t="s">
        <v>36</v>
      </c>
      <c r="T109" s="17" t="s">
        <v>866</v>
      </c>
      <c r="U109" s="173" t="s">
        <v>38</v>
      </c>
      <c r="V109" s="11" t="s">
        <v>28</v>
      </c>
      <c r="W109" s="20" t="s">
        <v>848</v>
      </c>
      <c r="X109" s="20" t="s">
        <v>848</v>
      </c>
      <c r="Y109" s="20"/>
      <c r="Z109" s="7"/>
      <c r="AA109" s="7"/>
      <c r="AB109" s="23"/>
      <c r="AC109" s="26"/>
    </row>
    <row r="110" spans="1:29" ht="15.75" customHeight="1">
      <c r="A110" s="10" t="s">
        <v>867</v>
      </c>
      <c r="B110" s="10" t="s">
        <v>27</v>
      </c>
      <c r="C110" s="11" t="s">
        <v>28</v>
      </c>
      <c r="D110" s="12"/>
      <c r="E110" s="13" t="s">
        <v>93</v>
      </c>
      <c r="F110" s="6" t="s">
        <v>869</v>
      </c>
      <c r="G110" s="6" t="str">
        <f ca="1">IFERROR(__xludf.DUMMYFUNCTION("CONCATENATE(B110,(VLOOKUP(C110,CATALOGOS!$F$2:$H$6,3,FALSE)),(VLOOKUP(V110,CATALOGOS!$J$2:$K$18,2,FALSE)),""-"",TO_TEXT(A110))"),"P05DA-0109")</f>
        <v>P05DA-0109</v>
      </c>
      <c r="H110" s="6" t="str">
        <f ca="1">IFERROR(__xludf.DUMMYFUNCTION("CONCATENATE($B110,(VLOOKUP($C110,CATALOGOS!$F$2:$H$6,3,FALSE)),(VLOOKUP($V110,CATALOGOS!$J$2:$K$18,2,FALSE)),""-"",TO_TEXT($A110))"),"P05DA-0109")</f>
        <v>P05DA-0109</v>
      </c>
      <c r="I110" s="6"/>
      <c r="J110" s="6" t="s">
        <v>870</v>
      </c>
      <c r="K110" s="6" t="s">
        <v>871</v>
      </c>
      <c r="L110" s="6" t="s">
        <v>872</v>
      </c>
      <c r="M110" s="6" t="s">
        <v>873</v>
      </c>
      <c r="N110" s="17"/>
      <c r="O110" s="17"/>
      <c r="P110" s="17" t="str">
        <f t="shared" si="2"/>
        <v>OK</v>
      </c>
      <c r="Q110" s="17" t="s">
        <v>35</v>
      </c>
      <c r="R110" s="6" t="s">
        <v>35</v>
      </c>
      <c r="S110" s="17" t="s">
        <v>36</v>
      </c>
      <c r="T110" s="17" t="s">
        <v>874</v>
      </c>
      <c r="U110" s="173" t="s">
        <v>38</v>
      </c>
      <c r="V110" s="11" t="s">
        <v>28</v>
      </c>
      <c r="W110" s="20" t="s">
        <v>848</v>
      </c>
      <c r="X110" s="20" t="s">
        <v>848</v>
      </c>
      <c r="Y110" s="20"/>
      <c r="Z110" s="7"/>
      <c r="AA110" s="7"/>
      <c r="AB110" s="23"/>
      <c r="AC110" s="26"/>
    </row>
    <row r="111" spans="1:29" ht="15.75" customHeight="1">
      <c r="A111" s="10" t="s">
        <v>877</v>
      </c>
      <c r="B111" s="10" t="s">
        <v>27</v>
      </c>
      <c r="C111" s="11" t="s">
        <v>28</v>
      </c>
      <c r="D111" s="12"/>
      <c r="E111" s="13" t="s">
        <v>378</v>
      </c>
      <c r="F111" s="6" t="s">
        <v>878</v>
      </c>
      <c r="G111" s="15" t="str">
        <f ca="1">IFERROR(__xludf.DUMMYFUNCTION("CONCATENATE(B111,(VLOOKUP(C111,CATALOGOS!$F$2:$H$6,3,FALSE)),(VLOOKUP(V111,CATALOGOS!$J$2:$K$18,2,FALSE)),""-"",TO_TEXT(A111))"),"P05DA-0110")</f>
        <v>P05DA-0110</v>
      </c>
      <c r="H111" s="6" t="str">
        <f ca="1">IFERROR(__xludf.DUMMYFUNCTION("CONCATENATE($B111,(VLOOKUP($C111,CATALOGOS!$F$2:$H$6,3,FALSE)),(VLOOKUP($V111,CATALOGOS!$J$2:$K$18,2,FALSE)),""-"",TO_TEXT($A111))"),"P05DA-0110")</f>
        <v>P05DA-0110</v>
      </c>
      <c r="I111" s="6"/>
      <c r="J111" s="6" t="s">
        <v>879</v>
      </c>
      <c r="K111" s="6" t="s">
        <v>880</v>
      </c>
      <c r="L111" s="6" t="s">
        <v>881</v>
      </c>
      <c r="M111" s="6" t="s">
        <v>882</v>
      </c>
      <c r="N111" s="17"/>
      <c r="O111" s="17"/>
      <c r="P111" s="17" t="str">
        <f t="shared" si="2"/>
        <v>OK</v>
      </c>
      <c r="Q111" s="17" t="s">
        <v>35</v>
      </c>
      <c r="R111" s="6" t="s">
        <v>35</v>
      </c>
      <c r="S111" s="17" t="s">
        <v>36</v>
      </c>
      <c r="T111" s="17" t="s">
        <v>883</v>
      </c>
      <c r="U111" s="173" t="s">
        <v>38</v>
      </c>
      <c r="V111" s="11" t="s">
        <v>28</v>
      </c>
      <c r="W111" s="20" t="s">
        <v>848</v>
      </c>
      <c r="X111" s="20" t="s">
        <v>848</v>
      </c>
      <c r="Y111" s="20"/>
      <c r="Z111" s="7"/>
      <c r="AA111" s="7"/>
      <c r="AB111" s="23"/>
      <c r="AC111" s="26"/>
    </row>
    <row r="112" spans="1:29" ht="15.75" customHeight="1">
      <c r="A112" s="10" t="s">
        <v>884</v>
      </c>
      <c r="B112" s="10" t="s">
        <v>27</v>
      </c>
      <c r="C112" s="11" t="s">
        <v>28</v>
      </c>
      <c r="D112" s="12"/>
      <c r="E112" s="13" t="s">
        <v>43</v>
      </c>
      <c r="F112" s="6" t="s">
        <v>885</v>
      </c>
      <c r="G112" s="6" t="str">
        <f ca="1">IFERROR(__xludf.DUMMYFUNCTION("CONCATENATE(B112,(VLOOKUP(C112,CATALOGOS!$F$2:$H$6,3,FALSE)),(VLOOKUP(V112,CATALOGOS!$J$2:$K$18,2,FALSE)),""-"",TO_TEXT(A112))"),"P05DA-0111")</f>
        <v>P05DA-0111</v>
      </c>
      <c r="H112" s="6" t="str">
        <f ca="1">IFERROR(__xludf.DUMMYFUNCTION("CONCATENATE($B112,(VLOOKUP($C112,CATALOGOS!$F$2:$H$6,3,FALSE)),(VLOOKUP($V112,CATALOGOS!$J$2:$K$18,2,FALSE)),""-"",TO_TEXT($A112))"),"P05DA-0111")</f>
        <v>P05DA-0111</v>
      </c>
      <c r="I112" s="6"/>
      <c r="J112" s="6" t="s">
        <v>886</v>
      </c>
      <c r="K112" s="6" t="s">
        <v>887</v>
      </c>
      <c r="L112" s="6" t="s">
        <v>888</v>
      </c>
      <c r="M112" s="43" t="s">
        <v>889</v>
      </c>
      <c r="N112" s="17"/>
      <c r="O112" s="17"/>
      <c r="P112" s="17" t="str">
        <f t="shared" si="2"/>
        <v>OK</v>
      </c>
      <c r="Q112" s="17" t="s">
        <v>890</v>
      </c>
      <c r="R112" s="6" t="s">
        <v>35</v>
      </c>
      <c r="S112" s="17" t="s">
        <v>36</v>
      </c>
      <c r="T112" s="17" t="s">
        <v>891</v>
      </c>
      <c r="U112" s="173" t="s">
        <v>38</v>
      </c>
      <c r="V112" s="11" t="s">
        <v>28</v>
      </c>
      <c r="W112" s="20" t="s">
        <v>848</v>
      </c>
      <c r="X112" s="20" t="s">
        <v>848</v>
      </c>
      <c r="Y112" s="20"/>
      <c r="Z112" s="7"/>
      <c r="AA112" s="7"/>
      <c r="AB112" s="23"/>
      <c r="AC112" s="26"/>
    </row>
    <row r="113" spans="1:29" ht="15.75" customHeight="1">
      <c r="A113" s="10" t="s">
        <v>892</v>
      </c>
      <c r="B113" s="10" t="s">
        <v>27</v>
      </c>
      <c r="C113" s="11" t="s">
        <v>28</v>
      </c>
      <c r="D113" s="12"/>
      <c r="E113" s="13" t="s">
        <v>43</v>
      </c>
      <c r="F113" s="6" t="s">
        <v>893</v>
      </c>
      <c r="G113" s="6" t="str">
        <f ca="1">IFERROR(__xludf.DUMMYFUNCTION("CONCATENATE(B113,(VLOOKUP(C113,CATALOGOS!$F$2:$H$6,3,FALSE)),(VLOOKUP(V113,CATALOGOS!$J$2:$K$18,2,FALSE)),""-"",TO_TEXT(A113))"),"P05DA-0112")</f>
        <v>P05DA-0112</v>
      </c>
      <c r="H113" s="6" t="str">
        <f ca="1">IFERROR(__xludf.DUMMYFUNCTION("CONCATENATE($B113,(VLOOKUP($C113,CATALOGOS!$F$2:$H$6,3,FALSE)),(VLOOKUP($V113,CATALOGOS!$J$2:$K$18,2,FALSE)),""-"",TO_TEXT($A113))"),"P05DA-0112")</f>
        <v>P05DA-0112</v>
      </c>
      <c r="I113" s="6"/>
      <c r="J113" s="6" t="s">
        <v>894</v>
      </c>
      <c r="K113" s="6" t="s">
        <v>895</v>
      </c>
      <c r="L113" s="6" t="s">
        <v>896</v>
      </c>
      <c r="M113" s="6" t="s">
        <v>897</v>
      </c>
      <c r="N113" s="17"/>
      <c r="O113" s="17"/>
      <c r="P113" s="17" t="str">
        <f t="shared" si="2"/>
        <v>OK</v>
      </c>
      <c r="Q113" s="17" t="s">
        <v>898</v>
      </c>
      <c r="R113" s="6" t="s">
        <v>899</v>
      </c>
      <c r="S113" s="6" t="s">
        <v>36</v>
      </c>
      <c r="T113" s="17" t="s">
        <v>85</v>
      </c>
      <c r="U113" s="173" t="s">
        <v>38</v>
      </c>
      <c r="V113" s="19" t="s">
        <v>28</v>
      </c>
      <c r="W113" s="20" t="s">
        <v>848</v>
      </c>
      <c r="X113" s="20" t="s">
        <v>848</v>
      </c>
      <c r="Y113" s="20"/>
      <c r="Z113" s="6"/>
      <c r="AA113" s="6"/>
      <c r="AB113" s="23"/>
      <c r="AC113" s="33"/>
    </row>
    <row r="114" spans="1:29" ht="15.75" customHeight="1">
      <c r="A114" s="10" t="s">
        <v>900</v>
      </c>
      <c r="B114" s="10" t="s">
        <v>27</v>
      </c>
      <c r="C114" s="11" t="s">
        <v>28</v>
      </c>
      <c r="D114" s="12"/>
      <c r="E114" s="13" t="s">
        <v>53</v>
      </c>
      <c r="F114" s="6" t="s">
        <v>901</v>
      </c>
      <c r="G114" s="6" t="str">
        <f ca="1">IFERROR(__xludf.DUMMYFUNCTION("CONCATENATE(B114,(VLOOKUP(C114,CATALOGOS!$F$2:$H$6,3,FALSE)),(VLOOKUP(V114,CATALOGOS!$J$2:$K$18,2,FALSE)),""-"",TO_TEXT(A114))"),"P05DA-0113")</f>
        <v>P05DA-0113</v>
      </c>
      <c r="H114" s="6" t="str">
        <f ca="1">IFERROR(__xludf.DUMMYFUNCTION("CONCATENATE($B114,(VLOOKUP($C114,CATALOGOS!$F$2:$H$6,3,FALSE)),(VLOOKUP($V114,CATALOGOS!$J$2:$K$18,2,FALSE)),""-"",TO_TEXT($A114))"),"P05DA-0113")</f>
        <v>P05DA-0113</v>
      </c>
      <c r="I114" s="6"/>
      <c r="J114" s="6" t="s">
        <v>902</v>
      </c>
      <c r="K114" s="6" t="s">
        <v>903</v>
      </c>
      <c r="L114" s="36"/>
      <c r="M114" s="6" t="s">
        <v>141</v>
      </c>
      <c r="N114" s="17"/>
      <c r="O114" s="17"/>
      <c r="P114" s="17" t="str">
        <f t="shared" si="2"/>
        <v>REPETIDO</v>
      </c>
      <c r="Q114" s="35" t="s">
        <v>35</v>
      </c>
      <c r="R114" s="6" t="s">
        <v>35</v>
      </c>
      <c r="S114" s="10" t="s">
        <v>36</v>
      </c>
      <c r="T114" s="32" t="s">
        <v>85</v>
      </c>
      <c r="U114" s="173" t="s">
        <v>38</v>
      </c>
      <c r="V114" s="11" t="s">
        <v>28</v>
      </c>
      <c r="W114" s="20" t="s">
        <v>848</v>
      </c>
      <c r="X114" s="20" t="s">
        <v>848</v>
      </c>
      <c r="Y114" s="20"/>
      <c r="Z114" s="6"/>
      <c r="AA114" s="6"/>
      <c r="AB114" s="23"/>
      <c r="AC114" s="33"/>
    </row>
    <row r="115" spans="1:29" ht="15.75" customHeight="1">
      <c r="A115" s="10" t="s">
        <v>904</v>
      </c>
      <c r="B115" s="10" t="s">
        <v>27</v>
      </c>
      <c r="C115" s="11" t="s">
        <v>28</v>
      </c>
      <c r="D115" s="12"/>
      <c r="E115" s="13" t="s">
        <v>151</v>
      </c>
      <c r="F115" s="6" t="s">
        <v>152</v>
      </c>
      <c r="G115" s="6" t="str">
        <f ca="1">IFERROR(__xludf.DUMMYFUNCTION("CONCATENATE(B115,(VLOOKUP(C115,CATALOGOS!$F$2:$H$6,3,FALSE)),(VLOOKUP(V115,CATALOGOS!$J$2:$K$18,2,FALSE)),""-"",TO_TEXT(A115))"),"P05DA-0114")</f>
        <v>P05DA-0114</v>
      </c>
      <c r="H115" s="6" t="str">
        <f ca="1">IFERROR(__xludf.DUMMYFUNCTION("CONCATENATE($B115,(VLOOKUP($C115,CATALOGOS!$F$2:$H$6,3,FALSE)),(VLOOKUP($V115,CATALOGOS!$J$2:$K$18,2,FALSE)),""-"",TO_TEXT($A115))"),"P05DA-0114")</f>
        <v>P05DA-0114</v>
      </c>
      <c r="I115" s="6"/>
      <c r="J115" s="6" t="s">
        <v>905</v>
      </c>
      <c r="K115" s="6" t="s">
        <v>906</v>
      </c>
      <c r="L115" s="6" t="s">
        <v>907</v>
      </c>
      <c r="M115" s="6" t="s">
        <v>908</v>
      </c>
      <c r="N115" s="17"/>
      <c r="O115" s="17"/>
      <c r="P115" s="17" t="str">
        <f t="shared" si="2"/>
        <v>OK</v>
      </c>
      <c r="Q115" s="17" t="s">
        <v>157</v>
      </c>
      <c r="R115" s="6" t="s">
        <v>158</v>
      </c>
      <c r="S115" s="17" t="s">
        <v>909</v>
      </c>
      <c r="T115" s="10" t="s">
        <v>910</v>
      </c>
      <c r="U115" s="173" t="s">
        <v>38</v>
      </c>
      <c r="V115" s="11" t="s">
        <v>28</v>
      </c>
      <c r="W115" s="20" t="s">
        <v>848</v>
      </c>
      <c r="X115" s="20" t="s">
        <v>848</v>
      </c>
      <c r="Y115" s="20"/>
      <c r="Z115" s="7"/>
      <c r="AA115" s="7"/>
      <c r="AB115" s="23"/>
      <c r="AC115" s="26"/>
    </row>
    <row r="116" spans="1:29" ht="15.75" customHeight="1">
      <c r="A116" s="10" t="s">
        <v>911</v>
      </c>
      <c r="B116" s="10" t="s">
        <v>27</v>
      </c>
      <c r="C116" s="11" t="s">
        <v>28</v>
      </c>
      <c r="D116" s="12"/>
      <c r="E116" s="13" t="s">
        <v>151</v>
      </c>
      <c r="F116" s="6" t="s">
        <v>714</v>
      </c>
      <c r="G116" s="6" t="str">
        <f ca="1">IFERROR(__xludf.DUMMYFUNCTION("CONCATENATE(B116,(VLOOKUP(C116,CATALOGOS!$F$2:$H$6,3,FALSE)),(VLOOKUP(V116,CATALOGOS!$J$2:$K$18,2,FALSE)),""-"",TO_TEXT(A116))"),"P05DA-0115")</f>
        <v>P05DA-0115</v>
      </c>
      <c r="H116" s="6" t="str">
        <f ca="1">IFERROR(__xludf.DUMMYFUNCTION("CONCATENATE($B116,(VLOOKUP($C116,CATALOGOS!$F$2:$H$6,3,FALSE)),(VLOOKUP($V116,CATALOGOS!$J$2:$K$18,2,FALSE)),""-"",TO_TEXT($A116))"),"P05DA-0115")</f>
        <v>P05DA-0115</v>
      </c>
      <c r="I116" s="6"/>
      <c r="J116" s="6" t="s">
        <v>912</v>
      </c>
      <c r="K116" s="6" t="s">
        <v>913</v>
      </c>
      <c r="L116" s="6" t="s">
        <v>914</v>
      </c>
      <c r="M116" s="6" t="s">
        <v>915</v>
      </c>
      <c r="N116" s="17"/>
      <c r="O116" s="17"/>
      <c r="P116" s="17" t="str">
        <f t="shared" si="2"/>
        <v>OK</v>
      </c>
      <c r="Q116" s="17" t="s">
        <v>205</v>
      </c>
      <c r="R116" s="6" t="s">
        <v>916</v>
      </c>
      <c r="S116" s="17" t="s">
        <v>917</v>
      </c>
      <c r="T116" s="17" t="s">
        <v>918</v>
      </c>
      <c r="U116" s="173" t="s">
        <v>38</v>
      </c>
      <c r="V116" s="11" t="s">
        <v>28</v>
      </c>
      <c r="W116" s="20" t="s">
        <v>848</v>
      </c>
      <c r="X116" s="20" t="s">
        <v>848</v>
      </c>
      <c r="Y116" s="20"/>
      <c r="Z116" s="7"/>
      <c r="AA116" s="7"/>
      <c r="AB116" s="23"/>
      <c r="AC116" s="26"/>
    </row>
    <row r="117" spans="1:29" ht="15.75" customHeight="1">
      <c r="A117" s="10" t="s">
        <v>919</v>
      </c>
      <c r="B117" s="10" t="s">
        <v>27</v>
      </c>
      <c r="C117" s="11" t="s">
        <v>28</v>
      </c>
      <c r="D117" s="12"/>
      <c r="E117" s="13" t="s">
        <v>116</v>
      </c>
      <c r="F117" s="6" t="s">
        <v>920</v>
      </c>
      <c r="G117" s="6" t="str">
        <f ca="1">IFERROR(__xludf.DUMMYFUNCTION("CONCATENATE(B117,(VLOOKUP(C117,CATALOGOS!$F$2:$H$6,3,FALSE)),(VLOOKUP(V117,CATALOGOS!$J$2:$K$18,2,FALSE)),""-"",TO_TEXT(A117))"),"P05DA-0116")</f>
        <v>P05DA-0116</v>
      </c>
      <c r="H117" s="6" t="str">
        <f ca="1">IFERROR(__xludf.DUMMYFUNCTION("CONCATENATE($B117,(VLOOKUP($C117,CATALOGOS!$F$2:$H$6,3,FALSE)),(VLOOKUP($V117,CATALOGOS!$J$2:$K$18,2,FALSE)),""-"",TO_TEXT($A117))"),"P05DA-0116")</f>
        <v>P05DA-0116</v>
      </c>
      <c r="I117" s="6"/>
      <c r="J117" s="6" t="s">
        <v>921</v>
      </c>
      <c r="K117" s="6" t="s">
        <v>922</v>
      </c>
      <c r="L117" s="6" t="s">
        <v>923</v>
      </c>
      <c r="M117" s="43" t="s">
        <v>924</v>
      </c>
      <c r="N117" s="17"/>
      <c r="O117" s="17"/>
      <c r="P117" s="17" t="str">
        <f t="shared" si="2"/>
        <v>OK</v>
      </c>
      <c r="Q117" s="17" t="s">
        <v>35</v>
      </c>
      <c r="R117" s="6" t="s">
        <v>35</v>
      </c>
      <c r="S117" s="17" t="s">
        <v>36</v>
      </c>
      <c r="T117" s="17" t="s">
        <v>925</v>
      </c>
      <c r="U117" s="173" t="s">
        <v>38</v>
      </c>
      <c r="V117" s="11" t="s">
        <v>28</v>
      </c>
      <c r="W117" s="20" t="s">
        <v>848</v>
      </c>
      <c r="X117" s="20" t="s">
        <v>848</v>
      </c>
      <c r="Y117" s="20"/>
      <c r="Z117" s="7"/>
      <c r="AA117" s="7"/>
      <c r="AB117" s="23"/>
      <c r="AC117" s="26"/>
    </row>
    <row r="118" spans="1:29" ht="15.75" customHeight="1">
      <c r="A118" s="10" t="s">
        <v>926</v>
      </c>
      <c r="B118" s="10" t="s">
        <v>27</v>
      </c>
      <c r="C118" s="11" t="s">
        <v>28</v>
      </c>
      <c r="D118" s="12"/>
      <c r="E118" s="13" t="s">
        <v>184</v>
      </c>
      <c r="F118" s="6" t="s">
        <v>927</v>
      </c>
      <c r="G118" s="6" t="str">
        <f ca="1">IFERROR(__xludf.DUMMYFUNCTION("CONCATENATE(B118,(VLOOKUP(C118,CATALOGOS!$F$2:$H$6,3,FALSE)),(VLOOKUP(V118,CATALOGOS!$J$2:$K$18,2,FALSE)),""-"",TO_TEXT(A118))"),"P05DA-0117")</f>
        <v>P05DA-0117</v>
      </c>
      <c r="H118" s="6" t="str">
        <f ca="1">IFERROR(__xludf.DUMMYFUNCTION("CONCATENATE($B118,(VLOOKUP($C118,CATALOGOS!$F$2:$H$6,3,FALSE)),(VLOOKUP($V118,CATALOGOS!$J$2:$K$18,2,FALSE)),""-"",TO_TEXT($A118))"),"P05DA-0117")</f>
        <v>P05DA-0117</v>
      </c>
      <c r="I118" s="6"/>
      <c r="J118" s="6" t="s">
        <v>928</v>
      </c>
      <c r="K118" s="6" t="s">
        <v>929</v>
      </c>
      <c r="L118" s="6" t="s">
        <v>930</v>
      </c>
      <c r="M118" s="6" t="s">
        <v>931</v>
      </c>
      <c r="N118" s="17"/>
      <c r="O118" s="17"/>
      <c r="P118" s="17" t="str">
        <f t="shared" si="2"/>
        <v>OK</v>
      </c>
      <c r="Q118" s="17" t="s">
        <v>35</v>
      </c>
      <c r="R118" s="6" t="s">
        <v>35</v>
      </c>
      <c r="S118" s="17" t="s">
        <v>36</v>
      </c>
      <c r="T118" s="17" t="s">
        <v>932</v>
      </c>
      <c r="U118" s="173" t="s">
        <v>38</v>
      </c>
      <c r="V118" s="11" t="s">
        <v>28</v>
      </c>
      <c r="W118" s="20" t="s">
        <v>848</v>
      </c>
      <c r="X118" s="20" t="s">
        <v>848</v>
      </c>
      <c r="Y118" s="20"/>
      <c r="Z118" s="7"/>
      <c r="AA118" s="7"/>
      <c r="AB118" s="23"/>
      <c r="AC118" s="26"/>
    </row>
    <row r="119" spans="1:29" ht="15.75" customHeight="1">
      <c r="A119" s="10" t="s">
        <v>933</v>
      </c>
      <c r="B119" s="10" t="s">
        <v>27</v>
      </c>
      <c r="C119" s="11" t="s">
        <v>28</v>
      </c>
      <c r="D119" s="12"/>
      <c r="E119" s="13" t="s">
        <v>353</v>
      </c>
      <c r="F119" s="6" t="s">
        <v>638</v>
      </c>
      <c r="G119" s="6" t="str">
        <f ca="1">IFERROR(__xludf.DUMMYFUNCTION("CONCATENATE(B119,(VLOOKUP(C119,CATALOGOS!$F$2:$H$6,3,FALSE)),(VLOOKUP(V119,CATALOGOS!$J$2:$K$18,2,FALSE)),""-"",TO_TEXT(A119))"),"P05DA-0118")</f>
        <v>P05DA-0118</v>
      </c>
      <c r="H119" s="6" t="str">
        <f ca="1">IFERROR(__xludf.DUMMYFUNCTION("CONCATENATE($B119,(VLOOKUP($C119,CATALOGOS!$F$2:$H$6,3,FALSE)),(VLOOKUP($V119,CATALOGOS!$J$2:$K$18,2,FALSE)),""-"",TO_TEXT($A119))"),"P05DA-0118")</f>
        <v>P05DA-0118</v>
      </c>
      <c r="I119" s="6"/>
      <c r="J119" s="6" t="s">
        <v>934</v>
      </c>
      <c r="K119" s="6" t="s">
        <v>935</v>
      </c>
      <c r="L119" s="6" t="s">
        <v>936</v>
      </c>
      <c r="M119" s="6" t="s">
        <v>937</v>
      </c>
      <c r="N119" s="17"/>
      <c r="O119" s="17"/>
      <c r="P119" s="17" t="str">
        <f t="shared" si="2"/>
        <v>OK</v>
      </c>
      <c r="Q119" s="17" t="s">
        <v>359</v>
      </c>
      <c r="R119" s="6" t="s">
        <v>938</v>
      </c>
      <c r="S119" s="17" t="s">
        <v>939</v>
      </c>
      <c r="T119" s="10" t="s">
        <v>940</v>
      </c>
      <c r="U119" s="173" t="s">
        <v>38</v>
      </c>
      <c r="V119" s="11" t="s">
        <v>28</v>
      </c>
      <c r="W119" s="20" t="s">
        <v>848</v>
      </c>
      <c r="X119" s="20" t="s">
        <v>848</v>
      </c>
      <c r="Y119" s="20"/>
      <c r="Z119" s="7"/>
      <c r="AA119" s="7"/>
      <c r="AB119" s="23"/>
      <c r="AC119" s="26"/>
    </row>
    <row r="120" spans="1:29" ht="15.75" customHeight="1">
      <c r="A120" s="10" t="s">
        <v>941</v>
      </c>
      <c r="B120" s="10" t="s">
        <v>27</v>
      </c>
      <c r="C120" s="11" t="s">
        <v>28</v>
      </c>
      <c r="D120" s="12"/>
      <c r="E120" s="13" t="s">
        <v>199</v>
      </c>
      <c r="F120" s="6" t="s">
        <v>199</v>
      </c>
      <c r="G120" s="6" t="str">
        <f ca="1">IFERROR(__xludf.DUMMYFUNCTION("CONCATENATE(B120,(VLOOKUP(C120,CATALOGOS!$F$2:$H$6,3,FALSE)),(VLOOKUP(V120,CATALOGOS!$J$2:$K$18,2,FALSE)),""-"",TO_TEXT(A120))"),"P05DA-0119")</f>
        <v>P05DA-0119</v>
      </c>
      <c r="H120" s="6" t="str">
        <f ca="1">IFERROR(__xludf.DUMMYFUNCTION("CONCATENATE($B120,(VLOOKUP($C120,CATALOGOS!$F$2:$H$6,3,FALSE)),(VLOOKUP($V120,CATALOGOS!$J$2:$K$18,2,FALSE)),""-"",TO_TEXT($A120))"),"P05DA-0119")</f>
        <v>P05DA-0119</v>
      </c>
      <c r="I120" s="6"/>
      <c r="J120" s="6" t="s">
        <v>942</v>
      </c>
      <c r="K120" s="6" t="s">
        <v>943</v>
      </c>
      <c r="L120" s="6" t="s">
        <v>944</v>
      </c>
      <c r="M120" s="6" t="s">
        <v>945</v>
      </c>
      <c r="N120" s="17"/>
      <c r="O120" s="17"/>
      <c r="P120" s="17" t="str">
        <f t="shared" si="2"/>
        <v>OK</v>
      </c>
      <c r="Q120" s="17" t="s">
        <v>157</v>
      </c>
      <c r="R120" s="6">
        <v>2378</v>
      </c>
      <c r="S120" s="17" t="s">
        <v>946</v>
      </c>
      <c r="T120" s="17" t="s">
        <v>947</v>
      </c>
      <c r="U120" s="173" t="s">
        <v>38</v>
      </c>
      <c r="V120" s="11" t="s">
        <v>28</v>
      </c>
      <c r="W120" s="20" t="s">
        <v>848</v>
      </c>
      <c r="X120" s="20" t="s">
        <v>848</v>
      </c>
      <c r="Y120" s="20"/>
      <c r="Z120" s="7"/>
      <c r="AA120" s="7"/>
      <c r="AB120" s="23"/>
      <c r="AC120" s="26"/>
    </row>
    <row r="121" spans="1:29" ht="15.75" customHeight="1">
      <c r="A121" s="10" t="s">
        <v>948</v>
      </c>
      <c r="B121" s="10" t="s">
        <v>27</v>
      </c>
      <c r="C121" s="11" t="s">
        <v>28</v>
      </c>
      <c r="D121" s="12"/>
      <c r="E121" s="13" t="s">
        <v>210</v>
      </c>
      <c r="F121" s="6" t="s">
        <v>949</v>
      </c>
      <c r="G121" s="6" t="str">
        <f ca="1">IFERROR(__xludf.DUMMYFUNCTION("CONCATENATE(B121,(VLOOKUP(C121,CATALOGOS!$F$2:$H$6,3,FALSE)),(VLOOKUP(V121,CATALOGOS!$J$2:$K$18,2,FALSE)),""-"",TO_TEXT(A121))"),"P05DA-0120")</f>
        <v>P05DA-0120</v>
      </c>
      <c r="H121" s="6" t="str">
        <f ca="1">IFERROR(__xludf.DUMMYFUNCTION("CONCATENATE($B121,(VLOOKUP($C121,CATALOGOS!$F$2:$H$6,3,FALSE)),(VLOOKUP($V121,CATALOGOS!$J$2:$K$18,2,FALSE)),""-"",TO_TEXT($A121))"),"P05DA-0120")</f>
        <v>P05DA-0120</v>
      </c>
      <c r="I121" s="6"/>
      <c r="J121" s="6" t="s">
        <v>950</v>
      </c>
      <c r="K121" s="6" t="s">
        <v>951</v>
      </c>
      <c r="L121" s="6" t="s">
        <v>952</v>
      </c>
      <c r="M121" s="6" t="s">
        <v>953</v>
      </c>
      <c r="N121" s="17"/>
      <c r="O121" s="17"/>
      <c r="P121" s="17" t="str">
        <f t="shared" si="2"/>
        <v>OK</v>
      </c>
      <c r="Q121" s="17" t="s">
        <v>216</v>
      </c>
      <c r="R121" s="6" t="s">
        <v>737</v>
      </c>
      <c r="S121" s="17" t="s">
        <v>954</v>
      </c>
      <c r="T121" s="17" t="s">
        <v>85</v>
      </c>
      <c r="U121" s="173" t="s">
        <v>38</v>
      </c>
      <c r="V121" s="11" t="s">
        <v>28</v>
      </c>
      <c r="W121" s="20" t="s">
        <v>848</v>
      </c>
      <c r="X121" s="20" t="s">
        <v>848</v>
      </c>
      <c r="Y121" s="20"/>
      <c r="Z121" s="7"/>
      <c r="AA121" s="7"/>
      <c r="AB121" s="23"/>
      <c r="AC121" s="26"/>
    </row>
    <row r="122" spans="1:29" ht="15.75" customHeight="1">
      <c r="A122" s="10" t="s">
        <v>955</v>
      </c>
      <c r="B122" s="10" t="s">
        <v>27</v>
      </c>
      <c r="C122" s="11" t="s">
        <v>28</v>
      </c>
      <c r="D122" s="38"/>
      <c r="E122" s="13" t="s">
        <v>378</v>
      </c>
      <c r="F122" s="6" t="s">
        <v>956</v>
      </c>
      <c r="G122" s="6" t="str">
        <f ca="1">IFERROR(__xludf.DUMMYFUNCTION("CONCATENATE(B122,(VLOOKUP(C122,CATALOGOS!$F$2:$H$6,3,FALSE)),(VLOOKUP(V122,CATALOGOS!$J$2:$K$18,2,FALSE)),""-"",TO_TEXT(A122))"),"P05DA-0121")</f>
        <v>P05DA-0121</v>
      </c>
      <c r="H122" s="6" t="str">
        <f ca="1">IFERROR(__xludf.DUMMYFUNCTION("CONCATENATE($B122,(VLOOKUP($C122,CATALOGOS!$F$2:$H$6,3,FALSE)),(VLOOKUP($V122,CATALOGOS!$J$2:$K$18,2,FALSE)),""-"",TO_TEXT($A122))"),"P05DA-0121")</f>
        <v>P05DA-0121</v>
      </c>
      <c r="I122" s="6"/>
      <c r="J122" s="6" t="s">
        <v>957</v>
      </c>
      <c r="K122" s="6" t="s">
        <v>958</v>
      </c>
      <c r="L122" s="6" t="s">
        <v>959</v>
      </c>
      <c r="M122" s="6" t="s">
        <v>960</v>
      </c>
      <c r="N122" s="17"/>
      <c r="O122" s="17"/>
      <c r="P122" s="17" t="str">
        <f t="shared" si="2"/>
        <v>OK</v>
      </c>
      <c r="Q122" s="17" t="s">
        <v>35</v>
      </c>
      <c r="R122" s="6" t="s">
        <v>35</v>
      </c>
      <c r="S122" s="46" t="s">
        <v>36</v>
      </c>
      <c r="T122" s="17" t="s">
        <v>961</v>
      </c>
      <c r="U122" s="173" t="s">
        <v>38</v>
      </c>
      <c r="V122" s="11" t="s">
        <v>28</v>
      </c>
      <c r="W122" s="20" t="s">
        <v>848</v>
      </c>
      <c r="X122" s="20" t="s">
        <v>848</v>
      </c>
      <c r="Y122" s="20"/>
      <c r="Z122" s="7"/>
      <c r="AA122" s="7"/>
      <c r="AB122" s="26"/>
      <c r="AC122" s="26"/>
    </row>
    <row r="123" spans="1:29" ht="15.75" customHeight="1">
      <c r="A123" s="10" t="s">
        <v>962</v>
      </c>
      <c r="B123" s="10" t="s">
        <v>27</v>
      </c>
      <c r="C123" s="11" t="s">
        <v>28</v>
      </c>
      <c r="D123" s="12"/>
      <c r="E123" s="13" t="s">
        <v>151</v>
      </c>
      <c r="F123" s="6" t="s">
        <v>963</v>
      </c>
      <c r="G123" s="6" t="str">
        <f ca="1">IFERROR(__xludf.DUMMYFUNCTION("CONCATENATE(B123,(VLOOKUP(C123,CATALOGOS!$F$2:$H$6,3,FALSE)),(VLOOKUP(V123,CATALOGOS!$J$2:$K$18,2,FALSE)),""-"",TO_TEXT(A123))"),"P05RM-0122")</f>
        <v>P05RM-0122</v>
      </c>
      <c r="H123" s="6" t="str">
        <f ca="1">IFERROR(__xludf.DUMMYFUNCTION("CONCATENATE($B123,(VLOOKUP($C123,CATALOGOS!$F$2:$H$6,3,FALSE)),(VLOOKUP($V123,CATALOGOS!$J$2:$K$18,2,FALSE)),""-"",TO_TEXT($A123))"),"P05RM-0122")</f>
        <v>P05RM-0122</v>
      </c>
      <c r="I123" s="6"/>
      <c r="J123" s="6" t="s">
        <v>964</v>
      </c>
      <c r="K123" s="6" t="s">
        <v>965</v>
      </c>
      <c r="L123" s="6" t="s">
        <v>966</v>
      </c>
      <c r="M123" s="43" t="s">
        <v>967</v>
      </c>
      <c r="N123" s="17"/>
      <c r="O123" s="17"/>
      <c r="P123" s="17" t="str">
        <f t="shared" si="2"/>
        <v>OK</v>
      </c>
      <c r="Q123" s="17" t="s">
        <v>703</v>
      </c>
      <c r="R123" s="6" t="s">
        <v>968</v>
      </c>
      <c r="S123" s="17" t="s">
        <v>969</v>
      </c>
      <c r="T123" s="10" t="s">
        <v>970</v>
      </c>
      <c r="U123" s="173" t="s">
        <v>971</v>
      </c>
      <c r="V123" s="11" t="s">
        <v>147</v>
      </c>
      <c r="W123" s="22" t="s">
        <v>686</v>
      </c>
      <c r="X123" s="22" t="s">
        <v>686</v>
      </c>
      <c r="Y123" s="22"/>
      <c r="Z123" s="7"/>
      <c r="AA123" s="7"/>
      <c r="AB123" s="23"/>
      <c r="AC123" s="26"/>
    </row>
    <row r="124" spans="1:29" ht="15.75" customHeight="1">
      <c r="A124" s="10" t="s">
        <v>972</v>
      </c>
      <c r="B124" s="10" t="s">
        <v>27</v>
      </c>
      <c r="C124" s="11" t="s">
        <v>28</v>
      </c>
      <c r="D124" s="12"/>
      <c r="E124" s="13" t="s">
        <v>248</v>
      </c>
      <c r="F124" s="6" t="s">
        <v>973</v>
      </c>
      <c r="G124" s="6" t="str">
        <f ca="1">IFERROR(__xludf.DUMMYFUNCTION("CONCATENATE(B124,(VLOOKUP(C124,CATALOGOS!$F$2:$H$6,3,FALSE)),(VLOOKUP(V124,CATALOGOS!$J$2:$K$18,2,FALSE)),""-"",TO_TEXT(A124))"),"P05RM-0123")</f>
        <v>P05RM-0123</v>
      </c>
      <c r="H124" s="6" t="str">
        <f ca="1">IFERROR(__xludf.DUMMYFUNCTION("CONCATENATE($B124,(VLOOKUP($C124,CATALOGOS!$F$2:$H$6,3,FALSE)),(VLOOKUP($V124,CATALOGOS!$J$2:$K$18,2,FALSE)),""-"",TO_TEXT($A124))"),"P05RM-0123")</f>
        <v>P05RM-0123</v>
      </c>
      <c r="I124" s="6"/>
      <c r="J124" s="6" t="s">
        <v>974</v>
      </c>
      <c r="K124" s="6" t="s">
        <v>975</v>
      </c>
      <c r="L124" s="6" t="s">
        <v>976</v>
      </c>
      <c r="M124" s="6" t="s">
        <v>977</v>
      </c>
      <c r="N124" s="17"/>
      <c r="O124" s="17"/>
      <c r="P124" s="17" t="str">
        <f t="shared" si="2"/>
        <v>OK</v>
      </c>
      <c r="Q124" s="17" t="s">
        <v>978</v>
      </c>
      <c r="R124" s="6" t="s">
        <v>979</v>
      </c>
      <c r="S124" s="17" t="s">
        <v>980</v>
      </c>
      <c r="T124" s="17" t="s">
        <v>981</v>
      </c>
      <c r="U124" s="173" t="s">
        <v>38</v>
      </c>
      <c r="V124" s="11" t="s">
        <v>147</v>
      </c>
      <c r="W124" s="22" t="s">
        <v>686</v>
      </c>
      <c r="X124" s="22" t="s">
        <v>686</v>
      </c>
      <c r="Y124" s="22"/>
      <c r="Z124" s="7"/>
      <c r="AA124" s="7"/>
      <c r="AB124" s="23"/>
      <c r="AC124" s="26"/>
    </row>
    <row r="125" spans="1:29" ht="15.75" customHeight="1">
      <c r="A125" s="10" t="s">
        <v>982</v>
      </c>
      <c r="B125" s="10" t="s">
        <v>27</v>
      </c>
      <c r="C125" s="11" t="s">
        <v>28</v>
      </c>
      <c r="D125" s="12"/>
      <c r="E125" s="13" t="s">
        <v>93</v>
      </c>
      <c r="F125" s="6" t="s">
        <v>869</v>
      </c>
      <c r="G125" s="6" t="str">
        <f ca="1">IFERROR(__xludf.DUMMYFUNCTION("CONCATENATE(B125,(VLOOKUP(C125,CATALOGOS!$F$2:$H$6,3,FALSE)),(VLOOKUP(V125,CATALOGOS!$J$2:$K$18,2,FALSE)),""-"",TO_TEXT(A125))"),"P05RH-0124")</f>
        <v>P05RH-0124</v>
      </c>
      <c r="H125" s="6" t="str">
        <f ca="1">IFERROR(__xludf.DUMMYFUNCTION("CONCATENATE($B125,(VLOOKUP($C125,CATALOGOS!$F$2:$H$6,3,FALSE)),(VLOOKUP($V125,CATALOGOS!$J$2:$K$18,2,FALSE)),""-"",TO_TEXT($A125))"),"P05RH-0124")</f>
        <v>P05RH-0124</v>
      </c>
      <c r="I125" s="6"/>
      <c r="J125" s="6" t="s">
        <v>983</v>
      </c>
      <c r="K125" s="6" t="s">
        <v>984</v>
      </c>
      <c r="L125" s="6" t="s">
        <v>985</v>
      </c>
      <c r="M125" s="43" t="s">
        <v>986</v>
      </c>
      <c r="N125" s="17"/>
      <c r="O125" s="17"/>
      <c r="P125" s="17" t="str">
        <f t="shared" si="2"/>
        <v>OK</v>
      </c>
      <c r="Q125" s="17" t="s">
        <v>35</v>
      </c>
      <c r="R125" s="6" t="s">
        <v>35</v>
      </c>
      <c r="S125" s="17" t="s">
        <v>36</v>
      </c>
      <c r="T125" s="17" t="s">
        <v>987</v>
      </c>
      <c r="U125" s="173" t="s">
        <v>38</v>
      </c>
      <c r="V125" s="11" t="s">
        <v>723</v>
      </c>
      <c r="W125" s="20" t="s">
        <v>687</v>
      </c>
      <c r="X125" s="20" t="s">
        <v>687</v>
      </c>
      <c r="Y125" s="20"/>
      <c r="Z125" s="7"/>
      <c r="AA125" s="7"/>
      <c r="AB125" s="23"/>
      <c r="AC125" s="26"/>
    </row>
    <row r="126" spans="1:29" ht="15.75" customHeight="1">
      <c r="A126" s="10" t="s">
        <v>988</v>
      </c>
      <c r="B126" s="10" t="s">
        <v>27</v>
      </c>
      <c r="C126" s="11" t="s">
        <v>28</v>
      </c>
      <c r="D126" s="12"/>
      <c r="E126" s="13" t="s">
        <v>199</v>
      </c>
      <c r="F126" s="6" t="s">
        <v>199</v>
      </c>
      <c r="G126" s="6" t="str">
        <f ca="1">IFERROR(__xludf.DUMMYFUNCTION("CONCATENATE(B126,(VLOOKUP(C126,CATALOGOS!$F$2:$H$6,3,FALSE)),(VLOOKUP(V126,CATALOGOS!$J$2:$K$18,2,FALSE)),""-"",TO_TEXT(A126))"),"P05RM-0125")</f>
        <v>P05RM-0125</v>
      </c>
      <c r="H126" s="6" t="str">
        <f ca="1">IFERROR(__xludf.DUMMYFUNCTION("CONCATENATE($B126,(VLOOKUP($C126,CATALOGOS!$F$2:$H$6,3,FALSE)),(VLOOKUP($V126,CATALOGOS!$J$2:$K$18,2,FALSE)),""-"",TO_TEXT($A126))"),"P05RM-0125")</f>
        <v>P05RM-0125</v>
      </c>
      <c r="I126" s="6"/>
      <c r="J126" s="6" t="s">
        <v>989</v>
      </c>
      <c r="K126" s="6" t="s">
        <v>990</v>
      </c>
      <c r="L126" s="6" t="s">
        <v>991</v>
      </c>
      <c r="M126" s="6" t="s">
        <v>992</v>
      </c>
      <c r="N126" s="17"/>
      <c r="O126" s="17"/>
      <c r="P126" s="17" t="str">
        <f t="shared" si="2"/>
        <v>OK</v>
      </c>
      <c r="Q126" s="17" t="s">
        <v>205</v>
      </c>
      <c r="R126" s="6" t="s">
        <v>993</v>
      </c>
      <c r="S126" s="17" t="s">
        <v>994</v>
      </c>
      <c r="T126" s="17" t="s">
        <v>995</v>
      </c>
      <c r="U126" s="173" t="s">
        <v>38</v>
      </c>
      <c r="V126" s="11" t="s">
        <v>147</v>
      </c>
      <c r="W126" s="22" t="s">
        <v>686</v>
      </c>
      <c r="X126" s="22" t="s">
        <v>686</v>
      </c>
      <c r="Y126" s="22"/>
      <c r="Z126" s="7"/>
      <c r="AA126" s="7"/>
      <c r="AB126" s="23"/>
      <c r="AC126" s="26"/>
    </row>
    <row r="127" spans="1:29" ht="15.75" customHeight="1">
      <c r="A127" s="10" t="s">
        <v>996</v>
      </c>
      <c r="B127" s="10" t="s">
        <v>27</v>
      </c>
      <c r="C127" s="52" t="s">
        <v>868</v>
      </c>
      <c r="D127" s="12"/>
      <c r="E127" s="13" t="s">
        <v>151</v>
      </c>
      <c r="F127" s="6" t="s">
        <v>963</v>
      </c>
      <c r="G127" s="15" t="str">
        <f ca="1">IFERROR(__xludf.DUMMYFUNCTION("CONCATENATE(B127,(VLOOKUP(C127,CATALOGOS!$F$2:$H$6,3,FALSE)),(VLOOKUP(V127,CATALOGOS!$J$2:$K$18,2,FALSE)),""-"",TO_TEXT(A127))"),"P03CV-0126")</f>
        <v>P03CV-0126</v>
      </c>
      <c r="H127" s="6" t="str">
        <f ca="1">IFERROR(__xludf.DUMMYFUNCTION("CONCATENATE($B127,(VLOOKUP($C127,CATALOGOS!$F$2:$H$6,3,FALSE)),(VLOOKUP($V127,CATALOGOS!$J$2:$K$18,2,FALSE)),""-"",TO_TEXT($A127))"),"P03CV-0126")</f>
        <v>P03CV-0126</v>
      </c>
      <c r="I127" s="6"/>
      <c r="J127" s="6" t="s">
        <v>997</v>
      </c>
      <c r="K127" s="6" t="s">
        <v>998</v>
      </c>
      <c r="L127" s="6" t="s">
        <v>999</v>
      </c>
      <c r="M127" s="6" t="s">
        <v>1000</v>
      </c>
      <c r="N127" s="17"/>
      <c r="O127" s="17"/>
      <c r="P127" s="17" t="str">
        <f t="shared" si="2"/>
        <v>OK</v>
      </c>
      <c r="Q127" s="17" t="s">
        <v>297</v>
      </c>
      <c r="R127" s="6" t="s">
        <v>1001</v>
      </c>
      <c r="S127" s="17" t="s">
        <v>1002</v>
      </c>
      <c r="T127" s="17" t="s">
        <v>1003</v>
      </c>
      <c r="U127" s="179" t="s">
        <v>517</v>
      </c>
      <c r="V127" s="11" t="s">
        <v>875</v>
      </c>
      <c r="W127" s="20" t="s">
        <v>1004</v>
      </c>
      <c r="X127" s="20" t="s">
        <v>1004</v>
      </c>
      <c r="Y127" s="20"/>
      <c r="Z127" s="7"/>
      <c r="AA127" s="7"/>
      <c r="AB127" s="23"/>
      <c r="AC127" s="26"/>
    </row>
    <row r="128" spans="1:29" ht="15.75" customHeight="1">
      <c r="A128" s="10" t="s">
        <v>1005</v>
      </c>
      <c r="B128" s="10" t="s">
        <v>27</v>
      </c>
      <c r="C128" s="11" t="s">
        <v>28</v>
      </c>
      <c r="D128" s="38"/>
      <c r="E128" s="13" t="s">
        <v>378</v>
      </c>
      <c r="F128" s="6" t="s">
        <v>1006</v>
      </c>
      <c r="G128" s="6" t="str">
        <f ca="1">IFERROR(__xludf.DUMMYFUNCTION("CONCATENATE(B128,(VLOOKUP(C128,CATALOGOS!$F$2:$H$6,3,FALSE)),(VLOOKUP(V128,CATALOGOS!$J$2:$K$18,2,FALSE)),""-"",TO_TEXT(A128))"),"P05DA-0127")</f>
        <v>P05DA-0127</v>
      </c>
      <c r="H128" s="6" t="str">
        <f ca="1">IFERROR(__xludf.DUMMYFUNCTION("CONCATENATE($B128,(VLOOKUP($C128,CATALOGOS!$F$2:$H$6,3,FALSE)),(VLOOKUP($V128,CATALOGOS!$J$2:$K$18,2,FALSE)),""-"",TO_TEXT($A128))"),"P05DA-0127")</f>
        <v>P05DA-0127</v>
      </c>
      <c r="I128" s="6"/>
      <c r="J128" s="6" t="s">
        <v>1007</v>
      </c>
      <c r="K128" s="6" t="s">
        <v>1008</v>
      </c>
      <c r="L128" s="6" t="s">
        <v>1009</v>
      </c>
      <c r="M128" s="6" t="s">
        <v>1010</v>
      </c>
      <c r="N128" s="17"/>
      <c r="O128" s="17"/>
      <c r="P128" s="17" t="str">
        <f t="shared" si="2"/>
        <v>OK</v>
      </c>
      <c r="Q128" s="17" t="s">
        <v>35</v>
      </c>
      <c r="R128" s="6" t="s">
        <v>35</v>
      </c>
      <c r="S128" s="46" t="s">
        <v>36</v>
      </c>
      <c r="T128" s="17" t="s">
        <v>1011</v>
      </c>
      <c r="U128" s="173" t="s">
        <v>38</v>
      </c>
      <c r="V128" s="11" t="s">
        <v>28</v>
      </c>
      <c r="W128" s="20" t="s">
        <v>39</v>
      </c>
      <c r="X128" s="20" t="s">
        <v>39</v>
      </c>
      <c r="Y128" s="20"/>
      <c r="Z128" s="7"/>
      <c r="AA128" s="7"/>
      <c r="AB128" s="26"/>
      <c r="AC128" s="26"/>
    </row>
    <row r="129" spans="1:29" ht="15.75" customHeight="1">
      <c r="A129" s="10" t="s">
        <v>1012</v>
      </c>
      <c r="B129" s="10" t="s">
        <v>27</v>
      </c>
      <c r="C129" s="11" t="s">
        <v>28</v>
      </c>
      <c r="D129" s="12"/>
      <c r="E129" s="13" t="s">
        <v>116</v>
      </c>
      <c r="F129" s="6" t="s">
        <v>1013</v>
      </c>
      <c r="G129" s="6" t="str">
        <f ca="1">IFERROR(__xludf.DUMMYFUNCTION("CONCATENATE(B129,(VLOOKUP(C129,CATALOGOS!$F$2:$H$6,3,FALSE)),(VLOOKUP(V129,CATALOGOS!$J$2:$K$18,2,FALSE)),""-"",TO_TEXT(A129))"),"P05RM-0128")</f>
        <v>P05RM-0128</v>
      </c>
      <c r="H129" s="6" t="str">
        <f ca="1">IFERROR(__xludf.DUMMYFUNCTION("CONCATENATE($B129,(VLOOKUP($C129,CATALOGOS!$F$2:$H$6,3,FALSE)),(VLOOKUP($V129,CATALOGOS!$J$2:$K$18,2,FALSE)),""-"",TO_TEXT($A129))"),"P05RM-0128")</f>
        <v>P05RM-0128</v>
      </c>
      <c r="I129" s="6"/>
      <c r="J129" s="6" t="s">
        <v>1014</v>
      </c>
      <c r="K129" s="6" t="s">
        <v>1015</v>
      </c>
      <c r="L129" s="36"/>
      <c r="M129" s="6" t="s">
        <v>1016</v>
      </c>
      <c r="N129" s="17"/>
      <c r="O129" s="17"/>
      <c r="P129" s="17" t="str">
        <f t="shared" si="2"/>
        <v>OK</v>
      </c>
      <c r="Q129" s="35" t="s">
        <v>35</v>
      </c>
      <c r="R129" s="6" t="s">
        <v>35</v>
      </c>
      <c r="S129" s="10" t="s">
        <v>36</v>
      </c>
      <c r="T129" s="32" t="s">
        <v>85</v>
      </c>
      <c r="U129" s="173" t="s">
        <v>38</v>
      </c>
      <c r="V129" s="11" t="s">
        <v>147</v>
      </c>
      <c r="W129" s="22" t="s">
        <v>260</v>
      </c>
      <c r="X129" s="22" t="s">
        <v>260</v>
      </c>
      <c r="Y129" s="22"/>
      <c r="Z129" s="7"/>
      <c r="AA129" s="7"/>
      <c r="AB129" s="23"/>
      <c r="AC129" s="26"/>
    </row>
    <row r="130" spans="1:29" ht="15.75" customHeight="1">
      <c r="A130" s="10" t="s">
        <v>1017</v>
      </c>
      <c r="B130" s="10" t="s">
        <v>27</v>
      </c>
      <c r="C130" s="11" t="s">
        <v>28</v>
      </c>
      <c r="D130" s="12"/>
      <c r="E130" s="13" t="s">
        <v>184</v>
      </c>
      <c r="F130" s="6" t="s">
        <v>1018</v>
      </c>
      <c r="G130" s="6" t="str">
        <f ca="1">IFERROR(__xludf.DUMMYFUNCTION("CONCATENATE(B130,(VLOOKUP(C130,CATALOGOS!$F$2:$H$6,3,FALSE)),(VLOOKUP(V130,CATALOGOS!$J$2:$K$18,2,FALSE)),""-"",TO_TEXT(A130))"),"P05RH-0129")</f>
        <v>P05RH-0129</v>
      </c>
      <c r="H130" s="6" t="str">
        <f ca="1">IFERROR(__xludf.DUMMYFUNCTION("CONCATENATE($B130,(VLOOKUP($C130,CATALOGOS!$F$2:$H$6,3,FALSE)),(VLOOKUP($V130,CATALOGOS!$J$2:$K$18,2,FALSE)),""-"",TO_TEXT($A130))"),"P05RH-0129")</f>
        <v>P05RH-0129</v>
      </c>
      <c r="I130" s="6"/>
      <c r="J130" s="6" t="s">
        <v>1019</v>
      </c>
      <c r="K130" s="6" t="s">
        <v>1020</v>
      </c>
      <c r="L130" s="6" t="s">
        <v>1021</v>
      </c>
      <c r="M130" s="6" t="s">
        <v>1022</v>
      </c>
      <c r="N130" s="17"/>
      <c r="O130" s="17"/>
      <c r="P130" s="17" t="str">
        <f t="shared" si="2"/>
        <v>OK</v>
      </c>
      <c r="Q130" s="17" t="s">
        <v>35</v>
      </c>
      <c r="R130" s="6" t="s">
        <v>35</v>
      </c>
      <c r="S130" s="17" t="s">
        <v>36</v>
      </c>
      <c r="T130" s="17" t="s">
        <v>1023</v>
      </c>
      <c r="U130" s="173" t="s">
        <v>38</v>
      </c>
      <c r="V130" s="11" t="s">
        <v>723</v>
      </c>
      <c r="W130" s="20" t="s">
        <v>687</v>
      </c>
      <c r="X130" s="20" t="s">
        <v>687</v>
      </c>
      <c r="Y130" s="20"/>
      <c r="Z130" s="7"/>
      <c r="AA130" s="7"/>
      <c r="AB130" s="23"/>
      <c r="AC130" s="26"/>
    </row>
    <row r="131" spans="1:29" ht="15.75" customHeight="1">
      <c r="A131" s="10" t="s">
        <v>1024</v>
      </c>
      <c r="B131" s="10" t="s">
        <v>27</v>
      </c>
      <c r="C131" s="11" t="s">
        <v>28</v>
      </c>
      <c r="D131" s="12"/>
      <c r="E131" s="13" t="s">
        <v>199</v>
      </c>
      <c r="F131" s="6" t="s">
        <v>199</v>
      </c>
      <c r="G131" s="6" t="str">
        <f ca="1">IFERROR(__xludf.DUMMYFUNCTION("CONCATENATE(B131,(VLOOKUP(C131,CATALOGOS!$F$2:$H$6,3,FALSE)),(VLOOKUP(V131,CATALOGOS!$J$2:$K$18,2,FALSE)),""-"",TO_TEXT(A131))"),"P05RM-0130")</f>
        <v>P05RM-0130</v>
      </c>
      <c r="H131" s="6" t="str">
        <f ca="1">IFERROR(__xludf.DUMMYFUNCTION("CONCATENATE($B131,(VLOOKUP($C131,CATALOGOS!$F$2:$H$6,3,FALSE)),(VLOOKUP($V131,CATALOGOS!$J$2:$K$18,2,FALSE)),""-"",TO_TEXT($A131))"),"P05RM-0130")</f>
        <v>P05RM-0130</v>
      </c>
      <c r="I131" s="6"/>
      <c r="J131" s="6" t="s">
        <v>1025</v>
      </c>
      <c r="K131" s="6" t="s">
        <v>1026</v>
      </c>
      <c r="L131" s="6" t="s">
        <v>1027</v>
      </c>
      <c r="M131" s="6" t="s">
        <v>1028</v>
      </c>
      <c r="N131" s="17"/>
      <c r="O131" s="17"/>
      <c r="P131" s="17" t="str">
        <f t="shared" si="2"/>
        <v>OK</v>
      </c>
      <c r="Q131" s="17" t="s">
        <v>297</v>
      </c>
      <c r="R131" s="6" t="s">
        <v>1029</v>
      </c>
      <c r="S131" s="17" t="s">
        <v>1030</v>
      </c>
      <c r="T131" s="17" t="s">
        <v>1031</v>
      </c>
      <c r="U131" s="173" t="s">
        <v>38</v>
      </c>
      <c r="V131" s="11" t="s">
        <v>147</v>
      </c>
      <c r="W131" s="22" t="s">
        <v>260</v>
      </c>
      <c r="X131" s="22" t="s">
        <v>260</v>
      </c>
      <c r="Y131" s="22"/>
      <c r="Z131" s="7"/>
      <c r="AA131" s="7"/>
      <c r="AB131" s="23"/>
      <c r="AC131" s="26"/>
    </row>
    <row r="132" spans="1:29" ht="15.75" customHeight="1">
      <c r="A132" s="10" t="s">
        <v>1032</v>
      </c>
      <c r="B132" s="10" t="s">
        <v>27</v>
      </c>
      <c r="C132" s="11" t="s">
        <v>28</v>
      </c>
      <c r="D132" s="12"/>
      <c r="E132" s="13" t="s">
        <v>151</v>
      </c>
      <c r="F132" s="6" t="s">
        <v>963</v>
      </c>
      <c r="G132" s="6" t="str">
        <f ca="1">IFERROR(__xludf.DUMMYFUNCTION("CONCATENATE(B132,(VLOOKUP(C132,CATALOGOS!$F$2:$H$6,3,FALSE)),(VLOOKUP(V132,CATALOGOS!$J$2:$K$18,2,FALSE)),""-"",TO_TEXT(A132))"),"P05RM-0131")</f>
        <v>P05RM-0131</v>
      </c>
      <c r="H132" s="6" t="str">
        <f ca="1">IFERROR(__xludf.DUMMYFUNCTION("CONCATENATE($B132,(VLOOKUP($C132,CATALOGOS!$F$2:$H$6,3,FALSE)),(VLOOKUP($V132,CATALOGOS!$J$2:$K$18,2,FALSE)),""-"",TO_TEXT($A132))"),"P05RM-0131")</f>
        <v>P05RM-0131</v>
      </c>
      <c r="I132" s="6"/>
      <c r="J132" s="6" t="s">
        <v>1033</v>
      </c>
      <c r="K132" s="6" t="s">
        <v>1034</v>
      </c>
      <c r="L132" s="6" t="s">
        <v>1035</v>
      </c>
      <c r="M132" s="6" t="s">
        <v>1036</v>
      </c>
      <c r="N132" s="17"/>
      <c r="O132" s="17"/>
      <c r="P132" s="17" t="str">
        <f t="shared" si="2"/>
        <v>OK</v>
      </c>
      <c r="Q132" s="17" t="s">
        <v>297</v>
      </c>
      <c r="R132" s="6" t="s">
        <v>1037</v>
      </c>
      <c r="S132" s="17" t="s">
        <v>1038</v>
      </c>
      <c r="T132" s="17" t="s">
        <v>1039</v>
      </c>
      <c r="U132" s="173" t="s">
        <v>38</v>
      </c>
      <c r="V132" s="11" t="s">
        <v>147</v>
      </c>
      <c r="W132" s="22" t="s">
        <v>260</v>
      </c>
      <c r="X132" s="22" t="s">
        <v>260</v>
      </c>
      <c r="Y132" s="22"/>
      <c r="Z132" s="7"/>
      <c r="AA132" s="7"/>
      <c r="AB132" s="23"/>
      <c r="AC132" s="26"/>
    </row>
    <row r="133" spans="1:29" ht="15.75" customHeight="1">
      <c r="A133" s="10" t="s">
        <v>1040</v>
      </c>
      <c r="B133" s="10" t="s">
        <v>27</v>
      </c>
      <c r="C133" s="52" t="s">
        <v>868</v>
      </c>
      <c r="D133" s="38"/>
      <c r="E133" s="13" t="s">
        <v>353</v>
      </c>
      <c r="F133" s="43" t="s">
        <v>354</v>
      </c>
      <c r="G133" s="6" t="str">
        <f ca="1">IFERROR(__xludf.DUMMYFUNCTION("CONCATENATE(B133,(VLOOKUP(C133,CATALOGOS!$F$2:$H$6,3,FALSE)),(VLOOKUP(V133,CATALOGOS!$J$2:$K$18,2,FALSE)),""-"",TO_TEXT(A133))"),"P03CV-0132")</f>
        <v>P03CV-0132</v>
      </c>
      <c r="H133" s="6" t="str">
        <f ca="1">IFERROR(__xludf.DUMMYFUNCTION("CONCATENATE($B133,(VLOOKUP($C133,CATALOGOS!$F$2:$H$6,3,FALSE)),(VLOOKUP($V133,CATALOGOS!$J$2:$K$18,2,FALSE)),""-"",TO_TEXT($A133))"),"P03CV-0132")</f>
        <v>P03CV-0132</v>
      </c>
      <c r="I133" s="6"/>
      <c r="J133" s="6" t="s">
        <v>1041</v>
      </c>
      <c r="K133" s="6" t="s">
        <v>1042</v>
      </c>
      <c r="L133" s="6" t="s">
        <v>1043</v>
      </c>
      <c r="M133" s="6" t="s">
        <v>1044</v>
      </c>
      <c r="N133" s="17"/>
      <c r="O133" s="17"/>
      <c r="P133" s="17" t="str">
        <f t="shared" si="2"/>
        <v>OK</v>
      </c>
      <c r="Q133" s="17" t="s">
        <v>359</v>
      </c>
      <c r="R133" s="6">
        <v>1350</v>
      </c>
      <c r="S133" s="46" t="s">
        <v>1045</v>
      </c>
      <c r="T133" s="17" t="s">
        <v>1046</v>
      </c>
      <c r="U133" s="173" t="s">
        <v>38</v>
      </c>
      <c r="V133" s="11" t="s">
        <v>875</v>
      </c>
      <c r="W133" s="20" t="s">
        <v>876</v>
      </c>
      <c r="X133" s="20" t="s">
        <v>876</v>
      </c>
      <c r="Y133" s="20"/>
      <c r="Z133" s="7"/>
      <c r="AA133" s="7"/>
      <c r="AB133" s="26"/>
      <c r="AC133" s="26"/>
    </row>
    <row r="134" spans="1:29" ht="15.75" customHeight="1">
      <c r="A134" s="10" t="s">
        <v>1047</v>
      </c>
      <c r="B134" s="10" t="s">
        <v>27</v>
      </c>
      <c r="C134" s="11" t="s">
        <v>28</v>
      </c>
      <c r="D134" s="12"/>
      <c r="E134" s="13" t="s">
        <v>501</v>
      </c>
      <c r="F134" s="6" t="s">
        <v>1048</v>
      </c>
      <c r="G134" s="6" t="str">
        <f ca="1">IFERROR(__xludf.DUMMYFUNCTION("CONCATENATE(B134,(VLOOKUP(C134,CATALOGOS!$F$2:$H$6,3,FALSE)),(VLOOKUP(V134,CATALOGOS!$J$2:$K$18,2,FALSE)),""-"",TO_TEXT(A134))"),"P05DA-0133")</f>
        <v>P05DA-0133</v>
      </c>
      <c r="H134" s="6" t="str">
        <f ca="1">IFERROR(__xludf.DUMMYFUNCTION("CONCATENATE($B134,(VLOOKUP($C134,CATALOGOS!$F$2:$H$6,3,FALSE)),(VLOOKUP($V134,CATALOGOS!$J$2:$K$18,2,FALSE)),""-"",TO_TEXT($A134))"),"P05DA-0133")</f>
        <v>P05DA-0133</v>
      </c>
      <c r="I134" s="6"/>
      <c r="J134" s="6" t="s">
        <v>1049</v>
      </c>
      <c r="K134" s="6" t="s">
        <v>1050</v>
      </c>
      <c r="L134" s="6" t="s">
        <v>1051</v>
      </c>
      <c r="M134" s="6" t="s">
        <v>1052</v>
      </c>
      <c r="N134" s="17"/>
      <c r="O134" s="17"/>
      <c r="P134" s="17" t="str">
        <f t="shared" si="2"/>
        <v>OK</v>
      </c>
      <c r="Q134" s="17" t="s">
        <v>35</v>
      </c>
      <c r="R134" s="6" t="s">
        <v>35</v>
      </c>
      <c r="S134" s="17" t="s">
        <v>36</v>
      </c>
      <c r="T134" s="17" t="s">
        <v>1053</v>
      </c>
      <c r="U134" s="173" t="s">
        <v>38</v>
      </c>
      <c r="V134" s="11" t="s">
        <v>28</v>
      </c>
      <c r="W134" s="20" t="s">
        <v>848</v>
      </c>
      <c r="X134" s="20" t="s">
        <v>848</v>
      </c>
      <c r="Y134" s="20"/>
      <c r="Z134" s="7"/>
      <c r="AA134" s="7"/>
      <c r="AB134" s="23"/>
      <c r="AC134" s="26"/>
    </row>
    <row r="135" spans="1:29" ht="15.75" customHeight="1">
      <c r="A135" s="10" t="s">
        <v>1054</v>
      </c>
      <c r="B135" s="10" t="s">
        <v>27</v>
      </c>
      <c r="C135" s="11" t="s">
        <v>28</v>
      </c>
      <c r="D135" s="12"/>
      <c r="E135" s="13" t="s">
        <v>501</v>
      </c>
      <c r="F135" s="6" t="s">
        <v>1048</v>
      </c>
      <c r="G135" s="6" t="str">
        <f ca="1">IFERROR(__xludf.DUMMYFUNCTION("CONCATENATE(B135,(VLOOKUP(C135,CATALOGOS!$F$2:$H$6,3,FALSE)),(VLOOKUP(V135,CATALOGOS!$J$2:$K$18,2,FALSE)),""-"",TO_TEXT(A135))"),"P05DA-0134")</f>
        <v>P05DA-0134</v>
      </c>
      <c r="H135" s="6" t="str">
        <f ca="1">IFERROR(__xludf.DUMMYFUNCTION("CONCATENATE($B135,(VLOOKUP($C135,CATALOGOS!$F$2:$H$6,3,FALSE)),(VLOOKUP($V135,CATALOGOS!$J$2:$K$18,2,FALSE)),""-"",TO_TEXT($A135))"),"P05DA-0134")</f>
        <v>P05DA-0134</v>
      </c>
      <c r="I135" s="6"/>
      <c r="J135" s="6" t="s">
        <v>1055</v>
      </c>
      <c r="K135" s="6" t="s">
        <v>1056</v>
      </c>
      <c r="L135" s="6" t="s">
        <v>1057</v>
      </c>
      <c r="M135" s="6" t="s">
        <v>1058</v>
      </c>
      <c r="N135" s="17"/>
      <c r="O135" s="17"/>
      <c r="P135" s="17" t="str">
        <f t="shared" si="2"/>
        <v>OK</v>
      </c>
      <c r="Q135" s="17" t="s">
        <v>35</v>
      </c>
      <c r="R135" s="6" t="s">
        <v>35</v>
      </c>
      <c r="S135" s="17" t="s">
        <v>36</v>
      </c>
      <c r="T135" s="17" t="s">
        <v>1059</v>
      </c>
      <c r="U135" s="173" t="s">
        <v>38</v>
      </c>
      <c r="V135" s="11" t="s">
        <v>28</v>
      </c>
      <c r="W135" s="20" t="s">
        <v>848</v>
      </c>
      <c r="X135" s="20" t="s">
        <v>848</v>
      </c>
      <c r="Y135" s="20"/>
      <c r="Z135" s="7"/>
      <c r="AA135" s="7"/>
      <c r="AB135" s="23"/>
      <c r="AC135" s="26"/>
    </row>
    <row r="136" spans="1:29" ht="15.75" customHeight="1">
      <c r="A136" s="10" t="s">
        <v>1060</v>
      </c>
      <c r="B136" s="10" t="s">
        <v>27</v>
      </c>
      <c r="C136" s="11" t="s">
        <v>28</v>
      </c>
      <c r="D136" s="12"/>
      <c r="E136" s="13" t="s">
        <v>501</v>
      </c>
      <c r="F136" s="6" t="s">
        <v>1061</v>
      </c>
      <c r="G136" s="6" t="str">
        <f ca="1">IFERROR(__xludf.DUMMYFUNCTION("CONCATENATE(B136,(VLOOKUP(C136,CATALOGOS!$F$2:$H$6,3,FALSE)),(VLOOKUP(V136,CATALOGOS!$J$2:$K$18,2,FALSE)),""-"",TO_TEXT(A136))"),"P05DA-0135")</f>
        <v>P05DA-0135</v>
      </c>
      <c r="H136" s="6" t="str">
        <f ca="1">IFERROR(__xludf.DUMMYFUNCTION("CONCATENATE($B136,(VLOOKUP($C136,CATALOGOS!$F$2:$H$6,3,FALSE)),(VLOOKUP($V136,CATALOGOS!$J$2:$K$18,2,FALSE)),""-"",TO_TEXT($A136))"),"P05DA-0135")</f>
        <v>P05DA-0135</v>
      </c>
      <c r="I136" s="6"/>
      <c r="J136" s="6" t="s">
        <v>1062</v>
      </c>
      <c r="K136" s="6" t="s">
        <v>1063</v>
      </c>
      <c r="L136" s="6" t="s">
        <v>1064</v>
      </c>
      <c r="M136" s="6" t="s">
        <v>141</v>
      </c>
      <c r="N136" s="17"/>
      <c r="O136" s="17"/>
      <c r="P136" s="17" t="str">
        <f t="shared" si="2"/>
        <v>REPETIDO</v>
      </c>
      <c r="Q136" s="17" t="s">
        <v>35</v>
      </c>
      <c r="R136" s="6" t="s">
        <v>35</v>
      </c>
      <c r="S136" s="17" t="s">
        <v>36</v>
      </c>
      <c r="T136" s="17" t="s">
        <v>1065</v>
      </c>
      <c r="U136" s="173" t="s">
        <v>38</v>
      </c>
      <c r="V136" s="11" t="s">
        <v>28</v>
      </c>
      <c r="W136" s="20" t="s">
        <v>848</v>
      </c>
      <c r="X136" s="20" t="s">
        <v>848</v>
      </c>
      <c r="Y136" s="20"/>
      <c r="Z136" s="7"/>
      <c r="AA136" s="7"/>
      <c r="AB136" s="23"/>
      <c r="AC136" s="26"/>
    </row>
    <row r="137" spans="1:29" ht="15.75" customHeight="1">
      <c r="A137" s="10" t="s">
        <v>1066</v>
      </c>
      <c r="B137" s="10" t="s">
        <v>27</v>
      </c>
      <c r="C137" s="11" t="s">
        <v>28</v>
      </c>
      <c r="D137" s="12"/>
      <c r="E137" s="13" t="s">
        <v>501</v>
      </c>
      <c r="F137" s="6" t="s">
        <v>1048</v>
      </c>
      <c r="G137" s="6" t="str">
        <f ca="1">IFERROR(__xludf.DUMMYFUNCTION("CONCATENATE(B137,(VLOOKUP(C137,CATALOGOS!$F$2:$H$6,3,FALSE)),(VLOOKUP(V137,CATALOGOS!$J$2:$K$18,2,FALSE)),""-"",TO_TEXT(A137))"),"P05DA-0136")</f>
        <v>P05DA-0136</v>
      </c>
      <c r="H137" s="6" t="str">
        <f ca="1">IFERROR(__xludf.DUMMYFUNCTION("CONCATENATE($B137,(VLOOKUP($C137,CATALOGOS!$F$2:$H$6,3,FALSE)),(VLOOKUP($V137,CATALOGOS!$J$2:$K$18,2,FALSE)),""-"",TO_TEXT($A137))"),"P05DA-0136")</f>
        <v>P05DA-0136</v>
      </c>
      <c r="I137" s="6"/>
      <c r="J137" s="6" t="s">
        <v>1067</v>
      </c>
      <c r="K137" s="6" t="s">
        <v>1068</v>
      </c>
      <c r="L137" s="6" t="s">
        <v>1069</v>
      </c>
      <c r="M137" s="6" t="s">
        <v>1070</v>
      </c>
      <c r="N137" s="17"/>
      <c r="O137" s="17"/>
      <c r="P137" s="17" t="str">
        <f t="shared" si="2"/>
        <v>OK</v>
      </c>
      <c r="Q137" s="17" t="s">
        <v>35</v>
      </c>
      <c r="R137" s="6" t="s">
        <v>35</v>
      </c>
      <c r="S137" s="17" t="s">
        <v>36</v>
      </c>
      <c r="T137" s="17" t="s">
        <v>1071</v>
      </c>
      <c r="U137" s="173" t="s">
        <v>38</v>
      </c>
      <c r="V137" s="11" t="s">
        <v>28</v>
      </c>
      <c r="W137" s="20" t="s">
        <v>848</v>
      </c>
      <c r="X137" s="20" t="s">
        <v>848</v>
      </c>
      <c r="Y137" s="20"/>
      <c r="Z137" s="7"/>
      <c r="AA137" s="7"/>
      <c r="AB137" s="23"/>
      <c r="AC137" s="26"/>
    </row>
    <row r="138" spans="1:29" ht="15.75" customHeight="1">
      <c r="A138" s="10" t="s">
        <v>1072</v>
      </c>
      <c r="B138" s="10" t="s">
        <v>27</v>
      </c>
      <c r="C138" s="11" t="s">
        <v>28</v>
      </c>
      <c r="D138" s="12"/>
      <c r="E138" s="13" t="s">
        <v>501</v>
      </c>
      <c r="F138" s="6" t="s">
        <v>1048</v>
      </c>
      <c r="G138" s="6" t="str">
        <f ca="1">IFERROR(__xludf.DUMMYFUNCTION("CONCATENATE(B138,(VLOOKUP(C138,CATALOGOS!$F$2:$H$6,3,FALSE)),(VLOOKUP(V138,CATALOGOS!$J$2:$K$18,2,FALSE)),""-"",TO_TEXT(A138))"),"P05DA-0137")</f>
        <v>P05DA-0137</v>
      </c>
      <c r="H138" s="6" t="str">
        <f ca="1">IFERROR(__xludf.DUMMYFUNCTION("CONCATENATE($B138,(VLOOKUP($C138,CATALOGOS!$F$2:$H$6,3,FALSE)),(VLOOKUP($V138,CATALOGOS!$J$2:$K$18,2,FALSE)),""-"",TO_TEXT($A138))"),"P05DA-0137")</f>
        <v>P05DA-0137</v>
      </c>
      <c r="I138" s="6"/>
      <c r="J138" s="6" t="s">
        <v>1073</v>
      </c>
      <c r="K138" s="6" t="s">
        <v>1074</v>
      </c>
      <c r="L138" s="6" t="s">
        <v>1075</v>
      </c>
      <c r="M138" s="6" t="s">
        <v>1076</v>
      </c>
      <c r="N138" s="17"/>
      <c r="O138" s="17"/>
      <c r="P138" s="17" t="str">
        <f t="shared" si="2"/>
        <v>OK</v>
      </c>
      <c r="Q138" s="17" t="s">
        <v>35</v>
      </c>
      <c r="R138" s="6" t="s">
        <v>35</v>
      </c>
      <c r="S138" s="17" t="s">
        <v>36</v>
      </c>
      <c r="T138" s="17" t="s">
        <v>1077</v>
      </c>
      <c r="U138" s="173" t="s">
        <v>38</v>
      </c>
      <c r="V138" s="11" t="s">
        <v>28</v>
      </c>
      <c r="W138" s="20" t="s">
        <v>848</v>
      </c>
      <c r="X138" s="20" t="s">
        <v>848</v>
      </c>
      <c r="Y138" s="20"/>
      <c r="Z138" s="7"/>
      <c r="AA138" s="7"/>
      <c r="AB138" s="23"/>
      <c r="AC138" s="26"/>
    </row>
    <row r="139" spans="1:29" ht="15.75" customHeight="1">
      <c r="A139" s="10" t="s">
        <v>1078</v>
      </c>
      <c r="B139" s="10" t="s">
        <v>27</v>
      </c>
      <c r="C139" s="11" t="s">
        <v>28</v>
      </c>
      <c r="D139" s="12"/>
      <c r="E139" s="13" t="s">
        <v>501</v>
      </c>
      <c r="F139" s="6" t="s">
        <v>1048</v>
      </c>
      <c r="G139" s="6" t="str">
        <f ca="1">IFERROR(__xludf.DUMMYFUNCTION("CONCATENATE(B139,(VLOOKUP(C139,CATALOGOS!$F$2:$H$6,3,FALSE)),(VLOOKUP(V139,CATALOGOS!$J$2:$K$18,2,FALSE)),""-"",TO_TEXT(A139))"),"P05DA-0138")</f>
        <v>P05DA-0138</v>
      </c>
      <c r="H139" s="6" t="str">
        <f ca="1">IFERROR(__xludf.DUMMYFUNCTION("CONCATENATE($B139,(VLOOKUP($C139,CATALOGOS!$F$2:$H$6,3,FALSE)),(VLOOKUP($V139,CATALOGOS!$J$2:$K$18,2,FALSE)),""-"",TO_TEXT($A139))"),"P05DA-0138")</f>
        <v>P05DA-0138</v>
      </c>
      <c r="I139" s="6"/>
      <c r="J139" s="6" t="s">
        <v>1079</v>
      </c>
      <c r="K139" s="6" t="s">
        <v>1080</v>
      </c>
      <c r="L139" s="6" t="s">
        <v>1081</v>
      </c>
      <c r="M139" s="6" t="s">
        <v>1082</v>
      </c>
      <c r="N139" s="17"/>
      <c r="O139" s="17"/>
      <c r="P139" s="17" t="str">
        <f t="shared" si="2"/>
        <v>OK</v>
      </c>
      <c r="Q139" s="17" t="s">
        <v>35</v>
      </c>
      <c r="R139" s="6" t="s">
        <v>35</v>
      </c>
      <c r="S139" s="17" t="s">
        <v>36</v>
      </c>
      <c r="T139" s="17" t="s">
        <v>1083</v>
      </c>
      <c r="U139" s="173" t="s">
        <v>38</v>
      </c>
      <c r="V139" s="11" t="s">
        <v>28</v>
      </c>
      <c r="W139" s="20" t="s">
        <v>848</v>
      </c>
      <c r="X139" s="20" t="s">
        <v>848</v>
      </c>
      <c r="Y139" s="20"/>
      <c r="Z139" s="7"/>
      <c r="AA139" s="7"/>
      <c r="AB139" s="23"/>
      <c r="AC139" s="26"/>
    </row>
    <row r="140" spans="1:29" ht="15.75" customHeight="1">
      <c r="A140" s="10" t="s">
        <v>1084</v>
      </c>
      <c r="B140" s="10" t="s">
        <v>27</v>
      </c>
      <c r="C140" s="11" t="s">
        <v>28</v>
      </c>
      <c r="D140" s="12"/>
      <c r="E140" s="13" t="s">
        <v>501</v>
      </c>
      <c r="F140" s="6" t="s">
        <v>1048</v>
      </c>
      <c r="G140" s="6" t="str">
        <f ca="1">IFERROR(__xludf.DUMMYFUNCTION("CONCATENATE(B140,(VLOOKUP(C140,CATALOGOS!$F$2:$H$6,3,FALSE)),(VLOOKUP(V140,CATALOGOS!$J$2:$K$18,2,FALSE)),""-"",TO_TEXT(A140))"),"P05DA-0139")</f>
        <v>P05DA-0139</v>
      </c>
      <c r="H140" s="6" t="str">
        <f ca="1">IFERROR(__xludf.DUMMYFUNCTION("CONCATENATE($B140,(VLOOKUP($C140,CATALOGOS!$F$2:$H$6,3,FALSE)),(VLOOKUP($V140,CATALOGOS!$J$2:$K$18,2,FALSE)),""-"",TO_TEXT($A140))"),"P05DA-0139")</f>
        <v>P05DA-0139</v>
      </c>
      <c r="I140" s="6"/>
      <c r="J140" s="6" t="s">
        <v>1085</v>
      </c>
      <c r="K140" s="6" t="s">
        <v>1086</v>
      </c>
      <c r="L140" s="6" t="s">
        <v>1087</v>
      </c>
      <c r="M140" s="6" t="s">
        <v>1088</v>
      </c>
      <c r="N140" s="17"/>
      <c r="O140" s="17"/>
      <c r="P140" s="17" t="str">
        <f t="shared" si="2"/>
        <v>OK</v>
      </c>
      <c r="Q140" s="17" t="s">
        <v>35</v>
      </c>
      <c r="R140" s="6" t="s">
        <v>35</v>
      </c>
      <c r="S140" s="17" t="s">
        <v>36</v>
      </c>
      <c r="T140" s="17" t="s">
        <v>1089</v>
      </c>
      <c r="U140" s="173" t="s">
        <v>38</v>
      </c>
      <c r="V140" s="11" t="s">
        <v>28</v>
      </c>
      <c r="W140" s="20" t="s">
        <v>848</v>
      </c>
      <c r="X140" s="20" t="s">
        <v>848</v>
      </c>
      <c r="Y140" s="20"/>
      <c r="Z140" s="7"/>
      <c r="AA140" s="7"/>
      <c r="AB140" s="23"/>
      <c r="AC140" s="26"/>
    </row>
    <row r="141" spans="1:29" ht="15.75" customHeight="1">
      <c r="A141" s="10" t="s">
        <v>1090</v>
      </c>
      <c r="B141" s="10" t="s">
        <v>27</v>
      </c>
      <c r="C141" s="11" t="s">
        <v>28</v>
      </c>
      <c r="D141" s="12"/>
      <c r="E141" s="13" t="s">
        <v>501</v>
      </c>
      <c r="F141" s="6" t="s">
        <v>1091</v>
      </c>
      <c r="G141" s="6" t="str">
        <f ca="1">IFERROR(__xludf.DUMMYFUNCTION("CONCATENATE(B141,(VLOOKUP(C141,CATALOGOS!$F$2:$H$6,3,FALSE)),(VLOOKUP(V141,CATALOGOS!$J$2:$K$18,2,FALSE)),""-"",TO_TEXT(A141))"),"P05DA-0140")</f>
        <v>P05DA-0140</v>
      </c>
      <c r="H141" s="6" t="str">
        <f ca="1">IFERROR(__xludf.DUMMYFUNCTION("CONCATENATE($B141,(VLOOKUP($C141,CATALOGOS!$F$2:$H$6,3,FALSE)),(VLOOKUP($V141,CATALOGOS!$J$2:$K$18,2,FALSE)),""-"",TO_TEXT($A141))"),"P05DA-0140")</f>
        <v>P05DA-0140</v>
      </c>
      <c r="I141" s="6"/>
      <c r="J141" s="6" t="s">
        <v>1092</v>
      </c>
      <c r="K141" s="6" t="s">
        <v>1093</v>
      </c>
      <c r="L141" s="36"/>
      <c r="M141" s="6" t="s">
        <v>141</v>
      </c>
      <c r="N141" s="17"/>
      <c r="O141" s="17"/>
      <c r="P141" s="17" t="str">
        <f t="shared" si="2"/>
        <v>REPETIDO</v>
      </c>
      <c r="Q141" s="17" t="s">
        <v>35</v>
      </c>
      <c r="R141" s="6" t="s">
        <v>35</v>
      </c>
      <c r="S141" s="6" t="s">
        <v>36</v>
      </c>
      <c r="T141" s="10" t="s">
        <v>1094</v>
      </c>
      <c r="U141" s="173" t="s">
        <v>38</v>
      </c>
      <c r="V141" s="11" t="s">
        <v>28</v>
      </c>
      <c r="W141" s="20" t="s">
        <v>848</v>
      </c>
      <c r="X141" s="20" t="s">
        <v>848</v>
      </c>
      <c r="Y141" s="20"/>
      <c r="Z141" s="7"/>
      <c r="AA141" s="7"/>
      <c r="AB141" s="23"/>
      <c r="AC141" s="26"/>
    </row>
    <row r="142" spans="1:29" ht="15.75" customHeight="1">
      <c r="A142" s="10" t="s">
        <v>1095</v>
      </c>
      <c r="B142" s="10" t="s">
        <v>27</v>
      </c>
      <c r="C142" s="11" t="s">
        <v>28</v>
      </c>
      <c r="D142" s="12"/>
      <c r="E142" s="13" t="s">
        <v>501</v>
      </c>
      <c r="F142" s="6" t="s">
        <v>1091</v>
      </c>
      <c r="G142" s="6" t="str">
        <f ca="1">IFERROR(__xludf.DUMMYFUNCTION("CONCATENATE(B142,(VLOOKUP(C142,CATALOGOS!$F$2:$H$6,3,FALSE)),(VLOOKUP(V142,CATALOGOS!$J$2:$K$18,2,FALSE)),""-"",TO_TEXT(A142))"),"P05DA-0141")</f>
        <v>P05DA-0141</v>
      </c>
      <c r="H142" s="6" t="str">
        <f ca="1">IFERROR(__xludf.DUMMYFUNCTION("CONCATENATE($B142,(VLOOKUP($C142,CATALOGOS!$F$2:$H$6,3,FALSE)),(VLOOKUP($V142,CATALOGOS!$J$2:$K$18,2,FALSE)),""-"",TO_TEXT($A142))"),"P05DA-0141")</f>
        <v>P05DA-0141</v>
      </c>
      <c r="I142" s="6"/>
      <c r="J142" s="6" t="s">
        <v>1096</v>
      </c>
      <c r="K142" s="6" t="s">
        <v>1097</v>
      </c>
      <c r="L142" s="36"/>
      <c r="M142" s="6" t="s">
        <v>141</v>
      </c>
      <c r="N142" s="17"/>
      <c r="O142" s="17"/>
      <c r="P142" s="17" t="str">
        <f t="shared" si="2"/>
        <v>REPETIDO</v>
      </c>
      <c r="Q142" s="17" t="s">
        <v>35</v>
      </c>
      <c r="R142" s="6" t="s">
        <v>35</v>
      </c>
      <c r="S142" s="6" t="s">
        <v>36</v>
      </c>
      <c r="T142" s="10" t="s">
        <v>1098</v>
      </c>
      <c r="U142" s="173" t="s">
        <v>38</v>
      </c>
      <c r="V142" s="11" t="s">
        <v>28</v>
      </c>
      <c r="W142" s="20" t="s">
        <v>848</v>
      </c>
      <c r="X142" s="20" t="s">
        <v>848</v>
      </c>
      <c r="Y142" s="20"/>
      <c r="Z142" s="7"/>
      <c r="AA142" s="7"/>
      <c r="AB142" s="23"/>
      <c r="AC142" s="26"/>
    </row>
    <row r="143" spans="1:29" ht="15.75" customHeight="1">
      <c r="A143" s="10" t="s">
        <v>1099</v>
      </c>
      <c r="B143" s="10" t="s">
        <v>27</v>
      </c>
      <c r="C143" s="11" t="s">
        <v>28</v>
      </c>
      <c r="D143" s="12"/>
      <c r="E143" s="13" t="s">
        <v>501</v>
      </c>
      <c r="F143" s="6" t="s">
        <v>1091</v>
      </c>
      <c r="G143" s="6" t="str">
        <f ca="1">IFERROR(__xludf.DUMMYFUNCTION("CONCATENATE(B143,(VLOOKUP(C143,CATALOGOS!$F$2:$H$6,3,FALSE)),(VLOOKUP(V143,CATALOGOS!$J$2:$K$18,2,FALSE)),""-"",TO_TEXT(A143))"),"P05DA-0142")</f>
        <v>P05DA-0142</v>
      </c>
      <c r="H143" s="6" t="str">
        <f ca="1">IFERROR(__xludf.DUMMYFUNCTION("CONCATENATE($B143,(VLOOKUP($C143,CATALOGOS!$F$2:$H$6,3,FALSE)),(VLOOKUP($V143,CATALOGOS!$J$2:$K$18,2,FALSE)),""-"",TO_TEXT($A143))"),"P05DA-0142")</f>
        <v>P05DA-0142</v>
      </c>
      <c r="I143" s="6"/>
      <c r="J143" s="6" t="s">
        <v>1100</v>
      </c>
      <c r="K143" s="6" t="s">
        <v>1101</v>
      </c>
      <c r="L143" s="36"/>
      <c r="M143" s="6" t="s">
        <v>141</v>
      </c>
      <c r="N143" s="17"/>
      <c r="O143" s="17"/>
      <c r="P143" s="17" t="str">
        <f t="shared" si="2"/>
        <v>REPETIDO</v>
      </c>
      <c r="Q143" s="17" t="s">
        <v>35</v>
      </c>
      <c r="R143" s="6" t="s">
        <v>35</v>
      </c>
      <c r="S143" s="6" t="s">
        <v>36</v>
      </c>
      <c r="T143" s="6" t="s">
        <v>1102</v>
      </c>
      <c r="U143" s="173" t="s">
        <v>38</v>
      </c>
      <c r="V143" s="11" t="s">
        <v>28</v>
      </c>
      <c r="W143" s="20" t="s">
        <v>848</v>
      </c>
      <c r="X143" s="20" t="s">
        <v>848</v>
      </c>
      <c r="Y143" s="20"/>
      <c r="Z143" s="7"/>
      <c r="AA143" s="7"/>
      <c r="AB143" s="23"/>
      <c r="AC143" s="26"/>
    </row>
    <row r="144" spans="1:29" ht="15.75" customHeight="1">
      <c r="A144" s="10" t="s">
        <v>1103</v>
      </c>
      <c r="B144" s="10" t="s">
        <v>27</v>
      </c>
      <c r="C144" s="11" t="s">
        <v>28</v>
      </c>
      <c r="D144" s="12"/>
      <c r="E144" s="13" t="s">
        <v>501</v>
      </c>
      <c r="F144" s="6" t="s">
        <v>1091</v>
      </c>
      <c r="G144" s="6" t="str">
        <f ca="1">IFERROR(__xludf.DUMMYFUNCTION("CONCATENATE(B144,(VLOOKUP(C144,CATALOGOS!$F$2:$H$6,3,FALSE)),(VLOOKUP(V144,CATALOGOS!$J$2:$K$18,2,FALSE)),""-"",TO_TEXT(A144))"),"P05DA-0143")</f>
        <v>P05DA-0143</v>
      </c>
      <c r="H144" s="6" t="str">
        <f ca="1">IFERROR(__xludf.DUMMYFUNCTION("CONCATENATE($B144,(VLOOKUP($C144,CATALOGOS!$F$2:$H$6,3,FALSE)),(VLOOKUP($V144,CATALOGOS!$J$2:$K$18,2,FALSE)),""-"",TO_TEXT($A144))"),"P05DA-0143")</f>
        <v>P05DA-0143</v>
      </c>
      <c r="I144" s="6"/>
      <c r="J144" s="6" t="s">
        <v>1104</v>
      </c>
      <c r="K144" s="6" t="s">
        <v>1105</v>
      </c>
      <c r="L144" s="36"/>
      <c r="M144" s="6" t="s">
        <v>141</v>
      </c>
      <c r="N144" s="17"/>
      <c r="O144" s="17"/>
      <c r="P144" s="17" t="str">
        <f t="shared" si="2"/>
        <v>REPETIDO</v>
      </c>
      <c r="Q144" s="17" t="s">
        <v>35</v>
      </c>
      <c r="R144" s="6" t="s">
        <v>35</v>
      </c>
      <c r="S144" s="6" t="s">
        <v>36</v>
      </c>
      <c r="T144" s="6" t="s">
        <v>1106</v>
      </c>
      <c r="U144" s="173" t="s">
        <v>38</v>
      </c>
      <c r="V144" s="11" t="s">
        <v>28</v>
      </c>
      <c r="W144" s="20" t="s">
        <v>848</v>
      </c>
      <c r="X144" s="20" t="s">
        <v>848</v>
      </c>
      <c r="Y144" s="20"/>
      <c r="Z144" s="7"/>
      <c r="AA144" s="7"/>
      <c r="AB144" s="23"/>
      <c r="AC144" s="26"/>
    </row>
    <row r="145" spans="1:29" ht="15.75" customHeight="1">
      <c r="A145" s="10" t="s">
        <v>1107</v>
      </c>
      <c r="B145" s="10" t="s">
        <v>27</v>
      </c>
      <c r="C145" s="11" t="s">
        <v>28</v>
      </c>
      <c r="D145" s="12"/>
      <c r="E145" s="13" t="s">
        <v>501</v>
      </c>
      <c r="F145" s="6" t="s">
        <v>1091</v>
      </c>
      <c r="G145" s="6" t="str">
        <f ca="1">IFERROR(__xludf.DUMMYFUNCTION("CONCATENATE(B145,(VLOOKUP(C145,CATALOGOS!$F$2:$H$6,3,FALSE)),(VLOOKUP(V145,CATALOGOS!$J$2:$K$18,2,FALSE)),""-"",TO_TEXT(A145))"),"P05DA-0144")</f>
        <v>P05DA-0144</v>
      </c>
      <c r="H145" s="6" t="str">
        <f ca="1">IFERROR(__xludf.DUMMYFUNCTION("CONCATENATE($B145,(VLOOKUP($C145,CATALOGOS!$F$2:$H$6,3,FALSE)),(VLOOKUP($V145,CATALOGOS!$J$2:$K$18,2,FALSE)),""-"",TO_TEXT($A145))"),"P05DA-0144")</f>
        <v>P05DA-0144</v>
      </c>
      <c r="I145" s="6"/>
      <c r="J145" s="6" t="s">
        <v>1108</v>
      </c>
      <c r="K145" s="6" t="s">
        <v>1109</v>
      </c>
      <c r="L145" s="36"/>
      <c r="M145" s="6" t="s">
        <v>141</v>
      </c>
      <c r="N145" s="17"/>
      <c r="O145" s="17"/>
      <c r="P145" s="17" t="str">
        <f t="shared" si="2"/>
        <v>REPETIDO</v>
      </c>
      <c r="Q145" s="17" t="s">
        <v>35</v>
      </c>
      <c r="R145" s="6" t="s">
        <v>35</v>
      </c>
      <c r="S145" s="6" t="s">
        <v>36</v>
      </c>
      <c r="T145" s="6" t="s">
        <v>1110</v>
      </c>
      <c r="U145" s="173" t="s">
        <v>38</v>
      </c>
      <c r="V145" s="11" t="s">
        <v>28</v>
      </c>
      <c r="W145" s="20" t="s">
        <v>848</v>
      </c>
      <c r="X145" s="20" t="s">
        <v>848</v>
      </c>
      <c r="Y145" s="20"/>
      <c r="Z145" s="7"/>
      <c r="AA145" s="7"/>
      <c r="AB145" s="23"/>
      <c r="AC145" s="26"/>
    </row>
    <row r="146" spans="1:29" ht="15.75" customHeight="1">
      <c r="A146" s="10" t="s">
        <v>1111</v>
      </c>
      <c r="B146" s="10" t="s">
        <v>27</v>
      </c>
      <c r="C146" s="11" t="s">
        <v>28</v>
      </c>
      <c r="D146" s="12"/>
      <c r="E146" s="13" t="s">
        <v>501</v>
      </c>
      <c r="F146" s="6" t="s">
        <v>1091</v>
      </c>
      <c r="G146" s="6" t="str">
        <f ca="1">IFERROR(__xludf.DUMMYFUNCTION("CONCATENATE(B146,(VLOOKUP(C146,CATALOGOS!$F$2:$H$6,3,FALSE)),(VLOOKUP(V146,CATALOGOS!$J$2:$K$18,2,FALSE)),""-"",TO_TEXT(A146))"),"P05DA-0145")</f>
        <v>P05DA-0145</v>
      </c>
      <c r="H146" s="6" t="str">
        <f ca="1">IFERROR(__xludf.DUMMYFUNCTION("CONCATENATE($B146,(VLOOKUP($C146,CATALOGOS!$F$2:$H$6,3,FALSE)),(VLOOKUP($V146,CATALOGOS!$J$2:$K$18,2,FALSE)),""-"",TO_TEXT($A146))"),"P05DA-0145")</f>
        <v>P05DA-0145</v>
      </c>
      <c r="I146" s="6"/>
      <c r="J146" s="6" t="s">
        <v>1112</v>
      </c>
      <c r="K146" s="6" t="s">
        <v>1113</v>
      </c>
      <c r="L146" s="36"/>
      <c r="M146" s="6" t="s">
        <v>141</v>
      </c>
      <c r="N146" s="17"/>
      <c r="O146" s="17"/>
      <c r="P146" s="17" t="str">
        <f t="shared" si="2"/>
        <v>REPETIDO</v>
      </c>
      <c r="Q146" s="17" t="s">
        <v>35</v>
      </c>
      <c r="R146" s="6" t="s">
        <v>35</v>
      </c>
      <c r="S146" s="6" t="s">
        <v>36</v>
      </c>
      <c r="T146" s="6" t="s">
        <v>1114</v>
      </c>
      <c r="U146" s="173" t="s">
        <v>38</v>
      </c>
      <c r="V146" s="11" t="s">
        <v>28</v>
      </c>
      <c r="W146" s="20" t="s">
        <v>848</v>
      </c>
      <c r="X146" s="20" t="s">
        <v>848</v>
      </c>
      <c r="Y146" s="20"/>
      <c r="Z146" s="7"/>
      <c r="AA146" s="7"/>
      <c r="AB146" s="23"/>
      <c r="AC146" s="26"/>
    </row>
    <row r="147" spans="1:29" ht="15.75" customHeight="1">
      <c r="A147" s="10" t="s">
        <v>1115</v>
      </c>
      <c r="B147" s="10" t="s">
        <v>27</v>
      </c>
      <c r="C147" s="11" t="s">
        <v>28</v>
      </c>
      <c r="D147" s="12"/>
      <c r="E147" s="13" t="s">
        <v>501</v>
      </c>
      <c r="F147" s="6" t="s">
        <v>1091</v>
      </c>
      <c r="G147" s="6" t="str">
        <f ca="1">IFERROR(__xludf.DUMMYFUNCTION("CONCATENATE(B147,(VLOOKUP(C147,CATALOGOS!$F$2:$H$6,3,FALSE)),(VLOOKUP(V147,CATALOGOS!$J$2:$K$18,2,FALSE)),""-"",TO_TEXT(A147))"),"P05DA-0146")</f>
        <v>P05DA-0146</v>
      </c>
      <c r="H147" s="6" t="str">
        <f ca="1">IFERROR(__xludf.DUMMYFUNCTION("CONCATENATE($B147,(VLOOKUP($C147,CATALOGOS!$F$2:$H$6,3,FALSE)),(VLOOKUP($V147,CATALOGOS!$J$2:$K$18,2,FALSE)),""-"",TO_TEXT($A147))"),"P05DA-0146")</f>
        <v>P05DA-0146</v>
      </c>
      <c r="I147" s="6"/>
      <c r="J147" s="6" t="s">
        <v>1116</v>
      </c>
      <c r="K147" s="6" t="s">
        <v>1117</v>
      </c>
      <c r="L147" s="36"/>
      <c r="M147" s="6" t="s">
        <v>141</v>
      </c>
      <c r="N147" s="17"/>
      <c r="O147" s="17"/>
      <c r="P147" s="17" t="str">
        <f t="shared" si="2"/>
        <v>REPETIDO</v>
      </c>
      <c r="Q147" s="35" t="s">
        <v>35</v>
      </c>
      <c r="R147" s="6" t="s">
        <v>35</v>
      </c>
      <c r="S147" s="6" t="s">
        <v>36</v>
      </c>
      <c r="T147" s="6" t="s">
        <v>1118</v>
      </c>
      <c r="U147" s="173" t="s">
        <v>38</v>
      </c>
      <c r="V147" s="11" t="s">
        <v>28</v>
      </c>
      <c r="W147" s="20" t="s">
        <v>848</v>
      </c>
      <c r="X147" s="20" t="s">
        <v>848</v>
      </c>
      <c r="Y147" s="20"/>
      <c r="Z147" s="7"/>
      <c r="AA147" s="7"/>
      <c r="AB147" s="23"/>
      <c r="AC147" s="26"/>
    </row>
    <row r="148" spans="1:29" ht="15.75" customHeight="1">
      <c r="A148" s="10" t="s">
        <v>1119</v>
      </c>
      <c r="B148" s="10" t="s">
        <v>27</v>
      </c>
      <c r="C148" s="11" t="s">
        <v>28</v>
      </c>
      <c r="D148" s="12"/>
      <c r="E148" s="13" t="s">
        <v>501</v>
      </c>
      <c r="F148" s="6" t="s">
        <v>1091</v>
      </c>
      <c r="G148" s="6" t="str">
        <f ca="1">IFERROR(__xludf.DUMMYFUNCTION("CONCATENATE(B148,(VLOOKUP(C148,CATALOGOS!$F$2:$H$6,3,FALSE)),(VLOOKUP(V148,CATALOGOS!$J$2:$K$18,2,FALSE)),""-"",TO_TEXT(A148))"),"P05DA-0147")</f>
        <v>P05DA-0147</v>
      </c>
      <c r="H148" s="6" t="str">
        <f ca="1">IFERROR(__xludf.DUMMYFUNCTION("CONCATENATE($B148,(VLOOKUP($C148,CATALOGOS!$F$2:$H$6,3,FALSE)),(VLOOKUP($V148,CATALOGOS!$J$2:$K$18,2,FALSE)),""-"",TO_TEXT($A148))"),"P05DA-0147")</f>
        <v>P05DA-0147</v>
      </c>
      <c r="I148" s="6"/>
      <c r="J148" s="6" t="s">
        <v>1120</v>
      </c>
      <c r="K148" s="6" t="s">
        <v>1121</v>
      </c>
      <c r="L148" s="36"/>
      <c r="M148" s="6" t="s">
        <v>141</v>
      </c>
      <c r="N148" s="17"/>
      <c r="O148" s="17"/>
      <c r="P148" s="17" t="str">
        <f t="shared" si="2"/>
        <v>REPETIDO</v>
      </c>
      <c r="Q148" s="17" t="s">
        <v>35</v>
      </c>
      <c r="R148" s="6" t="s">
        <v>35</v>
      </c>
      <c r="S148" s="6" t="s">
        <v>36</v>
      </c>
      <c r="T148" s="6" t="s">
        <v>1122</v>
      </c>
      <c r="U148" s="173" t="s">
        <v>38</v>
      </c>
      <c r="V148" s="11" t="s">
        <v>28</v>
      </c>
      <c r="W148" s="20" t="s">
        <v>848</v>
      </c>
      <c r="X148" s="20" t="s">
        <v>848</v>
      </c>
      <c r="Y148" s="20"/>
      <c r="Z148" s="7"/>
      <c r="AA148" s="7"/>
      <c r="AB148" s="23"/>
      <c r="AC148" s="26"/>
    </row>
    <row r="149" spans="1:29" ht="15.75" customHeight="1">
      <c r="A149" s="10" t="s">
        <v>1123</v>
      </c>
      <c r="B149" s="10" t="s">
        <v>27</v>
      </c>
      <c r="C149" s="11" t="s">
        <v>28</v>
      </c>
      <c r="D149" s="12"/>
      <c r="E149" s="13" t="s">
        <v>501</v>
      </c>
      <c r="F149" s="6" t="s">
        <v>1091</v>
      </c>
      <c r="G149" s="6" t="str">
        <f ca="1">IFERROR(__xludf.DUMMYFUNCTION("CONCATENATE(B149,(VLOOKUP(C149,CATALOGOS!$F$2:$H$6,3,FALSE)),(VLOOKUP(V149,CATALOGOS!$J$2:$K$18,2,FALSE)),""-"",TO_TEXT(A149))"),"P05DA-0148")</f>
        <v>P05DA-0148</v>
      </c>
      <c r="H149" s="6" t="str">
        <f ca="1">IFERROR(__xludf.DUMMYFUNCTION("CONCATENATE($B149,(VLOOKUP($C149,CATALOGOS!$F$2:$H$6,3,FALSE)),(VLOOKUP($V149,CATALOGOS!$J$2:$K$18,2,FALSE)),""-"",TO_TEXT($A149))"),"P05DA-0148")</f>
        <v>P05DA-0148</v>
      </c>
      <c r="I149" s="6"/>
      <c r="J149" s="6" t="s">
        <v>1124</v>
      </c>
      <c r="K149" s="6" t="s">
        <v>1125</v>
      </c>
      <c r="L149" s="36"/>
      <c r="M149" s="6" t="s">
        <v>141</v>
      </c>
      <c r="N149" s="17"/>
      <c r="O149" s="17"/>
      <c r="P149" s="17" t="str">
        <f t="shared" si="2"/>
        <v>REPETIDO</v>
      </c>
      <c r="Q149" s="17" t="s">
        <v>35</v>
      </c>
      <c r="R149" s="6" t="s">
        <v>35</v>
      </c>
      <c r="S149" s="6" t="s">
        <v>36</v>
      </c>
      <c r="T149" s="6" t="s">
        <v>85</v>
      </c>
      <c r="U149" s="173" t="s">
        <v>38</v>
      </c>
      <c r="V149" s="11" t="s">
        <v>28</v>
      </c>
      <c r="W149" s="20" t="s">
        <v>848</v>
      </c>
      <c r="X149" s="20" t="s">
        <v>848</v>
      </c>
      <c r="Y149" s="20"/>
      <c r="Z149" s="7"/>
      <c r="AA149" s="7"/>
      <c r="AB149" s="23"/>
      <c r="AC149" s="26"/>
    </row>
    <row r="150" spans="1:29" ht="15.75" customHeight="1">
      <c r="A150" s="10" t="s">
        <v>1126</v>
      </c>
      <c r="B150" s="10" t="s">
        <v>27</v>
      </c>
      <c r="C150" s="11" t="s">
        <v>28</v>
      </c>
      <c r="D150" s="38"/>
      <c r="E150" s="13" t="s">
        <v>151</v>
      </c>
      <c r="F150" s="6" t="s">
        <v>698</v>
      </c>
      <c r="G150" s="6" t="str">
        <f ca="1">IFERROR(__xludf.DUMMYFUNCTION("CONCATENATE(B150,(VLOOKUP(C150,CATALOGOS!$F$2:$H$6,3,FALSE)),(VLOOKUP(V150,CATALOGOS!$J$2:$K$18,2,FALSE)),""-"",TO_TEXT(A150))"),"P05RM-0149")</f>
        <v>P05RM-0149</v>
      </c>
      <c r="H150" s="6" t="str">
        <f ca="1">IFERROR(__xludf.DUMMYFUNCTION("CONCATENATE($B150,(VLOOKUP($C150,CATALOGOS!$F$2:$H$6,3,FALSE)),(VLOOKUP($V150,CATALOGOS!$J$2:$K$18,2,FALSE)),""-"",TO_TEXT($A150))"),"P05RM-0149")</f>
        <v>P05RM-0149</v>
      </c>
      <c r="I150" s="6"/>
      <c r="J150" s="6" t="s">
        <v>1127</v>
      </c>
      <c r="K150" s="6" t="s">
        <v>1128</v>
      </c>
      <c r="L150" s="6" t="s">
        <v>1129</v>
      </c>
      <c r="M150" s="6" t="s">
        <v>1130</v>
      </c>
      <c r="N150" s="17"/>
      <c r="O150" s="17"/>
      <c r="P150" s="17" t="str">
        <f t="shared" si="2"/>
        <v>OK</v>
      </c>
      <c r="Q150" s="17" t="s">
        <v>297</v>
      </c>
      <c r="R150" s="6" t="s">
        <v>1131</v>
      </c>
      <c r="S150" s="46" t="s">
        <v>1132</v>
      </c>
      <c r="T150" s="35" t="s">
        <v>1133</v>
      </c>
      <c r="U150" s="173" t="s">
        <v>38</v>
      </c>
      <c r="V150" s="11" t="s">
        <v>147</v>
      </c>
      <c r="W150" s="32" t="s">
        <v>484</v>
      </c>
      <c r="X150" s="32" t="s">
        <v>484</v>
      </c>
      <c r="Y150" s="32"/>
      <c r="Z150" s="7"/>
      <c r="AA150" s="7"/>
      <c r="AB150" s="26"/>
      <c r="AC150" s="26"/>
    </row>
    <row r="151" spans="1:29" ht="15.75" customHeight="1">
      <c r="A151" s="10" t="s">
        <v>1134</v>
      </c>
      <c r="B151" s="10" t="s">
        <v>27</v>
      </c>
      <c r="C151" s="11" t="s">
        <v>28</v>
      </c>
      <c r="D151" s="38"/>
      <c r="E151" s="13" t="s">
        <v>151</v>
      </c>
      <c r="F151" s="6" t="s">
        <v>698</v>
      </c>
      <c r="G151" s="6" t="str">
        <f ca="1">IFERROR(__xludf.DUMMYFUNCTION("CONCATENATE(B151,(VLOOKUP(C151,CATALOGOS!$F$2:$H$6,3,FALSE)),(VLOOKUP(V151,CATALOGOS!$J$2:$K$18,2,FALSE)),""-"",TO_TEXT(A151))"),"P05RM-0150")</f>
        <v>P05RM-0150</v>
      </c>
      <c r="H151" s="6" t="str">
        <f ca="1">IFERROR(__xludf.DUMMYFUNCTION("CONCATENATE($B151,(VLOOKUP($C151,CATALOGOS!$F$2:$H$6,3,FALSE)),(VLOOKUP($V151,CATALOGOS!$J$2:$K$18,2,FALSE)),""-"",TO_TEXT($A151))"),"P05RM-0150")</f>
        <v>P05RM-0150</v>
      </c>
      <c r="I151" s="6"/>
      <c r="J151" s="6" t="s">
        <v>1135</v>
      </c>
      <c r="K151" s="6" t="s">
        <v>1136</v>
      </c>
      <c r="L151" s="6" t="s">
        <v>1137</v>
      </c>
      <c r="M151" s="6" t="s">
        <v>1138</v>
      </c>
      <c r="N151" s="17"/>
      <c r="O151" s="17"/>
      <c r="P151" s="17" t="str">
        <f t="shared" si="2"/>
        <v>OK</v>
      </c>
      <c r="Q151" s="17" t="s">
        <v>297</v>
      </c>
      <c r="R151" s="6" t="s">
        <v>1131</v>
      </c>
      <c r="S151" s="46" t="s">
        <v>1139</v>
      </c>
      <c r="T151" s="35" t="s">
        <v>1140</v>
      </c>
      <c r="U151" s="173" t="s">
        <v>38</v>
      </c>
      <c r="V151" s="11" t="s">
        <v>147</v>
      </c>
      <c r="W151" s="22" t="s">
        <v>484</v>
      </c>
      <c r="X151" s="22" t="s">
        <v>484</v>
      </c>
      <c r="Y151" s="22"/>
      <c r="Z151" s="7"/>
      <c r="AA151" s="7"/>
      <c r="AB151" s="26"/>
      <c r="AC151" s="26"/>
    </row>
    <row r="152" spans="1:29" ht="15.75" customHeight="1">
      <c r="A152" s="10" t="s">
        <v>1141</v>
      </c>
      <c r="B152" s="10" t="s">
        <v>27</v>
      </c>
      <c r="C152" s="11" t="s">
        <v>28</v>
      </c>
      <c r="D152" s="12"/>
      <c r="E152" s="13" t="s">
        <v>1142</v>
      </c>
      <c r="F152" s="6" t="s">
        <v>1143</v>
      </c>
      <c r="G152" s="6" t="str">
        <f ca="1">IFERROR(__xludf.DUMMYFUNCTION("CONCATENATE(B152,(VLOOKUP(C152,CATALOGOS!$F$2:$H$6,3,FALSE)),(VLOOKUP(V152,CATALOGOS!$J$2:$K$18,2,FALSE)),""-"",TO_TEXT(A152))"),"P05RM-0151")</f>
        <v>P05RM-0151</v>
      </c>
      <c r="H152" s="6" t="str">
        <f ca="1">IFERROR(__xludf.DUMMYFUNCTION("CONCATENATE($B152,(VLOOKUP($C152,CATALOGOS!$F$2:$H$6,3,FALSE)),(VLOOKUP($V152,CATALOGOS!$J$2:$K$18,2,FALSE)),""-"",TO_TEXT($A152))"),"P05RM-0151")</f>
        <v>P05RM-0151</v>
      </c>
      <c r="I152" s="6"/>
      <c r="J152" s="6" t="s">
        <v>1144</v>
      </c>
      <c r="K152" s="6" t="s">
        <v>1145</v>
      </c>
      <c r="L152" s="6" t="s">
        <v>1146</v>
      </c>
      <c r="M152" s="6" t="s">
        <v>1147</v>
      </c>
      <c r="N152" s="17"/>
      <c r="O152" s="17"/>
      <c r="P152" s="17" t="str">
        <f t="shared" si="2"/>
        <v>OK</v>
      </c>
      <c r="Q152" s="17" t="s">
        <v>359</v>
      </c>
      <c r="R152" s="6" t="s">
        <v>1148</v>
      </c>
      <c r="S152" s="46" t="s">
        <v>36</v>
      </c>
      <c r="T152" s="17" t="s">
        <v>1149</v>
      </c>
      <c r="U152" s="173" t="s">
        <v>38</v>
      </c>
      <c r="V152" s="11" t="s">
        <v>147</v>
      </c>
      <c r="W152" s="22" t="s">
        <v>484</v>
      </c>
      <c r="X152" s="22" t="s">
        <v>484</v>
      </c>
      <c r="Y152" s="22"/>
      <c r="Z152" s="7"/>
      <c r="AA152" s="7"/>
      <c r="AB152" s="26"/>
      <c r="AC152" s="26"/>
    </row>
    <row r="153" spans="1:29" ht="15.75" customHeight="1">
      <c r="A153" s="10" t="s">
        <v>1150</v>
      </c>
      <c r="B153" s="10" t="s">
        <v>27</v>
      </c>
      <c r="C153" s="11" t="s">
        <v>28</v>
      </c>
      <c r="D153" s="12"/>
      <c r="E153" s="13" t="s">
        <v>151</v>
      </c>
      <c r="F153" s="6" t="s">
        <v>963</v>
      </c>
      <c r="G153" s="6" t="str">
        <f ca="1">IFERROR(__xludf.DUMMYFUNCTION("CONCATENATE(B153,(VLOOKUP(C153,CATALOGOS!$F$2:$H$6,3,FALSE)),(VLOOKUP(V153,CATALOGOS!$J$2:$K$18,2,FALSE)),""-"",TO_TEXT(A153))"),"P05RM-0152")</f>
        <v>P05RM-0152</v>
      </c>
      <c r="H153" s="6" t="str">
        <f ca="1">IFERROR(__xludf.DUMMYFUNCTION("CONCATENATE($B153,(VLOOKUP($C153,CATALOGOS!$F$2:$H$6,3,FALSE)),(VLOOKUP($V153,CATALOGOS!$J$2:$K$18,2,FALSE)),""-"",TO_TEXT($A153))"),"P05RM-0152")</f>
        <v>P05RM-0152</v>
      </c>
      <c r="I153" s="6"/>
      <c r="J153" s="6" t="s">
        <v>1151</v>
      </c>
      <c r="K153" s="6" t="s">
        <v>1034</v>
      </c>
      <c r="L153" s="6" t="s">
        <v>1152</v>
      </c>
      <c r="M153" s="6" t="s">
        <v>1153</v>
      </c>
      <c r="N153" s="17"/>
      <c r="O153" s="17"/>
      <c r="P153" s="17" t="str">
        <f t="shared" si="2"/>
        <v>OK</v>
      </c>
      <c r="Q153" s="17" t="s">
        <v>205</v>
      </c>
      <c r="R153" s="6" t="s">
        <v>1154</v>
      </c>
      <c r="S153" s="17" t="s">
        <v>1038</v>
      </c>
      <c r="T153" s="17" t="s">
        <v>1156</v>
      </c>
      <c r="U153" s="173" t="s">
        <v>38</v>
      </c>
      <c r="V153" s="11" t="s">
        <v>147</v>
      </c>
      <c r="W153" s="22" t="s">
        <v>484</v>
      </c>
      <c r="X153" s="22" t="s">
        <v>484</v>
      </c>
      <c r="Y153" s="22"/>
      <c r="Z153" s="7"/>
      <c r="AA153" s="7"/>
      <c r="AB153" s="26"/>
      <c r="AC153" s="26"/>
    </row>
    <row r="154" spans="1:29" ht="15.75" customHeight="1">
      <c r="A154" s="10" t="s">
        <v>1157</v>
      </c>
      <c r="B154" s="10" t="s">
        <v>27</v>
      </c>
      <c r="C154" s="11" t="s">
        <v>28</v>
      </c>
      <c r="D154" s="38"/>
      <c r="E154" s="13" t="s">
        <v>62</v>
      </c>
      <c r="F154" s="6" t="s">
        <v>1158</v>
      </c>
      <c r="G154" s="15" t="str">
        <f ca="1">IFERROR(__xludf.DUMMYFUNCTION("CONCATENATE(B154,(VLOOKUP(C154,CATALOGOS!$F$2:$H$6,3,FALSE)),(VLOOKUP(V154,CATALOGOS!$J$2:$K$18,2,FALSE)),""-"",TO_TEXT(A154))"),"P05RH-0153")</f>
        <v>P05RH-0153</v>
      </c>
      <c r="H154" s="6" t="str">
        <f ca="1">IFERROR(__xludf.DUMMYFUNCTION("CONCATENATE($B154,(VLOOKUP($C154,CATALOGOS!$F$2:$H$6,3,FALSE)),(VLOOKUP($V154,CATALOGOS!$J$2:$K$18,2,FALSE)),""-"",TO_TEXT($A154))"),"P05RH-0153")</f>
        <v>P05RH-0153</v>
      </c>
      <c r="I154" s="6"/>
      <c r="J154" s="6" t="s">
        <v>1159</v>
      </c>
      <c r="K154" s="6" t="s">
        <v>1160</v>
      </c>
      <c r="L154" s="6" t="s">
        <v>1161</v>
      </c>
      <c r="M154" s="6" t="s">
        <v>1162</v>
      </c>
      <c r="N154" s="17"/>
      <c r="O154" s="17"/>
      <c r="P154" s="17" t="str">
        <f t="shared" si="2"/>
        <v>OK</v>
      </c>
      <c r="Q154" s="17" t="s">
        <v>35</v>
      </c>
      <c r="R154" s="6" t="s">
        <v>35</v>
      </c>
      <c r="S154" s="17" t="s">
        <v>36</v>
      </c>
      <c r="T154" s="17" t="s">
        <v>1163</v>
      </c>
      <c r="U154" s="173" t="s">
        <v>38</v>
      </c>
      <c r="V154" s="11" t="s">
        <v>723</v>
      </c>
      <c r="W154" s="22" t="s">
        <v>1164</v>
      </c>
      <c r="X154" s="22" t="s">
        <v>1164</v>
      </c>
      <c r="Y154" s="22"/>
      <c r="Z154" s="7"/>
      <c r="AA154" s="7"/>
      <c r="AB154" s="26"/>
      <c r="AC154" s="26"/>
    </row>
    <row r="155" spans="1:29" ht="15.75" customHeight="1">
      <c r="A155" s="10" t="s">
        <v>1165</v>
      </c>
      <c r="B155" s="10" t="s">
        <v>27</v>
      </c>
      <c r="C155" s="11" t="s">
        <v>28</v>
      </c>
      <c r="D155" s="12"/>
      <c r="E155" s="13" t="s">
        <v>29</v>
      </c>
      <c r="F155" s="43" t="s">
        <v>1166</v>
      </c>
      <c r="G155" s="15" t="str">
        <f ca="1">IFERROR(__xludf.DUMMYFUNCTION("CONCATENATE(B155,(VLOOKUP(C155,CATALOGOS!$F$2:$H$6,3,FALSE)),(VLOOKUP(V155,CATALOGOS!$J$2:$K$18,2,FALSE)),""-"",TO_TEXT(A155))"),"P05RH-0154")</f>
        <v>P05RH-0154</v>
      </c>
      <c r="H155" s="6" t="str">
        <f ca="1">IFERROR(__xludf.DUMMYFUNCTION("CONCATENATE($B155,(VLOOKUP($C155,CATALOGOS!$F$2:$H$6,3,FALSE)),(VLOOKUP($V155,CATALOGOS!$J$2:$K$18,2,FALSE)),""-"",TO_TEXT($A155))"),"P05RH-0154")</f>
        <v>P05RH-0154</v>
      </c>
      <c r="I155" s="6"/>
      <c r="J155" s="6" t="s">
        <v>1167</v>
      </c>
      <c r="K155" s="6" t="s">
        <v>1168</v>
      </c>
      <c r="L155" s="6" t="s">
        <v>1169</v>
      </c>
      <c r="M155" s="43" t="s">
        <v>1170</v>
      </c>
      <c r="N155" s="17"/>
      <c r="O155" s="17"/>
      <c r="P155" s="17" t="str">
        <f t="shared" si="2"/>
        <v>OK</v>
      </c>
      <c r="Q155" s="53" t="s">
        <v>35</v>
      </c>
      <c r="R155" s="49" t="s">
        <v>35</v>
      </c>
      <c r="S155" s="17" t="s">
        <v>36</v>
      </c>
      <c r="T155" s="17" t="s">
        <v>1171</v>
      </c>
      <c r="U155" s="173" t="s">
        <v>38</v>
      </c>
      <c r="V155" s="11" t="s">
        <v>723</v>
      </c>
      <c r="W155" s="22" t="s">
        <v>1164</v>
      </c>
      <c r="X155" s="22" t="s">
        <v>1164</v>
      </c>
      <c r="Y155" s="22"/>
      <c r="Z155" s="7"/>
      <c r="AA155" s="7"/>
      <c r="AB155" s="23"/>
      <c r="AC155" s="26"/>
    </row>
    <row r="156" spans="1:29" ht="15.75" customHeight="1">
      <c r="A156" s="10" t="s">
        <v>1172</v>
      </c>
      <c r="B156" s="10" t="s">
        <v>27</v>
      </c>
      <c r="C156" s="11" t="s">
        <v>28</v>
      </c>
      <c r="D156" s="12"/>
      <c r="E156" s="13" t="s">
        <v>93</v>
      </c>
      <c r="F156" s="6" t="s">
        <v>1173</v>
      </c>
      <c r="G156" s="15" t="str">
        <f ca="1">IFERROR(__xludf.DUMMYFUNCTION("CONCATENATE(B156,(VLOOKUP(C156,CATALOGOS!$F$2:$H$6,3,FALSE)),(VLOOKUP(V156,CATALOGOS!$J$2:$K$18,2,FALSE)),""-"",TO_TEXT(A156))"),"P05RH-0155")</f>
        <v>P05RH-0155</v>
      </c>
      <c r="H156" s="6" t="str">
        <f ca="1">IFERROR(__xludf.DUMMYFUNCTION("CONCATENATE($B156,(VLOOKUP($C156,CATALOGOS!$F$2:$H$6,3,FALSE)),(VLOOKUP($V156,CATALOGOS!$J$2:$K$18,2,FALSE)),""-"",TO_TEXT($A156))"),"P05RH-0155")</f>
        <v>P05RH-0155</v>
      </c>
      <c r="I156" s="6"/>
      <c r="J156" s="6" t="s">
        <v>1174</v>
      </c>
      <c r="K156" s="54"/>
      <c r="L156" s="6" t="s">
        <v>1175</v>
      </c>
      <c r="M156" s="6" t="s">
        <v>1176</v>
      </c>
      <c r="N156" s="17"/>
      <c r="O156" s="17"/>
      <c r="P156" s="17" t="str">
        <f t="shared" si="2"/>
        <v>OK</v>
      </c>
      <c r="Q156" s="53" t="s">
        <v>35</v>
      </c>
      <c r="R156" s="6" t="s">
        <v>35</v>
      </c>
      <c r="S156" s="17" t="s">
        <v>36</v>
      </c>
      <c r="T156" s="17" t="s">
        <v>1177</v>
      </c>
      <c r="U156" s="173" t="s">
        <v>38</v>
      </c>
      <c r="V156" s="11" t="s">
        <v>723</v>
      </c>
      <c r="W156" s="22" t="s">
        <v>1164</v>
      </c>
      <c r="X156" s="22" t="s">
        <v>1164</v>
      </c>
      <c r="Y156" s="22"/>
      <c r="Z156" s="7"/>
      <c r="AA156" s="7"/>
      <c r="AB156" s="23"/>
      <c r="AC156" s="26"/>
    </row>
    <row r="157" spans="1:29" ht="15.75" customHeight="1">
      <c r="A157" s="10" t="s">
        <v>1178</v>
      </c>
      <c r="B157" s="10" t="s">
        <v>27</v>
      </c>
      <c r="C157" s="11" t="s">
        <v>28</v>
      </c>
      <c r="D157" s="12"/>
      <c r="E157" s="13" t="s">
        <v>116</v>
      </c>
      <c r="F157" s="6" t="s">
        <v>1179</v>
      </c>
      <c r="G157" s="15" t="str">
        <f ca="1">IFERROR(__xludf.DUMMYFUNCTION("CONCATENATE(B157,(VLOOKUP(C157,CATALOGOS!$F$2:$H$6,3,FALSE)),(VLOOKUP(V157,CATALOGOS!$J$2:$K$18,2,FALSE)),""-"",TO_TEXT(A157))"),"P05RH-0156")</f>
        <v>P05RH-0156</v>
      </c>
      <c r="H157" s="6" t="str">
        <f ca="1">IFERROR(__xludf.DUMMYFUNCTION("CONCATENATE($B157,(VLOOKUP($C157,CATALOGOS!$F$2:$H$6,3,FALSE)),(VLOOKUP($V157,CATALOGOS!$J$2:$K$18,2,FALSE)),""-"",TO_TEXT($A157))"),"P05RH-0156")</f>
        <v>P05RH-0156</v>
      </c>
      <c r="I157" s="6"/>
      <c r="J157" s="6" t="s">
        <v>1180</v>
      </c>
      <c r="K157" s="6" t="s">
        <v>1181</v>
      </c>
      <c r="L157" s="6" t="s">
        <v>1182</v>
      </c>
      <c r="M157" s="6" t="s">
        <v>1183</v>
      </c>
      <c r="N157" s="17"/>
      <c r="O157" s="17"/>
      <c r="P157" s="17" t="str">
        <f t="shared" si="2"/>
        <v>OK</v>
      </c>
      <c r="Q157" s="17" t="s">
        <v>35</v>
      </c>
      <c r="R157" s="6" t="s">
        <v>35</v>
      </c>
      <c r="S157" s="17" t="s">
        <v>36</v>
      </c>
      <c r="T157" s="35" t="s">
        <v>1184</v>
      </c>
      <c r="U157" s="173" t="s">
        <v>38</v>
      </c>
      <c r="V157" s="11" t="s">
        <v>723</v>
      </c>
      <c r="W157" s="22" t="s">
        <v>1164</v>
      </c>
      <c r="X157" s="22" t="s">
        <v>1164</v>
      </c>
      <c r="Y157" s="22"/>
      <c r="Z157" s="7"/>
      <c r="AA157" s="7"/>
      <c r="AB157" s="23"/>
      <c r="AC157" s="26"/>
    </row>
    <row r="158" spans="1:29" ht="15.75" customHeight="1">
      <c r="A158" s="10" t="s">
        <v>1186</v>
      </c>
      <c r="B158" s="10" t="s">
        <v>27</v>
      </c>
      <c r="C158" s="11" t="s">
        <v>28</v>
      </c>
      <c r="D158" s="12"/>
      <c r="E158" s="13" t="s">
        <v>378</v>
      </c>
      <c r="F158" s="6" t="s">
        <v>878</v>
      </c>
      <c r="G158" s="15" t="str">
        <f ca="1">IFERROR(__xludf.DUMMYFUNCTION("CONCATENATE(B158,(VLOOKUP(C158,CATALOGOS!$F$2:$H$6,3,FALSE)),(VLOOKUP(V158,CATALOGOS!$J$2:$K$18,2,FALSE)),""-"",TO_TEXT(A158))"),"P05RH-0157")</f>
        <v>P05RH-0157</v>
      </c>
      <c r="H158" s="6" t="str">
        <f ca="1">IFERROR(__xludf.DUMMYFUNCTION("CONCATENATE($B158,(VLOOKUP($C158,CATALOGOS!$F$2:$H$6,3,FALSE)),(VLOOKUP($V158,CATALOGOS!$J$2:$K$18,2,FALSE)),""-"",TO_TEXT($A158))"),"P05RH-0157")</f>
        <v>P05RH-0157</v>
      </c>
      <c r="I158" s="6"/>
      <c r="J158" s="6" t="s">
        <v>1187</v>
      </c>
      <c r="K158" s="6" t="s">
        <v>1188</v>
      </c>
      <c r="L158" s="6" t="s">
        <v>1189</v>
      </c>
      <c r="M158" s="6" t="s">
        <v>1190</v>
      </c>
      <c r="N158" s="17"/>
      <c r="O158" s="17"/>
      <c r="P158" s="17" t="str">
        <f t="shared" si="2"/>
        <v>OK</v>
      </c>
      <c r="Q158" s="17" t="s">
        <v>35</v>
      </c>
      <c r="R158" s="6" t="s">
        <v>35</v>
      </c>
      <c r="S158" s="17" t="s">
        <v>36</v>
      </c>
      <c r="T158" s="17" t="s">
        <v>1191</v>
      </c>
      <c r="U158" s="173" t="s">
        <v>38</v>
      </c>
      <c r="V158" s="11" t="s">
        <v>723</v>
      </c>
      <c r="W158" s="22" t="s">
        <v>1164</v>
      </c>
      <c r="X158" s="22" t="s">
        <v>1164</v>
      </c>
      <c r="Y158" s="22"/>
      <c r="Z158" s="7"/>
      <c r="AA158" s="7"/>
      <c r="AB158" s="23"/>
      <c r="AC158" s="26"/>
    </row>
    <row r="159" spans="1:29" ht="15.75" customHeight="1">
      <c r="A159" s="10" t="s">
        <v>1192</v>
      </c>
      <c r="B159" s="10" t="s">
        <v>27</v>
      </c>
      <c r="C159" s="11" t="s">
        <v>28</v>
      </c>
      <c r="D159" s="12"/>
      <c r="E159" s="13" t="s">
        <v>378</v>
      </c>
      <c r="F159" s="55" t="s">
        <v>878</v>
      </c>
      <c r="G159" s="15" t="str">
        <f ca="1">IFERROR(__xludf.DUMMYFUNCTION("CONCATENATE(B159,(VLOOKUP(C159,CATALOGOS!$F$2:$H$6,3,FALSE)),(VLOOKUP(V159,CATALOGOS!$J$2:$K$18,2,FALSE)),""-"",TO_TEXT(A159))"),"P05RH-0158")</f>
        <v>P05RH-0158</v>
      </c>
      <c r="H159" s="6" t="str">
        <f ca="1">IFERROR(__xludf.DUMMYFUNCTION("CONCATENATE($B159,(VLOOKUP($C159,CATALOGOS!$F$2:$H$6,3,FALSE)),(VLOOKUP($V159,CATALOGOS!$J$2:$K$18,2,FALSE)),""-"",TO_TEXT($A159))"),"P05RH-0158")</f>
        <v>P05RH-0158</v>
      </c>
      <c r="I159" s="6"/>
      <c r="J159" s="6" t="s">
        <v>1193</v>
      </c>
      <c r="K159" s="6" t="s">
        <v>1194</v>
      </c>
      <c r="L159" s="6" t="s">
        <v>1195</v>
      </c>
      <c r="M159" s="6" t="s">
        <v>1196</v>
      </c>
      <c r="N159" s="17"/>
      <c r="O159" s="17"/>
      <c r="P159" s="17" t="str">
        <f t="shared" si="2"/>
        <v>OK</v>
      </c>
      <c r="Q159" s="32" t="s">
        <v>35</v>
      </c>
      <c r="R159" s="6" t="s">
        <v>35</v>
      </c>
      <c r="S159" s="17" t="s">
        <v>36</v>
      </c>
      <c r="T159" s="17" t="s">
        <v>1197</v>
      </c>
      <c r="U159" s="173" t="s">
        <v>38</v>
      </c>
      <c r="V159" s="11" t="s">
        <v>723</v>
      </c>
      <c r="W159" s="22" t="s">
        <v>1164</v>
      </c>
      <c r="X159" s="22" t="s">
        <v>1164</v>
      </c>
      <c r="Y159" s="22"/>
      <c r="Z159" s="7"/>
      <c r="AA159" s="7"/>
      <c r="AB159" s="23"/>
      <c r="AC159" s="26"/>
    </row>
    <row r="160" spans="1:29" ht="15.75" customHeight="1">
      <c r="A160" s="10" t="s">
        <v>1198</v>
      </c>
      <c r="B160" s="10" t="s">
        <v>27</v>
      </c>
      <c r="C160" s="11" t="s">
        <v>28</v>
      </c>
      <c r="D160" s="12"/>
      <c r="E160" s="13" t="s">
        <v>1199</v>
      </c>
      <c r="F160" s="6" t="s">
        <v>1200</v>
      </c>
      <c r="G160" s="15" t="str">
        <f ca="1">IFERROR(__xludf.DUMMYFUNCTION("CONCATENATE(B160,(VLOOKUP(C160,CATALOGOS!$F$2:$H$6,3,FALSE)),(VLOOKUP(V160,CATALOGOS!$J$2:$K$18,2,FALSE)),""-"",TO_TEXT(A160))"),"P05RH-0159")</f>
        <v>P05RH-0159</v>
      </c>
      <c r="H160" s="6" t="str">
        <f ca="1">IFERROR(__xludf.DUMMYFUNCTION("CONCATENATE($B160,(VLOOKUP($C160,CATALOGOS!$F$2:$H$6,3,FALSE)),(VLOOKUP($V160,CATALOGOS!$J$2:$K$18,2,FALSE)),""-"",TO_TEXT($A160))"),"P05RH-0159")</f>
        <v>P05RH-0159</v>
      </c>
      <c r="I160" s="6"/>
      <c r="J160" s="6" t="s">
        <v>1201</v>
      </c>
      <c r="K160" s="6" t="s">
        <v>1202</v>
      </c>
      <c r="L160" s="6" t="s">
        <v>1203</v>
      </c>
      <c r="M160" s="6" t="s">
        <v>1204</v>
      </c>
      <c r="N160" s="17"/>
      <c r="O160" s="17"/>
      <c r="P160" s="17" t="str">
        <f t="shared" si="2"/>
        <v>OK</v>
      </c>
      <c r="Q160" s="17" t="s">
        <v>205</v>
      </c>
      <c r="R160" s="6" t="s">
        <v>1205</v>
      </c>
      <c r="S160" s="17" t="s">
        <v>1206</v>
      </c>
      <c r="T160" s="17" t="s">
        <v>1207</v>
      </c>
      <c r="U160" s="173" t="s">
        <v>38</v>
      </c>
      <c r="V160" s="11" t="s">
        <v>723</v>
      </c>
      <c r="W160" s="22" t="s">
        <v>1164</v>
      </c>
      <c r="X160" s="22" t="s">
        <v>1164</v>
      </c>
      <c r="Y160" s="22"/>
      <c r="Z160" s="7"/>
      <c r="AA160" s="7"/>
      <c r="AB160" s="23"/>
      <c r="AC160" s="26"/>
    </row>
    <row r="161" spans="1:30" ht="15.75" customHeight="1">
      <c r="A161" s="10" t="s">
        <v>1208</v>
      </c>
      <c r="B161" s="10" t="s">
        <v>27</v>
      </c>
      <c r="C161" s="11" t="s">
        <v>28</v>
      </c>
      <c r="D161" s="12"/>
      <c r="E161" s="13" t="s">
        <v>162</v>
      </c>
      <c r="F161" s="6" t="s">
        <v>285</v>
      </c>
      <c r="G161" s="15" t="str">
        <f ca="1">IFERROR(__xludf.DUMMYFUNCTION("CONCATENATE(B161,(VLOOKUP(C161,CATALOGOS!$F$2:$H$6,3,FALSE)),(VLOOKUP(V161,CATALOGOS!$J$2:$K$18,2,FALSE)),""-"",TO_TEXT(A161))"),"P05RH-0160")</f>
        <v>P05RH-0160</v>
      </c>
      <c r="H161" s="6" t="str">
        <f ca="1">IFERROR(__xludf.DUMMYFUNCTION("CONCATENATE($B161,(VLOOKUP($C161,CATALOGOS!$F$2:$H$6,3,FALSE)),(VLOOKUP($V161,CATALOGOS!$J$2:$K$18,2,FALSE)),""-"",TO_TEXT($A161))"),"P05RH-0160")</f>
        <v>P05RH-0160</v>
      </c>
      <c r="I161" s="6"/>
      <c r="J161" s="6" t="s">
        <v>1209</v>
      </c>
      <c r="K161" s="6" t="s">
        <v>1210</v>
      </c>
      <c r="L161" s="6" t="s">
        <v>1211</v>
      </c>
      <c r="M161" s="6" t="s">
        <v>1212</v>
      </c>
      <c r="N161" s="17"/>
      <c r="O161" s="17"/>
      <c r="P161" s="17" t="str">
        <f t="shared" si="2"/>
        <v>OK</v>
      </c>
      <c r="Q161" s="17" t="s">
        <v>663</v>
      </c>
      <c r="R161" s="6" t="s">
        <v>664</v>
      </c>
      <c r="S161" s="56" t="s">
        <v>1213</v>
      </c>
      <c r="T161" s="17" t="s">
        <v>1214</v>
      </c>
      <c r="U161" s="173" t="s">
        <v>38</v>
      </c>
      <c r="V161" s="11" t="s">
        <v>723</v>
      </c>
      <c r="W161" s="22" t="s">
        <v>1164</v>
      </c>
      <c r="X161" s="22" t="s">
        <v>1164</v>
      </c>
      <c r="Y161" s="22"/>
      <c r="Z161" s="7"/>
      <c r="AA161" s="7"/>
      <c r="AB161" s="23"/>
      <c r="AC161" s="26"/>
    </row>
    <row r="162" spans="1:30" ht="15.75" customHeight="1">
      <c r="A162" s="10" t="s">
        <v>1215</v>
      </c>
      <c r="B162" s="10" t="s">
        <v>27</v>
      </c>
      <c r="C162" s="11" t="s">
        <v>28</v>
      </c>
      <c r="D162" s="12"/>
      <c r="E162" s="13" t="s">
        <v>151</v>
      </c>
      <c r="F162" s="6" t="s">
        <v>714</v>
      </c>
      <c r="G162" s="15" t="str">
        <f ca="1">IFERROR(__xludf.DUMMYFUNCTION("CONCATENATE(B162,(VLOOKUP(C162,CATALOGOS!$F$2:$H$6,3,FALSE)),(VLOOKUP(V162,CATALOGOS!$J$2:$K$18,2,FALSE)),""-"",TO_TEXT(A162))"),"P05RH-0161")</f>
        <v>P05RH-0161</v>
      </c>
      <c r="H162" s="6" t="str">
        <f ca="1">IFERROR(__xludf.DUMMYFUNCTION("CONCATENATE($B162,(VLOOKUP($C162,CATALOGOS!$F$2:$H$6,3,FALSE)),(VLOOKUP($V162,CATALOGOS!$J$2:$K$18,2,FALSE)),""-"",TO_TEXT($A162))"),"P05RH-0161")</f>
        <v>P05RH-0161</v>
      </c>
      <c r="I162" s="6"/>
      <c r="J162" s="6" t="s">
        <v>1216</v>
      </c>
      <c r="K162" s="6" t="s">
        <v>1217</v>
      </c>
      <c r="L162" s="6" t="s">
        <v>1218</v>
      </c>
      <c r="M162" s="6" t="s">
        <v>1219</v>
      </c>
      <c r="N162" s="17"/>
      <c r="O162" s="17"/>
      <c r="P162" s="17" t="str">
        <f t="shared" si="2"/>
        <v>OK</v>
      </c>
      <c r="Q162" s="17" t="s">
        <v>1220</v>
      </c>
      <c r="R162" s="6" t="s">
        <v>720</v>
      </c>
      <c r="S162" s="17" t="s">
        <v>1221</v>
      </c>
      <c r="T162" s="32" t="s">
        <v>1222</v>
      </c>
      <c r="U162" s="173" t="s">
        <v>38</v>
      </c>
      <c r="V162" s="11" t="s">
        <v>723</v>
      </c>
      <c r="W162" s="22" t="s">
        <v>1164</v>
      </c>
      <c r="X162" s="22" t="s">
        <v>1164</v>
      </c>
      <c r="Y162" s="22"/>
      <c r="Z162" s="7"/>
      <c r="AA162" s="7"/>
      <c r="AB162" s="23"/>
      <c r="AC162" s="26"/>
    </row>
    <row r="163" spans="1:30" ht="15.75" customHeight="1">
      <c r="A163" s="10" t="s">
        <v>1223</v>
      </c>
      <c r="B163" s="10" t="s">
        <v>27</v>
      </c>
      <c r="C163" s="11" t="s">
        <v>28</v>
      </c>
      <c r="D163" s="12"/>
      <c r="E163" s="13" t="s">
        <v>151</v>
      </c>
      <c r="F163" s="6" t="s">
        <v>293</v>
      </c>
      <c r="G163" s="15" t="str">
        <f ca="1">IFERROR(__xludf.DUMMYFUNCTION("CONCATENATE(B163,(VLOOKUP(C163,CATALOGOS!$F$2:$H$6,3,FALSE)),(VLOOKUP(V163,CATALOGOS!$J$2:$K$18,2,FALSE)),""-"",TO_TEXT(A163))"),"P05RH-0162")</f>
        <v>P05RH-0162</v>
      </c>
      <c r="H163" s="6" t="str">
        <f ca="1">IFERROR(__xludf.DUMMYFUNCTION("CONCATENATE($B163,(VLOOKUP($C163,CATALOGOS!$F$2:$H$6,3,FALSE)),(VLOOKUP($V163,CATALOGOS!$J$2:$K$18,2,FALSE)),""-"",TO_TEXT($A163))"),"P05RH-0162")</f>
        <v>P05RH-0162</v>
      </c>
      <c r="I163" s="6"/>
      <c r="J163" s="6" t="s">
        <v>1224</v>
      </c>
      <c r="K163" s="6" t="s">
        <v>1225</v>
      </c>
      <c r="L163" s="36"/>
      <c r="M163" s="6" t="s">
        <v>1226</v>
      </c>
      <c r="N163" s="17"/>
      <c r="O163" s="17"/>
      <c r="P163" s="17" t="str">
        <f t="shared" si="2"/>
        <v>OK</v>
      </c>
      <c r="Q163" s="17" t="s">
        <v>297</v>
      </c>
      <c r="R163" s="6" t="s">
        <v>298</v>
      </c>
      <c r="S163" s="6" t="s">
        <v>1227</v>
      </c>
      <c r="T163" s="10" t="s">
        <v>85</v>
      </c>
      <c r="U163" s="173" t="s">
        <v>38</v>
      </c>
      <c r="V163" s="11" t="s">
        <v>723</v>
      </c>
      <c r="W163" s="22" t="s">
        <v>1164</v>
      </c>
      <c r="X163" s="22" t="s">
        <v>1164</v>
      </c>
      <c r="Y163" s="22"/>
      <c r="Z163" s="6"/>
      <c r="AA163" s="6"/>
      <c r="AB163" s="41" t="s">
        <v>92</v>
      </c>
      <c r="AC163" s="42">
        <v>44348</v>
      </c>
      <c r="AD163" s="57">
        <v>0</v>
      </c>
    </row>
    <row r="164" spans="1:30" ht="15.75" customHeight="1">
      <c r="A164" s="10" t="s">
        <v>1228</v>
      </c>
      <c r="B164" s="10" t="s">
        <v>27</v>
      </c>
      <c r="C164" s="11" t="s">
        <v>28</v>
      </c>
      <c r="D164" s="12"/>
      <c r="E164" s="13" t="s">
        <v>248</v>
      </c>
      <c r="F164" s="6" t="s">
        <v>249</v>
      </c>
      <c r="G164" s="15" t="str">
        <f ca="1">IFERROR(__xludf.DUMMYFUNCTION("CONCATENATE(B164,(VLOOKUP(C164,CATALOGOS!$F$2:$H$6,3,FALSE)),(VLOOKUP(V164,CATALOGOS!$J$2:$K$18,2,FALSE)),""-"",TO_TEXT(A164))"),"P05RH-0163")</f>
        <v>P05RH-0163</v>
      </c>
      <c r="H164" s="6" t="str">
        <f ca="1">IFERROR(__xludf.DUMMYFUNCTION("CONCATENATE($B164,(VLOOKUP($C164,CATALOGOS!$F$2:$H$6,3,FALSE)),(VLOOKUP($V164,CATALOGOS!$J$2:$K$18,2,FALSE)),""-"",TO_TEXT($A164))"),"P05RH-0163")</f>
        <v>P05RH-0163</v>
      </c>
      <c r="I164" s="6"/>
      <c r="J164" s="6" t="s">
        <v>1229</v>
      </c>
      <c r="K164" s="6" t="s">
        <v>1230</v>
      </c>
      <c r="L164" s="6" t="s">
        <v>1231</v>
      </c>
      <c r="M164" s="43" t="s">
        <v>1232</v>
      </c>
      <c r="N164" s="17"/>
      <c r="O164" s="17"/>
      <c r="P164" s="17" t="str">
        <f t="shared" si="2"/>
        <v>OK</v>
      </c>
      <c r="Q164" s="17" t="s">
        <v>978</v>
      </c>
      <c r="R164" s="6" t="s">
        <v>979</v>
      </c>
      <c r="S164" s="17" t="s">
        <v>1233</v>
      </c>
      <c r="T164" s="17" t="s">
        <v>1234</v>
      </c>
      <c r="U164" s="173" t="s">
        <v>38</v>
      </c>
      <c r="V164" s="11" t="s">
        <v>723</v>
      </c>
      <c r="W164" s="22" t="s">
        <v>1164</v>
      </c>
      <c r="X164" s="22" t="s">
        <v>1164</v>
      </c>
      <c r="Y164" s="22"/>
      <c r="Z164" s="7"/>
      <c r="AA164" s="7"/>
      <c r="AB164" s="23"/>
      <c r="AC164" s="26"/>
    </row>
    <row r="165" spans="1:30" ht="15.75" customHeight="1">
      <c r="A165" s="10" t="s">
        <v>1235</v>
      </c>
      <c r="B165" s="10" t="s">
        <v>27</v>
      </c>
      <c r="C165" s="11" t="s">
        <v>28</v>
      </c>
      <c r="D165" s="12"/>
      <c r="E165" s="13" t="s">
        <v>199</v>
      </c>
      <c r="F165" s="6" t="s">
        <v>199</v>
      </c>
      <c r="G165" s="15" t="str">
        <f ca="1">IFERROR(__xludf.DUMMYFUNCTION("CONCATENATE(B165,(VLOOKUP(C165,CATALOGOS!$F$2:$H$6,3,FALSE)),(VLOOKUP(V165,CATALOGOS!$J$2:$K$18,2,FALSE)),""-"",TO_TEXT(A165))"),"P05RH-0164")</f>
        <v>P05RH-0164</v>
      </c>
      <c r="H165" s="6" t="str">
        <f ca="1">IFERROR(__xludf.DUMMYFUNCTION("CONCATENATE($B165,(VLOOKUP($C165,CATALOGOS!$F$2:$H$6,3,FALSE)),(VLOOKUP($V165,CATALOGOS!$J$2:$K$18,2,FALSE)),""-"",TO_TEXT($A165))"),"P05RH-0164")</f>
        <v>P05RH-0164</v>
      </c>
      <c r="I165" s="6"/>
      <c r="J165" s="6" t="s">
        <v>1236</v>
      </c>
      <c r="K165" s="6" t="s">
        <v>1237</v>
      </c>
      <c r="L165" s="36"/>
      <c r="M165" s="6" t="s">
        <v>1238</v>
      </c>
      <c r="N165" s="17"/>
      <c r="O165" s="17"/>
      <c r="P165" s="17" t="str">
        <f t="shared" si="2"/>
        <v>OK</v>
      </c>
      <c r="Q165" s="17" t="s">
        <v>273</v>
      </c>
      <c r="R165" s="6" t="s">
        <v>274</v>
      </c>
      <c r="S165" s="6">
        <v>11392903014316</v>
      </c>
      <c r="T165" s="10" t="s">
        <v>85</v>
      </c>
      <c r="U165" s="173" t="s">
        <v>38</v>
      </c>
      <c r="V165" s="11" t="s">
        <v>723</v>
      </c>
      <c r="W165" s="22" t="s">
        <v>1164</v>
      </c>
      <c r="X165" s="22" t="s">
        <v>1164</v>
      </c>
      <c r="Y165" s="22"/>
      <c r="Z165" s="6"/>
      <c r="AA165" s="6"/>
      <c r="AB165" s="41" t="s">
        <v>92</v>
      </c>
      <c r="AC165" s="42">
        <v>44348</v>
      </c>
      <c r="AD165" s="58" t="s">
        <v>276</v>
      </c>
    </row>
    <row r="166" spans="1:30" ht="15.75" customHeight="1">
      <c r="A166" s="10" t="s">
        <v>1239</v>
      </c>
      <c r="B166" s="10" t="s">
        <v>27</v>
      </c>
      <c r="C166" s="11" t="s">
        <v>28</v>
      </c>
      <c r="D166" s="12"/>
      <c r="E166" s="13" t="s">
        <v>1240</v>
      </c>
      <c r="F166" s="43" t="s">
        <v>278</v>
      </c>
      <c r="G166" s="15" t="str">
        <f ca="1">IFERROR(__xludf.DUMMYFUNCTION("CONCATENATE(B166,(VLOOKUP(C166,CATALOGOS!$F$2:$H$6,3,FALSE)),(VLOOKUP(V166,CATALOGOS!$J$2:$K$18,2,FALSE)),""-"",TO_TEXT(A166))"),"P05RH-0165")</f>
        <v>P05RH-0165</v>
      </c>
      <c r="H166" s="6" t="str">
        <f ca="1">IFERROR(__xludf.DUMMYFUNCTION("CONCATENATE($B166,(VLOOKUP($C166,CATALOGOS!$F$2:$H$6,3,FALSE)),(VLOOKUP($V166,CATALOGOS!$J$2:$K$18,2,FALSE)),""-"",TO_TEXT($A166))"),"P05RH-0165")</f>
        <v>P05RH-0165</v>
      </c>
      <c r="I166" s="6"/>
      <c r="J166" s="6" t="s">
        <v>1241</v>
      </c>
      <c r="K166" s="6" t="s">
        <v>1242</v>
      </c>
      <c r="L166" s="6" t="s">
        <v>1243</v>
      </c>
      <c r="M166" s="6" t="s">
        <v>1244</v>
      </c>
      <c r="N166" s="17"/>
      <c r="O166" s="17"/>
      <c r="P166" s="17" t="str">
        <f t="shared" si="2"/>
        <v>OK</v>
      </c>
      <c r="Q166" s="17" t="s">
        <v>35</v>
      </c>
      <c r="R166" s="6" t="s">
        <v>35</v>
      </c>
      <c r="S166" s="17" t="s">
        <v>36</v>
      </c>
      <c r="T166" s="17" t="s">
        <v>1245</v>
      </c>
      <c r="U166" s="173" t="s">
        <v>38</v>
      </c>
      <c r="V166" s="11" t="s">
        <v>723</v>
      </c>
      <c r="W166" s="22" t="s">
        <v>1164</v>
      </c>
      <c r="X166" s="22" t="s">
        <v>1164</v>
      </c>
      <c r="Y166" s="22"/>
      <c r="Z166" s="7"/>
      <c r="AA166" s="7"/>
      <c r="AB166" s="23"/>
      <c r="AC166" s="26"/>
    </row>
    <row r="167" spans="1:30" ht="15.75" customHeight="1">
      <c r="A167" s="10" t="s">
        <v>1246</v>
      </c>
      <c r="B167" s="10" t="s">
        <v>27</v>
      </c>
      <c r="C167" s="11" t="s">
        <v>28</v>
      </c>
      <c r="D167" s="12"/>
      <c r="E167" s="13" t="s">
        <v>378</v>
      </c>
      <c r="F167" s="6" t="s">
        <v>379</v>
      </c>
      <c r="G167" s="15" t="str">
        <f ca="1">IFERROR(__xludf.DUMMYFUNCTION("CONCATENATE(B167,(VLOOKUP(C167,CATALOGOS!$F$2:$H$6,3,FALSE)),(VLOOKUP(V167,CATALOGOS!$J$2:$K$18,2,FALSE)),""-"",TO_TEXT(A167))"),"P05RH-0166")</f>
        <v>P05RH-0166</v>
      </c>
      <c r="H167" s="6" t="str">
        <f ca="1">IFERROR(__xludf.DUMMYFUNCTION("CONCATENATE($B167,(VLOOKUP($C167,CATALOGOS!$F$2:$H$6,3,FALSE)),(VLOOKUP($V167,CATALOGOS!$J$2:$K$18,2,FALSE)),""-"",TO_TEXT($A167))"),"P05RH-0166")</f>
        <v>P05RH-0166</v>
      </c>
      <c r="I167" s="6"/>
      <c r="J167" s="6" t="s">
        <v>1247</v>
      </c>
      <c r="K167" s="6" t="s">
        <v>1248</v>
      </c>
      <c r="L167" s="6" t="s">
        <v>1249</v>
      </c>
      <c r="M167" s="6" t="s">
        <v>1250</v>
      </c>
      <c r="N167" s="17"/>
      <c r="O167" s="17"/>
      <c r="P167" s="17" t="str">
        <f t="shared" si="2"/>
        <v>OK</v>
      </c>
      <c r="Q167" s="17" t="s">
        <v>35</v>
      </c>
      <c r="R167" s="6" t="s">
        <v>35</v>
      </c>
      <c r="S167" s="17" t="s">
        <v>36</v>
      </c>
      <c r="T167" s="17" t="s">
        <v>1251</v>
      </c>
      <c r="U167" s="173" t="s">
        <v>38</v>
      </c>
      <c r="V167" s="11" t="s">
        <v>723</v>
      </c>
      <c r="W167" s="22" t="s">
        <v>1164</v>
      </c>
      <c r="X167" s="22" t="s">
        <v>1164</v>
      </c>
      <c r="Y167" s="22"/>
      <c r="Z167" s="7"/>
      <c r="AA167" s="7"/>
      <c r="AB167" s="23"/>
      <c r="AC167" s="26"/>
    </row>
    <row r="168" spans="1:30" ht="15.75" customHeight="1">
      <c r="A168" s="10" t="s">
        <v>1252</v>
      </c>
      <c r="B168" s="10" t="s">
        <v>27</v>
      </c>
      <c r="C168" s="11" t="s">
        <v>28</v>
      </c>
      <c r="D168" s="12"/>
      <c r="E168" s="13" t="s">
        <v>62</v>
      </c>
      <c r="F168" s="6" t="s">
        <v>1253</v>
      </c>
      <c r="G168" s="15" t="str">
        <f ca="1">IFERROR(__xludf.DUMMYFUNCTION("CONCATENATE(B168,(VLOOKUP(C168,CATALOGOS!$F$2:$H$6,3,FALSE)),(VLOOKUP(V168,CATALOGOS!$J$2:$K$18,2,FALSE)),""-"",TO_TEXT(A168))"),"P05RH-0167")</f>
        <v>P05RH-0167</v>
      </c>
      <c r="H168" s="6" t="str">
        <f ca="1">IFERROR(__xludf.DUMMYFUNCTION("CONCATENATE($B168,(VLOOKUP($C168,CATALOGOS!$F$2:$H$6,3,FALSE)),(VLOOKUP($V168,CATALOGOS!$J$2:$K$18,2,FALSE)),""-"",TO_TEXT($A168))"),"P05RH-0167")</f>
        <v>P05RH-0167</v>
      </c>
      <c r="I168" s="6"/>
      <c r="J168" s="6" t="s">
        <v>1254</v>
      </c>
      <c r="K168" s="6" t="s">
        <v>1255</v>
      </c>
      <c r="L168" s="6" t="s">
        <v>1256</v>
      </c>
      <c r="M168" s="6" t="s">
        <v>1257</v>
      </c>
      <c r="N168" s="17"/>
      <c r="O168" s="17"/>
      <c r="P168" s="17" t="str">
        <f t="shared" si="2"/>
        <v>OK</v>
      </c>
      <c r="Q168" s="17" t="s">
        <v>35</v>
      </c>
      <c r="R168" s="6" t="s">
        <v>35</v>
      </c>
      <c r="S168" s="17" t="s">
        <v>36</v>
      </c>
      <c r="T168" s="17" t="s">
        <v>1258</v>
      </c>
      <c r="U168" s="173" t="s">
        <v>38</v>
      </c>
      <c r="V168" s="11" t="s">
        <v>723</v>
      </c>
      <c r="W168" s="22" t="s">
        <v>1164</v>
      </c>
      <c r="X168" s="22" t="s">
        <v>1164</v>
      </c>
      <c r="Y168" s="22"/>
      <c r="Z168" s="7"/>
      <c r="AA168" s="7"/>
      <c r="AB168" s="23"/>
      <c r="AC168" s="26"/>
    </row>
    <row r="169" spans="1:30" ht="15.75" customHeight="1">
      <c r="A169" s="10" t="s">
        <v>1259</v>
      </c>
      <c r="B169" s="10" t="s">
        <v>27</v>
      </c>
      <c r="C169" s="11" t="s">
        <v>28</v>
      </c>
      <c r="D169" s="12"/>
      <c r="E169" s="13" t="s">
        <v>62</v>
      </c>
      <c r="F169" s="6" t="s">
        <v>1260</v>
      </c>
      <c r="G169" s="15" t="str">
        <f ca="1">IFERROR(__xludf.DUMMYFUNCTION("CONCATENATE(B169,(VLOOKUP(C169,CATALOGOS!$F$2:$H$6,3,FALSE)),(VLOOKUP(V169,CATALOGOS!$J$2:$K$18,2,FALSE)),""-"",TO_TEXT(A169))"),"P05RH-0168")</f>
        <v>P05RH-0168</v>
      </c>
      <c r="H169" s="6" t="str">
        <f ca="1">IFERROR(__xludf.DUMMYFUNCTION("CONCATENATE($B169,(VLOOKUP($C169,CATALOGOS!$F$2:$H$6,3,FALSE)),(VLOOKUP($V169,CATALOGOS!$J$2:$K$18,2,FALSE)),""-"",TO_TEXT($A169))"),"P05RH-0168")</f>
        <v>P05RH-0168</v>
      </c>
      <c r="I169" s="6"/>
      <c r="J169" s="6" t="s">
        <v>1261</v>
      </c>
      <c r="K169" s="6" t="s">
        <v>1262</v>
      </c>
      <c r="L169" s="6" t="s">
        <v>1263</v>
      </c>
      <c r="M169" s="6" t="s">
        <v>1264</v>
      </c>
      <c r="N169" s="17"/>
      <c r="O169" s="17"/>
      <c r="P169" s="17" t="str">
        <f t="shared" si="2"/>
        <v>OK</v>
      </c>
      <c r="Q169" s="17" t="s">
        <v>35</v>
      </c>
      <c r="R169" s="6" t="s">
        <v>35</v>
      </c>
      <c r="S169" s="17" t="s">
        <v>36</v>
      </c>
      <c r="T169" s="17" t="s">
        <v>1265</v>
      </c>
      <c r="U169" s="173" t="s">
        <v>38</v>
      </c>
      <c r="V169" s="11" t="s">
        <v>723</v>
      </c>
      <c r="W169" s="22" t="s">
        <v>1164</v>
      </c>
      <c r="X169" s="22" t="s">
        <v>1164</v>
      </c>
      <c r="Y169" s="22"/>
      <c r="Z169" s="7"/>
      <c r="AA169" s="7"/>
      <c r="AB169" s="23"/>
      <c r="AC169" s="26"/>
    </row>
    <row r="170" spans="1:30" ht="15.75" customHeight="1">
      <c r="A170" s="10" t="s">
        <v>1266</v>
      </c>
      <c r="B170" s="10" t="s">
        <v>27</v>
      </c>
      <c r="C170" s="11" t="s">
        <v>28</v>
      </c>
      <c r="D170" s="12"/>
      <c r="E170" s="13" t="s">
        <v>43</v>
      </c>
      <c r="F170" s="6" t="s">
        <v>885</v>
      </c>
      <c r="G170" s="15" t="str">
        <f ca="1">IFERROR(__xludf.DUMMYFUNCTION("CONCATENATE(B170,(VLOOKUP(C170,CATALOGOS!$F$2:$H$6,3,FALSE)),(VLOOKUP(V170,CATALOGOS!$J$2:$K$18,2,FALSE)),""-"",TO_TEXT(A170))"),"P05RH-0169")</f>
        <v>P05RH-0169</v>
      </c>
      <c r="H170" s="6" t="str">
        <f ca="1">IFERROR(__xludf.DUMMYFUNCTION("CONCATENATE($B170,(VLOOKUP($C170,CATALOGOS!$F$2:$H$6,3,FALSE)),(VLOOKUP($V170,CATALOGOS!$J$2:$K$18,2,FALSE)),""-"",TO_TEXT($A170))"),"P05RH-0169")</f>
        <v>P05RH-0169</v>
      </c>
      <c r="I170" s="6"/>
      <c r="J170" s="6" t="s">
        <v>1267</v>
      </c>
      <c r="K170" s="6" t="s">
        <v>1268</v>
      </c>
      <c r="L170" s="10" t="s">
        <v>1269</v>
      </c>
      <c r="M170" s="43" t="s">
        <v>1270</v>
      </c>
      <c r="N170" s="17"/>
      <c r="O170" s="17"/>
      <c r="P170" s="17" t="str">
        <f t="shared" si="2"/>
        <v>OK</v>
      </c>
      <c r="Q170" s="17" t="s">
        <v>406</v>
      </c>
      <c r="R170" s="6" t="s">
        <v>1271</v>
      </c>
      <c r="S170" s="17" t="s">
        <v>1272</v>
      </c>
      <c r="T170" s="17" t="s">
        <v>1273</v>
      </c>
      <c r="U170" s="173" t="s">
        <v>38</v>
      </c>
      <c r="V170" s="11" t="s">
        <v>723</v>
      </c>
      <c r="W170" s="22" t="s">
        <v>1164</v>
      </c>
      <c r="X170" s="22" t="s">
        <v>1164</v>
      </c>
      <c r="Y170" s="22"/>
      <c r="Z170" s="7"/>
      <c r="AA170" s="7"/>
      <c r="AB170" s="23"/>
      <c r="AC170" s="26"/>
    </row>
    <row r="171" spans="1:30" ht="15.75" customHeight="1">
      <c r="A171" s="10" t="s">
        <v>1274</v>
      </c>
      <c r="B171" s="10" t="s">
        <v>27</v>
      </c>
      <c r="C171" s="11" t="s">
        <v>28</v>
      </c>
      <c r="D171" s="38"/>
      <c r="E171" s="13" t="s">
        <v>1275</v>
      </c>
      <c r="F171" s="6" t="s">
        <v>1276</v>
      </c>
      <c r="G171" s="15" t="str">
        <f ca="1">IFERROR(__xludf.DUMMYFUNCTION("CONCATENATE(B171,(VLOOKUP(C171,CATALOGOS!$F$2:$H$6,3,FALSE)),(VLOOKUP(V171,CATALOGOS!$J$2:$K$18,2,FALSE)),""-"",TO_TEXT(A171))"),"P05RH-0170")</f>
        <v>P05RH-0170</v>
      </c>
      <c r="H171" s="6" t="str">
        <f ca="1">IFERROR(__xludf.DUMMYFUNCTION("CONCATENATE($B171,(VLOOKUP($C171,CATALOGOS!$F$2:$H$6,3,FALSE)),(VLOOKUP($V171,CATALOGOS!$J$2:$K$18,2,FALSE)),""-"",TO_TEXT($A171))"),"P05RH-0170")</f>
        <v>P05RH-0170</v>
      </c>
      <c r="I171" s="6"/>
      <c r="J171" s="6" t="s">
        <v>1277</v>
      </c>
      <c r="K171" s="6" t="s">
        <v>1278</v>
      </c>
      <c r="L171" s="10" t="s">
        <v>1279</v>
      </c>
      <c r="M171" s="6" t="s">
        <v>1280</v>
      </c>
      <c r="N171" s="17"/>
      <c r="O171" s="17"/>
      <c r="P171" s="17" t="str">
        <f t="shared" si="2"/>
        <v>OK</v>
      </c>
      <c r="Q171" s="17" t="s">
        <v>682</v>
      </c>
      <c r="R171" s="6" t="s">
        <v>1281</v>
      </c>
      <c r="S171" s="46" t="s">
        <v>1282</v>
      </c>
      <c r="T171" s="17" t="s">
        <v>1283</v>
      </c>
      <c r="U171" s="173" t="s">
        <v>38</v>
      </c>
      <c r="V171" s="11" t="s">
        <v>723</v>
      </c>
      <c r="W171" s="22" t="s">
        <v>1164</v>
      </c>
      <c r="X171" s="22" t="s">
        <v>1164</v>
      </c>
      <c r="Y171" s="22"/>
      <c r="Z171" s="7"/>
      <c r="AA171" s="7"/>
      <c r="AB171" s="26"/>
      <c r="AC171" s="26"/>
    </row>
    <row r="172" spans="1:30" ht="15.75" customHeight="1">
      <c r="A172" s="10" t="s">
        <v>1284</v>
      </c>
      <c r="B172" s="10" t="s">
        <v>27</v>
      </c>
      <c r="C172" s="11" t="s">
        <v>28</v>
      </c>
      <c r="D172" s="12"/>
      <c r="E172" s="13" t="s">
        <v>93</v>
      </c>
      <c r="F172" s="6" t="s">
        <v>1285</v>
      </c>
      <c r="G172" s="15" t="str">
        <f ca="1">IFERROR(__xludf.DUMMYFUNCTION("CONCATENATE(B172,(VLOOKUP(C172,CATALOGOS!$F$2:$H$6,3,FALSE)),(VLOOKUP(V172,CATALOGOS!$J$2:$K$18,2,FALSE)),""-"",TO_TEXT(A172))"),"P05RH-0171")</f>
        <v>P05RH-0171</v>
      </c>
      <c r="H172" s="6" t="str">
        <f ca="1">IFERROR(__xludf.DUMMYFUNCTION("CONCATENATE($B172,(VLOOKUP($C172,CATALOGOS!$F$2:$H$6,3,FALSE)),(VLOOKUP($V172,CATALOGOS!$J$2:$K$18,2,FALSE)),""-"",TO_TEXT($A172))"),"P05RH-0171")</f>
        <v>P05RH-0171</v>
      </c>
      <c r="I172" s="6"/>
      <c r="J172" s="6" t="s">
        <v>1286</v>
      </c>
      <c r="K172" s="6" t="s">
        <v>1287</v>
      </c>
      <c r="L172" s="6" t="s">
        <v>1288</v>
      </c>
      <c r="M172" s="6" t="s">
        <v>1289</v>
      </c>
      <c r="N172" s="17"/>
      <c r="O172" s="17"/>
      <c r="P172" s="17" t="str">
        <f t="shared" si="2"/>
        <v>OK</v>
      </c>
      <c r="Q172" s="17" t="s">
        <v>35</v>
      </c>
      <c r="R172" s="6" t="s">
        <v>35</v>
      </c>
      <c r="S172" s="17" t="s">
        <v>36</v>
      </c>
      <c r="T172" s="17" t="s">
        <v>1290</v>
      </c>
      <c r="U172" s="173" t="s">
        <v>38</v>
      </c>
      <c r="V172" s="11" t="s">
        <v>723</v>
      </c>
      <c r="W172" s="22" t="s">
        <v>724</v>
      </c>
      <c r="X172" s="22" t="s">
        <v>724</v>
      </c>
      <c r="Y172" s="22"/>
      <c r="Z172" s="7"/>
      <c r="AA172" s="7"/>
      <c r="AB172" s="23"/>
      <c r="AC172" s="26"/>
    </row>
    <row r="173" spans="1:30" ht="15.75" customHeight="1">
      <c r="A173" s="10" t="s">
        <v>1291</v>
      </c>
      <c r="B173" s="10" t="s">
        <v>27</v>
      </c>
      <c r="C173" s="11" t="s">
        <v>28</v>
      </c>
      <c r="D173" s="12"/>
      <c r="E173" s="13" t="s">
        <v>378</v>
      </c>
      <c r="F173" s="6" t="s">
        <v>1292</v>
      </c>
      <c r="G173" s="15" t="str">
        <f ca="1">IFERROR(__xludf.DUMMYFUNCTION("CONCATENATE(B173,(VLOOKUP(C173,CATALOGOS!$F$2:$H$6,3,FALSE)),(VLOOKUP(V173,CATALOGOS!$J$2:$K$18,2,FALSE)),""-"",TO_TEXT(A173))"),"P05RH-0172")</f>
        <v>P05RH-0172</v>
      </c>
      <c r="H173" s="6" t="str">
        <f ca="1">IFERROR(__xludf.DUMMYFUNCTION("CONCATENATE($B173,(VLOOKUP($C173,CATALOGOS!$F$2:$H$6,3,FALSE)),(VLOOKUP($V173,CATALOGOS!$J$2:$K$18,2,FALSE)),""-"",TO_TEXT($A173))"),"P05RH-0172")</f>
        <v>P05RH-0172</v>
      </c>
      <c r="I173" s="6"/>
      <c r="J173" s="6" t="s">
        <v>1293</v>
      </c>
      <c r="K173" s="6" t="s">
        <v>1294</v>
      </c>
      <c r="L173" s="36"/>
      <c r="M173" s="6" t="s">
        <v>1295</v>
      </c>
      <c r="N173" s="17"/>
      <c r="O173" s="17"/>
      <c r="P173" s="17" t="str">
        <f t="shared" si="2"/>
        <v>OK</v>
      </c>
      <c r="Q173" s="35" t="s">
        <v>35</v>
      </c>
      <c r="R173" s="6" t="s">
        <v>35</v>
      </c>
      <c r="S173" s="10" t="s">
        <v>36</v>
      </c>
      <c r="T173" s="10" t="s">
        <v>1296</v>
      </c>
      <c r="U173" s="173" t="s">
        <v>38</v>
      </c>
      <c r="V173" s="11" t="s">
        <v>723</v>
      </c>
      <c r="W173" s="22" t="s">
        <v>724</v>
      </c>
      <c r="X173" s="22" t="s">
        <v>724</v>
      </c>
      <c r="Y173" s="22"/>
      <c r="Z173" s="7"/>
      <c r="AA173" s="7"/>
      <c r="AB173" s="23"/>
      <c r="AC173" s="26"/>
    </row>
    <row r="174" spans="1:30" ht="15.75" customHeight="1">
      <c r="A174" s="10" t="s">
        <v>1297</v>
      </c>
      <c r="B174" s="10" t="s">
        <v>27</v>
      </c>
      <c r="C174" s="11" t="s">
        <v>28</v>
      </c>
      <c r="D174" s="12"/>
      <c r="E174" s="13" t="s">
        <v>151</v>
      </c>
      <c r="F174" s="6" t="s">
        <v>152</v>
      </c>
      <c r="G174" s="64" t="str">
        <f ca="1">IFERROR(__xludf.DUMMYFUNCTION("CONCATENATE(B174,(VLOOKUP(C174,CATALOGOS!$F$2:$H$6,3,FALSE)),(VLOOKUP(V174,CATALOGOS!$J$2:$K$18,2,FALSE)),""-"",TO_TEXT(A174))"),"P05RM-0175")</f>
        <v>P05RM-0175</v>
      </c>
      <c r="H174" s="6" t="str">
        <f ca="1">IFERROR(__xludf.DUMMYFUNCTION("CONCATENATE($B174,(VLOOKUP($C174,CATALOGOS!$F$2:$H$6,3,FALSE)),(VLOOKUP($V174,CATALOGOS!$J$2:$K$18,2,FALSE)),""-"",TO_TEXT($A174))"),"P05RM-0175")</f>
        <v>P05RM-0175</v>
      </c>
      <c r="I174" s="6"/>
      <c r="J174" s="6" t="s">
        <v>1298</v>
      </c>
      <c r="K174" s="6" t="s">
        <v>1299</v>
      </c>
      <c r="L174" s="6" t="s">
        <v>1300</v>
      </c>
      <c r="M174" s="6" t="s">
        <v>1301</v>
      </c>
      <c r="N174" s="17"/>
      <c r="O174" s="17"/>
      <c r="P174" s="17" t="str">
        <f t="shared" si="2"/>
        <v>OK</v>
      </c>
      <c r="Q174" s="17" t="s">
        <v>157</v>
      </c>
      <c r="R174" s="6" t="s">
        <v>1302</v>
      </c>
      <c r="S174" s="17" t="s">
        <v>36</v>
      </c>
      <c r="T174" s="17" t="s">
        <v>1303</v>
      </c>
      <c r="U174" s="173" t="s">
        <v>1304</v>
      </c>
      <c r="V174" s="180" t="s">
        <v>147</v>
      </c>
      <c r="W174" s="208" t="s">
        <v>484</v>
      </c>
      <c r="X174" s="190" t="s">
        <v>724</v>
      </c>
      <c r="Y174" s="22"/>
      <c r="Z174" s="7"/>
      <c r="AA174" s="7"/>
      <c r="AB174" s="23"/>
      <c r="AC174" s="26"/>
    </row>
    <row r="175" spans="1:30" ht="15.75" customHeight="1">
      <c r="A175" s="55" t="s">
        <v>1305</v>
      </c>
      <c r="B175" s="10" t="s">
        <v>27</v>
      </c>
      <c r="C175" s="11" t="s">
        <v>28</v>
      </c>
      <c r="D175" s="12"/>
      <c r="E175" s="13" t="s">
        <v>378</v>
      </c>
      <c r="F175" s="6" t="s">
        <v>1306</v>
      </c>
      <c r="G175" s="15" t="str">
        <f ca="1">IFERROR(__xludf.DUMMYFUNCTION("CONCATENATE(B175,(VLOOKUP(C175,CATALOGOS!$F$2:$H$6,3,FALSE)),(VLOOKUP(V175,CATALOGOS!$J$2:$K$18,2,FALSE)),""-"",TO_TEXT(A175))"),"P05RH-0173")</f>
        <v>P05RH-0173</v>
      </c>
      <c r="H175" s="6" t="str">
        <f ca="1">IFERROR(__xludf.DUMMYFUNCTION("CONCATENATE($B175,(VLOOKUP($C175,CATALOGOS!$F$2:$H$6,3,FALSE)),(VLOOKUP($V175,CATALOGOS!$J$2:$K$18,2,FALSE)),""-"",TO_TEXT($A175))"),"P05RH-0173")</f>
        <v>P05RH-0173</v>
      </c>
      <c r="I175" s="6"/>
      <c r="J175" s="6" t="s">
        <v>1307</v>
      </c>
      <c r="K175" s="6" t="s">
        <v>1308</v>
      </c>
      <c r="L175" s="6" t="s">
        <v>1309</v>
      </c>
      <c r="M175" s="43" t="s">
        <v>1310</v>
      </c>
      <c r="N175" s="17"/>
      <c r="O175" s="17"/>
      <c r="P175" s="17" t="str">
        <f t="shared" si="2"/>
        <v>OK</v>
      </c>
      <c r="Q175" s="46" t="s">
        <v>35</v>
      </c>
      <c r="R175" s="6" t="s">
        <v>35</v>
      </c>
      <c r="S175" s="17" t="s">
        <v>36</v>
      </c>
      <c r="T175" s="17" t="s">
        <v>1311</v>
      </c>
      <c r="U175" s="173" t="s">
        <v>38</v>
      </c>
      <c r="V175" s="11" t="s">
        <v>723</v>
      </c>
      <c r="W175" s="22" t="s">
        <v>724</v>
      </c>
      <c r="X175" s="22" t="s">
        <v>724</v>
      </c>
      <c r="Y175" s="22"/>
      <c r="Z175" s="7"/>
      <c r="AA175" s="7"/>
      <c r="AB175" s="23"/>
      <c r="AC175" s="26"/>
    </row>
    <row r="176" spans="1:30" ht="15.75" customHeight="1">
      <c r="A176" s="10" t="s">
        <v>1312</v>
      </c>
      <c r="B176" s="10" t="s">
        <v>27</v>
      </c>
      <c r="C176" s="11" t="s">
        <v>28</v>
      </c>
      <c r="D176" s="12"/>
      <c r="E176" s="13" t="s">
        <v>116</v>
      </c>
      <c r="F176" s="6" t="s">
        <v>364</v>
      </c>
      <c r="G176" s="15" t="str">
        <f ca="1">IFERROR(__xludf.DUMMYFUNCTION("CONCATENATE(B176,(VLOOKUP(C176,CATALOGOS!$F$2:$H$6,3,FALSE)),(VLOOKUP(V176,CATALOGOS!$J$2:$K$18,2,FALSE)),""-"",TO_TEXT(A176))"),"P05RH-0174")</f>
        <v>P05RH-0174</v>
      </c>
      <c r="H176" s="6" t="str">
        <f ca="1">IFERROR(__xludf.DUMMYFUNCTION("CONCATENATE($B176,(VLOOKUP($C176,CATALOGOS!$F$2:$H$6,3,FALSE)),(VLOOKUP($V176,CATALOGOS!$J$2:$K$18,2,FALSE)),""-"",TO_TEXT($A176))"),"P05RH-0174")</f>
        <v>P05RH-0174</v>
      </c>
      <c r="I176" s="6"/>
      <c r="J176" s="6" t="s">
        <v>1313</v>
      </c>
      <c r="K176" s="6" t="s">
        <v>1314</v>
      </c>
      <c r="L176" s="6" t="s">
        <v>1315</v>
      </c>
      <c r="M176" s="6" t="s">
        <v>1316</v>
      </c>
      <c r="N176" s="17"/>
      <c r="O176" s="17"/>
      <c r="P176" s="17" t="str">
        <f t="shared" si="2"/>
        <v>OK</v>
      </c>
      <c r="Q176" s="17" t="s">
        <v>35</v>
      </c>
      <c r="R176" s="49" t="s">
        <v>35</v>
      </c>
      <c r="S176" s="17" t="s">
        <v>36</v>
      </c>
      <c r="T176" s="17" t="s">
        <v>1317</v>
      </c>
      <c r="U176" s="173" t="s">
        <v>38</v>
      </c>
      <c r="V176" s="11" t="s">
        <v>723</v>
      </c>
      <c r="W176" s="22" t="s">
        <v>724</v>
      </c>
      <c r="X176" s="22" t="s">
        <v>724</v>
      </c>
      <c r="Y176" s="22"/>
      <c r="Z176" s="7"/>
      <c r="AA176" s="7"/>
      <c r="AB176" s="23"/>
      <c r="AC176" s="26"/>
    </row>
    <row r="177" spans="1:30" ht="15.75" customHeight="1">
      <c r="A177" s="10" t="s">
        <v>1318</v>
      </c>
      <c r="B177" s="10" t="s">
        <v>27</v>
      </c>
      <c r="C177" s="11" t="s">
        <v>28</v>
      </c>
      <c r="D177" s="12"/>
      <c r="E177" s="13" t="s">
        <v>199</v>
      </c>
      <c r="F177" s="6" t="s">
        <v>199</v>
      </c>
      <c r="G177" s="15" t="str">
        <f ca="1">IFERROR(__xludf.DUMMYFUNCTION("CONCATENATE(B177,(VLOOKUP(C177,CATALOGOS!$F$2:$H$6,3,FALSE)),(VLOOKUP(V177,CATALOGOS!$J$2:$K$18,2,FALSE)),""-"",TO_TEXT(A177))"),"P05RH-0176")</f>
        <v>P05RH-0176</v>
      </c>
      <c r="H177" s="6" t="str">
        <f ca="1">IFERROR(__xludf.DUMMYFUNCTION("CONCATENATE($B177,(VLOOKUP($C177,CATALOGOS!$F$2:$H$6,3,FALSE)),(VLOOKUP($V177,CATALOGOS!$J$2:$K$18,2,FALSE)),""-"",TO_TEXT($A177))"),"P05RH-0176")</f>
        <v>P05RH-0176</v>
      </c>
      <c r="I177" s="6"/>
      <c r="J177" s="6" t="s">
        <v>1319</v>
      </c>
      <c r="K177" s="6" t="s">
        <v>1320</v>
      </c>
      <c r="L177" s="6" t="s">
        <v>1321</v>
      </c>
      <c r="M177" s="6" t="s">
        <v>1322</v>
      </c>
      <c r="N177" s="17"/>
      <c r="O177" s="17"/>
      <c r="P177" s="17" t="str">
        <f t="shared" si="2"/>
        <v>OK</v>
      </c>
      <c r="Q177" s="17" t="s">
        <v>157</v>
      </c>
      <c r="R177" s="6">
        <v>2378</v>
      </c>
      <c r="S177" s="17" t="s">
        <v>1323</v>
      </c>
      <c r="T177" s="17" t="s">
        <v>1324</v>
      </c>
      <c r="U177" s="173" t="s">
        <v>38</v>
      </c>
      <c r="V177" s="11" t="s">
        <v>723</v>
      </c>
      <c r="W177" s="22" t="s">
        <v>724</v>
      </c>
      <c r="X177" s="22" t="s">
        <v>724</v>
      </c>
      <c r="Y177" s="22"/>
      <c r="Z177" s="7"/>
      <c r="AA177" s="7"/>
      <c r="AB177" s="23"/>
      <c r="AC177" s="26"/>
    </row>
    <row r="178" spans="1:30" ht="15.75" customHeight="1">
      <c r="A178" s="10" t="s">
        <v>1325</v>
      </c>
      <c r="B178" s="10" t="s">
        <v>27</v>
      </c>
      <c r="C178" s="11" t="s">
        <v>28</v>
      </c>
      <c r="D178" s="12"/>
      <c r="E178" s="13" t="s">
        <v>136</v>
      </c>
      <c r="F178" s="6" t="s">
        <v>689</v>
      </c>
      <c r="G178" s="15" t="str">
        <f ca="1">IFERROR(__xludf.DUMMYFUNCTION("CONCATENATE(B178,(VLOOKUP(C178,CATALOGOS!$F$2:$H$6,3,FALSE)),(VLOOKUP(V178,CATALOGOS!$J$2:$K$18,2,FALSE)),""-"",TO_TEXT(A178))"),"P05RH-0177")</f>
        <v>P05RH-0177</v>
      </c>
      <c r="H178" s="6" t="str">
        <f ca="1">IFERROR(__xludf.DUMMYFUNCTION("CONCATENATE($B178,(VLOOKUP($C178,CATALOGOS!$F$2:$H$6,3,FALSE)),(VLOOKUP($V178,CATALOGOS!$J$2:$K$18,2,FALSE)),""-"",TO_TEXT($A178))"),"P05RH-0177")</f>
        <v>P05RH-0177</v>
      </c>
      <c r="I178" s="6"/>
      <c r="J178" s="6" t="s">
        <v>1326</v>
      </c>
      <c r="K178" s="6" t="s">
        <v>1327</v>
      </c>
      <c r="L178" s="6" t="s">
        <v>1328</v>
      </c>
      <c r="M178" s="6" t="s">
        <v>1329</v>
      </c>
      <c r="N178" s="17"/>
      <c r="O178" s="17"/>
      <c r="P178" s="17" t="str">
        <f t="shared" si="2"/>
        <v>OK</v>
      </c>
      <c r="Q178" s="17" t="s">
        <v>143</v>
      </c>
      <c r="R178" s="6" t="s">
        <v>1330</v>
      </c>
      <c r="S178" s="32" t="s">
        <v>1331</v>
      </c>
      <c r="T178" s="17" t="s">
        <v>1332</v>
      </c>
      <c r="U178" s="173" t="s">
        <v>38</v>
      </c>
      <c r="V178" s="11" t="s">
        <v>723</v>
      </c>
      <c r="W178" s="22" t="s">
        <v>724</v>
      </c>
      <c r="X178" s="22" t="s">
        <v>724</v>
      </c>
      <c r="Y178" s="22"/>
      <c r="Z178" s="7"/>
      <c r="AA178" s="7"/>
      <c r="AB178" s="23"/>
      <c r="AC178" s="26"/>
    </row>
    <row r="179" spans="1:30" ht="15.75" customHeight="1">
      <c r="A179" s="10" t="s">
        <v>1333</v>
      </c>
      <c r="B179" s="10" t="s">
        <v>27</v>
      </c>
      <c r="C179" s="11" t="s">
        <v>28</v>
      </c>
      <c r="D179" s="12"/>
      <c r="E179" s="13" t="s">
        <v>353</v>
      </c>
      <c r="F179" s="43" t="s">
        <v>638</v>
      </c>
      <c r="G179" s="15" t="str">
        <f ca="1">IFERROR(__xludf.DUMMYFUNCTION("CONCATENATE(B179,(VLOOKUP(C179,CATALOGOS!$F$2:$H$6,3,FALSE)),(VLOOKUP(V179,CATALOGOS!$J$2:$K$18,2,FALSE)),""-"",TO_TEXT(A179))"),"P05RH-0178")</f>
        <v>P05RH-0178</v>
      </c>
      <c r="H179" s="6" t="str">
        <f ca="1">IFERROR(__xludf.DUMMYFUNCTION("CONCATENATE($B179,(VLOOKUP($C179,CATALOGOS!$F$2:$H$6,3,FALSE)),(VLOOKUP($V179,CATALOGOS!$J$2:$K$18,2,FALSE)),""-"",TO_TEXT($A179))"),"P05RH-0178")</f>
        <v>P05RH-0178</v>
      </c>
      <c r="I179" s="6"/>
      <c r="J179" s="6" t="s">
        <v>1334</v>
      </c>
      <c r="K179" s="6" t="s">
        <v>1335</v>
      </c>
      <c r="L179" s="6" t="s">
        <v>1336</v>
      </c>
      <c r="M179" s="6" t="s">
        <v>1337</v>
      </c>
      <c r="N179" s="17"/>
      <c r="O179" s="17"/>
      <c r="P179" s="17" t="str">
        <f t="shared" si="2"/>
        <v>OK</v>
      </c>
      <c r="Q179" s="17" t="s">
        <v>359</v>
      </c>
      <c r="R179" s="6" t="s">
        <v>360</v>
      </c>
      <c r="S179" s="17" t="s">
        <v>1338</v>
      </c>
      <c r="T179" s="17" t="s">
        <v>1339</v>
      </c>
      <c r="U179" s="173" t="s">
        <v>38</v>
      </c>
      <c r="V179" s="11" t="s">
        <v>723</v>
      </c>
      <c r="W179" s="22" t="s">
        <v>724</v>
      </c>
      <c r="X179" s="22" t="s">
        <v>724</v>
      </c>
      <c r="Y179" s="22"/>
      <c r="Z179" s="7"/>
      <c r="AA179" s="7"/>
      <c r="AB179" s="23"/>
      <c r="AC179" s="26"/>
    </row>
    <row r="180" spans="1:30" ht="15.75" customHeight="1">
      <c r="A180" s="10" t="s">
        <v>1340</v>
      </c>
      <c r="B180" s="10" t="s">
        <v>27</v>
      </c>
      <c r="C180" s="11" t="s">
        <v>28</v>
      </c>
      <c r="D180" s="38"/>
      <c r="E180" s="13" t="s">
        <v>1240</v>
      </c>
      <c r="F180" s="6" t="s">
        <v>278</v>
      </c>
      <c r="G180" s="15" t="str">
        <f ca="1">IFERROR(__xludf.DUMMYFUNCTION("CONCATENATE(B180,(VLOOKUP(C180,CATALOGOS!$F$2:$H$6,3,FALSE)),(VLOOKUP(V180,CATALOGOS!$J$2:$K$18,2,FALSE)),""-"",TO_TEXT(A180))"),"P05RH-0179")</f>
        <v>P05RH-0179</v>
      </c>
      <c r="H180" s="6" t="str">
        <f ca="1">IFERROR(__xludf.DUMMYFUNCTION("CONCATENATE($B180,(VLOOKUP($C180,CATALOGOS!$F$2:$H$6,3,FALSE)),(VLOOKUP($V180,CATALOGOS!$J$2:$K$18,2,FALSE)),""-"",TO_TEXT($A180))"),"P05RH-0179")</f>
        <v>P05RH-0179</v>
      </c>
      <c r="I180" s="6"/>
      <c r="J180" s="6" t="s">
        <v>1341</v>
      </c>
      <c r="K180" s="6" t="s">
        <v>1342</v>
      </c>
      <c r="L180" s="6" t="s">
        <v>1343</v>
      </c>
      <c r="M180" s="6" t="s">
        <v>1344</v>
      </c>
      <c r="N180" s="17"/>
      <c r="O180" s="17"/>
      <c r="P180" s="17" t="str">
        <f t="shared" si="2"/>
        <v>OK</v>
      </c>
      <c r="Q180" s="17" t="s">
        <v>35</v>
      </c>
      <c r="R180" s="6" t="s">
        <v>35</v>
      </c>
      <c r="S180" s="46" t="s">
        <v>36</v>
      </c>
      <c r="T180" s="17" t="s">
        <v>1345</v>
      </c>
      <c r="U180" s="173" t="s">
        <v>38</v>
      </c>
      <c r="V180" s="11" t="s">
        <v>723</v>
      </c>
      <c r="W180" s="22" t="s">
        <v>724</v>
      </c>
      <c r="X180" s="22" t="s">
        <v>724</v>
      </c>
      <c r="Y180" s="22"/>
      <c r="Z180" s="7"/>
      <c r="AA180" s="7"/>
      <c r="AB180" s="26"/>
      <c r="AC180" s="26"/>
    </row>
    <row r="181" spans="1:30" ht="15.75" customHeight="1">
      <c r="A181" s="10" t="s">
        <v>1346</v>
      </c>
      <c r="B181" s="10" t="s">
        <v>27</v>
      </c>
      <c r="C181" s="11" t="s">
        <v>28</v>
      </c>
      <c r="D181" s="12"/>
      <c r="E181" s="13" t="s">
        <v>116</v>
      </c>
      <c r="F181" s="6" t="s">
        <v>1347</v>
      </c>
      <c r="G181" s="15" t="str">
        <f ca="1">IFERROR(__xludf.DUMMYFUNCTION("CONCATENATE(B181,(VLOOKUP(C181,CATALOGOS!$F$2:$H$6,3,FALSE)),(VLOOKUP(V181,CATALOGOS!$J$2:$K$18,2,FALSE)),""-"",TO_TEXT(A181))"),"P05RH-0180")</f>
        <v>P05RH-0180</v>
      </c>
      <c r="H181" s="6" t="str">
        <f ca="1">IFERROR(__xludf.DUMMYFUNCTION("CONCATENATE($B181,(VLOOKUP($C181,CATALOGOS!$F$2:$H$6,3,FALSE)),(VLOOKUP($V181,CATALOGOS!$J$2:$K$18,2,FALSE)),""-"",TO_TEXT($A181))"),"P05RH-0180")</f>
        <v>P05RH-0180</v>
      </c>
      <c r="I181" s="6"/>
      <c r="J181" s="6" t="s">
        <v>1348</v>
      </c>
      <c r="K181" s="6" t="s">
        <v>1349</v>
      </c>
      <c r="L181" s="36"/>
      <c r="M181" s="6" t="s">
        <v>141</v>
      </c>
      <c r="N181" s="17"/>
      <c r="O181" s="17"/>
      <c r="P181" s="17" t="str">
        <f t="shared" si="2"/>
        <v>REPETIDO</v>
      </c>
      <c r="Q181" s="17" t="s">
        <v>35</v>
      </c>
      <c r="R181" s="6" t="s">
        <v>35</v>
      </c>
      <c r="S181" s="6" t="s">
        <v>36</v>
      </c>
      <c r="T181" s="10" t="s">
        <v>85</v>
      </c>
      <c r="U181" s="173" t="s">
        <v>38</v>
      </c>
      <c r="V181" s="11" t="s">
        <v>723</v>
      </c>
      <c r="W181" s="20" t="s">
        <v>1350</v>
      </c>
      <c r="X181" s="22" t="s">
        <v>1350</v>
      </c>
      <c r="Y181" s="22"/>
      <c r="Z181" s="6"/>
      <c r="AA181" s="6"/>
      <c r="AB181" s="23"/>
      <c r="AC181" s="33"/>
    </row>
    <row r="182" spans="1:30" ht="15.75" customHeight="1">
      <c r="A182" s="10" t="s">
        <v>1351</v>
      </c>
      <c r="B182" s="10" t="s">
        <v>27</v>
      </c>
      <c r="C182" s="11" t="s">
        <v>28</v>
      </c>
      <c r="D182" s="12"/>
      <c r="E182" s="13" t="s">
        <v>151</v>
      </c>
      <c r="F182" s="6" t="s">
        <v>293</v>
      </c>
      <c r="G182" s="15" t="str">
        <f ca="1">IFERROR(__xludf.DUMMYFUNCTION("CONCATENATE(B182,(VLOOKUP(C182,CATALOGOS!$F$2:$H$6,3,FALSE)),(VLOOKUP(V182,CATALOGOS!$J$2:$K$18,2,FALSE)),""-"",TO_TEXT(A182))"),"P05RH-0181")</f>
        <v>P05RH-0181</v>
      </c>
      <c r="H182" s="6" t="str">
        <f ca="1">IFERROR(__xludf.DUMMYFUNCTION("CONCATENATE($B182,(VLOOKUP($C182,CATALOGOS!$F$2:$H$6,3,FALSE)),(VLOOKUP($V182,CATALOGOS!$J$2:$K$18,2,FALSE)),""-"",TO_TEXT($A182))"),"P05RH-0181")</f>
        <v>P05RH-0181</v>
      </c>
      <c r="I182" s="6"/>
      <c r="J182" s="6" t="s">
        <v>1352</v>
      </c>
      <c r="K182" s="6" t="s">
        <v>1353</v>
      </c>
      <c r="L182" s="36"/>
      <c r="M182" s="6" t="s">
        <v>1354</v>
      </c>
      <c r="N182" s="17"/>
      <c r="O182" s="17"/>
      <c r="P182" s="17" t="str">
        <f t="shared" si="2"/>
        <v>OK</v>
      </c>
      <c r="Q182" s="17" t="s">
        <v>297</v>
      </c>
      <c r="R182" s="6" t="s">
        <v>298</v>
      </c>
      <c r="S182" s="6" t="s">
        <v>1355</v>
      </c>
      <c r="T182" s="10" t="s">
        <v>85</v>
      </c>
      <c r="U182" s="173" t="s">
        <v>38</v>
      </c>
      <c r="V182" s="11" t="s">
        <v>723</v>
      </c>
      <c r="W182" s="22" t="s">
        <v>1350</v>
      </c>
      <c r="X182" s="22" t="s">
        <v>1350</v>
      </c>
      <c r="Y182" s="22"/>
      <c r="Z182" s="6"/>
      <c r="AA182" s="6"/>
      <c r="AB182" s="41" t="s">
        <v>275</v>
      </c>
      <c r="AC182" s="42">
        <v>44403</v>
      </c>
      <c r="AD182" s="58" t="s">
        <v>276</v>
      </c>
    </row>
    <row r="183" spans="1:30" ht="15.75" customHeight="1">
      <c r="A183" s="10" t="s">
        <v>1356</v>
      </c>
      <c r="B183" s="10" t="s">
        <v>27</v>
      </c>
      <c r="C183" s="11" t="s">
        <v>28</v>
      </c>
      <c r="D183" s="12"/>
      <c r="E183" s="13" t="s">
        <v>199</v>
      </c>
      <c r="F183" s="6" t="s">
        <v>199</v>
      </c>
      <c r="G183" s="15" t="str">
        <f ca="1">IFERROR(__xludf.DUMMYFUNCTION("CONCATENATE(B183,(VLOOKUP(C183,CATALOGOS!$F$2:$H$6,3,FALSE)),(VLOOKUP(V183,CATALOGOS!$J$2:$K$18,2,FALSE)),""-"",TO_TEXT(A183))"),"P05RH-0182")</f>
        <v>P05RH-0182</v>
      </c>
      <c r="H183" s="6" t="str">
        <f ca="1">IFERROR(__xludf.DUMMYFUNCTION("CONCATENATE($B183,(VLOOKUP($C183,CATALOGOS!$F$2:$H$6,3,FALSE)),(VLOOKUP($V183,CATALOGOS!$J$2:$K$18,2,FALSE)),""-"",TO_TEXT($A183))"),"P05RH-0182")</f>
        <v>P05RH-0182</v>
      </c>
      <c r="I183" s="6"/>
      <c r="J183" s="6" t="s">
        <v>1357</v>
      </c>
      <c r="K183" s="6" t="s">
        <v>1358</v>
      </c>
      <c r="L183" s="36"/>
      <c r="M183" s="6" t="s">
        <v>1359</v>
      </c>
      <c r="N183" s="17"/>
      <c r="O183" s="17"/>
      <c r="P183" s="17" t="str">
        <f t="shared" si="2"/>
        <v>OK</v>
      </c>
      <c r="Q183" s="17" t="s">
        <v>273</v>
      </c>
      <c r="R183" s="6" t="s">
        <v>274</v>
      </c>
      <c r="S183" s="6">
        <v>11392903015062</v>
      </c>
      <c r="T183" s="10" t="s">
        <v>85</v>
      </c>
      <c r="U183" s="173" t="s">
        <v>38</v>
      </c>
      <c r="V183" s="11" t="s">
        <v>723</v>
      </c>
      <c r="W183" s="22" t="s">
        <v>1350</v>
      </c>
      <c r="X183" s="22" t="s">
        <v>1350</v>
      </c>
      <c r="Y183" s="22"/>
      <c r="Z183" s="6"/>
      <c r="AA183" s="6"/>
      <c r="AB183" s="41" t="s">
        <v>275</v>
      </c>
      <c r="AC183" s="42">
        <v>44403</v>
      </c>
      <c r="AD183" s="58">
        <v>0</v>
      </c>
    </row>
    <row r="184" spans="1:30" ht="15.75" customHeight="1">
      <c r="A184" s="10" t="s">
        <v>1360</v>
      </c>
      <c r="B184" s="10" t="s">
        <v>27</v>
      </c>
      <c r="C184" s="11" t="s">
        <v>28</v>
      </c>
      <c r="D184" s="12"/>
      <c r="E184" s="13" t="s">
        <v>378</v>
      </c>
      <c r="F184" s="6" t="s">
        <v>379</v>
      </c>
      <c r="G184" s="15" t="str">
        <f ca="1">IFERROR(__xludf.DUMMYFUNCTION("CONCATENATE(B184,(VLOOKUP(C184,CATALOGOS!$F$2:$H$6,3,FALSE)),(VLOOKUP(V184,CATALOGOS!$J$2:$K$18,2,FALSE)),""-"",TO_TEXT(A184))"),"P05RH-0183")</f>
        <v>P05RH-0183</v>
      </c>
      <c r="H184" s="6" t="str">
        <f ca="1">IFERROR(__xludf.DUMMYFUNCTION("CONCATENATE($B184,(VLOOKUP($C184,CATALOGOS!$F$2:$H$6,3,FALSE)),(VLOOKUP($V184,CATALOGOS!$J$2:$K$18,2,FALSE)),""-"",TO_TEXT($A184))"),"P05RH-0183")</f>
        <v>P05RH-0183</v>
      </c>
      <c r="I184" s="6"/>
      <c r="J184" s="6" t="s">
        <v>1361</v>
      </c>
      <c r="K184" s="6" t="s">
        <v>1362</v>
      </c>
      <c r="L184" s="6" t="s">
        <v>1363</v>
      </c>
      <c r="M184" s="6" t="s">
        <v>1364</v>
      </c>
      <c r="N184" s="17"/>
      <c r="O184" s="17"/>
      <c r="P184" s="17" t="str">
        <f t="shared" si="2"/>
        <v>OK</v>
      </c>
      <c r="Q184" s="17" t="s">
        <v>35</v>
      </c>
      <c r="R184" s="6" t="s">
        <v>35</v>
      </c>
      <c r="S184" s="17" t="s">
        <v>36</v>
      </c>
      <c r="T184" s="17" t="s">
        <v>1365</v>
      </c>
      <c r="U184" s="173" t="s">
        <v>38</v>
      </c>
      <c r="V184" s="11" t="s">
        <v>723</v>
      </c>
      <c r="W184" s="22" t="s">
        <v>1350</v>
      </c>
      <c r="X184" s="22" t="s">
        <v>1350</v>
      </c>
      <c r="Y184" s="22"/>
      <c r="Z184" s="7"/>
      <c r="AA184" s="7"/>
      <c r="AB184" s="23"/>
      <c r="AC184" s="26"/>
    </row>
    <row r="185" spans="1:30" ht="15.75" customHeight="1">
      <c r="A185" s="10" t="s">
        <v>1366</v>
      </c>
      <c r="B185" s="10" t="s">
        <v>27</v>
      </c>
      <c r="C185" s="11" t="s">
        <v>28</v>
      </c>
      <c r="D185" s="38"/>
      <c r="E185" s="13" t="s">
        <v>353</v>
      </c>
      <c r="F185" s="6" t="s">
        <v>354</v>
      </c>
      <c r="G185" s="15" t="str">
        <f ca="1">IFERROR(__xludf.DUMMYFUNCTION("CONCATENATE(B185,(VLOOKUP(C185,CATALOGOS!$F$2:$H$6,3,FALSE)),(VLOOKUP(V185,CATALOGOS!$J$2:$K$18,2,FALSE)),""-"",TO_TEXT(A185))"),"P05RH-0184")</f>
        <v>P05RH-0184</v>
      </c>
      <c r="H185" s="6" t="str">
        <f ca="1">IFERROR(__xludf.DUMMYFUNCTION("CONCATENATE($B185,(VLOOKUP($C185,CATALOGOS!$F$2:$H$6,3,FALSE)),(VLOOKUP($V185,CATALOGOS!$J$2:$K$18,2,FALSE)),""-"",TO_TEXT($A185))"),"P05RH-0184")</f>
        <v>P05RH-0184</v>
      </c>
      <c r="I185" s="6"/>
      <c r="J185" s="6" t="s">
        <v>1367</v>
      </c>
      <c r="K185" s="6" t="s">
        <v>1368</v>
      </c>
      <c r="L185" s="36"/>
      <c r="M185" s="6" t="s">
        <v>1369</v>
      </c>
      <c r="N185" s="17"/>
      <c r="O185" s="17"/>
      <c r="P185" s="17" t="str">
        <f t="shared" si="2"/>
        <v>OK</v>
      </c>
      <c r="Q185" s="17" t="s">
        <v>1370</v>
      </c>
      <c r="R185" s="6" t="s">
        <v>304</v>
      </c>
      <c r="S185" s="6" t="s">
        <v>1371</v>
      </c>
      <c r="T185" s="32" t="s">
        <v>1372</v>
      </c>
      <c r="U185" s="173" t="s">
        <v>38</v>
      </c>
      <c r="V185" s="11" t="s">
        <v>723</v>
      </c>
      <c r="W185" s="22" t="s">
        <v>1350</v>
      </c>
      <c r="X185" s="22" t="s">
        <v>1350</v>
      </c>
      <c r="Y185" s="22"/>
      <c r="Z185" s="7"/>
      <c r="AA185" s="7"/>
      <c r="AB185" s="26"/>
      <c r="AC185" s="26"/>
    </row>
    <row r="186" spans="1:30" ht="15.75" customHeight="1">
      <c r="A186" s="10" t="s">
        <v>1373</v>
      </c>
      <c r="B186" s="10" t="s">
        <v>27</v>
      </c>
      <c r="C186" s="11" t="s">
        <v>28</v>
      </c>
      <c r="D186" s="12"/>
      <c r="E186" s="13" t="s">
        <v>1240</v>
      </c>
      <c r="F186" s="43" t="s">
        <v>278</v>
      </c>
      <c r="G186" s="15" t="str">
        <f ca="1">IFERROR(__xludf.DUMMYFUNCTION("CONCATENATE(B186,(VLOOKUP(C186,CATALOGOS!$F$2:$H$6,3,FALSE)),(VLOOKUP(V186,CATALOGOS!$J$2:$K$18,2,FALSE)),""-"",TO_TEXT(A186))"),"P05RH-0185")</f>
        <v>P05RH-0185</v>
      </c>
      <c r="H186" s="6" t="str">
        <f ca="1">IFERROR(__xludf.DUMMYFUNCTION("CONCATENATE($B186,(VLOOKUP($C186,CATALOGOS!$F$2:$H$6,3,FALSE)),(VLOOKUP($V186,CATALOGOS!$J$2:$K$18,2,FALSE)),""-"",TO_TEXT($A186))"),"P05RH-0185")</f>
        <v>P05RH-0185</v>
      </c>
      <c r="I186" s="6"/>
      <c r="J186" s="6" t="s">
        <v>1374</v>
      </c>
      <c r="K186" s="6" t="s">
        <v>1375</v>
      </c>
      <c r="L186" s="6" t="s">
        <v>1376</v>
      </c>
      <c r="M186" s="6" t="s">
        <v>1377</v>
      </c>
      <c r="N186" s="17"/>
      <c r="O186" s="17"/>
      <c r="P186" s="17" t="str">
        <f t="shared" si="2"/>
        <v>OK</v>
      </c>
      <c r="Q186" s="17" t="s">
        <v>35</v>
      </c>
      <c r="R186" s="6" t="s">
        <v>35</v>
      </c>
      <c r="S186" s="17" t="s">
        <v>36</v>
      </c>
      <c r="T186" s="17" t="s">
        <v>1378</v>
      </c>
      <c r="U186" s="173" t="s">
        <v>38</v>
      </c>
      <c r="V186" s="11" t="s">
        <v>723</v>
      </c>
      <c r="W186" s="20" t="s">
        <v>1350</v>
      </c>
      <c r="X186" s="20" t="s">
        <v>1350</v>
      </c>
      <c r="Y186" s="20"/>
      <c r="Z186" s="7"/>
      <c r="AA186" s="7"/>
      <c r="AB186" s="23"/>
      <c r="AC186" s="26"/>
    </row>
    <row r="187" spans="1:30" ht="15.75" customHeight="1">
      <c r="A187" s="10" t="s">
        <v>1379</v>
      </c>
      <c r="B187" s="10" t="s">
        <v>27</v>
      </c>
      <c r="C187" s="11" t="s">
        <v>28</v>
      </c>
      <c r="D187" s="12"/>
      <c r="E187" s="13" t="s">
        <v>93</v>
      </c>
      <c r="F187" s="6" t="s">
        <v>1380</v>
      </c>
      <c r="G187" s="15" t="str">
        <f ca="1">IFERROR(__xludf.DUMMYFUNCTION("CONCATENATE(B187,(VLOOKUP(C187,CATALOGOS!$F$2:$H$6,3,FALSE)),(VLOOKUP(V187,CATALOGOS!$J$2:$K$18,2,FALSE)),""-"",TO_TEXT(A187))"),"P05RH-0186")</f>
        <v>P05RH-0186</v>
      </c>
      <c r="H187" s="6" t="str">
        <f ca="1">IFERROR(__xludf.DUMMYFUNCTION("CONCATENATE($B187,(VLOOKUP($C187,CATALOGOS!$F$2:$H$6,3,FALSE)),(VLOOKUP($V187,CATALOGOS!$J$2:$K$18,2,FALSE)),""-"",TO_TEXT($A187))"),"P05RH-0186")</f>
        <v>P05RH-0186</v>
      </c>
      <c r="I187" s="6"/>
      <c r="J187" s="6" t="s">
        <v>1381</v>
      </c>
      <c r="K187" s="6" t="s">
        <v>1382</v>
      </c>
      <c r="L187" s="6" t="s">
        <v>1383</v>
      </c>
      <c r="M187" s="6" t="s">
        <v>1384</v>
      </c>
      <c r="N187" s="17"/>
      <c r="O187" s="17"/>
      <c r="P187" s="17" t="str">
        <f t="shared" si="2"/>
        <v>OK</v>
      </c>
      <c r="Q187" s="17" t="s">
        <v>35</v>
      </c>
      <c r="R187" s="6" t="s">
        <v>35</v>
      </c>
      <c r="S187" s="17" t="s">
        <v>36</v>
      </c>
      <c r="T187" s="17" t="s">
        <v>1385</v>
      </c>
      <c r="U187" s="173" t="s">
        <v>38</v>
      </c>
      <c r="V187" s="11" t="s">
        <v>723</v>
      </c>
      <c r="W187" s="22" t="s">
        <v>1386</v>
      </c>
      <c r="X187" s="22" t="s">
        <v>1386</v>
      </c>
      <c r="Y187" s="22"/>
      <c r="Z187" s="7"/>
      <c r="AA187" s="7"/>
      <c r="AB187" s="23"/>
      <c r="AC187" s="26"/>
    </row>
    <row r="188" spans="1:30" ht="15.75" customHeight="1">
      <c r="A188" s="10" t="s">
        <v>1387</v>
      </c>
      <c r="B188" s="10" t="s">
        <v>27</v>
      </c>
      <c r="C188" s="11" t="s">
        <v>28</v>
      </c>
      <c r="D188" s="12"/>
      <c r="E188" s="13" t="s">
        <v>116</v>
      </c>
      <c r="F188" s="6" t="s">
        <v>364</v>
      </c>
      <c r="G188" s="70" t="str">
        <f ca="1">IFERROR(__xludf.DUMMYFUNCTION("CONCATENATE(B188,(VLOOKUP(C188,CATALOGOS!$F$2:$H$6,3,FALSE)),(VLOOKUP(V188,CATALOGOS!$J$2:$K$18,2,FALSE)),""-"",TO_TEXT(A188))"),"P05RH-0187")</f>
        <v>P05RH-0187</v>
      </c>
      <c r="H188" s="6" t="str">
        <f ca="1">IFERROR(__xludf.DUMMYFUNCTION("CONCATENATE($B188,(VLOOKUP($C188,CATALOGOS!$F$2:$H$6,3,FALSE)),(VLOOKUP($V188,CATALOGOS!$J$2:$K$18,2,FALSE)),""-"",TO_TEXT($A188))"),"P05RH-0187")</f>
        <v>P05RH-0187</v>
      </c>
      <c r="I188" s="6"/>
      <c r="J188" s="6" t="s">
        <v>1388</v>
      </c>
      <c r="K188" s="6" t="s">
        <v>1389</v>
      </c>
      <c r="L188" s="6" t="s">
        <v>1390</v>
      </c>
      <c r="M188" s="6" t="s">
        <v>1391</v>
      </c>
      <c r="N188" s="17"/>
      <c r="O188" s="17"/>
      <c r="P188" s="17" t="str">
        <f t="shared" si="2"/>
        <v>OK</v>
      </c>
      <c r="Q188" s="17" t="s">
        <v>35</v>
      </c>
      <c r="R188" s="6" t="s">
        <v>35</v>
      </c>
      <c r="S188" s="17" t="s">
        <v>36</v>
      </c>
      <c r="T188" s="17" t="s">
        <v>1392</v>
      </c>
      <c r="U188" s="173" t="s">
        <v>38</v>
      </c>
      <c r="V188" s="11" t="s">
        <v>723</v>
      </c>
      <c r="W188" s="22" t="s">
        <v>1386</v>
      </c>
      <c r="X188" s="22" t="s">
        <v>1386</v>
      </c>
      <c r="Y188" s="22"/>
      <c r="Z188" s="7"/>
      <c r="AA188" s="7"/>
      <c r="AB188" s="23"/>
      <c r="AC188" s="26"/>
    </row>
    <row r="189" spans="1:30" ht="15.75" customHeight="1">
      <c r="A189" s="10" t="s">
        <v>1393</v>
      </c>
      <c r="B189" s="10" t="s">
        <v>27</v>
      </c>
      <c r="C189" s="11" t="s">
        <v>28</v>
      </c>
      <c r="D189" s="12"/>
      <c r="E189" s="13" t="s">
        <v>199</v>
      </c>
      <c r="F189" s="43" t="s">
        <v>1394</v>
      </c>
      <c r="G189" s="15" t="str">
        <f ca="1">IFERROR(__xludf.DUMMYFUNCTION("CONCATENATE(B189,(VLOOKUP(C189,CATALOGOS!$F$2:$H$6,3,FALSE)),(VLOOKUP(V189,CATALOGOS!$J$2:$K$18,2,FALSE)),""-"",TO_TEXT(A189))"),"P05RH-0188")</f>
        <v>P05RH-0188</v>
      </c>
      <c r="H189" s="6" t="str">
        <f ca="1">IFERROR(__xludf.DUMMYFUNCTION("CONCATENATE($B189,(VLOOKUP($C189,CATALOGOS!$F$2:$H$6,3,FALSE)),(VLOOKUP($V189,CATALOGOS!$J$2:$K$18,2,FALSE)),""-"",TO_TEXT($A189))"),"P05RH-0188")</f>
        <v>P05RH-0188</v>
      </c>
      <c r="I189" s="6"/>
      <c r="J189" s="6" t="s">
        <v>1395</v>
      </c>
      <c r="K189" s="6" t="s">
        <v>1396</v>
      </c>
      <c r="L189" s="6" t="s">
        <v>1397</v>
      </c>
      <c r="M189" s="43" t="s">
        <v>1398</v>
      </c>
      <c r="N189" s="17"/>
      <c r="O189" s="17"/>
      <c r="P189" s="17" t="str">
        <f t="shared" si="2"/>
        <v>OK</v>
      </c>
      <c r="Q189" s="17" t="s">
        <v>297</v>
      </c>
      <c r="R189" s="6" t="s">
        <v>1399</v>
      </c>
      <c r="S189" s="17" t="s">
        <v>1400</v>
      </c>
      <c r="T189" s="17" t="s">
        <v>1401</v>
      </c>
      <c r="U189" s="173" t="s">
        <v>517</v>
      </c>
      <c r="V189" s="11" t="s">
        <v>723</v>
      </c>
      <c r="W189" s="22" t="s">
        <v>1386</v>
      </c>
      <c r="X189" s="22" t="s">
        <v>1386</v>
      </c>
      <c r="Y189" s="22"/>
      <c r="Z189" s="7"/>
      <c r="AA189" s="7"/>
      <c r="AB189" s="23"/>
      <c r="AC189" s="26"/>
    </row>
    <row r="190" spans="1:30" ht="15.75" customHeight="1">
      <c r="A190" s="10" t="s">
        <v>1402</v>
      </c>
      <c r="B190" s="10" t="s">
        <v>27</v>
      </c>
      <c r="C190" s="11" t="s">
        <v>28</v>
      </c>
      <c r="D190" s="12"/>
      <c r="E190" s="13" t="s">
        <v>151</v>
      </c>
      <c r="F190" s="6" t="s">
        <v>963</v>
      </c>
      <c r="G190" s="15" t="str">
        <f ca="1">IFERROR(__xludf.DUMMYFUNCTION("CONCATENATE(B190,(VLOOKUP(C190,CATALOGOS!$F$2:$H$6,3,FALSE)),(VLOOKUP(V190,CATALOGOS!$J$2:$K$18,2,FALSE)),""-"",TO_TEXT(A190))"),"P05RH-0189")</f>
        <v>P05RH-0189</v>
      </c>
      <c r="H190" s="6" t="str">
        <f ca="1">IFERROR(__xludf.DUMMYFUNCTION("CONCATENATE($B190,(VLOOKUP($C190,CATALOGOS!$F$2:$H$6,3,FALSE)),(VLOOKUP($V190,CATALOGOS!$J$2:$K$18,2,FALSE)),""-"",TO_TEXT($A190))"),"P05RH-0189")</f>
        <v>P05RH-0189</v>
      </c>
      <c r="I190" s="6"/>
      <c r="J190" s="6" t="s">
        <v>1403</v>
      </c>
      <c r="K190" s="6" t="s">
        <v>1404</v>
      </c>
      <c r="L190" s="6" t="s">
        <v>1405</v>
      </c>
      <c r="M190" s="6" t="s">
        <v>1406</v>
      </c>
      <c r="N190" s="17"/>
      <c r="O190" s="17"/>
      <c r="P190" s="17" t="str">
        <f t="shared" si="2"/>
        <v>OK</v>
      </c>
      <c r="Q190" s="17" t="s">
        <v>297</v>
      </c>
      <c r="R190" s="6" t="s">
        <v>1407</v>
      </c>
      <c r="S190" s="17" t="s">
        <v>1408</v>
      </c>
      <c r="T190" s="17" t="s">
        <v>1409</v>
      </c>
      <c r="U190" s="173" t="s">
        <v>517</v>
      </c>
      <c r="V190" s="11" t="s">
        <v>723</v>
      </c>
      <c r="W190" s="22" t="s">
        <v>1386</v>
      </c>
      <c r="X190" s="22" t="s">
        <v>1386</v>
      </c>
      <c r="Y190" s="22"/>
      <c r="Z190" s="7"/>
      <c r="AA190" s="7"/>
      <c r="AB190" s="23"/>
      <c r="AC190" s="26"/>
    </row>
    <row r="191" spans="1:30" ht="15.75" customHeight="1">
      <c r="A191" s="10" t="s">
        <v>1410</v>
      </c>
      <c r="B191" s="10" t="s">
        <v>27</v>
      </c>
      <c r="C191" s="11" t="s">
        <v>28</v>
      </c>
      <c r="D191" s="12"/>
      <c r="E191" s="13" t="s">
        <v>353</v>
      </c>
      <c r="F191" s="6" t="s">
        <v>638</v>
      </c>
      <c r="G191" s="15" t="str">
        <f ca="1">IFERROR(__xludf.DUMMYFUNCTION("CONCATENATE(B191,(VLOOKUP(C191,CATALOGOS!$F$2:$H$6,3,FALSE)),(VLOOKUP(V191,CATALOGOS!$J$2:$K$18,2,FALSE)),""-"",TO_TEXT(A191))"),"P05RH-0190")</f>
        <v>P05RH-0190</v>
      </c>
      <c r="H191" s="6" t="str">
        <f ca="1">IFERROR(__xludf.DUMMYFUNCTION("CONCATENATE($B191,(VLOOKUP($C191,CATALOGOS!$F$2:$H$6,3,FALSE)),(VLOOKUP($V191,CATALOGOS!$J$2:$K$18,2,FALSE)),""-"",TO_TEXT($A191))"),"P05RH-0190")</f>
        <v>P05RH-0190</v>
      </c>
      <c r="I191" s="6"/>
      <c r="J191" s="6" t="s">
        <v>1411</v>
      </c>
      <c r="K191" s="6" t="s">
        <v>1412</v>
      </c>
      <c r="L191" s="36"/>
      <c r="M191" s="6" t="s">
        <v>1413</v>
      </c>
      <c r="N191" s="17"/>
      <c r="O191" s="17"/>
      <c r="P191" s="17" t="str">
        <f t="shared" si="2"/>
        <v>OK</v>
      </c>
      <c r="Q191" s="17" t="s">
        <v>359</v>
      </c>
      <c r="R191" s="6" t="s">
        <v>1414</v>
      </c>
      <c r="S191" s="6">
        <v>161139013</v>
      </c>
      <c r="T191" s="10" t="s">
        <v>1415</v>
      </c>
      <c r="U191" s="173" t="s">
        <v>38</v>
      </c>
      <c r="V191" s="11" t="s">
        <v>723</v>
      </c>
      <c r="W191" s="22" t="s">
        <v>1386</v>
      </c>
      <c r="X191" s="22" t="s">
        <v>1386</v>
      </c>
      <c r="Y191" s="22"/>
      <c r="Z191" s="7"/>
      <c r="AA191" s="7"/>
      <c r="AB191" s="23"/>
      <c r="AC191" s="26"/>
    </row>
    <row r="192" spans="1:30" ht="15.75" customHeight="1">
      <c r="A192" s="10" t="s">
        <v>1416</v>
      </c>
      <c r="B192" s="10" t="s">
        <v>27</v>
      </c>
      <c r="C192" s="11" t="s">
        <v>28</v>
      </c>
      <c r="D192" s="38"/>
      <c r="E192" s="13" t="s">
        <v>378</v>
      </c>
      <c r="F192" s="6" t="s">
        <v>1006</v>
      </c>
      <c r="G192" s="15" t="str">
        <f ca="1">IFERROR(__xludf.DUMMYFUNCTION("CONCATENATE(B192,(VLOOKUP(C192,CATALOGOS!$F$2:$H$6,3,FALSE)),(VLOOKUP(V192,CATALOGOS!$J$2:$K$18,2,FALSE)),""-"",TO_TEXT(A192))"),"P05RH-0191")</f>
        <v>P05RH-0191</v>
      </c>
      <c r="H192" s="6" t="str">
        <f ca="1">IFERROR(__xludf.DUMMYFUNCTION("CONCATENATE($B192,(VLOOKUP($C192,CATALOGOS!$F$2:$H$6,3,FALSE)),(VLOOKUP($V192,CATALOGOS!$J$2:$K$18,2,FALSE)),""-"",TO_TEXT($A192))"),"P05RH-0191")</f>
        <v>P05RH-0191</v>
      </c>
      <c r="I192" s="6"/>
      <c r="J192" s="6" t="s">
        <v>1417</v>
      </c>
      <c r="K192" s="6" t="s">
        <v>1418</v>
      </c>
      <c r="L192" s="6" t="s">
        <v>1419</v>
      </c>
      <c r="M192" s="43" t="s">
        <v>1420</v>
      </c>
      <c r="N192" s="17"/>
      <c r="O192" s="17"/>
      <c r="P192" s="17" t="str">
        <f t="shared" si="2"/>
        <v>OK</v>
      </c>
      <c r="Q192" s="17" t="s">
        <v>35</v>
      </c>
      <c r="R192" s="6" t="s">
        <v>35</v>
      </c>
      <c r="S192" s="46" t="s">
        <v>36</v>
      </c>
      <c r="T192" s="17" t="s">
        <v>1421</v>
      </c>
      <c r="U192" s="179" t="s">
        <v>517</v>
      </c>
      <c r="V192" s="11" t="s">
        <v>723</v>
      </c>
      <c r="W192" s="22" t="s">
        <v>1386</v>
      </c>
      <c r="X192" s="22" t="s">
        <v>1386</v>
      </c>
      <c r="Y192" s="22"/>
      <c r="Z192" s="7"/>
      <c r="AA192" s="7"/>
      <c r="AB192" s="26"/>
      <c r="AC192" s="26"/>
    </row>
    <row r="193" spans="1:29" ht="15.75" customHeight="1">
      <c r="A193" s="10" t="s">
        <v>1422</v>
      </c>
      <c r="B193" s="10" t="s">
        <v>27</v>
      </c>
      <c r="C193" s="11" t="s">
        <v>28</v>
      </c>
      <c r="D193" s="12"/>
      <c r="E193" s="13" t="s">
        <v>116</v>
      </c>
      <c r="F193" s="6" t="s">
        <v>364</v>
      </c>
      <c r="G193" s="15" t="str">
        <f ca="1">IFERROR(__xludf.DUMMYFUNCTION("CONCATENATE(B193,(VLOOKUP(C193,CATALOGOS!$F$2:$H$6,3,FALSE)),(VLOOKUP(V193,CATALOGOS!$J$2:$K$18,2,FALSE)),""-"",TO_TEXT(A193))"),"P05RH-0192")</f>
        <v>P05RH-0192</v>
      </c>
      <c r="H193" s="6" t="str">
        <f ca="1">IFERROR(__xludf.DUMMYFUNCTION("CONCATENATE($B193,(VLOOKUP($C193,CATALOGOS!$F$2:$H$6,3,FALSE)),(VLOOKUP($V193,CATALOGOS!$J$2:$K$18,2,FALSE)),""-"",TO_TEXT($A193))"),"P05RH-0192")</f>
        <v>P05RH-0192</v>
      </c>
      <c r="I193" s="6"/>
      <c r="J193" s="6" t="s">
        <v>1423</v>
      </c>
      <c r="K193" s="6" t="s">
        <v>1424</v>
      </c>
      <c r="L193" s="6" t="s">
        <v>1425</v>
      </c>
      <c r="M193" s="6" t="s">
        <v>141</v>
      </c>
      <c r="N193" s="17"/>
      <c r="O193" s="17"/>
      <c r="P193" s="17" t="str">
        <f t="shared" si="2"/>
        <v>REPETIDO</v>
      </c>
      <c r="Q193" s="17" t="s">
        <v>35</v>
      </c>
      <c r="R193" s="6" t="s">
        <v>35</v>
      </c>
      <c r="S193" s="17" t="s">
        <v>36</v>
      </c>
      <c r="T193" s="17" t="s">
        <v>1426</v>
      </c>
      <c r="U193" s="173" t="s">
        <v>38</v>
      </c>
      <c r="V193" s="11" t="s">
        <v>723</v>
      </c>
      <c r="W193" s="20" t="s">
        <v>1427</v>
      </c>
      <c r="X193" s="20" t="s">
        <v>1427</v>
      </c>
      <c r="Y193" s="20"/>
      <c r="Z193" s="7"/>
      <c r="AA193" s="7"/>
      <c r="AB193" s="23"/>
      <c r="AC193" s="26"/>
    </row>
    <row r="194" spans="1:29" ht="15.75" customHeight="1">
      <c r="A194" s="10" t="s">
        <v>1428</v>
      </c>
      <c r="B194" s="10" t="s">
        <v>27</v>
      </c>
      <c r="C194" s="11" t="s">
        <v>28</v>
      </c>
      <c r="D194" s="12"/>
      <c r="E194" s="13" t="s">
        <v>199</v>
      </c>
      <c r="F194" s="6" t="s">
        <v>677</v>
      </c>
      <c r="G194" s="15" t="str">
        <f ca="1">IFERROR(__xludf.DUMMYFUNCTION("CONCATENATE(B194,(VLOOKUP(C194,CATALOGOS!$F$2:$H$6,3,FALSE)),(VLOOKUP(V194,CATALOGOS!$J$2:$K$18,2,FALSE)),""-"",TO_TEXT(A194))"),"P05RH-0193")</f>
        <v>P05RH-0193</v>
      </c>
      <c r="H194" s="6" t="str">
        <f ca="1">IFERROR(__xludf.DUMMYFUNCTION("CONCATENATE($B194,(VLOOKUP($C194,CATALOGOS!$F$2:$H$6,3,FALSE)),(VLOOKUP($V194,CATALOGOS!$J$2:$K$18,2,FALSE)),""-"",TO_TEXT($A194))"),"P05RH-0193")</f>
        <v>P05RH-0193</v>
      </c>
      <c r="I194" s="6"/>
      <c r="J194" s="6" t="s">
        <v>1429</v>
      </c>
      <c r="K194" s="6" t="s">
        <v>1430</v>
      </c>
      <c r="L194" s="6" t="s">
        <v>1431</v>
      </c>
      <c r="M194" s="6" t="s">
        <v>141</v>
      </c>
      <c r="N194" s="17"/>
      <c r="O194" s="17"/>
      <c r="P194" s="17" t="str">
        <f t="shared" si="2"/>
        <v>REPETIDO</v>
      </c>
      <c r="Q194" s="17" t="s">
        <v>682</v>
      </c>
      <c r="R194" s="6" t="s">
        <v>1432</v>
      </c>
      <c r="S194" s="17" t="s">
        <v>1433</v>
      </c>
      <c r="T194" s="10" t="s">
        <v>1434</v>
      </c>
      <c r="U194" s="173" t="s">
        <v>38</v>
      </c>
      <c r="V194" s="11" t="s">
        <v>723</v>
      </c>
      <c r="W194" s="186" t="s">
        <v>9268</v>
      </c>
      <c r="X194" s="20" t="s">
        <v>1185</v>
      </c>
      <c r="Y194" s="20"/>
      <c r="Z194" s="7"/>
      <c r="AA194" s="7"/>
      <c r="AB194" s="23"/>
      <c r="AC194" s="26"/>
    </row>
    <row r="195" spans="1:29" ht="15.75" customHeight="1">
      <c r="A195" s="10" t="s">
        <v>1435</v>
      </c>
      <c r="B195" s="10" t="s">
        <v>27</v>
      </c>
      <c r="C195" s="11" t="s">
        <v>28</v>
      </c>
      <c r="D195" s="12"/>
      <c r="E195" s="13" t="s">
        <v>248</v>
      </c>
      <c r="F195" s="6" t="s">
        <v>248</v>
      </c>
      <c r="G195" s="15" t="str">
        <f ca="1">IFERROR(__xludf.DUMMYFUNCTION("CONCATENATE(B195,(VLOOKUP(C195,CATALOGOS!$F$2:$H$6,3,FALSE)),(VLOOKUP(V195,CATALOGOS!$J$2:$K$18,2,FALSE)),""-"",TO_TEXT(A195))"),"P05RH-0194")</f>
        <v>P05RH-0194</v>
      </c>
      <c r="H195" s="6" t="str">
        <f ca="1">IFERROR(__xludf.DUMMYFUNCTION("CONCATENATE($B195,(VLOOKUP($C195,CATALOGOS!$F$2:$H$6,3,FALSE)),(VLOOKUP($V195,CATALOGOS!$J$2:$K$18,2,FALSE)),""-"",TO_TEXT($A195))"),"P05RH-0194")</f>
        <v>P05RH-0194</v>
      </c>
      <c r="I195" s="6"/>
      <c r="J195" s="6" t="s">
        <v>1436</v>
      </c>
      <c r="K195" s="6" t="s">
        <v>1437</v>
      </c>
      <c r="L195" s="6" t="s">
        <v>1438</v>
      </c>
      <c r="M195" s="6" t="s">
        <v>1439</v>
      </c>
      <c r="N195" s="17"/>
      <c r="O195" s="17"/>
      <c r="P195" s="17" t="str">
        <f t="shared" si="2"/>
        <v>OK</v>
      </c>
      <c r="Q195" s="17" t="s">
        <v>303</v>
      </c>
      <c r="R195" s="6" t="s">
        <v>304</v>
      </c>
      <c r="S195" s="17" t="s">
        <v>1440</v>
      </c>
      <c r="T195" s="10" t="s">
        <v>1441</v>
      </c>
      <c r="U195" s="173" t="s">
        <v>38</v>
      </c>
      <c r="V195" s="11" t="s">
        <v>723</v>
      </c>
      <c r="W195" s="20" t="s">
        <v>1185</v>
      </c>
      <c r="X195" s="20" t="s">
        <v>1185</v>
      </c>
      <c r="Y195" s="20"/>
      <c r="Z195" s="7"/>
      <c r="AA195" s="7"/>
      <c r="AB195" s="23"/>
      <c r="AC195" s="26"/>
    </row>
    <row r="196" spans="1:29" ht="15.75" customHeight="1">
      <c r="A196" s="10" t="s">
        <v>1442</v>
      </c>
      <c r="B196" s="10" t="s">
        <v>27</v>
      </c>
      <c r="C196" s="11" t="s">
        <v>28</v>
      </c>
      <c r="D196" s="12"/>
      <c r="E196" s="13" t="s">
        <v>116</v>
      </c>
      <c r="F196" s="6" t="s">
        <v>1443</v>
      </c>
      <c r="G196" s="15" t="str">
        <f ca="1">IFERROR(__xludf.DUMMYFUNCTION("CONCATENATE(B196,(VLOOKUP(C196,CATALOGOS!$F$2:$H$6,3,FALSE)),(VLOOKUP(V196,CATALOGOS!$J$2:$K$18,2,FALSE)),""-"",TO_TEXT(A196))"),"P05RH-0195")</f>
        <v>P05RH-0195</v>
      </c>
      <c r="H196" s="6" t="str">
        <f ca="1">IFERROR(__xludf.DUMMYFUNCTION("CONCATENATE($B196,(VLOOKUP($C196,CATALOGOS!$F$2:$H$6,3,FALSE)),(VLOOKUP($V196,CATALOGOS!$J$2:$K$18,2,FALSE)),""-"",TO_TEXT($A196))"),"P05RH-0195")</f>
        <v>P05RH-0195</v>
      </c>
      <c r="I196" s="6"/>
      <c r="J196" s="6" t="s">
        <v>1444</v>
      </c>
      <c r="K196" s="6" t="s">
        <v>1445</v>
      </c>
      <c r="L196" s="6" t="s">
        <v>1446</v>
      </c>
      <c r="M196" s="6" t="s">
        <v>1447</v>
      </c>
      <c r="N196" s="17"/>
      <c r="O196" s="17"/>
      <c r="P196" s="17" t="str">
        <f t="shared" si="2"/>
        <v>OK</v>
      </c>
      <c r="Q196" s="17" t="s">
        <v>35</v>
      </c>
      <c r="R196" s="6" t="s">
        <v>35</v>
      </c>
      <c r="S196" s="17" t="s">
        <v>36</v>
      </c>
      <c r="T196" s="17" t="s">
        <v>1448</v>
      </c>
      <c r="U196" s="173" t="s">
        <v>38</v>
      </c>
      <c r="V196" s="11" t="s">
        <v>723</v>
      </c>
      <c r="W196" s="20" t="s">
        <v>1185</v>
      </c>
      <c r="X196" s="20" t="s">
        <v>1185</v>
      </c>
      <c r="Y196" s="20"/>
      <c r="Z196" s="7"/>
      <c r="AA196" s="7"/>
      <c r="AB196" s="23"/>
      <c r="AC196" s="26"/>
    </row>
    <row r="197" spans="1:29" ht="15.75" customHeight="1">
      <c r="A197" s="10" t="s">
        <v>1449</v>
      </c>
      <c r="B197" s="10" t="s">
        <v>27</v>
      </c>
      <c r="C197" s="11" t="s">
        <v>28</v>
      </c>
      <c r="D197" s="12"/>
      <c r="E197" s="13" t="s">
        <v>378</v>
      </c>
      <c r="F197" s="6" t="s">
        <v>1450</v>
      </c>
      <c r="G197" s="15" t="str">
        <f ca="1">IFERROR(__xludf.DUMMYFUNCTION("CONCATENATE(B197,(VLOOKUP(C197,CATALOGOS!$F$2:$H$6,3,FALSE)),(VLOOKUP(V197,CATALOGOS!$J$2:$K$18,2,FALSE)),""-"",TO_TEXT(A197))"),"P05RH-0196")</f>
        <v>P05RH-0196</v>
      </c>
      <c r="H197" s="6" t="str">
        <f ca="1">IFERROR(__xludf.DUMMYFUNCTION("CONCATENATE($B197,(VLOOKUP($C197,CATALOGOS!$F$2:$H$6,3,FALSE)),(VLOOKUP($V197,CATALOGOS!$J$2:$K$18,2,FALSE)),""-"",TO_TEXT($A197))"),"P05RH-0196")</f>
        <v>P05RH-0196</v>
      </c>
      <c r="I197" s="6"/>
      <c r="J197" s="6" t="s">
        <v>1451</v>
      </c>
      <c r="K197" s="6" t="s">
        <v>1452</v>
      </c>
      <c r="L197" s="6" t="s">
        <v>1453</v>
      </c>
      <c r="M197" s="6" t="s">
        <v>1454</v>
      </c>
      <c r="N197" s="17"/>
      <c r="O197" s="17"/>
      <c r="P197" s="17" t="str">
        <f t="shared" si="2"/>
        <v>OK</v>
      </c>
      <c r="Q197" s="17" t="s">
        <v>35</v>
      </c>
      <c r="R197" s="6" t="s">
        <v>35</v>
      </c>
      <c r="S197" s="17" t="s">
        <v>36</v>
      </c>
      <c r="T197" s="17" t="s">
        <v>1455</v>
      </c>
      <c r="U197" s="173" t="s">
        <v>38</v>
      </c>
      <c r="V197" s="11" t="s">
        <v>723</v>
      </c>
      <c r="W197" s="20" t="s">
        <v>1185</v>
      </c>
      <c r="X197" s="20" t="s">
        <v>1185</v>
      </c>
      <c r="Y197" s="20"/>
      <c r="Z197" s="7"/>
      <c r="AA197" s="7"/>
      <c r="AB197" s="23"/>
      <c r="AC197" s="26"/>
    </row>
    <row r="198" spans="1:29" ht="15.75" customHeight="1">
      <c r="A198" s="10" t="s">
        <v>1456</v>
      </c>
      <c r="B198" s="10" t="s">
        <v>27</v>
      </c>
      <c r="C198" s="11" t="s">
        <v>28</v>
      </c>
      <c r="D198" s="12"/>
      <c r="E198" s="13" t="s">
        <v>378</v>
      </c>
      <c r="F198" s="6" t="s">
        <v>1306</v>
      </c>
      <c r="G198" s="15" t="str">
        <f ca="1">IFERROR(__xludf.DUMMYFUNCTION("CONCATENATE(B198,(VLOOKUP(C198,CATALOGOS!$F$2:$H$6,3,FALSE)),(VLOOKUP(V198,CATALOGOS!$J$2:$K$18,2,FALSE)),""-"",TO_TEXT(A198))"),"P05RH-0197")</f>
        <v>P05RH-0197</v>
      </c>
      <c r="H198" s="6" t="str">
        <f ca="1">IFERROR(__xludf.DUMMYFUNCTION("CONCATENATE($B198,(VLOOKUP($C198,CATALOGOS!$F$2:$H$6,3,FALSE)),(VLOOKUP($V198,CATALOGOS!$J$2:$K$18,2,FALSE)),""-"",TO_TEXT($A198))"),"P05RH-0197")</f>
        <v>P05RH-0197</v>
      </c>
      <c r="I198" s="6"/>
      <c r="J198" s="6" t="s">
        <v>1457</v>
      </c>
      <c r="K198" s="6" t="s">
        <v>1458</v>
      </c>
      <c r="L198" s="6" t="s">
        <v>1459</v>
      </c>
      <c r="M198" s="6" t="s">
        <v>1460</v>
      </c>
      <c r="N198" s="17"/>
      <c r="O198" s="17"/>
      <c r="P198" s="17" t="str">
        <f t="shared" si="2"/>
        <v>OK</v>
      </c>
      <c r="Q198" s="17" t="s">
        <v>35</v>
      </c>
      <c r="R198" s="6" t="s">
        <v>35</v>
      </c>
      <c r="S198" s="17" t="s">
        <v>36</v>
      </c>
      <c r="T198" s="17" t="s">
        <v>1461</v>
      </c>
      <c r="U198" s="173" t="s">
        <v>38</v>
      </c>
      <c r="V198" s="11" t="s">
        <v>723</v>
      </c>
      <c r="W198" s="22" t="s">
        <v>1462</v>
      </c>
      <c r="X198" s="22" t="s">
        <v>1462</v>
      </c>
      <c r="Y198" s="22"/>
      <c r="Z198" s="7"/>
      <c r="AA198" s="7"/>
      <c r="AB198" s="23"/>
      <c r="AC198" s="26"/>
    </row>
    <row r="199" spans="1:29" ht="15.75" customHeight="1">
      <c r="A199" s="10" t="s">
        <v>1463</v>
      </c>
      <c r="B199" s="10" t="s">
        <v>27</v>
      </c>
      <c r="C199" s="11" t="s">
        <v>28</v>
      </c>
      <c r="D199" s="38"/>
      <c r="E199" s="13" t="s">
        <v>378</v>
      </c>
      <c r="F199" s="6" t="s">
        <v>1464</v>
      </c>
      <c r="G199" s="6" t="str">
        <f ca="1">IFERROR(__xludf.DUMMYFUNCTION("CONCATENATE(B199,(VLOOKUP(C199,CATALOGOS!$F$2:$H$6,3,FALSE)),(VLOOKUP(V199,CATALOGOS!$J$2:$K$18,2,FALSE)),""-"",TO_TEXT(A199))"),"P05DA-0198")</f>
        <v>P05DA-0198</v>
      </c>
      <c r="H199" s="6" t="str">
        <f ca="1">IFERROR(__xludf.DUMMYFUNCTION("CONCATENATE($B199,(VLOOKUP($C199,CATALOGOS!$F$2:$H$6,3,FALSE)),(VLOOKUP($V199,CATALOGOS!$J$2:$K$18,2,FALSE)),""-"",TO_TEXT($A199))"),"P05DA-0198")</f>
        <v>P05DA-0198</v>
      </c>
      <c r="I199" s="6"/>
      <c r="J199" s="6" t="s">
        <v>1465</v>
      </c>
      <c r="K199" s="6" t="s">
        <v>1466</v>
      </c>
      <c r="L199" s="36"/>
      <c r="M199" s="6" t="s">
        <v>141</v>
      </c>
      <c r="N199" s="17"/>
      <c r="O199" s="17"/>
      <c r="P199" s="17" t="str">
        <f t="shared" si="2"/>
        <v>REPETIDO</v>
      </c>
      <c r="Q199" s="17" t="s">
        <v>35</v>
      </c>
      <c r="R199" s="6" t="s">
        <v>35</v>
      </c>
      <c r="S199" s="6" t="s">
        <v>36</v>
      </c>
      <c r="T199" s="32" t="s">
        <v>1467</v>
      </c>
      <c r="U199" s="173" t="s">
        <v>38</v>
      </c>
      <c r="V199" s="11" t="s">
        <v>28</v>
      </c>
      <c r="W199" s="20" t="s">
        <v>848</v>
      </c>
      <c r="X199" s="20" t="s">
        <v>848</v>
      </c>
      <c r="Y199" s="20"/>
      <c r="Z199" s="7"/>
      <c r="AA199" s="7"/>
      <c r="AB199" s="26"/>
      <c r="AC199" s="26"/>
    </row>
    <row r="200" spans="1:29" ht="15.75" customHeight="1">
      <c r="A200" s="10" t="s">
        <v>1468</v>
      </c>
      <c r="B200" s="10" t="s">
        <v>1469</v>
      </c>
      <c r="C200" s="60" t="s">
        <v>1470</v>
      </c>
      <c r="D200" s="38"/>
      <c r="E200" s="13" t="s">
        <v>29</v>
      </c>
      <c r="F200" s="6" t="s">
        <v>1471</v>
      </c>
      <c r="G200" s="6" t="str">
        <f ca="1">IFERROR(__xludf.DUMMYFUNCTION("CONCATENATE(B200,(VLOOKUP(C200,CATALOGOS!$F$2:$H$6,3,FALSE)),(VLOOKUP(V200,CATALOGOS!$J$2:$K$18,2,FALSE)),""-"",TO_TEXT(A200))"),"P12ST-0199")</f>
        <v>P12ST-0199</v>
      </c>
      <c r="H200" s="6" t="str">
        <f ca="1">IFERROR(__xludf.DUMMYFUNCTION("CONCATENATE($B200,(VLOOKUP($C200,CATALOGOS!$F$2:$H$6,3,FALSE)),(VLOOKUP($V200,CATALOGOS!$J$2:$K$18,2,FALSE)),""-"",TO_TEXT($A200))"),"P12ST-0199")</f>
        <v>P12ST-0199</v>
      </c>
      <c r="I200" s="6"/>
      <c r="J200" s="6" t="s">
        <v>1472</v>
      </c>
      <c r="K200" s="6" t="s">
        <v>1473</v>
      </c>
      <c r="L200" s="6" t="s">
        <v>1474</v>
      </c>
      <c r="M200" s="6" t="s">
        <v>1475</v>
      </c>
      <c r="N200" s="17"/>
      <c r="O200" s="17"/>
      <c r="P200" s="17" t="str">
        <f t="shared" si="2"/>
        <v>OK</v>
      </c>
      <c r="Q200" s="17" t="s">
        <v>35</v>
      </c>
      <c r="R200" s="49" t="s">
        <v>35</v>
      </c>
      <c r="S200" s="46" t="s">
        <v>36</v>
      </c>
      <c r="T200" s="17" t="s">
        <v>1476</v>
      </c>
      <c r="U200" s="173" t="s">
        <v>38</v>
      </c>
      <c r="V200" s="11" t="s">
        <v>1470</v>
      </c>
      <c r="W200" s="20" t="s">
        <v>1477</v>
      </c>
      <c r="X200" s="20" t="s">
        <v>1477</v>
      </c>
      <c r="Y200" s="20"/>
      <c r="Z200" s="6"/>
      <c r="AA200" s="6"/>
      <c r="AB200" s="26"/>
      <c r="AC200" s="24"/>
    </row>
    <row r="201" spans="1:29" ht="15.75" customHeight="1">
      <c r="A201" s="10" t="s">
        <v>1478</v>
      </c>
      <c r="B201" s="10" t="s">
        <v>1469</v>
      </c>
      <c r="C201" s="60" t="s">
        <v>1470</v>
      </c>
      <c r="D201" s="12"/>
      <c r="E201" s="13" t="s">
        <v>378</v>
      </c>
      <c r="F201" s="6" t="s">
        <v>878</v>
      </c>
      <c r="G201" s="6" t="str">
        <f ca="1">IFERROR(__xludf.DUMMYFUNCTION("CONCATENATE(B201,(VLOOKUP(C201,CATALOGOS!$F$2:$H$6,3,FALSE)),(VLOOKUP(V201,CATALOGOS!$J$2:$K$18,2,FALSE)),""-"",TO_TEXT(A201))"),"P12SI-0200")</f>
        <v>P12SI-0200</v>
      </c>
      <c r="H201" s="6" t="str">
        <f ca="1">IFERROR(__xludf.DUMMYFUNCTION("CONCATENATE($B201,(VLOOKUP($C201,CATALOGOS!$F$2:$H$6,3,FALSE)),(VLOOKUP($V201,CATALOGOS!$J$2:$K$18,2,FALSE)),""-"",TO_TEXT($A201))"),"P12SI-0200")</f>
        <v>P12SI-0200</v>
      </c>
      <c r="I201" s="6"/>
      <c r="J201" s="6" t="s">
        <v>1479</v>
      </c>
      <c r="K201" s="6" t="s">
        <v>1480</v>
      </c>
      <c r="L201" s="6" t="s">
        <v>1481</v>
      </c>
      <c r="M201" s="6" t="s">
        <v>1482</v>
      </c>
      <c r="N201" s="17"/>
      <c r="O201" s="17"/>
      <c r="P201" s="17" t="str">
        <f t="shared" si="2"/>
        <v>OK</v>
      </c>
      <c r="Q201" s="17" t="s">
        <v>35</v>
      </c>
      <c r="R201" s="6" t="s">
        <v>35</v>
      </c>
      <c r="S201" s="17" t="s">
        <v>36</v>
      </c>
      <c r="T201" s="17" t="s">
        <v>85</v>
      </c>
      <c r="U201" s="173" t="s">
        <v>38</v>
      </c>
      <c r="V201" s="181" t="s">
        <v>1483</v>
      </c>
      <c r="W201" s="20" t="s">
        <v>1484</v>
      </c>
      <c r="X201" s="20" t="s">
        <v>1484</v>
      </c>
      <c r="Y201" s="20"/>
      <c r="Z201" s="6"/>
      <c r="AA201" s="6"/>
      <c r="AB201" s="23"/>
      <c r="AC201" s="24"/>
    </row>
    <row r="202" spans="1:29" ht="15.75" customHeight="1">
      <c r="A202" s="10" t="s">
        <v>1485</v>
      </c>
      <c r="B202" s="10" t="s">
        <v>1469</v>
      </c>
      <c r="C202" s="60" t="s">
        <v>1470</v>
      </c>
      <c r="D202" s="12"/>
      <c r="E202" s="13" t="s">
        <v>53</v>
      </c>
      <c r="F202" s="6" t="s">
        <v>1486</v>
      </c>
      <c r="G202" s="6" t="str">
        <f ca="1">IFERROR(__xludf.DUMMYFUNCTION("CONCATENATE(B202,(VLOOKUP(C202,CATALOGOS!$F$2:$H$6,3,FALSE)),(VLOOKUP(V202,CATALOGOS!$J$2:$K$18,2,FALSE)),""-"",TO_TEXT(A202))"),"P12ST-0201")</f>
        <v>P12ST-0201</v>
      </c>
      <c r="H202" s="6" t="str">
        <f ca="1">IFERROR(__xludf.DUMMYFUNCTION("CONCATENATE($B202,(VLOOKUP($C202,CATALOGOS!$F$2:$H$6,3,FALSE)),(VLOOKUP($V202,CATALOGOS!$J$2:$K$18,2,FALSE)),""-"",TO_TEXT($A202))"),"P12ST-0201")</f>
        <v>P12ST-0201</v>
      </c>
      <c r="I202" s="6"/>
      <c r="J202" s="6" t="s">
        <v>1487</v>
      </c>
      <c r="K202" s="6" t="s">
        <v>1488</v>
      </c>
      <c r="L202" s="6" t="s">
        <v>1489</v>
      </c>
      <c r="M202" s="6" t="s">
        <v>1490</v>
      </c>
      <c r="N202" s="17"/>
      <c r="O202" s="17"/>
      <c r="P202" s="17" t="str">
        <f t="shared" si="2"/>
        <v>OK</v>
      </c>
      <c r="Q202" s="17" t="s">
        <v>35</v>
      </c>
      <c r="R202" s="6" t="s">
        <v>35</v>
      </c>
      <c r="S202" s="17" t="s">
        <v>36</v>
      </c>
      <c r="T202" s="17" t="s">
        <v>85</v>
      </c>
      <c r="U202" s="173" t="s">
        <v>38</v>
      </c>
      <c r="V202" s="11" t="s">
        <v>1470</v>
      </c>
      <c r="W202" s="20" t="s">
        <v>1477</v>
      </c>
      <c r="X202" s="20" t="s">
        <v>1477</v>
      </c>
      <c r="Y202" s="20"/>
      <c r="Z202" s="6"/>
      <c r="AA202" s="6"/>
      <c r="AB202" s="23"/>
      <c r="AC202" s="24"/>
    </row>
    <row r="203" spans="1:29" ht="15.75" customHeight="1">
      <c r="A203" s="10" t="s">
        <v>1491</v>
      </c>
      <c r="B203" s="10" t="s">
        <v>1469</v>
      </c>
      <c r="C203" s="60" t="s">
        <v>1470</v>
      </c>
      <c r="D203" s="12"/>
      <c r="E203" s="13" t="s">
        <v>43</v>
      </c>
      <c r="F203" s="6" t="s">
        <v>1492</v>
      </c>
      <c r="G203" s="6" t="str">
        <f ca="1">IFERROR(__xludf.DUMMYFUNCTION("CONCATENATE(B203,(VLOOKUP(C203,CATALOGOS!$F$2:$H$6,3,FALSE)),(VLOOKUP(V203,CATALOGOS!$J$2:$K$18,2,FALSE)),""-"",TO_TEXT(A203))"),"P12ST-0202")</f>
        <v>P12ST-0202</v>
      </c>
      <c r="H203" s="6" t="str">
        <f ca="1">IFERROR(__xludf.DUMMYFUNCTION("CONCATENATE($B203,(VLOOKUP($C203,CATALOGOS!$F$2:$H$6,3,FALSE)),(VLOOKUP($V203,CATALOGOS!$J$2:$K$18,2,FALSE)),""-"",TO_TEXT($A203))"),"P12ST-0202")</f>
        <v>P12ST-0202</v>
      </c>
      <c r="I203" s="6"/>
      <c r="J203" s="6" t="s">
        <v>1493</v>
      </c>
      <c r="K203" s="6" t="s">
        <v>1494</v>
      </c>
      <c r="L203" s="6" t="s">
        <v>1495</v>
      </c>
      <c r="M203" s="6" t="s">
        <v>1496</v>
      </c>
      <c r="N203" s="17"/>
      <c r="O203" s="17"/>
      <c r="P203" s="17" t="str">
        <f t="shared" si="2"/>
        <v>OK</v>
      </c>
      <c r="Q203" s="17" t="s">
        <v>406</v>
      </c>
      <c r="R203" s="6" t="s">
        <v>407</v>
      </c>
      <c r="S203" s="17" t="s">
        <v>36</v>
      </c>
      <c r="T203" s="17" t="s">
        <v>1497</v>
      </c>
      <c r="U203" s="173" t="s">
        <v>38</v>
      </c>
      <c r="V203" s="11" t="s">
        <v>1470</v>
      </c>
      <c r="W203" s="20" t="s">
        <v>1477</v>
      </c>
      <c r="X203" s="20" t="s">
        <v>1477</v>
      </c>
      <c r="Y203" s="20"/>
      <c r="Z203" s="7"/>
      <c r="AA203" s="7"/>
      <c r="AB203" s="23"/>
      <c r="AC203" s="26"/>
    </row>
    <row r="204" spans="1:29" ht="15.75" customHeight="1">
      <c r="A204" s="10" t="s">
        <v>1498</v>
      </c>
      <c r="B204" s="10" t="s">
        <v>1469</v>
      </c>
      <c r="C204" s="60" t="s">
        <v>1470</v>
      </c>
      <c r="D204" s="12"/>
      <c r="E204" s="13" t="s">
        <v>116</v>
      </c>
      <c r="F204" s="6" t="s">
        <v>129</v>
      </c>
      <c r="G204" s="6" t="str">
        <f ca="1">IFERROR(__xludf.DUMMYFUNCTION("CONCATENATE(B204,(VLOOKUP(C204,CATALOGOS!$F$2:$H$6,3,FALSE)),(VLOOKUP(V204,CATALOGOS!$J$2:$K$18,2,FALSE)),""-"",TO_TEXT(A204))"),"P12ST-0203")</f>
        <v>P12ST-0203</v>
      </c>
      <c r="H204" s="6" t="str">
        <f ca="1">IFERROR(__xludf.DUMMYFUNCTION("CONCATENATE($B204,(VLOOKUP($C204,CATALOGOS!$F$2:$H$6,3,FALSE)),(VLOOKUP($V204,CATALOGOS!$J$2:$K$18,2,FALSE)),""-"",TO_TEXT($A204))"),"P12ST-0203")</f>
        <v>P12ST-0203</v>
      </c>
      <c r="I204" s="6"/>
      <c r="J204" s="6" t="s">
        <v>1499</v>
      </c>
      <c r="K204" s="6" t="s">
        <v>1500</v>
      </c>
      <c r="L204" s="6" t="s">
        <v>1501</v>
      </c>
      <c r="M204" s="6" t="s">
        <v>1502</v>
      </c>
      <c r="N204" s="17"/>
      <c r="O204" s="17"/>
      <c r="P204" s="17" t="str">
        <f t="shared" si="2"/>
        <v>OK</v>
      </c>
      <c r="Q204" s="17" t="s">
        <v>35</v>
      </c>
      <c r="R204" s="6" t="s">
        <v>35</v>
      </c>
      <c r="S204" s="17" t="s">
        <v>36</v>
      </c>
      <c r="T204" s="17" t="s">
        <v>1503</v>
      </c>
      <c r="U204" s="173" t="s">
        <v>38</v>
      </c>
      <c r="V204" s="11" t="s">
        <v>1470</v>
      </c>
      <c r="W204" s="20" t="s">
        <v>1477</v>
      </c>
      <c r="X204" s="20" t="s">
        <v>1477</v>
      </c>
      <c r="Y204" s="20"/>
      <c r="Z204" s="7"/>
      <c r="AA204" s="7"/>
      <c r="AB204" s="23"/>
      <c r="AC204" s="26"/>
    </row>
    <row r="205" spans="1:29" ht="15.75" customHeight="1">
      <c r="A205" s="10" t="s">
        <v>1504</v>
      </c>
      <c r="B205" s="10" t="s">
        <v>1469</v>
      </c>
      <c r="C205" s="60" t="s">
        <v>1470</v>
      </c>
      <c r="D205" s="12"/>
      <c r="E205" s="13" t="s">
        <v>71</v>
      </c>
      <c r="F205" s="6" t="s">
        <v>72</v>
      </c>
      <c r="G205" s="6" t="str">
        <f ca="1">IFERROR(__xludf.DUMMYFUNCTION("CONCATENATE(B205,(VLOOKUP(C205,CATALOGOS!$F$2:$H$6,3,FALSE)),(VLOOKUP(V205,CATALOGOS!$J$2:$K$18,2,FALSE)),""-"",TO_TEXT(A205))"),"P12ST-0204")</f>
        <v>P12ST-0204</v>
      </c>
      <c r="H205" s="6" t="str">
        <f ca="1">IFERROR(__xludf.DUMMYFUNCTION("CONCATENATE($B205,(VLOOKUP($C205,CATALOGOS!$F$2:$H$6,3,FALSE)),(VLOOKUP($V205,CATALOGOS!$J$2:$K$18,2,FALSE)),""-"",TO_TEXT($A205))"),"P12ST-0204")</f>
        <v>P12ST-0204</v>
      </c>
      <c r="I205" s="6"/>
      <c r="J205" s="6" t="s">
        <v>1505</v>
      </c>
      <c r="K205" s="62"/>
      <c r="L205" s="6" t="s">
        <v>1506</v>
      </c>
      <c r="M205" s="6" t="s">
        <v>1507</v>
      </c>
      <c r="N205" s="17"/>
      <c r="O205" s="17"/>
      <c r="P205" s="17" t="str">
        <f t="shared" si="2"/>
        <v>OK</v>
      </c>
      <c r="Q205" s="17" t="s">
        <v>35</v>
      </c>
      <c r="R205" s="6" t="s">
        <v>35</v>
      </c>
      <c r="S205" s="17" t="s">
        <v>36</v>
      </c>
      <c r="T205" s="17" t="s">
        <v>1508</v>
      </c>
      <c r="U205" s="173" t="s">
        <v>38</v>
      </c>
      <c r="V205" s="11" t="s">
        <v>1470</v>
      </c>
      <c r="W205" s="20" t="s">
        <v>1477</v>
      </c>
      <c r="X205" s="20" t="s">
        <v>1477</v>
      </c>
      <c r="Y205" s="20"/>
      <c r="Z205" s="6"/>
      <c r="AA205" s="6"/>
      <c r="AB205" s="23"/>
      <c r="AC205" s="33"/>
    </row>
    <row r="206" spans="1:29" ht="15.75" customHeight="1">
      <c r="A206" s="10" t="s">
        <v>1509</v>
      </c>
      <c r="B206" s="10" t="s">
        <v>1469</v>
      </c>
      <c r="C206" s="60" t="s">
        <v>1470</v>
      </c>
      <c r="D206" s="12"/>
      <c r="E206" s="13" t="s">
        <v>116</v>
      </c>
      <c r="F206" s="6" t="s">
        <v>1510</v>
      </c>
      <c r="G206" s="6" t="str">
        <f ca="1">IFERROR(__xludf.DUMMYFUNCTION("CONCATENATE(B206,(VLOOKUP(C206,CATALOGOS!$F$2:$H$6,3,FALSE)),(VLOOKUP(V206,CATALOGOS!$J$2:$K$18,2,FALSE)),""-"",TO_TEXT(A206))"),"P12ST-0205")</f>
        <v>P12ST-0205</v>
      </c>
      <c r="H206" s="6" t="str">
        <f ca="1">IFERROR(__xludf.DUMMYFUNCTION("CONCATENATE($B206,(VLOOKUP($C206,CATALOGOS!$F$2:$H$6,3,FALSE)),(VLOOKUP($V206,CATALOGOS!$J$2:$K$18,2,FALSE)),""-"",TO_TEXT($A206))"),"P12ST-0205")</f>
        <v>P12ST-0205</v>
      </c>
      <c r="I206" s="6"/>
      <c r="J206" s="6" t="s">
        <v>1511</v>
      </c>
      <c r="K206" s="62"/>
      <c r="L206" s="6" t="s">
        <v>1512</v>
      </c>
      <c r="M206" s="6" t="s">
        <v>1513</v>
      </c>
      <c r="N206" s="17"/>
      <c r="O206" s="17"/>
      <c r="P206" s="17" t="str">
        <f t="shared" si="2"/>
        <v>OK</v>
      </c>
      <c r="Q206" s="17" t="s">
        <v>35</v>
      </c>
      <c r="R206" s="6" t="s">
        <v>35</v>
      </c>
      <c r="S206" s="17" t="s">
        <v>36</v>
      </c>
      <c r="T206" s="17" t="s">
        <v>1514</v>
      </c>
      <c r="U206" s="173" t="s">
        <v>38</v>
      </c>
      <c r="V206" s="11" t="s">
        <v>1470</v>
      </c>
      <c r="W206" s="20" t="s">
        <v>1477</v>
      </c>
      <c r="X206" s="20" t="s">
        <v>1477</v>
      </c>
      <c r="Y206" s="20"/>
      <c r="Z206" s="6"/>
      <c r="AA206" s="6"/>
      <c r="AB206" s="23"/>
      <c r="AC206" s="33"/>
    </row>
    <row r="207" spans="1:29" ht="15.75" customHeight="1">
      <c r="A207" s="10" t="s">
        <v>1515</v>
      </c>
      <c r="B207" s="10" t="s">
        <v>1469</v>
      </c>
      <c r="C207" s="60" t="s">
        <v>1470</v>
      </c>
      <c r="D207" s="12"/>
      <c r="E207" s="13" t="s">
        <v>116</v>
      </c>
      <c r="F207" s="6" t="s">
        <v>117</v>
      </c>
      <c r="G207" s="6" t="str">
        <f ca="1">IFERROR(__xludf.DUMMYFUNCTION("CONCATENATE(B207,(VLOOKUP(C207,CATALOGOS!$F$2:$H$6,3,FALSE)),(VLOOKUP(V207,CATALOGOS!$J$2:$K$18,2,FALSE)),""-"",TO_TEXT(A207))"),"P12ST-0206")</f>
        <v>P12ST-0206</v>
      </c>
      <c r="H207" s="6" t="str">
        <f ca="1">IFERROR(__xludf.DUMMYFUNCTION("CONCATENATE($B207,(VLOOKUP($C207,CATALOGOS!$F$2:$H$6,3,FALSE)),(VLOOKUP($V207,CATALOGOS!$J$2:$K$18,2,FALSE)),""-"",TO_TEXT($A207))"),"P12ST-0206")</f>
        <v>P12ST-0206</v>
      </c>
      <c r="I207" s="6"/>
      <c r="J207" s="6" t="s">
        <v>1516</v>
      </c>
      <c r="K207" s="62"/>
      <c r="L207" s="6" t="s">
        <v>1517</v>
      </c>
      <c r="M207" s="6" t="s">
        <v>1518</v>
      </c>
      <c r="N207" s="17"/>
      <c r="O207" s="17"/>
      <c r="P207" s="17" t="str">
        <f t="shared" si="2"/>
        <v>OK</v>
      </c>
      <c r="Q207" s="17" t="s">
        <v>35</v>
      </c>
      <c r="R207" s="6" t="s">
        <v>35</v>
      </c>
      <c r="S207" s="17" t="s">
        <v>36</v>
      </c>
      <c r="T207" s="17" t="s">
        <v>1519</v>
      </c>
      <c r="U207" s="173" t="s">
        <v>38</v>
      </c>
      <c r="V207" s="11" t="s">
        <v>1470</v>
      </c>
      <c r="W207" s="20" t="s">
        <v>1477</v>
      </c>
      <c r="X207" s="20" t="s">
        <v>1477</v>
      </c>
      <c r="Y207" s="20"/>
      <c r="Z207" s="6"/>
      <c r="AA207" s="6"/>
      <c r="AB207" s="23"/>
      <c r="AC207" s="33"/>
    </row>
    <row r="208" spans="1:29" ht="15.75" customHeight="1">
      <c r="A208" s="10" t="s">
        <v>1520</v>
      </c>
      <c r="B208" s="10" t="s">
        <v>1469</v>
      </c>
      <c r="C208" s="60" t="s">
        <v>1470</v>
      </c>
      <c r="D208" s="12"/>
      <c r="E208" s="13" t="s">
        <v>184</v>
      </c>
      <c r="F208" s="43" t="s">
        <v>1521</v>
      </c>
      <c r="G208" s="6" t="str">
        <f ca="1">IFERROR(__xludf.DUMMYFUNCTION("CONCATENATE(B208,(VLOOKUP(C208,CATALOGOS!$F$2:$H$6,3,FALSE)),(VLOOKUP(V208,CATALOGOS!$J$2:$K$18,2,FALSE)),""-"",TO_TEXT(A208))"),"P12ST-0207")</f>
        <v>P12ST-0207</v>
      </c>
      <c r="H208" s="6" t="str">
        <f ca="1">IFERROR(__xludf.DUMMYFUNCTION("CONCATENATE($B208,(VLOOKUP($C208,CATALOGOS!$F$2:$H$6,3,FALSE)),(VLOOKUP($V208,CATALOGOS!$J$2:$K$18,2,FALSE)),""-"",TO_TEXT($A208))"),"P12ST-0207")</f>
        <v>P12ST-0207</v>
      </c>
      <c r="I208" s="6"/>
      <c r="J208" s="6" t="s">
        <v>1522</v>
      </c>
      <c r="K208" s="6" t="s">
        <v>1523</v>
      </c>
      <c r="L208" s="6" t="s">
        <v>1524</v>
      </c>
      <c r="M208" s="6" t="s">
        <v>1525</v>
      </c>
      <c r="N208" s="17"/>
      <c r="O208" s="17"/>
      <c r="P208" s="17" t="str">
        <f t="shared" si="2"/>
        <v>OK</v>
      </c>
      <c r="Q208" s="17" t="s">
        <v>35</v>
      </c>
      <c r="R208" s="6" t="s">
        <v>35</v>
      </c>
      <c r="S208" s="17" t="s">
        <v>36</v>
      </c>
      <c r="T208" s="17" t="s">
        <v>1526</v>
      </c>
      <c r="U208" s="173" t="s">
        <v>38</v>
      </c>
      <c r="V208" s="11" t="s">
        <v>1470</v>
      </c>
      <c r="W208" s="20" t="s">
        <v>1477</v>
      </c>
      <c r="X208" s="20" t="s">
        <v>1477</v>
      </c>
      <c r="Y208" s="20"/>
      <c r="Z208" s="6"/>
      <c r="AA208" s="6"/>
      <c r="AB208" s="23"/>
      <c r="AC208" s="24"/>
    </row>
    <row r="209" spans="1:30" ht="15.75" customHeight="1">
      <c r="A209" s="10" t="s">
        <v>1527</v>
      </c>
      <c r="B209" s="10" t="s">
        <v>1469</v>
      </c>
      <c r="C209" s="60" t="s">
        <v>1470</v>
      </c>
      <c r="D209" s="12"/>
      <c r="E209" s="13" t="s">
        <v>199</v>
      </c>
      <c r="F209" s="6" t="s">
        <v>199</v>
      </c>
      <c r="G209" s="6" t="str">
        <f ca="1">IFERROR(__xludf.DUMMYFUNCTION("CONCATENATE(B209,(VLOOKUP(C209,CATALOGOS!$F$2:$H$6,3,FALSE)),(VLOOKUP(V209,CATALOGOS!$J$2:$K$18,2,FALSE)),""-"",TO_TEXT(A209))"),"P12ST-0208")</f>
        <v>P12ST-0208</v>
      </c>
      <c r="H209" s="6" t="str">
        <f ca="1">IFERROR(__xludf.DUMMYFUNCTION("CONCATENATE($B209,(VLOOKUP($C209,CATALOGOS!$F$2:$H$6,3,FALSE)),(VLOOKUP($V209,CATALOGOS!$J$2:$K$18,2,FALSE)),""-"",TO_TEXT($A209))"),"P12ST-0208")</f>
        <v>P12ST-0208</v>
      </c>
      <c r="I209" s="6"/>
      <c r="J209" s="6" t="s">
        <v>1528</v>
      </c>
      <c r="K209" s="6" t="s">
        <v>1529</v>
      </c>
      <c r="L209" s="6" t="s">
        <v>1530</v>
      </c>
      <c r="M209" s="6" t="s">
        <v>1531</v>
      </c>
      <c r="N209" s="17"/>
      <c r="O209" s="17"/>
      <c r="P209" s="17" t="str">
        <f t="shared" si="2"/>
        <v>OK</v>
      </c>
      <c r="Q209" s="17" t="s">
        <v>205</v>
      </c>
      <c r="R209" s="6" t="s">
        <v>1532</v>
      </c>
      <c r="S209" s="17" t="s">
        <v>1533</v>
      </c>
      <c r="T209" s="17" t="s">
        <v>1534</v>
      </c>
      <c r="U209" s="173" t="s">
        <v>38</v>
      </c>
      <c r="V209" s="11" t="s">
        <v>1470</v>
      </c>
      <c r="W209" s="20" t="s">
        <v>1477</v>
      </c>
      <c r="X209" s="20" t="s">
        <v>1477</v>
      </c>
      <c r="Y209" s="20"/>
      <c r="Z209" s="6"/>
      <c r="AA209" s="6"/>
      <c r="AB209" s="23"/>
      <c r="AC209" s="24"/>
    </row>
    <row r="210" spans="1:30" ht="15.75" customHeight="1">
      <c r="A210" s="10" t="s">
        <v>1535</v>
      </c>
      <c r="B210" s="10" t="s">
        <v>1469</v>
      </c>
      <c r="C210" s="60" t="s">
        <v>1470</v>
      </c>
      <c r="D210" s="12"/>
      <c r="E210" s="13" t="s">
        <v>151</v>
      </c>
      <c r="F210" s="6" t="s">
        <v>714</v>
      </c>
      <c r="G210" s="6" t="str">
        <f ca="1">IFERROR(__xludf.DUMMYFUNCTION("CONCATENATE(B210,(VLOOKUP(C210,CATALOGOS!$F$2:$H$6,3,FALSE)),(VLOOKUP(V210,CATALOGOS!$J$2:$K$18,2,FALSE)),""-"",TO_TEXT(A210))"),"P12ST-0209")</f>
        <v>P12ST-0209</v>
      </c>
      <c r="H210" s="6" t="str">
        <f ca="1">IFERROR(__xludf.DUMMYFUNCTION("CONCATENATE($B210,(VLOOKUP($C210,CATALOGOS!$F$2:$H$6,3,FALSE)),(VLOOKUP($V210,CATALOGOS!$J$2:$K$18,2,FALSE)),""-"",TO_TEXT($A210))"),"P12ST-0209")</f>
        <v>P12ST-0209</v>
      </c>
      <c r="I210" s="6"/>
      <c r="J210" s="6" t="s">
        <v>1536</v>
      </c>
      <c r="K210" s="6" t="s">
        <v>1537</v>
      </c>
      <c r="L210" s="6" t="s">
        <v>1538</v>
      </c>
      <c r="M210" s="6" t="s">
        <v>1539</v>
      </c>
      <c r="N210" s="17"/>
      <c r="O210" s="17"/>
      <c r="P210" s="17" t="str">
        <f t="shared" si="2"/>
        <v>OK</v>
      </c>
      <c r="Q210" s="17" t="s">
        <v>719</v>
      </c>
      <c r="R210" s="6" t="s">
        <v>720</v>
      </c>
      <c r="S210" s="17" t="s">
        <v>1540</v>
      </c>
      <c r="T210" s="17" t="s">
        <v>1541</v>
      </c>
      <c r="U210" s="173" t="s">
        <v>38</v>
      </c>
      <c r="V210" s="11" t="s">
        <v>1470</v>
      </c>
      <c r="W210" s="20" t="s">
        <v>1477</v>
      </c>
      <c r="X210" s="20" t="s">
        <v>1477</v>
      </c>
      <c r="Y210" s="20"/>
      <c r="Z210" s="6"/>
      <c r="AA210" s="6"/>
      <c r="AB210" s="23"/>
      <c r="AC210" s="24"/>
    </row>
    <row r="211" spans="1:30" ht="15.75" customHeight="1">
      <c r="A211" s="10" t="s">
        <v>1542</v>
      </c>
      <c r="B211" s="10" t="s">
        <v>1469</v>
      </c>
      <c r="C211" s="60" t="s">
        <v>1470</v>
      </c>
      <c r="D211" s="12"/>
      <c r="E211" s="13" t="s">
        <v>162</v>
      </c>
      <c r="F211" s="6" t="s">
        <v>285</v>
      </c>
      <c r="G211" s="6" t="str">
        <f ca="1">IFERROR(__xludf.DUMMYFUNCTION("CONCATENATE(B211,(VLOOKUP(C211,CATALOGOS!$F$2:$H$6,3,FALSE)),(VLOOKUP(V211,CATALOGOS!$J$2:$K$18,2,FALSE)),""-"",TO_TEXT(A211))"),"P12PP-0210")</f>
        <v>P12PP-0210</v>
      </c>
      <c r="H211" s="6" t="str">
        <f ca="1">IFERROR(__xludf.DUMMYFUNCTION("CONCATENATE($B211,(VLOOKUP($C211,CATALOGOS!$F$2:$H$6,3,FALSE)),(VLOOKUP($V211,CATALOGOS!$J$2:$K$18,2,FALSE)),""-"",TO_TEXT($A211))"),"P12PP-0210")</f>
        <v>P12PP-0210</v>
      </c>
      <c r="I211" s="6"/>
      <c r="J211" s="6" t="s">
        <v>1543</v>
      </c>
      <c r="K211" s="6" t="s">
        <v>1544</v>
      </c>
      <c r="L211" s="6" t="s">
        <v>1545</v>
      </c>
      <c r="M211" s="6" t="s">
        <v>141</v>
      </c>
      <c r="N211" s="17"/>
      <c r="O211" s="17"/>
      <c r="P211" s="17" t="str">
        <f t="shared" si="2"/>
        <v>REPETIDO</v>
      </c>
      <c r="Q211" s="17" t="s">
        <v>663</v>
      </c>
      <c r="R211" s="6" t="s">
        <v>664</v>
      </c>
      <c r="S211" s="17" t="s">
        <v>1546</v>
      </c>
      <c r="T211" s="17" t="s">
        <v>1547</v>
      </c>
      <c r="U211" s="173" t="s">
        <v>38</v>
      </c>
      <c r="V211" s="11" t="s">
        <v>1548</v>
      </c>
      <c r="W211" s="20" t="s">
        <v>1550</v>
      </c>
      <c r="X211" s="20" t="s">
        <v>1550</v>
      </c>
      <c r="Y211" s="20"/>
      <c r="Z211" s="6"/>
      <c r="AA211" s="6"/>
      <c r="AB211" s="23"/>
      <c r="AC211" s="24"/>
    </row>
    <row r="212" spans="1:30" ht="15.75" customHeight="1">
      <c r="A212" s="10" t="s">
        <v>1551</v>
      </c>
      <c r="B212" s="10" t="s">
        <v>1469</v>
      </c>
      <c r="C212" s="60" t="s">
        <v>1470</v>
      </c>
      <c r="D212" s="12"/>
      <c r="E212" s="13" t="s">
        <v>1275</v>
      </c>
      <c r="F212" s="43" t="s">
        <v>1552</v>
      </c>
      <c r="G212" s="6" t="str">
        <f ca="1">IFERROR(__xludf.DUMMYFUNCTION("CONCATENATE(B212,(VLOOKUP(C212,CATALOGOS!$F$2:$H$6,3,FALSE)),(VLOOKUP(V212,CATALOGOS!$J$2:$K$18,2,FALSE)),""-"",TO_TEXT(A212))"),"P12SI-0211")</f>
        <v>P12SI-0211</v>
      </c>
      <c r="H212" s="6" t="str">
        <f ca="1">IFERROR(__xludf.DUMMYFUNCTION("CONCATENATE($B212,(VLOOKUP($C212,CATALOGOS!$F$2:$H$6,3,FALSE)),(VLOOKUP($V212,CATALOGOS!$J$2:$K$18,2,FALSE)),""-"",TO_TEXT($A212))"),"P12SI-0211")</f>
        <v>P12SI-0211</v>
      </c>
      <c r="I212" s="6"/>
      <c r="J212" s="6" t="s">
        <v>1553</v>
      </c>
      <c r="K212" s="6" t="s">
        <v>7</v>
      </c>
      <c r="L212" s="6" t="s">
        <v>1555</v>
      </c>
      <c r="M212" s="6" t="s">
        <v>1556</v>
      </c>
      <c r="N212" s="17"/>
      <c r="O212" s="17"/>
      <c r="P212" s="17" t="str">
        <f t="shared" si="2"/>
        <v>OK</v>
      </c>
      <c r="Q212" s="17" t="s">
        <v>205</v>
      </c>
      <c r="R212" s="6" t="s">
        <v>1557</v>
      </c>
      <c r="S212" s="17" t="s">
        <v>1558</v>
      </c>
      <c r="T212" s="17" t="s">
        <v>1559</v>
      </c>
      <c r="U212" s="173" t="s">
        <v>38</v>
      </c>
      <c r="V212" s="181" t="s">
        <v>1483</v>
      </c>
      <c r="W212" s="20" t="s">
        <v>1484</v>
      </c>
      <c r="X212" s="20" t="s">
        <v>1484</v>
      </c>
      <c r="Y212" s="20"/>
      <c r="Z212" s="7"/>
      <c r="AA212" s="7"/>
      <c r="AB212" s="23"/>
      <c r="AC212" s="26"/>
    </row>
    <row r="213" spans="1:30" ht="15.75" customHeight="1">
      <c r="A213" s="10" t="s">
        <v>1560</v>
      </c>
      <c r="B213" s="10" t="s">
        <v>1469</v>
      </c>
      <c r="C213" s="60" t="s">
        <v>1470</v>
      </c>
      <c r="D213" s="12"/>
      <c r="E213" s="13" t="s">
        <v>184</v>
      </c>
      <c r="F213" s="43" t="s">
        <v>1561</v>
      </c>
      <c r="G213" s="70" t="str">
        <f ca="1">IFERROR(__xludf.DUMMYFUNCTION("CONCATENATE(B213,(VLOOKUP(C213,CATALOGOS!$F$2:$H$6,3,FALSE)),(VLOOKUP(V213,CATALOGOS!$J$2:$K$18,2,FALSE)),""-"",TO_TEXT(A213))"),"P12ST-0212")</f>
        <v>P12ST-0212</v>
      </c>
      <c r="H213" s="6" t="str">
        <f ca="1">IFERROR(__xludf.DUMMYFUNCTION("CONCATENATE($B213,(VLOOKUP($C213,CATALOGOS!$F$2:$H$6,3,FALSE)),(VLOOKUP($V213,CATALOGOS!$J$2:$K$18,2,FALSE)),""-"",TO_TEXT($A213))"),"P12ST-0212")</f>
        <v>P12ST-0212</v>
      </c>
      <c r="I213" s="6"/>
      <c r="J213" s="6" t="s">
        <v>1562</v>
      </c>
      <c r="K213" s="6" t="s">
        <v>1563</v>
      </c>
      <c r="L213" s="6" t="s">
        <v>1564</v>
      </c>
      <c r="M213" s="6" t="s">
        <v>1565</v>
      </c>
      <c r="N213" s="17"/>
      <c r="O213" s="17"/>
      <c r="P213" s="17" t="str">
        <f t="shared" si="2"/>
        <v>OK</v>
      </c>
      <c r="Q213" s="17" t="s">
        <v>35</v>
      </c>
      <c r="R213" s="6" t="s">
        <v>35</v>
      </c>
      <c r="S213" s="17" t="s">
        <v>1558</v>
      </c>
      <c r="T213" s="17" t="s">
        <v>1566</v>
      </c>
      <c r="U213" s="173" t="s">
        <v>38</v>
      </c>
      <c r="V213" s="11" t="s">
        <v>1470</v>
      </c>
      <c r="W213" s="20" t="s">
        <v>1477</v>
      </c>
      <c r="X213" s="20" t="s">
        <v>1477</v>
      </c>
      <c r="Y213" s="20"/>
      <c r="Z213" s="7"/>
      <c r="AA213" s="7"/>
      <c r="AB213" s="23"/>
      <c r="AC213" s="26"/>
    </row>
    <row r="214" spans="1:30" ht="15.75" customHeight="1">
      <c r="A214" s="10" t="s">
        <v>1567</v>
      </c>
      <c r="B214" s="10" t="s">
        <v>1469</v>
      </c>
      <c r="C214" s="60" t="s">
        <v>1470</v>
      </c>
      <c r="D214" s="12"/>
      <c r="E214" s="13" t="s">
        <v>184</v>
      </c>
      <c r="F214" s="43" t="s">
        <v>1561</v>
      </c>
      <c r="G214" s="15" t="str">
        <f ca="1">IFERROR(__xludf.DUMMYFUNCTION("CONCATENATE(B214,(VLOOKUP(C214,CATALOGOS!$F$2:$H$6,3,FALSE)),(VLOOKUP(V214,CATALOGOS!$J$2:$K$18,2,FALSE)),""-"",TO_TEXT(A214))"),"P12ST-0213")</f>
        <v>P12ST-0213</v>
      </c>
      <c r="H214" s="6" t="str">
        <f ca="1">IFERROR(__xludf.DUMMYFUNCTION("CONCATENATE($B214,(VLOOKUP($C214,CATALOGOS!$F$2:$H$6,3,FALSE)),(VLOOKUP($V214,CATALOGOS!$J$2:$K$18,2,FALSE)),""-"",TO_TEXT($A214))"),"P12ST-0213")</f>
        <v>P12ST-0213</v>
      </c>
      <c r="I214" s="6"/>
      <c r="J214" s="6" t="s">
        <v>1568</v>
      </c>
      <c r="K214" s="6" t="s">
        <v>1569</v>
      </c>
      <c r="L214" s="6" t="s">
        <v>1570</v>
      </c>
      <c r="M214" s="6" t="s">
        <v>1571</v>
      </c>
      <c r="N214" s="17"/>
      <c r="O214" s="17"/>
      <c r="P214" s="17" t="str">
        <f t="shared" si="2"/>
        <v>OK</v>
      </c>
      <c r="Q214" s="17" t="s">
        <v>35</v>
      </c>
      <c r="R214" s="6" t="s">
        <v>35</v>
      </c>
      <c r="S214" s="17" t="s">
        <v>1558</v>
      </c>
      <c r="T214" s="17" t="s">
        <v>1572</v>
      </c>
      <c r="U214" s="173" t="s">
        <v>38</v>
      </c>
      <c r="V214" s="11" t="s">
        <v>1470</v>
      </c>
      <c r="W214" s="20" t="s">
        <v>1477</v>
      </c>
      <c r="X214" s="20" t="s">
        <v>1477</v>
      </c>
      <c r="Y214" s="20"/>
      <c r="Z214" s="7"/>
      <c r="AA214" s="7"/>
      <c r="AB214" s="23"/>
      <c r="AC214" s="26"/>
    </row>
    <row r="215" spans="1:30" ht="15.75" customHeight="1">
      <c r="A215" s="10" t="s">
        <v>1573</v>
      </c>
      <c r="B215" s="10" t="s">
        <v>1469</v>
      </c>
      <c r="C215" s="60" t="s">
        <v>1470</v>
      </c>
      <c r="D215" s="12"/>
      <c r="E215" s="13" t="s">
        <v>387</v>
      </c>
      <c r="F215" s="6" t="s">
        <v>387</v>
      </c>
      <c r="G215" s="6" t="str">
        <f ca="1">IFERROR(__xludf.DUMMYFUNCTION("CONCATENATE(B215,(VLOOKUP(C215,CATALOGOS!$F$2:$H$6,3,FALSE)),(VLOOKUP(V215,CATALOGOS!$J$2:$K$18,2,FALSE)),""-"",TO_TEXT(A215))"),"P12ST-0214")</f>
        <v>P12ST-0214</v>
      </c>
      <c r="H215" s="6" t="str">
        <f ca="1">IFERROR(__xludf.DUMMYFUNCTION("CONCATENATE($B215,(VLOOKUP($C215,CATALOGOS!$F$2:$H$6,3,FALSE)),(VLOOKUP($V215,CATALOGOS!$J$2:$K$18,2,FALSE)),""-"",TO_TEXT($A215))"),"P12ST-0214")</f>
        <v>P12ST-0214</v>
      </c>
      <c r="I215" s="6"/>
      <c r="J215" s="6" t="s">
        <v>1574</v>
      </c>
      <c r="K215" s="6" t="s">
        <v>1575</v>
      </c>
      <c r="L215" s="6" t="s">
        <v>1576</v>
      </c>
      <c r="M215" s="6" t="s">
        <v>141</v>
      </c>
      <c r="N215" s="17"/>
      <c r="O215" s="17"/>
      <c r="P215" s="17" t="str">
        <f t="shared" si="2"/>
        <v>REPETIDO</v>
      </c>
      <c r="Q215" s="17" t="s">
        <v>390</v>
      </c>
      <c r="R215" s="6">
        <v>40514</v>
      </c>
      <c r="S215" s="6" t="s">
        <v>1577</v>
      </c>
      <c r="T215" s="10" t="s">
        <v>85</v>
      </c>
      <c r="U215" s="173" t="s">
        <v>38</v>
      </c>
      <c r="V215" s="11" t="s">
        <v>1470</v>
      </c>
      <c r="W215" s="20" t="s">
        <v>1477</v>
      </c>
      <c r="X215" s="20" t="s">
        <v>1477</v>
      </c>
      <c r="Y215" s="20"/>
      <c r="Z215" s="7"/>
      <c r="AA215" s="7"/>
      <c r="AB215" s="23"/>
      <c r="AC215" s="26"/>
    </row>
    <row r="216" spans="1:30" ht="15.75" customHeight="1">
      <c r="A216" s="10" t="s">
        <v>1578</v>
      </c>
      <c r="B216" s="10" t="s">
        <v>1469</v>
      </c>
      <c r="C216" s="60" t="s">
        <v>1470</v>
      </c>
      <c r="D216" s="12"/>
      <c r="E216" s="13" t="s">
        <v>93</v>
      </c>
      <c r="F216" s="6" t="s">
        <v>1579</v>
      </c>
      <c r="G216" s="6" t="str">
        <f ca="1">IFERROR(__xludf.DUMMYFUNCTION("CONCATENATE(B216,(VLOOKUP(C216,CATALOGOS!$F$2:$H$6,3,FALSE)),(VLOOKUP(V216,CATALOGOS!$J$2:$K$18,2,FALSE)),""-"",TO_TEXT(A216))"),"P12ST-0215")</f>
        <v>P12ST-0215</v>
      </c>
      <c r="H216" s="6" t="str">
        <f ca="1">IFERROR(__xludf.DUMMYFUNCTION("CONCATENATE($B216,(VLOOKUP($C216,CATALOGOS!$F$2:$H$6,3,FALSE)),(VLOOKUP($V216,CATALOGOS!$J$2:$K$18,2,FALSE)),""-"",TO_TEXT($A216))"),"P12ST-0215")</f>
        <v>P12ST-0215</v>
      </c>
      <c r="I216" s="6"/>
      <c r="J216" s="6" t="s">
        <v>1580</v>
      </c>
      <c r="K216" s="6" t="s">
        <v>1581</v>
      </c>
      <c r="L216" s="6" t="s">
        <v>1582</v>
      </c>
      <c r="M216" s="6" t="s">
        <v>1583</v>
      </c>
      <c r="N216" s="17"/>
      <c r="O216" s="17"/>
      <c r="P216" s="17" t="str">
        <f t="shared" si="2"/>
        <v>OK</v>
      </c>
      <c r="Q216" s="17" t="s">
        <v>35</v>
      </c>
      <c r="R216" s="6" t="s">
        <v>35</v>
      </c>
      <c r="S216" s="17" t="s">
        <v>36</v>
      </c>
      <c r="T216" s="17" t="s">
        <v>85</v>
      </c>
      <c r="U216" s="173" t="s">
        <v>38</v>
      </c>
      <c r="V216" s="11" t="s">
        <v>1470</v>
      </c>
      <c r="W216" s="20" t="s">
        <v>1477</v>
      </c>
      <c r="X216" s="20" t="s">
        <v>1477</v>
      </c>
      <c r="Y216" s="20"/>
      <c r="Z216" s="7"/>
      <c r="AA216" s="7"/>
      <c r="AB216" s="23"/>
      <c r="AC216" s="26"/>
    </row>
    <row r="217" spans="1:30" ht="15.75" customHeight="1">
      <c r="A217" s="10" t="s">
        <v>1584</v>
      </c>
      <c r="B217" s="10" t="s">
        <v>1469</v>
      </c>
      <c r="C217" s="60" t="s">
        <v>1470</v>
      </c>
      <c r="D217" s="12"/>
      <c r="E217" s="20" t="s">
        <v>43</v>
      </c>
      <c r="F217" s="43" t="s">
        <v>1492</v>
      </c>
      <c r="G217" s="6" t="str">
        <f ca="1">IFERROR(__xludf.DUMMYFUNCTION("CONCATENATE(B217,(VLOOKUP(C217,CATALOGOS!$F$2:$H$6,3,FALSE)),(VLOOKUP(V217,CATALOGOS!$J$2:$K$18,2,FALSE)),""-"",TO_TEXT(A217))"),"P12ST-0216")</f>
        <v>P12ST-0216</v>
      </c>
      <c r="H217" s="6" t="str">
        <f ca="1">IFERROR(__xludf.DUMMYFUNCTION("CONCATENATE($B217,(VLOOKUP($C217,CATALOGOS!$F$2:$H$6,3,FALSE)),(VLOOKUP($V217,CATALOGOS!$J$2:$K$18,2,FALSE)),""-"",TO_TEXT($A217))"),"P12ST-0216")</f>
        <v>P12ST-0216</v>
      </c>
      <c r="I217" s="6"/>
      <c r="J217" s="6" t="s">
        <v>1585</v>
      </c>
      <c r="K217" s="6" t="s">
        <v>1586</v>
      </c>
      <c r="L217" s="6" t="s">
        <v>1587</v>
      </c>
      <c r="M217" s="6" t="s">
        <v>1588</v>
      </c>
      <c r="N217" s="17"/>
      <c r="O217" s="17"/>
      <c r="P217" s="17" t="str">
        <f t="shared" si="2"/>
        <v>OK</v>
      </c>
      <c r="Q217" s="17" t="s">
        <v>406</v>
      </c>
      <c r="R217" s="6" t="s">
        <v>407</v>
      </c>
      <c r="S217" s="17" t="s">
        <v>36</v>
      </c>
      <c r="T217" s="35" t="s">
        <v>1589</v>
      </c>
      <c r="U217" s="173" t="s">
        <v>38</v>
      </c>
      <c r="V217" s="11" t="s">
        <v>1470</v>
      </c>
      <c r="W217" s="20" t="s">
        <v>1477</v>
      </c>
      <c r="X217" s="20" t="s">
        <v>1477</v>
      </c>
      <c r="Y217" s="20"/>
      <c r="Z217" s="7"/>
      <c r="AA217" s="7"/>
      <c r="AB217" s="23"/>
      <c r="AC217" s="26"/>
    </row>
    <row r="218" spans="1:30" ht="15.75" customHeight="1">
      <c r="A218" s="10" t="s">
        <v>1590</v>
      </c>
      <c r="B218" s="10" t="s">
        <v>1469</v>
      </c>
      <c r="C218" s="60" t="s">
        <v>1470</v>
      </c>
      <c r="D218" s="38"/>
      <c r="E218" s="13" t="s">
        <v>501</v>
      </c>
      <c r="F218" s="6" t="s">
        <v>1591</v>
      </c>
      <c r="G218" s="6" t="str">
        <f ca="1">IFERROR(__xludf.DUMMYFUNCTION("CONCATENATE(B218,(VLOOKUP(C218,CATALOGOS!$F$2:$H$6,3,FALSE)),(VLOOKUP(V218,CATALOGOS!$J$2:$K$18,2,FALSE)),""-"",TO_TEXT(A218))"),"P12PP-0217")</f>
        <v>P12PP-0217</v>
      </c>
      <c r="H218" s="6" t="str">
        <f ca="1">IFERROR(__xludf.DUMMYFUNCTION("CONCATENATE($B218,(VLOOKUP($C218,CATALOGOS!$F$2:$H$6,3,FALSE)),(VLOOKUP($V218,CATALOGOS!$J$2:$K$18,2,FALSE)),""-"",TO_TEXT($A218))"),"P12PP-0217")</f>
        <v>P12PP-0217</v>
      </c>
      <c r="I218" s="6"/>
      <c r="J218" s="6" t="s">
        <v>1592</v>
      </c>
      <c r="K218" s="6" t="s">
        <v>1593</v>
      </c>
      <c r="L218" s="6" t="s">
        <v>1594</v>
      </c>
      <c r="M218" s="6" t="s">
        <v>1595</v>
      </c>
      <c r="N218" s="17"/>
      <c r="O218" s="17"/>
      <c r="P218" s="17" t="str">
        <f t="shared" si="2"/>
        <v>OK</v>
      </c>
      <c r="Q218" s="17" t="s">
        <v>35</v>
      </c>
      <c r="R218" s="6" t="s">
        <v>35</v>
      </c>
      <c r="S218" s="46" t="s">
        <v>36</v>
      </c>
      <c r="T218" s="17" t="s">
        <v>1596</v>
      </c>
      <c r="U218" s="173" t="s">
        <v>38</v>
      </c>
      <c r="V218" s="11" t="s">
        <v>1548</v>
      </c>
      <c r="W218" s="20" t="s">
        <v>1597</v>
      </c>
      <c r="X218" s="20" t="s">
        <v>1597</v>
      </c>
      <c r="Y218" s="20"/>
      <c r="Z218" s="7"/>
      <c r="AA218" s="7"/>
      <c r="AB218" s="20" t="s">
        <v>1598</v>
      </c>
      <c r="AC218" s="26"/>
    </row>
    <row r="219" spans="1:30" ht="15.75" customHeight="1">
      <c r="A219" s="10" t="s">
        <v>1599</v>
      </c>
      <c r="B219" s="10" t="s">
        <v>1469</v>
      </c>
      <c r="C219" s="60" t="s">
        <v>1470</v>
      </c>
      <c r="D219" s="12"/>
      <c r="E219" s="13" t="s">
        <v>136</v>
      </c>
      <c r="F219" s="6" t="s">
        <v>137</v>
      </c>
      <c r="G219" s="6" t="str">
        <f ca="1">IFERROR(__xludf.DUMMYFUNCTION("CONCATENATE(B219,(VLOOKUP(C219,CATALOGOS!$F$2:$H$6,3,FALSE)),(VLOOKUP(V219,CATALOGOS!$J$2:$K$18,2,FALSE)),""-"",TO_TEXT(A219))"),"P12PP-0218")</f>
        <v>P12PP-0218</v>
      </c>
      <c r="H219" s="6" t="str">
        <f ca="1">IFERROR(__xludf.DUMMYFUNCTION("CONCATENATE($B219,(VLOOKUP($C219,CATALOGOS!$F$2:$H$6,3,FALSE)),(VLOOKUP($V219,CATALOGOS!$J$2:$K$18,2,FALSE)),""-"",TO_TEXT($A219))"),"P12PP-0218")</f>
        <v>P12PP-0218</v>
      </c>
      <c r="I219" s="6"/>
      <c r="J219" s="6" t="s">
        <v>1600</v>
      </c>
      <c r="K219" s="6" t="s">
        <v>1601</v>
      </c>
      <c r="L219" s="6" t="s">
        <v>1602</v>
      </c>
      <c r="M219" s="6" t="s">
        <v>1603</v>
      </c>
      <c r="N219" s="17"/>
      <c r="O219" s="17"/>
      <c r="P219" s="17" t="str">
        <f t="shared" si="2"/>
        <v>OK</v>
      </c>
      <c r="Q219" s="17" t="s">
        <v>1604</v>
      </c>
      <c r="R219" s="6" t="s">
        <v>1605</v>
      </c>
      <c r="S219" s="17" t="s">
        <v>1606</v>
      </c>
      <c r="T219" s="17" t="s">
        <v>1607</v>
      </c>
      <c r="U219" s="173" t="s">
        <v>38</v>
      </c>
      <c r="V219" s="11" t="s">
        <v>1548</v>
      </c>
      <c r="W219" s="20" t="s">
        <v>1597</v>
      </c>
      <c r="X219" s="20" t="s">
        <v>1597</v>
      </c>
      <c r="Y219" s="20"/>
      <c r="Z219" s="6"/>
      <c r="AA219" s="6"/>
      <c r="AB219" s="23"/>
      <c r="AC219" s="24"/>
    </row>
    <row r="220" spans="1:30" ht="15.75" customHeight="1">
      <c r="A220" s="10" t="s">
        <v>1608</v>
      </c>
      <c r="B220" s="10" t="s">
        <v>1469</v>
      </c>
      <c r="C220" s="60" t="s">
        <v>1470</v>
      </c>
      <c r="D220" s="12"/>
      <c r="E220" s="13" t="s">
        <v>162</v>
      </c>
      <c r="F220" s="43" t="s">
        <v>285</v>
      </c>
      <c r="G220" s="6" t="str">
        <f ca="1">IFERROR(__xludf.DUMMYFUNCTION("CONCATENATE(B220,(VLOOKUP(C220,CATALOGOS!$F$2:$H$6,3,FALSE)),(VLOOKUP(V220,CATALOGOS!$J$2:$K$18,2,FALSE)),""-"",TO_TEXT(A220))"),"P12PP-0219")</f>
        <v>P12PP-0219</v>
      </c>
      <c r="H220" s="6" t="str">
        <f ca="1">IFERROR(__xludf.DUMMYFUNCTION("CONCATENATE($B220,(VLOOKUP($C220,CATALOGOS!$F$2:$H$6,3,FALSE)),(VLOOKUP($V220,CATALOGOS!$J$2:$K$18,2,FALSE)),""-"",TO_TEXT($A220))"),"P12PP-0219")</f>
        <v>P12PP-0219</v>
      </c>
      <c r="I220" s="6"/>
      <c r="J220" s="6" t="s">
        <v>1609</v>
      </c>
      <c r="K220" s="6" t="s">
        <v>1610</v>
      </c>
      <c r="L220" s="6" t="s">
        <v>1611</v>
      </c>
      <c r="M220" s="6" t="s">
        <v>1612</v>
      </c>
      <c r="N220" s="17"/>
      <c r="O220" s="17"/>
      <c r="P220" s="17" t="str">
        <f t="shared" si="2"/>
        <v>OK</v>
      </c>
      <c r="Q220" s="17" t="s">
        <v>168</v>
      </c>
      <c r="R220" s="6" t="s">
        <v>169</v>
      </c>
      <c r="S220" s="17" t="s">
        <v>1613</v>
      </c>
      <c r="T220" s="17" t="s">
        <v>1614</v>
      </c>
      <c r="U220" s="173" t="s">
        <v>38</v>
      </c>
      <c r="V220" s="11" t="s">
        <v>1548</v>
      </c>
      <c r="W220" s="20" t="s">
        <v>1597</v>
      </c>
      <c r="X220" s="20" t="s">
        <v>1597</v>
      </c>
      <c r="Y220" s="20"/>
      <c r="Z220" s="6"/>
      <c r="AA220" s="6"/>
      <c r="AB220" s="23"/>
      <c r="AC220" s="24"/>
    </row>
    <row r="221" spans="1:30" ht="15.75" customHeight="1">
      <c r="A221" s="10" t="s">
        <v>1615</v>
      </c>
      <c r="B221" s="10" t="s">
        <v>1469</v>
      </c>
      <c r="C221" s="60" t="s">
        <v>1470</v>
      </c>
      <c r="D221" s="12"/>
      <c r="E221" s="13" t="s">
        <v>151</v>
      </c>
      <c r="F221" s="6" t="s">
        <v>152</v>
      </c>
      <c r="G221" s="6" t="str">
        <f ca="1">IFERROR(__xludf.DUMMYFUNCTION("CONCATENATE(B221,(VLOOKUP(C221,CATALOGOS!$F$2:$H$6,3,FALSE)),(VLOOKUP(V221,CATALOGOS!$J$2:$K$18,2,FALSE)),""-"",TO_TEXT(A221))"),"P12PP-0220")</f>
        <v>P12PP-0220</v>
      </c>
      <c r="H221" s="6" t="str">
        <f ca="1">IFERROR(__xludf.DUMMYFUNCTION("CONCATENATE($B221,(VLOOKUP($C221,CATALOGOS!$F$2:$H$6,3,FALSE)),(VLOOKUP($V221,CATALOGOS!$J$2:$K$18,2,FALSE)),""-"",TO_TEXT($A221))"),"P12PP-0220")</f>
        <v>P12PP-0220</v>
      </c>
      <c r="I221" s="6"/>
      <c r="J221" s="6" t="s">
        <v>1616</v>
      </c>
      <c r="K221" s="6" t="s">
        <v>1617</v>
      </c>
      <c r="L221" s="6" t="s">
        <v>1618</v>
      </c>
      <c r="M221" s="6" t="s">
        <v>1619</v>
      </c>
      <c r="N221" s="17"/>
      <c r="O221" s="17"/>
      <c r="P221" s="17" t="str">
        <f t="shared" si="2"/>
        <v>OK</v>
      </c>
      <c r="Q221" s="17" t="s">
        <v>297</v>
      </c>
      <c r="R221" s="6" t="s">
        <v>1620</v>
      </c>
      <c r="S221" s="17" t="s">
        <v>1621</v>
      </c>
      <c r="T221" s="17" t="s">
        <v>1622</v>
      </c>
      <c r="U221" s="173" t="s">
        <v>38</v>
      </c>
      <c r="V221" s="11" t="s">
        <v>1548</v>
      </c>
      <c r="W221" s="20" t="s">
        <v>1597</v>
      </c>
      <c r="X221" s="20" t="s">
        <v>1597</v>
      </c>
      <c r="Y221" s="20"/>
      <c r="Z221" s="7"/>
      <c r="AA221" s="7"/>
      <c r="AB221" s="23"/>
      <c r="AC221" s="26"/>
    </row>
    <row r="222" spans="1:30" ht="15.75" customHeight="1">
      <c r="A222" s="10" t="s">
        <v>1623</v>
      </c>
      <c r="B222" s="10" t="s">
        <v>1469</v>
      </c>
      <c r="C222" s="60" t="s">
        <v>1470</v>
      </c>
      <c r="D222" s="12"/>
      <c r="E222" s="13" t="s">
        <v>151</v>
      </c>
      <c r="F222" s="6" t="s">
        <v>293</v>
      </c>
      <c r="G222" s="6" t="str">
        <f ca="1">IFERROR(__xludf.DUMMYFUNCTION("CONCATENATE(B222,(VLOOKUP(C222,CATALOGOS!$F$2:$H$6,3,FALSE)),(VLOOKUP(V222,CATALOGOS!$J$2:$K$18,2,FALSE)),""-"",TO_TEXT(A222))"),"P12PP-0221")</f>
        <v>P12PP-0221</v>
      </c>
      <c r="H222" s="6" t="str">
        <f ca="1">IFERROR(__xludf.DUMMYFUNCTION("CONCATENATE($B222,(VLOOKUP($C222,CATALOGOS!$F$2:$H$6,3,FALSE)),(VLOOKUP($V222,CATALOGOS!$J$2:$K$18,2,FALSE)),""-"",TO_TEXT($A222))"),"P12PP-0221")</f>
        <v>P12PP-0221</v>
      </c>
      <c r="I222" s="6"/>
      <c r="J222" s="6" t="s">
        <v>1624</v>
      </c>
      <c r="K222" s="6" t="s">
        <v>1625</v>
      </c>
      <c r="L222" s="6" t="s">
        <v>1626</v>
      </c>
      <c r="M222" s="6" t="s">
        <v>1627</v>
      </c>
      <c r="N222" s="17"/>
      <c r="O222" s="17"/>
      <c r="P222" s="17" t="str">
        <f t="shared" si="2"/>
        <v>OK</v>
      </c>
      <c r="Q222" s="17" t="s">
        <v>297</v>
      </c>
      <c r="R222" s="6" t="s">
        <v>298</v>
      </c>
      <c r="S222" s="17" t="s">
        <v>1628</v>
      </c>
      <c r="T222" s="17" t="s">
        <v>85</v>
      </c>
      <c r="U222" s="173" t="s">
        <v>38</v>
      </c>
      <c r="V222" s="11" t="s">
        <v>1548</v>
      </c>
      <c r="W222" s="20" t="s">
        <v>1597</v>
      </c>
      <c r="X222" s="20" t="s">
        <v>1597</v>
      </c>
      <c r="Y222" s="20"/>
      <c r="Z222" s="6"/>
      <c r="AA222" s="6"/>
      <c r="AB222" s="41" t="s">
        <v>92</v>
      </c>
      <c r="AC222" s="42">
        <v>44348</v>
      </c>
      <c r="AD222" s="45">
        <v>0</v>
      </c>
    </row>
    <row r="223" spans="1:30" ht="15.75" customHeight="1">
      <c r="A223" s="10" t="s">
        <v>1629</v>
      </c>
      <c r="B223" s="10" t="s">
        <v>1469</v>
      </c>
      <c r="C223" s="60" t="s">
        <v>1470</v>
      </c>
      <c r="D223" s="12"/>
      <c r="E223" s="13" t="s">
        <v>199</v>
      </c>
      <c r="F223" s="6" t="s">
        <v>199</v>
      </c>
      <c r="G223" s="6" t="str">
        <f ca="1">IFERROR(__xludf.DUMMYFUNCTION("CONCATENATE(B223,(VLOOKUP(C223,CATALOGOS!$F$2:$H$6,3,FALSE)),(VLOOKUP(V223,CATALOGOS!$J$2:$K$18,2,FALSE)),""-"",TO_TEXT(A223))"),"P12PP-0222")</f>
        <v>P12PP-0222</v>
      </c>
      <c r="H223" s="6" t="str">
        <f ca="1">IFERROR(__xludf.DUMMYFUNCTION("CONCATENATE($B223,(VLOOKUP($C223,CATALOGOS!$F$2:$H$6,3,FALSE)),(VLOOKUP($V223,CATALOGOS!$J$2:$K$18,2,FALSE)),""-"",TO_TEXT($A223))"),"P12PP-0222")</f>
        <v>P12PP-0222</v>
      </c>
      <c r="I223" s="6"/>
      <c r="J223" s="6" t="s">
        <v>1630</v>
      </c>
      <c r="K223" s="6" t="s">
        <v>1631</v>
      </c>
      <c r="L223" s="6" t="s">
        <v>1632</v>
      </c>
      <c r="M223" s="6" t="s">
        <v>1633</v>
      </c>
      <c r="N223" s="17"/>
      <c r="O223" s="17"/>
      <c r="P223" s="17" t="str">
        <f t="shared" si="2"/>
        <v>OK</v>
      </c>
      <c r="Q223" s="17" t="s">
        <v>273</v>
      </c>
      <c r="R223" s="6" t="s">
        <v>274</v>
      </c>
      <c r="S223" s="17" t="s">
        <v>1634</v>
      </c>
      <c r="T223" s="10" t="s">
        <v>85</v>
      </c>
      <c r="U223" s="173" t="s">
        <v>38</v>
      </c>
      <c r="V223" s="11" t="s">
        <v>1548</v>
      </c>
      <c r="W223" s="20" t="s">
        <v>1597</v>
      </c>
      <c r="X223" s="20" t="s">
        <v>1597</v>
      </c>
      <c r="Y223" s="20"/>
      <c r="Z223" s="6"/>
      <c r="AA223" s="6"/>
      <c r="AB223" s="41" t="s">
        <v>92</v>
      </c>
      <c r="AC223" s="42">
        <v>44348</v>
      </c>
      <c r="AD223" s="8" t="s">
        <v>276</v>
      </c>
    </row>
    <row r="224" spans="1:30" ht="15.75" customHeight="1">
      <c r="A224" s="10" t="s">
        <v>1635</v>
      </c>
      <c r="B224" s="10" t="s">
        <v>1469</v>
      </c>
      <c r="C224" s="60" t="s">
        <v>1470</v>
      </c>
      <c r="D224" s="12"/>
      <c r="E224" s="13" t="s">
        <v>1636</v>
      </c>
      <c r="F224" s="43" t="s">
        <v>278</v>
      </c>
      <c r="G224" s="6" t="str">
        <f ca="1">IFERROR(__xludf.DUMMYFUNCTION("CONCATENATE(B224,(VLOOKUP(C224,CATALOGOS!$F$2:$H$6,3,FALSE)),(VLOOKUP(V224,CATALOGOS!$J$2:$K$18,2,FALSE)),""-"",TO_TEXT(A224))"),"P12PP-0223")</f>
        <v>P12PP-0223</v>
      </c>
      <c r="H224" s="6" t="str">
        <f ca="1">IFERROR(__xludf.DUMMYFUNCTION("CONCATENATE($B224,(VLOOKUP($C224,CATALOGOS!$F$2:$H$6,3,FALSE)),(VLOOKUP($V224,CATALOGOS!$J$2:$K$18,2,FALSE)),""-"",TO_TEXT($A224))"),"P12PP-0223")</f>
        <v>P12PP-0223</v>
      </c>
      <c r="I224" s="6"/>
      <c r="J224" s="6" t="s">
        <v>1637</v>
      </c>
      <c r="K224" s="6" t="s">
        <v>1638</v>
      </c>
      <c r="L224" s="6" t="s">
        <v>1639</v>
      </c>
      <c r="M224" s="6" t="s">
        <v>1640</v>
      </c>
      <c r="N224" s="17"/>
      <c r="O224" s="17"/>
      <c r="P224" s="17" t="str">
        <f t="shared" si="2"/>
        <v>OK</v>
      </c>
      <c r="Q224" s="17" t="s">
        <v>35</v>
      </c>
      <c r="R224" s="6" t="s">
        <v>35</v>
      </c>
      <c r="S224" s="17" t="s">
        <v>36</v>
      </c>
      <c r="T224" s="17" t="s">
        <v>1641</v>
      </c>
      <c r="U224" s="173" t="s">
        <v>38</v>
      </c>
      <c r="V224" s="11" t="s">
        <v>1548</v>
      </c>
      <c r="W224" s="20" t="s">
        <v>1597</v>
      </c>
      <c r="X224" s="20" t="s">
        <v>1597</v>
      </c>
      <c r="Y224" s="20"/>
      <c r="Z224" s="7"/>
      <c r="AA224" s="7"/>
      <c r="AB224" s="23"/>
      <c r="AC224" s="26"/>
    </row>
    <row r="225" spans="1:29" ht="15.75" customHeight="1">
      <c r="A225" s="10" t="s">
        <v>1642</v>
      </c>
      <c r="B225" s="10" t="s">
        <v>1469</v>
      </c>
      <c r="C225" s="60" t="s">
        <v>1470</v>
      </c>
      <c r="D225" s="12"/>
      <c r="E225" s="13" t="s">
        <v>116</v>
      </c>
      <c r="F225" s="6" t="s">
        <v>129</v>
      </c>
      <c r="G225" s="6" t="str">
        <f ca="1">IFERROR(__xludf.DUMMYFUNCTION("CONCATENATE(B225,(VLOOKUP(C225,CATALOGOS!$F$2:$H$6,3,FALSE)),(VLOOKUP(V225,CATALOGOS!$J$2:$K$18,2,FALSE)),""-"",TO_TEXT(A225))"),"P12PP-0224")</f>
        <v>P12PP-0224</v>
      </c>
      <c r="H225" s="6" t="str">
        <f ca="1">IFERROR(__xludf.DUMMYFUNCTION("CONCATENATE($B225,(VLOOKUP($C225,CATALOGOS!$F$2:$H$6,3,FALSE)),(VLOOKUP($V225,CATALOGOS!$J$2:$K$18,2,FALSE)),""-"",TO_TEXT($A225))"),"P12PP-0224")</f>
        <v>P12PP-0224</v>
      </c>
      <c r="I225" s="6"/>
      <c r="J225" s="6" t="s">
        <v>1643</v>
      </c>
      <c r="K225" s="6" t="s">
        <v>1644</v>
      </c>
      <c r="L225" s="6" t="s">
        <v>1645</v>
      </c>
      <c r="M225" s="6" t="s">
        <v>1646</v>
      </c>
      <c r="N225" s="17"/>
      <c r="O225" s="17"/>
      <c r="P225" s="17" t="str">
        <f t="shared" si="2"/>
        <v>OK</v>
      </c>
      <c r="Q225" s="17" t="s">
        <v>35</v>
      </c>
      <c r="R225" s="6" t="s">
        <v>35</v>
      </c>
      <c r="S225" s="17" t="s">
        <v>36</v>
      </c>
      <c r="T225" s="17" t="s">
        <v>1647</v>
      </c>
      <c r="U225" s="173" t="s">
        <v>38</v>
      </c>
      <c r="V225" s="11" t="s">
        <v>1548</v>
      </c>
      <c r="W225" s="20" t="s">
        <v>1597</v>
      </c>
      <c r="X225" s="20" t="s">
        <v>1597</v>
      </c>
      <c r="Y225" s="20"/>
      <c r="Z225" s="6"/>
      <c r="AA225" s="6"/>
      <c r="AB225" s="23"/>
      <c r="AC225" s="24"/>
    </row>
    <row r="226" spans="1:29" ht="15.75" customHeight="1">
      <c r="A226" s="10" t="s">
        <v>1648</v>
      </c>
      <c r="B226" s="10" t="s">
        <v>1469</v>
      </c>
      <c r="C226" s="60" t="s">
        <v>1470</v>
      </c>
      <c r="D226" s="12"/>
      <c r="E226" s="13" t="s">
        <v>93</v>
      </c>
      <c r="F226" s="6" t="s">
        <v>1173</v>
      </c>
      <c r="G226" s="6" t="str">
        <f ca="1">IFERROR(__xludf.DUMMYFUNCTION("CONCATENATE(B226,(VLOOKUP(C226,CATALOGOS!$F$2:$H$6,3,FALSE)),(VLOOKUP(V226,CATALOGOS!$J$2:$K$18,2,FALSE)),""-"",TO_TEXT(A226))"),"P12PP-0225")</f>
        <v>P12PP-0225</v>
      </c>
      <c r="H226" s="6" t="str">
        <f ca="1">IFERROR(__xludf.DUMMYFUNCTION("CONCATENATE($B226,(VLOOKUP($C226,CATALOGOS!$F$2:$H$6,3,FALSE)),(VLOOKUP($V226,CATALOGOS!$J$2:$K$18,2,FALSE)),""-"",TO_TEXT($A226))"),"P12PP-0225")</f>
        <v>P12PP-0225</v>
      </c>
      <c r="I226" s="6"/>
      <c r="J226" s="6" t="s">
        <v>1649</v>
      </c>
      <c r="K226" s="6" t="s">
        <v>1650</v>
      </c>
      <c r="L226" s="36"/>
      <c r="M226" s="6" t="s">
        <v>1651</v>
      </c>
      <c r="N226" s="17"/>
      <c r="O226" s="17"/>
      <c r="P226" s="17" t="str">
        <f t="shared" si="2"/>
        <v>OK</v>
      </c>
      <c r="Q226" s="35" t="s">
        <v>35</v>
      </c>
      <c r="R226" s="6" t="s">
        <v>35</v>
      </c>
      <c r="S226" s="10" t="s">
        <v>36</v>
      </c>
      <c r="T226" s="32" t="s">
        <v>85</v>
      </c>
      <c r="U226" s="173" t="s">
        <v>38</v>
      </c>
      <c r="V226" s="11" t="s">
        <v>1548</v>
      </c>
      <c r="W226" s="20" t="s">
        <v>1597</v>
      </c>
      <c r="X226" s="20" t="s">
        <v>1597</v>
      </c>
      <c r="Y226" s="20"/>
      <c r="Z226" s="7"/>
      <c r="AA226" s="7"/>
      <c r="AB226" s="23"/>
      <c r="AC226" s="26"/>
    </row>
    <row r="227" spans="1:29" ht="15.75" customHeight="1">
      <c r="A227" s="10" t="s">
        <v>1652</v>
      </c>
      <c r="B227" s="10" t="s">
        <v>1469</v>
      </c>
      <c r="C227" s="60" t="s">
        <v>1470</v>
      </c>
      <c r="D227" s="12"/>
      <c r="E227" s="13" t="s">
        <v>29</v>
      </c>
      <c r="F227" s="43" t="s">
        <v>1166</v>
      </c>
      <c r="G227" s="6" t="str">
        <f ca="1">IFERROR(__xludf.DUMMYFUNCTION("CONCATENATE(B227,(VLOOKUP(C227,CATALOGOS!$F$2:$H$6,3,FALSE)),(VLOOKUP(V227,CATALOGOS!$J$2:$K$18,2,FALSE)),""-"",TO_TEXT(A227))"),"P12PP-0226")</f>
        <v>P12PP-0226</v>
      </c>
      <c r="H227" s="6" t="str">
        <f ca="1">IFERROR(__xludf.DUMMYFUNCTION("CONCATENATE($B227,(VLOOKUP($C227,CATALOGOS!$F$2:$H$6,3,FALSE)),(VLOOKUP($V227,CATALOGOS!$J$2:$K$18,2,FALSE)),""-"",TO_TEXT($A227))"),"P12PP-0226")</f>
        <v>P12PP-0226</v>
      </c>
      <c r="I227" s="6"/>
      <c r="J227" s="6" t="s">
        <v>1653</v>
      </c>
      <c r="K227" s="62"/>
      <c r="L227" s="6" t="s">
        <v>1654</v>
      </c>
      <c r="M227" s="6" t="s">
        <v>1655</v>
      </c>
      <c r="N227" s="17"/>
      <c r="O227" s="17"/>
      <c r="P227" s="17" t="str">
        <f t="shared" si="2"/>
        <v>OK</v>
      </c>
      <c r="Q227" s="17" t="s">
        <v>35</v>
      </c>
      <c r="R227" s="6" t="s">
        <v>35</v>
      </c>
      <c r="S227" s="17" t="s">
        <v>36</v>
      </c>
      <c r="T227" s="17" t="s">
        <v>1656</v>
      </c>
      <c r="U227" s="173" t="s">
        <v>38</v>
      </c>
      <c r="V227" s="11" t="s">
        <v>1548</v>
      </c>
      <c r="W227" s="20" t="s">
        <v>1597</v>
      </c>
      <c r="X227" s="20" t="s">
        <v>1597</v>
      </c>
      <c r="Y227" s="20"/>
      <c r="Z227" s="7"/>
      <c r="AA227" s="7"/>
      <c r="AB227" s="23"/>
      <c r="AC227" s="26"/>
    </row>
    <row r="228" spans="1:29" ht="15.75" customHeight="1">
      <c r="A228" s="10" t="s">
        <v>1657</v>
      </c>
      <c r="B228" s="10" t="s">
        <v>1469</v>
      </c>
      <c r="C228" s="60" t="s">
        <v>1470</v>
      </c>
      <c r="D228" s="12"/>
      <c r="E228" s="13" t="s">
        <v>116</v>
      </c>
      <c r="F228" s="6" t="s">
        <v>117</v>
      </c>
      <c r="G228" s="6" t="str">
        <f ca="1">IFERROR(__xludf.DUMMYFUNCTION("CONCATENATE(B228,(VLOOKUP(C228,CATALOGOS!$F$2:$H$6,3,FALSE)),(VLOOKUP(V228,CATALOGOS!$J$2:$K$18,2,FALSE)),""-"",TO_TEXT(A228))"),"P12PP-0227")</f>
        <v>P12PP-0227</v>
      </c>
      <c r="H228" s="6" t="str">
        <f ca="1">IFERROR(__xludf.DUMMYFUNCTION("CONCATENATE($B228,(VLOOKUP($C228,CATALOGOS!$F$2:$H$6,3,FALSE)),(VLOOKUP($V228,CATALOGOS!$J$2:$K$18,2,FALSE)),""-"",TO_TEXT($A228))"),"P12PP-0227")</f>
        <v>P12PP-0227</v>
      </c>
      <c r="I228" s="6"/>
      <c r="J228" s="6" t="s">
        <v>1658</v>
      </c>
      <c r="K228" s="62"/>
      <c r="L228" s="36"/>
      <c r="M228" s="6" t="s">
        <v>141</v>
      </c>
      <c r="N228" s="17"/>
      <c r="O228" s="17"/>
      <c r="P228" s="17" t="str">
        <f t="shared" si="2"/>
        <v>REPETIDO</v>
      </c>
      <c r="Q228" s="35" t="s">
        <v>35</v>
      </c>
      <c r="R228" s="6" t="s">
        <v>35</v>
      </c>
      <c r="S228" s="10" t="s">
        <v>36</v>
      </c>
      <c r="T228" s="32" t="s">
        <v>85</v>
      </c>
      <c r="U228" s="173" t="s">
        <v>38</v>
      </c>
      <c r="V228" s="11" t="s">
        <v>1548</v>
      </c>
      <c r="W228" s="20" t="s">
        <v>1597</v>
      </c>
      <c r="X228" s="20" t="s">
        <v>1597</v>
      </c>
      <c r="Y228" s="20"/>
      <c r="Z228" s="7"/>
      <c r="AA228" s="7"/>
      <c r="AB228" s="23"/>
      <c r="AC228" s="26"/>
    </row>
    <row r="229" spans="1:29" ht="15.75" customHeight="1">
      <c r="A229" s="10" t="s">
        <v>1659</v>
      </c>
      <c r="B229" s="10" t="s">
        <v>1469</v>
      </c>
      <c r="C229" s="63" t="s">
        <v>868</v>
      </c>
      <c r="D229" s="12"/>
      <c r="E229" s="13" t="s">
        <v>184</v>
      </c>
      <c r="F229" s="43" t="s">
        <v>927</v>
      </c>
      <c r="G229" s="15" t="str">
        <f ca="1">IFERROR(__xludf.DUMMYFUNCTION("CONCATENATE(B229,(VLOOKUP(C229,CATALOGOS!$F$2:$H$6,3,FALSE)),(VLOOKUP(V229,CATALOGOS!$J$2:$K$18,2,FALSE)),""-"",TO_TEXT(A229))"),"P13SO-0228")</f>
        <v>P13SO-0228</v>
      </c>
      <c r="H229" s="6" t="str">
        <f ca="1">IFERROR(__xludf.DUMMYFUNCTION("CONCATENATE($B229,(VLOOKUP($C229,CATALOGOS!$F$2:$H$6,3,FALSE)),(VLOOKUP($V229,CATALOGOS!$J$2:$K$18,2,FALSE)),""-"",TO_TEXT($A229))"),"P13SO-0228")</f>
        <v>P13SO-0228</v>
      </c>
      <c r="I229" s="6"/>
      <c r="J229" s="6" t="s">
        <v>1660</v>
      </c>
      <c r="K229" s="6" t="s">
        <v>1661</v>
      </c>
      <c r="L229" s="6" t="s">
        <v>1662</v>
      </c>
      <c r="M229" s="6" t="s">
        <v>1663</v>
      </c>
      <c r="N229" s="17"/>
      <c r="O229" s="17"/>
      <c r="P229" s="17" t="str">
        <f t="shared" si="2"/>
        <v>OK</v>
      </c>
      <c r="Q229" s="17" t="s">
        <v>35</v>
      </c>
      <c r="R229" s="6" t="s">
        <v>35</v>
      </c>
      <c r="S229" s="17" t="s">
        <v>36</v>
      </c>
      <c r="T229" s="17" t="s">
        <v>1664</v>
      </c>
      <c r="U229" s="173" t="s">
        <v>38</v>
      </c>
      <c r="V229" s="11" t="s">
        <v>868</v>
      </c>
      <c r="W229" s="20" t="s">
        <v>1665</v>
      </c>
      <c r="X229" s="20" t="s">
        <v>1665</v>
      </c>
      <c r="Y229" s="20"/>
      <c r="Z229" s="7"/>
      <c r="AA229" s="7"/>
      <c r="AB229" s="23"/>
      <c r="AC229" s="26"/>
    </row>
    <row r="230" spans="1:29" ht="15.75" customHeight="1">
      <c r="A230" s="10" t="s">
        <v>1666</v>
      </c>
      <c r="B230" s="10" t="s">
        <v>1469</v>
      </c>
      <c r="C230" s="60" t="s">
        <v>1470</v>
      </c>
      <c r="D230" s="12"/>
      <c r="E230" s="13" t="s">
        <v>378</v>
      </c>
      <c r="F230" s="43" t="s">
        <v>831</v>
      </c>
      <c r="G230" s="6" t="str">
        <f ca="1">IFERROR(__xludf.DUMMYFUNCTION("CONCATENATE(B230,(VLOOKUP(C230,CATALOGOS!$F$2:$H$6,3,FALSE)),(VLOOKUP(V230,CATALOGOS!$J$2:$K$18,2,FALSE)),""-"",TO_TEXT(A230))"),"P12PP-0229")</f>
        <v>P12PP-0229</v>
      </c>
      <c r="H230" s="6" t="str">
        <f ca="1">IFERROR(__xludf.DUMMYFUNCTION("CONCATENATE($B230,(VLOOKUP($C230,CATALOGOS!$F$2:$H$6,3,FALSE)),(VLOOKUP($V230,CATALOGOS!$J$2:$K$18,2,FALSE)),""-"",TO_TEXT($A230))"),"P12PP-0229")</f>
        <v>P12PP-0229</v>
      </c>
      <c r="I230" s="6"/>
      <c r="J230" s="6" t="s">
        <v>1667</v>
      </c>
      <c r="K230" s="6" t="s">
        <v>1668</v>
      </c>
      <c r="L230" s="6" t="s">
        <v>1669</v>
      </c>
      <c r="M230" s="6" t="s">
        <v>1670</v>
      </c>
      <c r="N230" s="17"/>
      <c r="O230" s="17"/>
      <c r="P230" s="17" t="str">
        <f t="shared" si="2"/>
        <v>OK</v>
      </c>
      <c r="Q230" s="17" t="s">
        <v>35</v>
      </c>
      <c r="R230" s="6" t="s">
        <v>35</v>
      </c>
      <c r="S230" s="17" t="s">
        <v>36</v>
      </c>
      <c r="T230" s="17" t="s">
        <v>1671</v>
      </c>
      <c r="U230" s="173" t="s">
        <v>38</v>
      </c>
      <c r="V230" s="11" t="s">
        <v>1548</v>
      </c>
      <c r="W230" s="20" t="s">
        <v>1672</v>
      </c>
      <c r="X230" s="20" t="s">
        <v>1672</v>
      </c>
      <c r="Y230" s="20"/>
      <c r="Z230" s="7"/>
      <c r="AA230" s="7"/>
      <c r="AB230" s="23"/>
      <c r="AC230" s="26"/>
    </row>
    <row r="231" spans="1:29" ht="15.75" customHeight="1">
      <c r="A231" s="10" t="s">
        <v>1673</v>
      </c>
      <c r="B231" s="10" t="s">
        <v>1469</v>
      </c>
      <c r="C231" s="60" t="s">
        <v>1470</v>
      </c>
      <c r="D231" s="12"/>
      <c r="E231" s="13" t="s">
        <v>378</v>
      </c>
      <c r="F231" s="43" t="s">
        <v>1674</v>
      </c>
      <c r="G231" s="6" t="str">
        <f ca="1">IFERROR(__xludf.DUMMYFUNCTION("CONCATENATE(B231,(VLOOKUP(C231,CATALOGOS!$F$2:$H$6,3,FALSE)),(VLOOKUP(V231,CATALOGOS!$J$2:$K$18,2,FALSE)),""-"",TO_TEXT(A231))"),"P12PP-0230")</f>
        <v>P12PP-0230</v>
      </c>
      <c r="H231" s="6" t="str">
        <f ca="1">IFERROR(__xludf.DUMMYFUNCTION("CONCATENATE($B231,(VLOOKUP($C231,CATALOGOS!$F$2:$H$6,3,FALSE)),(VLOOKUP($V231,CATALOGOS!$J$2:$K$18,2,FALSE)),""-"",TO_TEXT($A231))"),"P12PP-0230")</f>
        <v>P12PP-0230</v>
      </c>
      <c r="I231" s="6"/>
      <c r="J231" s="6" t="s">
        <v>1675</v>
      </c>
      <c r="K231" s="6" t="s">
        <v>1676</v>
      </c>
      <c r="L231" s="6" t="s">
        <v>1677</v>
      </c>
      <c r="M231" s="6" t="s">
        <v>1678</v>
      </c>
      <c r="N231" s="17"/>
      <c r="O231" s="17"/>
      <c r="P231" s="17" t="str">
        <f t="shared" si="2"/>
        <v>OK</v>
      </c>
      <c r="Q231" s="17" t="s">
        <v>35</v>
      </c>
      <c r="R231" s="6" t="s">
        <v>35</v>
      </c>
      <c r="S231" s="17" t="s">
        <v>36</v>
      </c>
      <c r="T231" s="17" t="s">
        <v>1679</v>
      </c>
      <c r="U231" s="173" t="s">
        <v>38</v>
      </c>
      <c r="V231" s="11" t="s">
        <v>1548</v>
      </c>
      <c r="W231" s="20" t="s">
        <v>1597</v>
      </c>
      <c r="X231" s="20" t="s">
        <v>1597</v>
      </c>
      <c r="Y231" s="20"/>
      <c r="Z231" s="7"/>
      <c r="AA231" s="7"/>
      <c r="AB231" s="23"/>
      <c r="AC231" s="26"/>
    </row>
    <row r="232" spans="1:29" ht="15.75" customHeight="1">
      <c r="A232" s="10" t="s">
        <v>1680</v>
      </c>
      <c r="B232" s="10" t="s">
        <v>1469</v>
      </c>
      <c r="C232" s="60" t="s">
        <v>1470</v>
      </c>
      <c r="D232" s="12"/>
      <c r="E232" s="13" t="s">
        <v>53</v>
      </c>
      <c r="F232" s="6" t="s">
        <v>1681</v>
      </c>
      <c r="G232" s="6" t="str">
        <f ca="1">IFERROR(__xludf.DUMMYFUNCTION("CONCATENATE(B232,(VLOOKUP(C232,CATALOGOS!$F$2:$H$6,3,FALSE)),(VLOOKUP(V232,CATALOGOS!$J$2:$K$18,2,FALSE)),""-"",TO_TEXT(A232))"),"P12PP-0231")</f>
        <v>P12PP-0231</v>
      </c>
      <c r="H232" s="6" t="str">
        <f ca="1">IFERROR(__xludf.DUMMYFUNCTION("CONCATENATE($B232,(VLOOKUP($C232,CATALOGOS!$F$2:$H$6,3,FALSE)),(VLOOKUP($V232,CATALOGOS!$J$2:$K$18,2,FALSE)),""-"",TO_TEXT($A232))"),"P12PP-0231")</f>
        <v>P12PP-0231</v>
      </c>
      <c r="I232" s="6"/>
      <c r="J232" s="6" t="s">
        <v>1682</v>
      </c>
      <c r="K232" s="6" t="s">
        <v>1683</v>
      </c>
      <c r="L232" s="6" t="s">
        <v>1684</v>
      </c>
      <c r="M232" s="6" t="s">
        <v>1685</v>
      </c>
      <c r="N232" s="17"/>
      <c r="O232" s="17"/>
      <c r="P232" s="17" t="str">
        <f t="shared" si="2"/>
        <v>OK</v>
      </c>
      <c r="Q232" s="17" t="s">
        <v>35</v>
      </c>
      <c r="R232" s="6" t="s">
        <v>35</v>
      </c>
      <c r="S232" s="17" t="s">
        <v>36</v>
      </c>
      <c r="T232" s="17" t="s">
        <v>1686</v>
      </c>
      <c r="U232" s="173" t="s">
        <v>38</v>
      </c>
      <c r="V232" s="11" t="s">
        <v>1548</v>
      </c>
      <c r="W232" s="20" t="s">
        <v>1597</v>
      </c>
      <c r="X232" s="20" t="s">
        <v>1597</v>
      </c>
      <c r="Y232" s="20"/>
      <c r="Z232" s="6"/>
      <c r="AA232" s="6"/>
      <c r="AB232" s="23"/>
      <c r="AC232" s="24"/>
    </row>
    <row r="233" spans="1:29" ht="15.75" customHeight="1">
      <c r="A233" s="10" t="s">
        <v>1687</v>
      </c>
      <c r="B233" s="10" t="s">
        <v>1469</v>
      </c>
      <c r="C233" s="60" t="s">
        <v>1470</v>
      </c>
      <c r="D233" s="12"/>
      <c r="E233" s="13" t="s">
        <v>43</v>
      </c>
      <c r="F233" s="43" t="s">
        <v>1688</v>
      </c>
      <c r="G233" s="6" t="str">
        <f ca="1">IFERROR(__xludf.DUMMYFUNCTION("CONCATENATE(B233,(VLOOKUP(C233,CATALOGOS!$F$2:$H$6,3,FALSE)),(VLOOKUP(V233,CATALOGOS!$J$2:$K$18,2,FALSE)),""-"",TO_TEXT(A233))"),"P12PP-0232")</f>
        <v>P12PP-0232</v>
      </c>
      <c r="H233" s="6" t="str">
        <f ca="1">IFERROR(__xludf.DUMMYFUNCTION("CONCATENATE($B233,(VLOOKUP($C233,CATALOGOS!$F$2:$H$6,3,FALSE)),(VLOOKUP($V233,CATALOGOS!$J$2:$K$18,2,FALSE)),""-"",TO_TEXT($A233))"),"P12PP-0232")</f>
        <v>P12PP-0232</v>
      </c>
      <c r="I233" s="6"/>
      <c r="J233" s="6" t="s">
        <v>1689</v>
      </c>
      <c r="K233" s="6" t="s">
        <v>1690</v>
      </c>
      <c r="L233" s="6" t="s">
        <v>1691</v>
      </c>
      <c r="M233" s="6" t="s">
        <v>1692</v>
      </c>
      <c r="N233" s="17"/>
      <c r="O233" s="17"/>
      <c r="P233" s="17" t="str">
        <f t="shared" si="2"/>
        <v>OK</v>
      </c>
      <c r="Q233" s="17" t="s">
        <v>1693</v>
      </c>
      <c r="R233" s="6">
        <v>3141</v>
      </c>
      <c r="S233" s="17" t="s">
        <v>36</v>
      </c>
      <c r="T233" s="17" t="s">
        <v>1694</v>
      </c>
      <c r="U233" s="173" t="s">
        <v>38</v>
      </c>
      <c r="V233" s="11" t="s">
        <v>1548</v>
      </c>
      <c r="W233" s="20" t="s">
        <v>1597</v>
      </c>
      <c r="X233" s="20" t="s">
        <v>1597</v>
      </c>
      <c r="Y233" s="20"/>
      <c r="Z233" s="7"/>
      <c r="AA233" s="7"/>
      <c r="AB233" s="23"/>
      <c r="AC233" s="26"/>
    </row>
    <row r="234" spans="1:29" ht="15.75" customHeight="1">
      <c r="A234" s="10" t="s">
        <v>1695</v>
      </c>
      <c r="B234" s="10" t="s">
        <v>1469</v>
      </c>
      <c r="C234" s="60" t="s">
        <v>1470</v>
      </c>
      <c r="D234" s="12"/>
      <c r="E234" s="13" t="s">
        <v>93</v>
      </c>
      <c r="F234" s="43" t="s">
        <v>1696</v>
      </c>
      <c r="G234" s="6" t="str">
        <f ca="1">IFERROR(__xludf.DUMMYFUNCTION("CONCATENATE(B234,(VLOOKUP(C234,CATALOGOS!$F$2:$H$6,3,FALSE)),(VLOOKUP(V234,CATALOGOS!$J$2:$K$18,2,FALSE)),""-"",TO_TEXT(A234))"),"P12PP-0233")</f>
        <v>P12PP-0233</v>
      </c>
      <c r="H234" s="6" t="str">
        <f ca="1">IFERROR(__xludf.DUMMYFUNCTION("CONCATENATE($B234,(VLOOKUP($C234,CATALOGOS!$F$2:$H$6,3,FALSE)),(VLOOKUP($V234,CATALOGOS!$J$2:$K$18,2,FALSE)),""-"",TO_TEXT($A234))"),"P12PP-0233")</f>
        <v>P12PP-0233</v>
      </c>
      <c r="I234" s="6"/>
      <c r="J234" s="6" t="s">
        <v>1697</v>
      </c>
      <c r="K234" s="6" t="s">
        <v>1698</v>
      </c>
      <c r="L234" s="6" t="s">
        <v>1699</v>
      </c>
      <c r="M234" s="6" t="s">
        <v>1700</v>
      </c>
      <c r="N234" s="17"/>
      <c r="O234" s="17"/>
      <c r="P234" s="17" t="str">
        <f t="shared" si="2"/>
        <v>OK</v>
      </c>
      <c r="Q234" s="17" t="s">
        <v>35</v>
      </c>
      <c r="R234" s="6" t="s">
        <v>35</v>
      </c>
      <c r="S234" s="17" t="s">
        <v>36</v>
      </c>
      <c r="T234" s="17" t="s">
        <v>1701</v>
      </c>
      <c r="U234" s="173" t="s">
        <v>38</v>
      </c>
      <c r="V234" s="11" t="s">
        <v>1548</v>
      </c>
      <c r="W234" s="20" t="s">
        <v>1550</v>
      </c>
      <c r="X234" s="20" t="s">
        <v>1550</v>
      </c>
      <c r="Y234" s="20"/>
      <c r="Z234" s="7"/>
      <c r="AA234" s="7"/>
      <c r="AB234" s="23"/>
      <c r="AC234" s="26"/>
    </row>
    <row r="235" spans="1:29" ht="15.75" customHeight="1">
      <c r="A235" s="10" t="s">
        <v>1702</v>
      </c>
      <c r="B235" s="10" t="s">
        <v>1469</v>
      </c>
      <c r="C235" s="60" t="s">
        <v>1470</v>
      </c>
      <c r="D235" s="12"/>
      <c r="E235" s="13" t="s">
        <v>378</v>
      </c>
      <c r="F235" s="43" t="s">
        <v>1703</v>
      </c>
      <c r="G235" s="6" t="str">
        <f ca="1">IFERROR(__xludf.DUMMYFUNCTION("CONCATENATE(B235,(VLOOKUP(C235,CATALOGOS!$F$2:$H$6,3,FALSE)),(VLOOKUP(V235,CATALOGOS!$J$2:$K$18,2,FALSE)),""-"",TO_TEXT(A235))"),"P12PP-0234")</f>
        <v>P12PP-0234</v>
      </c>
      <c r="H235" s="6" t="str">
        <f ca="1">IFERROR(__xludf.DUMMYFUNCTION("CONCATENATE($B235,(VLOOKUP($C235,CATALOGOS!$F$2:$H$6,3,FALSE)),(VLOOKUP($V235,CATALOGOS!$J$2:$K$18,2,FALSE)),""-"",TO_TEXT($A235))"),"P12PP-0234")</f>
        <v>P12PP-0234</v>
      </c>
      <c r="I235" s="6"/>
      <c r="J235" s="6" t="s">
        <v>1704</v>
      </c>
      <c r="K235" s="6" t="s">
        <v>1705</v>
      </c>
      <c r="L235" s="6" t="s">
        <v>1706</v>
      </c>
      <c r="M235" s="6" t="s">
        <v>1707</v>
      </c>
      <c r="N235" s="17"/>
      <c r="O235" s="17"/>
      <c r="P235" s="17" t="str">
        <f t="shared" si="2"/>
        <v>OK</v>
      </c>
      <c r="Q235" s="17" t="s">
        <v>35</v>
      </c>
      <c r="R235" s="6" t="s">
        <v>35</v>
      </c>
      <c r="S235" s="17" t="s">
        <v>36</v>
      </c>
      <c r="T235" s="17" t="s">
        <v>1708</v>
      </c>
      <c r="U235" s="173" t="s">
        <v>38</v>
      </c>
      <c r="V235" s="11" t="s">
        <v>1548</v>
      </c>
      <c r="W235" s="20" t="s">
        <v>1597</v>
      </c>
      <c r="X235" s="20" t="s">
        <v>1597</v>
      </c>
      <c r="Y235" s="20"/>
      <c r="Z235" s="7"/>
      <c r="AA235" s="7"/>
      <c r="AB235" s="23"/>
      <c r="AC235" s="26"/>
    </row>
    <row r="236" spans="1:29" ht="15.75" customHeight="1">
      <c r="A236" s="10" t="s">
        <v>1709</v>
      </c>
      <c r="B236" s="10" t="s">
        <v>1469</v>
      </c>
      <c r="C236" s="60" t="s">
        <v>1470</v>
      </c>
      <c r="D236" s="12"/>
      <c r="E236" s="13" t="s">
        <v>378</v>
      </c>
      <c r="F236" s="43" t="s">
        <v>1703</v>
      </c>
      <c r="G236" s="6" t="str">
        <f ca="1">IFERROR(__xludf.DUMMYFUNCTION("CONCATENATE(B236,(VLOOKUP(C236,CATALOGOS!$F$2:$H$6,3,FALSE)),(VLOOKUP(V236,CATALOGOS!$J$2:$K$18,2,FALSE)),""-"",TO_TEXT(A236))"),"P12PP-0235")</f>
        <v>P12PP-0235</v>
      </c>
      <c r="H236" s="6" t="str">
        <f ca="1">IFERROR(__xludf.DUMMYFUNCTION("CONCATENATE($B236,(VLOOKUP($C236,CATALOGOS!$F$2:$H$6,3,FALSE)),(VLOOKUP($V236,CATALOGOS!$J$2:$K$18,2,FALSE)),""-"",TO_TEXT($A236))"),"P12PP-0235")</f>
        <v>P12PP-0235</v>
      </c>
      <c r="I236" s="6"/>
      <c r="J236" s="6" t="s">
        <v>1710</v>
      </c>
      <c r="K236" s="6" t="s">
        <v>1711</v>
      </c>
      <c r="L236" s="6" t="s">
        <v>1712</v>
      </c>
      <c r="M236" s="6" t="s">
        <v>1713</v>
      </c>
      <c r="N236" s="17"/>
      <c r="O236" s="17"/>
      <c r="P236" s="17" t="str">
        <f t="shared" si="2"/>
        <v>OK</v>
      </c>
      <c r="Q236" s="17" t="s">
        <v>35</v>
      </c>
      <c r="R236" s="6" t="s">
        <v>35</v>
      </c>
      <c r="S236" s="17" t="s">
        <v>36</v>
      </c>
      <c r="T236" s="17" t="s">
        <v>1714</v>
      </c>
      <c r="U236" s="173" t="s">
        <v>38</v>
      </c>
      <c r="V236" s="11" t="s">
        <v>1548</v>
      </c>
      <c r="W236" s="20" t="s">
        <v>1597</v>
      </c>
      <c r="X236" s="20" t="s">
        <v>1597</v>
      </c>
      <c r="Y236" s="20"/>
      <c r="Z236" s="7"/>
      <c r="AA236" s="7"/>
      <c r="AB236" s="23"/>
      <c r="AC236" s="26"/>
    </row>
    <row r="237" spans="1:29" ht="15.75" customHeight="1">
      <c r="A237" s="10" t="s">
        <v>1715</v>
      </c>
      <c r="B237" s="10" t="s">
        <v>1469</v>
      </c>
      <c r="C237" s="60" t="s">
        <v>1470</v>
      </c>
      <c r="D237" s="12"/>
      <c r="E237" s="13" t="s">
        <v>62</v>
      </c>
      <c r="F237" s="43" t="s">
        <v>1716</v>
      </c>
      <c r="G237" s="6" t="str">
        <f ca="1">IFERROR(__xludf.DUMMYFUNCTION("CONCATENATE(B237,(VLOOKUP(C237,CATALOGOS!$F$2:$H$6,3,FALSE)),(VLOOKUP(V237,CATALOGOS!$J$2:$K$18,2,FALSE)),""-"",TO_TEXT(A237))"),"P12PP-0236")</f>
        <v>P12PP-0236</v>
      </c>
      <c r="H237" s="6" t="str">
        <f ca="1">IFERROR(__xludf.DUMMYFUNCTION("CONCATENATE($B237,(VLOOKUP($C237,CATALOGOS!$F$2:$H$6,3,FALSE)),(VLOOKUP($V237,CATALOGOS!$J$2:$K$18,2,FALSE)),""-"",TO_TEXT($A237))"),"P12PP-0236")</f>
        <v>P12PP-0236</v>
      </c>
      <c r="I237" s="6"/>
      <c r="J237" s="6" t="s">
        <v>1717</v>
      </c>
      <c r="K237" s="6" t="s">
        <v>1718</v>
      </c>
      <c r="L237" s="6" t="s">
        <v>1719</v>
      </c>
      <c r="M237" s="6" t="s">
        <v>1720</v>
      </c>
      <c r="N237" s="17"/>
      <c r="O237" s="17"/>
      <c r="P237" s="17" t="str">
        <f t="shared" si="2"/>
        <v>OK</v>
      </c>
      <c r="Q237" s="17" t="s">
        <v>35</v>
      </c>
      <c r="R237" s="6" t="s">
        <v>35</v>
      </c>
      <c r="S237" s="17" t="s">
        <v>36</v>
      </c>
      <c r="T237" s="17" t="s">
        <v>85</v>
      </c>
      <c r="U237" s="173" t="s">
        <v>38</v>
      </c>
      <c r="V237" s="11" t="s">
        <v>1548</v>
      </c>
      <c r="W237" s="20" t="s">
        <v>1597</v>
      </c>
      <c r="X237" s="20" t="s">
        <v>1597</v>
      </c>
      <c r="Y237" s="20"/>
      <c r="Z237" s="6"/>
      <c r="AA237" s="6"/>
      <c r="AB237" s="23"/>
      <c r="AC237" s="24"/>
    </row>
    <row r="238" spans="1:29" ht="15.75" customHeight="1">
      <c r="A238" s="10" t="s">
        <v>1721</v>
      </c>
      <c r="B238" s="10" t="s">
        <v>1469</v>
      </c>
      <c r="C238" s="60" t="s">
        <v>1470</v>
      </c>
      <c r="D238" s="38"/>
      <c r="E238" s="13" t="s">
        <v>248</v>
      </c>
      <c r="F238" s="43" t="s">
        <v>249</v>
      </c>
      <c r="G238" s="6" t="str">
        <f ca="1">IFERROR(__xludf.DUMMYFUNCTION("CONCATENATE(B238,(VLOOKUP(C238,CATALOGOS!$F$2:$H$6,3,FALSE)),(VLOOKUP(V238,CATALOGOS!$J$2:$K$18,2,FALSE)),""-"",TO_TEXT(A238))"),"P12PP-0237")</f>
        <v>P12PP-0237</v>
      </c>
      <c r="H238" s="6" t="str">
        <f ca="1">IFERROR(__xludf.DUMMYFUNCTION("CONCATENATE($B238,(VLOOKUP($C238,CATALOGOS!$F$2:$H$6,3,FALSE)),(VLOOKUP($V238,CATALOGOS!$J$2:$K$18,2,FALSE)),""-"",TO_TEXT($A238))"),"P12PP-0237")</f>
        <v>P12PP-0237</v>
      </c>
      <c r="I238" s="6"/>
      <c r="J238" s="6" t="s">
        <v>1722</v>
      </c>
      <c r="K238" s="17" t="s">
        <v>1723</v>
      </c>
      <c r="L238" s="17" t="s">
        <v>1724</v>
      </c>
      <c r="M238" s="17" t="s">
        <v>1725</v>
      </c>
      <c r="N238" s="17"/>
      <c r="O238" s="17"/>
      <c r="P238" s="17" t="str">
        <f t="shared" si="2"/>
        <v>OK</v>
      </c>
      <c r="Q238" s="17" t="s">
        <v>303</v>
      </c>
      <c r="R238" s="6" t="s">
        <v>1726</v>
      </c>
      <c r="S238" s="46" t="s">
        <v>1727</v>
      </c>
      <c r="T238" s="17" t="s">
        <v>1728</v>
      </c>
      <c r="U238" s="173" t="s">
        <v>38</v>
      </c>
      <c r="V238" s="11" t="s">
        <v>1548</v>
      </c>
      <c r="W238" s="20" t="s">
        <v>1597</v>
      </c>
      <c r="X238" s="20" t="s">
        <v>1597</v>
      </c>
      <c r="Y238" s="20"/>
      <c r="Z238" s="7"/>
      <c r="AA238" s="7"/>
      <c r="AB238" s="26"/>
      <c r="AC238" s="26"/>
    </row>
    <row r="239" spans="1:29" ht="15.75" customHeight="1">
      <c r="A239" s="10" t="s">
        <v>1729</v>
      </c>
      <c r="B239" s="10" t="s">
        <v>1469</v>
      </c>
      <c r="C239" s="60" t="s">
        <v>1470</v>
      </c>
      <c r="D239" s="12"/>
      <c r="E239" s="13" t="s">
        <v>116</v>
      </c>
      <c r="F239" s="6" t="s">
        <v>1730</v>
      </c>
      <c r="G239" s="6" t="str">
        <f ca="1">IFERROR(__xludf.DUMMYFUNCTION("CONCATENATE(B239,(VLOOKUP(C239,CATALOGOS!$F$2:$H$6,3,FALSE)),(VLOOKUP(V239,CATALOGOS!$J$2:$K$18,2,FALSE)),""-"",TO_TEXT(A239))"),"P12PP-0238")</f>
        <v>P12PP-0238</v>
      </c>
      <c r="H239" s="6" t="str">
        <f ca="1">IFERROR(__xludf.DUMMYFUNCTION("CONCATENATE($B239,(VLOOKUP($C239,CATALOGOS!$F$2:$H$6,3,FALSE)),(VLOOKUP($V239,CATALOGOS!$J$2:$K$18,2,FALSE)),""-"",TO_TEXT($A239))"),"P12PP-0238")</f>
        <v>P12PP-0238</v>
      </c>
      <c r="I239" s="6"/>
      <c r="J239" s="6" t="s">
        <v>1731</v>
      </c>
      <c r="K239" s="6" t="s">
        <v>1732</v>
      </c>
      <c r="L239" s="6" t="s">
        <v>1733</v>
      </c>
      <c r="M239" s="6" t="s">
        <v>1734</v>
      </c>
      <c r="N239" s="17"/>
      <c r="O239" s="17"/>
      <c r="P239" s="17" t="str">
        <f t="shared" si="2"/>
        <v>OK</v>
      </c>
      <c r="Q239" s="17" t="s">
        <v>35</v>
      </c>
      <c r="R239" s="6" t="s">
        <v>35</v>
      </c>
      <c r="S239" s="17" t="s">
        <v>36</v>
      </c>
      <c r="T239" s="17" t="s">
        <v>1735</v>
      </c>
      <c r="U239" s="173" t="s">
        <v>38</v>
      </c>
      <c r="V239" s="11" t="s">
        <v>1548</v>
      </c>
      <c r="W239" s="20" t="s">
        <v>1737</v>
      </c>
      <c r="X239" s="20" t="s">
        <v>1737</v>
      </c>
      <c r="Y239" s="20"/>
      <c r="Z239" s="7"/>
      <c r="AA239" s="7"/>
      <c r="AB239" s="23"/>
      <c r="AC239" s="26"/>
    </row>
    <row r="240" spans="1:29" ht="15.75" customHeight="1">
      <c r="A240" s="10" t="s">
        <v>1738</v>
      </c>
      <c r="B240" s="10" t="s">
        <v>1469</v>
      </c>
      <c r="C240" s="60" t="s">
        <v>1470</v>
      </c>
      <c r="D240" s="12"/>
      <c r="E240" s="13" t="s">
        <v>93</v>
      </c>
      <c r="F240" s="6" t="s">
        <v>1739</v>
      </c>
      <c r="G240" s="6" t="str">
        <f ca="1">IFERROR(__xludf.DUMMYFUNCTION("CONCATENATE(B240,(VLOOKUP(C240,CATALOGOS!$F$2:$H$6,3,FALSE)),(VLOOKUP(V240,CATALOGOS!$J$2:$K$18,2,FALSE)),""-"",TO_TEXT(A240))"),"P12PP-0239")</f>
        <v>P12PP-0239</v>
      </c>
      <c r="H240" s="6" t="str">
        <f ca="1">IFERROR(__xludf.DUMMYFUNCTION("CONCATENATE($B240,(VLOOKUP($C240,CATALOGOS!$F$2:$H$6,3,FALSE)),(VLOOKUP($V240,CATALOGOS!$J$2:$K$18,2,FALSE)),""-"",TO_TEXT($A240))"),"P12PP-0239")</f>
        <v>P12PP-0239</v>
      </c>
      <c r="I240" s="6"/>
      <c r="J240" s="6" t="s">
        <v>1740</v>
      </c>
      <c r="K240" s="6" t="s">
        <v>1741</v>
      </c>
      <c r="L240" s="6" t="s">
        <v>1742</v>
      </c>
      <c r="M240" s="6" t="s">
        <v>1743</v>
      </c>
      <c r="N240" s="17"/>
      <c r="O240" s="17"/>
      <c r="P240" s="17" t="str">
        <f t="shared" si="2"/>
        <v>OK</v>
      </c>
      <c r="Q240" s="17" t="s">
        <v>35</v>
      </c>
      <c r="R240" s="6" t="s">
        <v>35</v>
      </c>
      <c r="S240" s="17" t="s">
        <v>36</v>
      </c>
      <c r="T240" s="17" t="s">
        <v>1744</v>
      </c>
      <c r="U240" s="173" t="s">
        <v>38</v>
      </c>
      <c r="V240" s="11" t="s">
        <v>1548</v>
      </c>
      <c r="W240" s="20" t="s">
        <v>1737</v>
      </c>
      <c r="X240" s="20" t="s">
        <v>1737</v>
      </c>
      <c r="Y240" s="20"/>
      <c r="Z240" s="7"/>
      <c r="AA240" s="7"/>
      <c r="AB240" s="23"/>
      <c r="AC240" s="26"/>
    </row>
    <row r="241" spans="1:30" ht="15.75" customHeight="1">
      <c r="A241" s="10" t="s">
        <v>1745</v>
      </c>
      <c r="B241" s="10" t="s">
        <v>1469</v>
      </c>
      <c r="C241" s="60" t="s">
        <v>1470</v>
      </c>
      <c r="D241" s="12"/>
      <c r="E241" s="13" t="s">
        <v>199</v>
      </c>
      <c r="F241" s="6" t="s">
        <v>1746</v>
      </c>
      <c r="G241" s="6" t="str">
        <f ca="1">IFERROR(__xludf.DUMMYFUNCTION("CONCATENATE(B241,(VLOOKUP(C241,CATALOGOS!$F$2:$H$6,3,FALSE)),(VLOOKUP(V241,CATALOGOS!$J$2:$K$18,2,FALSE)),""-"",TO_TEXT(A241))"),"P12PP-0240")</f>
        <v>P12PP-0240</v>
      </c>
      <c r="H241" s="6" t="str">
        <f ca="1">IFERROR(__xludf.DUMMYFUNCTION("CONCATENATE($B241,(VLOOKUP($C241,CATALOGOS!$F$2:$H$6,3,FALSE)),(VLOOKUP($V241,CATALOGOS!$J$2:$K$18,2,FALSE)),""-"",TO_TEXT($A241))"),"P12PP-0240")</f>
        <v>P12PP-0240</v>
      </c>
      <c r="I241" s="6"/>
      <c r="J241" s="6" t="s">
        <v>1747</v>
      </c>
      <c r="K241" s="6" t="s">
        <v>1748</v>
      </c>
      <c r="L241" s="6" t="s">
        <v>1749</v>
      </c>
      <c r="M241" s="6" t="s">
        <v>141</v>
      </c>
      <c r="N241" s="17"/>
      <c r="O241" s="17"/>
      <c r="P241" s="17" t="str">
        <f t="shared" si="2"/>
        <v>REPETIDO</v>
      </c>
      <c r="Q241" s="17" t="s">
        <v>682</v>
      </c>
      <c r="R241" s="6" t="s">
        <v>1750</v>
      </c>
      <c r="S241" s="17" t="s">
        <v>1751</v>
      </c>
      <c r="T241" s="17" t="s">
        <v>1752</v>
      </c>
      <c r="U241" s="173" t="s">
        <v>38</v>
      </c>
      <c r="V241" s="11" t="s">
        <v>1548</v>
      </c>
      <c r="W241" s="20" t="s">
        <v>1737</v>
      </c>
      <c r="X241" s="20" t="s">
        <v>1737</v>
      </c>
      <c r="Y241" s="20"/>
      <c r="Z241" s="7"/>
      <c r="AA241" s="7"/>
      <c r="AB241" s="23"/>
      <c r="AC241" s="26"/>
    </row>
    <row r="242" spans="1:30" ht="15.75" customHeight="1">
      <c r="A242" s="10" t="s">
        <v>1753</v>
      </c>
      <c r="B242" s="10" t="s">
        <v>1469</v>
      </c>
      <c r="C242" s="60" t="s">
        <v>1470</v>
      </c>
      <c r="D242" s="38"/>
      <c r="E242" s="13" t="s">
        <v>248</v>
      </c>
      <c r="F242" s="6" t="s">
        <v>249</v>
      </c>
      <c r="G242" s="6" t="str">
        <f ca="1">IFERROR(__xludf.DUMMYFUNCTION("CONCATENATE(B242,(VLOOKUP(C242,CATALOGOS!$F$2:$H$6,3,FALSE)),(VLOOKUP(V242,CATALOGOS!$J$2:$K$18,2,FALSE)),""-"",TO_TEXT(A242))"),"P12PP-0241")</f>
        <v>P12PP-0241</v>
      </c>
      <c r="H242" s="6" t="str">
        <f ca="1">IFERROR(__xludf.DUMMYFUNCTION("CONCATENATE($B242,(VLOOKUP($C242,CATALOGOS!$F$2:$H$6,3,FALSE)),(VLOOKUP($V242,CATALOGOS!$J$2:$K$18,2,FALSE)),""-"",TO_TEXT($A242))"),"P12PP-0241")</f>
        <v>P12PP-0241</v>
      </c>
      <c r="I242" s="6"/>
      <c r="J242" s="6" t="s">
        <v>1754</v>
      </c>
      <c r="K242" s="6" t="s">
        <v>1755</v>
      </c>
      <c r="L242" s="6" t="s">
        <v>1756</v>
      </c>
      <c r="M242" s="6" t="s">
        <v>1757</v>
      </c>
      <c r="N242" s="17"/>
      <c r="O242" s="17"/>
      <c r="P242" s="17" t="str">
        <f t="shared" si="2"/>
        <v>OK</v>
      </c>
      <c r="Q242" s="6" t="s">
        <v>303</v>
      </c>
      <c r="R242" s="6" t="s">
        <v>304</v>
      </c>
      <c r="S242" s="46" t="s">
        <v>1758</v>
      </c>
      <c r="T242" s="17" t="s">
        <v>1759</v>
      </c>
      <c r="U242" s="173" t="s">
        <v>38</v>
      </c>
      <c r="V242" s="11" t="s">
        <v>1548</v>
      </c>
      <c r="W242" s="20" t="s">
        <v>1672</v>
      </c>
      <c r="X242" s="20" t="s">
        <v>1672</v>
      </c>
      <c r="Y242" s="20"/>
      <c r="Z242" s="7"/>
      <c r="AA242" s="7"/>
      <c r="AB242" s="26"/>
      <c r="AC242" s="26"/>
    </row>
    <row r="243" spans="1:30" ht="15.75" customHeight="1">
      <c r="A243" s="10" t="s">
        <v>1760</v>
      </c>
      <c r="B243" s="10" t="s">
        <v>1469</v>
      </c>
      <c r="C243" s="60" t="s">
        <v>1470</v>
      </c>
      <c r="D243" s="12"/>
      <c r="E243" s="13" t="s">
        <v>116</v>
      </c>
      <c r="F243" s="6" t="s">
        <v>1730</v>
      </c>
      <c r="G243" s="6" t="str">
        <f ca="1">IFERROR(__xludf.DUMMYFUNCTION("CONCATENATE(B243,(VLOOKUP(C243,CATALOGOS!$F$2:$H$6,3,FALSE)),(VLOOKUP(V243,CATALOGOS!$J$2:$K$18,2,FALSE)),""-"",TO_TEXT(A243))"),"P12PP-0242")</f>
        <v>P12PP-0242</v>
      </c>
      <c r="H243" s="6" t="str">
        <f ca="1">IFERROR(__xludf.DUMMYFUNCTION("CONCATENATE($B243,(VLOOKUP($C243,CATALOGOS!$F$2:$H$6,3,FALSE)),(VLOOKUP($V243,CATALOGOS!$J$2:$K$18,2,FALSE)),""-"",TO_TEXT($A243))"),"P12PP-0242")</f>
        <v>P12PP-0242</v>
      </c>
      <c r="I243" s="6"/>
      <c r="J243" s="6" t="s">
        <v>1761</v>
      </c>
      <c r="K243" s="6" t="s">
        <v>1762</v>
      </c>
      <c r="L243" s="6" t="s">
        <v>1763</v>
      </c>
      <c r="M243" s="6" t="s">
        <v>1764</v>
      </c>
      <c r="N243" s="17"/>
      <c r="O243" s="17"/>
      <c r="P243" s="17" t="str">
        <f t="shared" si="2"/>
        <v>OK</v>
      </c>
      <c r="Q243" s="17" t="s">
        <v>35</v>
      </c>
      <c r="R243" s="6" t="s">
        <v>35</v>
      </c>
      <c r="S243" s="17" t="s">
        <v>36</v>
      </c>
      <c r="T243" s="17" t="s">
        <v>1765</v>
      </c>
      <c r="U243" s="173" t="s">
        <v>38</v>
      </c>
      <c r="V243" s="11" t="s">
        <v>1548</v>
      </c>
      <c r="W243" s="22" t="s">
        <v>1672</v>
      </c>
      <c r="X243" s="22" t="s">
        <v>1672</v>
      </c>
      <c r="Y243" s="22"/>
      <c r="Z243" s="36"/>
      <c r="AA243" s="36"/>
      <c r="AB243" s="23"/>
      <c r="AC243" s="33"/>
    </row>
    <row r="244" spans="1:30" ht="15.75" customHeight="1">
      <c r="A244" s="10" t="s">
        <v>1766</v>
      </c>
      <c r="B244" s="10" t="s">
        <v>1469</v>
      </c>
      <c r="C244" s="60" t="s">
        <v>1470</v>
      </c>
      <c r="D244" s="12"/>
      <c r="E244" s="13" t="s">
        <v>93</v>
      </c>
      <c r="F244" s="6" t="s">
        <v>1739</v>
      </c>
      <c r="G244" s="6" t="str">
        <f ca="1">IFERROR(__xludf.DUMMYFUNCTION("CONCATENATE(B244,(VLOOKUP(C244,CATALOGOS!$F$2:$H$6,3,FALSE)),(VLOOKUP(V244,CATALOGOS!$J$2:$K$18,2,FALSE)),""-"",TO_TEXT(A244))"),"P12PP-0243")</f>
        <v>P12PP-0243</v>
      </c>
      <c r="H244" s="6" t="str">
        <f ca="1">IFERROR(__xludf.DUMMYFUNCTION("CONCATENATE($B244,(VLOOKUP($C244,CATALOGOS!$F$2:$H$6,3,FALSE)),(VLOOKUP($V244,CATALOGOS!$J$2:$K$18,2,FALSE)),""-"",TO_TEXT($A244))"),"P12PP-0243")</f>
        <v>P12PP-0243</v>
      </c>
      <c r="I244" s="6"/>
      <c r="J244" s="6" t="s">
        <v>1767</v>
      </c>
      <c r="K244" s="6" t="s">
        <v>1768</v>
      </c>
      <c r="L244" s="6" t="s">
        <v>1769</v>
      </c>
      <c r="M244" s="6" t="s">
        <v>1770</v>
      </c>
      <c r="N244" s="17"/>
      <c r="O244" s="17"/>
      <c r="P244" s="17" t="str">
        <f t="shared" si="2"/>
        <v>OK</v>
      </c>
      <c r="Q244" s="17" t="s">
        <v>35</v>
      </c>
      <c r="R244" s="6" t="s">
        <v>35</v>
      </c>
      <c r="S244" s="17" t="s">
        <v>36</v>
      </c>
      <c r="T244" s="17" t="s">
        <v>1771</v>
      </c>
      <c r="U244" s="173" t="s">
        <v>38</v>
      </c>
      <c r="V244" s="11" t="s">
        <v>1548</v>
      </c>
      <c r="W244" s="22" t="s">
        <v>1672</v>
      </c>
      <c r="X244" s="22" t="s">
        <v>1672</v>
      </c>
      <c r="Y244" s="22"/>
      <c r="Z244" s="36"/>
      <c r="AA244" s="36"/>
      <c r="AB244" s="23"/>
      <c r="AC244" s="33"/>
    </row>
    <row r="245" spans="1:30" ht="15.75" customHeight="1">
      <c r="A245" s="10" t="s">
        <v>1772</v>
      </c>
      <c r="B245" s="10" t="s">
        <v>1469</v>
      </c>
      <c r="C245" s="60" t="s">
        <v>1470</v>
      </c>
      <c r="D245" s="12"/>
      <c r="E245" s="13" t="s">
        <v>1240</v>
      </c>
      <c r="F245" s="43" t="s">
        <v>278</v>
      </c>
      <c r="G245" s="6" t="str">
        <f ca="1">IFERROR(__xludf.DUMMYFUNCTION("CONCATENATE(B245,(VLOOKUP(C245,CATALOGOS!$F$2:$H$6,3,FALSE)),(VLOOKUP(V245,CATALOGOS!$J$2:$K$18,2,FALSE)),""-"",TO_TEXT(A245))"),"P12PP-0244")</f>
        <v>P12PP-0244</v>
      </c>
      <c r="H245" s="6" t="str">
        <f ca="1">IFERROR(__xludf.DUMMYFUNCTION("CONCATENATE($B245,(VLOOKUP($C245,CATALOGOS!$F$2:$H$6,3,FALSE)),(VLOOKUP($V245,CATALOGOS!$J$2:$K$18,2,FALSE)),""-"",TO_TEXT($A245))"),"P12PP-0244")</f>
        <v>P12PP-0244</v>
      </c>
      <c r="I245" s="6"/>
      <c r="J245" s="6" t="s">
        <v>1773</v>
      </c>
      <c r="K245" s="6" t="s">
        <v>1774</v>
      </c>
      <c r="L245" s="6" t="s">
        <v>1775</v>
      </c>
      <c r="M245" s="6" t="s">
        <v>1776</v>
      </c>
      <c r="N245" s="17"/>
      <c r="O245" s="17"/>
      <c r="P245" s="17" t="str">
        <f t="shared" si="2"/>
        <v>OK</v>
      </c>
      <c r="Q245" s="17" t="s">
        <v>35</v>
      </c>
      <c r="R245" s="6" t="s">
        <v>35</v>
      </c>
      <c r="S245" s="17" t="s">
        <v>36</v>
      </c>
      <c r="T245" s="17" t="s">
        <v>1777</v>
      </c>
      <c r="U245" s="173" t="s">
        <v>38</v>
      </c>
      <c r="V245" s="11" t="s">
        <v>1548</v>
      </c>
      <c r="W245" s="22" t="s">
        <v>1672</v>
      </c>
      <c r="X245" s="22" t="s">
        <v>1672</v>
      </c>
      <c r="Y245" s="22"/>
      <c r="Z245" s="7"/>
      <c r="AA245" s="7"/>
      <c r="AB245" s="23"/>
      <c r="AC245" s="26"/>
    </row>
    <row r="246" spans="1:30" ht="15.75" customHeight="1">
      <c r="A246" s="10" t="s">
        <v>1778</v>
      </c>
      <c r="B246" s="10" t="s">
        <v>1469</v>
      </c>
      <c r="C246" s="60" t="s">
        <v>1470</v>
      </c>
      <c r="D246" s="12"/>
      <c r="E246" s="13" t="s">
        <v>199</v>
      </c>
      <c r="F246" s="6" t="s">
        <v>199</v>
      </c>
      <c r="G246" s="6" t="str">
        <f ca="1">IFERROR(__xludf.DUMMYFUNCTION("CONCATENATE(B246,(VLOOKUP(C246,CATALOGOS!$F$2:$H$6,3,FALSE)),(VLOOKUP(V246,CATALOGOS!$J$2:$K$18,2,FALSE)),""-"",TO_TEXT(A246))"),"P12PP-0245")</f>
        <v>P12PP-0245</v>
      </c>
      <c r="H246" s="6" t="str">
        <f ca="1">IFERROR(__xludf.DUMMYFUNCTION("CONCATENATE($B246,(VLOOKUP($C246,CATALOGOS!$F$2:$H$6,3,FALSE)),(VLOOKUP($V246,CATALOGOS!$J$2:$K$18,2,FALSE)),""-"",TO_TEXT($A246))"),"P12PP-0245")</f>
        <v>P12PP-0245</v>
      </c>
      <c r="I246" s="6"/>
      <c r="J246" s="6" t="s">
        <v>1779</v>
      </c>
      <c r="K246" s="6" t="s">
        <v>1780</v>
      </c>
      <c r="L246" s="6" t="s">
        <v>1781</v>
      </c>
      <c r="M246" s="6" t="s">
        <v>1782</v>
      </c>
      <c r="N246" s="17"/>
      <c r="O246" s="17"/>
      <c r="P246" s="17" t="str">
        <f t="shared" si="2"/>
        <v>OK</v>
      </c>
      <c r="Q246" s="17" t="s">
        <v>273</v>
      </c>
      <c r="R246" s="6" t="s">
        <v>274</v>
      </c>
      <c r="S246" s="17" t="s">
        <v>1783</v>
      </c>
      <c r="T246" s="10" t="s">
        <v>85</v>
      </c>
      <c r="U246" s="173" t="s">
        <v>38</v>
      </c>
      <c r="V246" s="11" t="s">
        <v>1548</v>
      </c>
      <c r="W246" s="22" t="s">
        <v>1672</v>
      </c>
      <c r="X246" s="22" t="s">
        <v>1672</v>
      </c>
      <c r="Y246" s="22"/>
      <c r="Z246" s="6"/>
      <c r="AA246" s="6"/>
      <c r="AB246" s="41" t="s">
        <v>275</v>
      </c>
      <c r="AC246" s="42">
        <v>44403</v>
      </c>
      <c r="AD246" s="45" t="s">
        <v>276</v>
      </c>
    </row>
    <row r="247" spans="1:30" ht="15.75" customHeight="1">
      <c r="A247" s="10" t="s">
        <v>1784</v>
      </c>
      <c r="B247" s="10" t="s">
        <v>1469</v>
      </c>
      <c r="C247" s="60" t="s">
        <v>1470</v>
      </c>
      <c r="D247" s="12"/>
      <c r="E247" s="13" t="s">
        <v>151</v>
      </c>
      <c r="F247" s="6" t="s">
        <v>293</v>
      </c>
      <c r="G247" s="6" t="str">
        <f ca="1">IFERROR(__xludf.DUMMYFUNCTION("CONCATENATE(B247,(VLOOKUP(C247,CATALOGOS!$F$2:$H$6,3,FALSE)),(VLOOKUP(V247,CATALOGOS!$J$2:$K$18,2,FALSE)),""-"",TO_TEXT(A247))"),"P12PP-0246")</f>
        <v>P12PP-0246</v>
      </c>
      <c r="H247" s="6" t="str">
        <f ca="1">IFERROR(__xludf.DUMMYFUNCTION("CONCATENATE($B247,(VLOOKUP($C247,CATALOGOS!$F$2:$H$6,3,FALSE)),(VLOOKUP($V247,CATALOGOS!$J$2:$K$18,2,FALSE)),""-"",TO_TEXT($A247))"),"P12PP-0246")</f>
        <v>P12PP-0246</v>
      </c>
      <c r="I247" s="6"/>
      <c r="J247" s="6" t="s">
        <v>1785</v>
      </c>
      <c r="K247" s="6" t="s">
        <v>1786</v>
      </c>
      <c r="L247" s="6" t="s">
        <v>1787</v>
      </c>
      <c r="M247" s="6" t="s">
        <v>1788</v>
      </c>
      <c r="N247" s="17"/>
      <c r="O247" s="17"/>
      <c r="P247" s="17" t="str">
        <f t="shared" si="2"/>
        <v>OK</v>
      </c>
      <c r="Q247" s="17" t="s">
        <v>297</v>
      </c>
      <c r="R247" s="6" t="s">
        <v>298</v>
      </c>
      <c r="S247" s="17" t="s">
        <v>1789</v>
      </c>
      <c r="T247" s="17" t="s">
        <v>85</v>
      </c>
      <c r="U247" s="173" t="s">
        <v>38</v>
      </c>
      <c r="V247" s="11" t="s">
        <v>1548</v>
      </c>
      <c r="W247" s="22" t="s">
        <v>1672</v>
      </c>
      <c r="X247" s="22" t="s">
        <v>1672</v>
      </c>
      <c r="Y247" s="22"/>
      <c r="Z247" s="6"/>
      <c r="AA247" s="6"/>
      <c r="AB247" s="41" t="s">
        <v>275</v>
      </c>
      <c r="AC247" s="42">
        <v>44403</v>
      </c>
      <c r="AD247" s="45">
        <v>0</v>
      </c>
    </row>
    <row r="248" spans="1:30" ht="15.75" customHeight="1">
      <c r="A248" s="10" t="s">
        <v>1790</v>
      </c>
      <c r="B248" s="10" t="s">
        <v>1469</v>
      </c>
      <c r="C248" s="60" t="s">
        <v>1470</v>
      </c>
      <c r="D248" s="38"/>
      <c r="E248" s="13" t="s">
        <v>248</v>
      </c>
      <c r="F248" s="43" t="s">
        <v>248</v>
      </c>
      <c r="G248" s="6" t="str">
        <f ca="1">IFERROR(__xludf.DUMMYFUNCTION("CONCATENATE(B248,(VLOOKUP(C248,CATALOGOS!$F$2:$H$6,3,FALSE)),(VLOOKUP(V248,CATALOGOS!$J$2:$K$18,2,FALSE)),""-"",TO_TEXT(A248))"),"P12PP-0247")</f>
        <v>P12PP-0247</v>
      </c>
      <c r="H248" s="6" t="str">
        <f ca="1">IFERROR(__xludf.DUMMYFUNCTION("CONCATENATE($B248,(VLOOKUP($C248,CATALOGOS!$F$2:$H$6,3,FALSE)),(VLOOKUP($V248,CATALOGOS!$J$2:$K$18,2,FALSE)),""-"",TO_TEXT($A248))"),"P12PP-0247")</f>
        <v>P12PP-0247</v>
      </c>
      <c r="I248" s="6"/>
      <c r="J248" s="6" t="s">
        <v>1791</v>
      </c>
      <c r="K248" s="6" t="s">
        <v>1792</v>
      </c>
      <c r="L248" s="6" t="s">
        <v>1793</v>
      </c>
      <c r="M248" s="6" t="s">
        <v>1794</v>
      </c>
      <c r="N248" s="17"/>
      <c r="O248" s="17"/>
      <c r="P248" s="17" t="str">
        <f t="shared" si="2"/>
        <v>OK</v>
      </c>
      <c r="Q248" s="17" t="s">
        <v>978</v>
      </c>
      <c r="R248" s="6" t="s">
        <v>979</v>
      </c>
      <c r="S248" s="46" t="s">
        <v>1795</v>
      </c>
      <c r="T248" s="17" t="s">
        <v>1796</v>
      </c>
      <c r="U248" s="173" t="s">
        <v>38</v>
      </c>
      <c r="V248" s="11" t="s">
        <v>1548</v>
      </c>
      <c r="W248" s="20" t="s">
        <v>1737</v>
      </c>
      <c r="X248" s="20" t="s">
        <v>1737</v>
      </c>
      <c r="Y248" s="20"/>
      <c r="Z248" s="36"/>
      <c r="AA248" s="36"/>
      <c r="AB248" s="26"/>
      <c r="AC248" s="33"/>
    </row>
    <row r="249" spans="1:30" ht="15.75" customHeight="1">
      <c r="A249" s="10" t="s">
        <v>1797</v>
      </c>
      <c r="B249" s="10" t="s">
        <v>1469</v>
      </c>
      <c r="C249" s="60" t="s">
        <v>1470</v>
      </c>
      <c r="D249" s="12"/>
      <c r="E249" s="13" t="s">
        <v>378</v>
      </c>
      <c r="F249" s="6" t="s">
        <v>1450</v>
      </c>
      <c r="G249" s="6" t="str">
        <f ca="1">IFERROR(__xludf.DUMMYFUNCTION("CONCATENATE(B249,(VLOOKUP(C249,CATALOGOS!$F$2:$H$6,3,FALSE)),(VLOOKUP(V249,CATALOGOS!$J$2:$K$18,2,FALSE)),""-"",TO_TEXT(A249))"),"P12PP-0248")</f>
        <v>P12PP-0248</v>
      </c>
      <c r="H249" s="6" t="str">
        <f ca="1">IFERROR(__xludf.DUMMYFUNCTION("CONCATENATE($B249,(VLOOKUP($C249,CATALOGOS!$F$2:$H$6,3,FALSE)),(VLOOKUP($V249,CATALOGOS!$J$2:$K$18,2,FALSE)),""-"",TO_TEXT($A249))"),"P12PP-0248")</f>
        <v>P12PP-0248</v>
      </c>
      <c r="I249" s="6"/>
      <c r="J249" s="6" t="s">
        <v>1798</v>
      </c>
      <c r="K249" s="6" t="s">
        <v>1799</v>
      </c>
      <c r="L249" s="36"/>
      <c r="M249" s="6" t="s">
        <v>1800</v>
      </c>
      <c r="N249" s="17"/>
      <c r="O249" s="17"/>
      <c r="P249" s="17" t="str">
        <f t="shared" si="2"/>
        <v>OK</v>
      </c>
      <c r="Q249" s="35" t="s">
        <v>35</v>
      </c>
      <c r="R249" s="6" t="s">
        <v>35</v>
      </c>
      <c r="S249" s="10" t="s">
        <v>36</v>
      </c>
      <c r="T249" s="32" t="s">
        <v>85</v>
      </c>
      <c r="U249" s="173" t="s">
        <v>38</v>
      </c>
      <c r="V249" s="11" t="s">
        <v>1548</v>
      </c>
      <c r="W249" s="20" t="s">
        <v>1597</v>
      </c>
      <c r="X249" s="20" t="s">
        <v>1597</v>
      </c>
      <c r="Y249" s="20"/>
      <c r="Z249" s="6"/>
      <c r="AA249" s="6"/>
      <c r="AB249" s="23"/>
      <c r="AC249" s="33"/>
    </row>
    <row r="250" spans="1:30" ht="15.75" customHeight="1">
      <c r="A250" s="10" t="s">
        <v>1801</v>
      </c>
      <c r="B250" s="10" t="s">
        <v>1469</v>
      </c>
      <c r="C250" s="60" t="s">
        <v>1470</v>
      </c>
      <c r="D250" s="12"/>
      <c r="E250" s="13" t="s">
        <v>378</v>
      </c>
      <c r="F250" s="6" t="s">
        <v>878</v>
      </c>
      <c r="G250" s="6" t="str">
        <f ca="1">IFERROR(__xludf.DUMMYFUNCTION("CONCATENATE(B250,(VLOOKUP(C250,CATALOGOS!$F$2:$H$6,3,FALSE)),(VLOOKUP(V250,CATALOGOS!$J$2:$K$18,2,FALSE)),""-"",TO_TEXT(A250))"),"P12PP-0249")</f>
        <v>P12PP-0249</v>
      </c>
      <c r="H250" s="6" t="str">
        <f ca="1">IFERROR(__xludf.DUMMYFUNCTION("CONCATENATE($B250,(VLOOKUP($C250,CATALOGOS!$F$2:$H$6,3,FALSE)),(VLOOKUP($V250,CATALOGOS!$J$2:$K$18,2,FALSE)),""-"",TO_TEXT($A250))"),"P12PP-0249")</f>
        <v>P12PP-0249</v>
      </c>
      <c r="I250" s="6"/>
      <c r="J250" s="6" t="s">
        <v>1802</v>
      </c>
      <c r="K250" s="6" t="s">
        <v>1803</v>
      </c>
      <c r="L250" s="6" t="s">
        <v>1804</v>
      </c>
      <c r="M250" s="6" t="s">
        <v>1805</v>
      </c>
      <c r="N250" s="17"/>
      <c r="O250" s="17"/>
      <c r="P250" s="17" t="str">
        <f t="shared" si="2"/>
        <v>OK</v>
      </c>
      <c r="Q250" s="17" t="s">
        <v>35</v>
      </c>
      <c r="R250" s="6" t="s">
        <v>35</v>
      </c>
      <c r="S250" s="17" t="s">
        <v>36</v>
      </c>
      <c r="T250" s="17" t="s">
        <v>1806</v>
      </c>
      <c r="U250" s="173" t="s">
        <v>38</v>
      </c>
      <c r="V250" s="11" t="s">
        <v>1548</v>
      </c>
      <c r="W250" s="20" t="s">
        <v>1737</v>
      </c>
      <c r="X250" s="20" t="s">
        <v>1737</v>
      </c>
      <c r="Y250" s="20"/>
      <c r="Z250" s="7"/>
      <c r="AA250" s="7"/>
      <c r="AB250" s="23"/>
      <c r="AC250" s="26"/>
    </row>
    <row r="251" spans="1:30" ht="15.75" customHeight="1">
      <c r="A251" s="10" t="s">
        <v>1807</v>
      </c>
      <c r="B251" s="10" t="s">
        <v>1469</v>
      </c>
      <c r="C251" s="60" t="s">
        <v>1470</v>
      </c>
      <c r="D251" s="38"/>
      <c r="E251" s="13" t="s">
        <v>378</v>
      </c>
      <c r="F251" s="6" t="s">
        <v>878</v>
      </c>
      <c r="G251" s="6" t="str">
        <f ca="1">IFERROR(__xludf.DUMMYFUNCTION("CONCATENATE(B251,(VLOOKUP(C251,CATALOGOS!$F$2:$H$6,3,FALSE)),(VLOOKUP(V251,CATALOGOS!$J$2:$K$18,2,FALSE)),""-"",TO_TEXT(A251))"),"P12PP-0250")</f>
        <v>P12PP-0250</v>
      </c>
      <c r="H251" s="6" t="str">
        <f ca="1">IFERROR(__xludf.DUMMYFUNCTION("CONCATENATE($B251,(VLOOKUP($C251,CATALOGOS!$F$2:$H$6,3,FALSE)),(VLOOKUP($V251,CATALOGOS!$J$2:$K$18,2,FALSE)),""-"",TO_TEXT($A251))"),"P12PP-0250")</f>
        <v>P12PP-0250</v>
      </c>
      <c r="I251" s="6"/>
      <c r="J251" s="6" t="s">
        <v>1808</v>
      </c>
      <c r="K251" s="6" t="s">
        <v>1809</v>
      </c>
      <c r="L251" s="6" t="s">
        <v>1810</v>
      </c>
      <c r="M251" s="6" t="s">
        <v>1811</v>
      </c>
      <c r="N251" s="17"/>
      <c r="O251" s="17"/>
      <c r="P251" s="17" t="str">
        <f t="shared" si="2"/>
        <v>OK</v>
      </c>
      <c r="Q251" s="17" t="s">
        <v>35</v>
      </c>
      <c r="R251" s="6" t="s">
        <v>35</v>
      </c>
      <c r="S251" s="46" t="s">
        <v>36</v>
      </c>
      <c r="T251" s="17" t="s">
        <v>1812</v>
      </c>
      <c r="U251" s="173" t="s">
        <v>38</v>
      </c>
      <c r="V251" s="11" t="s">
        <v>1548</v>
      </c>
      <c r="W251" s="32" t="s">
        <v>1672</v>
      </c>
      <c r="X251" s="32" t="s">
        <v>1672</v>
      </c>
      <c r="Y251" s="32"/>
      <c r="Z251" s="7"/>
      <c r="AA251" s="7"/>
      <c r="AB251" s="26"/>
      <c r="AC251" s="26"/>
    </row>
    <row r="252" spans="1:30" ht="15.75" customHeight="1">
      <c r="A252" s="10" t="s">
        <v>1813</v>
      </c>
      <c r="B252" s="10" t="s">
        <v>1469</v>
      </c>
      <c r="C252" s="60" t="s">
        <v>1470</v>
      </c>
      <c r="D252" s="38"/>
      <c r="E252" s="13" t="s">
        <v>378</v>
      </c>
      <c r="F252" s="6" t="s">
        <v>878</v>
      </c>
      <c r="G252" s="6" t="str">
        <f ca="1">IFERROR(__xludf.DUMMYFUNCTION("CONCATENATE(B252,(VLOOKUP(C252,CATALOGOS!$F$2:$H$6,3,FALSE)),(VLOOKUP(V252,CATALOGOS!$J$2:$K$18,2,FALSE)),""-"",TO_TEXT(A252))"),"P12PP-0251")</f>
        <v>P12PP-0251</v>
      </c>
      <c r="H252" s="6" t="str">
        <f ca="1">IFERROR(__xludf.DUMMYFUNCTION("CONCATENATE($B252,(VLOOKUP($C252,CATALOGOS!$F$2:$H$6,3,FALSE)),(VLOOKUP($V252,CATALOGOS!$J$2:$K$18,2,FALSE)),""-"",TO_TEXT($A252))"),"P12PP-0251")</f>
        <v>P12PP-0251</v>
      </c>
      <c r="I252" s="6"/>
      <c r="J252" s="6" t="s">
        <v>1814</v>
      </c>
      <c r="K252" s="6" t="s">
        <v>1815</v>
      </c>
      <c r="L252" s="6" t="s">
        <v>1816</v>
      </c>
      <c r="M252" s="6" t="s">
        <v>1817</v>
      </c>
      <c r="N252" s="17"/>
      <c r="O252" s="17"/>
      <c r="P252" s="17" t="str">
        <f t="shared" si="2"/>
        <v>OK</v>
      </c>
      <c r="Q252" s="17" t="s">
        <v>35</v>
      </c>
      <c r="R252" s="6" t="s">
        <v>35</v>
      </c>
      <c r="S252" s="46" t="s">
        <v>36</v>
      </c>
      <c r="T252" s="17" t="s">
        <v>1818</v>
      </c>
      <c r="U252" s="173" t="s">
        <v>38</v>
      </c>
      <c r="V252" s="11" t="s">
        <v>1548</v>
      </c>
      <c r="W252" s="32" t="s">
        <v>1672</v>
      </c>
      <c r="X252" s="32" t="s">
        <v>1672</v>
      </c>
      <c r="Y252" s="32"/>
      <c r="Z252" s="7"/>
      <c r="AA252" s="7"/>
      <c r="AB252" s="26"/>
      <c r="AC252" s="26"/>
    </row>
    <row r="253" spans="1:30" ht="15.75" customHeight="1">
      <c r="A253" s="10" t="s">
        <v>1819</v>
      </c>
      <c r="B253" s="10" t="s">
        <v>1469</v>
      </c>
      <c r="C253" s="60" t="s">
        <v>1470</v>
      </c>
      <c r="D253" s="12"/>
      <c r="E253" s="13" t="s">
        <v>378</v>
      </c>
      <c r="F253" s="6" t="s">
        <v>878</v>
      </c>
      <c r="G253" s="6" t="str">
        <f ca="1">IFERROR(__xludf.DUMMYFUNCTION("CONCATENATE(B253,(VLOOKUP(C253,CATALOGOS!$F$2:$H$6,3,FALSE)),(VLOOKUP(V253,CATALOGOS!$J$2:$K$18,2,FALSE)),""-"",TO_TEXT(A253))"),"P12PP-0252")</f>
        <v>P12PP-0252</v>
      </c>
      <c r="H253" s="6" t="str">
        <f ca="1">IFERROR(__xludf.DUMMYFUNCTION("CONCATENATE($B253,(VLOOKUP($C253,CATALOGOS!$F$2:$H$6,3,FALSE)),(VLOOKUP($V253,CATALOGOS!$J$2:$K$18,2,FALSE)),""-"",TO_TEXT($A253))"),"P12PP-0252")</f>
        <v>P12PP-0252</v>
      </c>
      <c r="I253" s="6"/>
      <c r="J253" s="6" t="s">
        <v>1820</v>
      </c>
      <c r="K253" s="6" t="s">
        <v>1821</v>
      </c>
      <c r="L253" s="6" t="s">
        <v>1822</v>
      </c>
      <c r="M253" s="43" t="s">
        <v>1823</v>
      </c>
      <c r="N253" s="17"/>
      <c r="O253" s="17"/>
      <c r="P253" s="17" t="str">
        <f t="shared" si="2"/>
        <v>OK</v>
      </c>
      <c r="Q253" s="17" t="s">
        <v>35</v>
      </c>
      <c r="R253" s="6" t="s">
        <v>35</v>
      </c>
      <c r="S253" s="17" t="s">
        <v>36</v>
      </c>
      <c r="T253" s="17" t="s">
        <v>1824</v>
      </c>
      <c r="U253" s="173" t="s">
        <v>38</v>
      </c>
      <c r="V253" s="11" t="s">
        <v>1548</v>
      </c>
      <c r="W253" s="22" t="s">
        <v>1550</v>
      </c>
      <c r="X253" s="22" t="s">
        <v>1550</v>
      </c>
      <c r="Y253" s="22"/>
      <c r="Z253" s="7"/>
      <c r="AA253" s="7"/>
      <c r="AB253" s="23"/>
      <c r="AC253" s="26"/>
    </row>
    <row r="254" spans="1:30" ht="15.75" customHeight="1">
      <c r="A254" s="10" t="s">
        <v>1825</v>
      </c>
      <c r="B254" s="10" t="s">
        <v>1469</v>
      </c>
      <c r="C254" s="60" t="s">
        <v>1470</v>
      </c>
      <c r="D254" s="12"/>
      <c r="E254" s="13" t="s">
        <v>378</v>
      </c>
      <c r="F254" s="6" t="s">
        <v>878</v>
      </c>
      <c r="G254" s="6" t="str">
        <f ca="1">IFERROR(__xludf.DUMMYFUNCTION("CONCATENATE(B254,(VLOOKUP(C254,CATALOGOS!$F$2:$H$6,3,FALSE)),(VLOOKUP(V254,CATALOGOS!$J$2:$K$18,2,FALSE)),""-"",TO_TEXT(A254))"),"P12PP-0253")</f>
        <v>P12PP-0253</v>
      </c>
      <c r="H254" s="6" t="str">
        <f ca="1">IFERROR(__xludf.DUMMYFUNCTION("CONCATENATE($B254,(VLOOKUP($C254,CATALOGOS!$F$2:$H$6,3,FALSE)),(VLOOKUP($V254,CATALOGOS!$J$2:$K$18,2,FALSE)),""-"",TO_TEXT($A254))"),"P12PP-0253")</f>
        <v>P12PP-0253</v>
      </c>
      <c r="I254" s="6"/>
      <c r="J254" s="6" t="s">
        <v>1826</v>
      </c>
      <c r="K254" s="6" t="s">
        <v>1827</v>
      </c>
      <c r="L254" s="6" t="s">
        <v>1828</v>
      </c>
      <c r="M254" s="6" t="s">
        <v>1829</v>
      </c>
      <c r="N254" s="17"/>
      <c r="O254" s="17"/>
      <c r="P254" s="17" t="str">
        <f t="shared" si="2"/>
        <v>OK</v>
      </c>
      <c r="Q254" s="17" t="s">
        <v>35</v>
      </c>
      <c r="R254" s="6" t="s">
        <v>35</v>
      </c>
      <c r="S254" s="17" t="s">
        <v>36</v>
      </c>
      <c r="T254" s="17" t="s">
        <v>1830</v>
      </c>
      <c r="U254" s="173" t="s">
        <v>38</v>
      </c>
      <c r="V254" s="11" t="s">
        <v>1548</v>
      </c>
      <c r="W254" s="22" t="s">
        <v>1550</v>
      </c>
      <c r="X254" s="22" t="s">
        <v>1550</v>
      </c>
      <c r="Y254" s="22"/>
      <c r="Z254" s="7"/>
      <c r="AA254" s="7"/>
      <c r="AB254" s="23"/>
      <c r="AC254" s="26"/>
    </row>
    <row r="255" spans="1:30" ht="15.75" customHeight="1">
      <c r="A255" s="10" t="s">
        <v>1831</v>
      </c>
      <c r="B255" s="10" t="s">
        <v>1469</v>
      </c>
      <c r="C255" s="60" t="s">
        <v>1470</v>
      </c>
      <c r="D255" s="12"/>
      <c r="E255" s="13" t="s">
        <v>93</v>
      </c>
      <c r="F255" s="6" t="s">
        <v>1739</v>
      </c>
      <c r="G255" s="6" t="str">
        <f ca="1">IFERROR(__xludf.DUMMYFUNCTION("CONCATENATE(B255,(VLOOKUP(C255,CATALOGOS!$F$2:$H$6,3,FALSE)),(VLOOKUP(V255,CATALOGOS!$J$2:$K$18,2,FALSE)),""-"",TO_TEXT(A255))"),"P12PP-0254")</f>
        <v>P12PP-0254</v>
      </c>
      <c r="H255" s="6" t="str">
        <f ca="1">IFERROR(__xludf.DUMMYFUNCTION("CONCATENATE($B255,(VLOOKUP($C255,CATALOGOS!$F$2:$H$6,3,FALSE)),(VLOOKUP($V255,CATALOGOS!$J$2:$K$18,2,FALSE)),""-"",TO_TEXT($A255))"),"P12PP-0254")</f>
        <v>P12PP-0254</v>
      </c>
      <c r="I255" s="6"/>
      <c r="J255" s="6" t="s">
        <v>1832</v>
      </c>
      <c r="K255" s="6" t="s">
        <v>1833</v>
      </c>
      <c r="L255" s="6" t="s">
        <v>1834</v>
      </c>
      <c r="M255" s="6" t="s">
        <v>1835</v>
      </c>
      <c r="N255" s="17"/>
      <c r="O255" s="17"/>
      <c r="P255" s="17" t="str">
        <f t="shared" si="2"/>
        <v>OK</v>
      </c>
      <c r="Q255" s="17" t="s">
        <v>35</v>
      </c>
      <c r="R255" s="6" t="s">
        <v>35</v>
      </c>
      <c r="S255" s="17" t="s">
        <v>36</v>
      </c>
      <c r="T255" s="17" t="s">
        <v>1836</v>
      </c>
      <c r="U255" s="173" t="s">
        <v>38</v>
      </c>
      <c r="V255" s="11" t="s">
        <v>1548</v>
      </c>
      <c r="W255" s="22" t="s">
        <v>1550</v>
      </c>
      <c r="X255" s="22" t="s">
        <v>1550</v>
      </c>
      <c r="Y255" s="22"/>
      <c r="Z255" s="6"/>
      <c r="AA255" s="6"/>
      <c r="AB255" s="23"/>
      <c r="AC255" s="24"/>
    </row>
    <row r="256" spans="1:30" ht="15.75" customHeight="1">
      <c r="A256" s="10" t="s">
        <v>1837</v>
      </c>
      <c r="B256" s="10" t="s">
        <v>1469</v>
      </c>
      <c r="C256" s="60" t="s">
        <v>1470</v>
      </c>
      <c r="D256" s="12"/>
      <c r="E256" s="13" t="s">
        <v>116</v>
      </c>
      <c r="F256" s="6" t="s">
        <v>1730</v>
      </c>
      <c r="G256" s="6" t="str">
        <f ca="1">IFERROR(__xludf.DUMMYFUNCTION("CONCATENATE(B256,(VLOOKUP(C256,CATALOGOS!$F$2:$H$6,3,FALSE)),(VLOOKUP(V256,CATALOGOS!$J$2:$K$18,2,FALSE)),""-"",TO_TEXT(A256))"),"P12PP-0255")</f>
        <v>P12PP-0255</v>
      </c>
      <c r="H256" s="6" t="str">
        <f ca="1">IFERROR(__xludf.DUMMYFUNCTION("CONCATENATE($B256,(VLOOKUP($C256,CATALOGOS!$F$2:$H$6,3,FALSE)),(VLOOKUP($V256,CATALOGOS!$J$2:$K$18,2,FALSE)),""-"",TO_TEXT($A256))"),"P12PP-0255")</f>
        <v>P12PP-0255</v>
      </c>
      <c r="I256" s="6"/>
      <c r="J256" s="6" t="s">
        <v>1838</v>
      </c>
      <c r="K256" s="6" t="s">
        <v>1839</v>
      </c>
      <c r="L256" s="6" t="s">
        <v>1840</v>
      </c>
      <c r="M256" s="6" t="s">
        <v>1841</v>
      </c>
      <c r="N256" s="17"/>
      <c r="O256" s="17"/>
      <c r="P256" s="17" t="str">
        <f t="shared" si="2"/>
        <v>OK</v>
      </c>
      <c r="Q256" s="17" t="s">
        <v>35</v>
      </c>
      <c r="R256" s="6" t="s">
        <v>35</v>
      </c>
      <c r="S256" s="17" t="s">
        <v>36</v>
      </c>
      <c r="T256" s="17" t="s">
        <v>1842</v>
      </c>
      <c r="U256" s="173" t="s">
        <v>38</v>
      </c>
      <c r="V256" s="11" t="s">
        <v>1548</v>
      </c>
      <c r="W256" s="22" t="s">
        <v>1550</v>
      </c>
      <c r="X256" s="22" t="s">
        <v>1550</v>
      </c>
      <c r="Y256" s="22"/>
      <c r="Z256" s="7"/>
      <c r="AA256" s="7"/>
      <c r="AB256" s="23"/>
      <c r="AC256" s="26"/>
    </row>
    <row r="257" spans="1:29" ht="15.75" customHeight="1">
      <c r="A257" s="10" t="s">
        <v>1843</v>
      </c>
      <c r="B257" s="10" t="s">
        <v>1469</v>
      </c>
      <c r="C257" s="60" t="s">
        <v>1470</v>
      </c>
      <c r="D257" s="12"/>
      <c r="E257" s="13" t="s">
        <v>93</v>
      </c>
      <c r="F257" s="43" t="s">
        <v>528</v>
      </c>
      <c r="G257" s="6" t="str">
        <f ca="1">IFERROR(__xludf.DUMMYFUNCTION("CONCATENATE(B257,(VLOOKUP(C257,CATALOGOS!$F$2:$H$6,3,FALSE)),(VLOOKUP(V257,CATALOGOS!$J$2:$K$18,2,FALSE)),""-"",TO_TEXT(A257))"),"P12PP-0256")</f>
        <v>P12PP-0256</v>
      </c>
      <c r="H257" s="6" t="str">
        <f ca="1">IFERROR(__xludf.DUMMYFUNCTION("CONCATENATE($B257,(VLOOKUP($C257,CATALOGOS!$F$2:$H$6,3,FALSE)),(VLOOKUP($V257,CATALOGOS!$J$2:$K$18,2,FALSE)),""-"",TO_TEXT($A257))"),"P12PP-0256")</f>
        <v>P12PP-0256</v>
      </c>
      <c r="I257" s="6"/>
      <c r="J257" s="6" t="s">
        <v>1844</v>
      </c>
      <c r="K257" s="6" t="s">
        <v>1845</v>
      </c>
      <c r="L257" s="6" t="s">
        <v>1846</v>
      </c>
      <c r="M257" s="6" t="s">
        <v>1847</v>
      </c>
      <c r="N257" s="17"/>
      <c r="O257" s="17"/>
      <c r="P257" s="17" t="str">
        <f t="shared" si="2"/>
        <v>OK</v>
      </c>
      <c r="Q257" s="17" t="s">
        <v>35</v>
      </c>
      <c r="R257" s="6" t="s">
        <v>35</v>
      </c>
      <c r="S257" s="17" t="s">
        <v>36</v>
      </c>
      <c r="T257" s="17" t="s">
        <v>1848</v>
      </c>
      <c r="U257" s="173" t="s">
        <v>38</v>
      </c>
      <c r="V257" s="11" t="s">
        <v>1548</v>
      </c>
      <c r="W257" s="20" t="s">
        <v>1597</v>
      </c>
      <c r="X257" s="20" t="s">
        <v>1597</v>
      </c>
      <c r="Y257" s="20"/>
      <c r="Z257" s="7"/>
      <c r="AA257" s="7"/>
      <c r="AB257" s="23"/>
      <c r="AC257" s="26"/>
    </row>
    <row r="258" spans="1:29" ht="15.75" customHeight="1">
      <c r="A258" s="10" t="s">
        <v>1849</v>
      </c>
      <c r="B258" s="10" t="s">
        <v>1469</v>
      </c>
      <c r="C258" s="60" t="s">
        <v>1470</v>
      </c>
      <c r="D258" s="12"/>
      <c r="E258" s="13" t="s">
        <v>43</v>
      </c>
      <c r="F258" s="43" t="s">
        <v>1850</v>
      </c>
      <c r="G258" s="6" t="str">
        <f ca="1">IFERROR(__xludf.DUMMYFUNCTION("CONCATENATE(B258,(VLOOKUP(C258,CATALOGOS!$F$2:$H$6,3,FALSE)),(VLOOKUP(V258,CATALOGOS!$J$2:$K$18,2,FALSE)),""-"",TO_TEXT(A258))"),"P12PP-0257")</f>
        <v>P12PP-0257</v>
      </c>
      <c r="H258" s="6" t="str">
        <f ca="1">IFERROR(__xludf.DUMMYFUNCTION("CONCATENATE($B258,(VLOOKUP($C258,CATALOGOS!$F$2:$H$6,3,FALSE)),(VLOOKUP($V258,CATALOGOS!$J$2:$K$18,2,FALSE)),""-"",TO_TEXT($A258))"),"P12PP-0257")</f>
        <v>P12PP-0257</v>
      </c>
      <c r="I258" s="6"/>
      <c r="J258" s="6" t="s">
        <v>1851</v>
      </c>
      <c r="K258" s="6" t="s">
        <v>1852</v>
      </c>
      <c r="L258" s="6" t="s">
        <v>1853</v>
      </c>
      <c r="M258" s="6" t="s">
        <v>1854</v>
      </c>
      <c r="N258" s="17"/>
      <c r="O258" s="17"/>
      <c r="P258" s="17" t="str">
        <f t="shared" si="2"/>
        <v>OK</v>
      </c>
      <c r="Q258" s="17" t="s">
        <v>49</v>
      </c>
      <c r="R258" s="6">
        <v>3352</v>
      </c>
      <c r="S258" s="17" t="s">
        <v>1855</v>
      </c>
      <c r="T258" s="17" t="s">
        <v>1856</v>
      </c>
      <c r="U258" s="173" t="s">
        <v>38</v>
      </c>
      <c r="V258" s="11" t="s">
        <v>1548</v>
      </c>
      <c r="W258" s="22" t="s">
        <v>1550</v>
      </c>
      <c r="X258" s="22" t="s">
        <v>1550</v>
      </c>
      <c r="Y258" s="22"/>
      <c r="Z258" s="7"/>
      <c r="AA258" s="7"/>
      <c r="AB258" s="23"/>
      <c r="AC258" s="26"/>
    </row>
    <row r="259" spans="1:29" ht="15.75" customHeight="1">
      <c r="A259" s="10" t="s">
        <v>1857</v>
      </c>
      <c r="B259" s="10" t="s">
        <v>1469</v>
      </c>
      <c r="C259" s="60" t="s">
        <v>1470</v>
      </c>
      <c r="D259" s="12"/>
      <c r="E259" s="13" t="s">
        <v>353</v>
      </c>
      <c r="F259" s="43" t="s">
        <v>354</v>
      </c>
      <c r="G259" s="6" t="str">
        <f ca="1">IFERROR(__xludf.DUMMYFUNCTION("CONCATENATE(B259,(VLOOKUP(C259,CATALOGOS!$F$2:$H$6,3,FALSE)),(VLOOKUP(V259,CATALOGOS!$J$2:$K$18,2,FALSE)),""-"",TO_TEXT(A259))"),"P12PP-0258")</f>
        <v>P12PP-0258</v>
      </c>
      <c r="H259" s="6" t="str">
        <f ca="1">IFERROR(__xludf.DUMMYFUNCTION("CONCATENATE($B259,(VLOOKUP($C259,CATALOGOS!$F$2:$H$6,3,FALSE)),(VLOOKUP($V259,CATALOGOS!$J$2:$K$18,2,FALSE)),""-"",TO_TEXT($A259))"),"P12PP-0258")</f>
        <v>P12PP-0258</v>
      </c>
      <c r="I259" s="6"/>
      <c r="J259" s="6" t="s">
        <v>1858</v>
      </c>
      <c r="K259" s="6" t="s">
        <v>1859</v>
      </c>
      <c r="L259" s="6" t="s">
        <v>1860</v>
      </c>
      <c r="M259" s="6" t="s">
        <v>1861</v>
      </c>
      <c r="N259" s="17"/>
      <c r="O259" s="17"/>
      <c r="P259" s="17" t="str">
        <f t="shared" si="2"/>
        <v>OK</v>
      </c>
      <c r="Q259" s="17" t="s">
        <v>359</v>
      </c>
      <c r="R259" s="6" t="s">
        <v>360</v>
      </c>
      <c r="S259" s="17" t="s">
        <v>36</v>
      </c>
      <c r="T259" s="17" t="s">
        <v>1862</v>
      </c>
      <c r="U259" s="173" t="s">
        <v>38</v>
      </c>
      <c r="V259" s="11" t="s">
        <v>1548</v>
      </c>
      <c r="W259" s="22" t="s">
        <v>1550</v>
      </c>
      <c r="X259" s="22" t="s">
        <v>1550</v>
      </c>
      <c r="Y259" s="22"/>
      <c r="Z259" s="6"/>
      <c r="AA259" s="6"/>
      <c r="AB259" s="23"/>
      <c r="AC259" s="24"/>
    </row>
    <row r="260" spans="1:29" ht="15.75" customHeight="1">
      <c r="A260" s="10" t="s">
        <v>1863</v>
      </c>
      <c r="B260" s="10" t="s">
        <v>1469</v>
      </c>
      <c r="C260" s="60" t="s">
        <v>1470</v>
      </c>
      <c r="D260" s="12"/>
      <c r="E260" s="13" t="s">
        <v>199</v>
      </c>
      <c r="F260" s="6" t="s">
        <v>199</v>
      </c>
      <c r="G260" s="6" t="str">
        <f ca="1">IFERROR(__xludf.DUMMYFUNCTION("CONCATENATE(B260,(VLOOKUP(C260,CATALOGOS!$F$2:$H$6,3,FALSE)),(VLOOKUP(V260,CATALOGOS!$J$2:$K$18,2,FALSE)),""-"",TO_TEXT(A260))"),"P12PP-0259")</f>
        <v>P12PP-0259</v>
      </c>
      <c r="H260" s="6" t="str">
        <f ca="1">IFERROR(__xludf.DUMMYFUNCTION("CONCATENATE($B260,(VLOOKUP($C260,CATALOGOS!$F$2:$H$6,3,FALSE)),(VLOOKUP($V260,CATALOGOS!$J$2:$K$18,2,FALSE)),""-"",TO_TEXT($A260))"),"P12PP-0259")</f>
        <v>P12PP-0259</v>
      </c>
      <c r="I260" s="6"/>
      <c r="J260" s="6" t="s">
        <v>1864</v>
      </c>
      <c r="K260" s="6" t="s">
        <v>1865</v>
      </c>
      <c r="L260" s="6" t="s">
        <v>1866</v>
      </c>
      <c r="M260" s="6" t="s">
        <v>1867</v>
      </c>
      <c r="N260" s="17"/>
      <c r="O260" s="17"/>
      <c r="P260" s="17" t="str">
        <f t="shared" si="2"/>
        <v>OK</v>
      </c>
      <c r="Q260" s="17" t="s">
        <v>157</v>
      </c>
      <c r="R260" s="6">
        <v>2378</v>
      </c>
      <c r="S260" s="17" t="s">
        <v>1868</v>
      </c>
      <c r="T260" s="17" t="s">
        <v>1869</v>
      </c>
      <c r="U260" s="173" t="s">
        <v>38</v>
      </c>
      <c r="V260" s="11" t="s">
        <v>1548</v>
      </c>
      <c r="W260" s="22" t="s">
        <v>1550</v>
      </c>
      <c r="X260" s="22" t="s">
        <v>1550</v>
      </c>
      <c r="Y260" s="22"/>
      <c r="Z260" s="6"/>
      <c r="AA260" s="6"/>
      <c r="AB260" s="23"/>
      <c r="AC260" s="33"/>
    </row>
    <row r="261" spans="1:29" ht="15.75" customHeight="1">
      <c r="A261" s="10" t="s">
        <v>1870</v>
      </c>
      <c r="B261" s="10" t="s">
        <v>1469</v>
      </c>
      <c r="C261" s="60" t="s">
        <v>1470</v>
      </c>
      <c r="D261" s="12"/>
      <c r="E261" s="13" t="s">
        <v>151</v>
      </c>
      <c r="F261" s="6" t="s">
        <v>152</v>
      </c>
      <c r="G261" s="6" t="str">
        <f ca="1">IFERROR(__xludf.DUMMYFUNCTION("CONCATENATE(B261,(VLOOKUP(C261,CATALOGOS!$F$2:$H$6,3,FALSE)),(VLOOKUP(V261,CATALOGOS!$J$2:$K$18,2,FALSE)),""-"",TO_TEXT(A261))"),"P12PP-0260")</f>
        <v>P12PP-0260</v>
      </c>
      <c r="H261" s="6" t="str">
        <f ca="1">IFERROR(__xludf.DUMMYFUNCTION("CONCATENATE($B261,(VLOOKUP($C261,CATALOGOS!$F$2:$H$6,3,FALSE)),(VLOOKUP($V261,CATALOGOS!$J$2:$K$18,2,FALSE)),""-"",TO_TEXT($A261))"),"P12PP-0260")</f>
        <v>P12PP-0260</v>
      </c>
      <c r="I261" s="6"/>
      <c r="J261" s="6" t="s">
        <v>1871</v>
      </c>
      <c r="K261" s="6" t="s">
        <v>1872</v>
      </c>
      <c r="L261" s="6" t="s">
        <v>1873</v>
      </c>
      <c r="M261" s="6" t="s">
        <v>1874</v>
      </c>
      <c r="N261" s="17"/>
      <c r="O261" s="17"/>
      <c r="P261" s="17" t="str">
        <f t="shared" si="2"/>
        <v>OK</v>
      </c>
      <c r="Q261" s="17" t="s">
        <v>1875</v>
      </c>
      <c r="R261" s="6" t="s">
        <v>1876</v>
      </c>
      <c r="S261" s="17" t="s">
        <v>1877</v>
      </c>
      <c r="T261" s="17" t="s">
        <v>1878</v>
      </c>
      <c r="U261" s="173" t="s">
        <v>38</v>
      </c>
      <c r="V261" s="11" t="s">
        <v>1548</v>
      </c>
      <c r="W261" s="22" t="s">
        <v>1550</v>
      </c>
      <c r="X261" s="22" t="s">
        <v>1550</v>
      </c>
      <c r="Y261" s="22"/>
      <c r="Z261" s="7"/>
      <c r="AA261" s="7"/>
      <c r="AB261" s="23"/>
      <c r="AC261" s="26"/>
    </row>
    <row r="262" spans="1:29" ht="15.75" customHeight="1">
      <c r="A262" s="10" t="s">
        <v>1879</v>
      </c>
      <c r="B262" s="10" t="s">
        <v>1469</v>
      </c>
      <c r="C262" s="60" t="s">
        <v>1470</v>
      </c>
      <c r="D262" s="38"/>
      <c r="E262" s="13" t="s">
        <v>378</v>
      </c>
      <c r="F262" s="43" t="s">
        <v>379</v>
      </c>
      <c r="G262" s="6" t="str">
        <f ca="1">IFERROR(__xludf.DUMMYFUNCTION("CONCATENATE(B262,(VLOOKUP(C262,CATALOGOS!$F$2:$H$6,3,FALSE)),(VLOOKUP(V262,CATALOGOS!$J$2:$K$18,2,FALSE)),""-"",TO_TEXT(A262))"),"P12PP-0261")</f>
        <v>P12PP-0261</v>
      </c>
      <c r="H262" s="6" t="str">
        <f ca="1">IFERROR(__xludf.DUMMYFUNCTION("CONCATENATE($B262,(VLOOKUP($C262,CATALOGOS!$F$2:$H$6,3,FALSE)),(VLOOKUP($V262,CATALOGOS!$J$2:$K$18,2,FALSE)),""-"",TO_TEXT($A262))"),"P12PP-0261")</f>
        <v>P12PP-0261</v>
      </c>
      <c r="I262" s="6"/>
      <c r="J262" s="6" t="s">
        <v>1880</v>
      </c>
      <c r="K262" s="6" t="s">
        <v>1881</v>
      </c>
      <c r="L262" s="6" t="s">
        <v>1882</v>
      </c>
      <c r="M262" s="6" t="s">
        <v>1883</v>
      </c>
      <c r="N262" s="17"/>
      <c r="O262" s="17"/>
      <c r="P262" s="17" t="str">
        <f t="shared" si="2"/>
        <v>OK</v>
      </c>
      <c r="Q262" s="17" t="s">
        <v>35</v>
      </c>
      <c r="R262" s="6" t="s">
        <v>35</v>
      </c>
      <c r="S262" s="46" t="s">
        <v>36</v>
      </c>
      <c r="T262" s="17" t="s">
        <v>1884</v>
      </c>
      <c r="U262" s="173" t="s">
        <v>38</v>
      </c>
      <c r="V262" s="11" t="s">
        <v>1548</v>
      </c>
      <c r="W262" s="32" t="s">
        <v>1550</v>
      </c>
      <c r="X262" s="32" t="s">
        <v>1550</v>
      </c>
      <c r="Y262" s="32"/>
      <c r="Z262" s="7"/>
      <c r="AA262" s="7"/>
      <c r="AB262" s="26"/>
      <c r="AC262" s="26"/>
    </row>
    <row r="263" spans="1:29" ht="15.75" customHeight="1">
      <c r="A263" s="10" t="s">
        <v>1885</v>
      </c>
      <c r="B263" s="10" t="s">
        <v>1469</v>
      </c>
      <c r="C263" s="60" t="s">
        <v>1470</v>
      </c>
      <c r="D263" s="12"/>
      <c r="E263" s="13" t="s">
        <v>378</v>
      </c>
      <c r="F263" s="6" t="s">
        <v>878</v>
      </c>
      <c r="G263" s="6" t="str">
        <f ca="1">IFERROR(__xludf.DUMMYFUNCTION("CONCATENATE(B263,(VLOOKUP(C263,CATALOGOS!$F$2:$H$6,3,FALSE)),(VLOOKUP(V263,CATALOGOS!$J$2:$K$18,2,FALSE)),""-"",TO_TEXT(A263))"),"P12PP-0262")</f>
        <v>P12PP-0262</v>
      </c>
      <c r="H263" s="6" t="str">
        <f ca="1">IFERROR(__xludf.DUMMYFUNCTION("CONCATENATE($B263,(VLOOKUP($C263,CATALOGOS!$F$2:$H$6,3,FALSE)),(VLOOKUP($V263,CATALOGOS!$J$2:$K$18,2,FALSE)),""-"",TO_TEXT($A263))"),"P12PP-0262")</f>
        <v>P12PP-0262</v>
      </c>
      <c r="I263" s="6"/>
      <c r="J263" s="6" t="s">
        <v>1886</v>
      </c>
      <c r="K263" s="6" t="s">
        <v>1887</v>
      </c>
      <c r="L263" s="6" t="s">
        <v>1888</v>
      </c>
      <c r="M263" s="6" t="s">
        <v>1889</v>
      </c>
      <c r="N263" s="17"/>
      <c r="O263" s="17"/>
      <c r="P263" s="17" t="str">
        <f t="shared" si="2"/>
        <v>OK</v>
      </c>
      <c r="Q263" s="17" t="s">
        <v>35</v>
      </c>
      <c r="R263" s="6" t="s">
        <v>35</v>
      </c>
      <c r="S263" s="17" t="s">
        <v>36</v>
      </c>
      <c r="T263" s="17" t="s">
        <v>85</v>
      </c>
      <c r="U263" s="173" t="s">
        <v>38</v>
      </c>
      <c r="V263" s="11" t="s">
        <v>1548</v>
      </c>
      <c r="W263" s="22" t="s">
        <v>1890</v>
      </c>
      <c r="X263" s="22" t="s">
        <v>1890</v>
      </c>
      <c r="Y263" s="22"/>
      <c r="Z263" s="6"/>
      <c r="AA263" s="6"/>
      <c r="AB263" s="23"/>
      <c r="AC263" s="33"/>
    </row>
    <row r="264" spans="1:29" ht="15.75" customHeight="1">
      <c r="A264" s="10" t="s">
        <v>1891</v>
      </c>
      <c r="B264" s="10" t="s">
        <v>1469</v>
      </c>
      <c r="C264" s="60" t="s">
        <v>1470</v>
      </c>
      <c r="D264" s="12"/>
      <c r="E264" s="13" t="s">
        <v>378</v>
      </c>
      <c r="F264" s="6" t="s">
        <v>878</v>
      </c>
      <c r="G264" s="6" t="str">
        <f ca="1">IFERROR(__xludf.DUMMYFUNCTION("CONCATENATE(B264,(VLOOKUP(C264,CATALOGOS!$F$2:$H$6,3,FALSE)),(VLOOKUP(V264,CATALOGOS!$J$2:$K$18,2,FALSE)),""-"",TO_TEXT(A264))"),"P12PP-0263")</f>
        <v>P12PP-0263</v>
      </c>
      <c r="H264" s="6" t="str">
        <f ca="1">IFERROR(__xludf.DUMMYFUNCTION("CONCATENATE($B264,(VLOOKUP($C264,CATALOGOS!$F$2:$H$6,3,FALSE)),(VLOOKUP($V264,CATALOGOS!$J$2:$K$18,2,FALSE)),""-"",TO_TEXT($A264))"),"P12PP-0263")</f>
        <v>P12PP-0263</v>
      </c>
      <c r="I264" s="6"/>
      <c r="J264" s="6" t="s">
        <v>1892</v>
      </c>
      <c r="K264" s="6" t="s">
        <v>1893</v>
      </c>
      <c r="L264" s="6" t="s">
        <v>1894</v>
      </c>
      <c r="M264" s="6" t="s">
        <v>1895</v>
      </c>
      <c r="N264" s="17"/>
      <c r="O264" s="17"/>
      <c r="P264" s="17" t="str">
        <f t="shared" si="2"/>
        <v>OK</v>
      </c>
      <c r="Q264" s="17" t="s">
        <v>35</v>
      </c>
      <c r="R264" s="6" t="s">
        <v>35</v>
      </c>
      <c r="S264" s="17" t="s">
        <v>36</v>
      </c>
      <c r="T264" s="17" t="s">
        <v>85</v>
      </c>
      <c r="U264" s="173" t="s">
        <v>38</v>
      </c>
      <c r="V264" s="11" t="s">
        <v>1548</v>
      </c>
      <c r="W264" s="22" t="s">
        <v>1890</v>
      </c>
      <c r="X264" s="22" t="s">
        <v>1890</v>
      </c>
      <c r="Y264" s="22"/>
      <c r="Z264" s="6"/>
      <c r="AA264" s="6"/>
      <c r="AB264" s="23"/>
      <c r="AC264" s="33"/>
    </row>
    <row r="265" spans="1:29" ht="15.75" customHeight="1">
      <c r="A265" s="10" t="s">
        <v>1896</v>
      </c>
      <c r="B265" s="10" t="s">
        <v>1469</v>
      </c>
      <c r="C265" s="60" t="s">
        <v>1470</v>
      </c>
      <c r="D265" s="12"/>
      <c r="E265" s="13" t="s">
        <v>93</v>
      </c>
      <c r="F265" s="6" t="s">
        <v>1739</v>
      </c>
      <c r="G265" s="6" t="str">
        <f ca="1">IFERROR(__xludf.DUMMYFUNCTION("CONCATENATE(B265,(VLOOKUP(C265,CATALOGOS!$F$2:$H$6,3,FALSE)),(VLOOKUP(V265,CATALOGOS!$J$2:$K$18,2,FALSE)),""-"",TO_TEXT(A265))"),"P12PP-0264")</f>
        <v>P12PP-0264</v>
      </c>
      <c r="H265" s="6" t="str">
        <f ca="1">IFERROR(__xludf.DUMMYFUNCTION("CONCATENATE($B265,(VLOOKUP($C265,CATALOGOS!$F$2:$H$6,3,FALSE)),(VLOOKUP($V265,CATALOGOS!$J$2:$K$18,2,FALSE)),""-"",TO_TEXT($A265))"),"P12PP-0264")</f>
        <v>P12PP-0264</v>
      </c>
      <c r="I265" s="6"/>
      <c r="J265" s="6" t="s">
        <v>1897</v>
      </c>
      <c r="K265" s="6" t="s">
        <v>1898</v>
      </c>
      <c r="L265" s="6" t="s">
        <v>1899</v>
      </c>
      <c r="M265" s="6" t="s">
        <v>1900</v>
      </c>
      <c r="N265" s="17"/>
      <c r="O265" s="17"/>
      <c r="P265" s="17" t="str">
        <f t="shared" si="2"/>
        <v>OK</v>
      </c>
      <c r="Q265" s="17" t="s">
        <v>35</v>
      </c>
      <c r="R265" s="6" t="s">
        <v>35</v>
      </c>
      <c r="S265" s="17" t="s">
        <v>36</v>
      </c>
      <c r="T265" s="17" t="s">
        <v>1901</v>
      </c>
      <c r="U265" s="173" t="s">
        <v>38</v>
      </c>
      <c r="V265" s="11" t="s">
        <v>1548</v>
      </c>
      <c r="W265" s="22" t="s">
        <v>1890</v>
      </c>
      <c r="X265" s="22" t="s">
        <v>1890</v>
      </c>
      <c r="Y265" s="22"/>
      <c r="Z265" s="7"/>
      <c r="AA265" s="7"/>
      <c r="AB265" s="23"/>
      <c r="AC265" s="26"/>
    </row>
    <row r="266" spans="1:29" ht="15.75" customHeight="1">
      <c r="A266" s="10" t="s">
        <v>1902</v>
      </c>
      <c r="B266" s="10" t="s">
        <v>1469</v>
      </c>
      <c r="C266" s="60" t="s">
        <v>1470</v>
      </c>
      <c r="D266" s="12"/>
      <c r="E266" s="13" t="s">
        <v>116</v>
      </c>
      <c r="F266" s="6" t="s">
        <v>1730</v>
      </c>
      <c r="G266" s="6" t="str">
        <f ca="1">IFERROR(__xludf.DUMMYFUNCTION("CONCATENATE(B266,(VLOOKUP(C266,CATALOGOS!$F$2:$H$6,3,FALSE)),(VLOOKUP(V266,CATALOGOS!$J$2:$K$18,2,FALSE)),""-"",TO_TEXT(A266))"),"P12PP-0265")</f>
        <v>P12PP-0265</v>
      </c>
      <c r="H266" s="6" t="str">
        <f ca="1">IFERROR(__xludf.DUMMYFUNCTION("CONCATENATE($B266,(VLOOKUP($C266,CATALOGOS!$F$2:$H$6,3,FALSE)),(VLOOKUP($V266,CATALOGOS!$J$2:$K$18,2,FALSE)),""-"",TO_TEXT($A266))"),"P12PP-0265")</f>
        <v>P12PP-0265</v>
      </c>
      <c r="I266" s="6"/>
      <c r="J266" s="6" t="s">
        <v>1903</v>
      </c>
      <c r="K266" s="6" t="s">
        <v>1904</v>
      </c>
      <c r="L266" s="6" t="s">
        <v>1905</v>
      </c>
      <c r="M266" s="6" t="s">
        <v>1906</v>
      </c>
      <c r="N266" s="17"/>
      <c r="O266" s="17"/>
      <c r="P266" s="17" t="str">
        <f t="shared" si="2"/>
        <v>OK</v>
      </c>
      <c r="Q266" s="17" t="s">
        <v>35</v>
      </c>
      <c r="R266" s="6" t="s">
        <v>35</v>
      </c>
      <c r="S266" s="17" t="s">
        <v>36</v>
      </c>
      <c r="T266" s="17" t="s">
        <v>1907</v>
      </c>
      <c r="U266" s="173" t="s">
        <v>38</v>
      </c>
      <c r="V266" s="11" t="s">
        <v>1548</v>
      </c>
      <c r="W266" s="22" t="s">
        <v>1890</v>
      </c>
      <c r="X266" s="22" t="s">
        <v>1890</v>
      </c>
      <c r="Y266" s="22"/>
      <c r="Z266" s="7"/>
      <c r="AA266" s="7"/>
      <c r="AB266" s="23"/>
      <c r="AC266" s="26"/>
    </row>
    <row r="267" spans="1:29" ht="15.75" customHeight="1">
      <c r="A267" s="10" t="s">
        <v>1908</v>
      </c>
      <c r="B267" s="10" t="s">
        <v>1469</v>
      </c>
      <c r="C267" s="60" t="s">
        <v>1470</v>
      </c>
      <c r="D267" s="12"/>
      <c r="E267" s="13" t="s">
        <v>43</v>
      </c>
      <c r="F267" s="6" t="s">
        <v>885</v>
      </c>
      <c r="G267" s="6" t="str">
        <f ca="1">IFERROR(__xludf.DUMMYFUNCTION("CONCATENATE(B267,(VLOOKUP(C267,CATALOGOS!$F$2:$H$6,3,FALSE)),(VLOOKUP(V267,CATALOGOS!$J$2:$K$18,2,FALSE)),""-"",TO_TEXT(A267))"),"P12PP-0266")</f>
        <v>P12PP-0266</v>
      </c>
      <c r="H267" s="6" t="str">
        <f ca="1">IFERROR(__xludf.DUMMYFUNCTION("CONCATENATE($B267,(VLOOKUP($C267,CATALOGOS!$F$2:$H$6,3,FALSE)),(VLOOKUP($V267,CATALOGOS!$J$2:$K$18,2,FALSE)),""-"",TO_TEXT($A267))"),"P12PP-0266")</f>
        <v>P12PP-0266</v>
      </c>
      <c r="I267" s="6"/>
      <c r="J267" s="6" t="s">
        <v>1909</v>
      </c>
      <c r="K267" s="6" t="s">
        <v>1910</v>
      </c>
      <c r="L267" s="6" t="s">
        <v>1911</v>
      </c>
      <c r="M267" s="6" t="s">
        <v>1912</v>
      </c>
      <c r="N267" s="17"/>
      <c r="O267" s="17"/>
      <c r="P267" s="17" t="str">
        <f t="shared" si="2"/>
        <v>OK</v>
      </c>
      <c r="Q267" s="17" t="s">
        <v>1913</v>
      </c>
      <c r="R267" s="6" t="s">
        <v>1914</v>
      </c>
      <c r="S267" s="17" t="s">
        <v>36</v>
      </c>
      <c r="T267" s="17" t="s">
        <v>1915</v>
      </c>
      <c r="U267" s="173" t="s">
        <v>38</v>
      </c>
      <c r="V267" s="11" t="s">
        <v>1548</v>
      </c>
      <c r="W267" s="22" t="s">
        <v>1890</v>
      </c>
      <c r="X267" s="22" t="s">
        <v>1890</v>
      </c>
      <c r="Y267" s="22"/>
      <c r="Z267" s="7"/>
      <c r="AA267" s="7"/>
      <c r="AB267" s="23"/>
      <c r="AC267" s="26"/>
    </row>
    <row r="268" spans="1:29" ht="15.75" customHeight="1">
      <c r="A268" s="10" t="s">
        <v>1916</v>
      </c>
      <c r="B268" s="10" t="s">
        <v>1469</v>
      </c>
      <c r="C268" s="60" t="s">
        <v>1470</v>
      </c>
      <c r="D268" s="12"/>
      <c r="E268" s="13" t="s">
        <v>162</v>
      </c>
      <c r="F268" s="43" t="s">
        <v>285</v>
      </c>
      <c r="G268" s="6" t="str">
        <f ca="1">IFERROR(__xludf.DUMMYFUNCTION("CONCATENATE(B268,(VLOOKUP(C268,CATALOGOS!$F$2:$H$6,3,FALSE)),(VLOOKUP(V268,CATALOGOS!$J$2:$K$18,2,FALSE)),""-"",TO_TEXT(A268))"),"P12PP-0267")</f>
        <v>P12PP-0267</v>
      </c>
      <c r="H268" s="6" t="str">
        <f ca="1">IFERROR(__xludf.DUMMYFUNCTION("CONCATENATE($B268,(VLOOKUP($C268,CATALOGOS!$F$2:$H$6,3,FALSE)),(VLOOKUP($V268,CATALOGOS!$J$2:$K$18,2,FALSE)),""-"",TO_TEXT($A268))"),"P12PP-0267")</f>
        <v>P12PP-0267</v>
      </c>
      <c r="I268" s="6"/>
      <c r="J268" s="6" t="s">
        <v>1917</v>
      </c>
      <c r="K268" s="6" t="s">
        <v>1918</v>
      </c>
      <c r="L268" s="6" t="s">
        <v>1919</v>
      </c>
      <c r="M268" s="6" t="s">
        <v>1920</v>
      </c>
      <c r="N268" s="17"/>
      <c r="O268" s="17"/>
      <c r="P268" s="17" t="str">
        <f t="shared" si="2"/>
        <v>OK</v>
      </c>
      <c r="Q268" s="17" t="s">
        <v>168</v>
      </c>
      <c r="R268" s="6" t="s">
        <v>169</v>
      </c>
      <c r="S268" s="17" t="s">
        <v>1921</v>
      </c>
      <c r="T268" s="17" t="s">
        <v>1922</v>
      </c>
      <c r="U268" s="173" t="s">
        <v>38</v>
      </c>
      <c r="V268" s="11" t="s">
        <v>1548</v>
      </c>
      <c r="W268" s="22" t="s">
        <v>1890</v>
      </c>
      <c r="X268" s="22" t="s">
        <v>1890</v>
      </c>
      <c r="Y268" s="22"/>
      <c r="Z268" s="7"/>
      <c r="AA268" s="7"/>
      <c r="AB268" s="23"/>
      <c r="AC268" s="26"/>
    </row>
    <row r="269" spans="1:29" ht="15.75" customHeight="1">
      <c r="A269" s="10" t="s">
        <v>1923</v>
      </c>
      <c r="B269" s="10" t="s">
        <v>1469</v>
      </c>
      <c r="C269" s="60" t="s">
        <v>1470</v>
      </c>
      <c r="D269" s="12"/>
      <c r="E269" s="13" t="s">
        <v>151</v>
      </c>
      <c r="F269" s="6" t="s">
        <v>698</v>
      </c>
      <c r="G269" s="6" t="str">
        <f ca="1">IFERROR(__xludf.DUMMYFUNCTION("CONCATENATE(B269,(VLOOKUP(C269,CATALOGOS!$F$2:$H$6,3,FALSE)),(VLOOKUP(V269,CATALOGOS!$J$2:$K$18,2,FALSE)),""-"",TO_TEXT(A269))"),"P12PP-0268")</f>
        <v>P12PP-0268</v>
      </c>
      <c r="H269" s="6" t="str">
        <f ca="1">IFERROR(__xludf.DUMMYFUNCTION("CONCATENATE($B269,(VLOOKUP($C269,CATALOGOS!$F$2:$H$6,3,FALSE)),(VLOOKUP($V269,CATALOGOS!$J$2:$K$18,2,FALSE)),""-"",TO_TEXT($A269))"),"P12PP-0268")</f>
        <v>P12PP-0268</v>
      </c>
      <c r="I269" s="6"/>
      <c r="J269" s="6" t="s">
        <v>1924</v>
      </c>
      <c r="K269" s="6" t="s">
        <v>1925</v>
      </c>
      <c r="L269" s="6" t="s">
        <v>1926</v>
      </c>
      <c r="M269" s="6" t="s">
        <v>1927</v>
      </c>
      <c r="N269" s="17"/>
      <c r="O269" s="17"/>
      <c r="P269" s="17" t="str">
        <f t="shared" si="2"/>
        <v>OK</v>
      </c>
      <c r="Q269" s="17" t="s">
        <v>297</v>
      </c>
      <c r="R269" s="6" t="s">
        <v>1131</v>
      </c>
      <c r="S269" s="17" t="s">
        <v>1928</v>
      </c>
      <c r="T269" s="17" t="s">
        <v>1929</v>
      </c>
      <c r="U269" s="173" t="s">
        <v>38</v>
      </c>
      <c r="V269" s="11" t="s">
        <v>1548</v>
      </c>
      <c r="W269" s="22" t="s">
        <v>1890</v>
      </c>
      <c r="X269" s="22" t="s">
        <v>1890</v>
      </c>
      <c r="Y269" s="22"/>
      <c r="Z269" s="7"/>
      <c r="AA269" s="7"/>
      <c r="AB269" s="23"/>
      <c r="AC269" s="26"/>
    </row>
    <row r="270" spans="1:29" ht="15.75" customHeight="1">
      <c r="A270" s="10" t="s">
        <v>1930</v>
      </c>
      <c r="B270" s="10" t="s">
        <v>1469</v>
      </c>
      <c r="C270" s="60" t="s">
        <v>1470</v>
      </c>
      <c r="D270" s="12"/>
      <c r="E270" s="13" t="s">
        <v>151</v>
      </c>
      <c r="F270" s="6" t="s">
        <v>152</v>
      </c>
      <c r="G270" s="6" t="str">
        <f ca="1">IFERROR(__xludf.DUMMYFUNCTION("CONCATENATE(B270,(VLOOKUP(C270,CATALOGOS!$F$2:$H$6,3,FALSE)),(VLOOKUP(V270,CATALOGOS!$J$2:$K$18,2,FALSE)),""-"",TO_TEXT(A270))"),"P12PP-0269")</f>
        <v>P12PP-0269</v>
      </c>
      <c r="H270" s="6" t="str">
        <f ca="1">IFERROR(__xludf.DUMMYFUNCTION("CONCATENATE($B270,(VLOOKUP($C270,CATALOGOS!$F$2:$H$6,3,FALSE)),(VLOOKUP($V270,CATALOGOS!$J$2:$K$18,2,FALSE)),""-"",TO_TEXT($A270))"),"P12PP-0269")</f>
        <v>P12PP-0269</v>
      </c>
      <c r="I270" s="6"/>
      <c r="J270" s="6" t="s">
        <v>1931</v>
      </c>
      <c r="K270" s="6" t="s">
        <v>1932</v>
      </c>
      <c r="L270" s="6" t="s">
        <v>1933</v>
      </c>
      <c r="M270" s="6" t="s">
        <v>141</v>
      </c>
      <c r="N270" s="17"/>
      <c r="O270" s="17"/>
      <c r="P270" s="17" t="str">
        <f t="shared" si="2"/>
        <v>REPETIDO</v>
      </c>
      <c r="Q270" s="17" t="s">
        <v>1220</v>
      </c>
      <c r="R270" s="6" t="s">
        <v>720</v>
      </c>
      <c r="S270" s="17" t="s">
        <v>1934</v>
      </c>
      <c r="T270" s="17" t="s">
        <v>1935</v>
      </c>
      <c r="U270" s="173" t="s">
        <v>38</v>
      </c>
      <c r="V270" s="11" t="s">
        <v>1548</v>
      </c>
      <c r="W270" s="22" t="s">
        <v>1890</v>
      </c>
      <c r="X270" s="22" t="s">
        <v>1890</v>
      </c>
      <c r="Y270" s="22"/>
      <c r="Z270" s="7"/>
      <c r="AA270" s="7"/>
      <c r="AB270" s="23"/>
      <c r="AC270" s="26"/>
    </row>
    <row r="271" spans="1:29" ht="15.75" customHeight="1">
      <c r="A271" s="10" t="s">
        <v>1936</v>
      </c>
      <c r="B271" s="10" t="s">
        <v>1469</v>
      </c>
      <c r="C271" s="60" t="s">
        <v>1470</v>
      </c>
      <c r="D271" s="12"/>
      <c r="E271" s="13" t="s">
        <v>199</v>
      </c>
      <c r="F271" s="6" t="s">
        <v>199</v>
      </c>
      <c r="G271" s="6" t="str">
        <f ca="1">IFERROR(__xludf.DUMMYFUNCTION("CONCATENATE(B271,(VLOOKUP(C271,CATALOGOS!$F$2:$H$6,3,FALSE)),(VLOOKUP(V271,CATALOGOS!$J$2:$K$18,2,FALSE)),""-"",TO_TEXT(A271))"),"P12PP-0270")</f>
        <v>P12PP-0270</v>
      </c>
      <c r="H271" s="6" t="str">
        <f ca="1">IFERROR(__xludf.DUMMYFUNCTION("CONCATENATE($B271,(VLOOKUP($C271,CATALOGOS!$F$2:$H$6,3,FALSE)),(VLOOKUP($V271,CATALOGOS!$J$2:$K$18,2,FALSE)),""-"",TO_TEXT($A271))"),"P12PP-0270")</f>
        <v>P12PP-0270</v>
      </c>
      <c r="I271" s="6"/>
      <c r="J271" s="6" t="s">
        <v>1937</v>
      </c>
      <c r="K271" s="6" t="s">
        <v>1938</v>
      </c>
      <c r="L271" s="6" t="s">
        <v>1939</v>
      </c>
      <c r="M271" s="6" t="s">
        <v>1940</v>
      </c>
      <c r="N271" s="17"/>
      <c r="O271" s="17"/>
      <c r="P271" s="17" t="str">
        <f t="shared" si="2"/>
        <v>OK</v>
      </c>
      <c r="Q271" s="17" t="s">
        <v>205</v>
      </c>
      <c r="R271" s="6" t="s">
        <v>993</v>
      </c>
      <c r="S271" s="17" t="s">
        <v>1941</v>
      </c>
      <c r="T271" s="17" t="s">
        <v>1942</v>
      </c>
      <c r="U271" s="173" t="s">
        <v>38</v>
      </c>
      <c r="V271" s="11" t="s">
        <v>1548</v>
      </c>
      <c r="W271" s="22" t="s">
        <v>1890</v>
      </c>
      <c r="X271" s="22" t="s">
        <v>1890</v>
      </c>
      <c r="Y271" s="22"/>
      <c r="Z271" s="6"/>
      <c r="AA271" s="6"/>
      <c r="AB271" s="23"/>
      <c r="AC271" s="24"/>
    </row>
    <row r="272" spans="1:29" ht="15.75" customHeight="1">
      <c r="A272" s="10" t="s">
        <v>1943</v>
      </c>
      <c r="B272" s="10" t="s">
        <v>1469</v>
      </c>
      <c r="C272" s="60" t="s">
        <v>1470</v>
      </c>
      <c r="D272" s="12"/>
      <c r="E272" s="13" t="s">
        <v>1240</v>
      </c>
      <c r="F272" s="43" t="s">
        <v>278</v>
      </c>
      <c r="G272" s="6" t="str">
        <f ca="1">IFERROR(__xludf.DUMMYFUNCTION("CONCATENATE(B272,(VLOOKUP(C272,CATALOGOS!$F$2:$H$6,3,FALSE)),(VLOOKUP(V272,CATALOGOS!$J$2:$K$18,2,FALSE)),""-"",TO_TEXT(A272))"),"P12PP-0271")</f>
        <v>P12PP-0271</v>
      </c>
      <c r="H272" s="6" t="str">
        <f ca="1">IFERROR(__xludf.DUMMYFUNCTION("CONCATENATE($B272,(VLOOKUP($C272,CATALOGOS!$F$2:$H$6,3,FALSE)),(VLOOKUP($V272,CATALOGOS!$J$2:$K$18,2,FALSE)),""-"",TO_TEXT($A272))"),"P12PP-0271")</f>
        <v>P12PP-0271</v>
      </c>
      <c r="I272" s="6"/>
      <c r="J272" s="6" t="s">
        <v>1944</v>
      </c>
      <c r="K272" s="6" t="s">
        <v>1945</v>
      </c>
      <c r="L272" s="6" t="s">
        <v>1946</v>
      </c>
      <c r="M272" s="6" t="s">
        <v>1947</v>
      </c>
      <c r="N272" s="17"/>
      <c r="O272" s="17"/>
      <c r="P272" s="17" t="str">
        <f t="shared" si="2"/>
        <v>OK</v>
      </c>
      <c r="Q272" s="17" t="s">
        <v>35</v>
      </c>
      <c r="R272" s="6" t="s">
        <v>35</v>
      </c>
      <c r="S272" s="17" t="s">
        <v>36</v>
      </c>
      <c r="T272" s="17" t="s">
        <v>1948</v>
      </c>
      <c r="U272" s="173" t="s">
        <v>38</v>
      </c>
      <c r="V272" s="11" t="s">
        <v>1548</v>
      </c>
      <c r="W272" s="22" t="s">
        <v>1890</v>
      </c>
      <c r="X272" s="22" t="s">
        <v>1890</v>
      </c>
      <c r="Y272" s="22"/>
      <c r="Z272" s="7"/>
      <c r="AA272" s="7"/>
      <c r="AB272" s="23"/>
      <c r="AC272" s="26"/>
    </row>
    <row r="273" spans="1:29" ht="15.75" customHeight="1">
      <c r="A273" s="10" t="s">
        <v>1949</v>
      </c>
      <c r="B273" s="10" t="s">
        <v>1469</v>
      </c>
      <c r="C273" s="60" t="s">
        <v>1470</v>
      </c>
      <c r="D273" s="12"/>
      <c r="E273" s="13" t="s">
        <v>248</v>
      </c>
      <c r="F273" s="43" t="s">
        <v>249</v>
      </c>
      <c r="G273" s="6" t="str">
        <f ca="1">IFERROR(__xludf.DUMMYFUNCTION("CONCATENATE(B273,(VLOOKUP(C273,CATALOGOS!$F$2:$H$6,3,FALSE)),(VLOOKUP(V273,CATALOGOS!$J$2:$K$18,2,FALSE)),""-"",TO_TEXT(A273))"),"P12PP-0272")</f>
        <v>P12PP-0272</v>
      </c>
      <c r="H273" s="6" t="str">
        <f ca="1">IFERROR(__xludf.DUMMYFUNCTION("CONCATENATE($B273,(VLOOKUP($C273,CATALOGOS!$F$2:$H$6,3,FALSE)),(VLOOKUP($V273,CATALOGOS!$J$2:$K$18,2,FALSE)),""-"",TO_TEXT($A273))"),"P12PP-0272")</f>
        <v>P12PP-0272</v>
      </c>
      <c r="I273" s="6"/>
      <c r="J273" s="6" t="s">
        <v>1950</v>
      </c>
      <c r="K273" s="6" t="s">
        <v>1951</v>
      </c>
      <c r="L273" s="6" t="s">
        <v>1952</v>
      </c>
      <c r="M273" s="6" t="s">
        <v>1953</v>
      </c>
      <c r="N273" s="17"/>
      <c r="O273" s="17"/>
      <c r="P273" s="17" t="str">
        <f t="shared" si="2"/>
        <v>OK</v>
      </c>
      <c r="Q273" s="17" t="s">
        <v>250</v>
      </c>
      <c r="R273" s="6" t="s">
        <v>1954</v>
      </c>
      <c r="S273" s="17" t="s">
        <v>1955</v>
      </c>
      <c r="T273" s="17" t="s">
        <v>1956</v>
      </c>
      <c r="U273" s="173" t="s">
        <v>38</v>
      </c>
      <c r="V273" s="11" t="s">
        <v>1548</v>
      </c>
      <c r="W273" s="22" t="s">
        <v>1890</v>
      </c>
      <c r="X273" s="22" t="s">
        <v>1890</v>
      </c>
      <c r="Y273" s="22"/>
      <c r="Z273" s="7"/>
      <c r="AA273" s="7"/>
      <c r="AB273" s="23"/>
      <c r="AC273" s="26"/>
    </row>
    <row r="274" spans="1:29" ht="15.75" customHeight="1">
      <c r="A274" s="10" t="s">
        <v>1957</v>
      </c>
      <c r="B274" s="10" t="s">
        <v>1469</v>
      </c>
      <c r="C274" s="60" t="s">
        <v>1470</v>
      </c>
      <c r="D274" s="12"/>
      <c r="E274" s="13" t="s">
        <v>378</v>
      </c>
      <c r="F274" s="43" t="s">
        <v>1958</v>
      </c>
      <c r="G274" s="6" t="str">
        <f ca="1">IFERROR(__xludf.DUMMYFUNCTION("CONCATENATE(B274,(VLOOKUP(C274,CATALOGOS!$F$2:$H$6,3,FALSE)),(VLOOKUP(V274,CATALOGOS!$J$2:$K$18,2,FALSE)),""-"",TO_TEXT(A274))"),"P12CT-0273")</f>
        <v>P12CT-0273</v>
      </c>
      <c r="H274" s="6" t="str">
        <f ca="1">IFERROR(__xludf.DUMMYFUNCTION("CONCATENATE($B274,(VLOOKUP($C274,CATALOGOS!$F$2:$H$6,3,FALSE)),(VLOOKUP($V274,CATALOGOS!$J$2:$K$18,2,FALSE)),""-"",TO_TEXT($A274))"),"P12CT-0273")</f>
        <v>P12CT-0273</v>
      </c>
      <c r="I274" s="6"/>
      <c r="J274" s="6" t="s">
        <v>1959</v>
      </c>
      <c r="K274" s="6" t="s">
        <v>1960</v>
      </c>
      <c r="L274" s="6" t="s">
        <v>1961</v>
      </c>
      <c r="M274" s="6" t="s">
        <v>1962</v>
      </c>
      <c r="N274" s="17"/>
      <c r="O274" s="17"/>
      <c r="P274" s="17" t="str">
        <f t="shared" si="2"/>
        <v>OK</v>
      </c>
      <c r="Q274" s="17" t="s">
        <v>35</v>
      </c>
      <c r="R274" s="6" t="s">
        <v>35</v>
      </c>
      <c r="S274" s="17" t="s">
        <v>36</v>
      </c>
      <c r="T274" s="17" t="s">
        <v>1963</v>
      </c>
      <c r="U274" s="173" t="s">
        <v>38</v>
      </c>
      <c r="V274" s="11" t="s">
        <v>2884</v>
      </c>
      <c r="W274" s="20" t="s">
        <v>385</v>
      </c>
      <c r="X274" s="20" t="s">
        <v>385</v>
      </c>
      <c r="Y274" s="20"/>
      <c r="Z274" s="7"/>
      <c r="AA274" s="7"/>
      <c r="AB274" s="23"/>
      <c r="AC274" s="26"/>
    </row>
    <row r="275" spans="1:29" ht="15.75" customHeight="1">
      <c r="A275" s="10" t="s">
        <v>1964</v>
      </c>
      <c r="B275" s="10" t="s">
        <v>1469</v>
      </c>
      <c r="C275" s="60" t="s">
        <v>1470</v>
      </c>
      <c r="D275" s="38"/>
      <c r="E275" s="13" t="s">
        <v>184</v>
      </c>
      <c r="F275" s="43" t="s">
        <v>927</v>
      </c>
      <c r="G275" s="6" t="str">
        <f ca="1">IFERROR(__xludf.DUMMYFUNCTION("CONCATENATE(B275,(VLOOKUP(C275,CATALOGOS!$F$2:$H$6,3,FALSE)),(VLOOKUP(V275,CATALOGOS!$J$2:$K$18,2,FALSE)),""-"",TO_TEXT(A275))"),"P12PP-0274")</f>
        <v>P12PP-0274</v>
      </c>
      <c r="H275" s="6" t="str">
        <f ca="1">IFERROR(__xludf.DUMMYFUNCTION("CONCATENATE($B275,(VLOOKUP($C275,CATALOGOS!$F$2:$H$6,3,FALSE)),(VLOOKUP($V275,CATALOGOS!$J$2:$K$18,2,FALSE)),""-"",TO_TEXT($A275))"),"P12PP-0274")</f>
        <v>P12PP-0274</v>
      </c>
      <c r="I275" s="6"/>
      <c r="J275" s="6" t="s">
        <v>1965</v>
      </c>
      <c r="K275" s="6" t="s">
        <v>1966</v>
      </c>
      <c r="L275" s="6" t="s">
        <v>1967</v>
      </c>
      <c r="M275" s="43" t="s">
        <v>1968</v>
      </c>
      <c r="N275" s="17"/>
      <c r="O275" s="17"/>
      <c r="P275" s="17" t="str">
        <f t="shared" si="2"/>
        <v>OK</v>
      </c>
      <c r="Q275" s="43" t="s">
        <v>35</v>
      </c>
      <c r="R275" s="6" t="s">
        <v>35</v>
      </c>
      <c r="S275" s="46" t="s">
        <v>36</v>
      </c>
      <c r="T275" s="17" t="s">
        <v>1969</v>
      </c>
      <c r="U275" s="173" t="s">
        <v>38</v>
      </c>
      <c r="V275" s="11" t="s">
        <v>1548</v>
      </c>
      <c r="W275" s="32" t="s">
        <v>1672</v>
      </c>
      <c r="X275" s="32" t="s">
        <v>1672</v>
      </c>
      <c r="Y275" s="32"/>
      <c r="Z275" s="7"/>
      <c r="AA275" s="7"/>
      <c r="AB275" s="26"/>
      <c r="AC275" s="26"/>
    </row>
    <row r="276" spans="1:29" ht="15.75" customHeight="1">
      <c r="A276" s="10" t="s">
        <v>1970</v>
      </c>
      <c r="B276" s="10" t="s">
        <v>1469</v>
      </c>
      <c r="C276" s="60" t="s">
        <v>1470</v>
      </c>
      <c r="D276" s="12"/>
      <c r="E276" s="13" t="s">
        <v>210</v>
      </c>
      <c r="F276" s="6" t="s">
        <v>210</v>
      </c>
      <c r="G276" s="6" t="str">
        <f ca="1">IFERROR(__xludf.DUMMYFUNCTION("CONCATENATE(B276,(VLOOKUP(C276,CATALOGOS!$F$2:$H$6,3,FALSE)),(VLOOKUP(V276,CATALOGOS!$J$2:$K$18,2,FALSE)),""-"",TO_TEXT(A276))"),"P12PP-0275")</f>
        <v>P12PP-0275</v>
      </c>
      <c r="H276" s="6" t="str">
        <f ca="1">IFERROR(__xludf.DUMMYFUNCTION("CONCATENATE($B276,(VLOOKUP($C276,CATALOGOS!$F$2:$H$6,3,FALSE)),(VLOOKUP($V276,CATALOGOS!$J$2:$K$18,2,FALSE)),""-"",TO_TEXT($A276))"),"P12PP-0275")</f>
        <v>P12PP-0275</v>
      </c>
      <c r="I276" s="6"/>
      <c r="J276" s="6" t="s">
        <v>1971</v>
      </c>
      <c r="K276" s="6" t="s">
        <v>1972</v>
      </c>
      <c r="L276" s="36"/>
      <c r="M276" s="6" t="s">
        <v>1973</v>
      </c>
      <c r="N276" s="17"/>
      <c r="O276" s="17"/>
      <c r="P276" s="17" t="str">
        <f t="shared" si="2"/>
        <v>OK</v>
      </c>
      <c r="Q276" s="17" t="s">
        <v>216</v>
      </c>
      <c r="R276" s="6" t="s">
        <v>1974</v>
      </c>
      <c r="S276" s="6" t="s">
        <v>36</v>
      </c>
      <c r="T276" s="10" t="s">
        <v>1975</v>
      </c>
      <c r="U276" s="173" t="s">
        <v>38</v>
      </c>
      <c r="V276" s="11" t="s">
        <v>1548</v>
      </c>
      <c r="W276" s="20" t="s">
        <v>1597</v>
      </c>
      <c r="X276" s="20" t="s">
        <v>1597</v>
      </c>
      <c r="Y276" s="20"/>
      <c r="Z276" s="7"/>
      <c r="AA276" s="7"/>
      <c r="AB276" s="23"/>
      <c r="AC276" s="26"/>
    </row>
    <row r="277" spans="1:29" ht="15.75" customHeight="1">
      <c r="A277" s="10" t="s">
        <v>1976</v>
      </c>
      <c r="B277" s="10" t="s">
        <v>27</v>
      </c>
      <c r="C277" s="60" t="s">
        <v>1470</v>
      </c>
      <c r="D277" s="12"/>
      <c r="E277" s="13" t="s">
        <v>501</v>
      </c>
      <c r="F277" s="6" t="s">
        <v>1977</v>
      </c>
      <c r="G277" s="15" t="str">
        <f ca="1">IFERROR(__xludf.DUMMYFUNCTION("CONCATENATE(B277,(VLOOKUP(C277,CATALOGOS!$F$2:$H$6,3,FALSE)),(VLOOKUP(V277,CATALOGOS!$J$2:$K$18,2,FALSE)),""-"",TO_TEXT(A277))"),"P02PP-0276")</f>
        <v>P02PP-0276</v>
      </c>
      <c r="H277" s="6" t="str">
        <f ca="1">IFERROR(__xludf.DUMMYFUNCTION("CONCATENATE($B277,(VLOOKUP($C277,CATALOGOS!$F$2:$H$6,3,FALSE)),(VLOOKUP($V277,CATALOGOS!$J$2:$K$18,2,FALSE)),""-"",TO_TEXT($A277))"),"P02PP-0276")</f>
        <v>P02PP-0276</v>
      </c>
      <c r="I277" s="6"/>
      <c r="J277" s="6" t="s">
        <v>1978</v>
      </c>
      <c r="K277" s="6" t="s">
        <v>1979</v>
      </c>
      <c r="L277" s="6" t="s">
        <v>1980</v>
      </c>
      <c r="M277" s="6" t="s">
        <v>1981</v>
      </c>
      <c r="N277" s="17"/>
      <c r="O277" s="17"/>
      <c r="P277" s="17" t="str">
        <f t="shared" si="2"/>
        <v>OK</v>
      </c>
      <c r="Q277" s="17" t="s">
        <v>35</v>
      </c>
      <c r="R277" s="6" t="s">
        <v>35</v>
      </c>
      <c r="S277" s="17" t="s">
        <v>36</v>
      </c>
      <c r="T277" s="35" t="s">
        <v>1982</v>
      </c>
      <c r="U277" s="173" t="s">
        <v>38</v>
      </c>
      <c r="V277" s="11" t="s">
        <v>1548</v>
      </c>
      <c r="W277" s="22" t="s">
        <v>1983</v>
      </c>
      <c r="X277" s="22" t="s">
        <v>1983</v>
      </c>
      <c r="Y277" s="22"/>
      <c r="Z277" s="7"/>
      <c r="AA277" s="7"/>
      <c r="AB277" s="23"/>
      <c r="AC277" s="26"/>
    </row>
    <row r="278" spans="1:29" ht="15.75" customHeight="1">
      <c r="A278" s="10" t="s">
        <v>1984</v>
      </c>
      <c r="B278" s="10" t="s">
        <v>27</v>
      </c>
      <c r="C278" s="60" t="s">
        <v>1470</v>
      </c>
      <c r="D278" s="12"/>
      <c r="E278" s="13" t="s">
        <v>43</v>
      </c>
      <c r="F278" s="6" t="s">
        <v>1688</v>
      </c>
      <c r="G278" s="15" t="str">
        <f ca="1">IFERROR(__xludf.DUMMYFUNCTION("CONCATENATE(B278,(VLOOKUP(C278,CATALOGOS!$F$2:$H$6,3,FALSE)),(VLOOKUP(V278,CATALOGOS!$J$2:$K$18,2,FALSE)),""-"",TO_TEXT(A278))"),"P02PP-0277")</f>
        <v>P02PP-0277</v>
      </c>
      <c r="H278" s="6" t="str">
        <f ca="1">IFERROR(__xludf.DUMMYFUNCTION("CONCATENATE($B278,(VLOOKUP($C278,CATALOGOS!$F$2:$H$6,3,FALSE)),(VLOOKUP($V278,CATALOGOS!$J$2:$K$18,2,FALSE)),""-"",TO_TEXT($A278))"),"P02PP-0277")</f>
        <v>P02PP-0277</v>
      </c>
      <c r="I278" s="6"/>
      <c r="J278" s="6" t="s">
        <v>1985</v>
      </c>
      <c r="K278" s="6" t="s">
        <v>1986</v>
      </c>
      <c r="L278" s="6" t="s">
        <v>1987</v>
      </c>
      <c r="M278" s="6" t="s">
        <v>1988</v>
      </c>
      <c r="N278" s="17"/>
      <c r="O278" s="17"/>
      <c r="P278" s="17" t="str">
        <f t="shared" si="2"/>
        <v>OK</v>
      </c>
      <c r="Q278" s="17" t="s">
        <v>49</v>
      </c>
      <c r="R278" s="6" t="s">
        <v>1989</v>
      </c>
      <c r="S278" s="17" t="s">
        <v>36</v>
      </c>
      <c r="T278" s="10" t="s">
        <v>1990</v>
      </c>
      <c r="U278" s="179" t="s">
        <v>100</v>
      </c>
      <c r="V278" s="11" t="s">
        <v>1548</v>
      </c>
      <c r="W278" s="22" t="s">
        <v>1983</v>
      </c>
      <c r="X278" s="22" t="s">
        <v>1983</v>
      </c>
      <c r="Y278" s="22"/>
      <c r="Z278" s="7"/>
      <c r="AA278" s="7"/>
      <c r="AB278" s="23"/>
      <c r="AC278" s="26"/>
    </row>
    <row r="279" spans="1:29" ht="15.75" customHeight="1">
      <c r="A279" s="10" t="s">
        <v>1991</v>
      </c>
      <c r="B279" s="10" t="s">
        <v>27</v>
      </c>
      <c r="C279" s="60" t="s">
        <v>1470</v>
      </c>
      <c r="D279" s="12"/>
      <c r="E279" s="13" t="s">
        <v>184</v>
      </c>
      <c r="F279" s="6" t="s">
        <v>1992</v>
      </c>
      <c r="G279" s="15" t="str">
        <f ca="1">IFERROR(__xludf.DUMMYFUNCTION("CONCATENATE(B279,(VLOOKUP(C279,CATALOGOS!$F$2:$H$6,3,FALSE)),(VLOOKUP(V279,CATALOGOS!$J$2:$K$18,2,FALSE)),""-"",TO_TEXT(A279))"),"P02PP-0278")</f>
        <v>P02PP-0278</v>
      </c>
      <c r="H279" s="6" t="str">
        <f ca="1">IFERROR(__xludf.DUMMYFUNCTION("CONCATENATE($B279,(VLOOKUP($C279,CATALOGOS!$F$2:$H$6,3,FALSE)),(VLOOKUP($V279,CATALOGOS!$J$2:$K$18,2,FALSE)),""-"",TO_TEXT($A279))"),"P02PP-0278")</f>
        <v>P02PP-0278</v>
      </c>
      <c r="I279" s="6"/>
      <c r="J279" s="6" t="s">
        <v>1993</v>
      </c>
      <c r="K279" s="6" t="s">
        <v>1994</v>
      </c>
      <c r="L279" s="6" t="s">
        <v>1995</v>
      </c>
      <c r="M279" s="43" t="s">
        <v>1996</v>
      </c>
      <c r="N279" s="17"/>
      <c r="O279" s="17"/>
      <c r="P279" s="17" t="str">
        <f t="shared" si="2"/>
        <v>OK</v>
      </c>
      <c r="Q279" s="17" t="s">
        <v>35</v>
      </c>
      <c r="R279" s="6" t="s">
        <v>35</v>
      </c>
      <c r="S279" s="17" t="s">
        <v>36</v>
      </c>
      <c r="T279" s="35" t="s">
        <v>1997</v>
      </c>
      <c r="U279" s="173" t="s">
        <v>38</v>
      </c>
      <c r="V279" s="11" t="s">
        <v>1548</v>
      </c>
      <c r="W279" s="22" t="s">
        <v>1983</v>
      </c>
      <c r="X279" s="22" t="s">
        <v>1983</v>
      </c>
      <c r="Y279" s="22"/>
      <c r="Z279" s="7"/>
      <c r="AA279" s="7"/>
      <c r="AB279" s="23"/>
      <c r="AC279" s="26"/>
    </row>
    <row r="280" spans="1:29" ht="15.75" customHeight="1">
      <c r="A280" s="10" t="s">
        <v>1998</v>
      </c>
      <c r="B280" s="10" t="s">
        <v>27</v>
      </c>
      <c r="C280" s="60" t="s">
        <v>1470</v>
      </c>
      <c r="D280" s="12"/>
      <c r="E280" s="13" t="s">
        <v>116</v>
      </c>
      <c r="F280" s="6" t="s">
        <v>599</v>
      </c>
      <c r="G280" s="15" t="str">
        <f ca="1">IFERROR(__xludf.DUMMYFUNCTION("CONCATENATE(B280,(VLOOKUP(C280,CATALOGOS!$F$2:$H$6,3,FALSE)),(VLOOKUP(V280,CATALOGOS!$J$2:$K$18,2,FALSE)),""-"",TO_TEXT(A280))"),"P02PP-0279")</f>
        <v>P02PP-0279</v>
      </c>
      <c r="H280" s="6" t="str">
        <f ca="1">IFERROR(__xludf.DUMMYFUNCTION("CONCATENATE($B280,(VLOOKUP($C280,CATALOGOS!$F$2:$H$6,3,FALSE)),(VLOOKUP($V280,CATALOGOS!$J$2:$K$18,2,FALSE)),""-"",TO_TEXT($A280))"),"P02PP-0279")</f>
        <v>P02PP-0279</v>
      </c>
      <c r="I280" s="6"/>
      <c r="J280" s="6" t="s">
        <v>1999</v>
      </c>
      <c r="K280" s="6" t="s">
        <v>2000</v>
      </c>
      <c r="L280" s="6" t="s">
        <v>2001</v>
      </c>
      <c r="M280" s="6" t="s">
        <v>2002</v>
      </c>
      <c r="N280" s="17"/>
      <c r="O280" s="17"/>
      <c r="P280" s="17" t="str">
        <f t="shared" si="2"/>
        <v>OK</v>
      </c>
      <c r="Q280" s="17" t="s">
        <v>35</v>
      </c>
      <c r="R280" s="6" t="s">
        <v>35</v>
      </c>
      <c r="S280" s="17" t="s">
        <v>36</v>
      </c>
      <c r="T280" s="35" t="s">
        <v>2003</v>
      </c>
      <c r="U280" s="173" t="s">
        <v>38</v>
      </c>
      <c r="V280" s="11" t="s">
        <v>1548</v>
      </c>
      <c r="W280" s="22" t="s">
        <v>1983</v>
      </c>
      <c r="X280" s="22" t="s">
        <v>1983</v>
      </c>
      <c r="Y280" s="22"/>
      <c r="Z280" s="7"/>
      <c r="AA280" s="7"/>
      <c r="AB280" s="23"/>
      <c r="AC280" s="26"/>
    </row>
    <row r="281" spans="1:29" ht="15.75" customHeight="1">
      <c r="A281" s="10" t="s">
        <v>2004</v>
      </c>
      <c r="B281" s="10" t="s">
        <v>27</v>
      </c>
      <c r="C281" s="60" t="s">
        <v>1470</v>
      </c>
      <c r="D281" s="12"/>
      <c r="E281" s="13" t="s">
        <v>199</v>
      </c>
      <c r="F281" s="6" t="s">
        <v>199</v>
      </c>
      <c r="G281" s="15" t="str">
        <f ca="1">IFERROR(__xludf.DUMMYFUNCTION("CONCATENATE(B281,(VLOOKUP(C281,CATALOGOS!$F$2:$H$6,3,FALSE)),(VLOOKUP(V281,CATALOGOS!$J$2:$K$18,2,FALSE)),""-"",TO_TEXT(A281))"),"P02PP-0280")</f>
        <v>P02PP-0280</v>
      </c>
      <c r="H281" s="6" t="str">
        <f ca="1">IFERROR(__xludf.DUMMYFUNCTION("CONCATENATE($B281,(VLOOKUP($C281,CATALOGOS!$F$2:$H$6,3,FALSE)),(VLOOKUP($V281,CATALOGOS!$J$2:$K$18,2,FALSE)),""-"",TO_TEXT($A281))"),"P02PP-0280")</f>
        <v>P02PP-0280</v>
      </c>
      <c r="I281" s="6"/>
      <c r="J281" s="6" t="s">
        <v>2005</v>
      </c>
      <c r="K281" s="6" t="s">
        <v>2006</v>
      </c>
      <c r="L281" s="6" t="s">
        <v>2007</v>
      </c>
      <c r="M281" s="6" t="s">
        <v>2008</v>
      </c>
      <c r="N281" s="17"/>
      <c r="O281" s="17"/>
      <c r="P281" s="17" t="str">
        <f t="shared" si="2"/>
        <v>OK</v>
      </c>
      <c r="Q281" s="17" t="s">
        <v>297</v>
      </c>
      <c r="R281" s="6" t="s">
        <v>2009</v>
      </c>
      <c r="S281" s="17" t="s">
        <v>2010</v>
      </c>
      <c r="T281" s="35" t="s">
        <v>2011</v>
      </c>
      <c r="U281" s="179" t="s">
        <v>517</v>
      </c>
      <c r="V281" s="11" t="s">
        <v>1548</v>
      </c>
      <c r="W281" s="22" t="s">
        <v>1983</v>
      </c>
      <c r="X281" s="22" t="s">
        <v>1983</v>
      </c>
      <c r="Y281" s="22"/>
      <c r="Z281" s="7"/>
      <c r="AA281" s="7"/>
      <c r="AB281" s="23"/>
      <c r="AC281" s="26"/>
    </row>
    <row r="282" spans="1:29" ht="15.75" customHeight="1">
      <c r="A282" s="10" t="s">
        <v>2012</v>
      </c>
      <c r="B282" s="10" t="s">
        <v>27</v>
      </c>
      <c r="C282" s="60" t="s">
        <v>1470</v>
      </c>
      <c r="D282" s="12"/>
      <c r="E282" s="13" t="s">
        <v>151</v>
      </c>
      <c r="F282" s="6" t="s">
        <v>152</v>
      </c>
      <c r="G282" s="15" t="str">
        <f ca="1">IFERROR(__xludf.DUMMYFUNCTION("CONCATENATE(B282,(VLOOKUP(C282,CATALOGOS!$F$2:$H$6,3,FALSE)),(VLOOKUP(V282,CATALOGOS!$J$2:$K$18,2,FALSE)),""-"",TO_TEXT(A282))"),"P02PP-0281")</f>
        <v>P02PP-0281</v>
      </c>
      <c r="H282" s="6" t="str">
        <f ca="1">IFERROR(__xludf.DUMMYFUNCTION("CONCATENATE($B282,(VLOOKUP($C282,CATALOGOS!$F$2:$H$6,3,FALSE)),(VLOOKUP($V282,CATALOGOS!$J$2:$K$18,2,FALSE)),""-"",TO_TEXT($A282))"),"P02PP-0281")</f>
        <v>P02PP-0281</v>
      </c>
      <c r="I282" s="6"/>
      <c r="J282" s="6" t="s">
        <v>2013</v>
      </c>
      <c r="K282" s="6" t="s">
        <v>2014</v>
      </c>
      <c r="L282" s="6" t="s">
        <v>2015</v>
      </c>
      <c r="M282" s="6" t="s">
        <v>2016</v>
      </c>
      <c r="N282" s="17"/>
      <c r="O282" s="17"/>
      <c r="P282" s="17" t="str">
        <f t="shared" si="2"/>
        <v>OK</v>
      </c>
      <c r="Q282" s="17" t="s">
        <v>1220</v>
      </c>
      <c r="R282" s="6" t="s">
        <v>720</v>
      </c>
      <c r="S282" s="17" t="s">
        <v>2017</v>
      </c>
      <c r="T282" s="35" t="s">
        <v>2018</v>
      </c>
      <c r="U282" s="173" t="s">
        <v>38</v>
      </c>
      <c r="V282" s="11" t="s">
        <v>1548</v>
      </c>
      <c r="W282" s="22" t="s">
        <v>1983</v>
      </c>
      <c r="X282" s="22" t="s">
        <v>1983</v>
      </c>
      <c r="Y282" s="22"/>
      <c r="Z282" s="7"/>
      <c r="AA282" s="7"/>
      <c r="AB282" s="23"/>
      <c r="AC282" s="26"/>
    </row>
    <row r="283" spans="1:29" ht="15.75" customHeight="1">
      <c r="A283" s="10" t="s">
        <v>2019</v>
      </c>
      <c r="B283" s="10" t="s">
        <v>27</v>
      </c>
      <c r="C283" s="60" t="s">
        <v>1470</v>
      </c>
      <c r="D283" s="12"/>
      <c r="E283" s="13" t="s">
        <v>248</v>
      </c>
      <c r="F283" s="6" t="s">
        <v>248</v>
      </c>
      <c r="G283" s="15" t="str">
        <f ca="1">IFERROR(__xludf.DUMMYFUNCTION("CONCATENATE(B283,(VLOOKUP(C283,CATALOGOS!$F$2:$H$6,3,FALSE)),(VLOOKUP(V283,CATALOGOS!$J$2:$K$18,2,FALSE)),""-"",TO_TEXT(A283))"),"P02PP-0282")</f>
        <v>P02PP-0282</v>
      </c>
      <c r="H283" s="6" t="str">
        <f ca="1">IFERROR(__xludf.DUMMYFUNCTION("CONCATENATE($B283,(VLOOKUP($C283,CATALOGOS!$F$2:$H$6,3,FALSE)),(VLOOKUP($V283,CATALOGOS!$J$2:$K$18,2,FALSE)),""-"",TO_TEXT($A283))"),"P02PP-0282")</f>
        <v>P02PP-0282</v>
      </c>
      <c r="I283" s="6"/>
      <c r="J283" s="6" t="s">
        <v>2020</v>
      </c>
      <c r="K283" s="6" t="s">
        <v>2021</v>
      </c>
      <c r="L283" s="36"/>
      <c r="M283" s="6" t="s">
        <v>141</v>
      </c>
      <c r="N283" s="17"/>
      <c r="O283" s="17"/>
      <c r="P283" s="17" t="str">
        <f t="shared" si="2"/>
        <v>REPETIDO</v>
      </c>
      <c r="Q283" s="17" t="s">
        <v>2022</v>
      </c>
      <c r="R283" s="6" t="s">
        <v>35</v>
      </c>
      <c r="S283" s="6" t="s">
        <v>2023</v>
      </c>
      <c r="T283" s="32" t="s">
        <v>2024</v>
      </c>
      <c r="U283" s="179" t="s">
        <v>100</v>
      </c>
      <c r="V283" s="11" t="s">
        <v>1548</v>
      </c>
      <c r="W283" s="22" t="s">
        <v>1983</v>
      </c>
      <c r="X283" s="22" t="s">
        <v>1983</v>
      </c>
      <c r="Y283" s="22"/>
      <c r="Z283" s="6"/>
      <c r="AA283" s="6"/>
      <c r="AB283" s="23"/>
      <c r="AC283" s="33"/>
    </row>
    <row r="284" spans="1:29" ht="15.75" customHeight="1">
      <c r="A284" s="10" t="s">
        <v>2025</v>
      </c>
      <c r="B284" s="10" t="s">
        <v>27</v>
      </c>
      <c r="C284" s="60" t="s">
        <v>1470</v>
      </c>
      <c r="D284" s="12"/>
      <c r="E284" s="13" t="s">
        <v>53</v>
      </c>
      <c r="F284" s="6" t="s">
        <v>2026</v>
      </c>
      <c r="G284" s="15" t="str">
        <f ca="1">IFERROR(__xludf.DUMMYFUNCTION("CONCATENATE(B284,(VLOOKUP(C284,CATALOGOS!$F$2:$H$6,3,FALSE)),(VLOOKUP(V284,CATALOGOS!$J$2:$K$18,2,FALSE)),""-"",TO_TEXT(A284))"),"P02PP-0283")</f>
        <v>P02PP-0283</v>
      </c>
      <c r="H284" s="6" t="str">
        <f ca="1">IFERROR(__xludf.DUMMYFUNCTION("CONCATENATE($B284,(VLOOKUP($C284,CATALOGOS!$F$2:$H$6,3,FALSE)),(VLOOKUP($V284,CATALOGOS!$J$2:$K$18,2,FALSE)),""-"",TO_TEXT($A284))"),"P02PP-0283")</f>
        <v>P02PP-0283</v>
      </c>
      <c r="I284" s="6"/>
      <c r="J284" s="6" t="s">
        <v>2027</v>
      </c>
      <c r="K284" s="6" t="s">
        <v>2028</v>
      </c>
      <c r="L284" s="36"/>
      <c r="M284" s="6" t="s">
        <v>141</v>
      </c>
      <c r="N284" s="17"/>
      <c r="O284" s="17"/>
      <c r="P284" s="17" t="str">
        <f t="shared" si="2"/>
        <v>REPETIDO</v>
      </c>
      <c r="Q284" s="17" t="s">
        <v>35</v>
      </c>
      <c r="R284" s="6" t="s">
        <v>35</v>
      </c>
      <c r="S284" s="6" t="s">
        <v>36</v>
      </c>
      <c r="T284" s="10" t="s">
        <v>85</v>
      </c>
      <c r="U284" s="173" t="s">
        <v>38</v>
      </c>
      <c r="V284" s="11" t="s">
        <v>1548</v>
      </c>
      <c r="W284" s="22" t="s">
        <v>1983</v>
      </c>
      <c r="X284" s="22" t="s">
        <v>1983</v>
      </c>
      <c r="Y284" s="22"/>
      <c r="Z284" s="6"/>
      <c r="AA284" s="6"/>
      <c r="AB284" s="23"/>
      <c r="AC284" s="33"/>
    </row>
    <row r="285" spans="1:29" ht="15.75" customHeight="1">
      <c r="A285" s="10" t="s">
        <v>2029</v>
      </c>
      <c r="B285" s="10" t="s">
        <v>27</v>
      </c>
      <c r="C285" s="60" t="s">
        <v>1470</v>
      </c>
      <c r="D285" s="12"/>
      <c r="E285" s="13" t="s">
        <v>2030</v>
      </c>
      <c r="F285" s="6" t="s">
        <v>2030</v>
      </c>
      <c r="G285" s="15" t="str">
        <f ca="1">IFERROR(__xludf.DUMMYFUNCTION("CONCATENATE(B285,(VLOOKUP(C285,CATALOGOS!$F$2:$H$6,3,FALSE)),(VLOOKUP(V285,CATALOGOS!$J$2:$K$18,2,FALSE)),""-"",TO_TEXT(A285))"),"P02PP-0284")</f>
        <v>P02PP-0284</v>
      </c>
      <c r="H285" s="6" t="str">
        <f ca="1">IFERROR(__xludf.DUMMYFUNCTION("CONCATENATE($B285,(VLOOKUP($C285,CATALOGOS!$F$2:$H$6,3,FALSE)),(VLOOKUP($V285,CATALOGOS!$J$2:$K$18,2,FALSE)),""-"",TO_TEXT($A285))"),"P02PP-0284")</f>
        <v>P02PP-0284</v>
      </c>
      <c r="I285" s="6"/>
      <c r="J285" s="6" t="s">
        <v>2031</v>
      </c>
      <c r="K285" s="6" t="s">
        <v>2032</v>
      </c>
      <c r="L285" s="36"/>
      <c r="M285" s="6" t="s">
        <v>141</v>
      </c>
      <c r="N285" s="17"/>
      <c r="O285" s="17"/>
      <c r="P285" s="17" t="str">
        <f t="shared" si="2"/>
        <v>REPETIDO</v>
      </c>
      <c r="Q285" s="17" t="s">
        <v>2033</v>
      </c>
      <c r="R285" s="6" t="s">
        <v>2034</v>
      </c>
      <c r="S285" s="6" t="s">
        <v>36</v>
      </c>
      <c r="T285" s="10" t="s">
        <v>85</v>
      </c>
      <c r="U285" s="173" t="s">
        <v>38</v>
      </c>
      <c r="V285" s="11" t="s">
        <v>1548</v>
      </c>
      <c r="W285" s="22" t="s">
        <v>1983</v>
      </c>
      <c r="X285" s="22" t="s">
        <v>1983</v>
      </c>
      <c r="Y285" s="22"/>
      <c r="Z285" s="6"/>
      <c r="AA285" s="6"/>
      <c r="AB285" s="23"/>
      <c r="AC285" s="33"/>
    </row>
    <row r="286" spans="1:29" ht="15.75" customHeight="1">
      <c r="A286" s="10" t="s">
        <v>2035</v>
      </c>
      <c r="B286" s="10" t="s">
        <v>27</v>
      </c>
      <c r="C286" s="60" t="s">
        <v>1470</v>
      </c>
      <c r="D286" s="38"/>
      <c r="E286" s="13" t="s">
        <v>321</v>
      </c>
      <c r="F286" s="6" t="s">
        <v>322</v>
      </c>
      <c r="G286" s="15" t="str">
        <f ca="1">IFERROR(__xludf.DUMMYFUNCTION("CONCATENATE(B286,(VLOOKUP(C286,CATALOGOS!$F$2:$H$6,3,FALSE)),(VLOOKUP(V286,CATALOGOS!$J$2:$K$18,2,FALSE)),""-"",TO_TEXT(A286))"),"P02PP-0285")</f>
        <v>P02PP-0285</v>
      </c>
      <c r="H286" s="6" t="str">
        <f ca="1">IFERROR(__xludf.DUMMYFUNCTION("CONCATENATE($B286,(VLOOKUP($C286,CATALOGOS!$F$2:$H$6,3,FALSE)),(VLOOKUP($V286,CATALOGOS!$J$2:$K$18,2,FALSE)),""-"",TO_TEXT($A286))"),"P02PP-0285")</f>
        <v>P02PP-0285</v>
      </c>
      <c r="I286" s="6"/>
      <c r="J286" s="6" t="s">
        <v>2036</v>
      </c>
      <c r="K286" s="6" t="s">
        <v>2037</v>
      </c>
      <c r="L286" s="36"/>
      <c r="M286" s="6" t="s">
        <v>141</v>
      </c>
      <c r="N286" s="17"/>
      <c r="O286" s="17"/>
      <c r="P286" s="17" t="str">
        <f t="shared" si="2"/>
        <v>REPETIDO</v>
      </c>
      <c r="Q286" s="35" t="s">
        <v>2038</v>
      </c>
      <c r="R286" s="6">
        <v>29965</v>
      </c>
      <c r="S286" s="6" t="s">
        <v>36</v>
      </c>
      <c r="T286" s="32" t="s">
        <v>85</v>
      </c>
      <c r="U286" s="173" t="s">
        <v>38</v>
      </c>
      <c r="V286" s="11" t="s">
        <v>1548</v>
      </c>
      <c r="W286" s="32" t="s">
        <v>1983</v>
      </c>
      <c r="X286" s="32" t="s">
        <v>1983</v>
      </c>
      <c r="Y286" s="32"/>
      <c r="Z286" s="6"/>
      <c r="AA286" s="6"/>
      <c r="AB286" s="26"/>
      <c r="AC286" s="33"/>
    </row>
    <row r="287" spans="1:29" ht="15.75" customHeight="1">
      <c r="A287" s="10" t="s">
        <v>2039</v>
      </c>
      <c r="B287" s="10" t="s">
        <v>27</v>
      </c>
      <c r="C287" s="60" t="s">
        <v>1470</v>
      </c>
      <c r="D287" s="38"/>
      <c r="E287" s="13" t="s">
        <v>378</v>
      </c>
      <c r="F287" s="43" t="s">
        <v>2040</v>
      </c>
      <c r="G287" s="15" t="str">
        <f ca="1">IFERROR(__xludf.DUMMYFUNCTION("CONCATENATE(B287,(VLOOKUP(C287,CATALOGOS!$F$2:$H$6,3,FALSE)),(VLOOKUP(V287,CATALOGOS!$J$2:$K$18,2,FALSE)),""-"",TO_TEXT(A287))"),"P02PP-0286")</f>
        <v>P02PP-0286</v>
      </c>
      <c r="H287" s="6" t="str">
        <f ca="1">IFERROR(__xludf.DUMMYFUNCTION("CONCATENATE($B287,(VLOOKUP($C287,CATALOGOS!$F$2:$H$6,3,FALSE)),(VLOOKUP($V287,CATALOGOS!$J$2:$K$18,2,FALSE)),""-"",TO_TEXT($A287))"),"P02PP-0286")</f>
        <v>P02PP-0286</v>
      </c>
      <c r="I287" s="6"/>
      <c r="J287" s="6" t="s">
        <v>2041</v>
      </c>
      <c r="K287" s="6" t="s">
        <v>2042</v>
      </c>
      <c r="L287" s="6" t="s">
        <v>2043</v>
      </c>
      <c r="M287" s="6" t="s">
        <v>2044</v>
      </c>
      <c r="N287" s="17"/>
      <c r="O287" s="17"/>
      <c r="P287" s="17" t="str">
        <f t="shared" si="2"/>
        <v>OK</v>
      </c>
      <c r="Q287" s="17" t="s">
        <v>35</v>
      </c>
      <c r="R287" s="6" t="s">
        <v>35</v>
      </c>
      <c r="S287" s="46" t="s">
        <v>36</v>
      </c>
      <c r="T287" s="17" t="s">
        <v>85</v>
      </c>
      <c r="U287" s="173" t="s">
        <v>38</v>
      </c>
      <c r="V287" s="11" t="s">
        <v>1548</v>
      </c>
      <c r="W287" s="32" t="s">
        <v>1983</v>
      </c>
      <c r="X287" s="32" t="s">
        <v>1983</v>
      </c>
      <c r="Y287" s="32"/>
      <c r="Z287" s="6"/>
      <c r="AA287" s="6"/>
      <c r="AB287" s="23"/>
      <c r="AC287" s="24"/>
    </row>
    <row r="288" spans="1:29" ht="15.75" customHeight="1">
      <c r="A288" s="10" t="s">
        <v>2045</v>
      </c>
      <c r="B288" s="10" t="s">
        <v>27</v>
      </c>
      <c r="C288" s="60" t="s">
        <v>1470</v>
      </c>
      <c r="D288" s="12"/>
      <c r="E288" s="13" t="s">
        <v>501</v>
      </c>
      <c r="F288" s="6" t="s">
        <v>2046</v>
      </c>
      <c r="G288" s="15" t="str">
        <f ca="1">IFERROR(__xludf.DUMMYFUNCTION("CONCATENATE(B288,(VLOOKUP(C288,CATALOGOS!$F$2:$H$6,3,FALSE)),(VLOOKUP(V288,CATALOGOS!$J$2:$K$18,2,FALSE)),""-"",TO_TEXT(A288))"),"P02PP-0287")</f>
        <v>P02PP-0287</v>
      </c>
      <c r="H288" s="6" t="str">
        <f ca="1">IFERROR(__xludf.DUMMYFUNCTION("CONCATENATE($B288,(VLOOKUP($C288,CATALOGOS!$F$2:$H$6,3,FALSE)),(VLOOKUP($V288,CATALOGOS!$J$2:$K$18,2,FALSE)),""-"",TO_TEXT($A288))"),"P02PP-0287")</f>
        <v>P02PP-0287</v>
      </c>
      <c r="I288" s="6"/>
      <c r="J288" s="6" t="s">
        <v>2047</v>
      </c>
      <c r="K288" s="6" t="s">
        <v>2048</v>
      </c>
      <c r="L288" s="6" t="s">
        <v>2049</v>
      </c>
      <c r="M288" s="43" t="s">
        <v>2050</v>
      </c>
      <c r="N288" s="17"/>
      <c r="O288" s="17"/>
      <c r="P288" s="17" t="str">
        <f t="shared" si="2"/>
        <v>OK</v>
      </c>
      <c r="Q288" s="17" t="s">
        <v>35</v>
      </c>
      <c r="R288" s="6" t="s">
        <v>35</v>
      </c>
      <c r="S288" s="17" t="s">
        <v>36</v>
      </c>
      <c r="T288" s="17" t="s">
        <v>2051</v>
      </c>
      <c r="U288" s="173" t="s">
        <v>38</v>
      </c>
      <c r="V288" s="11" t="s">
        <v>1548</v>
      </c>
      <c r="W288" s="20" t="s">
        <v>2052</v>
      </c>
      <c r="X288" s="20" t="s">
        <v>2052</v>
      </c>
      <c r="Y288" s="20"/>
      <c r="Z288" s="7"/>
      <c r="AA288" s="7"/>
      <c r="AB288" s="23"/>
      <c r="AC288" s="26"/>
    </row>
    <row r="289" spans="1:29" ht="15.75" customHeight="1">
      <c r="A289" s="10" t="s">
        <v>2053</v>
      </c>
      <c r="B289" s="10" t="s">
        <v>27</v>
      </c>
      <c r="C289" s="60" t="s">
        <v>1470</v>
      </c>
      <c r="D289" s="12"/>
      <c r="E289" s="13" t="s">
        <v>501</v>
      </c>
      <c r="F289" s="6" t="s">
        <v>2046</v>
      </c>
      <c r="G289" s="15" t="str">
        <f ca="1">IFERROR(__xludf.DUMMYFUNCTION("CONCATENATE(B289,(VLOOKUP(C289,CATALOGOS!$F$2:$H$6,3,FALSE)),(VLOOKUP(V289,CATALOGOS!$J$2:$K$18,2,FALSE)),""-"",TO_TEXT(A289))"),"P02PP-0288")</f>
        <v>P02PP-0288</v>
      </c>
      <c r="H289" s="6" t="str">
        <f ca="1">IFERROR(__xludf.DUMMYFUNCTION("CONCATENATE($B289,(VLOOKUP($C289,CATALOGOS!$F$2:$H$6,3,FALSE)),(VLOOKUP($V289,CATALOGOS!$J$2:$K$18,2,FALSE)),""-"",TO_TEXT($A289))"),"P02PP-0288")</f>
        <v>P02PP-0288</v>
      </c>
      <c r="I289" s="6"/>
      <c r="J289" s="6" t="s">
        <v>2054</v>
      </c>
      <c r="K289" s="6" t="s">
        <v>2055</v>
      </c>
      <c r="L289" s="6" t="s">
        <v>2056</v>
      </c>
      <c r="M289" s="43" t="s">
        <v>2057</v>
      </c>
      <c r="N289" s="17"/>
      <c r="O289" s="17"/>
      <c r="P289" s="17" t="str">
        <f t="shared" si="2"/>
        <v>OK</v>
      </c>
      <c r="Q289" s="17" t="s">
        <v>35</v>
      </c>
      <c r="R289" s="6" t="s">
        <v>35</v>
      </c>
      <c r="S289" s="17" t="s">
        <v>36</v>
      </c>
      <c r="T289" s="17" t="s">
        <v>2058</v>
      </c>
      <c r="U289" s="173" t="s">
        <v>38</v>
      </c>
      <c r="V289" s="11" t="s">
        <v>1548</v>
      </c>
      <c r="W289" s="20" t="s">
        <v>2052</v>
      </c>
      <c r="X289" s="20" t="s">
        <v>2052</v>
      </c>
      <c r="Y289" s="20"/>
      <c r="Z289" s="7"/>
      <c r="AA289" s="7"/>
      <c r="AB289" s="23"/>
      <c r="AC289" s="26"/>
    </row>
    <row r="290" spans="1:29" ht="15.75" customHeight="1">
      <c r="A290" s="10" t="s">
        <v>2059</v>
      </c>
      <c r="B290" s="10" t="s">
        <v>27</v>
      </c>
      <c r="C290" s="60" t="s">
        <v>1470</v>
      </c>
      <c r="D290" s="12"/>
      <c r="E290" s="13" t="s">
        <v>2060</v>
      </c>
      <c r="F290" s="6" t="s">
        <v>2061</v>
      </c>
      <c r="G290" s="15" t="str">
        <f ca="1">IFERROR(__xludf.DUMMYFUNCTION("CONCATENATE(B290,(VLOOKUP(C290,CATALOGOS!$F$2:$H$6,3,FALSE)),(VLOOKUP(V290,CATALOGOS!$J$2:$K$18,2,FALSE)),""-"",TO_TEXT(A290))"),"P02PP-0289")</f>
        <v>P02PP-0289</v>
      </c>
      <c r="H290" s="6" t="str">
        <f ca="1">IFERROR(__xludf.DUMMYFUNCTION("CONCATENATE($B290,(VLOOKUP($C290,CATALOGOS!$F$2:$H$6,3,FALSE)),(VLOOKUP($V290,CATALOGOS!$J$2:$K$18,2,FALSE)),""-"",TO_TEXT($A290))"),"P02PP-0289")</f>
        <v>P02PP-0289</v>
      </c>
      <c r="I290" s="6"/>
      <c r="J290" s="6" t="s">
        <v>2062</v>
      </c>
      <c r="K290" s="6" t="s">
        <v>2063</v>
      </c>
      <c r="L290" s="6" t="s">
        <v>2064</v>
      </c>
      <c r="M290" s="43" t="s">
        <v>2065</v>
      </c>
      <c r="N290" s="17"/>
      <c r="O290" s="17"/>
      <c r="P290" s="17" t="str">
        <f t="shared" si="2"/>
        <v>OK</v>
      </c>
      <c r="Q290" s="17" t="s">
        <v>35</v>
      </c>
      <c r="R290" s="6" t="s">
        <v>35</v>
      </c>
      <c r="S290" s="17" t="s">
        <v>36</v>
      </c>
      <c r="T290" s="17" t="s">
        <v>2066</v>
      </c>
      <c r="U290" s="173" t="s">
        <v>38</v>
      </c>
      <c r="V290" s="11" t="s">
        <v>1548</v>
      </c>
      <c r="W290" s="20" t="s">
        <v>2052</v>
      </c>
      <c r="X290" s="20" t="s">
        <v>2052</v>
      </c>
      <c r="Y290" s="20"/>
      <c r="Z290" s="7"/>
      <c r="AA290" s="7"/>
      <c r="AB290" s="23"/>
      <c r="AC290" s="26"/>
    </row>
    <row r="291" spans="1:29" ht="15.75" customHeight="1">
      <c r="A291" s="10" t="s">
        <v>2067</v>
      </c>
      <c r="B291" s="10" t="s">
        <v>27</v>
      </c>
      <c r="C291" s="60" t="s">
        <v>1470</v>
      </c>
      <c r="D291" s="12"/>
      <c r="E291" s="13" t="s">
        <v>2060</v>
      </c>
      <c r="F291" s="6" t="s">
        <v>2061</v>
      </c>
      <c r="G291" s="15" t="str">
        <f ca="1">IFERROR(__xludf.DUMMYFUNCTION("CONCATENATE(B291,(VLOOKUP(C291,CATALOGOS!$F$2:$H$6,3,FALSE)),(VLOOKUP(V291,CATALOGOS!$J$2:$K$18,2,FALSE)),""-"",TO_TEXT(A291))"),"P02PP-0290")</f>
        <v>P02PP-0290</v>
      </c>
      <c r="H291" s="6" t="str">
        <f ca="1">IFERROR(__xludf.DUMMYFUNCTION("CONCATENATE($B291,(VLOOKUP($C291,CATALOGOS!$F$2:$H$6,3,FALSE)),(VLOOKUP($V291,CATALOGOS!$J$2:$K$18,2,FALSE)),""-"",TO_TEXT($A291))"),"P02PP-0290")</f>
        <v>P02PP-0290</v>
      </c>
      <c r="I291" s="6"/>
      <c r="J291" s="6" t="s">
        <v>2068</v>
      </c>
      <c r="K291" s="6" t="s">
        <v>2069</v>
      </c>
      <c r="L291" s="6" t="s">
        <v>2070</v>
      </c>
      <c r="M291" s="43" t="s">
        <v>2071</v>
      </c>
      <c r="N291" s="17"/>
      <c r="O291" s="17"/>
      <c r="P291" s="17" t="str">
        <f t="shared" si="2"/>
        <v>OK</v>
      </c>
      <c r="Q291" s="17" t="s">
        <v>35</v>
      </c>
      <c r="R291" s="6" t="s">
        <v>35</v>
      </c>
      <c r="S291" s="17" t="s">
        <v>36</v>
      </c>
      <c r="T291" s="17" t="s">
        <v>2072</v>
      </c>
      <c r="U291" s="173" t="s">
        <v>38</v>
      </c>
      <c r="V291" s="11" t="s">
        <v>1548</v>
      </c>
      <c r="W291" s="20" t="s">
        <v>2052</v>
      </c>
      <c r="X291" s="20" t="s">
        <v>2052</v>
      </c>
      <c r="Y291" s="20"/>
      <c r="Z291" s="7"/>
      <c r="AA291" s="7"/>
      <c r="AB291" s="23"/>
      <c r="AC291" s="26"/>
    </row>
    <row r="292" spans="1:29" ht="15.75" customHeight="1">
      <c r="A292" s="10" t="s">
        <v>2073</v>
      </c>
      <c r="B292" s="10" t="s">
        <v>27</v>
      </c>
      <c r="C292" s="60" t="s">
        <v>1470</v>
      </c>
      <c r="D292" s="12"/>
      <c r="E292" s="13" t="s">
        <v>501</v>
      </c>
      <c r="F292" s="6" t="s">
        <v>2046</v>
      </c>
      <c r="G292" s="15" t="str">
        <f ca="1">IFERROR(__xludf.DUMMYFUNCTION("CONCATENATE(B292,(VLOOKUP(C292,CATALOGOS!$F$2:$H$6,3,FALSE)),(VLOOKUP(V292,CATALOGOS!$J$2:$K$18,2,FALSE)),""-"",TO_TEXT(A292))"),"P02PP-0291")</f>
        <v>P02PP-0291</v>
      </c>
      <c r="H292" s="6" t="str">
        <f ca="1">IFERROR(__xludf.DUMMYFUNCTION("CONCATENATE($B292,(VLOOKUP($C292,CATALOGOS!$F$2:$H$6,3,FALSE)),(VLOOKUP($V292,CATALOGOS!$J$2:$K$18,2,FALSE)),""-"",TO_TEXT($A292))"),"P02PP-0291")</f>
        <v>P02PP-0291</v>
      </c>
      <c r="I292" s="6"/>
      <c r="J292" s="6" t="s">
        <v>2074</v>
      </c>
      <c r="K292" s="6" t="s">
        <v>2075</v>
      </c>
      <c r="L292" s="6" t="s">
        <v>2076</v>
      </c>
      <c r="M292" s="43" t="s">
        <v>2077</v>
      </c>
      <c r="N292" s="17"/>
      <c r="O292" s="17"/>
      <c r="P292" s="17" t="str">
        <f t="shared" si="2"/>
        <v>OK</v>
      </c>
      <c r="Q292" s="17" t="s">
        <v>35</v>
      </c>
      <c r="R292" s="6" t="s">
        <v>35</v>
      </c>
      <c r="S292" s="17" t="s">
        <v>36</v>
      </c>
      <c r="T292" s="17" t="s">
        <v>2078</v>
      </c>
      <c r="U292" s="173" t="s">
        <v>38</v>
      </c>
      <c r="V292" s="11" t="s">
        <v>1548</v>
      </c>
      <c r="W292" s="20" t="s">
        <v>2052</v>
      </c>
      <c r="X292" s="20" t="s">
        <v>2052</v>
      </c>
      <c r="Y292" s="20"/>
      <c r="Z292" s="7"/>
      <c r="AA292" s="7"/>
      <c r="AB292" s="23"/>
      <c r="AC292" s="26"/>
    </row>
    <row r="293" spans="1:29" ht="15.75" customHeight="1">
      <c r="A293" s="10" t="s">
        <v>2079</v>
      </c>
      <c r="B293" s="10" t="s">
        <v>27</v>
      </c>
      <c r="C293" s="60" t="s">
        <v>1470</v>
      </c>
      <c r="D293" s="12"/>
      <c r="E293" s="13" t="s">
        <v>2060</v>
      </c>
      <c r="F293" s="6" t="s">
        <v>2061</v>
      </c>
      <c r="G293" s="15" t="str">
        <f ca="1">IFERROR(__xludf.DUMMYFUNCTION("CONCATENATE(B293,(VLOOKUP(C293,CATALOGOS!$F$2:$H$6,3,FALSE)),(VLOOKUP(V293,CATALOGOS!$J$2:$K$18,2,FALSE)),""-"",TO_TEXT(A293))"),"P02PP-0292")</f>
        <v>P02PP-0292</v>
      </c>
      <c r="H293" s="6" t="str">
        <f ca="1">IFERROR(__xludf.DUMMYFUNCTION("CONCATENATE($B293,(VLOOKUP($C293,CATALOGOS!$F$2:$H$6,3,FALSE)),(VLOOKUP($V293,CATALOGOS!$J$2:$K$18,2,FALSE)),""-"",TO_TEXT($A293))"),"P02PP-0292")</f>
        <v>P02PP-0292</v>
      </c>
      <c r="I293" s="6"/>
      <c r="J293" s="6" t="s">
        <v>2080</v>
      </c>
      <c r="K293" s="6" t="s">
        <v>2081</v>
      </c>
      <c r="L293" s="6" t="s">
        <v>2082</v>
      </c>
      <c r="M293" s="6" t="s">
        <v>2083</v>
      </c>
      <c r="N293" s="17"/>
      <c r="O293" s="17"/>
      <c r="P293" s="17" t="str">
        <f t="shared" si="2"/>
        <v>OK</v>
      </c>
      <c r="Q293" s="17" t="s">
        <v>35</v>
      </c>
      <c r="R293" s="6" t="s">
        <v>35</v>
      </c>
      <c r="S293" s="17" t="s">
        <v>36</v>
      </c>
      <c r="T293" s="17" t="s">
        <v>2084</v>
      </c>
      <c r="U293" s="173" t="s">
        <v>38</v>
      </c>
      <c r="V293" s="11" t="s">
        <v>1548</v>
      </c>
      <c r="W293" s="20" t="s">
        <v>2052</v>
      </c>
      <c r="X293" s="20" t="s">
        <v>2052</v>
      </c>
      <c r="Y293" s="20"/>
      <c r="Z293" s="7"/>
      <c r="AA293" s="7"/>
      <c r="AB293" s="23"/>
      <c r="AC293" s="26"/>
    </row>
    <row r="294" spans="1:29" ht="15.75" customHeight="1">
      <c r="A294" s="10" t="s">
        <v>2085</v>
      </c>
      <c r="B294" s="10" t="s">
        <v>27</v>
      </c>
      <c r="C294" s="60" t="s">
        <v>1470</v>
      </c>
      <c r="D294" s="12"/>
      <c r="E294" s="13" t="s">
        <v>2060</v>
      </c>
      <c r="F294" s="6" t="s">
        <v>2061</v>
      </c>
      <c r="G294" s="15" t="str">
        <f ca="1">IFERROR(__xludf.DUMMYFUNCTION("CONCATENATE(B294,(VLOOKUP(C294,CATALOGOS!$F$2:$H$6,3,FALSE)),(VLOOKUP(V294,CATALOGOS!$J$2:$K$18,2,FALSE)),""-"",TO_TEXT(A294))"),"P02PP-0293")</f>
        <v>P02PP-0293</v>
      </c>
      <c r="H294" s="6" t="str">
        <f ca="1">IFERROR(__xludf.DUMMYFUNCTION("CONCATENATE($B294,(VLOOKUP($C294,CATALOGOS!$F$2:$H$6,3,FALSE)),(VLOOKUP($V294,CATALOGOS!$J$2:$K$18,2,FALSE)),""-"",TO_TEXT($A294))"),"P02PP-0293")</f>
        <v>P02PP-0293</v>
      </c>
      <c r="I294" s="6"/>
      <c r="J294" s="6" t="s">
        <v>2086</v>
      </c>
      <c r="K294" s="6" t="s">
        <v>2087</v>
      </c>
      <c r="L294" s="6" t="s">
        <v>2088</v>
      </c>
      <c r="M294" s="6" t="s">
        <v>2089</v>
      </c>
      <c r="N294" s="17"/>
      <c r="O294" s="17"/>
      <c r="P294" s="17" t="str">
        <f t="shared" si="2"/>
        <v>OK</v>
      </c>
      <c r="Q294" s="17" t="s">
        <v>35</v>
      </c>
      <c r="R294" s="6" t="s">
        <v>35</v>
      </c>
      <c r="S294" s="17" t="s">
        <v>36</v>
      </c>
      <c r="T294" s="17" t="s">
        <v>2090</v>
      </c>
      <c r="U294" s="173" t="s">
        <v>38</v>
      </c>
      <c r="V294" s="11" t="s">
        <v>1548</v>
      </c>
      <c r="W294" s="20" t="s">
        <v>2052</v>
      </c>
      <c r="X294" s="20" t="s">
        <v>2052</v>
      </c>
      <c r="Y294" s="20"/>
      <c r="Z294" s="7"/>
      <c r="AA294" s="7"/>
      <c r="AB294" s="23"/>
      <c r="AC294" s="26"/>
    </row>
    <row r="295" spans="1:29" ht="15.75" customHeight="1">
      <c r="A295" s="10" t="s">
        <v>2091</v>
      </c>
      <c r="B295" s="10" t="s">
        <v>27</v>
      </c>
      <c r="C295" s="60" t="s">
        <v>1470</v>
      </c>
      <c r="D295" s="12"/>
      <c r="E295" s="13" t="s">
        <v>501</v>
      </c>
      <c r="F295" s="6" t="s">
        <v>2092</v>
      </c>
      <c r="G295" s="15" t="str">
        <f ca="1">IFERROR(__xludf.DUMMYFUNCTION("CONCATENATE(B295,(VLOOKUP(C295,CATALOGOS!$F$2:$H$6,3,FALSE)),(VLOOKUP(V295,CATALOGOS!$J$2:$K$18,2,FALSE)),""-"",TO_TEXT(A295))"),"P02PP-0294")</f>
        <v>P02PP-0294</v>
      </c>
      <c r="H295" s="6" t="str">
        <f ca="1">IFERROR(__xludf.DUMMYFUNCTION("CONCATENATE($B295,(VLOOKUP($C295,CATALOGOS!$F$2:$H$6,3,FALSE)),(VLOOKUP($V295,CATALOGOS!$J$2:$K$18,2,FALSE)),""-"",TO_TEXT($A295))"),"P02PP-0294")</f>
        <v>P02PP-0294</v>
      </c>
      <c r="I295" s="6"/>
      <c r="J295" s="6" t="s">
        <v>2093</v>
      </c>
      <c r="K295" s="6" t="s">
        <v>2094</v>
      </c>
      <c r="L295" s="6" t="s">
        <v>2095</v>
      </c>
      <c r="M295" s="6" t="s">
        <v>2096</v>
      </c>
      <c r="N295" s="17"/>
      <c r="O295" s="17"/>
      <c r="P295" s="17" t="str">
        <f t="shared" si="2"/>
        <v>OK</v>
      </c>
      <c r="Q295" s="17" t="s">
        <v>35</v>
      </c>
      <c r="R295" s="6" t="s">
        <v>35</v>
      </c>
      <c r="S295" s="17" t="s">
        <v>36</v>
      </c>
      <c r="T295" s="17" t="s">
        <v>2097</v>
      </c>
      <c r="U295" s="173" t="s">
        <v>38</v>
      </c>
      <c r="V295" s="11" t="s">
        <v>1548</v>
      </c>
      <c r="W295" s="20" t="s">
        <v>2052</v>
      </c>
      <c r="X295" s="20" t="s">
        <v>2052</v>
      </c>
      <c r="Y295" s="20"/>
      <c r="Z295" s="7"/>
      <c r="AA295" s="7"/>
      <c r="AB295" s="23"/>
      <c r="AC295" s="26"/>
    </row>
    <row r="296" spans="1:29" ht="15.75" customHeight="1">
      <c r="A296" s="10" t="s">
        <v>2098</v>
      </c>
      <c r="B296" s="10" t="s">
        <v>27</v>
      </c>
      <c r="C296" s="60" t="s">
        <v>1470</v>
      </c>
      <c r="D296" s="12"/>
      <c r="E296" s="13" t="s">
        <v>501</v>
      </c>
      <c r="F296" s="6" t="s">
        <v>2046</v>
      </c>
      <c r="G296" s="15" t="str">
        <f ca="1">IFERROR(__xludf.DUMMYFUNCTION("CONCATENATE(B296,(VLOOKUP(C296,CATALOGOS!$F$2:$H$6,3,FALSE)),(VLOOKUP(V296,CATALOGOS!$J$2:$K$18,2,FALSE)),""-"",TO_TEXT(A296))"),"P02PP-0295")</f>
        <v>P02PP-0295</v>
      </c>
      <c r="H296" s="6" t="str">
        <f ca="1">IFERROR(__xludf.DUMMYFUNCTION("CONCATENATE($B296,(VLOOKUP($C296,CATALOGOS!$F$2:$H$6,3,FALSE)),(VLOOKUP($V296,CATALOGOS!$J$2:$K$18,2,FALSE)),""-"",TO_TEXT($A296))"),"P02PP-0295")</f>
        <v>P02PP-0295</v>
      </c>
      <c r="I296" s="6"/>
      <c r="J296" s="6" t="s">
        <v>2099</v>
      </c>
      <c r="K296" s="6" t="s">
        <v>2100</v>
      </c>
      <c r="L296" s="6" t="s">
        <v>2101</v>
      </c>
      <c r="M296" s="6" t="s">
        <v>2102</v>
      </c>
      <c r="N296" s="17"/>
      <c r="O296" s="17"/>
      <c r="P296" s="17" t="str">
        <f t="shared" si="2"/>
        <v>OK</v>
      </c>
      <c r="Q296" s="17" t="s">
        <v>35</v>
      </c>
      <c r="R296" s="6" t="s">
        <v>35</v>
      </c>
      <c r="S296" s="17" t="s">
        <v>36</v>
      </c>
      <c r="T296" s="17" t="s">
        <v>2103</v>
      </c>
      <c r="U296" s="173" t="s">
        <v>38</v>
      </c>
      <c r="V296" s="174" t="s">
        <v>1548</v>
      </c>
      <c r="W296" s="20" t="s">
        <v>2052</v>
      </c>
      <c r="X296" s="20" t="s">
        <v>2052</v>
      </c>
      <c r="Y296" s="20"/>
      <c r="Z296" s="7"/>
      <c r="AA296" s="7"/>
      <c r="AB296" s="23"/>
      <c r="AC296" s="26"/>
    </row>
    <row r="297" spans="1:29" ht="15.75" customHeight="1">
      <c r="A297" s="10" t="s">
        <v>2104</v>
      </c>
      <c r="B297" s="10" t="s">
        <v>27</v>
      </c>
      <c r="C297" s="60" t="s">
        <v>1470</v>
      </c>
      <c r="D297" s="12"/>
      <c r="E297" s="13" t="s">
        <v>2060</v>
      </c>
      <c r="F297" s="6" t="s">
        <v>2061</v>
      </c>
      <c r="G297" s="15" t="str">
        <f ca="1">IFERROR(__xludf.DUMMYFUNCTION("CONCATENATE(B297,(VLOOKUP(C297,CATALOGOS!$F$2:$H$6,3,FALSE)),(VLOOKUP(V297,CATALOGOS!$J$2:$K$18,2,FALSE)),""-"",TO_TEXT(A297))"),"P02PP-0296")</f>
        <v>P02PP-0296</v>
      </c>
      <c r="H297" s="6" t="str">
        <f ca="1">IFERROR(__xludf.DUMMYFUNCTION("CONCATENATE($B297,(VLOOKUP($C297,CATALOGOS!$F$2:$H$6,3,FALSE)),(VLOOKUP($V297,CATALOGOS!$J$2:$K$18,2,FALSE)),""-"",TO_TEXT($A297))"),"P02PP-0296")</f>
        <v>P02PP-0296</v>
      </c>
      <c r="I297" s="6"/>
      <c r="J297" s="6" t="s">
        <v>2105</v>
      </c>
      <c r="K297" s="6" t="s">
        <v>2106</v>
      </c>
      <c r="L297" s="6" t="s">
        <v>2107</v>
      </c>
      <c r="M297" s="6" t="s">
        <v>2108</v>
      </c>
      <c r="N297" s="17"/>
      <c r="O297" s="17"/>
      <c r="P297" s="17" t="str">
        <f t="shared" si="2"/>
        <v>OK</v>
      </c>
      <c r="Q297" s="17" t="s">
        <v>35</v>
      </c>
      <c r="R297" s="6" t="s">
        <v>35</v>
      </c>
      <c r="S297" s="17" t="s">
        <v>36</v>
      </c>
      <c r="T297" s="17" t="s">
        <v>2109</v>
      </c>
      <c r="U297" s="173" t="s">
        <v>38</v>
      </c>
      <c r="V297" s="11" t="s">
        <v>1548</v>
      </c>
      <c r="W297" s="20" t="s">
        <v>2052</v>
      </c>
      <c r="X297" s="20" t="s">
        <v>2052</v>
      </c>
      <c r="Y297" s="20"/>
      <c r="Z297" s="7"/>
      <c r="AA297" s="7"/>
      <c r="AB297" s="23"/>
      <c r="AC297" s="26"/>
    </row>
    <row r="298" spans="1:29" ht="15.75" customHeight="1">
      <c r="A298" s="10" t="s">
        <v>2110</v>
      </c>
      <c r="B298" s="10" t="s">
        <v>27</v>
      </c>
      <c r="C298" s="60" t="s">
        <v>1470</v>
      </c>
      <c r="D298" s="12"/>
      <c r="E298" s="13" t="s">
        <v>2060</v>
      </c>
      <c r="F298" s="6" t="s">
        <v>2061</v>
      </c>
      <c r="G298" s="15" t="str">
        <f ca="1">IFERROR(__xludf.DUMMYFUNCTION("CONCATENATE(B298,(VLOOKUP(C298,CATALOGOS!$F$2:$H$6,3,FALSE)),(VLOOKUP(V298,CATALOGOS!$J$2:$K$18,2,FALSE)),""-"",TO_TEXT(A298))"),"P02PP-0297")</f>
        <v>P02PP-0297</v>
      </c>
      <c r="H298" s="6" t="str">
        <f ca="1">IFERROR(__xludf.DUMMYFUNCTION("CONCATENATE($B298,(VLOOKUP($C298,CATALOGOS!$F$2:$H$6,3,FALSE)),(VLOOKUP($V298,CATALOGOS!$J$2:$K$18,2,FALSE)),""-"",TO_TEXT($A298))"),"P02PP-0297")</f>
        <v>P02PP-0297</v>
      </c>
      <c r="I298" s="6"/>
      <c r="J298" s="6" t="s">
        <v>2111</v>
      </c>
      <c r="K298" s="6" t="s">
        <v>2112</v>
      </c>
      <c r="L298" s="6" t="s">
        <v>2113</v>
      </c>
      <c r="M298" s="43" t="s">
        <v>2114</v>
      </c>
      <c r="N298" s="17"/>
      <c r="O298" s="17"/>
      <c r="P298" s="17" t="str">
        <f t="shared" si="2"/>
        <v>OK</v>
      </c>
      <c r="Q298" s="17" t="s">
        <v>35</v>
      </c>
      <c r="R298" s="6" t="s">
        <v>35</v>
      </c>
      <c r="S298" s="17" t="s">
        <v>36</v>
      </c>
      <c r="T298" s="17" t="s">
        <v>2115</v>
      </c>
      <c r="U298" s="173" t="s">
        <v>38</v>
      </c>
      <c r="V298" s="11" t="s">
        <v>1548</v>
      </c>
      <c r="W298" s="20" t="s">
        <v>2052</v>
      </c>
      <c r="X298" s="20" t="s">
        <v>2052</v>
      </c>
      <c r="Y298" s="20"/>
      <c r="Z298" s="7"/>
      <c r="AA298" s="7"/>
      <c r="AB298" s="23"/>
      <c r="AC298" s="26"/>
    </row>
    <row r="299" spans="1:29" ht="15.75" customHeight="1">
      <c r="A299" s="10" t="s">
        <v>2116</v>
      </c>
      <c r="B299" s="10" t="s">
        <v>27</v>
      </c>
      <c r="C299" s="60" t="s">
        <v>1470</v>
      </c>
      <c r="D299" s="12"/>
      <c r="E299" s="13" t="s">
        <v>501</v>
      </c>
      <c r="F299" s="6" t="s">
        <v>2092</v>
      </c>
      <c r="G299" s="15" t="str">
        <f ca="1">IFERROR(__xludf.DUMMYFUNCTION("CONCATENATE(B299,(VLOOKUP(C299,CATALOGOS!$F$2:$H$6,3,FALSE)),(VLOOKUP(V299,CATALOGOS!$J$2:$K$18,2,FALSE)),""-"",TO_TEXT(A299))"),"P02PP-0298")</f>
        <v>P02PP-0298</v>
      </c>
      <c r="H299" s="6" t="str">
        <f ca="1">IFERROR(__xludf.DUMMYFUNCTION("CONCATENATE($B299,(VLOOKUP($C299,CATALOGOS!$F$2:$H$6,3,FALSE)),(VLOOKUP($V299,CATALOGOS!$J$2:$K$18,2,FALSE)),""-"",TO_TEXT($A299))"),"P02PP-0298")</f>
        <v>P02PP-0298</v>
      </c>
      <c r="I299" s="6"/>
      <c r="J299" s="6" t="s">
        <v>2117</v>
      </c>
      <c r="K299" s="6" t="s">
        <v>2118</v>
      </c>
      <c r="L299" s="6" t="s">
        <v>2119</v>
      </c>
      <c r="M299" s="6" t="s">
        <v>2120</v>
      </c>
      <c r="N299" s="17"/>
      <c r="O299" s="17"/>
      <c r="P299" s="17" t="str">
        <f t="shared" si="2"/>
        <v>OK</v>
      </c>
      <c r="Q299" s="17" t="s">
        <v>35</v>
      </c>
      <c r="R299" s="6" t="s">
        <v>35</v>
      </c>
      <c r="S299" s="17" t="s">
        <v>36</v>
      </c>
      <c r="T299" s="17" t="s">
        <v>2121</v>
      </c>
      <c r="U299" s="173" t="s">
        <v>38</v>
      </c>
      <c r="V299" s="11" t="s">
        <v>1548</v>
      </c>
      <c r="W299" s="20" t="s">
        <v>2052</v>
      </c>
      <c r="X299" s="20" t="s">
        <v>2052</v>
      </c>
      <c r="Y299" s="20"/>
      <c r="Z299" s="7"/>
      <c r="AA299" s="7"/>
      <c r="AB299" s="23"/>
      <c r="AC299" s="26"/>
    </row>
    <row r="300" spans="1:29" ht="15.75" customHeight="1">
      <c r="A300" s="10" t="s">
        <v>2122</v>
      </c>
      <c r="B300" s="10" t="s">
        <v>27</v>
      </c>
      <c r="C300" s="60" t="s">
        <v>1470</v>
      </c>
      <c r="D300" s="12"/>
      <c r="E300" s="13" t="s">
        <v>2060</v>
      </c>
      <c r="F300" s="6" t="s">
        <v>2061</v>
      </c>
      <c r="G300" s="15" t="str">
        <f ca="1">IFERROR(__xludf.DUMMYFUNCTION("CONCATENATE(B300,(VLOOKUP(C300,CATALOGOS!$F$2:$H$6,3,FALSE)),(VLOOKUP(V300,CATALOGOS!$J$2:$K$18,2,FALSE)),""-"",TO_TEXT(A300))"),"P02PP-0299")</f>
        <v>P02PP-0299</v>
      </c>
      <c r="H300" s="6" t="str">
        <f ca="1">IFERROR(__xludf.DUMMYFUNCTION("CONCATENATE($B300,(VLOOKUP($C300,CATALOGOS!$F$2:$H$6,3,FALSE)),(VLOOKUP($V300,CATALOGOS!$J$2:$K$18,2,FALSE)),""-"",TO_TEXT($A300))"),"P02PP-0299")</f>
        <v>P02PP-0299</v>
      </c>
      <c r="I300" s="6"/>
      <c r="J300" s="6" t="s">
        <v>2123</v>
      </c>
      <c r="K300" s="6" t="s">
        <v>2124</v>
      </c>
      <c r="L300" s="6" t="s">
        <v>2125</v>
      </c>
      <c r="M300" s="6" t="s">
        <v>2126</v>
      </c>
      <c r="N300" s="17"/>
      <c r="O300" s="17"/>
      <c r="P300" s="17" t="str">
        <f t="shared" si="2"/>
        <v>OK</v>
      </c>
      <c r="Q300" s="17" t="s">
        <v>35</v>
      </c>
      <c r="R300" s="6" t="s">
        <v>35</v>
      </c>
      <c r="S300" s="17" t="s">
        <v>36</v>
      </c>
      <c r="T300" s="17" t="s">
        <v>2127</v>
      </c>
      <c r="U300" s="173" t="s">
        <v>38</v>
      </c>
      <c r="V300" s="11" t="s">
        <v>1548</v>
      </c>
      <c r="W300" s="20" t="s">
        <v>2052</v>
      </c>
      <c r="X300" s="20" t="s">
        <v>2052</v>
      </c>
      <c r="Y300" s="20"/>
      <c r="Z300" s="7"/>
      <c r="AA300" s="7"/>
      <c r="AB300" s="23"/>
      <c r="AC300" s="26"/>
    </row>
    <row r="301" spans="1:29" ht="15.75" customHeight="1">
      <c r="A301" s="10" t="s">
        <v>2128</v>
      </c>
      <c r="B301" s="10" t="s">
        <v>27</v>
      </c>
      <c r="C301" s="60" t="s">
        <v>1470</v>
      </c>
      <c r="D301" s="12"/>
      <c r="E301" s="13" t="s">
        <v>501</v>
      </c>
      <c r="F301" s="6" t="s">
        <v>2046</v>
      </c>
      <c r="G301" s="15" t="str">
        <f ca="1">IFERROR(__xludf.DUMMYFUNCTION("CONCATENATE(B301,(VLOOKUP(C301,CATALOGOS!$F$2:$H$6,3,FALSE)),(VLOOKUP(V301,CATALOGOS!$J$2:$K$18,2,FALSE)),""-"",TO_TEXT(A301))"),"P02PP-0300")</f>
        <v>P02PP-0300</v>
      </c>
      <c r="H301" s="6" t="str">
        <f ca="1">IFERROR(__xludf.DUMMYFUNCTION("CONCATENATE($B301,(VLOOKUP($C301,CATALOGOS!$F$2:$H$6,3,FALSE)),(VLOOKUP($V301,CATALOGOS!$J$2:$K$18,2,FALSE)),""-"",TO_TEXT($A301))"),"P02PP-0300")</f>
        <v>P02PP-0300</v>
      </c>
      <c r="I301" s="6"/>
      <c r="J301" s="6" t="s">
        <v>2129</v>
      </c>
      <c r="K301" s="6" t="s">
        <v>2130</v>
      </c>
      <c r="L301" s="6" t="s">
        <v>2131</v>
      </c>
      <c r="M301" s="6" t="s">
        <v>2132</v>
      </c>
      <c r="N301" s="17"/>
      <c r="O301" s="17"/>
      <c r="P301" s="17" t="str">
        <f t="shared" si="2"/>
        <v>OK</v>
      </c>
      <c r="Q301" s="17" t="s">
        <v>35</v>
      </c>
      <c r="R301" s="6" t="s">
        <v>35</v>
      </c>
      <c r="S301" s="17" t="s">
        <v>36</v>
      </c>
      <c r="T301" s="17" t="s">
        <v>2133</v>
      </c>
      <c r="U301" s="173" t="s">
        <v>38</v>
      </c>
      <c r="V301" s="11" t="s">
        <v>1548</v>
      </c>
      <c r="W301" s="20" t="s">
        <v>2052</v>
      </c>
      <c r="X301" s="20" t="s">
        <v>2052</v>
      </c>
      <c r="Y301" s="20"/>
      <c r="Z301" s="7"/>
      <c r="AA301" s="7"/>
      <c r="AB301" s="23"/>
      <c r="AC301" s="26"/>
    </row>
    <row r="302" spans="1:29" ht="15.75" customHeight="1">
      <c r="A302" s="10" t="s">
        <v>2134</v>
      </c>
      <c r="B302" s="10" t="s">
        <v>27</v>
      </c>
      <c r="C302" s="60" t="s">
        <v>1470</v>
      </c>
      <c r="D302" s="12"/>
      <c r="E302" s="13" t="s">
        <v>501</v>
      </c>
      <c r="F302" s="6" t="s">
        <v>2046</v>
      </c>
      <c r="G302" s="15" t="str">
        <f ca="1">IFERROR(__xludf.DUMMYFUNCTION("CONCATENATE(B302,(VLOOKUP(C302,CATALOGOS!$F$2:$H$6,3,FALSE)),(VLOOKUP(V302,CATALOGOS!$J$2:$K$18,2,FALSE)),""-"",TO_TEXT(A302))"),"P02PP-0301")</f>
        <v>P02PP-0301</v>
      </c>
      <c r="H302" s="6" t="str">
        <f ca="1">IFERROR(__xludf.DUMMYFUNCTION("CONCATENATE($B302,(VLOOKUP($C302,CATALOGOS!$F$2:$H$6,3,FALSE)),(VLOOKUP($V302,CATALOGOS!$J$2:$K$18,2,FALSE)),""-"",TO_TEXT($A302))"),"P02PP-0301")</f>
        <v>P02PP-0301</v>
      </c>
      <c r="I302" s="6"/>
      <c r="J302" s="6" t="s">
        <v>2135</v>
      </c>
      <c r="K302" s="6" t="s">
        <v>2136</v>
      </c>
      <c r="L302" s="6" t="s">
        <v>2137</v>
      </c>
      <c r="M302" s="6" t="s">
        <v>2138</v>
      </c>
      <c r="N302" s="17"/>
      <c r="O302" s="17"/>
      <c r="P302" s="17" t="str">
        <f t="shared" si="2"/>
        <v>OK</v>
      </c>
      <c r="Q302" s="17" t="s">
        <v>35</v>
      </c>
      <c r="R302" s="6" t="s">
        <v>35</v>
      </c>
      <c r="S302" s="17" t="s">
        <v>36</v>
      </c>
      <c r="T302" s="17" t="s">
        <v>2139</v>
      </c>
      <c r="U302" s="173" t="s">
        <v>38</v>
      </c>
      <c r="V302" s="11" t="s">
        <v>1548</v>
      </c>
      <c r="W302" s="20" t="s">
        <v>2052</v>
      </c>
      <c r="X302" s="20" t="s">
        <v>2052</v>
      </c>
      <c r="Y302" s="20"/>
      <c r="Z302" s="7"/>
      <c r="AA302" s="7"/>
      <c r="AB302" s="23"/>
      <c r="AC302" s="26"/>
    </row>
    <row r="303" spans="1:29" ht="15.75" customHeight="1">
      <c r="A303" s="10" t="s">
        <v>2140</v>
      </c>
      <c r="B303" s="10" t="s">
        <v>27</v>
      </c>
      <c r="C303" s="60" t="s">
        <v>1470</v>
      </c>
      <c r="D303" s="12"/>
      <c r="E303" s="13" t="s">
        <v>2060</v>
      </c>
      <c r="F303" s="6" t="s">
        <v>2061</v>
      </c>
      <c r="G303" s="15" t="str">
        <f ca="1">IFERROR(__xludf.DUMMYFUNCTION("CONCATENATE(B303,(VLOOKUP(C303,CATALOGOS!$F$2:$H$6,3,FALSE)),(VLOOKUP(V303,CATALOGOS!$J$2:$K$18,2,FALSE)),""-"",TO_TEXT(A303))"),"P02PP-0302")</f>
        <v>P02PP-0302</v>
      </c>
      <c r="H303" s="6" t="str">
        <f ca="1">IFERROR(__xludf.DUMMYFUNCTION("CONCATENATE($B303,(VLOOKUP($C303,CATALOGOS!$F$2:$H$6,3,FALSE)),(VLOOKUP($V303,CATALOGOS!$J$2:$K$18,2,FALSE)),""-"",TO_TEXT($A303))"),"P02PP-0302")</f>
        <v>P02PP-0302</v>
      </c>
      <c r="I303" s="6"/>
      <c r="J303" s="6" t="s">
        <v>2141</v>
      </c>
      <c r="K303" s="6" t="s">
        <v>2142</v>
      </c>
      <c r="L303" s="6" t="s">
        <v>2143</v>
      </c>
      <c r="M303" s="6" t="s">
        <v>2144</v>
      </c>
      <c r="N303" s="17"/>
      <c r="O303" s="17"/>
      <c r="P303" s="17" t="str">
        <f t="shared" si="2"/>
        <v>OK</v>
      </c>
      <c r="Q303" s="17" t="s">
        <v>35</v>
      </c>
      <c r="R303" s="6" t="s">
        <v>35</v>
      </c>
      <c r="S303" s="17" t="s">
        <v>36</v>
      </c>
      <c r="T303" s="17" t="s">
        <v>2145</v>
      </c>
      <c r="U303" s="173" t="s">
        <v>38</v>
      </c>
      <c r="V303" s="11" t="s">
        <v>1548</v>
      </c>
      <c r="W303" s="20" t="s">
        <v>2052</v>
      </c>
      <c r="X303" s="20" t="s">
        <v>2052</v>
      </c>
      <c r="Y303" s="20"/>
      <c r="Z303" s="7"/>
      <c r="AA303" s="7"/>
      <c r="AB303" s="23"/>
      <c r="AC303" s="26"/>
    </row>
    <row r="304" spans="1:29" ht="15.75" customHeight="1">
      <c r="A304" s="10" t="s">
        <v>2146</v>
      </c>
      <c r="B304" s="10" t="s">
        <v>27</v>
      </c>
      <c r="C304" s="60" t="s">
        <v>1470</v>
      </c>
      <c r="D304" s="12"/>
      <c r="E304" s="13" t="s">
        <v>2060</v>
      </c>
      <c r="F304" s="6" t="s">
        <v>2061</v>
      </c>
      <c r="G304" s="15" t="str">
        <f ca="1">IFERROR(__xludf.DUMMYFUNCTION("CONCATENATE(B304,(VLOOKUP(C304,CATALOGOS!$F$2:$H$6,3,FALSE)),(VLOOKUP(V304,CATALOGOS!$J$2:$K$18,2,FALSE)),""-"",TO_TEXT(A304))"),"P02PP-0303")</f>
        <v>P02PP-0303</v>
      </c>
      <c r="H304" s="6" t="str">
        <f ca="1">IFERROR(__xludf.DUMMYFUNCTION("CONCATENATE($B304,(VLOOKUP($C304,CATALOGOS!$F$2:$H$6,3,FALSE)),(VLOOKUP($V304,CATALOGOS!$J$2:$K$18,2,FALSE)),""-"",TO_TEXT($A304))"),"P02PP-0303")</f>
        <v>P02PP-0303</v>
      </c>
      <c r="I304" s="6"/>
      <c r="J304" s="6" t="s">
        <v>2147</v>
      </c>
      <c r="K304" s="6" t="s">
        <v>2148</v>
      </c>
      <c r="L304" s="6" t="s">
        <v>2149</v>
      </c>
      <c r="M304" s="6" t="s">
        <v>2150</v>
      </c>
      <c r="N304" s="17"/>
      <c r="O304" s="17"/>
      <c r="P304" s="17" t="str">
        <f t="shared" si="2"/>
        <v>OK</v>
      </c>
      <c r="Q304" s="17" t="s">
        <v>35</v>
      </c>
      <c r="R304" s="6" t="s">
        <v>35</v>
      </c>
      <c r="S304" s="17" t="s">
        <v>36</v>
      </c>
      <c r="T304" s="17" t="s">
        <v>2151</v>
      </c>
      <c r="U304" s="173" t="s">
        <v>38</v>
      </c>
      <c r="V304" s="11" t="s">
        <v>1548</v>
      </c>
      <c r="W304" s="20" t="s">
        <v>2052</v>
      </c>
      <c r="X304" s="20" t="s">
        <v>2052</v>
      </c>
      <c r="Y304" s="20"/>
      <c r="Z304" s="7"/>
      <c r="AA304" s="7"/>
      <c r="AB304" s="23"/>
      <c r="AC304" s="26"/>
    </row>
    <row r="305" spans="1:29" ht="15.75" customHeight="1">
      <c r="A305" s="10" t="s">
        <v>2152</v>
      </c>
      <c r="B305" s="10" t="s">
        <v>27</v>
      </c>
      <c r="C305" s="60" t="s">
        <v>1470</v>
      </c>
      <c r="D305" s="12"/>
      <c r="E305" s="13" t="s">
        <v>501</v>
      </c>
      <c r="F305" s="6" t="s">
        <v>2046</v>
      </c>
      <c r="G305" s="15" t="str">
        <f ca="1">IFERROR(__xludf.DUMMYFUNCTION("CONCATENATE(B305,(VLOOKUP(C305,CATALOGOS!$F$2:$H$6,3,FALSE)),(VLOOKUP(V305,CATALOGOS!$J$2:$K$18,2,FALSE)),""-"",TO_TEXT(A305))"),"P02PP-0304")</f>
        <v>P02PP-0304</v>
      </c>
      <c r="H305" s="6" t="str">
        <f ca="1">IFERROR(__xludf.DUMMYFUNCTION("CONCATENATE($B305,(VLOOKUP($C305,CATALOGOS!$F$2:$H$6,3,FALSE)),(VLOOKUP($V305,CATALOGOS!$J$2:$K$18,2,FALSE)),""-"",TO_TEXT($A305))"),"P02PP-0304")</f>
        <v>P02PP-0304</v>
      </c>
      <c r="I305" s="6"/>
      <c r="J305" s="6" t="s">
        <v>2153</v>
      </c>
      <c r="K305" s="6" t="s">
        <v>2154</v>
      </c>
      <c r="L305" s="6" t="s">
        <v>2155</v>
      </c>
      <c r="M305" s="6" t="s">
        <v>2156</v>
      </c>
      <c r="N305" s="17"/>
      <c r="O305" s="17"/>
      <c r="P305" s="17" t="str">
        <f t="shared" si="2"/>
        <v>OK</v>
      </c>
      <c r="Q305" s="17" t="s">
        <v>35</v>
      </c>
      <c r="R305" s="6" t="s">
        <v>35</v>
      </c>
      <c r="S305" s="17" t="s">
        <v>36</v>
      </c>
      <c r="T305" s="17" t="s">
        <v>2157</v>
      </c>
      <c r="U305" s="173" t="s">
        <v>38</v>
      </c>
      <c r="V305" s="11" t="s">
        <v>1548</v>
      </c>
      <c r="W305" s="20" t="s">
        <v>2052</v>
      </c>
      <c r="X305" s="20" t="s">
        <v>2052</v>
      </c>
      <c r="Y305" s="20"/>
      <c r="Z305" s="7"/>
      <c r="AA305" s="7"/>
      <c r="AB305" s="23"/>
      <c r="AC305" s="26"/>
    </row>
    <row r="306" spans="1:29" ht="15.75" customHeight="1">
      <c r="A306" s="10" t="s">
        <v>2158</v>
      </c>
      <c r="B306" s="10" t="s">
        <v>27</v>
      </c>
      <c r="C306" s="60" t="s">
        <v>1470</v>
      </c>
      <c r="D306" s="12"/>
      <c r="E306" s="13" t="s">
        <v>2060</v>
      </c>
      <c r="F306" s="6" t="s">
        <v>2061</v>
      </c>
      <c r="G306" s="15" t="str">
        <f ca="1">IFERROR(__xludf.DUMMYFUNCTION("CONCATENATE(B306,(VLOOKUP(C306,CATALOGOS!$F$2:$H$6,3,FALSE)),(VLOOKUP(V306,CATALOGOS!$J$2:$K$18,2,FALSE)),""-"",TO_TEXT(A306))"),"P02PP-0305")</f>
        <v>P02PP-0305</v>
      </c>
      <c r="H306" s="6" t="str">
        <f ca="1">IFERROR(__xludf.DUMMYFUNCTION("CONCATENATE($B306,(VLOOKUP($C306,CATALOGOS!$F$2:$H$6,3,FALSE)),(VLOOKUP($V306,CATALOGOS!$J$2:$K$18,2,FALSE)),""-"",TO_TEXT($A306))"),"P02PP-0305")</f>
        <v>P02PP-0305</v>
      </c>
      <c r="I306" s="6"/>
      <c r="J306" s="6" t="s">
        <v>2159</v>
      </c>
      <c r="K306" s="6" t="s">
        <v>2160</v>
      </c>
      <c r="L306" s="6" t="s">
        <v>2161</v>
      </c>
      <c r="M306" s="6" t="s">
        <v>2162</v>
      </c>
      <c r="N306" s="17"/>
      <c r="O306" s="17"/>
      <c r="P306" s="17" t="str">
        <f t="shared" si="2"/>
        <v>OK</v>
      </c>
      <c r="Q306" s="17" t="s">
        <v>35</v>
      </c>
      <c r="R306" s="6" t="s">
        <v>35</v>
      </c>
      <c r="S306" s="17" t="s">
        <v>36</v>
      </c>
      <c r="T306" s="17" t="s">
        <v>2163</v>
      </c>
      <c r="U306" s="173" t="s">
        <v>38</v>
      </c>
      <c r="V306" s="11" t="s">
        <v>1548</v>
      </c>
      <c r="W306" s="20" t="s">
        <v>2052</v>
      </c>
      <c r="X306" s="20" t="s">
        <v>2052</v>
      </c>
      <c r="Y306" s="20"/>
      <c r="Z306" s="7"/>
      <c r="AA306" s="7"/>
      <c r="AB306" s="23"/>
      <c r="AC306" s="26"/>
    </row>
    <row r="307" spans="1:29" ht="15.75" customHeight="1">
      <c r="A307" s="10" t="s">
        <v>2164</v>
      </c>
      <c r="B307" s="10" t="s">
        <v>27</v>
      </c>
      <c r="C307" s="60" t="s">
        <v>1470</v>
      </c>
      <c r="D307" s="12"/>
      <c r="E307" s="13" t="s">
        <v>2060</v>
      </c>
      <c r="F307" s="6" t="s">
        <v>2061</v>
      </c>
      <c r="G307" s="15" t="str">
        <f ca="1">IFERROR(__xludf.DUMMYFUNCTION("CONCATENATE(B307,(VLOOKUP(C307,CATALOGOS!$F$2:$H$6,3,FALSE)),(VLOOKUP(V307,CATALOGOS!$J$2:$K$18,2,FALSE)),""-"",TO_TEXT(A307))"),"P02PP-0306")</f>
        <v>P02PP-0306</v>
      </c>
      <c r="H307" s="6" t="str">
        <f ca="1">IFERROR(__xludf.DUMMYFUNCTION("CONCATENATE($B307,(VLOOKUP($C307,CATALOGOS!$F$2:$H$6,3,FALSE)),(VLOOKUP($V307,CATALOGOS!$J$2:$K$18,2,FALSE)),""-"",TO_TEXT($A307))"),"P02PP-0306")</f>
        <v>P02PP-0306</v>
      </c>
      <c r="I307" s="6"/>
      <c r="J307" s="6" t="s">
        <v>2165</v>
      </c>
      <c r="K307" s="6" t="s">
        <v>2166</v>
      </c>
      <c r="L307" s="6" t="s">
        <v>2167</v>
      </c>
      <c r="M307" s="6" t="s">
        <v>2168</v>
      </c>
      <c r="N307" s="17"/>
      <c r="O307" s="17"/>
      <c r="P307" s="17" t="str">
        <f t="shared" si="2"/>
        <v>OK</v>
      </c>
      <c r="Q307" s="17" t="s">
        <v>35</v>
      </c>
      <c r="R307" s="6" t="s">
        <v>35</v>
      </c>
      <c r="S307" s="17" t="s">
        <v>36</v>
      </c>
      <c r="T307" s="17" t="s">
        <v>2169</v>
      </c>
      <c r="U307" s="173" t="s">
        <v>38</v>
      </c>
      <c r="V307" s="11" t="s">
        <v>1548</v>
      </c>
      <c r="W307" s="20" t="s">
        <v>2052</v>
      </c>
      <c r="X307" s="20" t="s">
        <v>2052</v>
      </c>
      <c r="Y307" s="20"/>
      <c r="Z307" s="7"/>
      <c r="AA307" s="7"/>
      <c r="AB307" s="23"/>
      <c r="AC307" s="26"/>
    </row>
    <row r="308" spans="1:29" ht="15.75" customHeight="1">
      <c r="A308" s="10" t="s">
        <v>2170</v>
      </c>
      <c r="B308" s="10" t="s">
        <v>27</v>
      </c>
      <c r="C308" s="60" t="s">
        <v>1470</v>
      </c>
      <c r="D308" s="12"/>
      <c r="E308" s="13" t="s">
        <v>501</v>
      </c>
      <c r="F308" s="6" t="s">
        <v>2046</v>
      </c>
      <c r="G308" s="15" t="str">
        <f ca="1">IFERROR(__xludf.DUMMYFUNCTION("CONCATENATE(B308,(VLOOKUP(C308,CATALOGOS!$F$2:$H$6,3,FALSE)),(VLOOKUP(V308,CATALOGOS!$J$2:$K$18,2,FALSE)),""-"",TO_TEXT(A308))"),"P02PP-0307")</f>
        <v>P02PP-0307</v>
      </c>
      <c r="H308" s="6" t="str">
        <f ca="1">IFERROR(__xludf.DUMMYFUNCTION("CONCATENATE($B308,(VLOOKUP($C308,CATALOGOS!$F$2:$H$6,3,FALSE)),(VLOOKUP($V308,CATALOGOS!$J$2:$K$18,2,FALSE)),""-"",TO_TEXT($A308))"),"P02PP-0307")</f>
        <v>P02PP-0307</v>
      </c>
      <c r="I308" s="6"/>
      <c r="J308" s="6" t="s">
        <v>2171</v>
      </c>
      <c r="K308" s="6" t="s">
        <v>2172</v>
      </c>
      <c r="L308" s="6" t="s">
        <v>2173</v>
      </c>
      <c r="M308" s="6" t="s">
        <v>2174</v>
      </c>
      <c r="N308" s="17"/>
      <c r="O308" s="17"/>
      <c r="P308" s="17" t="str">
        <f t="shared" si="2"/>
        <v>OK</v>
      </c>
      <c r="Q308" s="17" t="s">
        <v>35</v>
      </c>
      <c r="R308" s="6" t="s">
        <v>35</v>
      </c>
      <c r="S308" s="17" t="s">
        <v>36</v>
      </c>
      <c r="T308" s="17" t="s">
        <v>2175</v>
      </c>
      <c r="U308" s="173" t="s">
        <v>38</v>
      </c>
      <c r="V308" s="11" t="s">
        <v>1548</v>
      </c>
      <c r="W308" s="20" t="s">
        <v>2052</v>
      </c>
      <c r="X308" s="20" t="s">
        <v>2052</v>
      </c>
      <c r="Y308" s="20"/>
      <c r="Z308" s="7"/>
      <c r="AA308" s="7"/>
      <c r="AB308" s="23"/>
      <c r="AC308" s="26"/>
    </row>
    <row r="309" spans="1:29" ht="15.75" customHeight="1">
      <c r="A309" s="10" t="s">
        <v>2176</v>
      </c>
      <c r="B309" s="10" t="s">
        <v>27</v>
      </c>
      <c r="C309" s="60" t="s">
        <v>1470</v>
      </c>
      <c r="D309" s="12"/>
      <c r="E309" s="13" t="s">
        <v>2060</v>
      </c>
      <c r="F309" s="6" t="s">
        <v>2061</v>
      </c>
      <c r="G309" s="15" t="str">
        <f ca="1">IFERROR(__xludf.DUMMYFUNCTION("CONCATENATE(B309,(VLOOKUP(C309,CATALOGOS!$F$2:$H$6,3,FALSE)),(VLOOKUP(V309,CATALOGOS!$J$2:$K$18,2,FALSE)),""-"",TO_TEXT(A309))"),"P02PP-0308")</f>
        <v>P02PP-0308</v>
      </c>
      <c r="H309" s="6" t="str">
        <f ca="1">IFERROR(__xludf.DUMMYFUNCTION("CONCATENATE($B309,(VLOOKUP($C309,CATALOGOS!$F$2:$H$6,3,FALSE)),(VLOOKUP($V309,CATALOGOS!$J$2:$K$18,2,FALSE)),""-"",TO_TEXT($A309))"),"P02PP-0308")</f>
        <v>P02PP-0308</v>
      </c>
      <c r="I309" s="6"/>
      <c r="J309" s="6" t="s">
        <v>2177</v>
      </c>
      <c r="K309" s="6" t="s">
        <v>2178</v>
      </c>
      <c r="L309" s="6" t="s">
        <v>2179</v>
      </c>
      <c r="M309" s="6" t="s">
        <v>2180</v>
      </c>
      <c r="N309" s="17"/>
      <c r="O309" s="17"/>
      <c r="P309" s="17" t="str">
        <f t="shared" si="2"/>
        <v>OK</v>
      </c>
      <c r="Q309" s="17" t="s">
        <v>35</v>
      </c>
      <c r="R309" s="6" t="s">
        <v>35</v>
      </c>
      <c r="S309" s="17" t="s">
        <v>36</v>
      </c>
      <c r="T309" s="17" t="s">
        <v>2181</v>
      </c>
      <c r="U309" s="173" t="s">
        <v>38</v>
      </c>
      <c r="V309" s="11" t="s">
        <v>1548</v>
      </c>
      <c r="W309" s="20" t="s">
        <v>2052</v>
      </c>
      <c r="X309" s="20" t="s">
        <v>2052</v>
      </c>
      <c r="Y309" s="20"/>
      <c r="Z309" s="7"/>
      <c r="AA309" s="7"/>
      <c r="AB309" s="23"/>
      <c r="AC309" s="26"/>
    </row>
    <row r="310" spans="1:29" ht="15.75" customHeight="1">
      <c r="A310" s="10" t="s">
        <v>2182</v>
      </c>
      <c r="B310" s="10" t="s">
        <v>27</v>
      </c>
      <c r="C310" s="60" t="s">
        <v>1470</v>
      </c>
      <c r="D310" s="12"/>
      <c r="E310" s="13" t="s">
        <v>2060</v>
      </c>
      <c r="F310" s="6" t="s">
        <v>2061</v>
      </c>
      <c r="G310" s="15" t="str">
        <f ca="1">IFERROR(__xludf.DUMMYFUNCTION("CONCATENATE(B310,(VLOOKUP(C310,CATALOGOS!$F$2:$H$6,3,FALSE)),(VLOOKUP(V310,CATALOGOS!$J$2:$K$18,2,FALSE)),""-"",TO_TEXT(A310))"),"P02PP-0309")</f>
        <v>P02PP-0309</v>
      </c>
      <c r="H310" s="6" t="str">
        <f ca="1">IFERROR(__xludf.DUMMYFUNCTION("CONCATENATE($B310,(VLOOKUP($C310,CATALOGOS!$F$2:$H$6,3,FALSE)),(VLOOKUP($V310,CATALOGOS!$J$2:$K$18,2,FALSE)),""-"",TO_TEXT($A310))"),"P02PP-0309")</f>
        <v>P02PP-0309</v>
      </c>
      <c r="I310" s="6"/>
      <c r="J310" s="6" t="s">
        <v>2183</v>
      </c>
      <c r="K310" s="6" t="s">
        <v>2184</v>
      </c>
      <c r="L310" s="6" t="s">
        <v>2185</v>
      </c>
      <c r="M310" s="6" t="s">
        <v>2186</v>
      </c>
      <c r="N310" s="17"/>
      <c r="O310" s="17"/>
      <c r="P310" s="17" t="str">
        <f t="shared" si="2"/>
        <v>OK</v>
      </c>
      <c r="Q310" s="17" t="s">
        <v>35</v>
      </c>
      <c r="R310" s="6" t="s">
        <v>35</v>
      </c>
      <c r="S310" s="17" t="s">
        <v>36</v>
      </c>
      <c r="T310" s="17" t="s">
        <v>2187</v>
      </c>
      <c r="U310" s="173" t="s">
        <v>38</v>
      </c>
      <c r="V310" s="11" t="s">
        <v>1548</v>
      </c>
      <c r="W310" s="20" t="s">
        <v>2052</v>
      </c>
      <c r="X310" s="20" t="s">
        <v>2052</v>
      </c>
      <c r="Y310" s="20"/>
      <c r="Z310" s="7"/>
      <c r="AA310" s="7"/>
      <c r="AB310" s="23"/>
      <c r="AC310" s="26"/>
    </row>
    <row r="311" spans="1:29" ht="15.75" customHeight="1">
      <c r="A311" s="10" t="s">
        <v>2188</v>
      </c>
      <c r="B311" s="10" t="s">
        <v>27</v>
      </c>
      <c r="C311" s="60" t="s">
        <v>1470</v>
      </c>
      <c r="D311" s="12"/>
      <c r="E311" s="13" t="s">
        <v>501</v>
      </c>
      <c r="F311" s="6" t="s">
        <v>2046</v>
      </c>
      <c r="G311" s="15" t="str">
        <f ca="1">IFERROR(__xludf.DUMMYFUNCTION("CONCATENATE(B311,(VLOOKUP(C311,CATALOGOS!$F$2:$H$6,3,FALSE)),(VLOOKUP(V311,CATALOGOS!$J$2:$K$18,2,FALSE)),""-"",TO_TEXT(A311))"),"P02PP-0310")</f>
        <v>P02PP-0310</v>
      </c>
      <c r="H311" s="6" t="str">
        <f ca="1">IFERROR(__xludf.DUMMYFUNCTION("CONCATENATE($B311,(VLOOKUP($C311,CATALOGOS!$F$2:$H$6,3,FALSE)),(VLOOKUP($V311,CATALOGOS!$J$2:$K$18,2,FALSE)),""-"",TO_TEXT($A311))"),"P02PP-0310")</f>
        <v>P02PP-0310</v>
      </c>
      <c r="I311" s="6"/>
      <c r="J311" s="6" t="s">
        <v>2189</v>
      </c>
      <c r="K311" s="6" t="s">
        <v>2190</v>
      </c>
      <c r="L311" s="6" t="s">
        <v>2191</v>
      </c>
      <c r="M311" s="6" t="s">
        <v>2192</v>
      </c>
      <c r="N311" s="17"/>
      <c r="O311" s="17"/>
      <c r="P311" s="17" t="str">
        <f t="shared" si="2"/>
        <v>OK</v>
      </c>
      <c r="Q311" s="17" t="s">
        <v>35</v>
      </c>
      <c r="R311" s="6" t="s">
        <v>35</v>
      </c>
      <c r="S311" s="17" t="s">
        <v>36</v>
      </c>
      <c r="T311" s="17" t="s">
        <v>2193</v>
      </c>
      <c r="U311" s="173" t="s">
        <v>38</v>
      </c>
      <c r="V311" s="11" t="s">
        <v>1548</v>
      </c>
      <c r="W311" s="20" t="s">
        <v>2052</v>
      </c>
      <c r="X311" s="20" t="s">
        <v>2052</v>
      </c>
      <c r="Y311" s="20"/>
      <c r="Z311" s="7"/>
      <c r="AA311" s="7"/>
      <c r="AB311" s="23"/>
      <c r="AC311" s="26"/>
    </row>
    <row r="312" spans="1:29" ht="15.75" customHeight="1">
      <c r="A312" s="10" t="s">
        <v>2194</v>
      </c>
      <c r="B312" s="10" t="s">
        <v>27</v>
      </c>
      <c r="C312" s="60" t="s">
        <v>1470</v>
      </c>
      <c r="D312" s="12"/>
      <c r="E312" s="13" t="s">
        <v>2060</v>
      </c>
      <c r="F312" s="6" t="s">
        <v>2061</v>
      </c>
      <c r="G312" s="15" t="str">
        <f ca="1">IFERROR(__xludf.DUMMYFUNCTION("CONCATENATE(B312,(VLOOKUP(C312,CATALOGOS!$F$2:$H$6,3,FALSE)),(VLOOKUP(V312,CATALOGOS!$J$2:$K$18,2,FALSE)),""-"",TO_TEXT(A312))"),"P02PP-0311")</f>
        <v>P02PP-0311</v>
      </c>
      <c r="H312" s="6" t="str">
        <f ca="1">IFERROR(__xludf.DUMMYFUNCTION("CONCATENATE($B312,(VLOOKUP($C312,CATALOGOS!$F$2:$H$6,3,FALSE)),(VLOOKUP($V312,CATALOGOS!$J$2:$K$18,2,FALSE)),""-"",TO_TEXT($A312))"),"P02PP-0311")</f>
        <v>P02PP-0311</v>
      </c>
      <c r="I312" s="6"/>
      <c r="J312" s="6" t="s">
        <v>2195</v>
      </c>
      <c r="K312" s="6" t="s">
        <v>2196</v>
      </c>
      <c r="L312" s="6" t="s">
        <v>2197</v>
      </c>
      <c r="M312" s="6" t="s">
        <v>2198</v>
      </c>
      <c r="N312" s="17"/>
      <c r="O312" s="17"/>
      <c r="P312" s="17" t="str">
        <f t="shared" si="2"/>
        <v>OK</v>
      </c>
      <c r="Q312" s="17" t="s">
        <v>35</v>
      </c>
      <c r="R312" s="6" t="s">
        <v>35</v>
      </c>
      <c r="S312" s="17" t="s">
        <v>36</v>
      </c>
      <c r="T312" s="17" t="s">
        <v>2199</v>
      </c>
      <c r="U312" s="173" t="s">
        <v>38</v>
      </c>
      <c r="V312" s="11" t="s">
        <v>1548</v>
      </c>
      <c r="W312" s="20" t="s">
        <v>2052</v>
      </c>
      <c r="X312" s="20" t="s">
        <v>2052</v>
      </c>
      <c r="Y312" s="20"/>
      <c r="Z312" s="7"/>
      <c r="AA312" s="7"/>
      <c r="AB312" s="23"/>
      <c r="AC312" s="26"/>
    </row>
    <row r="313" spans="1:29" ht="15.75" customHeight="1">
      <c r="A313" s="10" t="s">
        <v>2200</v>
      </c>
      <c r="B313" s="10" t="s">
        <v>27</v>
      </c>
      <c r="C313" s="60" t="s">
        <v>1470</v>
      </c>
      <c r="D313" s="12"/>
      <c r="E313" s="13" t="s">
        <v>378</v>
      </c>
      <c r="F313" s="6" t="s">
        <v>2201</v>
      </c>
      <c r="G313" s="15" t="str">
        <f ca="1">IFERROR(__xludf.DUMMYFUNCTION("CONCATENATE(B313,(VLOOKUP(C313,CATALOGOS!$F$2:$H$6,3,FALSE)),(VLOOKUP(V313,CATALOGOS!$J$2:$K$18,2,FALSE)),""-"",TO_TEXT(A313))"),"P02PP-0312")</f>
        <v>P02PP-0312</v>
      </c>
      <c r="H313" s="6" t="str">
        <f ca="1">IFERROR(__xludf.DUMMYFUNCTION("CONCATENATE($B313,(VLOOKUP($C313,CATALOGOS!$F$2:$H$6,3,FALSE)),(VLOOKUP($V313,CATALOGOS!$J$2:$K$18,2,FALSE)),""-"",TO_TEXT($A313))"),"P02PP-0312")</f>
        <v>P02PP-0312</v>
      </c>
      <c r="I313" s="6"/>
      <c r="J313" s="6" t="s">
        <v>2202</v>
      </c>
      <c r="K313" s="6" t="s">
        <v>2203</v>
      </c>
      <c r="L313" s="6" t="s">
        <v>2204</v>
      </c>
      <c r="M313" s="6" t="s">
        <v>2205</v>
      </c>
      <c r="N313" s="17"/>
      <c r="O313" s="17"/>
      <c r="P313" s="17" t="str">
        <f t="shared" si="2"/>
        <v>OK</v>
      </c>
      <c r="Q313" s="17" t="s">
        <v>35</v>
      </c>
      <c r="R313" s="6" t="s">
        <v>35</v>
      </c>
      <c r="S313" s="17" t="s">
        <v>36</v>
      </c>
      <c r="T313" s="17" t="s">
        <v>2206</v>
      </c>
      <c r="U313" s="173" t="s">
        <v>38</v>
      </c>
      <c r="V313" s="11" t="s">
        <v>1548</v>
      </c>
      <c r="W313" s="20" t="s">
        <v>2052</v>
      </c>
      <c r="X313" s="20" t="s">
        <v>2052</v>
      </c>
      <c r="Y313" s="20"/>
      <c r="Z313" s="7"/>
      <c r="AA313" s="7"/>
      <c r="AB313" s="23"/>
      <c r="AC313" s="26"/>
    </row>
    <row r="314" spans="1:29" ht="15.75" customHeight="1">
      <c r="A314" s="10" t="s">
        <v>2207</v>
      </c>
      <c r="B314" s="10" t="s">
        <v>27</v>
      </c>
      <c r="C314" s="60" t="s">
        <v>1470</v>
      </c>
      <c r="D314" s="12"/>
      <c r="E314" s="13" t="s">
        <v>62</v>
      </c>
      <c r="F314" s="6" t="s">
        <v>2208</v>
      </c>
      <c r="G314" s="15" t="str">
        <f ca="1">IFERROR(__xludf.DUMMYFUNCTION("CONCATENATE(B314,(VLOOKUP(C314,CATALOGOS!$F$2:$H$6,3,FALSE)),(VLOOKUP(V314,CATALOGOS!$J$2:$K$18,2,FALSE)),""-"",TO_TEXT(A314))"),"P02PP-0313")</f>
        <v>P02PP-0313</v>
      </c>
      <c r="H314" s="6" t="str">
        <f ca="1">IFERROR(__xludf.DUMMYFUNCTION("CONCATENATE($B314,(VLOOKUP($C314,CATALOGOS!$F$2:$H$6,3,FALSE)),(VLOOKUP($V314,CATALOGOS!$J$2:$K$18,2,FALSE)),""-"",TO_TEXT($A314))"),"P02PP-0313")</f>
        <v>P02PP-0313</v>
      </c>
      <c r="I314" s="6"/>
      <c r="J314" s="6" t="s">
        <v>2209</v>
      </c>
      <c r="K314" s="6" t="s">
        <v>2210</v>
      </c>
      <c r="L314" s="6" t="s">
        <v>2211</v>
      </c>
      <c r="M314" s="6" t="s">
        <v>2212</v>
      </c>
      <c r="N314" s="17"/>
      <c r="O314" s="17"/>
      <c r="P314" s="17" t="str">
        <f t="shared" si="2"/>
        <v>OK</v>
      </c>
      <c r="Q314" s="17" t="s">
        <v>35</v>
      </c>
      <c r="R314" s="6" t="s">
        <v>35</v>
      </c>
      <c r="S314" s="17" t="s">
        <v>36</v>
      </c>
      <c r="T314" s="17" t="s">
        <v>2213</v>
      </c>
      <c r="U314" s="173" t="s">
        <v>38</v>
      </c>
      <c r="V314" s="11" t="s">
        <v>1548</v>
      </c>
      <c r="W314" s="20" t="s">
        <v>2052</v>
      </c>
      <c r="X314" s="20" t="s">
        <v>2052</v>
      </c>
      <c r="Y314" s="20"/>
      <c r="Z314" s="7"/>
      <c r="AA314" s="7"/>
      <c r="AB314" s="23"/>
      <c r="AC314" s="26"/>
    </row>
    <row r="315" spans="1:29" ht="15.75" customHeight="1">
      <c r="A315" s="10" t="s">
        <v>2214</v>
      </c>
      <c r="B315" s="10" t="s">
        <v>27</v>
      </c>
      <c r="C315" s="60" t="s">
        <v>1470</v>
      </c>
      <c r="D315" s="12"/>
      <c r="E315" s="13" t="s">
        <v>93</v>
      </c>
      <c r="F315" s="6" t="s">
        <v>2215</v>
      </c>
      <c r="G315" s="15" t="str">
        <f ca="1">IFERROR(__xludf.DUMMYFUNCTION("CONCATENATE(B315,(VLOOKUP(C315,CATALOGOS!$F$2:$H$6,3,FALSE)),(VLOOKUP(V315,CATALOGOS!$J$2:$K$18,2,FALSE)),""-"",TO_TEXT(A315))"),"P02PP-0314")</f>
        <v>P02PP-0314</v>
      </c>
      <c r="H315" s="6" t="str">
        <f ca="1">IFERROR(__xludf.DUMMYFUNCTION("CONCATENATE($B315,(VLOOKUP($C315,CATALOGOS!$F$2:$H$6,3,FALSE)),(VLOOKUP($V315,CATALOGOS!$J$2:$K$18,2,FALSE)),""-"",TO_TEXT($A315))"),"P02PP-0314")</f>
        <v>P02PP-0314</v>
      </c>
      <c r="I315" s="6"/>
      <c r="J315" s="6" t="s">
        <v>2216</v>
      </c>
      <c r="K315" s="6" t="s">
        <v>2217</v>
      </c>
      <c r="L315" s="6" t="s">
        <v>2218</v>
      </c>
      <c r="M315" s="6" t="s">
        <v>2219</v>
      </c>
      <c r="N315" s="17"/>
      <c r="O315" s="17"/>
      <c r="P315" s="17" t="str">
        <f t="shared" si="2"/>
        <v>OK</v>
      </c>
      <c r="Q315" s="17" t="s">
        <v>35</v>
      </c>
      <c r="R315" s="6" t="s">
        <v>35</v>
      </c>
      <c r="S315" s="17" t="s">
        <v>36</v>
      </c>
      <c r="T315" s="17" t="s">
        <v>2220</v>
      </c>
      <c r="U315" s="173" t="s">
        <v>38</v>
      </c>
      <c r="V315" s="11" t="s">
        <v>1548</v>
      </c>
      <c r="W315" s="20" t="s">
        <v>2052</v>
      </c>
      <c r="X315" s="20" t="s">
        <v>2052</v>
      </c>
      <c r="Y315" s="20"/>
      <c r="Z315" s="7"/>
      <c r="AA315" s="7"/>
      <c r="AB315" s="23"/>
      <c r="AC315" s="26"/>
    </row>
    <row r="316" spans="1:29" ht="15.75" customHeight="1">
      <c r="A316" s="10" t="s">
        <v>2221</v>
      </c>
      <c r="B316" s="10" t="s">
        <v>27</v>
      </c>
      <c r="C316" s="60" t="s">
        <v>1470</v>
      </c>
      <c r="D316" s="12"/>
      <c r="E316" s="13" t="s">
        <v>93</v>
      </c>
      <c r="F316" s="6" t="s">
        <v>2222</v>
      </c>
      <c r="G316" s="15" t="str">
        <f ca="1">IFERROR(__xludf.DUMMYFUNCTION("CONCATENATE(B316,(VLOOKUP(C316,CATALOGOS!$F$2:$H$6,3,FALSE)),(VLOOKUP(V316,CATALOGOS!$J$2:$K$18,2,FALSE)),""-"",TO_TEXT(A316))"),"P02PP-0315")</f>
        <v>P02PP-0315</v>
      </c>
      <c r="H316" s="6" t="str">
        <f ca="1">IFERROR(__xludf.DUMMYFUNCTION("CONCATENATE($B316,(VLOOKUP($C316,CATALOGOS!$F$2:$H$6,3,FALSE)),(VLOOKUP($V316,CATALOGOS!$J$2:$K$18,2,FALSE)),""-"",TO_TEXT($A316))"),"P02PP-0315")</f>
        <v>P02PP-0315</v>
      </c>
      <c r="I316" s="6"/>
      <c r="J316" s="6" t="s">
        <v>2223</v>
      </c>
      <c r="K316" s="6" t="s">
        <v>2224</v>
      </c>
      <c r="L316" s="6" t="s">
        <v>2225</v>
      </c>
      <c r="M316" s="6" t="s">
        <v>2226</v>
      </c>
      <c r="N316" s="17"/>
      <c r="O316" s="17"/>
      <c r="P316" s="17" t="str">
        <f t="shared" si="2"/>
        <v>OK</v>
      </c>
      <c r="Q316" s="17" t="s">
        <v>35</v>
      </c>
      <c r="R316" s="6" t="s">
        <v>35</v>
      </c>
      <c r="S316" s="17" t="s">
        <v>36</v>
      </c>
      <c r="T316" s="17" t="s">
        <v>2227</v>
      </c>
      <c r="U316" s="173" t="s">
        <v>38</v>
      </c>
      <c r="V316" s="11" t="s">
        <v>1548</v>
      </c>
      <c r="W316" s="20" t="s">
        <v>2052</v>
      </c>
      <c r="X316" s="20" t="s">
        <v>2052</v>
      </c>
      <c r="Y316" s="20"/>
      <c r="Z316" s="7"/>
      <c r="AA316" s="7"/>
      <c r="AB316" s="23"/>
      <c r="AC316" s="26"/>
    </row>
    <row r="317" spans="1:29" ht="15.75" customHeight="1">
      <c r="A317" s="10" t="s">
        <v>2228</v>
      </c>
      <c r="B317" s="10" t="s">
        <v>27</v>
      </c>
      <c r="C317" s="60" t="s">
        <v>1470</v>
      </c>
      <c r="D317" s="12"/>
      <c r="E317" s="13" t="s">
        <v>184</v>
      </c>
      <c r="F317" s="6" t="s">
        <v>2229</v>
      </c>
      <c r="G317" s="15" t="str">
        <f ca="1">IFERROR(__xludf.DUMMYFUNCTION("CONCATENATE(B317,(VLOOKUP(C317,CATALOGOS!$F$2:$H$6,3,FALSE)),(VLOOKUP(V317,CATALOGOS!$J$2:$K$18,2,FALSE)),""-"",TO_TEXT(A317))"),"P02PP-0316")</f>
        <v>P02PP-0316</v>
      </c>
      <c r="H317" s="6" t="str">
        <f ca="1">IFERROR(__xludf.DUMMYFUNCTION("CONCATENATE($B317,(VLOOKUP($C317,CATALOGOS!$F$2:$H$6,3,FALSE)),(VLOOKUP($V317,CATALOGOS!$J$2:$K$18,2,FALSE)),""-"",TO_TEXT($A317))"),"P02PP-0316")</f>
        <v>P02PP-0316</v>
      </c>
      <c r="I317" s="6"/>
      <c r="J317" s="6" t="s">
        <v>2230</v>
      </c>
      <c r="K317" s="6" t="s">
        <v>2231</v>
      </c>
      <c r="L317" s="6" t="s">
        <v>2232</v>
      </c>
      <c r="M317" s="6" t="s">
        <v>2233</v>
      </c>
      <c r="N317" s="17"/>
      <c r="O317" s="17"/>
      <c r="P317" s="17" t="str">
        <f t="shared" si="2"/>
        <v>OK</v>
      </c>
      <c r="Q317" s="17" t="s">
        <v>35</v>
      </c>
      <c r="R317" s="6" t="s">
        <v>35</v>
      </c>
      <c r="S317" s="17" t="s">
        <v>36</v>
      </c>
      <c r="T317" s="17" t="s">
        <v>2234</v>
      </c>
      <c r="U317" s="173" t="s">
        <v>38</v>
      </c>
      <c r="V317" s="11" t="s">
        <v>1548</v>
      </c>
      <c r="W317" s="20" t="s">
        <v>2052</v>
      </c>
      <c r="X317" s="20" t="s">
        <v>2052</v>
      </c>
      <c r="Y317" s="20"/>
      <c r="Z317" s="7"/>
      <c r="AA317" s="7"/>
      <c r="AB317" s="23"/>
      <c r="AC317" s="26"/>
    </row>
    <row r="318" spans="1:29" ht="15.75" customHeight="1">
      <c r="A318" s="10" t="s">
        <v>2235</v>
      </c>
      <c r="B318" s="10" t="s">
        <v>27</v>
      </c>
      <c r="C318" s="60" t="s">
        <v>1470</v>
      </c>
      <c r="D318" s="12"/>
      <c r="E318" s="13" t="s">
        <v>151</v>
      </c>
      <c r="F318" s="6" t="s">
        <v>2236</v>
      </c>
      <c r="G318" s="15" t="str">
        <f ca="1">IFERROR(__xludf.DUMMYFUNCTION("CONCATENATE(B318,(VLOOKUP(C318,CATALOGOS!$F$2:$H$6,3,FALSE)),(VLOOKUP(V318,CATALOGOS!$J$2:$K$18,2,FALSE)),""-"",TO_TEXT(A318))"),"P02PP-0317")</f>
        <v>P02PP-0317</v>
      </c>
      <c r="H318" s="6" t="str">
        <f ca="1">IFERROR(__xludf.DUMMYFUNCTION("CONCATENATE($B318,(VLOOKUP($C318,CATALOGOS!$F$2:$H$6,3,FALSE)),(VLOOKUP($V318,CATALOGOS!$J$2:$K$18,2,FALSE)),""-"",TO_TEXT($A318))"),"P02PP-0317")</f>
        <v>P02PP-0317</v>
      </c>
      <c r="I318" s="6"/>
      <c r="J318" s="6" t="s">
        <v>2237</v>
      </c>
      <c r="K318" s="6" t="s">
        <v>2238</v>
      </c>
      <c r="L318" s="6" t="s">
        <v>2239</v>
      </c>
      <c r="M318" s="6" t="s">
        <v>2240</v>
      </c>
      <c r="N318" s="17"/>
      <c r="O318" s="17"/>
      <c r="P318" s="17" t="str">
        <f t="shared" si="2"/>
        <v>OK</v>
      </c>
      <c r="Q318" s="17" t="s">
        <v>703</v>
      </c>
      <c r="R318" s="6" t="s">
        <v>2241</v>
      </c>
      <c r="S318" s="17" t="s">
        <v>2242</v>
      </c>
      <c r="T318" s="10" t="s">
        <v>2243</v>
      </c>
      <c r="U318" s="18" t="s">
        <v>38</v>
      </c>
      <c r="V318" s="11" t="s">
        <v>1548</v>
      </c>
      <c r="W318" s="20" t="s">
        <v>2052</v>
      </c>
      <c r="X318" s="20" t="s">
        <v>2052</v>
      </c>
      <c r="Y318" s="20"/>
      <c r="Z318" s="7"/>
      <c r="AA318" s="7"/>
      <c r="AB318" s="23"/>
      <c r="AC318" s="26"/>
    </row>
    <row r="319" spans="1:29" ht="15.75" customHeight="1">
      <c r="A319" s="10" t="s">
        <v>2244</v>
      </c>
      <c r="B319" s="10" t="s">
        <v>27</v>
      </c>
      <c r="C319" s="60" t="s">
        <v>1470</v>
      </c>
      <c r="D319" s="12"/>
      <c r="E319" s="13" t="s">
        <v>199</v>
      </c>
      <c r="F319" s="6" t="s">
        <v>199</v>
      </c>
      <c r="G319" s="15" t="str">
        <f ca="1">IFERROR(__xludf.DUMMYFUNCTION("CONCATENATE(B319,(VLOOKUP(C319,CATALOGOS!$F$2:$H$6,3,FALSE)),(VLOOKUP(V319,CATALOGOS!$J$2:$K$18,2,FALSE)),""-"",TO_TEXT(A319))"),"P02PP-0318")</f>
        <v>P02PP-0318</v>
      </c>
      <c r="H319" s="6" t="str">
        <f ca="1">IFERROR(__xludf.DUMMYFUNCTION("CONCATENATE($B319,(VLOOKUP($C319,CATALOGOS!$F$2:$H$6,3,FALSE)),(VLOOKUP($V319,CATALOGOS!$J$2:$K$18,2,FALSE)),""-"",TO_TEXT($A319))"),"P02PP-0318")</f>
        <v>P02PP-0318</v>
      </c>
      <c r="I319" s="6"/>
      <c r="J319" s="6" t="s">
        <v>2245</v>
      </c>
      <c r="K319" s="6" t="s">
        <v>2246</v>
      </c>
      <c r="L319" s="6" t="s">
        <v>2247</v>
      </c>
      <c r="M319" s="6" t="s">
        <v>2248</v>
      </c>
      <c r="N319" s="17"/>
      <c r="O319" s="17"/>
      <c r="P319" s="17" t="str">
        <f t="shared" si="2"/>
        <v>OK</v>
      </c>
      <c r="Q319" s="17" t="s">
        <v>205</v>
      </c>
      <c r="R319" s="6" t="s">
        <v>794</v>
      </c>
      <c r="S319" s="17" t="s">
        <v>2249</v>
      </c>
      <c r="T319" s="17" t="s">
        <v>2250</v>
      </c>
      <c r="U319" s="179" t="s">
        <v>517</v>
      </c>
      <c r="V319" s="11" t="s">
        <v>1548</v>
      </c>
      <c r="W319" s="20" t="s">
        <v>2052</v>
      </c>
      <c r="X319" s="20" t="s">
        <v>2052</v>
      </c>
      <c r="Y319" s="20"/>
      <c r="Z319" s="7"/>
      <c r="AA319" s="7"/>
      <c r="AB319" s="23"/>
      <c r="AC319" s="26"/>
    </row>
    <row r="320" spans="1:29" ht="15.75" customHeight="1">
      <c r="A320" s="10" t="s">
        <v>2251</v>
      </c>
      <c r="B320" s="10" t="s">
        <v>27</v>
      </c>
      <c r="C320" s="60" t="s">
        <v>1470</v>
      </c>
      <c r="D320" s="12"/>
      <c r="E320" s="13" t="s">
        <v>43</v>
      </c>
      <c r="F320" s="6" t="s">
        <v>1688</v>
      </c>
      <c r="G320" s="15" t="str">
        <f ca="1">IFERROR(__xludf.DUMMYFUNCTION("CONCATENATE(B320,(VLOOKUP(C320,CATALOGOS!$F$2:$H$6,3,FALSE)),(VLOOKUP(V320,CATALOGOS!$J$2:$K$18,2,FALSE)),""-"",TO_TEXT(A320))"),"P02PP-0319")</f>
        <v>P02PP-0319</v>
      </c>
      <c r="H320" s="6" t="str">
        <f ca="1">IFERROR(__xludf.DUMMYFUNCTION("CONCATENATE($B320,(VLOOKUP($C320,CATALOGOS!$F$2:$H$6,3,FALSE)),(VLOOKUP($V320,CATALOGOS!$J$2:$K$18,2,FALSE)),""-"",TO_TEXT($A320))"),"P02PP-0319")</f>
        <v>P02PP-0319</v>
      </c>
      <c r="I320" s="6"/>
      <c r="J320" s="6" t="s">
        <v>2252</v>
      </c>
      <c r="K320" s="6" t="s">
        <v>2253</v>
      </c>
      <c r="L320" s="6" t="s">
        <v>2254</v>
      </c>
      <c r="M320" s="6" t="s">
        <v>2255</v>
      </c>
      <c r="N320" s="17"/>
      <c r="O320" s="17"/>
      <c r="P320" s="17" t="str">
        <f t="shared" si="2"/>
        <v>OK</v>
      </c>
      <c r="Q320" s="17" t="s">
        <v>49</v>
      </c>
      <c r="R320" s="6" t="s">
        <v>1989</v>
      </c>
      <c r="S320" s="17" t="s">
        <v>36</v>
      </c>
      <c r="T320" s="10" t="s">
        <v>2256</v>
      </c>
      <c r="U320" s="179" t="s">
        <v>517</v>
      </c>
      <c r="V320" s="11" t="s">
        <v>1548</v>
      </c>
      <c r="W320" s="20" t="s">
        <v>2052</v>
      </c>
      <c r="X320" s="20" t="s">
        <v>2052</v>
      </c>
      <c r="Y320" s="20"/>
      <c r="Z320" s="7"/>
      <c r="AA320" s="7"/>
      <c r="AB320" s="23"/>
      <c r="AC320" s="26"/>
    </row>
    <row r="321" spans="1:29" ht="15.75" customHeight="1">
      <c r="A321" s="10" t="s">
        <v>2257</v>
      </c>
      <c r="B321" s="10" t="s">
        <v>27</v>
      </c>
      <c r="C321" s="60" t="s">
        <v>1470</v>
      </c>
      <c r="D321" s="12"/>
      <c r="E321" s="13" t="s">
        <v>378</v>
      </c>
      <c r="F321" s="6" t="s">
        <v>2258</v>
      </c>
      <c r="G321" s="15" t="str">
        <f ca="1">IFERROR(__xludf.DUMMYFUNCTION("CONCATENATE(B321,(VLOOKUP(C321,CATALOGOS!$F$2:$H$6,3,FALSE)),(VLOOKUP(V321,CATALOGOS!$J$2:$K$18,2,FALSE)),""-"",TO_TEXT(A321))"),"P02PP-0320")</f>
        <v>P02PP-0320</v>
      </c>
      <c r="H321" s="6" t="str">
        <f ca="1">IFERROR(__xludf.DUMMYFUNCTION("CONCATENATE($B321,(VLOOKUP($C321,CATALOGOS!$F$2:$H$6,3,FALSE)),(VLOOKUP($V321,CATALOGOS!$J$2:$K$18,2,FALSE)),""-"",TO_TEXT($A321))"),"P02PP-0320")</f>
        <v>P02PP-0320</v>
      </c>
      <c r="I321" s="6"/>
      <c r="J321" s="6" t="s">
        <v>2259</v>
      </c>
      <c r="K321" s="6" t="s">
        <v>2260</v>
      </c>
      <c r="L321" s="36"/>
      <c r="M321" s="6" t="s">
        <v>141</v>
      </c>
      <c r="N321" s="17"/>
      <c r="O321" s="17"/>
      <c r="P321" s="17" t="str">
        <f t="shared" si="2"/>
        <v>REPETIDO</v>
      </c>
      <c r="Q321" s="17" t="s">
        <v>35</v>
      </c>
      <c r="R321" s="6" t="s">
        <v>35</v>
      </c>
      <c r="S321" s="6" t="s">
        <v>36</v>
      </c>
      <c r="T321" s="10" t="s">
        <v>85</v>
      </c>
      <c r="U321" s="173" t="s">
        <v>38</v>
      </c>
      <c r="V321" s="11" t="s">
        <v>1548</v>
      </c>
      <c r="W321" s="20" t="s">
        <v>2052</v>
      </c>
      <c r="X321" s="20" t="s">
        <v>2052</v>
      </c>
      <c r="Y321" s="20"/>
      <c r="Z321" s="6"/>
      <c r="AA321" s="6"/>
      <c r="AB321" s="23"/>
      <c r="AC321" s="33"/>
    </row>
    <row r="322" spans="1:29" ht="15.75" customHeight="1">
      <c r="A322" s="10" t="s">
        <v>2261</v>
      </c>
      <c r="B322" s="10" t="s">
        <v>27</v>
      </c>
      <c r="C322" s="60" t="s">
        <v>1470</v>
      </c>
      <c r="D322" s="12"/>
      <c r="E322" s="13" t="s">
        <v>378</v>
      </c>
      <c r="F322" s="6" t="s">
        <v>2262</v>
      </c>
      <c r="G322" s="15" t="str">
        <f ca="1">IFERROR(__xludf.DUMMYFUNCTION("CONCATENATE(B322,(VLOOKUP(C322,CATALOGOS!$F$2:$H$6,3,FALSE)),(VLOOKUP(V322,CATALOGOS!$J$2:$K$18,2,FALSE)),""-"",TO_TEXT(A322))"),"P02PP-0321")</f>
        <v>P02PP-0321</v>
      </c>
      <c r="H322" s="6" t="str">
        <f ca="1">IFERROR(__xludf.DUMMYFUNCTION("CONCATENATE($B322,(VLOOKUP($C322,CATALOGOS!$F$2:$H$6,3,FALSE)),(VLOOKUP($V322,CATALOGOS!$J$2:$K$18,2,FALSE)),""-"",TO_TEXT($A322))"),"P02PP-0321")</f>
        <v>P02PP-0321</v>
      </c>
      <c r="I322" s="6"/>
      <c r="J322" s="6" t="s">
        <v>2263</v>
      </c>
      <c r="K322" s="6" t="s">
        <v>2264</v>
      </c>
      <c r="L322" s="36"/>
      <c r="M322" s="6" t="s">
        <v>141</v>
      </c>
      <c r="N322" s="17"/>
      <c r="O322" s="17"/>
      <c r="P322" s="17" t="str">
        <f t="shared" si="2"/>
        <v>REPETIDO</v>
      </c>
      <c r="Q322" s="17" t="s">
        <v>35</v>
      </c>
      <c r="R322" s="6" t="s">
        <v>35</v>
      </c>
      <c r="S322" s="6" t="s">
        <v>36</v>
      </c>
      <c r="T322" s="10" t="s">
        <v>85</v>
      </c>
      <c r="U322" s="173" t="s">
        <v>38</v>
      </c>
      <c r="V322" s="11" t="s">
        <v>1548</v>
      </c>
      <c r="W322" s="20" t="s">
        <v>2052</v>
      </c>
      <c r="X322" s="20" t="s">
        <v>2052</v>
      </c>
      <c r="Y322" s="20"/>
      <c r="Z322" s="6"/>
      <c r="AA322" s="6"/>
      <c r="AB322" s="23"/>
      <c r="AC322" s="33"/>
    </row>
    <row r="323" spans="1:29" ht="15.75" customHeight="1">
      <c r="A323" s="10" t="s">
        <v>2265</v>
      </c>
      <c r="B323" s="10" t="s">
        <v>27</v>
      </c>
      <c r="C323" s="60" t="s">
        <v>1470</v>
      </c>
      <c r="D323" s="38"/>
      <c r="E323" s="13" t="s">
        <v>353</v>
      </c>
      <c r="F323" s="6" t="s">
        <v>638</v>
      </c>
      <c r="G323" s="15" t="str">
        <f ca="1">IFERROR(__xludf.DUMMYFUNCTION("CONCATENATE(B323,(VLOOKUP(C323,CATALOGOS!$F$2:$H$6,3,FALSE)),(VLOOKUP(V323,CATALOGOS!$J$2:$K$18,2,FALSE)),""-"",TO_TEXT(A323))"),"P02PP-0322")</f>
        <v>P02PP-0322</v>
      </c>
      <c r="H323" s="6" t="str">
        <f ca="1">IFERROR(__xludf.DUMMYFUNCTION("CONCATENATE($B323,(VLOOKUP($C323,CATALOGOS!$F$2:$H$6,3,FALSE)),(VLOOKUP($V323,CATALOGOS!$J$2:$K$18,2,FALSE)),""-"",TO_TEXT($A323))"),"P02PP-0322")</f>
        <v>P02PP-0322</v>
      </c>
      <c r="I323" s="6"/>
      <c r="J323" s="6" t="s">
        <v>2266</v>
      </c>
      <c r="K323" s="6" t="s">
        <v>2267</v>
      </c>
      <c r="L323" s="6" t="s">
        <v>2268</v>
      </c>
      <c r="M323" s="6" t="s">
        <v>2269</v>
      </c>
      <c r="N323" s="17"/>
      <c r="O323" s="17"/>
      <c r="P323" s="17" t="str">
        <f t="shared" si="2"/>
        <v>OK</v>
      </c>
      <c r="Q323" s="17" t="s">
        <v>359</v>
      </c>
      <c r="R323" s="6" t="s">
        <v>938</v>
      </c>
      <c r="S323" s="46" t="s">
        <v>2270</v>
      </c>
      <c r="T323" s="32" t="s">
        <v>2271</v>
      </c>
      <c r="U323" s="173" t="s">
        <v>38</v>
      </c>
      <c r="V323" s="11" t="s">
        <v>1548</v>
      </c>
      <c r="W323" s="20" t="s">
        <v>2052</v>
      </c>
      <c r="X323" s="20" t="s">
        <v>2052</v>
      </c>
      <c r="Y323" s="20"/>
      <c r="Z323" s="7"/>
      <c r="AA323" s="7"/>
      <c r="AB323" s="26"/>
      <c r="AC323" s="26"/>
    </row>
    <row r="324" spans="1:29" ht="15.75" customHeight="1">
      <c r="A324" s="10" t="s">
        <v>2272</v>
      </c>
      <c r="B324" s="10" t="s">
        <v>27</v>
      </c>
      <c r="C324" s="60" t="s">
        <v>1470</v>
      </c>
      <c r="D324" s="12"/>
      <c r="E324" s="13" t="s">
        <v>501</v>
      </c>
      <c r="F324" s="6" t="s">
        <v>2273</v>
      </c>
      <c r="G324" s="15" t="str">
        <f ca="1">IFERROR(__xludf.DUMMYFUNCTION("CONCATENATE(B324,(VLOOKUP(C324,CATALOGOS!$F$2:$H$6,3,FALSE)),(VLOOKUP(V324,CATALOGOS!$J$2:$K$18,2,FALSE)),""-"",TO_TEXT(A324))"),"P02PP-0323")</f>
        <v>P02PP-0323</v>
      </c>
      <c r="H324" s="6" t="str">
        <f ca="1">IFERROR(__xludf.DUMMYFUNCTION("CONCATENATE($B324,(VLOOKUP($C324,CATALOGOS!$F$2:$H$6,3,FALSE)),(VLOOKUP($V324,CATALOGOS!$J$2:$K$18,2,FALSE)),""-"",TO_TEXT($A324))"),"P02PP-0323")</f>
        <v>P02PP-0323</v>
      </c>
      <c r="I324" s="6"/>
      <c r="J324" s="6" t="s">
        <v>2274</v>
      </c>
      <c r="K324" s="6" t="s">
        <v>2275</v>
      </c>
      <c r="L324" s="36"/>
      <c r="M324" s="6" t="s">
        <v>141</v>
      </c>
      <c r="N324" s="17"/>
      <c r="O324" s="17"/>
      <c r="P324" s="17" t="str">
        <f t="shared" si="2"/>
        <v>REPETIDO</v>
      </c>
      <c r="Q324" s="17" t="s">
        <v>35</v>
      </c>
      <c r="R324" s="6" t="s">
        <v>35</v>
      </c>
      <c r="S324" s="6" t="s">
        <v>36</v>
      </c>
      <c r="T324" s="10" t="s">
        <v>85</v>
      </c>
      <c r="U324" s="173" t="s">
        <v>38</v>
      </c>
      <c r="V324" s="11" t="s">
        <v>1548</v>
      </c>
      <c r="W324" s="22" t="s">
        <v>1983</v>
      </c>
      <c r="X324" s="22" t="s">
        <v>1983</v>
      </c>
      <c r="Y324" s="22"/>
      <c r="Z324" s="7"/>
      <c r="AA324" s="7"/>
      <c r="AB324" s="23"/>
      <c r="AC324" s="26"/>
    </row>
    <row r="325" spans="1:29" ht="15.75" customHeight="1">
      <c r="A325" s="10" t="s">
        <v>2276</v>
      </c>
      <c r="B325" s="10" t="s">
        <v>27</v>
      </c>
      <c r="C325" s="60" t="s">
        <v>1470</v>
      </c>
      <c r="D325" s="12"/>
      <c r="E325" s="13" t="s">
        <v>501</v>
      </c>
      <c r="F325" s="6" t="s">
        <v>2277</v>
      </c>
      <c r="G325" s="15" t="str">
        <f ca="1">IFERROR(__xludf.DUMMYFUNCTION("CONCATENATE(B325,(VLOOKUP(C325,CATALOGOS!$F$2:$H$6,3,FALSE)),(VLOOKUP(V325,CATALOGOS!$J$2:$K$18,2,FALSE)),""-"",TO_TEXT(A325))"),"P02PP-0324")</f>
        <v>P02PP-0324</v>
      </c>
      <c r="H325" s="6" t="str">
        <f ca="1">IFERROR(__xludf.DUMMYFUNCTION("CONCATENATE($B325,(VLOOKUP($C325,CATALOGOS!$F$2:$H$6,3,FALSE)),(VLOOKUP($V325,CATALOGOS!$J$2:$K$18,2,FALSE)),""-"",TO_TEXT($A325))"),"P02PP-0324")</f>
        <v>P02PP-0324</v>
      </c>
      <c r="I325" s="6"/>
      <c r="J325" s="6" t="s">
        <v>2278</v>
      </c>
      <c r="K325" s="6" t="s">
        <v>2279</v>
      </c>
      <c r="L325" s="36"/>
      <c r="M325" s="6" t="s">
        <v>141</v>
      </c>
      <c r="N325" s="17"/>
      <c r="O325" s="17"/>
      <c r="P325" s="17" t="str">
        <f t="shared" si="2"/>
        <v>REPETIDO</v>
      </c>
      <c r="Q325" s="17" t="s">
        <v>35</v>
      </c>
      <c r="R325" s="6" t="s">
        <v>35</v>
      </c>
      <c r="S325" s="6" t="s">
        <v>36</v>
      </c>
      <c r="T325" s="10" t="s">
        <v>85</v>
      </c>
      <c r="U325" s="173" t="s">
        <v>38</v>
      </c>
      <c r="V325" s="11" t="s">
        <v>1548</v>
      </c>
      <c r="W325" s="22" t="s">
        <v>1983</v>
      </c>
      <c r="X325" s="22" t="s">
        <v>1983</v>
      </c>
      <c r="Y325" s="22"/>
      <c r="Z325" s="7"/>
      <c r="AA325" s="7"/>
      <c r="AB325" s="23"/>
      <c r="AC325" s="26"/>
    </row>
    <row r="326" spans="1:29" ht="15.75" customHeight="1">
      <c r="A326" s="10" t="s">
        <v>2280</v>
      </c>
      <c r="B326" s="10" t="s">
        <v>27</v>
      </c>
      <c r="C326" s="60" t="s">
        <v>1470</v>
      </c>
      <c r="D326" s="38"/>
      <c r="E326" s="13" t="s">
        <v>501</v>
      </c>
      <c r="F326" s="6" t="s">
        <v>2281</v>
      </c>
      <c r="G326" s="15" t="str">
        <f ca="1">IFERROR(__xludf.DUMMYFUNCTION("CONCATENATE(B326,(VLOOKUP(C326,CATALOGOS!$F$2:$H$6,3,FALSE)),(VLOOKUP(V326,CATALOGOS!$J$2:$K$18,2,FALSE)),""-"",TO_TEXT(A326))"),"P02PP-0325")</f>
        <v>P02PP-0325</v>
      </c>
      <c r="H326" s="6" t="str">
        <f ca="1">IFERROR(__xludf.DUMMYFUNCTION("CONCATENATE($B326,(VLOOKUP($C326,CATALOGOS!$F$2:$H$6,3,FALSE)),(VLOOKUP($V326,CATALOGOS!$J$2:$K$18,2,FALSE)),""-"",TO_TEXT($A326))"),"P02PP-0325")</f>
        <v>P02PP-0325</v>
      </c>
      <c r="I326" s="6"/>
      <c r="J326" s="6" t="s">
        <v>2282</v>
      </c>
      <c r="K326" s="6" t="s">
        <v>2283</v>
      </c>
      <c r="L326" s="36"/>
      <c r="M326" s="6" t="s">
        <v>141</v>
      </c>
      <c r="N326" s="17"/>
      <c r="O326" s="17"/>
      <c r="P326" s="17" t="str">
        <f t="shared" si="2"/>
        <v>REPETIDO</v>
      </c>
      <c r="Q326" s="17" t="s">
        <v>35</v>
      </c>
      <c r="R326" s="6" t="s">
        <v>35</v>
      </c>
      <c r="S326" s="6" t="s">
        <v>36</v>
      </c>
      <c r="T326" s="32" t="s">
        <v>85</v>
      </c>
      <c r="U326" s="173" t="s">
        <v>38</v>
      </c>
      <c r="V326" s="11" t="s">
        <v>1548</v>
      </c>
      <c r="W326" s="20" t="s">
        <v>2052</v>
      </c>
      <c r="X326" s="20" t="s">
        <v>2052</v>
      </c>
      <c r="Y326" s="20"/>
      <c r="Z326" s="7"/>
      <c r="AA326" s="7"/>
      <c r="AB326" s="26"/>
      <c r="AC326" s="26"/>
    </row>
    <row r="327" spans="1:29" ht="15.75" customHeight="1">
      <c r="A327" s="10" t="s">
        <v>2284</v>
      </c>
      <c r="B327" s="10" t="s">
        <v>1469</v>
      </c>
      <c r="C327" s="60" t="s">
        <v>1470</v>
      </c>
      <c r="D327" s="12"/>
      <c r="E327" s="13" t="s">
        <v>501</v>
      </c>
      <c r="F327" s="6" t="s">
        <v>2285</v>
      </c>
      <c r="G327" s="6" t="str">
        <f ca="1">IFERROR(__xludf.DUMMYFUNCTION("CONCATENATE(B327,(VLOOKUP(C327,CATALOGOS!$F$2:$H$6,3,FALSE)),(VLOOKUP(V327,CATALOGOS!$J$2:$K$18,2,FALSE)),""-"",TO_TEXT(A327))"),"P12SI-0326")</f>
        <v>P12SI-0326</v>
      </c>
      <c r="H327" s="6" t="str">
        <f ca="1">IFERROR(__xludf.DUMMYFUNCTION("CONCATENATE($B327,(VLOOKUP($C327,CATALOGOS!$F$2:$H$6,3,FALSE)),(VLOOKUP($V327,CATALOGOS!$J$2:$K$18,2,FALSE)),""-"",TO_TEXT($A327))"),"P12SI-0326")</f>
        <v>P12SI-0326</v>
      </c>
      <c r="I327" s="6"/>
      <c r="J327" s="6" t="s">
        <v>2286</v>
      </c>
      <c r="K327" s="6" t="s">
        <v>2287</v>
      </c>
      <c r="L327" s="6" t="s">
        <v>2288</v>
      </c>
      <c r="M327" s="6" t="s">
        <v>2289</v>
      </c>
      <c r="N327" s="17"/>
      <c r="O327" s="17"/>
      <c r="P327" s="17" t="str">
        <f t="shared" si="2"/>
        <v>OK</v>
      </c>
      <c r="Q327" s="17" t="s">
        <v>35</v>
      </c>
      <c r="R327" s="6" t="s">
        <v>35</v>
      </c>
      <c r="S327" s="17" t="s">
        <v>36</v>
      </c>
      <c r="T327" s="17" t="s">
        <v>2290</v>
      </c>
      <c r="U327" s="173" t="s">
        <v>38</v>
      </c>
      <c r="V327" s="181" t="s">
        <v>1483</v>
      </c>
      <c r="W327" s="20" t="s">
        <v>1484</v>
      </c>
      <c r="X327" s="20" t="s">
        <v>1484</v>
      </c>
      <c r="Y327" s="20"/>
      <c r="Z327" s="7"/>
      <c r="AA327" s="7"/>
      <c r="AB327" s="23"/>
      <c r="AC327" s="26"/>
    </row>
    <row r="328" spans="1:29" ht="15.75" customHeight="1">
      <c r="A328" s="10" t="s">
        <v>2291</v>
      </c>
      <c r="B328" s="10" t="s">
        <v>1469</v>
      </c>
      <c r="C328" s="60" t="s">
        <v>1470</v>
      </c>
      <c r="D328" s="12"/>
      <c r="E328" s="13" t="s">
        <v>116</v>
      </c>
      <c r="F328" s="43" t="s">
        <v>2292</v>
      </c>
      <c r="G328" s="6" t="str">
        <f ca="1">IFERROR(__xludf.DUMMYFUNCTION("CONCATENATE(B328,(VLOOKUP(C328,CATALOGOS!$F$2:$H$6,3,FALSE)),(VLOOKUP(V328,CATALOGOS!$J$2:$K$18,2,FALSE)),""-"",TO_TEXT(A328))"),"P12SI-0327")</f>
        <v>P12SI-0327</v>
      </c>
      <c r="H328" s="6" t="str">
        <f ca="1">IFERROR(__xludf.DUMMYFUNCTION("CONCATENATE($B328,(VLOOKUP($C328,CATALOGOS!$F$2:$H$6,3,FALSE)),(VLOOKUP($V328,CATALOGOS!$J$2:$K$18,2,FALSE)),""-"",TO_TEXT($A328))"),"P12SI-0327")</f>
        <v>P12SI-0327</v>
      </c>
      <c r="I328" s="6"/>
      <c r="J328" s="6" t="s">
        <v>2293</v>
      </c>
      <c r="K328" s="6" t="s">
        <v>2294</v>
      </c>
      <c r="L328" s="6" t="s">
        <v>2295</v>
      </c>
      <c r="M328" s="6" t="s">
        <v>2296</v>
      </c>
      <c r="N328" s="17"/>
      <c r="O328" s="17"/>
      <c r="P328" s="17" t="str">
        <f t="shared" si="2"/>
        <v>OK</v>
      </c>
      <c r="Q328" s="17" t="s">
        <v>35</v>
      </c>
      <c r="R328" s="6" t="s">
        <v>35</v>
      </c>
      <c r="S328" s="17" t="s">
        <v>36</v>
      </c>
      <c r="T328" s="17" t="s">
        <v>2297</v>
      </c>
      <c r="U328" s="173" t="s">
        <v>38</v>
      </c>
      <c r="V328" s="181" t="s">
        <v>1483</v>
      </c>
      <c r="W328" s="20" t="s">
        <v>1484</v>
      </c>
      <c r="X328" s="20" t="s">
        <v>1484</v>
      </c>
      <c r="Y328" s="20"/>
      <c r="Z328" s="6"/>
      <c r="AA328" s="6"/>
      <c r="AB328" s="23"/>
      <c r="AC328" s="24"/>
    </row>
    <row r="329" spans="1:29" ht="15.75" customHeight="1">
      <c r="A329" s="10" t="s">
        <v>2298</v>
      </c>
      <c r="B329" s="10" t="s">
        <v>1469</v>
      </c>
      <c r="C329" s="60" t="s">
        <v>1470</v>
      </c>
      <c r="D329" s="12"/>
      <c r="E329" s="13" t="s">
        <v>2299</v>
      </c>
      <c r="F329" s="43" t="s">
        <v>2300</v>
      </c>
      <c r="G329" s="6" t="str">
        <f ca="1">IFERROR(__xludf.DUMMYFUNCTION("CONCATENATE(B329,(VLOOKUP(C329,CATALOGOS!$F$2:$H$6,3,FALSE)),(VLOOKUP(V329,CATALOGOS!$J$2:$K$18,2,FALSE)),""-"",TO_TEXT(A329))"),"P12SI-0328")</f>
        <v>P12SI-0328</v>
      </c>
      <c r="H329" s="6" t="str">
        <f ca="1">IFERROR(__xludf.DUMMYFUNCTION("CONCATENATE($B329,(VLOOKUP($C329,CATALOGOS!$F$2:$H$6,3,FALSE)),(VLOOKUP($V329,CATALOGOS!$J$2:$K$18,2,FALSE)),""-"",TO_TEXT($A329))"),"P12SI-0328")</f>
        <v>P12SI-0328</v>
      </c>
      <c r="I329" s="6"/>
      <c r="J329" s="6" t="s">
        <v>2301</v>
      </c>
      <c r="K329" s="6" t="s">
        <v>2302</v>
      </c>
      <c r="L329" s="6" t="s">
        <v>2303</v>
      </c>
      <c r="M329" s="6" t="s">
        <v>2304</v>
      </c>
      <c r="N329" s="17"/>
      <c r="O329" s="17"/>
      <c r="P329" s="17" t="str">
        <f t="shared" si="2"/>
        <v>OK</v>
      </c>
      <c r="Q329" s="17" t="s">
        <v>2305</v>
      </c>
      <c r="R329" s="6" t="s">
        <v>2306</v>
      </c>
      <c r="S329" s="17" t="s">
        <v>2307</v>
      </c>
      <c r="T329" s="17" t="s">
        <v>2308</v>
      </c>
      <c r="U329" s="173" t="s">
        <v>38</v>
      </c>
      <c r="V329" s="181" t="s">
        <v>1483</v>
      </c>
      <c r="W329" s="20" t="s">
        <v>1484</v>
      </c>
      <c r="X329" s="20" t="s">
        <v>1484</v>
      </c>
      <c r="Y329" s="20"/>
      <c r="Z329" s="6"/>
      <c r="AA329" s="6"/>
      <c r="AB329" s="23"/>
      <c r="AC329" s="24"/>
    </row>
    <row r="330" spans="1:29" ht="15.75" customHeight="1">
      <c r="A330" s="10" t="s">
        <v>2310</v>
      </c>
      <c r="B330" s="10" t="s">
        <v>1469</v>
      </c>
      <c r="C330" s="60" t="s">
        <v>1470</v>
      </c>
      <c r="D330" s="12"/>
      <c r="E330" s="13" t="s">
        <v>2311</v>
      </c>
      <c r="F330" s="43" t="s">
        <v>2312</v>
      </c>
      <c r="G330" s="6" t="str">
        <f ca="1">IFERROR(__xludf.DUMMYFUNCTION("CONCATENATE(B330,(VLOOKUP(C330,CATALOGOS!$F$2:$H$6,3,FALSE)),(VLOOKUP(V330,CATALOGOS!$J$2:$K$18,2,FALSE)),""-"",TO_TEXT(A330))"),"P12SI-0329")</f>
        <v>P12SI-0329</v>
      </c>
      <c r="H330" s="6" t="str">
        <f ca="1">IFERROR(__xludf.DUMMYFUNCTION("CONCATENATE($B330,(VLOOKUP($C330,CATALOGOS!$F$2:$H$6,3,FALSE)),(VLOOKUP($V330,CATALOGOS!$J$2:$K$18,2,FALSE)),""-"",TO_TEXT($A330))"),"P12SI-0329")</f>
        <v>P12SI-0329</v>
      </c>
      <c r="I330" s="6"/>
      <c r="J330" s="6" t="s">
        <v>2313</v>
      </c>
      <c r="K330" s="6" t="s">
        <v>2314</v>
      </c>
      <c r="L330" s="6" t="s">
        <v>2315</v>
      </c>
      <c r="M330" s="6" t="s">
        <v>2316</v>
      </c>
      <c r="N330" s="17"/>
      <c r="O330" s="17"/>
      <c r="P330" s="17" t="str">
        <f t="shared" si="2"/>
        <v>OK</v>
      </c>
      <c r="Q330" s="17" t="s">
        <v>2317</v>
      </c>
      <c r="R330" s="6" t="s">
        <v>2318</v>
      </c>
      <c r="S330" s="17" t="s">
        <v>2319</v>
      </c>
      <c r="T330" s="17" t="s">
        <v>2320</v>
      </c>
      <c r="U330" s="173" t="s">
        <v>38</v>
      </c>
      <c r="V330" s="181" t="s">
        <v>1483</v>
      </c>
      <c r="W330" s="20" t="s">
        <v>1484</v>
      </c>
      <c r="X330" s="20" t="s">
        <v>1484</v>
      </c>
      <c r="Y330" s="20"/>
      <c r="Z330" s="6"/>
      <c r="AA330" s="6"/>
      <c r="AB330" s="23"/>
      <c r="AC330" s="24"/>
    </row>
    <row r="331" spans="1:29" ht="15.75" customHeight="1">
      <c r="A331" s="10" t="s">
        <v>2321</v>
      </c>
      <c r="B331" s="10" t="s">
        <v>1469</v>
      </c>
      <c r="C331" s="60" t="s">
        <v>1470</v>
      </c>
      <c r="D331" s="12"/>
      <c r="E331" s="13" t="s">
        <v>93</v>
      </c>
      <c r="F331" s="6" t="s">
        <v>2322</v>
      </c>
      <c r="G331" s="6" t="str">
        <f ca="1">IFERROR(__xludf.DUMMYFUNCTION("CONCATENATE(B331,(VLOOKUP(C331,CATALOGOS!$F$2:$H$6,3,FALSE)),(VLOOKUP(V331,CATALOGOS!$J$2:$K$18,2,FALSE)),""-"",TO_TEXT(A331))"),"P12SI-0330")</f>
        <v>P12SI-0330</v>
      </c>
      <c r="H331" s="6" t="str">
        <f ca="1">IFERROR(__xludf.DUMMYFUNCTION("CONCATENATE($B331,(VLOOKUP($C331,CATALOGOS!$F$2:$H$6,3,FALSE)),(VLOOKUP($V331,CATALOGOS!$J$2:$K$18,2,FALSE)),""-"",TO_TEXT($A331))"),"P12SI-0330")</f>
        <v>P12SI-0330</v>
      </c>
      <c r="I331" s="6"/>
      <c r="J331" s="6" t="s">
        <v>2323</v>
      </c>
      <c r="K331" s="6" t="s">
        <v>2324</v>
      </c>
      <c r="L331" s="6" t="s">
        <v>2325</v>
      </c>
      <c r="M331" s="6" t="s">
        <v>2326</v>
      </c>
      <c r="N331" s="17"/>
      <c r="O331" s="17"/>
      <c r="P331" s="17" t="str">
        <f t="shared" si="2"/>
        <v>OK</v>
      </c>
      <c r="Q331" s="17" t="s">
        <v>35</v>
      </c>
      <c r="R331" s="6" t="s">
        <v>35</v>
      </c>
      <c r="S331" s="17" t="s">
        <v>36</v>
      </c>
      <c r="T331" s="17" t="s">
        <v>2327</v>
      </c>
      <c r="U331" s="173" t="s">
        <v>38</v>
      </c>
      <c r="V331" s="181" t="s">
        <v>1483</v>
      </c>
      <c r="W331" s="20" t="s">
        <v>1484</v>
      </c>
      <c r="X331" s="20" t="s">
        <v>1484</v>
      </c>
      <c r="Y331" s="20"/>
      <c r="Z331" s="6"/>
      <c r="AA331" s="6"/>
      <c r="AB331" s="23"/>
      <c r="AC331" s="24"/>
    </row>
    <row r="332" spans="1:29" ht="15.75" customHeight="1">
      <c r="A332" s="10" t="s">
        <v>2330</v>
      </c>
      <c r="B332" s="10" t="s">
        <v>1469</v>
      </c>
      <c r="C332" s="60" t="s">
        <v>1470</v>
      </c>
      <c r="D332" s="12"/>
      <c r="E332" s="13" t="s">
        <v>93</v>
      </c>
      <c r="F332" s="6" t="s">
        <v>2331</v>
      </c>
      <c r="G332" s="6" t="str">
        <f ca="1">IFERROR(__xludf.DUMMYFUNCTION("CONCATENATE(B332,(VLOOKUP(C332,CATALOGOS!$F$2:$H$6,3,FALSE)),(VLOOKUP(V332,CATALOGOS!$J$2:$K$18,2,FALSE)),""-"",TO_TEXT(A332))"),"P12SI-0331")</f>
        <v>P12SI-0331</v>
      </c>
      <c r="H332" s="6" t="str">
        <f ca="1">IFERROR(__xludf.DUMMYFUNCTION("CONCATENATE($B332,(VLOOKUP($C332,CATALOGOS!$F$2:$H$6,3,FALSE)),(VLOOKUP($V332,CATALOGOS!$J$2:$K$18,2,FALSE)),""-"",TO_TEXT($A332))"),"P12SI-0331")</f>
        <v>P12SI-0331</v>
      </c>
      <c r="I332" s="6"/>
      <c r="J332" s="6" t="s">
        <v>2332</v>
      </c>
      <c r="K332" s="6" t="s">
        <v>2333</v>
      </c>
      <c r="L332" s="6" t="s">
        <v>2334</v>
      </c>
      <c r="M332" s="6" t="s">
        <v>2335</v>
      </c>
      <c r="N332" s="17"/>
      <c r="O332" s="17"/>
      <c r="P332" s="17" t="str">
        <f t="shared" si="2"/>
        <v>OK</v>
      </c>
      <c r="Q332" s="17" t="s">
        <v>35</v>
      </c>
      <c r="R332" s="6" t="s">
        <v>35</v>
      </c>
      <c r="S332" s="17" t="s">
        <v>36</v>
      </c>
      <c r="T332" s="17" t="s">
        <v>2336</v>
      </c>
      <c r="U332" s="173" t="s">
        <v>38</v>
      </c>
      <c r="V332" s="181" t="s">
        <v>1483</v>
      </c>
      <c r="W332" s="20" t="s">
        <v>1484</v>
      </c>
      <c r="X332" s="20" t="s">
        <v>1484</v>
      </c>
      <c r="Y332" s="20"/>
      <c r="Z332" s="7"/>
      <c r="AA332" s="7"/>
      <c r="AB332" s="23"/>
      <c r="AC332" s="26"/>
    </row>
    <row r="333" spans="1:29" ht="15.75" customHeight="1">
      <c r="A333" s="10" t="s">
        <v>2338</v>
      </c>
      <c r="B333" s="10" t="s">
        <v>1469</v>
      </c>
      <c r="C333" s="60" t="s">
        <v>1470</v>
      </c>
      <c r="D333" s="12"/>
      <c r="E333" s="13" t="s">
        <v>248</v>
      </c>
      <c r="F333" s="6" t="s">
        <v>249</v>
      </c>
      <c r="G333" s="6" t="str">
        <f ca="1">IFERROR(__xludf.DUMMYFUNCTION("CONCATENATE(B333,(VLOOKUP(C333,CATALOGOS!$F$2:$H$6,3,FALSE)),(VLOOKUP(V333,CATALOGOS!$J$2:$K$18,2,FALSE)),""-"",TO_TEXT(A333))"),"P12SI-0332")</f>
        <v>P12SI-0332</v>
      </c>
      <c r="H333" s="6" t="str">
        <f ca="1">IFERROR(__xludf.DUMMYFUNCTION("CONCATENATE($B333,(VLOOKUP($C333,CATALOGOS!$F$2:$H$6,3,FALSE)),(VLOOKUP($V333,CATALOGOS!$J$2:$K$18,2,FALSE)),""-"",TO_TEXT($A333))"),"P12SI-0332")</f>
        <v>P12SI-0332</v>
      </c>
      <c r="I333" s="6"/>
      <c r="J333" s="6" t="s">
        <v>2339</v>
      </c>
      <c r="K333" s="6" t="s">
        <v>2340</v>
      </c>
      <c r="L333" s="36"/>
      <c r="M333" s="6" t="s">
        <v>141</v>
      </c>
      <c r="N333" s="17"/>
      <c r="O333" s="17"/>
      <c r="P333" s="17" t="str">
        <f t="shared" si="2"/>
        <v>REPETIDO</v>
      </c>
      <c r="Q333" s="17" t="s">
        <v>827</v>
      </c>
      <c r="R333" s="6" t="s">
        <v>828</v>
      </c>
      <c r="S333" s="6" t="s">
        <v>2341</v>
      </c>
      <c r="T333" s="10" t="s">
        <v>85</v>
      </c>
      <c r="U333" s="173" t="s">
        <v>38</v>
      </c>
      <c r="V333" s="181" t="s">
        <v>1483</v>
      </c>
      <c r="W333" s="20" t="s">
        <v>1484</v>
      </c>
      <c r="X333" s="20" t="s">
        <v>1484</v>
      </c>
      <c r="Y333" s="20"/>
      <c r="Z333" s="6"/>
      <c r="AA333" s="6"/>
      <c r="AB333" s="23"/>
      <c r="AC333" s="33"/>
    </row>
    <row r="334" spans="1:29" ht="15.75" customHeight="1">
      <c r="A334" s="10" t="s">
        <v>2342</v>
      </c>
      <c r="B334" s="10" t="s">
        <v>1469</v>
      </c>
      <c r="C334" s="60" t="s">
        <v>1470</v>
      </c>
      <c r="D334" s="12"/>
      <c r="E334" s="13" t="s">
        <v>248</v>
      </c>
      <c r="F334" s="43" t="s">
        <v>248</v>
      </c>
      <c r="G334" s="6" t="str">
        <f ca="1">IFERROR(__xludf.DUMMYFUNCTION("CONCATENATE(B334,(VLOOKUP(C334,CATALOGOS!$F$2:$H$6,3,FALSE)),(VLOOKUP(V334,CATALOGOS!$J$2:$K$18,2,FALSE)),""-"",TO_TEXT(A334))"),"P12SI-0333")</f>
        <v>P12SI-0333</v>
      </c>
      <c r="H334" s="6" t="str">
        <f ca="1">IFERROR(__xludf.DUMMYFUNCTION("CONCATENATE($B334,(VLOOKUP($C334,CATALOGOS!$F$2:$H$6,3,FALSE)),(VLOOKUP($V334,CATALOGOS!$J$2:$K$18,2,FALSE)),""-"",TO_TEXT($A334))"),"P12SI-0333")</f>
        <v>P12SI-0333</v>
      </c>
      <c r="I334" s="6"/>
      <c r="J334" s="6" t="s">
        <v>2343</v>
      </c>
      <c r="K334" s="6" t="s">
        <v>2344</v>
      </c>
      <c r="L334" s="6" t="s">
        <v>2345</v>
      </c>
      <c r="M334" s="6" t="s">
        <v>2346</v>
      </c>
      <c r="N334" s="17"/>
      <c r="O334" s="17"/>
      <c r="P334" s="17" t="str">
        <f t="shared" si="2"/>
        <v>OK</v>
      </c>
      <c r="Q334" s="17" t="s">
        <v>250</v>
      </c>
      <c r="R334" s="6" t="s">
        <v>2347</v>
      </c>
      <c r="S334" s="17" t="s">
        <v>2348</v>
      </c>
      <c r="T334" s="17" t="s">
        <v>2349</v>
      </c>
      <c r="U334" s="173" t="s">
        <v>38</v>
      </c>
      <c r="V334" s="181" t="s">
        <v>1483</v>
      </c>
      <c r="W334" s="20" t="s">
        <v>1484</v>
      </c>
      <c r="X334" s="20" t="s">
        <v>1484</v>
      </c>
      <c r="Y334" s="20"/>
      <c r="Z334" s="7"/>
      <c r="AA334" s="7"/>
      <c r="AB334" s="23"/>
      <c r="AC334" s="26"/>
    </row>
    <row r="335" spans="1:29" ht="15.75" customHeight="1">
      <c r="A335" s="10" t="s">
        <v>2350</v>
      </c>
      <c r="B335" s="10" t="s">
        <v>1469</v>
      </c>
      <c r="C335" s="60" t="s">
        <v>1470</v>
      </c>
      <c r="D335" s="12"/>
      <c r="E335" s="13" t="s">
        <v>2351</v>
      </c>
      <c r="F335" s="43" t="s">
        <v>2352</v>
      </c>
      <c r="G335" s="6" t="str">
        <f ca="1">IFERROR(__xludf.DUMMYFUNCTION("CONCATENATE(B335,(VLOOKUP(C335,CATALOGOS!$F$2:$H$6,3,FALSE)),(VLOOKUP(V335,CATALOGOS!$J$2:$K$18,2,FALSE)),""-"",TO_TEXT(A335))"),"P12SI-0334")</f>
        <v>P12SI-0334</v>
      </c>
      <c r="H335" s="6" t="str">
        <f ca="1">IFERROR(__xludf.DUMMYFUNCTION("CONCATENATE($B335,(VLOOKUP($C335,CATALOGOS!$F$2:$H$6,3,FALSE)),(VLOOKUP($V335,CATALOGOS!$J$2:$K$18,2,FALSE)),""-"",TO_TEXT($A335))"),"P12SI-0334")</f>
        <v>P12SI-0334</v>
      </c>
      <c r="I335" s="6"/>
      <c r="J335" s="6" t="s">
        <v>2353</v>
      </c>
      <c r="K335" s="6" t="s">
        <v>2354</v>
      </c>
      <c r="L335" s="6" t="s">
        <v>8435</v>
      </c>
      <c r="M335" s="6" t="s">
        <v>2356</v>
      </c>
      <c r="N335" s="17"/>
      <c r="O335" s="17"/>
      <c r="P335" s="17" t="str">
        <f t="shared" si="2"/>
        <v>OK</v>
      </c>
      <c r="Q335" s="17" t="s">
        <v>2357</v>
      </c>
      <c r="R335" s="6" t="s">
        <v>2358</v>
      </c>
      <c r="S335" s="17" t="s">
        <v>2359</v>
      </c>
      <c r="T335" s="17" t="s">
        <v>2360</v>
      </c>
      <c r="U335" s="173" t="s">
        <v>38</v>
      </c>
      <c r="V335" s="181" t="s">
        <v>1483</v>
      </c>
      <c r="W335" s="20" t="s">
        <v>1484</v>
      </c>
      <c r="X335" s="20" t="s">
        <v>1484</v>
      </c>
      <c r="Y335" s="20"/>
      <c r="Z335" s="7"/>
      <c r="AA335" s="7"/>
      <c r="AB335" s="23"/>
      <c r="AC335" s="26"/>
    </row>
    <row r="336" spans="1:29" ht="15.75" customHeight="1">
      <c r="A336" s="10" t="s">
        <v>2361</v>
      </c>
      <c r="B336" s="10" t="s">
        <v>1469</v>
      </c>
      <c r="C336" s="60" t="s">
        <v>1470</v>
      </c>
      <c r="D336" s="12"/>
      <c r="E336" s="13" t="s">
        <v>53</v>
      </c>
      <c r="F336" s="6" t="s">
        <v>2362</v>
      </c>
      <c r="G336" s="6" t="str">
        <f ca="1">IFERROR(__xludf.DUMMYFUNCTION("CONCATENATE(B336,(VLOOKUP(C336,CATALOGOS!$F$2:$H$6,3,FALSE)),(VLOOKUP(V336,CATALOGOS!$J$2:$K$18,2,FALSE)),""-"",TO_TEXT(A336))"),"P12SI-0335")</f>
        <v>P12SI-0335</v>
      </c>
      <c r="H336" s="6" t="str">
        <f ca="1">IFERROR(__xludf.DUMMYFUNCTION("CONCATENATE($B336,(VLOOKUP($C336,CATALOGOS!$F$2:$H$6,3,FALSE)),(VLOOKUP($V336,CATALOGOS!$J$2:$K$18,2,FALSE)),""-"",TO_TEXT($A336))"),"P12SI-0335")</f>
        <v>P12SI-0335</v>
      </c>
      <c r="I336" s="6"/>
      <c r="J336" s="6" t="s">
        <v>2363</v>
      </c>
      <c r="K336" s="6" t="s">
        <v>2364</v>
      </c>
      <c r="L336" s="6" t="s">
        <v>2365</v>
      </c>
      <c r="M336" s="6" t="s">
        <v>2366</v>
      </c>
      <c r="N336" s="17"/>
      <c r="O336" s="17"/>
      <c r="P336" s="17" t="str">
        <f t="shared" si="2"/>
        <v>OK</v>
      </c>
      <c r="Q336" s="17" t="s">
        <v>35</v>
      </c>
      <c r="R336" s="6" t="s">
        <v>35</v>
      </c>
      <c r="S336" s="17" t="s">
        <v>36</v>
      </c>
      <c r="T336" s="17" t="s">
        <v>2367</v>
      </c>
      <c r="U336" s="173" t="s">
        <v>38</v>
      </c>
      <c r="V336" s="181" t="s">
        <v>1483</v>
      </c>
      <c r="W336" s="20" t="s">
        <v>1484</v>
      </c>
      <c r="X336" s="20" t="s">
        <v>1484</v>
      </c>
      <c r="Y336" s="20"/>
      <c r="Z336" s="7"/>
      <c r="AA336" s="7"/>
      <c r="AB336" s="23"/>
      <c r="AC336" s="26"/>
    </row>
    <row r="337" spans="1:29" ht="15.75" customHeight="1">
      <c r="A337" s="10" t="s">
        <v>2368</v>
      </c>
      <c r="B337" s="10" t="s">
        <v>1469</v>
      </c>
      <c r="C337" s="60" t="s">
        <v>1470</v>
      </c>
      <c r="D337" s="12"/>
      <c r="E337" s="13" t="s">
        <v>199</v>
      </c>
      <c r="F337" s="6" t="s">
        <v>199</v>
      </c>
      <c r="G337" s="6" t="str">
        <f ca="1">IFERROR(__xludf.DUMMYFUNCTION("CONCATENATE(B337,(VLOOKUP(C337,CATALOGOS!$F$2:$H$6,3,FALSE)),(VLOOKUP(V337,CATALOGOS!$J$2:$K$18,2,FALSE)),""-"",TO_TEXT(A337))"),"P12SI-0336")</f>
        <v>P12SI-0336</v>
      </c>
      <c r="H337" s="6" t="str">
        <f ca="1">IFERROR(__xludf.DUMMYFUNCTION("CONCATENATE($B337,(VLOOKUP($C337,CATALOGOS!$F$2:$H$6,3,FALSE)),(VLOOKUP($V337,CATALOGOS!$J$2:$K$18,2,FALSE)),""-"",TO_TEXT($A337))"),"P12SI-0336")</f>
        <v>P12SI-0336</v>
      </c>
      <c r="I337" s="6"/>
      <c r="J337" s="6" t="s">
        <v>2369</v>
      </c>
      <c r="K337" s="6" t="s">
        <v>2370</v>
      </c>
      <c r="L337" s="6" t="s">
        <v>2371</v>
      </c>
      <c r="M337" s="43" t="s">
        <v>141</v>
      </c>
      <c r="N337" s="17"/>
      <c r="O337" s="17"/>
      <c r="P337" s="17" t="str">
        <f t="shared" si="2"/>
        <v>REPETIDO</v>
      </c>
      <c r="Q337" s="17" t="s">
        <v>205</v>
      </c>
      <c r="R337" s="32" t="s">
        <v>993</v>
      </c>
      <c r="S337" s="17" t="s">
        <v>2372</v>
      </c>
      <c r="T337" s="17" t="s">
        <v>2373</v>
      </c>
      <c r="U337" s="173" t="s">
        <v>38</v>
      </c>
      <c r="V337" s="181" t="s">
        <v>1483</v>
      </c>
      <c r="W337" s="20" t="s">
        <v>1484</v>
      </c>
      <c r="X337" s="20" t="s">
        <v>1484</v>
      </c>
      <c r="Y337" s="20"/>
      <c r="Z337" s="7"/>
      <c r="AA337" s="7"/>
      <c r="AB337" s="23"/>
      <c r="AC337" s="26"/>
    </row>
    <row r="338" spans="1:29" ht="15.75" customHeight="1">
      <c r="A338" s="10" t="s">
        <v>2374</v>
      </c>
      <c r="B338" s="10" t="s">
        <v>1469</v>
      </c>
      <c r="C338" s="60" t="s">
        <v>1470</v>
      </c>
      <c r="D338" s="12"/>
      <c r="E338" s="13" t="s">
        <v>151</v>
      </c>
      <c r="F338" s="6" t="s">
        <v>963</v>
      </c>
      <c r="G338" s="6" t="str">
        <f ca="1">IFERROR(__xludf.DUMMYFUNCTION("CONCATENATE(B338,(VLOOKUP(C338,CATALOGOS!$F$2:$H$6,3,FALSE)),(VLOOKUP(V338,CATALOGOS!$J$2:$K$18,2,FALSE)),""-"",TO_TEXT(A338))"),"P12SI-0337")</f>
        <v>P12SI-0337</v>
      </c>
      <c r="H338" s="6" t="str">
        <f ca="1">IFERROR(__xludf.DUMMYFUNCTION("CONCATENATE($B338,(VLOOKUP($C338,CATALOGOS!$F$2:$H$6,3,FALSE)),(VLOOKUP($V338,CATALOGOS!$J$2:$K$18,2,FALSE)),""-"",TO_TEXT($A338))"),"P12SI-0337")</f>
        <v>P12SI-0337</v>
      </c>
      <c r="I338" s="6"/>
      <c r="J338" s="6" t="s">
        <v>2375</v>
      </c>
      <c r="K338" s="6" t="s">
        <v>2376</v>
      </c>
      <c r="L338" s="6" t="s">
        <v>2377</v>
      </c>
      <c r="M338" s="6" t="s">
        <v>2378</v>
      </c>
      <c r="N338" s="17"/>
      <c r="O338" s="17"/>
      <c r="P338" s="17" t="str">
        <f t="shared" si="2"/>
        <v>OK</v>
      </c>
      <c r="Q338" s="17" t="s">
        <v>297</v>
      </c>
      <c r="R338" s="6" t="s">
        <v>1037</v>
      </c>
      <c r="S338" s="17" t="s">
        <v>2379</v>
      </c>
      <c r="T338" s="17" t="s">
        <v>2380</v>
      </c>
      <c r="U338" s="173" t="s">
        <v>38</v>
      </c>
      <c r="V338" s="181" t="s">
        <v>1483</v>
      </c>
      <c r="W338" s="20" t="s">
        <v>1484</v>
      </c>
      <c r="X338" s="20" t="s">
        <v>1484</v>
      </c>
      <c r="Y338" s="20"/>
      <c r="Z338" s="7"/>
      <c r="AA338" s="7"/>
      <c r="AB338" s="23"/>
      <c r="AC338" s="26"/>
    </row>
    <row r="339" spans="1:29" ht="15.75" customHeight="1">
      <c r="A339" s="10" t="s">
        <v>2382</v>
      </c>
      <c r="B339" s="10" t="s">
        <v>1469</v>
      </c>
      <c r="C339" s="60" t="s">
        <v>1470</v>
      </c>
      <c r="D339" s="12"/>
      <c r="E339" s="13" t="s">
        <v>93</v>
      </c>
      <c r="F339" s="6" t="s">
        <v>2383</v>
      </c>
      <c r="G339" s="6" t="str">
        <f ca="1">IFERROR(__xludf.DUMMYFUNCTION("CONCATENATE(B339,(VLOOKUP(C339,CATALOGOS!$F$2:$H$6,3,FALSE)),(VLOOKUP(V339,CATALOGOS!$J$2:$K$18,2,FALSE)),""-"",TO_TEXT(A339))"),"P12SI-0338")</f>
        <v>P12SI-0338</v>
      </c>
      <c r="H339" s="6" t="str">
        <f ca="1">IFERROR(__xludf.DUMMYFUNCTION("CONCATENATE($B339,(VLOOKUP($C339,CATALOGOS!$F$2:$H$6,3,FALSE)),(VLOOKUP($V339,CATALOGOS!$J$2:$K$18,2,FALSE)),""-"",TO_TEXT($A339))"),"P12SI-0338")</f>
        <v>P12SI-0338</v>
      </c>
      <c r="I339" s="6"/>
      <c r="J339" s="6" t="s">
        <v>2384</v>
      </c>
      <c r="K339" s="6" t="s">
        <v>2385</v>
      </c>
      <c r="L339" s="6" t="s">
        <v>2386</v>
      </c>
      <c r="M339" s="43" t="s">
        <v>2387</v>
      </c>
      <c r="N339" s="17"/>
      <c r="O339" s="17"/>
      <c r="P339" s="17" t="str">
        <f t="shared" si="2"/>
        <v>OK</v>
      </c>
      <c r="Q339" s="17" t="s">
        <v>35</v>
      </c>
      <c r="R339" s="6" t="s">
        <v>35</v>
      </c>
      <c r="S339" s="17" t="s">
        <v>36</v>
      </c>
      <c r="T339" s="17" t="s">
        <v>2388</v>
      </c>
      <c r="U339" s="173" t="s">
        <v>38</v>
      </c>
      <c r="V339" s="181" t="s">
        <v>1483</v>
      </c>
      <c r="W339" s="20" t="s">
        <v>1484</v>
      </c>
      <c r="X339" s="20" t="s">
        <v>1484</v>
      </c>
      <c r="Y339" s="20"/>
      <c r="Z339" s="7"/>
      <c r="AA339" s="7"/>
      <c r="AB339" s="23"/>
      <c r="AC339" s="26"/>
    </row>
    <row r="340" spans="1:29" ht="15.75" customHeight="1">
      <c r="A340" s="10" t="s">
        <v>2389</v>
      </c>
      <c r="B340" s="10" t="s">
        <v>1469</v>
      </c>
      <c r="C340" s="60" t="s">
        <v>1470</v>
      </c>
      <c r="D340" s="12"/>
      <c r="E340" s="13" t="s">
        <v>151</v>
      </c>
      <c r="F340" s="6" t="s">
        <v>698</v>
      </c>
      <c r="G340" s="6" t="str">
        <f ca="1">IFERROR(__xludf.DUMMYFUNCTION("CONCATENATE(B340,(VLOOKUP(C340,CATALOGOS!$F$2:$H$6,3,FALSE)),(VLOOKUP(V340,CATALOGOS!$J$2:$K$18,2,FALSE)),""-"",TO_TEXT(A340))"),"P12SI-0339")</f>
        <v>P12SI-0339</v>
      </c>
      <c r="H340" s="6" t="str">
        <f ca="1">IFERROR(__xludf.DUMMYFUNCTION("CONCATENATE($B340,(VLOOKUP($C340,CATALOGOS!$F$2:$H$6,3,FALSE)),(VLOOKUP($V340,CATALOGOS!$J$2:$K$18,2,FALSE)),""-"",TO_TEXT($A340))"),"P12SI-0339")</f>
        <v>P12SI-0339</v>
      </c>
      <c r="I340" s="6"/>
      <c r="J340" s="6" t="s">
        <v>2390</v>
      </c>
      <c r="K340" s="6" t="s">
        <v>2391</v>
      </c>
      <c r="L340" s="6" t="s">
        <v>2392</v>
      </c>
      <c r="M340" s="6" t="s">
        <v>2393</v>
      </c>
      <c r="N340" s="17"/>
      <c r="O340" s="17"/>
      <c r="P340" s="17" t="str">
        <f t="shared" si="2"/>
        <v>OK</v>
      </c>
      <c r="Q340" s="17" t="s">
        <v>297</v>
      </c>
      <c r="R340" s="6" t="s">
        <v>1131</v>
      </c>
      <c r="S340" s="17" t="s">
        <v>2394</v>
      </c>
      <c r="T340" s="17" t="s">
        <v>2395</v>
      </c>
      <c r="U340" s="173" t="s">
        <v>38</v>
      </c>
      <c r="V340" s="181" t="s">
        <v>1483</v>
      </c>
      <c r="W340" s="20" t="s">
        <v>1484</v>
      </c>
      <c r="X340" s="20" t="s">
        <v>1484</v>
      </c>
      <c r="Y340" s="20"/>
      <c r="Z340" s="7"/>
      <c r="AA340" s="7"/>
      <c r="AB340" s="23"/>
      <c r="AC340" s="26"/>
    </row>
    <row r="341" spans="1:29" ht="15.75" customHeight="1">
      <c r="A341" s="10" t="s">
        <v>2396</v>
      </c>
      <c r="B341" s="10" t="s">
        <v>1469</v>
      </c>
      <c r="C341" s="60" t="s">
        <v>1470</v>
      </c>
      <c r="D341" s="12"/>
      <c r="E341" s="13" t="s">
        <v>2397</v>
      </c>
      <c r="F341" s="6" t="s">
        <v>2398</v>
      </c>
      <c r="G341" s="6" t="str">
        <f ca="1">IFERROR(__xludf.DUMMYFUNCTION("CONCATENATE(B341,(VLOOKUP(C341,CATALOGOS!$F$2:$H$6,3,FALSE)),(VLOOKUP(V341,CATALOGOS!$J$2:$K$18,2,FALSE)),""-"",TO_TEXT(A341))"),"P12SI-0340")</f>
        <v>P12SI-0340</v>
      </c>
      <c r="H341" s="6" t="str">
        <f ca="1">IFERROR(__xludf.DUMMYFUNCTION("CONCATENATE($B341,(VLOOKUP($C341,CATALOGOS!$F$2:$H$6,3,FALSE)),(VLOOKUP($V341,CATALOGOS!$J$2:$K$18,2,FALSE)),""-"",TO_TEXT($A341))"),"P12SI-0340")</f>
        <v>P12SI-0340</v>
      </c>
      <c r="I341" s="6"/>
      <c r="J341" s="6" t="s">
        <v>2399</v>
      </c>
      <c r="K341" s="6" t="s">
        <v>2400</v>
      </c>
      <c r="L341" s="6" t="s">
        <v>2401</v>
      </c>
      <c r="M341" s="6" t="s">
        <v>2402</v>
      </c>
      <c r="N341" s="17"/>
      <c r="O341" s="17"/>
      <c r="P341" s="17" t="str">
        <f t="shared" si="2"/>
        <v>OK</v>
      </c>
      <c r="Q341" s="17" t="s">
        <v>2403</v>
      </c>
      <c r="R341" s="6" t="s">
        <v>2404</v>
      </c>
      <c r="S341" s="17" t="s">
        <v>2405</v>
      </c>
      <c r="T341" s="17" t="s">
        <v>2406</v>
      </c>
      <c r="U341" s="173" t="s">
        <v>38</v>
      </c>
      <c r="V341" s="181" t="s">
        <v>1483</v>
      </c>
      <c r="W341" s="20" t="s">
        <v>1484</v>
      </c>
      <c r="X341" s="20" t="s">
        <v>1484</v>
      </c>
      <c r="Y341" s="20"/>
      <c r="Z341" s="6"/>
      <c r="AA341" s="6"/>
      <c r="AB341" s="23"/>
      <c r="AC341" s="24"/>
    </row>
    <row r="342" spans="1:29" ht="15.75" customHeight="1">
      <c r="A342" s="10" t="s">
        <v>2407</v>
      </c>
      <c r="B342" s="10" t="s">
        <v>1469</v>
      </c>
      <c r="C342" s="60" t="s">
        <v>1470</v>
      </c>
      <c r="D342" s="12"/>
      <c r="E342" s="13" t="s">
        <v>248</v>
      </c>
      <c r="F342" s="43" t="s">
        <v>248</v>
      </c>
      <c r="G342" s="6" t="str">
        <f ca="1">IFERROR(__xludf.DUMMYFUNCTION("CONCATENATE(B342,(VLOOKUP(C342,CATALOGOS!$F$2:$H$6,3,FALSE)),(VLOOKUP(V342,CATALOGOS!$J$2:$K$18,2,FALSE)),""-"",TO_TEXT(A342))"),"P12SI-0341")</f>
        <v>P12SI-0341</v>
      </c>
      <c r="H342" s="6" t="str">
        <f ca="1">IFERROR(__xludf.DUMMYFUNCTION("CONCATENATE($B342,(VLOOKUP($C342,CATALOGOS!$F$2:$H$6,3,FALSE)),(VLOOKUP($V342,CATALOGOS!$J$2:$K$18,2,FALSE)),""-"",TO_TEXT($A342))"),"P12SI-0341")</f>
        <v>P12SI-0341</v>
      </c>
      <c r="I342" s="6"/>
      <c r="J342" s="6" t="s">
        <v>2408</v>
      </c>
      <c r="K342" s="6" t="s">
        <v>2409</v>
      </c>
      <c r="L342" s="6" t="s">
        <v>2410</v>
      </c>
      <c r="M342" s="6" t="s">
        <v>2411</v>
      </c>
      <c r="N342" s="17"/>
      <c r="O342" s="17"/>
      <c r="P342" s="17" t="str">
        <f t="shared" si="2"/>
        <v>OK</v>
      </c>
      <c r="Q342" s="17" t="s">
        <v>303</v>
      </c>
      <c r="R342" s="6" t="s">
        <v>1726</v>
      </c>
      <c r="S342" s="17" t="s">
        <v>2412</v>
      </c>
      <c r="T342" s="17" t="s">
        <v>2413</v>
      </c>
      <c r="U342" s="173" t="s">
        <v>38</v>
      </c>
      <c r="V342" s="181" t="s">
        <v>1483</v>
      </c>
      <c r="W342" s="20" t="s">
        <v>1484</v>
      </c>
      <c r="X342" s="20" t="s">
        <v>1484</v>
      </c>
      <c r="Y342" s="20"/>
      <c r="Z342" s="7"/>
      <c r="AA342" s="7"/>
      <c r="AB342" s="23"/>
      <c r="AC342" s="26"/>
    </row>
    <row r="343" spans="1:29" ht="15.75" customHeight="1">
      <c r="A343" s="10" t="s">
        <v>2414</v>
      </c>
      <c r="B343" s="10" t="s">
        <v>1469</v>
      </c>
      <c r="C343" s="60" t="s">
        <v>1470</v>
      </c>
      <c r="D343" s="12"/>
      <c r="E343" s="13" t="s">
        <v>199</v>
      </c>
      <c r="F343" s="6" t="s">
        <v>199</v>
      </c>
      <c r="G343" s="6" t="str">
        <f ca="1">IFERROR(__xludf.DUMMYFUNCTION("CONCATENATE(B343,(VLOOKUP(C343,CATALOGOS!$F$2:$H$6,3,FALSE)),(VLOOKUP(V343,CATALOGOS!$J$2:$K$18,2,FALSE)),""-"",TO_TEXT(A343))"),"P12SI-0342")</f>
        <v>P12SI-0342</v>
      </c>
      <c r="H343" s="6" t="str">
        <f ca="1">IFERROR(__xludf.DUMMYFUNCTION("CONCATENATE($B343,(VLOOKUP($C343,CATALOGOS!$F$2:$H$6,3,FALSE)),(VLOOKUP($V343,CATALOGOS!$J$2:$K$18,2,FALSE)),""-"",TO_TEXT($A343))"),"P12SI-0342")</f>
        <v>P12SI-0342</v>
      </c>
      <c r="I343" s="6"/>
      <c r="J343" s="6" t="s">
        <v>2415</v>
      </c>
      <c r="K343" s="6" t="s">
        <v>2416</v>
      </c>
      <c r="L343" s="6" t="s">
        <v>2417</v>
      </c>
      <c r="M343" s="6" t="s">
        <v>2418</v>
      </c>
      <c r="N343" s="17"/>
      <c r="O343" s="17"/>
      <c r="P343" s="17" t="str">
        <f t="shared" si="2"/>
        <v>OK</v>
      </c>
      <c r="Q343" s="17" t="s">
        <v>2419</v>
      </c>
      <c r="R343" s="6" t="s">
        <v>2420</v>
      </c>
      <c r="S343" s="17" t="s">
        <v>2421</v>
      </c>
      <c r="T343" s="17" t="s">
        <v>2422</v>
      </c>
      <c r="U343" s="173" t="s">
        <v>38</v>
      </c>
      <c r="V343" s="181" t="s">
        <v>1483</v>
      </c>
      <c r="W343" s="20" t="s">
        <v>1484</v>
      </c>
      <c r="X343" s="20" t="s">
        <v>1484</v>
      </c>
      <c r="Y343" s="20"/>
      <c r="Z343" s="6"/>
      <c r="AA343" s="6"/>
      <c r="AB343" s="23"/>
      <c r="AC343" s="24"/>
    </row>
    <row r="344" spans="1:29" ht="15.75" customHeight="1">
      <c r="A344" s="10" t="s">
        <v>2423</v>
      </c>
      <c r="B344" s="10" t="s">
        <v>1469</v>
      </c>
      <c r="C344" s="60" t="s">
        <v>1470</v>
      </c>
      <c r="D344" s="12"/>
      <c r="E344" s="13" t="s">
        <v>162</v>
      </c>
      <c r="F344" s="43" t="s">
        <v>285</v>
      </c>
      <c r="G344" s="6" t="str">
        <f ca="1">IFERROR(__xludf.DUMMYFUNCTION("CONCATENATE(B344,(VLOOKUP(C344,CATALOGOS!$F$2:$H$6,3,FALSE)),(VLOOKUP(V344,CATALOGOS!$J$2:$K$18,2,FALSE)),""-"",TO_TEXT(A344))"),"P12SI-0343")</f>
        <v>P12SI-0343</v>
      </c>
      <c r="H344" s="6" t="str">
        <f ca="1">IFERROR(__xludf.DUMMYFUNCTION("CONCATENATE($B344,(VLOOKUP($C344,CATALOGOS!$F$2:$H$6,3,FALSE)),(VLOOKUP($V344,CATALOGOS!$J$2:$K$18,2,FALSE)),""-"",TO_TEXT($A344))"),"P12SI-0343")</f>
        <v>P12SI-0343</v>
      </c>
      <c r="I344" s="6"/>
      <c r="J344" s="6" t="s">
        <v>2424</v>
      </c>
      <c r="K344" s="6" t="s">
        <v>2425</v>
      </c>
      <c r="L344" s="6" t="s">
        <v>2426</v>
      </c>
      <c r="M344" s="6" t="s">
        <v>141</v>
      </c>
      <c r="N344" s="17"/>
      <c r="O344" s="17"/>
      <c r="P344" s="17" t="str">
        <f t="shared" si="2"/>
        <v>REPETIDO</v>
      </c>
      <c r="Q344" s="17" t="s">
        <v>663</v>
      </c>
      <c r="R344" s="32" t="s">
        <v>664</v>
      </c>
      <c r="S344" s="17" t="s">
        <v>2427</v>
      </c>
      <c r="T344" s="17" t="s">
        <v>2428</v>
      </c>
      <c r="U344" s="173" t="s">
        <v>38</v>
      </c>
      <c r="V344" s="181" t="s">
        <v>1483</v>
      </c>
      <c r="W344" s="20" t="s">
        <v>1484</v>
      </c>
      <c r="X344" s="20" t="s">
        <v>1484</v>
      </c>
      <c r="Y344" s="20"/>
      <c r="Z344" s="7"/>
      <c r="AA344" s="7"/>
      <c r="AB344" s="23"/>
      <c r="AC344" s="26"/>
    </row>
    <row r="345" spans="1:29" ht="15.75" customHeight="1">
      <c r="A345" s="10" t="s">
        <v>2429</v>
      </c>
      <c r="B345" s="10" t="s">
        <v>1469</v>
      </c>
      <c r="C345" s="60" t="s">
        <v>1470</v>
      </c>
      <c r="D345" s="12"/>
      <c r="E345" s="13" t="s">
        <v>2311</v>
      </c>
      <c r="F345" s="6" t="s">
        <v>2430</v>
      </c>
      <c r="G345" s="6" t="str">
        <f ca="1">IFERROR(__xludf.DUMMYFUNCTION("CONCATENATE(B345,(VLOOKUP(C345,CATALOGOS!$F$2:$H$6,3,FALSE)),(VLOOKUP(V345,CATALOGOS!$J$2:$K$18,2,FALSE)),""-"",TO_TEXT(A345))"),"P12SI-0344")</f>
        <v>P12SI-0344</v>
      </c>
      <c r="H345" s="6" t="str">
        <f ca="1">IFERROR(__xludf.DUMMYFUNCTION("CONCATENATE($B345,(VLOOKUP($C345,CATALOGOS!$F$2:$H$6,3,FALSE)),(VLOOKUP($V345,CATALOGOS!$J$2:$K$18,2,FALSE)),""-"",TO_TEXT($A345))"),"P12SI-0344")</f>
        <v>P12SI-0344</v>
      </c>
      <c r="I345" s="6"/>
      <c r="J345" s="6" t="s">
        <v>2431</v>
      </c>
      <c r="K345" s="6" t="s">
        <v>2432</v>
      </c>
      <c r="L345" s="6" t="s">
        <v>2433</v>
      </c>
      <c r="M345" s="6" t="s">
        <v>2434</v>
      </c>
      <c r="N345" s="17"/>
      <c r="O345" s="17"/>
      <c r="P345" s="17" t="str">
        <f t="shared" si="2"/>
        <v>OK</v>
      </c>
      <c r="Q345" s="17" t="s">
        <v>2317</v>
      </c>
      <c r="R345" s="6" t="s">
        <v>2435</v>
      </c>
      <c r="S345" s="17" t="s">
        <v>2436</v>
      </c>
      <c r="T345" s="17" t="s">
        <v>2437</v>
      </c>
      <c r="U345" s="173" t="s">
        <v>38</v>
      </c>
      <c r="V345" s="181" t="s">
        <v>1483</v>
      </c>
      <c r="W345" s="20" t="s">
        <v>1484</v>
      </c>
      <c r="X345" s="20" t="s">
        <v>1484</v>
      </c>
      <c r="Y345" s="20"/>
      <c r="Z345" s="7"/>
      <c r="AA345" s="7"/>
      <c r="AB345" s="23"/>
      <c r="AC345" s="26"/>
    </row>
    <row r="346" spans="1:29" ht="15.75" customHeight="1">
      <c r="A346" s="10" t="s">
        <v>2438</v>
      </c>
      <c r="B346" s="10" t="s">
        <v>1469</v>
      </c>
      <c r="C346" s="60" t="s">
        <v>1470</v>
      </c>
      <c r="D346" s="12"/>
      <c r="E346" s="13" t="s">
        <v>151</v>
      </c>
      <c r="F346" s="6" t="s">
        <v>2439</v>
      </c>
      <c r="G346" s="6" t="str">
        <f ca="1">IFERROR(__xludf.DUMMYFUNCTION("CONCATENATE(B346,(VLOOKUP(C346,CATALOGOS!$F$2:$H$6,3,FALSE)),(VLOOKUP(V346,CATALOGOS!$J$2:$K$18,2,FALSE)),""-"",TO_TEXT(A346))"),"P12SI-0345")</f>
        <v>P12SI-0345</v>
      </c>
      <c r="H346" s="6" t="str">
        <f ca="1">IFERROR(__xludf.DUMMYFUNCTION("CONCATENATE($B346,(VLOOKUP($C346,CATALOGOS!$F$2:$H$6,3,FALSE)),(VLOOKUP($V346,CATALOGOS!$J$2:$K$18,2,FALSE)),""-"",TO_TEXT($A346))"),"P12SI-0345")</f>
        <v>P12SI-0345</v>
      </c>
      <c r="I346" s="6"/>
      <c r="J346" s="6" t="s">
        <v>2440</v>
      </c>
      <c r="K346" s="6" t="s">
        <v>2441</v>
      </c>
      <c r="L346" s="6" t="s">
        <v>2442</v>
      </c>
      <c r="M346" s="6" t="s">
        <v>2443</v>
      </c>
      <c r="N346" s="17"/>
      <c r="O346" s="17"/>
      <c r="P346" s="17" t="str">
        <f t="shared" si="2"/>
        <v>OK</v>
      </c>
      <c r="Q346" s="17" t="s">
        <v>703</v>
      </c>
      <c r="R346" s="6" t="s">
        <v>2444</v>
      </c>
      <c r="S346" s="17" t="s">
        <v>8436</v>
      </c>
      <c r="T346" s="17" t="s">
        <v>2446</v>
      </c>
      <c r="U346" s="173" t="s">
        <v>38</v>
      </c>
      <c r="V346" s="181" t="s">
        <v>1483</v>
      </c>
      <c r="W346" s="20" t="s">
        <v>1484</v>
      </c>
      <c r="X346" s="20" t="s">
        <v>1484</v>
      </c>
      <c r="Y346" s="20"/>
      <c r="Z346" s="7"/>
      <c r="AA346" s="7"/>
      <c r="AB346" s="23"/>
      <c r="AC346" s="26"/>
    </row>
    <row r="347" spans="1:29" ht="15.75" customHeight="1">
      <c r="A347" s="10" t="s">
        <v>2447</v>
      </c>
      <c r="B347" s="10" t="s">
        <v>1469</v>
      </c>
      <c r="C347" s="60" t="s">
        <v>1470</v>
      </c>
      <c r="D347" s="12"/>
      <c r="E347" s="13" t="s">
        <v>93</v>
      </c>
      <c r="F347" s="6" t="s">
        <v>1380</v>
      </c>
      <c r="G347" s="6" t="str">
        <f ca="1">IFERROR(__xludf.DUMMYFUNCTION("CONCATENATE(B347,(VLOOKUP(C347,CATALOGOS!$F$2:$H$6,3,FALSE)),(VLOOKUP(V347,CATALOGOS!$J$2:$K$18,2,FALSE)),""-"",TO_TEXT(A347))"),"P12SI-0346")</f>
        <v>P12SI-0346</v>
      </c>
      <c r="H347" s="6" t="str">
        <f ca="1">IFERROR(__xludf.DUMMYFUNCTION("CONCATENATE($B347,(VLOOKUP($C347,CATALOGOS!$F$2:$H$6,3,FALSE)),(VLOOKUP($V347,CATALOGOS!$J$2:$K$18,2,FALSE)),""-"",TO_TEXT($A347))"),"P12SI-0346")</f>
        <v>P12SI-0346</v>
      </c>
      <c r="I347" s="6"/>
      <c r="J347" s="6" t="s">
        <v>2448</v>
      </c>
      <c r="K347" s="62"/>
      <c r="L347" s="6" t="s">
        <v>2449</v>
      </c>
      <c r="M347" s="6" t="s">
        <v>2450</v>
      </c>
      <c r="N347" s="17"/>
      <c r="O347" s="17"/>
      <c r="P347" s="17" t="str">
        <f t="shared" si="2"/>
        <v>OK</v>
      </c>
      <c r="Q347" s="17" t="s">
        <v>35</v>
      </c>
      <c r="R347" s="49" t="s">
        <v>35</v>
      </c>
      <c r="S347" s="17" t="s">
        <v>36</v>
      </c>
      <c r="T347" s="17" t="s">
        <v>2451</v>
      </c>
      <c r="U347" s="173" t="s">
        <v>38</v>
      </c>
      <c r="V347" s="181" t="s">
        <v>1483</v>
      </c>
      <c r="W347" s="20" t="s">
        <v>1484</v>
      </c>
      <c r="X347" s="20" t="s">
        <v>1484</v>
      </c>
      <c r="Y347" s="20"/>
      <c r="Z347" s="7"/>
      <c r="AA347" s="7"/>
      <c r="AB347" s="23"/>
      <c r="AC347" s="26"/>
    </row>
    <row r="348" spans="1:29" ht="15.75" customHeight="1">
      <c r="A348" s="10" t="s">
        <v>2452</v>
      </c>
      <c r="B348" s="10" t="s">
        <v>1469</v>
      </c>
      <c r="C348" s="60" t="s">
        <v>1470</v>
      </c>
      <c r="D348" s="12"/>
      <c r="E348" s="13" t="s">
        <v>116</v>
      </c>
      <c r="F348" s="43" t="s">
        <v>8437</v>
      </c>
      <c r="G348" s="6" t="str">
        <f ca="1">IFERROR(__xludf.DUMMYFUNCTION("CONCATENATE(B348,(VLOOKUP(C348,CATALOGOS!$F$2:$H$6,3,FALSE)),(VLOOKUP(V348,CATALOGOS!$J$2:$K$18,2,FALSE)),""-"",TO_TEXT(A348))"),"P12SI-0347")</f>
        <v>P12SI-0347</v>
      </c>
      <c r="H348" s="6" t="str">
        <f ca="1">IFERROR(__xludf.DUMMYFUNCTION("CONCATENATE($B348,(VLOOKUP($C348,CATALOGOS!$F$2:$H$6,3,FALSE)),(VLOOKUP($V348,CATALOGOS!$J$2:$K$18,2,FALSE)),""-"",TO_TEXT($A348))"),"P12SI-0347")</f>
        <v>P12SI-0347</v>
      </c>
      <c r="I348" s="6"/>
      <c r="J348" s="6" t="s">
        <v>2454</v>
      </c>
      <c r="K348" s="6" t="s">
        <v>2455</v>
      </c>
      <c r="L348" s="6" t="s">
        <v>2456</v>
      </c>
      <c r="M348" s="6" t="s">
        <v>2457</v>
      </c>
      <c r="N348" s="17"/>
      <c r="O348" s="17"/>
      <c r="P348" s="17" t="str">
        <f t="shared" si="2"/>
        <v>OK</v>
      </c>
      <c r="Q348" s="17" t="s">
        <v>35</v>
      </c>
      <c r="R348" s="49" t="s">
        <v>35</v>
      </c>
      <c r="S348" s="17" t="s">
        <v>36</v>
      </c>
      <c r="T348" s="17" t="s">
        <v>2458</v>
      </c>
      <c r="U348" s="173" t="s">
        <v>38</v>
      </c>
      <c r="V348" s="181" t="s">
        <v>1483</v>
      </c>
      <c r="W348" s="20" t="s">
        <v>1484</v>
      </c>
      <c r="X348" s="20" t="s">
        <v>1484</v>
      </c>
      <c r="Y348" s="20"/>
      <c r="Z348" s="7"/>
      <c r="AA348" s="7"/>
      <c r="AB348" s="23"/>
      <c r="AC348" s="26"/>
    </row>
    <row r="349" spans="1:29" ht="15.75" customHeight="1">
      <c r="A349" s="10" t="s">
        <v>2459</v>
      </c>
      <c r="B349" s="10" t="s">
        <v>1469</v>
      </c>
      <c r="C349" s="60" t="s">
        <v>1470</v>
      </c>
      <c r="D349" s="12"/>
      <c r="E349" s="13" t="s">
        <v>93</v>
      </c>
      <c r="F349" s="6" t="s">
        <v>2460</v>
      </c>
      <c r="G349" s="6" t="str">
        <f ca="1">IFERROR(__xludf.DUMMYFUNCTION("CONCATENATE(B349,(VLOOKUP(C349,CATALOGOS!$F$2:$H$6,3,FALSE)),(VLOOKUP(V349,CATALOGOS!$J$2:$K$18,2,FALSE)),""-"",TO_TEXT(A349))"),"P12SI-0348")</f>
        <v>P12SI-0348</v>
      </c>
      <c r="H349" s="6" t="str">
        <f ca="1">IFERROR(__xludf.DUMMYFUNCTION("CONCATENATE($B349,(VLOOKUP($C349,CATALOGOS!$F$2:$H$6,3,FALSE)),(VLOOKUP($V349,CATALOGOS!$J$2:$K$18,2,FALSE)),""-"",TO_TEXT($A349))"),"P12SI-0348")</f>
        <v>P12SI-0348</v>
      </c>
      <c r="I349" s="6"/>
      <c r="J349" s="6" t="s">
        <v>2461</v>
      </c>
      <c r="K349" s="6" t="s">
        <v>2462</v>
      </c>
      <c r="L349" s="6" t="s">
        <v>2463</v>
      </c>
      <c r="M349" s="6" t="s">
        <v>2464</v>
      </c>
      <c r="N349" s="17"/>
      <c r="O349" s="17"/>
      <c r="P349" s="17" t="str">
        <f t="shared" si="2"/>
        <v>OK</v>
      </c>
      <c r="Q349" s="17" t="s">
        <v>35</v>
      </c>
      <c r="R349" s="6" t="s">
        <v>35</v>
      </c>
      <c r="S349" s="17" t="s">
        <v>36</v>
      </c>
      <c r="T349" s="17" t="s">
        <v>2465</v>
      </c>
      <c r="U349" s="173" t="s">
        <v>38</v>
      </c>
      <c r="V349" s="181" t="s">
        <v>1483</v>
      </c>
      <c r="W349" s="20" t="s">
        <v>1484</v>
      </c>
      <c r="X349" s="20" t="s">
        <v>1484</v>
      </c>
      <c r="Y349" s="20"/>
      <c r="Z349" s="7"/>
      <c r="AA349" s="7"/>
      <c r="AB349" s="23"/>
      <c r="AC349" s="26"/>
    </row>
    <row r="350" spans="1:29" ht="15.75" customHeight="1">
      <c r="A350" s="10" t="s">
        <v>2467</v>
      </c>
      <c r="B350" s="10" t="s">
        <v>1469</v>
      </c>
      <c r="C350" s="60" t="s">
        <v>1470</v>
      </c>
      <c r="D350" s="12"/>
      <c r="E350" s="13" t="s">
        <v>378</v>
      </c>
      <c r="F350" s="6" t="s">
        <v>878</v>
      </c>
      <c r="G350" s="6" t="str">
        <f ca="1">IFERROR(__xludf.DUMMYFUNCTION("CONCATENATE(B350,(VLOOKUP(C350,CATALOGOS!$F$2:$H$6,3,FALSE)),(VLOOKUP(V350,CATALOGOS!$J$2:$K$18,2,FALSE)),""-"",TO_TEXT(A350))"),"P12SI-0349")</f>
        <v>P12SI-0349</v>
      </c>
      <c r="H350" s="6" t="str">
        <f ca="1">IFERROR(__xludf.DUMMYFUNCTION("CONCATENATE($B350,(VLOOKUP($C350,CATALOGOS!$F$2:$H$6,3,FALSE)),(VLOOKUP($V350,CATALOGOS!$J$2:$K$18,2,FALSE)),""-"",TO_TEXT($A350))"),"P12SI-0349")</f>
        <v>P12SI-0349</v>
      </c>
      <c r="I350" s="6"/>
      <c r="J350" s="6" t="s">
        <v>2468</v>
      </c>
      <c r="K350" s="6" t="s">
        <v>2469</v>
      </c>
      <c r="L350" s="6" t="s">
        <v>2470</v>
      </c>
      <c r="M350" s="6" t="s">
        <v>2471</v>
      </c>
      <c r="N350" s="17"/>
      <c r="O350" s="17"/>
      <c r="P350" s="17" t="str">
        <f t="shared" si="2"/>
        <v>OK</v>
      </c>
      <c r="Q350" s="17" t="s">
        <v>35</v>
      </c>
      <c r="R350" s="6" t="s">
        <v>35</v>
      </c>
      <c r="S350" s="17" t="s">
        <v>36</v>
      </c>
      <c r="T350" s="17" t="s">
        <v>2472</v>
      </c>
      <c r="U350" s="173" t="s">
        <v>38</v>
      </c>
      <c r="V350" s="181" t="s">
        <v>1483</v>
      </c>
      <c r="W350" s="20" t="s">
        <v>1484</v>
      </c>
      <c r="X350" s="20" t="s">
        <v>1484</v>
      </c>
      <c r="Y350" s="20"/>
      <c r="Z350" s="6"/>
      <c r="AA350" s="6"/>
      <c r="AB350" s="23"/>
      <c r="AC350" s="24"/>
    </row>
    <row r="351" spans="1:29" ht="15.75" customHeight="1">
      <c r="A351" s="10" t="s">
        <v>2473</v>
      </c>
      <c r="B351" s="10" t="s">
        <v>1469</v>
      </c>
      <c r="C351" s="60" t="s">
        <v>1470</v>
      </c>
      <c r="D351" s="12"/>
      <c r="E351" s="13" t="s">
        <v>378</v>
      </c>
      <c r="F351" s="6" t="s">
        <v>878</v>
      </c>
      <c r="G351" s="6" t="str">
        <f ca="1">IFERROR(__xludf.DUMMYFUNCTION("CONCATENATE(B351,(VLOOKUP(C351,CATALOGOS!$F$2:$H$6,3,FALSE)),(VLOOKUP(V351,CATALOGOS!$J$2:$K$18,2,FALSE)),""-"",TO_TEXT(A351))"),"P12SI-0350")</f>
        <v>P12SI-0350</v>
      </c>
      <c r="H351" s="6" t="str">
        <f ca="1">IFERROR(__xludf.DUMMYFUNCTION("CONCATENATE($B351,(VLOOKUP($C351,CATALOGOS!$F$2:$H$6,3,FALSE)),(VLOOKUP($V351,CATALOGOS!$J$2:$K$18,2,FALSE)),""-"",TO_TEXT($A351))"),"P12SI-0350")</f>
        <v>P12SI-0350</v>
      </c>
      <c r="I351" s="6"/>
      <c r="J351" s="6" t="s">
        <v>2474</v>
      </c>
      <c r="K351" s="6" t="s">
        <v>2475</v>
      </c>
      <c r="L351" s="6" t="s">
        <v>2476</v>
      </c>
      <c r="M351" s="6" t="s">
        <v>2477</v>
      </c>
      <c r="N351" s="17"/>
      <c r="O351" s="17"/>
      <c r="P351" s="17" t="str">
        <f t="shared" si="2"/>
        <v>OK</v>
      </c>
      <c r="Q351" s="17" t="s">
        <v>35</v>
      </c>
      <c r="R351" s="6" t="s">
        <v>35</v>
      </c>
      <c r="S351" s="17" t="s">
        <v>36</v>
      </c>
      <c r="T351" s="17" t="s">
        <v>2478</v>
      </c>
      <c r="U351" s="173" t="s">
        <v>38</v>
      </c>
      <c r="V351" s="181" t="s">
        <v>1483</v>
      </c>
      <c r="W351" s="20" t="s">
        <v>1484</v>
      </c>
      <c r="X351" s="20" t="s">
        <v>1484</v>
      </c>
      <c r="Y351" s="20"/>
      <c r="Z351" s="7"/>
      <c r="AA351" s="7"/>
      <c r="AB351" s="23"/>
      <c r="AC351" s="26"/>
    </row>
    <row r="352" spans="1:29" ht="15.75" customHeight="1">
      <c r="A352" s="10" t="s">
        <v>2479</v>
      </c>
      <c r="B352" s="10" t="s">
        <v>1469</v>
      </c>
      <c r="C352" s="60" t="s">
        <v>1470</v>
      </c>
      <c r="D352" s="12"/>
      <c r="E352" s="13" t="s">
        <v>378</v>
      </c>
      <c r="F352" s="43" t="s">
        <v>2480</v>
      </c>
      <c r="G352" s="6" t="str">
        <f ca="1">IFERROR(__xludf.DUMMYFUNCTION("CONCATENATE(B352,(VLOOKUP(C352,CATALOGOS!$F$2:$H$6,3,FALSE)),(VLOOKUP(V352,CATALOGOS!$J$2:$K$18,2,FALSE)),""-"",TO_TEXT(A352))"),"P12SI-0351")</f>
        <v>P12SI-0351</v>
      </c>
      <c r="H352" s="6" t="str">
        <f ca="1">IFERROR(__xludf.DUMMYFUNCTION("CONCATENATE($B352,(VLOOKUP($C352,CATALOGOS!$F$2:$H$6,3,FALSE)),(VLOOKUP($V352,CATALOGOS!$J$2:$K$18,2,FALSE)),""-"",TO_TEXT($A352))"),"P12SI-0351")</f>
        <v>P12SI-0351</v>
      </c>
      <c r="I352" s="6"/>
      <c r="J352" s="6" t="s">
        <v>2481</v>
      </c>
      <c r="K352" s="6" t="s">
        <v>2482</v>
      </c>
      <c r="L352" s="6" t="s">
        <v>2483</v>
      </c>
      <c r="M352" s="6" t="s">
        <v>2484</v>
      </c>
      <c r="N352" s="17"/>
      <c r="O352" s="17"/>
      <c r="P352" s="17" t="str">
        <f t="shared" si="2"/>
        <v>OK</v>
      </c>
      <c r="Q352" s="17" t="s">
        <v>35</v>
      </c>
      <c r="R352" s="6" t="s">
        <v>35</v>
      </c>
      <c r="S352" s="17" t="s">
        <v>36</v>
      </c>
      <c r="T352" s="17" t="s">
        <v>2485</v>
      </c>
      <c r="U352" s="173" t="s">
        <v>38</v>
      </c>
      <c r="V352" s="181" t="s">
        <v>1483</v>
      </c>
      <c r="W352" s="20" t="s">
        <v>1484</v>
      </c>
      <c r="X352" s="20" t="s">
        <v>1484</v>
      </c>
      <c r="Y352" s="20"/>
      <c r="Z352" s="6"/>
      <c r="AA352" s="6"/>
      <c r="AB352" s="23"/>
      <c r="AC352" s="24"/>
    </row>
    <row r="353" spans="1:29" ht="15.75" customHeight="1">
      <c r="A353" s="10" t="s">
        <v>2486</v>
      </c>
      <c r="B353" s="10" t="s">
        <v>1469</v>
      </c>
      <c r="C353" s="60" t="s">
        <v>1470</v>
      </c>
      <c r="D353" s="12"/>
      <c r="E353" s="13" t="s">
        <v>184</v>
      </c>
      <c r="F353" s="43" t="s">
        <v>2487</v>
      </c>
      <c r="G353" s="6" t="str">
        <f ca="1">IFERROR(__xludf.DUMMYFUNCTION("CONCATENATE(B353,(VLOOKUP(C353,CATALOGOS!$F$2:$H$6,3,FALSE)),(VLOOKUP(V353,CATALOGOS!$J$2:$K$18,2,FALSE)),""-"",TO_TEXT(A353))"),"P12SI-0352")</f>
        <v>P12SI-0352</v>
      </c>
      <c r="H353" s="6" t="str">
        <f ca="1">IFERROR(__xludf.DUMMYFUNCTION("CONCATENATE($B353,(VLOOKUP($C353,CATALOGOS!$F$2:$H$6,3,FALSE)),(VLOOKUP($V353,CATALOGOS!$J$2:$K$18,2,FALSE)),""-"",TO_TEXT($A353))"),"P12SI-0352")</f>
        <v>P12SI-0352</v>
      </c>
      <c r="I353" s="6"/>
      <c r="J353" s="6" t="s">
        <v>2488</v>
      </c>
      <c r="K353" s="6" t="s">
        <v>2489</v>
      </c>
      <c r="L353" s="6" t="s">
        <v>2490</v>
      </c>
      <c r="M353" s="6" t="s">
        <v>2491</v>
      </c>
      <c r="N353" s="17"/>
      <c r="O353" s="17"/>
      <c r="P353" s="17" t="str">
        <f t="shared" si="2"/>
        <v>OK</v>
      </c>
      <c r="Q353" s="17" t="s">
        <v>35</v>
      </c>
      <c r="R353" s="6" t="s">
        <v>35</v>
      </c>
      <c r="S353" s="17" t="s">
        <v>36</v>
      </c>
      <c r="T353" s="17" t="s">
        <v>2492</v>
      </c>
      <c r="U353" s="173" t="s">
        <v>549</v>
      </c>
      <c r="V353" s="181" t="s">
        <v>1483</v>
      </c>
      <c r="W353" s="20" t="s">
        <v>1484</v>
      </c>
      <c r="X353" s="20" t="s">
        <v>1484</v>
      </c>
      <c r="Y353" s="20"/>
      <c r="Z353" s="6"/>
      <c r="AA353" s="6" t="s">
        <v>440</v>
      </c>
      <c r="AB353" s="23"/>
      <c r="AC353" s="24"/>
    </row>
    <row r="354" spans="1:29" ht="15.75" customHeight="1">
      <c r="A354" s="10" t="s">
        <v>2493</v>
      </c>
      <c r="B354" s="10" t="s">
        <v>1469</v>
      </c>
      <c r="C354" s="60" t="s">
        <v>1470</v>
      </c>
      <c r="D354" s="12"/>
      <c r="E354" s="13" t="s">
        <v>199</v>
      </c>
      <c r="F354" s="6" t="s">
        <v>677</v>
      </c>
      <c r="G354" s="6" t="str">
        <f ca="1">IFERROR(__xludf.DUMMYFUNCTION("CONCATENATE(B354,(VLOOKUP(C354,CATALOGOS!$F$2:$H$6,3,FALSE)),(VLOOKUP(V354,CATALOGOS!$J$2:$K$18,2,FALSE)),""-"",TO_TEXT(A354))"),"P12SI-0353")</f>
        <v>P12SI-0353</v>
      </c>
      <c r="H354" s="6" t="str">
        <f ca="1">IFERROR(__xludf.DUMMYFUNCTION("CONCATENATE($B354,(VLOOKUP($C354,CATALOGOS!$F$2:$H$6,3,FALSE)),(VLOOKUP($V354,CATALOGOS!$J$2:$K$18,2,FALSE)),""-"",TO_TEXT($A354))"),"P12SI-0353")</f>
        <v>P12SI-0353</v>
      </c>
      <c r="I354" s="6"/>
      <c r="J354" s="6" t="s">
        <v>2494</v>
      </c>
      <c r="K354" s="6" t="s">
        <v>2495</v>
      </c>
      <c r="L354" s="6" t="s">
        <v>2496</v>
      </c>
      <c r="M354" s="6" t="s">
        <v>141</v>
      </c>
      <c r="N354" s="17"/>
      <c r="O354" s="17"/>
      <c r="P354" s="17" t="str">
        <f t="shared" si="2"/>
        <v>REPETIDO</v>
      </c>
      <c r="Q354" s="17" t="s">
        <v>682</v>
      </c>
      <c r="R354" s="32" t="s">
        <v>2497</v>
      </c>
      <c r="S354" s="17" t="s">
        <v>2498</v>
      </c>
      <c r="T354" s="17" t="s">
        <v>2499</v>
      </c>
      <c r="U354" s="173" t="s">
        <v>38</v>
      </c>
      <c r="V354" s="181" t="s">
        <v>1483</v>
      </c>
      <c r="W354" s="20" t="s">
        <v>1484</v>
      </c>
      <c r="X354" s="20" t="s">
        <v>1484</v>
      </c>
      <c r="Y354" s="20"/>
      <c r="Z354" s="36"/>
      <c r="AA354" s="36"/>
      <c r="AB354" s="23"/>
      <c r="AC354" s="33"/>
    </row>
    <row r="355" spans="1:29" ht="15.75" customHeight="1">
      <c r="A355" s="10" t="s">
        <v>2501</v>
      </c>
      <c r="B355" s="10" t="s">
        <v>1469</v>
      </c>
      <c r="C355" s="60" t="s">
        <v>1470</v>
      </c>
      <c r="D355" s="12"/>
      <c r="E355" s="13" t="s">
        <v>2502</v>
      </c>
      <c r="F355" s="43" t="s">
        <v>2503</v>
      </c>
      <c r="G355" s="6" t="str">
        <f ca="1">IFERROR(__xludf.DUMMYFUNCTION("CONCATENATE(B355,(VLOOKUP(C355,CATALOGOS!$F$2:$H$6,3,FALSE)),(VLOOKUP(V355,CATALOGOS!$J$2:$K$18,2,FALSE)),""-"",TO_TEXT(A355))"),"P12SI-0354")</f>
        <v>P12SI-0354</v>
      </c>
      <c r="H355" s="6" t="str">
        <f ca="1">IFERROR(__xludf.DUMMYFUNCTION("CONCATENATE($B355,(VLOOKUP($C355,CATALOGOS!$F$2:$H$6,3,FALSE)),(VLOOKUP($V355,CATALOGOS!$J$2:$K$18,2,FALSE)),""-"",TO_TEXT($A355))"),"P12SI-0354")</f>
        <v>P12SI-0354</v>
      </c>
      <c r="I355" s="6"/>
      <c r="J355" s="6" t="s">
        <v>2504</v>
      </c>
      <c r="K355" s="6" t="s">
        <v>2505</v>
      </c>
      <c r="L355" s="6" t="s">
        <v>2506</v>
      </c>
      <c r="M355" s="6" t="s">
        <v>2507</v>
      </c>
      <c r="N355" s="17"/>
      <c r="O355" s="17"/>
      <c r="P355" s="17" t="str">
        <f t="shared" si="2"/>
        <v>OK</v>
      </c>
      <c r="Q355" s="17" t="s">
        <v>2508</v>
      </c>
      <c r="R355" s="6" t="s">
        <v>2509</v>
      </c>
      <c r="S355" s="17" t="s">
        <v>2510</v>
      </c>
      <c r="T355" s="17" t="s">
        <v>85</v>
      </c>
      <c r="U355" s="178" t="s">
        <v>2511</v>
      </c>
      <c r="V355" s="181" t="s">
        <v>1483</v>
      </c>
      <c r="W355" s="20" t="s">
        <v>1484</v>
      </c>
      <c r="X355" s="20" t="s">
        <v>1484</v>
      </c>
      <c r="Y355" s="20"/>
      <c r="Z355" s="6"/>
      <c r="AA355" s="6"/>
      <c r="AB355" s="23"/>
      <c r="AC355" s="33"/>
    </row>
    <row r="356" spans="1:29" ht="15.75" customHeight="1">
      <c r="A356" s="10" t="s">
        <v>2512</v>
      </c>
      <c r="B356" s="10" t="s">
        <v>1469</v>
      </c>
      <c r="C356" s="60" t="s">
        <v>1470</v>
      </c>
      <c r="D356" s="12"/>
      <c r="E356" s="13" t="s">
        <v>151</v>
      </c>
      <c r="F356" s="6" t="s">
        <v>152</v>
      </c>
      <c r="G356" s="6" t="str">
        <f ca="1">IFERROR(__xludf.DUMMYFUNCTION("CONCATENATE(B356,(VLOOKUP(C356,CATALOGOS!$F$2:$H$6,3,FALSE)),(VLOOKUP(V356,CATALOGOS!$J$2:$K$18,2,FALSE)),""-"",TO_TEXT(A356))"),"P12SI-0355")</f>
        <v>P12SI-0355</v>
      </c>
      <c r="H356" s="6" t="str">
        <f ca="1">IFERROR(__xludf.DUMMYFUNCTION("CONCATENATE($B356,(VLOOKUP($C356,CATALOGOS!$F$2:$H$6,3,FALSE)),(VLOOKUP($V356,CATALOGOS!$J$2:$K$18,2,FALSE)),""-"",TO_TEXT($A356))"),"P12SI-0355")</f>
        <v>P12SI-0355</v>
      </c>
      <c r="I356" s="6"/>
      <c r="J356" s="6" t="s">
        <v>2513</v>
      </c>
      <c r="K356" s="6" t="s">
        <v>2514</v>
      </c>
      <c r="L356" s="6" t="s">
        <v>2515</v>
      </c>
      <c r="M356" s="6" t="s">
        <v>2516</v>
      </c>
      <c r="N356" s="17"/>
      <c r="O356" s="17"/>
      <c r="P356" s="17" t="str">
        <f t="shared" si="2"/>
        <v>OK</v>
      </c>
      <c r="Q356" s="17" t="s">
        <v>297</v>
      </c>
      <c r="R356" s="6" t="s">
        <v>1620</v>
      </c>
      <c r="S356" s="17" t="s">
        <v>2517</v>
      </c>
      <c r="T356" s="17" t="s">
        <v>85</v>
      </c>
      <c r="U356" s="173" t="s">
        <v>38</v>
      </c>
      <c r="V356" s="181" t="s">
        <v>1483</v>
      </c>
      <c r="W356" s="20" t="s">
        <v>1484</v>
      </c>
      <c r="X356" s="20" t="s">
        <v>1484</v>
      </c>
      <c r="Y356" s="20"/>
      <c r="Z356" s="6"/>
      <c r="AA356" s="6"/>
      <c r="AB356" s="23"/>
      <c r="AC356" s="24"/>
    </row>
    <row r="357" spans="1:29" ht="15.75" customHeight="1">
      <c r="A357" s="10" t="s">
        <v>2519</v>
      </c>
      <c r="B357" s="10" t="s">
        <v>1469</v>
      </c>
      <c r="C357" s="60" t="s">
        <v>1470</v>
      </c>
      <c r="D357" s="12"/>
      <c r="E357" s="13" t="s">
        <v>162</v>
      </c>
      <c r="F357" s="43" t="s">
        <v>285</v>
      </c>
      <c r="G357" s="6" t="str">
        <f ca="1">IFERROR(__xludf.DUMMYFUNCTION("CONCATENATE(B357,(VLOOKUP(C357,CATALOGOS!$F$2:$H$6,3,FALSE)),(VLOOKUP(V357,CATALOGOS!$J$2:$K$18,2,FALSE)),""-"",TO_TEXT(A357))"),"P12SI-0356")</f>
        <v>P12SI-0356</v>
      </c>
      <c r="H357" s="6" t="str">
        <f ca="1">IFERROR(__xludf.DUMMYFUNCTION("CONCATENATE($B357,(VLOOKUP($C357,CATALOGOS!$F$2:$H$6,3,FALSE)),(VLOOKUP($V357,CATALOGOS!$J$2:$K$18,2,FALSE)),""-"",TO_TEXT($A357))"),"P12SI-0356")</f>
        <v>P12SI-0356</v>
      </c>
      <c r="I357" s="6"/>
      <c r="J357" s="6" t="s">
        <v>2520</v>
      </c>
      <c r="K357" s="6" t="s">
        <v>2521</v>
      </c>
      <c r="L357" s="6" t="s">
        <v>2522</v>
      </c>
      <c r="M357" s="6" t="s">
        <v>2523</v>
      </c>
      <c r="N357" s="17"/>
      <c r="O357" s="17"/>
      <c r="P357" s="17" t="str">
        <f t="shared" si="2"/>
        <v>OK</v>
      </c>
      <c r="Q357" s="17" t="s">
        <v>168</v>
      </c>
      <c r="R357" s="6" t="s">
        <v>169</v>
      </c>
      <c r="S357" s="17" t="s">
        <v>2524</v>
      </c>
      <c r="T357" s="17" t="s">
        <v>2525</v>
      </c>
      <c r="U357" s="173" t="s">
        <v>38</v>
      </c>
      <c r="V357" s="181" t="s">
        <v>1483</v>
      </c>
      <c r="W357" s="20" t="s">
        <v>1484</v>
      </c>
      <c r="X357" s="20" t="s">
        <v>1484</v>
      </c>
      <c r="Y357" s="20"/>
      <c r="Z357" s="7"/>
      <c r="AA357" s="7"/>
      <c r="AB357" s="23"/>
      <c r="AC357" s="26"/>
    </row>
    <row r="358" spans="1:29" ht="15.75" customHeight="1">
      <c r="A358" s="10" t="s">
        <v>2526</v>
      </c>
      <c r="B358" s="10" t="s">
        <v>1469</v>
      </c>
      <c r="C358" s="60" t="s">
        <v>1470</v>
      </c>
      <c r="D358" s="12"/>
      <c r="E358" s="13" t="s">
        <v>93</v>
      </c>
      <c r="F358" s="6" t="s">
        <v>2527</v>
      </c>
      <c r="G358" s="6" t="str">
        <f ca="1">IFERROR(__xludf.DUMMYFUNCTION("CONCATENATE(B358,(VLOOKUP(C358,CATALOGOS!$F$2:$H$6,3,FALSE)),(VLOOKUP(V358,CATALOGOS!$J$2:$K$18,2,FALSE)),""-"",TO_TEXT(A358))"),"P12SI-0357")</f>
        <v>P12SI-0357</v>
      </c>
      <c r="H358" s="6" t="str">
        <f ca="1">IFERROR(__xludf.DUMMYFUNCTION("CONCATENATE($B358,(VLOOKUP($C358,CATALOGOS!$F$2:$H$6,3,FALSE)),(VLOOKUP($V358,CATALOGOS!$J$2:$K$18,2,FALSE)),""-"",TO_TEXT($A358))"),"P12SI-0357")</f>
        <v>P12SI-0357</v>
      </c>
      <c r="I358" s="6"/>
      <c r="J358" s="6" t="s">
        <v>2528</v>
      </c>
      <c r="K358" s="6" t="s">
        <v>2529</v>
      </c>
      <c r="L358" s="6" t="s">
        <v>2530</v>
      </c>
      <c r="M358" s="6" t="s">
        <v>2531</v>
      </c>
      <c r="N358" s="17"/>
      <c r="O358" s="17"/>
      <c r="P358" s="17" t="str">
        <f t="shared" si="2"/>
        <v>OK</v>
      </c>
      <c r="Q358" s="17" t="s">
        <v>35</v>
      </c>
      <c r="R358" s="6" t="s">
        <v>35</v>
      </c>
      <c r="S358" s="17" t="s">
        <v>36</v>
      </c>
      <c r="T358" s="17" t="s">
        <v>2532</v>
      </c>
      <c r="U358" s="173" t="s">
        <v>38</v>
      </c>
      <c r="V358" s="181" t="s">
        <v>1483</v>
      </c>
      <c r="W358" s="20" t="s">
        <v>2533</v>
      </c>
      <c r="X358" s="20" t="s">
        <v>2533</v>
      </c>
      <c r="Y358" s="20"/>
      <c r="Z358" s="7"/>
      <c r="AA358" s="7"/>
      <c r="AB358" s="23"/>
      <c r="AC358" s="26"/>
    </row>
    <row r="359" spans="1:29" ht="15.75" customHeight="1">
      <c r="A359" s="10" t="s">
        <v>2534</v>
      </c>
      <c r="B359" s="10" t="s">
        <v>1469</v>
      </c>
      <c r="C359" s="60" t="s">
        <v>1470</v>
      </c>
      <c r="D359" s="38"/>
      <c r="E359" s="13" t="s">
        <v>248</v>
      </c>
      <c r="F359" s="6" t="s">
        <v>2535</v>
      </c>
      <c r="G359" s="6" t="str">
        <f ca="1">IFERROR(__xludf.DUMMYFUNCTION("CONCATENATE(B359,(VLOOKUP(C359,CATALOGOS!$F$2:$H$6,3,FALSE)),(VLOOKUP(V359,CATALOGOS!$J$2:$K$18,2,FALSE)),""-"",TO_TEXT(A359))"),"P12SI-0358")</f>
        <v>P12SI-0358</v>
      </c>
      <c r="H359" s="6" t="str">
        <f ca="1">IFERROR(__xludf.DUMMYFUNCTION("CONCATENATE($B359,(VLOOKUP($C359,CATALOGOS!$F$2:$H$6,3,FALSE)),(VLOOKUP($V359,CATALOGOS!$J$2:$K$18,2,FALSE)),""-"",TO_TEXT($A359))"),"P12SI-0358")</f>
        <v>P12SI-0358</v>
      </c>
      <c r="I359" s="6"/>
      <c r="J359" s="6" t="s">
        <v>2536</v>
      </c>
      <c r="K359" s="6" t="s">
        <v>2537</v>
      </c>
      <c r="L359" s="6" t="s">
        <v>2538</v>
      </c>
      <c r="M359" s="6" t="s">
        <v>2539</v>
      </c>
      <c r="N359" s="17"/>
      <c r="O359" s="17"/>
      <c r="P359" s="17" t="str">
        <f t="shared" si="2"/>
        <v>OK</v>
      </c>
      <c r="Q359" s="17" t="s">
        <v>2540</v>
      </c>
      <c r="R359" s="6" t="s">
        <v>2541</v>
      </c>
      <c r="S359" s="46" t="s">
        <v>2542</v>
      </c>
      <c r="T359" s="17" t="s">
        <v>2543</v>
      </c>
      <c r="U359" s="173" t="s">
        <v>38</v>
      </c>
      <c r="V359" s="181" t="s">
        <v>1483</v>
      </c>
      <c r="W359" s="10" t="s">
        <v>2533</v>
      </c>
      <c r="X359" s="10" t="s">
        <v>2533</v>
      </c>
      <c r="Y359" s="10"/>
      <c r="Z359" s="7"/>
      <c r="AA359" s="7"/>
      <c r="AB359" s="26"/>
      <c r="AC359" s="26"/>
    </row>
    <row r="360" spans="1:29" ht="15.75" customHeight="1">
      <c r="A360" s="10" t="s">
        <v>2545</v>
      </c>
      <c r="B360" s="10" t="s">
        <v>1469</v>
      </c>
      <c r="C360" s="60" t="s">
        <v>1470</v>
      </c>
      <c r="D360" s="12"/>
      <c r="E360" s="13" t="s">
        <v>116</v>
      </c>
      <c r="F360" s="43" t="s">
        <v>2546</v>
      </c>
      <c r="G360" s="6" t="str">
        <f ca="1">IFERROR(__xludf.DUMMYFUNCTION("CONCATENATE(B360,(VLOOKUP(C360,CATALOGOS!$F$2:$H$6,3,FALSE)),(VLOOKUP(V360,CATALOGOS!$J$2:$K$18,2,FALSE)),""-"",TO_TEXT(A360))"),"P12SI-0359")</f>
        <v>P12SI-0359</v>
      </c>
      <c r="H360" s="6" t="str">
        <f ca="1">IFERROR(__xludf.DUMMYFUNCTION("CONCATENATE($B360,(VLOOKUP($C360,CATALOGOS!$F$2:$H$6,3,FALSE)),(VLOOKUP($V360,CATALOGOS!$J$2:$K$18,2,FALSE)),""-"",TO_TEXT($A360))"),"P12SI-0359")</f>
        <v>P12SI-0359</v>
      </c>
      <c r="I360" s="6"/>
      <c r="J360" s="6" t="s">
        <v>2547</v>
      </c>
      <c r="K360" s="6" t="s">
        <v>2548</v>
      </c>
      <c r="L360" s="6" t="s">
        <v>2549</v>
      </c>
      <c r="M360" s="6" t="s">
        <v>2550</v>
      </c>
      <c r="N360" s="17"/>
      <c r="O360" s="17"/>
      <c r="P360" s="17" t="str">
        <f t="shared" si="2"/>
        <v>OK</v>
      </c>
      <c r="Q360" s="17" t="s">
        <v>35</v>
      </c>
      <c r="R360" s="49" t="s">
        <v>35</v>
      </c>
      <c r="S360" s="17" t="s">
        <v>36</v>
      </c>
      <c r="T360" s="17" t="s">
        <v>2551</v>
      </c>
      <c r="U360" s="173" t="s">
        <v>38</v>
      </c>
      <c r="V360" s="181" t="s">
        <v>1483</v>
      </c>
      <c r="W360" s="22" t="s">
        <v>2552</v>
      </c>
      <c r="X360" s="22" t="s">
        <v>2552</v>
      </c>
      <c r="Y360" s="22"/>
      <c r="Z360" s="6"/>
      <c r="AA360" s="6"/>
      <c r="AB360" s="23"/>
      <c r="AC360" s="24"/>
    </row>
    <row r="361" spans="1:29" ht="15.75" customHeight="1">
      <c r="A361" s="10" t="s">
        <v>2553</v>
      </c>
      <c r="B361" s="10" t="s">
        <v>1469</v>
      </c>
      <c r="C361" s="60" t="s">
        <v>1470</v>
      </c>
      <c r="D361" s="12"/>
      <c r="E361" s="13" t="s">
        <v>151</v>
      </c>
      <c r="F361" s="6" t="s">
        <v>152</v>
      </c>
      <c r="G361" s="6" t="str">
        <f ca="1">IFERROR(__xludf.DUMMYFUNCTION("CONCATENATE(B361,(VLOOKUP(C361,CATALOGOS!$F$2:$H$6,3,FALSE)),(VLOOKUP(V361,CATALOGOS!$J$2:$K$18,2,FALSE)),""-"",TO_TEXT(A361))"),"P12SI-0360")</f>
        <v>P12SI-0360</v>
      </c>
      <c r="H361" s="6" t="str">
        <f ca="1">IFERROR(__xludf.DUMMYFUNCTION("CONCATENATE($B361,(VLOOKUP($C361,CATALOGOS!$F$2:$H$6,3,FALSE)),(VLOOKUP($V361,CATALOGOS!$J$2:$K$18,2,FALSE)),""-"",TO_TEXT($A361))"),"P12SI-0360")</f>
        <v>P12SI-0360</v>
      </c>
      <c r="I361" s="6"/>
      <c r="J361" s="6" t="s">
        <v>2554</v>
      </c>
      <c r="K361" s="6" t="s">
        <v>2555</v>
      </c>
      <c r="L361" s="6" t="s">
        <v>2556</v>
      </c>
      <c r="M361" s="6" t="s">
        <v>2557</v>
      </c>
      <c r="N361" s="17"/>
      <c r="O361" s="17"/>
      <c r="P361" s="17" t="str">
        <f t="shared" si="2"/>
        <v>OK</v>
      </c>
      <c r="Q361" s="17" t="s">
        <v>205</v>
      </c>
      <c r="R361" s="6" t="s">
        <v>916</v>
      </c>
      <c r="S361" s="17" t="s">
        <v>2558</v>
      </c>
      <c r="T361" s="17" t="s">
        <v>2559</v>
      </c>
      <c r="U361" s="173" t="s">
        <v>38</v>
      </c>
      <c r="V361" s="181" t="s">
        <v>1483</v>
      </c>
      <c r="W361" s="22" t="s">
        <v>2552</v>
      </c>
      <c r="X361" s="22" t="s">
        <v>2552</v>
      </c>
      <c r="Y361" s="22"/>
      <c r="Z361" s="7"/>
      <c r="AA361" s="7"/>
      <c r="AB361" s="23"/>
      <c r="AC361" s="26"/>
    </row>
    <row r="362" spans="1:29" ht="15.75" customHeight="1">
      <c r="A362" s="10" t="s">
        <v>2560</v>
      </c>
      <c r="B362" s="10" t="s">
        <v>1469</v>
      </c>
      <c r="C362" s="60" t="s">
        <v>1470</v>
      </c>
      <c r="D362" s="12"/>
      <c r="E362" s="13" t="s">
        <v>1240</v>
      </c>
      <c r="F362" s="43" t="s">
        <v>278</v>
      </c>
      <c r="G362" s="6" t="str">
        <f ca="1">IFERROR(__xludf.DUMMYFUNCTION("CONCATENATE(B362,(VLOOKUP(C362,CATALOGOS!$F$2:$H$6,3,FALSE)),(VLOOKUP(V362,CATALOGOS!$J$2:$K$18,2,FALSE)),""-"",TO_TEXT(A362))"),"P12SI-0361")</f>
        <v>P12SI-0361</v>
      </c>
      <c r="H362" s="6" t="str">
        <f ca="1">IFERROR(__xludf.DUMMYFUNCTION("CONCATENATE($B362,(VLOOKUP($C362,CATALOGOS!$F$2:$H$6,3,FALSE)),(VLOOKUP($V362,CATALOGOS!$J$2:$K$18,2,FALSE)),""-"",TO_TEXT($A362))"),"P12SI-0361")</f>
        <v>P12SI-0361</v>
      </c>
      <c r="I362" s="6"/>
      <c r="J362" s="6" t="s">
        <v>2561</v>
      </c>
      <c r="K362" s="6" t="s">
        <v>2562</v>
      </c>
      <c r="L362" s="6" t="s">
        <v>2563</v>
      </c>
      <c r="M362" s="6" t="s">
        <v>2564</v>
      </c>
      <c r="N362" s="17"/>
      <c r="O362" s="17"/>
      <c r="P362" s="17" t="str">
        <f t="shared" si="2"/>
        <v>OK</v>
      </c>
      <c r="Q362" s="17" t="s">
        <v>35</v>
      </c>
      <c r="R362" s="6" t="s">
        <v>35</v>
      </c>
      <c r="S362" s="17" t="s">
        <v>36</v>
      </c>
      <c r="T362" s="17" t="s">
        <v>2565</v>
      </c>
      <c r="U362" s="173" t="s">
        <v>38</v>
      </c>
      <c r="V362" s="181" t="s">
        <v>1483</v>
      </c>
      <c r="W362" s="22" t="s">
        <v>2552</v>
      </c>
      <c r="X362" s="22" t="s">
        <v>2552</v>
      </c>
      <c r="Y362" s="22"/>
      <c r="Z362" s="6"/>
      <c r="AA362" s="6"/>
      <c r="AB362" s="23"/>
      <c r="AC362" s="24"/>
    </row>
    <row r="363" spans="1:29" ht="15.75" customHeight="1">
      <c r="A363" s="10" t="s">
        <v>2566</v>
      </c>
      <c r="B363" s="10" t="s">
        <v>1469</v>
      </c>
      <c r="C363" s="60" t="s">
        <v>1470</v>
      </c>
      <c r="D363" s="12"/>
      <c r="E363" s="13" t="s">
        <v>248</v>
      </c>
      <c r="F363" s="43" t="s">
        <v>248</v>
      </c>
      <c r="G363" s="6" t="str">
        <f ca="1">IFERROR(__xludf.DUMMYFUNCTION("CONCATENATE(B363,(VLOOKUP(C363,CATALOGOS!$F$2:$H$6,3,FALSE)),(VLOOKUP(V363,CATALOGOS!$J$2:$K$18,2,FALSE)),""-"",TO_TEXT(A363))"),"P12SI-0362")</f>
        <v>P12SI-0362</v>
      </c>
      <c r="H363" s="6" t="str">
        <f ca="1">IFERROR(__xludf.DUMMYFUNCTION("CONCATENATE($B363,(VLOOKUP($C363,CATALOGOS!$F$2:$H$6,3,FALSE)),(VLOOKUP($V363,CATALOGOS!$J$2:$K$18,2,FALSE)),""-"",TO_TEXT($A363))"),"P12SI-0362")</f>
        <v>P12SI-0362</v>
      </c>
      <c r="I363" s="6"/>
      <c r="J363" s="6" t="s">
        <v>2567</v>
      </c>
      <c r="K363" s="6" t="s">
        <v>2568</v>
      </c>
      <c r="L363" s="6" t="s">
        <v>2569</v>
      </c>
      <c r="M363" s="6" t="s">
        <v>2570</v>
      </c>
      <c r="N363" s="17"/>
      <c r="O363" s="17"/>
      <c r="P363" s="17" t="str">
        <f t="shared" si="2"/>
        <v>OK</v>
      </c>
      <c r="Q363" s="17" t="s">
        <v>250</v>
      </c>
      <c r="R363" s="6" t="s">
        <v>35</v>
      </c>
      <c r="S363" s="17" t="s">
        <v>2571</v>
      </c>
      <c r="T363" s="17" t="s">
        <v>2572</v>
      </c>
      <c r="U363" s="173" t="s">
        <v>38</v>
      </c>
      <c r="V363" s="181" t="s">
        <v>1483</v>
      </c>
      <c r="W363" s="22" t="s">
        <v>2552</v>
      </c>
      <c r="X363" s="22" t="s">
        <v>2552</v>
      </c>
      <c r="Y363" s="22"/>
      <c r="Z363" s="7"/>
      <c r="AA363" s="7"/>
      <c r="AB363" s="23"/>
      <c r="AC363" s="26"/>
    </row>
    <row r="364" spans="1:29" ht="15.75" customHeight="1">
      <c r="A364" s="10" t="s">
        <v>2573</v>
      </c>
      <c r="B364" s="10" t="s">
        <v>1469</v>
      </c>
      <c r="C364" s="60" t="s">
        <v>1470</v>
      </c>
      <c r="D364" s="12"/>
      <c r="E364" s="13" t="s">
        <v>199</v>
      </c>
      <c r="F364" s="43" t="s">
        <v>1394</v>
      </c>
      <c r="G364" s="6" t="str">
        <f ca="1">IFERROR(__xludf.DUMMYFUNCTION("CONCATENATE(B364,(VLOOKUP(C364,CATALOGOS!$F$2:$H$6,3,FALSE)),(VLOOKUP(V364,CATALOGOS!$J$2:$K$18,2,FALSE)),""-"",TO_TEXT(A364))"),"P12SI-0363")</f>
        <v>P12SI-0363</v>
      </c>
      <c r="H364" s="6" t="str">
        <f ca="1">IFERROR(__xludf.DUMMYFUNCTION("CONCATENATE($B364,(VLOOKUP($C364,CATALOGOS!$F$2:$H$6,3,FALSE)),(VLOOKUP($V364,CATALOGOS!$J$2:$K$18,2,FALSE)),""-"",TO_TEXT($A364))"),"P12SI-0363")</f>
        <v>P12SI-0363</v>
      </c>
      <c r="I364" s="6"/>
      <c r="J364" s="6" t="s">
        <v>2574</v>
      </c>
      <c r="K364" s="6" t="s">
        <v>2575</v>
      </c>
      <c r="L364" s="6" t="s">
        <v>2576</v>
      </c>
      <c r="M364" s="6" t="s">
        <v>2577</v>
      </c>
      <c r="N364" s="17"/>
      <c r="O364" s="17"/>
      <c r="P364" s="17" t="str">
        <f t="shared" si="2"/>
        <v>OK</v>
      </c>
      <c r="Q364" s="17" t="s">
        <v>297</v>
      </c>
      <c r="R364" s="6" t="s">
        <v>2009</v>
      </c>
      <c r="S364" s="17" t="s">
        <v>2578</v>
      </c>
      <c r="T364" s="17" t="s">
        <v>2579</v>
      </c>
      <c r="U364" s="173" t="s">
        <v>38</v>
      </c>
      <c r="V364" s="181" t="s">
        <v>1483</v>
      </c>
      <c r="W364" s="22" t="s">
        <v>2552</v>
      </c>
      <c r="X364" s="22" t="s">
        <v>2552</v>
      </c>
      <c r="Y364" s="22"/>
      <c r="Z364" s="6"/>
      <c r="AA364" s="6"/>
      <c r="AB364" s="23"/>
      <c r="AC364" s="24"/>
    </row>
    <row r="365" spans="1:29" ht="15.75" customHeight="1">
      <c r="A365" s="10" t="s">
        <v>2580</v>
      </c>
      <c r="B365" s="10" t="s">
        <v>1469</v>
      </c>
      <c r="C365" s="60" t="s">
        <v>1470</v>
      </c>
      <c r="D365" s="12"/>
      <c r="E365" s="13" t="s">
        <v>43</v>
      </c>
      <c r="F365" s="6" t="s">
        <v>2581</v>
      </c>
      <c r="G365" s="6" t="str">
        <f ca="1">IFERROR(__xludf.DUMMYFUNCTION("CONCATENATE(B365,(VLOOKUP(C365,CATALOGOS!$F$2:$H$6,3,FALSE)),(VLOOKUP(V365,CATALOGOS!$J$2:$K$18,2,FALSE)),""-"",TO_TEXT(A365))"),"P12SI-0364")</f>
        <v>P12SI-0364</v>
      </c>
      <c r="H365" s="6" t="str">
        <f ca="1">IFERROR(__xludf.DUMMYFUNCTION("CONCATENATE($B365,(VLOOKUP($C365,CATALOGOS!$F$2:$H$6,3,FALSE)),(VLOOKUP($V365,CATALOGOS!$J$2:$K$18,2,FALSE)),""-"",TO_TEXT($A365))"),"P12SI-0364")</f>
        <v>P12SI-0364</v>
      </c>
      <c r="I365" s="6"/>
      <c r="J365" s="6" t="s">
        <v>2582</v>
      </c>
      <c r="K365" s="6" t="s">
        <v>2583</v>
      </c>
      <c r="L365" s="6" t="s">
        <v>2584</v>
      </c>
      <c r="M365" s="6" t="s">
        <v>2585</v>
      </c>
      <c r="N365" s="17"/>
      <c r="O365" s="17"/>
      <c r="P365" s="17" t="str">
        <f t="shared" si="2"/>
        <v>OK</v>
      </c>
      <c r="Q365" s="17" t="s">
        <v>2586</v>
      </c>
      <c r="R365" s="6" t="s">
        <v>2587</v>
      </c>
      <c r="S365" s="17" t="s">
        <v>36</v>
      </c>
      <c r="T365" s="10" t="s">
        <v>2588</v>
      </c>
      <c r="U365" s="173" t="s">
        <v>100</v>
      </c>
      <c r="V365" s="181" t="s">
        <v>1483</v>
      </c>
      <c r="W365" s="22" t="s">
        <v>2552</v>
      </c>
      <c r="X365" s="22" t="s">
        <v>2552</v>
      </c>
      <c r="Y365" s="22"/>
      <c r="Z365" s="7"/>
      <c r="AA365" s="7"/>
      <c r="AB365" s="23"/>
      <c r="AC365" s="26"/>
    </row>
    <row r="366" spans="1:29" ht="15.75" customHeight="1">
      <c r="A366" s="10" t="s">
        <v>2589</v>
      </c>
      <c r="B366" s="10" t="s">
        <v>1469</v>
      </c>
      <c r="C366" s="60" t="s">
        <v>1470</v>
      </c>
      <c r="D366" s="12"/>
      <c r="E366" s="13" t="s">
        <v>184</v>
      </c>
      <c r="F366" s="6" t="s">
        <v>927</v>
      </c>
      <c r="G366" s="6" t="str">
        <f ca="1">IFERROR(__xludf.DUMMYFUNCTION("CONCATENATE(B366,(VLOOKUP(C366,CATALOGOS!$F$2:$H$6,3,FALSE)),(VLOOKUP(V366,CATALOGOS!$J$2:$K$18,2,FALSE)),""-"",TO_TEXT(A366))"),"P12SI-0365")</f>
        <v>P12SI-0365</v>
      </c>
      <c r="H366" s="6" t="str">
        <f ca="1">IFERROR(__xludf.DUMMYFUNCTION("CONCATENATE($B366,(VLOOKUP($C366,CATALOGOS!$F$2:$H$6,3,FALSE)),(VLOOKUP($V366,CATALOGOS!$J$2:$K$18,2,FALSE)),""-"",TO_TEXT($A366))"),"P12SI-0365")</f>
        <v>P12SI-0365</v>
      </c>
      <c r="I366" s="6"/>
      <c r="J366" s="6" t="s">
        <v>2590</v>
      </c>
      <c r="K366" s="6" t="s">
        <v>2591</v>
      </c>
      <c r="L366" s="6" t="s">
        <v>2592</v>
      </c>
      <c r="M366" s="6" t="s">
        <v>2593</v>
      </c>
      <c r="N366" s="17"/>
      <c r="O366" s="17"/>
      <c r="P366" s="17" t="str">
        <f t="shared" si="2"/>
        <v>OK</v>
      </c>
      <c r="Q366" s="17" t="s">
        <v>35</v>
      </c>
      <c r="R366" s="6" t="s">
        <v>35</v>
      </c>
      <c r="S366" s="17" t="s">
        <v>36</v>
      </c>
      <c r="T366" s="17" t="s">
        <v>2594</v>
      </c>
      <c r="U366" s="173" t="s">
        <v>38</v>
      </c>
      <c r="V366" s="181" t="s">
        <v>1483</v>
      </c>
      <c r="W366" s="22" t="s">
        <v>2552</v>
      </c>
      <c r="X366" s="22" t="s">
        <v>2552</v>
      </c>
      <c r="Y366" s="22"/>
      <c r="Z366" s="7"/>
      <c r="AA366" s="7"/>
      <c r="AB366" s="23"/>
      <c r="AC366" s="26"/>
    </row>
    <row r="367" spans="1:29" ht="15.75" customHeight="1">
      <c r="A367" s="10" t="s">
        <v>2595</v>
      </c>
      <c r="B367" s="10" t="s">
        <v>1469</v>
      </c>
      <c r="C367" s="60" t="s">
        <v>1470</v>
      </c>
      <c r="D367" s="38"/>
      <c r="E367" s="13" t="s">
        <v>2311</v>
      </c>
      <c r="F367" s="6" t="s">
        <v>2596</v>
      </c>
      <c r="G367" s="6" t="str">
        <f ca="1">IFERROR(__xludf.DUMMYFUNCTION("CONCATENATE(B367,(VLOOKUP(C367,CATALOGOS!$F$2:$H$6,3,FALSE)),(VLOOKUP(V367,CATALOGOS!$J$2:$K$18,2,FALSE)),""-"",TO_TEXT(A367))"),"P12SI-0366")</f>
        <v>P12SI-0366</v>
      </c>
      <c r="H367" s="6" t="str">
        <f ca="1">IFERROR(__xludf.DUMMYFUNCTION("CONCATENATE($B367,(VLOOKUP($C367,CATALOGOS!$F$2:$H$6,3,FALSE)),(VLOOKUP($V367,CATALOGOS!$J$2:$K$18,2,FALSE)),""-"",TO_TEXT($A367))"),"P12SI-0366")</f>
        <v>P12SI-0366</v>
      </c>
      <c r="I367" s="6"/>
      <c r="J367" s="6" t="s">
        <v>2597</v>
      </c>
      <c r="K367" s="6" t="s">
        <v>2598</v>
      </c>
      <c r="L367" s="36"/>
      <c r="M367" s="6" t="s">
        <v>141</v>
      </c>
      <c r="N367" s="17"/>
      <c r="O367" s="17"/>
      <c r="P367" s="17" t="str">
        <f t="shared" si="2"/>
        <v>REPETIDO</v>
      </c>
      <c r="Q367" s="17" t="s">
        <v>2599</v>
      </c>
      <c r="R367" s="6" t="s">
        <v>2600</v>
      </c>
      <c r="S367" s="6" t="s">
        <v>2601</v>
      </c>
      <c r="T367" s="32" t="s">
        <v>85</v>
      </c>
      <c r="U367" s="173" t="s">
        <v>38</v>
      </c>
      <c r="V367" s="181" t="s">
        <v>1483</v>
      </c>
      <c r="W367" s="32" t="s">
        <v>2552</v>
      </c>
      <c r="X367" s="32" t="s">
        <v>2552</v>
      </c>
      <c r="Y367" s="32"/>
      <c r="Z367" s="6"/>
      <c r="AA367" s="6"/>
      <c r="AB367" s="26"/>
      <c r="AC367" s="33"/>
    </row>
    <row r="368" spans="1:29" ht="15.75" customHeight="1">
      <c r="A368" s="10" t="s">
        <v>2602</v>
      </c>
      <c r="B368" s="10" t="s">
        <v>1469</v>
      </c>
      <c r="C368" s="60" t="s">
        <v>1470</v>
      </c>
      <c r="D368" s="12"/>
      <c r="E368" s="13" t="s">
        <v>151</v>
      </c>
      <c r="F368" s="6" t="s">
        <v>151</v>
      </c>
      <c r="G368" s="6" t="str">
        <f ca="1">IFERROR(__xludf.DUMMYFUNCTION("CONCATENATE(B368,(VLOOKUP(C368,CATALOGOS!$F$2:$H$6,3,FALSE)),(VLOOKUP(V368,CATALOGOS!$J$2:$K$18,2,FALSE)),""-"",TO_TEXT(A368))"),"P12SI-0367")</f>
        <v>P12SI-0367</v>
      </c>
      <c r="H368" s="6" t="str">
        <f ca="1">IFERROR(__xludf.DUMMYFUNCTION("CONCATENATE($B368,(VLOOKUP($C368,CATALOGOS!$F$2:$H$6,3,FALSE)),(VLOOKUP($V368,CATALOGOS!$J$2:$K$18,2,FALSE)),""-"",TO_TEXT($A368))"),"P12SI-0367")</f>
        <v>P12SI-0367</v>
      </c>
      <c r="I368" s="6"/>
      <c r="J368" s="6" t="s">
        <v>2603</v>
      </c>
      <c r="K368" s="6" t="s">
        <v>2604</v>
      </c>
      <c r="L368" s="6" t="s">
        <v>2605</v>
      </c>
      <c r="M368" s="6" t="s">
        <v>2606</v>
      </c>
      <c r="N368" s="17"/>
      <c r="O368" s="17"/>
      <c r="P368" s="17" t="str">
        <f t="shared" si="2"/>
        <v>OK</v>
      </c>
      <c r="Q368" s="17" t="s">
        <v>297</v>
      </c>
      <c r="R368" s="6" t="s">
        <v>1407</v>
      </c>
      <c r="S368" s="17" t="s">
        <v>2607</v>
      </c>
      <c r="T368" s="10" t="s">
        <v>2608</v>
      </c>
      <c r="U368" s="173" t="s">
        <v>38</v>
      </c>
      <c r="V368" s="181" t="s">
        <v>1483</v>
      </c>
      <c r="W368" s="22" t="s">
        <v>2500</v>
      </c>
      <c r="X368" s="22" t="s">
        <v>2500</v>
      </c>
      <c r="Y368" s="22"/>
      <c r="Z368" s="7"/>
      <c r="AA368" s="7"/>
      <c r="AB368" s="23"/>
      <c r="AC368" s="26"/>
    </row>
    <row r="369" spans="1:29" ht="15.75" customHeight="1">
      <c r="A369" s="10" t="s">
        <v>2609</v>
      </c>
      <c r="B369" s="10" t="s">
        <v>1469</v>
      </c>
      <c r="C369" s="60" t="s">
        <v>1470</v>
      </c>
      <c r="D369" s="12"/>
      <c r="E369" s="13" t="s">
        <v>151</v>
      </c>
      <c r="F369" s="6" t="s">
        <v>151</v>
      </c>
      <c r="G369" s="6" t="str">
        <f ca="1">IFERROR(__xludf.DUMMYFUNCTION("CONCATENATE(B369,(VLOOKUP(C369,CATALOGOS!$F$2:$H$6,3,FALSE)),(VLOOKUP(V369,CATALOGOS!$J$2:$K$18,2,FALSE)),""-"",TO_TEXT(A369))"),"P12SI-0368")</f>
        <v>P12SI-0368</v>
      </c>
      <c r="H369" s="6" t="str">
        <f ca="1">IFERROR(__xludf.DUMMYFUNCTION("CONCATENATE($B369,(VLOOKUP($C369,CATALOGOS!$F$2:$H$6,3,FALSE)),(VLOOKUP($V369,CATALOGOS!$J$2:$K$18,2,FALSE)),""-"",TO_TEXT($A369))"),"P12SI-0368")</f>
        <v>P12SI-0368</v>
      </c>
      <c r="I369" s="6"/>
      <c r="J369" s="6" t="s">
        <v>2610</v>
      </c>
      <c r="K369" s="6" t="s">
        <v>2611</v>
      </c>
      <c r="L369" s="6" t="s">
        <v>2612</v>
      </c>
      <c r="M369" s="6" t="s">
        <v>2613</v>
      </c>
      <c r="N369" s="17"/>
      <c r="O369" s="17"/>
      <c r="P369" s="17" t="str">
        <f t="shared" si="2"/>
        <v>OK</v>
      </c>
      <c r="Q369" s="17" t="s">
        <v>297</v>
      </c>
      <c r="R369" s="6" t="s">
        <v>1407</v>
      </c>
      <c r="S369" s="17" t="s">
        <v>2614</v>
      </c>
      <c r="T369" s="10" t="s">
        <v>2615</v>
      </c>
      <c r="U369" s="173" t="s">
        <v>38</v>
      </c>
      <c r="V369" s="181" t="s">
        <v>1483</v>
      </c>
      <c r="W369" s="22" t="s">
        <v>2500</v>
      </c>
      <c r="X369" s="22" t="s">
        <v>2500</v>
      </c>
      <c r="Y369" s="22"/>
      <c r="Z369" s="6"/>
      <c r="AA369" s="6"/>
      <c r="AB369" s="23"/>
      <c r="AC369" s="24"/>
    </row>
    <row r="370" spans="1:29" ht="15.75" customHeight="1">
      <c r="A370" s="10" t="s">
        <v>2616</v>
      </c>
      <c r="B370" s="10" t="s">
        <v>1469</v>
      </c>
      <c r="C370" s="60" t="s">
        <v>1470</v>
      </c>
      <c r="D370" s="12"/>
      <c r="E370" s="13" t="s">
        <v>199</v>
      </c>
      <c r="F370" s="43" t="s">
        <v>1394</v>
      </c>
      <c r="G370" s="6" t="str">
        <f ca="1">IFERROR(__xludf.DUMMYFUNCTION("CONCATENATE(B370,(VLOOKUP(C370,CATALOGOS!$F$2:$H$6,3,FALSE)),(VLOOKUP(V370,CATALOGOS!$J$2:$K$18,2,FALSE)),""-"",TO_TEXT(A370))"),"P12SI-0369")</f>
        <v>P12SI-0369</v>
      </c>
      <c r="H370" s="6" t="str">
        <f ca="1">IFERROR(__xludf.DUMMYFUNCTION("CONCATENATE($B370,(VLOOKUP($C370,CATALOGOS!$F$2:$H$6,3,FALSE)),(VLOOKUP($V370,CATALOGOS!$J$2:$K$18,2,FALSE)),""-"",TO_TEXT($A370))"),"P12SI-0369")</f>
        <v>P12SI-0369</v>
      </c>
      <c r="I370" s="6"/>
      <c r="J370" s="6" t="s">
        <v>2617</v>
      </c>
      <c r="K370" s="6" t="s">
        <v>2618</v>
      </c>
      <c r="L370" s="6" t="s">
        <v>2619</v>
      </c>
      <c r="M370" s="6" t="s">
        <v>141</v>
      </c>
      <c r="N370" s="17"/>
      <c r="O370" s="17"/>
      <c r="P370" s="17" t="str">
        <f t="shared" si="2"/>
        <v>REPETIDO</v>
      </c>
      <c r="Q370" s="17" t="s">
        <v>297</v>
      </c>
      <c r="R370" s="32" t="s">
        <v>2620</v>
      </c>
      <c r="S370" s="17" t="s">
        <v>2621</v>
      </c>
      <c r="T370" s="17" t="s">
        <v>2622</v>
      </c>
      <c r="U370" s="173" t="s">
        <v>38</v>
      </c>
      <c r="V370" s="181" t="s">
        <v>1483</v>
      </c>
      <c r="W370" s="22" t="s">
        <v>2500</v>
      </c>
      <c r="X370" s="22" t="s">
        <v>2500</v>
      </c>
      <c r="Y370" s="22"/>
      <c r="Z370" s="7"/>
      <c r="AA370" s="7"/>
      <c r="AB370" s="23"/>
      <c r="AC370" s="26"/>
    </row>
    <row r="371" spans="1:29" ht="15.75" customHeight="1">
      <c r="A371" s="10" t="s">
        <v>2623</v>
      </c>
      <c r="B371" s="10" t="s">
        <v>1469</v>
      </c>
      <c r="C371" s="60" t="s">
        <v>1470</v>
      </c>
      <c r="D371" s="12"/>
      <c r="E371" s="13" t="s">
        <v>2311</v>
      </c>
      <c r="F371" s="6" t="s">
        <v>2624</v>
      </c>
      <c r="G371" s="6" t="str">
        <f ca="1">IFERROR(__xludf.DUMMYFUNCTION("CONCATENATE(B371,(VLOOKUP(C371,CATALOGOS!$F$2:$H$6,3,FALSE)),(VLOOKUP(V371,CATALOGOS!$J$2:$K$18,2,FALSE)),""-"",TO_TEXT(A371))"),"P12SI-0370")</f>
        <v>P12SI-0370</v>
      </c>
      <c r="H371" s="6" t="str">
        <f ca="1">IFERROR(__xludf.DUMMYFUNCTION("CONCATENATE($B371,(VLOOKUP($C371,CATALOGOS!$F$2:$H$6,3,FALSE)),(VLOOKUP($V371,CATALOGOS!$J$2:$K$18,2,FALSE)),""-"",TO_TEXT($A371))"),"P12SI-0370")</f>
        <v>P12SI-0370</v>
      </c>
      <c r="I371" s="6"/>
      <c r="J371" s="6" t="s">
        <v>2625</v>
      </c>
      <c r="K371" s="6" t="s">
        <v>2626</v>
      </c>
      <c r="L371" s="6" t="s">
        <v>2627</v>
      </c>
      <c r="M371" s="6" t="s">
        <v>2628</v>
      </c>
      <c r="N371" s="17"/>
      <c r="O371" s="17"/>
      <c r="P371" s="17" t="str">
        <f t="shared" si="2"/>
        <v>OK</v>
      </c>
      <c r="Q371" s="17" t="s">
        <v>2629</v>
      </c>
      <c r="R371" s="6" t="s">
        <v>2630</v>
      </c>
      <c r="S371" s="17" t="s">
        <v>2631</v>
      </c>
      <c r="T371" s="10" t="s">
        <v>2632</v>
      </c>
      <c r="U371" s="173" t="s">
        <v>38</v>
      </c>
      <c r="V371" s="181" t="s">
        <v>1483</v>
      </c>
      <c r="W371" s="22" t="s">
        <v>2500</v>
      </c>
      <c r="X371" s="22" t="s">
        <v>2500</v>
      </c>
      <c r="Y371" s="22"/>
      <c r="Z371" s="7"/>
      <c r="AA371" s="7"/>
      <c r="AB371" s="23"/>
      <c r="AC371" s="26"/>
    </row>
    <row r="372" spans="1:29" ht="15.75" customHeight="1">
      <c r="A372" s="10" t="s">
        <v>2633</v>
      </c>
      <c r="B372" s="10" t="s">
        <v>1469</v>
      </c>
      <c r="C372" s="60" t="s">
        <v>1470</v>
      </c>
      <c r="D372" s="12"/>
      <c r="E372" s="13" t="s">
        <v>136</v>
      </c>
      <c r="F372" s="43" t="s">
        <v>136</v>
      </c>
      <c r="G372" s="6" t="str">
        <f ca="1">IFERROR(__xludf.DUMMYFUNCTION("CONCATENATE(B372,(VLOOKUP(C372,CATALOGOS!$F$2:$H$6,3,FALSE)),(VLOOKUP(V372,CATALOGOS!$J$2:$K$18,2,FALSE)),""-"",TO_TEXT(A372))"),"P12SI-0371")</f>
        <v>P12SI-0371</v>
      </c>
      <c r="H372" s="6" t="str">
        <f ca="1">IFERROR(__xludf.DUMMYFUNCTION("CONCATENATE($B372,(VLOOKUP($C372,CATALOGOS!$F$2:$H$6,3,FALSE)),(VLOOKUP($V372,CATALOGOS!$J$2:$K$18,2,FALSE)),""-"",TO_TEXT($A372))"),"P12SI-0371")</f>
        <v>P12SI-0371</v>
      </c>
      <c r="I372" s="6"/>
      <c r="J372" s="6" t="s">
        <v>2634</v>
      </c>
      <c r="K372" s="6" t="s">
        <v>2635</v>
      </c>
      <c r="L372" s="6" t="s">
        <v>2636</v>
      </c>
      <c r="M372" s="6" t="s">
        <v>2637</v>
      </c>
      <c r="N372" s="17"/>
      <c r="O372" s="17"/>
      <c r="P372" s="17" t="str">
        <f t="shared" si="2"/>
        <v>OK</v>
      </c>
      <c r="Q372" s="17" t="s">
        <v>143</v>
      </c>
      <c r="R372" s="6" t="s">
        <v>1330</v>
      </c>
      <c r="S372" s="17" t="s">
        <v>2638</v>
      </c>
      <c r="T372" s="10" t="s">
        <v>2639</v>
      </c>
      <c r="U372" s="178" t="s">
        <v>142</v>
      </c>
      <c r="V372" s="181" t="s">
        <v>1483</v>
      </c>
      <c r="W372" s="22" t="s">
        <v>2500</v>
      </c>
      <c r="X372" s="22" t="s">
        <v>2500</v>
      </c>
      <c r="Y372" s="22"/>
      <c r="Z372" s="7"/>
      <c r="AA372" s="7"/>
      <c r="AB372" s="23"/>
      <c r="AC372" s="26"/>
    </row>
    <row r="373" spans="1:29" ht="15.75" customHeight="1">
      <c r="A373" s="10" t="s">
        <v>2640</v>
      </c>
      <c r="B373" s="10" t="s">
        <v>1469</v>
      </c>
      <c r="C373" s="60" t="s">
        <v>1470</v>
      </c>
      <c r="D373" s="12"/>
      <c r="E373" s="13" t="s">
        <v>43</v>
      </c>
      <c r="F373" s="6" t="s">
        <v>2641</v>
      </c>
      <c r="G373" s="6" t="str">
        <f ca="1">IFERROR(__xludf.DUMMYFUNCTION("CONCATENATE(B373,(VLOOKUP(C373,CATALOGOS!$F$2:$H$6,3,FALSE)),(VLOOKUP(V373,CATALOGOS!$J$2:$K$18,2,FALSE)),""-"",TO_TEXT(A373))"),"P12SI-0372")</f>
        <v>P12SI-0372</v>
      </c>
      <c r="H373" s="6" t="str">
        <f ca="1">IFERROR(__xludf.DUMMYFUNCTION("CONCATENATE($B373,(VLOOKUP($C373,CATALOGOS!$F$2:$H$6,3,FALSE)),(VLOOKUP($V373,CATALOGOS!$J$2:$K$18,2,FALSE)),""-"",TO_TEXT($A373))"),"P12SI-0372")</f>
        <v>P12SI-0372</v>
      </c>
      <c r="I373" s="6"/>
      <c r="J373" s="6" t="s">
        <v>2642</v>
      </c>
      <c r="K373" s="6" t="s">
        <v>2643</v>
      </c>
      <c r="L373" s="6" t="s">
        <v>2644</v>
      </c>
      <c r="M373" s="6" t="s">
        <v>2645</v>
      </c>
      <c r="N373" s="17"/>
      <c r="O373" s="17"/>
      <c r="P373" s="17" t="str">
        <f t="shared" si="2"/>
        <v>OK</v>
      </c>
      <c r="Q373" s="17" t="s">
        <v>406</v>
      </c>
      <c r="R373" s="6" t="s">
        <v>1271</v>
      </c>
      <c r="S373" s="17" t="s">
        <v>2646</v>
      </c>
      <c r="T373" s="17" t="s">
        <v>2647</v>
      </c>
      <c r="U373" s="173" t="s">
        <v>38</v>
      </c>
      <c r="V373" s="181" t="s">
        <v>1483</v>
      </c>
      <c r="W373" s="22" t="s">
        <v>2500</v>
      </c>
      <c r="X373" s="22" t="s">
        <v>2500</v>
      </c>
      <c r="Y373" s="22"/>
      <c r="Z373" s="6"/>
      <c r="AA373" s="6"/>
      <c r="AB373" s="23"/>
      <c r="AC373" s="24"/>
    </row>
    <row r="374" spans="1:29" ht="15.75" customHeight="1">
      <c r="A374" s="10" t="s">
        <v>2648</v>
      </c>
      <c r="B374" s="10" t="s">
        <v>1469</v>
      </c>
      <c r="C374" s="60" t="s">
        <v>1470</v>
      </c>
      <c r="D374" s="12"/>
      <c r="E374" s="13" t="s">
        <v>248</v>
      </c>
      <c r="F374" s="6" t="s">
        <v>248</v>
      </c>
      <c r="G374" s="6" t="str">
        <f ca="1">IFERROR(__xludf.DUMMYFUNCTION("CONCATENATE(B374,(VLOOKUP(C374,CATALOGOS!$F$2:$H$6,3,FALSE)),(VLOOKUP(V374,CATALOGOS!$J$2:$K$18,2,FALSE)),""-"",TO_TEXT(A374))"),"P12SI-0373")</f>
        <v>P12SI-0373</v>
      </c>
      <c r="H374" s="6" t="str">
        <f ca="1">IFERROR(__xludf.DUMMYFUNCTION("CONCATENATE($B374,(VLOOKUP($C374,CATALOGOS!$F$2:$H$6,3,FALSE)),(VLOOKUP($V374,CATALOGOS!$J$2:$K$18,2,FALSE)),""-"",TO_TEXT($A374))"),"P12SI-0373")</f>
        <v>P12SI-0373</v>
      </c>
      <c r="I374" s="6"/>
      <c r="J374" s="6" t="s">
        <v>2649</v>
      </c>
      <c r="K374" s="6" t="s">
        <v>2650</v>
      </c>
      <c r="L374" s="6" t="s">
        <v>2651</v>
      </c>
      <c r="M374" s="6" t="s">
        <v>2652</v>
      </c>
      <c r="N374" s="17"/>
      <c r="O374" s="17"/>
      <c r="P374" s="17" t="str">
        <f t="shared" si="2"/>
        <v>OK</v>
      </c>
      <c r="Q374" s="17" t="s">
        <v>303</v>
      </c>
      <c r="R374" s="6" t="s">
        <v>304</v>
      </c>
      <c r="S374" s="17" t="s">
        <v>2653</v>
      </c>
      <c r="T374" s="10" t="s">
        <v>2654</v>
      </c>
      <c r="U374" s="173" t="s">
        <v>38</v>
      </c>
      <c r="V374" s="181" t="s">
        <v>1483</v>
      </c>
      <c r="W374" s="22" t="s">
        <v>2500</v>
      </c>
      <c r="X374" s="22" t="s">
        <v>2500</v>
      </c>
      <c r="Y374" s="22"/>
      <c r="Z374" s="6"/>
      <c r="AA374" s="6"/>
      <c r="AB374" s="23"/>
      <c r="AC374" s="24"/>
    </row>
    <row r="375" spans="1:29" ht="15.75" customHeight="1">
      <c r="A375" s="10" t="s">
        <v>2655</v>
      </c>
      <c r="B375" s="10" t="s">
        <v>1469</v>
      </c>
      <c r="C375" s="60" t="s">
        <v>1470</v>
      </c>
      <c r="D375" s="12"/>
      <c r="E375" s="13" t="s">
        <v>184</v>
      </c>
      <c r="F375" s="6" t="s">
        <v>927</v>
      </c>
      <c r="G375" s="6" t="str">
        <f ca="1">IFERROR(__xludf.DUMMYFUNCTION("CONCATENATE(B375,(VLOOKUP(C375,CATALOGOS!$F$2:$H$6,3,FALSE)),(VLOOKUP(V375,CATALOGOS!$J$2:$K$18,2,FALSE)),""-"",TO_TEXT(A375))"),"P12SI-0374")</f>
        <v>P12SI-0374</v>
      </c>
      <c r="H375" s="6" t="str">
        <f ca="1">IFERROR(__xludf.DUMMYFUNCTION("CONCATENATE($B375,(VLOOKUP($C375,CATALOGOS!$F$2:$H$6,3,FALSE)),(VLOOKUP($V375,CATALOGOS!$J$2:$K$18,2,FALSE)),""-"",TO_TEXT($A375))"),"P12SI-0374")</f>
        <v>P12SI-0374</v>
      </c>
      <c r="I375" s="6"/>
      <c r="J375" s="6" t="s">
        <v>2656</v>
      </c>
      <c r="K375" s="6" t="s">
        <v>2657</v>
      </c>
      <c r="L375" s="6" t="s">
        <v>2658</v>
      </c>
      <c r="M375" s="6" t="s">
        <v>2659</v>
      </c>
      <c r="N375" s="17"/>
      <c r="O375" s="17"/>
      <c r="P375" s="17" t="str">
        <f t="shared" si="2"/>
        <v>OK</v>
      </c>
      <c r="Q375" s="17" t="s">
        <v>35</v>
      </c>
      <c r="R375" s="6" t="s">
        <v>35</v>
      </c>
      <c r="S375" s="17" t="s">
        <v>36</v>
      </c>
      <c r="T375" s="17" t="s">
        <v>2660</v>
      </c>
      <c r="U375" s="173" t="s">
        <v>38</v>
      </c>
      <c r="V375" s="181" t="s">
        <v>1483</v>
      </c>
      <c r="W375" s="22" t="s">
        <v>2500</v>
      </c>
      <c r="X375" s="22" t="s">
        <v>2500</v>
      </c>
      <c r="Y375" s="22"/>
      <c r="Z375" s="6"/>
      <c r="AA375" s="6"/>
      <c r="AB375" s="23"/>
      <c r="AC375" s="24"/>
    </row>
    <row r="376" spans="1:29" ht="15.75" customHeight="1">
      <c r="A376" s="10" t="s">
        <v>2661</v>
      </c>
      <c r="B376" s="10" t="s">
        <v>1469</v>
      </c>
      <c r="C376" s="60" t="s">
        <v>1470</v>
      </c>
      <c r="D376" s="38"/>
      <c r="E376" s="13" t="s">
        <v>116</v>
      </c>
      <c r="F376" s="6" t="s">
        <v>2662</v>
      </c>
      <c r="G376" s="6" t="str">
        <f ca="1">IFERROR(__xludf.DUMMYFUNCTION("CONCATENATE(B376,(VLOOKUP(C376,CATALOGOS!$F$2:$H$6,3,FALSE)),(VLOOKUP(V376,CATALOGOS!$J$2:$K$18,2,FALSE)),""-"",TO_TEXT(A376))"),"P12SI-0375")</f>
        <v>P12SI-0375</v>
      </c>
      <c r="H376" s="6" t="str">
        <f ca="1">IFERROR(__xludf.DUMMYFUNCTION("CONCATENATE($B376,(VLOOKUP($C376,CATALOGOS!$F$2:$H$6,3,FALSE)),(VLOOKUP($V376,CATALOGOS!$J$2:$K$18,2,FALSE)),""-"",TO_TEXT($A376))"),"P12SI-0375")</f>
        <v>P12SI-0375</v>
      </c>
      <c r="I376" s="6"/>
      <c r="J376" s="6" t="s">
        <v>2663</v>
      </c>
      <c r="K376" s="6" t="s">
        <v>2664</v>
      </c>
      <c r="L376" s="6" t="s">
        <v>2665</v>
      </c>
      <c r="M376" s="6" t="s">
        <v>2666</v>
      </c>
      <c r="N376" s="17"/>
      <c r="O376" s="17"/>
      <c r="P376" s="17" t="str">
        <f t="shared" si="2"/>
        <v>OK</v>
      </c>
      <c r="Q376" s="17" t="s">
        <v>35</v>
      </c>
      <c r="R376" s="6" t="s">
        <v>35</v>
      </c>
      <c r="S376" s="46" t="s">
        <v>36</v>
      </c>
      <c r="T376" s="17" t="s">
        <v>2667</v>
      </c>
      <c r="U376" s="173" t="s">
        <v>38</v>
      </c>
      <c r="V376" s="181" t="s">
        <v>1483</v>
      </c>
      <c r="W376" s="32" t="s">
        <v>2500</v>
      </c>
      <c r="X376" s="32" t="s">
        <v>2500</v>
      </c>
      <c r="Y376" s="32"/>
      <c r="Z376" s="7"/>
      <c r="AA376" s="7"/>
      <c r="AB376" s="26"/>
      <c r="AC376" s="26"/>
    </row>
    <row r="377" spans="1:29" ht="15.75" customHeight="1">
      <c r="A377" s="10" t="s">
        <v>2668</v>
      </c>
      <c r="B377" s="10" t="s">
        <v>1469</v>
      </c>
      <c r="C377" s="60" t="s">
        <v>1470</v>
      </c>
      <c r="D377" s="12"/>
      <c r="E377" s="13" t="s">
        <v>43</v>
      </c>
      <c r="F377" s="43" t="s">
        <v>2669</v>
      </c>
      <c r="G377" s="6" t="str">
        <f ca="1">IFERROR(__xludf.DUMMYFUNCTION("CONCATENATE(B377,(VLOOKUP(C377,CATALOGOS!$F$2:$H$6,3,FALSE)),(VLOOKUP(V377,CATALOGOS!$J$2:$K$18,2,FALSE)),""-"",TO_TEXT(A377))"),"P12SI-0376")</f>
        <v>P12SI-0376</v>
      </c>
      <c r="H377" s="6" t="str">
        <f ca="1">IFERROR(__xludf.DUMMYFUNCTION("CONCATENATE($B377,(VLOOKUP($C377,CATALOGOS!$F$2:$H$6,3,FALSE)),(VLOOKUP($V377,CATALOGOS!$J$2:$K$18,2,FALSE)),""-"",TO_TEXT($A377))"),"P12SI-0376")</f>
        <v>P12SI-0376</v>
      </c>
      <c r="I377" s="6"/>
      <c r="J377" s="6" t="s">
        <v>2670</v>
      </c>
      <c r="K377" s="6" t="s">
        <v>2671</v>
      </c>
      <c r="L377" s="6" t="s">
        <v>2672</v>
      </c>
      <c r="M377" s="6" t="s">
        <v>2673</v>
      </c>
      <c r="N377" s="17"/>
      <c r="O377" s="17"/>
      <c r="P377" s="17" t="str">
        <f t="shared" si="2"/>
        <v>OK</v>
      </c>
      <c r="Q377" s="17" t="s">
        <v>406</v>
      </c>
      <c r="R377" s="6" t="s">
        <v>2674</v>
      </c>
      <c r="S377" s="17" t="s">
        <v>36</v>
      </c>
      <c r="T377" s="17" t="s">
        <v>2675</v>
      </c>
      <c r="U377" s="173" t="s">
        <v>38</v>
      </c>
      <c r="V377" s="181" t="s">
        <v>1483</v>
      </c>
      <c r="W377" s="20" t="s">
        <v>1484</v>
      </c>
      <c r="X377" s="20" t="s">
        <v>1484</v>
      </c>
      <c r="Y377" s="20"/>
      <c r="Z377" s="7"/>
      <c r="AA377" s="7"/>
      <c r="AB377" s="23"/>
      <c r="AC377" s="26"/>
    </row>
    <row r="378" spans="1:29" ht="15.75" customHeight="1">
      <c r="A378" s="10" t="s">
        <v>2676</v>
      </c>
      <c r="B378" s="10" t="s">
        <v>1469</v>
      </c>
      <c r="C378" s="60" t="s">
        <v>1470</v>
      </c>
      <c r="D378" s="12"/>
      <c r="E378" s="13" t="s">
        <v>184</v>
      </c>
      <c r="F378" s="43" t="s">
        <v>2677</v>
      </c>
      <c r="G378" s="6" t="str">
        <f ca="1">IFERROR(__xludf.DUMMYFUNCTION("CONCATENATE(B378,(VLOOKUP(C378,CATALOGOS!$F$2:$H$6,3,FALSE)),(VLOOKUP(V378,CATALOGOS!$J$2:$K$18,2,FALSE)),""-"",TO_TEXT(A378))"),"P12SI-0377")</f>
        <v>P12SI-0377</v>
      </c>
      <c r="H378" s="6" t="str">
        <f ca="1">IFERROR(__xludf.DUMMYFUNCTION("CONCATENATE($B378,(VLOOKUP($C378,CATALOGOS!$F$2:$H$6,3,FALSE)),(VLOOKUP($V378,CATALOGOS!$J$2:$K$18,2,FALSE)),""-"",TO_TEXT($A378))"),"P12SI-0377")</f>
        <v>P12SI-0377</v>
      </c>
      <c r="I378" s="6"/>
      <c r="J378" s="6" t="s">
        <v>2678</v>
      </c>
      <c r="K378" s="6" t="s">
        <v>2679</v>
      </c>
      <c r="L378" s="51" t="s">
        <v>2680</v>
      </c>
      <c r="M378" s="6" t="s">
        <v>2681</v>
      </c>
      <c r="N378" s="17"/>
      <c r="O378" s="17"/>
      <c r="P378" s="17" t="str">
        <f t="shared" si="2"/>
        <v>OK</v>
      </c>
      <c r="Q378" s="17" t="s">
        <v>35</v>
      </c>
      <c r="R378" s="6" t="s">
        <v>35</v>
      </c>
      <c r="S378" s="17" t="s">
        <v>36</v>
      </c>
      <c r="T378" s="17" t="s">
        <v>2682</v>
      </c>
      <c r="U378" s="173" t="s">
        <v>549</v>
      </c>
      <c r="V378" s="181" t="s">
        <v>1483</v>
      </c>
      <c r="W378" s="20" t="s">
        <v>1484</v>
      </c>
      <c r="X378" s="20" t="s">
        <v>1484</v>
      </c>
      <c r="Y378" s="20"/>
      <c r="Z378" s="6"/>
      <c r="AA378" s="6" t="s">
        <v>440</v>
      </c>
      <c r="AB378" s="23"/>
      <c r="AC378" s="24"/>
    </row>
    <row r="379" spans="1:29" ht="15.75" customHeight="1">
      <c r="A379" s="10" t="s">
        <v>2683</v>
      </c>
      <c r="B379" s="10" t="s">
        <v>1469</v>
      </c>
      <c r="C379" s="60" t="s">
        <v>1470</v>
      </c>
      <c r="D379" s="12"/>
      <c r="E379" s="13" t="s">
        <v>2300</v>
      </c>
      <c r="F379" s="6" t="s">
        <v>2300</v>
      </c>
      <c r="G379" s="6" t="str">
        <f ca="1">IFERROR(__xludf.DUMMYFUNCTION("CONCATENATE(B379,(VLOOKUP(C379,CATALOGOS!$F$2:$H$6,3,FALSE)),(VLOOKUP(V379,CATALOGOS!$J$2:$K$18,2,FALSE)),""-"",TO_TEXT(A379))"),"P12SI-0378")</f>
        <v>P12SI-0378</v>
      </c>
      <c r="H379" s="6" t="str">
        <f ca="1">IFERROR(__xludf.DUMMYFUNCTION("CONCATENATE($B379,(VLOOKUP($C379,CATALOGOS!$F$2:$H$6,3,FALSE)),(VLOOKUP($V379,CATALOGOS!$J$2:$K$18,2,FALSE)),""-"",TO_TEXT($A379))"),"P12SI-0378")</f>
        <v>P12SI-0378</v>
      </c>
      <c r="I379" s="6"/>
      <c r="J379" s="6" t="s">
        <v>2684</v>
      </c>
      <c r="K379" s="6" t="s">
        <v>2685</v>
      </c>
      <c r="L379" s="36"/>
      <c r="M379" s="6" t="s">
        <v>141</v>
      </c>
      <c r="N379" s="17"/>
      <c r="O379" s="17"/>
      <c r="P379" s="17" t="str">
        <f t="shared" si="2"/>
        <v>REPETIDO</v>
      </c>
      <c r="Q379" s="17" t="s">
        <v>2599</v>
      </c>
      <c r="R379" s="6" t="s">
        <v>2686</v>
      </c>
      <c r="S379" s="6">
        <v>2159987001653</v>
      </c>
      <c r="T379" s="10" t="s">
        <v>85</v>
      </c>
      <c r="U379" s="173" t="s">
        <v>38</v>
      </c>
      <c r="V379" s="181" t="s">
        <v>1483</v>
      </c>
      <c r="W379" s="20" t="s">
        <v>1484</v>
      </c>
      <c r="X379" s="20" t="s">
        <v>1484</v>
      </c>
      <c r="Y379" s="20"/>
      <c r="Z379" s="6"/>
      <c r="AA379" s="6"/>
      <c r="AB379" s="23"/>
      <c r="AC379" s="24"/>
    </row>
    <row r="380" spans="1:29" ht="15.75" customHeight="1">
      <c r="A380" s="10" t="s">
        <v>2687</v>
      </c>
      <c r="B380" s="10" t="s">
        <v>1469</v>
      </c>
      <c r="C380" s="60" t="s">
        <v>1470</v>
      </c>
      <c r="D380" s="12"/>
      <c r="E380" s="13" t="s">
        <v>2351</v>
      </c>
      <c r="F380" s="43" t="s">
        <v>2688</v>
      </c>
      <c r="G380" s="6" t="str">
        <f ca="1">IFERROR(__xludf.DUMMYFUNCTION("CONCATENATE(B380,(VLOOKUP(C380,CATALOGOS!$F$2:$H$6,3,FALSE)),(VLOOKUP(V380,CATALOGOS!$J$2:$K$18,2,FALSE)),""-"",TO_TEXT(A380))"),"P12SI-0379")</f>
        <v>P12SI-0379</v>
      </c>
      <c r="H380" s="6" t="str">
        <f ca="1">IFERROR(__xludf.DUMMYFUNCTION("CONCATENATE($B380,(VLOOKUP($C380,CATALOGOS!$F$2:$H$6,3,FALSE)),(VLOOKUP($V380,CATALOGOS!$J$2:$K$18,2,FALSE)),""-"",TO_TEXT($A380))"),"P12SI-0379")</f>
        <v>P12SI-0379</v>
      </c>
      <c r="I380" s="6"/>
      <c r="J380" s="6" t="s">
        <v>2689</v>
      </c>
      <c r="K380" s="6" t="s">
        <v>2690</v>
      </c>
      <c r="L380" s="6" t="s">
        <v>2691</v>
      </c>
      <c r="M380" s="6" t="s">
        <v>2692</v>
      </c>
      <c r="N380" s="17"/>
      <c r="O380" s="17"/>
      <c r="P380" s="17" t="str">
        <f t="shared" si="2"/>
        <v>OK</v>
      </c>
      <c r="Q380" s="17" t="s">
        <v>2357</v>
      </c>
      <c r="R380" s="6" t="s">
        <v>2693</v>
      </c>
      <c r="S380" s="17" t="s">
        <v>2694</v>
      </c>
      <c r="T380" s="10" t="s">
        <v>2695</v>
      </c>
      <c r="U380" s="173" t="s">
        <v>38</v>
      </c>
      <c r="V380" s="183" t="s">
        <v>1483</v>
      </c>
      <c r="W380" s="20" t="s">
        <v>1484</v>
      </c>
      <c r="X380" s="20" t="s">
        <v>1484</v>
      </c>
      <c r="Y380" s="20"/>
      <c r="Z380" s="6"/>
      <c r="AA380" s="6"/>
      <c r="AB380" s="23"/>
      <c r="AC380" s="24"/>
    </row>
    <row r="381" spans="1:29" ht="15.75" customHeight="1">
      <c r="A381" s="10" t="s">
        <v>2696</v>
      </c>
      <c r="B381" s="10" t="s">
        <v>1469</v>
      </c>
      <c r="C381" s="60" t="s">
        <v>1470</v>
      </c>
      <c r="D381" s="12"/>
      <c r="E381" s="13" t="s">
        <v>2311</v>
      </c>
      <c r="F381" s="6" t="s">
        <v>2697</v>
      </c>
      <c r="G381" s="6" t="str">
        <f ca="1">IFERROR(__xludf.DUMMYFUNCTION("CONCATENATE(B381,(VLOOKUP(C381,CATALOGOS!$F$2:$H$6,3,FALSE)),(VLOOKUP(V381,CATALOGOS!$J$2:$K$18,2,FALSE)),""-"",TO_TEXT(A381))"),"P12SI-0380")</f>
        <v>P12SI-0380</v>
      </c>
      <c r="H381" s="6" t="str">
        <f ca="1">IFERROR(__xludf.DUMMYFUNCTION("CONCATENATE($B381,(VLOOKUP($C381,CATALOGOS!$F$2:$H$6,3,FALSE)),(VLOOKUP($V381,CATALOGOS!$J$2:$K$18,2,FALSE)),""-"",TO_TEXT($A381))"),"P12SI-0380")</f>
        <v>P12SI-0380</v>
      </c>
      <c r="I381" s="6"/>
      <c r="J381" s="6" t="s">
        <v>2698</v>
      </c>
      <c r="K381" s="6" t="s">
        <v>2699</v>
      </c>
      <c r="L381" s="36"/>
      <c r="M381" s="6" t="s">
        <v>2700</v>
      </c>
      <c r="N381" s="17"/>
      <c r="O381" s="17"/>
      <c r="P381" s="17" t="str">
        <f t="shared" si="2"/>
        <v>OK</v>
      </c>
      <c r="Q381" s="17" t="s">
        <v>2701</v>
      </c>
      <c r="R381" s="6" t="s">
        <v>2702</v>
      </c>
      <c r="S381" s="6">
        <v>60344924301373</v>
      </c>
      <c r="T381" s="10" t="s">
        <v>2703</v>
      </c>
      <c r="U381" s="173" t="s">
        <v>38</v>
      </c>
      <c r="V381" s="181" t="s">
        <v>1483</v>
      </c>
      <c r="W381" s="20" t="s">
        <v>1484</v>
      </c>
      <c r="X381" s="20" t="s">
        <v>1484</v>
      </c>
      <c r="Y381" s="20"/>
      <c r="Z381" s="7"/>
      <c r="AA381" s="7"/>
      <c r="AB381" s="23"/>
      <c r="AC381" s="26"/>
    </row>
    <row r="382" spans="1:29" ht="15.75" customHeight="1">
      <c r="A382" s="10" t="s">
        <v>2704</v>
      </c>
      <c r="B382" s="10" t="s">
        <v>1469</v>
      </c>
      <c r="C382" s="60" t="s">
        <v>1470</v>
      </c>
      <c r="D382" s="38"/>
      <c r="E382" s="13" t="s">
        <v>2311</v>
      </c>
      <c r="F382" s="6" t="s">
        <v>2705</v>
      </c>
      <c r="G382" s="6" t="str">
        <f ca="1">IFERROR(__xludf.DUMMYFUNCTION("CONCATENATE(B382,(VLOOKUP(C382,CATALOGOS!$F$2:$H$6,3,FALSE)),(VLOOKUP(V382,CATALOGOS!$J$2:$K$18,2,FALSE)),""-"",TO_TEXT(A382))"),"P12SI-0381")</f>
        <v>P12SI-0381</v>
      </c>
      <c r="H382" s="6" t="str">
        <f ca="1">IFERROR(__xludf.DUMMYFUNCTION("CONCATENATE($B382,(VLOOKUP($C382,CATALOGOS!$F$2:$H$6,3,FALSE)),(VLOOKUP($V382,CATALOGOS!$J$2:$K$18,2,FALSE)),""-"",TO_TEXT($A382))"),"P12SI-0381")</f>
        <v>P12SI-0381</v>
      </c>
      <c r="I382" s="6"/>
      <c r="J382" s="6" t="s">
        <v>2706</v>
      </c>
      <c r="K382" s="6" t="s">
        <v>2707</v>
      </c>
      <c r="L382" s="36"/>
      <c r="M382" s="6" t="s">
        <v>2708</v>
      </c>
      <c r="N382" s="17"/>
      <c r="O382" s="17"/>
      <c r="P382" s="17" t="str">
        <f t="shared" si="2"/>
        <v>OK</v>
      </c>
      <c r="Q382" s="17" t="s">
        <v>827</v>
      </c>
      <c r="R382" s="6" t="s">
        <v>2709</v>
      </c>
      <c r="S382" s="6">
        <v>43201404</v>
      </c>
      <c r="T382" s="32" t="s">
        <v>2710</v>
      </c>
      <c r="U382" s="173" t="s">
        <v>38</v>
      </c>
      <c r="V382" s="181" t="s">
        <v>1483</v>
      </c>
      <c r="W382" s="10" t="s">
        <v>1484</v>
      </c>
      <c r="X382" s="10" t="s">
        <v>1484</v>
      </c>
      <c r="Y382" s="10"/>
      <c r="Z382" s="7"/>
      <c r="AA382" s="7"/>
      <c r="AB382" s="26"/>
      <c r="AC382" s="26"/>
    </row>
    <row r="383" spans="1:29" ht="15.75" customHeight="1">
      <c r="A383" s="10" t="s">
        <v>2711</v>
      </c>
      <c r="B383" s="10" t="s">
        <v>1469</v>
      </c>
      <c r="C383" s="60" t="s">
        <v>1470</v>
      </c>
      <c r="D383" s="12"/>
      <c r="E383" s="13" t="s">
        <v>1275</v>
      </c>
      <c r="F383" s="6" t="s">
        <v>2712</v>
      </c>
      <c r="G383" s="6" t="str">
        <f ca="1">IFERROR(__xludf.DUMMYFUNCTION("CONCATENATE(B383,(VLOOKUP(C383,CATALOGOS!$F$2:$H$6,3,FALSE)),(VLOOKUP(V383,CATALOGOS!$J$2:$K$18,2,FALSE)),""-"",TO_TEXT(A383))"),"P12SI-0382")</f>
        <v>P12SI-0382</v>
      </c>
      <c r="H383" s="6" t="str">
        <f ca="1">IFERROR(__xludf.DUMMYFUNCTION("CONCATENATE($B383,(VLOOKUP($C383,CATALOGOS!$F$2:$H$6,3,FALSE)),(VLOOKUP($V383,CATALOGOS!$J$2:$K$18,2,FALSE)),""-"",TO_TEXT($A383))"),"P12SI-0382")</f>
        <v>P12SI-0382</v>
      </c>
      <c r="I383" s="6"/>
      <c r="J383" s="6" t="s">
        <v>2713</v>
      </c>
      <c r="K383" s="6" t="s">
        <v>2714</v>
      </c>
      <c r="L383" s="36"/>
      <c r="M383" s="6" t="s">
        <v>2715</v>
      </c>
      <c r="N383" s="17"/>
      <c r="O383" s="17"/>
      <c r="P383" s="17" t="str">
        <f t="shared" si="2"/>
        <v>OK</v>
      </c>
      <c r="Q383" s="17" t="s">
        <v>297</v>
      </c>
      <c r="R383" s="6" t="s">
        <v>2716</v>
      </c>
      <c r="S383" s="6" t="s">
        <v>2717</v>
      </c>
      <c r="T383" s="10" t="s">
        <v>2718</v>
      </c>
      <c r="U383" s="173" t="s">
        <v>38</v>
      </c>
      <c r="V383" s="181" t="s">
        <v>1483</v>
      </c>
      <c r="W383" s="20" t="s">
        <v>2533</v>
      </c>
      <c r="X383" s="20" t="s">
        <v>2533</v>
      </c>
      <c r="Y383" s="20"/>
      <c r="Z383" s="7"/>
      <c r="AA383" s="7"/>
      <c r="AB383" s="23"/>
      <c r="AC383" s="26"/>
    </row>
    <row r="384" spans="1:29" ht="15.75" customHeight="1">
      <c r="A384" s="10" t="s">
        <v>2719</v>
      </c>
      <c r="B384" s="10" t="s">
        <v>1469</v>
      </c>
      <c r="C384" s="60" t="s">
        <v>1470</v>
      </c>
      <c r="D384" s="12"/>
      <c r="E384" s="13" t="s">
        <v>210</v>
      </c>
      <c r="F384" s="6" t="s">
        <v>2720</v>
      </c>
      <c r="G384" s="6" t="str">
        <f ca="1">IFERROR(__xludf.DUMMYFUNCTION("CONCATENATE(B384,(VLOOKUP(C384,CATALOGOS!$F$2:$H$6,3,FALSE)),(VLOOKUP(V384,CATALOGOS!$J$2:$K$18,2,FALSE)),""-"",TO_TEXT(A384))"),"P12SI-0383")</f>
        <v>P12SI-0383</v>
      </c>
      <c r="H384" s="6" t="str">
        <f ca="1">IFERROR(__xludf.DUMMYFUNCTION("CONCATENATE($B384,(VLOOKUP($C384,CATALOGOS!$F$2:$H$6,3,FALSE)),(VLOOKUP($V384,CATALOGOS!$J$2:$K$18,2,FALSE)),""-"",TO_TEXT($A384))"),"P12SI-0383")</f>
        <v>P12SI-0383</v>
      </c>
      <c r="I384" s="6"/>
      <c r="J384" s="6" t="s">
        <v>2721</v>
      </c>
      <c r="K384" s="6" t="s">
        <v>2722</v>
      </c>
      <c r="L384" s="36"/>
      <c r="M384" s="6" t="s">
        <v>2723</v>
      </c>
      <c r="N384" s="17"/>
      <c r="O384" s="17"/>
      <c r="P384" s="17" t="str">
        <f t="shared" si="2"/>
        <v>OK</v>
      </c>
      <c r="Q384" s="17" t="s">
        <v>216</v>
      </c>
      <c r="R384" s="6" t="s">
        <v>2724</v>
      </c>
      <c r="S384" s="6" t="s">
        <v>2725</v>
      </c>
      <c r="T384" s="10" t="s">
        <v>2726</v>
      </c>
      <c r="U384" s="173" t="s">
        <v>38</v>
      </c>
      <c r="V384" s="181" t="s">
        <v>1483</v>
      </c>
      <c r="W384" s="20" t="s">
        <v>1484</v>
      </c>
      <c r="X384" s="20" t="s">
        <v>1484</v>
      </c>
      <c r="Y384" s="20"/>
      <c r="Z384" s="7"/>
      <c r="AA384" s="7"/>
      <c r="AB384" s="23"/>
      <c r="AC384" s="26"/>
    </row>
    <row r="385" spans="1:29" ht="15.75" customHeight="1">
      <c r="A385" s="10" t="s">
        <v>2727</v>
      </c>
      <c r="B385" s="10" t="s">
        <v>1469</v>
      </c>
      <c r="C385" s="60" t="s">
        <v>1470</v>
      </c>
      <c r="D385" s="12"/>
      <c r="E385" s="13" t="s">
        <v>210</v>
      </c>
      <c r="F385" s="6" t="s">
        <v>2720</v>
      </c>
      <c r="G385" s="6" t="str">
        <f ca="1">IFERROR(__xludf.DUMMYFUNCTION("CONCATENATE(B385,(VLOOKUP(C385,CATALOGOS!$F$2:$H$6,3,FALSE)),(VLOOKUP(V385,CATALOGOS!$J$2:$K$18,2,FALSE)),""-"",TO_TEXT(A385))"),"P12SI-0384")</f>
        <v>P12SI-0384</v>
      </c>
      <c r="H385" s="6" t="str">
        <f ca="1">IFERROR(__xludf.DUMMYFUNCTION("CONCATENATE($B385,(VLOOKUP($C385,CATALOGOS!$F$2:$H$6,3,FALSE)),(VLOOKUP($V385,CATALOGOS!$J$2:$K$18,2,FALSE)),""-"",TO_TEXT($A385))"),"P12SI-0384")</f>
        <v>P12SI-0384</v>
      </c>
      <c r="I385" s="6"/>
      <c r="J385" s="6" t="s">
        <v>2728</v>
      </c>
      <c r="K385" s="6" t="s">
        <v>2729</v>
      </c>
      <c r="L385" s="36"/>
      <c r="M385" s="6" t="s">
        <v>2730</v>
      </c>
      <c r="N385" s="17"/>
      <c r="O385" s="17"/>
      <c r="P385" s="17" t="str">
        <f t="shared" si="2"/>
        <v>OK</v>
      </c>
      <c r="Q385" s="17" t="s">
        <v>216</v>
      </c>
      <c r="R385" s="6" t="s">
        <v>2724</v>
      </c>
      <c r="S385" s="6" t="s">
        <v>2731</v>
      </c>
      <c r="T385" s="10" t="s">
        <v>2732</v>
      </c>
      <c r="U385" s="173" t="s">
        <v>38</v>
      </c>
      <c r="V385" s="181" t="s">
        <v>1483</v>
      </c>
      <c r="W385" s="20" t="s">
        <v>1484</v>
      </c>
      <c r="X385" s="20" t="s">
        <v>1484</v>
      </c>
      <c r="Y385" s="20"/>
      <c r="Z385" s="7"/>
      <c r="AA385" s="7"/>
      <c r="AB385" s="23"/>
      <c r="AC385" s="26"/>
    </row>
    <row r="386" spans="1:29" ht="15.75" customHeight="1">
      <c r="A386" s="10" t="s">
        <v>2733</v>
      </c>
      <c r="B386" s="10" t="s">
        <v>1469</v>
      </c>
      <c r="C386" s="60" t="s">
        <v>1470</v>
      </c>
      <c r="D386" s="12"/>
      <c r="E386" s="13" t="s">
        <v>2734</v>
      </c>
      <c r="F386" s="6" t="s">
        <v>2734</v>
      </c>
      <c r="G386" s="6" t="str">
        <f ca="1">IFERROR(__xludf.DUMMYFUNCTION("CONCATENATE(B386,(VLOOKUP(C386,CATALOGOS!$F$2:$H$6,3,FALSE)),(VLOOKUP(V386,CATALOGOS!$J$2:$K$18,2,FALSE)),""-"",TO_TEXT(A386))"),"P12SI-0385")</f>
        <v>P12SI-0385</v>
      </c>
      <c r="H386" s="6" t="str">
        <f ca="1">IFERROR(__xludf.DUMMYFUNCTION("CONCATENATE($B386,(VLOOKUP($C386,CATALOGOS!$F$2:$H$6,3,FALSE)),(VLOOKUP($V386,CATALOGOS!$J$2:$K$18,2,FALSE)),""-"",TO_TEXT($A386))"),"P12SI-0385")</f>
        <v>P12SI-0385</v>
      </c>
      <c r="I386" s="6"/>
      <c r="J386" s="6" t="s">
        <v>2735</v>
      </c>
      <c r="K386" s="6" t="s">
        <v>2736</v>
      </c>
      <c r="L386" s="6" t="s">
        <v>2737</v>
      </c>
      <c r="M386" s="6" t="s">
        <v>2738</v>
      </c>
      <c r="N386" s="17"/>
      <c r="O386" s="17"/>
      <c r="P386" s="17" t="str">
        <f t="shared" si="2"/>
        <v>OK</v>
      </c>
      <c r="Q386" s="17" t="s">
        <v>205</v>
      </c>
      <c r="R386" s="6" t="s">
        <v>2739</v>
      </c>
      <c r="S386" s="17" t="s">
        <v>2740</v>
      </c>
      <c r="T386" s="17" t="s">
        <v>2741</v>
      </c>
      <c r="U386" s="173" t="s">
        <v>38</v>
      </c>
      <c r="V386" s="181" t="s">
        <v>1483</v>
      </c>
      <c r="W386" s="20" t="s">
        <v>1484</v>
      </c>
      <c r="X386" s="20" t="s">
        <v>1484</v>
      </c>
      <c r="Y386" s="20"/>
      <c r="Z386" s="7"/>
      <c r="AA386" s="7"/>
      <c r="AB386" s="23"/>
      <c r="AC386" s="26"/>
    </row>
    <row r="387" spans="1:29" ht="15.75" customHeight="1">
      <c r="A387" s="10" t="s">
        <v>2742</v>
      </c>
      <c r="B387" s="10" t="s">
        <v>1469</v>
      </c>
      <c r="C387" s="60" t="s">
        <v>1470</v>
      </c>
      <c r="D387" s="12"/>
      <c r="E387" s="13" t="s">
        <v>2743</v>
      </c>
      <c r="F387" s="43" t="s">
        <v>2743</v>
      </c>
      <c r="G387" s="6" t="str">
        <f ca="1">IFERROR(__xludf.DUMMYFUNCTION("CONCATENATE(B387,(VLOOKUP(C387,CATALOGOS!$F$2:$H$6,3,FALSE)),(VLOOKUP(V387,CATALOGOS!$J$2:$K$18,2,FALSE)),""-"",TO_TEXT(A387))"),"P12SI-0386")</f>
        <v>P12SI-0386</v>
      </c>
      <c r="H387" s="6" t="str">
        <f ca="1">IFERROR(__xludf.DUMMYFUNCTION("CONCATENATE($B387,(VLOOKUP($C387,CATALOGOS!$F$2:$H$6,3,FALSE)),(VLOOKUP($V387,CATALOGOS!$J$2:$K$18,2,FALSE)),""-"",TO_TEXT($A387))"),"P12SI-0386")</f>
        <v>P12SI-0386</v>
      </c>
      <c r="I387" s="6"/>
      <c r="J387" s="6" t="s">
        <v>2744</v>
      </c>
      <c r="K387" s="6" t="s">
        <v>2745</v>
      </c>
      <c r="L387" s="6" t="s">
        <v>2746</v>
      </c>
      <c r="M387" s="6" t="s">
        <v>2747</v>
      </c>
      <c r="N387" s="17"/>
      <c r="O387" s="17"/>
      <c r="P387" s="17" t="str">
        <f t="shared" si="2"/>
        <v>OK</v>
      </c>
      <c r="Q387" s="17" t="s">
        <v>2748</v>
      </c>
      <c r="R387" s="6" t="s">
        <v>2749</v>
      </c>
      <c r="S387" s="17" t="s">
        <v>2750</v>
      </c>
      <c r="T387" s="17" t="s">
        <v>2751</v>
      </c>
      <c r="U387" s="173" t="s">
        <v>38</v>
      </c>
      <c r="V387" s="181" t="s">
        <v>1483</v>
      </c>
      <c r="W387" s="20" t="s">
        <v>1484</v>
      </c>
      <c r="X387" s="20" t="s">
        <v>1484</v>
      </c>
      <c r="Y387" s="20"/>
      <c r="Z387" s="7"/>
      <c r="AA387" s="7"/>
      <c r="AB387" s="23"/>
      <c r="AC387" s="26"/>
    </row>
    <row r="388" spans="1:29" ht="15.75" customHeight="1">
      <c r="A388" s="10" t="s">
        <v>2752</v>
      </c>
      <c r="B388" s="10" t="s">
        <v>1469</v>
      </c>
      <c r="C388" s="60" t="s">
        <v>1470</v>
      </c>
      <c r="D388" s="12"/>
      <c r="E388" s="13" t="s">
        <v>2743</v>
      </c>
      <c r="F388" s="43" t="s">
        <v>2743</v>
      </c>
      <c r="G388" s="6" t="str">
        <f ca="1">IFERROR(__xludf.DUMMYFUNCTION("CONCATENATE(B388,(VLOOKUP(C388,CATALOGOS!$F$2:$H$6,3,FALSE)),(VLOOKUP(V388,CATALOGOS!$J$2:$K$18,2,FALSE)),""-"",TO_TEXT(A388))"),"P12SI-0387")</f>
        <v>P12SI-0387</v>
      </c>
      <c r="H388" s="6" t="str">
        <f ca="1">IFERROR(__xludf.DUMMYFUNCTION("CONCATENATE($B388,(VLOOKUP($C388,CATALOGOS!$F$2:$H$6,3,FALSE)),(VLOOKUP($V388,CATALOGOS!$J$2:$K$18,2,FALSE)),""-"",TO_TEXT($A388))"),"P12SI-0387")</f>
        <v>P12SI-0387</v>
      </c>
      <c r="I388" s="6"/>
      <c r="J388" s="6" t="s">
        <v>2753</v>
      </c>
      <c r="K388" s="6" t="s">
        <v>2754</v>
      </c>
      <c r="L388" s="6" t="s">
        <v>2755</v>
      </c>
      <c r="M388" s="6" t="s">
        <v>2756</v>
      </c>
      <c r="N388" s="17"/>
      <c r="O388" s="17"/>
      <c r="P388" s="17" t="str">
        <f t="shared" si="2"/>
        <v>OK</v>
      </c>
      <c r="Q388" s="17" t="s">
        <v>205</v>
      </c>
      <c r="R388" s="6" t="s">
        <v>2757</v>
      </c>
      <c r="S388" s="17" t="s">
        <v>2758</v>
      </c>
      <c r="T388" s="17" t="s">
        <v>2759</v>
      </c>
      <c r="U388" s="173" t="s">
        <v>38</v>
      </c>
      <c r="V388" s="181" t="s">
        <v>1483</v>
      </c>
      <c r="W388" s="20" t="s">
        <v>1484</v>
      </c>
      <c r="X388" s="20" t="s">
        <v>1484</v>
      </c>
      <c r="Y388" s="20"/>
      <c r="Z388" s="7"/>
      <c r="AA388" s="7"/>
      <c r="AB388" s="23"/>
      <c r="AC388" s="26"/>
    </row>
    <row r="389" spans="1:29" ht="15.75" customHeight="1">
      <c r="A389" s="10" t="s">
        <v>2760</v>
      </c>
      <c r="B389" s="10" t="s">
        <v>1469</v>
      </c>
      <c r="C389" s="60" t="s">
        <v>1470</v>
      </c>
      <c r="D389" s="12"/>
      <c r="E389" s="13" t="s">
        <v>151</v>
      </c>
      <c r="F389" s="6" t="s">
        <v>698</v>
      </c>
      <c r="G389" s="6" t="str">
        <f ca="1">IFERROR(__xludf.DUMMYFUNCTION("CONCATENATE(B389,(VLOOKUP(C389,CATALOGOS!$F$2:$H$6,3,FALSE)),(VLOOKUP(V389,CATALOGOS!$J$2:$K$18,2,FALSE)),""-"",TO_TEXT(A389))"),"P12SI-0388")</f>
        <v>P12SI-0388</v>
      </c>
      <c r="H389" s="6" t="str">
        <f ca="1">IFERROR(__xludf.DUMMYFUNCTION("CONCATENATE($B389,(VLOOKUP($C389,CATALOGOS!$F$2:$H$6,3,FALSE)),(VLOOKUP($V389,CATALOGOS!$J$2:$K$18,2,FALSE)),""-"",TO_TEXT($A389))"),"P12SI-0388")</f>
        <v>P12SI-0388</v>
      </c>
      <c r="I389" s="6"/>
      <c r="J389" s="6" t="s">
        <v>2761</v>
      </c>
      <c r="K389" s="6" t="s">
        <v>2762</v>
      </c>
      <c r="L389" s="6" t="s">
        <v>2763</v>
      </c>
      <c r="M389" s="6" t="s">
        <v>2764</v>
      </c>
      <c r="N389" s="17"/>
      <c r="O389" s="17"/>
      <c r="P389" s="17" t="str">
        <f t="shared" si="2"/>
        <v>OK</v>
      </c>
      <c r="Q389" s="17" t="s">
        <v>157</v>
      </c>
      <c r="R389" s="6" t="s">
        <v>2765</v>
      </c>
      <c r="S389" s="17" t="s">
        <v>2766</v>
      </c>
      <c r="T389" s="10" t="s">
        <v>2767</v>
      </c>
      <c r="U389" s="173" t="s">
        <v>38</v>
      </c>
      <c r="V389" s="181" t="s">
        <v>1483</v>
      </c>
      <c r="W389" s="20" t="s">
        <v>1484</v>
      </c>
      <c r="X389" s="20" t="s">
        <v>1484</v>
      </c>
      <c r="Y389" s="20"/>
      <c r="Z389" s="7"/>
      <c r="AA389" s="7"/>
      <c r="AB389" s="23"/>
      <c r="AC389" s="26"/>
    </row>
    <row r="390" spans="1:29" ht="15.75" customHeight="1">
      <c r="A390" s="10" t="s">
        <v>2768</v>
      </c>
      <c r="B390" s="10" t="s">
        <v>1469</v>
      </c>
      <c r="C390" s="60" t="s">
        <v>1470</v>
      </c>
      <c r="D390" s="12"/>
      <c r="E390" s="13" t="s">
        <v>199</v>
      </c>
      <c r="F390" s="6" t="s">
        <v>199</v>
      </c>
      <c r="G390" s="6" t="str">
        <f ca="1">IFERROR(__xludf.DUMMYFUNCTION("CONCATENATE(B390,(VLOOKUP(C390,CATALOGOS!$F$2:$H$6,3,FALSE)),(VLOOKUP(V390,CATALOGOS!$J$2:$K$18,2,FALSE)),""-"",TO_TEXT(A390))"),"P12SI-0389")</f>
        <v>P12SI-0389</v>
      </c>
      <c r="H390" s="6" t="str">
        <f ca="1">IFERROR(__xludf.DUMMYFUNCTION("CONCATENATE($B390,(VLOOKUP($C390,CATALOGOS!$F$2:$H$6,3,FALSE)),(VLOOKUP($V390,CATALOGOS!$J$2:$K$18,2,FALSE)),""-"",TO_TEXT($A390))"),"P12SI-0389")</f>
        <v>P12SI-0389</v>
      </c>
      <c r="I390" s="6"/>
      <c r="J390" s="6" t="s">
        <v>2769</v>
      </c>
      <c r="K390" s="6" t="s">
        <v>2770</v>
      </c>
      <c r="L390" s="6" t="s">
        <v>2771</v>
      </c>
      <c r="M390" s="6" t="s">
        <v>141</v>
      </c>
      <c r="N390" s="17"/>
      <c r="O390" s="17"/>
      <c r="P390" s="17" t="str">
        <f t="shared" si="2"/>
        <v>REPETIDO</v>
      </c>
      <c r="Q390" s="17" t="s">
        <v>297</v>
      </c>
      <c r="R390" s="32" t="s">
        <v>2772</v>
      </c>
      <c r="S390" s="17" t="s">
        <v>2773</v>
      </c>
      <c r="T390" s="10" t="s">
        <v>2774</v>
      </c>
      <c r="U390" s="173" t="s">
        <v>38</v>
      </c>
      <c r="V390" s="181" t="s">
        <v>1483</v>
      </c>
      <c r="W390" s="20" t="s">
        <v>1484</v>
      </c>
      <c r="X390" s="20" t="s">
        <v>1484</v>
      </c>
      <c r="Y390" s="20"/>
      <c r="Z390" s="7"/>
      <c r="AA390" s="7"/>
      <c r="AB390" s="23"/>
      <c r="AC390" s="26"/>
    </row>
    <row r="391" spans="1:29" ht="15.75" customHeight="1">
      <c r="A391" s="10" t="s">
        <v>2775</v>
      </c>
      <c r="B391" s="10" t="s">
        <v>1469</v>
      </c>
      <c r="C391" s="60" t="s">
        <v>1470</v>
      </c>
      <c r="D391" s="12"/>
      <c r="E391" s="13" t="s">
        <v>2743</v>
      </c>
      <c r="F391" s="43" t="s">
        <v>2776</v>
      </c>
      <c r="G391" s="6" t="str">
        <f ca="1">IFERROR(__xludf.DUMMYFUNCTION("CONCATENATE(B391,(VLOOKUP(C391,CATALOGOS!$F$2:$H$6,3,FALSE)),(VLOOKUP(V391,CATALOGOS!$J$2:$K$18,2,FALSE)),""-"",TO_TEXT(A391))"),"P12SI-0390")</f>
        <v>P12SI-0390</v>
      </c>
      <c r="H391" s="6" t="str">
        <f ca="1">IFERROR(__xludf.DUMMYFUNCTION("CONCATENATE($B391,(VLOOKUP($C391,CATALOGOS!$F$2:$H$6,3,FALSE)),(VLOOKUP($V391,CATALOGOS!$J$2:$K$18,2,FALSE)),""-"",TO_TEXT($A391))"),"P12SI-0390")</f>
        <v>P12SI-0390</v>
      </c>
      <c r="I391" s="6"/>
      <c r="J391" s="6" t="s">
        <v>2777</v>
      </c>
      <c r="K391" s="6" t="s">
        <v>2778</v>
      </c>
      <c r="L391" s="6" t="s">
        <v>2779</v>
      </c>
      <c r="M391" s="43" t="s">
        <v>2780</v>
      </c>
      <c r="N391" s="17"/>
      <c r="O391" s="17"/>
      <c r="P391" s="17" t="str">
        <f t="shared" si="2"/>
        <v>OK</v>
      </c>
      <c r="Q391" s="17" t="s">
        <v>2781</v>
      </c>
      <c r="R391" s="6" t="s">
        <v>2782</v>
      </c>
      <c r="S391" s="17" t="s">
        <v>2783</v>
      </c>
      <c r="T391" s="10" t="s">
        <v>2784</v>
      </c>
      <c r="U391" s="173" t="s">
        <v>38</v>
      </c>
      <c r="V391" s="181" t="s">
        <v>1483</v>
      </c>
      <c r="W391" s="20" t="s">
        <v>1484</v>
      </c>
      <c r="X391" s="20" t="s">
        <v>1484</v>
      </c>
      <c r="Y391" s="20"/>
      <c r="Z391" s="7"/>
      <c r="AA391" s="7"/>
      <c r="AB391" s="23"/>
      <c r="AC391" s="26"/>
    </row>
    <row r="392" spans="1:29" ht="15.75" customHeight="1">
      <c r="A392" s="10" t="s">
        <v>2785</v>
      </c>
      <c r="B392" s="10" t="s">
        <v>1469</v>
      </c>
      <c r="C392" s="60" t="s">
        <v>1470</v>
      </c>
      <c r="D392" s="12"/>
      <c r="E392" s="13" t="s">
        <v>2743</v>
      </c>
      <c r="F392" s="43" t="s">
        <v>2776</v>
      </c>
      <c r="G392" s="6" t="str">
        <f ca="1">IFERROR(__xludf.DUMMYFUNCTION("CONCATENATE(B392,(VLOOKUP(C392,CATALOGOS!$F$2:$H$6,3,FALSE)),(VLOOKUP(V392,CATALOGOS!$J$2:$K$18,2,FALSE)),""-"",TO_TEXT(A392))"),"P12SI-0391")</f>
        <v>P12SI-0391</v>
      </c>
      <c r="H392" s="6" t="str">
        <f ca="1">IFERROR(__xludf.DUMMYFUNCTION("CONCATENATE($B392,(VLOOKUP($C392,CATALOGOS!$F$2:$H$6,3,FALSE)),(VLOOKUP($V392,CATALOGOS!$J$2:$K$18,2,FALSE)),""-"",TO_TEXT($A392))"),"P12SI-0391")</f>
        <v>P12SI-0391</v>
      </c>
      <c r="I392" s="6"/>
      <c r="J392" s="6" t="s">
        <v>2786</v>
      </c>
      <c r="K392" s="6" t="s">
        <v>2787</v>
      </c>
      <c r="L392" s="6" t="s">
        <v>2788</v>
      </c>
      <c r="M392" s="43" t="s">
        <v>2789</v>
      </c>
      <c r="N392" s="17"/>
      <c r="O392" s="17"/>
      <c r="P392" s="17" t="str">
        <f t="shared" si="2"/>
        <v>OK</v>
      </c>
      <c r="Q392" s="17" t="s">
        <v>2781</v>
      </c>
      <c r="R392" s="6" t="s">
        <v>2782</v>
      </c>
      <c r="S392" s="17" t="s">
        <v>2790</v>
      </c>
      <c r="T392" s="10" t="s">
        <v>2791</v>
      </c>
      <c r="U392" s="173" t="s">
        <v>38</v>
      </c>
      <c r="V392" s="181" t="s">
        <v>1483</v>
      </c>
      <c r="W392" s="20" t="s">
        <v>1484</v>
      </c>
      <c r="X392" s="20" t="s">
        <v>1484</v>
      </c>
      <c r="Y392" s="20"/>
      <c r="Z392" s="7"/>
      <c r="AA392" s="7"/>
      <c r="AB392" s="23"/>
      <c r="AC392" s="26"/>
    </row>
    <row r="393" spans="1:29" ht="15.75" customHeight="1">
      <c r="A393" s="10" t="s">
        <v>2792</v>
      </c>
      <c r="B393" s="10" t="s">
        <v>1469</v>
      </c>
      <c r="C393" s="60" t="s">
        <v>1470</v>
      </c>
      <c r="D393" s="12"/>
      <c r="E393" s="13" t="s">
        <v>248</v>
      </c>
      <c r="F393" s="43" t="s">
        <v>248</v>
      </c>
      <c r="G393" s="6" t="str">
        <f ca="1">IFERROR(__xludf.DUMMYFUNCTION("CONCATENATE(B393,(VLOOKUP(C393,CATALOGOS!$F$2:$H$6,3,FALSE)),(VLOOKUP(V393,CATALOGOS!$J$2:$K$18,2,FALSE)),""-"",TO_TEXT(A393))"),"P12SI-0392")</f>
        <v>P12SI-0392</v>
      </c>
      <c r="H393" s="6" t="str">
        <f ca="1">IFERROR(__xludf.DUMMYFUNCTION("CONCATENATE($B393,(VLOOKUP($C393,CATALOGOS!$F$2:$H$6,3,FALSE)),(VLOOKUP($V393,CATALOGOS!$J$2:$K$18,2,FALSE)),""-"",TO_TEXT($A393))"),"P12SI-0392")</f>
        <v>P12SI-0392</v>
      </c>
      <c r="I393" s="6"/>
      <c r="J393" s="6" t="s">
        <v>2793</v>
      </c>
      <c r="K393" s="6" t="s">
        <v>2794</v>
      </c>
      <c r="L393" s="6" t="s">
        <v>2795</v>
      </c>
      <c r="M393" s="43" t="s">
        <v>2796</v>
      </c>
      <c r="N393" s="17"/>
      <c r="O393" s="17"/>
      <c r="P393" s="17" t="str">
        <f t="shared" si="2"/>
        <v>OK</v>
      </c>
      <c r="Q393" s="17" t="s">
        <v>205</v>
      </c>
      <c r="R393" s="6" t="s">
        <v>2797</v>
      </c>
      <c r="S393" s="17" t="s">
        <v>2798</v>
      </c>
      <c r="T393" s="17" t="s">
        <v>2799</v>
      </c>
      <c r="U393" s="173" t="s">
        <v>38</v>
      </c>
      <c r="V393" s="181" t="s">
        <v>1483</v>
      </c>
      <c r="W393" s="20" t="s">
        <v>1484</v>
      </c>
      <c r="X393" s="20" t="s">
        <v>1484</v>
      </c>
      <c r="Y393" s="20"/>
      <c r="Z393" s="7"/>
      <c r="AA393" s="7"/>
      <c r="AB393" s="23"/>
      <c r="AC393" s="26"/>
    </row>
    <row r="394" spans="1:29" ht="15.75" customHeight="1">
      <c r="A394" s="10" t="s">
        <v>2800</v>
      </c>
      <c r="B394" s="10" t="s">
        <v>1469</v>
      </c>
      <c r="C394" s="60" t="s">
        <v>1470</v>
      </c>
      <c r="D394" s="12"/>
      <c r="E394" s="13" t="s">
        <v>2734</v>
      </c>
      <c r="F394" s="6" t="s">
        <v>2801</v>
      </c>
      <c r="G394" s="6" t="str">
        <f ca="1">IFERROR(__xludf.DUMMYFUNCTION("CONCATENATE(B394,(VLOOKUP(C394,CATALOGOS!$F$2:$H$6,3,FALSE)),(VLOOKUP(V394,CATALOGOS!$J$2:$K$18,2,FALSE)),""-"",TO_TEXT(A394))"),"P12SI-0393")</f>
        <v>P12SI-0393</v>
      </c>
      <c r="H394" s="6" t="str">
        <f ca="1">IFERROR(__xludf.DUMMYFUNCTION("CONCATENATE($B394,(VLOOKUP($C394,CATALOGOS!$F$2:$H$6,3,FALSE)),(VLOOKUP($V394,CATALOGOS!$J$2:$K$18,2,FALSE)),""-"",TO_TEXT($A394))"),"P12SI-0393")</f>
        <v>P12SI-0393</v>
      </c>
      <c r="I394" s="6"/>
      <c r="J394" s="6" t="s">
        <v>2802</v>
      </c>
      <c r="K394" s="6" t="s">
        <v>2803</v>
      </c>
      <c r="L394" s="6" t="s">
        <v>2804</v>
      </c>
      <c r="M394" s="6" t="s">
        <v>2805</v>
      </c>
      <c r="N394" s="17"/>
      <c r="O394" s="17"/>
      <c r="P394" s="17" t="str">
        <f t="shared" si="2"/>
        <v>OK</v>
      </c>
      <c r="Q394" s="17" t="s">
        <v>35</v>
      </c>
      <c r="R394" s="6" t="s">
        <v>35</v>
      </c>
      <c r="S394" s="17" t="s">
        <v>2806</v>
      </c>
      <c r="T394" s="17" t="s">
        <v>2807</v>
      </c>
      <c r="U394" s="173" t="s">
        <v>38</v>
      </c>
      <c r="V394" s="181" t="s">
        <v>1483</v>
      </c>
      <c r="W394" s="20" t="s">
        <v>1484</v>
      </c>
      <c r="X394" s="20" t="s">
        <v>1484</v>
      </c>
      <c r="Y394" s="20"/>
      <c r="Z394" s="7"/>
      <c r="AA394" s="7"/>
      <c r="AB394" s="23"/>
      <c r="AC394" s="26"/>
    </row>
    <row r="395" spans="1:29" ht="15.75" customHeight="1">
      <c r="A395" s="10" t="s">
        <v>2808</v>
      </c>
      <c r="B395" s="10" t="s">
        <v>1469</v>
      </c>
      <c r="C395" s="60" t="s">
        <v>1470</v>
      </c>
      <c r="D395" s="12"/>
      <c r="E395" s="13" t="s">
        <v>2351</v>
      </c>
      <c r="F395" s="43" t="s">
        <v>2352</v>
      </c>
      <c r="G395" s="6" t="str">
        <f ca="1">IFERROR(__xludf.DUMMYFUNCTION("CONCATENATE(B395,(VLOOKUP(C395,CATALOGOS!$F$2:$H$6,3,FALSE)),(VLOOKUP(V395,CATALOGOS!$J$2:$K$18,2,FALSE)),""-"",TO_TEXT(A395))"),"P12SI-0394")</f>
        <v>P12SI-0394</v>
      </c>
      <c r="H395" s="6" t="str">
        <f ca="1">IFERROR(__xludf.DUMMYFUNCTION("CONCATENATE($B395,(VLOOKUP($C395,CATALOGOS!$F$2:$H$6,3,FALSE)),(VLOOKUP($V395,CATALOGOS!$J$2:$K$18,2,FALSE)),""-"",TO_TEXT($A395))"),"P12SI-0394")</f>
        <v>P12SI-0394</v>
      </c>
      <c r="I395" s="6"/>
      <c r="J395" s="6" t="s">
        <v>2809</v>
      </c>
      <c r="K395" s="6" t="s">
        <v>2810</v>
      </c>
      <c r="L395" s="6" t="s">
        <v>2811</v>
      </c>
      <c r="M395" s="6" t="s">
        <v>2812</v>
      </c>
      <c r="N395" s="17"/>
      <c r="O395" s="17"/>
      <c r="P395" s="17" t="str">
        <f t="shared" si="2"/>
        <v>OK</v>
      </c>
      <c r="Q395" s="17" t="s">
        <v>663</v>
      </c>
      <c r="R395" s="6" t="s">
        <v>2813</v>
      </c>
      <c r="S395" s="17" t="s">
        <v>2814</v>
      </c>
      <c r="T395" s="17" t="s">
        <v>2815</v>
      </c>
      <c r="U395" s="173" t="s">
        <v>38</v>
      </c>
      <c r="V395" s="181" t="s">
        <v>1483</v>
      </c>
      <c r="W395" s="20" t="s">
        <v>1484</v>
      </c>
      <c r="X395" s="20" t="s">
        <v>1484</v>
      </c>
      <c r="Y395" s="20"/>
      <c r="Z395" s="7"/>
      <c r="AA395" s="7"/>
      <c r="AB395" s="23"/>
      <c r="AC395" s="26"/>
    </row>
    <row r="396" spans="1:29" ht="15.75" customHeight="1">
      <c r="A396" s="10" t="s">
        <v>2816</v>
      </c>
      <c r="B396" s="10" t="s">
        <v>1469</v>
      </c>
      <c r="C396" s="60" t="s">
        <v>1470</v>
      </c>
      <c r="D396" s="12"/>
      <c r="E396" s="13" t="s">
        <v>2817</v>
      </c>
      <c r="F396" s="43" t="s">
        <v>2817</v>
      </c>
      <c r="G396" s="6" t="str">
        <f ca="1">IFERROR(__xludf.DUMMYFUNCTION("CONCATENATE(B396,(VLOOKUP(C396,CATALOGOS!$F$2:$H$6,3,FALSE)),(VLOOKUP(V396,CATALOGOS!$J$2:$K$18,2,FALSE)),""-"",TO_TEXT(A396))"),"P12SI-0395")</f>
        <v>P12SI-0395</v>
      </c>
      <c r="H396" s="6" t="str">
        <f ca="1">IFERROR(__xludf.DUMMYFUNCTION("CONCATENATE($B396,(VLOOKUP($C396,CATALOGOS!$F$2:$H$6,3,FALSE)),(VLOOKUP($V396,CATALOGOS!$J$2:$K$18,2,FALSE)),""-"",TO_TEXT($A396))"),"P12SI-0395")</f>
        <v>P12SI-0395</v>
      </c>
      <c r="I396" s="6"/>
      <c r="J396" s="6" t="s">
        <v>2818</v>
      </c>
      <c r="K396" s="6" t="s">
        <v>2819</v>
      </c>
      <c r="L396" s="6" t="s">
        <v>2820</v>
      </c>
      <c r="M396" s="6" t="s">
        <v>2821</v>
      </c>
      <c r="N396" s="17"/>
      <c r="O396" s="17"/>
      <c r="P396" s="17" t="str">
        <f t="shared" si="2"/>
        <v>OK</v>
      </c>
      <c r="Q396" s="17" t="s">
        <v>2822</v>
      </c>
      <c r="R396" s="6" t="s">
        <v>35</v>
      </c>
      <c r="S396" s="17" t="s">
        <v>36</v>
      </c>
      <c r="T396" s="17" t="s">
        <v>2823</v>
      </c>
      <c r="U396" s="173" t="s">
        <v>38</v>
      </c>
      <c r="V396" s="181" t="s">
        <v>1483</v>
      </c>
      <c r="W396" s="20" t="s">
        <v>1484</v>
      </c>
      <c r="X396" s="20" t="s">
        <v>1484</v>
      </c>
      <c r="Y396" s="20"/>
      <c r="Z396" s="7"/>
      <c r="AA396" s="7"/>
      <c r="AB396" s="23"/>
      <c r="AC396" s="26"/>
    </row>
    <row r="397" spans="1:29" ht="15.75" customHeight="1">
      <c r="A397" s="10" t="s">
        <v>2824</v>
      </c>
      <c r="B397" s="10" t="s">
        <v>1469</v>
      </c>
      <c r="C397" s="60" t="s">
        <v>1470</v>
      </c>
      <c r="D397" s="12"/>
      <c r="E397" s="13" t="s">
        <v>2817</v>
      </c>
      <c r="F397" s="43" t="s">
        <v>2817</v>
      </c>
      <c r="G397" s="6" t="str">
        <f ca="1">IFERROR(__xludf.DUMMYFUNCTION("CONCATENATE(B397,(VLOOKUP(C397,CATALOGOS!$F$2:$H$6,3,FALSE)),(VLOOKUP(V397,CATALOGOS!$J$2:$K$18,2,FALSE)),""-"",TO_TEXT(A397))"),"P12SI-0396")</f>
        <v>P12SI-0396</v>
      </c>
      <c r="H397" s="6" t="str">
        <f ca="1">IFERROR(__xludf.DUMMYFUNCTION("CONCATENATE($B397,(VLOOKUP($C397,CATALOGOS!$F$2:$H$6,3,FALSE)),(VLOOKUP($V397,CATALOGOS!$J$2:$K$18,2,FALSE)),""-"",TO_TEXT($A397))"),"P12SI-0396")</f>
        <v>P12SI-0396</v>
      </c>
      <c r="I397" s="6"/>
      <c r="J397" s="6" t="s">
        <v>2825</v>
      </c>
      <c r="K397" s="6" t="s">
        <v>2826</v>
      </c>
      <c r="L397" s="6" t="s">
        <v>2827</v>
      </c>
      <c r="M397" s="6" t="s">
        <v>2828</v>
      </c>
      <c r="N397" s="17"/>
      <c r="O397" s="17"/>
      <c r="P397" s="17" t="str">
        <f t="shared" si="2"/>
        <v>OK</v>
      </c>
      <c r="Q397" s="17" t="s">
        <v>2822</v>
      </c>
      <c r="R397" s="6" t="s">
        <v>35</v>
      </c>
      <c r="S397" s="17" t="s">
        <v>36</v>
      </c>
      <c r="T397" s="17" t="s">
        <v>85</v>
      </c>
      <c r="U397" s="173" t="s">
        <v>38</v>
      </c>
      <c r="V397" s="181" t="s">
        <v>1483</v>
      </c>
      <c r="W397" s="20" t="s">
        <v>1484</v>
      </c>
      <c r="X397" s="20" t="s">
        <v>1484</v>
      </c>
      <c r="Y397" s="20"/>
      <c r="Z397" s="7"/>
      <c r="AA397" s="7"/>
      <c r="AB397" s="23"/>
      <c r="AC397" s="26"/>
    </row>
    <row r="398" spans="1:29" ht="15.75" customHeight="1">
      <c r="A398" s="10" t="s">
        <v>2829</v>
      </c>
      <c r="B398" s="10" t="s">
        <v>1469</v>
      </c>
      <c r="C398" s="60" t="s">
        <v>1470</v>
      </c>
      <c r="D398" s="12"/>
      <c r="E398" s="13" t="s">
        <v>2351</v>
      </c>
      <c r="F398" s="43" t="s">
        <v>2688</v>
      </c>
      <c r="G398" s="6" t="str">
        <f ca="1">IFERROR(__xludf.DUMMYFUNCTION("CONCATENATE(B398,(VLOOKUP(C398,CATALOGOS!$F$2:$H$6,3,FALSE)),(VLOOKUP(V398,CATALOGOS!$J$2:$K$18,2,FALSE)),""-"",TO_TEXT(A398))"),"P12SI-0397")</f>
        <v>P12SI-0397</v>
      </c>
      <c r="H398" s="6" t="str">
        <f ca="1">IFERROR(__xludf.DUMMYFUNCTION("CONCATENATE($B398,(VLOOKUP($C398,CATALOGOS!$F$2:$H$6,3,FALSE)),(VLOOKUP($V398,CATALOGOS!$J$2:$K$18,2,FALSE)),""-"",TO_TEXT($A398))"),"P12SI-0397")</f>
        <v>P12SI-0397</v>
      </c>
      <c r="I398" s="6"/>
      <c r="J398" s="6" t="s">
        <v>2830</v>
      </c>
      <c r="K398" s="6" t="s">
        <v>2831</v>
      </c>
      <c r="L398" s="6" t="s">
        <v>2832</v>
      </c>
      <c r="M398" s="6" t="s">
        <v>2833</v>
      </c>
      <c r="N398" s="17"/>
      <c r="O398" s="17"/>
      <c r="P398" s="17" t="str">
        <f t="shared" si="2"/>
        <v>OK</v>
      </c>
      <c r="Q398" s="17" t="s">
        <v>2357</v>
      </c>
      <c r="R398" s="6" t="s">
        <v>2693</v>
      </c>
      <c r="S398" s="17" t="s">
        <v>2834</v>
      </c>
      <c r="T398" s="17" t="s">
        <v>2835</v>
      </c>
      <c r="U398" s="173" t="s">
        <v>38</v>
      </c>
      <c r="V398" s="181" t="s">
        <v>1483</v>
      </c>
      <c r="W398" s="20" t="s">
        <v>1484</v>
      </c>
      <c r="X398" s="20" t="s">
        <v>1484</v>
      </c>
      <c r="Y398" s="20"/>
      <c r="Z398" s="7"/>
      <c r="AA398" s="7"/>
      <c r="AB398" s="23"/>
      <c r="AC398" s="26"/>
    </row>
    <row r="399" spans="1:29" ht="15.75" customHeight="1">
      <c r="A399" s="10" t="s">
        <v>2836</v>
      </c>
      <c r="B399" s="10" t="s">
        <v>1469</v>
      </c>
      <c r="C399" s="60" t="s">
        <v>1470</v>
      </c>
      <c r="D399" s="12"/>
      <c r="E399" s="13" t="s">
        <v>2743</v>
      </c>
      <c r="F399" s="43" t="s">
        <v>2743</v>
      </c>
      <c r="G399" s="6" t="str">
        <f ca="1">IFERROR(__xludf.DUMMYFUNCTION("CONCATENATE(B399,(VLOOKUP(C399,CATALOGOS!$F$2:$H$6,3,FALSE)),(VLOOKUP(V399,CATALOGOS!$J$2:$K$18,2,FALSE)),""-"",TO_TEXT(A399))"),"P12SI-0398")</f>
        <v>P12SI-0398</v>
      </c>
      <c r="H399" s="6" t="str">
        <f ca="1">IFERROR(__xludf.DUMMYFUNCTION("CONCATENATE($B399,(VLOOKUP($C399,CATALOGOS!$F$2:$H$6,3,FALSE)),(VLOOKUP($V399,CATALOGOS!$J$2:$K$18,2,FALSE)),""-"",TO_TEXT($A399))"),"P12SI-0398")</f>
        <v>P12SI-0398</v>
      </c>
      <c r="I399" s="6"/>
      <c r="J399" s="6" t="s">
        <v>2837</v>
      </c>
      <c r="K399" s="6" t="s">
        <v>2838</v>
      </c>
      <c r="L399" s="6" t="s">
        <v>2839</v>
      </c>
      <c r="M399" s="43" t="s">
        <v>2840</v>
      </c>
      <c r="N399" s="17"/>
      <c r="O399" s="17"/>
      <c r="P399" s="17" t="str">
        <f t="shared" si="2"/>
        <v>OK</v>
      </c>
      <c r="Q399" s="17" t="s">
        <v>273</v>
      </c>
      <c r="R399" s="6" t="s">
        <v>2841</v>
      </c>
      <c r="S399" s="17" t="s">
        <v>2842</v>
      </c>
      <c r="T399" s="17" t="s">
        <v>2843</v>
      </c>
      <c r="U399" s="173" t="s">
        <v>38</v>
      </c>
      <c r="V399" s="181" t="s">
        <v>1483</v>
      </c>
      <c r="W399" s="20" t="s">
        <v>1484</v>
      </c>
      <c r="X399" s="20" t="s">
        <v>1484</v>
      </c>
      <c r="Y399" s="20"/>
      <c r="Z399" s="7"/>
      <c r="AA399" s="7"/>
      <c r="AB399" s="23"/>
      <c r="AC399" s="26"/>
    </row>
    <row r="400" spans="1:29" ht="15.75" customHeight="1">
      <c r="A400" s="10" t="s">
        <v>2844</v>
      </c>
      <c r="B400" s="10" t="s">
        <v>1469</v>
      </c>
      <c r="C400" s="60" t="s">
        <v>1470</v>
      </c>
      <c r="D400" s="12"/>
      <c r="E400" s="13" t="s">
        <v>248</v>
      </c>
      <c r="F400" s="6" t="s">
        <v>249</v>
      </c>
      <c r="G400" s="6" t="str">
        <f ca="1">IFERROR(__xludf.DUMMYFUNCTION("CONCATENATE(B400,(VLOOKUP(C400,CATALOGOS!$F$2:$H$6,3,FALSE)),(VLOOKUP(V400,CATALOGOS!$J$2:$K$18,2,FALSE)),""-"",TO_TEXT(A400))"),"P12SI-0399")</f>
        <v>P12SI-0399</v>
      </c>
      <c r="H400" s="6" t="str">
        <f ca="1">IFERROR(__xludf.DUMMYFUNCTION("CONCATENATE($B400,(VLOOKUP($C400,CATALOGOS!$F$2:$H$6,3,FALSE)),(VLOOKUP($V400,CATALOGOS!$J$2:$K$18,2,FALSE)),""-"",TO_TEXT($A400))"),"P12SI-0399")</f>
        <v>P12SI-0399</v>
      </c>
      <c r="I400" s="6"/>
      <c r="J400" s="6" t="s">
        <v>2845</v>
      </c>
      <c r="K400" s="6" t="s">
        <v>2846</v>
      </c>
      <c r="L400" s="6" t="s">
        <v>2847</v>
      </c>
      <c r="M400" s="43" t="s">
        <v>2848</v>
      </c>
      <c r="N400" s="17"/>
      <c r="O400" s="17"/>
      <c r="P400" s="17" t="str">
        <f t="shared" si="2"/>
        <v>OK</v>
      </c>
      <c r="Q400" s="17" t="s">
        <v>827</v>
      </c>
      <c r="R400" s="6" t="s">
        <v>2849</v>
      </c>
      <c r="S400" s="17" t="s">
        <v>2850</v>
      </c>
      <c r="T400" s="10" t="s">
        <v>2851</v>
      </c>
      <c r="U400" s="173" t="s">
        <v>38</v>
      </c>
      <c r="V400" s="181" t="s">
        <v>1483</v>
      </c>
      <c r="W400" s="20" t="s">
        <v>1484</v>
      </c>
      <c r="X400" s="20" t="s">
        <v>1484</v>
      </c>
      <c r="Y400" s="20"/>
      <c r="Z400" s="7"/>
      <c r="AA400" s="7"/>
      <c r="AB400" s="23"/>
      <c r="AC400" s="26"/>
    </row>
    <row r="401" spans="1:29" ht="15.75" customHeight="1">
      <c r="A401" s="10" t="s">
        <v>2852</v>
      </c>
      <c r="B401" s="10" t="s">
        <v>1469</v>
      </c>
      <c r="C401" s="60" t="s">
        <v>1470</v>
      </c>
      <c r="D401" s="12"/>
      <c r="E401" s="13" t="s">
        <v>248</v>
      </c>
      <c r="F401" s="43" t="s">
        <v>2535</v>
      </c>
      <c r="G401" s="6" t="str">
        <f ca="1">IFERROR(__xludf.DUMMYFUNCTION("CONCATENATE(B401,(VLOOKUP(C401,CATALOGOS!$F$2:$H$6,3,FALSE)),(VLOOKUP(V401,CATALOGOS!$J$2:$K$18,2,FALSE)),""-"",TO_TEXT(A401))"),"P12SI-0400")</f>
        <v>P12SI-0400</v>
      </c>
      <c r="H401" s="6" t="str">
        <f ca="1">IFERROR(__xludf.DUMMYFUNCTION("CONCATENATE($B401,(VLOOKUP($C401,CATALOGOS!$F$2:$H$6,3,FALSE)),(VLOOKUP($V401,CATALOGOS!$J$2:$K$18,2,FALSE)),""-"",TO_TEXT($A401))"),"P12SI-0400")</f>
        <v>P12SI-0400</v>
      </c>
      <c r="I401" s="6"/>
      <c r="J401" s="6" t="s">
        <v>2853</v>
      </c>
      <c r="K401" s="6" t="s">
        <v>2854</v>
      </c>
      <c r="L401" s="6" t="s">
        <v>2855</v>
      </c>
      <c r="M401" s="6" t="s">
        <v>141</v>
      </c>
      <c r="N401" s="17"/>
      <c r="O401" s="17"/>
      <c r="P401" s="17" t="str">
        <f t="shared" si="2"/>
        <v>REPETIDO</v>
      </c>
      <c r="Q401" s="17" t="s">
        <v>303</v>
      </c>
      <c r="R401" s="6" t="s">
        <v>2856</v>
      </c>
      <c r="S401" s="17" t="s">
        <v>2857</v>
      </c>
      <c r="T401" s="10" t="s">
        <v>2858</v>
      </c>
      <c r="U401" s="173" t="s">
        <v>38</v>
      </c>
      <c r="V401" s="181" t="s">
        <v>1483</v>
      </c>
      <c r="W401" s="20" t="s">
        <v>1484</v>
      </c>
      <c r="X401" s="20" t="s">
        <v>1484</v>
      </c>
      <c r="Y401" s="20"/>
      <c r="Z401" s="7"/>
      <c r="AA401" s="7"/>
      <c r="AB401" s="23"/>
      <c r="AC401" s="26"/>
    </row>
    <row r="402" spans="1:29" ht="15.75" customHeight="1">
      <c r="A402" s="10" t="s">
        <v>2859</v>
      </c>
      <c r="B402" s="10" t="s">
        <v>1469</v>
      </c>
      <c r="C402" s="60" t="s">
        <v>1470</v>
      </c>
      <c r="D402" s="12"/>
      <c r="E402" s="13" t="s">
        <v>2860</v>
      </c>
      <c r="F402" s="43" t="s">
        <v>2861</v>
      </c>
      <c r="G402" s="6" t="str">
        <f ca="1">IFERROR(__xludf.DUMMYFUNCTION("CONCATENATE(B402,(VLOOKUP(C402,CATALOGOS!$F$2:$H$6,3,FALSE)),(VLOOKUP(V402,CATALOGOS!$J$2:$K$18,2,FALSE)),""-"",TO_TEXT(A402))"),"P12SI-0401")</f>
        <v>P12SI-0401</v>
      </c>
      <c r="H402" s="6" t="str">
        <f ca="1">IFERROR(__xludf.DUMMYFUNCTION("CONCATENATE($B402,(VLOOKUP($C402,CATALOGOS!$F$2:$H$6,3,FALSE)),(VLOOKUP($V402,CATALOGOS!$J$2:$K$18,2,FALSE)),""-"",TO_TEXT($A402))"),"P12SI-0401")</f>
        <v>P12SI-0401</v>
      </c>
      <c r="I402" s="6"/>
      <c r="J402" s="6" t="s">
        <v>2862</v>
      </c>
      <c r="K402" s="6" t="s">
        <v>2863</v>
      </c>
      <c r="L402" s="6" t="s">
        <v>2864</v>
      </c>
      <c r="M402" s="6" t="s">
        <v>2865</v>
      </c>
      <c r="N402" s="17"/>
      <c r="O402" s="17"/>
      <c r="P402" s="17" t="str">
        <f t="shared" si="2"/>
        <v>OK</v>
      </c>
      <c r="Q402" s="17" t="s">
        <v>2866</v>
      </c>
      <c r="R402" s="6" t="s">
        <v>2867</v>
      </c>
      <c r="S402" s="17" t="s">
        <v>2868</v>
      </c>
      <c r="T402" s="17" t="s">
        <v>85</v>
      </c>
      <c r="U402" s="173" t="s">
        <v>38</v>
      </c>
      <c r="V402" s="181" t="s">
        <v>1483</v>
      </c>
      <c r="W402" s="20" t="s">
        <v>1484</v>
      </c>
      <c r="X402" s="20" t="s">
        <v>1484</v>
      </c>
      <c r="Y402" s="20"/>
      <c r="Z402" s="7"/>
      <c r="AA402" s="7"/>
      <c r="AB402" s="23"/>
      <c r="AC402" s="26"/>
    </row>
    <row r="403" spans="1:29" ht="15.75" customHeight="1">
      <c r="A403" s="10" t="s">
        <v>2869</v>
      </c>
      <c r="B403" s="10" t="s">
        <v>1469</v>
      </c>
      <c r="C403" s="60" t="s">
        <v>1470</v>
      </c>
      <c r="D403" s="12"/>
      <c r="E403" s="13" t="s">
        <v>151</v>
      </c>
      <c r="F403" s="6" t="s">
        <v>698</v>
      </c>
      <c r="G403" s="6" t="str">
        <f ca="1">IFERROR(__xludf.DUMMYFUNCTION("CONCATENATE(B403,(VLOOKUP(C403,CATALOGOS!$F$2:$H$6,3,FALSE)),(VLOOKUP(V403,CATALOGOS!$J$2:$K$18,2,FALSE)),""-"",TO_TEXT(A403))"),"P12SI-0402")</f>
        <v>P12SI-0402</v>
      </c>
      <c r="H403" s="6" t="str">
        <f ca="1">IFERROR(__xludf.DUMMYFUNCTION("CONCATENATE($B403,(VLOOKUP($C403,CATALOGOS!$F$2:$H$6,3,FALSE)),(VLOOKUP($V403,CATALOGOS!$J$2:$K$18,2,FALSE)),""-"",TO_TEXT($A403))"),"P12SI-0402")</f>
        <v>P12SI-0402</v>
      </c>
      <c r="I403" s="6"/>
      <c r="J403" s="6" t="s">
        <v>2870</v>
      </c>
      <c r="K403" s="6" t="s">
        <v>2871</v>
      </c>
      <c r="L403" s="6" t="s">
        <v>2872</v>
      </c>
      <c r="M403" s="6" t="s">
        <v>2873</v>
      </c>
      <c r="N403" s="17"/>
      <c r="O403" s="17"/>
      <c r="P403" s="17" t="str">
        <f t="shared" si="2"/>
        <v>OK</v>
      </c>
      <c r="Q403" s="17" t="s">
        <v>703</v>
      </c>
      <c r="R403" s="6" t="s">
        <v>2874</v>
      </c>
      <c r="S403" s="17" t="s">
        <v>2875</v>
      </c>
      <c r="T403" s="17" t="s">
        <v>2876</v>
      </c>
      <c r="U403" s="173" t="s">
        <v>38</v>
      </c>
      <c r="V403" s="181" t="s">
        <v>1483</v>
      </c>
      <c r="W403" s="20" t="s">
        <v>1484</v>
      </c>
      <c r="X403" s="20" t="s">
        <v>1484</v>
      </c>
      <c r="Y403" s="20"/>
      <c r="Z403" s="6"/>
      <c r="AA403" s="6"/>
      <c r="AB403" s="23"/>
      <c r="AC403" s="33"/>
    </row>
    <row r="404" spans="1:29" ht="15.75" customHeight="1">
      <c r="A404" s="10" t="s">
        <v>2877</v>
      </c>
      <c r="B404" s="10" t="s">
        <v>1469</v>
      </c>
      <c r="C404" s="60" t="s">
        <v>1470</v>
      </c>
      <c r="D404" s="12"/>
      <c r="E404" s="13" t="s">
        <v>199</v>
      </c>
      <c r="F404" s="6" t="s">
        <v>677</v>
      </c>
      <c r="G404" s="6" t="str">
        <f ca="1">IFERROR(__xludf.DUMMYFUNCTION("CONCATENATE(B404,(VLOOKUP(C404,CATALOGOS!$F$2:$H$6,3,FALSE)),(VLOOKUP(V404,CATALOGOS!$J$2:$K$18,2,FALSE)),""-"",TO_TEXT(A404))"),"P12CT-0403")</f>
        <v>P12CT-0403</v>
      </c>
      <c r="H404" s="6" t="str">
        <f ca="1">IFERROR(__xludf.DUMMYFUNCTION("CONCATENATE($B404,(VLOOKUP($C404,CATALOGOS!$F$2:$H$6,3,FALSE)),(VLOOKUP($V404,CATALOGOS!$J$2:$K$18,2,FALSE)),""-"",TO_TEXT($A404))"),"P12CT-0403")</f>
        <v>P12CT-0403</v>
      </c>
      <c r="I404" s="6"/>
      <c r="J404" s="6" t="s">
        <v>2878</v>
      </c>
      <c r="K404" s="6" t="s">
        <v>2879</v>
      </c>
      <c r="L404" s="6" t="s">
        <v>2880</v>
      </c>
      <c r="M404" s="6" t="s">
        <v>141</v>
      </c>
      <c r="N404" s="17"/>
      <c r="O404" s="17"/>
      <c r="P404" s="17" t="str">
        <f t="shared" si="2"/>
        <v>REPETIDO</v>
      </c>
      <c r="Q404" s="17" t="s">
        <v>682</v>
      </c>
      <c r="R404" s="32" t="s">
        <v>2881</v>
      </c>
      <c r="S404" s="17" t="s">
        <v>2882</v>
      </c>
      <c r="T404" s="17" t="s">
        <v>2883</v>
      </c>
      <c r="U404" s="173" t="s">
        <v>38</v>
      </c>
      <c r="V404" s="11" t="s">
        <v>2884</v>
      </c>
      <c r="W404" s="20" t="s">
        <v>385</v>
      </c>
      <c r="X404" s="20" t="s">
        <v>385</v>
      </c>
      <c r="Y404" s="20"/>
      <c r="Z404" s="36"/>
      <c r="AA404" s="36"/>
      <c r="AB404" s="23"/>
      <c r="AC404" s="33"/>
    </row>
    <row r="405" spans="1:29" ht="15.75" customHeight="1">
      <c r="A405" s="10" t="s">
        <v>2886</v>
      </c>
      <c r="B405" s="10" t="s">
        <v>1469</v>
      </c>
      <c r="C405" s="63" t="s">
        <v>28</v>
      </c>
      <c r="D405" s="12"/>
      <c r="E405" s="13" t="s">
        <v>199</v>
      </c>
      <c r="F405" s="6" t="s">
        <v>677</v>
      </c>
      <c r="G405" s="15" t="str">
        <f ca="1">IFERROR(__xludf.DUMMYFUNCTION("CONCATENATE(B405,(VLOOKUP(C405,CATALOGOS!$F$2:$H$6,3,FALSE)),(VLOOKUP(V405,CATALOGOS!$J$2:$K$18,2,FALSE)),""-"",TO_TEXT(A405))"),"P15RH-0404")</f>
        <v>P15RH-0404</v>
      </c>
      <c r="H405" s="6" t="str">
        <f ca="1">IFERROR(__xludf.DUMMYFUNCTION("CONCATENATE($B405,(VLOOKUP($C405,CATALOGOS!$F$2:$H$6,3,FALSE)),(VLOOKUP($V405,CATALOGOS!$J$2:$K$18,2,FALSE)),""-"",TO_TEXT($A405))"),"P15RH-0404")</f>
        <v>P15RH-0404</v>
      </c>
      <c r="I405" s="6"/>
      <c r="J405" s="6" t="s">
        <v>2887</v>
      </c>
      <c r="K405" s="6" t="s">
        <v>2888</v>
      </c>
      <c r="L405" s="6" t="s">
        <v>2889</v>
      </c>
      <c r="M405" s="6" t="s">
        <v>141</v>
      </c>
      <c r="N405" s="17"/>
      <c r="O405" s="17"/>
      <c r="P405" s="17" t="str">
        <f t="shared" si="2"/>
        <v>REPETIDO</v>
      </c>
      <c r="Q405" s="17" t="s">
        <v>205</v>
      </c>
      <c r="R405" s="32" t="s">
        <v>2890</v>
      </c>
      <c r="S405" s="17" t="s">
        <v>2891</v>
      </c>
      <c r="T405" s="17" t="s">
        <v>2892</v>
      </c>
      <c r="U405" s="173" t="s">
        <v>38</v>
      </c>
      <c r="V405" s="11" t="s">
        <v>723</v>
      </c>
      <c r="W405" s="20" t="s">
        <v>1185</v>
      </c>
      <c r="X405" s="20" t="s">
        <v>1185</v>
      </c>
      <c r="Y405" s="20"/>
      <c r="Z405" s="6"/>
      <c r="AA405" s="6"/>
      <c r="AB405" s="23"/>
      <c r="AC405" s="33"/>
    </row>
    <row r="406" spans="1:29" ht="15.75" customHeight="1">
      <c r="A406" s="10" t="s">
        <v>2893</v>
      </c>
      <c r="B406" s="10" t="s">
        <v>1469</v>
      </c>
      <c r="C406" s="60" t="s">
        <v>1470</v>
      </c>
      <c r="D406" s="12"/>
      <c r="E406" s="13" t="s">
        <v>199</v>
      </c>
      <c r="F406" s="6" t="s">
        <v>677</v>
      </c>
      <c r="G406" s="6" t="str">
        <f ca="1">IFERROR(__xludf.DUMMYFUNCTION("CONCATENATE(B406,(VLOOKUP(C406,CATALOGOS!$F$2:$H$6,3,FALSE)),(VLOOKUP(V406,CATALOGOS!$J$2:$K$18,2,FALSE)),""-"",TO_TEXT(A406))"),"P12SI-0405")</f>
        <v>P12SI-0405</v>
      </c>
      <c r="H406" s="6" t="str">
        <f ca="1">IFERROR(__xludf.DUMMYFUNCTION("CONCATENATE($B406,(VLOOKUP($C406,CATALOGOS!$F$2:$H$6,3,FALSE)),(VLOOKUP($V406,CATALOGOS!$J$2:$K$18,2,FALSE)),""-"",TO_TEXT($A406))"),"P12SI-0405")</f>
        <v>P12SI-0405</v>
      </c>
      <c r="I406" s="6"/>
      <c r="J406" s="6" t="s">
        <v>2894</v>
      </c>
      <c r="K406" s="6" t="s">
        <v>2895</v>
      </c>
      <c r="L406" s="6" t="s">
        <v>2896</v>
      </c>
      <c r="M406" s="6" t="s">
        <v>141</v>
      </c>
      <c r="N406" s="17"/>
      <c r="O406" s="17"/>
      <c r="P406" s="17" t="str">
        <f t="shared" si="2"/>
        <v>REPETIDO</v>
      </c>
      <c r="Q406" s="17" t="s">
        <v>682</v>
      </c>
      <c r="R406" s="32" t="s">
        <v>2897</v>
      </c>
      <c r="S406" s="17" t="s">
        <v>2898</v>
      </c>
      <c r="T406" s="17" t="s">
        <v>2899</v>
      </c>
      <c r="U406" s="173" t="s">
        <v>38</v>
      </c>
      <c r="V406" s="181" t="s">
        <v>1483</v>
      </c>
      <c r="W406" s="20" t="s">
        <v>1484</v>
      </c>
      <c r="X406" s="20" t="s">
        <v>1484</v>
      </c>
      <c r="Y406" s="20"/>
      <c r="Z406" s="7"/>
      <c r="AA406" s="7"/>
      <c r="AB406" s="23"/>
      <c r="AC406" s="26"/>
    </row>
    <row r="407" spans="1:29" ht="15.75" customHeight="1">
      <c r="A407" s="10" t="s">
        <v>2900</v>
      </c>
      <c r="B407" s="10" t="s">
        <v>1469</v>
      </c>
      <c r="C407" s="60" t="s">
        <v>1470</v>
      </c>
      <c r="D407" s="12"/>
      <c r="E407" s="13" t="s">
        <v>1142</v>
      </c>
      <c r="F407" s="43" t="s">
        <v>2901</v>
      </c>
      <c r="G407" s="6" t="str">
        <f ca="1">IFERROR(__xludf.DUMMYFUNCTION("CONCATENATE(B407,(VLOOKUP(C407,CATALOGOS!$F$2:$H$6,3,FALSE)),(VLOOKUP(V407,CATALOGOS!$J$2:$K$18,2,FALSE)),""-"",TO_TEXT(A407))"),"P12SI-0406")</f>
        <v>P12SI-0406</v>
      </c>
      <c r="H407" s="6" t="str">
        <f ca="1">IFERROR(__xludf.DUMMYFUNCTION("CONCATENATE($B407,(VLOOKUP($C407,CATALOGOS!$F$2:$H$6,3,FALSE)),(VLOOKUP($V407,CATALOGOS!$J$2:$K$18,2,FALSE)),""-"",TO_TEXT($A407))"),"P12SI-0406")</f>
        <v>P12SI-0406</v>
      </c>
      <c r="I407" s="6"/>
      <c r="J407" s="6" t="s">
        <v>2902</v>
      </c>
      <c r="K407" s="6" t="s">
        <v>2903</v>
      </c>
      <c r="L407" s="6" t="s">
        <v>2904</v>
      </c>
      <c r="M407" s="6" t="s">
        <v>2905</v>
      </c>
      <c r="N407" s="17"/>
      <c r="O407" s="17"/>
      <c r="P407" s="17" t="str">
        <f t="shared" si="2"/>
        <v>OK</v>
      </c>
      <c r="Q407" s="17" t="s">
        <v>359</v>
      </c>
      <c r="R407" s="6" t="s">
        <v>2906</v>
      </c>
      <c r="S407" s="17" t="s">
        <v>2907</v>
      </c>
      <c r="T407" s="10" t="s">
        <v>85</v>
      </c>
      <c r="U407" s="173" t="s">
        <v>38</v>
      </c>
      <c r="V407" s="181" t="s">
        <v>1483</v>
      </c>
      <c r="W407" s="20" t="s">
        <v>1484</v>
      </c>
      <c r="X407" s="20" t="s">
        <v>1484</v>
      </c>
      <c r="Y407" s="20"/>
      <c r="Z407" s="7"/>
      <c r="AA407" s="7"/>
      <c r="AB407" s="23"/>
      <c r="AC407" s="26"/>
    </row>
    <row r="408" spans="1:29" ht="15.75" customHeight="1">
      <c r="A408" s="10" t="s">
        <v>2908</v>
      </c>
      <c r="B408" s="10" t="s">
        <v>1469</v>
      </c>
      <c r="C408" s="60" t="s">
        <v>1470</v>
      </c>
      <c r="D408" s="12"/>
      <c r="E408" s="13" t="s">
        <v>151</v>
      </c>
      <c r="F408" s="6" t="s">
        <v>152</v>
      </c>
      <c r="G408" s="6" t="str">
        <f ca="1">IFERROR(__xludf.DUMMYFUNCTION("CONCATENATE(B408,(VLOOKUP(C408,CATALOGOS!$F$2:$H$6,3,FALSE)),(VLOOKUP(V408,CATALOGOS!$J$2:$K$18,2,FALSE)),""-"",TO_TEXT(A408))"),"P12SI-0407")</f>
        <v>P12SI-0407</v>
      </c>
      <c r="H408" s="6" t="str">
        <f ca="1">IFERROR(__xludf.DUMMYFUNCTION("CONCATENATE($B408,(VLOOKUP($C408,CATALOGOS!$F$2:$H$6,3,FALSE)),(VLOOKUP($V408,CATALOGOS!$J$2:$K$18,2,FALSE)),""-"",TO_TEXT($A408))"),"P12SI-0407")</f>
        <v>P12SI-0407</v>
      </c>
      <c r="I408" s="6"/>
      <c r="J408" s="6" t="s">
        <v>2909</v>
      </c>
      <c r="K408" s="6" t="s">
        <v>2910</v>
      </c>
      <c r="L408" s="6" t="s">
        <v>2911</v>
      </c>
      <c r="M408" s="6" t="s">
        <v>2912</v>
      </c>
      <c r="N408" s="17"/>
      <c r="O408" s="17"/>
      <c r="P408" s="17" t="str">
        <f t="shared" si="2"/>
        <v>OK</v>
      </c>
      <c r="Q408" s="17" t="s">
        <v>1220</v>
      </c>
      <c r="R408" s="6" t="s">
        <v>720</v>
      </c>
      <c r="S408" s="17" t="s">
        <v>2913</v>
      </c>
      <c r="T408" s="17" t="s">
        <v>2914</v>
      </c>
      <c r="U408" s="173" t="s">
        <v>2915</v>
      </c>
      <c r="V408" s="181" t="s">
        <v>1483</v>
      </c>
      <c r="W408" s="20" t="s">
        <v>1484</v>
      </c>
      <c r="X408" s="20" t="s">
        <v>1484</v>
      </c>
      <c r="Y408" s="20"/>
      <c r="Z408" s="7"/>
      <c r="AA408" s="7"/>
      <c r="AB408" s="23"/>
      <c r="AC408" s="26"/>
    </row>
    <row r="409" spans="1:29" ht="15.75" customHeight="1">
      <c r="A409" s="10" t="s">
        <v>2916</v>
      </c>
      <c r="B409" s="10" t="s">
        <v>1469</v>
      </c>
      <c r="C409" s="60" t="s">
        <v>1470</v>
      </c>
      <c r="D409" s="12"/>
      <c r="E409" s="13" t="s">
        <v>353</v>
      </c>
      <c r="F409" s="43" t="s">
        <v>638</v>
      </c>
      <c r="G409" s="6" t="str">
        <f ca="1">IFERROR(__xludf.DUMMYFUNCTION("CONCATENATE(B409,(VLOOKUP(C409,CATALOGOS!$F$2:$H$6,3,FALSE)),(VLOOKUP(V409,CATALOGOS!$J$2:$K$18,2,FALSE)),""-"",TO_TEXT(A409))"),"P12SI-0408")</f>
        <v>P12SI-0408</v>
      </c>
      <c r="H409" s="6" t="str">
        <f ca="1">IFERROR(__xludf.DUMMYFUNCTION("CONCATENATE($B409,(VLOOKUP($C409,CATALOGOS!$F$2:$H$6,3,FALSE)),(VLOOKUP($V409,CATALOGOS!$J$2:$K$18,2,FALSE)),""-"",TO_TEXT($A409))"),"P12SI-0408")</f>
        <v>P12SI-0408</v>
      </c>
      <c r="I409" s="6"/>
      <c r="J409" s="6" t="s">
        <v>2917</v>
      </c>
      <c r="K409" s="6" t="s">
        <v>2918</v>
      </c>
      <c r="L409" s="6" t="s">
        <v>2919</v>
      </c>
      <c r="M409" s="43" t="s">
        <v>2920</v>
      </c>
      <c r="N409" s="17"/>
      <c r="O409" s="17"/>
      <c r="P409" s="17" t="str">
        <f t="shared" si="2"/>
        <v>OK</v>
      </c>
      <c r="Q409" s="66" t="s">
        <v>359</v>
      </c>
      <c r="R409" s="6">
        <v>1500</v>
      </c>
      <c r="S409" s="17" t="s">
        <v>2921</v>
      </c>
      <c r="T409" s="10" t="s">
        <v>2922</v>
      </c>
      <c r="U409" s="173" t="s">
        <v>38</v>
      </c>
      <c r="V409" s="181" t="s">
        <v>1483</v>
      </c>
      <c r="W409" s="20" t="s">
        <v>1484</v>
      </c>
      <c r="X409" s="20" t="s">
        <v>1484</v>
      </c>
      <c r="Y409" s="20"/>
      <c r="Z409" s="7"/>
      <c r="AA409" s="7"/>
      <c r="AB409" s="23"/>
      <c r="AC409" s="26"/>
    </row>
    <row r="410" spans="1:29" ht="15.75" customHeight="1">
      <c r="A410" s="10" t="s">
        <v>2923</v>
      </c>
      <c r="B410" s="10" t="s">
        <v>1469</v>
      </c>
      <c r="C410" s="60" t="s">
        <v>1470</v>
      </c>
      <c r="D410" s="12"/>
      <c r="E410" s="13" t="s">
        <v>151</v>
      </c>
      <c r="F410" s="6" t="s">
        <v>698</v>
      </c>
      <c r="G410" s="6" t="str">
        <f ca="1">IFERROR(__xludf.DUMMYFUNCTION("CONCATENATE(B410,(VLOOKUP(C410,CATALOGOS!$F$2:$H$6,3,FALSE)),(VLOOKUP(V410,CATALOGOS!$J$2:$K$18,2,FALSE)),""-"",TO_TEXT(A410))"),"P12SI-0409")</f>
        <v>P12SI-0409</v>
      </c>
      <c r="H410" s="6" t="str">
        <f ca="1">IFERROR(__xludf.DUMMYFUNCTION("CONCATENATE($B410,(VLOOKUP($C410,CATALOGOS!$F$2:$H$6,3,FALSE)),(VLOOKUP($V410,CATALOGOS!$J$2:$K$18,2,FALSE)),""-"",TO_TEXT($A410))"),"P12SI-0409")</f>
        <v>P12SI-0409</v>
      </c>
      <c r="I410" s="6"/>
      <c r="J410" s="6" t="s">
        <v>2924</v>
      </c>
      <c r="K410" s="6" t="s">
        <v>2925</v>
      </c>
      <c r="L410" s="6" t="s">
        <v>2926</v>
      </c>
      <c r="M410" s="6" t="s">
        <v>2927</v>
      </c>
      <c r="N410" s="17"/>
      <c r="O410" s="17"/>
      <c r="P410" s="17" t="str">
        <f t="shared" si="2"/>
        <v>OK</v>
      </c>
      <c r="Q410" s="17" t="s">
        <v>703</v>
      </c>
      <c r="R410" s="6" t="s">
        <v>2874</v>
      </c>
      <c r="S410" s="17" t="s">
        <v>2928</v>
      </c>
      <c r="T410" s="10" t="s">
        <v>2929</v>
      </c>
      <c r="U410" s="173" t="s">
        <v>38</v>
      </c>
      <c r="V410" s="181" t="s">
        <v>1483</v>
      </c>
      <c r="W410" s="20" t="s">
        <v>1484</v>
      </c>
      <c r="X410" s="20" t="s">
        <v>1484</v>
      </c>
      <c r="Y410" s="20"/>
      <c r="Z410" s="7"/>
      <c r="AA410" s="7"/>
      <c r="AB410" s="23"/>
      <c r="AC410" s="26"/>
    </row>
    <row r="411" spans="1:29" ht="15.75" customHeight="1">
      <c r="A411" s="10" t="s">
        <v>2930</v>
      </c>
      <c r="B411" s="10" t="s">
        <v>1469</v>
      </c>
      <c r="C411" s="60" t="s">
        <v>1470</v>
      </c>
      <c r="D411" s="12"/>
      <c r="E411" s="13" t="s">
        <v>2734</v>
      </c>
      <c r="F411" s="43" t="s">
        <v>2734</v>
      </c>
      <c r="G411" s="6" t="str">
        <f ca="1">IFERROR(__xludf.DUMMYFUNCTION("CONCATENATE(B411,(VLOOKUP(C411,CATALOGOS!$F$2:$H$6,3,FALSE)),(VLOOKUP(V411,CATALOGOS!$J$2:$K$18,2,FALSE)),""-"",TO_TEXT(A411))"),"P12SI-0410")</f>
        <v>P12SI-0410</v>
      </c>
      <c r="H411" s="6" t="str">
        <f ca="1">IFERROR(__xludf.DUMMYFUNCTION("CONCATENATE($B411,(VLOOKUP($C411,CATALOGOS!$F$2:$H$6,3,FALSE)),(VLOOKUP($V411,CATALOGOS!$J$2:$K$18,2,FALSE)),""-"",TO_TEXT($A411))"),"P12SI-0410")</f>
        <v>P12SI-0410</v>
      </c>
      <c r="I411" s="6"/>
      <c r="J411" s="6" t="s">
        <v>2932</v>
      </c>
      <c r="K411" s="6" t="s">
        <v>2933</v>
      </c>
      <c r="L411" s="6" t="s">
        <v>2934</v>
      </c>
      <c r="M411" s="6" t="s">
        <v>2935</v>
      </c>
      <c r="N411" s="17"/>
      <c r="O411" s="17"/>
      <c r="P411" s="17" t="str">
        <f t="shared" si="2"/>
        <v>OK</v>
      </c>
      <c r="Q411" s="17" t="s">
        <v>35</v>
      </c>
      <c r="R411" s="6" t="s">
        <v>35</v>
      </c>
      <c r="S411" s="17" t="s">
        <v>36</v>
      </c>
      <c r="T411" s="17" t="s">
        <v>2936</v>
      </c>
      <c r="U411" s="173" t="s">
        <v>38</v>
      </c>
      <c r="V411" s="181" t="s">
        <v>1483</v>
      </c>
      <c r="W411" s="20" t="s">
        <v>2937</v>
      </c>
      <c r="X411" s="20" t="s">
        <v>2937</v>
      </c>
      <c r="Y411" s="20"/>
      <c r="Z411" s="7"/>
      <c r="AA411" s="7"/>
      <c r="AB411" s="23"/>
      <c r="AC411" s="26"/>
    </row>
    <row r="412" spans="1:29" ht="15.75" customHeight="1">
      <c r="A412" s="10" t="s">
        <v>2938</v>
      </c>
      <c r="B412" s="10" t="s">
        <v>1469</v>
      </c>
      <c r="C412" s="60" t="s">
        <v>1470</v>
      </c>
      <c r="D412" s="12"/>
      <c r="E412" s="13" t="s">
        <v>2817</v>
      </c>
      <c r="F412" s="43" t="s">
        <v>2817</v>
      </c>
      <c r="G412" s="6" t="str">
        <f ca="1">IFERROR(__xludf.DUMMYFUNCTION("CONCATENATE(B412,(VLOOKUP(C412,CATALOGOS!$F$2:$H$6,3,FALSE)),(VLOOKUP(V412,CATALOGOS!$J$2:$K$18,2,FALSE)),""-"",TO_TEXT(A412))"),"P12SI-0411")</f>
        <v>P12SI-0411</v>
      </c>
      <c r="H412" s="6" t="str">
        <f ca="1">IFERROR(__xludf.DUMMYFUNCTION("CONCATENATE($B412,(VLOOKUP($C412,CATALOGOS!$F$2:$H$6,3,FALSE)),(VLOOKUP($V412,CATALOGOS!$J$2:$K$18,2,FALSE)),""-"",TO_TEXT($A412))"),"P12SI-0411")</f>
        <v>P12SI-0411</v>
      </c>
      <c r="I412" s="6"/>
      <c r="J412" s="6" t="s">
        <v>2939</v>
      </c>
      <c r="K412" s="6" t="s">
        <v>2940</v>
      </c>
      <c r="L412" s="6" t="s">
        <v>2941</v>
      </c>
      <c r="M412" s="6" t="s">
        <v>2942</v>
      </c>
      <c r="N412" s="17"/>
      <c r="O412" s="17"/>
      <c r="P412" s="17" t="str">
        <f t="shared" si="2"/>
        <v>OK</v>
      </c>
      <c r="Q412" s="17" t="s">
        <v>2943</v>
      </c>
      <c r="R412" s="6" t="s">
        <v>35</v>
      </c>
      <c r="S412" s="17" t="s">
        <v>36</v>
      </c>
      <c r="T412" s="17" t="s">
        <v>2944</v>
      </c>
      <c r="U412" s="173" t="s">
        <v>38</v>
      </c>
      <c r="V412" s="181" t="s">
        <v>1483</v>
      </c>
      <c r="W412" s="68" t="s">
        <v>2937</v>
      </c>
      <c r="X412" s="68" t="s">
        <v>2937</v>
      </c>
      <c r="Y412" s="68"/>
      <c r="Z412" s="7"/>
      <c r="AA412" s="7"/>
      <c r="AB412" s="23"/>
      <c r="AC412" s="26"/>
    </row>
    <row r="413" spans="1:29" ht="15.75" customHeight="1">
      <c r="A413" s="10" t="s">
        <v>2945</v>
      </c>
      <c r="B413" s="10" t="s">
        <v>1469</v>
      </c>
      <c r="C413" s="60" t="s">
        <v>1470</v>
      </c>
      <c r="D413" s="12"/>
      <c r="E413" s="13" t="s">
        <v>2351</v>
      </c>
      <c r="F413" s="43" t="s">
        <v>2352</v>
      </c>
      <c r="G413" s="6" t="str">
        <f ca="1">IFERROR(__xludf.DUMMYFUNCTION("CONCATENATE(B413,(VLOOKUP(C413,CATALOGOS!$F$2:$H$6,3,FALSE)),(VLOOKUP(V413,CATALOGOS!$J$2:$K$18,2,FALSE)),""-"",TO_TEXT(A413))"),"P12SI-0412")</f>
        <v>P12SI-0412</v>
      </c>
      <c r="H413" s="6" t="str">
        <f ca="1">IFERROR(__xludf.DUMMYFUNCTION("CONCATENATE($B413,(VLOOKUP($C413,CATALOGOS!$F$2:$H$6,3,FALSE)),(VLOOKUP($V413,CATALOGOS!$J$2:$K$18,2,FALSE)),""-"",TO_TEXT($A413))"),"P12SI-0412")</f>
        <v>P12SI-0412</v>
      </c>
      <c r="I413" s="6"/>
      <c r="J413" s="6" t="s">
        <v>2946</v>
      </c>
      <c r="K413" s="6" t="s">
        <v>2947</v>
      </c>
      <c r="L413" s="6" t="s">
        <v>2948</v>
      </c>
      <c r="M413" s="6" t="s">
        <v>2949</v>
      </c>
      <c r="N413" s="17"/>
      <c r="O413" s="17"/>
      <c r="P413" s="17" t="str">
        <f t="shared" si="2"/>
        <v>OK</v>
      </c>
      <c r="Q413" s="17" t="s">
        <v>2357</v>
      </c>
      <c r="R413" s="6" t="s">
        <v>35</v>
      </c>
      <c r="S413" s="17" t="s">
        <v>2928</v>
      </c>
      <c r="T413" s="17" t="s">
        <v>2950</v>
      </c>
      <c r="U413" s="173" t="s">
        <v>38</v>
      </c>
      <c r="V413" s="181" t="s">
        <v>1483</v>
      </c>
      <c r="W413" s="20" t="s">
        <v>2937</v>
      </c>
      <c r="X413" s="20" t="s">
        <v>2937</v>
      </c>
      <c r="Y413" s="20"/>
      <c r="Z413" s="7"/>
      <c r="AA413" s="7"/>
      <c r="AB413" s="23"/>
      <c r="AC413" s="26"/>
    </row>
    <row r="414" spans="1:29" ht="15.75" customHeight="1">
      <c r="A414" s="10" t="s">
        <v>2951</v>
      </c>
      <c r="B414" s="10" t="s">
        <v>1469</v>
      </c>
      <c r="C414" s="60" t="s">
        <v>1470</v>
      </c>
      <c r="D414" s="12"/>
      <c r="E414" s="13" t="s">
        <v>501</v>
      </c>
      <c r="F414" s="6" t="s">
        <v>2952</v>
      </c>
      <c r="G414" s="6" t="str">
        <f ca="1">IFERROR(__xludf.DUMMYFUNCTION("CONCATENATE(B414,(VLOOKUP(C414,CATALOGOS!$F$2:$H$6,3,FALSE)),(VLOOKUP(V414,CATALOGOS!$J$2:$K$18,2,FALSE)),""-"",TO_TEXT(A414))"),"P12SI-0413")</f>
        <v>P12SI-0413</v>
      </c>
      <c r="H414" s="6" t="str">
        <f ca="1">IFERROR(__xludf.DUMMYFUNCTION("CONCATENATE($B414,(VLOOKUP($C414,CATALOGOS!$F$2:$H$6,3,FALSE)),(VLOOKUP($V414,CATALOGOS!$J$2:$K$18,2,FALSE)),""-"",TO_TEXT($A414))"),"P12SI-0413")</f>
        <v>P12SI-0413</v>
      </c>
      <c r="I414" s="6"/>
      <c r="J414" s="6" t="s">
        <v>2953</v>
      </c>
      <c r="K414" s="6" t="s">
        <v>2954</v>
      </c>
      <c r="L414" s="6" t="s">
        <v>2955</v>
      </c>
      <c r="M414" s="43" t="s">
        <v>2956</v>
      </c>
      <c r="N414" s="17"/>
      <c r="O414" s="17"/>
      <c r="P414" s="17" t="str">
        <f t="shared" si="2"/>
        <v>OK</v>
      </c>
      <c r="Q414" s="17" t="s">
        <v>35</v>
      </c>
      <c r="R414" s="6" t="s">
        <v>35</v>
      </c>
      <c r="S414" s="17" t="s">
        <v>36</v>
      </c>
      <c r="T414" s="10" t="s">
        <v>2957</v>
      </c>
      <c r="U414" s="173" t="s">
        <v>38</v>
      </c>
      <c r="V414" s="181" t="s">
        <v>1483</v>
      </c>
      <c r="W414" s="20" t="s">
        <v>1484</v>
      </c>
      <c r="X414" s="20" t="s">
        <v>1484</v>
      </c>
      <c r="Y414" s="20"/>
      <c r="Z414" s="7"/>
      <c r="AA414" s="7"/>
      <c r="AB414" s="23"/>
      <c r="AC414" s="26"/>
    </row>
    <row r="415" spans="1:29" ht="15.75" customHeight="1">
      <c r="A415" s="10" t="s">
        <v>2958</v>
      </c>
      <c r="B415" s="10" t="s">
        <v>1469</v>
      </c>
      <c r="C415" s="60" t="s">
        <v>1470</v>
      </c>
      <c r="D415" s="12"/>
      <c r="E415" s="13" t="s">
        <v>2734</v>
      </c>
      <c r="F415" s="43" t="s">
        <v>2734</v>
      </c>
      <c r="G415" s="6" t="str">
        <f ca="1">IFERROR(__xludf.DUMMYFUNCTION("CONCATENATE(B415,(VLOOKUP(C415,CATALOGOS!$F$2:$H$6,3,FALSE)),(VLOOKUP(V415,CATALOGOS!$J$2:$K$18,2,FALSE)),""-"",TO_TEXT(A415))"),"P12SI-0414")</f>
        <v>P12SI-0414</v>
      </c>
      <c r="H415" s="6" t="str">
        <f ca="1">IFERROR(__xludf.DUMMYFUNCTION("CONCATENATE($B415,(VLOOKUP($C415,CATALOGOS!$F$2:$H$6,3,FALSE)),(VLOOKUP($V415,CATALOGOS!$J$2:$K$18,2,FALSE)),""-"",TO_TEXT($A415))"),"P12SI-0414")</f>
        <v>P12SI-0414</v>
      </c>
      <c r="I415" s="6"/>
      <c r="J415" s="6" t="s">
        <v>2959</v>
      </c>
      <c r="K415" s="6" t="s">
        <v>2960</v>
      </c>
      <c r="L415" s="49" t="s">
        <v>2961</v>
      </c>
      <c r="M415" s="6" t="s">
        <v>2962</v>
      </c>
      <c r="N415" s="17"/>
      <c r="O415" s="17"/>
      <c r="P415" s="17" t="str">
        <f t="shared" si="2"/>
        <v>OK</v>
      </c>
      <c r="Q415" s="17" t="s">
        <v>35</v>
      </c>
      <c r="R415" s="6" t="s">
        <v>35</v>
      </c>
      <c r="S415" s="17" t="s">
        <v>36</v>
      </c>
      <c r="T415" s="17" t="s">
        <v>2963</v>
      </c>
      <c r="U415" s="173" t="s">
        <v>38</v>
      </c>
      <c r="V415" s="181" t="s">
        <v>1483</v>
      </c>
      <c r="W415" s="20" t="s">
        <v>2964</v>
      </c>
      <c r="X415" s="20" t="s">
        <v>2964</v>
      </c>
      <c r="Y415" s="20"/>
      <c r="Z415" s="7"/>
      <c r="AA415" s="7"/>
      <c r="AB415" s="23"/>
      <c r="AC415" s="26"/>
    </row>
    <row r="416" spans="1:29" ht="15.75" customHeight="1">
      <c r="A416" s="10" t="s">
        <v>2965</v>
      </c>
      <c r="B416" s="10" t="s">
        <v>1469</v>
      </c>
      <c r="C416" s="60" t="s">
        <v>1470</v>
      </c>
      <c r="D416" s="12"/>
      <c r="E416" s="13" t="s">
        <v>2817</v>
      </c>
      <c r="F416" s="43" t="s">
        <v>2817</v>
      </c>
      <c r="G416" s="6" t="str">
        <f ca="1">IFERROR(__xludf.DUMMYFUNCTION("CONCATENATE(B416,(VLOOKUP(C416,CATALOGOS!$F$2:$H$6,3,FALSE)),(VLOOKUP(V416,CATALOGOS!$J$2:$K$18,2,FALSE)),""-"",TO_TEXT(A416))"),"P12SI-0415")</f>
        <v>P12SI-0415</v>
      </c>
      <c r="H416" s="6" t="str">
        <f ca="1">IFERROR(__xludf.DUMMYFUNCTION("CONCATENATE($B416,(VLOOKUP($C416,CATALOGOS!$F$2:$H$6,3,FALSE)),(VLOOKUP($V416,CATALOGOS!$J$2:$K$18,2,FALSE)),""-"",TO_TEXT($A416))"),"P12SI-0415")</f>
        <v>P12SI-0415</v>
      </c>
      <c r="I416" s="6"/>
      <c r="J416" s="6" t="s">
        <v>2966</v>
      </c>
      <c r="K416" s="6" t="s">
        <v>2967</v>
      </c>
      <c r="L416" s="6" t="s">
        <v>2968</v>
      </c>
      <c r="M416" s="6" t="s">
        <v>2969</v>
      </c>
      <c r="N416" s="17"/>
      <c r="O416" s="17"/>
      <c r="P416" s="17" t="str">
        <f t="shared" si="2"/>
        <v>OK</v>
      </c>
      <c r="Q416" s="17" t="s">
        <v>2822</v>
      </c>
      <c r="R416" s="6" t="s">
        <v>35</v>
      </c>
      <c r="S416" s="6" t="s">
        <v>36</v>
      </c>
      <c r="T416" s="17" t="s">
        <v>2970</v>
      </c>
      <c r="U416" s="173" t="s">
        <v>38</v>
      </c>
      <c r="V416" s="181" t="s">
        <v>1483</v>
      </c>
      <c r="W416" s="20" t="s">
        <v>2964</v>
      </c>
      <c r="X416" s="20" t="s">
        <v>2964</v>
      </c>
      <c r="Y416" s="20"/>
      <c r="Z416" s="7"/>
      <c r="AA416" s="7"/>
      <c r="AB416" s="23"/>
      <c r="AC416" s="26"/>
    </row>
    <row r="417" spans="1:29" ht="15.75" customHeight="1">
      <c r="A417" s="10" t="s">
        <v>2971</v>
      </c>
      <c r="B417" s="10" t="s">
        <v>1469</v>
      </c>
      <c r="C417" s="60" t="s">
        <v>1470</v>
      </c>
      <c r="D417" s="12"/>
      <c r="E417" s="13" t="s">
        <v>2351</v>
      </c>
      <c r="F417" s="43" t="s">
        <v>2352</v>
      </c>
      <c r="G417" s="6" t="str">
        <f ca="1">IFERROR(__xludf.DUMMYFUNCTION("CONCATENATE(B417,(VLOOKUP(C417,CATALOGOS!$F$2:$H$6,3,FALSE)),(VLOOKUP(V417,CATALOGOS!$J$2:$K$18,2,FALSE)),""-"",TO_TEXT(A417))"),"P12SI-0416")</f>
        <v>P12SI-0416</v>
      </c>
      <c r="H417" s="6" t="str">
        <f ca="1">IFERROR(__xludf.DUMMYFUNCTION("CONCATENATE($B417,(VLOOKUP($C417,CATALOGOS!$F$2:$H$6,3,FALSE)),(VLOOKUP($V417,CATALOGOS!$J$2:$K$18,2,FALSE)),""-"",TO_TEXT($A417))"),"P12SI-0416")</f>
        <v>P12SI-0416</v>
      </c>
      <c r="I417" s="6"/>
      <c r="J417" s="6" t="s">
        <v>2972</v>
      </c>
      <c r="K417" s="6" t="s">
        <v>2973</v>
      </c>
      <c r="L417" s="6" t="s">
        <v>2974</v>
      </c>
      <c r="M417" s="6" t="s">
        <v>2975</v>
      </c>
      <c r="N417" s="17"/>
      <c r="O417" s="17"/>
      <c r="P417" s="17" t="str">
        <f t="shared" si="2"/>
        <v>OK</v>
      </c>
      <c r="Q417" s="17" t="s">
        <v>2976</v>
      </c>
      <c r="R417" s="6" t="s">
        <v>2977</v>
      </c>
      <c r="S417" s="6" t="s">
        <v>2978</v>
      </c>
      <c r="T417" s="10" t="s">
        <v>2979</v>
      </c>
      <c r="U417" s="173" t="s">
        <v>38</v>
      </c>
      <c r="V417" s="181" t="s">
        <v>1483</v>
      </c>
      <c r="W417" s="20" t="s">
        <v>2964</v>
      </c>
      <c r="X417" s="20" t="s">
        <v>2964</v>
      </c>
      <c r="Y417" s="20"/>
      <c r="Z417" s="7"/>
      <c r="AA417" s="7"/>
      <c r="AB417" s="23"/>
      <c r="AC417" s="26"/>
    </row>
    <row r="418" spans="1:29" ht="15.75" customHeight="1">
      <c r="A418" s="10" t="s">
        <v>2980</v>
      </c>
      <c r="B418" s="10" t="s">
        <v>1469</v>
      </c>
      <c r="C418" s="60" t="s">
        <v>1470</v>
      </c>
      <c r="D418" s="12"/>
      <c r="E418" s="13" t="s">
        <v>93</v>
      </c>
      <c r="F418" s="6" t="s">
        <v>2981</v>
      </c>
      <c r="G418" s="6" t="str">
        <f ca="1">IFERROR(__xludf.DUMMYFUNCTION("CONCATENATE(B418,(VLOOKUP(C418,CATALOGOS!$F$2:$H$6,3,FALSE)),(VLOOKUP(V418,CATALOGOS!$J$2:$K$18,2,FALSE)),""-"",TO_TEXT(A418))"),"P12SI-0417")</f>
        <v>P12SI-0417</v>
      </c>
      <c r="H418" s="6" t="str">
        <f ca="1">IFERROR(__xludf.DUMMYFUNCTION("CONCATENATE($B418,(VLOOKUP($C418,CATALOGOS!$F$2:$H$6,3,FALSE)),(VLOOKUP($V418,CATALOGOS!$J$2:$K$18,2,FALSE)),""-"",TO_TEXT($A418))"),"P12SI-0417")</f>
        <v>P12SI-0417</v>
      </c>
      <c r="I418" s="6"/>
      <c r="J418" s="6" t="s">
        <v>2982</v>
      </c>
      <c r="K418" s="6" t="s">
        <v>2983</v>
      </c>
      <c r="L418" s="6" t="s">
        <v>2984</v>
      </c>
      <c r="M418" s="6" t="s">
        <v>2985</v>
      </c>
      <c r="N418" s="17"/>
      <c r="O418" s="17"/>
      <c r="P418" s="17" t="str">
        <f t="shared" si="2"/>
        <v>OK</v>
      </c>
      <c r="Q418" s="17" t="s">
        <v>35</v>
      </c>
      <c r="R418" s="6" t="s">
        <v>35</v>
      </c>
      <c r="S418" s="17" t="s">
        <v>36</v>
      </c>
      <c r="T418" s="17" t="s">
        <v>2986</v>
      </c>
      <c r="U418" s="173" t="s">
        <v>38</v>
      </c>
      <c r="V418" s="181" t="s">
        <v>1483</v>
      </c>
      <c r="W418" s="20" t="s">
        <v>1484</v>
      </c>
      <c r="X418" s="20" t="s">
        <v>1484</v>
      </c>
      <c r="Y418" s="20"/>
      <c r="Z418" s="7"/>
      <c r="AA418" s="7"/>
      <c r="AB418" s="23"/>
      <c r="AC418" s="26"/>
    </row>
    <row r="419" spans="1:29" ht="15.75" customHeight="1">
      <c r="A419" s="10" t="s">
        <v>2987</v>
      </c>
      <c r="B419" s="10" t="s">
        <v>1469</v>
      </c>
      <c r="C419" s="60" t="s">
        <v>1470</v>
      </c>
      <c r="D419" s="12"/>
      <c r="E419" s="13" t="s">
        <v>2988</v>
      </c>
      <c r="F419" s="6" t="s">
        <v>2988</v>
      </c>
      <c r="G419" s="6" t="str">
        <f ca="1">IFERROR(__xludf.DUMMYFUNCTION("CONCATENATE(B419,(VLOOKUP(C419,CATALOGOS!$F$2:$H$6,3,FALSE)),(VLOOKUP(V419,CATALOGOS!$J$2:$K$18,2,FALSE)),""-"",TO_TEXT(A419))"),"P12SI-0418")</f>
        <v>P12SI-0418</v>
      </c>
      <c r="H419" s="6" t="str">
        <f ca="1">IFERROR(__xludf.DUMMYFUNCTION("CONCATENATE($B419,(VLOOKUP($C419,CATALOGOS!$F$2:$H$6,3,FALSE)),(VLOOKUP($V419,CATALOGOS!$J$2:$K$18,2,FALSE)),""-"",TO_TEXT($A419))"),"P12SI-0418")</f>
        <v>P12SI-0418</v>
      </c>
      <c r="I419" s="6"/>
      <c r="J419" s="6" t="s">
        <v>2989</v>
      </c>
      <c r="K419" s="6" t="s">
        <v>2990</v>
      </c>
      <c r="L419" s="6" t="s">
        <v>2991</v>
      </c>
      <c r="M419" s="6" t="s">
        <v>2992</v>
      </c>
      <c r="N419" s="17"/>
      <c r="O419" s="17"/>
      <c r="P419" s="17" t="str">
        <f t="shared" si="2"/>
        <v>OK</v>
      </c>
      <c r="Q419" s="17" t="s">
        <v>2993</v>
      </c>
      <c r="R419" s="6" t="s">
        <v>2994</v>
      </c>
      <c r="S419" s="17" t="s">
        <v>2995</v>
      </c>
      <c r="T419" s="17" t="s">
        <v>2996</v>
      </c>
      <c r="U419" s="173" t="s">
        <v>38</v>
      </c>
      <c r="V419" s="181" t="s">
        <v>1483</v>
      </c>
      <c r="W419" s="20" t="s">
        <v>1484</v>
      </c>
      <c r="X419" s="20" t="s">
        <v>1484</v>
      </c>
      <c r="Y419" s="20"/>
      <c r="Z419" s="6"/>
      <c r="AA419" s="6"/>
      <c r="AB419" s="23"/>
      <c r="AC419" s="33"/>
    </row>
    <row r="420" spans="1:29" ht="15.75" customHeight="1">
      <c r="A420" s="10" t="s">
        <v>2998</v>
      </c>
      <c r="B420" s="10" t="s">
        <v>1469</v>
      </c>
      <c r="C420" s="60" t="s">
        <v>1470</v>
      </c>
      <c r="D420" s="12"/>
      <c r="E420" s="13" t="s">
        <v>2988</v>
      </c>
      <c r="F420" s="6" t="s">
        <v>2988</v>
      </c>
      <c r="G420" s="6" t="str">
        <f ca="1">IFERROR(__xludf.DUMMYFUNCTION("CONCATENATE(B420,(VLOOKUP(C420,CATALOGOS!$F$2:$H$6,3,FALSE)),(VLOOKUP(V420,CATALOGOS!$J$2:$K$18,2,FALSE)),""-"",TO_TEXT(A420))"),"P12SI-0419")</f>
        <v>P12SI-0419</v>
      </c>
      <c r="H420" s="6" t="str">
        <f ca="1">IFERROR(__xludf.DUMMYFUNCTION("CONCATENATE($B420,(VLOOKUP($C420,CATALOGOS!$F$2:$H$6,3,FALSE)),(VLOOKUP($V420,CATALOGOS!$J$2:$K$18,2,FALSE)),""-"",TO_TEXT($A420))"),"P12SI-0419")</f>
        <v>P12SI-0419</v>
      </c>
      <c r="I420" s="6"/>
      <c r="J420" s="6" t="s">
        <v>2999</v>
      </c>
      <c r="K420" s="6" t="s">
        <v>3000</v>
      </c>
      <c r="L420" s="6" t="s">
        <v>3001</v>
      </c>
      <c r="M420" s="6" t="s">
        <v>3002</v>
      </c>
      <c r="N420" s="17"/>
      <c r="O420" s="17"/>
      <c r="P420" s="17" t="str">
        <f t="shared" si="2"/>
        <v>OK</v>
      </c>
      <c r="Q420" s="17" t="s">
        <v>2993</v>
      </c>
      <c r="R420" s="6" t="s">
        <v>3003</v>
      </c>
      <c r="S420" s="17" t="s">
        <v>3004</v>
      </c>
      <c r="T420" s="17" t="s">
        <v>3005</v>
      </c>
      <c r="U420" s="173" t="s">
        <v>38</v>
      </c>
      <c r="V420" s="181" t="s">
        <v>1483</v>
      </c>
      <c r="W420" s="20" t="s">
        <v>1484</v>
      </c>
      <c r="X420" s="20" t="s">
        <v>1484</v>
      </c>
      <c r="Y420" s="20"/>
      <c r="Z420" s="6"/>
      <c r="AA420" s="6"/>
      <c r="AB420" s="23"/>
      <c r="AC420" s="33"/>
    </row>
    <row r="421" spans="1:29" ht="15.75" customHeight="1">
      <c r="A421" s="10" t="s">
        <v>3007</v>
      </c>
      <c r="B421" s="10" t="s">
        <v>1469</v>
      </c>
      <c r="C421" s="60" t="s">
        <v>1470</v>
      </c>
      <c r="D421" s="12"/>
      <c r="E421" s="13" t="s">
        <v>2988</v>
      </c>
      <c r="F421" s="6" t="s">
        <v>2988</v>
      </c>
      <c r="G421" s="6" t="str">
        <f ca="1">IFERROR(__xludf.DUMMYFUNCTION("CONCATENATE(B421,(VLOOKUP(C421,CATALOGOS!$F$2:$H$6,3,FALSE)),(VLOOKUP(V421,CATALOGOS!$J$2:$K$18,2,FALSE)),""-"",TO_TEXT(A421))"),"P12SI-0420")</f>
        <v>P12SI-0420</v>
      </c>
      <c r="H421" s="6" t="str">
        <f ca="1">IFERROR(__xludf.DUMMYFUNCTION("CONCATENATE($B421,(VLOOKUP($C421,CATALOGOS!$F$2:$H$6,3,FALSE)),(VLOOKUP($V421,CATALOGOS!$J$2:$K$18,2,FALSE)),""-"",TO_TEXT($A421))"),"P12SI-0420")</f>
        <v>P12SI-0420</v>
      </c>
      <c r="I421" s="6"/>
      <c r="J421" s="6" t="s">
        <v>3008</v>
      </c>
      <c r="K421" s="6" t="s">
        <v>3009</v>
      </c>
      <c r="L421" s="6" t="s">
        <v>3010</v>
      </c>
      <c r="M421" s="6" t="s">
        <v>3011</v>
      </c>
      <c r="N421" s="17"/>
      <c r="O421" s="17"/>
      <c r="P421" s="17" t="str">
        <f t="shared" si="2"/>
        <v>OK</v>
      </c>
      <c r="Q421" s="17" t="s">
        <v>2993</v>
      </c>
      <c r="R421" s="6" t="s">
        <v>3003</v>
      </c>
      <c r="S421" s="17" t="s">
        <v>3013</v>
      </c>
      <c r="T421" s="17" t="s">
        <v>3014</v>
      </c>
      <c r="U421" s="173" t="s">
        <v>38</v>
      </c>
      <c r="V421" s="181" t="s">
        <v>1483</v>
      </c>
      <c r="W421" s="20" t="s">
        <v>1484</v>
      </c>
      <c r="X421" s="20" t="s">
        <v>1484</v>
      </c>
      <c r="Y421" s="20"/>
      <c r="Z421" s="6"/>
      <c r="AA421" s="6"/>
      <c r="AB421" s="23"/>
      <c r="AC421" s="33"/>
    </row>
    <row r="422" spans="1:29" ht="15.75" customHeight="1">
      <c r="A422" s="10" t="s">
        <v>3016</v>
      </c>
      <c r="B422" s="10" t="s">
        <v>1469</v>
      </c>
      <c r="C422" s="60" t="s">
        <v>1470</v>
      </c>
      <c r="D422" s="12"/>
      <c r="E422" s="13" t="s">
        <v>2988</v>
      </c>
      <c r="F422" s="6" t="s">
        <v>2988</v>
      </c>
      <c r="G422" s="6" t="str">
        <f ca="1">IFERROR(__xludf.DUMMYFUNCTION("CONCATENATE(B422,(VLOOKUP(C422,CATALOGOS!$F$2:$H$6,3,FALSE)),(VLOOKUP(V422,CATALOGOS!$J$2:$K$18,2,FALSE)),""-"",TO_TEXT(A422))"),"P12SI-0421")</f>
        <v>P12SI-0421</v>
      </c>
      <c r="H422" s="6" t="str">
        <f ca="1">IFERROR(__xludf.DUMMYFUNCTION("CONCATENATE($B422,(VLOOKUP($C422,CATALOGOS!$F$2:$H$6,3,FALSE)),(VLOOKUP($V422,CATALOGOS!$J$2:$K$18,2,FALSE)),""-"",TO_TEXT($A422))"),"P12SI-0421")</f>
        <v>P12SI-0421</v>
      </c>
      <c r="I422" s="6"/>
      <c r="J422" s="6" t="s">
        <v>3017</v>
      </c>
      <c r="K422" s="6" t="s">
        <v>3018</v>
      </c>
      <c r="L422" s="6" t="s">
        <v>3019</v>
      </c>
      <c r="M422" s="6" t="s">
        <v>3020</v>
      </c>
      <c r="N422" s="17"/>
      <c r="O422" s="17"/>
      <c r="P422" s="17" t="str">
        <f t="shared" si="2"/>
        <v>OK</v>
      </c>
      <c r="Q422" s="17" t="s">
        <v>2993</v>
      </c>
      <c r="R422" s="6" t="s">
        <v>3003</v>
      </c>
      <c r="S422" s="17" t="s">
        <v>3021</v>
      </c>
      <c r="T422" s="17" t="s">
        <v>3022</v>
      </c>
      <c r="U422" s="173" t="s">
        <v>38</v>
      </c>
      <c r="V422" s="181" t="s">
        <v>1483</v>
      </c>
      <c r="W422" s="20" t="s">
        <v>1484</v>
      </c>
      <c r="X422" s="20" t="s">
        <v>1484</v>
      </c>
      <c r="Y422" s="20"/>
      <c r="Z422" s="6"/>
      <c r="AA422" s="6"/>
      <c r="AB422" s="23"/>
      <c r="AC422" s="33"/>
    </row>
    <row r="423" spans="1:29" ht="15.75" customHeight="1">
      <c r="A423" s="10" t="s">
        <v>3024</v>
      </c>
      <c r="B423" s="10" t="s">
        <v>1469</v>
      </c>
      <c r="C423" s="60" t="s">
        <v>1470</v>
      </c>
      <c r="D423" s="12"/>
      <c r="E423" s="13" t="s">
        <v>2988</v>
      </c>
      <c r="F423" s="6" t="s">
        <v>2988</v>
      </c>
      <c r="G423" s="6" t="str">
        <f ca="1">IFERROR(__xludf.DUMMYFUNCTION("CONCATENATE(B423,(VLOOKUP(C423,CATALOGOS!$F$2:$H$6,3,FALSE)),(VLOOKUP(V423,CATALOGOS!$J$2:$K$18,2,FALSE)),""-"",TO_TEXT(A423))"),"P12SI-0422")</f>
        <v>P12SI-0422</v>
      </c>
      <c r="H423" s="6" t="str">
        <f ca="1">IFERROR(__xludf.DUMMYFUNCTION("CONCATENATE($B423,(VLOOKUP($C423,CATALOGOS!$F$2:$H$6,3,FALSE)),(VLOOKUP($V423,CATALOGOS!$J$2:$K$18,2,FALSE)),""-"",TO_TEXT($A423))"),"P12SI-0422")</f>
        <v>P12SI-0422</v>
      </c>
      <c r="I423" s="6"/>
      <c r="J423" s="6" t="s">
        <v>3025</v>
      </c>
      <c r="K423" s="6" t="s">
        <v>3026</v>
      </c>
      <c r="L423" s="6" t="s">
        <v>3027</v>
      </c>
      <c r="M423" s="6" t="s">
        <v>3028</v>
      </c>
      <c r="N423" s="17"/>
      <c r="O423" s="17"/>
      <c r="P423" s="17" t="str">
        <f t="shared" si="2"/>
        <v>OK</v>
      </c>
      <c r="Q423" s="17" t="s">
        <v>2993</v>
      </c>
      <c r="R423" s="6" t="s">
        <v>3003</v>
      </c>
      <c r="S423" s="17" t="s">
        <v>3029</v>
      </c>
      <c r="T423" s="17" t="s">
        <v>3030</v>
      </c>
      <c r="U423" s="173" t="s">
        <v>38</v>
      </c>
      <c r="V423" s="181" t="s">
        <v>1483</v>
      </c>
      <c r="W423" s="20" t="s">
        <v>1484</v>
      </c>
      <c r="X423" s="20" t="s">
        <v>1484</v>
      </c>
      <c r="Y423" s="20"/>
      <c r="Z423" s="6"/>
      <c r="AA423" s="6"/>
      <c r="AB423" s="23"/>
      <c r="AC423" s="33"/>
    </row>
    <row r="424" spans="1:29" ht="15.75" customHeight="1">
      <c r="A424" s="10" t="s">
        <v>3032</v>
      </c>
      <c r="B424" s="10" t="s">
        <v>1469</v>
      </c>
      <c r="C424" s="60" t="s">
        <v>1470</v>
      </c>
      <c r="D424" s="12"/>
      <c r="E424" s="13" t="s">
        <v>2988</v>
      </c>
      <c r="F424" s="6" t="s">
        <v>2988</v>
      </c>
      <c r="G424" s="6" t="str">
        <f ca="1">IFERROR(__xludf.DUMMYFUNCTION("CONCATENATE(B424,(VLOOKUP(C424,CATALOGOS!$F$2:$H$6,3,FALSE)),(VLOOKUP(V424,CATALOGOS!$J$2:$K$18,2,FALSE)),""-"",TO_TEXT(A424))"),"P12SI-0423")</f>
        <v>P12SI-0423</v>
      </c>
      <c r="H424" s="6" t="str">
        <f ca="1">IFERROR(__xludf.DUMMYFUNCTION("CONCATENATE($B424,(VLOOKUP($C424,CATALOGOS!$F$2:$H$6,3,FALSE)),(VLOOKUP($V424,CATALOGOS!$J$2:$K$18,2,FALSE)),""-"",TO_TEXT($A424))"),"P12SI-0423")</f>
        <v>P12SI-0423</v>
      </c>
      <c r="I424" s="6"/>
      <c r="J424" s="6" t="s">
        <v>3033</v>
      </c>
      <c r="K424" s="6" t="s">
        <v>3034</v>
      </c>
      <c r="L424" s="6" t="s">
        <v>3035</v>
      </c>
      <c r="M424" s="6" t="s">
        <v>3036</v>
      </c>
      <c r="N424" s="17"/>
      <c r="O424" s="17"/>
      <c r="P424" s="17" t="str">
        <f t="shared" si="2"/>
        <v>OK</v>
      </c>
      <c r="Q424" s="17" t="s">
        <v>2993</v>
      </c>
      <c r="R424" s="6" t="s">
        <v>3037</v>
      </c>
      <c r="S424" s="17" t="s">
        <v>3038</v>
      </c>
      <c r="T424" s="17" t="s">
        <v>3039</v>
      </c>
      <c r="U424" s="173" t="s">
        <v>38</v>
      </c>
      <c r="V424" s="181" t="s">
        <v>1483</v>
      </c>
      <c r="W424" s="20" t="s">
        <v>1484</v>
      </c>
      <c r="X424" s="20" t="s">
        <v>1484</v>
      </c>
      <c r="Y424" s="20"/>
      <c r="Z424" s="6"/>
      <c r="AA424" s="6"/>
      <c r="AB424" s="23"/>
      <c r="AC424" s="33"/>
    </row>
    <row r="425" spans="1:29" ht="15.75" customHeight="1">
      <c r="A425" s="10" t="s">
        <v>3041</v>
      </c>
      <c r="B425" s="10" t="s">
        <v>1469</v>
      </c>
      <c r="C425" s="60" t="s">
        <v>1470</v>
      </c>
      <c r="D425" s="12"/>
      <c r="E425" s="13" t="s">
        <v>2988</v>
      </c>
      <c r="F425" s="6" t="s">
        <v>2988</v>
      </c>
      <c r="G425" s="6" t="str">
        <f ca="1">IFERROR(__xludf.DUMMYFUNCTION("CONCATENATE(B425,(VLOOKUP(C425,CATALOGOS!$F$2:$H$6,3,FALSE)),(VLOOKUP(V425,CATALOGOS!$J$2:$K$18,2,FALSE)),""-"",TO_TEXT(A425))"),"P12SI-0424")</f>
        <v>P12SI-0424</v>
      </c>
      <c r="H425" s="6" t="str">
        <f ca="1">IFERROR(__xludf.DUMMYFUNCTION("CONCATENATE($B425,(VLOOKUP($C425,CATALOGOS!$F$2:$H$6,3,FALSE)),(VLOOKUP($V425,CATALOGOS!$J$2:$K$18,2,FALSE)),""-"",TO_TEXT($A425))"),"P12SI-0424")</f>
        <v>P12SI-0424</v>
      </c>
      <c r="I425" s="6"/>
      <c r="J425" s="6" t="s">
        <v>3042</v>
      </c>
      <c r="K425" s="6" t="s">
        <v>3043</v>
      </c>
      <c r="L425" s="6" t="s">
        <v>3044</v>
      </c>
      <c r="M425" s="6" t="s">
        <v>3045</v>
      </c>
      <c r="N425" s="17"/>
      <c r="O425" s="17"/>
      <c r="P425" s="17" t="str">
        <f t="shared" si="2"/>
        <v>OK</v>
      </c>
      <c r="Q425" s="17" t="s">
        <v>2993</v>
      </c>
      <c r="R425" s="6" t="s">
        <v>3046</v>
      </c>
      <c r="S425" s="17" t="s">
        <v>3047</v>
      </c>
      <c r="T425" s="17" t="s">
        <v>3048</v>
      </c>
      <c r="U425" s="173" t="s">
        <v>38</v>
      </c>
      <c r="V425" s="181" t="s">
        <v>1483</v>
      </c>
      <c r="W425" s="20" t="s">
        <v>1484</v>
      </c>
      <c r="X425" s="20" t="s">
        <v>1484</v>
      </c>
      <c r="Y425" s="20"/>
      <c r="Z425" s="6"/>
      <c r="AA425" s="6"/>
      <c r="AB425" s="23"/>
      <c r="AC425" s="33"/>
    </row>
    <row r="426" spans="1:29" ht="15.75" customHeight="1">
      <c r="A426" s="10" t="s">
        <v>3050</v>
      </c>
      <c r="B426" s="10" t="s">
        <v>1469</v>
      </c>
      <c r="C426" s="60" t="s">
        <v>1470</v>
      </c>
      <c r="D426" s="12"/>
      <c r="E426" s="13" t="s">
        <v>2988</v>
      </c>
      <c r="F426" s="6" t="s">
        <v>2988</v>
      </c>
      <c r="G426" s="6" t="str">
        <f ca="1">IFERROR(__xludf.DUMMYFUNCTION("CONCATENATE(B426,(VLOOKUP(C426,CATALOGOS!$F$2:$H$6,3,FALSE)),(VLOOKUP(V426,CATALOGOS!$J$2:$K$18,2,FALSE)),""-"",TO_TEXT(A426))"),"P12SI-0425")</f>
        <v>P12SI-0425</v>
      </c>
      <c r="H426" s="6" t="str">
        <f ca="1">IFERROR(__xludf.DUMMYFUNCTION("CONCATENATE($B426,(VLOOKUP($C426,CATALOGOS!$F$2:$H$6,3,FALSE)),(VLOOKUP($V426,CATALOGOS!$J$2:$K$18,2,FALSE)),""-"",TO_TEXT($A426))"),"P12SI-0425")</f>
        <v>P12SI-0425</v>
      </c>
      <c r="I426" s="6"/>
      <c r="J426" s="6" t="s">
        <v>3051</v>
      </c>
      <c r="K426" s="6" t="s">
        <v>3052</v>
      </c>
      <c r="L426" s="6" t="s">
        <v>3053</v>
      </c>
      <c r="M426" s="6" t="s">
        <v>3054</v>
      </c>
      <c r="N426" s="17"/>
      <c r="O426" s="17"/>
      <c r="P426" s="17" t="str">
        <f t="shared" si="2"/>
        <v>OK</v>
      </c>
      <c r="Q426" s="17" t="s">
        <v>2993</v>
      </c>
      <c r="R426" s="6" t="s">
        <v>3037</v>
      </c>
      <c r="S426" s="17" t="s">
        <v>36</v>
      </c>
      <c r="T426" s="17" t="s">
        <v>3058</v>
      </c>
      <c r="U426" s="173" t="s">
        <v>38</v>
      </c>
      <c r="V426" s="181" t="s">
        <v>1483</v>
      </c>
      <c r="W426" s="20" t="s">
        <v>1484</v>
      </c>
      <c r="X426" s="20" t="s">
        <v>1484</v>
      </c>
      <c r="Y426" s="20"/>
      <c r="Z426" s="6"/>
      <c r="AA426" s="6"/>
      <c r="AB426" s="23"/>
      <c r="AC426" s="33"/>
    </row>
    <row r="427" spans="1:29" ht="15.75" customHeight="1">
      <c r="A427" s="10" t="s">
        <v>3060</v>
      </c>
      <c r="B427" s="10" t="s">
        <v>1469</v>
      </c>
      <c r="C427" s="60" t="s">
        <v>1470</v>
      </c>
      <c r="D427" s="12"/>
      <c r="E427" s="13" t="s">
        <v>2300</v>
      </c>
      <c r="F427" s="6" t="s">
        <v>2596</v>
      </c>
      <c r="G427" s="6" t="str">
        <f ca="1">IFERROR(__xludf.DUMMYFUNCTION("CONCATENATE(B427,(VLOOKUP(C427,CATALOGOS!$F$2:$H$6,3,FALSE)),(VLOOKUP(V427,CATALOGOS!$J$2:$K$18,2,FALSE)),""-"",TO_TEXT(A427))"),"P12SI-0426")</f>
        <v>P12SI-0426</v>
      </c>
      <c r="H427" s="6" t="str">
        <f ca="1">IFERROR(__xludf.DUMMYFUNCTION("CONCATENATE($B427,(VLOOKUP($C427,CATALOGOS!$F$2:$H$6,3,FALSE)),(VLOOKUP($V427,CATALOGOS!$J$2:$K$18,2,FALSE)),""-"",TO_TEXT($A427))"),"P12SI-0426")</f>
        <v>P12SI-0426</v>
      </c>
      <c r="I427" s="6"/>
      <c r="J427" s="6" t="s">
        <v>3061</v>
      </c>
      <c r="K427" s="6" t="s">
        <v>3062</v>
      </c>
      <c r="L427" s="36"/>
      <c r="M427" s="6" t="s">
        <v>141</v>
      </c>
      <c r="N427" s="17"/>
      <c r="O427" s="17"/>
      <c r="P427" s="17" t="str">
        <f t="shared" si="2"/>
        <v>REPETIDO</v>
      </c>
      <c r="Q427" s="17" t="s">
        <v>3063</v>
      </c>
      <c r="R427" s="6" t="s">
        <v>3064</v>
      </c>
      <c r="S427" s="6" t="s">
        <v>3065</v>
      </c>
      <c r="T427" s="10" t="s">
        <v>85</v>
      </c>
      <c r="U427" s="173" t="s">
        <v>38</v>
      </c>
      <c r="V427" s="181" t="s">
        <v>1483</v>
      </c>
      <c r="W427" s="20" t="s">
        <v>1484</v>
      </c>
      <c r="X427" s="20" t="s">
        <v>1484</v>
      </c>
      <c r="Y427" s="20"/>
      <c r="Z427" s="6"/>
      <c r="AA427" s="6"/>
      <c r="AB427" s="23"/>
      <c r="AC427" s="33"/>
    </row>
    <row r="428" spans="1:29" ht="15.75" customHeight="1">
      <c r="A428" s="10" t="s">
        <v>3066</v>
      </c>
      <c r="B428" s="10" t="s">
        <v>1469</v>
      </c>
      <c r="C428" s="60" t="s">
        <v>1470</v>
      </c>
      <c r="D428" s="12"/>
      <c r="E428" s="13" t="s">
        <v>2300</v>
      </c>
      <c r="F428" s="6" t="s">
        <v>2596</v>
      </c>
      <c r="G428" s="6" t="str">
        <f ca="1">IFERROR(__xludf.DUMMYFUNCTION("CONCATENATE(B428,(VLOOKUP(C428,CATALOGOS!$F$2:$H$6,3,FALSE)),(VLOOKUP(V428,CATALOGOS!$J$2:$K$18,2,FALSE)),""-"",TO_TEXT(A428))"),"P12SI-0427")</f>
        <v>P12SI-0427</v>
      </c>
      <c r="H428" s="6" t="str">
        <f ca="1">IFERROR(__xludf.DUMMYFUNCTION("CONCATENATE($B428,(VLOOKUP($C428,CATALOGOS!$F$2:$H$6,3,FALSE)),(VLOOKUP($V428,CATALOGOS!$J$2:$K$18,2,FALSE)),""-"",TO_TEXT($A428))"),"P12SI-0427")</f>
        <v>P12SI-0427</v>
      </c>
      <c r="I428" s="6"/>
      <c r="J428" s="6" t="s">
        <v>3067</v>
      </c>
      <c r="K428" s="6" t="s">
        <v>3068</v>
      </c>
      <c r="L428" s="36"/>
      <c r="M428" s="6" t="s">
        <v>141</v>
      </c>
      <c r="N428" s="17"/>
      <c r="O428" s="17"/>
      <c r="P428" s="17" t="str">
        <f t="shared" si="2"/>
        <v>REPETIDO</v>
      </c>
      <c r="Q428" s="17" t="s">
        <v>3069</v>
      </c>
      <c r="R428" s="6" t="s">
        <v>35</v>
      </c>
      <c r="S428" s="6" t="s">
        <v>36</v>
      </c>
      <c r="T428" s="10" t="s">
        <v>85</v>
      </c>
      <c r="U428" s="173" t="s">
        <v>38</v>
      </c>
      <c r="V428" s="181" t="s">
        <v>1483</v>
      </c>
      <c r="W428" s="20" t="s">
        <v>1484</v>
      </c>
      <c r="X428" s="20" t="s">
        <v>1484</v>
      </c>
      <c r="Y428" s="20"/>
      <c r="Z428" s="6"/>
      <c r="AA428" s="6"/>
      <c r="AB428" s="23"/>
      <c r="AC428" s="33"/>
    </row>
    <row r="429" spans="1:29" ht="15.75" customHeight="1">
      <c r="A429" s="10" t="s">
        <v>3072</v>
      </c>
      <c r="B429" s="10" t="s">
        <v>1469</v>
      </c>
      <c r="C429" s="60" t="s">
        <v>1470</v>
      </c>
      <c r="D429" s="12"/>
      <c r="E429" s="13" t="s">
        <v>2300</v>
      </c>
      <c r="F429" s="6" t="s">
        <v>2596</v>
      </c>
      <c r="G429" s="6" t="str">
        <f ca="1">IFERROR(__xludf.DUMMYFUNCTION("CONCATENATE(B429,(VLOOKUP(C429,CATALOGOS!$F$2:$H$6,3,FALSE)),(VLOOKUP(V429,CATALOGOS!$J$2:$K$18,2,FALSE)),""-"",TO_TEXT(A429))"),"P12SI-0428")</f>
        <v>P12SI-0428</v>
      </c>
      <c r="H429" s="6" t="str">
        <f ca="1">IFERROR(__xludf.DUMMYFUNCTION("CONCATENATE($B429,(VLOOKUP($C429,CATALOGOS!$F$2:$H$6,3,FALSE)),(VLOOKUP($V429,CATALOGOS!$J$2:$K$18,2,FALSE)),""-"",TO_TEXT($A429))"),"P12SI-0428")</f>
        <v>P12SI-0428</v>
      </c>
      <c r="I429" s="6"/>
      <c r="J429" s="6" t="s">
        <v>3073</v>
      </c>
      <c r="K429" s="6" t="s">
        <v>3074</v>
      </c>
      <c r="L429" s="36"/>
      <c r="M429" s="6" t="s">
        <v>141</v>
      </c>
      <c r="N429" s="17"/>
      <c r="O429" s="17"/>
      <c r="P429" s="17" t="str">
        <f t="shared" si="2"/>
        <v>REPETIDO</v>
      </c>
      <c r="Q429" s="17" t="s">
        <v>3063</v>
      </c>
      <c r="R429" s="6" t="s">
        <v>3064</v>
      </c>
      <c r="S429" s="6" t="s">
        <v>3075</v>
      </c>
      <c r="T429" s="10" t="s">
        <v>85</v>
      </c>
      <c r="U429" s="173" t="s">
        <v>38</v>
      </c>
      <c r="V429" s="181" t="s">
        <v>1483</v>
      </c>
      <c r="W429" s="20" t="s">
        <v>1484</v>
      </c>
      <c r="X429" s="20" t="s">
        <v>1484</v>
      </c>
      <c r="Y429" s="20"/>
      <c r="Z429" s="6"/>
      <c r="AA429" s="6"/>
      <c r="AB429" s="23"/>
      <c r="AC429" s="33"/>
    </row>
    <row r="430" spans="1:29" ht="15.75" customHeight="1">
      <c r="A430" s="10" t="s">
        <v>3076</v>
      </c>
      <c r="B430" s="10" t="s">
        <v>1469</v>
      </c>
      <c r="C430" s="60" t="s">
        <v>1470</v>
      </c>
      <c r="D430" s="38"/>
      <c r="E430" s="13" t="s">
        <v>2988</v>
      </c>
      <c r="F430" s="6" t="s">
        <v>2988</v>
      </c>
      <c r="G430" s="6" t="str">
        <f ca="1">IFERROR(__xludf.DUMMYFUNCTION("CONCATENATE(B430,(VLOOKUP(C430,CATALOGOS!$F$2:$H$6,3,FALSE)),(VLOOKUP(V430,CATALOGOS!$J$2:$K$18,2,FALSE)),""-"",TO_TEXT(A430))"),"P12SI-0429")</f>
        <v>P12SI-0429</v>
      </c>
      <c r="H430" s="6" t="str">
        <f ca="1">IFERROR(__xludf.DUMMYFUNCTION("CONCATENATE($B430,(VLOOKUP($C430,CATALOGOS!$F$2:$H$6,3,FALSE)),(VLOOKUP($V430,CATALOGOS!$J$2:$K$18,2,FALSE)),""-"",TO_TEXT($A430))"),"P12SI-0429")</f>
        <v>P12SI-0429</v>
      </c>
      <c r="I430" s="6"/>
      <c r="J430" s="6" t="s">
        <v>3077</v>
      </c>
      <c r="K430" s="6" t="s">
        <v>3078</v>
      </c>
      <c r="L430" s="36"/>
      <c r="M430" s="6" t="s">
        <v>141</v>
      </c>
      <c r="N430" s="17"/>
      <c r="O430" s="17"/>
      <c r="P430" s="17" t="str">
        <f t="shared" si="2"/>
        <v>REPETIDO</v>
      </c>
      <c r="Q430" s="17" t="s">
        <v>3079</v>
      </c>
      <c r="R430" s="6" t="s">
        <v>3080</v>
      </c>
      <c r="S430" s="6">
        <v>358720</v>
      </c>
      <c r="T430" s="10" t="s">
        <v>85</v>
      </c>
      <c r="U430" s="173" t="s">
        <v>38</v>
      </c>
      <c r="V430" s="181" t="s">
        <v>1483</v>
      </c>
      <c r="W430" s="20" t="s">
        <v>1484</v>
      </c>
      <c r="X430" s="20" t="s">
        <v>1484</v>
      </c>
      <c r="Y430" s="20"/>
      <c r="Z430" s="6"/>
      <c r="AA430" s="6"/>
      <c r="AB430" s="26"/>
      <c r="AC430" s="33"/>
    </row>
    <row r="431" spans="1:29" ht="15.75" customHeight="1">
      <c r="A431" s="10" t="s">
        <v>3081</v>
      </c>
      <c r="B431" s="10" t="s">
        <v>1469</v>
      </c>
      <c r="C431" s="60" t="s">
        <v>1470</v>
      </c>
      <c r="D431" s="38"/>
      <c r="E431" s="13" t="s">
        <v>2300</v>
      </c>
      <c r="F431" s="6" t="s">
        <v>2300</v>
      </c>
      <c r="G431" s="6" t="str">
        <f ca="1">IFERROR(__xludf.DUMMYFUNCTION("CONCATENATE(B431,(VLOOKUP(C431,CATALOGOS!$F$2:$H$6,3,FALSE)),(VLOOKUP(V431,CATALOGOS!$J$2:$K$18,2,FALSE)),""-"",TO_TEXT(A431))"),"P12SI-0430")</f>
        <v>P12SI-0430</v>
      </c>
      <c r="H431" s="6" t="str">
        <f ca="1">IFERROR(__xludf.DUMMYFUNCTION("CONCATENATE($B431,(VLOOKUP($C431,CATALOGOS!$F$2:$H$6,3,FALSE)),(VLOOKUP($V431,CATALOGOS!$J$2:$K$18,2,FALSE)),""-"",TO_TEXT($A431))"),"P12SI-0430")</f>
        <v>P12SI-0430</v>
      </c>
      <c r="I431" s="6"/>
      <c r="J431" s="6"/>
      <c r="K431" s="6"/>
      <c r="L431" s="36"/>
      <c r="M431" s="6" t="s">
        <v>141</v>
      </c>
      <c r="N431" s="17"/>
      <c r="O431" s="17"/>
      <c r="P431" s="17"/>
      <c r="Q431" s="35" t="s">
        <v>3082</v>
      </c>
      <c r="R431" s="6" t="s">
        <v>3083</v>
      </c>
      <c r="S431" s="6">
        <v>104001694168</v>
      </c>
      <c r="T431" s="10" t="s">
        <v>3084</v>
      </c>
      <c r="U431" s="173" t="s">
        <v>38</v>
      </c>
      <c r="V431" s="181" t="s">
        <v>1483</v>
      </c>
      <c r="W431" s="10" t="s">
        <v>1484</v>
      </c>
      <c r="X431" s="10" t="s">
        <v>1484</v>
      </c>
      <c r="Y431" s="10"/>
      <c r="Z431" s="6"/>
      <c r="AA431" s="6"/>
      <c r="AB431" s="26"/>
      <c r="AC431" s="33"/>
    </row>
    <row r="432" spans="1:29" ht="15.75" customHeight="1">
      <c r="A432" s="10" t="s">
        <v>3085</v>
      </c>
      <c r="B432" s="10" t="s">
        <v>1469</v>
      </c>
      <c r="C432" s="60" t="s">
        <v>1470</v>
      </c>
      <c r="D432" s="12"/>
      <c r="E432" s="13" t="s">
        <v>162</v>
      </c>
      <c r="F432" s="6" t="s">
        <v>285</v>
      </c>
      <c r="G432" s="6" t="str">
        <f ca="1">IFERROR(__xludf.DUMMYFUNCTION("CONCATENATE(B432,(VLOOKUP(C432,CATALOGOS!$F$2:$H$6,3,FALSE)),(VLOOKUP(V432,CATALOGOS!$J$2:$K$18,2,FALSE)),""-"",TO_TEXT(A432))"),"P12PL-0431")</f>
        <v>P12PL-0431</v>
      </c>
      <c r="H432" s="6" t="str">
        <f ca="1">IFERROR(__xludf.DUMMYFUNCTION("CONCATENATE($B432,(VLOOKUP($C432,CATALOGOS!$F$2:$H$6,3,FALSE)),(VLOOKUP($V432,CATALOGOS!$J$2:$K$18,2,FALSE)),""-"",TO_TEXT($A432))"),"P12PL-0431")</f>
        <v>P12PL-0431</v>
      </c>
      <c r="I432" s="6"/>
      <c r="J432" s="6" t="s">
        <v>3086</v>
      </c>
      <c r="K432" s="6" t="s">
        <v>3087</v>
      </c>
      <c r="L432" s="6" t="s">
        <v>3088</v>
      </c>
      <c r="M432" s="6" t="s">
        <v>141</v>
      </c>
      <c r="N432" s="17"/>
      <c r="O432" s="17"/>
      <c r="P432" s="17" t="str">
        <f t="shared" ref="P432:P997" si="3">IF(COUNTIF($M$2:$M$997,M432)&gt;1,"REPETIDO","OK")</f>
        <v>REPETIDO</v>
      </c>
      <c r="Q432" s="17" t="s">
        <v>663</v>
      </c>
      <c r="R432" s="32" t="s">
        <v>664</v>
      </c>
      <c r="S432" s="17" t="s">
        <v>3089</v>
      </c>
      <c r="T432" s="17" t="s">
        <v>3090</v>
      </c>
      <c r="U432" s="173" t="s">
        <v>38</v>
      </c>
      <c r="V432" s="11" t="s">
        <v>3091</v>
      </c>
      <c r="W432" s="20" t="s">
        <v>3092</v>
      </c>
      <c r="X432" s="20" t="s">
        <v>3092</v>
      </c>
      <c r="Y432" s="20"/>
      <c r="Z432" s="7"/>
      <c r="AA432" s="7"/>
      <c r="AB432" s="23"/>
      <c r="AC432" s="26"/>
    </row>
    <row r="433" spans="1:29" ht="15.75" customHeight="1">
      <c r="A433" s="10" t="s">
        <v>3093</v>
      </c>
      <c r="B433" s="10" t="s">
        <v>1469</v>
      </c>
      <c r="C433" s="60" t="s">
        <v>1470</v>
      </c>
      <c r="D433" s="12"/>
      <c r="E433" s="13" t="s">
        <v>353</v>
      </c>
      <c r="F433" s="43" t="s">
        <v>638</v>
      </c>
      <c r="G433" s="6" t="str">
        <f ca="1">IFERROR(__xludf.DUMMYFUNCTION("CONCATENATE(B433,(VLOOKUP(C433,CATALOGOS!$F$2:$H$6,3,FALSE)),(VLOOKUP(V433,CATALOGOS!$J$2:$K$18,2,FALSE)),""-"",TO_TEXT(A433))"),"P12PL-0432")</f>
        <v>P12PL-0432</v>
      </c>
      <c r="H433" s="6" t="str">
        <f ca="1">IFERROR(__xludf.DUMMYFUNCTION("CONCATENATE($B433,(VLOOKUP($C433,CATALOGOS!$F$2:$H$6,3,FALSE)),(VLOOKUP($V433,CATALOGOS!$J$2:$K$18,2,FALSE)),""-"",TO_TEXT($A433))"),"P12PL-0432")</f>
        <v>P12PL-0432</v>
      </c>
      <c r="I433" s="6"/>
      <c r="J433" s="6" t="s">
        <v>3094</v>
      </c>
      <c r="K433" s="6" t="s">
        <v>3095</v>
      </c>
      <c r="L433" s="6" t="s">
        <v>3096</v>
      </c>
      <c r="M433" s="6" t="s">
        <v>3097</v>
      </c>
      <c r="N433" s="17"/>
      <c r="O433" s="17"/>
      <c r="P433" s="17" t="str">
        <f t="shared" si="3"/>
        <v>OK</v>
      </c>
      <c r="Q433" s="17" t="s">
        <v>359</v>
      </c>
      <c r="R433" s="6" t="s">
        <v>360</v>
      </c>
      <c r="S433" s="17" t="s">
        <v>3098</v>
      </c>
      <c r="T433" s="17" t="s">
        <v>3099</v>
      </c>
      <c r="U433" s="173" t="s">
        <v>38</v>
      </c>
      <c r="V433" s="11" t="s">
        <v>3091</v>
      </c>
      <c r="W433" s="20" t="s">
        <v>3092</v>
      </c>
      <c r="X433" s="20" t="s">
        <v>3092</v>
      </c>
      <c r="Y433" s="20"/>
      <c r="Z433" s="7"/>
      <c r="AA433" s="7"/>
      <c r="AB433" s="23"/>
      <c r="AC433" s="26"/>
    </row>
    <row r="434" spans="1:29" ht="15.75" customHeight="1">
      <c r="A434" s="10" t="s">
        <v>3100</v>
      </c>
      <c r="B434" s="10" t="s">
        <v>1469</v>
      </c>
      <c r="C434" s="60" t="s">
        <v>1470</v>
      </c>
      <c r="D434" s="12"/>
      <c r="E434" s="13" t="s">
        <v>116</v>
      </c>
      <c r="F434" s="6" t="s">
        <v>3101</v>
      </c>
      <c r="G434" s="6" t="str">
        <f ca="1">IFERROR(__xludf.DUMMYFUNCTION("CONCATENATE(B434,(VLOOKUP(C434,CATALOGOS!$F$2:$H$6,3,FALSE)),(VLOOKUP(V434,CATALOGOS!$J$2:$K$18,2,FALSE)),""-"",TO_TEXT(A434))"),"P12PL-0433")</f>
        <v>P12PL-0433</v>
      </c>
      <c r="H434" s="6" t="str">
        <f ca="1">IFERROR(__xludf.DUMMYFUNCTION("CONCATENATE($B434,(VLOOKUP($C434,CATALOGOS!$F$2:$H$6,3,FALSE)),(VLOOKUP($V434,CATALOGOS!$J$2:$K$18,2,FALSE)),""-"",TO_TEXT($A434))"),"P12PL-0433")</f>
        <v>P12PL-0433</v>
      </c>
      <c r="I434" s="6"/>
      <c r="J434" s="6" t="s">
        <v>3102</v>
      </c>
      <c r="K434" s="6" t="s">
        <v>3103</v>
      </c>
      <c r="L434" s="6" t="s">
        <v>3104</v>
      </c>
      <c r="M434" s="6" t="s">
        <v>3105</v>
      </c>
      <c r="N434" s="17"/>
      <c r="O434" s="17"/>
      <c r="P434" s="17" t="str">
        <f t="shared" si="3"/>
        <v>OK</v>
      </c>
      <c r="Q434" s="17" t="s">
        <v>35</v>
      </c>
      <c r="R434" s="6" t="s">
        <v>35</v>
      </c>
      <c r="S434" s="17" t="s">
        <v>36</v>
      </c>
      <c r="T434" s="17" t="s">
        <v>3106</v>
      </c>
      <c r="U434" s="173" t="s">
        <v>38</v>
      </c>
      <c r="V434" s="11" t="s">
        <v>3091</v>
      </c>
      <c r="W434" s="20" t="s">
        <v>3092</v>
      </c>
      <c r="X434" s="20" t="s">
        <v>3092</v>
      </c>
      <c r="Y434" s="20"/>
      <c r="Z434" s="7"/>
      <c r="AA434" s="7"/>
      <c r="AB434" s="23"/>
      <c r="AC434" s="26"/>
    </row>
    <row r="435" spans="1:29" ht="15.75" customHeight="1">
      <c r="A435" s="10" t="s">
        <v>3107</v>
      </c>
      <c r="B435" s="10" t="s">
        <v>1469</v>
      </c>
      <c r="C435" s="60" t="s">
        <v>1470</v>
      </c>
      <c r="D435" s="12"/>
      <c r="E435" s="13" t="s">
        <v>184</v>
      </c>
      <c r="F435" s="6" t="s">
        <v>927</v>
      </c>
      <c r="G435" s="6" t="str">
        <f ca="1">IFERROR(__xludf.DUMMYFUNCTION("CONCATENATE(B435,(VLOOKUP(C435,CATALOGOS!$F$2:$H$6,3,FALSE)),(VLOOKUP(V435,CATALOGOS!$J$2:$K$18,2,FALSE)),""-"",TO_TEXT(A435))"),"P12PL-0434")</f>
        <v>P12PL-0434</v>
      </c>
      <c r="H435" s="6" t="str">
        <f ca="1">IFERROR(__xludf.DUMMYFUNCTION("CONCATENATE($B435,(VLOOKUP($C435,CATALOGOS!$F$2:$H$6,3,FALSE)),(VLOOKUP($V435,CATALOGOS!$J$2:$K$18,2,FALSE)),""-"",TO_TEXT($A435))"),"P12PL-0434")</f>
        <v>P12PL-0434</v>
      </c>
      <c r="I435" s="6"/>
      <c r="J435" s="6" t="s">
        <v>3108</v>
      </c>
      <c r="K435" s="6" t="s">
        <v>3109</v>
      </c>
      <c r="L435" s="6" t="s">
        <v>3110</v>
      </c>
      <c r="M435" s="6" t="s">
        <v>3111</v>
      </c>
      <c r="N435" s="17"/>
      <c r="O435" s="17"/>
      <c r="P435" s="17" t="str">
        <f t="shared" si="3"/>
        <v>OK</v>
      </c>
      <c r="Q435" s="17" t="s">
        <v>35</v>
      </c>
      <c r="R435" s="6" t="s">
        <v>35</v>
      </c>
      <c r="S435" s="17" t="s">
        <v>36</v>
      </c>
      <c r="T435" s="17" t="s">
        <v>3112</v>
      </c>
      <c r="U435" s="173" t="s">
        <v>38</v>
      </c>
      <c r="V435" s="11" t="s">
        <v>3091</v>
      </c>
      <c r="W435" s="20" t="s">
        <v>3092</v>
      </c>
      <c r="X435" s="20" t="s">
        <v>3092</v>
      </c>
      <c r="Y435" s="20"/>
      <c r="Z435" s="7"/>
      <c r="AA435" s="7"/>
      <c r="AB435" s="23"/>
      <c r="AC435" s="26"/>
    </row>
    <row r="436" spans="1:29" ht="15.75" customHeight="1">
      <c r="A436" s="10" t="s">
        <v>3113</v>
      </c>
      <c r="B436" s="10" t="s">
        <v>1469</v>
      </c>
      <c r="C436" s="60" t="s">
        <v>1470</v>
      </c>
      <c r="D436" s="12"/>
      <c r="E436" s="13" t="s">
        <v>378</v>
      </c>
      <c r="F436" s="6" t="s">
        <v>1306</v>
      </c>
      <c r="G436" s="6" t="str">
        <f ca="1">IFERROR(__xludf.DUMMYFUNCTION("CONCATENATE(B436,(VLOOKUP(C436,CATALOGOS!$F$2:$H$6,3,FALSE)),(VLOOKUP(V436,CATALOGOS!$J$2:$K$18,2,FALSE)),""-"",TO_TEXT(A436))"),"P12PL-0435")</f>
        <v>P12PL-0435</v>
      </c>
      <c r="H436" s="6" t="str">
        <f ca="1">IFERROR(__xludf.DUMMYFUNCTION("CONCATENATE($B436,(VLOOKUP($C436,CATALOGOS!$F$2:$H$6,3,FALSE)),(VLOOKUP($V436,CATALOGOS!$J$2:$K$18,2,FALSE)),""-"",TO_TEXT($A436))"),"P12PL-0435")</f>
        <v>P12PL-0435</v>
      </c>
      <c r="I436" s="6"/>
      <c r="J436" s="6" t="s">
        <v>3114</v>
      </c>
      <c r="K436" s="6" t="s">
        <v>3115</v>
      </c>
      <c r="L436" s="36"/>
      <c r="M436" s="6" t="s">
        <v>3116</v>
      </c>
      <c r="N436" s="17"/>
      <c r="O436" s="17"/>
      <c r="P436" s="17" t="str">
        <f t="shared" si="3"/>
        <v>OK</v>
      </c>
      <c r="Q436" s="35" t="s">
        <v>35</v>
      </c>
      <c r="R436" s="6" t="s">
        <v>35</v>
      </c>
      <c r="S436" s="10" t="s">
        <v>36</v>
      </c>
      <c r="T436" s="32" t="s">
        <v>3117</v>
      </c>
      <c r="U436" s="173" t="s">
        <v>38</v>
      </c>
      <c r="V436" s="19" t="s">
        <v>3091</v>
      </c>
      <c r="W436" s="20" t="s">
        <v>3092</v>
      </c>
      <c r="X436" s="20" t="s">
        <v>3092</v>
      </c>
      <c r="Y436" s="20"/>
      <c r="Z436" s="6"/>
      <c r="AA436" s="6"/>
      <c r="AB436" s="23"/>
      <c r="AC436" s="33"/>
    </row>
    <row r="437" spans="1:29" ht="15.75" customHeight="1">
      <c r="A437" s="10" t="s">
        <v>3118</v>
      </c>
      <c r="B437" s="10" t="s">
        <v>1469</v>
      </c>
      <c r="C437" s="60" t="s">
        <v>1470</v>
      </c>
      <c r="D437" s="12"/>
      <c r="E437" s="13" t="s">
        <v>378</v>
      </c>
      <c r="F437" s="6" t="s">
        <v>1306</v>
      </c>
      <c r="G437" s="6" t="str">
        <f ca="1">IFERROR(__xludf.DUMMYFUNCTION("CONCATENATE(B437,(VLOOKUP(C437,CATALOGOS!$F$2:$H$6,3,FALSE)),(VLOOKUP(V437,CATALOGOS!$J$2:$K$18,2,FALSE)),""-"",TO_TEXT(A437))"),"P12PL-0436")</f>
        <v>P12PL-0436</v>
      </c>
      <c r="H437" s="6" t="str">
        <f ca="1">IFERROR(__xludf.DUMMYFUNCTION("CONCATENATE($B437,(VLOOKUP($C437,CATALOGOS!$F$2:$H$6,3,FALSE)),(VLOOKUP($V437,CATALOGOS!$J$2:$K$18,2,FALSE)),""-"",TO_TEXT($A437))"),"P12PL-0436")</f>
        <v>P12PL-0436</v>
      </c>
      <c r="I437" s="6"/>
      <c r="J437" s="6" t="s">
        <v>3119</v>
      </c>
      <c r="K437" s="6" t="s">
        <v>3120</v>
      </c>
      <c r="L437" s="6" t="s">
        <v>3121</v>
      </c>
      <c r="M437" s="6" t="s">
        <v>3122</v>
      </c>
      <c r="N437" s="17"/>
      <c r="O437" s="17"/>
      <c r="P437" s="17" t="str">
        <f t="shared" si="3"/>
        <v>OK</v>
      </c>
      <c r="Q437" s="17" t="s">
        <v>35</v>
      </c>
      <c r="R437" s="6" t="s">
        <v>35</v>
      </c>
      <c r="S437" s="17" t="s">
        <v>36</v>
      </c>
      <c r="T437" s="17" t="s">
        <v>3123</v>
      </c>
      <c r="U437" s="173" t="s">
        <v>38</v>
      </c>
      <c r="V437" s="11" t="s">
        <v>3091</v>
      </c>
      <c r="W437" s="20" t="s">
        <v>3092</v>
      </c>
      <c r="X437" s="20" t="s">
        <v>3092</v>
      </c>
      <c r="Y437" s="20"/>
      <c r="Z437" s="7"/>
      <c r="AA437" s="7"/>
      <c r="AB437" s="23"/>
      <c r="AC437" s="26"/>
    </row>
    <row r="438" spans="1:29" ht="15.75" customHeight="1">
      <c r="A438" s="10" t="s">
        <v>3124</v>
      </c>
      <c r="B438" s="10" t="s">
        <v>1469</v>
      </c>
      <c r="C438" s="60" t="s">
        <v>1470</v>
      </c>
      <c r="D438" s="12"/>
      <c r="E438" s="13" t="s">
        <v>501</v>
      </c>
      <c r="F438" s="6" t="s">
        <v>3125</v>
      </c>
      <c r="G438" s="6" t="str">
        <f ca="1">IFERROR(__xludf.DUMMYFUNCTION("CONCATENATE(B438,(VLOOKUP(C438,CATALOGOS!$F$2:$H$6,3,FALSE)),(VLOOKUP(V438,CATALOGOS!$J$2:$K$18,2,FALSE)),""-"",TO_TEXT(A438))"),"P12PL-0437")</f>
        <v>P12PL-0437</v>
      </c>
      <c r="H438" s="6" t="str">
        <f ca="1">IFERROR(__xludf.DUMMYFUNCTION("CONCATENATE($B438,(VLOOKUP($C438,CATALOGOS!$F$2:$H$6,3,FALSE)),(VLOOKUP($V438,CATALOGOS!$J$2:$K$18,2,FALSE)),""-"",TO_TEXT($A438))"),"P12PL-0437")</f>
        <v>P12PL-0437</v>
      </c>
      <c r="I438" s="6"/>
      <c r="J438" s="6" t="s">
        <v>3126</v>
      </c>
      <c r="K438" s="6" t="s">
        <v>3127</v>
      </c>
      <c r="L438" s="6" t="s">
        <v>3128</v>
      </c>
      <c r="M438" s="6" t="s">
        <v>3129</v>
      </c>
      <c r="N438" s="17"/>
      <c r="O438" s="17"/>
      <c r="P438" s="17" t="str">
        <f t="shared" si="3"/>
        <v>OK</v>
      </c>
      <c r="Q438" s="17" t="s">
        <v>35</v>
      </c>
      <c r="R438" s="6" t="s">
        <v>35</v>
      </c>
      <c r="S438" s="17" t="s">
        <v>36</v>
      </c>
      <c r="T438" s="17" t="s">
        <v>3130</v>
      </c>
      <c r="U438" s="173" t="s">
        <v>38</v>
      </c>
      <c r="V438" s="11" t="s">
        <v>3091</v>
      </c>
      <c r="W438" s="20" t="s">
        <v>3092</v>
      </c>
      <c r="X438" s="20" t="s">
        <v>3092</v>
      </c>
      <c r="Y438" s="20"/>
      <c r="Z438" s="7"/>
      <c r="AA438" s="7"/>
      <c r="AB438" s="23"/>
      <c r="AC438" s="26"/>
    </row>
    <row r="439" spans="1:29" ht="15.75" customHeight="1">
      <c r="A439" s="10" t="s">
        <v>3131</v>
      </c>
      <c r="B439" s="10" t="s">
        <v>1469</v>
      </c>
      <c r="C439" s="60" t="s">
        <v>1470</v>
      </c>
      <c r="D439" s="12"/>
      <c r="E439" s="13" t="s">
        <v>62</v>
      </c>
      <c r="F439" s="6" t="s">
        <v>3132</v>
      </c>
      <c r="G439" s="6" t="str">
        <f ca="1">IFERROR(__xludf.DUMMYFUNCTION("CONCATENATE(B439,(VLOOKUP(C439,CATALOGOS!$F$2:$H$6,3,FALSE)),(VLOOKUP(V439,CATALOGOS!$J$2:$K$18,2,FALSE)),""-"",TO_TEXT(A439))"),"P12PL-0438")</f>
        <v>P12PL-0438</v>
      </c>
      <c r="H439" s="6" t="str">
        <f ca="1">IFERROR(__xludf.DUMMYFUNCTION("CONCATENATE($B439,(VLOOKUP($C439,CATALOGOS!$F$2:$H$6,3,FALSE)),(VLOOKUP($V439,CATALOGOS!$J$2:$K$18,2,FALSE)),""-"",TO_TEXT($A439))"),"P12PL-0438")</f>
        <v>P12PL-0438</v>
      </c>
      <c r="I439" s="6"/>
      <c r="J439" s="6" t="s">
        <v>3133</v>
      </c>
      <c r="K439" s="6" t="s">
        <v>3134</v>
      </c>
      <c r="L439" s="6" t="s">
        <v>3135</v>
      </c>
      <c r="M439" s="43" t="s">
        <v>3136</v>
      </c>
      <c r="N439" s="17"/>
      <c r="O439" s="17"/>
      <c r="P439" s="17" t="str">
        <f t="shared" si="3"/>
        <v>OK</v>
      </c>
      <c r="Q439" s="17" t="s">
        <v>35</v>
      </c>
      <c r="R439" s="6" t="s">
        <v>35</v>
      </c>
      <c r="S439" s="17" t="s">
        <v>36</v>
      </c>
      <c r="T439" s="17" t="s">
        <v>3137</v>
      </c>
      <c r="U439" s="173" t="s">
        <v>38</v>
      </c>
      <c r="V439" s="11" t="s">
        <v>3091</v>
      </c>
      <c r="W439" s="20" t="s">
        <v>3092</v>
      </c>
      <c r="X439" s="20" t="s">
        <v>3092</v>
      </c>
      <c r="Y439" s="20"/>
      <c r="Z439" s="7"/>
      <c r="AA439" s="7"/>
      <c r="AB439" s="23"/>
      <c r="AC439" s="26"/>
    </row>
    <row r="440" spans="1:29" ht="15.75" customHeight="1">
      <c r="A440" s="10" t="s">
        <v>3138</v>
      </c>
      <c r="B440" s="10" t="s">
        <v>1469</v>
      </c>
      <c r="C440" s="60" t="s">
        <v>1470</v>
      </c>
      <c r="D440" s="12"/>
      <c r="E440" s="13" t="s">
        <v>43</v>
      </c>
      <c r="F440" s="6" t="s">
        <v>457</v>
      </c>
      <c r="G440" s="6" t="str">
        <f ca="1">IFERROR(__xludf.DUMMYFUNCTION("CONCATENATE(B440,(VLOOKUP(C440,CATALOGOS!$F$2:$H$6,3,FALSE)),(VLOOKUP(V440,CATALOGOS!$J$2:$K$18,2,FALSE)),""-"",TO_TEXT(A440))"),"P12PL-0439")</f>
        <v>P12PL-0439</v>
      </c>
      <c r="H440" s="6" t="str">
        <f ca="1">IFERROR(__xludf.DUMMYFUNCTION("CONCATENATE($B440,(VLOOKUP($C440,CATALOGOS!$F$2:$H$6,3,FALSE)),(VLOOKUP($V440,CATALOGOS!$J$2:$K$18,2,FALSE)),""-"",TO_TEXT($A440))"),"P12PL-0439")</f>
        <v>P12PL-0439</v>
      </c>
      <c r="I440" s="6"/>
      <c r="J440" s="6" t="s">
        <v>3139</v>
      </c>
      <c r="K440" s="6" t="s">
        <v>3140</v>
      </c>
      <c r="L440" s="6" t="s">
        <v>3141</v>
      </c>
      <c r="M440" s="6" t="s">
        <v>3142</v>
      </c>
      <c r="N440" s="17"/>
      <c r="O440" s="17"/>
      <c r="P440" s="17" t="str">
        <f t="shared" si="3"/>
        <v>OK</v>
      </c>
      <c r="Q440" s="17" t="s">
        <v>406</v>
      </c>
      <c r="R440" s="6" t="s">
        <v>407</v>
      </c>
      <c r="S440" s="17" t="s">
        <v>36</v>
      </c>
      <c r="T440" s="17" t="s">
        <v>7314</v>
      </c>
      <c r="U440" s="173" t="s">
        <v>2544</v>
      </c>
      <c r="V440" s="19" t="s">
        <v>3091</v>
      </c>
      <c r="W440" s="20" t="s">
        <v>3092</v>
      </c>
      <c r="X440" s="20" t="s">
        <v>3092</v>
      </c>
      <c r="Y440" s="20"/>
      <c r="Z440" s="7"/>
      <c r="AA440" s="7"/>
      <c r="AB440" s="23"/>
      <c r="AC440" s="26"/>
    </row>
    <row r="441" spans="1:29" ht="15.75" customHeight="1">
      <c r="A441" s="10" t="s">
        <v>3144</v>
      </c>
      <c r="B441" s="10" t="s">
        <v>1469</v>
      </c>
      <c r="C441" s="60" t="s">
        <v>1470</v>
      </c>
      <c r="D441" s="12"/>
      <c r="E441" s="13" t="s">
        <v>378</v>
      </c>
      <c r="F441" s="6" t="s">
        <v>3145</v>
      </c>
      <c r="G441" s="6" t="str">
        <f ca="1">IFERROR(__xludf.DUMMYFUNCTION("CONCATENATE(B441,(VLOOKUP(C441,CATALOGOS!$F$2:$H$6,3,FALSE)),(VLOOKUP(V441,CATALOGOS!$J$2:$K$18,2,FALSE)),""-"",TO_TEXT(A441))"),"P12PL-0440")</f>
        <v>P12PL-0440</v>
      </c>
      <c r="H441" s="6" t="str">
        <f ca="1">IFERROR(__xludf.DUMMYFUNCTION("CONCATENATE($B441,(VLOOKUP($C441,CATALOGOS!$F$2:$H$6,3,FALSE)),(VLOOKUP($V441,CATALOGOS!$J$2:$K$18,2,FALSE)),""-"",TO_TEXT($A441))"),"P12PL-0440")</f>
        <v>P12PL-0440</v>
      </c>
      <c r="I441" s="6"/>
      <c r="J441" s="6" t="s">
        <v>3146</v>
      </c>
      <c r="K441" s="6" t="s">
        <v>3147</v>
      </c>
      <c r="L441" s="6" t="s">
        <v>3148</v>
      </c>
      <c r="M441" s="43" t="s">
        <v>3149</v>
      </c>
      <c r="N441" s="17"/>
      <c r="O441" s="17"/>
      <c r="P441" s="17" t="str">
        <f t="shared" si="3"/>
        <v>OK</v>
      </c>
      <c r="Q441" s="17" t="s">
        <v>35</v>
      </c>
      <c r="R441" s="6" t="s">
        <v>35</v>
      </c>
      <c r="S441" s="17" t="s">
        <v>36</v>
      </c>
      <c r="T441" s="17" t="s">
        <v>3150</v>
      </c>
      <c r="U441" s="173" t="s">
        <v>38</v>
      </c>
      <c r="V441" s="11" t="s">
        <v>3091</v>
      </c>
      <c r="W441" s="20" t="s">
        <v>3092</v>
      </c>
      <c r="X441" s="20" t="s">
        <v>3092</v>
      </c>
      <c r="Y441" s="20"/>
      <c r="Z441" s="7"/>
      <c r="AA441" s="7"/>
      <c r="AB441" s="23"/>
      <c r="AC441" s="26"/>
    </row>
    <row r="442" spans="1:29" ht="15.75" customHeight="1">
      <c r="A442" s="10" t="s">
        <v>3152</v>
      </c>
      <c r="B442" s="10" t="s">
        <v>1469</v>
      </c>
      <c r="C442" s="60" t="s">
        <v>1470</v>
      </c>
      <c r="D442" s="12"/>
      <c r="E442" s="13" t="s">
        <v>199</v>
      </c>
      <c r="F442" s="6" t="s">
        <v>199</v>
      </c>
      <c r="G442" s="6" t="str">
        <f ca="1">IFERROR(__xludf.DUMMYFUNCTION("CONCATENATE(B442,(VLOOKUP(C442,CATALOGOS!$F$2:$H$6,3,FALSE)),(VLOOKUP(V442,CATALOGOS!$J$2:$K$18,2,FALSE)),""-"",TO_TEXT(A442))"),"P12PL-0441")</f>
        <v>P12PL-0441</v>
      </c>
      <c r="H442" s="6" t="str">
        <f ca="1">IFERROR(__xludf.DUMMYFUNCTION("CONCATENATE($B442,(VLOOKUP($C442,CATALOGOS!$F$2:$H$6,3,FALSE)),(VLOOKUP($V442,CATALOGOS!$J$2:$K$18,2,FALSE)),""-"",TO_TEXT($A442))"),"P12PL-0441")</f>
        <v>P12PL-0441</v>
      </c>
      <c r="I442" s="6"/>
      <c r="J442" s="6" t="s">
        <v>3153</v>
      </c>
      <c r="K442" s="6" t="s">
        <v>3154</v>
      </c>
      <c r="L442" s="6" t="s">
        <v>3155</v>
      </c>
      <c r="M442" s="6" t="s">
        <v>3156</v>
      </c>
      <c r="N442" s="17"/>
      <c r="O442" s="17"/>
      <c r="P442" s="17" t="str">
        <f t="shared" si="3"/>
        <v>OK</v>
      </c>
      <c r="Q442" s="17" t="s">
        <v>157</v>
      </c>
      <c r="R442" s="6">
        <v>2378</v>
      </c>
      <c r="S442" s="17" t="s">
        <v>3157</v>
      </c>
      <c r="T442" s="10" t="s">
        <v>3158</v>
      </c>
      <c r="U442" s="173" t="s">
        <v>38</v>
      </c>
      <c r="V442" s="11" t="s">
        <v>3091</v>
      </c>
      <c r="W442" s="20" t="s">
        <v>3092</v>
      </c>
      <c r="X442" s="20" t="s">
        <v>3092</v>
      </c>
      <c r="Y442" s="20"/>
      <c r="Z442" s="7"/>
      <c r="AA442" s="7"/>
      <c r="AB442" s="23"/>
      <c r="AC442" s="26"/>
    </row>
    <row r="443" spans="1:29" ht="15.75" customHeight="1">
      <c r="A443" s="10" t="s">
        <v>3159</v>
      </c>
      <c r="B443" s="10" t="s">
        <v>1469</v>
      </c>
      <c r="C443" s="60" t="s">
        <v>1470</v>
      </c>
      <c r="D443" s="12"/>
      <c r="E443" s="13" t="s">
        <v>151</v>
      </c>
      <c r="F443" s="6" t="s">
        <v>714</v>
      </c>
      <c r="G443" s="6" t="str">
        <f ca="1">IFERROR(__xludf.DUMMYFUNCTION("CONCATENATE(B443,(VLOOKUP(C443,CATALOGOS!$F$2:$H$6,3,FALSE)),(VLOOKUP(V443,CATALOGOS!$J$2:$K$18,2,FALSE)),""-"",TO_TEXT(A443))"),"P12PL-0442")</f>
        <v>P12PL-0442</v>
      </c>
      <c r="H443" s="6" t="str">
        <f ca="1">IFERROR(__xludf.DUMMYFUNCTION("CONCATENATE($B443,(VLOOKUP($C443,CATALOGOS!$F$2:$H$6,3,FALSE)),(VLOOKUP($V443,CATALOGOS!$J$2:$K$18,2,FALSE)),""-"",TO_TEXT($A443))"),"P12PL-0442")</f>
        <v>P12PL-0442</v>
      </c>
      <c r="I443" s="6"/>
      <c r="J443" s="6" t="s">
        <v>3160</v>
      </c>
      <c r="K443" s="6" t="s">
        <v>3161</v>
      </c>
      <c r="L443" s="6" t="s">
        <v>3162</v>
      </c>
      <c r="M443" s="6" t="s">
        <v>3163</v>
      </c>
      <c r="N443" s="17"/>
      <c r="O443" s="17"/>
      <c r="P443" s="17" t="str">
        <f t="shared" si="3"/>
        <v>OK</v>
      </c>
      <c r="Q443" s="17" t="s">
        <v>157</v>
      </c>
      <c r="R443" s="6" t="s">
        <v>158</v>
      </c>
      <c r="S443" s="17" t="s">
        <v>3164</v>
      </c>
      <c r="T443" s="10" t="s">
        <v>3165</v>
      </c>
      <c r="U443" s="173" t="s">
        <v>38</v>
      </c>
      <c r="V443" s="174" t="s">
        <v>3091</v>
      </c>
      <c r="W443" s="20" t="s">
        <v>3092</v>
      </c>
      <c r="X443" s="20" t="s">
        <v>3092</v>
      </c>
      <c r="Y443" s="20"/>
      <c r="Z443" s="7"/>
      <c r="AA443" s="7"/>
      <c r="AB443" s="23"/>
      <c r="AC443" s="26"/>
    </row>
    <row r="444" spans="1:29" ht="15.75" customHeight="1">
      <c r="A444" s="10" t="s">
        <v>3166</v>
      </c>
      <c r="B444" s="10" t="s">
        <v>1469</v>
      </c>
      <c r="C444" s="60" t="s">
        <v>1470</v>
      </c>
      <c r="D444" s="12"/>
      <c r="E444" s="13" t="s">
        <v>116</v>
      </c>
      <c r="F444" s="6" t="s">
        <v>3167</v>
      </c>
      <c r="G444" s="6" t="str">
        <f ca="1">IFERROR(__xludf.DUMMYFUNCTION("CONCATENATE(B444,(VLOOKUP(C444,CATALOGOS!$F$2:$H$6,3,FALSE)),(VLOOKUP(V444,CATALOGOS!$J$2:$K$18,2,FALSE)),""-"",TO_TEXT(A444))"),"P12SI-0443")</f>
        <v>P12SI-0443</v>
      </c>
      <c r="H444" s="6" t="str">
        <f ca="1">IFERROR(__xludf.DUMMYFUNCTION("CONCATENATE($B444,(VLOOKUP($C444,CATALOGOS!$F$2:$H$6,3,FALSE)),(VLOOKUP($V444,CATALOGOS!$J$2:$K$18,2,FALSE)),""-"",TO_TEXT($A444))"),"P12SI-0443")</f>
        <v>P12SI-0443</v>
      </c>
      <c r="I444" s="6"/>
      <c r="J444" s="6" t="s">
        <v>3168</v>
      </c>
      <c r="K444" s="6" t="s">
        <v>3169</v>
      </c>
      <c r="L444" s="6" t="s">
        <v>3170</v>
      </c>
      <c r="M444" s="6" t="s">
        <v>3171</v>
      </c>
      <c r="N444" s="17"/>
      <c r="O444" s="17"/>
      <c r="P444" s="17" t="str">
        <f t="shared" si="3"/>
        <v>OK</v>
      </c>
      <c r="Q444" s="17" t="s">
        <v>35</v>
      </c>
      <c r="R444" s="6" t="s">
        <v>35</v>
      </c>
      <c r="S444" s="17" t="s">
        <v>36</v>
      </c>
      <c r="T444" s="17" t="s">
        <v>3172</v>
      </c>
      <c r="U444" s="173" t="s">
        <v>38</v>
      </c>
      <c r="V444" s="181" t="s">
        <v>1483</v>
      </c>
      <c r="W444" s="20" t="s">
        <v>3173</v>
      </c>
      <c r="X444" s="20" t="s">
        <v>3173</v>
      </c>
      <c r="Y444" s="20"/>
      <c r="Z444" s="6"/>
      <c r="AA444" s="6"/>
      <c r="AB444" s="23"/>
      <c r="AC444" s="33"/>
    </row>
    <row r="445" spans="1:29" ht="15.75" customHeight="1">
      <c r="A445" s="10" t="s">
        <v>3174</v>
      </c>
      <c r="B445" s="10" t="s">
        <v>1469</v>
      </c>
      <c r="C445" s="60" t="s">
        <v>1470</v>
      </c>
      <c r="D445" s="12"/>
      <c r="E445" s="13" t="s">
        <v>378</v>
      </c>
      <c r="F445" s="6" t="s">
        <v>3175</v>
      </c>
      <c r="G445" s="6" t="str">
        <f ca="1">IFERROR(__xludf.DUMMYFUNCTION("CONCATENATE(B445,(VLOOKUP(C445,CATALOGOS!$F$2:$H$6,3,FALSE)),(VLOOKUP(V445,CATALOGOS!$J$2:$K$18,2,FALSE)),""-"",TO_TEXT(A445))"),"P12PL-0444")</f>
        <v>P12PL-0444</v>
      </c>
      <c r="H445" s="6" t="str">
        <f ca="1">IFERROR(__xludf.DUMMYFUNCTION("CONCATENATE($B445,(VLOOKUP($C445,CATALOGOS!$F$2:$H$6,3,FALSE)),(VLOOKUP($V445,CATALOGOS!$J$2:$K$18,2,FALSE)),""-"",TO_TEXT($A445))"),"P12PL-0444")</f>
        <v>P12PL-0444</v>
      </c>
      <c r="I445" s="6"/>
      <c r="J445" s="6" t="s">
        <v>3176</v>
      </c>
      <c r="K445" s="6" t="s">
        <v>3177</v>
      </c>
      <c r="L445" s="36"/>
      <c r="M445" s="6" t="s">
        <v>141</v>
      </c>
      <c r="N445" s="17"/>
      <c r="O445" s="17"/>
      <c r="P445" s="17" t="str">
        <f t="shared" si="3"/>
        <v>REPETIDO</v>
      </c>
      <c r="Q445" s="35" t="s">
        <v>35</v>
      </c>
      <c r="R445" s="6" t="s">
        <v>35</v>
      </c>
      <c r="S445" s="10" t="s">
        <v>36</v>
      </c>
      <c r="T445" s="32" t="s">
        <v>85</v>
      </c>
      <c r="U445" s="173" t="s">
        <v>38</v>
      </c>
      <c r="V445" s="11" t="s">
        <v>3091</v>
      </c>
      <c r="W445" s="20" t="s">
        <v>3092</v>
      </c>
      <c r="X445" s="20" t="s">
        <v>3092</v>
      </c>
      <c r="Y445" s="20"/>
      <c r="Z445" s="6"/>
      <c r="AA445" s="6"/>
      <c r="AB445" s="23"/>
      <c r="AC445" s="33"/>
    </row>
    <row r="446" spans="1:29" ht="15.75" customHeight="1">
      <c r="A446" s="10" t="s">
        <v>3178</v>
      </c>
      <c r="B446" s="10" t="s">
        <v>1469</v>
      </c>
      <c r="C446" s="60" t="s">
        <v>1470</v>
      </c>
      <c r="D446" s="38"/>
      <c r="E446" s="13" t="s">
        <v>353</v>
      </c>
      <c r="F446" s="6" t="s">
        <v>638</v>
      </c>
      <c r="G446" s="6" t="str">
        <f ca="1">IFERROR(__xludf.DUMMYFUNCTION("CONCATENATE(B446,(VLOOKUP(C446,CATALOGOS!$F$2:$H$6,3,FALSE)),(VLOOKUP(V446,CATALOGOS!$J$2:$K$18,2,FALSE)),""-"",TO_TEXT(A446))"),"P12PL-0445")</f>
        <v>P12PL-0445</v>
      </c>
      <c r="H446" s="6" t="str">
        <f ca="1">IFERROR(__xludf.DUMMYFUNCTION("CONCATENATE($B446,(VLOOKUP($C446,CATALOGOS!$F$2:$H$6,3,FALSE)),(VLOOKUP($V446,CATALOGOS!$J$2:$K$18,2,FALSE)),""-"",TO_TEXT($A446))"),"P12PL-0445")</f>
        <v>P12PL-0445</v>
      </c>
      <c r="I446" s="6"/>
      <c r="J446" s="6" t="s">
        <v>3179</v>
      </c>
      <c r="K446" s="6" t="s">
        <v>3180</v>
      </c>
      <c r="L446" s="6" t="s">
        <v>3181</v>
      </c>
      <c r="M446" s="6" t="s">
        <v>3182</v>
      </c>
      <c r="N446" s="17"/>
      <c r="O446" s="17"/>
      <c r="P446" s="17" t="str">
        <f t="shared" si="3"/>
        <v>OK</v>
      </c>
      <c r="Q446" s="17" t="s">
        <v>359</v>
      </c>
      <c r="R446" s="6" t="s">
        <v>360</v>
      </c>
      <c r="S446" s="6">
        <v>161039232</v>
      </c>
      <c r="T446" s="32" t="s">
        <v>3183</v>
      </c>
      <c r="U446" s="184" t="s">
        <v>971</v>
      </c>
      <c r="V446" s="11" t="s">
        <v>3091</v>
      </c>
      <c r="W446" s="20" t="s">
        <v>3092</v>
      </c>
      <c r="X446" s="20" t="s">
        <v>3092</v>
      </c>
      <c r="Y446" s="20"/>
      <c r="Z446" s="36"/>
      <c r="AA446" s="36"/>
      <c r="AB446" s="26"/>
      <c r="AC446" s="33"/>
    </row>
    <row r="447" spans="1:29" ht="15.75" customHeight="1">
      <c r="A447" s="10" t="s">
        <v>3184</v>
      </c>
      <c r="B447" s="10" t="s">
        <v>1469</v>
      </c>
      <c r="C447" s="60" t="s">
        <v>1470</v>
      </c>
      <c r="D447" s="12"/>
      <c r="E447" s="13" t="s">
        <v>93</v>
      </c>
      <c r="F447" s="6" t="s">
        <v>1739</v>
      </c>
      <c r="G447" s="6" t="str">
        <f ca="1">IFERROR(__xludf.DUMMYFUNCTION("CONCATENATE(B447,(VLOOKUP(C447,CATALOGOS!$F$2:$H$6,3,FALSE)),(VLOOKUP(V447,CATALOGOS!$J$2:$K$18,2,FALSE)),""-"",TO_TEXT(A447))"),"P12PL-0446")</f>
        <v>P12PL-0446</v>
      </c>
      <c r="H447" s="6" t="str">
        <f ca="1">IFERROR(__xludf.DUMMYFUNCTION("CONCATENATE($B447,(VLOOKUP($C447,CATALOGOS!$F$2:$H$6,3,FALSE)),(VLOOKUP($V447,CATALOGOS!$J$2:$K$18,2,FALSE)),""-"",TO_TEXT($A447))"),"P12PL-0446")</f>
        <v>P12PL-0446</v>
      </c>
      <c r="I447" s="6"/>
      <c r="J447" s="6" t="s">
        <v>3185</v>
      </c>
      <c r="K447" s="6" t="s">
        <v>3186</v>
      </c>
      <c r="L447" s="6" t="s">
        <v>3187</v>
      </c>
      <c r="M447" s="6" t="s">
        <v>3188</v>
      </c>
      <c r="N447" s="17"/>
      <c r="O447" s="17"/>
      <c r="P447" s="17" t="str">
        <f t="shared" si="3"/>
        <v>OK</v>
      </c>
      <c r="Q447" s="17" t="s">
        <v>35</v>
      </c>
      <c r="R447" s="6" t="s">
        <v>35</v>
      </c>
      <c r="S447" s="17" t="s">
        <v>36</v>
      </c>
      <c r="T447" s="17" t="s">
        <v>3189</v>
      </c>
      <c r="U447" s="173" t="s">
        <v>38</v>
      </c>
      <c r="V447" s="11" t="s">
        <v>3091</v>
      </c>
      <c r="W447" s="22" t="s">
        <v>3151</v>
      </c>
      <c r="X447" s="22" t="s">
        <v>3151</v>
      </c>
      <c r="Y447" s="22"/>
      <c r="Z447" s="7"/>
      <c r="AA447" s="7"/>
      <c r="AB447" s="23"/>
      <c r="AC447" s="26"/>
    </row>
    <row r="448" spans="1:29" ht="15.75" customHeight="1">
      <c r="A448" s="10" t="s">
        <v>3190</v>
      </c>
      <c r="B448" s="10" t="s">
        <v>1469</v>
      </c>
      <c r="C448" s="60" t="s">
        <v>1470</v>
      </c>
      <c r="D448" s="12"/>
      <c r="E448" s="13" t="s">
        <v>116</v>
      </c>
      <c r="F448" s="43" t="s">
        <v>117</v>
      </c>
      <c r="G448" s="6" t="str">
        <f ca="1">IFERROR(__xludf.DUMMYFUNCTION("CONCATENATE(B448,(VLOOKUP(C448,CATALOGOS!$F$2:$H$6,3,FALSE)),(VLOOKUP(V448,CATALOGOS!$J$2:$K$18,2,FALSE)),""-"",TO_TEXT(A448))"),"P12PL-0447")</f>
        <v>P12PL-0447</v>
      </c>
      <c r="H448" s="6" t="str">
        <f ca="1">IFERROR(__xludf.DUMMYFUNCTION("CONCATENATE($B448,(VLOOKUP($C448,CATALOGOS!$F$2:$H$6,3,FALSE)),(VLOOKUP($V448,CATALOGOS!$J$2:$K$18,2,FALSE)),""-"",TO_TEXT($A448))"),"P12PL-0447")</f>
        <v>P12PL-0447</v>
      </c>
      <c r="I448" s="6"/>
      <c r="J448" s="6" t="s">
        <v>3191</v>
      </c>
      <c r="K448" s="6" t="s">
        <v>3192</v>
      </c>
      <c r="L448" s="6" t="s">
        <v>3193</v>
      </c>
      <c r="M448" s="6" t="s">
        <v>3194</v>
      </c>
      <c r="N448" s="17"/>
      <c r="O448" s="17"/>
      <c r="P448" s="17" t="str">
        <f t="shared" si="3"/>
        <v>OK</v>
      </c>
      <c r="Q448" s="17" t="s">
        <v>35</v>
      </c>
      <c r="R448" s="6" t="s">
        <v>35</v>
      </c>
      <c r="S448" s="17" t="s">
        <v>36</v>
      </c>
      <c r="T448" s="17" t="s">
        <v>3195</v>
      </c>
      <c r="U448" s="173" t="s">
        <v>38</v>
      </c>
      <c r="V448" s="11" t="s">
        <v>3091</v>
      </c>
      <c r="W448" s="22" t="s">
        <v>3151</v>
      </c>
      <c r="X448" s="22" t="s">
        <v>3151</v>
      </c>
      <c r="Y448" s="22"/>
      <c r="Z448" s="7"/>
      <c r="AA448" s="7"/>
      <c r="AB448" s="23"/>
      <c r="AC448" s="26"/>
    </row>
    <row r="449" spans="1:29" ht="15.75" customHeight="1">
      <c r="A449" s="10" t="s">
        <v>3196</v>
      </c>
      <c r="B449" s="10" t="s">
        <v>1469</v>
      </c>
      <c r="C449" s="60" t="s">
        <v>1470</v>
      </c>
      <c r="D449" s="12"/>
      <c r="E449" s="13" t="s">
        <v>199</v>
      </c>
      <c r="F449" s="6" t="s">
        <v>199</v>
      </c>
      <c r="G449" s="6" t="str">
        <f ca="1">IFERROR(__xludf.DUMMYFUNCTION("CONCATENATE(B449,(VLOOKUP(C449,CATALOGOS!$F$2:$H$6,3,FALSE)),(VLOOKUP(V449,CATALOGOS!$J$2:$K$18,2,FALSE)),""-"",TO_TEXT(A449))"),"P12PL-0448")</f>
        <v>P12PL-0448</v>
      </c>
      <c r="H449" s="6" t="str">
        <f ca="1">IFERROR(__xludf.DUMMYFUNCTION("CONCATENATE($B449,(VLOOKUP($C449,CATALOGOS!$F$2:$H$6,3,FALSE)),(VLOOKUP($V449,CATALOGOS!$J$2:$K$18,2,FALSE)),""-"",TO_TEXT($A449))"),"P12PL-0448")</f>
        <v>P12PL-0448</v>
      </c>
      <c r="I449" s="6"/>
      <c r="J449" s="6" t="s">
        <v>3197</v>
      </c>
      <c r="K449" s="6" t="s">
        <v>3198</v>
      </c>
      <c r="L449" s="6" t="s">
        <v>3199</v>
      </c>
      <c r="M449" s="6" t="s">
        <v>3200</v>
      </c>
      <c r="N449" s="17"/>
      <c r="O449" s="17"/>
      <c r="P449" s="17" t="str">
        <f t="shared" si="3"/>
        <v>OK</v>
      </c>
      <c r="Q449" s="17" t="s">
        <v>205</v>
      </c>
      <c r="R449" s="6" t="s">
        <v>794</v>
      </c>
      <c r="S449" s="17" t="s">
        <v>3201</v>
      </c>
      <c r="T449" s="17" t="s">
        <v>3202</v>
      </c>
      <c r="U449" s="173" t="s">
        <v>38</v>
      </c>
      <c r="V449" s="11" t="s">
        <v>3091</v>
      </c>
      <c r="W449" s="22" t="s">
        <v>3151</v>
      </c>
      <c r="X449" s="22" t="s">
        <v>3151</v>
      </c>
      <c r="Y449" s="22"/>
      <c r="Z449" s="7"/>
      <c r="AA449" s="7"/>
      <c r="AB449" s="23"/>
      <c r="AC449" s="26"/>
    </row>
    <row r="450" spans="1:29" ht="15.75" customHeight="1">
      <c r="A450" s="10" t="s">
        <v>3203</v>
      </c>
      <c r="B450" s="10" t="s">
        <v>1469</v>
      </c>
      <c r="C450" s="60" t="s">
        <v>1470</v>
      </c>
      <c r="D450" s="12"/>
      <c r="E450" s="13" t="s">
        <v>248</v>
      </c>
      <c r="F450" s="43" t="s">
        <v>248</v>
      </c>
      <c r="G450" s="6" t="str">
        <f ca="1">IFERROR(__xludf.DUMMYFUNCTION("CONCATENATE(B450,(VLOOKUP(C450,CATALOGOS!$F$2:$H$6,3,FALSE)),(VLOOKUP(V450,CATALOGOS!$J$2:$K$18,2,FALSE)),""-"",TO_TEXT(A450))"),"P12PL-0449")</f>
        <v>P12PL-0449</v>
      </c>
      <c r="H450" s="6" t="str">
        <f ca="1">IFERROR(__xludf.DUMMYFUNCTION("CONCATENATE($B450,(VLOOKUP($C450,CATALOGOS!$F$2:$H$6,3,FALSE)),(VLOOKUP($V450,CATALOGOS!$J$2:$K$18,2,FALSE)),""-"",TO_TEXT($A450))"),"P12PL-0449")</f>
        <v>P12PL-0449</v>
      </c>
      <c r="I450" s="6"/>
      <c r="J450" s="6" t="s">
        <v>3204</v>
      </c>
      <c r="K450" s="6" t="s">
        <v>3205</v>
      </c>
      <c r="L450" s="6" t="s">
        <v>3206</v>
      </c>
      <c r="M450" s="6" t="s">
        <v>3207</v>
      </c>
      <c r="N450" s="17"/>
      <c r="O450" s="17"/>
      <c r="P450" s="17" t="str">
        <f t="shared" si="3"/>
        <v>OK</v>
      </c>
      <c r="Q450" s="17" t="s">
        <v>978</v>
      </c>
      <c r="R450" s="6" t="s">
        <v>979</v>
      </c>
      <c r="S450" s="17" t="s">
        <v>36</v>
      </c>
      <c r="T450" s="17" t="s">
        <v>3208</v>
      </c>
      <c r="U450" s="173" t="s">
        <v>38</v>
      </c>
      <c r="V450" s="11" t="s">
        <v>3091</v>
      </c>
      <c r="W450" s="22" t="s">
        <v>3151</v>
      </c>
      <c r="X450" s="22" t="s">
        <v>3151</v>
      </c>
      <c r="Y450" s="22"/>
      <c r="Z450" s="7"/>
      <c r="AA450" s="7"/>
      <c r="AB450" s="23"/>
      <c r="AC450" s="26"/>
    </row>
    <row r="451" spans="1:29" ht="15.75" customHeight="1">
      <c r="A451" s="10" t="s">
        <v>3209</v>
      </c>
      <c r="B451" s="10" t="s">
        <v>1469</v>
      </c>
      <c r="C451" s="60" t="s">
        <v>1470</v>
      </c>
      <c r="D451" s="12"/>
      <c r="E451" s="13" t="s">
        <v>1240</v>
      </c>
      <c r="F451" s="43" t="s">
        <v>278</v>
      </c>
      <c r="G451" s="6" t="str">
        <f ca="1">IFERROR(__xludf.DUMMYFUNCTION("CONCATENATE(B451,(VLOOKUP(C451,CATALOGOS!$F$2:$H$6,3,FALSE)),(VLOOKUP(V451,CATALOGOS!$J$2:$K$18,2,FALSE)),""-"",TO_TEXT(A451))"),"P12PL-0450")</f>
        <v>P12PL-0450</v>
      </c>
      <c r="H451" s="6" t="str">
        <f ca="1">IFERROR(__xludf.DUMMYFUNCTION("CONCATENATE($B451,(VLOOKUP($C451,CATALOGOS!$F$2:$H$6,3,FALSE)),(VLOOKUP($V451,CATALOGOS!$J$2:$K$18,2,FALSE)),""-"",TO_TEXT($A451))"),"P12PL-0450")</f>
        <v>P12PL-0450</v>
      </c>
      <c r="I451" s="6"/>
      <c r="J451" s="6" t="s">
        <v>3210</v>
      </c>
      <c r="K451" s="6" t="s">
        <v>3211</v>
      </c>
      <c r="L451" s="6" t="s">
        <v>3212</v>
      </c>
      <c r="M451" s="6" t="s">
        <v>3213</v>
      </c>
      <c r="N451" s="17"/>
      <c r="O451" s="17"/>
      <c r="P451" s="17" t="str">
        <f t="shared" si="3"/>
        <v>OK</v>
      </c>
      <c r="Q451" s="17" t="s">
        <v>35</v>
      </c>
      <c r="R451" s="6" t="s">
        <v>35</v>
      </c>
      <c r="S451" s="17" t="s">
        <v>36</v>
      </c>
      <c r="T451" s="17" t="s">
        <v>3214</v>
      </c>
      <c r="U451" s="173" t="s">
        <v>38</v>
      </c>
      <c r="V451" s="11" t="s">
        <v>3091</v>
      </c>
      <c r="W451" s="22" t="s">
        <v>3151</v>
      </c>
      <c r="X451" s="22" t="s">
        <v>3151</v>
      </c>
      <c r="Y451" s="22"/>
      <c r="Z451" s="7"/>
      <c r="AA451" s="7"/>
      <c r="AB451" s="23"/>
      <c r="AC451" s="26"/>
    </row>
    <row r="452" spans="1:29" ht="15.75" customHeight="1">
      <c r="A452" s="10" t="s">
        <v>3215</v>
      </c>
      <c r="B452" s="10" t="s">
        <v>1469</v>
      </c>
      <c r="C452" s="60" t="s">
        <v>1470</v>
      </c>
      <c r="D452" s="38"/>
      <c r="E452" s="13" t="s">
        <v>151</v>
      </c>
      <c r="F452" s="6" t="s">
        <v>152</v>
      </c>
      <c r="G452" s="6" t="str">
        <f ca="1">IFERROR(__xludf.DUMMYFUNCTION("CONCATENATE(B452,(VLOOKUP(C452,CATALOGOS!$F$2:$H$6,3,FALSE)),(VLOOKUP(V452,CATALOGOS!$J$2:$K$18,2,FALSE)),""-"",TO_TEXT(A452))"),"P12PL-0451")</f>
        <v>P12PL-0451</v>
      </c>
      <c r="H452" s="6" t="str">
        <f ca="1">IFERROR(__xludf.DUMMYFUNCTION("CONCATENATE($B452,(VLOOKUP($C452,CATALOGOS!$F$2:$H$6,3,FALSE)),(VLOOKUP($V452,CATALOGOS!$J$2:$K$18,2,FALSE)),""-"",TO_TEXT($A452))"),"P12PL-0451")</f>
        <v>P12PL-0451</v>
      </c>
      <c r="I452" s="6"/>
      <c r="J452" s="6" t="s">
        <v>3216</v>
      </c>
      <c r="K452" s="6" t="s">
        <v>3217</v>
      </c>
      <c r="L452" s="6" t="s">
        <v>3218</v>
      </c>
      <c r="M452" s="6" t="s">
        <v>3219</v>
      </c>
      <c r="N452" s="17"/>
      <c r="O452" s="17"/>
      <c r="P452" s="17" t="str">
        <f t="shared" si="3"/>
        <v>OK</v>
      </c>
      <c r="Q452" s="17" t="s">
        <v>1220</v>
      </c>
      <c r="R452" s="6" t="s">
        <v>720</v>
      </c>
      <c r="S452" s="46" t="s">
        <v>3220</v>
      </c>
      <c r="T452" s="17" t="s">
        <v>3221</v>
      </c>
      <c r="U452" s="173" t="s">
        <v>38</v>
      </c>
      <c r="V452" s="11" t="s">
        <v>3091</v>
      </c>
      <c r="W452" s="32" t="s">
        <v>3151</v>
      </c>
      <c r="X452" s="32" t="s">
        <v>3151</v>
      </c>
      <c r="Y452" s="32"/>
      <c r="Z452" s="7"/>
      <c r="AA452" s="7"/>
      <c r="AB452" s="26"/>
      <c r="AC452" s="26"/>
    </row>
    <row r="453" spans="1:29" ht="15.75" customHeight="1">
      <c r="A453" s="10" t="s">
        <v>3222</v>
      </c>
      <c r="B453" s="10" t="s">
        <v>1469</v>
      </c>
      <c r="C453" s="63" t="s">
        <v>868</v>
      </c>
      <c r="D453" s="38"/>
      <c r="E453" s="13" t="s">
        <v>378</v>
      </c>
      <c r="F453" s="6" t="s">
        <v>379</v>
      </c>
      <c r="G453" s="15" t="str">
        <f ca="1">IFERROR(__xludf.DUMMYFUNCTION("CONCATENATE(B453,(VLOOKUP(C453,CATALOGOS!$F$2:$H$6,3,FALSE)),(VLOOKUP(V453,CATALOGOS!$J$2:$K$18,2,FALSE)),""-"",TO_TEXT(A453))"),"P13CV-0452")</f>
        <v>P13CV-0452</v>
      </c>
      <c r="H453" s="6" t="str">
        <f ca="1">IFERROR(__xludf.DUMMYFUNCTION("CONCATENATE($B453,(VLOOKUP($C453,CATALOGOS!$F$2:$H$6,3,FALSE)),(VLOOKUP($V453,CATALOGOS!$J$2:$K$18,2,FALSE)),""-"",TO_TEXT($A453))"),"P13CV-0452")</f>
        <v>P13CV-0452</v>
      </c>
      <c r="I453" s="6"/>
      <c r="J453" s="6" t="s">
        <v>3223</v>
      </c>
      <c r="K453" s="6" t="s">
        <v>3224</v>
      </c>
      <c r="L453" s="6" t="s">
        <v>3225</v>
      </c>
      <c r="M453" s="6" t="s">
        <v>3226</v>
      </c>
      <c r="N453" s="17"/>
      <c r="O453" s="17"/>
      <c r="P453" s="17" t="str">
        <f t="shared" si="3"/>
        <v>OK</v>
      </c>
      <c r="Q453" s="17" t="s">
        <v>35</v>
      </c>
      <c r="R453" s="6" t="s">
        <v>35</v>
      </c>
      <c r="S453" s="46" t="s">
        <v>36</v>
      </c>
      <c r="T453" s="17" t="s">
        <v>3227</v>
      </c>
      <c r="U453" s="173" t="s">
        <v>38</v>
      </c>
      <c r="V453" s="11" t="s">
        <v>875</v>
      </c>
      <c r="W453" s="10" t="s">
        <v>876</v>
      </c>
      <c r="X453" s="10" t="s">
        <v>876</v>
      </c>
      <c r="Y453" s="10"/>
      <c r="Z453" s="7"/>
      <c r="AA453" s="7"/>
      <c r="AB453" s="26"/>
      <c r="AC453" s="26"/>
    </row>
    <row r="454" spans="1:29" ht="15.75" customHeight="1">
      <c r="A454" s="10" t="s">
        <v>3228</v>
      </c>
      <c r="B454" s="10" t="s">
        <v>1469</v>
      </c>
      <c r="C454" s="60" t="s">
        <v>1470</v>
      </c>
      <c r="D454" s="38"/>
      <c r="E454" s="13" t="s">
        <v>184</v>
      </c>
      <c r="F454" s="6" t="s">
        <v>3229</v>
      </c>
      <c r="G454" s="6" t="str">
        <f ca="1">IFERROR(__xludf.DUMMYFUNCTION("CONCATENATE(B454,(VLOOKUP(C454,CATALOGOS!$F$2:$H$6,3,FALSE)),(VLOOKUP(V454,CATALOGOS!$J$2:$K$18,2,FALSE)),""-"",TO_TEXT(A454))"),"P12PL-0453")</f>
        <v>P12PL-0453</v>
      </c>
      <c r="H454" s="6" t="str">
        <f ca="1">IFERROR(__xludf.DUMMYFUNCTION("CONCATENATE($B454,(VLOOKUP($C454,CATALOGOS!$F$2:$H$6,3,FALSE)),(VLOOKUP($V454,CATALOGOS!$J$2:$K$18,2,FALSE)),""-"",TO_TEXT($A454))"),"P12PL-0453")</f>
        <v>P12PL-0453</v>
      </c>
      <c r="I454" s="6"/>
      <c r="J454" s="6" t="s">
        <v>3230</v>
      </c>
      <c r="K454" s="6" t="s">
        <v>3231</v>
      </c>
      <c r="L454" s="6" t="s">
        <v>3232</v>
      </c>
      <c r="M454" s="6" t="s">
        <v>3233</v>
      </c>
      <c r="N454" s="17"/>
      <c r="O454" s="17"/>
      <c r="P454" s="17" t="str">
        <f t="shared" si="3"/>
        <v>OK</v>
      </c>
      <c r="Q454" s="17" t="s">
        <v>35</v>
      </c>
      <c r="R454" s="6" t="s">
        <v>35</v>
      </c>
      <c r="S454" s="46" t="s">
        <v>36</v>
      </c>
      <c r="T454" s="17" t="s">
        <v>3234</v>
      </c>
      <c r="U454" s="173" t="s">
        <v>38</v>
      </c>
      <c r="V454" s="11" t="s">
        <v>3091</v>
      </c>
      <c r="W454" s="22" t="s">
        <v>3151</v>
      </c>
      <c r="X454" s="22" t="s">
        <v>3151</v>
      </c>
      <c r="Y454" s="22"/>
      <c r="Z454" s="7"/>
      <c r="AA454" s="7"/>
      <c r="AB454" s="26"/>
      <c r="AC454" s="26"/>
    </row>
    <row r="455" spans="1:29" ht="15.75" customHeight="1">
      <c r="A455" s="10" t="s">
        <v>3235</v>
      </c>
      <c r="B455" s="10" t="s">
        <v>1469</v>
      </c>
      <c r="C455" s="60" t="s">
        <v>1470</v>
      </c>
      <c r="D455" s="12"/>
      <c r="E455" s="13" t="s">
        <v>210</v>
      </c>
      <c r="F455" s="6" t="s">
        <v>210</v>
      </c>
      <c r="G455" s="6" t="str">
        <f ca="1">IFERROR(__xludf.DUMMYFUNCTION("CONCATENATE(B455,(VLOOKUP(C455,CATALOGOS!$F$2:$H$6,3,FALSE)),(VLOOKUP(V455,CATALOGOS!$J$2:$K$18,2,FALSE)),""-"",TO_TEXT(A455))"),"P12PL-0454")</f>
        <v>P12PL-0454</v>
      </c>
      <c r="H455" s="6" t="str">
        <f ca="1">IFERROR(__xludf.DUMMYFUNCTION("CONCATENATE($B455,(VLOOKUP($C455,CATALOGOS!$F$2:$H$6,3,FALSE)),(VLOOKUP($V455,CATALOGOS!$J$2:$K$18,2,FALSE)),""-"",TO_TEXT($A455))"),"P12PL-0454")</f>
        <v>P12PL-0454</v>
      </c>
      <c r="I455" s="6"/>
      <c r="J455" s="6" t="s">
        <v>3236</v>
      </c>
      <c r="K455" s="6" t="s">
        <v>3237</v>
      </c>
      <c r="L455" s="36"/>
      <c r="M455" s="6" t="s">
        <v>3238</v>
      </c>
      <c r="N455" s="17"/>
      <c r="O455" s="17"/>
      <c r="P455" s="17" t="str">
        <f t="shared" si="3"/>
        <v>OK</v>
      </c>
      <c r="Q455" s="17" t="s">
        <v>216</v>
      </c>
      <c r="R455" s="6" t="s">
        <v>3239</v>
      </c>
      <c r="S455" s="6" t="s">
        <v>3240</v>
      </c>
      <c r="T455" s="10" t="s">
        <v>85</v>
      </c>
      <c r="U455" s="173" t="s">
        <v>38</v>
      </c>
      <c r="V455" s="11" t="s">
        <v>3091</v>
      </c>
      <c r="W455" s="20" t="s">
        <v>3092</v>
      </c>
      <c r="X455" s="20" t="s">
        <v>3092</v>
      </c>
      <c r="Y455" s="20"/>
      <c r="Z455" s="7"/>
      <c r="AA455" s="7"/>
      <c r="AB455" s="23"/>
      <c r="AC455" s="26"/>
    </row>
    <row r="456" spans="1:29" ht="15.75" customHeight="1">
      <c r="A456" s="10" t="s">
        <v>3241</v>
      </c>
      <c r="B456" s="10" t="s">
        <v>1469</v>
      </c>
      <c r="C456" s="60" t="s">
        <v>1470</v>
      </c>
      <c r="D456" s="12"/>
      <c r="E456" s="13" t="s">
        <v>501</v>
      </c>
      <c r="F456" s="6" t="s">
        <v>2285</v>
      </c>
      <c r="G456" s="6" t="str">
        <f ca="1">IFERROR(__xludf.DUMMYFUNCTION("CONCATENATE(B456,(VLOOKUP(C456,CATALOGOS!$F$2:$H$6,3,FALSE)),(VLOOKUP(V456,CATALOGOS!$J$2:$K$18,2,FALSE)),""-"",TO_TEXT(A456))"),"P12CT-0455")</f>
        <v>P12CT-0455</v>
      </c>
      <c r="H456" s="6" t="str">
        <f ca="1">IFERROR(__xludf.DUMMYFUNCTION("CONCATENATE($B456,(VLOOKUP($C456,CATALOGOS!$F$2:$H$6,3,FALSE)),(VLOOKUP($V456,CATALOGOS!$J$2:$K$18,2,FALSE)),""-"",TO_TEXT($A456))"),"P12CT-0455")</f>
        <v>P12CT-0455</v>
      </c>
      <c r="I456" s="6"/>
      <c r="J456" s="6" t="s">
        <v>3242</v>
      </c>
      <c r="K456" s="6" t="s">
        <v>3243</v>
      </c>
      <c r="L456" s="6" t="s">
        <v>3244</v>
      </c>
      <c r="M456" s="6" t="s">
        <v>3245</v>
      </c>
      <c r="N456" s="17"/>
      <c r="O456" s="17"/>
      <c r="P456" s="17" t="str">
        <f t="shared" si="3"/>
        <v>OK</v>
      </c>
      <c r="Q456" s="17" t="s">
        <v>35</v>
      </c>
      <c r="R456" s="6" t="s">
        <v>35</v>
      </c>
      <c r="S456" s="17" t="s">
        <v>36</v>
      </c>
      <c r="T456" s="17" t="s">
        <v>3246</v>
      </c>
      <c r="U456" s="173" t="s">
        <v>38</v>
      </c>
      <c r="V456" s="19" t="s">
        <v>2884</v>
      </c>
      <c r="W456" s="22" t="s">
        <v>3247</v>
      </c>
      <c r="X456" s="22" t="s">
        <v>3247</v>
      </c>
      <c r="Y456" s="22"/>
      <c r="Z456" s="7"/>
      <c r="AA456" s="7"/>
      <c r="AB456" s="23"/>
      <c r="AC456" s="26"/>
    </row>
    <row r="457" spans="1:29" ht="15.75" customHeight="1">
      <c r="A457" s="10" t="s">
        <v>3248</v>
      </c>
      <c r="B457" s="10" t="s">
        <v>1469</v>
      </c>
      <c r="C457" s="60" t="s">
        <v>1470</v>
      </c>
      <c r="D457" s="12"/>
      <c r="E457" s="13" t="s">
        <v>43</v>
      </c>
      <c r="F457" s="43" t="s">
        <v>885</v>
      </c>
      <c r="G457" s="6" t="str">
        <f ca="1">IFERROR(__xludf.DUMMYFUNCTION("CONCATENATE(B457,(VLOOKUP(C457,CATALOGOS!$F$2:$H$6,3,FALSE)),(VLOOKUP(V457,CATALOGOS!$J$2:$K$18,2,FALSE)),""-"",TO_TEXT(A457))"),"P12CT-0456")</f>
        <v>P12CT-0456</v>
      </c>
      <c r="H457" s="6" t="str">
        <f ca="1">IFERROR(__xludf.DUMMYFUNCTION("CONCATENATE($B457,(VLOOKUP($C457,CATALOGOS!$F$2:$H$6,3,FALSE)),(VLOOKUP($V457,CATALOGOS!$J$2:$K$18,2,FALSE)),""-"",TO_TEXT($A457))"),"P12CT-0456")</f>
        <v>P12CT-0456</v>
      </c>
      <c r="I457" s="6"/>
      <c r="J457" s="6" t="s">
        <v>3249</v>
      </c>
      <c r="K457" s="6" t="s">
        <v>3250</v>
      </c>
      <c r="L457" s="6" t="s">
        <v>3251</v>
      </c>
      <c r="M457" s="6" t="s">
        <v>3252</v>
      </c>
      <c r="N457" s="17"/>
      <c r="O457" s="17"/>
      <c r="P457" s="17" t="str">
        <f t="shared" si="3"/>
        <v>OK</v>
      </c>
      <c r="Q457" s="17" t="s">
        <v>3253</v>
      </c>
      <c r="R457" s="6" t="s">
        <v>35</v>
      </c>
      <c r="S457" s="17" t="s">
        <v>36</v>
      </c>
      <c r="T457" s="17" t="s">
        <v>3254</v>
      </c>
      <c r="U457" s="173" t="s">
        <v>38</v>
      </c>
      <c r="V457" s="19" t="s">
        <v>2884</v>
      </c>
      <c r="W457" s="22" t="s">
        <v>3247</v>
      </c>
      <c r="X457" s="22" t="s">
        <v>3247</v>
      </c>
      <c r="Y457" s="22"/>
      <c r="Z457" s="7"/>
      <c r="AA457" s="7"/>
      <c r="AB457" s="23"/>
      <c r="AC457" s="26"/>
    </row>
    <row r="458" spans="1:29" ht="15.75" customHeight="1">
      <c r="A458" s="10" t="s">
        <v>3255</v>
      </c>
      <c r="B458" s="10" t="s">
        <v>1469</v>
      </c>
      <c r="C458" s="60" t="s">
        <v>1470</v>
      </c>
      <c r="D458" s="12"/>
      <c r="E458" s="13" t="s">
        <v>93</v>
      </c>
      <c r="F458" s="6" t="s">
        <v>2383</v>
      </c>
      <c r="G458" s="6" t="str">
        <f ca="1">IFERROR(__xludf.DUMMYFUNCTION("CONCATENATE(B458,(VLOOKUP(C458,CATALOGOS!$F$2:$H$6,3,FALSE)),(VLOOKUP(V458,CATALOGOS!$J$2:$K$18,2,FALSE)),""-"",TO_TEXT(A458))"),"P12CT-0457")</f>
        <v>P12CT-0457</v>
      </c>
      <c r="H458" s="6" t="str">
        <f ca="1">IFERROR(__xludf.DUMMYFUNCTION("CONCATENATE($B458,(VLOOKUP($C458,CATALOGOS!$F$2:$H$6,3,FALSE)),(VLOOKUP($V458,CATALOGOS!$J$2:$K$18,2,FALSE)),""-"",TO_TEXT($A458))"),"P12CT-0457")</f>
        <v>P12CT-0457</v>
      </c>
      <c r="I458" s="6"/>
      <c r="J458" s="6" t="s">
        <v>3256</v>
      </c>
      <c r="K458" s="6" t="s">
        <v>3257</v>
      </c>
      <c r="L458" s="6" t="s">
        <v>3258</v>
      </c>
      <c r="M458" s="6" t="s">
        <v>3259</v>
      </c>
      <c r="N458" s="17"/>
      <c r="O458" s="17"/>
      <c r="P458" s="17" t="str">
        <f t="shared" si="3"/>
        <v>OK</v>
      </c>
      <c r="Q458" s="17" t="s">
        <v>35</v>
      </c>
      <c r="R458" s="6" t="s">
        <v>35</v>
      </c>
      <c r="S458" s="17" t="s">
        <v>36</v>
      </c>
      <c r="T458" s="17" t="s">
        <v>3260</v>
      </c>
      <c r="U458" s="173" t="s">
        <v>38</v>
      </c>
      <c r="V458" s="19" t="s">
        <v>2884</v>
      </c>
      <c r="W458" s="22" t="s">
        <v>3247</v>
      </c>
      <c r="X458" s="22" t="s">
        <v>3247</v>
      </c>
      <c r="Y458" s="22"/>
      <c r="Z458" s="7"/>
      <c r="AA458" s="7"/>
      <c r="AB458" s="23"/>
      <c r="AC458" s="26"/>
    </row>
    <row r="459" spans="1:29" ht="15.75" customHeight="1">
      <c r="A459" s="10" t="s">
        <v>3261</v>
      </c>
      <c r="B459" s="10" t="s">
        <v>1469</v>
      </c>
      <c r="C459" s="60" t="s">
        <v>1470</v>
      </c>
      <c r="D459" s="12"/>
      <c r="E459" s="13" t="s">
        <v>62</v>
      </c>
      <c r="F459" s="43" t="s">
        <v>3262</v>
      </c>
      <c r="G459" s="6" t="str">
        <f ca="1">IFERROR(__xludf.DUMMYFUNCTION("CONCATENATE(B459,(VLOOKUP(C459,CATALOGOS!$F$2:$H$6,3,FALSE)),(VLOOKUP(V459,CATALOGOS!$J$2:$K$18,2,FALSE)),""-"",TO_TEXT(A459))"),"P12CT-0458")</f>
        <v>P12CT-0458</v>
      </c>
      <c r="H459" s="6" t="str">
        <f ca="1">IFERROR(__xludf.DUMMYFUNCTION("CONCATENATE($B459,(VLOOKUP($C459,CATALOGOS!$F$2:$H$6,3,FALSE)),(VLOOKUP($V459,CATALOGOS!$J$2:$K$18,2,FALSE)),""-"",TO_TEXT($A459))"),"P12CT-0458")</f>
        <v>P12CT-0458</v>
      </c>
      <c r="I459" s="6"/>
      <c r="J459" s="6" t="s">
        <v>3263</v>
      </c>
      <c r="K459" s="6" t="s">
        <v>3264</v>
      </c>
      <c r="L459" s="6" t="s">
        <v>3265</v>
      </c>
      <c r="M459" s="6" t="s">
        <v>3266</v>
      </c>
      <c r="N459" s="17"/>
      <c r="O459" s="17"/>
      <c r="P459" s="17" t="str">
        <f t="shared" si="3"/>
        <v>OK</v>
      </c>
      <c r="Q459" s="17" t="s">
        <v>35</v>
      </c>
      <c r="R459" s="6" t="s">
        <v>35</v>
      </c>
      <c r="S459" s="17" t="s">
        <v>36</v>
      </c>
      <c r="T459" s="17" t="s">
        <v>3267</v>
      </c>
      <c r="U459" s="173" t="s">
        <v>38</v>
      </c>
      <c r="V459" s="19" t="s">
        <v>2884</v>
      </c>
      <c r="W459" s="22" t="s">
        <v>3247</v>
      </c>
      <c r="X459" s="22" t="s">
        <v>3247</v>
      </c>
      <c r="Y459" s="22"/>
      <c r="Z459" s="7"/>
      <c r="AA459" s="7"/>
      <c r="AB459" s="23"/>
      <c r="AC459" s="26"/>
    </row>
    <row r="460" spans="1:29" ht="15.75" customHeight="1">
      <c r="A460" s="10" t="s">
        <v>3268</v>
      </c>
      <c r="B460" s="10" t="s">
        <v>1469</v>
      </c>
      <c r="C460" s="60" t="s">
        <v>1470</v>
      </c>
      <c r="D460" s="12"/>
      <c r="E460" s="13" t="s">
        <v>501</v>
      </c>
      <c r="F460" s="43" t="s">
        <v>3269</v>
      </c>
      <c r="G460" s="6" t="str">
        <f ca="1">IFERROR(__xludf.DUMMYFUNCTION("CONCATENATE(B460,(VLOOKUP(C460,CATALOGOS!$F$2:$H$6,3,FALSE)),(VLOOKUP(V460,CATALOGOS!$J$2:$K$18,2,FALSE)),""-"",TO_TEXT(A460))"),"P12CT-0459")</f>
        <v>P12CT-0459</v>
      </c>
      <c r="H460" s="6" t="str">
        <f ca="1">IFERROR(__xludf.DUMMYFUNCTION("CONCATENATE($B460,(VLOOKUP($C460,CATALOGOS!$F$2:$H$6,3,FALSE)),(VLOOKUP($V460,CATALOGOS!$J$2:$K$18,2,FALSE)),""-"",TO_TEXT($A460))"),"P12CT-0459")</f>
        <v>P12CT-0459</v>
      </c>
      <c r="I460" s="6"/>
      <c r="J460" s="6" t="s">
        <v>3270</v>
      </c>
      <c r="K460" s="6" t="s">
        <v>3271</v>
      </c>
      <c r="L460" s="6" t="s">
        <v>3272</v>
      </c>
      <c r="M460" s="6" t="s">
        <v>3273</v>
      </c>
      <c r="N460" s="17"/>
      <c r="O460" s="17"/>
      <c r="P460" s="17" t="str">
        <f t="shared" si="3"/>
        <v>OK</v>
      </c>
      <c r="Q460" s="17" t="s">
        <v>35</v>
      </c>
      <c r="R460" s="6" t="s">
        <v>35</v>
      </c>
      <c r="S460" s="17" t="s">
        <v>36</v>
      </c>
      <c r="T460" s="17" t="s">
        <v>3274</v>
      </c>
      <c r="U460" s="173" t="s">
        <v>38</v>
      </c>
      <c r="V460" s="19" t="s">
        <v>2884</v>
      </c>
      <c r="W460" s="22" t="s">
        <v>3247</v>
      </c>
      <c r="X460" s="22" t="s">
        <v>3247</v>
      </c>
      <c r="Y460" s="22"/>
      <c r="Z460" s="7"/>
      <c r="AA460" s="7"/>
      <c r="AB460" s="23"/>
      <c r="AC460" s="26"/>
    </row>
    <row r="461" spans="1:29" ht="15.75" customHeight="1">
      <c r="A461" s="10" t="s">
        <v>3275</v>
      </c>
      <c r="B461" s="10" t="s">
        <v>4410</v>
      </c>
      <c r="C461" s="63" t="s">
        <v>6054</v>
      </c>
      <c r="D461" s="12"/>
      <c r="E461" s="13" t="s">
        <v>199</v>
      </c>
      <c r="F461" s="6" t="s">
        <v>677</v>
      </c>
      <c r="G461" s="6" t="str">
        <f ca="1">IFERROR(__xludf.DUMMYFUNCTION("CONCATENATE(B461,(VLOOKUP(C461,CATALOGOS!$F$2:$H$6,3,FALSE)),(VLOOKUP(V461,CATALOGOS!$J$2:$K$18,2,FALSE)),""-"",TO_TEXT(A461))"),"P21DG-0460")</f>
        <v>P21DG-0460</v>
      </c>
      <c r="H461" s="6" t="str">
        <f ca="1">IFERROR(__xludf.DUMMYFUNCTION("CONCATENATE($B461,(VLOOKUP($C461,CATALOGOS!$F$2:$H$6,3,FALSE)),(VLOOKUP($V461,CATALOGOS!$J$2:$K$18,2,FALSE)),""-"",TO_TEXT($A461))"),"P21DG-0460")</f>
        <v>P21DG-0460</v>
      </c>
      <c r="I461" s="6"/>
      <c r="J461" s="6" t="s">
        <v>3276</v>
      </c>
      <c r="K461" s="6" t="s">
        <v>3277</v>
      </c>
      <c r="L461" s="6" t="s">
        <v>3278</v>
      </c>
      <c r="M461" s="6" t="s">
        <v>3279</v>
      </c>
      <c r="N461" s="17"/>
      <c r="O461" s="17"/>
      <c r="P461" s="17" t="str">
        <f t="shared" si="3"/>
        <v>OK</v>
      </c>
      <c r="Q461" s="17" t="s">
        <v>205</v>
      </c>
      <c r="R461" s="6" t="s">
        <v>2890</v>
      </c>
      <c r="S461" s="17" t="s">
        <v>3280</v>
      </c>
      <c r="T461" s="17" t="s">
        <v>3281</v>
      </c>
      <c r="U461" s="173" t="s">
        <v>38</v>
      </c>
      <c r="V461" s="19" t="s">
        <v>6054</v>
      </c>
      <c r="W461" s="22" t="s">
        <v>3283</v>
      </c>
      <c r="X461" s="22" t="s">
        <v>3283</v>
      </c>
      <c r="Y461" s="22"/>
      <c r="Z461" s="7"/>
      <c r="AA461" s="7"/>
      <c r="AB461" s="23"/>
      <c r="AC461" s="26"/>
    </row>
    <row r="462" spans="1:29" ht="15.75" customHeight="1">
      <c r="A462" s="10" t="s">
        <v>3284</v>
      </c>
      <c r="B462" s="10" t="s">
        <v>1469</v>
      </c>
      <c r="C462" s="60" t="s">
        <v>1470</v>
      </c>
      <c r="D462" s="12"/>
      <c r="E462" s="13" t="s">
        <v>501</v>
      </c>
      <c r="F462" s="6" t="s">
        <v>3269</v>
      </c>
      <c r="G462" s="6" t="str">
        <f ca="1">IFERROR(__xludf.DUMMYFUNCTION("CONCATENATE(B462,(VLOOKUP(C462,CATALOGOS!$F$2:$H$6,3,FALSE)),(VLOOKUP(V462,CATALOGOS!$J$2:$K$18,2,FALSE)),""-"",TO_TEXT(A462))"),"P12CT-0461")</f>
        <v>P12CT-0461</v>
      </c>
      <c r="H462" s="6" t="str">
        <f ca="1">IFERROR(__xludf.DUMMYFUNCTION("CONCATENATE($B462,(VLOOKUP($C462,CATALOGOS!$F$2:$H$6,3,FALSE)),(VLOOKUP($V462,CATALOGOS!$J$2:$K$18,2,FALSE)),""-"",TO_TEXT($A462))"),"P12CT-0461")</f>
        <v>P12CT-0461</v>
      </c>
      <c r="I462" s="6"/>
      <c r="J462" s="6" t="s">
        <v>3286</v>
      </c>
      <c r="K462" s="6" t="s">
        <v>3287</v>
      </c>
      <c r="L462" s="6" t="s">
        <v>3288</v>
      </c>
      <c r="M462" s="6" t="s">
        <v>3289</v>
      </c>
      <c r="N462" s="17"/>
      <c r="O462" s="17"/>
      <c r="P462" s="17" t="str">
        <f t="shared" si="3"/>
        <v>OK</v>
      </c>
      <c r="Q462" s="17" t="s">
        <v>35</v>
      </c>
      <c r="R462" s="6" t="s">
        <v>35</v>
      </c>
      <c r="S462" s="17" t="s">
        <v>36</v>
      </c>
      <c r="T462" s="17" t="s">
        <v>3290</v>
      </c>
      <c r="U462" s="173" t="s">
        <v>38</v>
      </c>
      <c r="V462" s="19" t="s">
        <v>2884</v>
      </c>
      <c r="W462" s="22" t="s">
        <v>3247</v>
      </c>
      <c r="X462" s="22" t="s">
        <v>3247</v>
      </c>
      <c r="Y462" s="22"/>
      <c r="Z462" s="7"/>
      <c r="AA462" s="7"/>
      <c r="AB462" s="23"/>
      <c r="AC462" s="26"/>
    </row>
    <row r="463" spans="1:29" ht="15.75" customHeight="1">
      <c r="A463" s="10" t="s">
        <v>3291</v>
      </c>
      <c r="B463" s="10" t="s">
        <v>1469</v>
      </c>
      <c r="C463" s="60" t="s">
        <v>1470</v>
      </c>
      <c r="D463" s="12"/>
      <c r="E463" s="13" t="s">
        <v>378</v>
      </c>
      <c r="F463" s="6" t="s">
        <v>2040</v>
      </c>
      <c r="G463" s="6" t="str">
        <f ca="1">IFERROR(__xludf.DUMMYFUNCTION("CONCATENATE(B463,(VLOOKUP(C463,CATALOGOS!$F$2:$H$6,3,FALSE)),(VLOOKUP(V463,CATALOGOS!$J$2:$K$18,2,FALSE)),""-"",TO_TEXT(A463))"),"P12CT-0462")</f>
        <v>P12CT-0462</v>
      </c>
      <c r="H463" s="6" t="str">
        <f ca="1">IFERROR(__xludf.DUMMYFUNCTION("CONCATENATE($B463,(VLOOKUP($C463,CATALOGOS!$F$2:$H$6,3,FALSE)),(VLOOKUP($V463,CATALOGOS!$J$2:$K$18,2,FALSE)),""-"",TO_TEXT($A463))"),"P12CT-0462")</f>
        <v>P12CT-0462</v>
      </c>
      <c r="I463" s="6"/>
      <c r="J463" s="6" t="s">
        <v>3292</v>
      </c>
      <c r="K463" s="6" t="s">
        <v>3293</v>
      </c>
      <c r="L463" s="66" t="s">
        <v>3294</v>
      </c>
      <c r="M463" s="6" t="s">
        <v>3295</v>
      </c>
      <c r="N463" s="17"/>
      <c r="O463" s="17"/>
      <c r="P463" s="17" t="str">
        <f t="shared" si="3"/>
        <v>OK</v>
      </c>
      <c r="Q463" s="17" t="s">
        <v>35</v>
      </c>
      <c r="R463" s="6" t="s">
        <v>35</v>
      </c>
      <c r="S463" s="17" t="s">
        <v>36</v>
      </c>
      <c r="T463" s="17" t="s">
        <v>3296</v>
      </c>
      <c r="U463" s="173" t="s">
        <v>38</v>
      </c>
      <c r="V463" s="19" t="s">
        <v>2884</v>
      </c>
      <c r="W463" s="22" t="s">
        <v>3247</v>
      </c>
      <c r="X463" s="22" t="s">
        <v>3247</v>
      </c>
      <c r="Y463" s="22"/>
      <c r="Z463" s="7"/>
      <c r="AA463" s="7"/>
      <c r="AB463" s="23"/>
      <c r="AC463" s="26"/>
    </row>
    <row r="464" spans="1:29" ht="15.75" customHeight="1">
      <c r="A464" s="10" t="s">
        <v>3297</v>
      </c>
      <c r="B464" s="10" t="s">
        <v>1469</v>
      </c>
      <c r="C464" s="60" t="s">
        <v>1470</v>
      </c>
      <c r="D464" s="12"/>
      <c r="E464" s="13" t="s">
        <v>93</v>
      </c>
      <c r="F464" s="6" t="s">
        <v>2383</v>
      </c>
      <c r="G464" s="6" t="str">
        <f ca="1">IFERROR(__xludf.DUMMYFUNCTION("CONCATENATE(B464,(VLOOKUP(C464,CATALOGOS!$F$2:$H$6,3,FALSE)),(VLOOKUP(V464,CATALOGOS!$J$2:$K$18,2,FALSE)),""-"",TO_TEXT(A464))"),"P12CT-0463")</f>
        <v>P12CT-0463</v>
      </c>
      <c r="H464" s="6" t="str">
        <f ca="1">IFERROR(__xludf.DUMMYFUNCTION("CONCATENATE($B464,(VLOOKUP($C464,CATALOGOS!$F$2:$H$6,3,FALSE)),(VLOOKUP($V464,CATALOGOS!$J$2:$K$18,2,FALSE)),""-"",TO_TEXT($A464))"),"P12CT-0463")</f>
        <v>P12CT-0463</v>
      </c>
      <c r="I464" s="6"/>
      <c r="J464" s="6" t="s">
        <v>3298</v>
      </c>
      <c r="K464" s="6" t="s">
        <v>3299</v>
      </c>
      <c r="L464" s="6" t="s">
        <v>3300</v>
      </c>
      <c r="M464" s="6" t="s">
        <v>3301</v>
      </c>
      <c r="N464" s="17"/>
      <c r="O464" s="17"/>
      <c r="P464" s="17" t="str">
        <f t="shared" si="3"/>
        <v>OK</v>
      </c>
      <c r="Q464" s="17" t="s">
        <v>35</v>
      </c>
      <c r="R464" s="6" t="s">
        <v>35</v>
      </c>
      <c r="S464" s="17" t="s">
        <v>36</v>
      </c>
      <c r="T464" s="17" t="s">
        <v>3302</v>
      </c>
      <c r="U464" s="173" t="s">
        <v>38</v>
      </c>
      <c r="V464" s="19" t="s">
        <v>2884</v>
      </c>
      <c r="W464" s="22" t="s">
        <v>3247</v>
      </c>
      <c r="X464" s="22" t="s">
        <v>3247</v>
      </c>
      <c r="Y464" s="22"/>
      <c r="Z464" s="7"/>
      <c r="AA464" s="7"/>
      <c r="AB464" s="23"/>
      <c r="AC464" s="26"/>
    </row>
    <row r="465" spans="1:29" ht="15.75" customHeight="1">
      <c r="A465" s="10" t="s">
        <v>3303</v>
      </c>
      <c r="B465" s="10" t="s">
        <v>1469</v>
      </c>
      <c r="C465" s="60" t="s">
        <v>1470</v>
      </c>
      <c r="D465" s="12"/>
      <c r="E465" s="13" t="s">
        <v>93</v>
      </c>
      <c r="F465" s="6" t="s">
        <v>3304</v>
      </c>
      <c r="G465" s="6" t="str">
        <f ca="1">IFERROR(__xludf.DUMMYFUNCTION("CONCATENATE(B465,(VLOOKUP(C465,CATALOGOS!$F$2:$H$6,3,FALSE)),(VLOOKUP(V465,CATALOGOS!$J$2:$K$18,2,FALSE)),""-"",TO_TEXT(A465))"),"P12CT-0464")</f>
        <v>P12CT-0464</v>
      </c>
      <c r="H465" s="6" t="str">
        <f ca="1">IFERROR(__xludf.DUMMYFUNCTION("CONCATENATE($B465,(VLOOKUP($C465,CATALOGOS!$F$2:$H$6,3,FALSE)),(VLOOKUP($V465,CATALOGOS!$J$2:$K$18,2,FALSE)),""-"",TO_TEXT($A465))"),"P12CT-0464")</f>
        <v>P12CT-0464</v>
      </c>
      <c r="I465" s="6"/>
      <c r="J465" s="6" t="s">
        <v>3305</v>
      </c>
      <c r="K465" s="6" t="s">
        <v>3306</v>
      </c>
      <c r="L465" s="6" t="s">
        <v>3307</v>
      </c>
      <c r="M465" s="6" t="s">
        <v>3308</v>
      </c>
      <c r="N465" s="17"/>
      <c r="O465" s="17"/>
      <c r="P465" s="17" t="str">
        <f t="shared" si="3"/>
        <v>OK</v>
      </c>
      <c r="Q465" s="17" t="s">
        <v>35</v>
      </c>
      <c r="R465" s="6" t="s">
        <v>35</v>
      </c>
      <c r="S465" s="17" t="s">
        <v>36</v>
      </c>
      <c r="T465" s="17" t="s">
        <v>3309</v>
      </c>
      <c r="U465" s="173" t="s">
        <v>38</v>
      </c>
      <c r="V465" s="19" t="s">
        <v>2884</v>
      </c>
      <c r="W465" s="22" t="s">
        <v>3247</v>
      </c>
      <c r="X465" s="22" t="s">
        <v>3247</v>
      </c>
      <c r="Y465" s="22"/>
      <c r="Z465" s="7"/>
      <c r="AA465" s="7"/>
      <c r="AB465" s="23"/>
      <c r="AC465" s="26"/>
    </row>
    <row r="466" spans="1:29" ht="15.75" customHeight="1">
      <c r="A466" s="10" t="s">
        <v>3310</v>
      </c>
      <c r="B466" s="10" t="s">
        <v>1469</v>
      </c>
      <c r="C466" s="60" t="s">
        <v>1470</v>
      </c>
      <c r="D466" s="12"/>
      <c r="E466" s="13" t="s">
        <v>184</v>
      </c>
      <c r="F466" s="6" t="s">
        <v>3311</v>
      </c>
      <c r="G466" s="6" t="str">
        <f ca="1">IFERROR(__xludf.DUMMYFUNCTION("CONCATENATE(B466,(VLOOKUP(C466,CATALOGOS!$F$2:$H$6,3,FALSE)),(VLOOKUP(V466,CATALOGOS!$J$2:$K$18,2,FALSE)),""-"",TO_TEXT(A466))"),"P12CT-0465")</f>
        <v>P12CT-0465</v>
      </c>
      <c r="H466" s="6" t="str">
        <f ca="1">IFERROR(__xludf.DUMMYFUNCTION("CONCATENATE($B466,(VLOOKUP($C466,CATALOGOS!$F$2:$H$6,3,FALSE)),(VLOOKUP($V466,CATALOGOS!$J$2:$K$18,2,FALSE)),""-"",TO_TEXT($A466))"),"P12CT-0465")</f>
        <v>P12CT-0465</v>
      </c>
      <c r="I466" s="6"/>
      <c r="J466" s="6" t="s">
        <v>3312</v>
      </c>
      <c r="K466" s="6" t="s">
        <v>3313</v>
      </c>
      <c r="L466" s="6" t="s">
        <v>3314</v>
      </c>
      <c r="M466" s="6" t="s">
        <v>3315</v>
      </c>
      <c r="N466" s="17"/>
      <c r="O466" s="17"/>
      <c r="P466" s="17" t="str">
        <f t="shared" si="3"/>
        <v>OK</v>
      </c>
      <c r="Q466" s="17" t="s">
        <v>35</v>
      </c>
      <c r="R466" s="6" t="s">
        <v>35</v>
      </c>
      <c r="S466" s="17" t="s">
        <v>36</v>
      </c>
      <c r="T466" s="17" t="s">
        <v>3316</v>
      </c>
      <c r="U466" s="173" t="s">
        <v>38</v>
      </c>
      <c r="V466" s="19" t="s">
        <v>2884</v>
      </c>
      <c r="W466" s="22" t="s">
        <v>3247</v>
      </c>
      <c r="X466" s="22" t="s">
        <v>3247</v>
      </c>
      <c r="Y466" s="22"/>
      <c r="Z466" s="7"/>
      <c r="AA466" s="7"/>
      <c r="AB466" s="23"/>
      <c r="AC466" s="26"/>
    </row>
    <row r="467" spans="1:29" ht="15.75" customHeight="1">
      <c r="A467" s="10" t="s">
        <v>3317</v>
      </c>
      <c r="B467" s="10" t="s">
        <v>1469</v>
      </c>
      <c r="C467" s="60" t="s">
        <v>1470</v>
      </c>
      <c r="D467" s="12"/>
      <c r="E467" s="13" t="s">
        <v>184</v>
      </c>
      <c r="F467" s="6" t="s">
        <v>3311</v>
      </c>
      <c r="G467" s="6" t="str">
        <f ca="1">IFERROR(__xludf.DUMMYFUNCTION("CONCATENATE(B467,(VLOOKUP(C467,CATALOGOS!$F$2:$H$6,3,FALSE)),(VLOOKUP(V467,CATALOGOS!$J$2:$K$18,2,FALSE)),""-"",TO_TEXT(A467))"),"P12CT-0466")</f>
        <v>P12CT-0466</v>
      </c>
      <c r="H467" s="6" t="str">
        <f ca="1">IFERROR(__xludf.DUMMYFUNCTION("CONCATENATE($B467,(VLOOKUP($C467,CATALOGOS!$F$2:$H$6,3,FALSE)),(VLOOKUP($V467,CATALOGOS!$J$2:$K$18,2,FALSE)),""-"",TO_TEXT($A467))"),"P12CT-0466")</f>
        <v>P12CT-0466</v>
      </c>
      <c r="I467" s="6"/>
      <c r="J467" s="6" t="s">
        <v>3318</v>
      </c>
      <c r="K467" s="6" t="s">
        <v>3319</v>
      </c>
      <c r="L467" s="6" t="s">
        <v>3320</v>
      </c>
      <c r="M467" s="6" t="s">
        <v>3321</v>
      </c>
      <c r="N467" s="17"/>
      <c r="O467" s="17"/>
      <c r="P467" s="17" t="str">
        <f t="shared" si="3"/>
        <v>OK</v>
      </c>
      <c r="Q467" s="17" t="s">
        <v>35</v>
      </c>
      <c r="R467" s="6" t="s">
        <v>35</v>
      </c>
      <c r="S467" s="17" t="s">
        <v>36</v>
      </c>
      <c r="T467" s="17" t="s">
        <v>3322</v>
      </c>
      <c r="U467" s="173" t="s">
        <v>38</v>
      </c>
      <c r="V467" s="19" t="s">
        <v>2884</v>
      </c>
      <c r="W467" s="22" t="s">
        <v>3247</v>
      </c>
      <c r="X467" s="22" t="s">
        <v>3247</v>
      </c>
      <c r="Y467" s="22"/>
      <c r="Z467" s="7"/>
      <c r="AA467" s="7"/>
      <c r="AB467" s="23"/>
      <c r="AC467" s="26"/>
    </row>
    <row r="468" spans="1:29" ht="15.75" customHeight="1">
      <c r="A468" s="10" t="s">
        <v>3323</v>
      </c>
      <c r="B468" s="10" t="s">
        <v>1469</v>
      </c>
      <c r="C468" s="60" t="s">
        <v>1470</v>
      </c>
      <c r="D468" s="12"/>
      <c r="E468" s="13" t="s">
        <v>234</v>
      </c>
      <c r="F468" s="6" t="s">
        <v>3324</v>
      </c>
      <c r="G468" s="6" t="str">
        <f ca="1">IFERROR(__xludf.DUMMYFUNCTION("CONCATENATE(B468,(VLOOKUP(C468,CATALOGOS!$F$2:$H$6,3,FALSE)),(VLOOKUP(V468,CATALOGOS!$J$2:$K$18,2,FALSE)),""-"",TO_TEXT(A468))"),"P12CT-0467")</f>
        <v>P12CT-0467</v>
      </c>
      <c r="H468" s="6" t="str">
        <f ca="1">IFERROR(__xludf.DUMMYFUNCTION("CONCATENATE($B468,(VLOOKUP($C468,CATALOGOS!$F$2:$H$6,3,FALSE)),(VLOOKUP($V468,CATALOGOS!$J$2:$K$18,2,FALSE)),""-"",TO_TEXT($A468))"),"P12CT-0467")</f>
        <v>P12CT-0467</v>
      </c>
      <c r="I468" s="6"/>
      <c r="J468" s="6" t="s">
        <v>3325</v>
      </c>
      <c r="K468" s="6" t="s">
        <v>3326</v>
      </c>
      <c r="L468" s="6" t="s">
        <v>3327</v>
      </c>
      <c r="M468" s="6" t="s">
        <v>3328</v>
      </c>
      <c r="N468" s="17"/>
      <c r="O468" s="17"/>
      <c r="P468" s="17" t="str">
        <f t="shared" si="3"/>
        <v>OK</v>
      </c>
      <c r="Q468" s="17" t="s">
        <v>35</v>
      </c>
      <c r="R468" s="6" t="s">
        <v>35</v>
      </c>
      <c r="S468" s="17" t="s">
        <v>36</v>
      </c>
      <c r="T468" s="17" t="s">
        <v>3329</v>
      </c>
      <c r="U468" s="173" t="s">
        <v>38</v>
      </c>
      <c r="V468" s="19" t="s">
        <v>2884</v>
      </c>
      <c r="W468" s="22" t="s">
        <v>3247</v>
      </c>
      <c r="X468" s="22" t="s">
        <v>3247</v>
      </c>
      <c r="Y468" s="22"/>
      <c r="Z468" s="7"/>
      <c r="AA468" s="7"/>
      <c r="AB468" s="23"/>
      <c r="AC468" s="26"/>
    </row>
    <row r="469" spans="1:29" ht="15.75" customHeight="1">
      <c r="A469" s="10" t="s">
        <v>3330</v>
      </c>
      <c r="B469" s="10" t="s">
        <v>1469</v>
      </c>
      <c r="C469" s="60" t="s">
        <v>1470</v>
      </c>
      <c r="D469" s="12"/>
      <c r="E469" s="13" t="s">
        <v>501</v>
      </c>
      <c r="F469" s="6" t="s">
        <v>3331</v>
      </c>
      <c r="G469" s="6" t="str">
        <f ca="1">IFERROR(__xludf.DUMMYFUNCTION("CONCATENATE(B469,(VLOOKUP(C469,CATALOGOS!$F$2:$H$6,3,FALSE)),(VLOOKUP(V469,CATALOGOS!$J$2:$K$18,2,FALSE)),""-"",TO_TEXT(A469))"),"P12CT-0468")</f>
        <v>P12CT-0468</v>
      </c>
      <c r="H469" s="6" t="str">
        <f ca="1">IFERROR(__xludf.DUMMYFUNCTION("CONCATENATE($B469,(VLOOKUP($C469,CATALOGOS!$F$2:$H$6,3,FALSE)),(VLOOKUP($V469,CATALOGOS!$J$2:$K$18,2,FALSE)),""-"",TO_TEXT($A469))"),"P12CT-0468")</f>
        <v>P12CT-0468</v>
      </c>
      <c r="I469" s="6"/>
      <c r="J469" s="6" t="s">
        <v>3332</v>
      </c>
      <c r="K469" s="6" t="s">
        <v>3333</v>
      </c>
      <c r="L469" s="6" t="s">
        <v>3334</v>
      </c>
      <c r="M469" s="6" t="s">
        <v>3335</v>
      </c>
      <c r="N469" s="17"/>
      <c r="O469" s="17"/>
      <c r="P469" s="17" t="str">
        <f t="shared" si="3"/>
        <v>OK</v>
      </c>
      <c r="Q469" s="17" t="s">
        <v>35</v>
      </c>
      <c r="R469" s="6" t="s">
        <v>35</v>
      </c>
      <c r="S469" s="17" t="s">
        <v>36</v>
      </c>
      <c r="T469" s="17" t="s">
        <v>3336</v>
      </c>
      <c r="U469" s="173" t="s">
        <v>38</v>
      </c>
      <c r="V469" s="19" t="s">
        <v>2884</v>
      </c>
      <c r="W469" s="22" t="s">
        <v>3247</v>
      </c>
      <c r="X469" s="22" t="s">
        <v>3247</v>
      </c>
      <c r="Y469" s="22"/>
      <c r="Z469" s="7"/>
      <c r="AA469" s="7"/>
      <c r="AB469" s="23"/>
      <c r="AC469" s="26"/>
    </row>
    <row r="470" spans="1:29" ht="15.75" customHeight="1">
      <c r="A470" s="10" t="s">
        <v>3337</v>
      </c>
      <c r="B470" s="10" t="s">
        <v>1469</v>
      </c>
      <c r="C470" s="60" t="s">
        <v>1470</v>
      </c>
      <c r="D470" s="12"/>
      <c r="E470" s="13" t="s">
        <v>93</v>
      </c>
      <c r="F470" s="43" t="s">
        <v>3338</v>
      </c>
      <c r="G470" s="6" t="str">
        <f ca="1">IFERROR(__xludf.DUMMYFUNCTION("CONCATENATE(B470,(VLOOKUP(C470,CATALOGOS!$F$2:$H$6,3,FALSE)),(VLOOKUP(V470,CATALOGOS!$J$2:$K$18,2,FALSE)),""-"",TO_TEXT(A470))"),"P12CT-0469")</f>
        <v>P12CT-0469</v>
      </c>
      <c r="H470" s="6" t="str">
        <f ca="1">IFERROR(__xludf.DUMMYFUNCTION("CONCATENATE($B470,(VLOOKUP($C470,CATALOGOS!$F$2:$H$6,3,FALSE)),(VLOOKUP($V470,CATALOGOS!$J$2:$K$18,2,FALSE)),""-"",TO_TEXT($A470))"),"P12CT-0469")</f>
        <v>P12CT-0469</v>
      </c>
      <c r="I470" s="6"/>
      <c r="J470" s="6" t="s">
        <v>3339</v>
      </c>
      <c r="K470" s="54"/>
      <c r="L470" s="6" t="s">
        <v>3340</v>
      </c>
      <c r="M470" s="6" t="s">
        <v>3341</v>
      </c>
      <c r="N470" s="17"/>
      <c r="O470" s="17"/>
      <c r="P470" s="17" t="str">
        <f t="shared" si="3"/>
        <v>OK</v>
      </c>
      <c r="Q470" s="17" t="s">
        <v>35</v>
      </c>
      <c r="R470" s="6" t="s">
        <v>35</v>
      </c>
      <c r="S470" s="17" t="s">
        <v>36</v>
      </c>
      <c r="T470" s="17" t="s">
        <v>3342</v>
      </c>
      <c r="U470" s="173" t="s">
        <v>38</v>
      </c>
      <c r="V470" s="19" t="s">
        <v>2884</v>
      </c>
      <c r="W470" s="22" t="s">
        <v>3247</v>
      </c>
      <c r="X470" s="22" t="s">
        <v>3247</v>
      </c>
      <c r="Y470" s="22"/>
      <c r="Z470" s="7"/>
      <c r="AA470" s="7"/>
      <c r="AB470" s="23"/>
      <c r="AC470" s="26"/>
    </row>
    <row r="471" spans="1:29" ht="15.75" customHeight="1">
      <c r="A471" s="10" t="s">
        <v>3343</v>
      </c>
      <c r="B471" s="10" t="s">
        <v>1469</v>
      </c>
      <c r="C471" s="60" t="s">
        <v>1470</v>
      </c>
      <c r="D471" s="12"/>
      <c r="E471" s="13" t="s">
        <v>116</v>
      </c>
      <c r="F471" s="6" t="s">
        <v>3344</v>
      </c>
      <c r="G471" s="6" t="str">
        <f ca="1">IFERROR(__xludf.DUMMYFUNCTION("CONCATENATE(B471,(VLOOKUP(C471,CATALOGOS!$F$2:$H$6,3,FALSE)),(VLOOKUP(V471,CATALOGOS!$J$2:$K$18,2,FALSE)),""-"",TO_TEXT(A471))"),"P12CT-0470")</f>
        <v>P12CT-0470</v>
      </c>
      <c r="H471" s="6" t="str">
        <f ca="1">IFERROR(__xludf.DUMMYFUNCTION("CONCATENATE($B471,(VLOOKUP($C471,CATALOGOS!$F$2:$H$6,3,FALSE)),(VLOOKUP($V471,CATALOGOS!$J$2:$K$18,2,FALSE)),""-"",TO_TEXT($A471))"),"P12CT-0470")</f>
        <v>P12CT-0470</v>
      </c>
      <c r="I471" s="6"/>
      <c r="J471" s="6" t="s">
        <v>3345</v>
      </c>
      <c r="K471" s="6" t="s">
        <v>3346</v>
      </c>
      <c r="L471" s="6" t="s">
        <v>3347</v>
      </c>
      <c r="M471" s="6" t="s">
        <v>3348</v>
      </c>
      <c r="N471" s="17"/>
      <c r="O471" s="17"/>
      <c r="P471" s="17" t="str">
        <f t="shared" si="3"/>
        <v>OK</v>
      </c>
      <c r="Q471" s="17" t="s">
        <v>35</v>
      </c>
      <c r="R471" s="6" t="s">
        <v>35</v>
      </c>
      <c r="S471" s="17" t="s">
        <v>36</v>
      </c>
      <c r="T471" s="17" t="s">
        <v>3349</v>
      </c>
      <c r="U471" s="173" t="s">
        <v>38</v>
      </c>
      <c r="V471" s="19" t="s">
        <v>2884</v>
      </c>
      <c r="W471" s="22" t="s">
        <v>3247</v>
      </c>
      <c r="X471" s="22" t="s">
        <v>3247</v>
      </c>
      <c r="Y471" s="22"/>
      <c r="Z471" s="7"/>
      <c r="AA471" s="7"/>
      <c r="AB471" s="23"/>
      <c r="AC471" s="26"/>
    </row>
    <row r="472" spans="1:29" ht="15.75" customHeight="1">
      <c r="A472" s="10" t="s">
        <v>3350</v>
      </c>
      <c r="B472" s="10" t="s">
        <v>1469</v>
      </c>
      <c r="C472" s="60" t="s">
        <v>1470</v>
      </c>
      <c r="D472" s="12"/>
      <c r="E472" s="13" t="s">
        <v>151</v>
      </c>
      <c r="F472" s="6" t="s">
        <v>963</v>
      </c>
      <c r="G472" s="6" t="str">
        <f ca="1">IFERROR(__xludf.DUMMYFUNCTION("CONCATENATE(B472,(VLOOKUP(C472,CATALOGOS!$F$2:$H$6,3,FALSE)),(VLOOKUP(V472,CATALOGOS!$J$2:$K$18,2,FALSE)),""-"",TO_TEXT(A472))"),"P12CT-0471")</f>
        <v>P12CT-0471</v>
      </c>
      <c r="H472" s="6" t="str">
        <f ca="1">IFERROR(__xludf.DUMMYFUNCTION("CONCATENATE($B472,(VLOOKUP($C472,CATALOGOS!$F$2:$H$6,3,FALSE)),(VLOOKUP($V472,CATALOGOS!$J$2:$K$18,2,FALSE)),""-"",TO_TEXT($A472))"),"P12CT-0471")</f>
        <v>P12CT-0471</v>
      </c>
      <c r="I472" s="6"/>
      <c r="J472" s="6" t="s">
        <v>3351</v>
      </c>
      <c r="K472" s="6" t="s">
        <v>3352</v>
      </c>
      <c r="L472" s="6" t="s">
        <v>3353</v>
      </c>
      <c r="M472" s="6" t="s">
        <v>3354</v>
      </c>
      <c r="N472" s="17"/>
      <c r="O472" s="17"/>
      <c r="P472" s="17" t="str">
        <f t="shared" si="3"/>
        <v>OK</v>
      </c>
      <c r="Q472" s="17" t="s">
        <v>297</v>
      </c>
      <c r="R472" s="6" t="s">
        <v>1407</v>
      </c>
      <c r="S472" s="17" t="s">
        <v>3355</v>
      </c>
      <c r="T472" s="17" t="s">
        <v>3356</v>
      </c>
      <c r="U472" s="173" t="s">
        <v>38</v>
      </c>
      <c r="V472" s="19" t="s">
        <v>2884</v>
      </c>
      <c r="W472" s="22" t="s">
        <v>3247</v>
      </c>
      <c r="X472" s="22" t="s">
        <v>3247</v>
      </c>
      <c r="Y472" s="22"/>
      <c r="Z472" s="7"/>
      <c r="AA472" s="7"/>
      <c r="AB472" s="23"/>
      <c r="AC472" s="26"/>
    </row>
    <row r="473" spans="1:29" ht="15.75" customHeight="1">
      <c r="A473" s="10" t="s">
        <v>3357</v>
      </c>
      <c r="B473" s="10" t="s">
        <v>1469</v>
      </c>
      <c r="C473" s="60" t="s">
        <v>1470</v>
      </c>
      <c r="D473" s="12"/>
      <c r="E473" s="13" t="s">
        <v>151</v>
      </c>
      <c r="F473" s="6" t="s">
        <v>714</v>
      </c>
      <c r="G473" s="6" t="str">
        <f ca="1">IFERROR(__xludf.DUMMYFUNCTION("CONCATENATE(B473,(VLOOKUP(C473,CATALOGOS!$F$2:$H$6,3,FALSE)),(VLOOKUP(V473,CATALOGOS!$J$2:$K$18,2,FALSE)),""-"",TO_TEXT(A473))"),"P12CT-0472")</f>
        <v>P12CT-0472</v>
      </c>
      <c r="H473" s="6" t="str">
        <f ca="1">IFERROR(__xludf.DUMMYFUNCTION("CONCATENATE($B473,(VLOOKUP($C473,CATALOGOS!$F$2:$H$6,3,FALSE)),(VLOOKUP($V473,CATALOGOS!$J$2:$K$18,2,FALSE)),""-"",TO_TEXT($A473))"),"P12CT-0472")</f>
        <v>P12CT-0472</v>
      </c>
      <c r="I473" s="6"/>
      <c r="J473" s="6" t="s">
        <v>3358</v>
      </c>
      <c r="K473" s="6" t="s">
        <v>3359</v>
      </c>
      <c r="L473" s="6" t="s">
        <v>3360</v>
      </c>
      <c r="M473" s="6" t="s">
        <v>3361</v>
      </c>
      <c r="N473" s="17"/>
      <c r="O473" s="17"/>
      <c r="P473" s="17" t="str">
        <f t="shared" si="3"/>
        <v>OK</v>
      </c>
      <c r="Q473" s="17" t="s">
        <v>157</v>
      </c>
      <c r="R473" s="6" t="s">
        <v>158</v>
      </c>
      <c r="S473" s="17" t="s">
        <v>3362</v>
      </c>
      <c r="T473" s="10" t="s">
        <v>3363</v>
      </c>
      <c r="U473" s="173" t="s">
        <v>38</v>
      </c>
      <c r="V473" s="19" t="s">
        <v>2884</v>
      </c>
      <c r="W473" s="22" t="s">
        <v>3247</v>
      </c>
      <c r="X473" s="22" t="s">
        <v>3247</v>
      </c>
      <c r="Y473" s="22"/>
      <c r="Z473" s="7"/>
      <c r="AA473" s="7"/>
      <c r="AB473" s="23"/>
      <c r="AC473" s="26"/>
    </row>
    <row r="474" spans="1:29" ht="15.75" customHeight="1">
      <c r="A474" s="10" t="s">
        <v>3364</v>
      </c>
      <c r="B474" s="10" t="s">
        <v>1469</v>
      </c>
      <c r="C474" s="60" t="s">
        <v>1470</v>
      </c>
      <c r="D474" s="12"/>
      <c r="E474" s="13" t="s">
        <v>162</v>
      </c>
      <c r="F474" s="6" t="s">
        <v>285</v>
      </c>
      <c r="G474" s="6" t="str">
        <f ca="1">IFERROR(__xludf.DUMMYFUNCTION("CONCATENATE(B474,(VLOOKUP(C474,CATALOGOS!$F$2:$H$6,3,FALSE)),(VLOOKUP(V474,CATALOGOS!$J$2:$K$18,2,FALSE)),""-"",TO_TEXT(A474))"),"P12CT-0473")</f>
        <v>P12CT-0473</v>
      </c>
      <c r="H474" s="6" t="str">
        <f ca="1">IFERROR(__xludf.DUMMYFUNCTION("CONCATENATE($B474,(VLOOKUP($C474,CATALOGOS!$F$2:$H$6,3,FALSE)),(VLOOKUP($V474,CATALOGOS!$J$2:$K$18,2,FALSE)),""-"",TO_TEXT($A474))"),"P12CT-0473")</f>
        <v>P12CT-0473</v>
      </c>
      <c r="I474" s="6"/>
      <c r="J474" s="6" t="s">
        <v>3365</v>
      </c>
      <c r="K474" s="6" t="s">
        <v>3366</v>
      </c>
      <c r="L474" s="6" t="s">
        <v>3367</v>
      </c>
      <c r="M474" s="6" t="s">
        <v>3368</v>
      </c>
      <c r="N474" s="17"/>
      <c r="O474" s="17"/>
      <c r="P474" s="17" t="str">
        <f t="shared" si="3"/>
        <v>OK</v>
      </c>
      <c r="Q474" s="17" t="s">
        <v>168</v>
      </c>
      <c r="R474" s="6" t="s">
        <v>169</v>
      </c>
      <c r="S474" s="17" t="s">
        <v>3369</v>
      </c>
      <c r="T474" s="17" t="s">
        <v>3370</v>
      </c>
      <c r="U474" s="173" t="s">
        <v>38</v>
      </c>
      <c r="V474" s="19" t="s">
        <v>2884</v>
      </c>
      <c r="W474" s="22" t="s">
        <v>3247</v>
      </c>
      <c r="X474" s="22" t="s">
        <v>3247</v>
      </c>
      <c r="Y474" s="22"/>
      <c r="Z474" s="7"/>
      <c r="AA474" s="7"/>
      <c r="AB474" s="23"/>
      <c r="AC474" s="26"/>
    </row>
    <row r="475" spans="1:29" ht="15.75" customHeight="1">
      <c r="A475" s="10" t="s">
        <v>3371</v>
      </c>
      <c r="B475" s="10" t="s">
        <v>1469</v>
      </c>
      <c r="C475" s="60" t="s">
        <v>1470</v>
      </c>
      <c r="D475" s="12"/>
      <c r="E475" s="13" t="s">
        <v>199</v>
      </c>
      <c r="F475" s="6" t="s">
        <v>199</v>
      </c>
      <c r="G475" s="6" t="str">
        <f ca="1">IFERROR(__xludf.DUMMYFUNCTION("CONCATENATE(B475,(VLOOKUP(C475,CATALOGOS!$F$2:$H$6,3,FALSE)),(VLOOKUP(V475,CATALOGOS!$J$2:$K$18,2,FALSE)),""-"",TO_TEXT(A475))"),"P12CT-0474")</f>
        <v>P12CT-0474</v>
      </c>
      <c r="H475" s="6" t="str">
        <f ca="1">IFERROR(__xludf.DUMMYFUNCTION("CONCATENATE($B475,(VLOOKUP($C475,CATALOGOS!$F$2:$H$6,3,FALSE)),(VLOOKUP($V475,CATALOGOS!$J$2:$K$18,2,FALSE)),""-"",TO_TEXT($A475))"),"P12CT-0474")</f>
        <v>P12CT-0474</v>
      </c>
      <c r="I475" s="6"/>
      <c r="J475" s="6" t="s">
        <v>3372</v>
      </c>
      <c r="K475" s="6" t="s">
        <v>3373</v>
      </c>
      <c r="L475" s="6" t="s">
        <v>3374</v>
      </c>
      <c r="M475" s="6" t="s">
        <v>3375</v>
      </c>
      <c r="N475" s="17"/>
      <c r="O475" s="17"/>
      <c r="P475" s="17" t="str">
        <f t="shared" si="3"/>
        <v>OK</v>
      </c>
      <c r="Q475" s="17" t="s">
        <v>157</v>
      </c>
      <c r="R475" s="6">
        <v>2378</v>
      </c>
      <c r="S475" s="17" t="s">
        <v>3376</v>
      </c>
      <c r="T475" s="10" t="s">
        <v>3377</v>
      </c>
      <c r="U475" s="173" t="s">
        <v>38</v>
      </c>
      <c r="V475" s="19" t="s">
        <v>2884</v>
      </c>
      <c r="W475" s="22" t="s">
        <v>3247</v>
      </c>
      <c r="X475" s="22" t="s">
        <v>3247</v>
      </c>
      <c r="Y475" s="22"/>
      <c r="Z475" s="7"/>
      <c r="AA475" s="7"/>
      <c r="AB475" s="23"/>
      <c r="AC475" s="26"/>
    </row>
    <row r="476" spans="1:29" ht="15.75" customHeight="1">
      <c r="A476" s="10" t="s">
        <v>3378</v>
      </c>
      <c r="B476" s="10" t="s">
        <v>1469</v>
      </c>
      <c r="C476" s="60" t="s">
        <v>1470</v>
      </c>
      <c r="D476" s="12"/>
      <c r="E476" s="13" t="s">
        <v>353</v>
      </c>
      <c r="F476" s="43" t="s">
        <v>638</v>
      </c>
      <c r="G476" s="6" t="str">
        <f ca="1">IFERROR(__xludf.DUMMYFUNCTION("CONCATENATE(B476,(VLOOKUP(C476,CATALOGOS!$F$2:$H$6,3,FALSE)),(VLOOKUP(V476,CATALOGOS!$J$2:$K$18,2,FALSE)),""-"",TO_TEXT(A476))"),"P12CT-0475")</f>
        <v>P12CT-0475</v>
      </c>
      <c r="H476" s="6" t="str">
        <f ca="1">IFERROR(__xludf.DUMMYFUNCTION("CONCATENATE($B476,(VLOOKUP($C476,CATALOGOS!$F$2:$H$6,3,FALSE)),(VLOOKUP($V476,CATALOGOS!$J$2:$K$18,2,FALSE)),""-"",TO_TEXT($A476))"),"P12CT-0475")</f>
        <v>P12CT-0475</v>
      </c>
      <c r="I476" s="6"/>
      <c r="J476" s="6" t="s">
        <v>3379</v>
      </c>
      <c r="K476" s="6" t="s">
        <v>3380</v>
      </c>
      <c r="L476" s="6" t="s">
        <v>3381</v>
      </c>
      <c r="M476" s="6" t="s">
        <v>3382</v>
      </c>
      <c r="N476" s="17"/>
      <c r="O476" s="17"/>
      <c r="P476" s="17" t="str">
        <f t="shared" si="3"/>
        <v>OK</v>
      </c>
      <c r="Q476" s="17" t="s">
        <v>359</v>
      </c>
      <c r="R476" s="6" t="s">
        <v>360</v>
      </c>
      <c r="S476" s="17" t="s">
        <v>36</v>
      </c>
      <c r="T476" s="17" t="s">
        <v>3383</v>
      </c>
      <c r="U476" s="173" t="s">
        <v>38</v>
      </c>
      <c r="V476" s="19" t="s">
        <v>2884</v>
      </c>
      <c r="W476" s="22" t="s">
        <v>3247</v>
      </c>
      <c r="X476" s="22" t="s">
        <v>3247</v>
      </c>
      <c r="Y476" s="22"/>
      <c r="Z476" s="7"/>
      <c r="AA476" s="7"/>
      <c r="AB476" s="23"/>
      <c r="AC476" s="26"/>
    </row>
    <row r="477" spans="1:29" ht="15.75" customHeight="1">
      <c r="A477" s="10" t="s">
        <v>3384</v>
      </c>
      <c r="B477" s="10" t="s">
        <v>1469</v>
      </c>
      <c r="C477" s="60" t="s">
        <v>1470</v>
      </c>
      <c r="D477" s="12"/>
      <c r="E477" s="13" t="s">
        <v>248</v>
      </c>
      <c r="F477" s="43" t="s">
        <v>248</v>
      </c>
      <c r="G477" s="6" t="str">
        <f ca="1">IFERROR(__xludf.DUMMYFUNCTION("CONCATENATE(B477,(VLOOKUP(C477,CATALOGOS!$F$2:$H$6,3,FALSE)),(VLOOKUP(V477,CATALOGOS!$J$2:$K$18,2,FALSE)),""-"",TO_TEXT(A477))"),"P12CT-0476")</f>
        <v>P12CT-0476</v>
      </c>
      <c r="H477" s="6" t="str">
        <f ca="1">IFERROR(__xludf.DUMMYFUNCTION("CONCATENATE($B477,(VLOOKUP($C477,CATALOGOS!$F$2:$H$6,3,FALSE)),(VLOOKUP($V477,CATALOGOS!$J$2:$K$18,2,FALSE)),""-"",TO_TEXT($A477))"),"P12CT-0476")</f>
        <v>P12CT-0476</v>
      </c>
      <c r="I477" s="6"/>
      <c r="J477" s="6" t="s">
        <v>3385</v>
      </c>
      <c r="K477" s="6" t="s">
        <v>3386</v>
      </c>
      <c r="L477" s="6" t="s">
        <v>3387</v>
      </c>
      <c r="M477" s="6" t="s">
        <v>3388</v>
      </c>
      <c r="N477" s="17"/>
      <c r="O477" s="17"/>
      <c r="P477" s="17" t="str">
        <f t="shared" si="3"/>
        <v>OK</v>
      </c>
      <c r="Q477" s="17" t="s">
        <v>978</v>
      </c>
      <c r="R477" s="6" t="s">
        <v>979</v>
      </c>
      <c r="S477" s="17" t="s">
        <v>3389</v>
      </c>
      <c r="T477" s="17" t="s">
        <v>3390</v>
      </c>
      <c r="U477" s="173" t="s">
        <v>38</v>
      </c>
      <c r="V477" s="19" t="s">
        <v>2884</v>
      </c>
      <c r="W477" s="22" t="s">
        <v>3247</v>
      </c>
      <c r="X477" s="22" t="s">
        <v>3247</v>
      </c>
      <c r="Y477" s="22"/>
      <c r="Z477" s="7"/>
      <c r="AA477" s="7"/>
      <c r="AB477" s="23"/>
      <c r="AC477" s="26"/>
    </row>
    <row r="478" spans="1:29" ht="15.75" customHeight="1">
      <c r="A478" s="10" t="s">
        <v>3391</v>
      </c>
      <c r="B478" s="10" t="s">
        <v>1469</v>
      </c>
      <c r="C478" s="60" t="s">
        <v>1470</v>
      </c>
      <c r="D478" s="12"/>
      <c r="E478" s="13" t="s">
        <v>1240</v>
      </c>
      <c r="F478" s="6" t="s">
        <v>1240</v>
      </c>
      <c r="G478" s="6" t="str">
        <f ca="1">IFERROR(__xludf.DUMMYFUNCTION("CONCATENATE(B478,(VLOOKUP(C478,CATALOGOS!$F$2:$H$6,3,FALSE)),(VLOOKUP(V478,CATALOGOS!$J$2:$K$18,2,FALSE)),""-"",TO_TEXT(A478))"),"P12CT-0477")</f>
        <v>P12CT-0477</v>
      </c>
      <c r="H478" s="6" t="str">
        <f ca="1">IFERROR(__xludf.DUMMYFUNCTION("CONCATENATE($B478,(VLOOKUP($C478,CATALOGOS!$F$2:$H$6,3,FALSE)),(VLOOKUP($V478,CATALOGOS!$J$2:$K$18,2,FALSE)),""-"",TO_TEXT($A478))"),"P12CT-0477")</f>
        <v>P12CT-0477</v>
      </c>
      <c r="I478" s="6"/>
      <c r="J478" s="6" t="s">
        <v>3392</v>
      </c>
      <c r="K478" s="6" t="s">
        <v>3393</v>
      </c>
      <c r="L478" s="6" t="s">
        <v>3394</v>
      </c>
      <c r="M478" s="6" t="s">
        <v>3395</v>
      </c>
      <c r="N478" s="17"/>
      <c r="O478" s="17"/>
      <c r="P478" s="17" t="str">
        <f t="shared" si="3"/>
        <v>OK</v>
      </c>
      <c r="Q478" s="17" t="s">
        <v>35</v>
      </c>
      <c r="R478" s="6" t="s">
        <v>35</v>
      </c>
      <c r="S478" s="17" t="s">
        <v>36</v>
      </c>
      <c r="T478" s="17" t="s">
        <v>3396</v>
      </c>
      <c r="U478" s="173" t="s">
        <v>38</v>
      </c>
      <c r="V478" s="19" t="s">
        <v>2884</v>
      </c>
      <c r="W478" s="20" t="s">
        <v>3247</v>
      </c>
      <c r="X478" s="20" t="s">
        <v>3247</v>
      </c>
      <c r="Y478" s="20"/>
      <c r="Z478" s="7"/>
      <c r="AA478" s="7"/>
      <c r="AB478" s="23"/>
      <c r="AC478" s="26"/>
    </row>
    <row r="479" spans="1:29" ht="15.75" customHeight="1">
      <c r="A479" s="10" t="s">
        <v>3397</v>
      </c>
      <c r="B479" s="10" t="s">
        <v>1469</v>
      </c>
      <c r="C479" s="60" t="s">
        <v>1470</v>
      </c>
      <c r="D479" s="12"/>
      <c r="E479" s="13" t="s">
        <v>248</v>
      </c>
      <c r="F479" s="43" t="s">
        <v>248</v>
      </c>
      <c r="G479" s="6" t="str">
        <f ca="1">IFERROR(__xludf.DUMMYFUNCTION("CONCATENATE(B479,(VLOOKUP(C479,CATALOGOS!$F$2:$H$6,3,FALSE)),(VLOOKUP(V479,CATALOGOS!$J$2:$K$18,2,FALSE)),""-"",TO_TEXT(A479))"),"P12CT-0478")</f>
        <v>P12CT-0478</v>
      </c>
      <c r="H479" s="6" t="str">
        <f ca="1">IFERROR(__xludf.DUMMYFUNCTION("CONCATENATE($B479,(VLOOKUP($C479,CATALOGOS!$F$2:$H$6,3,FALSE)),(VLOOKUP($V479,CATALOGOS!$J$2:$K$18,2,FALSE)),""-"",TO_TEXT($A479))"),"P12CT-0478")</f>
        <v>P12CT-0478</v>
      </c>
      <c r="I479" s="6"/>
      <c r="J479" s="6" t="s">
        <v>3398</v>
      </c>
      <c r="K479" s="6" t="s">
        <v>3399</v>
      </c>
      <c r="L479" s="6" t="s">
        <v>3400</v>
      </c>
      <c r="M479" s="6" t="s">
        <v>3401</v>
      </c>
      <c r="N479" s="17"/>
      <c r="O479" s="17"/>
      <c r="P479" s="17" t="str">
        <f t="shared" si="3"/>
        <v>OK</v>
      </c>
      <c r="Q479" s="17" t="s">
        <v>827</v>
      </c>
      <c r="R479" s="6" t="s">
        <v>828</v>
      </c>
      <c r="S479" s="17" t="s">
        <v>3402</v>
      </c>
      <c r="T479" s="10" t="s">
        <v>3403</v>
      </c>
      <c r="U479" s="173" t="s">
        <v>38</v>
      </c>
      <c r="V479" s="19" t="s">
        <v>2884</v>
      </c>
      <c r="W479" s="22" t="s">
        <v>3247</v>
      </c>
      <c r="X479" s="22" t="s">
        <v>3247</v>
      </c>
      <c r="Y479" s="22"/>
      <c r="Z479" s="7"/>
      <c r="AA479" s="7"/>
      <c r="AB479" s="23"/>
      <c r="AC479" s="26"/>
    </row>
    <row r="480" spans="1:29" ht="15.75" customHeight="1">
      <c r="A480" s="10" t="s">
        <v>3404</v>
      </c>
      <c r="B480" s="10" t="s">
        <v>1469</v>
      </c>
      <c r="C480" s="60" t="s">
        <v>1470</v>
      </c>
      <c r="D480" s="12"/>
      <c r="E480" s="13" t="s">
        <v>43</v>
      </c>
      <c r="F480" s="43" t="s">
        <v>3405</v>
      </c>
      <c r="G480" s="6" t="str">
        <f ca="1">IFERROR(__xludf.DUMMYFUNCTION("CONCATENATE(B480,(VLOOKUP(C480,CATALOGOS!$F$2:$H$6,3,FALSE)),(VLOOKUP(V480,CATALOGOS!$J$2:$K$18,2,FALSE)),""-"",TO_TEXT(A480))"),"P12CT-0479")</f>
        <v>P12CT-0479</v>
      </c>
      <c r="H480" s="6" t="str">
        <f ca="1">IFERROR(__xludf.DUMMYFUNCTION("CONCATENATE($B480,(VLOOKUP($C480,CATALOGOS!$F$2:$H$6,3,FALSE)),(VLOOKUP($V480,CATALOGOS!$J$2:$K$18,2,FALSE)),""-"",TO_TEXT($A480))"),"P12CT-0479")</f>
        <v>P12CT-0479</v>
      </c>
      <c r="I480" s="6"/>
      <c r="J480" s="6" t="s">
        <v>3406</v>
      </c>
      <c r="K480" s="6" t="s">
        <v>3407</v>
      </c>
      <c r="L480" s="6" t="s">
        <v>3408</v>
      </c>
      <c r="M480" s="6" t="s">
        <v>3409</v>
      </c>
      <c r="N480" s="17"/>
      <c r="O480" s="17"/>
      <c r="P480" s="17" t="str">
        <f t="shared" si="3"/>
        <v>OK</v>
      </c>
      <c r="Q480" s="17" t="s">
        <v>49</v>
      </c>
      <c r="R480" s="6">
        <v>3352</v>
      </c>
      <c r="S480" s="17" t="s">
        <v>36</v>
      </c>
      <c r="T480" s="10" t="s">
        <v>3410</v>
      </c>
      <c r="U480" s="173" t="s">
        <v>38</v>
      </c>
      <c r="V480" s="19" t="s">
        <v>2884</v>
      </c>
      <c r="W480" s="20" t="s">
        <v>385</v>
      </c>
      <c r="X480" s="20" t="s">
        <v>385</v>
      </c>
      <c r="Y480" s="20"/>
      <c r="Z480" s="7"/>
      <c r="AA480" s="7"/>
      <c r="AB480" s="23"/>
      <c r="AC480" s="26"/>
    </row>
    <row r="481" spans="1:29" ht="15.75" customHeight="1">
      <c r="A481" s="10" t="s">
        <v>3411</v>
      </c>
      <c r="B481" s="10" t="s">
        <v>1469</v>
      </c>
      <c r="C481" s="60" t="s">
        <v>1470</v>
      </c>
      <c r="D481" s="12"/>
      <c r="E481" s="13" t="s">
        <v>248</v>
      </c>
      <c r="F481" s="6" t="s">
        <v>248</v>
      </c>
      <c r="G481" s="6" t="str">
        <f ca="1">IFERROR(__xludf.DUMMYFUNCTION("CONCATENATE(B481,(VLOOKUP(C481,CATALOGOS!$F$2:$H$6,3,FALSE)),(VLOOKUP(V481,CATALOGOS!$J$2:$K$18,2,FALSE)),""-"",TO_TEXT(A481))"),"P12CT-0480")</f>
        <v>P12CT-0480</v>
      </c>
      <c r="H481" s="6" t="str">
        <f ca="1">IFERROR(__xludf.DUMMYFUNCTION("CONCATENATE($B481,(VLOOKUP($C481,CATALOGOS!$F$2:$H$6,3,FALSE)),(VLOOKUP($V481,CATALOGOS!$J$2:$K$18,2,FALSE)),""-"",TO_TEXT($A481))"),"P12CT-0480")</f>
        <v>P12CT-0480</v>
      </c>
      <c r="I481" s="6"/>
      <c r="J481" s="6" t="s">
        <v>3412</v>
      </c>
      <c r="K481" s="6" t="s">
        <v>3413</v>
      </c>
      <c r="L481" s="6" t="s">
        <v>3414</v>
      </c>
      <c r="M481" s="6" t="s">
        <v>3415</v>
      </c>
      <c r="N481" s="17"/>
      <c r="O481" s="17"/>
      <c r="P481" s="17" t="str">
        <f t="shared" si="3"/>
        <v>OK</v>
      </c>
      <c r="Q481" s="17" t="s">
        <v>250</v>
      </c>
      <c r="R481" s="6" t="s">
        <v>3416</v>
      </c>
      <c r="S481" s="17" t="s">
        <v>3417</v>
      </c>
      <c r="T481" s="10" t="s">
        <v>3418</v>
      </c>
      <c r="U481" s="173" t="s">
        <v>38</v>
      </c>
      <c r="V481" s="19" t="s">
        <v>2884</v>
      </c>
      <c r="W481" s="20" t="s">
        <v>385</v>
      </c>
      <c r="X481" s="20" t="s">
        <v>385</v>
      </c>
      <c r="Y481" s="20"/>
      <c r="Z481" s="7"/>
      <c r="AA481" s="7"/>
      <c r="AB481" s="23"/>
      <c r="AC481" s="26"/>
    </row>
    <row r="482" spans="1:29" ht="15.75" customHeight="1">
      <c r="A482" s="10" t="s">
        <v>3419</v>
      </c>
      <c r="B482" s="10" t="s">
        <v>1469</v>
      </c>
      <c r="C482" s="60" t="s">
        <v>1470</v>
      </c>
      <c r="D482" s="12"/>
      <c r="E482" s="13" t="s">
        <v>1240</v>
      </c>
      <c r="F482" s="6" t="s">
        <v>1240</v>
      </c>
      <c r="G482" s="6" t="str">
        <f ca="1">IFERROR(__xludf.DUMMYFUNCTION("CONCATENATE(B482,(VLOOKUP(C482,CATALOGOS!$F$2:$H$6,3,FALSE)),(VLOOKUP(V482,CATALOGOS!$J$2:$K$18,2,FALSE)),""-"",TO_TEXT(A482))"),"P12CT-0481")</f>
        <v>P12CT-0481</v>
      </c>
      <c r="H482" s="6" t="str">
        <f ca="1">IFERROR(__xludf.DUMMYFUNCTION("CONCATENATE($B482,(VLOOKUP($C482,CATALOGOS!$F$2:$H$6,3,FALSE)),(VLOOKUP($V482,CATALOGOS!$J$2:$K$18,2,FALSE)),""-"",TO_TEXT($A482))"),"P12CT-0481")</f>
        <v>P12CT-0481</v>
      </c>
      <c r="I482" s="6"/>
      <c r="J482" s="6" t="s">
        <v>3420</v>
      </c>
      <c r="K482" s="6" t="s">
        <v>3421</v>
      </c>
      <c r="L482" s="6" t="s">
        <v>3422</v>
      </c>
      <c r="M482" s="6" t="s">
        <v>3423</v>
      </c>
      <c r="N482" s="17"/>
      <c r="O482" s="17"/>
      <c r="P482" s="17" t="str">
        <f t="shared" si="3"/>
        <v>OK</v>
      </c>
      <c r="Q482" s="17" t="s">
        <v>35</v>
      </c>
      <c r="R482" s="6" t="s">
        <v>35</v>
      </c>
      <c r="S482" s="17" t="s">
        <v>36</v>
      </c>
      <c r="T482" s="17" t="s">
        <v>3424</v>
      </c>
      <c r="U482" s="173" t="s">
        <v>38</v>
      </c>
      <c r="V482" s="19" t="s">
        <v>2884</v>
      </c>
      <c r="W482" s="20" t="s">
        <v>385</v>
      </c>
      <c r="X482" s="20" t="s">
        <v>385</v>
      </c>
      <c r="Y482" s="20"/>
      <c r="Z482" s="7"/>
      <c r="AA482" s="7"/>
      <c r="AB482" s="23"/>
      <c r="AC482" s="26"/>
    </row>
    <row r="483" spans="1:29" ht="15.75" customHeight="1">
      <c r="A483" s="10" t="s">
        <v>3425</v>
      </c>
      <c r="B483" s="10" t="s">
        <v>1469</v>
      </c>
      <c r="C483" s="60" t="s">
        <v>1470</v>
      </c>
      <c r="D483" s="12"/>
      <c r="E483" s="13" t="s">
        <v>116</v>
      </c>
      <c r="F483" s="6" t="s">
        <v>117</v>
      </c>
      <c r="G483" s="6" t="str">
        <f ca="1">IFERROR(__xludf.DUMMYFUNCTION("CONCATENATE(B483,(VLOOKUP(C483,CATALOGOS!$F$2:$H$6,3,FALSE)),(VLOOKUP(V483,CATALOGOS!$J$2:$K$18,2,FALSE)),""-"",TO_TEXT(A483))"),"P12CT-0482")</f>
        <v>P12CT-0482</v>
      </c>
      <c r="H483" s="6" t="str">
        <f ca="1">IFERROR(__xludf.DUMMYFUNCTION("CONCATENATE($B483,(VLOOKUP($C483,CATALOGOS!$F$2:$H$6,3,FALSE)),(VLOOKUP($V483,CATALOGOS!$J$2:$K$18,2,FALSE)),""-"",TO_TEXT($A483))"),"P12CT-0482")</f>
        <v>P12CT-0482</v>
      </c>
      <c r="I483" s="6"/>
      <c r="J483" s="6" t="s">
        <v>3426</v>
      </c>
      <c r="K483" s="6" t="s">
        <v>3427</v>
      </c>
      <c r="L483" s="6" t="s">
        <v>3428</v>
      </c>
      <c r="M483" s="6" t="s">
        <v>3429</v>
      </c>
      <c r="N483" s="17"/>
      <c r="O483" s="17"/>
      <c r="P483" s="17" t="str">
        <f t="shared" si="3"/>
        <v>OK</v>
      </c>
      <c r="Q483" s="17" t="s">
        <v>35</v>
      </c>
      <c r="R483" s="49" t="s">
        <v>35</v>
      </c>
      <c r="S483" s="17" t="s">
        <v>36</v>
      </c>
      <c r="T483" s="17" t="s">
        <v>3430</v>
      </c>
      <c r="U483" s="173" t="s">
        <v>38</v>
      </c>
      <c r="V483" s="19" t="s">
        <v>2884</v>
      </c>
      <c r="W483" s="20" t="s">
        <v>385</v>
      </c>
      <c r="X483" s="20" t="s">
        <v>385</v>
      </c>
      <c r="Y483" s="20"/>
      <c r="Z483" s="7"/>
      <c r="AA483" s="7"/>
      <c r="AB483" s="23"/>
      <c r="AC483" s="26"/>
    </row>
    <row r="484" spans="1:29" ht="15.75" customHeight="1">
      <c r="A484" s="10" t="s">
        <v>3431</v>
      </c>
      <c r="B484" s="10" t="s">
        <v>1469</v>
      </c>
      <c r="C484" s="60" t="s">
        <v>1470</v>
      </c>
      <c r="D484" s="12"/>
      <c r="E484" s="13" t="s">
        <v>93</v>
      </c>
      <c r="F484" s="6" t="s">
        <v>3432</v>
      </c>
      <c r="G484" s="6" t="str">
        <f ca="1">IFERROR(__xludf.DUMMYFUNCTION("CONCATENATE(B484,(VLOOKUP(C484,CATALOGOS!$F$2:$H$6,3,FALSE)),(VLOOKUP(V484,CATALOGOS!$J$2:$K$18,2,FALSE)),""-"",TO_TEXT(A484))"),"P12PP-0483")</f>
        <v>P12PP-0483</v>
      </c>
      <c r="H484" s="6" t="str">
        <f ca="1">IFERROR(__xludf.DUMMYFUNCTION("CONCATENATE($B484,(VLOOKUP($C484,CATALOGOS!$F$2:$H$6,3,FALSE)),(VLOOKUP($V484,CATALOGOS!$J$2:$K$18,2,FALSE)),""-"",TO_TEXT($A484))"),"P12PP-0483")</f>
        <v>P12PP-0483</v>
      </c>
      <c r="I484" s="6"/>
      <c r="J484" s="6" t="s">
        <v>3433</v>
      </c>
      <c r="K484" s="6" t="s">
        <v>3434</v>
      </c>
      <c r="L484" s="6" t="s">
        <v>3435</v>
      </c>
      <c r="M484" s="6" t="s">
        <v>141</v>
      </c>
      <c r="N484" s="17"/>
      <c r="O484" s="17"/>
      <c r="P484" s="17" t="str">
        <f t="shared" si="3"/>
        <v>REPETIDO</v>
      </c>
      <c r="Q484" s="17" t="s">
        <v>35</v>
      </c>
      <c r="R484" s="32" t="s">
        <v>35</v>
      </c>
      <c r="S484" s="17" t="s">
        <v>36</v>
      </c>
      <c r="T484" s="17" t="s">
        <v>3436</v>
      </c>
      <c r="U484" s="173" t="s">
        <v>38</v>
      </c>
      <c r="V484" s="11" t="s">
        <v>1548</v>
      </c>
      <c r="W484" s="20" t="s">
        <v>1597</v>
      </c>
      <c r="X484" s="20" t="s">
        <v>1597</v>
      </c>
      <c r="Y484" s="20"/>
      <c r="Z484" s="7"/>
      <c r="AA484" s="7"/>
      <c r="AB484" s="23"/>
      <c r="AC484" s="26"/>
    </row>
    <row r="485" spans="1:29" ht="15.75" customHeight="1">
      <c r="A485" s="10" t="s">
        <v>3437</v>
      </c>
      <c r="B485" s="10" t="s">
        <v>1469</v>
      </c>
      <c r="C485" s="60" t="s">
        <v>1470</v>
      </c>
      <c r="D485" s="38"/>
      <c r="E485" s="13" t="s">
        <v>184</v>
      </c>
      <c r="F485" s="6" t="s">
        <v>2677</v>
      </c>
      <c r="G485" s="6" t="str">
        <f ca="1">IFERROR(__xludf.DUMMYFUNCTION("CONCATENATE(B485,(VLOOKUP(C485,CATALOGOS!$F$2:$H$6,3,FALSE)),(VLOOKUP(V485,CATALOGOS!$J$2:$K$18,2,FALSE)),""-"",TO_TEXT(A485))"),"P12CT-0484")</f>
        <v>P12CT-0484</v>
      </c>
      <c r="H485" s="6" t="str">
        <f ca="1">IFERROR(__xludf.DUMMYFUNCTION("CONCATENATE($B485,(VLOOKUP($C485,CATALOGOS!$F$2:$H$6,3,FALSE)),(VLOOKUP($V485,CATALOGOS!$J$2:$K$18,2,FALSE)),""-"",TO_TEXT($A485))"),"P12CT-0484")</f>
        <v>P12CT-0484</v>
      </c>
      <c r="I485" s="6"/>
      <c r="J485" s="6" t="s">
        <v>3438</v>
      </c>
      <c r="K485" s="6" t="s">
        <v>3439</v>
      </c>
      <c r="L485" s="6" t="s">
        <v>3440</v>
      </c>
      <c r="M485" s="6" t="s">
        <v>3441</v>
      </c>
      <c r="N485" s="17"/>
      <c r="O485" s="17"/>
      <c r="P485" s="17" t="str">
        <f t="shared" si="3"/>
        <v>OK</v>
      </c>
      <c r="Q485" s="17" t="s">
        <v>35</v>
      </c>
      <c r="R485" s="6" t="s">
        <v>35</v>
      </c>
      <c r="S485" s="46" t="s">
        <v>36</v>
      </c>
      <c r="T485" s="17" t="s">
        <v>3442</v>
      </c>
      <c r="U485" s="173" t="s">
        <v>38</v>
      </c>
      <c r="V485" s="11" t="s">
        <v>2884</v>
      </c>
      <c r="W485" s="32" t="s">
        <v>3247</v>
      </c>
      <c r="X485" s="32" t="s">
        <v>3247</v>
      </c>
      <c r="Y485" s="32"/>
      <c r="Z485" s="6"/>
      <c r="AA485" s="6" t="s">
        <v>51</v>
      </c>
      <c r="AB485" s="26"/>
      <c r="AC485" s="26"/>
    </row>
    <row r="486" spans="1:29" ht="15.75" customHeight="1">
      <c r="A486" s="10" t="s">
        <v>3443</v>
      </c>
      <c r="B486" s="10" t="s">
        <v>1469</v>
      </c>
      <c r="C486" s="52" t="s">
        <v>868</v>
      </c>
      <c r="D486" s="12"/>
      <c r="E486" s="13" t="s">
        <v>501</v>
      </c>
      <c r="F486" s="6" t="s">
        <v>3444</v>
      </c>
      <c r="G486" s="6" t="str">
        <f ca="1">IFERROR(__xludf.DUMMYFUNCTION("CONCATENATE(B486,(VLOOKUP(C486,CATALOGOS!$F$2:$H$6,3,FALSE)),(VLOOKUP(V486,CATALOGOS!$J$2:$K$18,2,FALSE)),""-"",TO_TEXT(A486))"),"P13SO-0485")</f>
        <v>P13SO-0485</v>
      </c>
      <c r="H486" s="15" t="str">
        <f ca="1">IFERROR(__xludf.DUMMYFUNCTION("CONCATENATE($B486,(VLOOKUP($C486,CATALOGOS!$F$2:$H$6,3,FALSE)),(VLOOKUP($V486,CATALOGOS!$J$2:$K$18,2,FALSE)),""-"",TO_TEXT($A486))"),"P13SO-0485")</f>
        <v>P13SO-0485</v>
      </c>
      <c r="I486" s="6"/>
      <c r="J486" s="6" t="s">
        <v>3445</v>
      </c>
      <c r="K486" s="6" t="s">
        <v>3446</v>
      </c>
      <c r="L486" s="6" t="s">
        <v>3447</v>
      </c>
      <c r="M486" s="6" t="s">
        <v>3448</v>
      </c>
      <c r="N486" s="17"/>
      <c r="O486" s="17"/>
      <c r="P486" s="17" t="str">
        <f t="shared" si="3"/>
        <v>OK</v>
      </c>
      <c r="Q486" s="17" t="s">
        <v>35</v>
      </c>
      <c r="R486" s="6" t="s">
        <v>35</v>
      </c>
      <c r="S486" s="17" t="s">
        <v>36</v>
      </c>
      <c r="T486" s="17" t="s">
        <v>3449</v>
      </c>
      <c r="U486" s="173" t="s">
        <v>38</v>
      </c>
      <c r="V486" s="11" t="s">
        <v>868</v>
      </c>
      <c r="W486" s="20" t="s">
        <v>3450</v>
      </c>
      <c r="X486" s="22" t="s">
        <v>3451</v>
      </c>
      <c r="Y486" s="22"/>
      <c r="Z486" s="7"/>
      <c r="AA486" s="7"/>
      <c r="AB486" s="23"/>
      <c r="AC486" s="26"/>
    </row>
    <row r="487" spans="1:29" ht="15.75" customHeight="1">
      <c r="A487" s="10" t="s">
        <v>3452</v>
      </c>
      <c r="B487" s="10" t="s">
        <v>1469</v>
      </c>
      <c r="C487" s="52" t="s">
        <v>868</v>
      </c>
      <c r="D487" s="12"/>
      <c r="E487" s="13" t="s">
        <v>248</v>
      </c>
      <c r="F487" s="6" t="s">
        <v>249</v>
      </c>
      <c r="G487" s="6" t="str">
        <f ca="1">IFERROR(__xludf.DUMMYFUNCTION("CONCATENATE(B487,(VLOOKUP(C487,CATALOGOS!$F$2:$H$6,3,FALSE)),(VLOOKUP(V487,CATALOGOS!$J$2:$K$18,2,FALSE)),""-"",TO_TEXT(A487))"),"P13SO-0486")</f>
        <v>P13SO-0486</v>
      </c>
      <c r="H487" s="15" t="str">
        <f ca="1">IFERROR(__xludf.DUMMYFUNCTION("CONCATENATE($B487,(VLOOKUP($C487,CATALOGOS!$F$2:$H$6,3,FALSE)),(VLOOKUP($V487,CATALOGOS!$J$2:$K$18,2,FALSE)),""-"",TO_TEXT($A487))"),"P13SO-0486")</f>
        <v>P13SO-0486</v>
      </c>
      <c r="I487" s="6"/>
      <c r="J487" s="6" t="s">
        <v>3453</v>
      </c>
      <c r="K487" s="6" t="s">
        <v>3454</v>
      </c>
      <c r="L487" s="6" t="s">
        <v>3455</v>
      </c>
      <c r="M487" s="6" t="s">
        <v>3456</v>
      </c>
      <c r="N487" s="17"/>
      <c r="O487" s="17"/>
      <c r="P487" s="17" t="str">
        <f t="shared" si="3"/>
        <v>OK</v>
      </c>
      <c r="Q487" s="17" t="s">
        <v>303</v>
      </c>
      <c r="R487" s="6" t="s">
        <v>304</v>
      </c>
      <c r="S487" s="17" t="s">
        <v>3457</v>
      </c>
      <c r="T487" s="10" t="s">
        <v>3458</v>
      </c>
      <c r="U487" s="173" t="s">
        <v>38</v>
      </c>
      <c r="V487" s="11" t="s">
        <v>868</v>
      </c>
      <c r="W487" s="20" t="s">
        <v>3450</v>
      </c>
      <c r="X487" s="22" t="s">
        <v>3451</v>
      </c>
      <c r="Y487" s="22"/>
      <c r="Z487" s="7"/>
      <c r="AA487" s="7"/>
      <c r="AB487" s="23"/>
      <c r="AC487" s="26"/>
    </row>
    <row r="488" spans="1:29" ht="15.75" customHeight="1">
      <c r="A488" s="10" t="s">
        <v>3459</v>
      </c>
      <c r="B488" s="10" t="s">
        <v>1469</v>
      </c>
      <c r="C488" s="52" t="s">
        <v>868</v>
      </c>
      <c r="D488" s="12"/>
      <c r="E488" s="13" t="s">
        <v>43</v>
      </c>
      <c r="F488" s="6" t="s">
        <v>1492</v>
      </c>
      <c r="G488" s="6" t="str">
        <f ca="1">IFERROR(__xludf.DUMMYFUNCTION("CONCATENATE(B488,(VLOOKUP(C488,CATALOGOS!$F$2:$H$6,3,FALSE)),(VLOOKUP(V488,CATALOGOS!$J$2:$K$18,2,FALSE)),""-"",TO_TEXT(A488))"),"P13SO-0487")</f>
        <v>P13SO-0487</v>
      </c>
      <c r="H488" s="15" t="str">
        <f ca="1">IFERROR(__xludf.DUMMYFUNCTION("CONCATENATE($B488,(VLOOKUP($C488,CATALOGOS!$F$2:$H$6,3,FALSE)),(VLOOKUP($V488,CATALOGOS!$J$2:$K$18,2,FALSE)),""-"",TO_TEXT($A488))"),"P13SO-0487")</f>
        <v>P13SO-0487</v>
      </c>
      <c r="I488" s="6"/>
      <c r="J488" s="6" t="s">
        <v>3460</v>
      </c>
      <c r="K488" s="6" t="s">
        <v>3461</v>
      </c>
      <c r="L488" s="6" t="s">
        <v>3462</v>
      </c>
      <c r="M488" s="6" t="s">
        <v>3463</v>
      </c>
      <c r="N488" s="17"/>
      <c r="O488" s="17"/>
      <c r="P488" s="17" t="str">
        <f t="shared" si="3"/>
        <v>OK</v>
      </c>
      <c r="Q488" s="17" t="s">
        <v>406</v>
      </c>
      <c r="R488" s="6" t="s">
        <v>407</v>
      </c>
      <c r="S488" s="17" t="s">
        <v>36</v>
      </c>
      <c r="T488" s="17" t="s">
        <v>3464</v>
      </c>
      <c r="U488" s="173" t="s">
        <v>38</v>
      </c>
      <c r="V488" s="11" t="s">
        <v>868</v>
      </c>
      <c r="W488" s="20" t="s">
        <v>3450</v>
      </c>
      <c r="X488" s="22" t="s">
        <v>3451</v>
      </c>
      <c r="Y488" s="22"/>
      <c r="Z488" s="7"/>
      <c r="AA488" s="7"/>
      <c r="AB488" s="23"/>
      <c r="AC488" s="26"/>
    </row>
    <row r="489" spans="1:29" ht="15.75" customHeight="1">
      <c r="A489" s="10" t="s">
        <v>3465</v>
      </c>
      <c r="B489" s="10" t="s">
        <v>1469</v>
      </c>
      <c r="C489" s="52" t="s">
        <v>868</v>
      </c>
      <c r="D489" s="12"/>
      <c r="E489" s="13" t="s">
        <v>93</v>
      </c>
      <c r="F489" s="6" t="s">
        <v>3466</v>
      </c>
      <c r="G489" s="6" t="str">
        <f ca="1">IFERROR(__xludf.DUMMYFUNCTION("CONCATENATE(B489,(VLOOKUP(C489,CATALOGOS!$F$2:$H$6,3,FALSE)),(VLOOKUP(V489,CATALOGOS!$J$2:$K$18,2,FALSE)),""-"",TO_TEXT(A489))"),"P13SO-0488")</f>
        <v>P13SO-0488</v>
      </c>
      <c r="H489" s="15" t="str">
        <f ca="1">IFERROR(__xludf.DUMMYFUNCTION("CONCATENATE($B489,(VLOOKUP($C489,CATALOGOS!$F$2:$H$6,3,FALSE)),(VLOOKUP($V489,CATALOGOS!$J$2:$K$18,2,FALSE)),""-"",TO_TEXT($A489))"),"P13SO-0488")</f>
        <v>P13SO-0488</v>
      </c>
      <c r="I489" s="6"/>
      <c r="J489" s="6" t="s">
        <v>3467</v>
      </c>
      <c r="K489" s="6" t="s">
        <v>3468</v>
      </c>
      <c r="L489" s="6" t="s">
        <v>3469</v>
      </c>
      <c r="M489" s="6" t="s">
        <v>3470</v>
      </c>
      <c r="N489" s="17"/>
      <c r="O489" s="17"/>
      <c r="P489" s="17" t="str">
        <f t="shared" si="3"/>
        <v>OK</v>
      </c>
      <c r="Q489" s="17" t="s">
        <v>35</v>
      </c>
      <c r="R489" s="6" t="s">
        <v>35</v>
      </c>
      <c r="S489" s="17" t="s">
        <v>36</v>
      </c>
      <c r="T489" s="17" t="s">
        <v>3471</v>
      </c>
      <c r="U489" s="173" t="s">
        <v>38</v>
      </c>
      <c r="V489" s="11" t="s">
        <v>868</v>
      </c>
      <c r="W489" s="20" t="s">
        <v>3450</v>
      </c>
      <c r="X489" s="22" t="s">
        <v>3451</v>
      </c>
      <c r="Y489" s="22"/>
      <c r="Z489" s="7"/>
      <c r="AA489" s="7"/>
      <c r="AB489" s="23"/>
      <c r="AC489" s="26"/>
    </row>
    <row r="490" spans="1:29" ht="15.75" customHeight="1">
      <c r="A490" s="10" t="s">
        <v>3472</v>
      </c>
      <c r="B490" s="10" t="s">
        <v>1469</v>
      </c>
      <c r="C490" s="52" t="s">
        <v>868</v>
      </c>
      <c r="D490" s="12"/>
      <c r="E490" s="13" t="s">
        <v>184</v>
      </c>
      <c r="F490" s="6" t="s">
        <v>3473</v>
      </c>
      <c r="G490" s="6" t="str">
        <f ca="1">IFERROR(__xludf.DUMMYFUNCTION("CONCATENATE(B490,(VLOOKUP(C490,CATALOGOS!$F$2:$H$6,3,FALSE)),(VLOOKUP(V490,CATALOGOS!$J$2:$K$18,2,FALSE)),""-"",TO_TEXT(A490))"),"P13SO-0489")</f>
        <v>P13SO-0489</v>
      </c>
      <c r="H490" s="6" t="str">
        <f ca="1">IFERROR(__xludf.DUMMYFUNCTION("CONCATENATE($B490,(VLOOKUP($C490,CATALOGOS!$F$2:$H$6,3,FALSE)),(VLOOKUP($V490,CATALOGOS!$J$2:$K$18,2,FALSE)),""-"",TO_TEXT($A490))"),"P13SO-0489")</f>
        <v>P13SO-0489</v>
      </c>
      <c r="I490" s="6"/>
      <c r="J490" s="6" t="s">
        <v>3474</v>
      </c>
      <c r="K490" s="6" t="s">
        <v>3475</v>
      </c>
      <c r="L490" s="6" t="s">
        <v>3476</v>
      </c>
      <c r="M490" s="6" t="s">
        <v>3477</v>
      </c>
      <c r="N490" s="17"/>
      <c r="O490" s="17"/>
      <c r="P490" s="17" t="str">
        <f t="shared" si="3"/>
        <v>OK</v>
      </c>
      <c r="Q490" s="17" t="s">
        <v>35</v>
      </c>
      <c r="R490" s="6" t="s">
        <v>35</v>
      </c>
      <c r="S490" s="17" t="s">
        <v>36</v>
      </c>
      <c r="T490" s="17" t="s">
        <v>3478</v>
      </c>
      <c r="U490" s="173" t="s">
        <v>38</v>
      </c>
      <c r="V490" s="11" t="s">
        <v>868</v>
      </c>
      <c r="W490" s="20" t="s">
        <v>3450</v>
      </c>
      <c r="X490" s="22" t="s">
        <v>3451</v>
      </c>
      <c r="Y490" s="22"/>
      <c r="Z490" s="7"/>
      <c r="AA490" s="7"/>
      <c r="AB490" s="23"/>
      <c r="AC490" s="26"/>
    </row>
    <row r="491" spans="1:29" ht="15.75" customHeight="1">
      <c r="A491" s="10" t="s">
        <v>8438</v>
      </c>
      <c r="B491" s="10" t="s">
        <v>1469</v>
      </c>
      <c r="C491" s="52" t="s">
        <v>868</v>
      </c>
      <c r="D491" s="12"/>
      <c r="E491" s="13" t="s">
        <v>378</v>
      </c>
      <c r="F491" s="6" t="s">
        <v>3480</v>
      </c>
      <c r="G491" s="6" t="str">
        <f ca="1">IFERROR(__xludf.DUMMYFUNCTION("CONCATENATE(B491,(VLOOKUP(C491,CATALOGOS!$F$2:$H$6,3,FALSE)),(VLOOKUP(V491,CATALOGOS!$J$2:$K$18,2,FALSE)),""-"",TO_TEXT(A491))"),"P13SO-0490")</f>
        <v>P13SO-0490</v>
      </c>
      <c r="H491" s="6" t="str">
        <f ca="1">IFERROR(__xludf.DUMMYFUNCTION("CONCATENATE($B491,(VLOOKUP($C491,CATALOGOS!$F$2:$H$6,3,FALSE)),(VLOOKUP($V491,CATALOGOS!$J$2:$K$18,2,FALSE)),""-"",TO_TEXT($A491))"),"P13SO-0490")</f>
        <v>P13SO-0490</v>
      </c>
      <c r="I491" s="6"/>
      <c r="J491" s="6" t="s">
        <v>3481</v>
      </c>
      <c r="K491" s="6" t="s">
        <v>3482</v>
      </c>
      <c r="L491" s="6" t="s">
        <v>3483</v>
      </c>
      <c r="M491" s="6" t="s">
        <v>3484</v>
      </c>
      <c r="N491" s="17"/>
      <c r="O491" s="17"/>
      <c r="P491" s="17" t="str">
        <f t="shared" si="3"/>
        <v>OK</v>
      </c>
      <c r="Q491" s="17" t="s">
        <v>35</v>
      </c>
      <c r="R491" s="6" t="s">
        <v>35</v>
      </c>
      <c r="S491" s="17" t="s">
        <v>36</v>
      </c>
      <c r="T491" s="17" t="s">
        <v>3485</v>
      </c>
      <c r="U491" s="173" t="s">
        <v>38</v>
      </c>
      <c r="V491" s="11" t="s">
        <v>868</v>
      </c>
      <c r="W491" s="20" t="s">
        <v>3450</v>
      </c>
      <c r="X491" s="22" t="s">
        <v>3451</v>
      </c>
      <c r="Y491" s="22"/>
      <c r="Z491" s="7"/>
      <c r="AA491" s="7"/>
      <c r="AB491" s="23"/>
      <c r="AC491" s="26"/>
    </row>
    <row r="492" spans="1:29" ht="15.75" customHeight="1">
      <c r="A492" s="10" t="s">
        <v>3486</v>
      </c>
      <c r="B492" s="10" t="s">
        <v>1469</v>
      </c>
      <c r="C492" s="52" t="s">
        <v>868</v>
      </c>
      <c r="D492" s="12"/>
      <c r="E492" s="13" t="s">
        <v>378</v>
      </c>
      <c r="F492" s="55" t="s">
        <v>3480</v>
      </c>
      <c r="G492" s="6" t="str">
        <f ca="1">IFERROR(__xludf.DUMMYFUNCTION("CONCATENATE(B492,(VLOOKUP(C492,CATALOGOS!$F$2:$H$6,3,FALSE)),(VLOOKUP(V492,CATALOGOS!$J$2:$K$18,2,FALSE)),""-"",TO_TEXT(A492))"),"P13SO-0491")</f>
        <v>P13SO-0491</v>
      </c>
      <c r="H492" s="15" t="str">
        <f ca="1">IFERROR(__xludf.DUMMYFUNCTION("CONCATENATE($B492,(VLOOKUP($C492,CATALOGOS!$F$2:$H$6,3,FALSE)),(VLOOKUP($V492,CATALOGOS!$J$2:$K$18,2,FALSE)),""-"",TO_TEXT($A492))"),"P13SO-0491")</f>
        <v>P13SO-0491</v>
      </c>
      <c r="I492" s="6"/>
      <c r="J492" s="6" t="s">
        <v>3487</v>
      </c>
      <c r="K492" s="6" t="s">
        <v>3488</v>
      </c>
      <c r="L492" s="6" t="s">
        <v>3489</v>
      </c>
      <c r="M492" s="6" t="s">
        <v>3490</v>
      </c>
      <c r="N492" s="17"/>
      <c r="O492" s="17"/>
      <c r="P492" s="17" t="str">
        <f t="shared" si="3"/>
        <v>OK</v>
      </c>
      <c r="Q492" s="17" t="s">
        <v>35</v>
      </c>
      <c r="R492" s="6" t="s">
        <v>35</v>
      </c>
      <c r="S492" s="17" t="s">
        <v>36</v>
      </c>
      <c r="T492" s="17" t="s">
        <v>3491</v>
      </c>
      <c r="U492" s="173" t="s">
        <v>38</v>
      </c>
      <c r="V492" s="11" t="s">
        <v>868</v>
      </c>
      <c r="W492" s="20" t="s">
        <v>3450</v>
      </c>
      <c r="X492" s="22" t="s">
        <v>3451</v>
      </c>
      <c r="Y492" s="22"/>
      <c r="Z492" s="7"/>
      <c r="AA492" s="7"/>
      <c r="AB492" s="23"/>
      <c r="AC492" s="26"/>
    </row>
    <row r="493" spans="1:29" ht="15.75" customHeight="1">
      <c r="A493" s="10" t="s">
        <v>3479</v>
      </c>
      <c r="B493" s="10" t="s">
        <v>1469</v>
      </c>
      <c r="C493" s="52" t="s">
        <v>868</v>
      </c>
      <c r="D493" s="12"/>
      <c r="E493" s="13" t="s">
        <v>378</v>
      </c>
      <c r="F493" s="55" t="s">
        <v>3480</v>
      </c>
      <c r="G493" s="6" t="str">
        <f ca="1">IFERROR(__xludf.DUMMYFUNCTION("CONCATENATE(B493,(VLOOKUP(C493,CATALOGOS!$F$2:$H$6,3,FALSE)),(VLOOKUP(V493,CATALOGOS!$J$2:$K$18,2,FALSE)),""-"",TO_TEXT(A493))"),"P13SO-0492")</f>
        <v>P13SO-0492</v>
      </c>
      <c r="H493" s="6" t="str">
        <f ca="1">IFERROR(__xludf.DUMMYFUNCTION("CONCATENATE($B493,(VLOOKUP($C493,CATALOGOS!$F$2:$H$6,3,FALSE)),(VLOOKUP($V493,CATALOGOS!$J$2:$K$18,2,FALSE)),""-"",TO_TEXT($A493))"),"P13SO-0492")</f>
        <v>P13SO-0492</v>
      </c>
      <c r="I493" s="6"/>
      <c r="J493" s="6" t="s">
        <v>3492</v>
      </c>
      <c r="K493" s="6" t="s">
        <v>3493</v>
      </c>
      <c r="L493" s="6" t="s">
        <v>3494</v>
      </c>
      <c r="M493" s="6" t="s">
        <v>3495</v>
      </c>
      <c r="N493" s="17"/>
      <c r="O493" s="17"/>
      <c r="P493" s="17" t="str">
        <f t="shared" si="3"/>
        <v>OK</v>
      </c>
      <c r="Q493" s="17" t="s">
        <v>35</v>
      </c>
      <c r="R493" s="6" t="s">
        <v>35</v>
      </c>
      <c r="S493" s="17" t="s">
        <v>36</v>
      </c>
      <c r="T493" s="17" t="s">
        <v>3496</v>
      </c>
      <c r="U493" s="173" t="s">
        <v>38</v>
      </c>
      <c r="V493" s="11" t="s">
        <v>868</v>
      </c>
      <c r="W493" s="20" t="s">
        <v>3450</v>
      </c>
      <c r="X493" s="22" t="s">
        <v>3451</v>
      </c>
      <c r="Y493" s="22"/>
      <c r="Z493" s="7"/>
      <c r="AA493" s="7"/>
      <c r="AB493" s="23"/>
      <c r="AC493" s="26"/>
    </row>
    <row r="494" spans="1:29" ht="15.75" customHeight="1">
      <c r="A494" s="10" t="s">
        <v>3497</v>
      </c>
      <c r="B494" s="10" t="s">
        <v>1469</v>
      </c>
      <c r="C494" s="52" t="s">
        <v>868</v>
      </c>
      <c r="D494" s="12"/>
      <c r="E494" s="13" t="s">
        <v>378</v>
      </c>
      <c r="F494" s="55" t="s">
        <v>3480</v>
      </c>
      <c r="G494" s="6" t="str">
        <f ca="1">IFERROR(__xludf.DUMMYFUNCTION("CONCATENATE(B494,(VLOOKUP(C494,CATALOGOS!$F$2:$H$6,3,FALSE)),(VLOOKUP(V494,CATALOGOS!$J$2:$K$18,2,FALSE)),""-"",TO_TEXT(A494))"),"P13SO-0493")</f>
        <v>P13SO-0493</v>
      </c>
      <c r="H494" s="6" t="str">
        <f ca="1">IFERROR(__xludf.DUMMYFUNCTION("CONCATENATE($B494,(VLOOKUP($C494,CATALOGOS!$F$2:$H$6,3,FALSE)),(VLOOKUP($V494,CATALOGOS!$J$2:$K$18,2,FALSE)),""-"",TO_TEXT($A494))"),"P13SO-0493")</f>
        <v>P13SO-0493</v>
      </c>
      <c r="I494" s="6"/>
      <c r="J494" s="6" t="s">
        <v>3498</v>
      </c>
      <c r="K494" s="6" t="s">
        <v>3499</v>
      </c>
      <c r="L494" s="6" t="s">
        <v>3500</v>
      </c>
      <c r="M494" s="6" t="s">
        <v>3501</v>
      </c>
      <c r="N494" s="17"/>
      <c r="O494" s="17"/>
      <c r="P494" s="17" t="str">
        <f t="shared" si="3"/>
        <v>OK</v>
      </c>
      <c r="Q494" s="17" t="s">
        <v>35</v>
      </c>
      <c r="R494" s="6" t="s">
        <v>35</v>
      </c>
      <c r="S494" s="17" t="s">
        <v>36</v>
      </c>
      <c r="T494" s="17" t="s">
        <v>3502</v>
      </c>
      <c r="U494" s="173" t="s">
        <v>38</v>
      </c>
      <c r="V494" s="11" t="s">
        <v>868</v>
      </c>
      <c r="W494" s="20" t="s">
        <v>3450</v>
      </c>
      <c r="X494" s="22" t="s">
        <v>3451</v>
      </c>
      <c r="Y494" s="22"/>
      <c r="Z494" s="7"/>
      <c r="AA494" s="7"/>
      <c r="AB494" s="23"/>
      <c r="AC494" s="26"/>
    </row>
    <row r="495" spans="1:29" ht="15.75" customHeight="1">
      <c r="A495" s="10" t="s">
        <v>3503</v>
      </c>
      <c r="B495" s="10" t="s">
        <v>1469</v>
      </c>
      <c r="C495" s="52" t="s">
        <v>868</v>
      </c>
      <c r="D495" s="12"/>
      <c r="E495" s="13" t="s">
        <v>378</v>
      </c>
      <c r="F495" s="55" t="s">
        <v>3480</v>
      </c>
      <c r="G495" s="6" t="str">
        <f ca="1">IFERROR(__xludf.DUMMYFUNCTION("CONCATENATE(B495,(VLOOKUP(C495,CATALOGOS!$F$2:$H$6,3,FALSE)),(VLOOKUP(V495,CATALOGOS!$J$2:$K$18,2,FALSE)),""-"",TO_TEXT(A495))"),"P13SO-0494")</f>
        <v>P13SO-0494</v>
      </c>
      <c r="H495" s="6" t="str">
        <f ca="1">IFERROR(__xludf.DUMMYFUNCTION("CONCATENATE($B495,(VLOOKUP($C495,CATALOGOS!$F$2:$H$6,3,FALSE)),(VLOOKUP($V495,CATALOGOS!$J$2:$K$18,2,FALSE)),""-"",TO_TEXT($A495))"),"P13SO-0494")</f>
        <v>P13SO-0494</v>
      </c>
      <c r="I495" s="6"/>
      <c r="J495" s="6" t="s">
        <v>3504</v>
      </c>
      <c r="K495" s="6" t="s">
        <v>3505</v>
      </c>
      <c r="L495" s="6" t="s">
        <v>3506</v>
      </c>
      <c r="M495" s="6" t="s">
        <v>3507</v>
      </c>
      <c r="N495" s="17"/>
      <c r="O495" s="17"/>
      <c r="P495" s="17" t="str">
        <f t="shared" si="3"/>
        <v>OK</v>
      </c>
      <c r="Q495" s="17" t="s">
        <v>35</v>
      </c>
      <c r="R495" s="6" t="s">
        <v>35</v>
      </c>
      <c r="S495" s="17" t="s">
        <v>36</v>
      </c>
      <c r="T495" s="17" t="s">
        <v>3508</v>
      </c>
      <c r="U495" s="173" t="s">
        <v>3509</v>
      </c>
      <c r="V495" s="11" t="s">
        <v>868</v>
      </c>
      <c r="W495" s="20" t="s">
        <v>3450</v>
      </c>
      <c r="X495" s="22" t="s">
        <v>3451</v>
      </c>
      <c r="Y495" s="22"/>
      <c r="Z495" s="7"/>
      <c r="AA495" s="7"/>
      <c r="AB495" s="23"/>
      <c r="AC495" s="26"/>
    </row>
    <row r="496" spans="1:29" ht="15.75" customHeight="1">
      <c r="A496" s="10" t="s">
        <v>3510</v>
      </c>
      <c r="B496" s="10" t="s">
        <v>1469</v>
      </c>
      <c r="C496" s="52" t="s">
        <v>868</v>
      </c>
      <c r="D496" s="12"/>
      <c r="E496" s="13" t="s">
        <v>93</v>
      </c>
      <c r="F496" s="6" t="s">
        <v>1173</v>
      </c>
      <c r="G496" s="6" t="str">
        <f ca="1">IFERROR(__xludf.DUMMYFUNCTION("CONCATENATE(B496,(VLOOKUP(C496,CATALOGOS!$F$2:$H$6,3,FALSE)),(VLOOKUP(V496,CATALOGOS!$J$2:$K$18,2,FALSE)),""-"",TO_TEXT(A496))"),"P13SO-0495")</f>
        <v>P13SO-0495</v>
      </c>
      <c r="H496" s="6" t="str">
        <f ca="1">IFERROR(__xludf.DUMMYFUNCTION("CONCATENATE($B496,(VLOOKUP($C496,CATALOGOS!$F$2:$H$6,3,FALSE)),(VLOOKUP($V496,CATALOGOS!$J$2:$K$18,2,FALSE)),""-"",TO_TEXT($A496))"),"P13SO-0495")</f>
        <v>P13SO-0495</v>
      </c>
      <c r="I496" s="6"/>
      <c r="J496" s="6" t="s">
        <v>3511</v>
      </c>
      <c r="K496" s="54"/>
      <c r="L496" s="6" t="s">
        <v>3512</v>
      </c>
      <c r="M496" s="6" t="s">
        <v>3513</v>
      </c>
      <c r="N496" s="17"/>
      <c r="O496" s="17"/>
      <c r="P496" s="17" t="str">
        <f t="shared" si="3"/>
        <v>OK</v>
      </c>
      <c r="Q496" s="17" t="s">
        <v>35</v>
      </c>
      <c r="R496" s="6" t="s">
        <v>35</v>
      </c>
      <c r="S496" s="17" t="s">
        <v>36</v>
      </c>
      <c r="T496" s="17" t="s">
        <v>3514</v>
      </c>
      <c r="U496" s="173" t="s">
        <v>38</v>
      </c>
      <c r="V496" s="11" t="s">
        <v>868</v>
      </c>
      <c r="W496" s="20" t="s">
        <v>3450</v>
      </c>
      <c r="X496" s="22" t="s">
        <v>3451</v>
      </c>
      <c r="Y496" s="22"/>
      <c r="Z496" s="7"/>
      <c r="AA496" s="7"/>
      <c r="AB496" s="23"/>
      <c r="AC496" s="26"/>
    </row>
    <row r="497" spans="1:30" ht="15.75" customHeight="1">
      <c r="A497" s="10" t="s">
        <v>3515</v>
      </c>
      <c r="B497" s="10" t="s">
        <v>1469</v>
      </c>
      <c r="C497" s="52" t="s">
        <v>868</v>
      </c>
      <c r="D497" s="12"/>
      <c r="E497" s="13" t="s">
        <v>29</v>
      </c>
      <c r="F497" s="6" t="s">
        <v>1166</v>
      </c>
      <c r="G497" s="6" t="str">
        <f ca="1">IFERROR(__xludf.DUMMYFUNCTION("CONCATENATE(B497,(VLOOKUP(C497,CATALOGOS!$F$2:$H$6,3,FALSE)),(VLOOKUP(V497,CATALOGOS!$J$2:$K$18,2,FALSE)),""-"",TO_TEXT(A497))"),"P13SO-0496")</f>
        <v>P13SO-0496</v>
      </c>
      <c r="H497" s="6" t="str">
        <f ca="1">IFERROR(__xludf.DUMMYFUNCTION("CONCATENATE($B497,(VLOOKUP($C497,CATALOGOS!$F$2:$H$6,3,FALSE)),(VLOOKUP($V497,CATALOGOS!$J$2:$K$18,2,FALSE)),""-"",TO_TEXT($A497))"),"P13SO-0496")</f>
        <v>P13SO-0496</v>
      </c>
      <c r="I497" s="6"/>
      <c r="J497" s="6" t="s">
        <v>3516</v>
      </c>
      <c r="K497" s="54"/>
      <c r="L497" s="6" t="s">
        <v>3517</v>
      </c>
      <c r="M497" s="6" t="s">
        <v>3518</v>
      </c>
      <c r="N497" s="17"/>
      <c r="O497" s="17"/>
      <c r="P497" s="17" t="str">
        <f t="shared" si="3"/>
        <v>OK</v>
      </c>
      <c r="Q497" s="17" t="s">
        <v>35</v>
      </c>
      <c r="R497" s="6" t="s">
        <v>35</v>
      </c>
      <c r="S497" s="17" t="s">
        <v>36</v>
      </c>
      <c r="T497" s="17" t="s">
        <v>3519</v>
      </c>
      <c r="U497" s="173" t="s">
        <v>38</v>
      </c>
      <c r="V497" s="11" t="s">
        <v>868</v>
      </c>
      <c r="W497" s="20" t="s">
        <v>3450</v>
      </c>
      <c r="X497" s="22" t="s">
        <v>3451</v>
      </c>
      <c r="Y497" s="22"/>
      <c r="Z497" s="7"/>
      <c r="AA497" s="7"/>
      <c r="AB497" s="23"/>
      <c r="AC497" s="26"/>
    </row>
    <row r="498" spans="1:30" ht="15.75" customHeight="1">
      <c r="A498" s="10" t="s">
        <v>3520</v>
      </c>
      <c r="B498" s="10" t="s">
        <v>1469</v>
      </c>
      <c r="C498" s="52" t="s">
        <v>868</v>
      </c>
      <c r="D498" s="12"/>
      <c r="E498" s="13" t="s">
        <v>3521</v>
      </c>
      <c r="F498" s="43" t="s">
        <v>3522</v>
      </c>
      <c r="G498" s="6" t="str">
        <f ca="1">IFERROR(__xludf.DUMMYFUNCTION("CONCATENATE(B498,(VLOOKUP(C498,CATALOGOS!$F$2:$H$6,3,FALSE)),(VLOOKUP(V498,CATALOGOS!$J$2:$K$18,2,FALSE)),""-"",TO_TEXT(A498))"),"P13SO-0497")</f>
        <v>P13SO-0497</v>
      </c>
      <c r="H498" s="6" t="str">
        <f ca="1">IFERROR(__xludf.DUMMYFUNCTION("CONCATENATE($B498,(VLOOKUP($C498,CATALOGOS!$F$2:$H$6,3,FALSE)),(VLOOKUP($V498,CATALOGOS!$J$2:$K$18,2,FALSE)),""-"",TO_TEXT($A498))"),"P13SO-0497")</f>
        <v>P13SO-0497</v>
      </c>
      <c r="I498" s="6"/>
      <c r="J498" s="6" t="s">
        <v>3523</v>
      </c>
      <c r="K498" s="54"/>
      <c r="L498" s="6" t="s">
        <v>3524</v>
      </c>
      <c r="M498" s="43" t="s">
        <v>3525</v>
      </c>
      <c r="N498" s="17"/>
      <c r="O498" s="17"/>
      <c r="P498" s="17" t="str">
        <f t="shared" si="3"/>
        <v>OK</v>
      </c>
      <c r="Q498" s="17" t="s">
        <v>35</v>
      </c>
      <c r="R498" s="49" t="s">
        <v>35</v>
      </c>
      <c r="S498" s="17" t="s">
        <v>36</v>
      </c>
      <c r="T498" s="17" t="s">
        <v>3526</v>
      </c>
      <c r="U498" s="173" t="s">
        <v>38</v>
      </c>
      <c r="V498" s="11" t="s">
        <v>868</v>
      </c>
      <c r="W498" s="20" t="s">
        <v>3450</v>
      </c>
      <c r="X498" s="22" t="s">
        <v>3451</v>
      </c>
      <c r="Y498" s="22"/>
      <c r="Z498" s="7"/>
      <c r="AA498" s="7"/>
      <c r="AB498" s="23"/>
      <c r="AC498" s="26"/>
    </row>
    <row r="499" spans="1:30" ht="15.75" customHeight="1">
      <c r="A499" s="10" t="s">
        <v>3527</v>
      </c>
      <c r="B499" s="10" t="s">
        <v>1469</v>
      </c>
      <c r="C499" s="52" t="s">
        <v>868</v>
      </c>
      <c r="D499" s="12"/>
      <c r="E499" s="13" t="s">
        <v>116</v>
      </c>
      <c r="F499" s="6" t="s">
        <v>3528</v>
      </c>
      <c r="G499" s="6" t="str">
        <f ca="1">IFERROR(__xludf.DUMMYFUNCTION("CONCATENATE(B499,(VLOOKUP(C499,CATALOGOS!$F$2:$H$6,3,FALSE)),(VLOOKUP(V499,CATALOGOS!$J$2:$K$18,2,FALSE)),""-"",TO_TEXT(A499))"),"P13SO-0498")</f>
        <v>P13SO-0498</v>
      </c>
      <c r="H499" s="15" t="str">
        <f ca="1">IFERROR(__xludf.DUMMYFUNCTION("CONCATENATE($B499,(VLOOKUP($C499,CATALOGOS!$F$2:$H$6,3,FALSE)),(VLOOKUP($V499,CATALOGOS!$J$2:$K$18,2,FALSE)),""-"",TO_TEXT($A499))"),"P13SO-0498")</f>
        <v>P13SO-0498</v>
      </c>
      <c r="I499" s="6"/>
      <c r="J499" s="6" t="s">
        <v>3529</v>
      </c>
      <c r="K499" s="6" t="s">
        <v>3530</v>
      </c>
      <c r="L499" s="6" t="s">
        <v>3531</v>
      </c>
      <c r="M499" s="6" t="s">
        <v>3532</v>
      </c>
      <c r="N499" s="17"/>
      <c r="O499" s="17"/>
      <c r="P499" s="17" t="str">
        <f t="shared" si="3"/>
        <v>OK</v>
      </c>
      <c r="Q499" s="17" t="s">
        <v>35</v>
      </c>
      <c r="R499" s="6" t="s">
        <v>35</v>
      </c>
      <c r="S499" s="17" t="s">
        <v>36</v>
      </c>
      <c r="T499" s="17" t="s">
        <v>3533</v>
      </c>
      <c r="U499" s="173" t="s">
        <v>38</v>
      </c>
      <c r="V499" s="11" t="s">
        <v>868</v>
      </c>
      <c r="W499" s="20" t="s">
        <v>3450</v>
      </c>
      <c r="X499" s="22" t="s">
        <v>3451</v>
      </c>
      <c r="Y499" s="22"/>
      <c r="Z499" s="7"/>
      <c r="AA499" s="7"/>
      <c r="AB499" s="23"/>
      <c r="AC499" s="26"/>
    </row>
    <row r="500" spans="1:30" ht="15.75" customHeight="1">
      <c r="A500" s="10" t="s">
        <v>3534</v>
      </c>
      <c r="B500" s="10" t="s">
        <v>1469</v>
      </c>
      <c r="C500" s="52" t="s">
        <v>868</v>
      </c>
      <c r="D500" s="12"/>
      <c r="E500" s="13" t="s">
        <v>184</v>
      </c>
      <c r="F500" s="6" t="s">
        <v>3535</v>
      </c>
      <c r="G500" s="6" t="str">
        <f ca="1">IFERROR(__xludf.DUMMYFUNCTION("CONCATENATE(B500,(VLOOKUP(C500,CATALOGOS!$F$2:$H$6,3,FALSE)),(VLOOKUP(V500,CATALOGOS!$J$2:$K$18,2,FALSE)),""-"",TO_TEXT(A500))"),"P13SO-0499")</f>
        <v>P13SO-0499</v>
      </c>
      <c r="H500" s="15" t="str">
        <f ca="1">IFERROR(__xludf.DUMMYFUNCTION("CONCATENATE($B500,(VLOOKUP($C500,CATALOGOS!$F$2:$H$6,3,FALSE)),(VLOOKUP($V500,CATALOGOS!$J$2:$K$18,2,FALSE)),""-"",TO_TEXT($A500))"),"P13SO-0499")</f>
        <v>P13SO-0499</v>
      </c>
      <c r="I500" s="6"/>
      <c r="J500" s="6" t="s">
        <v>3536</v>
      </c>
      <c r="K500" s="6" t="s">
        <v>3537</v>
      </c>
      <c r="L500" s="6" t="s">
        <v>3538</v>
      </c>
      <c r="M500" s="6" t="s">
        <v>3539</v>
      </c>
      <c r="N500" s="17"/>
      <c r="O500" s="17"/>
      <c r="P500" s="17" t="str">
        <f t="shared" si="3"/>
        <v>OK</v>
      </c>
      <c r="Q500" s="17" t="s">
        <v>35</v>
      </c>
      <c r="R500" s="6" t="s">
        <v>35</v>
      </c>
      <c r="S500" s="17" t="s">
        <v>36</v>
      </c>
      <c r="T500" s="17" t="s">
        <v>3540</v>
      </c>
      <c r="U500" s="173" t="s">
        <v>38</v>
      </c>
      <c r="V500" s="11" t="s">
        <v>868</v>
      </c>
      <c r="W500" s="20" t="s">
        <v>3450</v>
      </c>
      <c r="X500" s="22" t="s">
        <v>3451</v>
      </c>
      <c r="Y500" s="22"/>
      <c r="Z500" s="7"/>
      <c r="AA500" s="7"/>
      <c r="AB500" s="23"/>
      <c r="AC500" s="26"/>
    </row>
    <row r="501" spans="1:30" ht="15.75" customHeight="1">
      <c r="A501" s="10" t="s">
        <v>3541</v>
      </c>
      <c r="B501" s="10" t="s">
        <v>1469</v>
      </c>
      <c r="C501" s="52" t="s">
        <v>868</v>
      </c>
      <c r="D501" s="12"/>
      <c r="E501" s="13" t="s">
        <v>1240</v>
      </c>
      <c r="F501" s="43" t="s">
        <v>278</v>
      </c>
      <c r="G501" s="6" t="str">
        <f ca="1">IFERROR(__xludf.DUMMYFUNCTION("CONCATENATE(B501,(VLOOKUP(C501,CATALOGOS!$F$2:$H$6,3,FALSE)),(VLOOKUP(V501,CATALOGOS!$J$2:$K$18,2,FALSE)),""-"",TO_TEXT(A501))"),"P13SO-0500")</f>
        <v>P13SO-0500</v>
      </c>
      <c r="H501" s="15" t="str">
        <f ca="1">IFERROR(__xludf.DUMMYFUNCTION("CONCATENATE($B501,(VLOOKUP($C501,CATALOGOS!$F$2:$H$6,3,FALSE)),(VLOOKUP($V501,CATALOGOS!$J$2:$K$18,2,FALSE)),""-"",TO_TEXT($A501))"),"P13SO-0500")</f>
        <v>P13SO-0500</v>
      </c>
      <c r="I501" s="6"/>
      <c r="J501" s="6" t="s">
        <v>3542</v>
      </c>
      <c r="K501" s="6" t="s">
        <v>3543</v>
      </c>
      <c r="L501" s="6" t="s">
        <v>3544</v>
      </c>
      <c r="M501" s="6" t="s">
        <v>3545</v>
      </c>
      <c r="N501" s="17"/>
      <c r="O501" s="17"/>
      <c r="P501" s="17" t="str">
        <f t="shared" si="3"/>
        <v>OK</v>
      </c>
      <c r="Q501" s="17" t="s">
        <v>35</v>
      </c>
      <c r="R501" s="49" t="s">
        <v>35</v>
      </c>
      <c r="S501" s="17" t="s">
        <v>36</v>
      </c>
      <c r="T501" s="17" t="s">
        <v>3546</v>
      </c>
      <c r="U501" s="173" t="s">
        <v>38</v>
      </c>
      <c r="V501" s="11" t="s">
        <v>868</v>
      </c>
      <c r="W501" s="20" t="s">
        <v>3450</v>
      </c>
      <c r="X501" s="22" t="s">
        <v>3451</v>
      </c>
      <c r="Y501" s="22"/>
      <c r="Z501" s="7"/>
      <c r="AA501" s="7"/>
      <c r="AB501" s="23"/>
      <c r="AC501" s="26"/>
    </row>
    <row r="502" spans="1:30" ht="15.75" customHeight="1">
      <c r="A502" s="10" t="s">
        <v>3547</v>
      </c>
      <c r="B502" s="10" t="s">
        <v>1469</v>
      </c>
      <c r="C502" s="52" t="s">
        <v>868</v>
      </c>
      <c r="D502" s="12"/>
      <c r="E502" s="13" t="s">
        <v>248</v>
      </c>
      <c r="F502" s="43" t="s">
        <v>3548</v>
      </c>
      <c r="G502" s="6" t="str">
        <f ca="1">IFERROR(__xludf.DUMMYFUNCTION("CONCATENATE(B502,(VLOOKUP(C502,CATALOGOS!$F$2:$H$6,3,FALSE)),(VLOOKUP(V502,CATALOGOS!$J$2:$K$18,2,FALSE)),""-"",TO_TEXT(A502))"),"P13SO-0501")</f>
        <v>P13SO-0501</v>
      </c>
      <c r="H502" s="15" t="str">
        <f ca="1">IFERROR(__xludf.DUMMYFUNCTION("CONCATENATE($B502,(VLOOKUP($C502,CATALOGOS!$F$2:$H$6,3,FALSE)),(VLOOKUP($V502,CATALOGOS!$J$2:$K$18,2,FALSE)),""-"",TO_TEXT($A502))"),"P13SO-0501")</f>
        <v>P13SO-0501</v>
      </c>
      <c r="I502" s="6"/>
      <c r="J502" s="6" t="s">
        <v>3549</v>
      </c>
      <c r="K502" s="6" t="s">
        <v>3550</v>
      </c>
      <c r="L502" s="6" t="s">
        <v>3551</v>
      </c>
      <c r="M502" s="6" t="s">
        <v>3552</v>
      </c>
      <c r="N502" s="17"/>
      <c r="O502" s="17"/>
      <c r="P502" s="17" t="str">
        <f t="shared" si="3"/>
        <v>OK</v>
      </c>
      <c r="Q502" s="17" t="s">
        <v>978</v>
      </c>
      <c r="R502" s="6" t="s">
        <v>979</v>
      </c>
      <c r="S502" s="17" t="s">
        <v>3553</v>
      </c>
      <c r="T502" s="10" t="s">
        <v>3554</v>
      </c>
      <c r="U502" s="173" t="s">
        <v>38</v>
      </c>
      <c r="V502" s="11" t="s">
        <v>868</v>
      </c>
      <c r="W502" s="20" t="s">
        <v>3450</v>
      </c>
      <c r="X502" s="22" t="s">
        <v>3451</v>
      </c>
      <c r="Y502" s="22"/>
      <c r="Z502" s="7"/>
      <c r="AA502" s="7"/>
      <c r="AB502" s="23"/>
      <c r="AC502" s="26"/>
    </row>
    <row r="503" spans="1:30" ht="15.75" customHeight="1">
      <c r="A503" s="10" t="s">
        <v>3555</v>
      </c>
      <c r="B503" s="10" t="s">
        <v>1469</v>
      </c>
      <c r="C503" s="52" t="s">
        <v>868</v>
      </c>
      <c r="D503" s="12"/>
      <c r="E503" s="13" t="s">
        <v>162</v>
      </c>
      <c r="F503" s="6" t="s">
        <v>285</v>
      </c>
      <c r="G503" s="6" t="str">
        <f ca="1">IFERROR(__xludf.DUMMYFUNCTION("CONCATENATE(B503,(VLOOKUP(C503,CATALOGOS!$F$2:$H$6,3,FALSE)),(VLOOKUP(V503,CATALOGOS!$J$2:$K$18,2,FALSE)),""-"",TO_TEXT(A503))"),"P13SO-0502")</f>
        <v>P13SO-0502</v>
      </c>
      <c r="H503" s="15" t="str">
        <f ca="1">IFERROR(__xludf.DUMMYFUNCTION("CONCATENATE($B503,(VLOOKUP($C503,CATALOGOS!$F$2:$H$6,3,FALSE)),(VLOOKUP($V503,CATALOGOS!$J$2:$K$18,2,FALSE)),""-"",TO_TEXT($A503))"),"P13SO-0502")</f>
        <v>P13SO-0502</v>
      </c>
      <c r="I503" s="6"/>
      <c r="J503" s="6" t="s">
        <v>3556</v>
      </c>
      <c r="K503" s="6" t="s">
        <v>3557</v>
      </c>
      <c r="L503" s="6" t="s">
        <v>3558</v>
      </c>
      <c r="M503" s="6" t="s">
        <v>3559</v>
      </c>
      <c r="N503" s="17"/>
      <c r="O503" s="17"/>
      <c r="P503" s="17" t="str">
        <f t="shared" si="3"/>
        <v>OK</v>
      </c>
      <c r="Q503" s="17" t="s">
        <v>663</v>
      </c>
      <c r="R503" s="6" t="s">
        <v>664</v>
      </c>
      <c r="S503" s="17" t="s">
        <v>3560</v>
      </c>
      <c r="T503" s="17" t="s">
        <v>3561</v>
      </c>
      <c r="U503" s="173" t="s">
        <v>38</v>
      </c>
      <c r="V503" s="11" t="s">
        <v>868</v>
      </c>
      <c r="W503" s="20" t="s">
        <v>3450</v>
      </c>
      <c r="X503" s="22" t="s">
        <v>3451</v>
      </c>
      <c r="Y503" s="22"/>
      <c r="Z503" s="7"/>
      <c r="AA503" s="7"/>
      <c r="AB503" s="23"/>
      <c r="AC503" s="26"/>
    </row>
    <row r="504" spans="1:30" ht="15.75" customHeight="1">
      <c r="A504" s="10" t="s">
        <v>3562</v>
      </c>
      <c r="B504" s="10" t="s">
        <v>1469</v>
      </c>
      <c r="C504" s="52" t="s">
        <v>868</v>
      </c>
      <c r="D504" s="12"/>
      <c r="E504" s="13" t="s">
        <v>1199</v>
      </c>
      <c r="F504" s="6" t="s">
        <v>3563</v>
      </c>
      <c r="G504" s="6" t="str">
        <f ca="1">IFERROR(__xludf.DUMMYFUNCTION("CONCATENATE(B504,(VLOOKUP(C504,CATALOGOS!$F$2:$H$6,3,FALSE)),(VLOOKUP(V504,CATALOGOS!$J$2:$K$18,2,FALSE)),""-"",TO_TEXT(A504))"),"P13SO-0503")</f>
        <v>P13SO-0503</v>
      </c>
      <c r="H504" s="15" t="str">
        <f ca="1">IFERROR(__xludf.DUMMYFUNCTION("CONCATENATE($B504,(VLOOKUP($C504,CATALOGOS!$F$2:$H$6,3,FALSE)),(VLOOKUP($V504,CATALOGOS!$J$2:$K$18,2,FALSE)),""-"",TO_TEXT($A504))"),"P13SO-0503")</f>
        <v>P13SO-0503</v>
      </c>
      <c r="I504" s="6"/>
      <c r="J504" s="6" t="s">
        <v>3564</v>
      </c>
      <c r="K504" s="6" t="s">
        <v>3565</v>
      </c>
      <c r="L504" s="6" t="s">
        <v>3566</v>
      </c>
      <c r="M504" s="6" t="s">
        <v>3567</v>
      </c>
      <c r="N504" s="17"/>
      <c r="O504" s="17"/>
      <c r="P504" s="17" t="str">
        <f t="shared" si="3"/>
        <v>OK</v>
      </c>
      <c r="Q504" s="17" t="s">
        <v>205</v>
      </c>
      <c r="R504" s="6" t="s">
        <v>3568</v>
      </c>
      <c r="S504" s="17" t="s">
        <v>36</v>
      </c>
      <c r="T504" s="17" t="s">
        <v>3570</v>
      </c>
      <c r="U504" s="173" t="s">
        <v>38</v>
      </c>
      <c r="V504" s="11" t="s">
        <v>868</v>
      </c>
      <c r="W504" s="20" t="s">
        <v>3450</v>
      </c>
      <c r="X504" s="22" t="s">
        <v>3451</v>
      </c>
      <c r="Y504" s="22"/>
      <c r="Z504" s="7"/>
      <c r="AA504" s="7"/>
      <c r="AB504" s="23"/>
      <c r="AC504" s="26"/>
    </row>
    <row r="505" spans="1:30" ht="15.75" customHeight="1">
      <c r="A505" s="10" t="s">
        <v>3571</v>
      </c>
      <c r="B505" s="10" t="s">
        <v>1469</v>
      </c>
      <c r="C505" s="52" t="s">
        <v>868</v>
      </c>
      <c r="D505" s="12"/>
      <c r="E505" s="13" t="s">
        <v>1240</v>
      </c>
      <c r="F505" s="43" t="s">
        <v>278</v>
      </c>
      <c r="G505" s="6" t="str">
        <f ca="1">IFERROR(__xludf.DUMMYFUNCTION("CONCATENATE(B505,(VLOOKUP(C505,CATALOGOS!$F$2:$H$6,3,FALSE)),(VLOOKUP(V505,CATALOGOS!$J$2:$K$18,2,FALSE)),""-"",TO_TEXT(A505))"),"P13SO-0504")</f>
        <v>P13SO-0504</v>
      </c>
      <c r="H505" s="15" t="str">
        <f ca="1">IFERROR(__xludf.DUMMYFUNCTION("CONCATENATE($B505,(VLOOKUP($C505,CATALOGOS!$F$2:$H$6,3,FALSE)),(VLOOKUP($V505,CATALOGOS!$J$2:$K$18,2,FALSE)),""-"",TO_TEXT($A505))"),"P13SO-0504")</f>
        <v>P13SO-0504</v>
      </c>
      <c r="I505" s="6"/>
      <c r="J505" s="6" t="s">
        <v>3572</v>
      </c>
      <c r="K505" s="6" t="s">
        <v>3573</v>
      </c>
      <c r="L505" s="6" t="s">
        <v>3574</v>
      </c>
      <c r="M505" s="6" t="s">
        <v>3575</v>
      </c>
      <c r="N505" s="17"/>
      <c r="O505" s="17"/>
      <c r="P505" s="17" t="str">
        <f t="shared" si="3"/>
        <v>OK</v>
      </c>
      <c r="Q505" s="17" t="s">
        <v>35</v>
      </c>
      <c r="R505" s="6" t="s">
        <v>35</v>
      </c>
      <c r="S505" s="17" t="s">
        <v>36</v>
      </c>
      <c r="T505" s="17" t="s">
        <v>3576</v>
      </c>
      <c r="U505" s="173" t="s">
        <v>38</v>
      </c>
      <c r="V505" s="11" t="s">
        <v>868</v>
      </c>
      <c r="W505" s="20" t="s">
        <v>3450</v>
      </c>
      <c r="X505" s="22" t="s">
        <v>3451</v>
      </c>
      <c r="Y505" s="22"/>
      <c r="Z505" s="7"/>
      <c r="AA505" s="7"/>
      <c r="AB505" s="23"/>
      <c r="AC505" s="26"/>
    </row>
    <row r="506" spans="1:30" ht="15.75" customHeight="1">
      <c r="A506" s="10" t="s">
        <v>3577</v>
      </c>
      <c r="B506" s="10" t="s">
        <v>1469</v>
      </c>
      <c r="C506" s="52" t="s">
        <v>868</v>
      </c>
      <c r="D506" s="12"/>
      <c r="E506" s="13" t="s">
        <v>199</v>
      </c>
      <c r="F506" s="6" t="s">
        <v>3578</v>
      </c>
      <c r="G506" s="6" t="str">
        <f ca="1">IFERROR(__xludf.DUMMYFUNCTION("CONCATENATE(B506,(VLOOKUP(C506,CATALOGOS!$F$2:$H$6,3,FALSE)),(VLOOKUP(V506,CATALOGOS!$J$2:$K$18,2,FALSE)),""-"",TO_TEXT(A506))"),"P13SO-0505")</f>
        <v>P13SO-0505</v>
      </c>
      <c r="H506" s="15" t="str">
        <f ca="1">IFERROR(__xludf.DUMMYFUNCTION("CONCATENATE($B506,(VLOOKUP($C506,CATALOGOS!$F$2:$H$6,3,FALSE)),(VLOOKUP($V506,CATALOGOS!$J$2:$K$18,2,FALSE)),""-"",TO_TEXT($A506))"),"P13SO-0505")</f>
        <v>P13SO-0505</v>
      </c>
      <c r="I506" s="6"/>
      <c r="J506" s="6" t="s">
        <v>3579</v>
      </c>
      <c r="K506" s="6" t="s">
        <v>3580</v>
      </c>
      <c r="L506" s="36"/>
      <c r="M506" s="6" t="s">
        <v>3581</v>
      </c>
      <c r="N506" s="17"/>
      <c r="O506" s="17"/>
      <c r="P506" s="17" t="str">
        <f t="shared" si="3"/>
        <v>OK</v>
      </c>
      <c r="Q506" s="17" t="s">
        <v>273</v>
      </c>
      <c r="R506" s="6" t="s">
        <v>274</v>
      </c>
      <c r="S506" s="6">
        <v>11392903012354</v>
      </c>
      <c r="T506" s="10" t="s">
        <v>85</v>
      </c>
      <c r="U506" s="173" t="s">
        <v>38</v>
      </c>
      <c r="V506" s="11" t="s">
        <v>868</v>
      </c>
      <c r="W506" s="20" t="s">
        <v>3450</v>
      </c>
      <c r="X506" s="22" t="s">
        <v>3451</v>
      </c>
      <c r="Y506" s="22"/>
      <c r="Z506" s="6"/>
      <c r="AA506" s="6"/>
      <c r="AB506" s="41" t="s">
        <v>92</v>
      </c>
      <c r="AC506" s="42">
        <v>44348</v>
      </c>
      <c r="AD506" s="8" t="s">
        <v>276</v>
      </c>
    </row>
    <row r="507" spans="1:30" ht="15.75" customHeight="1">
      <c r="A507" s="10" t="s">
        <v>3582</v>
      </c>
      <c r="B507" s="10" t="s">
        <v>1469</v>
      </c>
      <c r="C507" s="52" t="s">
        <v>868</v>
      </c>
      <c r="D507" s="12"/>
      <c r="E507" s="13" t="s">
        <v>151</v>
      </c>
      <c r="F507" s="6" t="s">
        <v>3583</v>
      </c>
      <c r="G507" s="6" t="str">
        <f ca="1">IFERROR(__xludf.DUMMYFUNCTION("CONCATENATE(B507,(VLOOKUP(C507,CATALOGOS!$F$2:$H$6,3,FALSE)),(VLOOKUP(V507,CATALOGOS!$J$2:$K$18,2,FALSE)),""-"",TO_TEXT(A507))"),"P13SO-0506")</f>
        <v>P13SO-0506</v>
      </c>
      <c r="H507" s="15" t="str">
        <f ca="1">IFERROR(__xludf.DUMMYFUNCTION("CONCATENATE($B507,(VLOOKUP($C507,CATALOGOS!$F$2:$H$6,3,FALSE)),(VLOOKUP($V507,CATALOGOS!$J$2:$K$18,2,FALSE)),""-"",TO_TEXT($A507))"),"P13SO-0506")</f>
        <v>P13SO-0506</v>
      </c>
      <c r="I507" s="6"/>
      <c r="J507" s="6" t="s">
        <v>3584</v>
      </c>
      <c r="K507" s="6" t="s">
        <v>3585</v>
      </c>
      <c r="L507" s="37"/>
      <c r="M507" s="6" t="s">
        <v>3586</v>
      </c>
      <c r="N507" s="17"/>
      <c r="O507" s="17"/>
      <c r="P507" s="17" t="str">
        <f t="shared" si="3"/>
        <v>OK</v>
      </c>
      <c r="Q507" s="17" t="s">
        <v>297</v>
      </c>
      <c r="R507" s="6" t="s">
        <v>298</v>
      </c>
      <c r="S507" s="6" t="s">
        <v>3587</v>
      </c>
      <c r="T507" s="10" t="s">
        <v>85</v>
      </c>
      <c r="U507" s="173" t="s">
        <v>38</v>
      </c>
      <c r="V507" s="11" t="s">
        <v>868</v>
      </c>
      <c r="W507" s="20" t="s">
        <v>3450</v>
      </c>
      <c r="X507" s="22" t="s">
        <v>3451</v>
      </c>
      <c r="Y507" s="22"/>
      <c r="Z507" s="6"/>
      <c r="AA507" s="6"/>
      <c r="AB507" s="41" t="s">
        <v>92</v>
      </c>
      <c r="AC507" s="42">
        <v>44348</v>
      </c>
      <c r="AD507" s="8">
        <v>0</v>
      </c>
    </row>
    <row r="508" spans="1:30" ht="15.75" customHeight="1">
      <c r="A508" s="10" t="s">
        <v>3588</v>
      </c>
      <c r="B508" s="10" t="s">
        <v>1469</v>
      </c>
      <c r="C508" s="52" t="s">
        <v>868</v>
      </c>
      <c r="D508" s="12"/>
      <c r="E508" s="13" t="s">
        <v>53</v>
      </c>
      <c r="F508" s="6" t="s">
        <v>3589</v>
      </c>
      <c r="G508" s="6" t="str">
        <f ca="1">IFERROR(__xludf.DUMMYFUNCTION("CONCATENATE(B508,(VLOOKUP(C508,CATALOGOS!$F$2:$H$6,3,FALSE)),(VLOOKUP(V508,CATALOGOS!$J$2:$K$18,2,FALSE)),""-"",TO_TEXT(A508))"),"P13SO-0507")</f>
        <v>P13SO-0507</v>
      </c>
      <c r="H508" s="15" t="str">
        <f ca="1">IFERROR(__xludf.DUMMYFUNCTION("CONCATENATE($B508,(VLOOKUP($C508,CATALOGOS!$F$2:$H$6,3,FALSE)),(VLOOKUP($V508,CATALOGOS!$J$2:$K$18,2,FALSE)),""-"",TO_TEXT($A508))"),"P13SO-0507")</f>
        <v>P13SO-0507</v>
      </c>
      <c r="I508" s="6"/>
      <c r="J508" s="6" t="s">
        <v>3590</v>
      </c>
      <c r="K508" s="6" t="s">
        <v>3591</v>
      </c>
      <c r="L508" s="6" t="s">
        <v>3592</v>
      </c>
      <c r="M508" s="6" t="s">
        <v>3593</v>
      </c>
      <c r="N508" s="17"/>
      <c r="O508" s="17"/>
      <c r="P508" s="17" t="str">
        <f t="shared" si="3"/>
        <v>OK</v>
      </c>
      <c r="Q508" s="17" t="s">
        <v>35</v>
      </c>
      <c r="R508" s="6" t="s">
        <v>35</v>
      </c>
      <c r="S508" s="17" t="s">
        <v>36</v>
      </c>
      <c r="T508" s="17" t="s">
        <v>3594</v>
      </c>
      <c r="U508" s="173" t="s">
        <v>38</v>
      </c>
      <c r="V508" s="11" t="s">
        <v>868</v>
      </c>
      <c r="W508" s="20" t="s">
        <v>3450</v>
      </c>
      <c r="X508" s="22" t="s">
        <v>3451</v>
      </c>
      <c r="Y508" s="22"/>
      <c r="Z508" s="7"/>
      <c r="AA508" s="7"/>
      <c r="AB508" s="23"/>
      <c r="AC508" s="26"/>
    </row>
    <row r="509" spans="1:30" ht="15.75" customHeight="1">
      <c r="A509" s="10" t="s">
        <v>3595</v>
      </c>
      <c r="B509" s="10" t="s">
        <v>1469</v>
      </c>
      <c r="C509" s="52" t="s">
        <v>868</v>
      </c>
      <c r="D509" s="12"/>
      <c r="E509" s="13" t="s">
        <v>93</v>
      </c>
      <c r="F509" s="6" t="s">
        <v>3596</v>
      </c>
      <c r="G509" s="6" t="str">
        <f ca="1">IFERROR(__xludf.DUMMYFUNCTION("CONCATENATE(B509,(VLOOKUP(C509,CATALOGOS!$F$2:$H$6,3,FALSE)),(VLOOKUP(V509,CATALOGOS!$J$2:$K$18,2,FALSE)),""-"",TO_TEXT(A509))"),"P13SO-0508")</f>
        <v>P13SO-0508</v>
      </c>
      <c r="H509" s="6" t="str">
        <f ca="1">IFERROR(__xludf.DUMMYFUNCTION("CONCATENATE($B509,(VLOOKUP($C509,CATALOGOS!$F$2:$H$6,3,FALSE)),(VLOOKUP($V509,CATALOGOS!$J$2:$K$18,2,FALSE)),""-"",TO_TEXT($A509))"),"P13SO-0508")</f>
        <v>P13SO-0508</v>
      </c>
      <c r="I509" s="6"/>
      <c r="J509" s="6" t="s">
        <v>3597</v>
      </c>
      <c r="K509" s="6" t="s">
        <v>3598</v>
      </c>
      <c r="L509" s="6" t="s">
        <v>3599</v>
      </c>
      <c r="M509" s="6" t="s">
        <v>3600</v>
      </c>
      <c r="N509" s="17"/>
      <c r="O509" s="17"/>
      <c r="P509" s="17" t="str">
        <f t="shared" si="3"/>
        <v>OK</v>
      </c>
      <c r="Q509" s="17" t="s">
        <v>35</v>
      </c>
      <c r="R509" s="6" t="s">
        <v>35</v>
      </c>
      <c r="S509" s="17" t="s">
        <v>36</v>
      </c>
      <c r="T509" s="17" t="s">
        <v>3601</v>
      </c>
      <c r="U509" s="173" t="s">
        <v>38</v>
      </c>
      <c r="V509" s="11" t="s">
        <v>868</v>
      </c>
      <c r="W509" s="20" t="s">
        <v>3450</v>
      </c>
      <c r="X509" s="22" t="s">
        <v>3451</v>
      </c>
      <c r="Y509" s="22"/>
      <c r="Z509" s="7"/>
      <c r="AA509" s="7"/>
      <c r="AB509" s="23"/>
      <c r="AC509" s="26"/>
    </row>
    <row r="510" spans="1:30" ht="15.75" customHeight="1">
      <c r="A510" s="10" t="s">
        <v>3602</v>
      </c>
      <c r="B510" s="10" t="s">
        <v>1469</v>
      </c>
      <c r="C510" s="52" t="s">
        <v>868</v>
      </c>
      <c r="D510" s="12"/>
      <c r="E510" s="13" t="s">
        <v>29</v>
      </c>
      <c r="F510" s="6" t="s">
        <v>3603</v>
      </c>
      <c r="G510" s="6" t="str">
        <f ca="1">IFERROR(__xludf.DUMMYFUNCTION("CONCATENATE(B510,(VLOOKUP(C510,CATALOGOS!$F$2:$H$6,3,FALSE)),(VLOOKUP(V510,CATALOGOS!$J$2:$K$18,2,FALSE)),""-"",TO_TEXT(A510))"),"P13SO-0509")</f>
        <v>P13SO-0509</v>
      </c>
      <c r="H510" s="6" t="str">
        <f ca="1">IFERROR(__xludf.DUMMYFUNCTION("CONCATENATE($B510,(VLOOKUP($C510,CATALOGOS!$F$2:$H$6,3,FALSE)),(VLOOKUP($V510,CATALOGOS!$J$2:$K$18,2,FALSE)),""-"",TO_TEXT($A510))"),"P13SO-0509")</f>
        <v>P13SO-0509</v>
      </c>
      <c r="I510" s="6"/>
      <c r="J510" s="6" t="s">
        <v>3604</v>
      </c>
      <c r="K510" s="6" t="s">
        <v>3605</v>
      </c>
      <c r="L510" s="6" t="s">
        <v>3606</v>
      </c>
      <c r="M510" s="6" t="s">
        <v>3607</v>
      </c>
      <c r="N510" s="17"/>
      <c r="O510" s="17"/>
      <c r="P510" s="17" t="str">
        <f t="shared" si="3"/>
        <v>OK</v>
      </c>
      <c r="Q510" s="17" t="s">
        <v>35</v>
      </c>
      <c r="R510" s="6" t="s">
        <v>35</v>
      </c>
      <c r="S510" s="17" t="s">
        <v>36</v>
      </c>
      <c r="T510" s="17" t="s">
        <v>3608</v>
      </c>
      <c r="U510" s="173" t="s">
        <v>38</v>
      </c>
      <c r="V510" s="11" t="s">
        <v>868</v>
      </c>
      <c r="W510" s="20" t="s">
        <v>3450</v>
      </c>
      <c r="X510" s="22" t="s">
        <v>3451</v>
      </c>
      <c r="Y510" s="22"/>
      <c r="Z510" s="7"/>
      <c r="AA510" s="7"/>
      <c r="AB510" s="23"/>
      <c r="AC510" s="26"/>
    </row>
    <row r="511" spans="1:30" ht="15.75" customHeight="1">
      <c r="A511" s="10" t="s">
        <v>3609</v>
      </c>
      <c r="B511" s="10" t="s">
        <v>1469</v>
      </c>
      <c r="C511" s="52" t="s">
        <v>868</v>
      </c>
      <c r="D511" s="12"/>
      <c r="E511" s="13" t="s">
        <v>378</v>
      </c>
      <c r="F511" s="6" t="s">
        <v>3610</v>
      </c>
      <c r="G511" s="6" t="str">
        <f ca="1">IFERROR(__xludf.DUMMYFUNCTION("CONCATENATE(B511,(VLOOKUP(C511,CATALOGOS!$F$2:$H$6,3,FALSE)),(VLOOKUP(V511,CATALOGOS!$J$2:$K$18,2,FALSE)),""-"",TO_TEXT(A511))"),"P13SO-0510")</f>
        <v>P13SO-0510</v>
      </c>
      <c r="H511" s="6" t="str">
        <f ca="1">IFERROR(__xludf.DUMMYFUNCTION("CONCATENATE($B511,(VLOOKUP($C511,CATALOGOS!$F$2:$H$6,3,FALSE)),(VLOOKUP($V511,CATALOGOS!$J$2:$K$18,2,FALSE)),""-"",TO_TEXT($A511))"),"P13SO-0510")</f>
        <v>P13SO-0510</v>
      </c>
      <c r="I511" s="6"/>
      <c r="J511" s="6" t="s">
        <v>3611</v>
      </c>
      <c r="K511" s="6" t="s">
        <v>3612</v>
      </c>
      <c r="L511" s="6" t="s">
        <v>3613</v>
      </c>
      <c r="M511" s="6" t="s">
        <v>3614</v>
      </c>
      <c r="N511" s="17"/>
      <c r="O511" s="17"/>
      <c r="P511" s="17" t="str">
        <f t="shared" si="3"/>
        <v>OK</v>
      </c>
      <c r="Q511" s="17" t="s">
        <v>35</v>
      </c>
      <c r="R511" s="6" t="s">
        <v>35</v>
      </c>
      <c r="S511" s="17" t="s">
        <v>36</v>
      </c>
      <c r="T511" s="17" t="s">
        <v>3615</v>
      </c>
      <c r="U511" s="173" t="s">
        <v>38</v>
      </c>
      <c r="V511" s="11" t="s">
        <v>868</v>
      </c>
      <c r="W511" s="20" t="s">
        <v>3450</v>
      </c>
      <c r="X511" s="22" t="s">
        <v>3451</v>
      </c>
      <c r="Y511" s="22"/>
      <c r="Z511" s="7"/>
      <c r="AA511" s="7"/>
      <c r="AB511" s="23"/>
      <c r="AC511" s="26"/>
    </row>
    <row r="512" spans="1:30" ht="15.75" customHeight="1">
      <c r="A512" s="10" t="s">
        <v>3616</v>
      </c>
      <c r="B512" s="10" t="s">
        <v>1469</v>
      </c>
      <c r="C512" s="52" t="s">
        <v>868</v>
      </c>
      <c r="D512" s="38"/>
      <c r="E512" s="13" t="s">
        <v>501</v>
      </c>
      <c r="F512" s="6" t="s">
        <v>3617</v>
      </c>
      <c r="G512" s="6" t="str">
        <f ca="1">IFERROR(__xludf.DUMMYFUNCTION("CONCATENATE(B512,(VLOOKUP(C512,CATALOGOS!$F$2:$H$6,3,FALSE)),(VLOOKUP(V512,CATALOGOS!$J$2:$K$18,2,FALSE)),""-"",TO_TEXT(A512))"),"P13SO-0511")</f>
        <v>P13SO-0511</v>
      </c>
      <c r="H512" s="6" t="str">
        <f ca="1">IFERROR(__xludf.DUMMYFUNCTION("CONCATENATE($B512,(VLOOKUP($C512,CATALOGOS!$F$2:$H$6,3,FALSE)),(VLOOKUP($V512,CATALOGOS!$J$2:$K$18,2,FALSE)),""-"",TO_TEXT($A512))"),"P13SO-0511")</f>
        <v>P13SO-0511</v>
      </c>
      <c r="I512" s="6"/>
      <c r="J512" s="6" t="s">
        <v>3618</v>
      </c>
      <c r="K512" s="6" t="s">
        <v>3619</v>
      </c>
      <c r="L512" s="6" t="s">
        <v>3620</v>
      </c>
      <c r="M512" s="6" t="s">
        <v>3621</v>
      </c>
      <c r="N512" s="17"/>
      <c r="O512" s="17"/>
      <c r="P512" s="17" t="str">
        <f t="shared" si="3"/>
        <v>OK</v>
      </c>
      <c r="Q512" s="17" t="s">
        <v>35</v>
      </c>
      <c r="R512" s="6" t="s">
        <v>35</v>
      </c>
      <c r="S512" s="46" t="s">
        <v>36</v>
      </c>
      <c r="T512" s="17" t="s">
        <v>3622</v>
      </c>
      <c r="U512" s="173" t="s">
        <v>38</v>
      </c>
      <c r="V512" s="11" t="s">
        <v>868</v>
      </c>
      <c r="W512" s="20" t="s">
        <v>3450</v>
      </c>
      <c r="X512" s="32" t="s">
        <v>3451</v>
      </c>
      <c r="Y512" s="32"/>
      <c r="Z512" s="7"/>
      <c r="AA512" s="7"/>
      <c r="AB512" s="26"/>
      <c r="AC512" s="26"/>
    </row>
    <row r="513" spans="1:29" ht="15.75" customHeight="1">
      <c r="A513" s="10" t="s">
        <v>3623</v>
      </c>
      <c r="B513" s="10" t="s">
        <v>1469</v>
      </c>
      <c r="C513" s="52" t="s">
        <v>868</v>
      </c>
      <c r="D513" s="12"/>
      <c r="E513" s="13" t="s">
        <v>501</v>
      </c>
      <c r="F513" s="6" t="s">
        <v>3624</v>
      </c>
      <c r="G513" s="6" t="str">
        <f ca="1">IFERROR(__xludf.DUMMYFUNCTION("CONCATENATE(B513,(VLOOKUP(C513,CATALOGOS!$F$2:$H$6,3,FALSE)),(VLOOKUP(V513,CATALOGOS!$J$2:$K$18,2,FALSE)),""-"",TO_TEXT(A513))"),"P13SO-0512")</f>
        <v>P13SO-0512</v>
      </c>
      <c r="H513" s="6" t="str">
        <f ca="1">IFERROR(__xludf.DUMMYFUNCTION("CONCATENATE($B513,(VLOOKUP($C513,CATALOGOS!$F$2:$H$6,3,FALSE)),(VLOOKUP($V513,CATALOGOS!$J$2:$K$18,2,FALSE)),""-"",TO_TEXT($A513))"),"P13SO-0512")</f>
        <v>P13SO-0512</v>
      </c>
      <c r="I513" s="6"/>
      <c r="J513" s="6" t="s">
        <v>3625</v>
      </c>
      <c r="K513" s="6" t="s">
        <v>3626</v>
      </c>
      <c r="L513" s="6" t="s">
        <v>3627</v>
      </c>
      <c r="M513" s="6" t="s">
        <v>3628</v>
      </c>
      <c r="N513" s="17"/>
      <c r="O513" s="17"/>
      <c r="P513" s="17" t="str">
        <f t="shared" si="3"/>
        <v>OK</v>
      </c>
      <c r="Q513" s="17" t="s">
        <v>35</v>
      </c>
      <c r="R513" s="6" t="s">
        <v>35</v>
      </c>
      <c r="S513" s="17" t="s">
        <v>36</v>
      </c>
      <c r="T513" s="17" t="s">
        <v>3629</v>
      </c>
      <c r="U513" s="173" t="s">
        <v>38</v>
      </c>
      <c r="V513" s="11" t="s">
        <v>868</v>
      </c>
      <c r="W513" s="20" t="s">
        <v>3450</v>
      </c>
      <c r="X513" s="22" t="s">
        <v>3451</v>
      </c>
      <c r="Y513" s="22"/>
      <c r="Z513" s="7"/>
      <c r="AA513" s="7"/>
      <c r="AB513" s="23"/>
      <c r="AC513" s="26"/>
    </row>
    <row r="514" spans="1:29" ht="15.75" customHeight="1">
      <c r="A514" s="10" t="s">
        <v>3630</v>
      </c>
      <c r="B514" s="10" t="s">
        <v>1469</v>
      </c>
      <c r="C514" s="52" t="s">
        <v>868</v>
      </c>
      <c r="D514" s="12"/>
      <c r="E514" s="13" t="s">
        <v>2060</v>
      </c>
      <c r="F514" s="6" t="s">
        <v>3631</v>
      </c>
      <c r="G514" s="6" t="str">
        <f ca="1">IFERROR(__xludf.DUMMYFUNCTION("CONCATENATE(B514,(VLOOKUP(C514,CATALOGOS!$F$2:$H$6,3,FALSE)),(VLOOKUP(V514,CATALOGOS!$J$2:$K$18,2,FALSE)),""-"",TO_TEXT(A514))"),"P13SO-0513")</f>
        <v>P13SO-0513</v>
      </c>
      <c r="H514" s="6" t="str">
        <f ca="1">IFERROR(__xludf.DUMMYFUNCTION("CONCATENATE($B514,(VLOOKUP($C514,CATALOGOS!$F$2:$H$6,3,FALSE)),(VLOOKUP($V514,CATALOGOS!$J$2:$K$18,2,FALSE)),""-"",TO_TEXT($A514))"),"P13SO-0513")</f>
        <v>P13SO-0513</v>
      </c>
      <c r="I514" s="6"/>
      <c r="J514" s="6" t="s">
        <v>3632</v>
      </c>
      <c r="K514" s="6" t="s">
        <v>3633</v>
      </c>
      <c r="L514" s="6" t="s">
        <v>3634</v>
      </c>
      <c r="M514" s="43" t="s">
        <v>3635</v>
      </c>
      <c r="N514" s="17"/>
      <c r="O514" s="17"/>
      <c r="P514" s="17" t="str">
        <f t="shared" si="3"/>
        <v>OK</v>
      </c>
      <c r="Q514" s="17" t="s">
        <v>35</v>
      </c>
      <c r="R514" s="6" t="s">
        <v>35</v>
      </c>
      <c r="S514" s="17" t="s">
        <v>36</v>
      </c>
      <c r="T514" s="17" t="s">
        <v>3636</v>
      </c>
      <c r="U514" s="173" t="s">
        <v>38</v>
      </c>
      <c r="V514" s="11" t="s">
        <v>868</v>
      </c>
      <c r="W514" s="20" t="s">
        <v>3450</v>
      </c>
      <c r="X514" s="22" t="s">
        <v>3451</v>
      </c>
      <c r="Y514" s="22"/>
      <c r="Z514" s="7"/>
      <c r="AA514" s="7"/>
      <c r="AB514" s="23"/>
      <c r="AC514" s="26"/>
    </row>
    <row r="515" spans="1:29" ht="15.75" customHeight="1">
      <c r="A515" s="10" t="s">
        <v>3637</v>
      </c>
      <c r="B515" s="10" t="s">
        <v>1469</v>
      </c>
      <c r="C515" s="52" t="s">
        <v>868</v>
      </c>
      <c r="D515" s="12"/>
      <c r="E515" s="13" t="s">
        <v>501</v>
      </c>
      <c r="F515" s="43" t="s">
        <v>3269</v>
      </c>
      <c r="G515" s="6" t="str">
        <f ca="1">IFERROR(__xludf.DUMMYFUNCTION("CONCATENATE(B515,(VLOOKUP(C515,CATALOGOS!$F$2:$H$6,3,FALSE)),(VLOOKUP(V515,CATALOGOS!$J$2:$K$18,2,FALSE)),""-"",TO_TEXT(A515))"),"P13SO-0514")</f>
        <v>P13SO-0514</v>
      </c>
      <c r="H515" s="6" t="str">
        <f ca="1">IFERROR(__xludf.DUMMYFUNCTION("CONCATENATE($B515,(VLOOKUP($C515,CATALOGOS!$F$2:$H$6,3,FALSE)),(VLOOKUP($V515,CATALOGOS!$J$2:$K$18,2,FALSE)),""-"",TO_TEXT($A515))"),"P13SO-0514")</f>
        <v>P13SO-0514</v>
      </c>
      <c r="I515" s="6"/>
      <c r="J515" s="6" t="s">
        <v>3638</v>
      </c>
      <c r="K515" s="6" t="s">
        <v>3639</v>
      </c>
      <c r="L515" s="6" t="s">
        <v>3640</v>
      </c>
      <c r="M515" s="6" t="s">
        <v>3641</v>
      </c>
      <c r="N515" s="17"/>
      <c r="O515" s="17"/>
      <c r="P515" s="17" t="str">
        <f t="shared" si="3"/>
        <v>OK</v>
      </c>
      <c r="Q515" s="17" t="s">
        <v>35</v>
      </c>
      <c r="R515" s="6" t="s">
        <v>35</v>
      </c>
      <c r="S515" s="17" t="s">
        <v>36</v>
      </c>
      <c r="T515" s="17" t="s">
        <v>3642</v>
      </c>
      <c r="U515" s="173" t="s">
        <v>38</v>
      </c>
      <c r="V515" s="11" t="s">
        <v>868</v>
      </c>
      <c r="W515" s="20" t="s">
        <v>3450</v>
      </c>
      <c r="X515" s="22" t="s">
        <v>3451</v>
      </c>
      <c r="Y515" s="22"/>
      <c r="Z515" s="7"/>
      <c r="AA515" s="7"/>
      <c r="AB515" s="23"/>
      <c r="AC515" s="26"/>
    </row>
    <row r="516" spans="1:29" ht="15.75" customHeight="1">
      <c r="A516" s="10" t="s">
        <v>3643</v>
      </c>
      <c r="B516" s="10" t="s">
        <v>1469</v>
      </c>
      <c r="C516" s="52" t="s">
        <v>868</v>
      </c>
      <c r="D516" s="12"/>
      <c r="E516" s="13" t="s">
        <v>2060</v>
      </c>
      <c r="F516" s="6" t="s">
        <v>3631</v>
      </c>
      <c r="G516" s="6" t="str">
        <f ca="1">IFERROR(__xludf.DUMMYFUNCTION("CONCATENATE(B516,(VLOOKUP(C516,CATALOGOS!$F$2:$H$6,3,FALSE)),(VLOOKUP(V516,CATALOGOS!$J$2:$K$18,2,FALSE)),""-"",TO_TEXT(A516))"),"P13SO-0515")</f>
        <v>P13SO-0515</v>
      </c>
      <c r="H516" s="6" t="str">
        <f ca="1">IFERROR(__xludf.DUMMYFUNCTION("CONCATENATE($B516,(VLOOKUP($C516,CATALOGOS!$F$2:$H$6,3,FALSE)),(VLOOKUP($V516,CATALOGOS!$J$2:$K$18,2,FALSE)),""-"",TO_TEXT($A516))"),"P13SO-0515")</f>
        <v>P13SO-0515</v>
      </c>
      <c r="I516" s="6"/>
      <c r="J516" s="6" t="s">
        <v>3644</v>
      </c>
      <c r="K516" s="6" t="s">
        <v>3645</v>
      </c>
      <c r="L516" s="6" t="s">
        <v>3646</v>
      </c>
      <c r="M516" s="6" t="s">
        <v>3647</v>
      </c>
      <c r="N516" s="17"/>
      <c r="O516" s="17"/>
      <c r="P516" s="17" t="str">
        <f t="shared" si="3"/>
        <v>OK</v>
      </c>
      <c r="Q516" s="17" t="s">
        <v>35</v>
      </c>
      <c r="R516" s="6" t="s">
        <v>35</v>
      </c>
      <c r="S516" s="17" t="s">
        <v>36</v>
      </c>
      <c r="T516" s="17" t="s">
        <v>3648</v>
      </c>
      <c r="U516" s="173" t="s">
        <v>38</v>
      </c>
      <c r="V516" s="11" t="s">
        <v>868</v>
      </c>
      <c r="W516" s="20" t="s">
        <v>3450</v>
      </c>
      <c r="X516" s="22" t="s">
        <v>3451</v>
      </c>
      <c r="Y516" s="22"/>
      <c r="Z516" s="7"/>
      <c r="AA516" s="7"/>
      <c r="AB516" s="23"/>
      <c r="AC516" s="26"/>
    </row>
    <row r="517" spans="1:29" ht="15.75" customHeight="1">
      <c r="A517" s="10" t="s">
        <v>3649</v>
      </c>
      <c r="B517" s="10" t="s">
        <v>1469</v>
      </c>
      <c r="C517" s="52" t="s">
        <v>868</v>
      </c>
      <c r="D517" s="12"/>
      <c r="E517" s="13" t="s">
        <v>501</v>
      </c>
      <c r="F517" s="43" t="s">
        <v>3269</v>
      </c>
      <c r="G517" s="6" t="str">
        <f ca="1">IFERROR(__xludf.DUMMYFUNCTION("CONCATENATE(B517,(VLOOKUP(C517,CATALOGOS!$F$2:$H$6,3,FALSE)),(VLOOKUP(V517,CATALOGOS!$J$2:$K$18,2,FALSE)),""-"",TO_TEXT(A517))"),"P13SO-0516")</f>
        <v>P13SO-0516</v>
      </c>
      <c r="H517" s="6" t="str">
        <f ca="1">IFERROR(__xludf.DUMMYFUNCTION("CONCATENATE($B517,(VLOOKUP($C517,CATALOGOS!$F$2:$H$6,3,FALSE)),(VLOOKUP($V517,CATALOGOS!$J$2:$K$18,2,FALSE)),""-"",TO_TEXT($A517))"),"P13SO-0516")</f>
        <v>P13SO-0516</v>
      </c>
      <c r="I517" s="6"/>
      <c r="J517" s="6" t="s">
        <v>3650</v>
      </c>
      <c r="K517" s="6" t="s">
        <v>3651</v>
      </c>
      <c r="L517" s="6" t="s">
        <v>3652</v>
      </c>
      <c r="M517" s="6" t="s">
        <v>3653</v>
      </c>
      <c r="N517" s="17"/>
      <c r="O517" s="17"/>
      <c r="P517" s="17" t="str">
        <f t="shared" si="3"/>
        <v>OK</v>
      </c>
      <c r="Q517" s="17" t="s">
        <v>35</v>
      </c>
      <c r="R517" s="6" t="s">
        <v>35</v>
      </c>
      <c r="S517" s="17" t="s">
        <v>36</v>
      </c>
      <c r="T517" s="17" t="s">
        <v>3654</v>
      </c>
      <c r="U517" s="173" t="s">
        <v>38</v>
      </c>
      <c r="V517" s="11" t="s">
        <v>868</v>
      </c>
      <c r="W517" s="20" t="s">
        <v>3450</v>
      </c>
      <c r="X517" s="22" t="s">
        <v>3451</v>
      </c>
      <c r="Y517" s="22"/>
      <c r="Z517" s="7"/>
      <c r="AA517" s="7"/>
      <c r="AB517" s="23"/>
      <c r="AC517" s="26"/>
    </row>
    <row r="518" spans="1:29" ht="15.75" customHeight="1">
      <c r="A518" s="10" t="s">
        <v>3655</v>
      </c>
      <c r="B518" s="10" t="s">
        <v>1469</v>
      </c>
      <c r="C518" s="52" t="s">
        <v>868</v>
      </c>
      <c r="D518" s="12"/>
      <c r="E518" s="13" t="s">
        <v>2060</v>
      </c>
      <c r="F518" s="6" t="s">
        <v>3631</v>
      </c>
      <c r="G518" s="6" t="str">
        <f ca="1">IFERROR(__xludf.DUMMYFUNCTION("CONCATENATE(B518,(VLOOKUP(C518,CATALOGOS!$F$2:$H$6,3,FALSE)),(VLOOKUP(V518,CATALOGOS!$J$2:$K$18,2,FALSE)),""-"",TO_TEXT(A518))"),"P13SO-0517")</f>
        <v>P13SO-0517</v>
      </c>
      <c r="H518" s="6" t="str">
        <f ca="1">IFERROR(__xludf.DUMMYFUNCTION("CONCATENATE($B518,(VLOOKUP($C518,CATALOGOS!$F$2:$H$6,3,FALSE)),(VLOOKUP($V518,CATALOGOS!$J$2:$K$18,2,FALSE)),""-"",TO_TEXT($A518))"),"P13SO-0517")</f>
        <v>P13SO-0517</v>
      </c>
      <c r="I518" s="6"/>
      <c r="J518" s="6" t="s">
        <v>3656</v>
      </c>
      <c r="K518" s="6" t="s">
        <v>3657</v>
      </c>
      <c r="L518" s="6" t="s">
        <v>3658</v>
      </c>
      <c r="M518" s="6" t="s">
        <v>3659</v>
      </c>
      <c r="N518" s="17"/>
      <c r="O518" s="17"/>
      <c r="P518" s="17" t="str">
        <f t="shared" si="3"/>
        <v>OK</v>
      </c>
      <c r="Q518" s="17" t="s">
        <v>35</v>
      </c>
      <c r="R518" s="6" t="s">
        <v>35</v>
      </c>
      <c r="S518" s="6" t="s">
        <v>36</v>
      </c>
      <c r="T518" s="10" t="s">
        <v>3660</v>
      </c>
      <c r="U518" s="173" t="s">
        <v>38</v>
      </c>
      <c r="V518" s="11" t="s">
        <v>868</v>
      </c>
      <c r="W518" s="20" t="s">
        <v>3450</v>
      </c>
      <c r="X518" s="22" t="s">
        <v>3451</v>
      </c>
      <c r="Y518" s="22"/>
      <c r="Z518" s="7"/>
      <c r="AA518" s="7"/>
      <c r="AB518" s="23"/>
      <c r="AC518" s="26"/>
    </row>
    <row r="519" spans="1:29" ht="15.75" customHeight="1">
      <c r="A519" s="10" t="s">
        <v>3661</v>
      </c>
      <c r="B519" s="10" t="s">
        <v>1469</v>
      </c>
      <c r="C519" s="52" t="s">
        <v>868</v>
      </c>
      <c r="D519" s="12"/>
      <c r="E519" s="13" t="s">
        <v>501</v>
      </c>
      <c r="F519" s="43" t="s">
        <v>3285</v>
      </c>
      <c r="G519" s="6" t="str">
        <f ca="1">IFERROR(__xludf.DUMMYFUNCTION("CONCATENATE(B519,(VLOOKUP(C519,CATALOGOS!$F$2:$H$6,3,FALSE)),(VLOOKUP(V519,CATALOGOS!$J$2:$K$18,2,FALSE)),""-"",TO_TEXT(A519))"),"P13SO-0518")</f>
        <v>P13SO-0518</v>
      </c>
      <c r="H519" s="6" t="str">
        <f ca="1">IFERROR(__xludf.DUMMYFUNCTION("CONCATENATE($B519,(VLOOKUP($C519,CATALOGOS!$F$2:$H$6,3,FALSE)),(VLOOKUP($V519,CATALOGOS!$J$2:$K$18,2,FALSE)),""-"",TO_TEXT($A519))"),"P13SO-0518")</f>
        <v>P13SO-0518</v>
      </c>
      <c r="I519" s="6"/>
      <c r="J519" s="6" t="s">
        <v>3662</v>
      </c>
      <c r="K519" s="6" t="s">
        <v>3663</v>
      </c>
      <c r="L519" s="6" t="s">
        <v>3664</v>
      </c>
      <c r="M519" s="6" t="s">
        <v>3665</v>
      </c>
      <c r="N519" s="17"/>
      <c r="O519" s="17"/>
      <c r="P519" s="17" t="str">
        <f t="shared" si="3"/>
        <v>OK</v>
      </c>
      <c r="Q519" s="17" t="s">
        <v>35</v>
      </c>
      <c r="R519" s="6" t="s">
        <v>35</v>
      </c>
      <c r="S519" s="17" t="s">
        <v>36</v>
      </c>
      <c r="T519" s="17" t="s">
        <v>3666</v>
      </c>
      <c r="U519" s="173" t="s">
        <v>38</v>
      </c>
      <c r="V519" s="11" t="s">
        <v>868</v>
      </c>
      <c r="W519" s="20" t="s">
        <v>3450</v>
      </c>
      <c r="X519" s="22" t="s">
        <v>3451</v>
      </c>
      <c r="Y519" s="22"/>
      <c r="Z519" s="7"/>
      <c r="AA519" s="7"/>
      <c r="AB519" s="23"/>
      <c r="AC519" s="26"/>
    </row>
    <row r="520" spans="1:29" ht="15.75" customHeight="1">
      <c r="A520" s="10" t="s">
        <v>3667</v>
      </c>
      <c r="B520" s="10" t="s">
        <v>1469</v>
      </c>
      <c r="C520" s="52" t="s">
        <v>868</v>
      </c>
      <c r="D520" s="12"/>
      <c r="E520" s="13" t="s">
        <v>501</v>
      </c>
      <c r="F520" s="43" t="s">
        <v>3269</v>
      </c>
      <c r="G520" s="6" t="str">
        <f ca="1">IFERROR(__xludf.DUMMYFUNCTION("CONCATENATE(B520,(VLOOKUP(C520,CATALOGOS!$F$2:$H$6,3,FALSE)),(VLOOKUP(V520,CATALOGOS!$J$2:$K$18,2,FALSE)),""-"",TO_TEXT(A520))"),"P13SO-0519")</f>
        <v>P13SO-0519</v>
      </c>
      <c r="H520" s="6" t="str">
        <f ca="1">IFERROR(__xludf.DUMMYFUNCTION("CONCATENATE($B520,(VLOOKUP($C520,CATALOGOS!$F$2:$H$6,3,FALSE)),(VLOOKUP($V520,CATALOGOS!$J$2:$K$18,2,FALSE)),""-"",TO_TEXT($A520))"),"P13SO-0519")</f>
        <v>P13SO-0519</v>
      </c>
      <c r="I520" s="6"/>
      <c r="J520" s="6" t="s">
        <v>3668</v>
      </c>
      <c r="K520" s="6" t="s">
        <v>3669</v>
      </c>
      <c r="L520" s="6" t="s">
        <v>3670</v>
      </c>
      <c r="M520" s="6" t="s">
        <v>3671</v>
      </c>
      <c r="N520" s="17"/>
      <c r="O520" s="17"/>
      <c r="P520" s="17" t="str">
        <f t="shared" si="3"/>
        <v>OK</v>
      </c>
      <c r="Q520" s="17" t="s">
        <v>35</v>
      </c>
      <c r="R520" s="6" t="s">
        <v>35</v>
      </c>
      <c r="S520" s="17" t="s">
        <v>36</v>
      </c>
      <c r="T520" s="17" t="s">
        <v>3672</v>
      </c>
      <c r="U520" s="173" t="s">
        <v>38</v>
      </c>
      <c r="V520" s="11" t="s">
        <v>868</v>
      </c>
      <c r="W520" s="20" t="s">
        <v>3450</v>
      </c>
      <c r="X520" s="22" t="s">
        <v>3451</v>
      </c>
      <c r="Y520" s="22"/>
      <c r="Z520" s="7"/>
      <c r="AA520" s="7"/>
      <c r="AB520" s="23"/>
      <c r="AC520" s="26"/>
    </row>
    <row r="521" spans="1:29" ht="15.75" customHeight="1">
      <c r="A521" s="10" t="s">
        <v>3673</v>
      </c>
      <c r="B521" s="10" t="s">
        <v>1469</v>
      </c>
      <c r="C521" s="52" t="s">
        <v>868</v>
      </c>
      <c r="D521" s="12"/>
      <c r="E521" s="13" t="s">
        <v>2060</v>
      </c>
      <c r="F521" s="6" t="s">
        <v>3631</v>
      </c>
      <c r="G521" s="6" t="str">
        <f ca="1">IFERROR(__xludf.DUMMYFUNCTION("CONCATENATE(B521,(VLOOKUP(C521,CATALOGOS!$F$2:$H$6,3,FALSE)),(VLOOKUP(V521,CATALOGOS!$J$2:$K$18,2,FALSE)),""-"",TO_TEXT(A521))"),"P13SO-0520")</f>
        <v>P13SO-0520</v>
      </c>
      <c r="H521" s="6" t="str">
        <f ca="1">IFERROR(__xludf.DUMMYFUNCTION("CONCATENATE($B521,(VLOOKUP($C521,CATALOGOS!$F$2:$H$6,3,FALSE)),(VLOOKUP($V521,CATALOGOS!$J$2:$K$18,2,FALSE)),""-"",TO_TEXT($A521))"),"P13SO-0520")</f>
        <v>P13SO-0520</v>
      </c>
      <c r="I521" s="6"/>
      <c r="J521" s="6" t="s">
        <v>3674</v>
      </c>
      <c r="K521" s="6" t="s">
        <v>3675</v>
      </c>
      <c r="L521" s="37"/>
      <c r="M521" s="6" t="s">
        <v>141</v>
      </c>
      <c r="N521" s="17"/>
      <c r="O521" s="17"/>
      <c r="P521" s="17" t="str">
        <f t="shared" si="3"/>
        <v>REPETIDO</v>
      </c>
      <c r="Q521" s="17" t="s">
        <v>35</v>
      </c>
      <c r="R521" s="6" t="s">
        <v>35</v>
      </c>
      <c r="S521" s="6" t="s">
        <v>36</v>
      </c>
      <c r="T521" s="10" t="s">
        <v>85</v>
      </c>
      <c r="U521" s="173" t="s">
        <v>38</v>
      </c>
      <c r="V521" s="11" t="s">
        <v>868</v>
      </c>
      <c r="W521" s="20" t="s">
        <v>3450</v>
      </c>
      <c r="X521" s="22" t="s">
        <v>3451</v>
      </c>
      <c r="Y521" s="22"/>
      <c r="Z521" s="7"/>
      <c r="AA521" s="7"/>
      <c r="AB521" s="23"/>
      <c r="AC521" s="26"/>
    </row>
    <row r="522" spans="1:29" ht="15.75" customHeight="1">
      <c r="A522" s="10" t="s">
        <v>3676</v>
      </c>
      <c r="B522" s="10" t="s">
        <v>1469</v>
      </c>
      <c r="C522" s="52" t="s">
        <v>868</v>
      </c>
      <c r="D522" s="12"/>
      <c r="E522" s="13" t="s">
        <v>501</v>
      </c>
      <c r="F522" s="43" t="s">
        <v>3269</v>
      </c>
      <c r="G522" s="6" t="str">
        <f ca="1">IFERROR(__xludf.DUMMYFUNCTION("CONCATENATE(B522,(VLOOKUP(C522,CATALOGOS!$F$2:$H$6,3,FALSE)),(VLOOKUP(V522,CATALOGOS!$J$2:$K$18,2,FALSE)),""-"",TO_TEXT(A522))"),"P13SO-0521")</f>
        <v>P13SO-0521</v>
      </c>
      <c r="H522" s="6" t="str">
        <f ca="1">IFERROR(__xludf.DUMMYFUNCTION("CONCATENATE($B522,(VLOOKUP($C522,CATALOGOS!$F$2:$H$6,3,FALSE)),(VLOOKUP($V522,CATALOGOS!$J$2:$K$18,2,FALSE)),""-"",TO_TEXT($A522))"),"P13SO-0521")</f>
        <v>P13SO-0521</v>
      </c>
      <c r="I522" s="6"/>
      <c r="J522" s="6" t="s">
        <v>3677</v>
      </c>
      <c r="K522" s="6" t="s">
        <v>3678</v>
      </c>
      <c r="L522" s="6" t="s">
        <v>3679</v>
      </c>
      <c r="M522" s="6" t="s">
        <v>3680</v>
      </c>
      <c r="N522" s="17"/>
      <c r="O522" s="17"/>
      <c r="P522" s="17" t="str">
        <f t="shared" si="3"/>
        <v>OK</v>
      </c>
      <c r="Q522" s="17" t="s">
        <v>35</v>
      </c>
      <c r="R522" s="6" t="s">
        <v>35</v>
      </c>
      <c r="S522" s="17" t="s">
        <v>36</v>
      </c>
      <c r="T522" s="17" t="s">
        <v>3681</v>
      </c>
      <c r="U522" s="173" t="s">
        <v>38</v>
      </c>
      <c r="V522" s="11" t="s">
        <v>868</v>
      </c>
      <c r="W522" s="20" t="s">
        <v>3450</v>
      </c>
      <c r="X522" s="22" t="s">
        <v>3451</v>
      </c>
      <c r="Y522" s="22"/>
      <c r="Z522" s="7"/>
      <c r="AA522" s="7"/>
      <c r="AB522" s="23"/>
      <c r="AC522" s="26"/>
    </row>
    <row r="523" spans="1:29" ht="15.75" customHeight="1">
      <c r="A523" s="10" t="s">
        <v>3682</v>
      </c>
      <c r="B523" s="10" t="s">
        <v>1469</v>
      </c>
      <c r="C523" s="52" t="s">
        <v>868</v>
      </c>
      <c r="D523" s="12"/>
      <c r="E523" s="13" t="s">
        <v>2060</v>
      </c>
      <c r="F523" s="6" t="s">
        <v>3631</v>
      </c>
      <c r="G523" s="6" t="str">
        <f ca="1">IFERROR(__xludf.DUMMYFUNCTION("CONCATENATE(B523,(VLOOKUP(C523,CATALOGOS!$F$2:$H$6,3,FALSE)),(VLOOKUP(V523,CATALOGOS!$J$2:$K$18,2,FALSE)),""-"",TO_TEXT(A523))"),"P13SO-0522")</f>
        <v>P13SO-0522</v>
      </c>
      <c r="H523" s="6" t="str">
        <f ca="1">IFERROR(__xludf.DUMMYFUNCTION("CONCATENATE($B523,(VLOOKUP($C523,CATALOGOS!$F$2:$H$6,3,FALSE)),(VLOOKUP($V523,CATALOGOS!$J$2:$K$18,2,FALSE)),""-"",TO_TEXT($A523))"),"P13SO-0522")</f>
        <v>P13SO-0522</v>
      </c>
      <c r="I523" s="6"/>
      <c r="J523" s="6" t="s">
        <v>3683</v>
      </c>
      <c r="K523" s="6" t="s">
        <v>3684</v>
      </c>
      <c r="L523" s="37"/>
      <c r="M523" s="6" t="s">
        <v>141</v>
      </c>
      <c r="N523" s="17"/>
      <c r="O523" s="17"/>
      <c r="P523" s="17" t="str">
        <f t="shared" si="3"/>
        <v>REPETIDO</v>
      </c>
      <c r="Q523" s="17" t="s">
        <v>35</v>
      </c>
      <c r="R523" s="6" t="s">
        <v>35</v>
      </c>
      <c r="S523" s="6" t="s">
        <v>36</v>
      </c>
      <c r="T523" s="10" t="s">
        <v>85</v>
      </c>
      <c r="U523" s="173" t="s">
        <v>38</v>
      </c>
      <c r="V523" s="11" t="s">
        <v>868</v>
      </c>
      <c r="W523" s="20" t="s">
        <v>3450</v>
      </c>
      <c r="X523" s="22" t="s">
        <v>3451</v>
      </c>
      <c r="Y523" s="22"/>
      <c r="Z523" s="7"/>
      <c r="AA523" s="7"/>
      <c r="AB523" s="23"/>
      <c r="AC523" s="26"/>
    </row>
    <row r="524" spans="1:29" ht="15.75" customHeight="1">
      <c r="A524" s="10" t="s">
        <v>3685</v>
      </c>
      <c r="B524" s="10" t="s">
        <v>1469</v>
      </c>
      <c r="C524" s="52" t="s">
        <v>868</v>
      </c>
      <c r="D524" s="12"/>
      <c r="E524" s="13" t="s">
        <v>501</v>
      </c>
      <c r="F524" s="6" t="s">
        <v>3285</v>
      </c>
      <c r="G524" s="6" t="str">
        <f ca="1">IFERROR(__xludf.DUMMYFUNCTION("CONCATENATE(B524,(VLOOKUP(C524,CATALOGOS!$F$2:$H$6,3,FALSE)),(VLOOKUP(V524,CATALOGOS!$J$2:$K$18,2,FALSE)),""-"",TO_TEXT(A524))"),"P13SO-0523")</f>
        <v>P13SO-0523</v>
      </c>
      <c r="H524" s="6" t="str">
        <f ca="1">IFERROR(__xludf.DUMMYFUNCTION("CONCATENATE($B524,(VLOOKUP($C524,CATALOGOS!$F$2:$H$6,3,FALSE)),(VLOOKUP($V524,CATALOGOS!$J$2:$K$18,2,FALSE)),""-"",TO_TEXT($A524))"),"P13SO-0523")</f>
        <v>P13SO-0523</v>
      </c>
      <c r="I524" s="6"/>
      <c r="J524" s="6" t="s">
        <v>3686</v>
      </c>
      <c r="K524" s="6" t="s">
        <v>3687</v>
      </c>
      <c r="L524" s="6" t="s">
        <v>3688</v>
      </c>
      <c r="M524" s="6" t="s">
        <v>3689</v>
      </c>
      <c r="N524" s="17"/>
      <c r="O524" s="17"/>
      <c r="P524" s="17" t="str">
        <f t="shared" si="3"/>
        <v>OK</v>
      </c>
      <c r="Q524" s="17" t="s">
        <v>35</v>
      </c>
      <c r="R524" s="6" t="s">
        <v>35</v>
      </c>
      <c r="S524" s="17" t="s">
        <v>36</v>
      </c>
      <c r="T524" s="17" t="s">
        <v>3690</v>
      </c>
      <c r="U524" s="173" t="s">
        <v>38</v>
      </c>
      <c r="V524" s="11" t="s">
        <v>868</v>
      </c>
      <c r="W524" s="20" t="s">
        <v>3450</v>
      </c>
      <c r="X524" s="22" t="s">
        <v>3451</v>
      </c>
      <c r="Y524" s="22"/>
      <c r="Z524" s="7"/>
      <c r="AA524" s="7"/>
      <c r="AB524" s="23"/>
      <c r="AC524" s="26"/>
    </row>
    <row r="525" spans="1:29" ht="15.75" customHeight="1">
      <c r="A525" s="10" t="s">
        <v>3691</v>
      </c>
      <c r="B525" s="10" t="s">
        <v>1469</v>
      </c>
      <c r="C525" s="52" t="s">
        <v>868</v>
      </c>
      <c r="D525" s="12"/>
      <c r="E525" s="13" t="s">
        <v>501</v>
      </c>
      <c r="F525" s="6" t="s">
        <v>2046</v>
      </c>
      <c r="G525" s="6" t="str">
        <f ca="1">IFERROR(__xludf.DUMMYFUNCTION("CONCATENATE(B525,(VLOOKUP(C525,CATALOGOS!$F$2:$H$6,3,FALSE)),(VLOOKUP(V525,CATALOGOS!$J$2:$K$18,2,FALSE)),""-"",TO_TEXT(A525))"),"P13SO-0524")</f>
        <v>P13SO-0524</v>
      </c>
      <c r="H525" s="6" t="str">
        <f ca="1">IFERROR(__xludf.DUMMYFUNCTION("CONCATENATE($B525,(VLOOKUP($C525,CATALOGOS!$F$2:$H$6,3,FALSE)),(VLOOKUP($V525,CATALOGOS!$J$2:$K$18,2,FALSE)),""-"",TO_TEXT($A525))"),"P13SO-0524")</f>
        <v>P13SO-0524</v>
      </c>
      <c r="I525" s="6"/>
      <c r="J525" s="6" t="s">
        <v>3692</v>
      </c>
      <c r="K525" s="6" t="s">
        <v>3693</v>
      </c>
      <c r="L525" s="6" t="s">
        <v>3694</v>
      </c>
      <c r="M525" s="6" t="s">
        <v>3695</v>
      </c>
      <c r="N525" s="17"/>
      <c r="O525" s="17"/>
      <c r="P525" s="17" t="str">
        <f t="shared" si="3"/>
        <v>OK</v>
      </c>
      <c r="Q525" s="17" t="s">
        <v>35</v>
      </c>
      <c r="R525" s="6" t="s">
        <v>35</v>
      </c>
      <c r="S525" s="6" t="s">
        <v>36</v>
      </c>
      <c r="T525" s="10" t="s">
        <v>3696</v>
      </c>
      <c r="U525" s="173" t="s">
        <v>38</v>
      </c>
      <c r="V525" s="11" t="s">
        <v>868</v>
      </c>
      <c r="W525" s="20" t="s">
        <v>3450</v>
      </c>
      <c r="X525" s="22" t="s">
        <v>3451</v>
      </c>
      <c r="Y525" s="22"/>
      <c r="Z525" s="7"/>
      <c r="AA525" s="7"/>
      <c r="AB525" s="23"/>
      <c r="AC525" s="26"/>
    </row>
    <row r="526" spans="1:29" ht="15.75" customHeight="1">
      <c r="A526" s="10" t="s">
        <v>3697</v>
      </c>
      <c r="B526" s="10" t="s">
        <v>1469</v>
      </c>
      <c r="C526" s="52" t="s">
        <v>868</v>
      </c>
      <c r="D526" s="12"/>
      <c r="E526" s="13" t="s">
        <v>501</v>
      </c>
      <c r="F526" s="43" t="s">
        <v>3269</v>
      </c>
      <c r="G526" s="6" t="str">
        <f ca="1">IFERROR(__xludf.DUMMYFUNCTION("CONCATENATE(B526,(VLOOKUP(C526,CATALOGOS!$F$2:$H$6,3,FALSE)),(VLOOKUP(V526,CATALOGOS!$J$2:$K$18,2,FALSE)),""-"",TO_TEXT(A526))"),"P13SO-0525")</f>
        <v>P13SO-0525</v>
      </c>
      <c r="H526" s="6" t="str">
        <f ca="1">IFERROR(__xludf.DUMMYFUNCTION("CONCATENATE($B526,(VLOOKUP($C526,CATALOGOS!$F$2:$H$6,3,FALSE)),(VLOOKUP($V526,CATALOGOS!$J$2:$K$18,2,FALSE)),""-"",TO_TEXT($A526))"),"P13SO-0525")</f>
        <v>P13SO-0525</v>
      </c>
      <c r="I526" s="6"/>
      <c r="J526" s="6" t="s">
        <v>3698</v>
      </c>
      <c r="K526" s="6" t="s">
        <v>3699</v>
      </c>
      <c r="L526" s="6" t="s">
        <v>3700</v>
      </c>
      <c r="M526" s="6" t="s">
        <v>3701</v>
      </c>
      <c r="N526" s="17"/>
      <c r="O526" s="17"/>
      <c r="P526" s="17" t="str">
        <f t="shared" si="3"/>
        <v>OK</v>
      </c>
      <c r="Q526" s="17" t="s">
        <v>35</v>
      </c>
      <c r="R526" s="6" t="s">
        <v>35</v>
      </c>
      <c r="S526" s="17" t="s">
        <v>36</v>
      </c>
      <c r="T526" s="17" t="s">
        <v>3702</v>
      </c>
      <c r="U526" s="173" t="s">
        <v>38</v>
      </c>
      <c r="V526" s="11" t="s">
        <v>868</v>
      </c>
      <c r="W526" s="20" t="s">
        <v>3450</v>
      </c>
      <c r="X526" s="22" t="s">
        <v>3451</v>
      </c>
      <c r="Y526" s="22"/>
      <c r="Z526" s="7"/>
      <c r="AA526" s="7"/>
      <c r="AB526" s="23"/>
      <c r="AC526" s="26"/>
    </row>
    <row r="527" spans="1:29" ht="15.75" customHeight="1">
      <c r="A527" s="10" t="s">
        <v>3703</v>
      </c>
      <c r="B527" s="10" t="s">
        <v>1469</v>
      </c>
      <c r="C527" s="52" t="s">
        <v>868</v>
      </c>
      <c r="D527" s="12"/>
      <c r="E527" s="13" t="s">
        <v>62</v>
      </c>
      <c r="F527" s="6" t="s">
        <v>3262</v>
      </c>
      <c r="G527" s="6" t="str">
        <f ca="1">IFERROR(__xludf.DUMMYFUNCTION("CONCATENATE(B527,(VLOOKUP(C527,CATALOGOS!$F$2:$H$6,3,FALSE)),(VLOOKUP(V527,CATALOGOS!$J$2:$K$18,2,FALSE)),""-"",TO_TEXT(A527))"),"P13SO-0526")</f>
        <v>P13SO-0526</v>
      </c>
      <c r="H527" s="6" t="str">
        <f ca="1">IFERROR(__xludf.DUMMYFUNCTION("CONCATENATE($B527,(VLOOKUP($C527,CATALOGOS!$F$2:$H$6,3,FALSE)),(VLOOKUP($V527,CATALOGOS!$J$2:$K$18,2,FALSE)),""-"",TO_TEXT($A527))"),"P13SO-0526")</f>
        <v>P13SO-0526</v>
      </c>
      <c r="I527" s="6"/>
      <c r="J527" s="6" t="s">
        <v>3704</v>
      </c>
      <c r="K527" s="6" t="s">
        <v>3705</v>
      </c>
      <c r="L527" s="6" t="s">
        <v>3706</v>
      </c>
      <c r="M527" s="6" t="s">
        <v>3707</v>
      </c>
      <c r="N527" s="17"/>
      <c r="O527" s="17"/>
      <c r="P527" s="17" t="str">
        <f t="shared" si="3"/>
        <v>OK</v>
      </c>
      <c r="Q527" s="17" t="s">
        <v>35</v>
      </c>
      <c r="R527" s="6" t="s">
        <v>35</v>
      </c>
      <c r="S527" s="17" t="s">
        <v>36</v>
      </c>
      <c r="T527" s="17" t="s">
        <v>3708</v>
      </c>
      <c r="U527" s="173" t="s">
        <v>38</v>
      </c>
      <c r="V527" s="11" t="s">
        <v>868</v>
      </c>
      <c r="W527" s="20" t="s">
        <v>3450</v>
      </c>
      <c r="X527" s="22" t="s">
        <v>3451</v>
      </c>
      <c r="Y527" s="22"/>
      <c r="Z527" s="71"/>
      <c r="AA527" s="71"/>
      <c r="AB527" s="23"/>
      <c r="AC527" s="26"/>
    </row>
    <row r="528" spans="1:29" ht="15.75" customHeight="1">
      <c r="A528" s="10" t="s">
        <v>3709</v>
      </c>
      <c r="B528" s="10" t="s">
        <v>1469</v>
      </c>
      <c r="C528" s="52" t="s">
        <v>868</v>
      </c>
      <c r="D528" s="38"/>
      <c r="E528" s="13" t="s">
        <v>93</v>
      </c>
      <c r="F528" s="6" t="s">
        <v>3710</v>
      </c>
      <c r="G528" s="6" t="str">
        <f ca="1">IFERROR(__xludf.DUMMYFUNCTION("CONCATENATE(B528,(VLOOKUP(C528,CATALOGOS!$F$2:$H$6,3,FALSE)),(VLOOKUP(V528,CATALOGOS!$J$2:$K$18,2,FALSE)),""-"",TO_TEXT(A528))"),"P13SO-0527")</f>
        <v>P13SO-0527</v>
      </c>
      <c r="H528" s="6" t="str">
        <f ca="1">IFERROR(__xludf.DUMMYFUNCTION("CONCATENATE($B528,(VLOOKUP($C528,CATALOGOS!$F$2:$H$6,3,FALSE)),(VLOOKUP($V528,CATALOGOS!$J$2:$K$18,2,FALSE)),""-"",TO_TEXT($A528))"),"P13SO-0527")</f>
        <v>P13SO-0527</v>
      </c>
      <c r="I528" s="6"/>
      <c r="J528" s="6" t="s">
        <v>3711</v>
      </c>
      <c r="K528" s="6" t="s">
        <v>3712</v>
      </c>
      <c r="L528" s="6" t="s">
        <v>3713</v>
      </c>
      <c r="M528" s="6" t="s">
        <v>3714</v>
      </c>
      <c r="N528" s="17"/>
      <c r="O528" s="17"/>
      <c r="P528" s="17" t="str">
        <f t="shared" si="3"/>
        <v>OK</v>
      </c>
      <c r="Q528" s="17" t="s">
        <v>35</v>
      </c>
      <c r="R528" s="6" t="s">
        <v>35</v>
      </c>
      <c r="S528" s="46" t="s">
        <v>36</v>
      </c>
      <c r="T528" s="17" t="s">
        <v>3715</v>
      </c>
      <c r="U528" s="173" t="s">
        <v>38</v>
      </c>
      <c r="V528" s="11" t="s">
        <v>868</v>
      </c>
      <c r="W528" s="20" t="s">
        <v>3450</v>
      </c>
      <c r="X528" s="32" t="s">
        <v>3451</v>
      </c>
      <c r="Y528" s="32"/>
      <c r="Z528" s="7"/>
      <c r="AA528" s="7"/>
      <c r="AB528" s="26"/>
      <c r="AC528" s="26"/>
    </row>
    <row r="529" spans="1:29" ht="15.75" customHeight="1">
      <c r="A529" s="10" t="s">
        <v>3717</v>
      </c>
      <c r="B529" s="10" t="s">
        <v>1469</v>
      </c>
      <c r="C529" s="52" t="s">
        <v>868</v>
      </c>
      <c r="D529" s="12"/>
      <c r="E529" s="13" t="s">
        <v>242</v>
      </c>
      <c r="F529" s="6" t="s">
        <v>3718</v>
      </c>
      <c r="G529" s="15" t="str">
        <f ca="1">IFERROR(__xludf.DUMMYFUNCTION("CONCATENATE(B529,(VLOOKUP(C529,CATALOGOS!$F$2:$H$6,3,FALSE)),(VLOOKUP(V529,CATALOGOS!$J$2:$K$18,2,FALSE)),""-"",TO_TEXT(A529))"),"P13SO-0528")</f>
        <v>P13SO-0528</v>
      </c>
      <c r="H529" s="6" t="str">
        <f ca="1">IFERROR(__xludf.DUMMYFUNCTION("CONCATENATE($B529,(VLOOKUP($C529,CATALOGOS!$F$2:$H$6,3,FALSE)),(VLOOKUP($V529,CATALOGOS!$J$2:$K$18,2,FALSE)),""-"",TO_TEXT($A529))"),"P13SO-0528")</f>
        <v>P13SO-0528</v>
      </c>
      <c r="I529" s="6"/>
      <c r="J529" s="6" t="s">
        <v>3719</v>
      </c>
      <c r="K529" s="6" t="s">
        <v>3720</v>
      </c>
      <c r="L529" s="37"/>
      <c r="M529" s="6" t="s">
        <v>141</v>
      </c>
      <c r="N529" s="17"/>
      <c r="O529" s="17"/>
      <c r="P529" s="17" t="str">
        <f t="shared" si="3"/>
        <v>REPETIDO</v>
      </c>
      <c r="Q529" s="17" t="s">
        <v>856</v>
      </c>
      <c r="R529" s="6" t="s">
        <v>3721</v>
      </c>
      <c r="S529" s="6" t="s">
        <v>36</v>
      </c>
      <c r="T529" s="10" t="s">
        <v>85</v>
      </c>
      <c r="U529" s="173" t="s">
        <v>38</v>
      </c>
      <c r="V529" s="11" t="s">
        <v>868</v>
      </c>
      <c r="W529" s="22" t="s">
        <v>1665</v>
      </c>
      <c r="X529" s="22" t="s">
        <v>1665</v>
      </c>
      <c r="Y529" s="22"/>
      <c r="Z529" s="7"/>
      <c r="AA529" s="7"/>
      <c r="AB529" s="23"/>
      <c r="AC529" s="26"/>
    </row>
    <row r="530" spans="1:29" ht="15.75" customHeight="1">
      <c r="A530" s="10" t="s">
        <v>3722</v>
      </c>
      <c r="B530" s="10" t="s">
        <v>1469</v>
      </c>
      <c r="C530" s="52" t="s">
        <v>868</v>
      </c>
      <c r="D530" s="12"/>
      <c r="E530" s="13" t="s">
        <v>116</v>
      </c>
      <c r="F530" s="6" t="s">
        <v>3723</v>
      </c>
      <c r="G530" s="15" t="str">
        <f ca="1">IFERROR(__xludf.DUMMYFUNCTION("CONCATENATE(B530,(VLOOKUP(C530,CATALOGOS!$F$2:$H$6,3,FALSE)),(VLOOKUP(V530,CATALOGOS!$J$2:$K$18,2,FALSE)),""-"",TO_TEXT(A530))"),"P13SO-0529")</f>
        <v>P13SO-0529</v>
      </c>
      <c r="H530" s="6" t="str">
        <f ca="1">IFERROR(__xludf.DUMMYFUNCTION("CONCATENATE($B530,(VLOOKUP($C530,CATALOGOS!$F$2:$H$6,3,FALSE)),(VLOOKUP($V530,CATALOGOS!$J$2:$K$18,2,FALSE)),""-"",TO_TEXT($A530))"),"P13SO-0529")</f>
        <v>P13SO-0529</v>
      </c>
      <c r="I530" s="6"/>
      <c r="J530" s="6" t="s">
        <v>3724</v>
      </c>
      <c r="K530" s="6" t="s">
        <v>3725</v>
      </c>
      <c r="L530" s="6" t="s">
        <v>3726</v>
      </c>
      <c r="M530" s="6" t="s">
        <v>3727</v>
      </c>
      <c r="N530" s="17"/>
      <c r="O530" s="17"/>
      <c r="P530" s="17" t="str">
        <f t="shared" si="3"/>
        <v>OK</v>
      </c>
      <c r="Q530" s="17" t="s">
        <v>35</v>
      </c>
      <c r="R530" s="6" t="s">
        <v>35</v>
      </c>
      <c r="S530" s="17" t="s">
        <v>36</v>
      </c>
      <c r="T530" s="17" t="s">
        <v>3728</v>
      </c>
      <c r="U530" s="173" t="s">
        <v>38</v>
      </c>
      <c r="V530" s="11" t="s">
        <v>868</v>
      </c>
      <c r="W530" s="22" t="s">
        <v>1665</v>
      </c>
      <c r="X530" s="22" t="s">
        <v>1665</v>
      </c>
      <c r="Y530" s="22"/>
      <c r="Z530" s="7"/>
      <c r="AA530" s="7"/>
      <c r="AB530" s="23"/>
      <c r="AC530" s="26"/>
    </row>
    <row r="531" spans="1:29" ht="15.75" customHeight="1">
      <c r="A531" s="10" t="s">
        <v>3729</v>
      </c>
      <c r="B531" s="10" t="s">
        <v>1469</v>
      </c>
      <c r="C531" s="52" t="s">
        <v>868</v>
      </c>
      <c r="D531" s="12"/>
      <c r="E531" s="13" t="s">
        <v>62</v>
      </c>
      <c r="F531" s="6" t="s">
        <v>3730</v>
      </c>
      <c r="G531" s="15" t="str">
        <f ca="1">IFERROR(__xludf.DUMMYFUNCTION("CONCATENATE(B531,(VLOOKUP(C531,CATALOGOS!$F$2:$H$6,3,FALSE)),(VLOOKUP(V531,CATALOGOS!$J$2:$K$18,2,FALSE)),""-"",TO_TEXT(A531))"),"P13SO-0530")</f>
        <v>P13SO-0530</v>
      </c>
      <c r="H531" s="6" t="str">
        <f ca="1">IFERROR(__xludf.DUMMYFUNCTION("CONCATENATE($B531,(VLOOKUP($C531,CATALOGOS!$F$2:$H$6,3,FALSE)),(VLOOKUP($V531,CATALOGOS!$J$2:$K$18,2,FALSE)),""-"",TO_TEXT($A531))"),"P13SO-0530")</f>
        <v>P13SO-0530</v>
      </c>
      <c r="I531" s="6"/>
      <c r="J531" s="6" t="s">
        <v>3731</v>
      </c>
      <c r="K531" s="6" t="s">
        <v>3732</v>
      </c>
      <c r="L531" s="6" t="s">
        <v>3733</v>
      </c>
      <c r="M531" s="6" t="s">
        <v>3734</v>
      </c>
      <c r="N531" s="17"/>
      <c r="O531" s="17"/>
      <c r="P531" s="17" t="str">
        <f t="shared" si="3"/>
        <v>OK</v>
      </c>
      <c r="Q531" s="17" t="s">
        <v>35</v>
      </c>
      <c r="R531" s="6" t="s">
        <v>35</v>
      </c>
      <c r="S531" s="17" t="s">
        <v>36</v>
      </c>
      <c r="T531" s="17" t="s">
        <v>3735</v>
      </c>
      <c r="U531" s="173" t="s">
        <v>38</v>
      </c>
      <c r="V531" s="11" t="s">
        <v>868</v>
      </c>
      <c r="W531" s="22" t="s">
        <v>1665</v>
      </c>
      <c r="X531" s="22" t="s">
        <v>1665</v>
      </c>
      <c r="Y531" s="22"/>
      <c r="Z531" s="7"/>
      <c r="AA531" s="7"/>
      <c r="AB531" s="23"/>
      <c r="AC531" s="26"/>
    </row>
    <row r="532" spans="1:29" ht="15.75" customHeight="1">
      <c r="A532" s="10" t="s">
        <v>3736</v>
      </c>
      <c r="B532" s="10" t="s">
        <v>1469</v>
      </c>
      <c r="C532" s="52" t="s">
        <v>868</v>
      </c>
      <c r="D532" s="12"/>
      <c r="E532" s="13" t="s">
        <v>62</v>
      </c>
      <c r="F532" s="6" t="s">
        <v>3737</v>
      </c>
      <c r="G532" s="15" t="str">
        <f ca="1">IFERROR(__xludf.DUMMYFUNCTION("CONCATENATE(B532,(VLOOKUP(C532,CATALOGOS!$F$2:$H$6,3,FALSE)),(VLOOKUP(V532,CATALOGOS!$J$2:$K$18,2,FALSE)),""-"",TO_TEXT(A532))"),"P13SO-0531")</f>
        <v>P13SO-0531</v>
      </c>
      <c r="H532" s="6" t="str">
        <f ca="1">IFERROR(__xludf.DUMMYFUNCTION("CONCATENATE($B532,(VLOOKUP($C532,CATALOGOS!$F$2:$H$6,3,FALSE)),(VLOOKUP($V532,CATALOGOS!$J$2:$K$18,2,FALSE)),""-"",TO_TEXT($A532))"),"P13SO-0531")</f>
        <v>P13SO-0531</v>
      </c>
      <c r="I532" s="6"/>
      <c r="J532" s="6" t="s">
        <v>3738</v>
      </c>
      <c r="K532" s="6" t="s">
        <v>3739</v>
      </c>
      <c r="L532" s="6" t="s">
        <v>3740</v>
      </c>
      <c r="M532" s="6" t="s">
        <v>3741</v>
      </c>
      <c r="N532" s="17"/>
      <c r="O532" s="17"/>
      <c r="P532" s="17" t="str">
        <f t="shared" si="3"/>
        <v>OK</v>
      </c>
      <c r="Q532" s="17" t="s">
        <v>35</v>
      </c>
      <c r="R532" s="6" t="s">
        <v>35</v>
      </c>
      <c r="S532" s="17" t="s">
        <v>36</v>
      </c>
      <c r="T532" s="17" t="s">
        <v>3742</v>
      </c>
      <c r="U532" s="173" t="s">
        <v>38</v>
      </c>
      <c r="V532" s="11" t="s">
        <v>868</v>
      </c>
      <c r="W532" s="22" t="s">
        <v>1665</v>
      </c>
      <c r="X532" s="22" t="s">
        <v>1665</v>
      </c>
      <c r="Y532" s="22"/>
      <c r="Z532" s="7"/>
      <c r="AA532" s="7"/>
      <c r="AB532" s="23"/>
      <c r="AC532" s="26"/>
    </row>
    <row r="533" spans="1:29" ht="15.75" customHeight="1">
      <c r="A533" s="10" t="s">
        <v>3743</v>
      </c>
      <c r="B533" s="10" t="s">
        <v>1469</v>
      </c>
      <c r="C533" s="52" t="s">
        <v>868</v>
      </c>
      <c r="D533" s="12"/>
      <c r="E533" s="13" t="s">
        <v>3521</v>
      </c>
      <c r="F533" s="6" t="s">
        <v>3744</v>
      </c>
      <c r="G533" s="15" t="str">
        <f ca="1">IFERROR(__xludf.DUMMYFUNCTION("CONCATENATE(B533,(VLOOKUP(C533,CATALOGOS!$F$2:$H$6,3,FALSE)),(VLOOKUP(V533,CATALOGOS!$J$2:$K$18,2,FALSE)),""-"",TO_TEXT(A533))"),"P13SO-0532")</f>
        <v>P13SO-0532</v>
      </c>
      <c r="H533" s="6" t="str">
        <f ca="1">IFERROR(__xludf.DUMMYFUNCTION("CONCATENATE($B533,(VLOOKUP($C533,CATALOGOS!$F$2:$H$6,3,FALSE)),(VLOOKUP($V533,CATALOGOS!$J$2:$K$18,2,FALSE)),""-"",TO_TEXT($A533))"),"P13SO-0532")</f>
        <v>P13SO-0532</v>
      </c>
      <c r="I533" s="6"/>
      <c r="J533" s="6" t="s">
        <v>3745</v>
      </c>
      <c r="K533" s="6" t="s">
        <v>3746</v>
      </c>
      <c r="L533" s="6" t="s">
        <v>3747</v>
      </c>
      <c r="M533" s="6" t="s">
        <v>3748</v>
      </c>
      <c r="N533" s="17"/>
      <c r="O533" s="17"/>
      <c r="P533" s="17" t="str">
        <f t="shared" si="3"/>
        <v>OK</v>
      </c>
      <c r="Q533" s="17" t="s">
        <v>35</v>
      </c>
      <c r="R533" s="6" t="s">
        <v>35</v>
      </c>
      <c r="S533" s="17" t="s">
        <v>36</v>
      </c>
      <c r="T533" s="17" t="s">
        <v>3749</v>
      </c>
      <c r="U533" s="173" t="s">
        <v>38</v>
      </c>
      <c r="V533" s="11" t="s">
        <v>868</v>
      </c>
      <c r="W533" s="22" t="s">
        <v>1665</v>
      </c>
      <c r="X533" s="22" t="s">
        <v>1665</v>
      </c>
      <c r="Y533" s="22"/>
      <c r="Z533" s="7"/>
      <c r="AA533" s="7"/>
      <c r="AB533" s="23"/>
      <c r="AC533" s="26"/>
    </row>
    <row r="534" spans="1:29" ht="15.75" customHeight="1">
      <c r="A534" s="10" t="s">
        <v>3750</v>
      </c>
      <c r="B534" s="10" t="s">
        <v>1469</v>
      </c>
      <c r="C534" s="52" t="s">
        <v>868</v>
      </c>
      <c r="D534" s="12"/>
      <c r="E534" s="13" t="s">
        <v>43</v>
      </c>
      <c r="F534" s="43" t="s">
        <v>3751</v>
      </c>
      <c r="G534" s="15" t="str">
        <f ca="1">IFERROR(__xludf.DUMMYFUNCTION("CONCATENATE(B534,(VLOOKUP(C534,CATALOGOS!$F$2:$H$6,3,FALSE)),(VLOOKUP(V534,CATALOGOS!$J$2:$K$18,2,FALSE)),""-"",TO_TEXT(A534))"),"P13SO-0533")</f>
        <v>P13SO-0533</v>
      </c>
      <c r="H534" s="6" t="str">
        <f ca="1">IFERROR(__xludf.DUMMYFUNCTION("CONCATENATE($B534,(VLOOKUP($C534,CATALOGOS!$F$2:$H$6,3,FALSE)),(VLOOKUP($V534,CATALOGOS!$J$2:$K$18,2,FALSE)),""-"",TO_TEXT($A534))"),"P13SO-0533")</f>
        <v>P13SO-0533</v>
      </c>
      <c r="I534" s="6"/>
      <c r="J534" s="6" t="s">
        <v>3752</v>
      </c>
      <c r="K534" s="6" t="s">
        <v>3753</v>
      </c>
      <c r="L534" s="6" t="s">
        <v>3754</v>
      </c>
      <c r="M534" s="6" t="s">
        <v>3755</v>
      </c>
      <c r="N534" s="17"/>
      <c r="O534" s="17"/>
      <c r="P534" s="17" t="str">
        <f t="shared" si="3"/>
        <v>OK</v>
      </c>
      <c r="Q534" s="17" t="s">
        <v>406</v>
      </c>
      <c r="R534" s="6" t="s">
        <v>3756</v>
      </c>
      <c r="S534" s="17" t="s">
        <v>3757</v>
      </c>
      <c r="T534" s="17" t="s">
        <v>3758</v>
      </c>
      <c r="U534" s="173" t="s">
        <v>38</v>
      </c>
      <c r="V534" s="11" t="s">
        <v>868</v>
      </c>
      <c r="W534" s="22" t="s">
        <v>1665</v>
      </c>
      <c r="X534" s="22" t="s">
        <v>1665</v>
      </c>
      <c r="Y534" s="22"/>
      <c r="Z534" s="7"/>
      <c r="AA534" s="7"/>
      <c r="AB534" s="23"/>
      <c r="AC534" s="26"/>
    </row>
    <row r="535" spans="1:29" ht="15.75" customHeight="1">
      <c r="A535" s="10" t="s">
        <v>3759</v>
      </c>
      <c r="B535" s="10" t="s">
        <v>1469</v>
      </c>
      <c r="C535" s="52" t="s">
        <v>868</v>
      </c>
      <c r="D535" s="12"/>
      <c r="E535" s="13" t="s">
        <v>116</v>
      </c>
      <c r="F535" s="6" t="s">
        <v>3760</v>
      </c>
      <c r="G535" s="15" t="str">
        <f ca="1">IFERROR(__xludf.DUMMYFUNCTION("CONCATENATE(B535,(VLOOKUP(C535,CATALOGOS!$F$2:$H$6,3,FALSE)),(VLOOKUP(V535,CATALOGOS!$J$2:$K$18,2,FALSE)),""-"",TO_TEXT(A535))"),"P13SO-0534")</f>
        <v>P13SO-0534</v>
      </c>
      <c r="H535" s="6" t="str">
        <f ca="1">IFERROR(__xludf.DUMMYFUNCTION("CONCATENATE($B535,(VLOOKUP($C535,CATALOGOS!$F$2:$H$6,3,FALSE)),(VLOOKUP($V535,CATALOGOS!$J$2:$K$18,2,FALSE)),""-"",TO_TEXT($A535))"),"P13SO-0534")</f>
        <v>P13SO-0534</v>
      </c>
      <c r="I535" s="6"/>
      <c r="J535" s="6" t="s">
        <v>3761</v>
      </c>
      <c r="K535" s="6" t="s">
        <v>3762</v>
      </c>
      <c r="L535" s="6" t="s">
        <v>3763</v>
      </c>
      <c r="M535" s="6" t="s">
        <v>3764</v>
      </c>
      <c r="N535" s="17"/>
      <c r="O535" s="17"/>
      <c r="P535" s="17" t="str">
        <f t="shared" si="3"/>
        <v>OK</v>
      </c>
      <c r="Q535" s="17" t="s">
        <v>35</v>
      </c>
      <c r="R535" s="49" t="s">
        <v>35</v>
      </c>
      <c r="S535" s="17" t="s">
        <v>36</v>
      </c>
      <c r="T535" s="17" t="s">
        <v>3765</v>
      </c>
      <c r="U535" s="173" t="s">
        <v>38</v>
      </c>
      <c r="V535" s="11" t="s">
        <v>868</v>
      </c>
      <c r="W535" s="22" t="s">
        <v>1665</v>
      </c>
      <c r="X535" s="22" t="s">
        <v>1665</v>
      </c>
      <c r="Y535" s="22"/>
      <c r="Z535" s="7"/>
      <c r="AA535" s="7"/>
      <c r="AB535" s="23"/>
      <c r="AC535" s="26"/>
    </row>
    <row r="536" spans="1:29" ht="15.75" customHeight="1">
      <c r="A536" s="10" t="s">
        <v>3766</v>
      </c>
      <c r="B536" s="10" t="s">
        <v>1469</v>
      </c>
      <c r="C536" s="52" t="s">
        <v>868</v>
      </c>
      <c r="D536" s="12"/>
      <c r="E536" s="13" t="s">
        <v>1240</v>
      </c>
      <c r="F536" s="43" t="s">
        <v>278</v>
      </c>
      <c r="G536" s="15" t="str">
        <f ca="1">IFERROR(__xludf.DUMMYFUNCTION("CONCATENATE(B536,(VLOOKUP(C536,CATALOGOS!$F$2:$H$6,3,FALSE)),(VLOOKUP(V536,CATALOGOS!$J$2:$K$18,2,FALSE)),""-"",TO_TEXT(A536))"),"P13SO-0535")</f>
        <v>P13SO-0535</v>
      </c>
      <c r="H536" s="6" t="str">
        <f ca="1">IFERROR(__xludf.DUMMYFUNCTION("CONCATENATE($B536,(VLOOKUP($C536,CATALOGOS!$F$2:$H$6,3,FALSE)),(VLOOKUP($V536,CATALOGOS!$J$2:$K$18,2,FALSE)),""-"",TO_TEXT($A536))"),"P13SO-0535")</f>
        <v>P13SO-0535</v>
      </c>
      <c r="I536" s="6"/>
      <c r="J536" s="6" t="s">
        <v>3767</v>
      </c>
      <c r="K536" s="6" t="s">
        <v>3768</v>
      </c>
      <c r="L536" s="6" t="s">
        <v>3769</v>
      </c>
      <c r="M536" s="6" t="s">
        <v>3770</v>
      </c>
      <c r="N536" s="17"/>
      <c r="O536" s="17"/>
      <c r="P536" s="17" t="str">
        <f t="shared" si="3"/>
        <v>OK</v>
      </c>
      <c r="Q536" s="17" t="s">
        <v>35</v>
      </c>
      <c r="R536" s="6" t="s">
        <v>35</v>
      </c>
      <c r="S536" s="17" t="s">
        <v>36</v>
      </c>
      <c r="T536" s="17" t="s">
        <v>3771</v>
      </c>
      <c r="U536" s="173" t="s">
        <v>38</v>
      </c>
      <c r="V536" s="11" t="s">
        <v>868</v>
      </c>
      <c r="W536" s="22" t="s">
        <v>1665</v>
      </c>
      <c r="X536" s="22" t="s">
        <v>1665</v>
      </c>
      <c r="Y536" s="22"/>
      <c r="Z536" s="7"/>
      <c r="AA536" s="7"/>
      <c r="AB536" s="23"/>
      <c r="AC536" s="26"/>
    </row>
    <row r="537" spans="1:29" ht="15.75" customHeight="1">
      <c r="A537" s="10" t="s">
        <v>3772</v>
      </c>
      <c r="B537" s="10" t="s">
        <v>1469</v>
      </c>
      <c r="C537" s="52" t="s">
        <v>868</v>
      </c>
      <c r="D537" s="12"/>
      <c r="E537" s="13" t="s">
        <v>248</v>
      </c>
      <c r="F537" s="43" t="s">
        <v>248</v>
      </c>
      <c r="G537" s="15" t="str">
        <f ca="1">IFERROR(__xludf.DUMMYFUNCTION("CONCATENATE(B537,(VLOOKUP(C537,CATALOGOS!$F$2:$H$6,3,FALSE)),(VLOOKUP(V537,CATALOGOS!$J$2:$K$18,2,FALSE)),""-"",TO_TEXT(A537))"),"P13SO-0536")</f>
        <v>P13SO-0536</v>
      </c>
      <c r="H537" s="6" t="str">
        <f ca="1">IFERROR(__xludf.DUMMYFUNCTION("CONCATENATE($B537,(VLOOKUP($C537,CATALOGOS!$F$2:$H$6,3,FALSE)),(VLOOKUP($V537,CATALOGOS!$J$2:$K$18,2,FALSE)),""-"",TO_TEXT($A537))"),"P13SO-0536")</f>
        <v>P13SO-0536</v>
      </c>
      <c r="I537" s="6"/>
      <c r="J537" s="6" t="s">
        <v>3773</v>
      </c>
      <c r="K537" s="6" t="s">
        <v>3774</v>
      </c>
      <c r="L537" s="6" t="s">
        <v>3775</v>
      </c>
      <c r="M537" s="6" t="s">
        <v>3776</v>
      </c>
      <c r="N537" s="17"/>
      <c r="O537" s="17"/>
      <c r="P537" s="17" t="str">
        <f t="shared" si="3"/>
        <v>OK</v>
      </c>
      <c r="Q537" s="17" t="s">
        <v>978</v>
      </c>
      <c r="R537" s="6" t="s">
        <v>3777</v>
      </c>
      <c r="S537" s="17" t="s">
        <v>3778</v>
      </c>
      <c r="T537" s="17" t="s">
        <v>3779</v>
      </c>
      <c r="U537" s="173" t="s">
        <v>38</v>
      </c>
      <c r="V537" s="11" t="s">
        <v>868</v>
      </c>
      <c r="W537" s="22" t="s">
        <v>1665</v>
      </c>
      <c r="X537" s="22" t="s">
        <v>1665</v>
      </c>
      <c r="Y537" s="22"/>
      <c r="Z537" s="7"/>
      <c r="AA537" s="7"/>
      <c r="AB537" s="23"/>
      <c r="AC537" s="26"/>
    </row>
    <row r="538" spans="1:29" ht="15.75" customHeight="1">
      <c r="A538" s="10" t="s">
        <v>3780</v>
      </c>
      <c r="B538" s="10" t="s">
        <v>1469</v>
      </c>
      <c r="C538" s="52" t="s">
        <v>868</v>
      </c>
      <c r="D538" s="12"/>
      <c r="E538" s="13" t="s">
        <v>378</v>
      </c>
      <c r="F538" s="6" t="s">
        <v>878</v>
      </c>
      <c r="G538" s="15" t="str">
        <f ca="1">IFERROR(__xludf.DUMMYFUNCTION("CONCATENATE(B538,(VLOOKUP(C538,CATALOGOS!$F$2:$H$6,3,FALSE)),(VLOOKUP(V538,CATALOGOS!$J$2:$K$18,2,FALSE)),""-"",TO_TEXT(A538))"),"P13SO-0537")</f>
        <v>P13SO-0537</v>
      </c>
      <c r="H538" s="6" t="str">
        <f ca="1">IFERROR(__xludf.DUMMYFUNCTION("CONCATENATE($B538,(VLOOKUP($C538,CATALOGOS!$F$2:$H$6,3,FALSE)),(VLOOKUP($V538,CATALOGOS!$J$2:$K$18,2,FALSE)),""-"",TO_TEXT($A538))"),"P13SO-0537")</f>
        <v>P13SO-0537</v>
      </c>
      <c r="I538" s="6"/>
      <c r="J538" s="6" t="s">
        <v>3781</v>
      </c>
      <c r="K538" s="6" t="s">
        <v>3782</v>
      </c>
      <c r="L538" s="6" t="s">
        <v>3783</v>
      </c>
      <c r="M538" s="6" t="s">
        <v>3784</v>
      </c>
      <c r="N538" s="17"/>
      <c r="O538" s="17"/>
      <c r="P538" s="17" t="str">
        <f t="shared" si="3"/>
        <v>OK</v>
      </c>
      <c r="Q538" s="17" t="s">
        <v>35</v>
      </c>
      <c r="R538" s="6" t="s">
        <v>35</v>
      </c>
      <c r="S538" s="17" t="s">
        <v>36</v>
      </c>
      <c r="T538" s="17" t="s">
        <v>3785</v>
      </c>
      <c r="U538" s="173" t="s">
        <v>38</v>
      </c>
      <c r="V538" s="11" t="s">
        <v>868</v>
      </c>
      <c r="W538" s="22" t="s">
        <v>1665</v>
      </c>
      <c r="X538" s="22" t="s">
        <v>1665</v>
      </c>
      <c r="Y538" s="22"/>
      <c r="Z538" s="7"/>
      <c r="AA538" s="7"/>
      <c r="AB538" s="23"/>
      <c r="AC538" s="26"/>
    </row>
    <row r="539" spans="1:29" ht="15.75" customHeight="1">
      <c r="A539" s="10" t="s">
        <v>3786</v>
      </c>
      <c r="B539" s="10" t="s">
        <v>1469</v>
      </c>
      <c r="C539" s="52" t="s">
        <v>868</v>
      </c>
      <c r="D539" s="12"/>
      <c r="E539" s="13" t="s">
        <v>378</v>
      </c>
      <c r="F539" s="6" t="s">
        <v>878</v>
      </c>
      <c r="G539" s="15" t="str">
        <f ca="1">IFERROR(__xludf.DUMMYFUNCTION("CONCATENATE(B539,(VLOOKUP(C539,CATALOGOS!$F$2:$H$6,3,FALSE)),(VLOOKUP(V539,CATALOGOS!$J$2:$K$18,2,FALSE)),""-"",TO_TEXT(A539))"),"P13SO-0538")</f>
        <v>P13SO-0538</v>
      </c>
      <c r="H539" s="6" t="str">
        <f ca="1">IFERROR(__xludf.DUMMYFUNCTION("CONCATENATE($B539,(VLOOKUP($C539,CATALOGOS!$F$2:$H$6,3,FALSE)),(VLOOKUP($V539,CATALOGOS!$J$2:$K$18,2,FALSE)),""-"",TO_TEXT($A539))"),"P13SO-0538")</f>
        <v>P13SO-0538</v>
      </c>
      <c r="I539" s="6"/>
      <c r="J539" s="6" t="s">
        <v>3787</v>
      </c>
      <c r="K539" s="6" t="s">
        <v>3788</v>
      </c>
      <c r="L539" s="6" t="s">
        <v>3789</v>
      </c>
      <c r="M539" s="6" t="s">
        <v>3790</v>
      </c>
      <c r="N539" s="17"/>
      <c r="O539" s="17"/>
      <c r="P539" s="17" t="str">
        <f t="shared" si="3"/>
        <v>OK</v>
      </c>
      <c r="Q539" s="17" t="s">
        <v>35</v>
      </c>
      <c r="R539" s="6" t="s">
        <v>35</v>
      </c>
      <c r="S539" s="17" t="s">
        <v>36</v>
      </c>
      <c r="T539" s="17" t="s">
        <v>3791</v>
      </c>
      <c r="U539" s="173" t="s">
        <v>38</v>
      </c>
      <c r="V539" s="11" t="s">
        <v>868</v>
      </c>
      <c r="W539" s="22" t="s">
        <v>1665</v>
      </c>
      <c r="X539" s="22" t="s">
        <v>1665</v>
      </c>
      <c r="Y539" s="22"/>
      <c r="Z539" s="7"/>
      <c r="AA539" s="7"/>
      <c r="AB539" s="23"/>
      <c r="AC539" s="26"/>
    </row>
    <row r="540" spans="1:29" ht="15.75" customHeight="1">
      <c r="A540" s="10" t="s">
        <v>3792</v>
      </c>
      <c r="B540" s="10" t="s">
        <v>1469</v>
      </c>
      <c r="C540" s="52" t="s">
        <v>868</v>
      </c>
      <c r="D540" s="12"/>
      <c r="E540" s="13" t="s">
        <v>199</v>
      </c>
      <c r="F540" s="6" t="s">
        <v>199</v>
      </c>
      <c r="G540" s="15" t="str">
        <f ca="1">IFERROR(__xludf.DUMMYFUNCTION("CONCATENATE(B540,(VLOOKUP(C540,CATALOGOS!$F$2:$H$6,3,FALSE)),(VLOOKUP(V540,CATALOGOS!$J$2:$K$18,2,FALSE)),""-"",TO_TEXT(A540))"),"P13SO-0539")</f>
        <v>P13SO-0539</v>
      </c>
      <c r="H540" s="6" t="str">
        <f ca="1">IFERROR(__xludf.DUMMYFUNCTION("CONCATENATE($B540,(VLOOKUP($C540,CATALOGOS!$F$2:$H$6,3,FALSE)),(VLOOKUP($V540,CATALOGOS!$J$2:$K$18,2,FALSE)),""-"",TO_TEXT($A540))"),"P13SO-0539")</f>
        <v>P13SO-0539</v>
      </c>
      <c r="I540" s="6"/>
      <c r="J540" s="6" t="s">
        <v>3793</v>
      </c>
      <c r="K540" s="6" t="s">
        <v>3794</v>
      </c>
      <c r="L540" s="6" t="s">
        <v>3795</v>
      </c>
      <c r="M540" s="6" t="s">
        <v>3796</v>
      </c>
      <c r="N540" s="17"/>
      <c r="O540" s="17"/>
      <c r="P540" s="17" t="str">
        <f t="shared" si="3"/>
        <v>OK</v>
      </c>
      <c r="Q540" s="17" t="s">
        <v>205</v>
      </c>
      <c r="R540" s="6" t="s">
        <v>3797</v>
      </c>
      <c r="S540" s="17" t="s">
        <v>3798</v>
      </c>
      <c r="T540" s="17" t="s">
        <v>3799</v>
      </c>
      <c r="U540" s="179" t="s">
        <v>517</v>
      </c>
      <c r="V540" s="11" t="s">
        <v>868</v>
      </c>
      <c r="W540" s="22" t="s">
        <v>1665</v>
      </c>
      <c r="X540" s="22" t="s">
        <v>1665</v>
      </c>
      <c r="Y540" s="22"/>
      <c r="Z540" s="7"/>
      <c r="AA540" s="7"/>
      <c r="AB540" s="23"/>
      <c r="AC540" s="26"/>
    </row>
    <row r="541" spans="1:29" ht="15.75" customHeight="1">
      <c r="A541" s="10" t="s">
        <v>3800</v>
      </c>
      <c r="B541" s="10" t="s">
        <v>1469</v>
      </c>
      <c r="C541" s="52" t="s">
        <v>868</v>
      </c>
      <c r="D541" s="12"/>
      <c r="E541" s="13" t="s">
        <v>151</v>
      </c>
      <c r="F541" s="6" t="s">
        <v>152</v>
      </c>
      <c r="G541" s="15" t="str">
        <f ca="1">IFERROR(__xludf.DUMMYFUNCTION("CONCATENATE(B541,(VLOOKUP(C541,CATALOGOS!$F$2:$H$6,3,FALSE)),(VLOOKUP(V541,CATALOGOS!$J$2:$K$18,2,FALSE)),""-"",TO_TEXT(A541))"),"P13SO-0540")</f>
        <v>P13SO-0540</v>
      </c>
      <c r="H541" s="6" t="str">
        <f ca="1">IFERROR(__xludf.DUMMYFUNCTION("CONCATENATE($B541,(VLOOKUP($C541,CATALOGOS!$F$2:$H$6,3,FALSE)),(VLOOKUP($V541,CATALOGOS!$J$2:$K$18,2,FALSE)),""-"",TO_TEXT($A541))"),"P13SO-0540")</f>
        <v>P13SO-0540</v>
      </c>
      <c r="I541" s="6"/>
      <c r="J541" s="6" t="s">
        <v>3801</v>
      </c>
      <c r="K541" s="6" t="s">
        <v>3802</v>
      </c>
      <c r="L541" s="6" t="s">
        <v>3803</v>
      </c>
      <c r="M541" s="6" t="s">
        <v>3804</v>
      </c>
      <c r="N541" s="17"/>
      <c r="O541" s="17"/>
      <c r="P541" s="17" t="str">
        <f t="shared" si="3"/>
        <v>OK</v>
      </c>
      <c r="Q541" s="17" t="s">
        <v>1220</v>
      </c>
      <c r="R541" s="6" t="s">
        <v>720</v>
      </c>
      <c r="S541" s="17" t="s">
        <v>3805</v>
      </c>
      <c r="T541" s="10" t="s">
        <v>3806</v>
      </c>
      <c r="U541" s="173" t="s">
        <v>38</v>
      </c>
      <c r="V541" s="11" t="s">
        <v>868</v>
      </c>
      <c r="W541" s="22" t="s">
        <v>1665</v>
      </c>
      <c r="X541" s="22" t="s">
        <v>1665</v>
      </c>
      <c r="Y541" s="22"/>
      <c r="Z541" s="7"/>
      <c r="AA541" s="7"/>
      <c r="AB541" s="23"/>
      <c r="AC541" s="26"/>
    </row>
    <row r="542" spans="1:29" ht="15.75" customHeight="1">
      <c r="A542" s="10" t="s">
        <v>3807</v>
      </c>
      <c r="B542" s="10" t="s">
        <v>1469</v>
      </c>
      <c r="C542" s="52" t="s">
        <v>868</v>
      </c>
      <c r="D542" s="38"/>
      <c r="E542" s="13" t="s">
        <v>162</v>
      </c>
      <c r="F542" s="43" t="s">
        <v>285</v>
      </c>
      <c r="G542" s="15" t="str">
        <f ca="1">IFERROR(__xludf.DUMMYFUNCTION("CONCATENATE(B542,(VLOOKUP(C542,CATALOGOS!$F$2:$H$6,3,FALSE)),(VLOOKUP(V542,CATALOGOS!$J$2:$K$18,2,FALSE)),""-"",TO_TEXT(A542))"),"P13SO-0541")</f>
        <v>P13SO-0541</v>
      </c>
      <c r="H542" s="6" t="str">
        <f ca="1">IFERROR(__xludf.DUMMYFUNCTION("CONCATENATE($B542,(VLOOKUP($C542,CATALOGOS!$F$2:$H$6,3,FALSE)),(VLOOKUP($V542,CATALOGOS!$J$2:$K$18,2,FALSE)),""-"",TO_TEXT($A542))"),"P13SO-0541")</f>
        <v>P13SO-0541</v>
      </c>
      <c r="I542" s="6"/>
      <c r="J542" s="6" t="s">
        <v>3808</v>
      </c>
      <c r="K542" s="6" t="s">
        <v>3809</v>
      </c>
      <c r="L542" s="6" t="s">
        <v>3810</v>
      </c>
      <c r="M542" s="6" t="s">
        <v>3811</v>
      </c>
      <c r="N542" s="17"/>
      <c r="O542" s="17"/>
      <c r="P542" s="17" t="str">
        <f t="shared" si="3"/>
        <v>OK</v>
      </c>
      <c r="Q542" s="17" t="s">
        <v>168</v>
      </c>
      <c r="R542" s="6" t="s">
        <v>169</v>
      </c>
      <c r="S542" s="46" t="s">
        <v>3812</v>
      </c>
      <c r="T542" s="17" t="s">
        <v>3813</v>
      </c>
      <c r="U542" s="178" t="s">
        <v>8439</v>
      </c>
      <c r="V542" s="11" t="s">
        <v>868</v>
      </c>
      <c r="W542" s="32" t="s">
        <v>1665</v>
      </c>
      <c r="X542" s="32" t="s">
        <v>1665</v>
      </c>
      <c r="Y542" s="32"/>
      <c r="Z542" s="7"/>
      <c r="AA542" s="7"/>
      <c r="AB542" s="26"/>
      <c r="AC542" s="26"/>
    </row>
    <row r="543" spans="1:29" ht="15.75" customHeight="1">
      <c r="A543" s="10" t="s">
        <v>3814</v>
      </c>
      <c r="B543" s="10" t="s">
        <v>1469</v>
      </c>
      <c r="C543" s="52" t="s">
        <v>868</v>
      </c>
      <c r="D543" s="12"/>
      <c r="E543" s="13" t="s">
        <v>43</v>
      </c>
      <c r="F543" s="6" t="s">
        <v>1492</v>
      </c>
      <c r="G543" s="6" t="str">
        <f ca="1">IFERROR(__xludf.DUMMYFUNCTION("CONCATENATE(B543,(VLOOKUP(C543,CATALOGOS!$F$2:$H$6,3,FALSE)),(VLOOKUP(V543,CATALOGOS!$J$2:$K$18,2,FALSE)),""-"",TO_TEXT(A543))"),"P13SO-0542")</f>
        <v>P13SO-0542</v>
      </c>
      <c r="H543" s="6" t="str">
        <f ca="1">IFERROR(__xludf.DUMMYFUNCTION("CONCATENATE($B543,(VLOOKUP($C543,CATALOGOS!$F$2:$H$6,3,FALSE)),(VLOOKUP($V543,CATALOGOS!$J$2:$K$18,2,FALSE)),""-"",TO_TEXT($A543))"),"P13SO-0542")</f>
        <v>P13SO-0542</v>
      </c>
      <c r="I543" s="6"/>
      <c r="J543" s="6" t="s">
        <v>3815</v>
      </c>
      <c r="K543" s="6" t="s">
        <v>3816</v>
      </c>
      <c r="L543" s="6" t="s">
        <v>3817</v>
      </c>
      <c r="M543" s="6" t="s">
        <v>3818</v>
      </c>
      <c r="N543" s="17"/>
      <c r="O543" s="17"/>
      <c r="P543" s="17" t="str">
        <f t="shared" si="3"/>
        <v>OK</v>
      </c>
      <c r="Q543" s="17" t="s">
        <v>406</v>
      </c>
      <c r="R543" s="6" t="s">
        <v>407</v>
      </c>
      <c r="S543" s="17" t="s">
        <v>36</v>
      </c>
      <c r="T543" s="17" t="s">
        <v>3819</v>
      </c>
      <c r="U543" s="173" t="s">
        <v>38</v>
      </c>
      <c r="V543" s="11" t="s">
        <v>868</v>
      </c>
      <c r="W543" s="22" t="s">
        <v>3451</v>
      </c>
      <c r="X543" s="22" t="s">
        <v>3451</v>
      </c>
      <c r="Y543" s="22"/>
      <c r="Z543" s="7"/>
      <c r="AA543" s="7"/>
      <c r="AB543" s="23"/>
      <c r="AC543" s="26"/>
    </row>
    <row r="544" spans="1:29" ht="15.75" customHeight="1">
      <c r="A544" s="10" t="s">
        <v>3820</v>
      </c>
      <c r="B544" s="10" t="s">
        <v>1469</v>
      </c>
      <c r="C544" s="52" t="s">
        <v>868</v>
      </c>
      <c r="D544" s="12"/>
      <c r="E544" s="13" t="s">
        <v>43</v>
      </c>
      <c r="F544" s="6" t="s">
        <v>1492</v>
      </c>
      <c r="G544" s="6" t="str">
        <f ca="1">IFERROR(__xludf.DUMMYFUNCTION("CONCATENATE(B544,(VLOOKUP(C544,CATALOGOS!$F$2:$H$6,3,FALSE)),(VLOOKUP(V544,CATALOGOS!$J$2:$K$18,2,FALSE)),""-"",TO_TEXT(A544))"),"P13SO-0543")</f>
        <v>P13SO-0543</v>
      </c>
      <c r="H544" s="6" t="str">
        <f ca="1">IFERROR(__xludf.DUMMYFUNCTION("CONCATENATE($B544,(VLOOKUP($C544,CATALOGOS!$F$2:$H$6,3,FALSE)),(VLOOKUP($V544,CATALOGOS!$J$2:$K$18,2,FALSE)),""-"",TO_TEXT($A544))"),"P13SO-0543")</f>
        <v>P13SO-0543</v>
      </c>
      <c r="I544" s="6"/>
      <c r="J544" s="6" t="s">
        <v>3821</v>
      </c>
      <c r="K544" s="6" t="s">
        <v>3822</v>
      </c>
      <c r="L544" s="6" t="s">
        <v>3823</v>
      </c>
      <c r="M544" s="6" t="s">
        <v>3824</v>
      </c>
      <c r="N544" s="17"/>
      <c r="O544" s="17"/>
      <c r="P544" s="17" t="str">
        <f t="shared" si="3"/>
        <v>OK</v>
      </c>
      <c r="Q544" s="17" t="s">
        <v>406</v>
      </c>
      <c r="R544" s="6" t="s">
        <v>407</v>
      </c>
      <c r="S544" s="17" t="s">
        <v>36</v>
      </c>
      <c r="T544" s="17" t="s">
        <v>3825</v>
      </c>
      <c r="U544" s="173" t="s">
        <v>38</v>
      </c>
      <c r="V544" s="11" t="s">
        <v>868</v>
      </c>
      <c r="W544" s="22" t="s">
        <v>3451</v>
      </c>
      <c r="X544" s="22" t="s">
        <v>3451</v>
      </c>
      <c r="Y544" s="22"/>
      <c r="Z544" s="7"/>
      <c r="AA544" s="7"/>
      <c r="AB544" s="23"/>
      <c r="AC544" s="26"/>
    </row>
    <row r="545" spans="1:29" ht="15.75" customHeight="1">
      <c r="A545" s="10" t="s">
        <v>3826</v>
      </c>
      <c r="B545" s="10" t="s">
        <v>1469</v>
      </c>
      <c r="C545" s="52" t="s">
        <v>868</v>
      </c>
      <c r="D545" s="12"/>
      <c r="E545" s="13" t="s">
        <v>93</v>
      </c>
      <c r="F545" s="6" t="s">
        <v>3827</v>
      </c>
      <c r="G545" s="6" t="str">
        <f ca="1">IFERROR(__xludf.DUMMYFUNCTION("CONCATENATE(B545,(VLOOKUP(C545,CATALOGOS!$F$2:$H$6,3,FALSE)),(VLOOKUP(V545,CATALOGOS!$J$2:$K$18,2,FALSE)),""-"",TO_TEXT(A545))"),"P13SO-0544")</f>
        <v>P13SO-0544</v>
      </c>
      <c r="H545" s="15" t="str">
        <f ca="1">IFERROR(__xludf.DUMMYFUNCTION("CONCATENATE($B545,(VLOOKUP($C545,CATALOGOS!$F$2:$H$6,3,FALSE)),(VLOOKUP($V545,CATALOGOS!$J$2:$K$18,2,FALSE)),""-"",TO_TEXT($A545))"),"P13SO-0544")</f>
        <v>P13SO-0544</v>
      </c>
      <c r="I545" s="6"/>
      <c r="J545" s="6" t="s">
        <v>3828</v>
      </c>
      <c r="K545" s="6" t="s">
        <v>3829</v>
      </c>
      <c r="L545" s="6" t="s">
        <v>3830</v>
      </c>
      <c r="M545" s="6" t="s">
        <v>3831</v>
      </c>
      <c r="N545" s="17"/>
      <c r="O545" s="17"/>
      <c r="P545" s="17" t="str">
        <f t="shared" si="3"/>
        <v>OK</v>
      </c>
      <c r="Q545" s="17" t="s">
        <v>35</v>
      </c>
      <c r="R545" s="6" t="s">
        <v>35</v>
      </c>
      <c r="S545" s="17" t="s">
        <v>36</v>
      </c>
      <c r="T545" s="17" t="s">
        <v>3832</v>
      </c>
      <c r="U545" s="173" t="s">
        <v>38</v>
      </c>
      <c r="V545" s="11" t="s">
        <v>868</v>
      </c>
      <c r="W545" s="22" t="s">
        <v>3451</v>
      </c>
      <c r="X545" s="22" t="s">
        <v>3451</v>
      </c>
      <c r="Y545" s="22"/>
      <c r="Z545" s="7"/>
      <c r="AA545" s="7"/>
      <c r="AB545" s="23"/>
      <c r="AC545" s="26"/>
    </row>
    <row r="546" spans="1:29" ht="15.75" customHeight="1">
      <c r="A546" s="10" t="s">
        <v>3833</v>
      </c>
      <c r="B546" s="10" t="s">
        <v>1469</v>
      </c>
      <c r="C546" s="52" t="s">
        <v>868</v>
      </c>
      <c r="D546" s="38"/>
      <c r="E546" s="13" t="s">
        <v>93</v>
      </c>
      <c r="F546" s="6" t="s">
        <v>3834</v>
      </c>
      <c r="G546" s="6" t="str">
        <f ca="1">IFERROR(__xludf.DUMMYFUNCTION("CONCATENATE(B546,(VLOOKUP(C546,CATALOGOS!$F$2:$H$6,3,FALSE)),(VLOOKUP(V546,CATALOGOS!$J$2:$K$18,2,FALSE)),""-"",TO_TEXT(A546))"),"P13SO-0545")</f>
        <v>P13SO-0545</v>
      </c>
      <c r="H546" s="6" t="str">
        <f ca="1">IFERROR(__xludf.DUMMYFUNCTION("CONCATENATE($B546,(VLOOKUP($C546,CATALOGOS!$F$2:$H$6,3,FALSE)),(VLOOKUP($V546,CATALOGOS!$J$2:$K$18,2,FALSE)),""-"",TO_TEXT($A546))"),"P13SO-0545")</f>
        <v>P13SO-0545</v>
      </c>
      <c r="I546" s="6"/>
      <c r="J546" s="6" t="s">
        <v>3835</v>
      </c>
      <c r="K546" s="6" t="s">
        <v>3836</v>
      </c>
      <c r="L546" s="6" t="s">
        <v>3837</v>
      </c>
      <c r="M546" s="6" t="s">
        <v>3838</v>
      </c>
      <c r="N546" s="17"/>
      <c r="O546" s="17"/>
      <c r="P546" s="17" t="str">
        <f t="shared" si="3"/>
        <v>OK</v>
      </c>
      <c r="Q546" s="17" t="s">
        <v>35</v>
      </c>
      <c r="R546" s="6" t="s">
        <v>35</v>
      </c>
      <c r="S546" s="46" t="s">
        <v>36</v>
      </c>
      <c r="T546" s="17" t="s">
        <v>3839</v>
      </c>
      <c r="U546" s="173" t="s">
        <v>38</v>
      </c>
      <c r="V546" s="11" t="s">
        <v>868</v>
      </c>
      <c r="W546" s="32" t="s">
        <v>3451</v>
      </c>
      <c r="X546" s="32" t="s">
        <v>3451</v>
      </c>
      <c r="Y546" s="32"/>
      <c r="Z546" s="7"/>
      <c r="AA546" s="7"/>
      <c r="AB546" s="26"/>
      <c r="AC546" s="26"/>
    </row>
    <row r="547" spans="1:29" ht="15.75" customHeight="1">
      <c r="A547" s="10" t="s">
        <v>3841</v>
      </c>
      <c r="B547" s="10" t="s">
        <v>1469</v>
      </c>
      <c r="C547" s="52" t="s">
        <v>868</v>
      </c>
      <c r="D547" s="38"/>
      <c r="E547" s="13" t="s">
        <v>184</v>
      </c>
      <c r="F547" s="6" t="s">
        <v>3842</v>
      </c>
      <c r="G547" s="6" t="str">
        <f ca="1">IFERROR(__xludf.DUMMYFUNCTION("CONCATENATE(B547,(VLOOKUP(C547,CATALOGOS!$F$2:$H$6,3,FALSE)),(VLOOKUP(V547,CATALOGOS!$J$2:$K$18,2,FALSE)),""-"",TO_TEXT(A547))"),"P13IR-0546")</f>
        <v>P13IR-0546</v>
      </c>
      <c r="H547" s="6" t="str">
        <f ca="1">IFERROR(__xludf.DUMMYFUNCTION("CONCATENATE($B547,(VLOOKUP($C547,CATALOGOS!$F$2:$H$6,3,FALSE)),(VLOOKUP($V547,CATALOGOS!$J$2:$K$18,2,FALSE)),""-"",TO_TEXT($A547))"),"P13IR-0546")</f>
        <v>P13IR-0546</v>
      </c>
      <c r="I547" s="6"/>
      <c r="J547" s="6" t="s">
        <v>3843</v>
      </c>
      <c r="K547" s="6" t="s">
        <v>3844</v>
      </c>
      <c r="L547" s="6" t="s">
        <v>3845</v>
      </c>
      <c r="M547" s="6" t="s">
        <v>3846</v>
      </c>
      <c r="N547" s="17"/>
      <c r="O547" s="17"/>
      <c r="P547" s="17" t="str">
        <f t="shared" si="3"/>
        <v>OK</v>
      </c>
      <c r="Q547" s="17" t="s">
        <v>35</v>
      </c>
      <c r="R547" s="6" t="s">
        <v>35</v>
      </c>
      <c r="S547" s="46" t="s">
        <v>36</v>
      </c>
      <c r="T547" s="17" t="s">
        <v>3847</v>
      </c>
      <c r="U547" s="173" t="s">
        <v>38</v>
      </c>
      <c r="V547" s="11" t="s">
        <v>2381</v>
      </c>
      <c r="W547" s="10" t="s">
        <v>3848</v>
      </c>
      <c r="X547" s="10" t="s">
        <v>3848</v>
      </c>
      <c r="Y547" s="10"/>
      <c r="Z547" s="7"/>
      <c r="AA547" s="7"/>
      <c r="AB547" s="26"/>
      <c r="AC547" s="26"/>
    </row>
    <row r="548" spans="1:29" ht="15.75" customHeight="1">
      <c r="A548" s="10" t="s">
        <v>3849</v>
      </c>
      <c r="B548" s="10" t="s">
        <v>1469</v>
      </c>
      <c r="C548" s="52" t="s">
        <v>868</v>
      </c>
      <c r="D548" s="12"/>
      <c r="E548" s="13" t="s">
        <v>210</v>
      </c>
      <c r="F548" s="6" t="s">
        <v>210</v>
      </c>
      <c r="G548" s="6" t="str">
        <f ca="1">IFERROR(__xludf.DUMMYFUNCTION("CONCATENATE(B548,(VLOOKUP(C548,CATALOGOS!$F$2:$H$6,3,FALSE)),(VLOOKUP(V548,CATALOGOS!$J$2:$K$18,2,FALSE)),""-"",TO_TEXT(A548))"),"P13SO-0547")</f>
        <v>P13SO-0547</v>
      </c>
      <c r="H548" s="6" t="str">
        <f ca="1">IFERROR(__xludf.DUMMYFUNCTION("CONCATENATE($B548,(VLOOKUP($C548,CATALOGOS!$F$2:$H$6,3,FALSE)),(VLOOKUP($V548,CATALOGOS!$J$2:$K$18,2,FALSE)),""-"",TO_TEXT($A548))"),"P13SO-0547")</f>
        <v>P13SO-0547</v>
      </c>
      <c r="I548" s="6"/>
      <c r="J548" s="6" t="s">
        <v>3850</v>
      </c>
      <c r="K548" s="6" t="s">
        <v>3851</v>
      </c>
      <c r="L548" s="36"/>
      <c r="M548" s="6" t="s">
        <v>3852</v>
      </c>
      <c r="N548" s="17"/>
      <c r="O548" s="17"/>
      <c r="P548" s="17" t="str">
        <f t="shared" si="3"/>
        <v>OK</v>
      </c>
      <c r="Q548" s="17" t="s">
        <v>216</v>
      </c>
      <c r="R548" s="6" t="s">
        <v>217</v>
      </c>
      <c r="S548" s="6" t="s">
        <v>36</v>
      </c>
      <c r="T548" s="10" t="s">
        <v>3853</v>
      </c>
      <c r="U548" s="173" t="s">
        <v>38</v>
      </c>
      <c r="V548" s="11" t="s">
        <v>868</v>
      </c>
      <c r="W548" s="22" t="s">
        <v>3451</v>
      </c>
      <c r="X548" s="22" t="s">
        <v>3451</v>
      </c>
      <c r="Y548" s="22"/>
      <c r="Z548" s="7"/>
      <c r="AA548" s="7"/>
      <c r="AB548" s="26"/>
      <c r="AC548" s="26"/>
    </row>
    <row r="549" spans="1:29" ht="15.75" customHeight="1">
      <c r="A549" s="10" t="s">
        <v>3854</v>
      </c>
      <c r="B549" s="10" t="s">
        <v>1469</v>
      </c>
      <c r="C549" s="52" t="s">
        <v>868</v>
      </c>
      <c r="D549" s="12"/>
      <c r="E549" s="13" t="s">
        <v>93</v>
      </c>
      <c r="F549" s="6" t="s">
        <v>3855</v>
      </c>
      <c r="G549" s="6" t="str">
        <f ca="1">IFERROR(__xludf.DUMMYFUNCTION("CONCATENATE(B549,(VLOOKUP(C549,CATALOGOS!$F$2:$H$6,3,FALSE)),(VLOOKUP(V549,CATALOGOS!$J$2:$K$18,2,FALSE)),""-"",TO_TEXT(A549))"),"P13LP-0548")</f>
        <v>P13LP-0548</v>
      </c>
      <c r="H549" s="6" t="str">
        <f ca="1">IFERROR(__xludf.DUMMYFUNCTION("CONCATENATE($B549,(VLOOKUP($C549,CATALOGOS!$F$2:$H$6,3,FALSE)),(VLOOKUP($V549,CATALOGOS!$J$2:$K$18,2,FALSE)),""-"",TO_TEXT($A549))"),"P13LP-0548")</f>
        <v>P13LP-0548</v>
      </c>
      <c r="I549" s="6"/>
      <c r="J549" s="6" t="s">
        <v>3856</v>
      </c>
      <c r="K549" s="6" t="s">
        <v>3857</v>
      </c>
      <c r="L549" s="6" t="s">
        <v>3858</v>
      </c>
      <c r="M549" s="6" t="s">
        <v>3859</v>
      </c>
      <c r="N549" s="17"/>
      <c r="O549" s="17"/>
      <c r="P549" s="17" t="str">
        <f t="shared" si="3"/>
        <v>OK</v>
      </c>
      <c r="Q549" s="17" t="s">
        <v>35</v>
      </c>
      <c r="R549" s="6" t="s">
        <v>35</v>
      </c>
      <c r="S549" s="17" t="s">
        <v>36</v>
      </c>
      <c r="T549" s="17" t="s">
        <v>3860</v>
      </c>
      <c r="U549" s="173" t="s">
        <v>38</v>
      </c>
      <c r="V549" s="11" t="s">
        <v>2328</v>
      </c>
      <c r="W549" s="20" t="s">
        <v>2329</v>
      </c>
      <c r="X549" s="22" t="s">
        <v>3450</v>
      </c>
      <c r="Y549" s="22"/>
      <c r="Z549" s="7"/>
      <c r="AA549" s="7"/>
      <c r="AB549" s="23"/>
      <c r="AC549" s="26"/>
    </row>
    <row r="550" spans="1:29" ht="15.75" customHeight="1">
      <c r="A550" s="10" t="s">
        <v>3861</v>
      </c>
      <c r="B550" s="10" t="s">
        <v>1469</v>
      </c>
      <c r="C550" s="52" t="s">
        <v>868</v>
      </c>
      <c r="D550" s="12"/>
      <c r="E550" s="13" t="s">
        <v>378</v>
      </c>
      <c r="F550" s="6" t="s">
        <v>3862</v>
      </c>
      <c r="G550" s="6" t="str">
        <f ca="1">IFERROR(__xludf.DUMMYFUNCTION("CONCATENATE(B550,(VLOOKUP(C550,CATALOGOS!$F$2:$H$6,3,FALSE)),(VLOOKUP(V550,CATALOGOS!$J$2:$K$18,2,FALSE)),""-"",TO_TEXT(A550))"),"P13LP-0549")</f>
        <v>P13LP-0549</v>
      </c>
      <c r="H550" s="6" t="str">
        <f ca="1">IFERROR(__xludf.DUMMYFUNCTION("CONCATENATE($B550,(VLOOKUP($C550,CATALOGOS!$F$2:$H$6,3,FALSE)),(VLOOKUP($V550,CATALOGOS!$J$2:$K$18,2,FALSE)),""-"",TO_TEXT($A550))"),"P13LP-0549")</f>
        <v>P13LP-0549</v>
      </c>
      <c r="I550" s="6"/>
      <c r="J550" s="6" t="s">
        <v>3863</v>
      </c>
      <c r="K550" s="6" t="s">
        <v>3864</v>
      </c>
      <c r="L550" s="36"/>
      <c r="M550" s="6" t="s">
        <v>141</v>
      </c>
      <c r="N550" s="17"/>
      <c r="O550" s="17"/>
      <c r="P550" s="17" t="str">
        <f t="shared" si="3"/>
        <v>REPETIDO</v>
      </c>
      <c r="Q550" s="17" t="s">
        <v>35</v>
      </c>
      <c r="R550" s="6" t="s">
        <v>35</v>
      </c>
      <c r="S550" s="6" t="s">
        <v>36</v>
      </c>
      <c r="T550" s="10" t="s">
        <v>3865</v>
      </c>
      <c r="U550" s="173" t="s">
        <v>38</v>
      </c>
      <c r="V550" s="11" t="s">
        <v>2328</v>
      </c>
      <c r="W550" s="20" t="s">
        <v>2329</v>
      </c>
      <c r="X550" s="22" t="s">
        <v>3450</v>
      </c>
      <c r="Y550" s="22"/>
      <c r="Z550" s="7"/>
      <c r="AA550" s="7"/>
      <c r="AB550" s="23"/>
      <c r="AC550" s="26"/>
    </row>
    <row r="551" spans="1:29" ht="15.75" customHeight="1">
      <c r="A551" s="10" t="s">
        <v>3866</v>
      </c>
      <c r="B551" s="10" t="s">
        <v>1469</v>
      </c>
      <c r="C551" s="52" t="s">
        <v>868</v>
      </c>
      <c r="D551" s="12"/>
      <c r="E551" s="13" t="s">
        <v>378</v>
      </c>
      <c r="F551" s="6" t="s">
        <v>3867</v>
      </c>
      <c r="G551" s="6" t="str">
        <f ca="1">IFERROR(__xludf.DUMMYFUNCTION("CONCATENATE(B551,(VLOOKUP(C551,CATALOGOS!$F$2:$H$6,3,FALSE)),(VLOOKUP(V551,CATALOGOS!$J$2:$K$18,2,FALSE)),""-"",TO_TEXT(A551))"),"P13LP-0550")</f>
        <v>P13LP-0550</v>
      </c>
      <c r="H551" s="6" t="str">
        <f ca="1">IFERROR(__xludf.DUMMYFUNCTION("CONCATENATE($B551,(VLOOKUP($C551,CATALOGOS!$F$2:$H$6,3,FALSE)),(VLOOKUP($V551,CATALOGOS!$J$2:$K$18,2,FALSE)),""-"",TO_TEXT($A551))"),"P13LP-0550")</f>
        <v>P13LP-0550</v>
      </c>
      <c r="I551" s="6"/>
      <c r="J551" s="6" t="s">
        <v>3868</v>
      </c>
      <c r="K551" s="6" t="s">
        <v>3869</v>
      </c>
      <c r="L551" s="6" t="s">
        <v>3870</v>
      </c>
      <c r="M551" s="6" t="s">
        <v>141</v>
      </c>
      <c r="N551" s="17"/>
      <c r="O551" s="17"/>
      <c r="P551" s="17" t="str">
        <f t="shared" si="3"/>
        <v>REPETIDO</v>
      </c>
      <c r="Q551" s="17" t="s">
        <v>35</v>
      </c>
      <c r="R551" s="6" t="s">
        <v>35</v>
      </c>
      <c r="S551" s="17" t="s">
        <v>36</v>
      </c>
      <c r="T551" s="17" t="s">
        <v>3871</v>
      </c>
      <c r="U551" s="173" t="s">
        <v>38</v>
      </c>
      <c r="V551" s="11" t="s">
        <v>2328</v>
      </c>
      <c r="W551" s="20" t="s">
        <v>2329</v>
      </c>
      <c r="X551" s="22" t="s">
        <v>3450</v>
      </c>
      <c r="Y551" s="22"/>
      <c r="Z551" s="7"/>
      <c r="AA551" s="7"/>
      <c r="AB551" s="23"/>
      <c r="AC551" s="26"/>
    </row>
    <row r="552" spans="1:29" ht="15.75" customHeight="1">
      <c r="A552" s="10" t="s">
        <v>3872</v>
      </c>
      <c r="B552" s="10" t="s">
        <v>1469</v>
      </c>
      <c r="C552" s="52" t="s">
        <v>868</v>
      </c>
      <c r="D552" s="12"/>
      <c r="E552" s="13" t="s">
        <v>378</v>
      </c>
      <c r="F552" s="6" t="s">
        <v>3867</v>
      </c>
      <c r="G552" s="6" t="str">
        <f ca="1">IFERROR(__xludf.DUMMYFUNCTION("CONCATENATE(B552,(VLOOKUP(C552,CATALOGOS!$F$2:$H$6,3,FALSE)),(VLOOKUP(V552,CATALOGOS!$J$2:$K$18,2,FALSE)),""-"",TO_TEXT(A552))"),"P13LP-0551")</f>
        <v>P13LP-0551</v>
      </c>
      <c r="H552" s="6" t="str">
        <f ca="1">IFERROR(__xludf.DUMMYFUNCTION("CONCATENATE($B552,(VLOOKUP($C552,CATALOGOS!$F$2:$H$6,3,FALSE)),(VLOOKUP($V552,CATALOGOS!$J$2:$K$18,2,FALSE)),""-"",TO_TEXT($A552))"),"P13LP-0551")</f>
        <v>P13LP-0551</v>
      </c>
      <c r="I552" s="6"/>
      <c r="J552" s="6" t="s">
        <v>3873</v>
      </c>
      <c r="K552" s="6" t="s">
        <v>3874</v>
      </c>
      <c r="L552" s="6" t="s">
        <v>3875</v>
      </c>
      <c r="M552" s="43" t="s">
        <v>3876</v>
      </c>
      <c r="N552" s="17"/>
      <c r="O552" s="17"/>
      <c r="P552" s="17" t="str">
        <f t="shared" si="3"/>
        <v>OK</v>
      </c>
      <c r="Q552" s="17" t="s">
        <v>35</v>
      </c>
      <c r="R552" s="6" t="s">
        <v>35</v>
      </c>
      <c r="S552" s="17" t="s">
        <v>36</v>
      </c>
      <c r="T552" s="17" t="s">
        <v>3877</v>
      </c>
      <c r="U552" s="173" t="s">
        <v>38</v>
      </c>
      <c r="V552" s="11" t="s">
        <v>2328</v>
      </c>
      <c r="W552" s="20" t="s">
        <v>2329</v>
      </c>
      <c r="X552" s="22" t="s">
        <v>3450</v>
      </c>
      <c r="Y552" s="22"/>
      <c r="Z552" s="7"/>
      <c r="AA552" s="7"/>
      <c r="AB552" s="23"/>
      <c r="AC552" s="26"/>
    </row>
    <row r="553" spans="1:29" ht="15.75" customHeight="1">
      <c r="A553" s="10" t="s">
        <v>3878</v>
      </c>
      <c r="B553" s="10" t="s">
        <v>1469</v>
      </c>
      <c r="C553" s="52" t="s">
        <v>868</v>
      </c>
      <c r="D553" s="12"/>
      <c r="E553" s="13" t="s">
        <v>184</v>
      </c>
      <c r="F553" s="6" t="s">
        <v>3879</v>
      </c>
      <c r="G553" s="6" t="str">
        <f ca="1">IFERROR(__xludf.DUMMYFUNCTION("CONCATENATE(B553,(VLOOKUP(C553,CATALOGOS!$F$2:$H$6,3,FALSE)),(VLOOKUP(V553,CATALOGOS!$J$2:$K$18,2,FALSE)),""-"",TO_TEXT(A553))"),"P13LP-0552")</f>
        <v>P13LP-0552</v>
      </c>
      <c r="H553" s="6" t="str">
        <f ca="1">IFERROR(__xludf.DUMMYFUNCTION("CONCATENATE($B553,(VLOOKUP($C553,CATALOGOS!$F$2:$H$6,3,FALSE)),(VLOOKUP($V553,CATALOGOS!$J$2:$K$18,2,FALSE)),""-"",TO_TEXT($A553))"),"P13LP-0552")</f>
        <v>P13LP-0552</v>
      </c>
      <c r="I553" s="6"/>
      <c r="J553" s="6" t="s">
        <v>3880</v>
      </c>
      <c r="K553" s="6" t="s">
        <v>3881</v>
      </c>
      <c r="L553" s="6" t="s">
        <v>3882</v>
      </c>
      <c r="M553" s="6" t="s">
        <v>3883</v>
      </c>
      <c r="N553" s="17"/>
      <c r="O553" s="17"/>
      <c r="P553" s="17" t="str">
        <f t="shared" si="3"/>
        <v>OK</v>
      </c>
      <c r="Q553" s="17" t="s">
        <v>35</v>
      </c>
      <c r="R553" s="6" t="s">
        <v>35</v>
      </c>
      <c r="S553" s="17" t="s">
        <v>36</v>
      </c>
      <c r="T553" s="17" t="s">
        <v>3884</v>
      </c>
      <c r="U553" s="173" t="s">
        <v>38</v>
      </c>
      <c r="V553" s="11" t="s">
        <v>2328</v>
      </c>
      <c r="W553" s="20" t="s">
        <v>2329</v>
      </c>
      <c r="X553" s="22" t="s">
        <v>3450</v>
      </c>
      <c r="Y553" s="22"/>
      <c r="Z553" s="7"/>
      <c r="AA553" s="7"/>
      <c r="AB553" s="23"/>
      <c r="AC553" s="26"/>
    </row>
    <row r="554" spans="1:29" ht="15.75" customHeight="1">
      <c r="A554" s="10" t="s">
        <v>3885</v>
      </c>
      <c r="B554" s="10" t="s">
        <v>1469</v>
      </c>
      <c r="C554" s="52" t="s">
        <v>868</v>
      </c>
      <c r="D554" s="12"/>
      <c r="E554" s="13" t="s">
        <v>93</v>
      </c>
      <c r="F554" s="6" t="s">
        <v>3886</v>
      </c>
      <c r="G554" s="6" t="str">
        <f ca="1">IFERROR(__xludf.DUMMYFUNCTION("CONCATENATE(B554,(VLOOKUP(C554,CATALOGOS!$F$2:$H$6,3,FALSE)),(VLOOKUP(V554,CATALOGOS!$J$2:$K$18,2,FALSE)),""-"",TO_TEXT(A554))"),"P13LP-0553")</f>
        <v>P13LP-0553</v>
      </c>
      <c r="H554" s="6" t="str">
        <f ca="1">IFERROR(__xludf.DUMMYFUNCTION("CONCATENATE($B554,(VLOOKUP($C554,CATALOGOS!$F$2:$H$6,3,FALSE)),(VLOOKUP($V554,CATALOGOS!$J$2:$K$18,2,FALSE)),""-"",TO_TEXT($A554))"),"P13LP-0553")</f>
        <v>P13LP-0553</v>
      </c>
      <c r="I554" s="6"/>
      <c r="J554" s="6" t="s">
        <v>3887</v>
      </c>
      <c r="K554" s="6" t="s">
        <v>3888</v>
      </c>
      <c r="L554" s="6" t="s">
        <v>3889</v>
      </c>
      <c r="M554" s="6" t="s">
        <v>3890</v>
      </c>
      <c r="N554" s="17"/>
      <c r="O554" s="17"/>
      <c r="P554" s="17" t="str">
        <f t="shared" si="3"/>
        <v>OK</v>
      </c>
      <c r="Q554" s="17" t="s">
        <v>35</v>
      </c>
      <c r="R554" s="6" t="s">
        <v>35</v>
      </c>
      <c r="S554" s="17" t="s">
        <v>36</v>
      </c>
      <c r="T554" s="17" t="s">
        <v>3891</v>
      </c>
      <c r="U554" s="173" t="s">
        <v>38</v>
      </c>
      <c r="V554" s="11" t="s">
        <v>2328</v>
      </c>
      <c r="W554" s="20" t="s">
        <v>2329</v>
      </c>
      <c r="X554" s="22" t="s">
        <v>3450</v>
      </c>
      <c r="Y554" s="22"/>
      <c r="Z554" s="7"/>
      <c r="AA554" s="7"/>
      <c r="AB554" s="23"/>
      <c r="AC554" s="26"/>
    </row>
    <row r="555" spans="1:29" ht="15.75" customHeight="1">
      <c r="A555" s="10" t="s">
        <v>3892</v>
      </c>
      <c r="B555" s="10" t="s">
        <v>1469</v>
      </c>
      <c r="C555" s="52" t="s">
        <v>868</v>
      </c>
      <c r="D555" s="12"/>
      <c r="E555" s="13" t="s">
        <v>93</v>
      </c>
      <c r="F555" s="6" t="s">
        <v>3893</v>
      </c>
      <c r="G555" s="6" t="str">
        <f ca="1">IFERROR(__xludf.DUMMYFUNCTION("CONCATENATE(B555,(VLOOKUP(C555,CATALOGOS!$F$2:$H$6,3,FALSE)),(VLOOKUP(V555,CATALOGOS!$J$2:$K$18,2,FALSE)),""-"",TO_TEXT(A555))"),"P13LP-0554")</f>
        <v>P13LP-0554</v>
      </c>
      <c r="H555" s="6" t="str">
        <f ca="1">IFERROR(__xludf.DUMMYFUNCTION("CONCATENATE($B555,(VLOOKUP($C555,CATALOGOS!$F$2:$H$6,3,FALSE)),(VLOOKUP($V555,CATALOGOS!$J$2:$K$18,2,FALSE)),""-"",TO_TEXT($A555))"),"P13LP-0554")</f>
        <v>P13LP-0554</v>
      </c>
      <c r="I555" s="6"/>
      <c r="J555" s="6" t="s">
        <v>3894</v>
      </c>
      <c r="K555" s="6" t="s">
        <v>3895</v>
      </c>
      <c r="L555" s="6" t="s">
        <v>3896</v>
      </c>
      <c r="M555" s="6" t="s">
        <v>3897</v>
      </c>
      <c r="N555" s="17"/>
      <c r="O555" s="17"/>
      <c r="P555" s="17" t="str">
        <f t="shared" si="3"/>
        <v>OK</v>
      </c>
      <c r="Q555" s="17" t="s">
        <v>35</v>
      </c>
      <c r="R555" s="6" t="s">
        <v>35</v>
      </c>
      <c r="S555" s="17" t="s">
        <v>36</v>
      </c>
      <c r="T555" s="17" t="s">
        <v>3898</v>
      </c>
      <c r="U555" s="173" t="s">
        <v>38</v>
      </c>
      <c r="V555" s="11" t="s">
        <v>2328</v>
      </c>
      <c r="W555" s="20" t="s">
        <v>2329</v>
      </c>
      <c r="X555" s="22" t="s">
        <v>3450</v>
      </c>
      <c r="Y555" s="22"/>
      <c r="Z555" s="7"/>
      <c r="AA555" s="7"/>
      <c r="AB555" s="23"/>
      <c r="AC555" s="26"/>
    </row>
    <row r="556" spans="1:29" ht="15.75" customHeight="1">
      <c r="A556" s="10" t="s">
        <v>3899</v>
      </c>
      <c r="B556" s="10" t="s">
        <v>1469</v>
      </c>
      <c r="C556" s="52" t="s">
        <v>868</v>
      </c>
      <c r="D556" s="12"/>
      <c r="E556" s="13" t="s">
        <v>43</v>
      </c>
      <c r="F556" s="6" t="s">
        <v>1850</v>
      </c>
      <c r="G556" s="6" t="str">
        <f ca="1">IFERROR(__xludf.DUMMYFUNCTION("CONCATENATE(B556,(VLOOKUP(C556,CATALOGOS!$F$2:$H$6,3,FALSE)),(VLOOKUP(V556,CATALOGOS!$J$2:$K$18,2,FALSE)),""-"",TO_TEXT(A556))"),"P13LP-0555")</f>
        <v>P13LP-0555</v>
      </c>
      <c r="H556" s="6" t="str">
        <f ca="1">IFERROR(__xludf.DUMMYFUNCTION("CONCATENATE($B556,(VLOOKUP($C556,CATALOGOS!$F$2:$H$6,3,FALSE)),(VLOOKUP($V556,CATALOGOS!$J$2:$K$18,2,FALSE)),""-"",TO_TEXT($A556))"),"P13LP-0555")</f>
        <v>P13LP-0555</v>
      </c>
      <c r="I556" s="6"/>
      <c r="J556" s="6" t="s">
        <v>3900</v>
      </c>
      <c r="K556" s="6" t="s">
        <v>3901</v>
      </c>
      <c r="L556" s="6" t="s">
        <v>3902</v>
      </c>
      <c r="M556" s="6" t="s">
        <v>3903</v>
      </c>
      <c r="N556" s="17"/>
      <c r="O556" s="17"/>
      <c r="P556" s="17" t="str">
        <f t="shared" si="3"/>
        <v>OK</v>
      </c>
      <c r="Q556" s="17" t="s">
        <v>49</v>
      </c>
      <c r="R556" s="6">
        <v>3358</v>
      </c>
      <c r="S556" s="17" t="s">
        <v>36</v>
      </c>
      <c r="T556" s="10" t="s">
        <v>3904</v>
      </c>
      <c r="U556" s="173" t="s">
        <v>38</v>
      </c>
      <c r="V556" s="11" t="s">
        <v>2328</v>
      </c>
      <c r="W556" s="20" t="s">
        <v>2329</v>
      </c>
      <c r="X556" s="22" t="s">
        <v>3450</v>
      </c>
      <c r="Y556" s="22"/>
      <c r="Z556" s="7"/>
      <c r="AA556" s="7"/>
      <c r="AB556" s="23"/>
      <c r="AC556" s="26"/>
    </row>
    <row r="557" spans="1:29" ht="15.75" customHeight="1">
      <c r="A557" s="10" t="s">
        <v>3905</v>
      </c>
      <c r="B557" s="10" t="s">
        <v>1469</v>
      </c>
      <c r="C557" s="52" t="s">
        <v>868</v>
      </c>
      <c r="D557" s="12"/>
      <c r="E557" s="13" t="s">
        <v>62</v>
      </c>
      <c r="F557" s="6" t="s">
        <v>3906</v>
      </c>
      <c r="G557" s="6" t="str">
        <f ca="1">IFERROR(__xludf.DUMMYFUNCTION("CONCATENATE(B557,(VLOOKUP(C557,CATALOGOS!$F$2:$H$6,3,FALSE)),(VLOOKUP(V557,CATALOGOS!$J$2:$K$18,2,FALSE)),""-"",TO_TEXT(A557))"),"P13LP-0556")</f>
        <v>P13LP-0556</v>
      </c>
      <c r="H557" s="6" t="str">
        <f ca="1">IFERROR(__xludf.DUMMYFUNCTION("CONCATENATE($B557,(VLOOKUP($C557,CATALOGOS!$F$2:$H$6,3,FALSE)),(VLOOKUP($V557,CATALOGOS!$J$2:$K$18,2,FALSE)),""-"",TO_TEXT($A557))"),"P13LP-0556")</f>
        <v>P13LP-0556</v>
      </c>
      <c r="I557" s="6"/>
      <c r="J557" s="6" t="s">
        <v>3907</v>
      </c>
      <c r="K557" s="6" t="s">
        <v>3908</v>
      </c>
      <c r="L557" s="6" t="s">
        <v>3909</v>
      </c>
      <c r="M557" s="6" t="s">
        <v>3910</v>
      </c>
      <c r="N557" s="17"/>
      <c r="O557" s="17"/>
      <c r="P557" s="17" t="str">
        <f t="shared" si="3"/>
        <v>OK</v>
      </c>
      <c r="Q557" s="17" t="s">
        <v>35</v>
      </c>
      <c r="R557" s="6" t="s">
        <v>35</v>
      </c>
      <c r="S557" s="17" t="s">
        <v>36</v>
      </c>
      <c r="T557" s="17" t="s">
        <v>3911</v>
      </c>
      <c r="U557" s="173" t="s">
        <v>38</v>
      </c>
      <c r="V557" s="11" t="s">
        <v>2328</v>
      </c>
      <c r="W557" s="20" t="s">
        <v>2329</v>
      </c>
      <c r="X557" s="22" t="s">
        <v>3450</v>
      </c>
      <c r="Y557" s="22"/>
      <c r="Z557" s="7"/>
      <c r="AA557" s="7"/>
      <c r="AB557" s="23"/>
      <c r="AC557" s="26"/>
    </row>
    <row r="558" spans="1:29" ht="15.75" customHeight="1">
      <c r="A558" s="10" t="s">
        <v>3912</v>
      </c>
      <c r="B558" s="10" t="s">
        <v>1469</v>
      </c>
      <c r="C558" s="52" t="s">
        <v>868</v>
      </c>
      <c r="D558" s="12"/>
      <c r="E558" s="13" t="s">
        <v>29</v>
      </c>
      <c r="F558" s="6" t="s">
        <v>29</v>
      </c>
      <c r="G558" s="6" t="str">
        <f ca="1">IFERROR(__xludf.DUMMYFUNCTION("CONCATENATE(B558,(VLOOKUP(C558,CATALOGOS!$F$2:$H$6,3,FALSE)),(VLOOKUP(V558,CATALOGOS!$J$2:$K$18,2,FALSE)),""-"",TO_TEXT(A558))"),"P13LP-0557")</f>
        <v>P13LP-0557</v>
      </c>
      <c r="H558" s="6" t="str">
        <f ca="1">IFERROR(__xludf.DUMMYFUNCTION("CONCATENATE($B558,(VLOOKUP($C558,CATALOGOS!$F$2:$H$6,3,FALSE)),(VLOOKUP($V558,CATALOGOS!$J$2:$K$18,2,FALSE)),""-"",TO_TEXT($A558))"),"P13LP-0557")</f>
        <v>P13LP-0557</v>
      </c>
      <c r="I558" s="6"/>
      <c r="J558" s="6" t="s">
        <v>3913</v>
      </c>
      <c r="K558" s="54"/>
      <c r="L558" s="6" t="s">
        <v>3914</v>
      </c>
      <c r="M558" s="6" t="s">
        <v>3915</v>
      </c>
      <c r="N558" s="17"/>
      <c r="O558" s="17"/>
      <c r="P558" s="17" t="str">
        <f t="shared" si="3"/>
        <v>OK</v>
      </c>
      <c r="Q558" s="17" t="s">
        <v>35</v>
      </c>
      <c r="R558" s="6" t="s">
        <v>35</v>
      </c>
      <c r="S558" s="17" t="s">
        <v>36</v>
      </c>
      <c r="T558" s="17" t="s">
        <v>3916</v>
      </c>
      <c r="U558" s="173" t="s">
        <v>38</v>
      </c>
      <c r="V558" s="11" t="s">
        <v>2328</v>
      </c>
      <c r="W558" s="20" t="s">
        <v>2329</v>
      </c>
      <c r="X558" s="22" t="s">
        <v>3450</v>
      </c>
      <c r="Y558" s="22"/>
      <c r="Z558" s="7"/>
      <c r="AA558" s="7"/>
      <c r="AB558" s="23"/>
      <c r="AC558" s="26"/>
    </row>
    <row r="559" spans="1:29" ht="15.75" customHeight="1">
      <c r="A559" s="10" t="s">
        <v>3917</v>
      </c>
      <c r="B559" s="10" t="s">
        <v>1469</v>
      </c>
      <c r="C559" s="52" t="s">
        <v>868</v>
      </c>
      <c r="D559" s="12"/>
      <c r="E559" s="13" t="s">
        <v>3521</v>
      </c>
      <c r="F559" s="6" t="s">
        <v>1510</v>
      </c>
      <c r="G559" s="6" t="str">
        <f ca="1">IFERROR(__xludf.DUMMYFUNCTION("CONCATENATE(B559,(VLOOKUP(C559,CATALOGOS!$F$2:$H$6,3,FALSE)),(VLOOKUP(V559,CATALOGOS!$J$2:$K$18,2,FALSE)),""-"",TO_TEXT(A559))"),"P13LP-0558")</f>
        <v>P13LP-0558</v>
      </c>
      <c r="H559" s="6" t="str">
        <f ca="1">IFERROR(__xludf.DUMMYFUNCTION("CONCATENATE($B559,(VLOOKUP($C559,CATALOGOS!$F$2:$H$6,3,FALSE)),(VLOOKUP($V559,CATALOGOS!$J$2:$K$18,2,FALSE)),""-"",TO_TEXT($A559))"),"P13LP-0558")</f>
        <v>P13LP-0558</v>
      </c>
      <c r="I559" s="6"/>
      <c r="J559" s="6" t="s">
        <v>3918</v>
      </c>
      <c r="K559" s="54"/>
      <c r="L559" s="6" t="s">
        <v>3919</v>
      </c>
      <c r="M559" s="6" t="s">
        <v>3920</v>
      </c>
      <c r="N559" s="17"/>
      <c r="O559" s="17"/>
      <c r="P559" s="17" t="str">
        <f t="shared" si="3"/>
        <v>OK</v>
      </c>
      <c r="Q559" s="17" t="s">
        <v>35</v>
      </c>
      <c r="R559" s="6" t="s">
        <v>35</v>
      </c>
      <c r="S559" s="17" t="s">
        <v>36</v>
      </c>
      <c r="T559" s="17" t="s">
        <v>3921</v>
      </c>
      <c r="U559" s="173" t="s">
        <v>38</v>
      </c>
      <c r="V559" s="11" t="s">
        <v>2328</v>
      </c>
      <c r="W559" s="20" t="s">
        <v>2329</v>
      </c>
      <c r="X559" s="22" t="s">
        <v>3450</v>
      </c>
      <c r="Y559" s="22"/>
      <c r="Z559" s="7"/>
      <c r="AA559" s="7"/>
      <c r="AB559" s="23"/>
      <c r="AC559" s="26"/>
    </row>
    <row r="560" spans="1:29" ht="15.75" customHeight="1">
      <c r="A560" s="10" t="s">
        <v>3922</v>
      </c>
      <c r="B560" s="10" t="s">
        <v>1469</v>
      </c>
      <c r="C560" s="52" t="s">
        <v>868</v>
      </c>
      <c r="D560" s="12"/>
      <c r="E560" s="13" t="s">
        <v>116</v>
      </c>
      <c r="F560" s="6" t="s">
        <v>8440</v>
      </c>
      <c r="G560" s="6" t="str">
        <f ca="1">IFERROR(__xludf.DUMMYFUNCTION("CONCATENATE(B560,(VLOOKUP(C560,CATALOGOS!$F$2:$H$6,3,FALSE)),(VLOOKUP(V560,CATALOGOS!$J$2:$K$18,2,FALSE)),""-"",TO_TEXT(A560))"),"P13LP-0559")</f>
        <v>P13LP-0559</v>
      </c>
      <c r="H560" s="6" t="str">
        <f ca="1">IFERROR(__xludf.DUMMYFUNCTION("CONCATENATE($B560,(VLOOKUP($C560,CATALOGOS!$F$2:$H$6,3,FALSE)),(VLOOKUP($V560,CATALOGOS!$J$2:$K$18,2,FALSE)),""-"",TO_TEXT($A560))"),"P13LP-0559")</f>
        <v>P13LP-0559</v>
      </c>
      <c r="I560" s="6"/>
      <c r="J560" s="6" t="s">
        <v>3924</v>
      </c>
      <c r="K560" s="6" t="s">
        <v>3925</v>
      </c>
      <c r="L560" s="6" t="s">
        <v>3926</v>
      </c>
      <c r="M560" s="6" t="s">
        <v>3927</v>
      </c>
      <c r="N560" s="17"/>
      <c r="O560" s="17"/>
      <c r="P560" s="17" t="str">
        <f t="shared" si="3"/>
        <v>OK</v>
      </c>
      <c r="Q560" s="17" t="s">
        <v>35</v>
      </c>
      <c r="R560" s="6" t="s">
        <v>35</v>
      </c>
      <c r="S560" s="17" t="s">
        <v>36</v>
      </c>
      <c r="T560" s="17" t="s">
        <v>3928</v>
      </c>
      <c r="U560" s="173" t="s">
        <v>38</v>
      </c>
      <c r="V560" s="11" t="s">
        <v>2328</v>
      </c>
      <c r="W560" s="20" t="s">
        <v>2329</v>
      </c>
      <c r="X560" s="22" t="s">
        <v>3450</v>
      </c>
      <c r="Y560" s="22"/>
      <c r="Z560" s="7"/>
      <c r="AA560" s="7"/>
      <c r="AB560" s="23"/>
      <c r="AC560" s="26"/>
    </row>
    <row r="561" spans="1:29" ht="15.75" customHeight="1">
      <c r="A561" s="10" t="s">
        <v>3929</v>
      </c>
      <c r="B561" s="10" t="s">
        <v>1469</v>
      </c>
      <c r="C561" s="52" t="s">
        <v>868</v>
      </c>
      <c r="D561" s="12"/>
      <c r="E561" s="13" t="s">
        <v>1240</v>
      </c>
      <c r="F561" s="43" t="s">
        <v>278</v>
      </c>
      <c r="G561" s="6" t="str">
        <f ca="1">IFERROR(__xludf.DUMMYFUNCTION("CONCATENATE(B561,(VLOOKUP(C561,CATALOGOS!$F$2:$H$6,3,FALSE)),(VLOOKUP(V561,CATALOGOS!$J$2:$K$18,2,FALSE)),""-"",TO_TEXT(A561))"),"P13LP-0560")</f>
        <v>P13LP-0560</v>
      </c>
      <c r="H561" s="6" t="str">
        <f ca="1">IFERROR(__xludf.DUMMYFUNCTION("CONCATENATE($B561,(VLOOKUP($C561,CATALOGOS!$F$2:$H$6,3,FALSE)),(VLOOKUP($V561,CATALOGOS!$J$2:$K$18,2,FALSE)),""-"",TO_TEXT($A561))"),"P13LP-0560")</f>
        <v>P13LP-0560</v>
      </c>
      <c r="I561" s="6"/>
      <c r="J561" s="6" t="s">
        <v>3931</v>
      </c>
      <c r="K561" s="6" t="s">
        <v>3932</v>
      </c>
      <c r="L561" s="6" t="s">
        <v>3933</v>
      </c>
      <c r="M561" s="6" t="s">
        <v>3934</v>
      </c>
      <c r="N561" s="17"/>
      <c r="O561" s="17"/>
      <c r="P561" s="17" t="str">
        <f t="shared" si="3"/>
        <v>OK</v>
      </c>
      <c r="Q561" s="35" t="s">
        <v>35</v>
      </c>
      <c r="R561" s="6" t="s">
        <v>35</v>
      </c>
      <c r="S561" s="17" t="s">
        <v>36</v>
      </c>
      <c r="T561" s="17" t="s">
        <v>3935</v>
      </c>
      <c r="U561" s="173" t="s">
        <v>38</v>
      </c>
      <c r="V561" s="11" t="s">
        <v>2328</v>
      </c>
      <c r="W561" s="20" t="s">
        <v>2329</v>
      </c>
      <c r="X561" s="22" t="s">
        <v>3450</v>
      </c>
      <c r="Y561" s="22"/>
      <c r="Z561" s="7"/>
      <c r="AA561" s="7"/>
      <c r="AB561" s="23"/>
      <c r="AC561" s="26"/>
    </row>
    <row r="562" spans="1:29" ht="15.75" customHeight="1">
      <c r="A562" s="10" t="s">
        <v>3936</v>
      </c>
      <c r="B562" s="10" t="s">
        <v>1469</v>
      </c>
      <c r="C562" s="52" t="s">
        <v>868</v>
      </c>
      <c r="D562" s="12"/>
      <c r="E562" s="13" t="s">
        <v>1240</v>
      </c>
      <c r="F562" s="43" t="s">
        <v>278</v>
      </c>
      <c r="G562" s="6" t="str">
        <f ca="1">IFERROR(__xludf.DUMMYFUNCTION("CONCATENATE(B562,(VLOOKUP(C562,CATALOGOS!$F$2:$H$6,3,FALSE)),(VLOOKUP(V562,CATALOGOS!$J$2:$K$18,2,FALSE)),""-"",TO_TEXT(A562))"),"P13LP-0561")</f>
        <v>P13LP-0561</v>
      </c>
      <c r="H562" s="6" t="str">
        <f ca="1">IFERROR(__xludf.DUMMYFUNCTION("CONCATENATE($B562,(VLOOKUP($C562,CATALOGOS!$F$2:$H$6,3,FALSE)),(VLOOKUP($V562,CATALOGOS!$J$2:$K$18,2,FALSE)),""-"",TO_TEXT($A562))"),"P13LP-0561")</f>
        <v>P13LP-0561</v>
      </c>
      <c r="I562" s="6"/>
      <c r="J562" s="6" t="s">
        <v>3937</v>
      </c>
      <c r="K562" s="6" t="s">
        <v>3938</v>
      </c>
      <c r="L562" s="6" t="s">
        <v>3939</v>
      </c>
      <c r="M562" s="6" t="s">
        <v>3940</v>
      </c>
      <c r="N562" s="17"/>
      <c r="O562" s="17"/>
      <c r="P562" s="17" t="str">
        <f t="shared" si="3"/>
        <v>OK</v>
      </c>
      <c r="Q562" s="17" t="s">
        <v>35</v>
      </c>
      <c r="R562" s="6" t="s">
        <v>35</v>
      </c>
      <c r="S562" s="17" t="s">
        <v>36</v>
      </c>
      <c r="T562" s="17" t="s">
        <v>3941</v>
      </c>
      <c r="U562" s="173" t="s">
        <v>38</v>
      </c>
      <c r="V562" s="11" t="s">
        <v>2328</v>
      </c>
      <c r="W562" s="20" t="s">
        <v>2329</v>
      </c>
      <c r="X562" s="22" t="s">
        <v>3450</v>
      </c>
      <c r="Y562" s="22"/>
      <c r="Z562" s="7"/>
      <c r="AA562" s="7"/>
      <c r="AB562" s="23"/>
      <c r="AC562" s="26"/>
    </row>
    <row r="563" spans="1:29" ht="15.75" customHeight="1">
      <c r="A563" s="10" t="s">
        <v>3942</v>
      </c>
      <c r="B563" s="10" t="s">
        <v>1469</v>
      </c>
      <c r="C563" s="52" t="s">
        <v>868</v>
      </c>
      <c r="D563" s="12"/>
      <c r="E563" s="13" t="s">
        <v>184</v>
      </c>
      <c r="F563" s="6" t="s">
        <v>2677</v>
      </c>
      <c r="G563" s="6" t="str">
        <f ca="1">IFERROR(__xludf.DUMMYFUNCTION("CONCATENATE(B563,(VLOOKUP(C563,CATALOGOS!$F$2:$H$6,3,FALSE)),(VLOOKUP(V563,CATALOGOS!$J$2:$K$18,2,FALSE)),""-"",TO_TEXT(A563))"),"P13LP-0562")</f>
        <v>P13LP-0562</v>
      </c>
      <c r="H563" s="6" t="str">
        <f ca="1">IFERROR(__xludf.DUMMYFUNCTION("CONCATENATE($B563,(VLOOKUP($C563,CATALOGOS!$F$2:$H$6,3,FALSE)),(VLOOKUP($V563,CATALOGOS!$J$2:$K$18,2,FALSE)),""-"",TO_TEXT($A563))"),"P13LP-0562")</f>
        <v>P13LP-0562</v>
      </c>
      <c r="I563" s="6"/>
      <c r="J563" s="6" t="s">
        <v>3943</v>
      </c>
      <c r="K563" s="6" t="s">
        <v>3944</v>
      </c>
      <c r="L563" s="6" t="s">
        <v>3945</v>
      </c>
      <c r="M563" s="6" t="s">
        <v>3946</v>
      </c>
      <c r="N563" s="17"/>
      <c r="O563" s="17"/>
      <c r="P563" s="17" t="str">
        <f t="shared" si="3"/>
        <v>OK</v>
      </c>
      <c r="Q563" s="17" t="s">
        <v>35</v>
      </c>
      <c r="R563" s="6" t="s">
        <v>35</v>
      </c>
      <c r="S563" s="17" t="s">
        <v>36</v>
      </c>
      <c r="T563" s="17" t="s">
        <v>3947</v>
      </c>
      <c r="U563" s="173" t="s">
        <v>38</v>
      </c>
      <c r="V563" s="11" t="s">
        <v>2328</v>
      </c>
      <c r="W563" s="20" t="s">
        <v>2329</v>
      </c>
      <c r="X563" s="22" t="s">
        <v>3450</v>
      </c>
      <c r="Y563" s="22"/>
      <c r="Z563" s="7"/>
      <c r="AA563" s="7"/>
      <c r="AB563" s="23"/>
      <c r="AC563" s="26"/>
    </row>
    <row r="564" spans="1:29" ht="15.75" customHeight="1">
      <c r="A564" s="10" t="s">
        <v>3948</v>
      </c>
      <c r="B564" s="10" t="s">
        <v>1469</v>
      </c>
      <c r="C564" s="52" t="s">
        <v>868</v>
      </c>
      <c r="D564" s="12"/>
      <c r="E564" s="13" t="s">
        <v>248</v>
      </c>
      <c r="F564" s="6" t="s">
        <v>249</v>
      </c>
      <c r="G564" s="6" t="str">
        <f ca="1">IFERROR(__xludf.DUMMYFUNCTION("CONCATENATE(B564,(VLOOKUP(C564,CATALOGOS!$F$2:$H$6,3,FALSE)),(VLOOKUP(V564,CATALOGOS!$J$2:$K$18,2,FALSE)),""-"",TO_TEXT(A564))"),"P13LP-0563")</f>
        <v>P13LP-0563</v>
      </c>
      <c r="H564" s="6" t="str">
        <f ca="1">IFERROR(__xludf.DUMMYFUNCTION("CONCATENATE($B564,(VLOOKUP($C564,CATALOGOS!$F$2:$H$6,3,FALSE)),(VLOOKUP($V564,CATALOGOS!$J$2:$K$18,2,FALSE)),""-"",TO_TEXT($A564))"),"P13LP-0563")</f>
        <v>P13LP-0563</v>
      </c>
      <c r="I564" s="6"/>
      <c r="J564" s="6" t="s">
        <v>3949</v>
      </c>
      <c r="K564" s="6" t="s">
        <v>3950</v>
      </c>
      <c r="L564" s="6" t="s">
        <v>3951</v>
      </c>
      <c r="M564" s="6" t="s">
        <v>141</v>
      </c>
      <c r="N564" s="17"/>
      <c r="O564" s="17"/>
      <c r="P564" s="17" t="str">
        <f t="shared" si="3"/>
        <v>REPETIDO</v>
      </c>
      <c r="Q564" s="17" t="s">
        <v>303</v>
      </c>
      <c r="R564" s="32" t="s">
        <v>304</v>
      </c>
      <c r="S564" s="17" t="s">
        <v>3952</v>
      </c>
      <c r="T564" s="10" t="s">
        <v>3953</v>
      </c>
      <c r="U564" s="173" t="s">
        <v>38</v>
      </c>
      <c r="V564" s="11" t="s">
        <v>2328</v>
      </c>
      <c r="W564" s="20" t="s">
        <v>2329</v>
      </c>
      <c r="X564" s="22" t="s">
        <v>3450</v>
      </c>
      <c r="Y564" s="22"/>
      <c r="Z564" s="7"/>
      <c r="AA564" s="7"/>
      <c r="AB564" s="23"/>
      <c r="AC564" s="26"/>
    </row>
    <row r="565" spans="1:29" ht="15.75" customHeight="1">
      <c r="A565" s="10" t="s">
        <v>3954</v>
      </c>
      <c r="B565" s="10" t="s">
        <v>1469</v>
      </c>
      <c r="C565" s="52" t="s">
        <v>868</v>
      </c>
      <c r="D565" s="12"/>
      <c r="E565" s="13" t="s">
        <v>199</v>
      </c>
      <c r="F565" s="6" t="s">
        <v>199</v>
      </c>
      <c r="G565" s="6" t="str">
        <f ca="1">IFERROR(__xludf.DUMMYFUNCTION("CONCATENATE(B565,(VLOOKUP(C565,CATALOGOS!$F$2:$H$6,3,FALSE)),(VLOOKUP(V565,CATALOGOS!$J$2:$K$18,2,FALSE)),""-"",TO_TEXT(A565))"),"P13LP-0564")</f>
        <v>P13LP-0564</v>
      </c>
      <c r="H565" s="6" t="str">
        <f ca="1">IFERROR(__xludf.DUMMYFUNCTION("CONCATENATE($B565,(VLOOKUP($C565,CATALOGOS!$F$2:$H$6,3,FALSE)),(VLOOKUP($V565,CATALOGOS!$J$2:$K$18,2,FALSE)),""-"",TO_TEXT($A565))"),"P13LP-0564")</f>
        <v>P13LP-0564</v>
      </c>
      <c r="I565" s="6"/>
      <c r="J565" s="6" t="s">
        <v>3955</v>
      </c>
      <c r="K565" s="6" t="s">
        <v>3956</v>
      </c>
      <c r="L565" s="6" t="s">
        <v>3957</v>
      </c>
      <c r="M565" s="6" t="s">
        <v>3958</v>
      </c>
      <c r="N565" s="17"/>
      <c r="O565" s="17"/>
      <c r="P565" s="17" t="str">
        <f t="shared" si="3"/>
        <v>OK</v>
      </c>
      <c r="Q565" s="17" t="s">
        <v>205</v>
      </c>
      <c r="R565" s="6" t="s">
        <v>3959</v>
      </c>
      <c r="S565" s="17" t="s">
        <v>3960</v>
      </c>
      <c r="T565" s="17" t="s">
        <v>3961</v>
      </c>
      <c r="U565" s="173" t="s">
        <v>38</v>
      </c>
      <c r="V565" s="11" t="s">
        <v>2328</v>
      </c>
      <c r="W565" s="20" t="s">
        <v>2329</v>
      </c>
      <c r="X565" s="22" t="s">
        <v>3450</v>
      </c>
      <c r="Y565" s="22"/>
      <c r="Z565" s="7"/>
      <c r="AA565" s="7"/>
      <c r="AB565" s="23"/>
      <c r="AC565" s="26"/>
    </row>
    <row r="566" spans="1:29" ht="15.75" customHeight="1">
      <c r="A566" s="10" t="s">
        <v>3962</v>
      </c>
      <c r="B566" s="10" t="s">
        <v>1469</v>
      </c>
      <c r="C566" s="52" t="s">
        <v>868</v>
      </c>
      <c r="D566" s="12"/>
      <c r="E566" s="13" t="s">
        <v>151</v>
      </c>
      <c r="F566" s="6" t="s">
        <v>963</v>
      </c>
      <c r="G566" s="6" t="str">
        <f ca="1">IFERROR(__xludf.DUMMYFUNCTION("CONCATENATE(B566,(VLOOKUP(C566,CATALOGOS!$F$2:$H$6,3,FALSE)),(VLOOKUP(V566,CATALOGOS!$J$2:$K$18,2,FALSE)),""-"",TO_TEXT(A566))"),"P13LP-0565")</f>
        <v>P13LP-0565</v>
      </c>
      <c r="H566" s="6" t="str">
        <f ca="1">IFERROR(__xludf.DUMMYFUNCTION("CONCATENATE($B566,(VLOOKUP($C566,CATALOGOS!$F$2:$H$6,3,FALSE)),(VLOOKUP($V566,CATALOGOS!$J$2:$K$18,2,FALSE)),""-"",TO_TEXT($A566))"),"P13LP-0565")</f>
        <v>P13LP-0565</v>
      </c>
      <c r="I566" s="6"/>
      <c r="J566" s="6" t="s">
        <v>3963</v>
      </c>
      <c r="K566" s="6" t="s">
        <v>3964</v>
      </c>
      <c r="L566" s="6" t="s">
        <v>3965</v>
      </c>
      <c r="M566" s="6" t="s">
        <v>3966</v>
      </c>
      <c r="N566" s="17"/>
      <c r="O566" s="17"/>
      <c r="P566" s="17" t="str">
        <f t="shared" si="3"/>
        <v>OK</v>
      </c>
      <c r="Q566" s="17" t="s">
        <v>205</v>
      </c>
      <c r="R566" s="6" t="s">
        <v>3967</v>
      </c>
      <c r="S566" s="17" t="s">
        <v>3968</v>
      </c>
      <c r="T566" s="17" t="s">
        <v>3969</v>
      </c>
      <c r="U566" s="173" t="s">
        <v>38</v>
      </c>
      <c r="V566" s="11" t="s">
        <v>2328</v>
      </c>
      <c r="W566" s="20" t="s">
        <v>2329</v>
      </c>
      <c r="X566" s="22" t="s">
        <v>3450</v>
      </c>
      <c r="Y566" s="22"/>
      <c r="Z566" s="7"/>
      <c r="AA566" s="7"/>
      <c r="AB566" s="23"/>
      <c r="AC566" s="26"/>
    </row>
    <row r="567" spans="1:29" ht="15.75" customHeight="1">
      <c r="A567" s="10" t="s">
        <v>3970</v>
      </c>
      <c r="B567" s="10" t="s">
        <v>1469</v>
      </c>
      <c r="C567" s="52" t="s">
        <v>868</v>
      </c>
      <c r="D567" s="38"/>
      <c r="E567" s="13" t="s">
        <v>162</v>
      </c>
      <c r="F567" s="6" t="s">
        <v>285</v>
      </c>
      <c r="G567" s="6" t="str">
        <f ca="1">IFERROR(__xludf.DUMMYFUNCTION("CONCATENATE(B567,(VLOOKUP(C567,CATALOGOS!$F$2:$H$6,3,FALSE)),(VLOOKUP(V567,CATALOGOS!$J$2:$K$18,2,FALSE)),""-"",TO_TEXT(A567))"),"P13LP-0566")</f>
        <v>P13LP-0566</v>
      </c>
      <c r="H567" s="6" t="str">
        <f ca="1">IFERROR(__xludf.DUMMYFUNCTION("CONCATENATE($B567,(VLOOKUP($C567,CATALOGOS!$F$2:$H$6,3,FALSE)),(VLOOKUP($V567,CATALOGOS!$J$2:$K$18,2,FALSE)),""-"",TO_TEXT($A567))"),"P13LP-0566")</f>
        <v>P13LP-0566</v>
      </c>
      <c r="I567" s="6"/>
      <c r="J567" s="6" t="s">
        <v>3971</v>
      </c>
      <c r="K567" s="6" t="s">
        <v>3972</v>
      </c>
      <c r="L567" s="6" t="s">
        <v>3973</v>
      </c>
      <c r="M567" s="6" t="s">
        <v>3974</v>
      </c>
      <c r="N567" s="17"/>
      <c r="O567" s="17"/>
      <c r="P567" s="17" t="str">
        <f t="shared" si="3"/>
        <v>OK</v>
      </c>
      <c r="Q567" s="17" t="s">
        <v>168</v>
      </c>
      <c r="R567" s="6" t="s">
        <v>169</v>
      </c>
      <c r="S567" s="46" t="s">
        <v>3975</v>
      </c>
      <c r="T567" s="17" t="s">
        <v>3976</v>
      </c>
      <c r="U567" s="173" t="s">
        <v>38</v>
      </c>
      <c r="V567" s="11" t="s">
        <v>2328</v>
      </c>
      <c r="W567" s="20" t="s">
        <v>2329</v>
      </c>
      <c r="X567" s="32" t="s">
        <v>3450</v>
      </c>
      <c r="Y567" s="32"/>
      <c r="Z567" s="7"/>
      <c r="AA567" s="7"/>
      <c r="AB567" s="26"/>
      <c r="AC567" s="26"/>
    </row>
    <row r="568" spans="1:29" ht="15.75" customHeight="1">
      <c r="A568" s="10" t="s">
        <v>3977</v>
      </c>
      <c r="B568" s="10" t="s">
        <v>1469</v>
      </c>
      <c r="C568" s="52" t="s">
        <v>868</v>
      </c>
      <c r="D568" s="12"/>
      <c r="E568" s="13" t="s">
        <v>93</v>
      </c>
      <c r="F568" s="6" t="s">
        <v>3978</v>
      </c>
      <c r="G568" s="15" t="str">
        <f ca="1">IFERROR(__xludf.DUMMYFUNCTION("CONCATENATE(B568,(VLOOKUP(C568,CATALOGOS!$F$2:$H$6,3,FALSE)),(VLOOKUP(V568,CATALOGOS!$J$2:$K$18,2,FALSE)),""-"",TO_TEXT(A568))"),"P13LP-0567")</f>
        <v>P13LP-0567</v>
      </c>
      <c r="H568" s="6" t="str">
        <f ca="1">IFERROR(__xludf.DUMMYFUNCTION("CONCATENATE($B568,(VLOOKUP($C568,CATALOGOS!$F$2:$H$6,3,FALSE)),(VLOOKUP($V568,CATALOGOS!$J$2:$K$18,2,FALSE)),""-"",TO_TEXT($A568))"),"P13LP-0567")</f>
        <v>P13LP-0567</v>
      </c>
      <c r="I568" s="6"/>
      <c r="J568" s="6" t="s">
        <v>3979</v>
      </c>
      <c r="K568" s="6" t="s">
        <v>3980</v>
      </c>
      <c r="L568" s="6" t="s">
        <v>3981</v>
      </c>
      <c r="M568" s="6" t="s">
        <v>3982</v>
      </c>
      <c r="N568" s="17"/>
      <c r="O568" s="17"/>
      <c r="P568" s="17" t="str">
        <f t="shared" si="3"/>
        <v>OK</v>
      </c>
      <c r="Q568" s="17" t="s">
        <v>35</v>
      </c>
      <c r="R568" s="6" t="s">
        <v>35</v>
      </c>
      <c r="S568" s="17" t="s">
        <v>36</v>
      </c>
      <c r="T568" s="17" t="s">
        <v>3983</v>
      </c>
      <c r="U568" s="173" t="s">
        <v>38</v>
      </c>
      <c r="V568" s="11" t="s">
        <v>2328</v>
      </c>
      <c r="W568" s="22" t="s">
        <v>3984</v>
      </c>
      <c r="X568" s="22" t="s">
        <v>3984</v>
      </c>
      <c r="Y568" s="22"/>
      <c r="Z568" s="7"/>
      <c r="AA568" s="7"/>
      <c r="AB568" s="23"/>
      <c r="AC568" s="26"/>
    </row>
    <row r="569" spans="1:29" ht="15.75" customHeight="1">
      <c r="A569" s="10" t="s">
        <v>3985</v>
      </c>
      <c r="B569" s="10" t="s">
        <v>1469</v>
      </c>
      <c r="C569" s="52" t="s">
        <v>868</v>
      </c>
      <c r="D569" s="12"/>
      <c r="E569" s="13" t="s">
        <v>116</v>
      </c>
      <c r="F569" s="6" t="s">
        <v>117</v>
      </c>
      <c r="G569" s="15" t="str">
        <f ca="1">IFERROR(__xludf.DUMMYFUNCTION("CONCATENATE(B569,(VLOOKUP(C569,CATALOGOS!$F$2:$H$6,3,FALSE)),(VLOOKUP(V569,CATALOGOS!$J$2:$K$18,2,FALSE)),""-"",TO_TEXT(A569))"),"P13LP-0568")</f>
        <v>P13LP-0568</v>
      </c>
      <c r="H569" s="6" t="str">
        <f ca="1">IFERROR(__xludf.DUMMYFUNCTION("CONCATENATE($B569,(VLOOKUP($C569,CATALOGOS!$F$2:$H$6,3,FALSE)),(VLOOKUP($V569,CATALOGOS!$J$2:$K$18,2,FALSE)),""-"",TO_TEXT($A569))"),"P13LP-0568")</f>
        <v>P13LP-0568</v>
      </c>
      <c r="I569" s="6"/>
      <c r="J569" s="6" t="s">
        <v>3986</v>
      </c>
      <c r="K569" s="6" t="s">
        <v>3987</v>
      </c>
      <c r="L569" s="6" t="s">
        <v>3988</v>
      </c>
      <c r="M569" s="6" t="s">
        <v>3989</v>
      </c>
      <c r="N569" s="17"/>
      <c r="O569" s="17"/>
      <c r="P569" s="17" t="str">
        <f t="shared" si="3"/>
        <v>OK</v>
      </c>
      <c r="Q569" s="17" t="s">
        <v>35</v>
      </c>
      <c r="R569" s="6" t="s">
        <v>35</v>
      </c>
      <c r="S569" s="17" t="s">
        <v>36</v>
      </c>
      <c r="T569" s="17" t="s">
        <v>3990</v>
      </c>
      <c r="U569" s="173" t="s">
        <v>38</v>
      </c>
      <c r="V569" s="11" t="s">
        <v>2328</v>
      </c>
      <c r="W569" s="22" t="s">
        <v>3984</v>
      </c>
      <c r="X569" s="22" t="s">
        <v>3984</v>
      </c>
      <c r="Y569" s="22"/>
      <c r="Z569" s="7"/>
      <c r="AA569" s="7"/>
      <c r="AB569" s="23"/>
      <c r="AC569" s="26"/>
    </row>
    <row r="570" spans="1:29" ht="15.75" customHeight="1">
      <c r="A570" s="10" t="s">
        <v>3991</v>
      </c>
      <c r="B570" s="10" t="s">
        <v>1469</v>
      </c>
      <c r="C570" s="52" t="s">
        <v>868</v>
      </c>
      <c r="D570" s="12"/>
      <c r="E570" s="13" t="s">
        <v>93</v>
      </c>
      <c r="F570" s="6" t="s">
        <v>3992</v>
      </c>
      <c r="G570" s="15" t="str">
        <f ca="1">IFERROR(__xludf.DUMMYFUNCTION("CONCATENATE(B570,(VLOOKUP(C570,CATALOGOS!$F$2:$H$6,3,FALSE)),(VLOOKUP(V570,CATALOGOS!$J$2:$K$18,2,FALSE)),""-"",TO_TEXT(A570))"),"P13LP-0569")</f>
        <v>P13LP-0569</v>
      </c>
      <c r="H570" s="6" t="str">
        <f ca="1">IFERROR(__xludf.DUMMYFUNCTION("CONCATENATE($B570,(VLOOKUP($C570,CATALOGOS!$F$2:$H$6,3,FALSE)),(VLOOKUP($V570,CATALOGOS!$J$2:$K$18,2,FALSE)),""-"",TO_TEXT($A570))"),"P13LP-0569")</f>
        <v>P13LP-0569</v>
      </c>
      <c r="I570" s="6"/>
      <c r="J570" s="6" t="s">
        <v>3993</v>
      </c>
      <c r="K570" s="6" t="s">
        <v>3994</v>
      </c>
      <c r="L570" s="6" t="s">
        <v>3995</v>
      </c>
      <c r="M570" s="6" t="s">
        <v>3996</v>
      </c>
      <c r="N570" s="17"/>
      <c r="O570" s="17"/>
      <c r="P570" s="17" t="str">
        <f t="shared" si="3"/>
        <v>OK</v>
      </c>
      <c r="Q570" s="17" t="s">
        <v>35</v>
      </c>
      <c r="R570" s="6" t="s">
        <v>35</v>
      </c>
      <c r="S570" s="17" t="s">
        <v>36</v>
      </c>
      <c r="T570" s="17" t="s">
        <v>3997</v>
      </c>
      <c r="U570" s="173" t="s">
        <v>38</v>
      </c>
      <c r="V570" s="11" t="s">
        <v>2328</v>
      </c>
      <c r="W570" s="22" t="s">
        <v>3984</v>
      </c>
      <c r="X570" s="22" t="s">
        <v>3984</v>
      </c>
      <c r="Y570" s="22"/>
      <c r="Z570" s="7"/>
      <c r="AA570" s="7"/>
      <c r="AB570" s="23"/>
      <c r="AC570" s="26"/>
    </row>
    <row r="571" spans="1:29" ht="15.75" customHeight="1">
      <c r="A571" s="10" t="s">
        <v>3998</v>
      </c>
      <c r="B571" s="10" t="s">
        <v>1469</v>
      </c>
      <c r="C571" s="52" t="s">
        <v>868</v>
      </c>
      <c r="D571" s="12"/>
      <c r="E571" s="13" t="s">
        <v>71</v>
      </c>
      <c r="F571" s="6" t="s">
        <v>3999</v>
      </c>
      <c r="G571" s="15" t="str">
        <f ca="1">IFERROR(__xludf.DUMMYFUNCTION("CONCATENATE(B571,(VLOOKUP(C571,CATALOGOS!$F$2:$H$6,3,FALSE)),(VLOOKUP(V571,CATALOGOS!$J$2:$K$18,2,FALSE)),""-"",TO_TEXT(A571))"),"P13LP-0570")</f>
        <v>P13LP-0570</v>
      </c>
      <c r="H571" s="15" t="str">
        <f ca="1">IFERROR(__xludf.DUMMYFUNCTION("CONCATENATE($B571,(VLOOKUP($C571,CATALOGOS!$F$2:$H$6,3,FALSE)),(VLOOKUP($V571,CATALOGOS!$J$2:$K$18,2,FALSE)),""-"",TO_TEXT($A571))"),"P13LP-0570")</f>
        <v>P13LP-0570</v>
      </c>
      <c r="I571" s="6"/>
      <c r="J571" s="6" t="s">
        <v>4000</v>
      </c>
      <c r="K571" s="6" t="s">
        <v>4001</v>
      </c>
      <c r="L571" s="6" t="s">
        <v>4002</v>
      </c>
      <c r="M571" s="6" t="s">
        <v>4003</v>
      </c>
      <c r="N571" s="17"/>
      <c r="O571" s="17"/>
      <c r="P571" s="17" t="str">
        <f t="shared" si="3"/>
        <v>OK</v>
      </c>
      <c r="Q571" s="17" t="s">
        <v>35</v>
      </c>
      <c r="R571" s="6" t="s">
        <v>35</v>
      </c>
      <c r="S571" s="17" t="s">
        <v>36</v>
      </c>
      <c r="T571" s="17" t="s">
        <v>4004</v>
      </c>
      <c r="U571" s="173" t="s">
        <v>38</v>
      </c>
      <c r="V571" s="11" t="s">
        <v>2328</v>
      </c>
      <c r="W571" s="22" t="s">
        <v>3984</v>
      </c>
      <c r="X571" s="22" t="s">
        <v>3984</v>
      </c>
      <c r="Y571" s="22"/>
      <c r="Z571" s="7"/>
      <c r="AA571" s="7"/>
      <c r="AB571" s="23"/>
      <c r="AC571" s="26"/>
    </row>
    <row r="572" spans="1:29" ht="15.75" customHeight="1">
      <c r="A572" s="10" t="s">
        <v>4005</v>
      </c>
      <c r="B572" s="10" t="s">
        <v>1469</v>
      </c>
      <c r="C572" s="52" t="s">
        <v>868</v>
      </c>
      <c r="D572" s="12"/>
      <c r="E572" s="13" t="s">
        <v>43</v>
      </c>
      <c r="F572" s="6" t="s">
        <v>1850</v>
      </c>
      <c r="G572" s="15" t="str">
        <f ca="1">IFERROR(__xludf.DUMMYFUNCTION("CONCATENATE(B572,(VLOOKUP(C572,CATALOGOS!$F$2:$H$6,3,FALSE)),(VLOOKUP(V572,CATALOGOS!$J$2:$K$18,2,FALSE)),""-"",TO_TEXT(A572))"),"P13LP-0571")</f>
        <v>P13LP-0571</v>
      </c>
      <c r="H572" s="6" t="str">
        <f ca="1">IFERROR(__xludf.DUMMYFUNCTION("CONCATENATE($B572,(VLOOKUP($C572,CATALOGOS!$F$2:$H$6,3,FALSE)),(VLOOKUP($V572,CATALOGOS!$J$2:$K$18,2,FALSE)),""-"",TO_TEXT($A572))"),"P13LP-0571")</f>
        <v>P13LP-0571</v>
      </c>
      <c r="I572" s="6"/>
      <c r="J572" s="6" t="s">
        <v>4006</v>
      </c>
      <c r="K572" s="6" t="s">
        <v>4007</v>
      </c>
      <c r="L572" s="6" t="s">
        <v>4008</v>
      </c>
      <c r="M572" s="6" t="s">
        <v>4009</v>
      </c>
      <c r="N572" s="17"/>
      <c r="O572" s="17"/>
      <c r="P572" s="17" t="str">
        <f t="shared" si="3"/>
        <v>OK</v>
      </c>
      <c r="Q572" s="17" t="s">
        <v>1913</v>
      </c>
      <c r="R572" s="6" t="s">
        <v>1914</v>
      </c>
      <c r="S572" s="17" t="s">
        <v>36</v>
      </c>
      <c r="T572" s="10" t="s">
        <v>4010</v>
      </c>
      <c r="U572" s="173" t="s">
        <v>38</v>
      </c>
      <c r="V572" s="11" t="s">
        <v>2328</v>
      </c>
      <c r="W572" s="22" t="s">
        <v>3984</v>
      </c>
      <c r="X572" s="22" t="s">
        <v>3984</v>
      </c>
      <c r="Y572" s="22"/>
      <c r="Z572" s="7"/>
      <c r="AA572" s="7"/>
      <c r="AB572" s="23"/>
      <c r="AC572" s="26"/>
    </row>
    <row r="573" spans="1:29" ht="15.75" customHeight="1">
      <c r="A573" s="10" t="s">
        <v>4011</v>
      </c>
      <c r="B573" s="10" t="s">
        <v>1469</v>
      </c>
      <c r="C573" s="52" t="s">
        <v>868</v>
      </c>
      <c r="D573" s="12"/>
      <c r="E573" s="13" t="s">
        <v>162</v>
      </c>
      <c r="F573" s="6" t="s">
        <v>285</v>
      </c>
      <c r="G573" s="15" t="str">
        <f ca="1">IFERROR(__xludf.DUMMYFUNCTION("CONCATENATE(B573,(VLOOKUP(C573,CATALOGOS!$F$2:$H$6,3,FALSE)),(VLOOKUP(V573,CATALOGOS!$J$2:$K$18,2,FALSE)),""-"",TO_TEXT(A573))"),"P13SO-0572")</f>
        <v>P13SO-0572</v>
      </c>
      <c r="H573" s="6" t="str">
        <f ca="1">IFERROR(__xludf.DUMMYFUNCTION("CONCATENATE($B573,(VLOOKUP($C573,CATALOGOS!$F$2:$H$6,3,FALSE)),(VLOOKUP($V573,CATALOGOS!$J$2:$K$18,2,FALSE)),""-"",TO_TEXT($A573))"),"P13SO-0572")</f>
        <v>P13SO-0572</v>
      </c>
      <c r="I573" s="6"/>
      <c r="J573" s="6" t="s">
        <v>4012</v>
      </c>
      <c r="K573" s="6" t="s">
        <v>4013</v>
      </c>
      <c r="L573" s="6" t="s">
        <v>4014</v>
      </c>
      <c r="M573" s="6" t="s">
        <v>4015</v>
      </c>
      <c r="N573" s="17"/>
      <c r="O573" s="17"/>
      <c r="P573" s="17" t="str">
        <f t="shared" si="3"/>
        <v>OK</v>
      </c>
      <c r="Q573" s="17" t="s">
        <v>168</v>
      </c>
      <c r="R573" s="6" t="s">
        <v>169</v>
      </c>
      <c r="S573" s="17" t="s">
        <v>4016</v>
      </c>
      <c r="T573" s="17" t="s">
        <v>4017</v>
      </c>
      <c r="U573" s="173" t="s">
        <v>38</v>
      </c>
      <c r="V573" s="11" t="s">
        <v>868</v>
      </c>
      <c r="W573" s="186" t="s">
        <v>1665</v>
      </c>
      <c r="X573" s="22" t="s">
        <v>3984</v>
      </c>
      <c r="Y573" s="22"/>
      <c r="Z573" s="7"/>
      <c r="AA573" s="7"/>
      <c r="AB573" s="23"/>
      <c r="AC573" s="26"/>
    </row>
    <row r="574" spans="1:29" ht="15.75" customHeight="1">
      <c r="A574" s="10" t="s">
        <v>4018</v>
      </c>
      <c r="B574" s="10" t="s">
        <v>1469</v>
      </c>
      <c r="C574" s="52" t="s">
        <v>868</v>
      </c>
      <c r="D574" s="12"/>
      <c r="E574" s="13" t="s">
        <v>248</v>
      </c>
      <c r="F574" s="6" t="s">
        <v>249</v>
      </c>
      <c r="G574" s="15" t="str">
        <f ca="1">IFERROR(__xludf.DUMMYFUNCTION("CONCATENATE(B574,(VLOOKUP(C574,CATALOGOS!$F$2:$H$6,3,FALSE)),(VLOOKUP(V574,CATALOGOS!$J$2:$K$18,2,FALSE)),""-"",TO_TEXT(A574))"),"P13LP-0573")</f>
        <v>P13LP-0573</v>
      </c>
      <c r="H574" s="6" t="str">
        <f ca="1">IFERROR(__xludf.DUMMYFUNCTION("CONCATENATE($B574,(VLOOKUP($C574,CATALOGOS!$F$2:$H$6,3,FALSE)),(VLOOKUP($V574,CATALOGOS!$J$2:$K$18,2,FALSE)),""-"",TO_TEXT($A574))"),"P13LP-0573")</f>
        <v>P13LP-0573</v>
      </c>
      <c r="I574" s="6"/>
      <c r="J574" s="6" t="s">
        <v>4019</v>
      </c>
      <c r="K574" s="6" t="s">
        <v>4020</v>
      </c>
      <c r="L574" s="6" t="s">
        <v>4021</v>
      </c>
      <c r="M574" s="6" t="s">
        <v>4022</v>
      </c>
      <c r="N574" s="17"/>
      <c r="O574" s="17"/>
      <c r="P574" s="17" t="str">
        <f t="shared" si="3"/>
        <v>OK</v>
      </c>
      <c r="Q574" s="17" t="s">
        <v>978</v>
      </c>
      <c r="R574" s="6" t="s">
        <v>979</v>
      </c>
      <c r="S574" s="17" t="s">
        <v>4023</v>
      </c>
      <c r="T574" s="17" t="s">
        <v>4024</v>
      </c>
      <c r="U574" s="173" t="s">
        <v>38</v>
      </c>
      <c r="V574" s="11" t="s">
        <v>2328</v>
      </c>
      <c r="W574" s="22" t="s">
        <v>3984</v>
      </c>
      <c r="X574" s="22" t="s">
        <v>3984</v>
      </c>
      <c r="Y574" s="22"/>
      <c r="Z574" s="7"/>
      <c r="AA574" s="7"/>
      <c r="AB574" s="23"/>
      <c r="AC574" s="26"/>
    </row>
    <row r="575" spans="1:29" ht="15.75" customHeight="1">
      <c r="A575" s="10" t="s">
        <v>4025</v>
      </c>
      <c r="B575" s="10" t="s">
        <v>1469</v>
      </c>
      <c r="C575" s="52" t="s">
        <v>868</v>
      </c>
      <c r="D575" s="12"/>
      <c r="E575" s="13" t="s">
        <v>1240</v>
      </c>
      <c r="F575" s="43" t="s">
        <v>278</v>
      </c>
      <c r="G575" s="15" t="str">
        <f ca="1">IFERROR(__xludf.DUMMYFUNCTION("CONCATENATE(B575,(VLOOKUP(C575,CATALOGOS!$F$2:$H$6,3,FALSE)),(VLOOKUP(V575,CATALOGOS!$J$2:$K$18,2,FALSE)),""-"",TO_TEXT(A575))"),"P13LP-0574")</f>
        <v>P13LP-0574</v>
      </c>
      <c r="H575" s="6" t="str">
        <f ca="1">IFERROR(__xludf.DUMMYFUNCTION("CONCATENATE($B575,(VLOOKUP($C575,CATALOGOS!$F$2:$H$6,3,FALSE)),(VLOOKUP($V575,CATALOGOS!$J$2:$K$18,2,FALSE)),""-"",TO_TEXT($A575))"),"P13LP-0574")</f>
        <v>P13LP-0574</v>
      </c>
      <c r="I575" s="6"/>
      <c r="J575" s="6" t="s">
        <v>4026</v>
      </c>
      <c r="K575" s="6" t="s">
        <v>4027</v>
      </c>
      <c r="L575" s="6" t="s">
        <v>4028</v>
      </c>
      <c r="M575" s="6" t="s">
        <v>4029</v>
      </c>
      <c r="N575" s="17"/>
      <c r="O575" s="17"/>
      <c r="P575" s="17" t="str">
        <f t="shared" si="3"/>
        <v>OK</v>
      </c>
      <c r="Q575" s="17" t="s">
        <v>35</v>
      </c>
      <c r="R575" s="6" t="s">
        <v>35</v>
      </c>
      <c r="S575" s="17" t="s">
        <v>36</v>
      </c>
      <c r="T575" s="17" t="s">
        <v>4030</v>
      </c>
      <c r="U575" s="173" t="s">
        <v>38</v>
      </c>
      <c r="V575" s="11" t="s">
        <v>2328</v>
      </c>
      <c r="W575" s="22" t="s">
        <v>3984</v>
      </c>
      <c r="X575" s="22" t="s">
        <v>3984</v>
      </c>
      <c r="Y575" s="22"/>
      <c r="Z575" s="7"/>
      <c r="AA575" s="7"/>
      <c r="AB575" s="23"/>
      <c r="AC575" s="26"/>
    </row>
    <row r="576" spans="1:29" ht="15.75" customHeight="1">
      <c r="A576" s="10" t="s">
        <v>4031</v>
      </c>
      <c r="B576" s="10" t="s">
        <v>1469</v>
      </c>
      <c r="C576" s="52" t="s">
        <v>868</v>
      </c>
      <c r="D576" s="12"/>
      <c r="E576" s="13" t="s">
        <v>321</v>
      </c>
      <c r="F576" s="6" t="s">
        <v>321</v>
      </c>
      <c r="G576" s="15" t="str">
        <f ca="1">IFERROR(__xludf.DUMMYFUNCTION("CONCATENATE(B576,(VLOOKUP(C576,CATALOGOS!$F$2:$H$6,3,FALSE)),(VLOOKUP(V576,CATALOGOS!$J$2:$K$18,2,FALSE)),""-"",TO_TEXT(A576))"),"P13LP-0575")</f>
        <v>P13LP-0575</v>
      </c>
      <c r="H576" s="15" t="str">
        <f ca="1">IFERROR(__xludf.DUMMYFUNCTION("CONCATENATE($B576,(VLOOKUP($C576,CATALOGOS!$F$2:$H$6,3,FALSE)),(VLOOKUP($V576,CATALOGOS!$J$2:$K$18,2,FALSE)),""-"",TO_TEXT($A576))"),"P13LP-0575")</f>
        <v>P13LP-0575</v>
      </c>
      <c r="I576" s="6"/>
      <c r="J576" s="6" t="s">
        <v>4032</v>
      </c>
      <c r="K576" s="6" t="s">
        <v>4033</v>
      </c>
      <c r="L576" s="6" t="s">
        <v>4034</v>
      </c>
      <c r="M576" s="6" t="s">
        <v>141</v>
      </c>
      <c r="N576" s="17"/>
      <c r="O576" s="17"/>
      <c r="P576" s="17" t="str">
        <f t="shared" si="3"/>
        <v>REPETIDO</v>
      </c>
      <c r="Q576" s="17" t="s">
        <v>4035</v>
      </c>
      <c r="R576" s="6" t="s">
        <v>4036</v>
      </c>
      <c r="S576" s="6" t="s">
        <v>36</v>
      </c>
      <c r="T576" s="10" t="s">
        <v>4037</v>
      </c>
      <c r="U576" s="179" t="s">
        <v>517</v>
      </c>
      <c r="V576" s="11" t="s">
        <v>2328</v>
      </c>
      <c r="W576" s="22" t="s">
        <v>3984</v>
      </c>
      <c r="X576" s="22" t="s">
        <v>3984</v>
      </c>
      <c r="Y576" s="22"/>
      <c r="Z576" s="7"/>
      <c r="AA576" s="7"/>
      <c r="AB576" s="23"/>
      <c r="AC576" s="26"/>
    </row>
    <row r="577" spans="1:30" ht="15.75" customHeight="1">
      <c r="A577" s="10" t="s">
        <v>4038</v>
      </c>
      <c r="B577" s="10" t="s">
        <v>1469</v>
      </c>
      <c r="C577" s="52" t="s">
        <v>868</v>
      </c>
      <c r="D577" s="12"/>
      <c r="E577" s="13" t="s">
        <v>378</v>
      </c>
      <c r="F577" s="43" t="s">
        <v>379</v>
      </c>
      <c r="G577" s="15" t="str">
        <f ca="1">IFERROR(__xludf.DUMMYFUNCTION("CONCATENATE(B577,(VLOOKUP(C577,CATALOGOS!$F$2:$H$6,3,FALSE)),(VLOOKUP(V577,CATALOGOS!$J$2:$K$18,2,FALSE)),""-"",TO_TEXT(A577))"),"P13LP-0576")</f>
        <v>P13LP-0576</v>
      </c>
      <c r="H577" s="6" t="str">
        <f ca="1">IFERROR(__xludf.DUMMYFUNCTION("CONCATENATE($B577,(VLOOKUP($C577,CATALOGOS!$F$2:$H$6,3,FALSE)),(VLOOKUP($V577,CATALOGOS!$J$2:$K$18,2,FALSE)),""-"",TO_TEXT($A577))"),"P13LP-0576")</f>
        <v>P13LP-0576</v>
      </c>
      <c r="I577" s="6"/>
      <c r="J577" s="6" t="s">
        <v>4039</v>
      </c>
      <c r="K577" s="6" t="s">
        <v>4040</v>
      </c>
      <c r="L577" s="6" t="s">
        <v>4041</v>
      </c>
      <c r="M577" s="6" t="s">
        <v>4042</v>
      </c>
      <c r="N577" s="17"/>
      <c r="O577" s="17"/>
      <c r="P577" s="17" t="str">
        <f t="shared" si="3"/>
        <v>OK</v>
      </c>
      <c r="Q577" s="17" t="s">
        <v>35</v>
      </c>
      <c r="R577" s="6" t="s">
        <v>35</v>
      </c>
      <c r="S577" s="17" t="s">
        <v>36</v>
      </c>
      <c r="T577" s="17" t="s">
        <v>4043</v>
      </c>
      <c r="U577" s="173" t="s">
        <v>38</v>
      </c>
      <c r="V577" s="11" t="s">
        <v>2328</v>
      </c>
      <c r="W577" s="22" t="s">
        <v>3984</v>
      </c>
      <c r="X577" s="22" t="s">
        <v>3984</v>
      </c>
      <c r="Y577" s="22"/>
      <c r="Z577" s="7"/>
      <c r="AA577" s="7"/>
      <c r="AB577" s="23"/>
      <c r="AC577" s="26"/>
    </row>
    <row r="578" spans="1:30" ht="15.75" customHeight="1">
      <c r="A578" s="10" t="s">
        <v>4044</v>
      </c>
      <c r="B578" s="10" t="s">
        <v>1469</v>
      </c>
      <c r="C578" s="52" t="s">
        <v>868</v>
      </c>
      <c r="D578" s="38"/>
      <c r="E578" s="13" t="s">
        <v>199</v>
      </c>
      <c r="F578" s="6" t="s">
        <v>677</v>
      </c>
      <c r="G578" s="15" t="str">
        <f ca="1">IFERROR(__xludf.DUMMYFUNCTION("CONCATENATE(B578,(VLOOKUP(C578,CATALOGOS!$F$2:$H$6,3,FALSE)),(VLOOKUP(V578,CATALOGOS!$J$2:$K$18,2,FALSE)),""-"",TO_TEXT(A578))"),"P13LP-0577")</f>
        <v>P13LP-0577</v>
      </c>
      <c r="H578" s="6" t="str">
        <f ca="1">IFERROR(__xludf.DUMMYFUNCTION("CONCATENATE($B578,(VLOOKUP($C578,CATALOGOS!$F$2:$H$6,3,FALSE)),(VLOOKUP($V578,CATALOGOS!$J$2:$K$18,2,FALSE)),""-"",TO_TEXT($A578))"),"P13LP-0577")</f>
        <v>P13LP-0577</v>
      </c>
      <c r="I578" s="6"/>
      <c r="J578" s="6" t="s">
        <v>4045</v>
      </c>
      <c r="K578" s="6" t="s">
        <v>4046</v>
      </c>
      <c r="L578" s="6" t="s">
        <v>4047</v>
      </c>
      <c r="M578" s="43" t="s">
        <v>4048</v>
      </c>
      <c r="N578" s="17"/>
      <c r="O578" s="17"/>
      <c r="P578" s="17" t="str">
        <f t="shared" si="3"/>
        <v>OK</v>
      </c>
      <c r="Q578" s="17" t="s">
        <v>682</v>
      </c>
      <c r="R578" s="6" t="s">
        <v>2497</v>
      </c>
      <c r="S578" s="46" t="s">
        <v>4049</v>
      </c>
      <c r="T578" s="17" t="s">
        <v>4050</v>
      </c>
      <c r="U578" s="173" t="s">
        <v>38</v>
      </c>
      <c r="V578" s="11" t="s">
        <v>2328</v>
      </c>
      <c r="W578" s="32" t="s">
        <v>3984</v>
      </c>
      <c r="X578" s="32" t="s">
        <v>3984</v>
      </c>
      <c r="Y578" s="32"/>
      <c r="Z578" s="7"/>
      <c r="AA578" s="7"/>
      <c r="AB578" s="26"/>
      <c r="AC578" s="26"/>
    </row>
    <row r="579" spans="1:30" ht="15.75" customHeight="1">
      <c r="A579" s="10" t="s">
        <v>4051</v>
      </c>
      <c r="B579" s="10" t="s">
        <v>1469</v>
      </c>
      <c r="C579" s="52" t="s">
        <v>868</v>
      </c>
      <c r="D579" s="12"/>
      <c r="E579" s="13" t="s">
        <v>71</v>
      </c>
      <c r="F579" s="6" t="s">
        <v>4052</v>
      </c>
      <c r="G579" s="15" t="str">
        <f ca="1">IFERROR(__xludf.DUMMYFUNCTION("CONCATENATE(B579,(VLOOKUP(C579,CATALOGOS!$F$2:$H$6,3,FALSE)),(VLOOKUP(V579,CATALOGOS!$J$2:$K$18,2,FALSE)),""-"",TO_TEXT(A579))"),"P13LP-0578")</f>
        <v>P13LP-0578</v>
      </c>
      <c r="H579" s="6" t="str">
        <f ca="1">IFERROR(__xludf.DUMMYFUNCTION("CONCATENATE($B579,(VLOOKUP($C579,CATALOGOS!$F$2:$H$6,3,FALSE)),(VLOOKUP($V579,CATALOGOS!$J$2:$K$18,2,FALSE)),""-"",TO_TEXT($A579))"),"P13LP-0578")</f>
        <v>P13LP-0578</v>
      </c>
      <c r="I579" s="6"/>
      <c r="J579" s="6" t="s">
        <v>4053</v>
      </c>
      <c r="K579" s="54"/>
      <c r="L579" s="6" t="s">
        <v>4054</v>
      </c>
      <c r="M579" s="6" t="s">
        <v>4055</v>
      </c>
      <c r="N579" s="17"/>
      <c r="O579" s="17"/>
      <c r="P579" s="17" t="str">
        <f t="shared" si="3"/>
        <v>OK</v>
      </c>
      <c r="Q579" s="17" t="s">
        <v>35</v>
      </c>
      <c r="R579" s="6" t="s">
        <v>35</v>
      </c>
      <c r="S579" s="17" t="s">
        <v>36</v>
      </c>
      <c r="T579" s="17" t="s">
        <v>4056</v>
      </c>
      <c r="U579" s="173" t="s">
        <v>38</v>
      </c>
      <c r="V579" s="11" t="s">
        <v>2328</v>
      </c>
      <c r="W579" s="20" t="s">
        <v>4057</v>
      </c>
      <c r="X579" s="22" t="s">
        <v>4057</v>
      </c>
      <c r="Y579" s="22"/>
      <c r="Z579" s="7"/>
      <c r="AA579" s="7"/>
      <c r="AB579" s="23"/>
      <c r="AC579" s="26"/>
    </row>
    <row r="580" spans="1:30" ht="15.75" customHeight="1">
      <c r="A580" s="10" t="s">
        <v>4058</v>
      </c>
      <c r="B580" s="10" t="s">
        <v>1469</v>
      </c>
      <c r="C580" s="52" t="s">
        <v>868</v>
      </c>
      <c r="D580" s="12"/>
      <c r="E580" s="13" t="s">
        <v>116</v>
      </c>
      <c r="F580" s="6" t="s">
        <v>117</v>
      </c>
      <c r="G580" s="15" t="str">
        <f ca="1">IFERROR(__xludf.DUMMYFUNCTION("CONCATENATE(B580,(VLOOKUP(C580,CATALOGOS!$F$2:$H$6,3,FALSE)),(VLOOKUP(V580,CATALOGOS!$J$2:$K$18,2,FALSE)),""-"",TO_TEXT(A580))"),"P13LP-0579")</f>
        <v>P13LP-0579</v>
      </c>
      <c r="H580" s="6" t="str">
        <f ca="1">IFERROR(__xludf.DUMMYFUNCTION("CONCATENATE($B580,(VLOOKUP($C580,CATALOGOS!$F$2:$H$6,3,FALSE)),(VLOOKUP($V580,CATALOGOS!$J$2:$K$18,2,FALSE)),""-"",TO_TEXT($A580))"),"P13LP-0579")</f>
        <v>P13LP-0579</v>
      </c>
      <c r="I580" s="6"/>
      <c r="J580" s="6" t="s">
        <v>4059</v>
      </c>
      <c r="K580" s="6" t="s">
        <v>4060</v>
      </c>
      <c r="L580" s="6" t="s">
        <v>4061</v>
      </c>
      <c r="M580" s="6" t="s">
        <v>4062</v>
      </c>
      <c r="N580" s="17"/>
      <c r="O580" s="17"/>
      <c r="P580" s="17" t="str">
        <f t="shared" si="3"/>
        <v>OK</v>
      </c>
      <c r="Q580" s="17" t="s">
        <v>35</v>
      </c>
      <c r="R580" s="6" t="s">
        <v>35</v>
      </c>
      <c r="S580" s="17" t="s">
        <v>36</v>
      </c>
      <c r="T580" s="17" t="s">
        <v>4063</v>
      </c>
      <c r="U580" s="173" t="s">
        <v>38</v>
      </c>
      <c r="V580" s="11" t="s">
        <v>2328</v>
      </c>
      <c r="W580" s="22" t="s">
        <v>4057</v>
      </c>
      <c r="X580" s="22" t="s">
        <v>4057</v>
      </c>
      <c r="Y580" s="22"/>
      <c r="Z580" s="7"/>
      <c r="AA580" s="7"/>
      <c r="AB580" s="23"/>
      <c r="AC580" s="26"/>
    </row>
    <row r="581" spans="1:30" ht="15.75" customHeight="1">
      <c r="A581" s="10" t="s">
        <v>4064</v>
      </c>
      <c r="B581" s="10" t="s">
        <v>1469</v>
      </c>
      <c r="C581" s="52" t="s">
        <v>868</v>
      </c>
      <c r="D581" s="12"/>
      <c r="E581" s="13" t="s">
        <v>93</v>
      </c>
      <c r="F581" s="43" t="s">
        <v>4065</v>
      </c>
      <c r="G581" s="64" t="str">
        <f ca="1">IFERROR(__xludf.DUMMYFUNCTION("CONCATENATE(B581,(VLOOKUP(C581,CATALOGOS!$F$2:$H$6,3,FALSE)),(VLOOKUP(V581,CATALOGOS!$J$2:$K$18,2,FALSE)),""-"",TO_TEXT(A581))"),"P13LP-0580")</f>
        <v>P13LP-0580</v>
      </c>
      <c r="H581" s="6" t="str">
        <f ca="1">IFERROR(__xludf.DUMMYFUNCTION("CONCATENATE($B581,(VLOOKUP($C581,CATALOGOS!$F$2:$H$6,3,FALSE)),(VLOOKUP($V581,CATALOGOS!$J$2:$K$18,2,FALSE)),""-"",TO_TEXT($A581))"),"P13LP-0580")</f>
        <v>P13LP-0580</v>
      </c>
      <c r="I581" s="6"/>
      <c r="J581" s="6" t="s">
        <v>4066</v>
      </c>
      <c r="K581" s="6" t="s">
        <v>4067</v>
      </c>
      <c r="L581" s="6" t="s">
        <v>4068</v>
      </c>
      <c r="M581" s="6" t="s">
        <v>4069</v>
      </c>
      <c r="N581" s="17"/>
      <c r="O581" s="17"/>
      <c r="P581" s="17" t="str">
        <f t="shared" si="3"/>
        <v>OK</v>
      </c>
      <c r="Q581" s="17" t="s">
        <v>35</v>
      </c>
      <c r="R581" s="6" t="s">
        <v>35</v>
      </c>
      <c r="S581" s="17" t="s">
        <v>36</v>
      </c>
      <c r="T581" s="17" t="s">
        <v>4070</v>
      </c>
      <c r="U581" s="173" t="s">
        <v>38</v>
      </c>
      <c r="V581" s="11" t="s">
        <v>2328</v>
      </c>
      <c r="W581" s="22" t="s">
        <v>4057</v>
      </c>
      <c r="X581" s="22" t="s">
        <v>4057</v>
      </c>
      <c r="Y581" s="22"/>
      <c r="Z581" s="7"/>
      <c r="AA581" s="7"/>
      <c r="AB581" s="23"/>
      <c r="AC581" s="26"/>
    </row>
    <row r="582" spans="1:30" ht="15.75" customHeight="1">
      <c r="A582" s="10" t="s">
        <v>4071</v>
      </c>
      <c r="B582" s="10" t="s">
        <v>1469</v>
      </c>
      <c r="C582" s="52" t="s">
        <v>868</v>
      </c>
      <c r="D582" s="12"/>
      <c r="E582" s="13" t="s">
        <v>378</v>
      </c>
      <c r="F582" s="43" t="s">
        <v>878</v>
      </c>
      <c r="G582" s="70" t="str">
        <f ca="1">IFERROR(__xludf.DUMMYFUNCTION("CONCATENATE(B582,(VLOOKUP(C582,CATALOGOS!$F$2:$H$6,3,FALSE)),(VLOOKUP(V582,CATALOGOS!$J$2:$K$18,2,FALSE)),""-"",TO_TEXT(A582))"),"P13LP-0581")</f>
        <v>P13LP-0581</v>
      </c>
      <c r="H582" s="6" t="str">
        <f ca="1">IFERROR(__xludf.DUMMYFUNCTION("CONCATENATE($B582,(VLOOKUP($C582,CATALOGOS!$F$2:$H$6,3,FALSE)),(VLOOKUP($V582,CATALOGOS!$J$2:$K$18,2,FALSE)),""-"",TO_TEXT($A582))"),"P13LP-0581")</f>
        <v>P13LP-0581</v>
      </c>
      <c r="I582" s="6"/>
      <c r="J582" s="6" t="s">
        <v>4072</v>
      </c>
      <c r="K582" s="6" t="s">
        <v>4073</v>
      </c>
      <c r="L582" s="6" t="s">
        <v>4074</v>
      </c>
      <c r="M582" s="43" t="s">
        <v>4075</v>
      </c>
      <c r="N582" s="17"/>
      <c r="O582" s="17"/>
      <c r="P582" s="17" t="str">
        <f t="shared" si="3"/>
        <v>OK</v>
      </c>
      <c r="Q582" s="17" t="s">
        <v>35</v>
      </c>
      <c r="R582" s="6" t="s">
        <v>35</v>
      </c>
      <c r="S582" s="17" t="s">
        <v>36</v>
      </c>
      <c r="T582" s="17" t="s">
        <v>4076</v>
      </c>
      <c r="U582" s="173" t="s">
        <v>38</v>
      </c>
      <c r="V582" s="11" t="s">
        <v>2328</v>
      </c>
      <c r="W582" s="22" t="s">
        <v>4057</v>
      </c>
      <c r="X582" s="22" t="s">
        <v>4057</v>
      </c>
      <c r="Y582" s="22"/>
      <c r="Z582" s="7"/>
      <c r="AA582" s="7"/>
      <c r="AB582" s="23"/>
      <c r="AC582" s="26"/>
    </row>
    <row r="583" spans="1:30" ht="15.75" customHeight="1">
      <c r="A583" s="10" t="s">
        <v>4077</v>
      </c>
      <c r="B583" s="10" t="s">
        <v>1469</v>
      </c>
      <c r="C583" s="52" t="s">
        <v>868</v>
      </c>
      <c r="D583" s="12"/>
      <c r="E583" s="13" t="s">
        <v>93</v>
      </c>
      <c r="F583" s="6" t="s">
        <v>869</v>
      </c>
      <c r="G583" s="15" t="str">
        <f ca="1">IFERROR(__xludf.DUMMYFUNCTION("CONCATENATE(B583,(VLOOKUP(C583,CATALOGOS!$F$2:$H$6,3,FALSE)),(VLOOKUP(V583,CATALOGOS!$J$2:$K$18,2,FALSE)),""-"",TO_TEXT(A583))"),"P13LP-0582")</f>
        <v>P13LP-0582</v>
      </c>
      <c r="H583" s="6" t="str">
        <f ca="1">IFERROR(__xludf.DUMMYFUNCTION("CONCATENATE($B583,(VLOOKUP($C583,CATALOGOS!$F$2:$H$6,3,FALSE)),(VLOOKUP($V583,CATALOGOS!$J$2:$K$18,2,FALSE)),""-"",TO_TEXT($A583))"),"P13LP-0582")</f>
        <v>P13LP-0582</v>
      </c>
      <c r="I583" s="6"/>
      <c r="J583" s="6" t="s">
        <v>4078</v>
      </c>
      <c r="K583" s="6" t="s">
        <v>4079</v>
      </c>
      <c r="L583" s="6" t="s">
        <v>4080</v>
      </c>
      <c r="M583" s="6" t="s">
        <v>4081</v>
      </c>
      <c r="N583" s="17"/>
      <c r="O583" s="17"/>
      <c r="P583" s="17" t="str">
        <f t="shared" si="3"/>
        <v>OK</v>
      </c>
      <c r="Q583" s="17" t="s">
        <v>35</v>
      </c>
      <c r="R583" s="6" t="s">
        <v>35</v>
      </c>
      <c r="S583" s="17" t="s">
        <v>36</v>
      </c>
      <c r="T583" s="17" t="s">
        <v>4082</v>
      </c>
      <c r="U583" s="173" t="s">
        <v>38</v>
      </c>
      <c r="V583" s="11" t="s">
        <v>2328</v>
      </c>
      <c r="W583" s="22" t="s">
        <v>4057</v>
      </c>
      <c r="X583" s="22" t="s">
        <v>4057</v>
      </c>
      <c r="Y583" s="22"/>
      <c r="Z583" s="7"/>
      <c r="AA583" s="7"/>
      <c r="AB583" s="23"/>
      <c r="AC583" s="26"/>
    </row>
    <row r="584" spans="1:30" ht="15.75" customHeight="1">
      <c r="A584" s="10" t="s">
        <v>4083</v>
      </c>
      <c r="B584" s="10" t="s">
        <v>1469</v>
      </c>
      <c r="C584" s="52" t="s">
        <v>868</v>
      </c>
      <c r="D584" s="12"/>
      <c r="E584" s="13" t="s">
        <v>378</v>
      </c>
      <c r="F584" s="6" t="s">
        <v>379</v>
      </c>
      <c r="G584" s="15" t="str">
        <f ca="1">IFERROR(__xludf.DUMMYFUNCTION("CONCATENATE(B584,(VLOOKUP(C584,CATALOGOS!$F$2:$H$6,3,FALSE)),(VLOOKUP(V584,CATALOGOS!$J$2:$K$18,2,FALSE)),""-"",TO_TEXT(A584))"),"P13LP-0583")</f>
        <v>P13LP-0583</v>
      </c>
      <c r="H584" s="6" t="str">
        <f ca="1">IFERROR(__xludf.DUMMYFUNCTION("CONCATENATE($B584,(VLOOKUP($C584,CATALOGOS!$F$2:$H$6,3,FALSE)),(VLOOKUP($V584,CATALOGOS!$J$2:$K$18,2,FALSE)),""-"",TO_TEXT($A584))"),"P13LP-0583")</f>
        <v>P13LP-0583</v>
      </c>
      <c r="I584" s="6"/>
      <c r="J584" s="6" t="s">
        <v>4084</v>
      </c>
      <c r="K584" s="6" t="s">
        <v>4085</v>
      </c>
      <c r="L584" s="6" t="s">
        <v>4086</v>
      </c>
      <c r="M584" s="43" t="s">
        <v>4087</v>
      </c>
      <c r="N584" s="17"/>
      <c r="O584" s="17"/>
      <c r="P584" s="17" t="str">
        <f t="shared" si="3"/>
        <v>OK</v>
      </c>
      <c r="Q584" s="17" t="s">
        <v>35</v>
      </c>
      <c r="R584" s="6" t="s">
        <v>35</v>
      </c>
      <c r="S584" s="17" t="s">
        <v>36</v>
      </c>
      <c r="T584" s="17" t="s">
        <v>4088</v>
      </c>
      <c r="U584" s="173" t="s">
        <v>38</v>
      </c>
      <c r="V584" s="11" t="s">
        <v>2328</v>
      </c>
      <c r="W584" s="22" t="s">
        <v>4057</v>
      </c>
      <c r="X584" s="22" t="s">
        <v>4057</v>
      </c>
      <c r="Y584" s="22"/>
      <c r="Z584" s="7"/>
      <c r="AA584" s="7"/>
      <c r="AB584" s="23"/>
      <c r="AC584" s="26"/>
    </row>
    <row r="585" spans="1:30" ht="15.75" customHeight="1">
      <c r="A585" s="10" t="s">
        <v>4089</v>
      </c>
      <c r="B585" s="10" t="s">
        <v>1469</v>
      </c>
      <c r="C585" s="52" t="s">
        <v>868</v>
      </c>
      <c r="D585" s="12"/>
      <c r="E585" s="13" t="s">
        <v>151</v>
      </c>
      <c r="F585" s="6" t="s">
        <v>152</v>
      </c>
      <c r="G585" s="64" t="str">
        <f ca="1">IFERROR(__xludf.DUMMYFUNCTION("CONCATENATE(B585,(VLOOKUP(C585,CATALOGOS!$F$2:$H$6,3,FALSE)),(VLOOKUP(V585,CATALOGOS!$J$2:$K$18,2,FALSE)),""-"",TO_TEXT(A585))"),"P13LP-0584")</f>
        <v>P13LP-0584</v>
      </c>
      <c r="H585" s="6" t="str">
        <f ca="1">IFERROR(__xludf.DUMMYFUNCTION("CONCATENATE($B585,(VLOOKUP($C585,CATALOGOS!$F$2:$H$6,3,FALSE)),(VLOOKUP($V585,CATALOGOS!$J$2:$K$18,2,FALSE)),""-"",TO_TEXT($A585))"),"P13LP-0584")</f>
        <v>P13LP-0584</v>
      </c>
      <c r="I585" s="6"/>
      <c r="J585" s="6" t="s">
        <v>4090</v>
      </c>
      <c r="K585" s="6" t="s">
        <v>4091</v>
      </c>
      <c r="L585" s="6" t="s">
        <v>4092</v>
      </c>
      <c r="M585" s="6" t="s">
        <v>4093</v>
      </c>
      <c r="N585" s="17"/>
      <c r="O585" s="17"/>
      <c r="P585" s="17" t="str">
        <f t="shared" si="3"/>
        <v>OK</v>
      </c>
      <c r="Q585" s="17" t="s">
        <v>1220</v>
      </c>
      <c r="R585" s="6" t="s">
        <v>720</v>
      </c>
      <c r="S585" s="17" t="s">
        <v>36</v>
      </c>
      <c r="T585" s="17" t="s">
        <v>4094</v>
      </c>
      <c r="U585" s="173" t="s">
        <v>1304</v>
      </c>
      <c r="V585" s="11" t="s">
        <v>2328</v>
      </c>
      <c r="W585" s="22" t="s">
        <v>4057</v>
      </c>
      <c r="X585" s="22" t="s">
        <v>4057</v>
      </c>
      <c r="Y585" s="22"/>
      <c r="Z585" s="7"/>
      <c r="AA585" s="7"/>
      <c r="AB585" s="23"/>
      <c r="AC585" s="26"/>
    </row>
    <row r="586" spans="1:30" ht="15.75" customHeight="1">
      <c r="A586" s="10" t="s">
        <v>4095</v>
      </c>
      <c r="B586" s="10" t="s">
        <v>1469</v>
      </c>
      <c r="C586" s="52" t="s">
        <v>868</v>
      </c>
      <c r="D586" s="12"/>
      <c r="E586" s="13" t="s">
        <v>248</v>
      </c>
      <c r="F586" s="43" t="s">
        <v>248</v>
      </c>
      <c r="G586" s="15" t="str">
        <f ca="1">IFERROR(__xludf.DUMMYFUNCTION("CONCATENATE(B586,(VLOOKUP(C586,CATALOGOS!$F$2:$H$6,3,FALSE)),(VLOOKUP(V586,CATALOGOS!$J$2:$K$18,2,FALSE)),""-"",TO_TEXT(A586))"),"P13LP-0585")</f>
        <v>P13LP-0585</v>
      </c>
      <c r="H586" s="6" t="str">
        <f ca="1">IFERROR(__xludf.DUMMYFUNCTION("CONCATENATE($B586,(VLOOKUP($C586,CATALOGOS!$F$2:$H$6,3,FALSE)),(VLOOKUP($V586,CATALOGOS!$J$2:$K$18,2,FALSE)),""-"",TO_TEXT($A586))"),"P13LP-0585")</f>
        <v>P13LP-0585</v>
      </c>
      <c r="I586" s="6"/>
      <c r="J586" s="6" t="s">
        <v>4096</v>
      </c>
      <c r="K586" s="6" t="s">
        <v>4097</v>
      </c>
      <c r="L586" s="6" t="s">
        <v>4098</v>
      </c>
      <c r="M586" s="6" t="s">
        <v>4099</v>
      </c>
      <c r="N586" s="17"/>
      <c r="O586" s="17"/>
      <c r="P586" s="17" t="str">
        <f t="shared" si="3"/>
        <v>OK</v>
      </c>
      <c r="Q586" s="17" t="s">
        <v>978</v>
      </c>
      <c r="R586" s="6" t="s">
        <v>979</v>
      </c>
      <c r="S586" s="17" t="s">
        <v>4100</v>
      </c>
      <c r="T586" s="17" t="s">
        <v>4101</v>
      </c>
      <c r="U586" s="173" t="s">
        <v>38</v>
      </c>
      <c r="V586" s="11" t="s">
        <v>2328</v>
      </c>
      <c r="W586" s="22" t="s">
        <v>4057</v>
      </c>
      <c r="X586" s="22" t="s">
        <v>4057</v>
      </c>
      <c r="Y586" s="22"/>
      <c r="Z586" s="7"/>
      <c r="AA586" s="7"/>
      <c r="AB586" s="23"/>
      <c r="AC586" s="26"/>
    </row>
    <row r="587" spans="1:30" ht="15.75" customHeight="1">
      <c r="A587" s="10" t="s">
        <v>4102</v>
      </c>
      <c r="B587" s="10" t="s">
        <v>1469</v>
      </c>
      <c r="C587" s="52" t="s">
        <v>868</v>
      </c>
      <c r="D587" s="12"/>
      <c r="E587" s="13" t="s">
        <v>199</v>
      </c>
      <c r="F587" s="6" t="s">
        <v>199</v>
      </c>
      <c r="G587" s="15" t="str">
        <f ca="1">IFERROR(__xludf.DUMMYFUNCTION("CONCATENATE(B587,(VLOOKUP(C587,CATALOGOS!$F$2:$H$6,3,FALSE)),(VLOOKUP(V587,CATALOGOS!$J$2:$K$18,2,FALSE)),""-"",TO_TEXT(A587))"),"P13LP-0586")</f>
        <v>P13LP-0586</v>
      </c>
      <c r="H587" s="6" t="str">
        <f ca="1">IFERROR(__xludf.DUMMYFUNCTION("CONCATENATE($B587,(VLOOKUP($C587,CATALOGOS!$F$2:$H$6,3,FALSE)),(VLOOKUP($V587,CATALOGOS!$J$2:$K$18,2,FALSE)),""-"",TO_TEXT($A587))"),"P13LP-0586")</f>
        <v>P13LP-0586</v>
      </c>
      <c r="I587" s="6"/>
      <c r="J587" s="6" t="s">
        <v>4103</v>
      </c>
      <c r="K587" s="6" t="s">
        <v>4104</v>
      </c>
      <c r="L587" s="36"/>
      <c r="M587" s="6" t="s">
        <v>4105</v>
      </c>
      <c r="N587" s="17"/>
      <c r="O587" s="17"/>
      <c r="P587" s="17" t="str">
        <f t="shared" si="3"/>
        <v>OK</v>
      </c>
      <c r="Q587" s="17" t="s">
        <v>273</v>
      </c>
      <c r="R587" s="6" t="s">
        <v>274</v>
      </c>
      <c r="S587" s="6">
        <v>11392903012347</v>
      </c>
      <c r="T587" s="10" t="s">
        <v>85</v>
      </c>
      <c r="U587" s="173" t="s">
        <v>38</v>
      </c>
      <c r="V587" s="11" t="s">
        <v>2328</v>
      </c>
      <c r="W587" s="22" t="s">
        <v>4057</v>
      </c>
      <c r="X587" s="22" t="s">
        <v>4057</v>
      </c>
      <c r="Y587" s="22"/>
      <c r="Z587" s="6"/>
      <c r="AA587" s="6"/>
      <c r="AB587" s="41" t="s">
        <v>92</v>
      </c>
      <c r="AC587" s="42">
        <v>44348</v>
      </c>
      <c r="AD587" s="8" t="s">
        <v>276</v>
      </c>
    </row>
    <row r="588" spans="1:30" ht="15.75" customHeight="1">
      <c r="A588" s="10" t="s">
        <v>4106</v>
      </c>
      <c r="B588" s="10" t="s">
        <v>1469</v>
      </c>
      <c r="C588" s="52" t="s">
        <v>868</v>
      </c>
      <c r="D588" s="12"/>
      <c r="E588" s="13" t="s">
        <v>1240</v>
      </c>
      <c r="F588" s="43" t="s">
        <v>278</v>
      </c>
      <c r="G588" s="15" t="str">
        <f ca="1">IFERROR(__xludf.DUMMYFUNCTION("CONCATENATE(B588,(VLOOKUP(C588,CATALOGOS!$F$2:$H$6,3,FALSE)),(VLOOKUP(V588,CATALOGOS!$J$2:$K$18,2,FALSE)),""-"",TO_TEXT(A588))"),"P13LP-0587")</f>
        <v>P13LP-0587</v>
      </c>
      <c r="H588" s="6" t="str">
        <f ca="1">IFERROR(__xludf.DUMMYFUNCTION("CONCATENATE($B588,(VLOOKUP($C588,CATALOGOS!$F$2:$H$6,3,FALSE)),(VLOOKUP($V588,CATALOGOS!$J$2:$K$18,2,FALSE)),""-"",TO_TEXT($A588))"),"P13LP-0587")</f>
        <v>P13LP-0587</v>
      </c>
      <c r="I588" s="6"/>
      <c r="J588" s="6" t="s">
        <v>4107</v>
      </c>
      <c r="K588" s="6" t="s">
        <v>4108</v>
      </c>
      <c r="L588" s="6" t="s">
        <v>4109</v>
      </c>
      <c r="M588" s="6" t="s">
        <v>4110</v>
      </c>
      <c r="N588" s="17"/>
      <c r="O588" s="17"/>
      <c r="P588" s="17" t="str">
        <f t="shared" si="3"/>
        <v>OK</v>
      </c>
      <c r="Q588" s="17" t="s">
        <v>35</v>
      </c>
      <c r="R588" s="6" t="s">
        <v>35</v>
      </c>
      <c r="S588" s="17" t="s">
        <v>36</v>
      </c>
      <c r="T588" s="17" t="s">
        <v>4111</v>
      </c>
      <c r="U588" s="173" t="s">
        <v>38</v>
      </c>
      <c r="V588" s="11" t="s">
        <v>2328</v>
      </c>
      <c r="W588" s="22" t="s">
        <v>4057</v>
      </c>
      <c r="X588" s="22" t="s">
        <v>4057</v>
      </c>
      <c r="Y588" s="22"/>
      <c r="Z588" s="7"/>
      <c r="AA588" s="7"/>
      <c r="AB588" s="23"/>
      <c r="AC588" s="26"/>
    </row>
    <row r="589" spans="1:30" ht="15.75" customHeight="1">
      <c r="A589" s="10" t="s">
        <v>4112</v>
      </c>
      <c r="B589" s="10" t="s">
        <v>1469</v>
      </c>
      <c r="C589" s="52" t="s">
        <v>868</v>
      </c>
      <c r="D589" s="38"/>
      <c r="E589" s="13" t="s">
        <v>151</v>
      </c>
      <c r="F589" s="6" t="s">
        <v>4113</v>
      </c>
      <c r="G589" s="15" t="str">
        <f ca="1">IFERROR(__xludf.DUMMYFUNCTION("CONCATENATE(B589,(VLOOKUP(C589,CATALOGOS!$F$2:$H$6,3,FALSE)),(VLOOKUP(V589,CATALOGOS!$J$2:$K$18,2,FALSE)),""-"",TO_TEXT(A589))"),"P13LP-0588")</f>
        <v>P13LP-0588</v>
      </c>
      <c r="H589" s="6" t="str">
        <f ca="1">IFERROR(__xludf.DUMMYFUNCTION("CONCATENATE($B589,(VLOOKUP($C589,CATALOGOS!$F$2:$H$6,3,FALSE)),(VLOOKUP($V589,CATALOGOS!$J$2:$K$18,2,FALSE)),""-"",TO_TEXT($A589))"),"P13LP-0588")</f>
        <v>P13LP-0588</v>
      </c>
      <c r="I589" s="6"/>
      <c r="J589" s="6" t="s">
        <v>4114</v>
      </c>
      <c r="K589" s="6" t="s">
        <v>4115</v>
      </c>
      <c r="L589" s="72"/>
      <c r="M589" s="6" t="s">
        <v>4116</v>
      </c>
      <c r="N589" s="17"/>
      <c r="O589" s="17"/>
      <c r="P589" s="17" t="str">
        <f t="shared" si="3"/>
        <v>OK</v>
      </c>
      <c r="Q589" s="17" t="s">
        <v>297</v>
      </c>
      <c r="R589" s="6" t="s">
        <v>298</v>
      </c>
      <c r="S589" s="6" t="s">
        <v>4117</v>
      </c>
      <c r="T589" s="32" t="s">
        <v>85</v>
      </c>
      <c r="U589" s="173" t="s">
        <v>38</v>
      </c>
      <c r="V589" s="11" t="s">
        <v>2328</v>
      </c>
      <c r="W589" s="32" t="s">
        <v>4057</v>
      </c>
      <c r="X589" s="32" t="s">
        <v>4057</v>
      </c>
      <c r="Y589" s="32"/>
      <c r="Z589" s="6"/>
      <c r="AA589" s="6"/>
      <c r="AB589" s="73" t="s">
        <v>92</v>
      </c>
      <c r="AC589" s="42">
        <v>44348</v>
      </c>
      <c r="AD589" s="8">
        <v>0</v>
      </c>
    </row>
    <row r="590" spans="1:30" ht="15.75" customHeight="1">
      <c r="A590" s="10" t="s">
        <v>4118</v>
      </c>
      <c r="B590" s="10" t="s">
        <v>1469</v>
      </c>
      <c r="C590" s="52" t="s">
        <v>868</v>
      </c>
      <c r="D590" s="12"/>
      <c r="E590" s="13" t="s">
        <v>93</v>
      </c>
      <c r="F590" s="6" t="s">
        <v>4119</v>
      </c>
      <c r="G590" s="15" t="str">
        <f ca="1">IFERROR(__xludf.DUMMYFUNCTION("CONCATENATE(B590,(VLOOKUP(C590,CATALOGOS!$F$2:$H$6,3,FALSE)),(VLOOKUP(V590,CATALOGOS!$J$2:$K$18,2,FALSE)),""-"",TO_TEXT(A590))"),"P13LP-0589")</f>
        <v>P13LP-0589</v>
      </c>
      <c r="H590" s="6" t="str">
        <f ca="1">IFERROR(__xludf.DUMMYFUNCTION("CONCATENATE($B590,(VLOOKUP($C590,CATALOGOS!$F$2:$H$6,3,FALSE)),(VLOOKUP($V590,CATALOGOS!$J$2:$K$18,2,FALSE)),""-"",TO_TEXT($A590))"),"P13LP-0589")</f>
        <v>P13LP-0589</v>
      </c>
      <c r="I590" s="6"/>
      <c r="J590" s="6" t="s">
        <v>4120</v>
      </c>
      <c r="K590" s="6" t="s">
        <v>4121</v>
      </c>
      <c r="L590" s="6" t="s">
        <v>4122</v>
      </c>
      <c r="M590" s="6" t="s">
        <v>4123</v>
      </c>
      <c r="N590" s="17"/>
      <c r="O590" s="17"/>
      <c r="P590" s="17" t="str">
        <f t="shared" si="3"/>
        <v>OK</v>
      </c>
      <c r="Q590" s="17" t="s">
        <v>35</v>
      </c>
      <c r="R590" s="6" t="s">
        <v>35</v>
      </c>
      <c r="S590" s="17" t="s">
        <v>36</v>
      </c>
      <c r="T590" s="17" t="s">
        <v>4124</v>
      </c>
      <c r="U590" s="173" t="s">
        <v>38</v>
      </c>
      <c r="V590" s="11" t="s">
        <v>2328</v>
      </c>
      <c r="W590" s="20" t="s">
        <v>4125</v>
      </c>
      <c r="X590" s="20" t="s">
        <v>4125</v>
      </c>
      <c r="Y590" s="20"/>
      <c r="Z590" s="7"/>
      <c r="AA590" s="7"/>
      <c r="AB590" s="23"/>
      <c r="AC590" s="26"/>
    </row>
    <row r="591" spans="1:30" ht="15.75" customHeight="1">
      <c r="A591" s="10" t="s">
        <v>4126</v>
      </c>
      <c r="B591" s="10" t="s">
        <v>1469</v>
      </c>
      <c r="C591" s="52" t="s">
        <v>868</v>
      </c>
      <c r="D591" s="12"/>
      <c r="E591" s="13" t="s">
        <v>29</v>
      </c>
      <c r="F591" s="6" t="s">
        <v>1166</v>
      </c>
      <c r="G591" s="15" t="str">
        <f ca="1">IFERROR(__xludf.DUMMYFUNCTION("CONCATENATE(B591,(VLOOKUP(C591,CATALOGOS!$F$2:$H$6,3,FALSE)),(VLOOKUP(V591,CATALOGOS!$J$2:$K$18,2,FALSE)),""-"",TO_TEXT(A591))"),"P13LP-0590")</f>
        <v>P13LP-0590</v>
      </c>
      <c r="H591" s="15" t="str">
        <f ca="1">IFERROR(__xludf.DUMMYFUNCTION("CONCATENATE($B591,(VLOOKUP($C591,CATALOGOS!$F$2:$H$6,3,FALSE)),(VLOOKUP($V591,CATALOGOS!$J$2:$K$18,2,FALSE)),""-"",TO_TEXT($A591))"),"P13LP-0590")</f>
        <v>P13LP-0590</v>
      </c>
      <c r="I591" s="6"/>
      <c r="J591" s="6" t="s">
        <v>4127</v>
      </c>
      <c r="K591" s="6" t="s">
        <v>4128</v>
      </c>
      <c r="L591" s="6" t="s">
        <v>4129</v>
      </c>
      <c r="M591" s="6" t="s">
        <v>4130</v>
      </c>
      <c r="N591" s="17"/>
      <c r="O591" s="17"/>
      <c r="P591" s="17" t="str">
        <f t="shared" si="3"/>
        <v>OK</v>
      </c>
      <c r="Q591" s="17" t="s">
        <v>35</v>
      </c>
      <c r="R591" s="6" t="s">
        <v>35</v>
      </c>
      <c r="S591" s="17" t="s">
        <v>36</v>
      </c>
      <c r="T591" s="17" t="s">
        <v>4131</v>
      </c>
      <c r="U591" s="173" t="s">
        <v>38</v>
      </c>
      <c r="V591" s="11" t="s">
        <v>2328</v>
      </c>
      <c r="W591" s="20" t="s">
        <v>4125</v>
      </c>
      <c r="X591" s="20" t="s">
        <v>4125</v>
      </c>
      <c r="Y591" s="20"/>
      <c r="Z591" s="7"/>
      <c r="AA591" s="7"/>
      <c r="AB591" s="23"/>
      <c r="AC591" s="26"/>
    </row>
    <row r="592" spans="1:30" ht="15.75" customHeight="1">
      <c r="A592" s="10" t="s">
        <v>4132</v>
      </c>
      <c r="B592" s="10" t="s">
        <v>1469</v>
      </c>
      <c r="C592" s="52" t="s">
        <v>868</v>
      </c>
      <c r="D592" s="12"/>
      <c r="E592" s="13" t="s">
        <v>93</v>
      </c>
      <c r="F592" s="6" t="s">
        <v>4133</v>
      </c>
      <c r="G592" s="15" t="str">
        <f ca="1">IFERROR(__xludf.DUMMYFUNCTION("CONCATENATE(B592,(VLOOKUP(C592,CATALOGOS!$F$2:$H$6,3,FALSE)),(VLOOKUP(V592,CATALOGOS!$J$2:$K$18,2,FALSE)),""-"",TO_TEXT(A592))"),"P13LP-0591")</f>
        <v>P13LP-0591</v>
      </c>
      <c r="H592" s="6" t="str">
        <f ca="1">IFERROR(__xludf.DUMMYFUNCTION("CONCATENATE($B592,(VLOOKUP($C592,CATALOGOS!$F$2:$H$6,3,FALSE)),(VLOOKUP($V592,CATALOGOS!$J$2:$K$18,2,FALSE)),""-"",TO_TEXT($A592))"),"P13LP-0591")</f>
        <v>P13LP-0591</v>
      </c>
      <c r="I592" s="6"/>
      <c r="J592" s="6" t="s">
        <v>4134</v>
      </c>
      <c r="K592" s="6" t="s">
        <v>4135</v>
      </c>
      <c r="L592" s="6" t="s">
        <v>4136</v>
      </c>
      <c r="M592" s="6" t="s">
        <v>4137</v>
      </c>
      <c r="N592" s="17"/>
      <c r="O592" s="17"/>
      <c r="P592" s="17" t="str">
        <f t="shared" si="3"/>
        <v>OK</v>
      </c>
      <c r="Q592" s="17" t="s">
        <v>35</v>
      </c>
      <c r="R592" s="6" t="s">
        <v>35</v>
      </c>
      <c r="S592" s="17" t="s">
        <v>36</v>
      </c>
      <c r="T592" s="17" t="s">
        <v>4138</v>
      </c>
      <c r="U592" s="173" t="s">
        <v>38</v>
      </c>
      <c r="V592" s="11" t="s">
        <v>2328</v>
      </c>
      <c r="W592" s="20" t="s">
        <v>4125</v>
      </c>
      <c r="X592" s="20" t="s">
        <v>4125</v>
      </c>
      <c r="Y592" s="20"/>
      <c r="Z592" s="7"/>
      <c r="AA592" s="7"/>
      <c r="AB592" s="23"/>
      <c r="AC592" s="26"/>
    </row>
    <row r="593" spans="1:30" ht="15.75" customHeight="1">
      <c r="A593" s="10" t="s">
        <v>4139</v>
      </c>
      <c r="B593" s="10" t="s">
        <v>1469</v>
      </c>
      <c r="C593" s="52" t="s">
        <v>868</v>
      </c>
      <c r="D593" s="12"/>
      <c r="E593" s="13" t="s">
        <v>378</v>
      </c>
      <c r="F593" s="6" t="s">
        <v>379</v>
      </c>
      <c r="G593" s="15" t="str">
        <f ca="1">IFERROR(__xludf.DUMMYFUNCTION("CONCATENATE(B593,(VLOOKUP(C593,CATALOGOS!$F$2:$H$6,3,FALSE)),(VLOOKUP(V593,CATALOGOS!$J$2:$K$18,2,FALSE)),""-"",TO_TEXT(A593))"),"P13LP-0592")</f>
        <v>P13LP-0592</v>
      </c>
      <c r="H593" s="6" t="str">
        <f ca="1">IFERROR(__xludf.DUMMYFUNCTION("CONCATENATE($B593,(VLOOKUP($C593,CATALOGOS!$F$2:$H$6,3,FALSE)),(VLOOKUP($V593,CATALOGOS!$J$2:$K$18,2,FALSE)),""-"",TO_TEXT($A593))"),"P13LP-0592")</f>
        <v>P13LP-0592</v>
      </c>
      <c r="I593" s="6"/>
      <c r="J593" s="6" t="s">
        <v>4140</v>
      </c>
      <c r="K593" s="6" t="s">
        <v>4141</v>
      </c>
      <c r="L593" s="6" t="s">
        <v>4142</v>
      </c>
      <c r="M593" s="6" t="s">
        <v>4143</v>
      </c>
      <c r="N593" s="17"/>
      <c r="O593" s="17"/>
      <c r="P593" s="17" t="str">
        <f t="shared" si="3"/>
        <v>OK</v>
      </c>
      <c r="Q593" s="17" t="s">
        <v>35</v>
      </c>
      <c r="R593" s="6" t="s">
        <v>35</v>
      </c>
      <c r="S593" s="17" t="s">
        <v>36</v>
      </c>
      <c r="T593" s="17" t="s">
        <v>4144</v>
      </c>
      <c r="U593" s="173" t="s">
        <v>38</v>
      </c>
      <c r="V593" s="11" t="s">
        <v>2328</v>
      </c>
      <c r="W593" s="20" t="s">
        <v>4125</v>
      </c>
      <c r="X593" s="20" t="s">
        <v>4125</v>
      </c>
      <c r="Y593" s="20"/>
      <c r="Z593" s="7"/>
      <c r="AA593" s="7"/>
      <c r="AB593" s="23"/>
      <c r="AC593" s="26"/>
    </row>
    <row r="594" spans="1:30" ht="15.75" customHeight="1">
      <c r="A594" s="10" t="s">
        <v>4145</v>
      </c>
      <c r="B594" s="10" t="s">
        <v>1469</v>
      </c>
      <c r="C594" s="52" t="s">
        <v>868</v>
      </c>
      <c r="D594" s="12"/>
      <c r="E594" s="13" t="s">
        <v>248</v>
      </c>
      <c r="F594" s="43" t="s">
        <v>248</v>
      </c>
      <c r="G594" s="15" t="str">
        <f ca="1">IFERROR(__xludf.DUMMYFUNCTION("CONCATENATE(B594,(VLOOKUP(C594,CATALOGOS!$F$2:$H$6,3,FALSE)),(VLOOKUP(V594,CATALOGOS!$J$2:$K$18,2,FALSE)),""-"",TO_TEXT(A594))"),"P13LP-0593")</f>
        <v>P13LP-0593</v>
      </c>
      <c r="H594" s="6" t="str">
        <f ca="1">IFERROR(__xludf.DUMMYFUNCTION("CONCATENATE($B594,(VLOOKUP($C594,CATALOGOS!$F$2:$H$6,3,FALSE)),(VLOOKUP($V594,CATALOGOS!$J$2:$K$18,2,FALSE)),""-"",TO_TEXT($A594))"),"P13LP-0593")</f>
        <v>P13LP-0593</v>
      </c>
      <c r="I594" s="6"/>
      <c r="J594" s="6" t="s">
        <v>4146</v>
      </c>
      <c r="K594" s="6" t="s">
        <v>4147</v>
      </c>
      <c r="L594" s="6" t="s">
        <v>4148</v>
      </c>
      <c r="M594" s="6" t="s">
        <v>4149</v>
      </c>
      <c r="N594" s="17"/>
      <c r="O594" s="17"/>
      <c r="P594" s="17" t="str">
        <f t="shared" si="3"/>
        <v>OK</v>
      </c>
      <c r="Q594" s="17" t="s">
        <v>978</v>
      </c>
      <c r="R594" s="6" t="s">
        <v>979</v>
      </c>
      <c r="S594" s="17" t="s">
        <v>4150</v>
      </c>
      <c r="T594" s="17" t="s">
        <v>4151</v>
      </c>
      <c r="U594" s="173" t="s">
        <v>38</v>
      </c>
      <c r="V594" s="11" t="s">
        <v>2328</v>
      </c>
      <c r="W594" s="20" t="s">
        <v>4125</v>
      </c>
      <c r="X594" s="20" t="s">
        <v>4125</v>
      </c>
      <c r="Y594" s="20"/>
      <c r="Z594" s="7"/>
      <c r="AA594" s="7"/>
      <c r="AB594" s="23"/>
      <c r="AC594" s="26"/>
    </row>
    <row r="595" spans="1:30" ht="15.75" customHeight="1">
      <c r="A595" s="10" t="s">
        <v>4152</v>
      </c>
      <c r="B595" s="10" t="s">
        <v>1469</v>
      </c>
      <c r="C595" s="52" t="s">
        <v>868</v>
      </c>
      <c r="D595" s="12"/>
      <c r="E595" s="13" t="s">
        <v>116</v>
      </c>
      <c r="F595" s="6" t="s">
        <v>4153</v>
      </c>
      <c r="G595" s="15" t="str">
        <f ca="1">IFERROR(__xludf.DUMMYFUNCTION("CONCATENATE(B595,(VLOOKUP(C595,CATALOGOS!$F$2:$H$6,3,FALSE)),(VLOOKUP(V595,CATALOGOS!$J$2:$K$18,2,FALSE)),""-"",TO_TEXT(A595))"),"P13LP-0594")</f>
        <v>P13LP-0594</v>
      </c>
      <c r="H595" s="6" t="str">
        <f ca="1">IFERROR(__xludf.DUMMYFUNCTION("CONCATENATE($B595,(VLOOKUP($C595,CATALOGOS!$F$2:$H$6,3,FALSE)),(VLOOKUP($V595,CATALOGOS!$J$2:$K$18,2,FALSE)),""-"",TO_TEXT($A595))"),"P13LP-0594")</f>
        <v>P13LP-0594</v>
      </c>
      <c r="I595" s="6"/>
      <c r="J595" s="6" t="s">
        <v>4154</v>
      </c>
      <c r="K595" s="6" t="s">
        <v>4155</v>
      </c>
      <c r="L595" s="6" t="s">
        <v>4156</v>
      </c>
      <c r="M595" s="6" t="s">
        <v>4157</v>
      </c>
      <c r="N595" s="17"/>
      <c r="O595" s="17"/>
      <c r="P595" s="17" t="str">
        <f t="shared" si="3"/>
        <v>OK</v>
      </c>
      <c r="Q595" s="17" t="s">
        <v>35</v>
      </c>
      <c r="R595" s="6" t="s">
        <v>35</v>
      </c>
      <c r="S595" s="17" t="s">
        <v>36</v>
      </c>
      <c r="T595" s="17" t="s">
        <v>4158</v>
      </c>
      <c r="U595" s="173" t="s">
        <v>38</v>
      </c>
      <c r="V595" s="11" t="s">
        <v>2328</v>
      </c>
      <c r="W595" s="20" t="s">
        <v>4125</v>
      </c>
      <c r="X595" s="20" t="s">
        <v>4125</v>
      </c>
      <c r="Y595" s="20"/>
      <c r="Z595" s="7"/>
      <c r="AA595" s="7"/>
      <c r="AB595" s="23"/>
      <c r="AC595" s="26"/>
    </row>
    <row r="596" spans="1:30" ht="15.75" customHeight="1">
      <c r="A596" s="10" t="s">
        <v>4159</v>
      </c>
      <c r="B596" s="10" t="s">
        <v>1469</v>
      </c>
      <c r="C596" s="52" t="s">
        <v>868</v>
      </c>
      <c r="D596" s="12"/>
      <c r="E596" s="13" t="s">
        <v>199</v>
      </c>
      <c r="F596" s="6" t="s">
        <v>199</v>
      </c>
      <c r="G596" s="15" t="str">
        <f ca="1">IFERROR(__xludf.DUMMYFUNCTION("CONCATENATE(B596,(VLOOKUP(C596,CATALOGOS!$F$2:$H$6,3,FALSE)),(VLOOKUP(V596,CATALOGOS!$J$2:$K$18,2,FALSE)),""-"",TO_TEXT(A596))"),"P13LP-0595")</f>
        <v>P13LP-0595</v>
      </c>
      <c r="H596" s="6" t="str">
        <f ca="1">IFERROR(__xludf.DUMMYFUNCTION("CONCATENATE($B596,(VLOOKUP($C596,CATALOGOS!$F$2:$H$6,3,FALSE)),(VLOOKUP($V596,CATALOGOS!$J$2:$K$18,2,FALSE)),""-"",TO_TEXT($A596))"),"P13LP-0595")</f>
        <v>P13LP-0595</v>
      </c>
      <c r="I596" s="6"/>
      <c r="J596" s="6" t="s">
        <v>4160</v>
      </c>
      <c r="K596" s="6" t="s">
        <v>4161</v>
      </c>
      <c r="L596" s="37"/>
      <c r="M596" s="6" t="s">
        <v>4162</v>
      </c>
      <c r="N596" s="17"/>
      <c r="O596" s="17"/>
      <c r="P596" s="17" t="str">
        <f t="shared" si="3"/>
        <v>OK</v>
      </c>
      <c r="Q596" s="17" t="s">
        <v>273</v>
      </c>
      <c r="R596" s="6" t="s">
        <v>274</v>
      </c>
      <c r="S596" s="6">
        <v>11392903015788</v>
      </c>
      <c r="T596" s="10" t="s">
        <v>85</v>
      </c>
      <c r="U596" s="173" t="s">
        <v>38</v>
      </c>
      <c r="V596" s="11" t="s">
        <v>2328</v>
      </c>
      <c r="W596" s="20" t="s">
        <v>4125</v>
      </c>
      <c r="X596" s="20" t="s">
        <v>4125</v>
      </c>
      <c r="Y596" s="20"/>
      <c r="Z596" s="6"/>
      <c r="AA596" s="6"/>
      <c r="AB596" s="41" t="s">
        <v>275</v>
      </c>
      <c r="AC596" s="42">
        <v>44403</v>
      </c>
      <c r="AD596" s="8" t="s">
        <v>276</v>
      </c>
    </row>
    <row r="597" spans="1:30" ht="15.75" customHeight="1">
      <c r="A597" s="10" t="s">
        <v>4163</v>
      </c>
      <c r="B597" s="10" t="s">
        <v>1469</v>
      </c>
      <c r="C597" s="52" t="s">
        <v>868</v>
      </c>
      <c r="D597" s="12"/>
      <c r="E597" s="13" t="s">
        <v>151</v>
      </c>
      <c r="F597" s="6" t="s">
        <v>4113</v>
      </c>
      <c r="G597" s="15" t="str">
        <f ca="1">IFERROR(__xludf.DUMMYFUNCTION("CONCATENATE(B597,(VLOOKUP(C597,CATALOGOS!$F$2:$H$6,3,FALSE)),(VLOOKUP(V597,CATALOGOS!$J$2:$K$18,2,FALSE)),""-"",TO_TEXT(A597))"),"P13LP-0596")</f>
        <v>P13LP-0596</v>
      </c>
      <c r="H597" s="6" t="str">
        <f ca="1">IFERROR(__xludf.DUMMYFUNCTION("CONCATENATE($B597,(VLOOKUP($C597,CATALOGOS!$F$2:$H$6,3,FALSE)),(VLOOKUP($V597,CATALOGOS!$J$2:$K$18,2,FALSE)),""-"",TO_TEXT($A597))"),"P13LP-0596")</f>
        <v>P13LP-0596</v>
      </c>
      <c r="I597" s="6"/>
      <c r="J597" s="6" t="s">
        <v>4164</v>
      </c>
      <c r="K597" s="6" t="s">
        <v>4165</v>
      </c>
      <c r="L597" s="37"/>
      <c r="M597" s="6" t="s">
        <v>4166</v>
      </c>
      <c r="N597" s="17"/>
      <c r="O597" s="17"/>
      <c r="P597" s="17" t="str">
        <f t="shared" si="3"/>
        <v>OK</v>
      </c>
      <c r="Q597" s="17" t="s">
        <v>297</v>
      </c>
      <c r="R597" s="6" t="s">
        <v>298</v>
      </c>
      <c r="S597" s="6" t="s">
        <v>4167</v>
      </c>
      <c r="T597" s="10" t="s">
        <v>85</v>
      </c>
      <c r="U597" s="173" t="s">
        <v>38</v>
      </c>
      <c r="V597" s="11" t="s">
        <v>2328</v>
      </c>
      <c r="W597" s="20" t="s">
        <v>4125</v>
      </c>
      <c r="X597" s="20" t="s">
        <v>4125</v>
      </c>
      <c r="Y597" s="20"/>
      <c r="Z597" s="6"/>
      <c r="AA597" s="6"/>
      <c r="AB597" s="41" t="s">
        <v>275</v>
      </c>
      <c r="AC597" s="42">
        <v>44403</v>
      </c>
      <c r="AD597" s="8">
        <v>0</v>
      </c>
    </row>
    <row r="598" spans="1:30" ht="15.75" customHeight="1">
      <c r="A598" s="10" t="s">
        <v>4168</v>
      </c>
      <c r="B598" s="10" t="s">
        <v>1469</v>
      </c>
      <c r="C598" s="52" t="s">
        <v>868</v>
      </c>
      <c r="D598" s="38"/>
      <c r="E598" s="13" t="s">
        <v>1240</v>
      </c>
      <c r="F598" s="43" t="s">
        <v>278</v>
      </c>
      <c r="G598" s="15" t="str">
        <f ca="1">IFERROR(__xludf.DUMMYFUNCTION("CONCATENATE(B598,(VLOOKUP(C598,CATALOGOS!$F$2:$H$6,3,FALSE)),(VLOOKUP(V598,CATALOGOS!$J$2:$K$18,2,FALSE)),""-"",TO_TEXT(A598))"),"P13LP-0597")</f>
        <v>P13LP-0597</v>
      </c>
      <c r="H598" s="6" t="str">
        <f ca="1">IFERROR(__xludf.DUMMYFUNCTION("CONCATENATE($B598,(VLOOKUP($C598,CATALOGOS!$F$2:$H$6,3,FALSE)),(VLOOKUP($V598,CATALOGOS!$J$2:$K$18,2,FALSE)),""-"",TO_TEXT($A598))"),"P13LP-0597")</f>
        <v>P13LP-0597</v>
      </c>
      <c r="I598" s="6"/>
      <c r="J598" s="6" t="s">
        <v>4169</v>
      </c>
      <c r="K598" s="6" t="s">
        <v>4170</v>
      </c>
      <c r="L598" s="6" t="s">
        <v>4171</v>
      </c>
      <c r="M598" s="6" t="s">
        <v>4172</v>
      </c>
      <c r="N598" s="17"/>
      <c r="O598" s="17"/>
      <c r="P598" s="17" t="str">
        <f t="shared" si="3"/>
        <v>OK</v>
      </c>
      <c r="Q598" s="17" t="s">
        <v>35</v>
      </c>
      <c r="R598" s="6" t="s">
        <v>35</v>
      </c>
      <c r="S598" s="46" t="s">
        <v>36</v>
      </c>
      <c r="T598" s="17" t="s">
        <v>4173</v>
      </c>
      <c r="U598" s="173" t="s">
        <v>38</v>
      </c>
      <c r="V598" s="11" t="s">
        <v>2328</v>
      </c>
      <c r="W598" s="20" t="s">
        <v>4125</v>
      </c>
      <c r="X598" s="20" t="s">
        <v>4125</v>
      </c>
      <c r="Y598" s="20"/>
      <c r="Z598" s="7"/>
      <c r="AA598" s="7"/>
      <c r="AB598" s="26"/>
      <c r="AC598" s="26"/>
    </row>
    <row r="599" spans="1:30" ht="15.75" customHeight="1">
      <c r="A599" s="10" t="s">
        <v>4174</v>
      </c>
      <c r="B599" s="10" t="s">
        <v>1469</v>
      </c>
      <c r="C599" s="52" t="s">
        <v>868</v>
      </c>
      <c r="D599" s="12"/>
      <c r="E599" s="13" t="s">
        <v>378</v>
      </c>
      <c r="F599" s="43" t="s">
        <v>4175</v>
      </c>
      <c r="G599" s="15" t="str">
        <f ca="1">IFERROR(__xludf.DUMMYFUNCTION("CONCATENATE(B599,(VLOOKUP(C599,CATALOGOS!$F$2:$H$6,3,FALSE)),(VLOOKUP(V599,CATALOGOS!$J$2:$K$18,2,FALSE)),""-"",TO_TEXT(A599))"),"P13IR-0598")</f>
        <v>P13IR-0598</v>
      </c>
      <c r="H599" s="6" t="str">
        <f ca="1">IFERROR(__xludf.DUMMYFUNCTION("CONCATENATE($B599,(VLOOKUP($C599,CATALOGOS!$F$2:$H$6,3,FALSE)),(VLOOKUP($V599,CATALOGOS!$J$2:$K$18,2,FALSE)),""-"",TO_TEXT($A599))"),"P13IR-0598")</f>
        <v>P13IR-0598</v>
      </c>
      <c r="I599" s="6"/>
      <c r="J599" s="6" t="s">
        <v>4176</v>
      </c>
      <c r="K599" s="6" t="s">
        <v>4177</v>
      </c>
      <c r="L599" s="6" t="s">
        <v>4178</v>
      </c>
      <c r="M599" s="6" t="s">
        <v>4179</v>
      </c>
      <c r="N599" s="17"/>
      <c r="O599" s="17"/>
      <c r="P599" s="17" t="str">
        <f t="shared" si="3"/>
        <v>OK</v>
      </c>
      <c r="Q599" s="17" t="s">
        <v>35</v>
      </c>
      <c r="R599" s="6" t="s">
        <v>35</v>
      </c>
      <c r="S599" s="17" t="s">
        <v>36</v>
      </c>
      <c r="T599" s="17" t="s">
        <v>4180</v>
      </c>
      <c r="U599" s="173" t="s">
        <v>38</v>
      </c>
      <c r="V599" s="11" t="s">
        <v>2381</v>
      </c>
      <c r="W599" s="20" t="s">
        <v>4181</v>
      </c>
      <c r="X599" s="20" t="s">
        <v>4181</v>
      </c>
      <c r="Y599" s="20"/>
      <c r="Z599" s="7"/>
      <c r="AA599" s="7"/>
      <c r="AB599" s="23"/>
      <c r="AC599" s="26"/>
    </row>
    <row r="600" spans="1:30" ht="15.75" customHeight="1">
      <c r="A600" s="10" t="s">
        <v>4182</v>
      </c>
      <c r="B600" s="10" t="s">
        <v>1469</v>
      </c>
      <c r="C600" s="52" t="s">
        <v>868</v>
      </c>
      <c r="D600" s="12"/>
      <c r="E600" s="13" t="s">
        <v>378</v>
      </c>
      <c r="F600" s="6" t="s">
        <v>4183</v>
      </c>
      <c r="G600" s="6" t="str">
        <f ca="1">IFERROR(__xludf.DUMMYFUNCTION("CONCATENATE(B600,(VLOOKUP(C600,CATALOGOS!$F$2:$H$6,3,FALSE)),(VLOOKUP(V600,CATALOGOS!$J$2:$K$18,2,FALSE)),""-"",TO_TEXT(A600))"),"P13SO-0599")</f>
        <v>P13SO-0599</v>
      </c>
      <c r="H600" s="6" t="str">
        <f ca="1">IFERROR(__xludf.DUMMYFUNCTION("CONCATENATE($B600,(VLOOKUP($C600,CATALOGOS!$F$2:$H$6,3,FALSE)),(VLOOKUP($V600,CATALOGOS!$J$2:$K$18,2,FALSE)),""-"",TO_TEXT($A600))"),"P13SO-0599")</f>
        <v>P13SO-0599</v>
      </c>
      <c r="I600" s="6"/>
      <c r="J600" s="6" t="s">
        <v>4184</v>
      </c>
      <c r="K600" s="6" t="s">
        <v>4185</v>
      </c>
      <c r="L600" s="6" t="s">
        <v>4186</v>
      </c>
      <c r="M600" s="6" t="s">
        <v>4187</v>
      </c>
      <c r="N600" s="17"/>
      <c r="O600" s="17"/>
      <c r="P600" s="17" t="str">
        <f t="shared" si="3"/>
        <v>OK</v>
      </c>
      <c r="Q600" s="17" t="s">
        <v>35</v>
      </c>
      <c r="R600" s="6" t="s">
        <v>35</v>
      </c>
      <c r="S600" s="17" t="s">
        <v>36</v>
      </c>
      <c r="T600" s="17" t="s">
        <v>4188</v>
      </c>
      <c r="U600" s="173" t="s">
        <v>38</v>
      </c>
      <c r="V600" s="11" t="s">
        <v>868</v>
      </c>
      <c r="W600" s="20" t="s">
        <v>3451</v>
      </c>
      <c r="X600" s="20" t="s">
        <v>3451</v>
      </c>
      <c r="Y600" s="20"/>
      <c r="Z600" s="6"/>
      <c r="AA600" s="6"/>
      <c r="AB600" s="23"/>
      <c r="AC600" s="24"/>
    </row>
    <row r="601" spans="1:30" ht="15.75" customHeight="1">
      <c r="A601" s="10" t="s">
        <v>4189</v>
      </c>
      <c r="B601" s="10" t="s">
        <v>1469</v>
      </c>
      <c r="C601" s="52" t="s">
        <v>868</v>
      </c>
      <c r="D601" s="12"/>
      <c r="E601" s="13" t="s">
        <v>93</v>
      </c>
      <c r="F601" s="6" t="s">
        <v>4190</v>
      </c>
      <c r="G601" s="15" t="str">
        <f ca="1">IFERROR(__xludf.DUMMYFUNCTION("CONCATENATE(B601,(VLOOKUP(C601,CATALOGOS!$F$2:$H$6,3,FALSE)),(VLOOKUP(V601,CATALOGOS!$J$2:$K$18,2,FALSE)),""-"",TO_TEXT(A601))"),"P13IR-0600")</f>
        <v>P13IR-0600</v>
      </c>
      <c r="H601" s="6" t="str">
        <f ca="1">IFERROR(__xludf.DUMMYFUNCTION("CONCATENATE($B601,(VLOOKUP($C601,CATALOGOS!$F$2:$H$6,3,FALSE)),(VLOOKUP($V601,CATALOGOS!$J$2:$K$18,2,FALSE)),""-"",TO_TEXT($A601))"),"P13IR-0600")</f>
        <v>P13IR-0600</v>
      </c>
      <c r="I601" s="6"/>
      <c r="J601" s="6" t="s">
        <v>4191</v>
      </c>
      <c r="K601" s="6" t="s">
        <v>4192</v>
      </c>
      <c r="L601" s="6" t="s">
        <v>4193</v>
      </c>
      <c r="M601" s="6" t="s">
        <v>4194</v>
      </c>
      <c r="N601" s="17"/>
      <c r="O601" s="17"/>
      <c r="P601" s="17" t="str">
        <f t="shared" si="3"/>
        <v>OK</v>
      </c>
      <c r="Q601" s="17" t="s">
        <v>35</v>
      </c>
      <c r="R601" s="6" t="s">
        <v>35</v>
      </c>
      <c r="S601" s="17" t="s">
        <v>36</v>
      </c>
      <c r="T601" s="17" t="s">
        <v>4195</v>
      </c>
      <c r="U601" s="173" t="s">
        <v>38</v>
      </c>
      <c r="V601" s="11" t="s">
        <v>2381</v>
      </c>
      <c r="W601" s="20" t="s">
        <v>4181</v>
      </c>
      <c r="X601" s="20" t="s">
        <v>4181</v>
      </c>
      <c r="Y601" s="20"/>
      <c r="Z601" s="7"/>
      <c r="AA601" s="7"/>
      <c r="AB601" s="23"/>
      <c r="AC601" s="26"/>
    </row>
    <row r="602" spans="1:30" ht="15.75" customHeight="1">
      <c r="A602" s="10" t="s">
        <v>4196</v>
      </c>
      <c r="B602" s="10" t="s">
        <v>1469</v>
      </c>
      <c r="C602" s="52" t="s">
        <v>868</v>
      </c>
      <c r="D602" s="12"/>
      <c r="E602" s="13" t="s">
        <v>93</v>
      </c>
      <c r="F602" s="6" t="s">
        <v>869</v>
      </c>
      <c r="G602" s="15" t="str">
        <f ca="1">IFERROR(__xludf.DUMMYFUNCTION("CONCATENATE(B602,(VLOOKUP(C602,CATALOGOS!$F$2:$H$6,3,FALSE)),(VLOOKUP(V602,CATALOGOS!$J$2:$K$18,2,FALSE)),""-"",TO_TEXT(A602))"),"P13SO-0601")</f>
        <v>P13SO-0601</v>
      </c>
      <c r="H602" s="6" t="str">
        <f ca="1">IFERROR(__xludf.DUMMYFUNCTION("CONCATENATE($B602,(VLOOKUP($C602,CATALOGOS!$F$2:$H$6,3,FALSE)),(VLOOKUP($V602,CATALOGOS!$J$2:$K$18,2,FALSE)),""-"",TO_TEXT($A602))"),"P13SO-0601")</f>
        <v>P13SO-0601</v>
      </c>
      <c r="I602" s="6"/>
      <c r="J602" s="6" t="s">
        <v>4197</v>
      </c>
      <c r="K602" s="6" t="s">
        <v>4198</v>
      </c>
      <c r="L602" s="6" t="s">
        <v>4199</v>
      </c>
      <c r="M602" s="6" t="s">
        <v>4200</v>
      </c>
      <c r="N602" s="17"/>
      <c r="O602" s="17"/>
      <c r="P602" s="17" t="str">
        <f t="shared" si="3"/>
        <v>OK</v>
      </c>
      <c r="Q602" s="17" t="s">
        <v>35</v>
      </c>
      <c r="R602" s="6" t="s">
        <v>35</v>
      </c>
      <c r="S602" s="17" t="s">
        <v>36</v>
      </c>
      <c r="T602" s="17" t="s">
        <v>4201</v>
      </c>
      <c r="U602" s="173" t="s">
        <v>38</v>
      </c>
      <c r="V602" s="11" t="s">
        <v>868</v>
      </c>
      <c r="W602" s="6" t="s">
        <v>3450</v>
      </c>
      <c r="X602" s="6" t="s">
        <v>4202</v>
      </c>
      <c r="Y602" s="6"/>
      <c r="Z602" s="6"/>
      <c r="AA602" s="6" t="s">
        <v>4203</v>
      </c>
      <c r="AB602" s="23"/>
      <c r="AC602" s="26"/>
    </row>
    <row r="603" spans="1:30" ht="15.75" customHeight="1">
      <c r="A603" s="10" t="s">
        <v>4204</v>
      </c>
      <c r="B603" s="10" t="s">
        <v>1469</v>
      </c>
      <c r="C603" s="52" t="s">
        <v>868</v>
      </c>
      <c r="D603" s="12"/>
      <c r="E603" s="13" t="s">
        <v>199</v>
      </c>
      <c r="F603" s="6" t="s">
        <v>199</v>
      </c>
      <c r="G603" s="15" t="str">
        <f ca="1">IFERROR(__xludf.DUMMYFUNCTION("CONCATENATE(B603,(VLOOKUP(C603,CATALOGOS!$F$2:$H$6,3,FALSE)),(VLOOKUP(V603,CATALOGOS!$J$2:$K$18,2,FALSE)),""-"",TO_TEXT(A603))"),"P13IR-0602")</f>
        <v>P13IR-0602</v>
      </c>
      <c r="H603" s="6" t="str">
        <f ca="1">IFERROR(__xludf.DUMMYFUNCTION("CONCATENATE($B603,(VLOOKUP($C603,CATALOGOS!$F$2:$H$6,3,FALSE)),(VLOOKUP($V603,CATALOGOS!$J$2:$K$18,2,FALSE)),""-"",TO_TEXT($A603))"),"P13IR-0602")</f>
        <v>P13IR-0602</v>
      </c>
      <c r="I603" s="6"/>
      <c r="J603" s="6" t="s">
        <v>4205</v>
      </c>
      <c r="K603" s="6" t="s">
        <v>4206</v>
      </c>
      <c r="L603" s="6" t="s">
        <v>4207</v>
      </c>
      <c r="M603" s="6" t="s">
        <v>141</v>
      </c>
      <c r="N603" s="17"/>
      <c r="O603" s="17"/>
      <c r="P603" s="17" t="str">
        <f t="shared" si="3"/>
        <v>REPETIDO</v>
      </c>
      <c r="Q603" s="17" t="s">
        <v>157</v>
      </c>
      <c r="R603" s="32">
        <v>1592</v>
      </c>
      <c r="S603" s="17" t="s">
        <v>4208</v>
      </c>
      <c r="T603" s="17" t="s">
        <v>4209</v>
      </c>
      <c r="U603" s="179" t="s">
        <v>517</v>
      </c>
      <c r="V603" s="11" t="s">
        <v>2381</v>
      </c>
      <c r="W603" s="20" t="s">
        <v>4181</v>
      </c>
      <c r="X603" s="20" t="s">
        <v>4181</v>
      </c>
      <c r="Y603" s="20"/>
      <c r="Z603" s="6"/>
      <c r="AA603" s="6"/>
      <c r="AB603" s="23"/>
      <c r="AC603" s="7"/>
    </row>
    <row r="604" spans="1:30" ht="15.75" customHeight="1">
      <c r="A604" s="10" t="s">
        <v>4210</v>
      </c>
      <c r="B604" s="10" t="s">
        <v>1469</v>
      </c>
      <c r="C604" s="52" t="s">
        <v>868</v>
      </c>
      <c r="D604" s="12"/>
      <c r="E604" s="13" t="s">
        <v>353</v>
      </c>
      <c r="F604" s="43" t="s">
        <v>354</v>
      </c>
      <c r="G604" s="6" t="str">
        <f ca="1">IFERROR(__xludf.DUMMYFUNCTION("CONCATENATE(B604,(VLOOKUP(C604,CATALOGOS!$F$2:$H$6,3,FALSE)),(VLOOKUP(V604,CATALOGOS!$J$2:$K$18,2,FALSE)),""-"",TO_TEXT(A604))"),"P13LP-0603")</f>
        <v>P13LP-0603</v>
      </c>
      <c r="H604" s="6" t="str">
        <f ca="1">IFERROR(__xludf.DUMMYFUNCTION("CONCATENATE($B604,(VLOOKUP($C604,CATALOGOS!$F$2:$H$6,3,FALSE)),(VLOOKUP($V604,CATALOGOS!$J$2:$K$18,2,FALSE)),""-"",TO_TEXT($A604))"),"P13LP-0603")</f>
        <v>P13LP-0603</v>
      </c>
      <c r="I604" s="6"/>
      <c r="J604" s="6" t="s">
        <v>4211</v>
      </c>
      <c r="K604" s="6" t="s">
        <v>4212</v>
      </c>
      <c r="L604" s="6" t="s">
        <v>4213</v>
      </c>
      <c r="M604" s="6" t="s">
        <v>4214</v>
      </c>
      <c r="N604" s="17"/>
      <c r="O604" s="17"/>
      <c r="P604" s="17" t="str">
        <f t="shared" si="3"/>
        <v>OK</v>
      </c>
      <c r="Q604" s="17" t="s">
        <v>359</v>
      </c>
      <c r="R604" s="6" t="s">
        <v>360</v>
      </c>
      <c r="S604" s="17" t="s">
        <v>36</v>
      </c>
      <c r="T604" s="17" t="s">
        <v>4215</v>
      </c>
      <c r="U604" s="173" t="s">
        <v>38</v>
      </c>
      <c r="V604" s="11" t="s">
        <v>2328</v>
      </c>
      <c r="W604" s="6" t="s">
        <v>4202</v>
      </c>
      <c r="X604" s="6" t="s">
        <v>4202</v>
      </c>
      <c r="Y604" s="6"/>
      <c r="Z604" s="6"/>
      <c r="AA604" s="6" t="s">
        <v>4203</v>
      </c>
      <c r="AB604" s="23"/>
      <c r="AC604" s="26"/>
    </row>
    <row r="605" spans="1:30" ht="15.75" customHeight="1">
      <c r="A605" s="10" t="s">
        <v>4216</v>
      </c>
      <c r="B605" s="10" t="s">
        <v>1469</v>
      </c>
      <c r="C605" s="52" t="s">
        <v>868</v>
      </c>
      <c r="D605" s="38"/>
      <c r="E605" s="13" t="s">
        <v>151</v>
      </c>
      <c r="F605" s="6" t="s">
        <v>152</v>
      </c>
      <c r="G605" s="6" t="str">
        <f ca="1">IFERROR(__xludf.DUMMYFUNCTION("CONCATENATE(B605,(VLOOKUP(C605,CATALOGOS!$F$2:$H$6,3,FALSE)),(VLOOKUP(V605,CATALOGOS!$J$2:$K$18,2,FALSE)),""-"",TO_TEXT(A605))"),"P13LP-0604")</f>
        <v>P13LP-0604</v>
      </c>
      <c r="H605" s="6" t="str">
        <f ca="1">IFERROR(__xludf.DUMMYFUNCTION("CONCATENATE($B605,(VLOOKUP($C605,CATALOGOS!$F$2:$H$6,3,FALSE)),(VLOOKUP($V605,CATALOGOS!$J$2:$K$18,2,FALSE)),""-"",TO_TEXT($A605))"),"P13LP-0604")</f>
        <v>P13LP-0604</v>
      </c>
      <c r="I605" s="6"/>
      <c r="J605" s="6" t="s">
        <v>4217</v>
      </c>
      <c r="K605" s="6" t="s">
        <v>4218</v>
      </c>
      <c r="L605" s="6" t="s">
        <v>4219</v>
      </c>
      <c r="M605" s="6" t="s">
        <v>4220</v>
      </c>
      <c r="N605" s="17"/>
      <c r="O605" s="17"/>
      <c r="P605" s="17" t="str">
        <f t="shared" si="3"/>
        <v>OK</v>
      </c>
      <c r="Q605" s="17" t="s">
        <v>1220</v>
      </c>
      <c r="R605" s="6" t="s">
        <v>720</v>
      </c>
      <c r="S605" s="46" t="s">
        <v>4221</v>
      </c>
      <c r="T605" s="17" t="s">
        <v>4222</v>
      </c>
      <c r="U605" s="173" t="s">
        <v>749</v>
      </c>
      <c r="V605" s="11" t="s">
        <v>2328</v>
      </c>
      <c r="W605" s="6" t="s">
        <v>4202</v>
      </c>
      <c r="X605" s="6" t="s">
        <v>4202</v>
      </c>
      <c r="Y605" s="6"/>
      <c r="Z605" s="6"/>
      <c r="AA605" s="6" t="s">
        <v>4203</v>
      </c>
      <c r="AB605" s="26"/>
      <c r="AC605" s="7"/>
    </row>
    <row r="606" spans="1:30" ht="15.75" customHeight="1">
      <c r="A606" s="10" t="s">
        <v>4223</v>
      </c>
      <c r="B606" s="10" t="s">
        <v>1469</v>
      </c>
      <c r="C606" s="52" t="s">
        <v>868</v>
      </c>
      <c r="D606" s="12"/>
      <c r="E606" s="13" t="s">
        <v>53</v>
      </c>
      <c r="F606" s="6" t="s">
        <v>2362</v>
      </c>
      <c r="G606" s="6" t="str">
        <f ca="1">IFERROR(__xludf.DUMMYFUNCTION("CONCATENATE(B606,(VLOOKUP(C606,CATALOGOS!$F$2:$H$6,3,FALSE)),(VLOOKUP(V606,CATALOGOS!$J$2:$K$18,2,FALSE)),""-"",TO_TEXT(A606))"),"P13IR-0605")</f>
        <v>P13IR-0605</v>
      </c>
      <c r="H606" s="6" t="str">
        <f ca="1">IFERROR(__xludf.DUMMYFUNCTION("CONCATENATE($B606,(VLOOKUP($C606,CATALOGOS!$F$2:$H$6,3,FALSE)),(VLOOKUP($V606,CATALOGOS!$J$2:$K$18,2,FALSE)),""-"",TO_TEXT($A606))"),"P13IR-0605")</f>
        <v>P13IR-0605</v>
      </c>
      <c r="I606" s="6"/>
      <c r="J606" s="6" t="s">
        <v>4224</v>
      </c>
      <c r="K606" s="6" t="s">
        <v>4225</v>
      </c>
      <c r="L606" s="6" t="s">
        <v>4226</v>
      </c>
      <c r="M606" s="6" t="s">
        <v>4227</v>
      </c>
      <c r="N606" s="17"/>
      <c r="O606" s="17"/>
      <c r="P606" s="17" t="str">
        <f t="shared" si="3"/>
        <v>OK</v>
      </c>
      <c r="Q606" s="17" t="s">
        <v>35</v>
      </c>
      <c r="R606" s="6" t="s">
        <v>35</v>
      </c>
      <c r="S606" s="17" t="s">
        <v>36</v>
      </c>
      <c r="T606" s="17" t="s">
        <v>4228</v>
      </c>
      <c r="U606" s="173" t="s">
        <v>38</v>
      </c>
      <c r="V606" s="11" t="s">
        <v>2381</v>
      </c>
      <c r="W606" s="20" t="s">
        <v>3848</v>
      </c>
      <c r="X606" s="20" t="s">
        <v>3848</v>
      </c>
      <c r="Y606" s="20"/>
      <c r="Z606" s="7"/>
      <c r="AA606" s="7"/>
      <c r="AB606" s="23"/>
      <c r="AC606" s="26"/>
    </row>
    <row r="607" spans="1:30" ht="15.75" customHeight="1">
      <c r="A607" s="10" t="s">
        <v>4229</v>
      </c>
      <c r="B607" s="10" t="s">
        <v>1469</v>
      </c>
      <c r="C607" s="52" t="s">
        <v>868</v>
      </c>
      <c r="D607" s="12"/>
      <c r="E607" s="13" t="s">
        <v>93</v>
      </c>
      <c r="F607" s="6" t="s">
        <v>4230</v>
      </c>
      <c r="G607" s="6" t="str">
        <f ca="1">IFERROR(__xludf.DUMMYFUNCTION("CONCATENATE(B607,(VLOOKUP(C607,CATALOGOS!$F$2:$H$6,3,FALSE)),(VLOOKUP(V607,CATALOGOS!$J$2:$K$18,2,FALSE)),""-"",TO_TEXT(A607))"),"P13IR-0606")</f>
        <v>P13IR-0606</v>
      </c>
      <c r="H607" s="6" t="str">
        <f ca="1">IFERROR(__xludf.DUMMYFUNCTION("CONCATENATE($B607,(VLOOKUP($C607,CATALOGOS!$F$2:$H$6,3,FALSE)),(VLOOKUP($V607,CATALOGOS!$J$2:$K$18,2,FALSE)),""-"",TO_TEXT($A607))"),"P13IR-0606")</f>
        <v>P13IR-0606</v>
      </c>
      <c r="I607" s="6"/>
      <c r="J607" s="6" t="s">
        <v>4231</v>
      </c>
      <c r="K607" s="6" t="s">
        <v>4232</v>
      </c>
      <c r="L607" s="6" t="s">
        <v>4233</v>
      </c>
      <c r="M607" s="6" t="s">
        <v>4234</v>
      </c>
      <c r="N607" s="17"/>
      <c r="O607" s="17"/>
      <c r="P607" s="17" t="str">
        <f t="shared" si="3"/>
        <v>OK</v>
      </c>
      <c r="Q607" s="17" t="s">
        <v>35</v>
      </c>
      <c r="R607" s="6" t="s">
        <v>35</v>
      </c>
      <c r="S607" s="17" t="s">
        <v>36</v>
      </c>
      <c r="T607" s="17" t="s">
        <v>4235</v>
      </c>
      <c r="U607" s="173" t="s">
        <v>38</v>
      </c>
      <c r="V607" s="11" t="s">
        <v>2381</v>
      </c>
      <c r="W607" s="20" t="s">
        <v>3848</v>
      </c>
      <c r="X607" s="20" t="s">
        <v>3848</v>
      </c>
      <c r="Y607" s="20"/>
      <c r="Z607" s="7"/>
      <c r="AA607" s="7"/>
      <c r="AB607" s="23"/>
      <c r="AC607" s="26"/>
    </row>
    <row r="608" spans="1:30" ht="15.75" customHeight="1">
      <c r="A608" s="10" t="s">
        <v>4236</v>
      </c>
      <c r="B608" s="10" t="s">
        <v>1469</v>
      </c>
      <c r="C608" s="52" t="s">
        <v>868</v>
      </c>
      <c r="D608" s="12"/>
      <c r="E608" s="13" t="s">
        <v>378</v>
      </c>
      <c r="F608" s="6" t="s">
        <v>1306</v>
      </c>
      <c r="G608" s="6" t="str">
        <f ca="1">IFERROR(__xludf.DUMMYFUNCTION("CONCATENATE(B608,(VLOOKUP(C608,CATALOGOS!$F$2:$H$6,3,FALSE)),(VLOOKUP(V608,CATALOGOS!$J$2:$K$18,2,FALSE)),""-"",TO_TEXT(A608))"),"P13IR-0607")</f>
        <v>P13IR-0607</v>
      </c>
      <c r="H608" s="6" t="str">
        <f ca="1">IFERROR(__xludf.DUMMYFUNCTION("CONCATENATE($B608,(VLOOKUP($C608,CATALOGOS!$F$2:$H$6,3,FALSE)),(VLOOKUP($V608,CATALOGOS!$J$2:$K$18,2,FALSE)),""-"",TO_TEXT($A608))"),"P13IR-0607")</f>
        <v>P13IR-0607</v>
      </c>
      <c r="I608" s="6"/>
      <c r="J608" s="6" t="s">
        <v>4237</v>
      </c>
      <c r="K608" s="6" t="s">
        <v>4238</v>
      </c>
      <c r="L608" s="6" t="s">
        <v>4239</v>
      </c>
      <c r="M608" s="6" t="s">
        <v>4240</v>
      </c>
      <c r="N608" s="17"/>
      <c r="O608" s="17"/>
      <c r="P608" s="17" t="str">
        <f t="shared" si="3"/>
        <v>OK</v>
      </c>
      <c r="Q608" s="17" t="s">
        <v>35</v>
      </c>
      <c r="R608" s="6" t="s">
        <v>35</v>
      </c>
      <c r="S608" s="17" t="s">
        <v>36</v>
      </c>
      <c r="T608" s="17" t="s">
        <v>4241</v>
      </c>
      <c r="U608" s="173" t="s">
        <v>38</v>
      </c>
      <c r="V608" s="11" t="s">
        <v>2381</v>
      </c>
      <c r="W608" s="20" t="s">
        <v>3848</v>
      </c>
      <c r="X608" s="20" t="s">
        <v>3848</v>
      </c>
      <c r="Y608" s="20"/>
      <c r="Z608" s="7"/>
      <c r="AA608" s="7"/>
      <c r="AB608" s="23"/>
      <c r="AC608" s="26"/>
    </row>
    <row r="609" spans="1:29" ht="15.75" customHeight="1">
      <c r="A609" s="10" t="s">
        <v>4242</v>
      </c>
      <c r="B609" s="10" t="s">
        <v>1469</v>
      </c>
      <c r="C609" s="52" t="s">
        <v>868</v>
      </c>
      <c r="D609" s="12"/>
      <c r="E609" s="13" t="s">
        <v>29</v>
      </c>
      <c r="F609" s="6" t="s">
        <v>4243</v>
      </c>
      <c r="G609" s="6" t="str">
        <f ca="1">IFERROR(__xludf.DUMMYFUNCTION("CONCATENATE(B609,(VLOOKUP(C609,CATALOGOS!$F$2:$H$6,3,FALSE)),(VLOOKUP(V609,CATALOGOS!$J$2:$K$18,2,FALSE)),""-"",TO_TEXT(A609))"),"P13IR-0608")</f>
        <v>P13IR-0608</v>
      </c>
      <c r="H609" s="6" t="str">
        <f ca="1">IFERROR(__xludf.DUMMYFUNCTION("CONCATENATE($B609,(VLOOKUP($C609,CATALOGOS!$F$2:$H$6,3,FALSE)),(VLOOKUP($V609,CATALOGOS!$J$2:$K$18,2,FALSE)),""-"",TO_TEXT($A609))"),"P13IR-0608")</f>
        <v>P13IR-0608</v>
      </c>
      <c r="I609" s="6"/>
      <c r="J609" s="6" t="s">
        <v>4244</v>
      </c>
      <c r="K609" s="6" t="s">
        <v>4245</v>
      </c>
      <c r="L609" s="6" t="s">
        <v>4246</v>
      </c>
      <c r="M609" s="6" t="s">
        <v>4247</v>
      </c>
      <c r="N609" s="17"/>
      <c r="O609" s="17"/>
      <c r="P609" s="17" t="str">
        <f t="shared" si="3"/>
        <v>OK</v>
      </c>
      <c r="Q609" s="17" t="s">
        <v>35</v>
      </c>
      <c r="R609" s="6" t="s">
        <v>35</v>
      </c>
      <c r="S609" s="17" t="s">
        <v>36</v>
      </c>
      <c r="T609" s="17" t="s">
        <v>4248</v>
      </c>
      <c r="U609" s="173" t="s">
        <v>38</v>
      </c>
      <c r="V609" s="11" t="s">
        <v>2381</v>
      </c>
      <c r="W609" s="20" t="s">
        <v>3848</v>
      </c>
      <c r="X609" s="20" t="s">
        <v>3848</v>
      </c>
      <c r="Y609" s="20"/>
      <c r="Z609" s="7"/>
      <c r="AA609" s="7"/>
      <c r="AB609" s="23"/>
      <c r="AC609" s="26"/>
    </row>
    <row r="610" spans="1:29" ht="15.75" customHeight="1">
      <c r="A610" s="10" t="s">
        <v>4249</v>
      </c>
      <c r="B610" s="10" t="s">
        <v>1469</v>
      </c>
      <c r="C610" s="52" t="s">
        <v>868</v>
      </c>
      <c r="D610" s="12"/>
      <c r="E610" s="13" t="s">
        <v>62</v>
      </c>
      <c r="F610" s="6" t="s">
        <v>4250</v>
      </c>
      <c r="G610" s="6" t="str">
        <f ca="1">IFERROR(__xludf.DUMMYFUNCTION("CONCATENATE(B610,(VLOOKUP(C610,CATALOGOS!$F$2:$H$6,3,FALSE)),(VLOOKUP(V610,CATALOGOS!$J$2:$K$18,2,FALSE)),""-"",TO_TEXT(A610))"),"P13IR-0609")</f>
        <v>P13IR-0609</v>
      </c>
      <c r="H610" s="6" t="str">
        <f ca="1">IFERROR(__xludf.DUMMYFUNCTION("CONCATENATE($B610,(VLOOKUP($C610,CATALOGOS!$F$2:$H$6,3,FALSE)),(VLOOKUP($V610,CATALOGOS!$J$2:$K$18,2,FALSE)),""-"",TO_TEXT($A610))"),"P13IR-0609")</f>
        <v>P13IR-0609</v>
      </c>
      <c r="I610" s="6"/>
      <c r="J610" s="6" t="s">
        <v>4251</v>
      </c>
      <c r="K610" s="6" t="s">
        <v>4252</v>
      </c>
      <c r="L610" s="6" t="s">
        <v>4253</v>
      </c>
      <c r="M610" s="6" t="s">
        <v>4254</v>
      </c>
      <c r="N610" s="17"/>
      <c r="O610" s="17"/>
      <c r="P610" s="17" t="str">
        <f t="shared" si="3"/>
        <v>OK</v>
      </c>
      <c r="Q610" s="17" t="s">
        <v>35</v>
      </c>
      <c r="R610" s="6" t="s">
        <v>35</v>
      </c>
      <c r="S610" s="17" t="s">
        <v>36</v>
      </c>
      <c r="T610" s="17" t="s">
        <v>4255</v>
      </c>
      <c r="U610" s="173" t="s">
        <v>38</v>
      </c>
      <c r="V610" s="11" t="s">
        <v>2381</v>
      </c>
      <c r="W610" s="20" t="s">
        <v>3848</v>
      </c>
      <c r="X610" s="20" t="s">
        <v>3848</v>
      </c>
      <c r="Y610" s="20"/>
      <c r="Z610" s="7"/>
      <c r="AA610" s="7"/>
      <c r="AB610" s="23"/>
      <c r="AC610" s="26"/>
    </row>
    <row r="611" spans="1:29" ht="15.75" customHeight="1">
      <c r="A611" s="10" t="s">
        <v>4256</v>
      </c>
      <c r="B611" s="10" t="s">
        <v>1469</v>
      </c>
      <c r="C611" s="52" t="s">
        <v>868</v>
      </c>
      <c r="D611" s="12"/>
      <c r="E611" s="13" t="s">
        <v>71</v>
      </c>
      <c r="F611" s="6" t="s">
        <v>4257</v>
      </c>
      <c r="G611" s="6" t="str">
        <f ca="1">IFERROR(__xludf.DUMMYFUNCTION("CONCATENATE(B611,(VLOOKUP(C611,CATALOGOS!$F$2:$H$6,3,FALSE)),(VLOOKUP(V611,CATALOGOS!$J$2:$K$18,2,FALSE)),""-"",TO_TEXT(A611))"),"P13IR-0610")</f>
        <v>P13IR-0610</v>
      </c>
      <c r="H611" s="6" t="str">
        <f ca="1">IFERROR(__xludf.DUMMYFUNCTION("CONCATENATE($B611,(VLOOKUP($C611,CATALOGOS!$F$2:$H$6,3,FALSE)),(VLOOKUP($V611,CATALOGOS!$J$2:$K$18,2,FALSE)),""-"",TO_TEXT($A611))"),"P13IR-0610")</f>
        <v>P13IR-0610</v>
      </c>
      <c r="I611" s="6"/>
      <c r="J611" s="6" t="s">
        <v>4258</v>
      </c>
      <c r="K611" s="6" t="s">
        <v>4259</v>
      </c>
      <c r="L611" s="6" t="s">
        <v>4260</v>
      </c>
      <c r="M611" s="6" t="s">
        <v>4261</v>
      </c>
      <c r="N611" s="17"/>
      <c r="O611" s="17"/>
      <c r="P611" s="17" t="str">
        <f t="shared" si="3"/>
        <v>OK</v>
      </c>
      <c r="Q611" s="17" t="s">
        <v>35</v>
      </c>
      <c r="R611" s="6" t="s">
        <v>35</v>
      </c>
      <c r="S611" s="17" t="s">
        <v>36</v>
      </c>
      <c r="T611" s="17" t="s">
        <v>4262</v>
      </c>
      <c r="U611" s="173" t="s">
        <v>38</v>
      </c>
      <c r="V611" s="11" t="s">
        <v>2381</v>
      </c>
      <c r="W611" s="20" t="s">
        <v>3848</v>
      </c>
      <c r="X611" s="20" t="s">
        <v>3848</v>
      </c>
      <c r="Y611" s="20"/>
      <c r="Z611" s="7"/>
      <c r="AA611" s="7"/>
      <c r="AB611" s="23"/>
      <c r="AC611" s="26"/>
    </row>
    <row r="612" spans="1:29" ht="15.75" customHeight="1">
      <c r="A612" s="10" t="s">
        <v>4263</v>
      </c>
      <c r="B612" s="10" t="s">
        <v>1469</v>
      </c>
      <c r="C612" s="52" t="s">
        <v>868</v>
      </c>
      <c r="D612" s="12"/>
      <c r="E612" s="13" t="s">
        <v>116</v>
      </c>
      <c r="F612" s="6" t="s">
        <v>4264</v>
      </c>
      <c r="G612" s="6" t="str">
        <f ca="1">IFERROR(__xludf.DUMMYFUNCTION("CONCATENATE(B612,(VLOOKUP(C612,CATALOGOS!$F$2:$H$6,3,FALSE)),(VLOOKUP(V612,CATALOGOS!$J$2:$K$18,2,FALSE)),""-"",TO_TEXT(A612))"),"P13IR-0611")</f>
        <v>P13IR-0611</v>
      </c>
      <c r="H612" s="6" t="str">
        <f ca="1">IFERROR(__xludf.DUMMYFUNCTION("CONCATENATE($B612,(VLOOKUP($C612,CATALOGOS!$F$2:$H$6,3,FALSE)),(VLOOKUP($V612,CATALOGOS!$J$2:$K$18,2,FALSE)),""-"",TO_TEXT($A612))"),"P13IR-0611")</f>
        <v>P13IR-0611</v>
      </c>
      <c r="I612" s="6"/>
      <c r="J612" s="6" t="s">
        <v>4265</v>
      </c>
      <c r="K612" s="6" t="s">
        <v>4266</v>
      </c>
      <c r="L612" s="6" t="s">
        <v>4267</v>
      </c>
      <c r="M612" s="6" t="s">
        <v>4268</v>
      </c>
      <c r="N612" s="17"/>
      <c r="O612" s="17"/>
      <c r="P612" s="17" t="str">
        <f t="shared" si="3"/>
        <v>OK</v>
      </c>
      <c r="Q612" s="17" t="s">
        <v>35</v>
      </c>
      <c r="R612" s="6" t="s">
        <v>35</v>
      </c>
      <c r="S612" s="17" t="s">
        <v>36</v>
      </c>
      <c r="T612" s="17" t="s">
        <v>4269</v>
      </c>
      <c r="U612" s="173" t="s">
        <v>38</v>
      </c>
      <c r="V612" s="11" t="s">
        <v>2381</v>
      </c>
      <c r="W612" s="20" t="s">
        <v>3848</v>
      </c>
      <c r="X612" s="20" t="s">
        <v>3848</v>
      </c>
      <c r="Y612" s="20"/>
      <c r="Z612" s="7"/>
      <c r="AA612" s="7"/>
      <c r="AB612" s="23"/>
      <c r="AC612" s="26"/>
    </row>
    <row r="613" spans="1:29" ht="15.75" customHeight="1">
      <c r="A613" s="10" t="s">
        <v>4270</v>
      </c>
      <c r="B613" s="10" t="s">
        <v>1469</v>
      </c>
      <c r="C613" s="52" t="s">
        <v>868</v>
      </c>
      <c r="D613" s="12"/>
      <c r="E613" s="13" t="s">
        <v>136</v>
      </c>
      <c r="F613" s="43" t="s">
        <v>136</v>
      </c>
      <c r="G613" s="6" t="str">
        <f ca="1">IFERROR(__xludf.DUMMYFUNCTION("CONCATENATE(B613,(VLOOKUP(C613,CATALOGOS!$F$2:$H$6,3,FALSE)),(VLOOKUP(V613,CATALOGOS!$J$2:$K$18,2,FALSE)),""-"",TO_TEXT(A613))"),"P13IR-0612")</f>
        <v>P13IR-0612</v>
      </c>
      <c r="H613" s="6" t="str">
        <f ca="1">IFERROR(__xludf.DUMMYFUNCTION("CONCATENATE($B613,(VLOOKUP($C613,CATALOGOS!$F$2:$H$6,3,FALSE)),(VLOOKUP($V613,CATALOGOS!$J$2:$K$18,2,FALSE)),""-"",TO_TEXT($A613))"),"P13IR-0612")</f>
        <v>P13IR-0612</v>
      </c>
      <c r="I613" s="6"/>
      <c r="J613" s="6" t="s">
        <v>4271</v>
      </c>
      <c r="K613" s="6" t="s">
        <v>4272</v>
      </c>
      <c r="L613" s="6" t="s">
        <v>4273</v>
      </c>
      <c r="M613" s="6" t="s">
        <v>4274</v>
      </c>
      <c r="N613" s="17"/>
      <c r="O613" s="17"/>
      <c r="P613" s="17" t="str">
        <f t="shared" si="3"/>
        <v>OK</v>
      </c>
      <c r="Q613" s="17" t="s">
        <v>703</v>
      </c>
      <c r="R613" s="6" t="s">
        <v>4275</v>
      </c>
      <c r="S613" s="17" t="s">
        <v>4276</v>
      </c>
      <c r="T613" s="10" t="s">
        <v>4277</v>
      </c>
      <c r="U613" s="173" t="s">
        <v>38</v>
      </c>
      <c r="V613" s="11" t="s">
        <v>2381</v>
      </c>
      <c r="W613" s="20" t="s">
        <v>3848</v>
      </c>
      <c r="X613" s="20" t="s">
        <v>3848</v>
      </c>
      <c r="Y613" s="20"/>
      <c r="Z613" s="7"/>
      <c r="AA613" s="7"/>
      <c r="AB613" s="23"/>
      <c r="AC613" s="26"/>
    </row>
    <row r="614" spans="1:29" ht="15.75" customHeight="1">
      <c r="A614" s="10" t="s">
        <v>4278</v>
      </c>
      <c r="B614" s="10" t="s">
        <v>1469</v>
      </c>
      <c r="C614" s="52" t="s">
        <v>868</v>
      </c>
      <c r="D614" s="12"/>
      <c r="E614" s="13" t="s">
        <v>151</v>
      </c>
      <c r="F614" s="6" t="s">
        <v>152</v>
      </c>
      <c r="G614" s="6" t="str">
        <f ca="1">IFERROR(__xludf.DUMMYFUNCTION("CONCATENATE(B614,(VLOOKUP(C614,CATALOGOS!$F$2:$H$6,3,FALSE)),(VLOOKUP(V614,CATALOGOS!$J$2:$K$18,2,FALSE)),""-"",TO_TEXT(A614))"),"P13IR-0613")</f>
        <v>P13IR-0613</v>
      </c>
      <c r="H614" s="6" t="str">
        <f ca="1">IFERROR(__xludf.DUMMYFUNCTION("CONCATENATE($B614,(VLOOKUP($C614,CATALOGOS!$F$2:$H$6,3,FALSE)),(VLOOKUP($V614,CATALOGOS!$J$2:$K$18,2,FALSE)),""-"",TO_TEXT($A614))"),"P13IR-0613")</f>
        <v>P13IR-0613</v>
      </c>
      <c r="I614" s="6"/>
      <c r="J614" s="6" t="s">
        <v>4279</v>
      </c>
      <c r="K614" s="6" t="s">
        <v>4280</v>
      </c>
      <c r="L614" s="6" t="s">
        <v>4281</v>
      </c>
      <c r="M614" s="6" t="s">
        <v>4282</v>
      </c>
      <c r="N614" s="17"/>
      <c r="O614" s="17"/>
      <c r="P614" s="17" t="str">
        <f t="shared" si="3"/>
        <v>OK</v>
      </c>
      <c r="Q614" s="17" t="s">
        <v>1220</v>
      </c>
      <c r="R614" s="6" t="s">
        <v>720</v>
      </c>
      <c r="S614" s="17" t="s">
        <v>4283</v>
      </c>
      <c r="T614" s="17" t="s">
        <v>4284</v>
      </c>
      <c r="U614" s="173" t="s">
        <v>38</v>
      </c>
      <c r="V614" s="11" t="s">
        <v>2381</v>
      </c>
      <c r="W614" s="20" t="s">
        <v>3848</v>
      </c>
      <c r="X614" s="20" t="s">
        <v>3848</v>
      </c>
      <c r="Y614" s="20"/>
      <c r="Z614" s="7"/>
      <c r="AA614" s="7"/>
      <c r="AB614" s="23"/>
      <c r="AC614" s="26"/>
    </row>
    <row r="615" spans="1:29" ht="15.75" customHeight="1">
      <c r="A615" s="10" t="s">
        <v>4285</v>
      </c>
      <c r="B615" s="10" t="s">
        <v>1469</v>
      </c>
      <c r="C615" s="52" t="s">
        <v>868</v>
      </c>
      <c r="D615" s="12"/>
      <c r="E615" s="13" t="s">
        <v>199</v>
      </c>
      <c r="F615" s="43" t="s">
        <v>1394</v>
      </c>
      <c r="G615" s="6" t="str">
        <f ca="1">IFERROR(__xludf.DUMMYFUNCTION("CONCATENATE(B615,(VLOOKUP(C615,CATALOGOS!$F$2:$H$6,3,FALSE)),(VLOOKUP(V615,CATALOGOS!$J$2:$K$18,2,FALSE)),""-"",TO_TEXT(A615))"),"P13IR-0614")</f>
        <v>P13IR-0614</v>
      </c>
      <c r="H615" s="6" t="str">
        <f ca="1">IFERROR(__xludf.DUMMYFUNCTION("CONCATENATE($B615,(VLOOKUP($C615,CATALOGOS!$F$2:$H$6,3,FALSE)),(VLOOKUP($V615,CATALOGOS!$J$2:$K$18,2,FALSE)),""-"",TO_TEXT($A615))"),"P13IR-0614")</f>
        <v>P13IR-0614</v>
      </c>
      <c r="I615" s="6"/>
      <c r="J615" s="6" t="s">
        <v>4286</v>
      </c>
      <c r="K615" s="6" t="s">
        <v>4287</v>
      </c>
      <c r="L615" s="6" t="s">
        <v>4288</v>
      </c>
      <c r="M615" s="6" t="s">
        <v>4289</v>
      </c>
      <c r="N615" s="17"/>
      <c r="O615" s="17"/>
      <c r="P615" s="17" t="str">
        <f t="shared" si="3"/>
        <v>OK</v>
      </c>
      <c r="Q615" s="17" t="s">
        <v>157</v>
      </c>
      <c r="R615" s="6">
        <v>2378</v>
      </c>
      <c r="S615" s="17" t="s">
        <v>4290</v>
      </c>
      <c r="T615" s="10" t="s">
        <v>4291</v>
      </c>
      <c r="U615" s="173" t="s">
        <v>38</v>
      </c>
      <c r="V615" s="11" t="s">
        <v>2381</v>
      </c>
      <c r="W615" s="20" t="s">
        <v>3848</v>
      </c>
      <c r="X615" s="20" t="s">
        <v>3848</v>
      </c>
      <c r="Y615" s="20"/>
      <c r="Z615" s="7"/>
      <c r="AA615" s="7"/>
      <c r="AB615" s="23"/>
      <c r="AC615" s="26"/>
    </row>
    <row r="616" spans="1:29" ht="15.75" customHeight="1">
      <c r="A616" s="10" t="s">
        <v>4292</v>
      </c>
      <c r="B616" s="10" t="s">
        <v>1469</v>
      </c>
      <c r="C616" s="52" t="s">
        <v>868</v>
      </c>
      <c r="D616" s="12"/>
      <c r="E616" s="13" t="s">
        <v>43</v>
      </c>
      <c r="F616" s="43" t="s">
        <v>43</v>
      </c>
      <c r="G616" s="6" t="str">
        <f ca="1">IFERROR(__xludf.DUMMYFUNCTION("CONCATENATE(B616,(VLOOKUP(C616,CATALOGOS!$F$2:$H$6,3,FALSE)),(VLOOKUP(V616,CATALOGOS!$J$2:$K$18,2,FALSE)),""-"",TO_TEXT(A616))"),"P13IR-0615")</f>
        <v>P13IR-0615</v>
      </c>
      <c r="H616" s="6" t="str">
        <f ca="1">IFERROR(__xludf.DUMMYFUNCTION("CONCATENATE($B616,(VLOOKUP($C616,CATALOGOS!$F$2:$H$6,3,FALSE)),(VLOOKUP($V616,CATALOGOS!$J$2:$K$18,2,FALSE)),""-"",TO_TEXT($A616))"),"P13IR-0615")</f>
        <v>P13IR-0615</v>
      </c>
      <c r="I616" s="6"/>
      <c r="J616" s="6" t="s">
        <v>4293</v>
      </c>
      <c r="K616" s="6" t="s">
        <v>4294</v>
      </c>
      <c r="L616" s="6" t="s">
        <v>4295</v>
      </c>
      <c r="M616" s="6" t="s">
        <v>4296</v>
      </c>
      <c r="N616" s="17"/>
      <c r="O616" s="17"/>
      <c r="P616" s="17" t="str">
        <f t="shared" si="3"/>
        <v>OK</v>
      </c>
      <c r="Q616" s="17" t="s">
        <v>49</v>
      </c>
      <c r="R616" s="6" t="s">
        <v>4297</v>
      </c>
      <c r="S616" s="17" t="s">
        <v>36</v>
      </c>
      <c r="T616" s="17" t="s">
        <v>4298</v>
      </c>
      <c r="U616" s="173" t="s">
        <v>38</v>
      </c>
      <c r="V616" s="11" t="s">
        <v>2381</v>
      </c>
      <c r="W616" s="20" t="s">
        <v>3848</v>
      </c>
      <c r="X616" s="20" t="s">
        <v>3848</v>
      </c>
      <c r="Y616" s="20"/>
      <c r="Z616" s="7"/>
      <c r="AA616" s="7"/>
      <c r="AB616" s="23"/>
      <c r="AC616" s="26"/>
    </row>
    <row r="617" spans="1:29" ht="15.75" customHeight="1">
      <c r="A617" s="10" t="s">
        <v>4299</v>
      </c>
      <c r="B617" s="10" t="s">
        <v>1469</v>
      </c>
      <c r="C617" s="52" t="s">
        <v>868</v>
      </c>
      <c r="D617" s="12"/>
      <c r="E617" s="13" t="s">
        <v>353</v>
      </c>
      <c r="F617" s="43" t="s">
        <v>638</v>
      </c>
      <c r="G617" s="6" t="str">
        <f ca="1">IFERROR(__xludf.DUMMYFUNCTION("CONCATENATE(B617,(VLOOKUP(C617,CATALOGOS!$F$2:$H$6,3,FALSE)),(VLOOKUP(V617,CATALOGOS!$J$2:$K$18,2,FALSE)),""-"",TO_TEXT(A617))"),"P13IR-0616")</f>
        <v>P13IR-0616</v>
      </c>
      <c r="H617" s="6" t="str">
        <f ca="1">IFERROR(__xludf.DUMMYFUNCTION("CONCATENATE($B617,(VLOOKUP($C617,CATALOGOS!$F$2:$H$6,3,FALSE)),(VLOOKUP($V617,CATALOGOS!$J$2:$K$18,2,FALSE)),""-"",TO_TEXT($A617))"),"P13IR-0616")</f>
        <v>P13IR-0616</v>
      </c>
      <c r="I617" s="6"/>
      <c r="J617" s="6" t="s">
        <v>4300</v>
      </c>
      <c r="K617" s="6" t="s">
        <v>4301</v>
      </c>
      <c r="L617" s="6" t="s">
        <v>4302</v>
      </c>
      <c r="M617" s="6" t="s">
        <v>4303</v>
      </c>
      <c r="N617" s="17"/>
      <c r="O617" s="17"/>
      <c r="P617" s="17" t="str">
        <f t="shared" si="3"/>
        <v>OK</v>
      </c>
      <c r="Q617" s="17" t="s">
        <v>359</v>
      </c>
      <c r="R617" s="6">
        <v>1200</v>
      </c>
      <c r="S617" s="17" t="s">
        <v>4304</v>
      </c>
      <c r="T617" s="17" t="s">
        <v>4305</v>
      </c>
      <c r="U617" s="173" t="s">
        <v>38</v>
      </c>
      <c r="V617" s="11" t="s">
        <v>2381</v>
      </c>
      <c r="W617" s="20" t="s">
        <v>3848</v>
      </c>
      <c r="X617" s="20" t="s">
        <v>3848</v>
      </c>
      <c r="Y617" s="20"/>
      <c r="Z617" s="7"/>
      <c r="AA617" s="7"/>
      <c r="AB617" s="23"/>
      <c r="AC617" s="26"/>
    </row>
    <row r="618" spans="1:29" ht="15.75" customHeight="1">
      <c r="A618" s="10" t="s">
        <v>4306</v>
      </c>
      <c r="B618" s="10" t="s">
        <v>1469</v>
      </c>
      <c r="C618" s="52" t="s">
        <v>868</v>
      </c>
      <c r="D618" s="12"/>
      <c r="E618" s="13" t="s">
        <v>378</v>
      </c>
      <c r="F618" s="43" t="s">
        <v>379</v>
      </c>
      <c r="G618" s="6" t="str">
        <f ca="1">IFERROR(__xludf.DUMMYFUNCTION("CONCATENATE(B618,(VLOOKUP(C618,CATALOGOS!$F$2:$H$6,3,FALSE)),(VLOOKUP(V618,CATALOGOS!$J$2:$K$18,2,FALSE)),""-"",TO_TEXT(A618))"),"P13LP-0617")</f>
        <v>P13LP-0617</v>
      </c>
      <c r="H618" s="6" t="str">
        <f ca="1">IFERROR(__xludf.DUMMYFUNCTION("CONCATENATE($B618,(VLOOKUP($C618,CATALOGOS!$F$2:$H$6,3,FALSE)),(VLOOKUP($V618,CATALOGOS!$J$2:$K$18,2,FALSE)),""-"",TO_TEXT($A618))"),"P13LP-0617")</f>
        <v>P13LP-0617</v>
      </c>
      <c r="I618" s="6"/>
      <c r="J618" s="6" t="s">
        <v>4307</v>
      </c>
      <c r="K618" s="6" t="s">
        <v>4308</v>
      </c>
      <c r="L618" s="6" t="s">
        <v>4309</v>
      </c>
      <c r="M618" s="6" t="s">
        <v>4310</v>
      </c>
      <c r="N618" s="17"/>
      <c r="O618" s="17"/>
      <c r="P618" s="17" t="str">
        <f t="shared" si="3"/>
        <v>OK</v>
      </c>
      <c r="Q618" s="17" t="s">
        <v>35</v>
      </c>
      <c r="R618" s="6" t="s">
        <v>35</v>
      </c>
      <c r="S618" s="17" t="s">
        <v>36</v>
      </c>
      <c r="T618" s="17" t="s">
        <v>4311</v>
      </c>
      <c r="U618" s="173" t="s">
        <v>38</v>
      </c>
      <c r="V618" s="11" t="s">
        <v>2328</v>
      </c>
      <c r="W618" s="20" t="s">
        <v>4313</v>
      </c>
      <c r="X618" s="20" t="s">
        <v>4313</v>
      </c>
      <c r="Y618" s="20"/>
      <c r="Z618" s="7"/>
      <c r="AA618" s="7"/>
      <c r="AB618" s="23"/>
      <c r="AC618" s="26"/>
    </row>
    <row r="619" spans="1:29" ht="15.75" customHeight="1">
      <c r="A619" s="10" t="s">
        <v>4314</v>
      </c>
      <c r="B619" s="10" t="s">
        <v>1469</v>
      </c>
      <c r="C619" s="52" t="s">
        <v>868</v>
      </c>
      <c r="D619" s="12"/>
      <c r="E619" s="13" t="s">
        <v>1240</v>
      </c>
      <c r="F619" s="43" t="s">
        <v>278</v>
      </c>
      <c r="G619" s="6" t="str">
        <f ca="1">IFERROR(__xludf.DUMMYFUNCTION("CONCATENATE(B619,(VLOOKUP(C619,CATALOGOS!$F$2:$H$6,3,FALSE)),(VLOOKUP(V619,CATALOGOS!$J$2:$K$18,2,FALSE)),""-"",TO_TEXT(A619))"),"P13IR-0618")</f>
        <v>P13IR-0618</v>
      </c>
      <c r="H619" s="6" t="str">
        <f ca="1">IFERROR(__xludf.DUMMYFUNCTION("CONCATENATE($B619,(VLOOKUP($C619,CATALOGOS!$F$2:$H$6,3,FALSE)),(VLOOKUP($V619,CATALOGOS!$J$2:$K$18,2,FALSE)),""-"",TO_TEXT($A619))"),"P13IR-0618")</f>
        <v>P13IR-0618</v>
      </c>
      <c r="I619" s="6"/>
      <c r="J619" s="6" t="s">
        <v>4315</v>
      </c>
      <c r="K619" s="6" t="s">
        <v>4316</v>
      </c>
      <c r="L619" s="6" t="s">
        <v>4317</v>
      </c>
      <c r="M619" s="6" t="s">
        <v>4318</v>
      </c>
      <c r="N619" s="17"/>
      <c r="O619" s="17"/>
      <c r="P619" s="17" t="str">
        <f t="shared" si="3"/>
        <v>OK</v>
      </c>
      <c r="Q619" s="17" t="s">
        <v>35</v>
      </c>
      <c r="R619" s="6" t="s">
        <v>35</v>
      </c>
      <c r="S619" s="17" t="s">
        <v>36</v>
      </c>
      <c r="T619" s="17" t="s">
        <v>4319</v>
      </c>
      <c r="U619" s="173" t="s">
        <v>38</v>
      </c>
      <c r="V619" s="11" t="s">
        <v>2381</v>
      </c>
      <c r="W619" s="20" t="s">
        <v>3848</v>
      </c>
      <c r="X619" s="20" t="s">
        <v>3848</v>
      </c>
      <c r="Y619" s="20"/>
      <c r="Z619" s="7"/>
      <c r="AA619" s="7"/>
      <c r="AB619" s="23"/>
      <c r="AC619" s="26"/>
    </row>
    <row r="620" spans="1:29" ht="15.75" customHeight="1">
      <c r="A620" s="10" t="s">
        <v>4320</v>
      </c>
      <c r="B620" s="10" t="s">
        <v>1469</v>
      </c>
      <c r="C620" s="52" t="s">
        <v>868</v>
      </c>
      <c r="D620" s="38"/>
      <c r="E620" s="13" t="s">
        <v>29</v>
      </c>
      <c r="F620" s="43" t="s">
        <v>1166</v>
      </c>
      <c r="G620" s="6" t="str">
        <f ca="1">IFERROR(__xludf.DUMMYFUNCTION("CONCATENATE(B620,(VLOOKUP(C620,CATALOGOS!$F$2:$H$6,3,FALSE)),(VLOOKUP(V620,CATALOGOS!$J$2:$K$18,2,FALSE)),""-"",TO_TEXT(A620))"),"P13IR-0619")</f>
        <v>P13IR-0619</v>
      </c>
      <c r="H620" s="6" t="str">
        <f ca="1">IFERROR(__xludf.DUMMYFUNCTION("CONCATENATE($B620,(VLOOKUP($C620,CATALOGOS!$F$2:$H$6,3,FALSE)),(VLOOKUP($V620,CATALOGOS!$J$2:$K$18,2,FALSE)),""-"",TO_TEXT($A620))"),"P13IR-0619")</f>
        <v>P13IR-0619</v>
      </c>
      <c r="I620" s="6"/>
      <c r="J620" s="6" t="s">
        <v>4321</v>
      </c>
      <c r="K620" s="54"/>
      <c r="L620" s="6" t="s">
        <v>4322</v>
      </c>
      <c r="M620" s="6" t="s">
        <v>4323</v>
      </c>
      <c r="N620" s="17"/>
      <c r="O620" s="17"/>
      <c r="P620" s="17" t="str">
        <f t="shared" si="3"/>
        <v>OK</v>
      </c>
      <c r="Q620" s="17" t="s">
        <v>35</v>
      </c>
      <c r="R620" s="6" t="s">
        <v>35</v>
      </c>
      <c r="S620" s="46" t="s">
        <v>36</v>
      </c>
      <c r="T620" s="17" t="s">
        <v>85</v>
      </c>
      <c r="U620" s="173" t="s">
        <v>38</v>
      </c>
      <c r="V620" s="11" t="s">
        <v>2381</v>
      </c>
      <c r="W620" s="32" t="s">
        <v>3840</v>
      </c>
      <c r="X620" s="32" t="s">
        <v>3840</v>
      </c>
      <c r="Y620" s="32"/>
      <c r="Z620" s="7"/>
      <c r="AA620" s="7"/>
      <c r="AB620" s="26"/>
      <c r="AC620" s="26"/>
    </row>
    <row r="621" spans="1:29" ht="15.75" customHeight="1">
      <c r="A621" s="10" t="s">
        <v>4324</v>
      </c>
      <c r="B621" s="10" t="s">
        <v>1469</v>
      </c>
      <c r="C621" s="52" t="s">
        <v>868</v>
      </c>
      <c r="D621" s="12"/>
      <c r="E621" s="13" t="s">
        <v>116</v>
      </c>
      <c r="F621" s="6" t="s">
        <v>117</v>
      </c>
      <c r="G621" s="6" t="str">
        <f ca="1">IFERROR(__xludf.DUMMYFUNCTION("CONCATENATE(B621,(VLOOKUP(C621,CATALOGOS!$F$2:$H$6,3,FALSE)),(VLOOKUP(V621,CATALOGOS!$J$2:$K$18,2,FALSE)),""-"",TO_TEXT(A621))"),"P13IR-0620")</f>
        <v>P13IR-0620</v>
      </c>
      <c r="H621" s="6" t="str">
        <f ca="1">IFERROR(__xludf.DUMMYFUNCTION("CONCATENATE($B621,(VLOOKUP($C621,CATALOGOS!$F$2:$H$6,3,FALSE)),(VLOOKUP($V621,CATALOGOS!$J$2:$K$18,2,FALSE)),""-"",TO_TEXT($A621))"),"P13IR-0620")</f>
        <v>P13IR-0620</v>
      </c>
      <c r="I621" s="6"/>
      <c r="J621" s="6" t="s">
        <v>4325</v>
      </c>
      <c r="K621" s="6" t="s">
        <v>4326</v>
      </c>
      <c r="L621" s="6" t="s">
        <v>4327</v>
      </c>
      <c r="M621" s="6" t="s">
        <v>4328</v>
      </c>
      <c r="N621" s="17"/>
      <c r="O621" s="17"/>
      <c r="P621" s="17" t="str">
        <f t="shared" si="3"/>
        <v>OK</v>
      </c>
      <c r="Q621" s="17" t="s">
        <v>35</v>
      </c>
      <c r="R621" s="49" t="s">
        <v>35</v>
      </c>
      <c r="S621" s="17" t="s">
        <v>36</v>
      </c>
      <c r="T621" s="17" t="s">
        <v>4329</v>
      </c>
      <c r="U621" s="173" t="s">
        <v>38</v>
      </c>
      <c r="V621" s="11" t="s">
        <v>2381</v>
      </c>
      <c r="W621" s="22" t="s">
        <v>3840</v>
      </c>
      <c r="X621" s="22" t="s">
        <v>3840</v>
      </c>
      <c r="Y621" s="22"/>
      <c r="Z621" s="7"/>
      <c r="AA621" s="7"/>
      <c r="AB621" s="23"/>
      <c r="AC621" s="26"/>
    </row>
    <row r="622" spans="1:29" ht="15.75" customHeight="1">
      <c r="A622" s="10" t="s">
        <v>4330</v>
      </c>
      <c r="B622" s="10" t="s">
        <v>1469</v>
      </c>
      <c r="C622" s="52" t="s">
        <v>868</v>
      </c>
      <c r="D622" s="12"/>
      <c r="E622" s="13" t="s">
        <v>116</v>
      </c>
      <c r="F622" s="6" t="s">
        <v>4153</v>
      </c>
      <c r="G622" s="6" t="str">
        <f ca="1">IFERROR(__xludf.DUMMYFUNCTION("CONCATENATE(B622,(VLOOKUP(C622,CATALOGOS!$F$2:$H$6,3,FALSE)),(VLOOKUP(V622,CATALOGOS!$J$2:$K$18,2,FALSE)),""-"",TO_TEXT(A622))"),"P13IR-0621")</f>
        <v>P13IR-0621</v>
      </c>
      <c r="H622" s="6" t="str">
        <f ca="1">IFERROR(__xludf.DUMMYFUNCTION("CONCATENATE($B622,(VLOOKUP($C622,CATALOGOS!$F$2:$H$6,3,FALSE)),(VLOOKUP($V622,CATALOGOS!$J$2:$K$18,2,FALSE)),""-"",TO_TEXT($A622))"),"P13IR-0621")</f>
        <v>P13IR-0621</v>
      </c>
      <c r="I622" s="6"/>
      <c r="J622" s="6" t="s">
        <v>4331</v>
      </c>
      <c r="K622" s="6" t="s">
        <v>4332</v>
      </c>
      <c r="L622" s="6" t="s">
        <v>4333</v>
      </c>
      <c r="M622" s="6" t="s">
        <v>4334</v>
      </c>
      <c r="N622" s="17"/>
      <c r="O622" s="17"/>
      <c r="P622" s="17" t="str">
        <f t="shared" si="3"/>
        <v>OK</v>
      </c>
      <c r="Q622" s="17" t="s">
        <v>35</v>
      </c>
      <c r="R622" s="6" t="s">
        <v>35</v>
      </c>
      <c r="S622" s="17" t="s">
        <v>36</v>
      </c>
      <c r="T622" s="17" t="s">
        <v>4335</v>
      </c>
      <c r="U622" s="173" t="s">
        <v>38</v>
      </c>
      <c r="V622" s="11" t="s">
        <v>2381</v>
      </c>
      <c r="W622" s="22" t="s">
        <v>3840</v>
      </c>
      <c r="X622" s="22" t="s">
        <v>3840</v>
      </c>
      <c r="Y622" s="22"/>
      <c r="Z622" s="7"/>
      <c r="AA622" s="7"/>
      <c r="AB622" s="23"/>
      <c r="AC622" s="26"/>
    </row>
    <row r="623" spans="1:29" ht="15.75" customHeight="1">
      <c r="A623" s="10" t="s">
        <v>4336</v>
      </c>
      <c r="B623" s="10" t="s">
        <v>1469</v>
      </c>
      <c r="C623" s="52" t="s">
        <v>868</v>
      </c>
      <c r="D623" s="12"/>
      <c r="E623" s="13" t="s">
        <v>1240</v>
      </c>
      <c r="F623" s="43" t="s">
        <v>278</v>
      </c>
      <c r="G623" s="6" t="str">
        <f ca="1">IFERROR(__xludf.DUMMYFUNCTION("CONCATENATE(B623,(VLOOKUP(C623,CATALOGOS!$F$2:$H$6,3,FALSE)),(VLOOKUP(V623,CATALOGOS!$J$2:$K$18,2,FALSE)),""-"",TO_TEXT(A623))"),"P13IR-0622")</f>
        <v>P13IR-0622</v>
      </c>
      <c r="H623" s="6" t="str">
        <f ca="1">IFERROR(__xludf.DUMMYFUNCTION("CONCATENATE($B623,(VLOOKUP($C623,CATALOGOS!$F$2:$H$6,3,FALSE)),(VLOOKUP($V623,CATALOGOS!$J$2:$K$18,2,FALSE)),""-"",TO_TEXT($A623))"),"P13IR-0622")</f>
        <v>P13IR-0622</v>
      </c>
      <c r="I623" s="6"/>
      <c r="J623" s="6" t="s">
        <v>4337</v>
      </c>
      <c r="K623" s="6" t="s">
        <v>4338</v>
      </c>
      <c r="L623" s="6" t="s">
        <v>4339</v>
      </c>
      <c r="M623" s="6" t="s">
        <v>4340</v>
      </c>
      <c r="N623" s="17"/>
      <c r="O623" s="17"/>
      <c r="P623" s="17" t="str">
        <f t="shared" si="3"/>
        <v>OK</v>
      </c>
      <c r="Q623" s="17" t="s">
        <v>35</v>
      </c>
      <c r="R623" s="49" t="s">
        <v>35</v>
      </c>
      <c r="S623" s="17" t="s">
        <v>36</v>
      </c>
      <c r="T623" s="17" t="s">
        <v>4341</v>
      </c>
      <c r="U623" s="173" t="s">
        <v>38</v>
      </c>
      <c r="V623" s="11" t="s">
        <v>2381</v>
      </c>
      <c r="W623" s="22" t="s">
        <v>3840</v>
      </c>
      <c r="X623" s="22" t="s">
        <v>3840</v>
      </c>
      <c r="Y623" s="22"/>
      <c r="Z623" s="7"/>
      <c r="AA623" s="7"/>
      <c r="AB623" s="23"/>
      <c r="AC623" s="26"/>
    </row>
    <row r="624" spans="1:29" ht="15.75" customHeight="1">
      <c r="A624" s="10" t="s">
        <v>4342</v>
      </c>
      <c r="B624" s="10" t="s">
        <v>1469</v>
      </c>
      <c r="C624" s="52" t="s">
        <v>868</v>
      </c>
      <c r="D624" s="12"/>
      <c r="E624" s="13" t="s">
        <v>248</v>
      </c>
      <c r="F624" s="43" t="s">
        <v>249</v>
      </c>
      <c r="G624" s="6" t="str">
        <f ca="1">IFERROR(__xludf.DUMMYFUNCTION("CONCATENATE(B624,(VLOOKUP(C624,CATALOGOS!$F$2:$H$6,3,FALSE)),(VLOOKUP(V624,CATALOGOS!$J$2:$K$18,2,FALSE)),""-"",TO_TEXT(A624))"),"P13IR-0623")</f>
        <v>P13IR-0623</v>
      </c>
      <c r="H624" s="6" t="str">
        <f ca="1">IFERROR(__xludf.DUMMYFUNCTION("CONCATENATE($B624,(VLOOKUP($C624,CATALOGOS!$F$2:$H$6,3,FALSE)),(VLOOKUP($V624,CATALOGOS!$J$2:$K$18,2,FALSE)),""-"",TO_TEXT($A624))"),"P13IR-0623")</f>
        <v>P13IR-0623</v>
      </c>
      <c r="I624" s="6"/>
      <c r="J624" s="6" t="s">
        <v>4343</v>
      </c>
      <c r="K624" s="6" t="s">
        <v>4344</v>
      </c>
      <c r="L624" s="6" t="s">
        <v>4345</v>
      </c>
      <c r="M624" s="6" t="s">
        <v>4346</v>
      </c>
      <c r="N624" s="17"/>
      <c r="O624" s="17"/>
      <c r="P624" s="17" t="str">
        <f t="shared" si="3"/>
        <v>OK</v>
      </c>
      <c r="Q624" s="17" t="s">
        <v>978</v>
      </c>
      <c r="R624" s="6" t="s">
        <v>979</v>
      </c>
      <c r="S624" s="17" t="s">
        <v>4347</v>
      </c>
      <c r="T624" s="17" t="s">
        <v>4348</v>
      </c>
      <c r="U624" s="173" t="s">
        <v>38</v>
      </c>
      <c r="V624" s="11" t="s">
        <v>2381</v>
      </c>
      <c r="W624" s="22" t="s">
        <v>3840</v>
      </c>
      <c r="X624" s="22" t="s">
        <v>3840</v>
      </c>
      <c r="Y624" s="22"/>
      <c r="Z624" s="7"/>
      <c r="AA624" s="7"/>
      <c r="AB624" s="23"/>
      <c r="AC624" s="26"/>
    </row>
    <row r="625" spans="1:30" ht="15.75" customHeight="1">
      <c r="A625" s="10" t="s">
        <v>4349</v>
      </c>
      <c r="B625" s="10" t="s">
        <v>1469</v>
      </c>
      <c r="C625" s="52" t="s">
        <v>868</v>
      </c>
      <c r="D625" s="12"/>
      <c r="E625" s="13" t="s">
        <v>199</v>
      </c>
      <c r="F625" s="6" t="s">
        <v>199</v>
      </c>
      <c r="G625" s="6" t="str">
        <f ca="1">IFERROR(__xludf.DUMMYFUNCTION("CONCATENATE(B625,(VLOOKUP(C625,CATALOGOS!$F$2:$H$6,3,FALSE)),(VLOOKUP(V625,CATALOGOS!$J$2:$K$18,2,FALSE)),""-"",TO_TEXT(A625))"),"P13IR-0624")</f>
        <v>P13IR-0624</v>
      </c>
      <c r="H625" s="6" t="str">
        <f ca="1">IFERROR(__xludf.DUMMYFUNCTION("CONCATENATE($B625,(VLOOKUP($C625,CATALOGOS!$F$2:$H$6,3,FALSE)),(VLOOKUP($V625,CATALOGOS!$J$2:$K$18,2,FALSE)),""-"",TO_TEXT($A625))"),"P13IR-0624")</f>
        <v>P13IR-0624</v>
      </c>
      <c r="I625" s="6"/>
      <c r="J625" s="6" t="s">
        <v>4350</v>
      </c>
      <c r="K625" s="6" t="s">
        <v>4351</v>
      </c>
      <c r="L625" s="37"/>
      <c r="M625" s="6" t="s">
        <v>4352</v>
      </c>
      <c r="N625" s="17"/>
      <c r="O625" s="17"/>
      <c r="P625" s="17" t="str">
        <f t="shared" si="3"/>
        <v>OK</v>
      </c>
      <c r="Q625" s="17" t="s">
        <v>273</v>
      </c>
      <c r="R625" s="6" t="s">
        <v>274</v>
      </c>
      <c r="S625" s="6">
        <v>11392903012343</v>
      </c>
      <c r="T625" s="10" t="s">
        <v>85</v>
      </c>
      <c r="U625" s="173" t="s">
        <v>38</v>
      </c>
      <c r="V625" s="11" t="s">
        <v>2381</v>
      </c>
      <c r="W625" s="22" t="s">
        <v>3840</v>
      </c>
      <c r="X625" s="22" t="s">
        <v>3840</v>
      </c>
      <c r="Y625" s="22"/>
      <c r="Z625" s="6"/>
      <c r="AA625" s="6"/>
      <c r="AB625" s="41" t="s">
        <v>92</v>
      </c>
      <c r="AC625" s="42">
        <v>44348</v>
      </c>
      <c r="AD625" s="8" t="s">
        <v>276</v>
      </c>
    </row>
    <row r="626" spans="1:30" ht="15.75" customHeight="1">
      <c r="A626" s="10" t="s">
        <v>4353</v>
      </c>
      <c r="B626" s="10" t="s">
        <v>1469</v>
      </c>
      <c r="C626" s="52" t="s">
        <v>868</v>
      </c>
      <c r="D626" s="12"/>
      <c r="E626" s="13" t="s">
        <v>151</v>
      </c>
      <c r="F626" s="6" t="s">
        <v>4113</v>
      </c>
      <c r="G626" s="6" t="str">
        <f ca="1">IFERROR(__xludf.DUMMYFUNCTION("CONCATENATE(B626,(VLOOKUP(C626,CATALOGOS!$F$2:$H$6,3,FALSE)),(VLOOKUP(V626,CATALOGOS!$J$2:$K$18,2,FALSE)),""-"",TO_TEXT(A626))"),"P13IR-0625")</f>
        <v>P13IR-0625</v>
      </c>
      <c r="H626" s="6" t="str">
        <f ca="1">IFERROR(__xludf.DUMMYFUNCTION("CONCATENATE($B626,(VLOOKUP($C626,CATALOGOS!$F$2:$H$6,3,FALSE)),(VLOOKUP($V626,CATALOGOS!$J$2:$K$18,2,FALSE)),""-"",TO_TEXT($A626))"),"P13IR-0625")</f>
        <v>P13IR-0625</v>
      </c>
      <c r="I626" s="6"/>
      <c r="J626" s="6" t="s">
        <v>4354</v>
      </c>
      <c r="K626" s="6" t="s">
        <v>4355</v>
      </c>
      <c r="L626" s="37"/>
      <c r="M626" s="6" t="s">
        <v>4356</v>
      </c>
      <c r="N626" s="17"/>
      <c r="O626" s="17"/>
      <c r="P626" s="17" t="str">
        <f t="shared" si="3"/>
        <v>OK</v>
      </c>
      <c r="Q626" s="17" t="s">
        <v>297</v>
      </c>
      <c r="R626" s="6" t="s">
        <v>298</v>
      </c>
      <c r="S626" s="6" t="s">
        <v>4357</v>
      </c>
      <c r="T626" s="10" t="s">
        <v>85</v>
      </c>
      <c r="U626" s="178" t="s">
        <v>971</v>
      </c>
      <c r="V626" s="11" t="s">
        <v>2381</v>
      </c>
      <c r="W626" s="22" t="s">
        <v>3840</v>
      </c>
      <c r="X626" s="22" t="s">
        <v>3840</v>
      </c>
      <c r="Y626" s="22"/>
      <c r="Z626" s="6"/>
      <c r="AA626" s="6"/>
      <c r="AB626" s="73" t="s">
        <v>92</v>
      </c>
      <c r="AC626" s="42">
        <v>44348</v>
      </c>
      <c r="AD626" s="8">
        <v>0</v>
      </c>
    </row>
    <row r="627" spans="1:30" ht="15.75" customHeight="1">
      <c r="A627" s="10" t="s">
        <v>4358</v>
      </c>
      <c r="B627" s="10" t="s">
        <v>1469</v>
      </c>
      <c r="C627" s="52" t="s">
        <v>868</v>
      </c>
      <c r="D627" s="38"/>
      <c r="E627" s="13" t="s">
        <v>93</v>
      </c>
      <c r="F627" s="6" t="s">
        <v>1380</v>
      </c>
      <c r="G627" s="6" t="str">
        <f ca="1">IFERROR(__xludf.DUMMYFUNCTION("CONCATENATE(B627,(VLOOKUP(C627,CATALOGOS!$F$2:$H$6,3,FALSE)),(VLOOKUP(V627,CATALOGOS!$J$2:$K$18,2,FALSE)),""-"",TO_TEXT(A627))"),"P13LP-0626")</f>
        <v>P13LP-0626</v>
      </c>
      <c r="H627" s="6" t="str">
        <f ca="1">IFERROR(__xludf.DUMMYFUNCTION("CONCATENATE($B627,(VLOOKUP($C627,CATALOGOS!$F$2:$H$6,3,FALSE)),(VLOOKUP($V627,CATALOGOS!$J$2:$K$18,2,FALSE)),""-"",TO_TEXT($A627))"),"P13LP-0626")</f>
        <v>P13LP-0626</v>
      </c>
      <c r="I627" s="6"/>
      <c r="J627" s="6" t="s">
        <v>4359</v>
      </c>
      <c r="K627" s="6" t="s">
        <v>4360</v>
      </c>
      <c r="L627" s="6" t="s">
        <v>4361</v>
      </c>
      <c r="M627" s="6" t="s">
        <v>4362</v>
      </c>
      <c r="N627" s="17"/>
      <c r="O627" s="17"/>
      <c r="P627" s="17" t="str">
        <f t="shared" si="3"/>
        <v>OK</v>
      </c>
      <c r="Q627" s="17" t="s">
        <v>35</v>
      </c>
      <c r="R627" s="6" t="s">
        <v>35</v>
      </c>
      <c r="S627" s="46" t="s">
        <v>36</v>
      </c>
      <c r="T627" s="17" t="s">
        <v>4363</v>
      </c>
      <c r="U627" s="173" t="s">
        <v>38</v>
      </c>
      <c r="V627" s="11" t="s">
        <v>2328</v>
      </c>
      <c r="W627" s="10" t="s">
        <v>4313</v>
      </c>
      <c r="X627" s="10" t="s">
        <v>4313</v>
      </c>
      <c r="Y627" s="10"/>
      <c r="Z627" s="7"/>
      <c r="AA627" s="7"/>
      <c r="AB627" s="23"/>
      <c r="AC627" s="26"/>
    </row>
    <row r="628" spans="1:30" ht="15.75" customHeight="1">
      <c r="A628" s="10" t="s">
        <v>4364</v>
      </c>
      <c r="B628" s="10" t="s">
        <v>1469</v>
      </c>
      <c r="C628" s="52" t="s">
        <v>868</v>
      </c>
      <c r="D628" s="12"/>
      <c r="E628" s="13" t="s">
        <v>93</v>
      </c>
      <c r="F628" s="6" t="s">
        <v>3893</v>
      </c>
      <c r="G628" s="6" t="str">
        <f ca="1">IFERROR(__xludf.DUMMYFUNCTION("CONCATENATE(B628,(VLOOKUP(C628,CATALOGOS!$F$2:$H$6,3,FALSE)),(VLOOKUP(V628,CATALOGOS!$J$2:$K$18,2,FALSE)),""-"",TO_TEXT(A628))"),"P13LP-0627")</f>
        <v>P13LP-0627</v>
      </c>
      <c r="H628" s="6" t="str">
        <f ca="1">IFERROR(__xludf.DUMMYFUNCTION("CONCATENATE($B628,(VLOOKUP($C628,CATALOGOS!$F$2:$H$6,3,FALSE)),(VLOOKUP($V628,CATALOGOS!$J$2:$K$18,2,FALSE)),""-"",TO_TEXT($A628))"),"P13LP-0627")</f>
        <v>P13LP-0627</v>
      </c>
      <c r="I628" s="6"/>
      <c r="J628" s="6" t="s">
        <v>4365</v>
      </c>
      <c r="K628" s="6" t="s">
        <v>4366</v>
      </c>
      <c r="L628" s="36"/>
      <c r="M628" s="6" t="s">
        <v>141</v>
      </c>
      <c r="N628" s="17"/>
      <c r="O628" s="17"/>
      <c r="P628" s="17" t="str">
        <f t="shared" si="3"/>
        <v>REPETIDO</v>
      </c>
      <c r="Q628" s="35" t="s">
        <v>35</v>
      </c>
      <c r="R628" s="6" t="s">
        <v>35</v>
      </c>
      <c r="S628" s="10" t="s">
        <v>36</v>
      </c>
      <c r="T628" s="32" t="s">
        <v>85</v>
      </c>
      <c r="U628" s="173" t="s">
        <v>38</v>
      </c>
      <c r="V628" s="11" t="s">
        <v>2328</v>
      </c>
      <c r="W628" s="20" t="s">
        <v>4313</v>
      </c>
      <c r="X628" s="20" t="s">
        <v>4313</v>
      </c>
      <c r="Y628" s="20"/>
      <c r="Z628" s="6"/>
      <c r="AA628" s="6"/>
      <c r="AB628" s="23"/>
      <c r="AC628" s="33"/>
    </row>
    <row r="629" spans="1:30" ht="15.75" customHeight="1">
      <c r="A629" s="10" t="s">
        <v>4367</v>
      </c>
      <c r="B629" s="10" t="s">
        <v>1469</v>
      </c>
      <c r="C629" s="52" t="s">
        <v>868</v>
      </c>
      <c r="D629" s="12"/>
      <c r="E629" s="13" t="s">
        <v>93</v>
      </c>
      <c r="F629" s="6" t="s">
        <v>4368</v>
      </c>
      <c r="G629" s="6" t="str">
        <f ca="1">IFERROR(__xludf.DUMMYFUNCTION("CONCATENATE(B629,(VLOOKUP(C629,CATALOGOS!$F$2:$H$6,3,FALSE)),(VLOOKUP(V629,CATALOGOS!$J$2:$K$18,2,FALSE)),""-"",TO_TEXT(A629))"),"P13IR-0628")</f>
        <v>P13IR-0628</v>
      </c>
      <c r="H629" s="6" t="str">
        <f ca="1">IFERROR(__xludf.DUMMYFUNCTION("CONCATENATE($B629,(VLOOKUP($C629,CATALOGOS!$F$2:$H$6,3,FALSE)),(VLOOKUP($V629,CATALOGOS!$J$2:$K$18,2,FALSE)),""-"",TO_TEXT($A629))"),"P13IR-0628")</f>
        <v>P13IR-0628</v>
      </c>
      <c r="I629" s="6"/>
      <c r="J629" s="6" t="s">
        <v>4369</v>
      </c>
      <c r="K629" s="6" t="s">
        <v>4370</v>
      </c>
      <c r="L629" s="6" t="s">
        <v>4371</v>
      </c>
      <c r="M629" s="6" t="s">
        <v>4372</v>
      </c>
      <c r="N629" s="17"/>
      <c r="O629" s="17"/>
      <c r="P629" s="17" t="str">
        <f t="shared" si="3"/>
        <v>OK</v>
      </c>
      <c r="Q629" s="17" t="s">
        <v>35</v>
      </c>
      <c r="R629" s="6" t="s">
        <v>35</v>
      </c>
      <c r="S629" s="17" t="s">
        <v>36</v>
      </c>
      <c r="T629" s="17" t="s">
        <v>4373</v>
      </c>
      <c r="U629" s="173" t="s">
        <v>38</v>
      </c>
      <c r="V629" s="11" t="s">
        <v>2381</v>
      </c>
      <c r="W629" s="20" t="s">
        <v>3840</v>
      </c>
      <c r="X629" s="20" t="s">
        <v>3840</v>
      </c>
      <c r="Y629" s="20"/>
      <c r="Z629" s="7"/>
      <c r="AA629" s="7"/>
      <c r="AB629" s="23"/>
      <c r="AC629" s="26"/>
    </row>
    <row r="630" spans="1:30" ht="15.75" customHeight="1">
      <c r="A630" s="10" t="s">
        <v>4374</v>
      </c>
      <c r="B630" s="10" t="s">
        <v>1469</v>
      </c>
      <c r="C630" s="52" t="s">
        <v>868</v>
      </c>
      <c r="D630" s="12"/>
      <c r="E630" s="13" t="s">
        <v>116</v>
      </c>
      <c r="F630" s="6" t="s">
        <v>4375</v>
      </c>
      <c r="G630" s="6" t="str">
        <f ca="1">IFERROR(__xludf.DUMMYFUNCTION("CONCATENATE(B630,(VLOOKUP(C630,CATALOGOS!$F$2:$H$6,3,FALSE)),(VLOOKUP(V630,CATALOGOS!$J$2:$K$18,2,FALSE)),""-"",TO_TEXT(A630))"),"P13LP-0629")</f>
        <v>P13LP-0629</v>
      </c>
      <c r="H630" s="6" t="str">
        <f ca="1">IFERROR(__xludf.DUMMYFUNCTION("CONCATENATE($B630,(VLOOKUP($C630,CATALOGOS!$F$2:$H$6,3,FALSE)),(VLOOKUP($V630,CATALOGOS!$J$2:$K$18,2,FALSE)),""-"",TO_TEXT($A630))"),"P13LP-0629")</f>
        <v>P13LP-0629</v>
      </c>
      <c r="I630" s="6"/>
      <c r="J630" s="6" t="s">
        <v>4376</v>
      </c>
      <c r="K630" s="6" t="s">
        <v>4377</v>
      </c>
      <c r="L630" s="6" t="s">
        <v>4378</v>
      </c>
      <c r="M630" s="6" t="s">
        <v>4379</v>
      </c>
      <c r="N630" s="17"/>
      <c r="O630" s="17"/>
      <c r="P630" s="17" t="str">
        <f t="shared" si="3"/>
        <v>OK</v>
      </c>
      <c r="Q630" s="17" t="s">
        <v>35</v>
      </c>
      <c r="R630" s="49" t="s">
        <v>35</v>
      </c>
      <c r="S630" s="17" t="s">
        <v>36</v>
      </c>
      <c r="T630" s="17" t="s">
        <v>4380</v>
      </c>
      <c r="U630" s="173" t="s">
        <v>38</v>
      </c>
      <c r="V630" s="11" t="s">
        <v>2328</v>
      </c>
      <c r="W630" s="20" t="s">
        <v>4313</v>
      </c>
      <c r="X630" s="20" t="s">
        <v>4313</v>
      </c>
      <c r="Y630" s="20"/>
      <c r="Z630" s="7"/>
      <c r="AA630" s="7"/>
      <c r="AB630" s="23"/>
      <c r="AC630" s="26"/>
    </row>
    <row r="631" spans="1:30" ht="15.75" customHeight="1">
      <c r="A631" s="10" t="s">
        <v>4381</v>
      </c>
      <c r="B631" s="10" t="s">
        <v>1469</v>
      </c>
      <c r="C631" s="52" t="s">
        <v>868</v>
      </c>
      <c r="D631" s="12"/>
      <c r="E631" s="13" t="s">
        <v>1240</v>
      </c>
      <c r="F631" s="43" t="s">
        <v>278</v>
      </c>
      <c r="G631" s="6" t="str">
        <f ca="1">IFERROR(__xludf.DUMMYFUNCTION("CONCATENATE(B631,(VLOOKUP(C631,CATALOGOS!$F$2:$H$6,3,FALSE)),(VLOOKUP(V631,CATALOGOS!$J$2:$K$18,2,FALSE)),""-"",TO_TEXT(A631))"),"P13LP-0630")</f>
        <v>P13LP-0630</v>
      </c>
      <c r="H631" s="6" t="str">
        <f ca="1">IFERROR(__xludf.DUMMYFUNCTION("CONCATENATE($B631,(VLOOKUP($C631,CATALOGOS!$F$2:$H$6,3,FALSE)),(VLOOKUP($V631,CATALOGOS!$J$2:$K$18,2,FALSE)),""-"",TO_TEXT($A631))"),"P13LP-0630")</f>
        <v>P13LP-0630</v>
      </c>
      <c r="I631" s="6"/>
      <c r="J631" s="6" t="s">
        <v>4382</v>
      </c>
      <c r="K631" s="6" t="s">
        <v>4383</v>
      </c>
      <c r="L631" s="6" t="s">
        <v>4384</v>
      </c>
      <c r="M631" s="6" t="s">
        <v>4385</v>
      </c>
      <c r="N631" s="17"/>
      <c r="O631" s="17"/>
      <c r="P631" s="17" t="str">
        <f t="shared" si="3"/>
        <v>OK</v>
      </c>
      <c r="Q631" s="17" t="s">
        <v>35</v>
      </c>
      <c r="R631" s="6" t="s">
        <v>35</v>
      </c>
      <c r="S631" s="17" t="s">
        <v>36</v>
      </c>
      <c r="T631" s="17" t="s">
        <v>4386</v>
      </c>
      <c r="U631" s="173" t="s">
        <v>38</v>
      </c>
      <c r="V631" s="11" t="s">
        <v>2328</v>
      </c>
      <c r="W631" s="20" t="s">
        <v>4313</v>
      </c>
      <c r="X631" s="20" t="s">
        <v>4313</v>
      </c>
      <c r="Y631" s="20"/>
      <c r="Z631" s="7"/>
      <c r="AA631" s="7"/>
      <c r="AB631" s="23"/>
      <c r="AC631" s="26"/>
    </row>
    <row r="632" spans="1:30" ht="15.75" customHeight="1">
      <c r="A632" s="10" t="s">
        <v>4387</v>
      </c>
      <c r="B632" s="10" t="s">
        <v>1469</v>
      </c>
      <c r="C632" s="52" t="s">
        <v>868</v>
      </c>
      <c r="D632" s="12"/>
      <c r="E632" s="13" t="s">
        <v>378</v>
      </c>
      <c r="F632" s="43" t="s">
        <v>379</v>
      </c>
      <c r="G632" s="15" t="str">
        <f ca="1">IFERROR(__xludf.DUMMYFUNCTION("CONCATENATE(B632,(VLOOKUP(C632,CATALOGOS!$F$2:$H$6,3,FALSE)),(VLOOKUP(V632,CATALOGOS!$J$2:$K$18,2,FALSE)),""-"",TO_TEXT(A632))"),"P13IR-0631")</f>
        <v>P13IR-0631</v>
      </c>
      <c r="H632" s="6" t="str">
        <f ca="1">IFERROR(__xludf.DUMMYFUNCTION("CONCATENATE($B632,(VLOOKUP($C632,CATALOGOS!$F$2:$H$6,3,FALSE)),(VLOOKUP($V632,CATALOGOS!$J$2:$K$18,2,FALSE)),""-"",TO_TEXT($A632))"),"P13IR-0631")</f>
        <v>P13IR-0631</v>
      </c>
      <c r="I632" s="6"/>
      <c r="J632" s="6" t="s">
        <v>4388</v>
      </c>
      <c r="K632" s="6" t="s">
        <v>4389</v>
      </c>
      <c r="L632" s="6" t="s">
        <v>4390</v>
      </c>
      <c r="M632" s="6" t="s">
        <v>4391</v>
      </c>
      <c r="N632" s="17"/>
      <c r="O632" s="17"/>
      <c r="P632" s="17" t="str">
        <f t="shared" si="3"/>
        <v>OK</v>
      </c>
      <c r="Q632" s="17" t="s">
        <v>35</v>
      </c>
      <c r="R632" s="6" t="s">
        <v>35</v>
      </c>
      <c r="S632" s="17" t="s">
        <v>36</v>
      </c>
      <c r="T632" s="17" t="s">
        <v>4392</v>
      </c>
      <c r="U632" s="179" t="s">
        <v>517</v>
      </c>
      <c r="V632" s="11" t="s">
        <v>2381</v>
      </c>
      <c r="W632" s="20" t="s">
        <v>4181</v>
      </c>
      <c r="X632" s="20" t="s">
        <v>4181</v>
      </c>
      <c r="Y632" s="20"/>
      <c r="Z632" s="7"/>
      <c r="AA632" s="7"/>
      <c r="AB632" s="23"/>
      <c r="AC632" s="26"/>
    </row>
    <row r="633" spans="1:30" ht="15.75" customHeight="1">
      <c r="A633" s="10" t="s">
        <v>4393</v>
      </c>
      <c r="B633" s="10" t="s">
        <v>1469</v>
      </c>
      <c r="C633" s="52" t="s">
        <v>868</v>
      </c>
      <c r="D633" s="12"/>
      <c r="E633" s="13" t="s">
        <v>248</v>
      </c>
      <c r="F633" s="43" t="s">
        <v>249</v>
      </c>
      <c r="G633" s="6" t="str">
        <f ca="1">IFERROR(__xludf.DUMMYFUNCTION("CONCATENATE(B633,(VLOOKUP(C633,CATALOGOS!$F$2:$H$6,3,FALSE)),(VLOOKUP(V633,CATALOGOS!$J$2:$K$18,2,FALSE)),""-"",TO_TEXT(A633))"),"P13LP-0632")</f>
        <v>P13LP-0632</v>
      </c>
      <c r="H633" s="6" t="str">
        <f ca="1">IFERROR(__xludf.DUMMYFUNCTION("CONCATENATE($B633,(VLOOKUP($C633,CATALOGOS!$F$2:$H$6,3,FALSE)),(VLOOKUP($V633,CATALOGOS!$J$2:$K$18,2,FALSE)),""-"",TO_TEXT($A633))"),"P13LP-0632")</f>
        <v>P13LP-0632</v>
      </c>
      <c r="I633" s="6"/>
      <c r="J633" s="6" t="s">
        <v>4394</v>
      </c>
      <c r="K633" s="6" t="s">
        <v>4395</v>
      </c>
      <c r="L633" s="6" t="s">
        <v>4396</v>
      </c>
      <c r="M633" s="6" t="s">
        <v>4397</v>
      </c>
      <c r="N633" s="17"/>
      <c r="O633" s="17"/>
      <c r="P633" s="17" t="str">
        <f t="shared" si="3"/>
        <v>OK</v>
      </c>
      <c r="Q633" s="17" t="s">
        <v>978</v>
      </c>
      <c r="R633" s="6" t="s">
        <v>979</v>
      </c>
      <c r="S633" s="17" t="s">
        <v>4398</v>
      </c>
      <c r="T633" s="17" t="s">
        <v>4399</v>
      </c>
      <c r="U633" s="173" t="s">
        <v>38</v>
      </c>
      <c r="V633" s="11" t="s">
        <v>2328</v>
      </c>
      <c r="W633" s="20" t="s">
        <v>4313</v>
      </c>
      <c r="X633" s="20" t="s">
        <v>4313</v>
      </c>
      <c r="Y633" s="20"/>
      <c r="Z633" s="7"/>
      <c r="AA633" s="7"/>
      <c r="AB633" s="23"/>
      <c r="AC633" s="26"/>
    </row>
    <row r="634" spans="1:30" ht="15.75" customHeight="1">
      <c r="A634" s="10" t="s">
        <v>4400</v>
      </c>
      <c r="B634" s="10" t="s">
        <v>1469</v>
      </c>
      <c r="C634" s="52" t="s">
        <v>868</v>
      </c>
      <c r="D634" s="12"/>
      <c r="E634" s="13" t="s">
        <v>199</v>
      </c>
      <c r="F634" s="6" t="s">
        <v>199</v>
      </c>
      <c r="G634" s="6" t="str">
        <f ca="1">IFERROR(__xludf.DUMMYFUNCTION("CONCATENATE(B634,(VLOOKUP(C634,CATALOGOS!$F$2:$H$6,3,FALSE)),(VLOOKUP(V634,CATALOGOS!$J$2:$K$18,2,FALSE)),""-"",TO_TEXT(A634))"),"P13LP-0633")</f>
        <v>P13LP-0633</v>
      </c>
      <c r="H634" s="6" t="str">
        <f ca="1">IFERROR(__xludf.DUMMYFUNCTION("CONCATENATE($B634,(VLOOKUP($C634,CATALOGOS!$F$2:$H$6,3,FALSE)),(VLOOKUP($V634,CATALOGOS!$J$2:$K$18,2,FALSE)),""-"",TO_TEXT($A634))"),"P13LP-0633")</f>
        <v>P13LP-0633</v>
      </c>
      <c r="I634" s="6"/>
      <c r="J634" s="6" t="s">
        <v>4401</v>
      </c>
      <c r="K634" s="6" t="s">
        <v>4402</v>
      </c>
      <c r="L634" s="37"/>
      <c r="M634" s="6" t="s">
        <v>4403</v>
      </c>
      <c r="N634" s="17"/>
      <c r="O634" s="17"/>
      <c r="P634" s="17" t="str">
        <f t="shared" si="3"/>
        <v>OK</v>
      </c>
      <c r="Q634" s="17" t="s">
        <v>273</v>
      </c>
      <c r="R634" s="6" t="s">
        <v>274</v>
      </c>
      <c r="S634" s="6">
        <v>11392903014920</v>
      </c>
      <c r="T634" s="10" t="s">
        <v>85</v>
      </c>
      <c r="U634" s="173" t="s">
        <v>38</v>
      </c>
      <c r="V634" s="11" t="s">
        <v>2328</v>
      </c>
      <c r="W634" s="20" t="s">
        <v>4313</v>
      </c>
      <c r="X634" s="20" t="s">
        <v>4313</v>
      </c>
      <c r="Y634" s="20"/>
      <c r="Z634" s="6"/>
      <c r="AA634" s="6"/>
      <c r="AB634" s="41" t="s">
        <v>275</v>
      </c>
      <c r="AC634" s="42">
        <v>44403</v>
      </c>
      <c r="AD634" s="8" t="s">
        <v>276</v>
      </c>
    </row>
    <row r="635" spans="1:30" ht="15.75" customHeight="1">
      <c r="A635" s="10" t="s">
        <v>4404</v>
      </c>
      <c r="B635" s="10" t="s">
        <v>1469</v>
      </c>
      <c r="C635" s="52" t="s">
        <v>868</v>
      </c>
      <c r="D635" s="12"/>
      <c r="E635" s="13" t="s">
        <v>151</v>
      </c>
      <c r="F635" s="6" t="s">
        <v>4113</v>
      </c>
      <c r="G635" s="6" t="str">
        <f ca="1">IFERROR(__xludf.DUMMYFUNCTION("CONCATENATE(B635,(VLOOKUP(C635,CATALOGOS!$F$2:$H$6,3,FALSE)),(VLOOKUP(V635,CATALOGOS!$J$2:$K$18,2,FALSE)),""-"",TO_TEXT(A635))"),"P13LP-0634")</f>
        <v>P13LP-0634</v>
      </c>
      <c r="H635" s="6" t="str">
        <f ca="1">IFERROR(__xludf.DUMMYFUNCTION("CONCATENATE($B635,(VLOOKUP($C635,CATALOGOS!$F$2:$H$6,3,FALSE)),(VLOOKUP($V635,CATALOGOS!$J$2:$K$18,2,FALSE)),""-"",TO_TEXT($A635))"),"P13LP-0634")</f>
        <v>P13LP-0634</v>
      </c>
      <c r="I635" s="6"/>
      <c r="J635" s="6" t="s">
        <v>4405</v>
      </c>
      <c r="K635" s="6" t="s">
        <v>4406</v>
      </c>
      <c r="L635" s="37"/>
      <c r="M635" s="6" t="s">
        <v>4407</v>
      </c>
      <c r="N635" s="17"/>
      <c r="O635" s="17"/>
      <c r="P635" s="17" t="str">
        <f t="shared" si="3"/>
        <v>OK</v>
      </c>
      <c r="Q635" s="17" t="s">
        <v>297</v>
      </c>
      <c r="R635" s="6" t="s">
        <v>298</v>
      </c>
      <c r="S635" s="6" t="s">
        <v>4408</v>
      </c>
      <c r="T635" s="10" t="s">
        <v>85</v>
      </c>
      <c r="U635" s="173" t="s">
        <v>38</v>
      </c>
      <c r="V635" s="11" t="s">
        <v>2328</v>
      </c>
      <c r="W635" s="20" t="s">
        <v>4313</v>
      </c>
      <c r="X635" s="20" t="s">
        <v>4313</v>
      </c>
      <c r="Y635" s="20"/>
      <c r="Z635" s="6"/>
      <c r="AA635" s="6"/>
      <c r="AB635" s="41" t="s">
        <v>275</v>
      </c>
      <c r="AC635" s="42">
        <v>44403</v>
      </c>
      <c r="AD635" s="8">
        <v>0</v>
      </c>
    </row>
    <row r="636" spans="1:30" ht="15.75" customHeight="1">
      <c r="A636" s="10" t="s">
        <v>4409</v>
      </c>
      <c r="B636" s="10" t="s">
        <v>1469</v>
      </c>
      <c r="C636" s="61" t="s">
        <v>4411</v>
      </c>
      <c r="D636" s="38"/>
      <c r="E636" s="13" t="s">
        <v>116</v>
      </c>
      <c r="F636" s="6" t="s">
        <v>3992</v>
      </c>
      <c r="G636" s="15" t="str">
        <f ca="1">IFERROR(__xludf.DUMMYFUNCTION("CONCATENATE(B636,(VLOOKUP(C636,CATALOGOS!$F$2:$H$6,3,FALSE)),(VLOOKUP(V636,CATALOGOS!$J$2:$K$18,2,FALSE)),""-"",TO_TEXT(A636))"),"P14SJ-0635")</f>
        <v>P14SJ-0635</v>
      </c>
      <c r="H636" s="6" t="str">
        <f ca="1">IFERROR(__xludf.DUMMYFUNCTION("CONCATENATE($B636,(VLOOKUP($C636,CATALOGOS!$F$2:$H$6,3,FALSE)),(VLOOKUP($V636,CATALOGOS!$J$2:$K$18,2,FALSE)),""-"",TO_TEXT($A636))"),"P14SJ-0635")</f>
        <v>P14SJ-0635</v>
      </c>
      <c r="I636" s="6"/>
      <c r="J636" s="6" t="s">
        <v>4412</v>
      </c>
      <c r="K636" s="6"/>
      <c r="L636" s="6" t="s">
        <v>4413</v>
      </c>
      <c r="M636" s="6" t="s">
        <v>4414</v>
      </c>
      <c r="N636" s="17"/>
      <c r="O636" s="17"/>
      <c r="P636" s="17" t="str">
        <f t="shared" si="3"/>
        <v>OK</v>
      </c>
      <c r="Q636" s="17" t="s">
        <v>35</v>
      </c>
      <c r="R636" s="6" t="s">
        <v>35</v>
      </c>
      <c r="S636" s="46" t="s">
        <v>36</v>
      </c>
      <c r="T636" s="35" t="s">
        <v>4415</v>
      </c>
      <c r="U636" s="173" t="s">
        <v>38</v>
      </c>
      <c r="V636" s="11" t="s">
        <v>4411</v>
      </c>
      <c r="W636" s="6" t="s">
        <v>4417</v>
      </c>
      <c r="X636" s="6" t="s">
        <v>4417</v>
      </c>
      <c r="Y636" s="6"/>
      <c r="Z636" s="6"/>
      <c r="AA636" s="6" t="s">
        <v>4203</v>
      </c>
      <c r="AB636" s="26"/>
      <c r="AC636" s="26"/>
    </row>
    <row r="637" spans="1:30" ht="15.75" customHeight="1">
      <c r="A637" s="10" t="s">
        <v>4418</v>
      </c>
      <c r="B637" s="10" t="s">
        <v>1469</v>
      </c>
      <c r="C637" s="52" t="s">
        <v>868</v>
      </c>
      <c r="D637" s="12"/>
      <c r="E637" s="13" t="s">
        <v>248</v>
      </c>
      <c r="F637" s="43" t="s">
        <v>248</v>
      </c>
      <c r="G637" s="6" t="str">
        <f ca="1">IFERROR(__xludf.DUMMYFUNCTION("CONCATENATE(B637,(VLOOKUP(C637,CATALOGOS!$F$2:$H$6,3,FALSE)),(VLOOKUP(V637,CATALOGOS!$J$2:$K$18,2,FALSE)),""-"",TO_TEXT(A637))"),"P13LP-0636")</f>
        <v>P13LP-0636</v>
      </c>
      <c r="H637" s="6" t="str">
        <f ca="1">IFERROR(__xludf.DUMMYFUNCTION("CONCATENATE($B637,(VLOOKUP($C637,CATALOGOS!$F$2:$H$6,3,FALSE)),(VLOOKUP($V637,CATALOGOS!$J$2:$K$18,2,FALSE)),""-"",TO_TEXT($A637))"),"P13LP-0636")</f>
        <v>P13LP-0636</v>
      </c>
      <c r="I637" s="6"/>
      <c r="J637" s="6" t="s">
        <v>4419</v>
      </c>
      <c r="K637" s="6" t="s">
        <v>4420</v>
      </c>
      <c r="L637" s="6" t="s">
        <v>4421</v>
      </c>
      <c r="M637" s="6" t="s">
        <v>4422</v>
      </c>
      <c r="N637" s="17"/>
      <c r="O637" s="17"/>
      <c r="P637" s="17" t="str">
        <f t="shared" si="3"/>
        <v>OK</v>
      </c>
      <c r="Q637" s="17" t="s">
        <v>303</v>
      </c>
      <c r="R637" s="6" t="s">
        <v>304</v>
      </c>
      <c r="S637" s="17" t="s">
        <v>4423</v>
      </c>
      <c r="T637" s="10" t="s">
        <v>7310</v>
      </c>
      <c r="U637" s="173" t="s">
        <v>38</v>
      </c>
      <c r="V637" s="11" t="s">
        <v>2328</v>
      </c>
      <c r="W637" s="6" t="s">
        <v>4202</v>
      </c>
      <c r="X637" s="6" t="s">
        <v>4202</v>
      </c>
      <c r="Y637" s="6"/>
      <c r="Z637" s="6"/>
      <c r="AA637" s="6" t="s">
        <v>4203</v>
      </c>
      <c r="AB637" s="23"/>
      <c r="AC637" s="26"/>
    </row>
    <row r="638" spans="1:30" ht="15.75" customHeight="1">
      <c r="A638" s="10" t="s">
        <v>4425</v>
      </c>
      <c r="B638" s="10" t="s">
        <v>1469</v>
      </c>
      <c r="C638" s="52" t="s">
        <v>868</v>
      </c>
      <c r="D638" s="12"/>
      <c r="E638" s="13" t="s">
        <v>199</v>
      </c>
      <c r="F638" s="43" t="s">
        <v>4426</v>
      </c>
      <c r="G638" s="6" t="str">
        <f ca="1">IFERROR(__xludf.DUMMYFUNCTION("CONCATENATE(B638,(VLOOKUP(C638,CATALOGOS!$F$2:$H$6,3,FALSE)),(VLOOKUP(V638,CATALOGOS!$J$2:$K$18,2,FALSE)),""-"",TO_TEXT(A638))"),"P13LP-0637")</f>
        <v>P13LP-0637</v>
      </c>
      <c r="H638" s="6" t="str">
        <f ca="1">IFERROR(__xludf.DUMMYFUNCTION("CONCATENATE($B638,(VLOOKUP($C638,CATALOGOS!$F$2:$H$6,3,FALSE)),(VLOOKUP($V638,CATALOGOS!$J$2:$K$18,2,FALSE)),""-"",TO_TEXT($A638))"),"P13LP-0637")</f>
        <v>P13LP-0637</v>
      </c>
      <c r="I638" s="6"/>
      <c r="J638" s="6" t="s">
        <v>4427</v>
      </c>
      <c r="K638" s="6" t="s">
        <v>4428</v>
      </c>
      <c r="L638" s="6" t="s">
        <v>4429</v>
      </c>
      <c r="M638" s="6" t="s">
        <v>4430</v>
      </c>
      <c r="N638" s="17"/>
      <c r="O638" s="17"/>
      <c r="P638" s="17" t="str">
        <f t="shared" si="3"/>
        <v>OK</v>
      </c>
      <c r="Q638" s="17" t="s">
        <v>205</v>
      </c>
      <c r="R638" s="6" t="s">
        <v>794</v>
      </c>
      <c r="S638" s="17" t="s">
        <v>4431</v>
      </c>
      <c r="T638" s="10" t="s">
        <v>4432</v>
      </c>
      <c r="U638" s="173" t="s">
        <v>38</v>
      </c>
      <c r="V638" s="11" t="s">
        <v>2328</v>
      </c>
      <c r="W638" s="6" t="s">
        <v>4202</v>
      </c>
      <c r="X638" s="6" t="s">
        <v>4202</v>
      </c>
      <c r="Y638" s="6"/>
      <c r="Z638" s="6"/>
      <c r="AA638" s="6" t="s">
        <v>4203</v>
      </c>
      <c r="AB638" s="23"/>
      <c r="AC638" s="26"/>
    </row>
    <row r="639" spans="1:30" ht="15.75" customHeight="1">
      <c r="A639" s="10" t="s">
        <v>4433</v>
      </c>
      <c r="B639" s="10" t="s">
        <v>1469</v>
      </c>
      <c r="C639" s="52" t="s">
        <v>868</v>
      </c>
      <c r="D639" s="38"/>
      <c r="E639" s="13" t="s">
        <v>151</v>
      </c>
      <c r="F639" s="6" t="s">
        <v>714</v>
      </c>
      <c r="G639" s="6" t="str">
        <f ca="1">IFERROR(__xludf.DUMMYFUNCTION("CONCATENATE(B639,(VLOOKUP(C639,CATALOGOS!$F$2:$H$6,3,FALSE)),(VLOOKUP(V639,CATALOGOS!$J$2:$K$18,2,FALSE)),""-"",TO_TEXT(A639))"),"P13LP-0638")</f>
        <v>P13LP-0638</v>
      </c>
      <c r="H639" s="6" t="str">
        <f ca="1">IFERROR(__xludf.DUMMYFUNCTION("CONCATENATE($B639,(VLOOKUP($C639,CATALOGOS!$F$2:$H$6,3,FALSE)),(VLOOKUP($V639,CATALOGOS!$J$2:$K$18,2,FALSE)),""-"",TO_TEXT($A639))"),"P13LP-0638")</f>
        <v>P13LP-0638</v>
      </c>
      <c r="I639" s="6"/>
      <c r="J639" s="6" t="s">
        <v>4434</v>
      </c>
      <c r="K639" s="6" t="s">
        <v>4435</v>
      </c>
      <c r="L639" s="6" t="s">
        <v>4436</v>
      </c>
      <c r="M639" s="6" t="s">
        <v>4437</v>
      </c>
      <c r="N639" s="17"/>
      <c r="O639" s="17"/>
      <c r="P639" s="17" t="str">
        <f t="shared" si="3"/>
        <v>OK</v>
      </c>
      <c r="Q639" s="17" t="s">
        <v>1220</v>
      </c>
      <c r="R639" s="6" t="s">
        <v>720</v>
      </c>
      <c r="S639" s="46" t="s">
        <v>4438</v>
      </c>
      <c r="T639" s="17" t="s">
        <v>4439</v>
      </c>
      <c r="U639" s="173" t="s">
        <v>38</v>
      </c>
      <c r="V639" s="11" t="s">
        <v>2328</v>
      </c>
      <c r="W639" s="6" t="s">
        <v>4202</v>
      </c>
      <c r="X639" s="6" t="s">
        <v>4202</v>
      </c>
      <c r="Y639" s="6"/>
      <c r="Z639" s="6"/>
      <c r="AA639" s="6" t="s">
        <v>4203</v>
      </c>
      <c r="AB639" s="23"/>
      <c r="AC639" s="26"/>
    </row>
    <row r="640" spans="1:30" ht="15.75" customHeight="1">
      <c r="A640" s="10" t="s">
        <v>4440</v>
      </c>
      <c r="B640" s="10" t="s">
        <v>1469</v>
      </c>
      <c r="C640" s="52" t="s">
        <v>868</v>
      </c>
      <c r="D640" s="12"/>
      <c r="E640" s="13" t="s">
        <v>93</v>
      </c>
      <c r="F640" s="6" t="s">
        <v>869</v>
      </c>
      <c r="G640" s="15" t="str">
        <f ca="1">IFERROR(__xludf.DUMMYFUNCTION("CONCATENATE(B640,(VLOOKUP(C640,CATALOGOS!$F$2:$H$6,3,FALSE)),(VLOOKUP(V640,CATALOGOS!$J$2:$K$18,2,FALSE)),""-"",TO_TEXT(A640))"),"P13IR-0639")</f>
        <v>P13IR-0639</v>
      </c>
      <c r="H640" s="6" t="str">
        <f ca="1">IFERROR(__xludf.DUMMYFUNCTION("CONCATENATE($B640,(VLOOKUP($C640,CATALOGOS!$F$2:$H$6,3,FALSE)),(VLOOKUP($V640,CATALOGOS!$J$2:$K$18,2,FALSE)),""-"",TO_TEXT($A640))"),"P13IR-0639")</f>
        <v>P13IR-0639</v>
      </c>
      <c r="I640" s="6"/>
      <c r="J640" s="6" t="s">
        <v>4441</v>
      </c>
      <c r="K640" s="6" t="s">
        <v>4442</v>
      </c>
      <c r="L640" s="6" t="s">
        <v>4443</v>
      </c>
      <c r="M640" s="6" t="s">
        <v>4444</v>
      </c>
      <c r="N640" s="17"/>
      <c r="O640" s="17"/>
      <c r="P640" s="17" t="str">
        <f t="shared" si="3"/>
        <v>OK</v>
      </c>
      <c r="Q640" s="35" t="s">
        <v>35</v>
      </c>
      <c r="R640" s="6" t="s">
        <v>35</v>
      </c>
      <c r="S640" s="17" t="s">
        <v>36</v>
      </c>
      <c r="T640" s="17" t="s">
        <v>4445</v>
      </c>
      <c r="U640" s="173" t="s">
        <v>38</v>
      </c>
      <c r="V640" s="11" t="s">
        <v>2381</v>
      </c>
      <c r="W640" s="22" t="s">
        <v>4181</v>
      </c>
      <c r="X640" s="22" t="s">
        <v>4181</v>
      </c>
      <c r="Y640" s="22"/>
      <c r="Z640" s="7"/>
      <c r="AA640" s="7"/>
      <c r="AB640" s="26"/>
      <c r="AC640" s="26"/>
    </row>
    <row r="641" spans="1:30" ht="15.75" customHeight="1">
      <c r="A641" s="10" t="s">
        <v>4446</v>
      </c>
      <c r="B641" s="10" t="s">
        <v>1469</v>
      </c>
      <c r="C641" s="52" t="s">
        <v>868</v>
      </c>
      <c r="D641" s="12"/>
      <c r="E641" s="13" t="s">
        <v>116</v>
      </c>
      <c r="F641" s="6" t="s">
        <v>4447</v>
      </c>
      <c r="G641" s="15" t="str">
        <f ca="1">IFERROR(__xludf.DUMMYFUNCTION("CONCATENATE(B641,(VLOOKUP(C641,CATALOGOS!$F$2:$H$6,3,FALSE)),(VLOOKUP(V641,CATALOGOS!$J$2:$K$18,2,FALSE)),""-"",TO_TEXT(A641))"),"P13IR-0640")</f>
        <v>P13IR-0640</v>
      </c>
      <c r="H641" s="6" t="str">
        <f ca="1">IFERROR(__xludf.DUMMYFUNCTION("CONCATENATE($B641,(VLOOKUP($C641,CATALOGOS!$F$2:$H$6,3,FALSE)),(VLOOKUP($V641,CATALOGOS!$J$2:$K$18,2,FALSE)),""-"",TO_TEXT($A641))"),"P13IR-0640")</f>
        <v>P13IR-0640</v>
      </c>
      <c r="I641" s="6"/>
      <c r="J641" s="6" t="s">
        <v>4448</v>
      </c>
      <c r="K641" s="6" t="s">
        <v>4449</v>
      </c>
      <c r="L641" s="6" t="s">
        <v>4450</v>
      </c>
      <c r="M641" s="6" t="s">
        <v>4451</v>
      </c>
      <c r="N641" s="17"/>
      <c r="O641" s="17"/>
      <c r="P641" s="17" t="str">
        <f t="shared" si="3"/>
        <v>OK</v>
      </c>
      <c r="Q641" s="17" t="s">
        <v>35</v>
      </c>
      <c r="R641" s="6" t="s">
        <v>35</v>
      </c>
      <c r="S641" s="17" t="s">
        <v>36</v>
      </c>
      <c r="T641" s="17" t="s">
        <v>4452</v>
      </c>
      <c r="U641" s="173" t="s">
        <v>38</v>
      </c>
      <c r="V641" s="11" t="s">
        <v>2381</v>
      </c>
      <c r="W641" s="22" t="s">
        <v>4181</v>
      </c>
      <c r="X641" s="22" t="s">
        <v>4181</v>
      </c>
      <c r="Y641" s="22"/>
      <c r="Z641" s="7"/>
      <c r="AA641" s="7"/>
      <c r="AB641" s="23"/>
      <c r="AC641" s="26"/>
    </row>
    <row r="642" spans="1:30" ht="15.75" customHeight="1">
      <c r="A642" s="10" t="s">
        <v>4453</v>
      </c>
      <c r="B642" s="10" t="s">
        <v>1469</v>
      </c>
      <c r="C642" s="52" t="s">
        <v>868</v>
      </c>
      <c r="D642" s="12"/>
      <c r="E642" s="13" t="s">
        <v>29</v>
      </c>
      <c r="F642" s="6" t="s">
        <v>1166</v>
      </c>
      <c r="G642" s="15" t="str">
        <f ca="1">IFERROR(__xludf.DUMMYFUNCTION("CONCATENATE(B642,(VLOOKUP(C642,CATALOGOS!$F$2:$H$6,3,FALSE)),(VLOOKUP(V642,CATALOGOS!$J$2:$K$18,2,FALSE)),""-"",TO_TEXT(A642))"),"P13IR-0641")</f>
        <v>P13IR-0641</v>
      </c>
      <c r="H642" s="6" t="str">
        <f ca="1">IFERROR(__xludf.DUMMYFUNCTION("CONCATENATE($B642,(VLOOKUP($C642,CATALOGOS!$F$2:$H$6,3,FALSE)),(VLOOKUP($V642,CATALOGOS!$J$2:$K$18,2,FALSE)),""-"",TO_TEXT($A642))"),"P13IR-0641")</f>
        <v>P13IR-0641</v>
      </c>
      <c r="I642" s="6"/>
      <c r="J642" s="6" t="s">
        <v>4454</v>
      </c>
      <c r="K642" s="6" t="s">
        <v>4455</v>
      </c>
      <c r="L642" s="6" t="s">
        <v>4456</v>
      </c>
      <c r="M642" s="6" t="s">
        <v>4457</v>
      </c>
      <c r="N642" s="17"/>
      <c r="O642" s="17"/>
      <c r="P642" s="17" t="str">
        <f t="shared" si="3"/>
        <v>OK</v>
      </c>
      <c r="Q642" s="17" t="s">
        <v>35</v>
      </c>
      <c r="R642" s="6" t="s">
        <v>35</v>
      </c>
      <c r="S642" s="17" t="s">
        <v>36</v>
      </c>
      <c r="T642" s="17" t="s">
        <v>4458</v>
      </c>
      <c r="U642" s="173" t="s">
        <v>38</v>
      </c>
      <c r="V642" s="11" t="s">
        <v>2381</v>
      </c>
      <c r="W642" s="22" t="s">
        <v>4181</v>
      </c>
      <c r="X642" s="22" t="s">
        <v>4181</v>
      </c>
      <c r="Y642" s="22"/>
      <c r="Z642" s="7"/>
      <c r="AA642" s="7"/>
      <c r="AB642" s="23"/>
      <c r="AC642" s="26"/>
    </row>
    <row r="643" spans="1:30" ht="15.75" customHeight="1">
      <c r="A643" s="10" t="s">
        <v>4459</v>
      </c>
      <c r="B643" s="10" t="s">
        <v>1469</v>
      </c>
      <c r="C643" s="52" t="s">
        <v>868</v>
      </c>
      <c r="D643" s="12"/>
      <c r="E643" s="13" t="s">
        <v>378</v>
      </c>
      <c r="F643" s="6" t="s">
        <v>1306</v>
      </c>
      <c r="G643" s="15" t="str">
        <f ca="1">IFERROR(__xludf.DUMMYFUNCTION("CONCATENATE(B643,(VLOOKUP(C643,CATALOGOS!$F$2:$H$6,3,FALSE)),(VLOOKUP(V643,CATALOGOS!$J$2:$K$18,2,FALSE)),""-"",TO_TEXT(A643))"),"P13IR-0642")</f>
        <v>P13IR-0642</v>
      </c>
      <c r="H643" s="6" t="str">
        <f ca="1">IFERROR(__xludf.DUMMYFUNCTION("CONCATENATE($B643,(VLOOKUP($C643,CATALOGOS!$F$2:$H$6,3,FALSE)),(VLOOKUP($V643,CATALOGOS!$J$2:$K$18,2,FALSE)),""-"",TO_TEXT($A643))"),"P13IR-0642")</f>
        <v>P13IR-0642</v>
      </c>
      <c r="I643" s="6"/>
      <c r="J643" s="6" t="s">
        <v>4460</v>
      </c>
      <c r="K643" s="6" t="s">
        <v>4461</v>
      </c>
      <c r="L643" s="6" t="s">
        <v>4462</v>
      </c>
      <c r="M643" s="6" t="s">
        <v>4463</v>
      </c>
      <c r="N643" s="17"/>
      <c r="O643" s="17"/>
      <c r="P643" s="17" t="str">
        <f t="shared" si="3"/>
        <v>OK</v>
      </c>
      <c r="Q643" s="17" t="s">
        <v>35</v>
      </c>
      <c r="R643" s="6" t="s">
        <v>35</v>
      </c>
      <c r="S643" s="17" t="s">
        <v>36</v>
      </c>
      <c r="T643" s="17" t="s">
        <v>4464</v>
      </c>
      <c r="U643" s="173" t="s">
        <v>38</v>
      </c>
      <c r="V643" s="11" t="s">
        <v>2381</v>
      </c>
      <c r="W643" s="22" t="s">
        <v>4181</v>
      </c>
      <c r="X643" s="22" t="s">
        <v>4181</v>
      </c>
      <c r="Y643" s="22"/>
      <c r="Z643" s="7"/>
      <c r="AA643" s="7"/>
      <c r="AB643" s="23"/>
      <c r="AC643" s="26"/>
    </row>
    <row r="644" spans="1:30" ht="15.75" customHeight="1">
      <c r="A644" s="10" t="s">
        <v>4465</v>
      </c>
      <c r="B644" s="10" t="s">
        <v>1469</v>
      </c>
      <c r="C644" s="52" t="s">
        <v>868</v>
      </c>
      <c r="D644" s="12"/>
      <c r="E644" s="13" t="s">
        <v>248</v>
      </c>
      <c r="F644" s="6" t="s">
        <v>248</v>
      </c>
      <c r="G644" s="15" t="str">
        <f ca="1">IFERROR(__xludf.DUMMYFUNCTION("CONCATENATE(B644,(VLOOKUP(C644,CATALOGOS!$F$2:$H$6,3,FALSE)),(VLOOKUP(V644,CATALOGOS!$J$2:$K$18,2,FALSE)),""-"",TO_TEXT(A644))"),"P13IR-0643")</f>
        <v>P13IR-0643</v>
      </c>
      <c r="H644" s="6" t="str">
        <f ca="1">IFERROR(__xludf.DUMMYFUNCTION("CONCATENATE($B644,(VLOOKUP($C644,CATALOGOS!$F$2:$H$6,3,FALSE)),(VLOOKUP($V644,CATALOGOS!$J$2:$K$18,2,FALSE)),""-"",TO_TEXT($A644))"),"P13IR-0643")</f>
        <v>P13IR-0643</v>
      </c>
      <c r="I644" s="6"/>
      <c r="J644" s="6"/>
      <c r="K644" s="6" t="s">
        <v>4466</v>
      </c>
      <c r="L644" s="6" t="s">
        <v>4467</v>
      </c>
      <c r="M644" s="43" t="s">
        <v>4468</v>
      </c>
      <c r="N644" s="17"/>
      <c r="O644" s="17"/>
      <c r="P644" s="17" t="str">
        <f t="shared" si="3"/>
        <v>OK</v>
      </c>
      <c r="Q644" s="17" t="s">
        <v>359</v>
      </c>
      <c r="R644" s="6">
        <v>550</v>
      </c>
      <c r="S644" s="17" t="s">
        <v>36</v>
      </c>
      <c r="T644" s="17" t="s">
        <v>4469</v>
      </c>
      <c r="U644" s="173" t="s">
        <v>38</v>
      </c>
      <c r="V644" s="11" t="s">
        <v>2381</v>
      </c>
      <c r="W644" s="22" t="s">
        <v>4181</v>
      </c>
      <c r="X644" s="22" t="s">
        <v>4181</v>
      </c>
      <c r="Y644" s="22"/>
      <c r="Z644" s="7"/>
      <c r="AA644" s="7"/>
      <c r="AB644" s="23"/>
      <c r="AC644" s="26"/>
    </row>
    <row r="645" spans="1:30" ht="15.75" customHeight="1">
      <c r="A645" s="10" t="s">
        <v>4470</v>
      </c>
      <c r="B645" s="10" t="s">
        <v>1469</v>
      </c>
      <c r="C645" s="61" t="s">
        <v>28</v>
      </c>
      <c r="D645" s="12"/>
      <c r="E645" s="13" t="s">
        <v>184</v>
      </c>
      <c r="F645" s="6" t="s">
        <v>927</v>
      </c>
      <c r="G645" s="15" t="str">
        <f ca="1">IFERROR(__xludf.DUMMYFUNCTION("CONCATENATE(B645,(VLOOKUP(C645,CATALOGOS!$F$2:$H$6,3,FALSE)),(VLOOKUP(V645,CATALOGOS!$J$2:$K$18,2,FALSE)),""-"",TO_TEXT(A645))"),"P15RH-0644")</f>
        <v>P15RH-0644</v>
      </c>
      <c r="H645" s="6" t="str">
        <f ca="1">IFERROR(__xludf.DUMMYFUNCTION("CONCATENATE($B645,(VLOOKUP($C645,CATALOGOS!$F$2:$H$6,3,FALSE)),(VLOOKUP($V645,CATALOGOS!$J$2:$K$18,2,FALSE)),""-"",TO_TEXT($A645))"),"P15RH-0644")</f>
        <v>P15RH-0644</v>
      </c>
      <c r="I645" s="6"/>
      <c r="J645" s="6" t="s">
        <v>4471</v>
      </c>
      <c r="K645" s="6" t="s">
        <v>4472</v>
      </c>
      <c r="L645" s="6" t="s">
        <v>4473</v>
      </c>
      <c r="M645" s="6" t="s">
        <v>4474</v>
      </c>
      <c r="N645" s="17"/>
      <c r="O645" s="17"/>
      <c r="P645" s="17" t="str">
        <f t="shared" si="3"/>
        <v>OK</v>
      </c>
      <c r="Q645" s="17" t="s">
        <v>35</v>
      </c>
      <c r="R645" s="6" t="s">
        <v>35</v>
      </c>
      <c r="S645" s="17" t="s">
        <v>36</v>
      </c>
      <c r="T645" s="17" t="s">
        <v>4475</v>
      </c>
      <c r="U645" s="173" t="s">
        <v>38</v>
      </c>
      <c r="V645" s="11" t="s">
        <v>723</v>
      </c>
      <c r="W645" s="20" t="s">
        <v>1427</v>
      </c>
      <c r="X645" s="20" t="s">
        <v>1427</v>
      </c>
      <c r="Y645" s="20"/>
      <c r="Z645" s="7"/>
      <c r="AA645" s="7"/>
      <c r="AB645" s="23"/>
      <c r="AC645" s="26"/>
    </row>
    <row r="646" spans="1:30" ht="15.75" customHeight="1">
      <c r="A646" s="10" t="s">
        <v>4476</v>
      </c>
      <c r="B646" s="10" t="s">
        <v>1469</v>
      </c>
      <c r="C646" s="52" t="s">
        <v>868</v>
      </c>
      <c r="D646" s="12"/>
      <c r="E646" s="13" t="s">
        <v>199</v>
      </c>
      <c r="F646" s="6" t="s">
        <v>199</v>
      </c>
      <c r="G646" s="15" t="str">
        <f ca="1">IFERROR(__xludf.DUMMYFUNCTION("CONCATENATE(B646,(VLOOKUP(C646,CATALOGOS!$F$2:$H$6,3,FALSE)),(VLOOKUP(V646,CATALOGOS!$J$2:$K$18,2,FALSE)),""-"",TO_TEXT(A646))"),"P13IR-0645")</f>
        <v>P13IR-0645</v>
      </c>
      <c r="H646" s="6" t="str">
        <f ca="1">IFERROR(__xludf.DUMMYFUNCTION("CONCATENATE($B646,(VLOOKUP($C646,CATALOGOS!$F$2:$H$6,3,FALSE)),(VLOOKUP($V646,CATALOGOS!$J$2:$K$18,2,FALSE)),""-"",TO_TEXT($A646))"),"P13IR-0645")</f>
        <v>P13IR-0645</v>
      </c>
      <c r="I646" s="6"/>
      <c r="J646" s="6" t="s">
        <v>4477</v>
      </c>
      <c r="K646" s="6" t="s">
        <v>4478</v>
      </c>
      <c r="L646" s="37"/>
      <c r="M646" s="6" t="s">
        <v>4479</v>
      </c>
      <c r="N646" s="17"/>
      <c r="O646" s="17"/>
      <c r="P646" s="17" t="str">
        <f t="shared" si="3"/>
        <v>OK</v>
      </c>
      <c r="Q646" s="17" t="s">
        <v>273</v>
      </c>
      <c r="R646" s="6" t="s">
        <v>274</v>
      </c>
      <c r="S646" s="6">
        <v>11392903015273</v>
      </c>
      <c r="T646" s="10" t="s">
        <v>85</v>
      </c>
      <c r="U646" s="173" t="s">
        <v>38</v>
      </c>
      <c r="V646" s="11" t="s">
        <v>2381</v>
      </c>
      <c r="W646" s="22" t="s">
        <v>4181</v>
      </c>
      <c r="X646" s="22" t="s">
        <v>4181</v>
      </c>
      <c r="Y646" s="22"/>
      <c r="Z646" s="6"/>
      <c r="AA646" s="6"/>
      <c r="AB646" s="41" t="s">
        <v>275</v>
      </c>
      <c r="AC646" s="42">
        <v>44403</v>
      </c>
      <c r="AD646" s="8" t="s">
        <v>276</v>
      </c>
    </row>
    <row r="647" spans="1:30" ht="15.75" customHeight="1">
      <c r="A647" s="10" t="s">
        <v>4480</v>
      </c>
      <c r="B647" s="10" t="s">
        <v>1469</v>
      </c>
      <c r="C647" s="52" t="s">
        <v>868</v>
      </c>
      <c r="D647" s="38"/>
      <c r="E647" s="13" t="s">
        <v>151</v>
      </c>
      <c r="F647" s="6" t="s">
        <v>4113</v>
      </c>
      <c r="G647" s="15" t="str">
        <f ca="1">IFERROR(__xludf.DUMMYFUNCTION("CONCATENATE(B647,(VLOOKUP(C647,CATALOGOS!$F$2:$H$6,3,FALSE)),(VLOOKUP(V647,CATALOGOS!$J$2:$K$18,2,FALSE)),""-"",TO_TEXT(A647))"),"P13IR-0646")</f>
        <v>P13IR-0646</v>
      </c>
      <c r="H647" s="6" t="str">
        <f ca="1">IFERROR(__xludf.DUMMYFUNCTION("CONCATENATE($B647,(VLOOKUP($C647,CATALOGOS!$F$2:$H$6,3,FALSE)),(VLOOKUP($V647,CATALOGOS!$J$2:$K$18,2,FALSE)),""-"",TO_TEXT($A647))"),"P13IR-0646")</f>
        <v>P13IR-0646</v>
      </c>
      <c r="I647" s="6"/>
      <c r="J647" s="6" t="s">
        <v>4481</v>
      </c>
      <c r="K647" s="6" t="s">
        <v>4482</v>
      </c>
      <c r="L647" s="72"/>
      <c r="M647" s="6" t="s">
        <v>4483</v>
      </c>
      <c r="N647" s="17"/>
      <c r="O647" s="17"/>
      <c r="P647" s="17" t="str">
        <f t="shared" si="3"/>
        <v>OK</v>
      </c>
      <c r="Q647" s="17" t="s">
        <v>297</v>
      </c>
      <c r="R647" s="6" t="s">
        <v>298</v>
      </c>
      <c r="S647" s="6" t="s">
        <v>4484</v>
      </c>
      <c r="T647" s="32" t="s">
        <v>85</v>
      </c>
      <c r="U647" s="173" t="s">
        <v>38</v>
      </c>
      <c r="V647" s="11" t="s">
        <v>2381</v>
      </c>
      <c r="W647" s="32" t="s">
        <v>4181</v>
      </c>
      <c r="X647" s="32" t="s">
        <v>4181</v>
      </c>
      <c r="Y647" s="32"/>
      <c r="Z647" s="6"/>
      <c r="AA647" s="6"/>
      <c r="AB647" s="73" t="s">
        <v>275</v>
      </c>
      <c r="AC647" s="42">
        <v>44403</v>
      </c>
      <c r="AD647" s="8">
        <v>0</v>
      </c>
    </row>
    <row r="648" spans="1:30" ht="15.75" customHeight="1">
      <c r="A648" s="10" t="s">
        <v>4485</v>
      </c>
      <c r="B648" s="10" t="s">
        <v>1469</v>
      </c>
      <c r="C648" s="52" t="s">
        <v>868</v>
      </c>
      <c r="D648" s="12"/>
      <c r="E648" s="13" t="s">
        <v>93</v>
      </c>
      <c r="F648" s="6" t="s">
        <v>4486</v>
      </c>
      <c r="G648" s="6" t="str">
        <f ca="1">IFERROR(__xludf.DUMMYFUNCTION("CONCATENATE(B648,(VLOOKUP(C648,CATALOGOS!$F$2:$H$6,3,FALSE)),(VLOOKUP(V648,CATALOGOS!$J$2:$K$18,2,FALSE)),""-"",TO_TEXT(A648))"),"P13IR-0647")</f>
        <v>P13IR-0647</v>
      </c>
      <c r="H648" s="6" t="str">
        <f ca="1">IFERROR(__xludf.DUMMYFUNCTION("CONCATENATE($B648,(VLOOKUP($C648,CATALOGOS!$F$2:$H$6,3,FALSE)),(VLOOKUP($V648,CATALOGOS!$J$2:$K$18,2,FALSE)),""-"",TO_TEXT($A648))"),"P13IR-0647")</f>
        <v>P13IR-0647</v>
      </c>
      <c r="I648" s="6"/>
      <c r="J648" s="6" t="s">
        <v>4487</v>
      </c>
      <c r="K648" s="6" t="s">
        <v>4488</v>
      </c>
      <c r="L648" s="6" t="s">
        <v>4489</v>
      </c>
      <c r="M648" s="6" t="s">
        <v>4490</v>
      </c>
      <c r="N648" s="17"/>
      <c r="O648" s="17"/>
      <c r="P648" s="17" t="str">
        <f t="shared" si="3"/>
        <v>OK</v>
      </c>
      <c r="Q648" s="17" t="s">
        <v>35</v>
      </c>
      <c r="R648" s="6" t="s">
        <v>35</v>
      </c>
      <c r="S648" s="17" t="s">
        <v>36</v>
      </c>
      <c r="T648" s="17" t="s">
        <v>4491</v>
      </c>
      <c r="U648" s="173" t="s">
        <v>38</v>
      </c>
      <c r="V648" s="11" t="s">
        <v>2381</v>
      </c>
      <c r="W648" s="22" t="s">
        <v>4492</v>
      </c>
      <c r="X648" s="22" t="s">
        <v>4492</v>
      </c>
      <c r="Y648" s="22"/>
      <c r="Z648" s="7"/>
      <c r="AA648" s="7"/>
      <c r="AB648" s="23"/>
      <c r="AC648" s="26"/>
    </row>
    <row r="649" spans="1:30" ht="15.75" customHeight="1">
      <c r="A649" s="10" t="s">
        <v>4493</v>
      </c>
      <c r="B649" s="10" t="s">
        <v>1469</v>
      </c>
      <c r="C649" s="52" t="s">
        <v>868</v>
      </c>
      <c r="D649" s="12"/>
      <c r="E649" s="13" t="s">
        <v>93</v>
      </c>
      <c r="F649" s="6" t="s">
        <v>4494</v>
      </c>
      <c r="G649" s="6" t="str">
        <f ca="1">IFERROR(__xludf.DUMMYFUNCTION("CONCATENATE(B649,(VLOOKUP(C649,CATALOGOS!$F$2:$H$6,3,FALSE)),(VLOOKUP(V649,CATALOGOS!$J$2:$K$18,2,FALSE)),""-"",TO_TEXT(A649))"),"P13IR-0648")</f>
        <v>P13IR-0648</v>
      </c>
      <c r="H649" s="6" t="str">
        <f ca="1">IFERROR(__xludf.DUMMYFUNCTION("CONCATENATE($B649,(VLOOKUP($C649,CATALOGOS!$F$2:$H$6,3,FALSE)),(VLOOKUP($V649,CATALOGOS!$J$2:$K$18,2,FALSE)),""-"",TO_TEXT($A649))"),"P13IR-0648")</f>
        <v>P13IR-0648</v>
      </c>
      <c r="I649" s="6"/>
      <c r="J649" s="6" t="s">
        <v>4495</v>
      </c>
      <c r="K649" s="6" t="s">
        <v>4496</v>
      </c>
      <c r="L649" s="6" t="s">
        <v>4497</v>
      </c>
      <c r="M649" s="6" t="s">
        <v>4498</v>
      </c>
      <c r="N649" s="17"/>
      <c r="O649" s="17"/>
      <c r="P649" s="17" t="str">
        <f t="shared" si="3"/>
        <v>OK</v>
      </c>
      <c r="Q649" s="17" t="s">
        <v>35</v>
      </c>
      <c r="R649" s="6" t="s">
        <v>35</v>
      </c>
      <c r="S649" s="17" t="s">
        <v>36</v>
      </c>
      <c r="T649" s="17" t="s">
        <v>4499</v>
      </c>
      <c r="U649" s="173" t="s">
        <v>38</v>
      </c>
      <c r="V649" s="11" t="s">
        <v>2381</v>
      </c>
      <c r="W649" s="22" t="s">
        <v>4492</v>
      </c>
      <c r="X649" s="22" t="s">
        <v>4492</v>
      </c>
      <c r="Y649" s="22"/>
      <c r="Z649" s="7"/>
      <c r="AA649" s="7"/>
      <c r="AB649" s="23"/>
      <c r="AC649" s="26"/>
    </row>
    <row r="650" spans="1:30" ht="15.75" customHeight="1">
      <c r="A650" s="10" t="s">
        <v>4500</v>
      </c>
      <c r="B650" s="10" t="s">
        <v>1469</v>
      </c>
      <c r="C650" s="52" t="s">
        <v>868</v>
      </c>
      <c r="D650" s="12"/>
      <c r="E650" s="13" t="s">
        <v>29</v>
      </c>
      <c r="F650" s="6" t="s">
        <v>1166</v>
      </c>
      <c r="G650" s="6" t="str">
        <f ca="1">IFERROR(__xludf.DUMMYFUNCTION("CONCATENATE(B650,(VLOOKUP(C650,CATALOGOS!$F$2:$H$6,3,FALSE)),(VLOOKUP(V650,CATALOGOS!$J$2:$K$18,2,FALSE)),""-"",TO_TEXT(A650))"),"P13IR-0649")</f>
        <v>P13IR-0649</v>
      </c>
      <c r="H650" s="6" t="str">
        <f ca="1">IFERROR(__xludf.DUMMYFUNCTION("CONCATENATE($B650,(VLOOKUP($C650,CATALOGOS!$F$2:$H$6,3,FALSE)),(VLOOKUP($V650,CATALOGOS!$J$2:$K$18,2,FALSE)),""-"",TO_TEXT($A650))"),"P13IR-0649")</f>
        <v>P13IR-0649</v>
      </c>
      <c r="I650" s="6"/>
      <c r="J650" s="6" t="s">
        <v>4501</v>
      </c>
      <c r="K650" s="54"/>
      <c r="L650" s="6" t="s">
        <v>4502</v>
      </c>
      <c r="M650" s="6" t="s">
        <v>4503</v>
      </c>
      <c r="N650" s="17"/>
      <c r="O650" s="17"/>
      <c r="P650" s="17" t="str">
        <f t="shared" si="3"/>
        <v>OK</v>
      </c>
      <c r="Q650" s="17" t="s">
        <v>35</v>
      </c>
      <c r="R650" s="6" t="s">
        <v>35</v>
      </c>
      <c r="S650" s="17" t="s">
        <v>36</v>
      </c>
      <c r="T650" s="17" t="s">
        <v>4504</v>
      </c>
      <c r="U650" s="173" t="s">
        <v>38</v>
      </c>
      <c r="V650" s="11" t="s">
        <v>2381</v>
      </c>
      <c r="W650" s="22" t="s">
        <v>4492</v>
      </c>
      <c r="X650" s="22" t="s">
        <v>4492</v>
      </c>
      <c r="Y650" s="22"/>
      <c r="Z650" s="7"/>
      <c r="AA650" s="7"/>
      <c r="AB650" s="23"/>
      <c r="AC650" s="26"/>
    </row>
    <row r="651" spans="1:30" ht="15.75" customHeight="1">
      <c r="A651" s="10" t="s">
        <v>4505</v>
      </c>
      <c r="B651" s="10" t="s">
        <v>1469</v>
      </c>
      <c r="C651" s="52" t="s">
        <v>868</v>
      </c>
      <c r="D651" s="12"/>
      <c r="E651" s="13" t="s">
        <v>116</v>
      </c>
      <c r="F651" s="6" t="s">
        <v>4506</v>
      </c>
      <c r="G651" s="6" t="str">
        <f ca="1">IFERROR(__xludf.DUMMYFUNCTION("CONCATENATE(B651,(VLOOKUP(C651,CATALOGOS!$F$2:$H$6,3,FALSE)),(VLOOKUP(V651,CATALOGOS!$J$2:$K$18,2,FALSE)),""-"",TO_TEXT(A651))"),"P13IR-0650")</f>
        <v>P13IR-0650</v>
      </c>
      <c r="H651" s="6" t="str">
        <f ca="1">IFERROR(__xludf.DUMMYFUNCTION("CONCATENATE($B651,(VLOOKUP($C651,CATALOGOS!$F$2:$H$6,3,FALSE)),(VLOOKUP($V651,CATALOGOS!$J$2:$K$18,2,FALSE)),""-"",TO_TEXT($A651))"),"P13IR-0650")</f>
        <v>P13IR-0650</v>
      </c>
      <c r="I651" s="6"/>
      <c r="J651" s="6" t="s">
        <v>4507</v>
      </c>
      <c r="K651" s="6" t="s">
        <v>4508</v>
      </c>
      <c r="L651" s="6" t="s">
        <v>4509</v>
      </c>
      <c r="M651" s="6" t="s">
        <v>4510</v>
      </c>
      <c r="N651" s="17"/>
      <c r="O651" s="17"/>
      <c r="P651" s="17" t="str">
        <f t="shared" si="3"/>
        <v>OK</v>
      </c>
      <c r="Q651" s="17" t="s">
        <v>35</v>
      </c>
      <c r="R651" s="49" t="s">
        <v>35</v>
      </c>
      <c r="S651" s="17" t="s">
        <v>36</v>
      </c>
      <c r="T651" s="17" t="s">
        <v>4511</v>
      </c>
      <c r="U651" s="173" t="s">
        <v>38</v>
      </c>
      <c r="V651" s="11" t="s">
        <v>2381</v>
      </c>
      <c r="W651" s="22" t="s">
        <v>4492</v>
      </c>
      <c r="X651" s="22" t="s">
        <v>4492</v>
      </c>
      <c r="Y651" s="22"/>
      <c r="Z651" s="7"/>
      <c r="AA651" s="7"/>
      <c r="AB651" s="23"/>
      <c r="AC651" s="26"/>
    </row>
    <row r="652" spans="1:30" ht="15.75" customHeight="1">
      <c r="A652" s="10" t="s">
        <v>4512</v>
      </c>
      <c r="B652" s="10" t="s">
        <v>1469</v>
      </c>
      <c r="C652" s="52" t="s">
        <v>868</v>
      </c>
      <c r="D652" s="12"/>
      <c r="E652" s="13" t="s">
        <v>378</v>
      </c>
      <c r="F652" s="6" t="s">
        <v>2040</v>
      </c>
      <c r="G652" s="6" t="str">
        <f ca="1">IFERROR(__xludf.DUMMYFUNCTION("CONCATENATE(B652,(VLOOKUP(C652,CATALOGOS!$F$2:$H$6,3,FALSE)),(VLOOKUP(V652,CATALOGOS!$J$2:$K$18,2,FALSE)),""-"",TO_TEXT(A652))"),"P13IR-0651")</f>
        <v>P13IR-0651</v>
      </c>
      <c r="H652" s="6" t="str">
        <f ca="1">IFERROR(__xludf.DUMMYFUNCTION("CONCATENATE($B652,(VLOOKUP($C652,CATALOGOS!$F$2:$H$6,3,FALSE)),(VLOOKUP($V652,CATALOGOS!$J$2:$K$18,2,FALSE)),""-"",TO_TEXT($A652))"),"P13IR-0651")</f>
        <v>P13IR-0651</v>
      </c>
      <c r="I652" s="6"/>
      <c r="J652" s="6" t="s">
        <v>4513</v>
      </c>
      <c r="K652" s="6" t="s">
        <v>4514</v>
      </c>
      <c r="L652" s="6" t="s">
        <v>4515</v>
      </c>
      <c r="M652" s="6" t="s">
        <v>4516</v>
      </c>
      <c r="N652" s="17"/>
      <c r="O652" s="17"/>
      <c r="P652" s="17" t="str">
        <f t="shared" si="3"/>
        <v>OK</v>
      </c>
      <c r="Q652" s="17" t="s">
        <v>35</v>
      </c>
      <c r="R652" s="6" t="s">
        <v>35</v>
      </c>
      <c r="S652" s="17" t="s">
        <v>36</v>
      </c>
      <c r="T652" s="17" t="s">
        <v>4517</v>
      </c>
      <c r="U652" s="173" t="s">
        <v>38</v>
      </c>
      <c r="V652" s="11" t="s">
        <v>2381</v>
      </c>
      <c r="W652" s="22" t="s">
        <v>4492</v>
      </c>
      <c r="X652" s="22" t="s">
        <v>4492</v>
      </c>
      <c r="Y652" s="22"/>
      <c r="Z652" s="7"/>
      <c r="AA652" s="7"/>
      <c r="AB652" s="23"/>
      <c r="AC652" s="26"/>
    </row>
    <row r="653" spans="1:30" ht="15.75" customHeight="1">
      <c r="A653" s="10" t="s">
        <v>4518</v>
      </c>
      <c r="B653" s="10" t="s">
        <v>1469</v>
      </c>
      <c r="C653" s="52" t="s">
        <v>868</v>
      </c>
      <c r="D653" s="12"/>
      <c r="E653" s="13" t="s">
        <v>1240</v>
      </c>
      <c r="F653" s="43" t="s">
        <v>278</v>
      </c>
      <c r="G653" s="6" t="str">
        <f ca="1">IFERROR(__xludf.DUMMYFUNCTION("CONCATENATE(B653,(VLOOKUP(C653,CATALOGOS!$F$2:$H$6,3,FALSE)),(VLOOKUP(V653,CATALOGOS!$J$2:$K$18,2,FALSE)),""-"",TO_TEXT(A653))"),"P13IR-0652")</f>
        <v>P13IR-0652</v>
      </c>
      <c r="H653" s="6" t="str">
        <f ca="1">IFERROR(__xludf.DUMMYFUNCTION("CONCATENATE($B653,(VLOOKUP($C653,CATALOGOS!$F$2:$H$6,3,FALSE)),(VLOOKUP($V653,CATALOGOS!$J$2:$K$18,2,FALSE)),""-"",TO_TEXT($A653))"),"P13IR-0652")</f>
        <v>P13IR-0652</v>
      </c>
      <c r="I653" s="6"/>
      <c r="J653" s="6" t="s">
        <v>4519</v>
      </c>
      <c r="K653" s="6" t="s">
        <v>4520</v>
      </c>
      <c r="L653" s="6" t="s">
        <v>4521</v>
      </c>
      <c r="M653" s="6" t="s">
        <v>4522</v>
      </c>
      <c r="N653" s="17"/>
      <c r="O653" s="17"/>
      <c r="P653" s="17" t="str">
        <f t="shared" si="3"/>
        <v>OK</v>
      </c>
      <c r="Q653" s="17" t="s">
        <v>35</v>
      </c>
      <c r="R653" s="6" t="s">
        <v>35</v>
      </c>
      <c r="S653" s="17" t="s">
        <v>36</v>
      </c>
      <c r="T653" s="17" t="s">
        <v>4523</v>
      </c>
      <c r="U653" s="173" t="s">
        <v>38</v>
      </c>
      <c r="V653" s="11" t="s">
        <v>2381</v>
      </c>
      <c r="W653" s="22" t="s">
        <v>4492</v>
      </c>
      <c r="X653" s="22" t="s">
        <v>4492</v>
      </c>
      <c r="Y653" s="22"/>
      <c r="Z653" s="7"/>
      <c r="AA653" s="7"/>
      <c r="AB653" s="23"/>
      <c r="AC653" s="26"/>
    </row>
    <row r="654" spans="1:30" ht="15.75" customHeight="1">
      <c r="A654" s="10" t="s">
        <v>4524</v>
      </c>
      <c r="B654" s="10" t="s">
        <v>1469</v>
      </c>
      <c r="C654" s="52" t="s">
        <v>868</v>
      </c>
      <c r="D654" s="12"/>
      <c r="E654" s="13" t="s">
        <v>248</v>
      </c>
      <c r="F654" s="43" t="s">
        <v>248</v>
      </c>
      <c r="G654" s="6" t="str">
        <f ca="1">IFERROR(__xludf.DUMMYFUNCTION("CONCATENATE(B654,(VLOOKUP(C654,CATALOGOS!$F$2:$H$6,3,FALSE)),(VLOOKUP(V654,CATALOGOS!$J$2:$K$18,2,FALSE)),""-"",TO_TEXT(A654))"),"P13IR-0653")</f>
        <v>P13IR-0653</v>
      </c>
      <c r="H654" s="6" t="str">
        <f ca="1">IFERROR(__xludf.DUMMYFUNCTION("CONCATENATE($B654,(VLOOKUP($C654,CATALOGOS!$F$2:$H$6,3,FALSE)),(VLOOKUP($V654,CATALOGOS!$J$2:$K$18,2,FALSE)),""-"",TO_TEXT($A654))"),"P13IR-0653")</f>
        <v>P13IR-0653</v>
      </c>
      <c r="I654" s="6"/>
      <c r="J654" s="6" t="s">
        <v>4525</v>
      </c>
      <c r="K654" s="6" t="s">
        <v>4526</v>
      </c>
      <c r="L654" s="6" t="s">
        <v>4527</v>
      </c>
      <c r="M654" s="6" t="s">
        <v>4528</v>
      </c>
      <c r="N654" s="17"/>
      <c r="O654" s="17"/>
      <c r="P654" s="17" t="str">
        <f t="shared" si="3"/>
        <v>OK</v>
      </c>
      <c r="Q654" s="17" t="s">
        <v>978</v>
      </c>
      <c r="R654" s="6" t="s">
        <v>979</v>
      </c>
      <c r="S654" s="17" t="s">
        <v>4529</v>
      </c>
      <c r="T654" s="17" t="s">
        <v>4530</v>
      </c>
      <c r="U654" s="173" t="s">
        <v>38</v>
      </c>
      <c r="V654" s="11" t="s">
        <v>2381</v>
      </c>
      <c r="W654" s="22" t="s">
        <v>4492</v>
      </c>
      <c r="X654" s="22" t="s">
        <v>4492</v>
      </c>
      <c r="Y654" s="22"/>
      <c r="Z654" s="7"/>
      <c r="AA654" s="7"/>
      <c r="AB654" s="23"/>
      <c r="AC654" s="26"/>
    </row>
    <row r="655" spans="1:30" ht="15.75" customHeight="1">
      <c r="A655" s="10" t="s">
        <v>4531</v>
      </c>
      <c r="B655" s="10" t="s">
        <v>1469</v>
      </c>
      <c r="C655" s="52" t="s">
        <v>868</v>
      </c>
      <c r="D655" s="12"/>
      <c r="E655" s="13" t="s">
        <v>199</v>
      </c>
      <c r="F655" s="6" t="s">
        <v>199</v>
      </c>
      <c r="G655" s="6" t="str">
        <f ca="1">IFERROR(__xludf.DUMMYFUNCTION("CONCATENATE(B655,(VLOOKUP(C655,CATALOGOS!$F$2:$H$6,3,FALSE)),(VLOOKUP(V655,CATALOGOS!$J$2:$K$18,2,FALSE)),""-"",TO_TEXT(A655))"),"P13IR-0654")</f>
        <v>P13IR-0654</v>
      </c>
      <c r="H655" s="6" t="str">
        <f ca="1">IFERROR(__xludf.DUMMYFUNCTION("CONCATENATE($B655,(VLOOKUP($C655,CATALOGOS!$F$2:$H$6,3,FALSE)),(VLOOKUP($V655,CATALOGOS!$J$2:$K$18,2,FALSE)),""-"",TO_TEXT($A655))"),"P13IR-0654")</f>
        <v>P13IR-0654</v>
      </c>
      <c r="I655" s="6"/>
      <c r="J655" s="6" t="s">
        <v>4532</v>
      </c>
      <c r="K655" s="6" t="s">
        <v>4533</v>
      </c>
      <c r="L655" s="37"/>
      <c r="M655" s="6" t="s">
        <v>4534</v>
      </c>
      <c r="N655" s="17"/>
      <c r="O655" s="17"/>
      <c r="P655" s="17" t="str">
        <f t="shared" si="3"/>
        <v>OK</v>
      </c>
      <c r="Q655" s="17" t="s">
        <v>273</v>
      </c>
      <c r="R655" s="6" t="s">
        <v>274</v>
      </c>
      <c r="S655" s="6">
        <v>11392903012339</v>
      </c>
      <c r="T655" s="10" t="s">
        <v>85</v>
      </c>
      <c r="U655" s="173" t="s">
        <v>38</v>
      </c>
      <c r="V655" s="11" t="s">
        <v>2381</v>
      </c>
      <c r="W655" s="22" t="s">
        <v>4492</v>
      </c>
      <c r="X655" s="22" t="s">
        <v>4492</v>
      </c>
      <c r="Y655" s="22"/>
      <c r="Z655" s="6"/>
      <c r="AA655" s="6"/>
      <c r="AB655" s="41" t="s">
        <v>92</v>
      </c>
      <c r="AC655" s="42">
        <v>44348</v>
      </c>
      <c r="AD655" s="8" t="s">
        <v>276</v>
      </c>
    </row>
    <row r="656" spans="1:30" ht="15.75" customHeight="1">
      <c r="A656" s="10" t="s">
        <v>4535</v>
      </c>
      <c r="B656" s="10" t="s">
        <v>1469</v>
      </c>
      <c r="C656" s="52" t="s">
        <v>868</v>
      </c>
      <c r="D656" s="12"/>
      <c r="E656" s="13" t="s">
        <v>151</v>
      </c>
      <c r="F656" s="6" t="s">
        <v>4113</v>
      </c>
      <c r="G656" s="6" t="str">
        <f ca="1">IFERROR(__xludf.DUMMYFUNCTION("CONCATENATE(B656,(VLOOKUP(C656,CATALOGOS!$F$2:$H$6,3,FALSE)),(VLOOKUP(V656,CATALOGOS!$J$2:$K$18,2,FALSE)),""-"",TO_TEXT(A656))"),"P13IR-0655")</f>
        <v>P13IR-0655</v>
      </c>
      <c r="H656" s="6" t="str">
        <f ca="1">IFERROR(__xludf.DUMMYFUNCTION("CONCATENATE($B656,(VLOOKUP($C656,CATALOGOS!$F$2:$H$6,3,FALSE)),(VLOOKUP($V656,CATALOGOS!$J$2:$K$18,2,FALSE)),""-"",TO_TEXT($A656))"),"P13IR-0655")</f>
        <v>P13IR-0655</v>
      </c>
      <c r="I656" s="6"/>
      <c r="J656" s="6" t="s">
        <v>4536</v>
      </c>
      <c r="K656" s="6" t="s">
        <v>4537</v>
      </c>
      <c r="L656" s="37"/>
      <c r="M656" s="6" t="s">
        <v>4538</v>
      </c>
      <c r="N656" s="17"/>
      <c r="O656" s="17"/>
      <c r="P656" s="17" t="str">
        <f t="shared" si="3"/>
        <v>OK</v>
      </c>
      <c r="Q656" s="17" t="s">
        <v>297</v>
      </c>
      <c r="R656" s="6" t="s">
        <v>298</v>
      </c>
      <c r="S656" s="6" t="s">
        <v>4539</v>
      </c>
      <c r="T656" s="10" t="s">
        <v>85</v>
      </c>
      <c r="U656" s="173" t="s">
        <v>38</v>
      </c>
      <c r="V656" s="11" t="s">
        <v>2381</v>
      </c>
      <c r="W656" s="22" t="s">
        <v>4492</v>
      </c>
      <c r="X656" s="22" t="s">
        <v>4492</v>
      </c>
      <c r="Y656" s="22"/>
      <c r="Z656" s="6"/>
      <c r="AA656" s="6"/>
      <c r="AB656" s="41" t="s">
        <v>92</v>
      </c>
      <c r="AC656" s="42">
        <v>44348</v>
      </c>
      <c r="AD656" s="8">
        <v>0</v>
      </c>
    </row>
    <row r="657" spans="1:29" ht="15.75" customHeight="1">
      <c r="A657" s="10" t="s">
        <v>4540</v>
      </c>
      <c r="B657" s="10" t="s">
        <v>1469</v>
      </c>
      <c r="C657" s="52" t="s">
        <v>868</v>
      </c>
      <c r="D657" s="38"/>
      <c r="E657" s="13" t="s">
        <v>151</v>
      </c>
      <c r="F657" s="6" t="s">
        <v>714</v>
      </c>
      <c r="G657" s="15" t="str">
        <f ca="1">IFERROR(__xludf.DUMMYFUNCTION("CONCATENATE(B657,(VLOOKUP(C657,CATALOGOS!$F$2:$H$6,3,FALSE)),(VLOOKUP(V657,CATALOGOS!$J$2:$K$18,2,FALSE)),""-"",TO_TEXT(A657))"),"P13IR-0656")</f>
        <v>P13IR-0656</v>
      </c>
      <c r="H657" s="6" t="str">
        <f ca="1">IFERROR(__xludf.DUMMYFUNCTION("CONCATENATE($B657,(VLOOKUP($C657,CATALOGOS!$F$2:$H$6,3,FALSE)),(VLOOKUP($V657,CATALOGOS!$J$2:$K$18,2,FALSE)),""-"",TO_TEXT($A657))"),"P13IR-0656")</f>
        <v>P13IR-0656</v>
      </c>
      <c r="I657" s="6"/>
      <c r="J657" s="6" t="s">
        <v>4541</v>
      </c>
      <c r="K657" s="6" t="s">
        <v>4542</v>
      </c>
      <c r="L657" s="6" t="s">
        <v>4543</v>
      </c>
      <c r="M657" s="6" t="s">
        <v>4544</v>
      </c>
      <c r="N657" s="17"/>
      <c r="O657" s="17"/>
      <c r="P657" s="17" t="str">
        <f t="shared" si="3"/>
        <v>OK</v>
      </c>
      <c r="Q657" s="17" t="s">
        <v>1220</v>
      </c>
      <c r="R657" s="6" t="s">
        <v>720</v>
      </c>
      <c r="S657" s="46" t="s">
        <v>36</v>
      </c>
      <c r="T657" s="17" t="s">
        <v>4545</v>
      </c>
      <c r="U657" s="173" t="s">
        <v>38</v>
      </c>
      <c r="V657" s="11" t="s">
        <v>2381</v>
      </c>
      <c r="W657" s="32" t="s">
        <v>3840</v>
      </c>
      <c r="X657" s="32" t="s">
        <v>3840</v>
      </c>
      <c r="Y657" s="32"/>
      <c r="Z657" s="6"/>
      <c r="AA657" s="6"/>
      <c r="AB657" s="26"/>
      <c r="AC657" s="33"/>
    </row>
    <row r="658" spans="1:29" ht="15.75" customHeight="1">
      <c r="A658" s="10" t="s">
        <v>4546</v>
      </c>
      <c r="B658" s="10" t="s">
        <v>1469</v>
      </c>
      <c r="C658" s="52" t="s">
        <v>868</v>
      </c>
      <c r="D658" s="38"/>
      <c r="E658" s="13" t="s">
        <v>378</v>
      </c>
      <c r="F658" s="6" t="s">
        <v>379</v>
      </c>
      <c r="G658" s="6" t="str">
        <f ca="1">IFERROR(__xludf.DUMMYFUNCTION("CONCATENATE(B658,(VLOOKUP(C658,CATALOGOS!$F$2:$H$6,3,FALSE)),(VLOOKUP(V658,CATALOGOS!$J$2:$K$18,2,FALSE)),""-"",TO_TEXT(A658))"),"P13IR-0657")</f>
        <v>P13IR-0657</v>
      </c>
      <c r="H658" s="6" t="str">
        <f ca="1">IFERROR(__xludf.DUMMYFUNCTION("CONCATENATE($B658,(VLOOKUP($C658,CATALOGOS!$F$2:$H$6,3,FALSE)),(VLOOKUP($V658,CATALOGOS!$J$2:$K$18,2,FALSE)),""-"",TO_TEXT($A658))"),"P13IR-0657")</f>
        <v>P13IR-0657</v>
      </c>
      <c r="I658" s="6"/>
      <c r="J658" s="6" t="s">
        <v>4547</v>
      </c>
      <c r="K658" s="6" t="s">
        <v>4548</v>
      </c>
      <c r="L658" s="6" t="s">
        <v>4549</v>
      </c>
      <c r="M658" s="43" t="s">
        <v>4550</v>
      </c>
      <c r="N658" s="17"/>
      <c r="O658" s="17"/>
      <c r="P658" s="17" t="str">
        <f t="shared" si="3"/>
        <v>OK</v>
      </c>
      <c r="Q658" s="17" t="s">
        <v>35</v>
      </c>
      <c r="R658" s="6" t="s">
        <v>35</v>
      </c>
      <c r="S658" s="46" t="s">
        <v>36</v>
      </c>
      <c r="T658" s="17" t="s">
        <v>4551</v>
      </c>
      <c r="U658" s="173" t="s">
        <v>38</v>
      </c>
      <c r="V658" s="11" t="s">
        <v>2381</v>
      </c>
      <c r="W658" s="32" t="s">
        <v>3840</v>
      </c>
      <c r="X658" s="32" t="s">
        <v>3840</v>
      </c>
      <c r="Y658" s="32"/>
      <c r="Z658" s="36"/>
      <c r="AA658" s="36"/>
      <c r="AB658" s="26"/>
      <c r="AC658" s="33"/>
    </row>
    <row r="659" spans="1:29" ht="15.75" customHeight="1">
      <c r="A659" s="10" t="s">
        <v>4552</v>
      </c>
      <c r="B659" s="10" t="s">
        <v>1469</v>
      </c>
      <c r="C659" s="52" t="s">
        <v>868</v>
      </c>
      <c r="D659" s="38"/>
      <c r="E659" s="13" t="s">
        <v>378</v>
      </c>
      <c r="F659" s="6" t="s">
        <v>4553</v>
      </c>
      <c r="G659" s="6" t="str">
        <f ca="1">IFERROR(__xludf.DUMMYFUNCTION("CONCATENATE(B659,(VLOOKUP(C659,CATALOGOS!$F$2:$H$6,3,FALSE)),(VLOOKUP(V659,CATALOGOS!$J$2:$K$18,2,FALSE)),""-"",TO_TEXT(A659))"),"P13IR-0658")</f>
        <v>P13IR-0658</v>
      </c>
      <c r="H659" s="6" t="str">
        <f ca="1">IFERROR(__xludf.DUMMYFUNCTION("CONCATENATE($B659,(VLOOKUP($C659,CATALOGOS!$F$2:$H$6,3,FALSE)),(VLOOKUP($V659,CATALOGOS!$J$2:$K$18,2,FALSE)),""-"",TO_TEXT($A659))"),"P13IR-0658")</f>
        <v>P13IR-0658</v>
      </c>
      <c r="I659" s="6"/>
      <c r="J659" s="6" t="s">
        <v>4554</v>
      </c>
      <c r="K659" s="6" t="s">
        <v>4555</v>
      </c>
      <c r="L659" s="6" t="s">
        <v>4556</v>
      </c>
      <c r="M659" s="43" t="s">
        <v>4557</v>
      </c>
      <c r="N659" s="17"/>
      <c r="O659" s="17"/>
      <c r="P659" s="17" t="str">
        <f t="shared" si="3"/>
        <v>OK</v>
      </c>
      <c r="Q659" s="35" t="s">
        <v>35</v>
      </c>
      <c r="R659" s="6" t="s">
        <v>35</v>
      </c>
      <c r="S659" s="46" t="s">
        <v>36</v>
      </c>
      <c r="T659" s="17" t="s">
        <v>4558</v>
      </c>
      <c r="U659" s="173" t="s">
        <v>38</v>
      </c>
      <c r="V659" s="11" t="s">
        <v>2381</v>
      </c>
      <c r="W659" s="32" t="s">
        <v>4492</v>
      </c>
      <c r="X659" s="32" t="s">
        <v>4492</v>
      </c>
      <c r="Y659" s="32"/>
      <c r="Z659" s="36"/>
      <c r="AA659" s="36"/>
      <c r="AB659" s="26"/>
      <c r="AC659" s="33"/>
    </row>
    <row r="660" spans="1:29" ht="15.75" customHeight="1">
      <c r="A660" s="10" t="s">
        <v>4559</v>
      </c>
      <c r="B660" s="10" t="s">
        <v>1469</v>
      </c>
      <c r="C660" s="52" t="s">
        <v>868</v>
      </c>
      <c r="D660" s="38"/>
      <c r="E660" s="13" t="s">
        <v>184</v>
      </c>
      <c r="F660" s="6" t="s">
        <v>4560</v>
      </c>
      <c r="G660" s="6" t="str">
        <f ca="1">IFERROR(__xludf.DUMMYFUNCTION("CONCATENATE(B660,(VLOOKUP(C660,CATALOGOS!$F$2:$H$6,3,FALSE)),(VLOOKUP(V660,CATALOGOS!$J$2:$K$18,2,FALSE)),""-"",TO_TEXT(A660))"),"P13SO-0659")</f>
        <v>P13SO-0659</v>
      </c>
      <c r="H660" s="6" t="str">
        <f ca="1">IFERROR(__xludf.DUMMYFUNCTION("CONCATENATE($B660,(VLOOKUP($C660,CATALOGOS!$F$2:$H$6,3,FALSE)),(VLOOKUP($V660,CATALOGOS!$J$2:$K$18,2,FALSE)),""-"",TO_TEXT($A660))"),"P13SO-0659")</f>
        <v>P13SO-0659</v>
      </c>
      <c r="I660" s="6"/>
      <c r="J660" s="6" t="s">
        <v>4561</v>
      </c>
      <c r="K660" s="6" t="s">
        <v>4562</v>
      </c>
      <c r="L660" s="6" t="s">
        <v>4563</v>
      </c>
      <c r="M660" s="6" t="s">
        <v>4564</v>
      </c>
      <c r="N660" s="17"/>
      <c r="O660" s="17"/>
      <c r="P660" s="17" t="str">
        <f t="shared" si="3"/>
        <v>OK</v>
      </c>
      <c r="Q660" s="35" t="s">
        <v>35</v>
      </c>
      <c r="R660" s="6" t="s">
        <v>35</v>
      </c>
      <c r="S660" s="46" t="s">
        <v>36</v>
      </c>
      <c r="T660" s="17" t="s">
        <v>4565</v>
      </c>
      <c r="U660" s="173" t="s">
        <v>38</v>
      </c>
      <c r="V660" s="11" t="s">
        <v>868</v>
      </c>
      <c r="W660" s="6" t="s">
        <v>3450</v>
      </c>
      <c r="X660" s="6" t="s">
        <v>4202</v>
      </c>
      <c r="Y660" s="6"/>
      <c r="Z660" s="6"/>
      <c r="AA660" s="6" t="s">
        <v>4203</v>
      </c>
      <c r="AB660" s="26"/>
      <c r="AC660" s="33"/>
    </row>
    <row r="661" spans="1:29" ht="15.75" customHeight="1">
      <c r="A661" s="10" t="s">
        <v>4566</v>
      </c>
      <c r="B661" s="10" t="s">
        <v>27</v>
      </c>
      <c r="C661" s="52" t="s">
        <v>868</v>
      </c>
      <c r="D661" s="12"/>
      <c r="E661" s="13" t="s">
        <v>62</v>
      </c>
      <c r="F661" s="6" t="s">
        <v>4567</v>
      </c>
      <c r="G661" s="15" t="str">
        <f ca="1">IFERROR(__xludf.DUMMYFUNCTION("CONCATENATE(B661,(VLOOKUP(C661,CATALOGOS!$F$2:$H$6,3,FALSE)),(VLOOKUP(V661,CATALOGOS!$J$2:$K$18,2,FALSE)),""-"",TO_TEXT(A661))"),"P03CV-0660")</f>
        <v>P03CV-0660</v>
      </c>
      <c r="H661" s="6" t="str">
        <f ca="1">IFERROR(__xludf.DUMMYFUNCTION("CONCATENATE($B661,(VLOOKUP($C661,CATALOGOS!$F$2:$H$6,3,FALSE)),(VLOOKUP($V661,CATALOGOS!$J$2:$K$18,2,FALSE)),""-"",TO_TEXT($A661))"),"P03CV-0660")</f>
        <v>P03CV-0660</v>
      </c>
      <c r="I661" s="6"/>
      <c r="J661" s="6" t="s">
        <v>4568</v>
      </c>
      <c r="K661" s="6" t="s">
        <v>4569</v>
      </c>
      <c r="L661" s="6" t="s">
        <v>4570</v>
      </c>
      <c r="M661" s="6" t="s">
        <v>4571</v>
      </c>
      <c r="N661" s="17"/>
      <c r="O661" s="17"/>
      <c r="P661" s="17" t="str">
        <f t="shared" si="3"/>
        <v>OK</v>
      </c>
      <c r="Q661" s="17" t="s">
        <v>35</v>
      </c>
      <c r="R661" s="6" t="s">
        <v>35</v>
      </c>
      <c r="S661" s="17" t="s">
        <v>36</v>
      </c>
      <c r="T661" s="17" t="s">
        <v>7831</v>
      </c>
      <c r="U661" s="173" t="s">
        <v>38</v>
      </c>
      <c r="V661" s="11" t="s">
        <v>875</v>
      </c>
      <c r="W661" s="186" t="s">
        <v>4573</v>
      </c>
      <c r="X661" s="20" t="s">
        <v>4574</v>
      </c>
      <c r="Y661" s="20"/>
      <c r="Z661" s="36"/>
      <c r="AA661" s="36"/>
      <c r="AB661" s="23"/>
      <c r="AC661" s="33"/>
    </row>
    <row r="662" spans="1:29" ht="15.75" customHeight="1">
      <c r="A662" s="10" t="s">
        <v>4575</v>
      </c>
      <c r="B662" s="10" t="s">
        <v>27</v>
      </c>
      <c r="C662" s="52" t="s">
        <v>868</v>
      </c>
      <c r="D662" s="12"/>
      <c r="E662" s="13" t="s">
        <v>62</v>
      </c>
      <c r="F662" s="6" t="s">
        <v>4576</v>
      </c>
      <c r="G662" s="15" t="str">
        <f ca="1">IFERROR(__xludf.DUMMYFUNCTION("CONCATENATE(B662,(VLOOKUP(C662,CATALOGOS!$F$2:$H$6,3,FALSE)),(VLOOKUP(V662,CATALOGOS!$J$2:$K$18,2,FALSE)),""-"",TO_TEXT(A662))"),"P03CV-0661")</f>
        <v>P03CV-0661</v>
      </c>
      <c r="H662" s="6" t="str">
        <f ca="1">IFERROR(__xludf.DUMMYFUNCTION("CONCATENATE($B662,(VLOOKUP($C662,CATALOGOS!$F$2:$H$6,3,FALSE)),(VLOOKUP($V662,CATALOGOS!$J$2:$K$18,2,FALSE)),""-"",TO_TEXT($A662))"),"P03CV-0661")</f>
        <v>P03CV-0661</v>
      </c>
      <c r="I662" s="6"/>
      <c r="J662" s="6" t="s">
        <v>4577</v>
      </c>
      <c r="K662" s="6" t="s">
        <v>4578</v>
      </c>
      <c r="L662" s="6" t="s">
        <v>4579</v>
      </c>
      <c r="M662" s="6" t="s">
        <v>4580</v>
      </c>
      <c r="N662" s="17"/>
      <c r="O662" s="17"/>
      <c r="P662" s="17" t="str">
        <f t="shared" si="3"/>
        <v>OK</v>
      </c>
      <c r="Q662" s="17" t="s">
        <v>35</v>
      </c>
      <c r="R662" s="6" t="s">
        <v>35</v>
      </c>
      <c r="S662" s="17" t="s">
        <v>36</v>
      </c>
      <c r="T662" s="17" t="s">
        <v>8203</v>
      </c>
      <c r="U662" s="179" t="s">
        <v>100</v>
      </c>
      <c r="V662" s="11" t="s">
        <v>875</v>
      </c>
      <c r="W662" s="186" t="s">
        <v>4573</v>
      </c>
      <c r="X662" s="20" t="s">
        <v>4574</v>
      </c>
      <c r="Y662" s="20"/>
      <c r="Z662" s="36"/>
      <c r="AA662" s="36"/>
      <c r="AB662" s="23"/>
      <c r="AC662" s="33"/>
    </row>
    <row r="663" spans="1:29" ht="15.75" customHeight="1">
      <c r="A663" s="10" t="s">
        <v>4582</v>
      </c>
      <c r="B663" s="10" t="s">
        <v>27</v>
      </c>
      <c r="C663" s="52" t="s">
        <v>868</v>
      </c>
      <c r="D663" s="12"/>
      <c r="E663" s="13" t="s">
        <v>62</v>
      </c>
      <c r="F663" s="6" t="s">
        <v>4583</v>
      </c>
      <c r="G663" s="15" t="str">
        <f ca="1">IFERROR(__xludf.DUMMYFUNCTION("CONCATENATE(B663,(VLOOKUP(C663,CATALOGOS!$F$2:$H$6,3,FALSE)),(VLOOKUP(V663,CATALOGOS!$J$2:$K$18,2,FALSE)),""-"",TO_TEXT(A663))"),"P03CV-0662")</f>
        <v>P03CV-0662</v>
      </c>
      <c r="H663" s="6" t="str">
        <f ca="1">IFERROR(__xludf.DUMMYFUNCTION("CONCATENATE($B663,(VLOOKUP($C663,CATALOGOS!$F$2:$H$6,3,FALSE)),(VLOOKUP($V663,CATALOGOS!$J$2:$K$18,2,FALSE)),""-"",TO_TEXT($A663))"),"P03CV-0662")</f>
        <v>P03CV-0662</v>
      </c>
      <c r="I663" s="6"/>
      <c r="J663" s="6" t="s">
        <v>4584</v>
      </c>
      <c r="K663" s="6" t="s">
        <v>4585</v>
      </c>
      <c r="L663" s="6" t="s">
        <v>4586</v>
      </c>
      <c r="M663" s="6" t="s">
        <v>4587</v>
      </c>
      <c r="N663" s="17"/>
      <c r="O663" s="17"/>
      <c r="P663" s="17" t="str">
        <f t="shared" si="3"/>
        <v>OK</v>
      </c>
      <c r="Q663" s="17" t="s">
        <v>35</v>
      </c>
      <c r="R663" s="6" t="s">
        <v>35</v>
      </c>
      <c r="S663" s="17" t="s">
        <v>36</v>
      </c>
      <c r="T663" s="17" t="s">
        <v>4588</v>
      </c>
      <c r="U663" s="173" t="s">
        <v>38</v>
      </c>
      <c r="V663" s="11" t="s">
        <v>875</v>
      </c>
      <c r="W663" s="186" t="s">
        <v>4573</v>
      </c>
      <c r="X663" s="20" t="s">
        <v>4574</v>
      </c>
      <c r="Y663" s="20"/>
      <c r="Z663" s="36"/>
      <c r="AA663" s="36"/>
      <c r="AB663" s="23"/>
      <c r="AC663" s="33"/>
    </row>
    <row r="664" spans="1:29" ht="15.75" customHeight="1">
      <c r="A664" s="10" t="s">
        <v>4589</v>
      </c>
      <c r="B664" s="10" t="s">
        <v>27</v>
      </c>
      <c r="C664" s="52" t="s">
        <v>868</v>
      </c>
      <c r="D664" s="12"/>
      <c r="E664" s="13" t="s">
        <v>62</v>
      </c>
      <c r="F664" s="6" t="s">
        <v>4590</v>
      </c>
      <c r="G664" s="15" t="str">
        <f ca="1">IFERROR(__xludf.DUMMYFUNCTION("CONCATENATE(B664,(VLOOKUP(C664,CATALOGOS!$F$2:$H$6,3,FALSE)),(VLOOKUP(V664,CATALOGOS!$J$2:$K$18,2,FALSE)),""-"",TO_TEXT(A664))"),"P03CV-0663")</f>
        <v>P03CV-0663</v>
      </c>
      <c r="H664" s="6" t="str">
        <f ca="1">IFERROR(__xludf.DUMMYFUNCTION("CONCATENATE($B664,(VLOOKUP($C664,CATALOGOS!$F$2:$H$6,3,FALSE)),(VLOOKUP($V664,CATALOGOS!$J$2:$K$18,2,FALSE)),""-"",TO_TEXT($A664))"),"P03CV-0663")</f>
        <v>P03CV-0663</v>
      </c>
      <c r="I664" s="6"/>
      <c r="J664" s="6" t="s">
        <v>4591</v>
      </c>
      <c r="K664" s="6" t="s">
        <v>4592</v>
      </c>
      <c r="L664" s="6" t="s">
        <v>4593</v>
      </c>
      <c r="M664" s="6" t="s">
        <v>4594</v>
      </c>
      <c r="N664" s="17"/>
      <c r="O664" s="17"/>
      <c r="P664" s="17" t="str">
        <f t="shared" si="3"/>
        <v>OK</v>
      </c>
      <c r="Q664" s="17" t="s">
        <v>35</v>
      </c>
      <c r="R664" s="6" t="s">
        <v>35</v>
      </c>
      <c r="S664" s="17" t="s">
        <v>36</v>
      </c>
      <c r="T664" s="17" t="s">
        <v>4595</v>
      </c>
      <c r="U664" s="173" t="s">
        <v>38</v>
      </c>
      <c r="V664" s="11" t="s">
        <v>875</v>
      </c>
      <c r="W664" s="186" t="s">
        <v>4573</v>
      </c>
      <c r="X664" s="20" t="s">
        <v>4574</v>
      </c>
      <c r="Y664" s="20"/>
      <c r="Z664" s="36"/>
      <c r="AA664" s="36"/>
      <c r="AB664" s="23"/>
      <c r="AC664" s="33"/>
    </row>
    <row r="665" spans="1:29" ht="15.75" customHeight="1">
      <c r="A665" s="10" t="s">
        <v>4596</v>
      </c>
      <c r="B665" s="10" t="s">
        <v>27</v>
      </c>
      <c r="C665" s="52" t="s">
        <v>868</v>
      </c>
      <c r="D665" s="12"/>
      <c r="E665" s="13" t="s">
        <v>43</v>
      </c>
      <c r="F665" s="6" t="s">
        <v>4597</v>
      </c>
      <c r="G665" s="15" t="str">
        <f ca="1">IFERROR(__xludf.DUMMYFUNCTION("CONCATENATE(B665,(VLOOKUP(C665,CATALOGOS!$F$2:$H$6,3,FALSE)),(VLOOKUP(V665,CATALOGOS!$J$2:$K$18,2,FALSE)),""-"",TO_TEXT(A665))"),"P03CV-0664")</f>
        <v>P03CV-0664</v>
      </c>
      <c r="H665" s="6" t="str">
        <f ca="1">IFERROR(__xludf.DUMMYFUNCTION("CONCATENATE($B665,(VLOOKUP($C665,CATALOGOS!$F$2:$H$6,3,FALSE)),(VLOOKUP($V665,CATALOGOS!$J$2:$K$18,2,FALSE)),""-"",TO_TEXT($A665))"),"P03CV-0664")</f>
        <v>P03CV-0664</v>
      </c>
      <c r="I665" s="6"/>
      <c r="J665" s="6" t="s">
        <v>4598</v>
      </c>
      <c r="K665" s="6" t="s">
        <v>4599</v>
      </c>
      <c r="L665" s="6" t="s">
        <v>4600</v>
      </c>
      <c r="M665" s="6" t="s">
        <v>4601</v>
      </c>
      <c r="N665" s="17"/>
      <c r="O665" s="17"/>
      <c r="P665" s="17" t="str">
        <f t="shared" si="3"/>
        <v>OK</v>
      </c>
      <c r="Q665" s="17" t="s">
        <v>4602</v>
      </c>
      <c r="R665" s="6">
        <v>10187</v>
      </c>
      <c r="S665" s="17" t="s">
        <v>36</v>
      </c>
      <c r="T665" s="10" t="s">
        <v>4603</v>
      </c>
      <c r="U665" s="173" t="s">
        <v>38</v>
      </c>
      <c r="V665" s="11" t="s">
        <v>875</v>
      </c>
      <c r="W665" s="186" t="s">
        <v>4573</v>
      </c>
      <c r="X665" s="20" t="s">
        <v>4574</v>
      </c>
      <c r="Y665" s="20"/>
      <c r="Z665" s="36"/>
      <c r="AA665" s="36"/>
      <c r="AB665" s="23"/>
      <c r="AC665" s="33"/>
    </row>
    <row r="666" spans="1:29" ht="15.75" customHeight="1">
      <c r="A666" s="10" t="s">
        <v>4604</v>
      </c>
      <c r="B666" s="10" t="s">
        <v>27</v>
      </c>
      <c r="C666" s="52" t="s">
        <v>868</v>
      </c>
      <c r="D666" s="12"/>
      <c r="E666" s="13" t="s">
        <v>378</v>
      </c>
      <c r="F666" s="6" t="s">
        <v>4605</v>
      </c>
      <c r="G666" s="15" t="str">
        <f ca="1">IFERROR(__xludf.DUMMYFUNCTION("CONCATENATE(B666,(VLOOKUP(C666,CATALOGOS!$F$2:$H$6,3,FALSE)),(VLOOKUP(V666,CATALOGOS!$J$2:$K$18,2,FALSE)),""-"",TO_TEXT(A666))"),"P03CV-0665")</f>
        <v>P03CV-0665</v>
      </c>
      <c r="H666" s="6" t="str">
        <f ca="1">IFERROR(__xludf.DUMMYFUNCTION("CONCATENATE($B666,(VLOOKUP($C666,CATALOGOS!$F$2:$H$6,3,FALSE)),(VLOOKUP($V666,CATALOGOS!$J$2:$K$18,2,FALSE)),""-"",TO_TEXT($A666))"),"P03CV-0665")</f>
        <v>P03CV-0665</v>
      </c>
      <c r="I666" s="6"/>
      <c r="J666" s="6" t="s">
        <v>4606</v>
      </c>
      <c r="K666" s="6" t="s">
        <v>4607</v>
      </c>
      <c r="L666" s="6" t="s">
        <v>4608</v>
      </c>
      <c r="M666" s="6" t="s">
        <v>4609</v>
      </c>
      <c r="N666" s="17"/>
      <c r="O666" s="17"/>
      <c r="P666" s="17" t="str">
        <f t="shared" si="3"/>
        <v>OK</v>
      </c>
      <c r="Q666" s="17" t="s">
        <v>35</v>
      </c>
      <c r="R666" s="6" t="s">
        <v>35</v>
      </c>
      <c r="S666" s="17" t="s">
        <v>36</v>
      </c>
      <c r="T666" s="17" t="s">
        <v>4610</v>
      </c>
      <c r="U666" s="173" t="s">
        <v>38</v>
      </c>
      <c r="V666" s="11" t="s">
        <v>875</v>
      </c>
      <c r="W666" s="20" t="s">
        <v>1004</v>
      </c>
      <c r="X666" s="20" t="s">
        <v>1004</v>
      </c>
      <c r="Y666" s="20"/>
      <c r="Z666" s="36"/>
      <c r="AA666" s="36"/>
      <c r="AB666" s="23"/>
      <c r="AC666" s="33"/>
    </row>
    <row r="667" spans="1:29" ht="15.75" customHeight="1">
      <c r="A667" s="10" t="s">
        <v>4611</v>
      </c>
      <c r="B667" s="10" t="s">
        <v>27</v>
      </c>
      <c r="C667" s="52" t="s">
        <v>868</v>
      </c>
      <c r="D667" s="12"/>
      <c r="E667" s="13" t="s">
        <v>378</v>
      </c>
      <c r="F667" s="6" t="s">
        <v>878</v>
      </c>
      <c r="G667" s="15" t="str">
        <f ca="1">IFERROR(__xludf.DUMMYFUNCTION("CONCATENATE(B667,(VLOOKUP(C667,CATALOGOS!$F$2:$H$6,3,FALSE)),(VLOOKUP(V667,CATALOGOS!$J$2:$K$18,2,FALSE)),""-"",TO_TEXT(A667))"),"P03CV-0666")</f>
        <v>P03CV-0666</v>
      </c>
      <c r="H667" s="6" t="str">
        <f ca="1">IFERROR(__xludf.DUMMYFUNCTION("CONCATENATE($B667,(VLOOKUP($C667,CATALOGOS!$F$2:$H$6,3,FALSE)),(VLOOKUP($V667,CATALOGOS!$J$2:$K$18,2,FALSE)),""-"",TO_TEXT($A667))"),"P03CV-0666")</f>
        <v>P03CV-0666</v>
      </c>
      <c r="I667" s="6"/>
      <c r="J667" s="6" t="s">
        <v>4612</v>
      </c>
      <c r="K667" s="6" t="s">
        <v>4613</v>
      </c>
      <c r="L667" s="6" t="s">
        <v>4614</v>
      </c>
      <c r="M667" s="6" t="s">
        <v>4615</v>
      </c>
      <c r="N667" s="17"/>
      <c r="O667" s="17"/>
      <c r="P667" s="17" t="str">
        <f t="shared" si="3"/>
        <v>OK</v>
      </c>
      <c r="Q667" s="17" t="s">
        <v>35</v>
      </c>
      <c r="R667" s="6" t="s">
        <v>35</v>
      </c>
      <c r="S667" s="17" t="s">
        <v>36</v>
      </c>
      <c r="T667" s="17" t="s">
        <v>4616</v>
      </c>
      <c r="U667" s="173" t="s">
        <v>38</v>
      </c>
      <c r="V667" s="11" t="s">
        <v>875</v>
      </c>
      <c r="W667" s="186" t="s">
        <v>4573</v>
      </c>
      <c r="X667" s="20" t="s">
        <v>4574</v>
      </c>
      <c r="Y667" s="20"/>
      <c r="Z667" s="36"/>
      <c r="AA667" s="36"/>
      <c r="AB667" s="23"/>
      <c r="AC667" s="33"/>
    </row>
    <row r="668" spans="1:29" ht="15.75" customHeight="1">
      <c r="A668" s="10" t="s">
        <v>4617</v>
      </c>
      <c r="B668" s="10" t="s">
        <v>27</v>
      </c>
      <c r="C668" s="52" t="s">
        <v>868</v>
      </c>
      <c r="D668" s="12"/>
      <c r="E668" s="13" t="s">
        <v>378</v>
      </c>
      <c r="F668" s="6" t="s">
        <v>878</v>
      </c>
      <c r="G668" s="15" t="str">
        <f ca="1">IFERROR(__xludf.DUMMYFUNCTION("CONCATENATE(B668,(VLOOKUP(C668,CATALOGOS!$F$2:$H$6,3,FALSE)),(VLOOKUP(V668,CATALOGOS!$J$2:$K$18,2,FALSE)),""-"",TO_TEXT(A668))"),"P03CV-0667")</f>
        <v>P03CV-0667</v>
      </c>
      <c r="H668" s="6" t="str">
        <f ca="1">IFERROR(__xludf.DUMMYFUNCTION("CONCATENATE($B668,(VLOOKUP($C668,CATALOGOS!$F$2:$H$6,3,FALSE)),(VLOOKUP($V668,CATALOGOS!$J$2:$K$18,2,FALSE)),""-"",TO_TEXT($A668))"),"P03CV-0667")</f>
        <v>P03CV-0667</v>
      </c>
      <c r="I668" s="6"/>
      <c r="J668" s="6" t="s">
        <v>4618</v>
      </c>
      <c r="K668" s="6" t="s">
        <v>4619</v>
      </c>
      <c r="L668" s="6" t="s">
        <v>4620</v>
      </c>
      <c r="M668" s="6" t="s">
        <v>4621</v>
      </c>
      <c r="N668" s="17"/>
      <c r="O668" s="17"/>
      <c r="P668" s="17" t="str">
        <f t="shared" si="3"/>
        <v>OK</v>
      </c>
      <c r="Q668" s="17" t="s">
        <v>35</v>
      </c>
      <c r="R668" s="6" t="s">
        <v>35</v>
      </c>
      <c r="S668" s="17" t="s">
        <v>36</v>
      </c>
      <c r="T668" s="17" t="s">
        <v>7607</v>
      </c>
      <c r="U668" s="173" t="s">
        <v>38</v>
      </c>
      <c r="V668" s="11" t="s">
        <v>875</v>
      </c>
      <c r="W668" s="186" t="s">
        <v>4573</v>
      </c>
      <c r="X668" s="20" t="s">
        <v>4574</v>
      </c>
      <c r="Y668" s="20"/>
      <c r="Z668" s="36"/>
      <c r="AA668" s="36"/>
      <c r="AB668" s="23"/>
      <c r="AC668" s="33"/>
    </row>
    <row r="669" spans="1:29" ht="15.75" customHeight="1">
      <c r="A669" s="10" t="s">
        <v>4623</v>
      </c>
      <c r="B669" s="10" t="s">
        <v>27</v>
      </c>
      <c r="C669" s="52" t="s">
        <v>868</v>
      </c>
      <c r="D669" s="12"/>
      <c r="E669" s="13" t="s">
        <v>378</v>
      </c>
      <c r="F669" s="6" t="s">
        <v>878</v>
      </c>
      <c r="G669" s="15" t="str">
        <f ca="1">IFERROR(__xludf.DUMMYFUNCTION("CONCATENATE(B669,(VLOOKUP(C669,CATALOGOS!$F$2:$H$6,3,FALSE)),(VLOOKUP(V669,CATALOGOS!$J$2:$K$18,2,FALSE)),""-"",TO_TEXT(A669))"),"P03CV-0668")</f>
        <v>P03CV-0668</v>
      </c>
      <c r="H669" s="6" t="str">
        <f ca="1">IFERROR(__xludf.DUMMYFUNCTION("CONCATENATE($B669,(VLOOKUP($C669,CATALOGOS!$F$2:$H$6,3,FALSE)),(VLOOKUP($V669,CATALOGOS!$J$2:$K$18,2,FALSE)),""-"",TO_TEXT($A669))"),"P03CV-0668")</f>
        <v>P03CV-0668</v>
      </c>
      <c r="I669" s="6"/>
      <c r="J669" s="6" t="s">
        <v>4624</v>
      </c>
      <c r="K669" s="6" t="s">
        <v>4625</v>
      </c>
      <c r="L669" s="6" t="s">
        <v>4626</v>
      </c>
      <c r="M669" s="6" t="s">
        <v>4627</v>
      </c>
      <c r="N669" s="17"/>
      <c r="O669" s="17"/>
      <c r="P669" s="17" t="str">
        <f t="shared" si="3"/>
        <v>OK</v>
      </c>
      <c r="Q669" s="17" t="s">
        <v>35</v>
      </c>
      <c r="R669" s="6" t="s">
        <v>35</v>
      </c>
      <c r="S669" s="17" t="s">
        <v>36</v>
      </c>
      <c r="T669" s="17" t="s">
        <v>7609</v>
      </c>
      <c r="U669" s="173" t="s">
        <v>38</v>
      </c>
      <c r="V669" s="11" t="s">
        <v>875</v>
      </c>
      <c r="W669" s="22" t="s">
        <v>4629</v>
      </c>
      <c r="X669" s="22" t="s">
        <v>4629</v>
      </c>
      <c r="Y669" s="22"/>
      <c r="Z669" s="36"/>
      <c r="AA669" s="36"/>
      <c r="AB669" s="23"/>
      <c r="AC669" s="33"/>
    </row>
    <row r="670" spans="1:29" ht="15.75" customHeight="1">
      <c r="A670" s="10" t="s">
        <v>4630</v>
      </c>
      <c r="B670" s="10" t="s">
        <v>27</v>
      </c>
      <c r="C670" s="52" t="s">
        <v>868</v>
      </c>
      <c r="D670" s="12"/>
      <c r="E670" s="13" t="s">
        <v>62</v>
      </c>
      <c r="F670" s="6" t="s">
        <v>4631</v>
      </c>
      <c r="G670" s="15" t="str">
        <f ca="1">IFERROR(__xludf.DUMMYFUNCTION("CONCATENATE(B670,(VLOOKUP(C670,CATALOGOS!$F$2:$H$6,3,FALSE)),(VLOOKUP(V670,CATALOGOS!$J$2:$K$18,2,FALSE)),""-"",TO_TEXT(A670))"),"P03CV-0669")</f>
        <v>P03CV-0669</v>
      </c>
      <c r="H670" s="6" t="str">
        <f ca="1">IFERROR(__xludf.DUMMYFUNCTION("CONCATENATE($B670,(VLOOKUP($C670,CATALOGOS!$F$2:$H$6,3,FALSE)),(VLOOKUP($V670,CATALOGOS!$J$2:$K$18,2,FALSE)),""-"",TO_TEXT($A670))"),"P03CV-0669")</f>
        <v>P03CV-0669</v>
      </c>
      <c r="I670" s="6"/>
      <c r="J670" s="6" t="s">
        <v>4632</v>
      </c>
      <c r="K670" s="6" t="s">
        <v>4633</v>
      </c>
      <c r="L670" s="6" t="s">
        <v>4634</v>
      </c>
      <c r="M670" s="6" t="s">
        <v>4635</v>
      </c>
      <c r="N670" s="17"/>
      <c r="O670" s="17"/>
      <c r="P670" s="17" t="str">
        <f t="shared" si="3"/>
        <v>OK</v>
      </c>
      <c r="Q670" s="17" t="s">
        <v>35</v>
      </c>
      <c r="R670" s="6" t="s">
        <v>35</v>
      </c>
      <c r="S670" s="17" t="s">
        <v>36</v>
      </c>
      <c r="T670" s="17" t="s">
        <v>8166</v>
      </c>
      <c r="U670" s="173" t="s">
        <v>38</v>
      </c>
      <c r="V670" s="11" t="s">
        <v>875</v>
      </c>
      <c r="W670" s="186" t="s">
        <v>4573</v>
      </c>
      <c r="X670" s="20" t="s">
        <v>4574</v>
      </c>
      <c r="Y670" s="20"/>
      <c r="Z670" s="36"/>
      <c r="AA670" s="36"/>
      <c r="AB670" s="23"/>
      <c r="AC670" s="33"/>
    </row>
    <row r="671" spans="1:29" ht="15.75" customHeight="1">
      <c r="A671" s="10" t="s">
        <v>4637</v>
      </c>
      <c r="B671" s="10" t="s">
        <v>27</v>
      </c>
      <c r="C671" s="52" t="s">
        <v>868</v>
      </c>
      <c r="D671" s="12"/>
      <c r="E671" s="13" t="s">
        <v>116</v>
      </c>
      <c r="F671" s="6" t="s">
        <v>4638</v>
      </c>
      <c r="G671" s="15" t="str">
        <f ca="1">IFERROR(__xludf.DUMMYFUNCTION("CONCATENATE(B671,(VLOOKUP(C671,CATALOGOS!$F$2:$H$6,3,FALSE)),(VLOOKUP(V671,CATALOGOS!$J$2:$K$18,2,FALSE)),""-"",TO_TEXT(A671))"),"P03CV-0670")</f>
        <v>P03CV-0670</v>
      </c>
      <c r="H671" s="6" t="str">
        <f ca="1">IFERROR(__xludf.DUMMYFUNCTION("CONCATENATE($B671,(VLOOKUP($C671,CATALOGOS!$F$2:$H$6,3,FALSE)),(VLOOKUP($V671,CATALOGOS!$J$2:$K$18,2,FALSE)),""-"",TO_TEXT($A671))"),"P03CV-0670")</f>
        <v>P03CV-0670</v>
      </c>
      <c r="I671" s="6"/>
      <c r="J671" s="6" t="s">
        <v>4639</v>
      </c>
      <c r="K671" s="6" t="s">
        <v>4640</v>
      </c>
      <c r="L671" s="6" t="s">
        <v>4641</v>
      </c>
      <c r="M671" s="6" t="s">
        <v>4642</v>
      </c>
      <c r="N671" s="17"/>
      <c r="O671" s="17"/>
      <c r="P671" s="17" t="str">
        <f t="shared" si="3"/>
        <v>OK</v>
      </c>
      <c r="Q671" s="17" t="s">
        <v>35</v>
      </c>
      <c r="R671" s="6" t="s">
        <v>35</v>
      </c>
      <c r="S671" s="17" t="s">
        <v>36</v>
      </c>
      <c r="T671" s="17" t="s">
        <v>8144</v>
      </c>
      <c r="U671" s="173" t="s">
        <v>38</v>
      </c>
      <c r="V671" s="11" t="s">
        <v>875</v>
      </c>
      <c r="W671" s="186" t="s">
        <v>4573</v>
      </c>
      <c r="X671" s="20" t="s">
        <v>4574</v>
      </c>
      <c r="Y671" s="20"/>
      <c r="Z671" s="36"/>
      <c r="AA671" s="36"/>
      <c r="AB671" s="23"/>
      <c r="AC671" s="33"/>
    </row>
    <row r="672" spans="1:29" ht="15.75" customHeight="1">
      <c r="A672" s="10" t="s">
        <v>4644</v>
      </c>
      <c r="B672" s="10" t="s">
        <v>27</v>
      </c>
      <c r="C672" s="52" t="s">
        <v>868</v>
      </c>
      <c r="D672" s="12"/>
      <c r="E672" s="13" t="s">
        <v>93</v>
      </c>
      <c r="F672" s="6" t="s">
        <v>4645</v>
      </c>
      <c r="G672" s="15" t="str">
        <f ca="1">IFERROR(__xludf.DUMMYFUNCTION("CONCATENATE(B672,(VLOOKUP(C672,CATALOGOS!$F$2:$H$6,3,FALSE)),(VLOOKUP(V672,CATALOGOS!$J$2:$K$18,2,FALSE)),""-"",TO_TEXT(A672))"),"P03CV-0671")</f>
        <v>P03CV-0671</v>
      </c>
      <c r="H672" s="6" t="str">
        <f ca="1">IFERROR(__xludf.DUMMYFUNCTION("CONCATENATE($B672,(VLOOKUP($C672,CATALOGOS!$F$2:$H$6,3,FALSE)),(VLOOKUP($V672,CATALOGOS!$J$2:$K$18,2,FALSE)),""-"",TO_TEXT($A672))"),"P03CV-0671")</f>
        <v>P03CV-0671</v>
      </c>
      <c r="I672" s="6"/>
      <c r="J672" s="6" t="s">
        <v>4646</v>
      </c>
      <c r="K672" s="6" t="s">
        <v>4647</v>
      </c>
      <c r="L672" s="6" t="s">
        <v>4648</v>
      </c>
      <c r="M672" s="6" t="s">
        <v>4649</v>
      </c>
      <c r="N672" s="17"/>
      <c r="O672" s="17"/>
      <c r="P672" s="17" t="str">
        <f t="shared" si="3"/>
        <v>OK</v>
      </c>
      <c r="Q672" s="17" t="s">
        <v>35</v>
      </c>
      <c r="R672" s="6" t="s">
        <v>35</v>
      </c>
      <c r="S672" s="17" t="s">
        <v>36</v>
      </c>
      <c r="T672" s="17" t="s">
        <v>4650</v>
      </c>
      <c r="U672" s="173" t="s">
        <v>38</v>
      </c>
      <c r="V672" s="11" t="s">
        <v>875</v>
      </c>
      <c r="W672" s="186" t="s">
        <v>4573</v>
      </c>
      <c r="X672" s="20" t="s">
        <v>4574</v>
      </c>
      <c r="Y672" s="20"/>
      <c r="Z672" s="36"/>
      <c r="AA672" s="36"/>
      <c r="AB672" s="23"/>
      <c r="AC672" s="33"/>
    </row>
    <row r="673" spans="1:30" ht="15.75" customHeight="1">
      <c r="A673" s="10" t="s">
        <v>4651</v>
      </c>
      <c r="B673" s="10" t="s">
        <v>27</v>
      </c>
      <c r="C673" s="52" t="s">
        <v>868</v>
      </c>
      <c r="D673" s="12"/>
      <c r="E673" s="13" t="s">
        <v>151</v>
      </c>
      <c r="F673" s="6" t="s">
        <v>714</v>
      </c>
      <c r="G673" s="15" t="str">
        <f ca="1">IFERROR(__xludf.DUMMYFUNCTION("CONCATENATE(B673,(VLOOKUP(C673,CATALOGOS!$F$2:$H$6,3,FALSE)),(VLOOKUP(V673,CATALOGOS!$J$2:$K$18,2,FALSE)),""-"",TO_TEXT(A673))"),"P03CV-0672")</f>
        <v>P03CV-0672</v>
      </c>
      <c r="H673" s="6" t="str">
        <f ca="1">IFERROR(__xludf.DUMMYFUNCTION("CONCATENATE($B673,(VLOOKUP($C673,CATALOGOS!$F$2:$H$6,3,FALSE)),(VLOOKUP($V673,CATALOGOS!$J$2:$K$18,2,FALSE)),""-"",TO_TEXT($A673))"),"P03CV-0672")</f>
        <v>P03CV-0672</v>
      </c>
      <c r="I673" s="6"/>
      <c r="J673" s="6" t="s">
        <v>4652</v>
      </c>
      <c r="K673" s="6" t="s">
        <v>4653</v>
      </c>
      <c r="L673" s="6" t="s">
        <v>4654</v>
      </c>
      <c r="M673" s="6" t="s">
        <v>4655</v>
      </c>
      <c r="N673" s="17"/>
      <c r="O673" s="17"/>
      <c r="P673" s="17" t="str">
        <f t="shared" si="3"/>
        <v>OK</v>
      </c>
      <c r="Q673" s="17" t="s">
        <v>157</v>
      </c>
      <c r="R673" s="6" t="s">
        <v>158</v>
      </c>
      <c r="S673" s="17" t="s">
        <v>4656</v>
      </c>
      <c r="T673" s="10" t="s">
        <v>4657</v>
      </c>
      <c r="U673" s="173" t="s">
        <v>38</v>
      </c>
      <c r="V673" s="11" t="s">
        <v>875</v>
      </c>
      <c r="W673" s="186" t="s">
        <v>4573</v>
      </c>
      <c r="X673" s="20" t="s">
        <v>4574</v>
      </c>
      <c r="Y673" s="20"/>
      <c r="Z673" s="36"/>
      <c r="AA673" s="36"/>
      <c r="AB673" s="23"/>
      <c r="AC673" s="33"/>
    </row>
    <row r="674" spans="1:30" ht="15.75" customHeight="1">
      <c r="A674" s="10" t="s">
        <v>4658</v>
      </c>
      <c r="B674" s="10" t="s">
        <v>27</v>
      </c>
      <c r="C674" s="52" t="s">
        <v>868</v>
      </c>
      <c r="D674" s="12"/>
      <c r="E674" s="13" t="s">
        <v>199</v>
      </c>
      <c r="F674" s="6" t="s">
        <v>199</v>
      </c>
      <c r="G674" s="15" t="str">
        <f ca="1">IFERROR(__xludf.DUMMYFUNCTION("CONCATENATE(B674,(VLOOKUP(C674,CATALOGOS!$F$2:$H$6,3,FALSE)),(VLOOKUP(V674,CATALOGOS!$J$2:$K$18,2,FALSE)),""-"",TO_TEXT(A674))"),"P03CV-0673")</f>
        <v>P03CV-0673</v>
      </c>
      <c r="H674" s="6" t="str">
        <f ca="1">IFERROR(__xludf.DUMMYFUNCTION("CONCATENATE($B674,(VLOOKUP($C674,CATALOGOS!$F$2:$H$6,3,FALSE)),(VLOOKUP($V674,CATALOGOS!$J$2:$K$18,2,FALSE)),""-"",TO_TEXT($A674))"),"P03CV-0673")</f>
        <v>P03CV-0673</v>
      </c>
      <c r="I674" s="6"/>
      <c r="J674" s="6" t="s">
        <v>4659</v>
      </c>
      <c r="K674" s="6" t="s">
        <v>4660</v>
      </c>
      <c r="L674" s="6" t="s">
        <v>4661</v>
      </c>
      <c r="M674" s="6" t="s">
        <v>4662</v>
      </c>
      <c r="N674" s="17"/>
      <c r="O674" s="17"/>
      <c r="P674" s="17" t="str">
        <f t="shared" si="3"/>
        <v>OK</v>
      </c>
      <c r="Q674" s="17" t="s">
        <v>157</v>
      </c>
      <c r="R674" s="6">
        <v>2378</v>
      </c>
      <c r="S674" s="17" t="s">
        <v>4663</v>
      </c>
      <c r="T674" s="10" t="s">
        <v>4664</v>
      </c>
      <c r="U674" s="173" t="s">
        <v>38</v>
      </c>
      <c r="V674" s="11" t="s">
        <v>875</v>
      </c>
      <c r="W674" s="186" t="s">
        <v>4573</v>
      </c>
      <c r="X674" s="20" t="s">
        <v>4574</v>
      </c>
      <c r="Y674" s="20"/>
      <c r="Z674" s="6"/>
      <c r="AA674" s="6"/>
      <c r="AB674" s="23"/>
      <c r="AC674" s="33"/>
    </row>
    <row r="675" spans="1:30" ht="15.75" customHeight="1">
      <c r="A675" s="10" t="s">
        <v>4665</v>
      </c>
      <c r="B675" s="10" t="s">
        <v>27</v>
      </c>
      <c r="C675" s="52" t="s">
        <v>868</v>
      </c>
      <c r="D675" s="12"/>
      <c r="E675" s="13" t="s">
        <v>248</v>
      </c>
      <c r="F675" s="6" t="s">
        <v>248</v>
      </c>
      <c r="G675" s="15" t="str">
        <f ca="1">IFERROR(__xludf.DUMMYFUNCTION("CONCATENATE(B675,(VLOOKUP(C675,CATALOGOS!$F$2:$H$6,3,FALSE)),(VLOOKUP(V675,CATALOGOS!$J$2:$K$18,2,FALSE)),""-"",TO_TEXT(A675))"),"P03CV-0674")</f>
        <v>P03CV-0674</v>
      </c>
      <c r="H675" s="6" t="str">
        <f ca="1">IFERROR(__xludf.DUMMYFUNCTION("CONCATENATE($B675,(VLOOKUP($C675,CATALOGOS!$F$2:$H$6,3,FALSE)),(VLOOKUP($V675,CATALOGOS!$J$2:$K$18,2,FALSE)),""-"",TO_TEXT($A675))"),"P03CV-0674")</f>
        <v>P03CV-0674</v>
      </c>
      <c r="I675" s="6"/>
      <c r="J675" s="6" t="s">
        <v>4666</v>
      </c>
      <c r="K675" s="6" t="s">
        <v>4667</v>
      </c>
      <c r="L675" s="37"/>
      <c r="M675" s="6" t="s">
        <v>141</v>
      </c>
      <c r="N675" s="17"/>
      <c r="O675" s="17"/>
      <c r="P675" s="17" t="str">
        <f t="shared" si="3"/>
        <v>REPETIDO</v>
      </c>
      <c r="Q675" s="17" t="s">
        <v>303</v>
      </c>
      <c r="R675" s="6" t="s">
        <v>304</v>
      </c>
      <c r="S675" s="6" t="s">
        <v>4668</v>
      </c>
      <c r="T675" s="10" t="s">
        <v>4669</v>
      </c>
      <c r="U675" s="173" t="s">
        <v>38</v>
      </c>
      <c r="V675" s="11" t="s">
        <v>875</v>
      </c>
      <c r="W675" s="186" t="s">
        <v>4573</v>
      </c>
      <c r="X675" s="20" t="s">
        <v>4574</v>
      </c>
      <c r="Y675" s="20"/>
      <c r="Z675" s="6"/>
      <c r="AA675" s="6"/>
      <c r="AB675" s="23"/>
      <c r="AC675" s="24"/>
    </row>
    <row r="676" spans="1:30" ht="15.75" customHeight="1">
      <c r="A676" s="10" t="s">
        <v>4670</v>
      </c>
      <c r="B676" s="10" t="s">
        <v>27</v>
      </c>
      <c r="C676" s="52" t="s">
        <v>868</v>
      </c>
      <c r="D676" s="12"/>
      <c r="E676" s="13" t="s">
        <v>151</v>
      </c>
      <c r="F676" s="6" t="s">
        <v>714</v>
      </c>
      <c r="G676" s="64" t="str">
        <f ca="1">IFERROR(__xludf.DUMMYFUNCTION("CONCATENATE(B676,(VLOOKUP(C676,CATALOGOS!$F$2:$H$6,3,FALSE)),(VLOOKUP(V676,CATALOGOS!$J$2:$K$18,2,FALSE)),""-"",TO_TEXT(A676))"),"P03CV-0675")</f>
        <v>P03CV-0675</v>
      </c>
      <c r="H676" s="6" t="str">
        <f ca="1">IFERROR(__xludf.DUMMYFUNCTION("CONCATENATE($B676,(VLOOKUP($C676,CATALOGOS!$F$2:$H$6,3,FALSE)),(VLOOKUP($V676,CATALOGOS!$J$2:$K$18,2,FALSE)),""-"",TO_TEXT($A676))"),"P03CV-0675")</f>
        <v>P03CV-0675</v>
      </c>
      <c r="I676" s="6"/>
      <c r="J676" s="6" t="s">
        <v>4671</v>
      </c>
      <c r="K676" s="6" t="s">
        <v>4672</v>
      </c>
      <c r="L676" s="6" t="s">
        <v>4673</v>
      </c>
      <c r="M676" s="6" t="s">
        <v>4674</v>
      </c>
      <c r="N676" s="17"/>
      <c r="O676" s="17"/>
      <c r="P676" s="17" t="str">
        <f t="shared" si="3"/>
        <v>OK</v>
      </c>
      <c r="Q676" s="17" t="s">
        <v>719</v>
      </c>
      <c r="R676" s="6" t="s">
        <v>720</v>
      </c>
      <c r="S676" s="17" t="s">
        <v>4675</v>
      </c>
      <c r="T676" s="17" t="s">
        <v>4676</v>
      </c>
      <c r="U676" s="173" t="s">
        <v>4677</v>
      </c>
      <c r="V676" s="11" t="s">
        <v>875</v>
      </c>
      <c r="W676" s="186" t="s">
        <v>4573</v>
      </c>
      <c r="X676" s="20" t="s">
        <v>4574</v>
      </c>
      <c r="Y676" s="20"/>
      <c r="Z676" s="6"/>
      <c r="AA676" s="6"/>
      <c r="AB676" s="23"/>
      <c r="AC676" s="33"/>
    </row>
    <row r="677" spans="1:30" ht="15.75" customHeight="1">
      <c r="A677" s="10" t="s">
        <v>4678</v>
      </c>
      <c r="B677" s="10" t="s">
        <v>27</v>
      </c>
      <c r="C677" s="52" t="s">
        <v>868</v>
      </c>
      <c r="D677" s="12"/>
      <c r="E677" s="13" t="s">
        <v>184</v>
      </c>
      <c r="F677" s="6" t="s">
        <v>4679</v>
      </c>
      <c r="G677" s="15" t="str">
        <f ca="1">IFERROR(__xludf.DUMMYFUNCTION("CONCATENATE(B677,(VLOOKUP(C677,CATALOGOS!$F$2:$H$6,3,FALSE)),(VLOOKUP(V677,CATALOGOS!$J$2:$K$18,2,FALSE)),""-"",TO_TEXT(A677))"),"P03CV-0676")</f>
        <v>P03CV-0676</v>
      </c>
      <c r="H677" s="6" t="str">
        <f ca="1">IFERROR(__xludf.DUMMYFUNCTION("CONCATENATE($B677,(VLOOKUP($C677,CATALOGOS!$F$2:$H$6,3,FALSE)),(VLOOKUP($V677,CATALOGOS!$J$2:$K$18,2,FALSE)),""-"",TO_TEXT($A677))"),"P03CV-0676")</f>
        <v>P03CV-0676</v>
      </c>
      <c r="I677" s="6"/>
      <c r="J677" s="6" t="s">
        <v>4680</v>
      </c>
      <c r="K677" s="6" t="s">
        <v>4681</v>
      </c>
      <c r="L677" s="6" t="s">
        <v>4682</v>
      </c>
      <c r="M677" s="6" t="s">
        <v>4683</v>
      </c>
      <c r="N677" s="17"/>
      <c r="O677" s="17"/>
      <c r="P677" s="17" t="str">
        <f t="shared" si="3"/>
        <v>OK</v>
      </c>
      <c r="Q677" s="17" t="s">
        <v>35</v>
      </c>
      <c r="R677" s="6" t="s">
        <v>35</v>
      </c>
      <c r="S677" s="17" t="s">
        <v>36</v>
      </c>
      <c r="T677" s="17" t="s">
        <v>7442</v>
      </c>
      <c r="U677" s="179" t="s">
        <v>517</v>
      </c>
      <c r="V677" s="11" t="s">
        <v>875</v>
      </c>
      <c r="W677" s="186" t="s">
        <v>4573</v>
      </c>
      <c r="X677" s="20" t="s">
        <v>4574</v>
      </c>
      <c r="Y677" s="20"/>
      <c r="Z677" s="36"/>
      <c r="AA677" s="36"/>
      <c r="AB677" s="23"/>
      <c r="AC677" s="33"/>
    </row>
    <row r="678" spans="1:30" ht="15.75" customHeight="1">
      <c r="A678" s="10" t="s">
        <v>4686</v>
      </c>
      <c r="B678" s="10" t="s">
        <v>27</v>
      </c>
      <c r="C678" s="52" t="s">
        <v>868</v>
      </c>
      <c r="D678" s="12"/>
      <c r="E678" s="13" t="s">
        <v>162</v>
      </c>
      <c r="F678" s="6" t="s">
        <v>285</v>
      </c>
      <c r="G678" s="15" t="str">
        <f ca="1">IFERROR(__xludf.DUMMYFUNCTION("CONCATENATE(B678,(VLOOKUP(C678,CATALOGOS!$F$2:$H$6,3,FALSE)),(VLOOKUP(V678,CATALOGOS!$J$2:$K$18,2,FALSE)),""-"",TO_TEXT(A678))"),"P03CV-0677")</f>
        <v>P03CV-0677</v>
      </c>
      <c r="H678" s="6" t="str">
        <f ca="1">IFERROR(__xludf.DUMMYFUNCTION("CONCATENATE($B678,(VLOOKUP($C678,CATALOGOS!$F$2:$H$6,3,FALSE)),(VLOOKUP($V678,CATALOGOS!$J$2:$K$18,2,FALSE)),""-"",TO_TEXT($A678))"),"P03CV-0677")</f>
        <v>P03CV-0677</v>
      </c>
      <c r="I678" s="6"/>
      <c r="J678" s="6" t="s">
        <v>4687</v>
      </c>
      <c r="K678" s="6" t="s">
        <v>4688</v>
      </c>
      <c r="L678" s="6" t="s">
        <v>4689</v>
      </c>
      <c r="M678" s="6" t="s">
        <v>4690</v>
      </c>
      <c r="N678" s="17"/>
      <c r="O678" s="17"/>
      <c r="P678" s="17" t="str">
        <f t="shared" si="3"/>
        <v>OK</v>
      </c>
      <c r="Q678" s="17" t="s">
        <v>168</v>
      </c>
      <c r="R678" s="6" t="s">
        <v>169</v>
      </c>
      <c r="S678" s="17" t="s">
        <v>4691</v>
      </c>
      <c r="T678" s="17" t="s">
        <v>7674</v>
      </c>
      <c r="U678" s="173" t="s">
        <v>38</v>
      </c>
      <c r="V678" s="11" t="s">
        <v>875</v>
      </c>
      <c r="W678" s="186" t="s">
        <v>4573</v>
      </c>
      <c r="X678" s="20" t="s">
        <v>4574</v>
      </c>
      <c r="Y678" s="20"/>
      <c r="Z678" s="36"/>
      <c r="AA678" s="36"/>
      <c r="AB678" s="23"/>
      <c r="AC678" s="33"/>
    </row>
    <row r="679" spans="1:30" ht="15.75" customHeight="1">
      <c r="A679" s="10" t="s">
        <v>4693</v>
      </c>
      <c r="B679" s="10" t="s">
        <v>27</v>
      </c>
      <c r="C679" s="52" t="s">
        <v>868</v>
      </c>
      <c r="D679" s="12"/>
      <c r="E679" s="13" t="s">
        <v>151</v>
      </c>
      <c r="F679" s="6" t="s">
        <v>4113</v>
      </c>
      <c r="G679" s="15" t="str">
        <f ca="1">IFERROR(__xludf.DUMMYFUNCTION("CONCATENATE(B679,(VLOOKUP(C679,CATALOGOS!$F$2:$H$6,3,FALSE)),(VLOOKUP(V679,CATALOGOS!$J$2:$K$18,2,FALSE)),""-"",TO_TEXT(A679))"),"P03CV-0678")</f>
        <v>P03CV-0678</v>
      </c>
      <c r="H679" s="6" t="str">
        <f ca="1">IFERROR(__xludf.DUMMYFUNCTION("CONCATENATE($B679,(VLOOKUP($C679,CATALOGOS!$F$2:$H$6,3,FALSE)),(VLOOKUP($V679,CATALOGOS!$J$2:$K$18,2,FALSE)),""-"",TO_TEXT($A679))"),"P03CV-0678")</f>
        <v>P03CV-0678</v>
      </c>
      <c r="I679" s="6"/>
      <c r="J679" s="6" t="s">
        <v>4694</v>
      </c>
      <c r="K679" s="6" t="s">
        <v>4695</v>
      </c>
      <c r="L679" s="36"/>
      <c r="M679" s="6" t="s">
        <v>4696</v>
      </c>
      <c r="N679" s="17"/>
      <c r="O679" s="17"/>
      <c r="P679" s="17" t="str">
        <f t="shared" si="3"/>
        <v>OK</v>
      </c>
      <c r="Q679" s="17" t="s">
        <v>297</v>
      </c>
      <c r="R679" s="6" t="s">
        <v>298</v>
      </c>
      <c r="S679" s="6" t="s">
        <v>4697</v>
      </c>
      <c r="T679" s="10" t="s">
        <v>85</v>
      </c>
      <c r="U679" s="173" t="s">
        <v>38</v>
      </c>
      <c r="V679" s="11" t="s">
        <v>875</v>
      </c>
      <c r="W679" s="22" t="s">
        <v>4629</v>
      </c>
      <c r="X679" s="22" t="s">
        <v>4629</v>
      </c>
      <c r="Y679" s="22"/>
      <c r="Z679" s="6"/>
      <c r="AA679" s="6"/>
      <c r="AB679" s="41" t="s">
        <v>92</v>
      </c>
      <c r="AC679" s="42">
        <v>44348</v>
      </c>
      <c r="AD679" s="8">
        <v>0</v>
      </c>
    </row>
    <row r="680" spans="1:30" ht="15.75" customHeight="1">
      <c r="A680" s="10" t="s">
        <v>4698</v>
      </c>
      <c r="B680" s="10" t="s">
        <v>27</v>
      </c>
      <c r="C680" s="52" t="s">
        <v>868</v>
      </c>
      <c r="D680" s="12"/>
      <c r="E680" s="13" t="s">
        <v>199</v>
      </c>
      <c r="F680" s="6" t="s">
        <v>199</v>
      </c>
      <c r="G680" s="15" t="str">
        <f ca="1">IFERROR(__xludf.DUMMYFUNCTION("CONCATENATE(B680,(VLOOKUP(C680,CATALOGOS!$F$2:$H$6,3,FALSE)),(VLOOKUP(V680,CATALOGOS!$J$2:$K$18,2,FALSE)),""-"",TO_TEXT(A680))"),"P03CV-0679")</f>
        <v>P03CV-0679</v>
      </c>
      <c r="H680" s="6" t="str">
        <f ca="1">IFERROR(__xludf.DUMMYFUNCTION("CONCATENATE($B680,(VLOOKUP($C680,CATALOGOS!$F$2:$H$6,3,FALSE)),(VLOOKUP($V680,CATALOGOS!$J$2:$K$18,2,FALSE)),""-"",TO_TEXT($A680))"),"P03CV-0679")</f>
        <v>P03CV-0679</v>
      </c>
      <c r="I680" s="6"/>
      <c r="J680" s="6" t="s">
        <v>4699</v>
      </c>
      <c r="K680" s="6" t="s">
        <v>4700</v>
      </c>
      <c r="L680" s="37"/>
      <c r="M680" s="6" t="s">
        <v>4701</v>
      </c>
      <c r="N680" s="17"/>
      <c r="O680" s="17"/>
      <c r="P680" s="17" t="str">
        <f t="shared" si="3"/>
        <v>OK</v>
      </c>
      <c r="Q680" s="17" t="s">
        <v>273</v>
      </c>
      <c r="R680" s="6" t="s">
        <v>274</v>
      </c>
      <c r="S680" s="6">
        <v>11392903014603</v>
      </c>
      <c r="T680" s="10" t="s">
        <v>85</v>
      </c>
      <c r="U680" s="173" t="s">
        <v>38</v>
      </c>
      <c r="V680" s="11" t="s">
        <v>875</v>
      </c>
      <c r="W680" s="22" t="s">
        <v>4629</v>
      </c>
      <c r="X680" s="22" t="s">
        <v>4629</v>
      </c>
      <c r="Y680" s="22"/>
      <c r="Z680" s="6"/>
      <c r="AA680" s="6"/>
      <c r="AB680" s="41" t="s">
        <v>92</v>
      </c>
      <c r="AC680" s="42">
        <v>44348</v>
      </c>
      <c r="AD680" s="8" t="s">
        <v>276</v>
      </c>
    </row>
    <row r="681" spans="1:30" ht="15.75" customHeight="1">
      <c r="A681" s="10" t="s">
        <v>4702</v>
      </c>
      <c r="B681" s="10" t="s">
        <v>27</v>
      </c>
      <c r="C681" s="52" t="s">
        <v>868</v>
      </c>
      <c r="D681" s="12"/>
      <c r="E681" s="13" t="s">
        <v>353</v>
      </c>
      <c r="F681" s="6" t="s">
        <v>354</v>
      </c>
      <c r="G681" s="15" t="str">
        <f ca="1">IFERROR(__xludf.DUMMYFUNCTION("CONCATENATE(B681,(VLOOKUP(C681,CATALOGOS!$F$2:$H$6,3,FALSE)),(VLOOKUP(V681,CATALOGOS!$J$2:$K$18,2,FALSE)),""-"",TO_TEXT(A681))"),"P03CV-0680")</f>
        <v>P03CV-0680</v>
      </c>
      <c r="H681" s="6" t="str">
        <f ca="1">IFERROR(__xludf.DUMMYFUNCTION("CONCATENATE($B681,(VLOOKUP($C681,CATALOGOS!$F$2:$H$6,3,FALSE)),(VLOOKUP($V681,CATALOGOS!$J$2:$K$18,2,FALSE)),""-"",TO_TEXT($A681))"),"P03CV-0680")</f>
        <v>P03CV-0680</v>
      </c>
      <c r="I681" s="6"/>
      <c r="J681" s="6" t="s">
        <v>4703</v>
      </c>
      <c r="K681" s="6" t="s">
        <v>4704</v>
      </c>
      <c r="L681" s="6" t="s">
        <v>4705</v>
      </c>
      <c r="M681" s="6" t="s">
        <v>4706</v>
      </c>
      <c r="N681" s="17"/>
      <c r="O681" s="17"/>
      <c r="P681" s="17" t="str">
        <f t="shared" si="3"/>
        <v>OK</v>
      </c>
      <c r="Q681" s="17" t="s">
        <v>359</v>
      </c>
      <c r="R681" s="6" t="s">
        <v>360</v>
      </c>
      <c r="S681" s="6" t="s">
        <v>4707</v>
      </c>
      <c r="T681" s="10" t="s">
        <v>4708</v>
      </c>
      <c r="U681" s="173" t="s">
        <v>38</v>
      </c>
      <c r="V681" s="11" t="s">
        <v>875</v>
      </c>
      <c r="W681" s="22" t="s">
        <v>4629</v>
      </c>
      <c r="X681" s="22" t="s">
        <v>4629</v>
      </c>
      <c r="Y681" s="22"/>
      <c r="Z681" s="36"/>
      <c r="AA681" s="36"/>
      <c r="AB681" s="23"/>
      <c r="AC681" s="33"/>
    </row>
    <row r="682" spans="1:30" ht="15.75" customHeight="1">
      <c r="A682" s="10" t="s">
        <v>4709</v>
      </c>
      <c r="B682" s="10" t="s">
        <v>27</v>
      </c>
      <c r="C682" s="52" t="s">
        <v>868</v>
      </c>
      <c r="D682" s="12"/>
      <c r="E682" s="13" t="s">
        <v>62</v>
      </c>
      <c r="F682" s="6" t="s">
        <v>4710</v>
      </c>
      <c r="G682" s="15" t="str">
        <f ca="1">IFERROR(__xludf.DUMMYFUNCTION("CONCATENATE(B682,(VLOOKUP(C682,CATALOGOS!$F$2:$H$6,3,FALSE)),(VLOOKUP(V682,CATALOGOS!$J$2:$K$18,2,FALSE)),""-"",TO_TEXT(A682))"),"P03CV-0681")</f>
        <v>P03CV-0681</v>
      </c>
      <c r="H682" s="6" t="str">
        <f ca="1">IFERROR(__xludf.DUMMYFUNCTION("CONCATENATE($B682,(VLOOKUP($C682,CATALOGOS!$F$2:$H$6,3,FALSE)),(VLOOKUP($V682,CATALOGOS!$J$2:$K$18,2,FALSE)),""-"",TO_TEXT($A682))"),"P03CV-0681")</f>
        <v>P03CV-0681</v>
      </c>
      <c r="I682" s="6"/>
      <c r="J682" s="6" t="s">
        <v>4711</v>
      </c>
      <c r="K682" s="6" t="s">
        <v>4712</v>
      </c>
      <c r="L682" s="6" t="s">
        <v>4713</v>
      </c>
      <c r="M682" s="6" t="s">
        <v>4714</v>
      </c>
      <c r="N682" s="17"/>
      <c r="O682" s="17"/>
      <c r="P682" s="17" t="str">
        <f t="shared" si="3"/>
        <v>OK</v>
      </c>
      <c r="Q682" s="17" t="s">
        <v>35</v>
      </c>
      <c r="R682" s="6" t="s">
        <v>35</v>
      </c>
      <c r="S682" s="17" t="s">
        <v>36</v>
      </c>
      <c r="T682" s="17" t="s">
        <v>4715</v>
      </c>
      <c r="U682" s="179" t="s">
        <v>100</v>
      </c>
      <c r="V682" s="11" t="s">
        <v>875</v>
      </c>
      <c r="W682" s="20" t="s">
        <v>4573</v>
      </c>
      <c r="X682" s="20" t="s">
        <v>4574</v>
      </c>
      <c r="Y682" s="20"/>
      <c r="Z682" s="36"/>
      <c r="AA682" s="36"/>
      <c r="AB682" s="23"/>
      <c r="AC682" s="33"/>
    </row>
    <row r="683" spans="1:30" ht="15.75" customHeight="1">
      <c r="A683" s="10" t="s">
        <v>4716</v>
      </c>
      <c r="B683" s="10" t="s">
        <v>27</v>
      </c>
      <c r="C683" s="52" t="s">
        <v>868</v>
      </c>
      <c r="D683" s="12"/>
      <c r="E683" s="13" t="s">
        <v>62</v>
      </c>
      <c r="F683" s="6" t="s">
        <v>4717</v>
      </c>
      <c r="G683" s="15" t="str">
        <f ca="1">IFERROR(__xludf.DUMMYFUNCTION("CONCATENATE(B683,(VLOOKUP(C683,CATALOGOS!$F$2:$H$6,3,FALSE)),(VLOOKUP(V683,CATALOGOS!$J$2:$K$18,2,FALSE)),""-"",TO_TEXT(A683))"),"P03CV-0682")</f>
        <v>P03CV-0682</v>
      </c>
      <c r="H683" s="6" t="str">
        <f ca="1">IFERROR(__xludf.DUMMYFUNCTION("CONCATENATE($B683,(VLOOKUP($C683,CATALOGOS!$F$2:$H$6,3,FALSE)),(VLOOKUP($V683,CATALOGOS!$J$2:$K$18,2,FALSE)),""-"",TO_TEXT($A683))"),"P03CV-0682")</f>
        <v>P03CV-0682</v>
      </c>
      <c r="I683" s="6"/>
      <c r="J683" s="6" t="s">
        <v>4718</v>
      </c>
      <c r="K683" s="6" t="s">
        <v>4719</v>
      </c>
      <c r="L683" s="6" t="s">
        <v>4720</v>
      </c>
      <c r="M683" s="6" t="s">
        <v>4721</v>
      </c>
      <c r="N683" s="17"/>
      <c r="O683" s="17"/>
      <c r="P683" s="17" t="str">
        <f t="shared" si="3"/>
        <v>OK</v>
      </c>
      <c r="Q683" s="17" t="s">
        <v>35</v>
      </c>
      <c r="R683" s="6" t="s">
        <v>35</v>
      </c>
      <c r="S683" s="17" t="s">
        <v>36</v>
      </c>
      <c r="T683" s="17" t="s">
        <v>8107</v>
      </c>
      <c r="U683" s="179" t="s">
        <v>517</v>
      </c>
      <c r="V683" s="11" t="s">
        <v>875</v>
      </c>
      <c r="W683" s="20" t="s">
        <v>4573</v>
      </c>
      <c r="X683" s="20" t="s">
        <v>4574</v>
      </c>
      <c r="Y683" s="20"/>
      <c r="Z683" s="36"/>
      <c r="AA683" s="36"/>
      <c r="AB683" s="23"/>
      <c r="AC683" s="33"/>
    </row>
    <row r="684" spans="1:30" ht="15.75" customHeight="1">
      <c r="A684" s="10" t="s">
        <v>4723</v>
      </c>
      <c r="B684" s="10" t="s">
        <v>27</v>
      </c>
      <c r="C684" s="52" t="s">
        <v>868</v>
      </c>
      <c r="D684" s="12"/>
      <c r="E684" s="13" t="s">
        <v>62</v>
      </c>
      <c r="F684" s="6" t="s">
        <v>4724</v>
      </c>
      <c r="G684" s="15" t="str">
        <f ca="1">IFERROR(__xludf.DUMMYFUNCTION("CONCATENATE(B684,(VLOOKUP(C684,CATALOGOS!$F$2:$H$6,3,FALSE)),(VLOOKUP(V684,CATALOGOS!$J$2:$K$18,2,FALSE)),""-"",TO_TEXT(A684))"),"P03CV-0683")</f>
        <v>P03CV-0683</v>
      </c>
      <c r="H684" s="6" t="str">
        <f ca="1">IFERROR(__xludf.DUMMYFUNCTION("CONCATENATE($B684,(VLOOKUP($C684,CATALOGOS!$F$2:$H$6,3,FALSE)),(VLOOKUP($V684,CATALOGOS!$J$2:$K$18,2,FALSE)),""-"",TO_TEXT($A684))"),"P03CV-0683")</f>
        <v>P03CV-0683</v>
      </c>
      <c r="I684" s="6"/>
      <c r="J684" s="6" t="s">
        <v>4725</v>
      </c>
      <c r="K684" s="6" t="s">
        <v>4726</v>
      </c>
      <c r="L684" s="6" t="s">
        <v>4727</v>
      </c>
      <c r="M684" s="6" t="s">
        <v>4728</v>
      </c>
      <c r="N684" s="17"/>
      <c r="O684" s="17"/>
      <c r="P684" s="17" t="str">
        <f t="shared" si="3"/>
        <v>OK</v>
      </c>
      <c r="Q684" s="17" t="s">
        <v>35</v>
      </c>
      <c r="R684" s="6" t="s">
        <v>35</v>
      </c>
      <c r="S684" s="17" t="s">
        <v>36</v>
      </c>
      <c r="T684" s="17" t="s">
        <v>4729</v>
      </c>
      <c r="U684" s="173" t="s">
        <v>38</v>
      </c>
      <c r="V684" s="11" t="s">
        <v>875</v>
      </c>
      <c r="W684" s="20" t="s">
        <v>4573</v>
      </c>
      <c r="X684" s="20" t="s">
        <v>4574</v>
      </c>
      <c r="Y684" s="20"/>
      <c r="Z684" s="36"/>
      <c r="AA684" s="36"/>
      <c r="AB684" s="23"/>
      <c r="AC684" s="33"/>
    </row>
    <row r="685" spans="1:30" ht="15.75" customHeight="1">
      <c r="A685" s="10" t="s">
        <v>4730</v>
      </c>
      <c r="B685" s="10" t="s">
        <v>27</v>
      </c>
      <c r="C685" s="52" t="s">
        <v>868</v>
      </c>
      <c r="D685" s="12"/>
      <c r="E685" s="13" t="s">
        <v>62</v>
      </c>
      <c r="F685" s="6" t="s">
        <v>4731</v>
      </c>
      <c r="G685" s="15" t="str">
        <f ca="1">IFERROR(__xludf.DUMMYFUNCTION("CONCATENATE(B685,(VLOOKUP(C685,CATALOGOS!$F$2:$H$6,3,FALSE)),(VLOOKUP(V685,CATALOGOS!$J$2:$K$18,2,FALSE)),""-"",TO_TEXT(A685))"),"P03CV-0684")</f>
        <v>P03CV-0684</v>
      </c>
      <c r="H685" s="6" t="str">
        <f ca="1">IFERROR(__xludf.DUMMYFUNCTION("CONCATENATE($B685,(VLOOKUP($C685,CATALOGOS!$F$2:$H$6,3,FALSE)),(VLOOKUP($V685,CATALOGOS!$J$2:$K$18,2,FALSE)),""-"",TO_TEXT($A685))"),"P03CV-0684")</f>
        <v>P03CV-0684</v>
      </c>
      <c r="I685" s="6"/>
      <c r="J685" s="6" t="s">
        <v>4732</v>
      </c>
      <c r="K685" s="6" t="s">
        <v>4733</v>
      </c>
      <c r="L685" s="6" t="s">
        <v>4734</v>
      </c>
      <c r="M685" s="6" t="s">
        <v>4735</v>
      </c>
      <c r="N685" s="17"/>
      <c r="O685" s="17"/>
      <c r="P685" s="17" t="str">
        <f t="shared" si="3"/>
        <v>OK</v>
      </c>
      <c r="Q685" s="17" t="s">
        <v>35</v>
      </c>
      <c r="R685" s="6" t="s">
        <v>35</v>
      </c>
      <c r="S685" s="17" t="s">
        <v>36</v>
      </c>
      <c r="T685" s="17" t="s">
        <v>4736</v>
      </c>
      <c r="U685" s="173" t="s">
        <v>38</v>
      </c>
      <c r="V685" s="11" t="s">
        <v>875</v>
      </c>
      <c r="W685" s="20" t="s">
        <v>4737</v>
      </c>
      <c r="X685" s="20" t="s">
        <v>4737</v>
      </c>
      <c r="Y685" s="20"/>
      <c r="Z685" s="36"/>
      <c r="AA685" s="36"/>
      <c r="AB685" s="23"/>
      <c r="AC685" s="33"/>
    </row>
    <row r="686" spans="1:30" ht="15.75" customHeight="1">
      <c r="A686" s="10" t="s">
        <v>4738</v>
      </c>
      <c r="B686" s="10" t="s">
        <v>27</v>
      </c>
      <c r="C686" s="52" t="s">
        <v>868</v>
      </c>
      <c r="D686" s="38"/>
      <c r="E686" s="13" t="s">
        <v>62</v>
      </c>
      <c r="F686" s="6" t="s">
        <v>4739</v>
      </c>
      <c r="G686" s="15" t="str">
        <f ca="1">IFERROR(__xludf.DUMMYFUNCTION("CONCATENATE(B686,(VLOOKUP(C686,CATALOGOS!$F$2:$H$6,3,FALSE)),(VLOOKUP(V686,CATALOGOS!$J$2:$K$18,2,FALSE)),""-"",TO_TEXT(A686))"),"P03CV-0685")</f>
        <v>P03CV-0685</v>
      </c>
      <c r="H686" s="6" t="str">
        <f ca="1">IFERROR(__xludf.DUMMYFUNCTION("CONCATENATE($B686,(VLOOKUP($C686,CATALOGOS!$F$2:$H$6,3,FALSE)),(VLOOKUP($V686,CATALOGOS!$J$2:$K$18,2,FALSE)),""-"",TO_TEXT($A686))"),"P03CV-0685")</f>
        <v>P03CV-0685</v>
      </c>
      <c r="I686" s="6"/>
      <c r="J686" s="6" t="s">
        <v>4740</v>
      </c>
      <c r="K686" s="6" t="s">
        <v>4741</v>
      </c>
      <c r="L686" s="6" t="s">
        <v>4742</v>
      </c>
      <c r="M686" s="6" t="s">
        <v>4743</v>
      </c>
      <c r="N686" s="17"/>
      <c r="O686" s="17"/>
      <c r="P686" s="17" t="str">
        <f t="shared" si="3"/>
        <v>OK</v>
      </c>
      <c r="Q686" s="17" t="s">
        <v>35</v>
      </c>
      <c r="R686" s="6" t="s">
        <v>35</v>
      </c>
      <c r="S686" s="46" t="s">
        <v>36</v>
      </c>
      <c r="T686" s="17" t="s">
        <v>4744</v>
      </c>
      <c r="U686" s="173" t="s">
        <v>38</v>
      </c>
      <c r="V686" s="11" t="s">
        <v>875</v>
      </c>
      <c r="W686" s="20" t="s">
        <v>4573</v>
      </c>
      <c r="X686" s="20" t="s">
        <v>4574</v>
      </c>
      <c r="Y686" s="20"/>
      <c r="Z686" s="36"/>
      <c r="AA686" s="36"/>
      <c r="AB686" s="26"/>
      <c r="AC686" s="33"/>
    </row>
    <row r="687" spans="1:30" ht="15.75" customHeight="1">
      <c r="A687" s="10" t="s">
        <v>4745</v>
      </c>
      <c r="B687" s="10" t="s">
        <v>27</v>
      </c>
      <c r="C687" s="61" t="s">
        <v>28</v>
      </c>
      <c r="D687" s="12"/>
      <c r="E687" s="13" t="s">
        <v>378</v>
      </c>
      <c r="F687" s="6" t="s">
        <v>878</v>
      </c>
      <c r="G687" s="64" t="str">
        <f ca="1">IFERROR(__xludf.DUMMYFUNCTION("CONCATENATE(B687,(VLOOKUP(C687,CATALOGOS!$F$2:$H$6,3,FALSE)),(VLOOKUP(V687,CATALOGOS!$J$2:$K$18,2,FALSE)),""-"",TO_TEXT(A687))"),"P05DA-0686")</f>
        <v>P05DA-0686</v>
      </c>
      <c r="H687" s="6" t="str">
        <f ca="1">IFERROR(__xludf.DUMMYFUNCTION("CONCATENATE($B687,(VLOOKUP($C687,CATALOGOS!$F$2:$H$6,3,FALSE)),(VLOOKUP($V687,CATALOGOS!$J$2:$K$18,2,FALSE)),""-"",TO_TEXT($A687))"),"P05DA-0686")</f>
        <v>P05DA-0686</v>
      </c>
      <c r="I687" s="6"/>
      <c r="J687" s="6" t="s">
        <v>4746</v>
      </c>
      <c r="K687" s="6" t="s">
        <v>4747</v>
      </c>
      <c r="L687" s="6" t="s">
        <v>4748</v>
      </c>
      <c r="M687" s="6" t="s">
        <v>4749</v>
      </c>
      <c r="N687" s="17"/>
      <c r="O687" s="17"/>
      <c r="P687" s="17" t="str">
        <f t="shared" si="3"/>
        <v>OK</v>
      </c>
      <c r="Q687" s="17" t="s">
        <v>35</v>
      </c>
      <c r="R687" s="6" t="s">
        <v>35</v>
      </c>
      <c r="S687" s="17" t="s">
        <v>36</v>
      </c>
      <c r="T687" s="17" t="s">
        <v>4750</v>
      </c>
      <c r="U687" s="173" t="s">
        <v>38</v>
      </c>
      <c r="V687" s="11" t="s">
        <v>28</v>
      </c>
      <c r="W687" s="20" t="s">
        <v>39</v>
      </c>
      <c r="X687" s="20" t="s">
        <v>39</v>
      </c>
      <c r="Y687" s="20"/>
      <c r="Z687" s="6"/>
      <c r="AA687" s="6"/>
      <c r="AB687" s="23"/>
      <c r="AC687" s="33"/>
    </row>
    <row r="688" spans="1:30" ht="15.75" customHeight="1">
      <c r="A688" s="10" t="s">
        <v>4751</v>
      </c>
      <c r="B688" s="10" t="s">
        <v>27</v>
      </c>
      <c r="C688" s="52" t="s">
        <v>868</v>
      </c>
      <c r="D688" s="12"/>
      <c r="E688" s="13" t="s">
        <v>62</v>
      </c>
      <c r="F688" s="6" t="s">
        <v>4752</v>
      </c>
      <c r="G688" s="15" t="str">
        <f ca="1">IFERROR(__xludf.DUMMYFUNCTION("CONCATENATE(B688,(VLOOKUP(C688,CATALOGOS!$F$2:$H$6,3,FALSE)),(VLOOKUP(V688,CATALOGOS!$J$2:$K$18,2,FALSE)),""-"",TO_TEXT(A688))"),"P03CV-0687")</f>
        <v>P03CV-0687</v>
      </c>
      <c r="H688" s="6" t="str">
        <f ca="1">IFERROR(__xludf.DUMMYFUNCTION("CONCATENATE($B688,(VLOOKUP($C688,CATALOGOS!$F$2:$H$6,3,FALSE)),(VLOOKUP($V688,CATALOGOS!$J$2:$K$18,2,FALSE)),""-"",TO_TEXT($A688))"),"P03CV-0687")</f>
        <v>P03CV-0687</v>
      </c>
      <c r="I688" s="6"/>
      <c r="J688" s="6" t="s">
        <v>4753</v>
      </c>
      <c r="K688" s="6" t="s">
        <v>4754</v>
      </c>
      <c r="L688" s="6" t="s">
        <v>4755</v>
      </c>
      <c r="M688" s="6" t="s">
        <v>4756</v>
      </c>
      <c r="N688" s="17"/>
      <c r="O688" s="17"/>
      <c r="P688" s="17" t="str">
        <f t="shared" si="3"/>
        <v>OK</v>
      </c>
      <c r="Q688" s="17" t="s">
        <v>35</v>
      </c>
      <c r="R688" s="6" t="s">
        <v>35</v>
      </c>
      <c r="S688" s="17" t="s">
        <v>36</v>
      </c>
      <c r="T688" s="17" t="s">
        <v>4757</v>
      </c>
      <c r="U688" s="173" t="s">
        <v>38</v>
      </c>
      <c r="V688" s="11" t="s">
        <v>875</v>
      </c>
      <c r="W688" s="22" t="s">
        <v>1004</v>
      </c>
      <c r="X688" s="22" t="s">
        <v>1004</v>
      </c>
      <c r="Y688" s="22"/>
      <c r="Z688" s="36"/>
      <c r="AA688" s="36"/>
      <c r="AB688" s="23"/>
      <c r="AC688" s="33"/>
    </row>
    <row r="689" spans="1:29" ht="15.75" customHeight="1">
      <c r="A689" s="10" t="s">
        <v>4758</v>
      </c>
      <c r="B689" s="10" t="s">
        <v>27</v>
      </c>
      <c r="C689" s="52" t="s">
        <v>868</v>
      </c>
      <c r="D689" s="12"/>
      <c r="E689" s="13" t="s">
        <v>93</v>
      </c>
      <c r="F689" s="6" t="s">
        <v>4759</v>
      </c>
      <c r="G689" s="15" t="str">
        <f ca="1">IFERROR(__xludf.DUMMYFUNCTION("CONCATENATE(B689,(VLOOKUP(C689,CATALOGOS!$F$2:$H$6,3,FALSE)),(VLOOKUP(V689,CATALOGOS!$J$2:$K$18,2,FALSE)),""-"",TO_TEXT(A689))"),"P03CV-0688")</f>
        <v>P03CV-0688</v>
      </c>
      <c r="H689" s="6" t="str">
        <f ca="1">IFERROR(__xludf.DUMMYFUNCTION("CONCATENATE($B689,(VLOOKUP($C689,CATALOGOS!$F$2:$H$6,3,FALSE)),(VLOOKUP($V689,CATALOGOS!$J$2:$K$18,2,FALSE)),""-"",TO_TEXT($A689))"),"P03CV-0688")</f>
        <v>P03CV-0688</v>
      </c>
      <c r="I689" s="6"/>
      <c r="J689" s="6" t="s">
        <v>4760</v>
      </c>
      <c r="K689" s="6" t="s">
        <v>4761</v>
      </c>
      <c r="L689" s="6" t="s">
        <v>4762</v>
      </c>
      <c r="M689" s="6" t="s">
        <v>4763</v>
      </c>
      <c r="N689" s="17"/>
      <c r="O689" s="17"/>
      <c r="P689" s="17" t="str">
        <f t="shared" si="3"/>
        <v>OK</v>
      </c>
      <c r="Q689" s="17" t="s">
        <v>35</v>
      </c>
      <c r="R689" s="6" t="s">
        <v>35</v>
      </c>
      <c r="S689" s="17" t="s">
        <v>36</v>
      </c>
      <c r="T689" s="17" t="s">
        <v>8004</v>
      </c>
      <c r="U689" s="173" t="s">
        <v>38</v>
      </c>
      <c r="V689" s="11" t="s">
        <v>875</v>
      </c>
      <c r="W689" s="22" t="s">
        <v>1004</v>
      </c>
      <c r="X689" s="22" t="s">
        <v>1004</v>
      </c>
      <c r="Y689" s="22"/>
      <c r="Z689" s="36"/>
      <c r="AA689" s="36"/>
      <c r="AB689" s="23"/>
      <c r="AC689" s="33"/>
    </row>
    <row r="690" spans="1:29" ht="15.75" customHeight="1">
      <c r="A690" s="10" t="s">
        <v>4765</v>
      </c>
      <c r="B690" s="10" t="s">
        <v>27</v>
      </c>
      <c r="C690" s="52" t="s">
        <v>868</v>
      </c>
      <c r="D690" s="12"/>
      <c r="E690" s="13" t="s">
        <v>43</v>
      </c>
      <c r="F690" s="6" t="s">
        <v>4766</v>
      </c>
      <c r="G690" s="15" t="str">
        <f ca="1">IFERROR(__xludf.DUMMYFUNCTION("CONCATENATE(B690,(VLOOKUP(C690,CATALOGOS!$F$2:$H$6,3,FALSE)),(VLOOKUP(V690,CATALOGOS!$J$2:$K$18,2,FALSE)),""-"",TO_TEXT(A690))"),"P03CV-0689")</f>
        <v>P03CV-0689</v>
      </c>
      <c r="H690" s="6" t="str">
        <f ca="1">IFERROR(__xludf.DUMMYFUNCTION("CONCATENATE($B690,(VLOOKUP($C690,CATALOGOS!$F$2:$H$6,3,FALSE)),(VLOOKUP($V690,CATALOGOS!$J$2:$K$18,2,FALSE)),""-"",TO_TEXT($A690))"),"P03CV-0689")</f>
        <v>P03CV-0689</v>
      </c>
      <c r="I690" s="6"/>
      <c r="J690" s="6" t="s">
        <v>4767</v>
      </c>
      <c r="K690" s="6" t="s">
        <v>4768</v>
      </c>
      <c r="L690" s="6" t="s">
        <v>4769</v>
      </c>
      <c r="M690" s="6" t="s">
        <v>4770</v>
      </c>
      <c r="N690" s="17"/>
      <c r="O690" s="17"/>
      <c r="P690" s="17" t="str">
        <f t="shared" si="3"/>
        <v>OK</v>
      </c>
      <c r="Q690" s="17" t="s">
        <v>4602</v>
      </c>
      <c r="R690" s="6">
        <v>10186</v>
      </c>
      <c r="S690" s="6" t="s">
        <v>36</v>
      </c>
      <c r="T690" s="10" t="s">
        <v>4771</v>
      </c>
      <c r="U690" s="173" t="s">
        <v>38</v>
      </c>
      <c r="V690" s="11" t="s">
        <v>875</v>
      </c>
      <c r="W690" s="22" t="s">
        <v>1004</v>
      </c>
      <c r="X690" s="22" t="s">
        <v>1004</v>
      </c>
      <c r="Y690" s="22"/>
      <c r="Z690" s="36"/>
      <c r="AA690" s="36"/>
      <c r="AB690" s="23"/>
      <c r="AC690" s="33"/>
    </row>
    <row r="691" spans="1:29" ht="15.75" customHeight="1">
      <c r="A691" s="10" t="s">
        <v>4772</v>
      </c>
      <c r="B691" s="10" t="s">
        <v>27</v>
      </c>
      <c r="C691" s="52" t="s">
        <v>868</v>
      </c>
      <c r="D691" s="12"/>
      <c r="E691" s="13" t="s">
        <v>116</v>
      </c>
      <c r="F691" s="6" t="s">
        <v>4773</v>
      </c>
      <c r="G691" s="15" t="str">
        <f ca="1">IFERROR(__xludf.DUMMYFUNCTION("CONCATENATE(B691,(VLOOKUP(C691,CATALOGOS!$F$2:$H$6,3,FALSE)),(VLOOKUP(V691,CATALOGOS!$J$2:$K$18,2,FALSE)),""-"",TO_TEXT(A691))"),"P03CV-0690")</f>
        <v>P03CV-0690</v>
      </c>
      <c r="H691" s="6" t="str">
        <f ca="1">IFERROR(__xludf.DUMMYFUNCTION("CONCATENATE($B691,(VLOOKUP($C691,CATALOGOS!$F$2:$H$6,3,FALSE)),(VLOOKUP($V691,CATALOGOS!$J$2:$K$18,2,FALSE)),""-"",TO_TEXT($A691))"),"P03CV-0690")</f>
        <v>P03CV-0690</v>
      </c>
      <c r="I691" s="6"/>
      <c r="J691" s="6" t="s">
        <v>4774</v>
      </c>
      <c r="K691" s="6" t="s">
        <v>4775</v>
      </c>
      <c r="L691" s="6" t="s">
        <v>4776</v>
      </c>
      <c r="M691" s="6" t="s">
        <v>4777</v>
      </c>
      <c r="N691" s="17"/>
      <c r="O691" s="17"/>
      <c r="P691" s="17" t="str">
        <f t="shared" si="3"/>
        <v>OK</v>
      </c>
      <c r="Q691" s="17" t="s">
        <v>35</v>
      </c>
      <c r="R691" s="6" t="s">
        <v>35</v>
      </c>
      <c r="S691" s="17" t="s">
        <v>36</v>
      </c>
      <c r="T691" s="17" t="s">
        <v>4778</v>
      </c>
      <c r="U691" s="173" t="s">
        <v>38</v>
      </c>
      <c r="V691" s="11" t="s">
        <v>875</v>
      </c>
      <c r="W691" s="22" t="s">
        <v>1004</v>
      </c>
      <c r="X691" s="22" t="s">
        <v>1004</v>
      </c>
      <c r="Y691" s="22"/>
      <c r="Z691" s="36"/>
      <c r="AA691" s="36"/>
      <c r="AB691" s="23"/>
      <c r="AC691" s="33"/>
    </row>
    <row r="692" spans="1:29" ht="15.75" customHeight="1">
      <c r="A692" s="10" t="s">
        <v>4779</v>
      </c>
      <c r="B692" s="10" t="s">
        <v>27</v>
      </c>
      <c r="C692" s="52" t="s">
        <v>868</v>
      </c>
      <c r="D692" s="12"/>
      <c r="E692" s="13" t="s">
        <v>93</v>
      </c>
      <c r="F692" s="6" t="s">
        <v>1739</v>
      </c>
      <c r="G692" s="15" t="str">
        <f ca="1">IFERROR(__xludf.DUMMYFUNCTION("CONCATENATE(B692,(VLOOKUP(C692,CATALOGOS!$F$2:$H$6,3,FALSE)),(VLOOKUP(V692,CATALOGOS!$J$2:$K$18,2,FALSE)),""-"",TO_TEXT(A692))"),"P03CV-0691")</f>
        <v>P03CV-0691</v>
      </c>
      <c r="H692" s="6" t="str">
        <f ca="1">IFERROR(__xludf.DUMMYFUNCTION("CONCATENATE($B692,(VLOOKUP($C692,CATALOGOS!$F$2:$H$6,3,FALSE)),(VLOOKUP($V692,CATALOGOS!$J$2:$K$18,2,FALSE)),""-"",TO_TEXT($A692))"),"P03CV-0691")</f>
        <v>P03CV-0691</v>
      </c>
      <c r="I692" s="6"/>
      <c r="J692" s="6" t="s">
        <v>4780</v>
      </c>
      <c r="K692" s="6" t="s">
        <v>4781</v>
      </c>
      <c r="L692" s="6" t="s">
        <v>4782</v>
      </c>
      <c r="M692" s="6" t="s">
        <v>4783</v>
      </c>
      <c r="N692" s="17"/>
      <c r="O692" s="17"/>
      <c r="P692" s="17" t="str">
        <f t="shared" si="3"/>
        <v>OK</v>
      </c>
      <c r="Q692" s="17" t="s">
        <v>35</v>
      </c>
      <c r="R692" s="6" t="s">
        <v>35</v>
      </c>
      <c r="S692" s="17" t="s">
        <v>36</v>
      </c>
      <c r="T692" s="17" t="s">
        <v>4784</v>
      </c>
      <c r="U692" s="173" t="s">
        <v>38</v>
      </c>
      <c r="V692" s="11" t="s">
        <v>875</v>
      </c>
      <c r="W692" s="22" t="s">
        <v>1004</v>
      </c>
      <c r="X692" s="22" t="s">
        <v>1004</v>
      </c>
      <c r="Y692" s="22"/>
      <c r="Z692" s="36"/>
      <c r="AA692" s="36"/>
      <c r="AB692" s="23"/>
      <c r="AC692" s="33"/>
    </row>
    <row r="693" spans="1:29" ht="15.75" customHeight="1">
      <c r="A693" s="10" t="s">
        <v>4785</v>
      </c>
      <c r="B693" s="10" t="s">
        <v>27</v>
      </c>
      <c r="C693" s="52" t="s">
        <v>868</v>
      </c>
      <c r="D693" s="12"/>
      <c r="E693" s="13" t="s">
        <v>151</v>
      </c>
      <c r="F693" s="6" t="s">
        <v>714</v>
      </c>
      <c r="G693" s="64" t="str">
        <f ca="1">IFERROR(__xludf.DUMMYFUNCTION("CONCATENATE(B693,(VLOOKUP(C693,CATALOGOS!$F$2:$H$6,3,FALSE)),(VLOOKUP(V693,CATALOGOS!$J$2:$K$18,2,FALSE)),""-"",TO_TEXT(A693))"),"P03CV-0692")</f>
        <v>P03CV-0692</v>
      </c>
      <c r="H693" s="6" t="str">
        <f ca="1">IFERROR(__xludf.DUMMYFUNCTION("CONCATENATE($B693,(VLOOKUP($C693,CATALOGOS!$F$2:$H$6,3,FALSE)),(VLOOKUP($V693,CATALOGOS!$J$2:$K$18,2,FALSE)),""-"",TO_TEXT($A693))"),"P03CV-0692")</f>
        <v>P03CV-0692</v>
      </c>
      <c r="I693" s="6"/>
      <c r="J693" s="6" t="s">
        <v>4786</v>
      </c>
      <c r="K693" s="6" t="s">
        <v>4787</v>
      </c>
      <c r="L693" s="6" t="s">
        <v>4788</v>
      </c>
      <c r="M693" s="6" t="s">
        <v>4789</v>
      </c>
      <c r="N693" s="17"/>
      <c r="O693" s="17"/>
      <c r="P693" s="17" t="str">
        <f t="shared" si="3"/>
        <v>OK</v>
      </c>
      <c r="Q693" s="17" t="s">
        <v>719</v>
      </c>
      <c r="R693" s="6" t="s">
        <v>720</v>
      </c>
      <c r="S693" s="6" t="s">
        <v>4790</v>
      </c>
      <c r="T693" s="17" t="s">
        <v>4791</v>
      </c>
      <c r="U693" s="173" t="s">
        <v>38</v>
      </c>
      <c r="V693" s="11" t="s">
        <v>875</v>
      </c>
      <c r="W693" s="20" t="s">
        <v>4574</v>
      </c>
      <c r="X693" s="20" t="s">
        <v>4574</v>
      </c>
      <c r="Y693" s="20"/>
      <c r="Z693" s="36"/>
      <c r="AA693" s="36"/>
      <c r="AB693" s="23"/>
      <c r="AC693" s="33"/>
    </row>
    <row r="694" spans="1:29" ht="15.75" customHeight="1">
      <c r="A694" s="10" t="s">
        <v>4792</v>
      </c>
      <c r="B694" s="10" t="s">
        <v>27</v>
      </c>
      <c r="C694" s="52" t="s">
        <v>868</v>
      </c>
      <c r="D694" s="12"/>
      <c r="E694" s="13" t="s">
        <v>199</v>
      </c>
      <c r="F694" s="6" t="s">
        <v>199</v>
      </c>
      <c r="G694" s="15" t="str">
        <f ca="1">IFERROR(__xludf.DUMMYFUNCTION("CONCATENATE(B694,(VLOOKUP(C694,CATALOGOS!$F$2:$H$6,3,FALSE)),(VLOOKUP(V694,CATALOGOS!$J$2:$K$18,2,FALSE)),""-"",TO_TEXT(A694))"),"P03CV-0693")</f>
        <v>P03CV-0693</v>
      </c>
      <c r="H694" s="6" t="str">
        <f ca="1">IFERROR(__xludf.DUMMYFUNCTION("CONCATENATE($B694,(VLOOKUP($C694,CATALOGOS!$F$2:$H$6,3,FALSE)),(VLOOKUP($V694,CATALOGOS!$J$2:$K$18,2,FALSE)),""-"",TO_TEXT($A694))"),"P03CV-0693")</f>
        <v>P03CV-0693</v>
      </c>
      <c r="I694" s="6"/>
      <c r="J694" s="6" t="s">
        <v>4793</v>
      </c>
      <c r="K694" s="6" t="s">
        <v>4794</v>
      </c>
      <c r="L694" s="6" t="s">
        <v>4795</v>
      </c>
      <c r="M694" s="6" t="s">
        <v>4796</v>
      </c>
      <c r="N694" s="17"/>
      <c r="O694" s="17"/>
      <c r="P694" s="17" t="str">
        <f t="shared" si="3"/>
        <v>OK</v>
      </c>
      <c r="Q694" s="17" t="s">
        <v>205</v>
      </c>
      <c r="R694" s="6" t="s">
        <v>794</v>
      </c>
      <c r="S694" s="17" t="s">
        <v>4797</v>
      </c>
      <c r="T694" s="17" t="s">
        <v>4798</v>
      </c>
      <c r="U694" s="179" t="s">
        <v>100</v>
      </c>
      <c r="V694" s="11" t="s">
        <v>875</v>
      </c>
      <c r="W694" s="22" t="s">
        <v>1004</v>
      </c>
      <c r="X694" s="22" t="s">
        <v>1004</v>
      </c>
      <c r="Y694" s="22"/>
      <c r="Z694" s="36"/>
      <c r="AA694" s="36"/>
      <c r="AB694" s="23"/>
      <c r="AC694" s="33"/>
    </row>
    <row r="695" spans="1:29" ht="15.75" customHeight="1">
      <c r="A695" s="10" t="s">
        <v>4799</v>
      </c>
      <c r="B695" s="10" t="s">
        <v>27</v>
      </c>
      <c r="C695" s="52" t="s">
        <v>868</v>
      </c>
      <c r="D695" s="12"/>
      <c r="E695" s="13" t="s">
        <v>1240</v>
      </c>
      <c r="F695" s="6" t="s">
        <v>278</v>
      </c>
      <c r="G695" s="15" t="str">
        <f ca="1">IFERROR(__xludf.DUMMYFUNCTION("CONCATENATE(B695,(VLOOKUP(C695,CATALOGOS!$F$2:$H$6,3,FALSE)),(VLOOKUP(V695,CATALOGOS!$J$2:$K$18,2,FALSE)),""-"",TO_TEXT(A695))"),"P03CV-0694")</f>
        <v>P03CV-0694</v>
      </c>
      <c r="H695" s="6" t="str">
        <f ca="1">IFERROR(__xludf.DUMMYFUNCTION("CONCATENATE($B695,(VLOOKUP($C695,CATALOGOS!$F$2:$H$6,3,FALSE)),(VLOOKUP($V695,CATALOGOS!$J$2:$K$18,2,FALSE)),""-"",TO_TEXT($A695))"),"P03CV-0694")</f>
        <v>P03CV-0694</v>
      </c>
      <c r="I695" s="6"/>
      <c r="J695" s="6" t="s">
        <v>4800</v>
      </c>
      <c r="K695" s="6" t="s">
        <v>4801</v>
      </c>
      <c r="L695" s="6" t="s">
        <v>4802</v>
      </c>
      <c r="M695" s="6" t="s">
        <v>4803</v>
      </c>
      <c r="N695" s="17"/>
      <c r="O695" s="17"/>
      <c r="P695" s="17" t="str">
        <f t="shared" si="3"/>
        <v>OK</v>
      </c>
      <c r="Q695" s="17" t="s">
        <v>35</v>
      </c>
      <c r="R695" s="6" t="s">
        <v>35</v>
      </c>
      <c r="S695" s="17" t="s">
        <v>36</v>
      </c>
      <c r="T695" s="17" t="s">
        <v>4804</v>
      </c>
      <c r="U695" s="173" t="s">
        <v>38</v>
      </c>
      <c r="V695" s="11" t="s">
        <v>875</v>
      </c>
      <c r="W695" s="22" t="s">
        <v>1004</v>
      </c>
      <c r="X695" s="22" t="s">
        <v>1004</v>
      </c>
      <c r="Y695" s="22"/>
      <c r="Z695" s="36"/>
      <c r="AA695" s="36"/>
      <c r="AB695" s="23"/>
      <c r="AC695" s="33"/>
    </row>
    <row r="696" spans="1:29" ht="15.75" customHeight="1">
      <c r="A696" s="10" t="s">
        <v>4805</v>
      </c>
      <c r="B696" s="10" t="s">
        <v>27</v>
      </c>
      <c r="C696" s="52" t="s">
        <v>868</v>
      </c>
      <c r="D696" s="12"/>
      <c r="E696" s="13" t="s">
        <v>248</v>
      </c>
      <c r="F696" s="6" t="s">
        <v>249</v>
      </c>
      <c r="G696" s="15" t="str">
        <f ca="1">IFERROR(__xludf.DUMMYFUNCTION("CONCATENATE(B696,(VLOOKUP(C696,CATALOGOS!$F$2:$H$6,3,FALSE)),(VLOOKUP(V696,CATALOGOS!$J$2:$K$18,2,FALSE)),""-"",TO_TEXT(A696))"),"P03CV-0695")</f>
        <v>P03CV-0695</v>
      </c>
      <c r="H696" s="6" t="str">
        <f ca="1">IFERROR(__xludf.DUMMYFUNCTION("CONCATENATE($B696,(VLOOKUP($C696,CATALOGOS!$F$2:$H$6,3,FALSE)),(VLOOKUP($V696,CATALOGOS!$J$2:$K$18,2,FALSE)),""-"",TO_TEXT($A696))"),"P03CV-0695")</f>
        <v>P03CV-0695</v>
      </c>
      <c r="I696" s="6"/>
      <c r="J696" s="6" t="s">
        <v>4806</v>
      </c>
      <c r="K696" s="6" t="s">
        <v>4807</v>
      </c>
      <c r="L696" s="6" t="s">
        <v>4808</v>
      </c>
      <c r="M696" s="6" t="s">
        <v>4809</v>
      </c>
      <c r="N696" s="17"/>
      <c r="O696" s="17"/>
      <c r="P696" s="17" t="str">
        <f t="shared" si="3"/>
        <v>OK</v>
      </c>
      <c r="Q696" s="17" t="s">
        <v>4810</v>
      </c>
      <c r="R696" s="6" t="s">
        <v>4811</v>
      </c>
      <c r="S696" s="17" t="s">
        <v>4812</v>
      </c>
      <c r="T696" s="10" t="s">
        <v>4813</v>
      </c>
      <c r="U696" s="173" t="s">
        <v>38</v>
      </c>
      <c r="V696" s="11" t="s">
        <v>875</v>
      </c>
      <c r="W696" s="22" t="s">
        <v>1004</v>
      </c>
      <c r="X696" s="22" t="s">
        <v>1004</v>
      </c>
      <c r="Y696" s="22"/>
      <c r="Z696" s="36"/>
      <c r="AA696" s="36"/>
      <c r="AB696" s="23"/>
      <c r="AC696" s="33"/>
    </row>
    <row r="697" spans="1:29" ht="15.75" customHeight="1">
      <c r="A697" s="10" t="s">
        <v>4814</v>
      </c>
      <c r="B697" s="10" t="s">
        <v>27</v>
      </c>
      <c r="C697" s="52" t="s">
        <v>868</v>
      </c>
      <c r="D697" s="38"/>
      <c r="E697" s="13" t="s">
        <v>184</v>
      </c>
      <c r="F697" s="6" t="s">
        <v>4815</v>
      </c>
      <c r="G697" s="15" t="str">
        <f ca="1">IFERROR(__xludf.DUMMYFUNCTION("CONCATENATE(B697,(VLOOKUP(C697,CATALOGOS!$F$2:$H$6,3,FALSE)),(VLOOKUP(V697,CATALOGOS!$J$2:$K$18,2,FALSE)),""-"",TO_TEXT(A697))"),"P03CV-0696")</f>
        <v>P03CV-0696</v>
      </c>
      <c r="H697" s="6" t="str">
        <f ca="1">IFERROR(__xludf.DUMMYFUNCTION("CONCATENATE($B697,(VLOOKUP($C697,CATALOGOS!$F$2:$H$6,3,FALSE)),(VLOOKUP($V697,CATALOGOS!$J$2:$K$18,2,FALSE)),""-"",TO_TEXT($A697))"),"P03CV-0696")</f>
        <v>P03CV-0696</v>
      </c>
      <c r="I697" s="6"/>
      <c r="J697" s="6" t="s">
        <v>4816</v>
      </c>
      <c r="K697" s="6" t="s">
        <v>4817</v>
      </c>
      <c r="L697" s="6" t="s">
        <v>4818</v>
      </c>
      <c r="M697" s="43" t="s">
        <v>4819</v>
      </c>
      <c r="N697" s="17"/>
      <c r="O697" s="17"/>
      <c r="P697" s="17" t="str">
        <f t="shared" si="3"/>
        <v>OK</v>
      </c>
      <c r="Q697" s="17" t="s">
        <v>35</v>
      </c>
      <c r="R697" s="6" t="s">
        <v>35</v>
      </c>
      <c r="S697" s="46" t="s">
        <v>36</v>
      </c>
      <c r="T697" s="17" t="s">
        <v>4820</v>
      </c>
      <c r="U697" s="173" t="s">
        <v>517</v>
      </c>
      <c r="V697" s="11" t="s">
        <v>875</v>
      </c>
      <c r="W697" s="22" t="s">
        <v>1004</v>
      </c>
      <c r="X697" s="22" t="s">
        <v>1004</v>
      </c>
      <c r="Y697" s="22"/>
      <c r="Z697" s="36"/>
      <c r="AA697" s="36"/>
      <c r="AB697" s="26"/>
      <c r="AC697" s="33"/>
    </row>
    <row r="698" spans="1:29" ht="15.75" customHeight="1">
      <c r="A698" s="10" t="s">
        <v>4821</v>
      </c>
      <c r="B698" s="10" t="s">
        <v>27</v>
      </c>
      <c r="C698" s="52" t="s">
        <v>868</v>
      </c>
      <c r="D698" s="12"/>
      <c r="E698" s="13" t="s">
        <v>62</v>
      </c>
      <c r="F698" s="6" t="s">
        <v>4822</v>
      </c>
      <c r="G698" s="15" t="str">
        <f ca="1">IFERROR(__xludf.DUMMYFUNCTION("CONCATENATE(B698,(VLOOKUP(C698,CATALOGOS!$F$2:$H$6,3,FALSE)),(VLOOKUP(V698,CATALOGOS!$J$2:$K$18,2,FALSE)),""-"",TO_TEXT(A698))"),"P03CV-0697")</f>
        <v>P03CV-0697</v>
      </c>
      <c r="H698" s="6" t="str">
        <f ca="1">IFERROR(__xludf.DUMMYFUNCTION("CONCATENATE($B698,(VLOOKUP($C698,CATALOGOS!$F$2:$H$6,3,FALSE)),(VLOOKUP($V698,CATALOGOS!$J$2:$K$18,2,FALSE)),""-"",TO_TEXT($A698))"),"P03CV-0697")</f>
        <v>P03CV-0697</v>
      </c>
      <c r="I698" s="6"/>
      <c r="J698" s="6" t="s">
        <v>4823</v>
      </c>
      <c r="K698" s="6" t="s">
        <v>4824</v>
      </c>
      <c r="L698" s="6" t="s">
        <v>4825</v>
      </c>
      <c r="M698" s="6" t="s">
        <v>4826</v>
      </c>
      <c r="N698" s="17"/>
      <c r="O698" s="17"/>
      <c r="P698" s="17" t="str">
        <f t="shared" si="3"/>
        <v>OK</v>
      </c>
      <c r="Q698" s="17" t="s">
        <v>35</v>
      </c>
      <c r="R698" s="6" t="s">
        <v>35</v>
      </c>
      <c r="S698" s="17" t="s">
        <v>36</v>
      </c>
      <c r="T698" s="17" t="s">
        <v>4827</v>
      </c>
      <c r="U698" s="173" t="s">
        <v>38</v>
      </c>
      <c r="V698" s="11" t="s">
        <v>875</v>
      </c>
      <c r="W698" s="20" t="s">
        <v>4629</v>
      </c>
      <c r="X698" s="20" t="s">
        <v>4629</v>
      </c>
      <c r="Y698" s="20"/>
      <c r="Z698" s="36"/>
      <c r="AA698" s="36"/>
      <c r="AB698" s="23"/>
      <c r="AC698" s="33"/>
    </row>
    <row r="699" spans="1:29" ht="15.75" customHeight="1">
      <c r="A699" s="10" t="s">
        <v>4828</v>
      </c>
      <c r="B699" s="10" t="s">
        <v>27</v>
      </c>
      <c r="C699" s="52" t="s">
        <v>868</v>
      </c>
      <c r="D699" s="12"/>
      <c r="E699" s="13" t="s">
        <v>116</v>
      </c>
      <c r="F699" s="6" t="s">
        <v>364</v>
      </c>
      <c r="G699" s="15" t="str">
        <f ca="1">IFERROR(__xludf.DUMMYFUNCTION("CONCATENATE(B699,(VLOOKUP(C699,CATALOGOS!$F$2:$H$6,3,FALSE)),(VLOOKUP(V699,CATALOGOS!$J$2:$K$18,2,FALSE)),""-"",TO_TEXT(A699))"),"P03CV-0698")</f>
        <v>P03CV-0698</v>
      </c>
      <c r="H699" s="6" t="str">
        <f ca="1">IFERROR(__xludf.DUMMYFUNCTION("CONCATENATE($B699,(VLOOKUP($C699,CATALOGOS!$F$2:$H$6,3,FALSE)),(VLOOKUP($V699,CATALOGOS!$J$2:$K$18,2,FALSE)),""-"",TO_TEXT($A699))"),"P03CV-0698")</f>
        <v>P03CV-0698</v>
      </c>
      <c r="I699" s="6"/>
      <c r="J699" s="6" t="s">
        <v>4829</v>
      </c>
      <c r="K699" s="6" t="s">
        <v>4830</v>
      </c>
      <c r="L699" s="6" t="s">
        <v>4831</v>
      </c>
      <c r="M699" s="6" t="s">
        <v>4832</v>
      </c>
      <c r="N699" s="17"/>
      <c r="O699" s="17"/>
      <c r="P699" s="17" t="str">
        <f t="shared" si="3"/>
        <v>OK</v>
      </c>
      <c r="Q699" s="17" t="s">
        <v>35</v>
      </c>
      <c r="R699" s="6" t="s">
        <v>35</v>
      </c>
      <c r="S699" s="17" t="s">
        <v>36</v>
      </c>
      <c r="T699" s="17" t="s">
        <v>4833</v>
      </c>
      <c r="U699" s="173" t="s">
        <v>38</v>
      </c>
      <c r="V699" s="11" t="s">
        <v>875</v>
      </c>
      <c r="W699" s="20" t="s">
        <v>4629</v>
      </c>
      <c r="X699" s="20" t="s">
        <v>4629</v>
      </c>
      <c r="Y699" s="20"/>
      <c r="Z699" s="36"/>
      <c r="AA699" s="36"/>
      <c r="AB699" s="23"/>
      <c r="AC699" s="33"/>
    </row>
    <row r="700" spans="1:29" ht="15.75" customHeight="1">
      <c r="A700" s="10" t="s">
        <v>4834</v>
      </c>
      <c r="B700" s="10" t="s">
        <v>27</v>
      </c>
      <c r="C700" s="52" t="s">
        <v>868</v>
      </c>
      <c r="D700" s="12"/>
      <c r="E700" s="13" t="s">
        <v>93</v>
      </c>
      <c r="F700" s="6" t="s">
        <v>1739</v>
      </c>
      <c r="G700" s="15" t="str">
        <f ca="1">IFERROR(__xludf.DUMMYFUNCTION("CONCATENATE(B700,(VLOOKUP(C700,CATALOGOS!$F$2:$H$6,3,FALSE)),(VLOOKUP(V700,CATALOGOS!$J$2:$K$18,2,FALSE)),""-"",TO_TEXT(A700))"),"P03CV-0699")</f>
        <v>P03CV-0699</v>
      </c>
      <c r="H700" s="6" t="str">
        <f ca="1">IFERROR(__xludf.DUMMYFUNCTION("CONCATENATE($B700,(VLOOKUP($C700,CATALOGOS!$F$2:$H$6,3,FALSE)),(VLOOKUP($V700,CATALOGOS!$J$2:$K$18,2,FALSE)),""-"",TO_TEXT($A700))"),"P03CV-0699")</f>
        <v>P03CV-0699</v>
      </c>
      <c r="I700" s="6"/>
      <c r="J700" s="6" t="s">
        <v>4835</v>
      </c>
      <c r="K700" s="6" t="s">
        <v>4836</v>
      </c>
      <c r="L700" s="6" t="s">
        <v>4837</v>
      </c>
      <c r="M700" s="6" t="s">
        <v>4838</v>
      </c>
      <c r="N700" s="17"/>
      <c r="O700" s="17"/>
      <c r="P700" s="17" t="str">
        <f t="shared" si="3"/>
        <v>OK</v>
      </c>
      <c r="Q700" s="17" t="s">
        <v>35</v>
      </c>
      <c r="R700" s="6" t="s">
        <v>35</v>
      </c>
      <c r="S700" s="17" t="s">
        <v>36</v>
      </c>
      <c r="T700" s="17" t="s">
        <v>4839</v>
      </c>
      <c r="U700" s="173" t="s">
        <v>38</v>
      </c>
      <c r="V700" s="11" t="s">
        <v>875</v>
      </c>
      <c r="W700" s="20" t="s">
        <v>4629</v>
      </c>
      <c r="X700" s="20" t="s">
        <v>4629</v>
      </c>
      <c r="Y700" s="20"/>
      <c r="Z700" s="36"/>
      <c r="AA700" s="36"/>
      <c r="AB700" s="23"/>
      <c r="AC700" s="33"/>
    </row>
    <row r="701" spans="1:29" ht="15.75" customHeight="1">
      <c r="A701" s="10" t="s">
        <v>4840</v>
      </c>
      <c r="B701" s="10" t="s">
        <v>27</v>
      </c>
      <c r="C701" s="52" t="s">
        <v>868</v>
      </c>
      <c r="D701" s="12"/>
      <c r="E701" s="13" t="s">
        <v>248</v>
      </c>
      <c r="F701" s="6" t="s">
        <v>249</v>
      </c>
      <c r="G701" s="15" t="str">
        <f ca="1">IFERROR(__xludf.DUMMYFUNCTION("CONCATENATE(B701,(VLOOKUP(C701,CATALOGOS!$F$2:$H$6,3,FALSE)),(VLOOKUP(V701,CATALOGOS!$J$2:$K$18,2,FALSE)),""-"",TO_TEXT(A701))"),"P03CV-0700")</f>
        <v>P03CV-0700</v>
      </c>
      <c r="H701" s="6" t="str">
        <f ca="1">IFERROR(__xludf.DUMMYFUNCTION("CONCATENATE($B701,(VLOOKUP($C701,CATALOGOS!$F$2:$H$6,3,FALSE)),(VLOOKUP($V701,CATALOGOS!$J$2:$K$18,2,FALSE)),""-"",TO_TEXT($A701))"),"P03CV-0700")</f>
        <v>P03CV-0700</v>
      </c>
      <c r="I701" s="6"/>
      <c r="J701" s="6" t="s">
        <v>4841</v>
      </c>
      <c r="K701" s="6" t="s">
        <v>4842</v>
      </c>
      <c r="L701" s="6" t="s">
        <v>4843</v>
      </c>
      <c r="M701" s="43" t="s">
        <v>4844</v>
      </c>
      <c r="N701" s="17"/>
      <c r="O701" s="17"/>
      <c r="P701" s="17" t="str">
        <f t="shared" si="3"/>
        <v>OK</v>
      </c>
      <c r="Q701" s="17" t="s">
        <v>978</v>
      </c>
      <c r="R701" s="6" t="s">
        <v>979</v>
      </c>
      <c r="S701" s="17" t="s">
        <v>4845</v>
      </c>
      <c r="T701" s="17" t="s">
        <v>4846</v>
      </c>
      <c r="U701" s="173" t="s">
        <v>38</v>
      </c>
      <c r="V701" s="11" t="s">
        <v>875</v>
      </c>
      <c r="W701" s="20" t="s">
        <v>4629</v>
      </c>
      <c r="X701" s="20" t="s">
        <v>4629</v>
      </c>
      <c r="Y701" s="20"/>
      <c r="Z701" s="36"/>
      <c r="AA701" s="36"/>
      <c r="AB701" s="23"/>
      <c r="AC701" s="33"/>
    </row>
    <row r="702" spans="1:29" ht="15.75" customHeight="1">
      <c r="A702" s="10" t="s">
        <v>4847</v>
      </c>
      <c r="B702" s="10" t="s">
        <v>27</v>
      </c>
      <c r="C702" s="52" t="s">
        <v>868</v>
      </c>
      <c r="D702" s="38"/>
      <c r="E702" s="13" t="s">
        <v>162</v>
      </c>
      <c r="F702" s="6" t="s">
        <v>285</v>
      </c>
      <c r="G702" s="64" t="str">
        <f ca="1">IFERROR(__xludf.DUMMYFUNCTION("CONCATENATE(B702,(VLOOKUP(C702,CATALOGOS!$F$2:$H$6,3,FALSE)),(VLOOKUP(V702,CATALOGOS!$J$2:$K$18,2,FALSE)),""-"",TO_TEXT(A702))"),"P03CV-0701")</f>
        <v>P03CV-0701</v>
      </c>
      <c r="H702" s="6" t="str">
        <f ca="1">IFERROR(__xludf.DUMMYFUNCTION("CONCATENATE($B702,(VLOOKUP($C702,CATALOGOS!$F$2:$H$6,3,FALSE)),(VLOOKUP($V702,CATALOGOS!$J$2:$K$18,2,FALSE)),""-"",TO_TEXT($A702))"),"P03CV-0701")</f>
        <v>P03CV-0701</v>
      </c>
      <c r="I702" s="6"/>
      <c r="J702" s="6" t="s">
        <v>4848</v>
      </c>
      <c r="K702" s="6" t="s">
        <v>4849</v>
      </c>
      <c r="L702" s="6" t="s">
        <v>4850</v>
      </c>
      <c r="M702" s="6" t="s">
        <v>4851</v>
      </c>
      <c r="N702" s="17"/>
      <c r="O702" s="17"/>
      <c r="P702" s="17" t="str">
        <f t="shared" si="3"/>
        <v>OK</v>
      </c>
      <c r="Q702" s="17" t="s">
        <v>168</v>
      </c>
      <c r="R702" s="6" t="s">
        <v>169</v>
      </c>
      <c r="S702" s="46" t="s">
        <v>4852</v>
      </c>
      <c r="T702" s="17" t="s">
        <v>4853</v>
      </c>
      <c r="U702" s="173" t="s">
        <v>549</v>
      </c>
      <c r="V702" s="11" t="s">
        <v>875</v>
      </c>
      <c r="W702" s="20" t="s">
        <v>4574</v>
      </c>
      <c r="X702" s="20" t="s">
        <v>4574</v>
      </c>
      <c r="Y702" s="20"/>
      <c r="Z702" s="36"/>
      <c r="AA702" s="36"/>
      <c r="AB702" s="26"/>
      <c r="AC702" s="33"/>
    </row>
    <row r="703" spans="1:29" ht="15.75" customHeight="1">
      <c r="A703" s="10" t="s">
        <v>4854</v>
      </c>
      <c r="B703" s="10" t="s">
        <v>27</v>
      </c>
      <c r="C703" s="52" t="s">
        <v>868</v>
      </c>
      <c r="D703" s="12"/>
      <c r="E703" s="13" t="s">
        <v>93</v>
      </c>
      <c r="F703" s="6" t="s">
        <v>4855</v>
      </c>
      <c r="G703" s="15" t="str">
        <f ca="1">IFERROR(__xludf.DUMMYFUNCTION("CONCATENATE(B703,(VLOOKUP(C703,CATALOGOS!$F$2:$H$6,3,FALSE)),(VLOOKUP(V703,CATALOGOS!$J$2:$K$18,2,FALSE)),""-"",TO_TEXT(A703))"),"P03CV-0702")</f>
        <v>P03CV-0702</v>
      </c>
      <c r="H703" s="6" t="str">
        <f ca="1">IFERROR(__xludf.DUMMYFUNCTION("CONCATENATE($B703,(VLOOKUP($C703,CATALOGOS!$F$2:$H$6,3,FALSE)),(VLOOKUP($V703,CATALOGOS!$J$2:$K$18,2,FALSE)),""-"",TO_TEXT($A703))"),"P03CV-0702")</f>
        <v>P03CV-0702</v>
      </c>
      <c r="I703" s="6"/>
      <c r="J703" s="6" t="s">
        <v>4856</v>
      </c>
      <c r="K703" s="6" t="s">
        <v>4857</v>
      </c>
      <c r="L703" s="6" t="s">
        <v>4858</v>
      </c>
      <c r="M703" s="6" t="s">
        <v>4859</v>
      </c>
      <c r="N703" s="17"/>
      <c r="O703" s="17"/>
      <c r="P703" s="17" t="str">
        <f t="shared" si="3"/>
        <v>OK</v>
      </c>
      <c r="Q703" s="17" t="s">
        <v>35</v>
      </c>
      <c r="R703" s="6" t="s">
        <v>35</v>
      </c>
      <c r="S703" s="17" t="s">
        <v>36</v>
      </c>
      <c r="T703" s="17" t="s">
        <v>4860</v>
      </c>
      <c r="U703" s="173" t="s">
        <v>38</v>
      </c>
      <c r="V703" s="11" t="s">
        <v>875</v>
      </c>
      <c r="W703" s="22" t="s">
        <v>4737</v>
      </c>
      <c r="X703" s="22" t="s">
        <v>4737</v>
      </c>
      <c r="Y703" s="22"/>
      <c r="Z703" s="36"/>
      <c r="AA703" s="36"/>
      <c r="AB703" s="23"/>
      <c r="AC703" s="33"/>
    </row>
    <row r="704" spans="1:29" ht="15.75" customHeight="1">
      <c r="A704" s="10" t="s">
        <v>4861</v>
      </c>
      <c r="B704" s="10" t="s">
        <v>27</v>
      </c>
      <c r="C704" s="52" t="s">
        <v>868</v>
      </c>
      <c r="D704" s="12"/>
      <c r="E704" s="13" t="s">
        <v>116</v>
      </c>
      <c r="F704" s="6" t="s">
        <v>1443</v>
      </c>
      <c r="G704" s="15" t="str">
        <f ca="1">IFERROR(__xludf.DUMMYFUNCTION("CONCATENATE(B704,(VLOOKUP(C704,CATALOGOS!$F$2:$H$6,3,FALSE)),(VLOOKUP(V704,CATALOGOS!$J$2:$K$18,2,FALSE)),""-"",TO_TEXT(A704))"),"P03CV-0703")</f>
        <v>P03CV-0703</v>
      </c>
      <c r="H704" s="6" t="str">
        <f ca="1">IFERROR(__xludf.DUMMYFUNCTION("CONCATENATE($B704,(VLOOKUP($C704,CATALOGOS!$F$2:$H$6,3,FALSE)),(VLOOKUP($V704,CATALOGOS!$J$2:$K$18,2,FALSE)),""-"",TO_TEXT($A704))"),"P03CV-0703")</f>
        <v>P03CV-0703</v>
      </c>
      <c r="I704" s="6"/>
      <c r="J704" s="6" t="s">
        <v>4862</v>
      </c>
      <c r="K704" s="6" t="s">
        <v>4863</v>
      </c>
      <c r="L704" s="6" t="s">
        <v>4864</v>
      </c>
      <c r="M704" s="6" t="s">
        <v>4865</v>
      </c>
      <c r="N704" s="17"/>
      <c r="O704" s="17"/>
      <c r="P704" s="17" t="str">
        <f t="shared" si="3"/>
        <v>OK</v>
      </c>
      <c r="Q704" s="17" t="s">
        <v>35</v>
      </c>
      <c r="R704" s="6" t="s">
        <v>35</v>
      </c>
      <c r="S704" s="17" t="s">
        <v>36</v>
      </c>
      <c r="T704" s="17" t="s">
        <v>4866</v>
      </c>
      <c r="U704" s="173" t="s">
        <v>38</v>
      </c>
      <c r="V704" s="11" t="s">
        <v>875</v>
      </c>
      <c r="W704" s="22" t="s">
        <v>4737</v>
      </c>
      <c r="X704" s="22" t="s">
        <v>4737</v>
      </c>
      <c r="Y704" s="22"/>
      <c r="Z704" s="36"/>
      <c r="AA704" s="36"/>
      <c r="AB704" s="23"/>
      <c r="AC704" s="33"/>
    </row>
    <row r="705" spans="1:29" ht="15.75" customHeight="1">
      <c r="A705" s="10" t="s">
        <v>4867</v>
      </c>
      <c r="B705" s="10" t="s">
        <v>27</v>
      </c>
      <c r="C705" s="52" t="s">
        <v>868</v>
      </c>
      <c r="D705" s="12"/>
      <c r="E705" s="13" t="s">
        <v>151</v>
      </c>
      <c r="F705" s="6" t="s">
        <v>714</v>
      </c>
      <c r="G705" s="15" t="str">
        <f ca="1">IFERROR(__xludf.DUMMYFUNCTION("CONCATENATE(B705,(VLOOKUP(C705,CATALOGOS!$F$2:$H$6,3,FALSE)),(VLOOKUP(V705,CATALOGOS!$J$2:$K$18,2,FALSE)),""-"",TO_TEXT(A705))"),"P03CV-0704")</f>
        <v>P03CV-0704</v>
      </c>
      <c r="H705" s="6" t="str">
        <f ca="1">IFERROR(__xludf.DUMMYFUNCTION("CONCATENATE($B705,(VLOOKUP($C705,CATALOGOS!$F$2:$H$6,3,FALSE)),(VLOOKUP($V705,CATALOGOS!$J$2:$K$18,2,FALSE)),""-"",TO_TEXT($A705))"),"P03CV-0704")</f>
        <v>P03CV-0704</v>
      </c>
      <c r="I705" s="6"/>
      <c r="J705" s="6" t="s">
        <v>4868</v>
      </c>
      <c r="K705" s="6" t="s">
        <v>4869</v>
      </c>
      <c r="L705" s="6" t="s">
        <v>4870</v>
      </c>
      <c r="M705" s="6" t="s">
        <v>4871</v>
      </c>
      <c r="N705" s="17"/>
      <c r="O705" s="17"/>
      <c r="P705" s="17" t="str">
        <f t="shared" si="3"/>
        <v>OK</v>
      </c>
      <c r="Q705" s="17" t="s">
        <v>1220</v>
      </c>
      <c r="R705" s="6" t="s">
        <v>720</v>
      </c>
      <c r="S705" s="17" t="s">
        <v>4872</v>
      </c>
      <c r="T705" s="17" t="s">
        <v>4873</v>
      </c>
      <c r="U705" s="173" t="s">
        <v>38</v>
      </c>
      <c r="V705" s="11" t="s">
        <v>875</v>
      </c>
      <c r="W705" s="22" t="s">
        <v>4737</v>
      </c>
      <c r="X705" s="22" t="s">
        <v>4737</v>
      </c>
      <c r="Y705" s="22"/>
      <c r="Z705" s="36"/>
      <c r="AA705" s="36"/>
      <c r="AB705" s="23"/>
      <c r="AC705" s="33"/>
    </row>
    <row r="706" spans="1:29" ht="15.75" customHeight="1">
      <c r="A706" s="10" t="s">
        <v>4874</v>
      </c>
      <c r="B706" s="10" t="s">
        <v>27</v>
      </c>
      <c r="C706" s="52" t="s">
        <v>868</v>
      </c>
      <c r="D706" s="12"/>
      <c r="E706" s="13" t="s">
        <v>199</v>
      </c>
      <c r="F706" s="6" t="s">
        <v>199</v>
      </c>
      <c r="G706" s="15" t="str">
        <f ca="1">IFERROR(__xludf.DUMMYFUNCTION("CONCATENATE(B706,(VLOOKUP(C706,CATALOGOS!$F$2:$H$6,3,FALSE)),(VLOOKUP(V706,CATALOGOS!$J$2:$K$18,2,FALSE)),""-"",TO_TEXT(A706))"),"P03CV-0705")</f>
        <v>P03CV-0705</v>
      </c>
      <c r="H706" s="6" t="str">
        <f ca="1">IFERROR(__xludf.DUMMYFUNCTION("CONCATENATE($B706,(VLOOKUP($C706,CATALOGOS!$F$2:$H$6,3,FALSE)),(VLOOKUP($V706,CATALOGOS!$J$2:$K$18,2,FALSE)),""-"",TO_TEXT($A706))"),"P03CV-0705")</f>
        <v>P03CV-0705</v>
      </c>
      <c r="I706" s="6"/>
      <c r="J706" s="6" t="s">
        <v>4875</v>
      </c>
      <c r="K706" s="6" t="s">
        <v>4876</v>
      </c>
      <c r="L706" s="6" t="s">
        <v>4877</v>
      </c>
      <c r="M706" s="6" t="s">
        <v>4878</v>
      </c>
      <c r="N706" s="17"/>
      <c r="O706" s="17"/>
      <c r="P706" s="17" t="str">
        <f t="shared" si="3"/>
        <v>OK</v>
      </c>
      <c r="Q706" s="17" t="s">
        <v>297</v>
      </c>
      <c r="R706" s="6" t="s">
        <v>1399</v>
      </c>
      <c r="S706" s="17" t="s">
        <v>4879</v>
      </c>
      <c r="T706" s="17" t="s">
        <v>4880</v>
      </c>
      <c r="U706" s="173" t="s">
        <v>38</v>
      </c>
      <c r="V706" s="11" t="s">
        <v>875</v>
      </c>
      <c r="W706" s="22" t="s">
        <v>4737</v>
      </c>
      <c r="X706" s="22" t="s">
        <v>4737</v>
      </c>
      <c r="Y706" s="22"/>
      <c r="Z706" s="36"/>
      <c r="AA706" s="36"/>
      <c r="AB706" s="23"/>
      <c r="AC706" s="33"/>
    </row>
    <row r="707" spans="1:29" ht="15.75" customHeight="1">
      <c r="A707" s="10" t="s">
        <v>4881</v>
      </c>
      <c r="B707" s="10" t="s">
        <v>27</v>
      </c>
      <c r="C707" s="52" t="s">
        <v>868</v>
      </c>
      <c r="D707" s="12"/>
      <c r="E707" s="13" t="s">
        <v>162</v>
      </c>
      <c r="F707" s="43" t="s">
        <v>285</v>
      </c>
      <c r="G707" s="15" t="str">
        <f ca="1">IFERROR(__xludf.DUMMYFUNCTION("CONCATENATE(B707,(VLOOKUP(C707,CATALOGOS!$F$2:$H$6,3,FALSE)),(VLOOKUP(V707,CATALOGOS!$J$2:$K$18,2,FALSE)),""-"",TO_TEXT(A707))"),"P03CV-0706")</f>
        <v>P03CV-0706</v>
      </c>
      <c r="H707" s="6" t="str">
        <f ca="1">IFERROR(__xludf.DUMMYFUNCTION("CONCATENATE($B707,(VLOOKUP($C707,CATALOGOS!$F$2:$H$6,3,FALSE)),(VLOOKUP($V707,CATALOGOS!$J$2:$K$18,2,FALSE)),""-"",TO_TEXT($A707))"),"P03CV-0706")</f>
        <v>P03CV-0706</v>
      </c>
      <c r="I707" s="6"/>
      <c r="J707" s="6" t="s">
        <v>4882</v>
      </c>
      <c r="K707" s="6" t="s">
        <v>4883</v>
      </c>
      <c r="L707" s="6" t="s">
        <v>4884</v>
      </c>
      <c r="M707" s="6" t="s">
        <v>4885</v>
      </c>
      <c r="N707" s="17"/>
      <c r="O707" s="17"/>
      <c r="P707" s="17" t="str">
        <f t="shared" si="3"/>
        <v>OK</v>
      </c>
      <c r="Q707" s="17" t="s">
        <v>663</v>
      </c>
      <c r="R707" s="6" t="s">
        <v>664</v>
      </c>
      <c r="S707" s="17" t="s">
        <v>4886</v>
      </c>
      <c r="T707" s="10" t="s">
        <v>4887</v>
      </c>
      <c r="U707" s="173" t="s">
        <v>38</v>
      </c>
      <c r="V707" s="11" t="s">
        <v>875</v>
      </c>
      <c r="W707" s="22" t="s">
        <v>4737</v>
      </c>
      <c r="X707" s="22" t="s">
        <v>4737</v>
      </c>
      <c r="Y707" s="22"/>
      <c r="Z707" s="36"/>
      <c r="AA707" s="36"/>
      <c r="AB707" s="23"/>
      <c r="AC707" s="33"/>
    </row>
    <row r="708" spans="1:29" ht="15.75" customHeight="1">
      <c r="A708" s="10" t="s">
        <v>4888</v>
      </c>
      <c r="B708" s="10" t="s">
        <v>27</v>
      </c>
      <c r="C708" s="52" t="s">
        <v>868</v>
      </c>
      <c r="D708" s="12"/>
      <c r="E708" s="13" t="s">
        <v>248</v>
      </c>
      <c r="F708" s="6" t="s">
        <v>249</v>
      </c>
      <c r="G708" s="15" t="str">
        <f ca="1">IFERROR(__xludf.DUMMYFUNCTION("CONCATENATE(B708,(VLOOKUP(C708,CATALOGOS!$F$2:$H$6,3,FALSE)),(VLOOKUP(V708,CATALOGOS!$J$2:$K$18,2,FALSE)),""-"",TO_TEXT(A708))"),"P03CV-0707")</f>
        <v>P03CV-0707</v>
      </c>
      <c r="H708" s="6" t="str">
        <f ca="1">IFERROR(__xludf.DUMMYFUNCTION("CONCATENATE($B708,(VLOOKUP($C708,CATALOGOS!$F$2:$H$6,3,FALSE)),(VLOOKUP($V708,CATALOGOS!$J$2:$K$18,2,FALSE)),""-"",TO_TEXT($A708))"),"P03CV-0707")</f>
        <v>P03CV-0707</v>
      </c>
      <c r="I708" s="6"/>
      <c r="J708" s="6" t="s">
        <v>4889</v>
      </c>
      <c r="K708" s="6" t="s">
        <v>4890</v>
      </c>
      <c r="L708" s="6" t="s">
        <v>4891</v>
      </c>
      <c r="M708" s="6" t="s">
        <v>4892</v>
      </c>
      <c r="N708" s="17"/>
      <c r="O708" s="17"/>
      <c r="P708" s="17" t="str">
        <f t="shared" si="3"/>
        <v>OK</v>
      </c>
      <c r="Q708" s="17" t="s">
        <v>978</v>
      </c>
      <c r="R708" s="6" t="s">
        <v>979</v>
      </c>
      <c r="S708" s="17" t="s">
        <v>4893</v>
      </c>
      <c r="T708" s="17" t="s">
        <v>4894</v>
      </c>
      <c r="U708" s="173" t="s">
        <v>38</v>
      </c>
      <c r="V708" s="11" t="s">
        <v>875</v>
      </c>
      <c r="W708" s="22" t="s">
        <v>4737</v>
      </c>
      <c r="X708" s="22" t="s">
        <v>4737</v>
      </c>
      <c r="Y708" s="22"/>
      <c r="Z708" s="36"/>
      <c r="AA708" s="36"/>
      <c r="AB708" s="23"/>
      <c r="AC708" s="33"/>
    </row>
    <row r="709" spans="1:29" ht="15.75" customHeight="1">
      <c r="A709" s="10" t="s">
        <v>4895</v>
      </c>
      <c r="B709" s="10" t="s">
        <v>27</v>
      </c>
      <c r="C709" s="52" t="s">
        <v>868</v>
      </c>
      <c r="D709" s="12"/>
      <c r="E709" s="13" t="s">
        <v>378</v>
      </c>
      <c r="F709" s="6" t="s">
        <v>379</v>
      </c>
      <c r="G709" s="15" t="str">
        <f ca="1">IFERROR(__xludf.DUMMYFUNCTION("CONCATENATE(B709,(VLOOKUP(C709,CATALOGOS!$F$2:$H$6,3,FALSE)),(VLOOKUP(V709,CATALOGOS!$J$2:$K$18,2,FALSE)),""-"",TO_TEXT(A709))"),"P03CV-0708")</f>
        <v>P03CV-0708</v>
      </c>
      <c r="H709" s="6" t="str">
        <f ca="1">IFERROR(__xludf.DUMMYFUNCTION("CONCATENATE($B709,(VLOOKUP($C709,CATALOGOS!$F$2:$H$6,3,FALSE)),(VLOOKUP($V709,CATALOGOS!$J$2:$K$18,2,FALSE)),""-"",TO_TEXT($A709))"),"P03CV-0708")</f>
        <v>P03CV-0708</v>
      </c>
      <c r="I709" s="6"/>
      <c r="J709" s="6" t="s">
        <v>4896</v>
      </c>
      <c r="K709" s="6" t="s">
        <v>4897</v>
      </c>
      <c r="L709" s="6" t="s">
        <v>4898</v>
      </c>
      <c r="M709" s="6" t="s">
        <v>4899</v>
      </c>
      <c r="N709" s="17"/>
      <c r="O709" s="17"/>
      <c r="P709" s="17" t="str">
        <f t="shared" si="3"/>
        <v>OK</v>
      </c>
      <c r="Q709" s="17" t="s">
        <v>35</v>
      </c>
      <c r="R709" s="6" t="s">
        <v>35</v>
      </c>
      <c r="S709" s="17" t="s">
        <v>36</v>
      </c>
      <c r="T709" s="17" t="s">
        <v>4900</v>
      </c>
      <c r="U709" s="173" t="s">
        <v>38</v>
      </c>
      <c r="V709" s="11" t="s">
        <v>875</v>
      </c>
      <c r="W709" s="22" t="s">
        <v>4737</v>
      </c>
      <c r="X709" s="22" t="s">
        <v>4737</v>
      </c>
      <c r="Y709" s="22"/>
      <c r="Z709" s="36"/>
      <c r="AA709" s="36"/>
      <c r="AB709" s="23"/>
      <c r="AC709" s="33"/>
    </row>
    <row r="710" spans="1:29" ht="15.75" customHeight="1">
      <c r="A710" s="10" t="s">
        <v>4901</v>
      </c>
      <c r="B710" s="10" t="s">
        <v>27</v>
      </c>
      <c r="C710" s="52" t="s">
        <v>868</v>
      </c>
      <c r="D710" s="12"/>
      <c r="E710" s="13" t="s">
        <v>378</v>
      </c>
      <c r="F710" s="6" t="s">
        <v>4902</v>
      </c>
      <c r="G710" s="15" t="str">
        <f ca="1">IFERROR(__xludf.DUMMYFUNCTION("CONCATENATE(B710,(VLOOKUP(C710,CATALOGOS!$F$2:$H$6,3,FALSE)),(VLOOKUP(V710,CATALOGOS!$J$2:$K$18,2,FALSE)),""-"",TO_TEXT(A710))"),"P03CV-0709")</f>
        <v>P03CV-0709</v>
      </c>
      <c r="H710" s="6" t="str">
        <f ca="1">IFERROR(__xludf.DUMMYFUNCTION("CONCATENATE($B710,(VLOOKUP($C710,CATALOGOS!$F$2:$H$6,3,FALSE)),(VLOOKUP($V710,CATALOGOS!$J$2:$K$18,2,FALSE)),""-"",TO_TEXT($A710))"),"P03CV-0709")</f>
        <v>P03CV-0709</v>
      </c>
      <c r="I710" s="6"/>
      <c r="J710" s="6" t="s">
        <v>4903</v>
      </c>
      <c r="K710" s="6" t="s">
        <v>4904</v>
      </c>
      <c r="L710" s="36"/>
      <c r="M710" s="6" t="s">
        <v>141</v>
      </c>
      <c r="N710" s="17"/>
      <c r="O710" s="17"/>
      <c r="P710" s="17" t="str">
        <f t="shared" si="3"/>
        <v>REPETIDO</v>
      </c>
      <c r="Q710" s="17" t="s">
        <v>35</v>
      </c>
      <c r="R710" s="6" t="s">
        <v>35</v>
      </c>
      <c r="S710" s="6" t="s">
        <v>36</v>
      </c>
      <c r="T710" s="10" t="s">
        <v>4905</v>
      </c>
      <c r="U710" s="173" t="s">
        <v>38</v>
      </c>
      <c r="V710" s="11" t="s">
        <v>875</v>
      </c>
      <c r="W710" s="22" t="s">
        <v>4737</v>
      </c>
      <c r="X710" s="22" t="s">
        <v>4737</v>
      </c>
      <c r="Y710" s="22"/>
      <c r="Z710" s="36"/>
      <c r="AA710" s="36"/>
      <c r="AB710" s="23"/>
      <c r="AC710" s="33"/>
    </row>
    <row r="711" spans="1:29" ht="15.75" customHeight="1">
      <c r="A711" s="10" t="s">
        <v>4906</v>
      </c>
      <c r="B711" s="10" t="s">
        <v>27</v>
      </c>
      <c r="C711" s="52" t="s">
        <v>868</v>
      </c>
      <c r="D711" s="38"/>
      <c r="E711" s="13" t="s">
        <v>184</v>
      </c>
      <c r="F711" s="6" t="s">
        <v>4815</v>
      </c>
      <c r="G711" s="15" t="str">
        <f ca="1">IFERROR(__xludf.DUMMYFUNCTION("CONCATENATE(B711,(VLOOKUP(C711,CATALOGOS!$F$2:$H$6,3,FALSE)),(VLOOKUP(V711,CATALOGOS!$J$2:$K$18,2,FALSE)),""-"",TO_TEXT(A711))"),"P03CV-0710")</f>
        <v>P03CV-0710</v>
      </c>
      <c r="H711" s="6" t="str">
        <f ca="1">IFERROR(__xludf.DUMMYFUNCTION("CONCATENATE($B711,(VLOOKUP($C711,CATALOGOS!$F$2:$H$6,3,FALSE)),(VLOOKUP($V711,CATALOGOS!$J$2:$K$18,2,FALSE)),""-"",TO_TEXT($A711))"),"P03CV-0710")</f>
        <v>P03CV-0710</v>
      </c>
      <c r="I711" s="6"/>
      <c r="J711" s="6" t="s">
        <v>4907</v>
      </c>
      <c r="K711" s="6" t="s">
        <v>4908</v>
      </c>
      <c r="L711" s="6" t="s">
        <v>4909</v>
      </c>
      <c r="M711" s="43" t="s">
        <v>4910</v>
      </c>
      <c r="N711" s="17"/>
      <c r="O711" s="17"/>
      <c r="P711" s="17" t="str">
        <f t="shared" si="3"/>
        <v>OK</v>
      </c>
      <c r="Q711" s="43" t="s">
        <v>35</v>
      </c>
      <c r="R711" s="6" t="s">
        <v>35</v>
      </c>
      <c r="S711" s="46" t="s">
        <v>36</v>
      </c>
      <c r="T711" s="17" t="s">
        <v>4911</v>
      </c>
      <c r="U711" s="173" t="s">
        <v>38</v>
      </c>
      <c r="V711" s="11" t="s">
        <v>875</v>
      </c>
      <c r="W711" s="32" t="s">
        <v>4629</v>
      </c>
      <c r="X711" s="32" t="s">
        <v>4629</v>
      </c>
      <c r="Y711" s="32"/>
      <c r="Z711" s="36"/>
      <c r="AA711" s="36"/>
      <c r="AB711" s="26"/>
      <c r="AC711" s="26"/>
    </row>
    <row r="712" spans="1:29" ht="15.75" customHeight="1">
      <c r="A712" s="10" t="s">
        <v>4912</v>
      </c>
      <c r="B712" s="10" t="s">
        <v>27</v>
      </c>
      <c r="C712" s="52" t="s">
        <v>868</v>
      </c>
      <c r="D712" s="12"/>
      <c r="E712" s="13" t="s">
        <v>151</v>
      </c>
      <c r="F712" s="6" t="s">
        <v>714</v>
      </c>
      <c r="G712" s="15" t="str">
        <f ca="1">IFERROR(__xludf.DUMMYFUNCTION("CONCATENATE(B712,(VLOOKUP(C712,CATALOGOS!$F$2:$H$6,3,FALSE)),(VLOOKUP(V712,CATALOGOS!$J$2:$K$18,2,FALSE)),""-"",TO_TEXT(A712))"),"P03CV-0711")</f>
        <v>P03CV-0711</v>
      </c>
      <c r="H712" s="6" t="str">
        <f ca="1">IFERROR(__xludf.DUMMYFUNCTION("CONCATENATE($B712,(VLOOKUP($C712,CATALOGOS!$F$2:$H$6,3,FALSE)),(VLOOKUP($V712,CATALOGOS!$J$2:$K$18,2,FALSE)),""-"",TO_TEXT($A712))"),"P03CV-0711")</f>
        <v>P03CV-0711</v>
      </c>
      <c r="I712" s="6"/>
      <c r="J712" s="6" t="s">
        <v>4913</v>
      </c>
      <c r="K712" s="6" t="s">
        <v>4914</v>
      </c>
      <c r="L712" s="6" t="s">
        <v>4915</v>
      </c>
      <c r="M712" s="6" t="s">
        <v>4916</v>
      </c>
      <c r="N712" s="17"/>
      <c r="O712" s="17"/>
      <c r="P712" s="17" t="str">
        <f t="shared" si="3"/>
        <v>OK</v>
      </c>
      <c r="Q712" s="17" t="s">
        <v>1220</v>
      </c>
      <c r="R712" s="6" t="s">
        <v>720</v>
      </c>
      <c r="S712" s="17" t="s">
        <v>4917</v>
      </c>
      <c r="T712" s="17" t="s">
        <v>4918</v>
      </c>
      <c r="U712" s="173" t="s">
        <v>38</v>
      </c>
      <c r="V712" s="174" t="s">
        <v>875</v>
      </c>
      <c r="W712" s="22" t="s">
        <v>876</v>
      </c>
      <c r="X712" s="22" t="s">
        <v>876</v>
      </c>
      <c r="Y712" s="22"/>
      <c r="Z712" s="36"/>
      <c r="AA712" s="36"/>
      <c r="AB712" s="23"/>
      <c r="AC712" s="33"/>
    </row>
    <row r="713" spans="1:29" ht="15.75" customHeight="1">
      <c r="A713" s="10" t="s">
        <v>4919</v>
      </c>
      <c r="B713" s="10" t="s">
        <v>27</v>
      </c>
      <c r="C713" s="52" t="s">
        <v>868</v>
      </c>
      <c r="D713" s="38"/>
      <c r="E713" s="13" t="s">
        <v>199</v>
      </c>
      <c r="F713" s="6" t="s">
        <v>199</v>
      </c>
      <c r="G713" s="15" t="str">
        <f ca="1">IFERROR(__xludf.DUMMYFUNCTION("CONCATENATE(B713,(VLOOKUP(C713,CATALOGOS!$F$2:$H$6,3,FALSE)),(VLOOKUP(V713,CATALOGOS!$J$2:$K$18,2,FALSE)),""-"",TO_TEXT(A713))"),"P03CV-0712")</f>
        <v>P03CV-0712</v>
      </c>
      <c r="H713" s="6" t="str">
        <f ca="1">IFERROR(__xludf.DUMMYFUNCTION("CONCATENATE($B713,(VLOOKUP($C713,CATALOGOS!$F$2:$H$6,3,FALSE)),(VLOOKUP($V713,CATALOGOS!$J$2:$K$18,2,FALSE)),""-"",TO_TEXT($A713))"),"P03CV-0712")</f>
        <v>P03CV-0712</v>
      </c>
      <c r="I713" s="6"/>
      <c r="J713" s="6" t="s">
        <v>4920</v>
      </c>
      <c r="K713" s="6" t="s">
        <v>4921</v>
      </c>
      <c r="L713" s="6" t="s">
        <v>4922</v>
      </c>
      <c r="M713" s="6" t="s">
        <v>4923</v>
      </c>
      <c r="N713" s="17"/>
      <c r="O713" s="17"/>
      <c r="P713" s="17" t="str">
        <f t="shared" si="3"/>
        <v>OK</v>
      </c>
      <c r="Q713" s="17" t="s">
        <v>205</v>
      </c>
      <c r="R713" s="6" t="s">
        <v>4924</v>
      </c>
      <c r="S713" s="46" t="s">
        <v>4925</v>
      </c>
      <c r="T713" s="32" t="s">
        <v>4926</v>
      </c>
      <c r="U713" s="173" t="s">
        <v>38</v>
      </c>
      <c r="V713" s="11" t="s">
        <v>875</v>
      </c>
      <c r="W713" s="22" t="s">
        <v>876</v>
      </c>
      <c r="X713" s="22" t="s">
        <v>876</v>
      </c>
      <c r="Y713" s="22"/>
      <c r="Z713" s="36"/>
      <c r="AA713" s="36"/>
      <c r="AB713" s="26"/>
      <c r="AC713" s="33"/>
    </row>
    <row r="714" spans="1:29" ht="15.75" customHeight="1">
      <c r="A714" s="10" t="s">
        <v>4928</v>
      </c>
      <c r="B714" s="10" t="s">
        <v>474</v>
      </c>
      <c r="C714" s="19" t="s">
        <v>4411</v>
      </c>
      <c r="D714" s="12"/>
      <c r="E714" s="13" t="s">
        <v>43</v>
      </c>
      <c r="F714" s="43" t="s">
        <v>4929</v>
      </c>
      <c r="G714" s="64" t="str">
        <f ca="1">IFERROR(__xludf.DUMMYFUNCTION("CONCATENATE(B714,(VLOOKUP(C714,CATALOGOS!$F$2:$H$6,3,FALSE)),(VLOOKUP(V714,CATALOGOS!$J$2:$K$18,2,FALSE)),""-"",TO_TEXT(A714))"),"P34RM-0713")</f>
        <v>P34RM-0713</v>
      </c>
      <c r="H714" s="6" t="str">
        <f ca="1">IFERROR(__xludf.DUMMYFUNCTION("CONCATENATE($B714,(VLOOKUP($C714,CATALOGOS!$F$2:$H$6,3,FALSE)),(VLOOKUP($V714,CATALOGOS!$J$2:$K$18,2,FALSE)),""-"",TO_TEXT($A714))"),"P34RM-0713")</f>
        <v>P34RM-0713</v>
      </c>
      <c r="I714" s="6"/>
      <c r="J714" s="6" t="s">
        <v>4930</v>
      </c>
      <c r="K714" s="6" t="s">
        <v>4931</v>
      </c>
      <c r="L714" s="6" t="s">
        <v>4932</v>
      </c>
      <c r="M714" s="6" t="s">
        <v>4933</v>
      </c>
      <c r="N714" s="17"/>
      <c r="O714" s="17"/>
      <c r="P714" s="17" t="str">
        <f t="shared" si="3"/>
        <v>OK</v>
      </c>
      <c r="Q714" s="17" t="s">
        <v>406</v>
      </c>
      <c r="R714" s="6" t="s">
        <v>407</v>
      </c>
      <c r="S714" s="17" t="s">
        <v>36</v>
      </c>
      <c r="T714" s="17" t="s">
        <v>4934</v>
      </c>
      <c r="U714" s="173" t="s">
        <v>100</v>
      </c>
      <c r="V714" s="19" t="s">
        <v>147</v>
      </c>
      <c r="W714" s="22" t="s">
        <v>4935</v>
      </c>
      <c r="X714" s="22" t="s">
        <v>4935</v>
      </c>
      <c r="Y714" s="186" t="s">
        <v>4927</v>
      </c>
      <c r="Z714" s="6"/>
      <c r="AA714" s="6"/>
      <c r="AB714" s="23"/>
      <c r="AC714" s="33"/>
    </row>
    <row r="715" spans="1:29" ht="15.75" customHeight="1">
      <c r="A715" s="10" t="s">
        <v>4936</v>
      </c>
      <c r="B715" s="10" t="s">
        <v>4410</v>
      </c>
      <c r="C715" s="19" t="s">
        <v>4411</v>
      </c>
      <c r="D715" s="12"/>
      <c r="E715" s="13" t="s">
        <v>71</v>
      </c>
      <c r="F715" s="6" t="s">
        <v>4937</v>
      </c>
      <c r="G715" s="15" t="str">
        <f ca="1">IFERROR(__xludf.DUMMYFUNCTION("CONCATENATE(B715,(VLOOKUP(C715,CATALOGOS!$F$2:$H$6,3,FALSE)),(VLOOKUP(V715,CATALOGOS!$J$2:$K$18,2,FALSE)),""-"",TO_TEXT(A715))"),"P24SJ-0714")</f>
        <v>P24SJ-0714</v>
      </c>
      <c r="H715" s="6" t="str">
        <f ca="1">IFERROR(__xludf.DUMMYFUNCTION("CONCATENATE($B715,(VLOOKUP($C715,CATALOGOS!$F$2:$H$6,3,FALSE)),(VLOOKUP($V715,CATALOGOS!$J$2:$K$18,2,FALSE)),""-"",TO_TEXT($A715))"),"P24SJ-0714")</f>
        <v>P24SJ-0714</v>
      </c>
      <c r="I715" s="6"/>
      <c r="J715" s="6" t="s">
        <v>4938</v>
      </c>
      <c r="K715" s="6" t="s">
        <v>4939</v>
      </c>
      <c r="L715" s="6" t="s">
        <v>4940</v>
      </c>
      <c r="M715" s="6" t="s">
        <v>4941</v>
      </c>
      <c r="N715" s="17"/>
      <c r="O715" s="17"/>
      <c r="P715" s="17" t="str">
        <f t="shared" si="3"/>
        <v>OK</v>
      </c>
      <c r="Q715" s="17" t="s">
        <v>35</v>
      </c>
      <c r="R715" s="6" t="s">
        <v>35</v>
      </c>
      <c r="S715" s="17" t="s">
        <v>36</v>
      </c>
      <c r="T715" s="17" t="s">
        <v>4942</v>
      </c>
      <c r="U715" s="173" t="s">
        <v>38</v>
      </c>
      <c r="V715" s="11" t="s">
        <v>4411</v>
      </c>
      <c r="W715" s="22" t="s">
        <v>4935</v>
      </c>
      <c r="X715" s="22" t="s">
        <v>4935</v>
      </c>
      <c r="Y715" s="22"/>
      <c r="Z715" s="7"/>
      <c r="AA715" s="7"/>
      <c r="AB715" s="23"/>
      <c r="AC715" s="26"/>
    </row>
    <row r="716" spans="1:29" ht="15.75" customHeight="1">
      <c r="A716" s="10" t="s">
        <v>4943</v>
      </c>
      <c r="B716" s="10" t="s">
        <v>4410</v>
      </c>
      <c r="C716" s="19" t="s">
        <v>4411</v>
      </c>
      <c r="D716" s="12"/>
      <c r="E716" s="13" t="s">
        <v>71</v>
      </c>
      <c r="F716" s="6" t="s">
        <v>4937</v>
      </c>
      <c r="G716" s="15" t="str">
        <f ca="1">IFERROR(__xludf.DUMMYFUNCTION("CONCATENATE(B716,(VLOOKUP(C716,CATALOGOS!$F$2:$H$6,3,FALSE)),(VLOOKUP(V716,CATALOGOS!$J$2:$K$18,2,FALSE)),""-"",TO_TEXT(A716))"),"P24SJ-0715")</f>
        <v>P24SJ-0715</v>
      </c>
      <c r="H716" s="6" t="str">
        <f ca="1">IFERROR(__xludf.DUMMYFUNCTION("CONCATENATE($B716,(VLOOKUP($C716,CATALOGOS!$F$2:$H$6,3,FALSE)),(VLOOKUP($V716,CATALOGOS!$J$2:$K$18,2,FALSE)),""-"",TO_TEXT($A716))"),"P24SJ-0715")</f>
        <v>P24SJ-0715</v>
      </c>
      <c r="I716" s="6"/>
      <c r="J716" s="6" t="s">
        <v>4944</v>
      </c>
      <c r="K716" s="6" t="s">
        <v>4945</v>
      </c>
      <c r="L716" s="6" t="s">
        <v>4946</v>
      </c>
      <c r="M716" s="43" t="s">
        <v>4947</v>
      </c>
      <c r="N716" s="17"/>
      <c r="O716" s="17"/>
      <c r="P716" s="17" t="str">
        <f t="shared" si="3"/>
        <v>OK</v>
      </c>
      <c r="Q716" s="17" t="s">
        <v>35</v>
      </c>
      <c r="R716" s="6" t="s">
        <v>35</v>
      </c>
      <c r="S716" s="17" t="s">
        <v>36</v>
      </c>
      <c r="T716" s="17" t="s">
        <v>4948</v>
      </c>
      <c r="U716" s="173" t="s">
        <v>38</v>
      </c>
      <c r="V716" s="11" t="s">
        <v>4411</v>
      </c>
      <c r="W716" s="22" t="s">
        <v>4935</v>
      </c>
      <c r="X716" s="22" t="s">
        <v>4935</v>
      </c>
      <c r="Y716" s="22"/>
      <c r="Z716" s="7"/>
      <c r="AA716" s="7"/>
      <c r="AB716" s="23"/>
      <c r="AC716" s="26"/>
    </row>
    <row r="717" spans="1:29" ht="15.75" customHeight="1">
      <c r="A717" s="10" t="s">
        <v>4949</v>
      </c>
      <c r="B717" s="10" t="s">
        <v>27</v>
      </c>
      <c r="C717" s="19" t="s">
        <v>4411</v>
      </c>
      <c r="D717" s="12"/>
      <c r="E717" s="13" t="s">
        <v>43</v>
      </c>
      <c r="F717" s="6" t="s">
        <v>4950</v>
      </c>
      <c r="G717" s="64" t="str">
        <f ca="1">IFERROR(__xludf.DUMMYFUNCTION("CONCATENATE(B717,(VLOOKUP(C717,CATALOGOS!$F$2:$H$6,3,FALSE)),(VLOOKUP(V717,CATALOGOS!$J$2:$K$18,2,FALSE)),""-"",TO_TEXT(A717))"),"P04RM-0716")</f>
        <v>P04RM-0716</v>
      </c>
      <c r="H717" s="6" t="str">
        <f ca="1">IFERROR(__xludf.DUMMYFUNCTION("CONCATENATE($B717,(VLOOKUP($C717,CATALOGOS!$F$2:$H$6,3,FALSE)),(VLOOKUP($V717,CATALOGOS!$J$2:$K$18,2,FALSE)),""-"",TO_TEXT($A717))"),"P04RM-0716")</f>
        <v>P04RM-0716</v>
      </c>
      <c r="I717" s="6"/>
      <c r="J717" s="6" t="s">
        <v>4951</v>
      </c>
      <c r="K717" s="6" t="s">
        <v>4952</v>
      </c>
      <c r="L717" s="6" t="s">
        <v>4953</v>
      </c>
      <c r="M717" s="6" t="s">
        <v>4954</v>
      </c>
      <c r="N717" s="17"/>
      <c r="O717" s="17"/>
      <c r="P717" s="17" t="str">
        <f t="shared" si="3"/>
        <v>OK</v>
      </c>
      <c r="Q717" s="17" t="s">
        <v>2586</v>
      </c>
      <c r="R717" s="6">
        <v>37268</v>
      </c>
      <c r="S717" s="17" t="s">
        <v>36</v>
      </c>
      <c r="T717" s="10" t="s">
        <v>4955</v>
      </c>
      <c r="U717" s="173" t="s">
        <v>38</v>
      </c>
      <c r="V717" s="19" t="s">
        <v>147</v>
      </c>
      <c r="W717" s="20" t="s">
        <v>484</v>
      </c>
      <c r="X717" s="20" t="s">
        <v>484</v>
      </c>
      <c r="Y717" s="20" t="s">
        <v>4956</v>
      </c>
      <c r="Z717" s="6"/>
      <c r="AA717" s="6"/>
      <c r="AB717" s="23"/>
      <c r="AC717" s="33"/>
    </row>
    <row r="718" spans="1:29" ht="15.75" customHeight="1">
      <c r="A718" s="10" t="s">
        <v>4957</v>
      </c>
      <c r="B718" s="10" t="s">
        <v>4410</v>
      </c>
      <c r="C718" s="19" t="s">
        <v>4411</v>
      </c>
      <c r="D718" s="12"/>
      <c r="E718" s="13" t="s">
        <v>136</v>
      </c>
      <c r="F718" s="43" t="s">
        <v>689</v>
      </c>
      <c r="G718" s="15" t="str">
        <f ca="1">IFERROR(__xludf.DUMMYFUNCTION("CONCATENATE(B718,(VLOOKUP(C718,CATALOGOS!$F$2:$H$6,3,FALSE)),(VLOOKUP(V718,CATALOGOS!$J$2:$K$18,2,FALSE)),""-"",TO_TEXT(A718))"),"P24SJ-0717")</f>
        <v>P24SJ-0717</v>
      </c>
      <c r="H718" s="6" t="str">
        <f ca="1">IFERROR(__xludf.DUMMYFUNCTION("CONCATENATE($B718,(VLOOKUP($C718,CATALOGOS!$F$2:$H$6,3,FALSE)),(VLOOKUP($V718,CATALOGOS!$J$2:$K$18,2,FALSE)),""-"",TO_TEXT($A718))"),"P24SJ-0717")</f>
        <v>P24SJ-0717</v>
      </c>
      <c r="I718" s="6"/>
      <c r="J718" s="6" t="s">
        <v>4958</v>
      </c>
      <c r="K718" s="6" t="s">
        <v>4959</v>
      </c>
      <c r="L718" s="6" t="s">
        <v>4960</v>
      </c>
      <c r="M718" s="6" t="s">
        <v>4961</v>
      </c>
      <c r="N718" s="17"/>
      <c r="O718" s="17"/>
      <c r="P718" s="17" t="str">
        <f t="shared" si="3"/>
        <v>OK</v>
      </c>
      <c r="Q718" s="17" t="s">
        <v>205</v>
      </c>
      <c r="R718" s="6" t="s">
        <v>4962</v>
      </c>
      <c r="S718" s="17" t="s">
        <v>8441</v>
      </c>
      <c r="T718" s="10" t="s">
        <v>4964</v>
      </c>
      <c r="U718" s="173" t="s">
        <v>38</v>
      </c>
      <c r="V718" s="11" t="s">
        <v>4411</v>
      </c>
      <c r="W718" s="22" t="s">
        <v>4935</v>
      </c>
      <c r="X718" s="22" t="s">
        <v>4935</v>
      </c>
      <c r="Y718" s="22"/>
      <c r="Z718" s="7"/>
      <c r="AA718" s="7"/>
      <c r="AB718" s="23"/>
      <c r="AC718" s="26"/>
    </row>
    <row r="719" spans="1:29" ht="15.75" customHeight="1">
      <c r="A719" s="10" t="s">
        <v>4965</v>
      </c>
      <c r="B719" s="10" t="s">
        <v>4410</v>
      </c>
      <c r="C719" s="19" t="s">
        <v>4411</v>
      </c>
      <c r="D719" s="12"/>
      <c r="E719" s="13" t="s">
        <v>93</v>
      </c>
      <c r="F719" s="6" t="s">
        <v>4966</v>
      </c>
      <c r="G719" s="15" t="str">
        <f ca="1">IFERROR(__xludf.DUMMYFUNCTION("CONCATENATE(B719,(VLOOKUP(C719,CATALOGOS!$F$2:$H$6,3,FALSE)),(VLOOKUP(V719,CATALOGOS!$J$2:$K$18,2,FALSE)),""-"",TO_TEXT(A719))"),"P24SJ-0718")</f>
        <v>P24SJ-0718</v>
      </c>
      <c r="H719" s="6" t="str">
        <f ca="1">IFERROR(__xludf.DUMMYFUNCTION("CONCATENATE($B719,(VLOOKUP($C719,CATALOGOS!$F$2:$H$6,3,FALSE)),(VLOOKUP($V719,CATALOGOS!$J$2:$K$18,2,FALSE)),""-"",TO_TEXT($A719))"),"P24SJ-0718")</f>
        <v>P24SJ-0718</v>
      </c>
      <c r="I719" s="6"/>
      <c r="J719" s="6" t="s">
        <v>4967</v>
      </c>
      <c r="K719" s="6" t="s">
        <v>4968</v>
      </c>
      <c r="L719" s="6" t="s">
        <v>4969</v>
      </c>
      <c r="M719" s="43" t="s">
        <v>4970</v>
      </c>
      <c r="N719" s="17"/>
      <c r="O719" s="17"/>
      <c r="P719" s="17" t="str">
        <f t="shared" si="3"/>
        <v>OK</v>
      </c>
      <c r="Q719" s="17" t="s">
        <v>35</v>
      </c>
      <c r="R719" s="6" t="s">
        <v>35</v>
      </c>
      <c r="S719" s="17" t="s">
        <v>36</v>
      </c>
      <c r="T719" s="17" t="s">
        <v>4971</v>
      </c>
      <c r="U719" s="173" t="s">
        <v>38</v>
      </c>
      <c r="V719" s="11" t="s">
        <v>4411</v>
      </c>
      <c r="W719" s="22" t="s">
        <v>4935</v>
      </c>
      <c r="X719" s="22" t="s">
        <v>4935</v>
      </c>
      <c r="Y719" s="22"/>
      <c r="Z719" s="7"/>
      <c r="AA719" s="7"/>
      <c r="AB719" s="23"/>
      <c r="AC719" s="26"/>
    </row>
    <row r="720" spans="1:29" ht="15.75" customHeight="1">
      <c r="A720" s="10" t="s">
        <v>4972</v>
      </c>
      <c r="B720" s="10" t="s">
        <v>4410</v>
      </c>
      <c r="C720" s="19" t="s">
        <v>4411</v>
      </c>
      <c r="D720" s="12"/>
      <c r="E720" s="13" t="s">
        <v>378</v>
      </c>
      <c r="F720" s="6" t="s">
        <v>4973</v>
      </c>
      <c r="G720" s="15" t="str">
        <f ca="1">IFERROR(__xludf.DUMMYFUNCTION("CONCATENATE(B720,(VLOOKUP(C720,CATALOGOS!$F$2:$H$6,3,FALSE)),(VLOOKUP(V720,CATALOGOS!$J$2:$K$18,2,FALSE)),""-"",TO_TEXT(A720))"),"P24CS-0719")</f>
        <v>P24CS-0719</v>
      </c>
      <c r="H720" s="6" t="str">
        <f ca="1">IFERROR(__xludf.DUMMYFUNCTION("CONCATENATE($B720,(VLOOKUP($C720,CATALOGOS!$F$2:$H$6,3,FALSE)),(VLOOKUP($V720,CATALOGOS!$J$2:$K$18,2,FALSE)),""-"",TO_TEXT($A720))"),"P24CS-0719")</f>
        <v>P24CS-0719</v>
      </c>
      <c r="I720" s="6"/>
      <c r="J720" s="6" t="s">
        <v>4974</v>
      </c>
      <c r="K720" s="6" t="s">
        <v>4975</v>
      </c>
      <c r="L720" s="6" t="s">
        <v>4976</v>
      </c>
      <c r="M720" s="6" t="s">
        <v>4977</v>
      </c>
      <c r="N720" s="17"/>
      <c r="O720" s="17"/>
      <c r="P720" s="17" t="str">
        <f t="shared" si="3"/>
        <v>OK</v>
      </c>
      <c r="Q720" s="17" t="s">
        <v>35</v>
      </c>
      <c r="R720" s="6" t="s">
        <v>35</v>
      </c>
      <c r="S720" s="17" t="s">
        <v>36</v>
      </c>
      <c r="T720" s="17" t="s">
        <v>4978</v>
      </c>
      <c r="U720" s="173" t="s">
        <v>38</v>
      </c>
      <c r="V720" s="11" t="s">
        <v>4979</v>
      </c>
      <c r="W720" s="68" t="s">
        <v>4980</v>
      </c>
      <c r="X720" s="68" t="s">
        <v>4980</v>
      </c>
      <c r="Y720" s="68"/>
      <c r="Z720" s="76"/>
      <c r="AA720" s="76"/>
      <c r="AB720" s="23"/>
      <c r="AC720" s="26"/>
    </row>
    <row r="721" spans="1:29" ht="29.25" customHeight="1">
      <c r="A721" s="10" t="s">
        <v>4981</v>
      </c>
      <c r="B721" s="10" t="s">
        <v>4410</v>
      </c>
      <c r="C721" s="19" t="s">
        <v>4411</v>
      </c>
      <c r="D721" s="12"/>
      <c r="E721" s="13" t="s">
        <v>62</v>
      </c>
      <c r="F721" s="6" t="s">
        <v>4982</v>
      </c>
      <c r="G721" s="15" t="str">
        <f ca="1">IFERROR(__xludf.DUMMYFUNCTION("CONCATENATE(B721,(VLOOKUP(C721,CATALOGOS!$F$2:$H$6,3,FALSE)),(VLOOKUP(V721,CATALOGOS!$J$2:$K$18,2,FALSE)),""-"",TO_TEXT(A721))"),"P24SJ-0720")</f>
        <v>P24SJ-0720</v>
      </c>
      <c r="H721" s="6" t="str">
        <f ca="1">IFERROR(__xludf.DUMMYFUNCTION("CONCATENATE($B721,(VLOOKUP($C721,CATALOGOS!$F$2:$H$6,3,FALSE)),(VLOOKUP($V721,CATALOGOS!$J$2:$K$18,2,FALSE)),""-"",TO_TEXT($A721))"),"P24SJ-0720")</f>
        <v>P24SJ-0720</v>
      </c>
      <c r="I721" s="6"/>
      <c r="J721" s="6" t="s">
        <v>4983</v>
      </c>
      <c r="K721" s="6" t="s">
        <v>4984</v>
      </c>
      <c r="L721" s="6" t="s">
        <v>4985</v>
      </c>
      <c r="M721" s="6" t="s">
        <v>4986</v>
      </c>
      <c r="N721" s="17"/>
      <c r="O721" s="17"/>
      <c r="P721" s="17" t="str">
        <f t="shared" si="3"/>
        <v>OK</v>
      </c>
      <c r="Q721" s="17" t="s">
        <v>35</v>
      </c>
      <c r="R721" s="6" t="s">
        <v>35</v>
      </c>
      <c r="S721" s="17" t="s">
        <v>36</v>
      </c>
      <c r="T721" s="17" t="s">
        <v>4987</v>
      </c>
      <c r="U721" s="173" t="s">
        <v>38</v>
      </c>
      <c r="V721" s="11" t="s">
        <v>4411</v>
      </c>
      <c r="W721" s="22" t="s">
        <v>4935</v>
      </c>
      <c r="X721" s="22" t="s">
        <v>4935</v>
      </c>
      <c r="Y721" s="22"/>
      <c r="Z721" s="7"/>
      <c r="AA721" s="7"/>
      <c r="AB721" s="23"/>
      <c r="AC721" s="26"/>
    </row>
    <row r="722" spans="1:29" ht="15.75" customHeight="1">
      <c r="A722" s="10" t="s">
        <v>4988</v>
      </c>
      <c r="B722" s="10" t="s">
        <v>4410</v>
      </c>
      <c r="C722" s="19" t="s">
        <v>28</v>
      </c>
      <c r="D722" s="12"/>
      <c r="E722" s="13" t="s">
        <v>184</v>
      </c>
      <c r="F722" s="6" t="s">
        <v>4989</v>
      </c>
      <c r="G722" s="64" t="str">
        <f ca="1">IFERROR(__xludf.DUMMYFUNCTION("CONCATENATE(B722,(VLOOKUP(C722,CATALOGOS!$F$2:$H$6,3,FALSE)),(VLOOKUP(V722,CATALOGOS!$J$2:$K$18,2,FALSE)),""-"",TO_TEXT(A722))"),"P25RM-0721")</f>
        <v>P25RM-0721</v>
      </c>
      <c r="H722" s="6" t="str">
        <f ca="1">IFERROR(__xludf.DUMMYFUNCTION("CONCATENATE($B722,(VLOOKUP($C722,CATALOGOS!$F$2:$H$6,3,FALSE)),(VLOOKUP($V722,CATALOGOS!$J$2:$K$18,2,FALSE)),""-"",TO_TEXT($A722))"),"P25RM-0721")</f>
        <v>P25RM-0721</v>
      </c>
      <c r="I722" s="6"/>
      <c r="J722" s="6" t="s">
        <v>4990</v>
      </c>
      <c r="K722" s="6" t="s">
        <v>4991</v>
      </c>
      <c r="L722" s="6" t="s">
        <v>4992</v>
      </c>
      <c r="M722" s="43" t="s">
        <v>4993</v>
      </c>
      <c r="N722" s="17"/>
      <c r="O722" s="17"/>
      <c r="P722" s="17" t="str">
        <f t="shared" si="3"/>
        <v>OK</v>
      </c>
      <c r="Q722" s="17" t="s">
        <v>35</v>
      </c>
      <c r="R722" s="6" t="s">
        <v>35</v>
      </c>
      <c r="S722" s="17" t="s">
        <v>36</v>
      </c>
      <c r="T722" s="17" t="s">
        <v>4994</v>
      </c>
      <c r="U722" s="173" t="s">
        <v>38</v>
      </c>
      <c r="V722" s="11" t="s">
        <v>147</v>
      </c>
      <c r="W722" s="20" t="s">
        <v>484</v>
      </c>
      <c r="X722" s="20" t="s">
        <v>484</v>
      </c>
      <c r="Y722" s="20"/>
      <c r="Z722" s="7"/>
      <c r="AA722" s="7"/>
      <c r="AB722" s="23"/>
      <c r="AC722" s="26"/>
    </row>
    <row r="723" spans="1:29" ht="15.75" customHeight="1">
      <c r="A723" s="10" t="s">
        <v>4995</v>
      </c>
      <c r="B723" s="10" t="s">
        <v>4410</v>
      </c>
      <c r="C723" s="19" t="s">
        <v>28</v>
      </c>
      <c r="D723" s="12"/>
      <c r="E723" s="13" t="s">
        <v>184</v>
      </c>
      <c r="F723" s="6" t="s">
        <v>4989</v>
      </c>
      <c r="G723" s="64" t="str">
        <f ca="1">IFERROR(__xludf.DUMMYFUNCTION("CONCATENATE(B723,(VLOOKUP(C723,CATALOGOS!$F$2:$H$6,3,FALSE)),(VLOOKUP(V723,CATALOGOS!$J$2:$K$18,2,FALSE)),""-"",TO_TEXT(A723))"),"P25RM-0722")</f>
        <v>P25RM-0722</v>
      </c>
      <c r="H723" s="6" t="str">
        <f ca="1">IFERROR(__xludf.DUMMYFUNCTION("CONCATENATE($B723,(VLOOKUP($C723,CATALOGOS!$F$2:$H$6,3,FALSE)),(VLOOKUP($V723,CATALOGOS!$J$2:$K$18,2,FALSE)),""-"",TO_TEXT($A723))"),"P25RM-0722")</f>
        <v>P25RM-0722</v>
      </c>
      <c r="I723" s="6"/>
      <c r="J723" s="6" t="s">
        <v>4996</v>
      </c>
      <c r="K723" s="6" t="s">
        <v>4997</v>
      </c>
      <c r="L723" s="6" t="s">
        <v>4998</v>
      </c>
      <c r="M723" s="43" t="s">
        <v>4999</v>
      </c>
      <c r="N723" s="17"/>
      <c r="O723" s="17"/>
      <c r="P723" s="17" t="str">
        <f t="shared" si="3"/>
        <v>OK</v>
      </c>
      <c r="Q723" s="17" t="s">
        <v>35</v>
      </c>
      <c r="R723" s="6" t="s">
        <v>35</v>
      </c>
      <c r="S723" s="17" t="s">
        <v>36</v>
      </c>
      <c r="T723" s="17" t="s">
        <v>5000</v>
      </c>
      <c r="U723" s="173" t="s">
        <v>38</v>
      </c>
      <c r="V723" s="11" t="s">
        <v>147</v>
      </c>
      <c r="W723" s="20" t="s">
        <v>484</v>
      </c>
      <c r="X723" s="20" t="s">
        <v>484</v>
      </c>
      <c r="Y723" s="20"/>
      <c r="Z723" s="7"/>
      <c r="AA723" s="7"/>
      <c r="AB723" s="23"/>
      <c r="AC723" s="26"/>
    </row>
    <row r="724" spans="1:29" ht="15.75" customHeight="1">
      <c r="A724" s="10" t="s">
        <v>5001</v>
      </c>
      <c r="B724" s="10" t="s">
        <v>4410</v>
      </c>
      <c r="C724" s="19" t="s">
        <v>4411</v>
      </c>
      <c r="D724" s="12"/>
      <c r="E724" s="13" t="s">
        <v>93</v>
      </c>
      <c r="F724" s="6" t="s">
        <v>1380</v>
      </c>
      <c r="G724" s="15" t="str">
        <f ca="1">IFERROR(__xludf.DUMMYFUNCTION("CONCATENATE(B724,(VLOOKUP(C724,CATALOGOS!$F$2:$H$6,3,FALSE)),(VLOOKUP(V724,CATALOGOS!$J$2:$K$18,2,FALSE)),""-"",TO_TEXT(A724))"),"P24SJ-0723")</f>
        <v>P24SJ-0723</v>
      </c>
      <c r="H724" s="6" t="str">
        <f ca="1">IFERROR(__xludf.DUMMYFUNCTION("CONCATENATE($B724,(VLOOKUP($C724,CATALOGOS!$F$2:$H$6,3,FALSE)),(VLOOKUP($V724,CATALOGOS!$J$2:$K$18,2,FALSE)),""-"",TO_TEXT($A724))"),"P24SJ-0723")</f>
        <v>P24SJ-0723</v>
      </c>
      <c r="I724" s="6"/>
      <c r="J724" s="6" t="s">
        <v>5002</v>
      </c>
      <c r="K724" s="54"/>
      <c r="L724" s="6" t="s">
        <v>5003</v>
      </c>
      <c r="M724" s="6" t="s">
        <v>5004</v>
      </c>
      <c r="N724" s="17"/>
      <c r="O724" s="17"/>
      <c r="P724" s="17" t="str">
        <f t="shared" si="3"/>
        <v>OK</v>
      </c>
      <c r="Q724" s="17" t="s">
        <v>35</v>
      </c>
      <c r="R724" s="6" t="s">
        <v>35</v>
      </c>
      <c r="S724" s="17" t="s">
        <v>36</v>
      </c>
      <c r="T724" s="17" t="s">
        <v>5005</v>
      </c>
      <c r="U724" s="173" t="s">
        <v>38</v>
      </c>
      <c r="V724" s="11" t="s">
        <v>4411</v>
      </c>
      <c r="W724" s="22" t="s">
        <v>4935</v>
      </c>
      <c r="X724" s="22" t="s">
        <v>4935</v>
      </c>
      <c r="Y724" s="22"/>
      <c r="Z724" s="7"/>
      <c r="AA724" s="7"/>
      <c r="AB724" s="23"/>
      <c r="AC724" s="26"/>
    </row>
    <row r="725" spans="1:29" ht="15.75" customHeight="1">
      <c r="A725" s="10" t="s">
        <v>5006</v>
      </c>
      <c r="B725" s="10" t="s">
        <v>4410</v>
      </c>
      <c r="C725" s="19" t="s">
        <v>4411</v>
      </c>
      <c r="D725" s="12"/>
      <c r="E725" s="13" t="s">
        <v>29</v>
      </c>
      <c r="F725" s="43" t="s">
        <v>29</v>
      </c>
      <c r="G725" s="15" t="str">
        <f ca="1">IFERROR(__xludf.DUMMYFUNCTION("CONCATENATE(B725,(VLOOKUP(C725,CATALOGOS!$F$2:$H$6,3,FALSE)),(VLOOKUP(V725,CATALOGOS!$J$2:$K$18,2,FALSE)),""-"",TO_TEXT(A725))"),"P24SJ-0724")</f>
        <v>P24SJ-0724</v>
      </c>
      <c r="H725" s="6" t="str">
        <f ca="1">IFERROR(__xludf.DUMMYFUNCTION("CONCATENATE($B725,(VLOOKUP($C725,CATALOGOS!$F$2:$H$6,3,FALSE)),(VLOOKUP($V725,CATALOGOS!$J$2:$K$18,2,FALSE)),""-"",TO_TEXT($A725))"),"P24SJ-0724")</f>
        <v>P24SJ-0724</v>
      </c>
      <c r="I725" s="6"/>
      <c r="J725" s="6" t="s">
        <v>5007</v>
      </c>
      <c r="K725" s="54"/>
      <c r="L725" s="6" t="s">
        <v>5008</v>
      </c>
      <c r="M725" s="6" t="s">
        <v>5009</v>
      </c>
      <c r="N725" s="17"/>
      <c r="O725" s="17"/>
      <c r="P725" s="17" t="str">
        <f t="shared" si="3"/>
        <v>OK</v>
      </c>
      <c r="Q725" s="17" t="s">
        <v>35</v>
      </c>
      <c r="R725" s="6" t="s">
        <v>35</v>
      </c>
      <c r="S725" s="17" t="s">
        <v>36</v>
      </c>
      <c r="T725" s="17" t="s">
        <v>85</v>
      </c>
      <c r="U725" s="173" t="s">
        <v>38</v>
      </c>
      <c r="V725" s="11" t="s">
        <v>4411</v>
      </c>
      <c r="W725" s="22" t="s">
        <v>4935</v>
      </c>
      <c r="X725" s="22" t="s">
        <v>4935</v>
      </c>
      <c r="Y725" s="22"/>
      <c r="Z725" s="7"/>
      <c r="AA725" s="7"/>
      <c r="AB725" s="23"/>
      <c r="AC725" s="26"/>
    </row>
    <row r="726" spans="1:29" ht="29.25" customHeight="1">
      <c r="A726" s="10" t="s">
        <v>5010</v>
      </c>
      <c r="B726" s="10" t="s">
        <v>4410</v>
      </c>
      <c r="C726" s="19" t="s">
        <v>4411</v>
      </c>
      <c r="D726" s="12"/>
      <c r="E726" s="13" t="s">
        <v>116</v>
      </c>
      <c r="F726" s="6" t="s">
        <v>5011</v>
      </c>
      <c r="G726" s="15" t="str">
        <f ca="1">IFERROR(__xludf.DUMMYFUNCTION("CONCATENATE(B726,(VLOOKUP(C726,CATALOGOS!$F$2:$H$6,3,FALSE)),(VLOOKUP(V726,CATALOGOS!$J$2:$K$18,2,FALSE)),""-"",TO_TEXT(A726))"),"P24SJ-0725")</f>
        <v>P24SJ-0725</v>
      </c>
      <c r="H726" s="6" t="str">
        <f ca="1">IFERROR(__xludf.DUMMYFUNCTION("CONCATENATE($B726,(VLOOKUP($C726,CATALOGOS!$F$2:$H$6,3,FALSE)),(VLOOKUP($V726,CATALOGOS!$J$2:$K$18,2,FALSE)),""-"",TO_TEXT($A726))"),"P24SJ-0725")</f>
        <v>P24SJ-0725</v>
      </c>
      <c r="I726" s="6"/>
      <c r="J726" s="6" t="s">
        <v>5012</v>
      </c>
      <c r="K726" s="6" t="s">
        <v>5013</v>
      </c>
      <c r="L726" s="6" t="s">
        <v>5014</v>
      </c>
      <c r="M726" s="6" t="s">
        <v>5015</v>
      </c>
      <c r="N726" s="17"/>
      <c r="O726" s="17"/>
      <c r="P726" s="17" t="str">
        <f t="shared" si="3"/>
        <v>OK</v>
      </c>
      <c r="Q726" s="17" t="s">
        <v>35</v>
      </c>
      <c r="R726" s="6" t="s">
        <v>35</v>
      </c>
      <c r="S726" s="17" t="s">
        <v>36</v>
      </c>
      <c r="T726" s="17" t="s">
        <v>5016</v>
      </c>
      <c r="U726" s="173" t="s">
        <v>38</v>
      </c>
      <c r="V726" s="11" t="s">
        <v>4411</v>
      </c>
      <c r="W726" s="22" t="s">
        <v>4935</v>
      </c>
      <c r="X726" s="22" t="s">
        <v>4935</v>
      </c>
      <c r="Y726" s="22"/>
      <c r="Z726" s="7"/>
      <c r="AA726" s="7"/>
      <c r="AB726" s="23"/>
      <c r="AC726" s="26"/>
    </row>
    <row r="727" spans="1:29" ht="15.75" customHeight="1">
      <c r="A727" s="10" t="s">
        <v>5017</v>
      </c>
      <c r="B727" s="10" t="s">
        <v>4410</v>
      </c>
      <c r="C727" s="19" t="s">
        <v>4411</v>
      </c>
      <c r="D727" s="12"/>
      <c r="E727" s="13" t="s">
        <v>116</v>
      </c>
      <c r="F727" s="6" t="s">
        <v>4153</v>
      </c>
      <c r="G727" s="15" t="str">
        <f ca="1">IFERROR(__xludf.DUMMYFUNCTION("CONCATENATE(B727,(VLOOKUP(C727,CATALOGOS!$F$2:$H$6,3,FALSE)),(VLOOKUP(V727,CATALOGOS!$J$2:$K$18,2,FALSE)),""-"",TO_TEXT(A727))"),"P24SJ-0726")</f>
        <v>P24SJ-0726</v>
      </c>
      <c r="H727" s="6" t="str">
        <f ca="1">IFERROR(__xludf.DUMMYFUNCTION("CONCATENATE($B727,(VLOOKUP($C727,CATALOGOS!$F$2:$H$6,3,FALSE)),(VLOOKUP($V727,CATALOGOS!$J$2:$K$18,2,FALSE)),""-"",TO_TEXT($A727))"),"P24SJ-0726")</f>
        <v>P24SJ-0726</v>
      </c>
      <c r="I727" s="6"/>
      <c r="J727" s="6" t="s">
        <v>5018</v>
      </c>
      <c r="K727" s="6" t="s">
        <v>5019</v>
      </c>
      <c r="L727" s="6" t="s">
        <v>5020</v>
      </c>
      <c r="M727" s="6" t="s">
        <v>5021</v>
      </c>
      <c r="N727" s="17"/>
      <c r="O727" s="17"/>
      <c r="P727" s="17" t="str">
        <f t="shared" si="3"/>
        <v>OK</v>
      </c>
      <c r="Q727" s="17" t="s">
        <v>35</v>
      </c>
      <c r="R727" s="6" t="s">
        <v>35</v>
      </c>
      <c r="S727" s="17" t="s">
        <v>36</v>
      </c>
      <c r="T727" s="17" t="s">
        <v>5022</v>
      </c>
      <c r="U727" s="173" t="s">
        <v>38</v>
      </c>
      <c r="V727" s="11" t="s">
        <v>4411</v>
      </c>
      <c r="W727" s="22" t="s">
        <v>4935</v>
      </c>
      <c r="X727" s="22" t="s">
        <v>4935</v>
      </c>
      <c r="Y727" s="22"/>
      <c r="Z727" s="6"/>
      <c r="AA727" s="6"/>
      <c r="AB727" s="23"/>
      <c r="AC727" s="33"/>
    </row>
    <row r="728" spans="1:29" ht="15.75" customHeight="1">
      <c r="A728" s="10" t="s">
        <v>5023</v>
      </c>
      <c r="B728" s="10" t="s">
        <v>4410</v>
      </c>
      <c r="C728" s="19" t="s">
        <v>4411</v>
      </c>
      <c r="D728" s="12"/>
      <c r="E728" s="13" t="s">
        <v>162</v>
      </c>
      <c r="F728" s="43" t="s">
        <v>285</v>
      </c>
      <c r="G728" s="15" t="str">
        <f ca="1">IFERROR(__xludf.DUMMYFUNCTION("CONCATENATE(B728,(VLOOKUP(C728,CATALOGOS!$F$2:$H$6,3,FALSE)),(VLOOKUP(V728,CATALOGOS!$J$2:$K$18,2,FALSE)),""-"",TO_TEXT(A728))"),"P24SJ-0727")</f>
        <v>P24SJ-0727</v>
      </c>
      <c r="H728" s="6" t="str">
        <f ca="1">IFERROR(__xludf.DUMMYFUNCTION("CONCATENATE($B728,(VLOOKUP($C728,CATALOGOS!$F$2:$H$6,3,FALSE)),(VLOOKUP($V728,CATALOGOS!$J$2:$K$18,2,FALSE)),""-"",TO_TEXT($A728))"),"P24SJ-0727")</f>
        <v>P24SJ-0727</v>
      </c>
      <c r="I728" s="6"/>
      <c r="J728" s="6" t="s">
        <v>5024</v>
      </c>
      <c r="K728" s="6" t="s">
        <v>5025</v>
      </c>
      <c r="L728" s="6" t="s">
        <v>5026</v>
      </c>
      <c r="M728" s="6" t="s">
        <v>5027</v>
      </c>
      <c r="N728" s="17"/>
      <c r="O728" s="17"/>
      <c r="P728" s="17" t="str">
        <f t="shared" si="3"/>
        <v>OK</v>
      </c>
      <c r="Q728" s="17" t="s">
        <v>663</v>
      </c>
      <c r="R728" s="6" t="s">
        <v>664</v>
      </c>
      <c r="S728" s="17" t="s">
        <v>5028</v>
      </c>
      <c r="T728" s="17" t="s">
        <v>5029</v>
      </c>
      <c r="U728" s="173" t="s">
        <v>38</v>
      </c>
      <c r="V728" s="11" t="s">
        <v>4411</v>
      </c>
      <c r="W728" s="22" t="s">
        <v>4935</v>
      </c>
      <c r="X728" s="22" t="s">
        <v>4935</v>
      </c>
      <c r="Y728" s="22"/>
      <c r="Z728" s="7"/>
      <c r="AA728" s="7"/>
      <c r="AB728" s="23"/>
      <c r="AC728" s="26"/>
    </row>
    <row r="729" spans="1:29" ht="15.75" customHeight="1">
      <c r="A729" s="10" t="s">
        <v>5030</v>
      </c>
      <c r="B729" s="10" t="s">
        <v>4410</v>
      </c>
      <c r="C729" s="19" t="s">
        <v>4411</v>
      </c>
      <c r="D729" s="12"/>
      <c r="E729" s="13" t="s">
        <v>151</v>
      </c>
      <c r="F729" s="6" t="s">
        <v>5031</v>
      </c>
      <c r="G729" s="15" t="str">
        <f ca="1">IFERROR(__xludf.DUMMYFUNCTION("CONCATENATE(B729,(VLOOKUP(C729,CATALOGOS!$F$2:$H$6,3,FALSE)),(VLOOKUP(V729,CATALOGOS!$J$2:$K$18,2,FALSE)),""-"",TO_TEXT(A729))"),"P24SJ-0728")</f>
        <v>P24SJ-0728</v>
      </c>
      <c r="H729" s="6" t="str">
        <f ca="1">IFERROR(__xludf.DUMMYFUNCTION("CONCATENATE($B729,(VLOOKUP($C729,CATALOGOS!$F$2:$H$6,3,FALSE)),(VLOOKUP($V729,CATALOGOS!$J$2:$K$18,2,FALSE)),""-"",TO_TEXT($A729))"),"P24SJ-0728")</f>
        <v>P24SJ-0728</v>
      </c>
      <c r="I729" s="6"/>
      <c r="J729" s="6" t="s">
        <v>5032</v>
      </c>
      <c r="K729" s="6" t="s">
        <v>5033</v>
      </c>
      <c r="L729" s="6" t="s">
        <v>5034</v>
      </c>
      <c r="M729" s="6" t="s">
        <v>5035</v>
      </c>
      <c r="N729" s="17"/>
      <c r="O729" s="17"/>
      <c r="P729" s="17" t="str">
        <f t="shared" si="3"/>
        <v>OK</v>
      </c>
      <c r="Q729" s="17" t="s">
        <v>5036</v>
      </c>
      <c r="R729" s="6" t="s">
        <v>5037</v>
      </c>
      <c r="S729" s="17" t="s">
        <v>5038</v>
      </c>
      <c r="T729" s="10" t="s">
        <v>5039</v>
      </c>
      <c r="U729" s="173" t="s">
        <v>38</v>
      </c>
      <c r="V729" s="11" t="s">
        <v>4411</v>
      </c>
      <c r="W729" s="22" t="s">
        <v>4935</v>
      </c>
      <c r="X729" s="22" t="s">
        <v>4935</v>
      </c>
      <c r="Y729" s="22"/>
      <c r="Z729" s="7"/>
      <c r="AA729" s="7"/>
      <c r="AB729" s="23"/>
      <c r="AC729" s="26"/>
    </row>
    <row r="730" spans="1:29" ht="15.75" customHeight="1">
      <c r="A730" s="10" t="s">
        <v>5042</v>
      </c>
      <c r="B730" s="10" t="s">
        <v>4410</v>
      </c>
      <c r="C730" s="19" t="s">
        <v>4411</v>
      </c>
      <c r="D730" s="12"/>
      <c r="E730" s="13" t="s">
        <v>199</v>
      </c>
      <c r="F730" s="6" t="s">
        <v>199</v>
      </c>
      <c r="G730" s="15" t="str">
        <f ca="1">IFERROR(__xludf.DUMMYFUNCTION("CONCATENATE(B730,(VLOOKUP(C730,CATALOGOS!$F$2:$H$6,3,FALSE)),(VLOOKUP(V730,CATALOGOS!$J$2:$K$18,2,FALSE)),""-"",TO_TEXT(A730))"),"P24SJ-0729")</f>
        <v>P24SJ-0729</v>
      </c>
      <c r="H730" s="6" t="str">
        <f ca="1">IFERROR(__xludf.DUMMYFUNCTION("CONCATENATE($B730,(VLOOKUP($C730,CATALOGOS!$F$2:$H$6,3,FALSE)),(VLOOKUP($V730,CATALOGOS!$J$2:$K$18,2,FALSE)),""-"",TO_TEXT($A730))"),"P24SJ-0729")</f>
        <v>P24SJ-0729</v>
      </c>
      <c r="I730" s="6"/>
      <c r="J730" s="6" t="s">
        <v>5043</v>
      </c>
      <c r="K730" s="6" t="s">
        <v>5044</v>
      </c>
      <c r="L730" s="6" t="s">
        <v>5045</v>
      </c>
      <c r="M730" s="6" t="s">
        <v>5046</v>
      </c>
      <c r="N730" s="17"/>
      <c r="O730" s="17"/>
      <c r="P730" s="17" t="str">
        <f t="shared" si="3"/>
        <v>OK</v>
      </c>
      <c r="Q730" s="17" t="s">
        <v>205</v>
      </c>
      <c r="R730" s="6" t="s">
        <v>5047</v>
      </c>
      <c r="S730" s="17" t="s">
        <v>5048</v>
      </c>
      <c r="T730" s="17" t="s">
        <v>5049</v>
      </c>
      <c r="U730" s="173" t="s">
        <v>38</v>
      </c>
      <c r="V730" s="11" t="s">
        <v>4411</v>
      </c>
      <c r="W730" s="22" t="s">
        <v>4935</v>
      </c>
      <c r="X730" s="22" t="s">
        <v>4935</v>
      </c>
      <c r="Y730" s="22"/>
      <c r="Z730" s="7"/>
      <c r="AA730" s="7"/>
      <c r="AB730" s="23"/>
      <c r="AC730" s="26"/>
    </row>
    <row r="731" spans="1:29" ht="15.75" customHeight="1">
      <c r="A731" s="10" t="s">
        <v>5050</v>
      </c>
      <c r="B731" s="10" t="s">
        <v>4410</v>
      </c>
      <c r="C731" s="19" t="s">
        <v>4411</v>
      </c>
      <c r="D731" s="12"/>
      <c r="E731" s="13" t="s">
        <v>210</v>
      </c>
      <c r="F731" s="43" t="s">
        <v>5051</v>
      </c>
      <c r="G731" s="15" t="str">
        <f ca="1">IFERROR(__xludf.DUMMYFUNCTION("CONCATENATE(B731,(VLOOKUP(C731,CATALOGOS!$F$2:$H$6,3,FALSE)),(VLOOKUP(V731,CATALOGOS!$J$2:$K$18,2,FALSE)),""-"",TO_TEXT(A731))"),"P24SJ-0730")</f>
        <v>P24SJ-0730</v>
      </c>
      <c r="H731" s="6" t="str">
        <f ca="1">IFERROR(__xludf.DUMMYFUNCTION("CONCATENATE($B731,(VLOOKUP($C731,CATALOGOS!$F$2:$H$6,3,FALSE)),(VLOOKUP($V731,CATALOGOS!$J$2:$K$18,2,FALSE)),""-"",TO_TEXT($A731))"),"P24SJ-0730")</f>
        <v>P24SJ-0730</v>
      </c>
      <c r="I731" s="6"/>
      <c r="J731" s="6" t="s">
        <v>5052</v>
      </c>
      <c r="K731" s="6" t="s">
        <v>5053</v>
      </c>
      <c r="L731" s="6" t="s">
        <v>5054</v>
      </c>
      <c r="M731" s="6" t="s">
        <v>5055</v>
      </c>
      <c r="N731" s="17"/>
      <c r="O731" s="17"/>
      <c r="P731" s="17" t="str">
        <f t="shared" si="3"/>
        <v>OK</v>
      </c>
      <c r="Q731" s="17" t="s">
        <v>216</v>
      </c>
      <c r="R731" s="6" t="s">
        <v>5056</v>
      </c>
      <c r="S731" s="17" t="s">
        <v>5057</v>
      </c>
      <c r="T731" s="10" t="s">
        <v>5058</v>
      </c>
      <c r="U731" s="173" t="s">
        <v>38</v>
      </c>
      <c r="V731" s="11" t="s">
        <v>4411</v>
      </c>
      <c r="W731" s="22" t="s">
        <v>4935</v>
      </c>
      <c r="X731" s="22" t="s">
        <v>4935</v>
      </c>
      <c r="Y731" s="22"/>
      <c r="Z731" s="7"/>
      <c r="AA731" s="7"/>
      <c r="AB731" s="23"/>
      <c r="AC731" s="26"/>
    </row>
    <row r="732" spans="1:29" ht="15.75" customHeight="1">
      <c r="A732" s="10" t="s">
        <v>5059</v>
      </c>
      <c r="B732" s="10" t="s">
        <v>4410</v>
      </c>
      <c r="C732" s="19" t="s">
        <v>4411</v>
      </c>
      <c r="D732" s="12"/>
      <c r="E732" s="13" t="s">
        <v>248</v>
      </c>
      <c r="F732" s="43" t="s">
        <v>248</v>
      </c>
      <c r="G732" s="15" t="str">
        <f ca="1">IFERROR(__xludf.DUMMYFUNCTION("CONCATENATE(B732,(VLOOKUP(C732,CATALOGOS!$F$2:$H$6,3,FALSE)),(VLOOKUP(V732,CATALOGOS!$J$2:$K$18,2,FALSE)),""-"",TO_TEXT(A732))"),"P24SJ-0731")</f>
        <v>P24SJ-0731</v>
      </c>
      <c r="H732" s="6" t="str">
        <f ca="1">IFERROR(__xludf.DUMMYFUNCTION("CONCATENATE($B732,(VLOOKUP($C732,CATALOGOS!$F$2:$H$6,3,FALSE)),(VLOOKUP($V732,CATALOGOS!$J$2:$K$18,2,FALSE)),""-"",TO_TEXT($A732))"),"P24SJ-0731")</f>
        <v>P24SJ-0731</v>
      </c>
      <c r="I732" s="6"/>
      <c r="J732" s="6" t="s">
        <v>5060</v>
      </c>
      <c r="K732" s="6" t="s">
        <v>5061</v>
      </c>
      <c r="L732" s="6" t="s">
        <v>5062</v>
      </c>
      <c r="M732" s="6" t="s">
        <v>5063</v>
      </c>
      <c r="N732" s="17"/>
      <c r="O732" s="17"/>
      <c r="P732" s="17" t="str">
        <f t="shared" si="3"/>
        <v>OK</v>
      </c>
      <c r="Q732" s="17" t="s">
        <v>978</v>
      </c>
      <c r="R732" s="6" t="s">
        <v>979</v>
      </c>
      <c r="S732" s="17" t="s">
        <v>5064</v>
      </c>
      <c r="T732" s="17" t="s">
        <v>5065</v>
      </c>
      <c r="U732" s="173" t="s">
        <v>38</v>
      </c>
      <c r="V732" s="11" t="s">
        <v>4411</v>
      </c>
      <c r="W732" s="22" t="s">
        <v>4935</v>
      </c>
      <c r="X732" s="22" t="s">
        <v>4935</v>
      </c>
      <c r="Y732" s="22"/>
      <c r="Z732" s="7"/>
      <c r="AA732" s="7"/>
      <c r="AB732" s="23"/>
      <c r="AC732" s="26"/>
    </row>
    <row r="733" spans="1:29" ht="15.75" customHeight="1">
      <c r="A733" s="10" t="s">
        <v>5066</v>
      </c>
      <c r="B733" s="10" t="s">
        <v>4410</v>
      </c>
      <c r="C733" s="19" t="s">
        <v>4411</v>
      </c>
      <c r="D733" s="38"/>
      <c r="E733" s="13" t="s">
        <v>184</v>
      </c>
      <c r="F733" s="43" t="s">
        <v>927</v>
      </c>
      <c r="G733" s="64" t="str">
        <f ca="1">IFERROR(__xludf.DUMMYFUNCTION("CONCATENATE(B733,(VLOOKUP(C733,CATALOGOS!$F$2:$H$6,3,FALSE)),(VLOOKUP(V733,CATALOGOS!$J$2:$K$18,2,FALSE)),""-"",TO_TEXT(A733))"),"P24SJ-0732")</f>
        <v>P24SJ-0732</v>
      </c>
      <c r="H733" s="6" t="str">
        <f ca="1">IFERROR(__xludf.DUMMYFUNCTION("CONCATENATE($B733,(VLOOKUP($C733,CATALOGOS!$F$2:$H$6,3,FALSE)),(VLOOKUP($V733,CATALOGOS!$J$2:$K$18,2,FALSE)),""-"",TO_TEXT($A733))"),"P24SJ-0732")</f>
        <v>P24SJ-0732</v>
      </c>
      <c r="I733" s="6"/>
      <c r="J733" s="6" t="s">
        <v>5067</v>
      </c>
      <c r="K733" s="6" t="s">
        <v>5068</v>
      </c>
      <c r="L733" s="6" t="s">
        <v>5069</v>
      </c>
      <c r="M733" s="43" t="s">
        <v>5070</v>
      </c>
      <c r="N733" s="17"/>
      <c r="O733" s="17"/>
      <c r="P733" s="17" t="str">
        <f t="shared" si="3"/>
        <v>OK</v>
      </c>
      <c r="Q733" s="17" t="s">
        <v>35</v>
      </c>
      <c r="R733" s="6" t="s">
        <v>35</v>
      </c>
      <c r="S733" s="46" t="s">
        <v>36</v>
      </c>
      <c r="T733" s="17" t="s">
        <v>5071</v>
      </c>
      <c r="U733" s="173" t="s">
        <v>549</v>
      </c>
      <c r="V733" s="11" t="s">
        <v>4411</v>
      </c>
      <c r="W733" s="22" t="s">
        <v>4935</v>
      </c>
      <c r="X733" s="22" t="s">
        <v>4935</v>
      </c>
      <c r="Y733" s="20" t="s">
        <v>4927</v>
      </c>
      <c r="Z733" s="6"/>
      <c r="AA733" s="6" t="s">
        <v>440</v>
      </c>
      <c r="AB733" s="20" t="s">
        <v>5072</v>
      </c>
      <c r="AC733" s="26"/>
    </row>
    <row r="734" spans="1:29" ht="15.75" customHeight="1">
      <c r="A734" s="10" t="s">
        <v>5073</v>
      </c>
      <c r="B734" s="10" t="s">
        <v>4410</v>
      </c>
      <c r="C734" s="19" t="s">
        <v>4411</v>
      </c>
      <c r="D734" s="12"/>
      <c r="E734" s="13" t="s">
        <v>93</v>
      </c>
      <c r="F734" s="6" t="s">
        <v>3710</v>
      </c>
      <c r="G734" s="15" t="str">
        <f ca="1">IFERROR(__xludf.DUMMYFUNCTION("CONCATENATE(B734,(VLOOKUP(C734,CATALOGOS!$F$2:$H$6,3,FALSE)),(VLOOKUP(V734,CATALOGOS!$J$2:$K$18,2,FALSE)),""-"",TO_TEXT(A734))"),"P24SJ-0733")</f>
        <v>P24SJ-0733</v>
      </c>
      <c r="H734" s="6" t="str">
        <f ca="1">IFERROR(__xludf.DUMMYFUNCTION("CONCATENATE($B734,(VLOOKUP($C734,CATALOGOS!$F$2:$H$6,3,FALSE)),(VLOOKUP($V734,CATALOGOS!$J$2:$K$18,2,FALSE)),""-"",TO_TEXT($A734))"),"P24SJ-0733")</f>
        <v>P24SJ-0733</v>
      </c>
      <c r="I734" s="6"/>
      <c r="J734" s="6" t="s">
        <v>5074</v>
      </c>
      <c r="K734" s="6" t="s">
        <v>5075</v>
      </c>
      <c r="L734" s="6" t="s">
        <v>5076</v>
      </c>
      <c r="M734" s="6" t="s">
        <v>5077</v>
      </c>
      <c r="N734" s="17"/>
      <c r="O734" s="17"/>
      <c r="P734" s="17" t="str">
        <f t="shared" si="3"/>
        <v>OK</v>
      </c>
      <c r="Q734" s="17" t="s">
        <v>35</v>
      </c>
      <c r="R734" s="6" t="s">
        <v>35</v>
      </c>
      <c r="S734" s="17" t="s">
        <v>36</v>
      </c>
      <c r="T734" s="17" t="s">
        <v>5078</v>
      </c>
      <c r="U734" s="173" t="s">
        <v>38</v>
      </c>
      <c r="V734" s="11" t="s">
        <v>4411</v>
      </c>
      <c r="W734" s="22" t="s">
        <v>5079</v>
      </c>
      <c r="X734" s="22" t="s">
        <v>5079</v>
      </c>
      <c r="Y734" s="20" t="s">
        <v>5080</v>
      </c>
      <c r="Z734" s="6"/>
      <c r="AA734" s="6"/>
      <c r="AB734" s="23"/>
      <c r="AC734" s="33"/>
    </row>
    <row r="735" spans="1:29" ht="36.75" customHeight="1">
      <c r="A735" s="10" t="s">
        <v>5081</v>
      </c>
      <c r="B735" s="10" t="s">
        <v>4410</v>
      </c>
      <c r="C735" s="19" t="s">
        <v>4411</v>
      </c>
      <c r="D735" s="12"/>
      <c r="E735" s="13" t="s">
        <v>466</v>
      </c>
      <c r="F735" s="6" t="s">
        <v>5082</v>
      </c>
      <c r="G735" s="15" t="str">
        <f ca="1">IFERROR(__xludf.DUMMYFUNCTION("CONCATENATE(B735,(VLOOKUP(C735,CATALOGOS!$F$2:$H$6,3,FALSE)),(VLOOKUP(V735,CATALOGOS!$J$2:$K$18,2,FALSE)),""-"",TO_TEXT(A735))"),"P24SJ-0734")</f>
        <v>P24SJ-0734</v>
      </c>
      <c r="H735" s="6" t="str">
        <f ca="1">IFERROR(__xludf.DUMMYFUNCTION("CONCATENATE($B735,(VLOOKUP($C735,CATALOGOS!$F$2:$H$6,3,FALSE)),(VLOOKUP($V735,CATALOGOS!$J$2:$K$18,2,FALSE)),""-"",TO_TEXT($A735))"),"P24SJ-0734")</f>
        <v>P24SJ-0734</v>
      </c>
      <c r="I735" s="6"/>
      <c r="J735" s="6" t="s">
        <v>5083</v>
      </c>
      <c r="K735" s="6" t="s">
        <v>5084</v>
      </c>
      <c r="L735" s="6" t="s">
        <v>5085</v>
      </c>
      <c r="M735" s="6" t="s">
        <v>5086</v>
      </c>
      <c r="N735" s="17"/>
      <c r="O735" s="17"/>
      <c r="P735" s="17" t="str">
        <f t="shared" si="3"/>
        <v>OK</v>
      </c>
      <c r="Q735" s="17" t="s">
        <v>35</v>
      </c>
      <c r="R735" s="6" t="s">
        <v>35</v>
      </c>
      <c r="S735" s="17" t="s">
        <v>36</v>
      </c>
      <c r="T735" s="17" t="s">
        <v>5087</v>
      </c>
      <c r="U735" s="173" t="s">
        <v>38</v>
      </c>
      <c r="V735" s="11" t="s">
        <v>4411</v>
      </c>
      <c r="W735" s="22" t="s">
        <v>5079</v>
      </c>
      <c r="X735" s="22" t="s">
        <v>5079</v>
      </c>
      <c r="Y735" s="22"/>
      <c r="Z735" s="7"/>
      <c r="AA735" s="7"/>
      <c r="AB735" s="23"/>
      <c r="AC735" s="26"/>
    </row>
    <row r="736" spans="1:29" ht="31.5" customHeight="1">
      <c r="A736" s="10" t="s">
        <v>5088</v>
      </c>
      <c r="B736" s="10" t="s">
        <v>4410</v>
      </c>
      <c r="C736" s="19" t="s">
        <v>4411</v>
      </c>
      <c r="D736" s="12"/>
      <c r="E736" s="13" t="s">
        <v>466</v>
      </c>
      <c r="F736" s="6" t="s">
        <v>5082</v>
      </c>
      <c r="G736" s="15" t="str">
        <f ca="1">IFERROR(__xludf.DUMMYFUNCTION("CONCATENATE(B736,(VLOOKUP(C736,CATALOGOS!$F$2:$H$6,3,FALSE)),(VLOOKUP(V736,CATALOGOS!$J$2:$K$18,2,FALSE)),""-"",TO_TEXT(A736))"),"P24SJ-0735")</f>
        <v>P24SJ-0735</v>
      </c>
      <c r="H736" s="6" t="str">
        <f ca="1">IFERROR(__xludf.DUMMYFUNCTION("CONCATENATE($B736,(VLOOKUP($C736,CATALOGOS!$F$2:$H$6,3,FALSE)),(VLOOKUP($V736,CATALOGOS!$J$2:$K$18,2,FALSE)),""-"",TO_TEXT($A736))"),"P24SJ-0735")</f>
        <v>P24SJ-0735</v>
      </c>
      <c r="I736" s="6"/>
      <c r="J736" s="6" t="s">
        <v>5089</v>
      </c>
      <c r="K736" s="6" t="s">
        <v>5090</v>
      </c>
      <c r="L736" s="6" t="s">
        <v>5091</v>
      </c>
      <c r="M736" s="6" t="s">
        <v>5092</v>
      </c>
      <c r="N736" s="17"/>
      <c r="O736" s="17"/>
      <c r="P736" s="17" t="str">
        <f t="shared" si="3"/>
        <v>OK</v>
      </c>
      <c r="Q736" s="17" t="s">
        <v>35</v>
      </c>
      <c r="R736" s="6" t="s">
        <v>35</v>
      </c>
      <c r="S736" s="17" t="s">
        <v>36</v>
      </c>
      <c r="T736" s="17" t="s">
        <v>5093</v>
      </c>
      <c r="U736" s="173" t="s">
        <v>38</v>
      </c>
      <c r="V736" s="11" t="s">
        <v>4411</v>
      </c>
      <c r="W736" s="22" t="s">
        <v>5079</v>
      </c>
      <c r="X736" s="22" t="s">
        <v>5079</v>
      </c>
      <c r="Y736" s="22"/>
      <c r="Z736" s="7"/>
      <c r="AA736" s="7"/>
      <c r="AB736" s="23"/>
      <c r="AC736" s="26"/>
    </row>
    <row r="737" spans="1:30" ht="15.75" customHeight="1">
      <c r="A737" s="10" t="s">
        <v>5094</v>
      </c>
      <c r="B737" s="10" t="s">
        <v>4410</v>
      </c>
      <c r="C737" s="19" t="s">
        <v>4411</v>
      </c>
      <c r="D737" s="12"/>
      <c r="E737" s="13" t="s">
        <v>184</v>
      </c>
      <c r="F737" s="6" t="s">
        <v>4989</v>
      </c>
      <c r="G737" s="15" t="str">
        <f ca="1">IFERROR(__xludf.DUMMYFUNCTION("CONCATENATE(B737,(VLOOKUP(C737,CATALOGOS!$F$2:$H$6,3,FALSE)),(VLOOKUP(V737,CATALOGOS!$J$2:$K$18,2,FALSE)),""-"",TO_TEXT(A737))"),"P24SJ-0736")</f>
        <v>P24SJ-0736</v>
      </c>
      <c r="H737" s="6" t="str">
        <f ca="1">IFERROR(__xludf.DUMMYFUNCTION("CONCATENATE($B737,(VLOOKUP($C737,CATALOGOS!$F$2:$H$6,3,FALSE)),(VLOOKUP($V737,CATALOGOS!$J$2:$K$18,2,FALSE)),""-"",TO_TEXT($A737))"),"P24SJ-0736")</f>
        <v>P24SJ-0736</v>
      </c>
      <c r="I737" s="6"/>
      <c r="J737" s="6" t="s">
        <v>5095</v>
      </c>
      <c r="K737" s="6" t="s">
        <v>5096</v>
      </c>
      <c r="L737" s="6" t="s">
        <v>5097</v>
      </c>
      <c r="M737" s="43" t="s">
        <v>5098</v>
      </c>
      <c r="N737" s="17"/>
      <c r="O737" s="17"/>
      <c r="P737" s="17" t="str">
        <f t="shared" si="3"/>
        <v>OK</v>
      </c>
      <c r="Q737" s="17" t="s">
        <v>35</v>
      </c>
      <c r="R737" s="6" t="s">
        <v>35</v>
      </c>
      <c r="S737" s="17" t="s">
        <v>36</v>
      </c>
      <c r="T737" s="17" t="s">
        <v>5099</v>
      </c>
      <c r="U737" s="173" t="s">
        <v>38</v>
      </c>
      <c r="V737" s="11" t="s">
        <v>4411</v>
      </c>
      <c r="W737" s="22" t="s">
        <v>5079</v>
      </c>
      <c r="X737" s="22" t="s">
        <v>5079</v>
      </c>
      <c r="Y737" s="22"/>
      <c r="Z737" s="7"/>
      <c r="AA737" s="7"/>
      <c r="AB737" s="23"/>
      <c r="AC737" s="26"/>
    </row>
    <row r="738" spans="1:30" ht="15.75" customHeight="1">
      <c r="A738" s="10" t="s">
        <v>5100</v>
      </c>
      <c r="B738" s="10" t="s">
        <v>4410</v>
      </c>
      <c r="C738" s="19" t="s">
        <v>4411</v>
      </c>
      <c r="D738" s="12"/>
      <c r="E738" s="13" t="s">
        <v>184</v>
      </c>
      <c r="F738" s="6" t="s">
        <v>4989</v>
      </c>
      <c r="G738" s="15" t="str">
        <f ca="1">IFERROR(__xludf.DUMMYFUNCTION("CONCATENATE(B738,(VLOOKUP(C738,CATALOGOS!$F$2:$H$6,3,FALSE)),(VLOOKUP(V738,CATALOGOS!$J$2:$K$18,2,FALSE)),""-"",TO_TEXT(A738))"),"P24SJ-0737")</f>
        <v>P24SJ-0737</v>
      </c>
      <c r="H738" s="6" t="str">
        <f ca="1">IFERROR(__xludf.DUMMYFUNCTION("CONCATENATE($B738,(VLOOKUP($C738,CATALOGOS!$F$2:$H$6,3,FALSE)),(VLOOKUP($V738,CATALOGOS!$J$2:$K$18,2,FALSE)),""-"",TO_TEXT($A738))"),"P24SJ-0737")</f>
        <v>P24SJ-0737</v>
      </c>
      <c r="I738" s="6"/>
      <c r="J738" s="6" t="s">
        <v>5101</v>
      </c>
      <c r="K738" s="6" t="s">
        <v>5102</v>
      </c>
      <c r="L738" s="6" t="s">
        <v>5103</v>
      </c>
      <c r="M738" s="6" t="s">
        <v>5104</v>
      </c>
      <c r="N738" s="17"/>
      <c r="O738" s="17"/>
      <c r="P738" s="17" t="str">
        <f t="shared" si="3"/>
        <v>OK</v>
      </c>
      <c r="Q738" s="17" t="s">
        <v>35</v>
      </c>
      <c r="R738" s="6" t="s">
        <v>35</v>
      </c>
      <c r="S738" s="17" t="s">
        <v>36</v>
      </c>
      <c r="T738" s="17" t="s">
        <v>5105</v>
      </c>
      <c r="U738" s="173" t="s">
        <v>38</v>
      </c>
      <c r="V738" s="11" t="s">
        <v>4411</v>
      </c>
      <c r="W738" s="22" t="s">
        <v>5079</v>
      </c>
      <c r="X738" s="22" t="s">
        <v>5079</v>
      </c>
      <c r="Y738" s="22"/>
      <c r="Z738" s="6"/>
      <c r="AA738" s="6"/>
      <c r="AB738" s="23"/>
      <c r="AC738" s="33"/>
    </row>
    <row r="739" spans="1:30" ht="43.5" customHeight="1">
      <c r="A739" s="10" t="s">
        <v>5106</v>
      </c>
      <c r="B739" s="10" t="s">
        <v>4410</v>
      </c>
      <c r="C739" s="19" t="s">
        <v>4411</v>
      </c>
      <c r="D739" s="12"/>
      <c r="E739" s="13" t="s">
        <v>466</v>
      </c>
      <c r="F739" s="6" t="s">
        <v>5082</v>
      </c>
      <c r="G739" s="15" t="str">
        <f ca="1">IFERROR(__xludf.DUMMYFUNCTION("CONCATENATE(B739,(VLOOKUP(C739,CATALOGOS!$F$2:$H$6,3,FALSE)),(VLOOKUP(V739,CATALOGOS!$J$2:$K$18,2,FALSE)),""-"",TO_TEXT(A739))"),"P24SJ-0738")</f>
        <v>P24SJ-0738</v>
      </c>
      <c r="H739" s="6" t="str">
        <f ca="1">IFERROR(__xludf.DUMMYFUNCTION("CONCATENATE($B739,(VLOOKUP($C739,CATALOGOS!$F$2:$H$6,3,FALSE)),(VLOOKUP($V739,CATALOGOS!$J$2:$K$18,2,FALSE)),""-"",TO_TEXT($A739))"),"P24SJ-0738")</f>
        <v>P24SJ-0738</v>
      </c>
      <c r="I739" s="6"/>
      <c r="J739" s="6" t="s">
        <v>5107</v>
      </c>
      <c r="K739" s="6" t="s">
        <v>5108</v>
      </c>
      <c r="L739" s="6" t="s">
        <v>5109</v>
      </c>
      <c r="M739" s="6" t="s">
        <v>5110</v>
      </c>
      <c r="N739" s="17"/>
      <c r="O739" s="17"/>
      <c r="P739" s="17" t="str">
        <f t="shared" si="3"/>
        <v>OK</v>
      </c>
      <c r="Q739" s="17" t="s">
        <v>35</v>
      </c>
      <c r="R739" s="6" t="s">
        <v>35</v>
      </c>
      <c r="S739" s="17" t="s">
        <v>36</v>
      </c>
      <c r="T739" s="17" t="s">
        <v>5111</v>
      </c>
      <c r="U739" s="173" t="s">
        <v>38</v>
      </c>
      <c r="V739" s="11" t="s">
        <v>4411</v>
      </c>
      <c r="W739" s="22" t="s">
        <v>5079</v>
      </c>
      <c r="X739" s="22" t="s">
        <v>5079</v>
      </c>
      <c r="Y739" s="22"/>
      <c r="Z739" s="7"/>
      <c r="AA739" s="7"/>
      <c r="AB739" s="23"/>
      <c r="AC739" s="26"/>
    </row>
    <row r="740" spans="1:30" ht="15.75" customHeight="1">
      <c r="A740" s="10" t="s">
        <v>5112</v>
      </c>
      <c r="B740" s="10" t="s">
        <v>4410</v>
      </c>
      <c r="C740" s="19" t="s">
        <v>4411</v>
      </c>
      <c r="D740" s="12"/>
      <c r="E740" s="13" t="s">
        <v>43</v>
      </c>
      <c r="F740" s="6" t="s">
        <v>1492</v>
      </c>
      <c r="G740" s="15" t="str">
        <f ca="1">IFERROR(__xludf.DUMMYFUNCTION("CONCATENATE(B740,(VLOOKUP(C740,CATALOGOS!$F$2:$H$6,3,FALSE)),(VLOOKUP(V740,CATALOGOS!$J$2:$K$18,2,FALSE)),""-"",TO_TEXT(A740))"),"P24SJ-0739")</f>
        <v>P24SJ-0739</v>
      </c>
      <c r="H740" s="6" t="str">
        <f ca="1">IFERROR(__xludf.DUMMYFUNCTION("CONCATENATE($B740,(VLOOKUP($C740,CATALOGOS!$F$2:$H$6,3,FALSE)),(VLOOKUP($V740,CATALOGOS!$J$2:$K$18,2,FALSE)),""-"",TO_TEXT($A740))"),"P24SJ-0739")</f>
        <v>P24SJ-0739</v>
      </c>
      <c r="I740" s="6"/>
      <c r="J740" s="6" t="s">
        <v>5113</v>
      </c>
      <c r="K740" s="6" t="s">
        <v>5114</v>
      </c>
      <c r="L740" s="6" t="s">
        <v>5115</v>
      </c>
      <c r="M740" s="6" t="s">
        <v>5116</v>
      </c>
      <c r="N740" s="17"/>
      <c r="O740" s="17"/>
      <c r="P740" s="17" t="str">
        <f t="shared" si="3"/>
        <v>OK</v>
      </c>
      <c r="Q740" s="17" t="s">
        <v>406</v>
      </c>
      <c r="R740" s="6" t="s">
        <v>407</v>
      </c>
      <c r="S740" s="17" t="s">
        <v>36</v>
      </c>
      <c r="T740" s="17" t="s">
        <v>5117</v>
      </c>
      <c r="U740" s="173" t="s">
        <v>38</v>
      </c>
      <c r="V740" s="19" t="s">
        <v>4411</v>
      </c>
      <c r="W740" s="22" t="s">
        <v>5079</v>
      </c>
      <c r="X740" s="22" t="s">
        <v>5079</v>
      </c>
      <c r="Y740" s="22"/>
      <c r="Z740" s="6"/>
      <c r="AA740" s="6"/>
      <c r="AB740" s="23"/>
      <c r="AC740" s="33"/>
    </row>
    <row r="741" spans="1:30" ht="15.75" customHeight="1">
      <c r="A741" s="10" t="s">
        <v>5118</v>
      </c>
      <c r="B741" s="10" t="s">
        <v>4410</v>
      </c>
      <c r="C741" s="19" t="s">
        <v>4411</v>
      </c>
      <c r="D741" s="12"/>
      <c r="E741" s="13" t="s">
        <v>93</v>
      </c>
      <c r="F741" s="6" t="s">
        <v>5119</v>
      </c>
      <c r="G741" s="15" t="str">
        <f ca="1">IFERROR(__xludf.DUMMYFUNCTION("CONCATENATE(B741,(VLOOKUP(C741,CATALOGOS!$F$2:$H$6,3,FALSE)),(VLOOKUP(V741,CATALOGOS!$J$2:$K$18,2,FALSE)),""-"",TO_TEXT(A741))"),"P24SJ-0740")</f>
        <v>P24SJ-0740</v>
      </c>
      <c r="H741" s="6" t="str">
        <f ca="1">IFERROR(__xludf.DUMMYFUNCTION("CONCATENATE($B741,(VLOOKUP($C741,CATALOGOS!$F$2:$H$6,3,FALSE)),(VLOOKUP($V741,CATALOGOS!$J$2:$K$18,2,FALSE)),""-"",TO_TEXT($A741))"),"P24SJ-0740")</f>
        <v>P24SJ-0740</v>
      </c>
      <c r="I741" s="6"/>
      <c r="J741" s="6" t="s">
        <v>5120</v>
      </c>
      <c r="K741" s="6" t="s">
        <v>5121</v>
      </c>
      <c r="L741" s="6" t="s">
        <v>5122</v>
      </c>
      <c r="M741" s="6" t="s">
        <v>5123</v>
      </c>
      <c r="N741" s="17"/>
      <c r="O741" s="17"/>
      <c r="P741" s="17" t="str">
        <f t="shared" si="3"/>
        <v>OK</v>
      </c>
      <c r="Q741" s="17" t="s">
        <v>35</v>
      </c>
      <c r="R741" s="6" t="s">
        <v>35</v>
      </c>
      <c r="S741" s="17" t="s">
        <v>36</v>
      </c>
      <c r="T741" s="17" t="s">
        <v>5124</v>
      </c>
      <c r="U741" s="173" t="s">
        <v>38</v>
      </c>
      <c r="V741" s="11" t="s">
        <v>4411</v>
      </c>
      <c r="W741" s="22" t="s">
        <v>5079</v>
      </c>
      <c r="X741" s="22" t="s">
        <v>5079</v>
      </c>
      <c r="Y741" s="22"/>
      <c r="Z741" s="7"/>
      <c r="AA741" s="7"/>
      <c r="AB741" s="23"/>
      <c r="AC741" s="26"/>
    </row>
    <row r="742" spans="1:30" ht="26.25" customHeight="1">
      <c r="A742" s="10" t="s">
        <v>5125</v>
      </c>
      <c r="B742" s="10" t="s">
        <v>4410</v>
      </c>
      <c r="C742" s="19" t="s">
        <v>4411</v>
      </c>
      <c r="D742" s="38"/>
      <c r="E742" s="13" t="s">
        <v>62</v>
      </c>
      <c r="F742" s="6" t="s">
        <v>5126</v>
      </c>
      <c r="G742" s="15" t="str">
        <f ca="1">IFERROR(__xludf.DUMMYFUNCTION("CONCATENATE(B742,(VLOOKUP(C742,CATALOGOS!$F$2:$H$6,3,FALSE)),(VLOOKUP(V742,CATALOGOS!$J$2:$K$18,2,FALSE)),""-"",TO_TEXT(A742))"),"P24SJ-0741")</f>
        <v>P24SJ-0741</v>
      </c>
      <c r="H742" s="6" t="str">
        <f ca="1">IFERROR(__xludf.DUMMYFUNCTION("CONCATENATE($B742,(VLOOKUP($C742,CATALOGOS!$F$2:$H$6,3,FALSE)),(VLOOKUP($V742,CATALOGOS!$J$2:$K$18,2,FALSE)),""-"",TO_TEXT($A742))"),"P24SJ-0741")</f>
        <v>P24SJ-0741</v>
      </c>
      <c r="I742" s="6"/>
      <c r="J742" s="6" t="s">
        <v>5127</v>
      </c>
      <c r="K742" s="6" t="s">
        <v>5128</v>
      </c>
      <c r="L742" s="6" t="s">
        <v>5129</v>
      </c>
      <c r="M742" s="6" t="s">
        <v>5130</v>
      </c>
      <c r="N742" s="17"/>
      <c r="O742" s="17"/>
      <c r="P742" s="17" t="str">
        <f t="shared" si="3"/>
        <v>OK</v>
      </c>
      <c r="Q742" s="17" t="s">
        <v>35</v>
      </c>
      <c r="R742" s="6" t="s">
        <v>35</v>
      </c>
      <c r="S742" s="46" t="s">
        <v>36</v>
      </c>
      <c r="T742" s="17" t="s">
        <v>5131</v>
      </c>
      <c r="U742" s="173" t="s">
        <v>38</v>
      </c>
      <c r="V742" s="11" t="s">
        <v>4411</v>
      </c>
      <c r="W742" s="22" t="s">
        <v>5079</v>
      </c>
      <c r="X742" s="22" t="s">
        <v>5079</v>
      </c>
      <c r="Y742" s="22"/>
      <c r="Z742" s="7"/>
      <c r="AA742" s="7"/>
      <c r="AB742" s="26"/>
      <c r="AC742" s="26"/>
    </row>
    <row r="743" spans="1:30" ht="15.75" customHeight="1">
      <c r="A743" s="10" t="s">
        <v>5133</v>
      </c>
      <c r="B743" s="10" t="s">
        <v>4410</v>
      </c>
      <c r="C743" s="19" t="s">
        <v>4411</v>
      </c>
      <c r="D743" s="12"/>
      <c r="E743" s="13" t="s">
        <v>93</v>
      </c>
      <c r="F743" s="6" t="s">
        <v>1380</v>
      </c>
      <c r="G743" s="15" t="str">
        <f ca="1">IFERROR(__xludf.DUMMYFUNCTION("CONCATENATE(B743,(VLOOKUP(C743,CATALOGOS!$F$2:$H$6,3,FALSE)),(VLOOKUP(V743,CATALOGOS!$J$2:$K$18,2,FALSE)),""-"",TO_TEXT(A743))"),"P24SJ-0742")</f>
        <v>P24SJ-0742</v>
      </c>
      <c r="H743" s="6" t="str">
        <f ca="1">IFERROR(__xludf.DUMMYFUNCTION("CONCATENATE($B743,(VLOOKUP($C743,CATALOGOS!$F$2:$H$6,3,FALSE)),(VLOOKUP($V743,CATALOGOS!$J$2:$K$18,2,FALSE)),""-"",TO_TEXT($A743))"),"P24SJ-0742")</f>
        <v>P24SJ-0742</v>
      </c>
      <c r="I743" s="6"/>
      <c r="J743" s="6" t="s">
        <v>5134</v>
      </c>
      <c r="K743" s="6" t="s">
        <v>5135</v>
      </c>
      <c r="L743" s="6" t="s">
        <v>5136</v>
      </c>
      <c r="M743" s="6" t="s">
        <v>5137</v>
      </c>
      <c r="N743" s="17"/>
      <c r="O743" s="17"/>
      <c r="P743" s="17" t="str">
        <f t="shared" si="3"/>
        <v>OK</v>
      </c>
      <c r="Q743" s="17" t="s">
        <v>35</v>
      </c>
      <c r="R743" s="6" t="s">
        <v>35</v>
      </c>
      <c r="S743" s="17" t="s">
        <v>36</v>
      </c>
      <c r="T743" s="17" t="s">
        <v>85</v>
      </c>
      <c r="U743" s="173" t="s">
        <v>38</v>
      </c>
      <c r="V743" s="11" t="s">
        <v>4411</v>
      </c>
      <c r="W743" s="20" t="s">
        <v>5138</v>
      </c>
      <c r="X743" s="20" t="s">
        <v>5138</v>
      </c>
      <c r="Y743" s="20"/>
      <c r="Z743" s="7"/>
      <c r="AA743" s="7"/>
      <c r="AB743" s="23"/>
      <c r="AC743" s="26"/>
    </row>
    <row r="744" spans="1:30" ht="15.75" customHeight="1">
      <c r="A744" s="10" t="s">
        <v>5139</v>
      </c>
      <c r="B744" s="10" t="s">
        <v>4410</v>
      </c>
      <c r="C744" s="19" t="s">
        <v>4411</v>
      </c>
      <c r="D744" s="12"/>
      <c r="E744" s="13" t="s">
        <v>199</v>
      </c>
      <c r="F744" s="6" t="s">
        <v>677</v>
      </c>
      <c r="G744" s="15" t="str">
        <f ca="1">IFERROR(__xludf.DUMMYFUNCTION("CONCATENATE(B744,(VLOOKUP(C744,CATALOGOS!$F$2:$H$6,3,FALSE)),(VLOOKUP(V744,CATALOGOS!$J$2:$K$18,2,FALSE)),""-"",TO_TEXT(A744))"),"P24SJ-0743")</f>
        <v>P24SJ-0743</v>
      </c>
      <c r="H744" s="6" t="str">
        <f ca="1">IFERROR(__xludf.DUMMYFUNCTION("CONCATENATE($B744,(VLOOKUP($C744,CATALOGOS!$F$2:$H$6,3,FALSE)),(VLOOKUP($V744,CATALOGOS!$J$2:$K$18,2,FALSE)),""-"",TO_TEXT($A744))"),"P24SJ-0743")</f>
        <v>P24SJ-0743</v>
      </c>
      <c r="I744" s="6"/>
      <c r="J744" s="6" t="s">
        <v>5140</v>
      </c>
      <c r="K744" s="6" t="s">
        <v>5141</v>
      </c>
      <c r="L744" s="6" t="s">
        <v>5142</v>
      </c>
      <c r="M744" s="6" t="s">
        <v>5143</v>
      </c>
      <c r="N744" s="17"/>
      <c r="O744" s="17"/>
      <c r="P744" s="17" t="str">
        <f t="shared" si="3"/>
        <v>OK</v>
      </c>
      <c r="Q744" s="17" t="s">
        <v>682</v>
      </c>
      <c r="R744" s="6" t="s">
        <v>5144</v>
      </c>
      <c r="S744" s="17" t="s">
        <v>5145</v>
      </c>
      <c r="T744" s="17" t="s">
        <v>85</v>
      </c>
      <c r="U744" s="173" t="s">
        <v>38</v>
      </c>
      <c r="V744" s="11" t="s">
        <v>4411</v>
      </c>
      <c r="W744" s="22" t="s">
        <v>5146</v>
      </c>
      <c r="X744" s="22" t="s">
        <v>5146</v>
      </c>
      <c r="Y744" s="20" t="s">
        <v>8442</v>
      </c>
      <c r="Z744" s="7"/>
      <c r="AA744" s="7"/>
      <c r="AB744" s="23"/>
      <c r="AC744" s="26"/>
    </row>
    <row r="745" spans="1:30" ht="15.75" customHeight="1">
      <c r="A745" s="10" t="s">
        <v>5147</v>
      </c>
      <c r="B745" s="10" t="s">
        <v>4410</v>
      </c>
      <c r="C745" s="19" t="s">
        <v>4411</v>
      </c>
      <c r="D745" s="38"/>
      <c r="E745" s="13" t="s">
        <v>378</v>
      </c>
      <c r="F745" s="43" t="s">
        <v>379</v>
      </c>
      <c r="G745" s="15" t="str">
        <f ca="1">IFERROR(__xludf.DUMMYFUNCTION("CONCATENATE(B745,(VLOOKUP(C745,CATALOGOS!$F$2:$H$6,3,FALSE)),(VLOOKUP(V745,CATALOGOS!$J$2:$K$18,2,FALSE)),""-"",TO_TEXT(A745))"),"P24SJ-0744")</f>
        <v>P24SJ-0744</v>
      </c>
      <c r="H745" s="6" t="str">
        <f ca="1">IFERROR(__xludf.DUMMYFUNCTION("CONCATENATE($B745,(VLOOKUP($C745,CATALOGOS!$F$2:$H$6,3,FALSE)),(VLOOKUP($V745,CATALOGOS!$J$2:$K$18,2,FALSE)),""-"",TO_TEXT($A745))"),"P24SJ-0744")</f>
        <v>P24SJ-0744</v>
      </c>
      <c r="I745" s="6"/>
      <c r="J745" s="6" t="s">
        <v>5148</v>
      </c>
      <c r="K745" s="6" t="s">
        <v>5149</v>
      </c>
      <c r="L745" s="6" t="s">
        <v>5150</v>
      </c>
      <c r="M745" s="6" t="s">
        <v>5151</v>
      </c>
      <c r="N745" s="17"/>
      <c r="O745" s="17"/>
      <c r="P745" s="17" t="str">
        <f t="shared" si="3"/>
        <v>OK</v>
      </c>
      <c r="Q745" s="17" t="s">
        <v>35</v>
      </c>
      <c r="R745" s="6" t="s">
        <v>35</v>
      </c>
      <c r="S745" s="46" t="s">
        <v>36</v>
      </c>
      <c r="T745" s="17" t="s">
        <v>5152</v>
      </c>
      <c r="U745" s="173" t="s">
        <v>38</v>
      </c>
      <c r="V745" s="11" t="s">
        <v>4411</v>
      </c>
      <c r="W745" s="22" t="s">
        <v>5146</v>
      </c>
      <c r="X745" s="22" t="s">
        <v>5146</v>
      </c>
      <c r="Y745" s="20" t="s">
        <v>8442</v>
      </c>
      <c r="Z745" s="7"/>
      <c r="AA745" s="7"/>
      <c r="AB745" s="26"/>
      <c r="AC745" s="26"/>
    </row>
    <row r="746" spans="1:30" ht="15.75" customHeight="1">
      <c r="A746" s="10" t="s">
        <v>5153</v>
      </c>
      <c r="B746" s="10" t="s">
        <v>4410</v>
      </c>
      <c r="C746" s="19" t="s">
        <v>4411</v>
      </c>
      <c r="D746" s="12"/>
      <c r="E746" s="13" t="s">
        <v>93</v>
      </c>
      <c r="F746" s="6" t="s">
        <v>1380</v>
      </c>
      <c r="G746" s="15" t="str">
        <f ca="1">IFERROR(__xludf.DUMMYFUNCTION("CONCATENATE(B746,(VLOOKUP(C746,CATALOGOS!$F$2:$H$6,3,FALSE)),(VLOOKUP(V746,CATALOGOS!$J$2:$K$18,2,FALSE)),""-"",TO_TEXT(A746))"),"P24SJ-0745")</f>
        <v>P24SJ-0745</v>
      </c>
      <c r="H746" s="6" t="str">
        <f ca="1">IFERROR(__xludf.DUMMYFUNCTION("CONCATENATE($B746,(VLOOKUP($C746,CATALOGOS!$F$2:$H$6,3,FALSE)),(VLOOKUP($V746,CATALOGOS!$J$2:$K$18,2,FALSE)),""-"",TO_TEXT($A746))"),"P24SJ-0745")</f>
        <v>P24SJ-0745</v>
      </c>
      <c r="I746" s="6"/>
      <c r="J746" s="6" t="s">
        <v>5154</v>
      </c>
      <c r="K746" s="6" t="s">
        <v>5155</v>
      </c>
      <c r="L746" s="6" t="s">
        <v>5156</v>
      </c>
      <c r="M746" s="6" t="s">
        <v>5157</v>
      </c>
      <c r="N746" s="17"/>
      <c r="O746" s="17"/>
      <c r="P746" s="17" t="str">
        <f t="shared" si="3"/>
        <v>OK</v>
      </c>
      <c r="Q746" s="17" t="s">
        <v>35</v>
      </c>
      <c r="R746" s="6" t="s">
        <v>35</v>
      </c>
      <c r="S746" s="17" t="s">
        <v>36</v>
      </c>
      <c r="T746" s="17" t="s">
        <v>5158</v>
      </c>
      <c r="U746" s="173" t="s">
        <v>38</v>
      </c>
      <c r="V746" s="11" t="s">
        <v>4411</v>
      </c>
      <c r="W746" s="22" t="s">
        <v>5138</v>
      </c>
      <c r="X746" s="22" t="s">
        <v>5138</v>
      </c>
      <c r="Y746" s="22"/>
      <c r="Z746" s="6"/>
      <c r="AA746" s="6"/>
      <c r="AB746" s="23"/>
      <c r="AC746" s="33"/>
    </row>
    <row r="747" spans="1:30" ht="15.75" customHeight="1">
      <c r="A747" s="10" t="s">
        <v>5159</v>
      </c>
      <c r="B747" s="10" t="s">
        <v>4410</v>
      </c>
      <c r="C747" s="19" t="s">
        <v>4411</v>
      </c>
      <c r="D747" s="12"/>
      <c r="E747" s="13" t="s">
        <v>93</v>
      </c>
      <c r="F747" s="43" t="s">
        <v>5160</v>
      </c>
      <c r="G747" s="15" t="str">
        <f ca="1">IFERROR(__xludf.DUMMYFUNCTION("CONCATENATE(B747,(VLOOKUP(C747,CATALOGOS!$F$2:$H$6,3,FALSE)),(VLOOKUP(V747,CATALOGOS!$J$2:$K$18,2,FALSE)),""-"",TO_TEXT(A747))"),"P24SJ-0746")</f>
        <v>P24SJ-0746</v>
      </c>
      <c r="H747" s="6" t="str">
        <f ca="1">IFERROR(__xludf.DUMMYFUNCTION("CONCATENATE($B747,(VLOOKUP($C747,CATALOGOS!$F$2:$H$6,3,FALSE)),(VLOOKUP($V747,CATALOGOS!$J$2:$K$18,2,FALSE)),""-"",TO_TEXT($A747))"),"P24SJ-0746")</f>
        <v>P24SJ-0746</v>
      </c>
      <c r="I747" s="6"/>
      <c r="J747" s="6" t="s">
        <v>5161</v>
      </c>
      <c r="K747" s="6" t="s">
        <v>5162</v>
      </c>
      <c r="L747" s="10" t="s">
        <v>5163</v>
      </c>
      <c r="M747" s="6" t="s">
        <v>5164</v>
      </c>
      <c r="N747" s="17"/>
      <c r="O747" s="17"/>
      <c r="P747" s="17" t="str">
        <f t="shared" si="3"/>
        <v>OK</v>
      </c>
      <c r="Q747" s="17" t="s">
        <v>35</v>
      </c>
      <c r="R747" s="6" t="s">
        <v>35</v>
      </c>
      <c r="S747" s="17" t="s">
        <v>36</v>
      </c>
      <c r="T747" s="17" t="s">
        <v>5165</v>
      </c>
      <c r="U747" s="173" t="s">
        <v>38</v>
      </c>
      <c r="V747" s="11" t="s">
        <v>4411</v>
      </c>
      <c r="W747" s="22" t="s">
        <v>5138</v>
      </c>
      <c r="X747" s="22" t="s">
        <v>5138</v>
      </c>
      <c r="Y747" s="22"/>
      <c r="Z747" s="7"/>
      <c r="AA747" s="7"/>
      <c r="AB747" s="23"/>
      <c r="AC747" s="26"/>
    </row>
    <row r="748" spans="1:30" ht="15.75" customHeight="1">
      <c r="A748" s="10" t="s">
        <v>5166</v>
      </c>
      <c r="B748" s="10" t="s">
        <v>4410</v>
      </c>
      <c r="C748" s="19" t="s">
        <v>4411</v>
      </c>
      <c r="D748" s="12"/>
      <c r="E748" s="13" t="s">
        <v>29</v>
      </c>
      <c r="F748" s="6" t="s">
        <v>5167</v>
      </c>
      <c r="G748" s="15" t="str">
        <f ca="1">IFERROR(__xludf.DUMMYFUNCTION("CONCATENATE(B748,(VLOOKUP(C748,CATALOGOS!$F$2:$H$6,3,FALSE)),(VLOOKUP(V748,CATALOGOS!$J$2:$K$18,2,FALSE)),""-"",TO_TEXT(A748))"),"P24SJ-0747")</f>
        <v>P24SJ-0747</v>
      </c>
      <c r="H748" s="6" t="str">
        <f ca="1">IFERROR(__xludf.DUMMYFUNCTION("CONCATENATE($B748,(VLOOKUP($C748,CATALOGOS!$F$2:$H$6,3,FALSE)),(VLOOKUP($V748,CATALOGOS!$J$2:$K$18,2,FALSE)),""-"",TO_TEXT($A748))"),"P24SJ-0747")</f>
        <v>P24SJ-0747</v>
      </c>
      <c r="I748" s="6"/>
      <c r="J748" s="6" t="s">
        <v>5168</v>
      </c>
      <c r="K748" s="6" t="s">
        <v>5169</v>
      </c>
      <c r="L748" s="6" t="s">
        <v>5170</v>
      </c>
      <c r="M748" s="6" t="s">
        <v>5171</v>
      </c>
      <c r="N748" s="17"/>
      <c r="O748" s="17"/>
      <c r="P748" s="17" t="str">
        <f t="shared" si="3"/>
        <v>OK</v>
      </c>
      <c r="Q748" s="17" t="s">
        <v>35</v>
      </c>
      <c r="R748" s="6" t="s">
        <v>35</v>
      </c>
      <c r="S748" s="17" t="s">
        <v>36</v>
      </c>
      <c r="T748" s="17" t="s">
        <v>5172</v>
      </c>
      <c r="U748" s="173" t="s">
        <v>38</v>
      </c>
      <c r="V748" s="11" t="s">
        <v>4411</v>
      </c>
      <c r="W748" s="22" t="s">
        <v>5138</v>
      </c>
      <c r="X748" s="22" t="s">
        <v>5138</v>
      </c>
      <c r="Y748" s="22"/>
      <c r="Z748" s="36"/>
      <c r="AA748" s="36"/>
      <c r="AB748" s="12"/>
      <c r="AC748" s="78"/>
      <c r="AD748" s="8"/>
    </row>
    <row r="749" spans="1:30" ht="15.75" customHeight="1">
      <c r="A749" s="10" t="s">
        <v>5173</v>
      </c>
      <c r="B749" s="10" t="s">
        <v>4410</v>
      </c>
      <c r="C749" s="19" t="s">
        <v>4411</v>
      </c>
      <c r="D749" s="12"/>
      <c r="E749" s="13" t="s">
        <v>162</v>
      </c>
      <c r="F749" s="43" t="s">
        <v>285</v>
      </c>
      <c r="G749" s="15" t="str">
        <f ca="1">IFERROR(__xludf.DUMMYFUNCTION("CONCATENATE(B749,(VLOOKUP(C749,CATALOGOS!$F$2:$H$6,3,FALSE)),(VLOOKUP(V749,CATALOGOS!$J$2:$K$18,2,FALSE)),""-"",TO_TEXT(A749))"),"P24SJ-0748")</f>
        <v>P24SJ-0748</v>
      </c>
      <c r="H749" s="6" t="str">
        <f ca="1">IFERROR(__xludf.DUMMYFUNCTION("CONCATENATE($B749,(VLOOKUP($C749,CATALOGOS!$F$2:$H$6,3,FALSE)),(VLOOKUP($V749,CATALOGOS!$J$2:$K$18,2,FALSE)),""-"",TO_TEXT($A749))"),"P24SJ-0748")</f>
        <v>P24SJ-0748</v>
      </c>
      <c r="I749" s="6"/>
      <c r="J749" s="6" t="s">
        <v>5174</v>
      </c>
      <c r="K749" s="6" t="s">
        <v>5175</v>
      </c>
      <c r="L749" s="6" t="s">
        <v>5176</v>
      </c>
      <c r="M749" s="6" t="s">
        <v>5177</v>
      </c>
      <c r="N749" s="17"/>
      <c r="O749" s="17"/>
      <c r="P749" s="17" t="str">
        <f t="shared" si="3"/>
        <v>OK</v>
      </c>
      <c r="Q749" s="17" t="s">
        <v>663</v>
      </c>
      <c r="R749" s="6" t="s">
        <v>664</v>
      </c>
      <c r="S749" s="17" t="s">
        <v>5178</v>
      </c>
      <c r="T749" s="10" t="s">
        <v>5179</v>
      </c>
      <c r="U749" s="173" t="s">
        <v>38</v>
      </c>
      <c r="V749" s="11" t="s">
        <v>4411</v>
      </c>
      <c r="W749" s="22" t="s">
        <v>5138</v>
      </c>
      <c r="X749" s="22" t="s">
        <v>5138</v>
      </c>
      <c r="Y749" s="22"/>
      <c r="Z749" s="7"/>
      <c r="AA749" s="7"/>
      <c r="AB749" s="23"/>
      <c r="AC749" s="26"/>
    </row>
    <row r="750" spans="1:30" ht="15.75" customHeight="1">
      <c r="A750" s="10" t="s">
        <v>5180</v>
      </c>
      <c r="B750" s="10" t="s">
        <v>4410</v>
      </c>
      <c r="C750" s="19" t="s">
        <v>4411</v>
      </c>
      <c r="D750" s="12"/>
      <c r="E750" s="13" t="s">
        <v>248</v>
      </c>
      <c r="F750" s="43" t="s">
        <v>249</v>
      </c>
      <c r="G750" s="15" t="str">
        <f ca="1">IFERROR(__xludf.DUMMYFUNCTION("CONCATENATE(B750,(VLOOKUP(C750,CATALOGOS!$F$2:$H$6,3,FALSE)),(VLOOKUP(V750,CATALOGOS!$J$2:$K$18,2,FALSE)),""-"",TO_TEXT(A750))"),"P24SJ-0749")</f>
        <v>P24SJ-0749</v>
      </c>
      <c r="H750" s="6" t="str">
        <f ca="1">IFERROR(__xludf.DUMMYFUNCTION("CONCATENATE($B750,(VLOOKUP($C750,CATALOGOS!$F$2:$H$6,3,FALSE)),(VLOOKUP($V750,CATALOGOS!$J$2:$K$18,2,FALSE)),""-"",TO_TEXT($A750))"),"P24SJ-0749")</f>
        <v>P24SJ-0749</v>
      </c>
      <c r="I750" s="6"/>
      <c r="J750" s="6" t="s">
        <v>5181</v>
      </c>
      <c r="K750" s="6" t="s">
        <v>5182</v>
      </c>
      <c r="L750" s="6" t="s">
        <v>5183</v>
      </c>
      <c r="M750" s="6" t="s">
        <v>5184</v>
      </c>
      <c r="N750" s="17"/>
      <c r="O750" s="17"/>
      <c r="P750" s="17" t="str">
        <f t="shared" si="3"/>
        <v>OK</v>
      </c>
      <c r="Q750" s="17" t="s">
        <v>978</v>
      </c>
      <c r="R750" s="6" t="s">
        <v>979</v>
      </c>
      <c r="S750" s="17" t="s">
        <v>5185</v>
      </c>
      <c r="T750" s="17" t="s">
        <v>5186</v>
      </c>
      <c r="U750" s="173" t="s">
        <v>38</v>
      </c>
      <c r="V750" s="11" t="s">
        <v>4411</v>
      </c>
      <c r="W750" s="22" t="s">
        <v>5138</v>
      </c>
      <c r="X750" s="22" t="s">
        <v>5138</v>
      </c>
      <c r="Y750" s="22"/>
      <c r="Z750" s="7"/>
      <c r="AA750" s="7"/>
      <c r="AB750" s="23"/>
      <c r="AC750" s="26"/>
    </row>
    <row r="751" spans="1:30" ht="15.75" customHeight="1">
      <c r="A751" s="10" t="s">
        <v>5187</v>
      </c>
      <c r="B751" s="10" t="s">
        <v>4410</v>
      </c>
      <c r="C751" s="19" t="s">
        <v>4411</v>
      </c>
      <c r="D751" s="12"/>
      <c r="E751" s="13" t="s">
        <v>353</v>
      </c>
      <c r="F751" s="43" t="s">
        <v>354</v>
      </c>
      <c r="G751" s="15" t="str">
        <f ca="1">IFERROR(__xludf.DUMMYFUNCTION("CONCATENATE(B751,(VLOOKUP(C751,CATALOGOS!$F$2:$H$6,3,FALSE)),(VLOOKUP(V751,CATALOGOS!$J$2:$K$18,2,FALSE)),""-"",TO_TEXT(A751))"),"P24SJ-0750")</f>
        <v>P24SJ-0750</v>
      </c>
      <c r="H751" s="6" t="str">
        <f ca="1">IFERROR(__xludf.DUMMYFUNCTION("CONCATENATE($B751,(VLOOKUP($C751,CATALOGOS!$F$2:$H$6,3,FALSE)),(VLOOKUP($V751,CATALOGOS!$J$2:$K$18,2,FALSE)),""-"",TO_TEXT($A751))"),"P24SJ-0750")</f>
        <v>P24SJ-0750</v>
      </c>
      <c r="I751" s="6"/>
      <c r="J751" s="6" t="s">
        <v>5188</v>
      </c>
      <c r="K751" s="6" t="s">
        <v>5189</v>
      </c>
      <c r="L751" s="6" t="s">
        <v>5190</v>
      </c>
      <c r="M751" s="6" t="s">
        <v>5191</v>
      </c>
      <c r="N751" s="17"/>
      <c r="O751" s="17"/>
      <c r="P751" s="17" t="str">
        <f t="shared" si="3"/>
        <v>OK</v>
      </c>
      <c r="Q751" s="17" t="s">
        <v>827</v>
      </c>
      <c r="R751" s="6" t="s">
        <v>828</v>
      </c>
      <c r="S751" s="17" t="s">
        <v>5192</v>
      </c>
      <c r="T751" s="10" t="s">
        <v>5193</v>
      </c>
      <c r="U751" s="173" t="s">
        <v>38</v>
      </c>
      <c r="V751" s="11" t="s">
        <v>4411</v>
      </c>
      <c r="W751" s="22" t="s">
        <v>5138</v>
      </c>
      <c r="X751" s="22" t="s">
        <v>5138</v>
      </c>
      <c r="Y751" s="22"/>
      <c r="Z751" s="7"/>
      <c r="AA751" s="7"/>
      <c r="AB751" s="23"/>
      <c r="AC751" s="26"/>
    </row>
    <row r="752" spans="1:30" ht="29.25" customHeight="1">
      <c r="A752" s="10" t="s">
        <v>5195</v>
      </c>
      <c r="B752" s="10" t="s">
        <v>4410</v>
      </c>
      <c r="C752" s="19" t="s">
        <v>4411</v>
      </c>
      <c r="D752" s="12"/>
      <c r="E752" s="13" t="s">
        <v>116</v>
      </c>
      <c r="F752" s="6" t="s">
        <v>5196</v>
      </c>
      <c r="G752" s="15" t="str">
        <f ca="1">IFERROR(__xludf.DUMMYFUNCTION("CONCATENATE(B752,(VLOOKUP(C752,CATALOGOS!$F$2:$H$6,3,FALSE)),(VLOOKUP(V752,CATALOGOS!$J$2:$K$18,2,FALSE)),""-"",TO_TEXT(A752))"),"P24SJ-0751")</f>
        <v>P24SJ-0751</v>
      </c>
      <c r="H752" s="6" t="str">
        <f ca="1">IFERROR(__xludf.DUMMYFUNCTION("CONCATENATE($B752,(VLOOKUP($C752,CATALOGOS!$F$2:$H$6,3,FALSE)),(VLOOKUP($V752,CATALOGOS!$J$2:$K$18,2,FALSE)),""-"",TO_TEXT($A752))"),"P24SJ-0751")</f>
        <v>P24SJ-0751</v>
      </c>
      <c r="I752" s="6"/>
      <c r="J752" s="6" t="s">
        <v>5197</v>
      </c>
      <c r="K752" s="6" t="s">
        <v>5198</v>
      </c>
      <c r="L752" s="6" t="s">
        <v>5199</v>
      </c>
      <c r="M752" s="6" t="s">
        <v>5200</v>
      </c>
      <c r="N752" s="17"/>
      <c r="O752" s="17"/>
      <c r="P752" s="17" t="str">
        <f t="shared" si="3"/>
        <v>OK</v>
      </c>
      <c r="Q752" s="17" t="s">
        <v>35</v>
      </c>
      <c r="R752" s="6" t="s">
        <v>35</v>
      </c>
      <c r="S752" s="17" t="s">
        <v>36</v>
      </c>
      <c r="T752" s="17" t="s">
        <v>5201</v>
      </c>
      <c r="U752" s="179" t="s">
        <v>517</v>
      </c>
      <c r="V752" s="11" t="s">
        <v>4411</v>
      </c>
      <c r="W752" s="22" t="s">
        <v>5138</v>
      </c>
      <c r="X752" s="22" t="s">
        <v>5138</v>
      </c>
      <c r="Y752" s="22"/>
      <c r="Z752" s="7"/>
      <c r="AA752" s="7"/>
      <c r="AB752" s="23"/>
      <c r="AC752" s="26"/>
    </row>
    <row r="753" spans="1:29" ht="15.75" customHeight="1">
      <c r="A753" s="10" t="s">
        <v>5202</v>
      </c>
      <c r="B753" s="10" t="s">
        <v>4410</v>
      </c>
      <c r="C753" s="19" t="s">
        <v>4411</v>
      </c>
      <c r="D753" s="12"/>
      <c r="E753" s="13" t="s">
        <v>378</v>
      </c>
      <c r="F753" s="43" t="s">
        <v>5203</v>
      </c>
      <c r="G753" s="15" t="str">
        <f ca="1">IFERROR(__xludf.DUMMYFUNCTION("CONCATENATE(B753,(VLOOKUP(C753,CATALOGOS!$F$2:$H$6,3,FALSE)),(VLOOKUP(V753,CATALOGOS!$J$2:$K$18,2,FALSE)),""-"",TO_TEXT(A753))"),"P24SJ-0752")</f>
        <v>P24SJ-0752</v>
      </c>
      <c r="H753" s="6" t="str">
        <f ca="1">IFERROR(__xludf.DUMMYFUNCTION("CONCATENATE($B753,(VLOOKUP($C753,CATALOGOS!$F$2:$H$6,3,FALSE)),(VLOOKUP($V753,CATALOGOS!$J$2:$K$18,2,FALSE)),""-"",TO_TEXT($A753))"),"P24SJ-0752")</f>
        <v>P24SJ-0752</v>
      </c>
      <c r="I753" s="6"/>
      <c r="J753" s="6" t="s">
        <v>5204</v>
      </c>
      <c r="K753" s="6" t="s">
        <v>5205</v>
      </c>
      <c r="L753" s="6" t="s">
        <v>5206</v>
      </c>
      <c r="M753" s="6" t="s">
        <v>5207</v>
      </c>
      <c r="N753" s="17"/>
      <c r="O753" s="17"/>
      <c r="P753" s="17" t="str">
        <f t="shared" si="3"/>
        <v>OK</v>
      </c>
      <c r="Q753" s="17" t="s">
        <v>35</v>
      </c>
      <c r="R753" s="6" t="s">
        <v>35</v>
      </c>
      <c r="S753" s="17" t="s">
        <v>36</v>
      </c>
      <c r="T753" s="17" t="s">
        <v>5208</v>
      </c>
      <c r="U753" s="173" t="s">
        <v>38</v>
      </c>
      <c r="V753" s="11" t="s">
        <v>4411</v>
      </c>
      <c r="W753" s="22" t="s">
        <v>5138</v>
      </c>
      <c r="X753" s="22" t="s">
        <v>5138</v>
      </c>
      <c r="Y753" s="22"/>
      <c r="Z753" s="36"/>
      <c r="AA753" s="36"/>
      <c r="AB753" s="23"/>
      <c r="AC753" s="33"/>
    </row>
    <row r="754" spans="1:29" ht="15.75" customHeight="1">
      <c r="A754" s="10" t="s">
        <v>5209</v>
      </c>
      <c r="B754" s="10" t="s">
        <v>4410</v>
      </c>
      <c r="C754" s="19" t="s">
        <v>4411</v>
      </c>
      <c r="D754" s="38"/>
      <c r="E754" s="13" t="s">
        <v>199</v>
      </c>
      <c r="F754" s="6" t="s">
        <v>677</v>
      </c>
      <c r="G754" s="15" t="str">
        <f ca="1">IFERROR(__xludf.DUMMYFUNCTION("CONCATENATE(B754,(VLOOKUP(C754,CATALOGOS!$F$2:$H$6,3,FALSE)),(VLOOKUP(V754,CATALOGOS!$J$2:$K$18,2,FALSE)),""-"",TO_TEXT(A754))"),"P24SJ-0753")</f>
        <v>P24SJ-0753</v>
      </c>
      <c r="H754" s="6" t="str">
        <f ca="1">IFERROR(__xludf.DUMMYFUNCTION("CONCATENATE($B754,(VLOOKUP($C754,CATALOGOS!$F$2:$H$6,3,FALSE)),(VLOOKUP($V754,CATALOGOS!$J$2:$K$18,2,FALSE)),""-"",TO_TEXT($A754))"),"P24SJ-0753")</f>
        <v>P24SJ-0753</v>
      </c>
      <c r="I754" s="6"/>
      <c r="J754" s="6" t="s">
        <v>5210</v>
      </c>
      <c r="K754" s="6" t="s">
        <v>5211</v>
      </c>
      <c r="L754" s="6" t="s">
        <v>5212</v>
      </c>
      <c r="M754" s="6" t="s">
        <v>5213</v>
      </c>
      <c r="N754" s="17"/>
      <c r="O754" s="17"/>
      <c r="P754" s="17" t="str">
        <f t="shared" si="3"/>
        <v>OK</v>
      </c>
      <c r="Q754" s="17" t="s">
        <v>682</v>
      </c>
      <c r="R754" s="6" t="s">
        <v>5214</v>
      </c>
      <c r="S754" s="46" t="s">
        <v>5215</v>
      </c>
      <c r="T754" s="32" t="s">
        <v>85</v>
      </c>
      <c r="U754" s="179" t="s">
        <v>517</v>
      </c>
      <c r="V754" s="11" t="s">
        <v>4411</v>
      </c>
      <c r="W754" s="22" t="s">
        <v>5138</v>
      </c>
      <c r="X754" s="22" t="s">
        <v>5138</v>
      </c>
      <c r="Y754" s="22"/>
      <c r="Z754" s="6"/>
      <c r="AA754" s="6"/>
      <c r="AB754" s="26"/>
      <c r="AC754" s="33"/>
    </row>
    <row r="755" spans="1:29" ht="29.25" customHeight="1">
      <c r="A755" s="10" t="s">
        <v>5216</v>
      </c>
      <c r="B755" s="10" t="s">
        <v>4410</v>
      </c>
      <c r="C755" s="19" t="s">
        <v>4411</v>
      </c>
      <c r="D755" s="12"/>
      <c r="E755" s="13" t="s">
        <v>62</v>
      </c>
      <c r="F755" s="43" t="s">
        <v>5217</v>
      </c>
      <c r="G755" s="15" t="str">
        <f ca="1">IFERROR(__xludf.DUMMYFUNCTION("CONCATENATE(B755,(VLOOKUP(C755,CATALOGOS!$F$2:$H$6,3,FALSE)),(VLOOKUP(V755,CATALOGOS!$J$2:$K$18,2,FALSE)),""-"",TO_TEXT(A755))"),"P24SJ-0754")</f>
        <v>P24SJ-0754</v>
      </c>
      <c r="H755" s="6" t="str">
        <f ca="1">IFERROR(__xludf.DUMMYFUNCTION("CONCATENATE($B755,(VLOOKUP($C755,CATALOGOS!$F$2:$H$6,3,FALSE)),(VLOOKUP($V755,CATALOGOS!$J$2:$K$18,2,FALSE)),""-"",TO_TEXT($A755))"),"P24SJ-0754")</f>
        <v>P24SJ-0754</v>
      </c>
      <c r="I755" s="6"/>
      <c r="J755" s="6" t="s">
        <v>5218</v>
      </c>
      <c r="K755" s="6" t="s">
        <v>5219</v>
      </c>
      <c r="L755" s="6" t="s">
        <v>5220</v>
      </c>
      <c r="M755" s="6" t="s">
        <v>5221</v>
      </c>
      <c r="N755" s="17"/>
      <c r="O755" s="17"/>
      <c r="P755" s="17" t="str">
        <f t="shared" si="3"/>
        <v>OK</v>
      </c>
      <c r="Q755" s="17" t="s">
        <v>35</v>
      </c>
      <c r="R755" s="6" t="s">
        <v>35</v>
      </c>
      <c r="S755" s="17" t="s">
        <v>36</v>
      </c>
      <c r="T755" s="17" t="s">
        <v>85</v>
      </c>
      <c r="U755" s="173" t="s">
        <v>38</v>
      </c>
      <c r="V755" s="11" t="s">
        <v>4411</v>
      </c>
      <c r="W755" s="22" t="s">
        <v>5223</v>
      </c>
      <c r="X755" s="22" t="s">
        <v>5223</v>
      </c>
      <c r="Y755" s="22"/>
      <c r="Z755" s="7"/>
      <c r="AA755" s="7"/>
      <c r="AB755" s="23"/>
      <c r="AC755" s="26"/>
    </row>
    <row r="756" spans="1:29" ht="27.75" customHeight="1">
      <c r="A756" s="10" t="s">
        <v>5224</v>
      </c>
      <c r="B756" s="10" t="s">
        <v>4410</v>
      </c>
      <c r="C756" s="19" t="s">
        <v>4411</v>
      </c>
      <c r="D756" s="12"/>
      <c r="E756" s="13" t="s">
        <v>93</v>
      </c>
      <c r="F756" s="6" t="s">
        <v>5225</v>
      </c>
      <c r="G756" s="15" t="str">
        <f ca="1">IFERROR(__xludf.DUMMYFUNCTION("CONCATENATE(B756,(VLOOKUP(C756,CATALOGOS!$F$2:$H$6,3,FALSE)),(VLOOKUP(V756,CATALOGOS!$J$2:$K$18,2,FALSE)),""-"",TO_TEXT(A756))"),"P24SJ-0755")</f>
        <v>P24SJ-0755</v>
      </c>
      <c r="H756" s="6" t="str">
        <f ca="1">IFERROR(__xludf.DUMMYFUNCTION("CONCATENATE($B756,(VLOOKUP($C756,CATALOGOS!$F$2:$H$6,3,FALSE)),(VLOOKUP($V756,CATALOGOS!$J$2:$K$18,2,FALSE)),""-"",TO_TEXT($A756))"),"P24SJ-0755")</f>
        <v>P24SJ-0755</v>
      </c>
      <c r="I756" s="6"/>
      <c r="J756" s="6" t="s">
        <v>5226</v>
      </c>
      <c r="K756" s="6" t="s">
        <v>5227</v>
      </c>
      <c r="L756" s="6" t="s">
        <v>5228</v>
      </c>
      <c r="M756" s="6" t="s">
        <v>5229</v>
      </c>
      <c r="N756" s="17"/>
      <c r="O756" s="17"/>
      <c r="P756" s="17" t="str">
        <f t="shared" si="3"/>
        <v>OK</v>
      </c>
      <c r="Q756" s="17" t="s">
        <v>35</v>
      </c>
      <c r="R756" s="6" t="s">
        <v>35</v>
      </c>
      <c r="S756" s="17" t="s">
        <v>36</v>
      </c>
      <c r="T756" s="17" t="s">
        <v>5230</v>
      </c>
      <c r="U756" s="173" t="s">
        <v>38</v>
      </c>
      <c r="V756" s="11" t="s">
        <v>4411</v>
      </c>
      <c r="W756" s="22" t="s">
        <v>5223</v>
      </c>
      <c r="X756" s="22" t="s">
        <v>5223</v>
      </c>
      <c r="Y756" s="22"/>
      <c r="Z756" s="7"/>
      <c r="AA756" s="7"/>
      <c r="AB756" s="23"/>
      <c r="AC756" s="26"/>
    </row>
    <row r="757" spans="1:29" ht="15.75" customHeight="1">
      <c r="A757" s="10" t="s">
        <v>5231</v>
      </c>
      <c r="B757" s="10" t="s">
        <v>4410</v>
      </c>
      <c r="C757" s="19" t="s">
        <v>4411</v>
      </c>
      <c r="D757" s="12"/>
      <c r="E757" s="13" t="s">
        <v>43</v>
      </c>
      <c r="F757" s="6" t="s">
        <v>5232</v>
      </c>
      <c r="G757" s="15" t="str">
        <f ca="1">IFERROR(__xludf.DUMMYFUNCTION("CONCATENATE(B757,(VLOOKUP(C757,CATALOGOS!$F$2:$H$6,3,FALSE)),(VLOOKUP(V757,CATALOGOS!$J$2:$K$18,2,FALSE)),""-"",TO_TEXT(A757))"),"P24SJ-0756")</f>
        <v>P24SJ-0756</v>
      </c>
      <c r="H757" s="6" t="str">
        <f ca="1">IFERROR(__xludf.DUMMYFUNCTION("CONCATENATE($B757,(VLOOKUP($C757,CATALOGOS!$F$2:$H$6,3,FALSE)),(VLOOKUP($V757,CATALOGOS!$J$2:$K$18,2,FALSE)),""-"",TO_TEXT($A757))"),"P24SJ-0756")</f>
        <v>P24SJ-0756</v>
      </c>
      <c r="I757" s="6"/>
      <c r="J757" s="6" t="s">
        <v>5233</v>
      </c>
      <c r="K757" s="6" t="s">
        <v>5234</v>
      </c>
      <c r="L757" s="6" t="s">
        <v>5235</v>
      </c>
      <c r="M757" s="43" t="s">
        <v>5236</v>
      </c>
      <c r="N757" s="17"/>
      <c r="O757" s="17"/>
      <c r="P757" s="17" t="str">
        <f t="shared" si="3"/>
        <v>OK</v>
      </c>
      <c r="Q757" s="17" t="s">
        <v>5237</v>
      </c>
      <c r="R757" s="6" t="s">
        <v>5238</v>
      </c>
      <c r="S757" s="17" t="s">
        <v>36</v>
      </c>
      <c r="T757" s="10" t="s">
        <v>5239</v>
      </c>
      <c r="U757" s="173" t="s">
        <v>38</v>
      </c>
      <c r="V757" s="11" t="s">
        <v>4411</v>
      </c>
      <c r="W757" s="22" t="s">
        <v>5223</v>
      </c>
      <c r="X757" s="22" t="s">
        <v>5223</v>
      </c>
      <c r="Y757" s="22"/>
      <c r="Z757" s="7"/>
      <c r="AA757" s="7"/>
      <c r="AB757" s="23"/>
      <c r="AC757" s="26"/>
    </row>
    <row r="758" spans="1:29" ht="15.75" customHeight="1">
      <c r="A758" s="10" t="s">
        <v>5240</v>
      </c>
      <c r="B758" s="10" t="s">
        <v>4410</v>
      </c>
      <c r="C758" s="19" t="s">
        <v>4411</v>
      </c>
      <c r="D758" s="12"/>
      <c r="E758" s="13" t="s">
        <v>184</v>
      </c>
      <c r="F758" s="6" t="s">
        <v>2677</v>
      </c>
      <c r="G758" s="64" t="str">
        <f ca="1">IFERROR(__xludf.DUMMYFUNCTION("CONCATENATE(B758,(VLOOKUP(C758,CATALOGOS!$F$2:$H$6,3,FALSE)),(VLOOKUP(V758,CATALOGOS!$J$2:$K$18,2,FALSE)),""-"",TO_TEXT(A758))"),"P24SJ-0757")</f>
        <v>P24SJ-0757</v>
      </c>
      <c r="H758" s="6" t="str">
        <f ca="1">IFERROR(__xludf.DUMMYFUNCTION("CONCATENATE($B758,(VLOOKUP($C758,CATALOGOS!$F$2:$H$6,3,FALSE)),(VLOOKUP($V758,CATALOGOS!$J$2:$K$18,2,FALSE)),""-"",TO_TEXT($A758))"),"P24SJ-0757")</f>
        <v>P24SJ-0757</v>
      </c>
      <c r="I758" s="6"/>
      <c r="J758" s="6" t="s">
        <v>5241</v>
      </c>
      <c r="K758" s="6" t="s">
        <v>5242</v>
      </c>
      <c r="L758" s="6" t="s">
        <v>5243</v>
      </c>
      <c r="M758" s="6" t="s">
        <v>5244</v>
      </c>
      <c r="N758" s="17"/>
      <c r="O758" s="17"/>
      <c r="P758" s="17" t="str">
        <f t="shared" si="3"/>
        <v>OK</v>
      </c>
      <c r="Q758" s="17" t="s">
        <v>35</v>
      </c>
      <c r="R758" s="6" t="s">
        <v>35</v>
      </c>
      <c r="S758" s="17" t="s">
        <v>36</v>
      </c>
      <c r="T758" s="17" t="s">
        <v>5245</v>
      </c>
      <c r="U758" s="173" t="s">
        <v>100</v>
      </c>
      <c r="V758" s="11" t="s">
        <v>4411</v>
      </c>
      <c r="W758" s="22" t="s">
        <v>5223</v>
      </c>
      <c r="X758" s="22" t="s">
        <v>5223</v>
      </c>
      <c r="Y758" s="186" t="s">
        <v>8443</v>
      </c>
      <c r="Z758" s="6"/>
      <c r="AA758" s="6" t="s">
        <v>440</v>
      </c>
      <c r="AB758" s="23"/>
      <c r="AC758" s="26"/>
    </row>
    <row r="759" spans="1:29" ht="15.75" customHeight="1">
      <c r="A759" s="10" t="s">
        <v>5247</v>
      </c>
      <c r="B759" s="10" t="s">
        <v>4410</v>
      </c>
      <c r="C759" s="19" t="s">
        <v>4411</v>
      </c>
      <c r="D759" s="12"/>
      <c r="E759" s="13" t="s">
        <v>378</v>
      </c>
      <c r="F759" s="43" t="s">
        <v>5248</v>
      </c>
      <c r="G759" s="15" t="str">
        <f ca="1">IFERROR(__xludf.DUMMYFUNCTION("CONCATENATE(B759,(VLOOKUP(C759,CATALOGOS!$F$2:$H$6,3,FALSE)),(VLOOKUP(V759,CATALOGOS!$J$2:$K$18,2,FALSE)),""-"",TO_TEXT(A759))"),"P24SJ-0758")</f>
        <v>P24SJ-0758</v>
      </c>
      <c r="H759" s="6" t="str">
        <f ca="1">IFERROR(__xludf.DUMMYFUNCTION("CONCATENATE($B759,(VLOOKUP($C759,CATALOGOS!$F$2:$H$6,3,FALSE)),(VLOOKUP($V759,CATALOGOS!$J$2:$K$18,2,FALSE)),""-"",TO_TEXT($A759))"),"P24SJ-0758")</f>
        <v>P24SJ-0758</v>
      </c>
      <c r="I759" s="6"/>
      <c r="J759" s="6" t="s">
        <v>5249</v>
      </c>
      <c r="K759" s="6" t="s">
        <v>5250</v>
      </c>
      <c r="L759" s="6" t="s">
        <v>5251</v>
      </c>
      <c r="M759" s="6" t="s">
        <v>5252</v>
      </c>
      <c r="N759" s="17"/>
      <c r="O759" s="17"/>
      <c r="P759" s="17" t="str">
        <f t="shared" si="3"/>
        <v>OK</v>
      </c>
      <c r="Q759" s="17" t="s">
        <v>35</v>
      </c>
      <c r="R759" s="6" t="s">
        <v>35</v>
      </c>
      <c r="S759" s="17" t="s">
        <v>36</v>
      </c>
      <c r="T759" s="17" t="s">
        <v>5253</v>
      </c>
      <c r="U759" s="173" t="s">
        <v>38</v>
      </c>
      <c r="V759" s="11" t="s">
        <v>4411</v>
      </c>
      <c r="W759" s="22" t="s">
        <v>5223</v>
      </c>
      <c r="X759" s="22" t="s">
        <v>5223</v>
      </c>
      <c r="Y759" s="22"/>
      <c r="Z759" s="7"/>
      <c r="AA759" s="7"/>
      <c r="AB759" s="23"/>
      <c r="AC759" s="26"/>
    </row>
    <row r="760" spans="1:29" ht="30.75" customHeight="1">
      <c r="A760" s="10" t="s">
        <v>5254</v>
      </c>
      <c r="B760" s="10" t="s">
        <v>4410</v>
      </c>
      <c r="C760" s="19" t="s">
        <v>4411</v>
      </c>
      <c r="D760" s="12"/>
      <c r="E760" s="13" t="s">
        <v>93</v>
      </c>
      <c r="F760" s="6" t="s">
        <v>5255</v>
      </c>
      <c r="G760" s="15" t="str">
        <f ca="1">IFERROR(__xludf.DUMMYFUNCTION("CONCATENATE(B760,(VLOOKUP(C760,CATALOGOS!$F$2:$H$6,3,FALSE)),(VLOOKUP(V760,CATALOGOS!$J$2:$K$18,2,FALSE)),""-"",TO_TEXT(A760))"),"P24SJ-0759")</f>
        <v>P24SJ-0759</v>
      </c>
      <c r="H760" s="6" t="str">
        <f ca="1">IFERROR(__xludf.DUMMYFUNCTION("CONCATENATE($B760,(VLOOKUP($C760,CATALOGOS!$F$2:$H$6,3,FALSE)),(VLOOKUP($V760,CATALOGOS!$J$2:$K$18,2,FALSE)),""-"",TO_TEXT($A760))"),"P24SJ-0759")</f>
        <v>P24SJ-0759</v>
      </c>
      <c r="I760" s="6"/>
      <c r="J760" s="6" t="s">
        <v>5256</v>
      </c>
      <c r="K760" s="6" t="s">
        <v>5257</v>
      </c>
      <c r="L760" s="6" t="s">
        <v>5258</v>
      </c>
      <c r="M760" s="6" t="s">
        <v>5259</v>
      </c>
      <c r="N760" s="17"/>
      <c r="O760" s="17"/>
      <c r="P760" s="17" t="str">
        <f t="shared" si="3"/>
        <v>OK</v>
      </c>
      <c r="Q760" s="17" t="s">
        <v>35</v>
      </c>
      <c r="R760" s="6" t="s">
        <v>35</v>
      </c>
      <c r="S760" s="17" t="s">
        <v>36</v>
      </c>
      <c r="T760" s="17" t="s">
        <v>5260</v>
      </c>
      <c r="U760" s="173" t="s">
        <v>38</v>
      </c>
      <c r="V760" s="11" t="s">
        <v>4411</v>
      </c>
      <c r="W760" s="22" t="s">
        <v>5223</v>
      </c>
      <c r="X760" s="22" t="s">
        <v>5223</v>
      </c>
      <c r="Y760" s="22"/>
      <c r="Z760" s="7"/>
      <c r="AA760" s="7"/>
      <c r="AB760" s="23"/>
      <c r="AC760" s="26"/>
    </row>
    <row r="761" spans="1:29" ht="15.75" customHeight="1">
      <c r="A761" s="10" t="s">
        <v>5261</v>
      </c>
      <c r="B761" s="10" t="s">
        <v>4410</v>
      </c>
      <c r="C761" s="19" t="s">
        <v>4411</v>
      </c>
      <c r="D761" s="12"/>
      <c r="E761" s="13" t="s">
        <v>116</v>
      </c>
      <c r="F761" s="6" t="s">
        <v>5262</v>
      </c>
      <c r="G761" s="15" t="str">
        <f ca="1">IFERROR(__xludf.DUMMYFUNCTION("CONCATENATE(B761,(VLOOKUP(C761,CATALOGOS!$F$2:$H$6,3,FALSE)),(VLOOKUP(V761,CATALOGOS!$J$2:$K$18,2,FALSE)),""-"",TO_TEXT(A761))"),"P24SJ-0760")</f>
        <v>P24SJ-0760</v>
      </c>
      <c r="H761" s="6" t="str">
        <f ca="1">IFERROR(__xludf.DUMMYFUNCTION("CONCATENATE($B761,(VLOOKUP($C761,CATALOGOS!$F$2:$H$6,3,FALSE)),(VLOOKUP($V761,CATALOGOS!$J$2:$K$18,2,FALSE)),""-"",TO_TEXT($A761))"),"P24SJ-0760")</f>
        <v>P24SJ-0760</v>
      </c>
      <c r="I761" s="6"/>
      <c r="J761" s="6" t="s">
        <v>5263</v>
      </c>
      <c r="K761" s="6" t="s">
        <v>5264</v>
      </c>
      <c r="L761" s="6" t="s">
        <v>5265</v>
      </c>
      <c r="M761" s="6" t="s">
        <v>5266</v>
      </c>
      <c r="N761" s="17"/>
      <c r="O761" s="17"/>
      <c r="P761" s="17" t="str">
        <f t="shared" si="3"/>
        <v>OK</v>
      </c>
      <c r="Q761" s="17" t="s">
        <v>35</v>
      </c>
      <c r="R761" s="6" t="s">
        <v>35</v>
      </c>
      <c r="S761" s="17" t="s">
        <v>36</v>
      </c>
      <c r="T761" s="17" t="s">
        <v>5267</v>
      </c>
      <c r="U761" s="173" t="s">
        <v>38</v>
      </c>
      <c r="V761" s="11" t="s">
        <v>4411</v>
      </c>
      <c r="W761" s="22" t="s">
        <v>5223</v>
      </c>
      <c r="X761" s="22" t="s">
        <v>5223</v>
      </c>
      <c r="Y761" s="22"/>
      <c r="Z761" s="7"/>
      <c r="AA761" s="7"/>
      <c r="AB761" s="23"/>
      <c r="AC761" s="26"/>
    </row>
    <row r="762" spans="1:29" ht="15.75" customHeight="1">
      <c r="A762" s="10" t="s">
        <v>5268</v>
      </c>
      <c r="B762" s="10" t="s">
        <v>4410</v>
      </c>
      <c r="C762" s="19" t="s">
        <v>4411</v>
      </c>
      <c r="D762" s="12"/>
      <c r="E762" s="13" t="s">
        <v>248</v>
      </c>
      <c r="F762" s="43" t="s">
        <v>248</v>
      </c>
      <c r="G762" s="15" t="str">
        <f ca="1">IFERROR(__xludf.DUMMYFUNCTION("CONCATENATE(B762,(VLOOKUP(C762,CATALOGOS!$F$2:$H$6,3,FALSE)),(VLOOKUP(V762,CATALOGOS!$J$2:$K$18,2,FALSE)),""-"",TO_TEXT(A762))"),"P24SJ-0761")</f>
        <v>P24SJ-0761</v>
      </c>
      <c r="H762" s="6" t="str">
        <f ca="1">IFERROR(__xludf.DUMMYFUNCTION("CONCATENATE($B762,(VLOOKUP($C762,CATALOGOS!$F$2:$H$6,3,FALSE)),(VLOOKUP($V762,CATALOGOS!$J$2:$K$18,2,FALSE)),""-"",TO_TEXT($A762))"),"P24SJ-0761")</f>
        <v>P24SJ-0761</v>
      </c>
      <c r="I762" s="6"/>
      <c r="J762" s="6" t="s">
        <v>5269</v>
      </c>
      <c r="K762" s="6" t="s">
        <v>5270</v>
      </c>
      <c r="L762" s="6" t="s">
        <v>5271</v>
      </c>
      <c r="M762" s="6" t="s">
        <v>5272</v>
      </c>
      <c r="N762" s="17"/>
      <c r="O762" s="17"/>
      <c r="P762" s="17" t="str">
        <f t="shared" si="3"/>
        <v>OK</v>
      </c>
      <c r="Q762" s="17" t="s">
        <v>978</v>
      </c>
      <c r="R762" s="6" t="s">
        <v>979</v>
      </c>
      <c r="S762" s="17" t="s">
        <v>5273</v>
      </c>
      <c r="T762" s="17" t="s">
        <v>5274</v>
      </c>
      <c r="U762" s="173" t="s">
        <v>38</v>
      </c>
      <c r="V762" s="11" t="s">
        <v>4411</v>
      </c>
      <c r="W762" s="22" t="s">
        <v>5223</v>
      </c>
      <c r="X762" s="22" t="s">
        <v>5223</v>
      </c>
      <c r="Y762" s="22"/>
      <c r="Z762" s="7"/>
      <c r="AA762" s="7"/>
      <c r="AB762" s="23"/>
      <c r="AC762" s="26"/>
    </row>
    <row r="763" spans="1:29" ht="15.75" customHeight="1">
      <c r="A763" s="10" t="s">
        <v>5275</v>
      </c>
      <c r="B763" s="10" t="s">
        <v>4410</v>
      </c>
      <c r="C763" s="19" t="s">
        <v>4411</v>
      </c>
      <c r="D763" s="12"/>
      <c r="E763" s="13" t="s">
        <v>151</v>
      </c>
      <c r="F763" s="6" t="s">
        <v>2236</v>
      </c>
      <c r="G763" s="15" t="str">
        <f ca="1">IFERROR(__xludf.DUMMYFUNCTION("CONCATENATE(B763,(VLOOKUP(C763,CATALOGOS!$F$2:$H$6,3,FALSE)),(VLOOKUP(V763,CATALOGOS!$J$2:$K$18,2,FALSE)),""-"",TO_TEXT(A763))"),"P24SJ-0762")</f>
        <v>P24SJ-0762</v>
      </c>
      <c r="H763" s="6" t="str">
        <f ca="1">IFERROR(__xludf.DUMMYFUNCTION("CONCATENATE($B763,(VLOOKUP($C763,CATALOGOS!$F$2:$H$6,3,FALSE)),(VLOOKUP($V763,CATALOGOS!$J$2:$K$18,2,FALSE)),""-"",TO_TEXT($A763))"),"P24SJ-0762")</f>
        <v>P24SJ-0762</v>
      </c>
      <c r="I763" s="6"/>
      <c r="J763" s="6" t="s">
        <v>5276</v>
      </c>
      <c r="K763" s="6" t="s">
        <v>5277</v>
      </c>
      <c r="L763" s="6" t="s">
        <v>5278</v>
      </c>
      <c r="M763" s="6" t="s">
        <v>5279</v>
      </c>
      <c r="N763" s="17"/>
      <c r="O763" s="17"/>
      <c r="P763" s="17" t="str">
        <f t="shared" si="3"/>
        <v>OK</v>
      </c>
      <c r="Q763" s="17" t="s">
        <v>1220</v>
      </c>
      <c r="R763" s="6" t="s">
        <v>720</v>
      </c>
      <c r="S763" s="17" t="s">
        <v>5280</v>
      </c>
      <c r="T763" s="17" t="s">
        <v>5281</v>
      </c>
      <c r="U763" s="179" t="s">
        <v>100</v>
      </c>
      <c r="V763" s="11" t="s">
        <v>4411</v>
      </c>
      <c r="W763" s="22" t="s">
        <v>5223</v>
      </c>
      <c r="X763" s="22" t="s">
        <v>5223</v>
      </c>
      <c r="Y763" s="22"/>
      <c r="Z763" s="7"/>
      <c r="AA763" s="7"/>
      <c r="AB763" s="23"/>
      <c r="AC763" s="26"/>
    </row>
    <row r="764" spans="1:29" ht="15.75" customHeight="1">
      <c r="A764" s="10" t="s">
        <v>5282</v>
      </c>
      <c r="B764" s="10" t="s">
        <v>4410</v>
      </c>
      <c r="C764" s="19" t="s">
        <v>4411</v>
      </c>
      <c r="D764" s="38"/>
      <c r="E764" s="13" t="s">
        <v>199</v>
      </c>
      <c r="F764" s="43" t="s">
        <v>5283</v>
      </c>
      <c r="G764" s="15" t="str">
        <f ca="1">IFERROR(__xludf.DUMMYFUNCTION("CONCATENATE(B764,(VLOOKUP(C764,CATALOGOS!$F$2:$H$6,3,FALSE)),(VLOOKUP(V764,CATALOGOS!$J$2:$K$18,2,FALSE)),""-"",TO_TEXT(A764))"),"P24SJ-0763")</f>
        <v>P24SJ-0763</v>
      </c>
      <c r="H764" s="6" t="str">
        <f ca="1">IFERROR(__xludf.DUMMYFUNCTION("CONCATENATE($B764,(VLOOKUP($C764,CATALOGOS!$F$2:$H$6,3,FALSE)),(VLOOKUP($V764,CATALOGOS!$J$2:$K$18,2,FALSE)),""-"",TO_TEXT($A764))"),"P24SJ-0763")</f>
        <v>P24SJ-0763</v>
      </c>
      <c r="I764" s="6"/>
      <c r="J764" s="6" t="s">
        <v>5284</v>
      </c>
      <c r="K764" s="6" t="s">
        <v>5285</v>
      </c>
      <c r="L764" s="6" t="s">
        <v>5286</v>
      </c>
      <c r="M764" s="6" t="s">
        <v>5287</v>
      </c>
      <c r="N764" s="17"/>
      <c r="O764" s="17"/>
      <c r="P764" s="17" t="str">
        <f t="shared" si="3"/>
        <v>OK</v>
      </c>
      <c r="Q764" s="17" t="s">
        <v>205</v>
      </c>
      <c r="R764" s="6" t="s">
        <v>794</v>
      </c>
      <c r="S764" s="46" t="s">
        <v>5288</v>
      </c>
      <c r="T764" s="17" t="s">
        <v>5289</v>
      </c>
      <c r="U764" s="179" t="s">
        <v>100</v>
      </c>
      <c r="V764" s="11" t="s">
        <v>4411</v>
      </c>
      <c r="W764" s="22" t="s">
        <v>5223</v>
      </c>
      <c r="X764" s="22" t="s">
        <v>5223</v>
      </c>
      <c r="Y764" s="22"/>
      <c r="Z764" s="7"/>
      <c r="AA764" s="7"/>
      <c r="AB764" s="26"/>
      <c r="AC764" s="26"/>
    </row>
    <row r="765" spans="1:29" ht="15.75" customHeight="1">
      <c r="A765" s="10" t="s">
        <v>5290</v>
      </c>
      <c r="B765" s="10" t="s">
        <v>4410</v>
      </c>
      <c r="C765" s="19" t="s">
        <v>4411</v>
      </c>
      <c r="D765" s="12"/>
      <c r="E765" s="13" t="s">
        <v>62</v>
      </c>
      <c r="F765" s="6" t="s">
        <v>5291</v>
      </c>
      <c r="G765" s="15" t="str">
        <f ca="1">IFERROR(__xludf.DUMMYFUNCTION("CONCATENATE(B765,(VLOOKUP(C765,CATALOGOS!$F$2:$H$6,3,FALSE)),(VLOOKUP(V765,CATALOGOS!$J$2:$K$18,2,FALSE)),""-"",TO_TEXT(A765))"),"P24CS-0764")</f>
        <v>P24CS-0764</v>
      </c>
      <c r="H765" s="6" t="str">
        <f ca="1">IFERROR(__xludf.DUMMYFUNCTION("CONCATENATE($B765,(VLOOKUP($C765,CATALOGOS!$F$2:$H$6,3,FALSE)),(VLOOKUP($V765,CATALOGOS!$J$2:$K$18,2,FALSE)),""-"",TO_TEXT($A765))"),"P24CS-0764")</f>
        <v>P24CS-0764</v>
      </c>
      <c r="I765" s="6"/>
      <c r="J765" s="6" t="s">
        <v>5292</v>
      </c>
      <c r="K765" s="6" t="s">
        <v>5293</v>
      </c>
      <c r="L765" s="6" t="s">
        <v>5294</v>
      </c>
      <c r="M765" s="6" t="s">
        <v>5295</v>
      </c>
      <c r="N765" s="17"/>
      <c r="O765" s="17"/>
      <c r="P765" s="17" t="str">
        <f t="shared" si="3"/>
        <v>OK</v>
      </c>
      <c r="Q765" s="17" t="s">
        <v>35</v>
      </c>
      <c r="R765" s="6" t="s">
        <v>35</v>
      </c>
      <c r="S765" s="17" t="s">
        <v>36</v>
      </c>
      <c r="T765" s="17" t="s">
        <v>5296</v>
      </c>
      <c r="U765" s="173" t="s">
        <v>38</v>
      </c>
      <c r="V765" s="11" t="s">
        <v>4979</v>
      </c>
      <c r="W765" s="20" t="s">
        <v>4980</v>
      </c>
      <c r="X765" s="20" t="s">
        <v>4980</v>
      </c>
      <c r="Y765" s="20"/>
      <c r="Z765" s="7"/>
      <c r="AA765" s="7"/>
      <c r="AB765" s="23"/>
      <c r="AC765" s="26"/>
    </row>
    <row r="766" spans="1:29" ht="15.75" customHeight="1">
      <c r="A766" s="10" t="s">
        <v>5297</v>
      </c>
      <c r="B766" s="10" t="s">
        <v>4410</v>
      </c>
      <c r="C766" s="19" t="s">
        <v>4411</v>
      </c>
      <c r="D766" s="12"/>
      <c r="E766" s="13" t="s">
        <v>43</v>
      </c>
      <c r="F766" s="43" t="s">
        <v>5298</v>
      </c>
      <c r="G766" s="15" t="str">
        <f ca="1">IFERROR(__xludf.DUMMYFUNCTION("CONCATENATE(B766,(VLOOKUP(C766,CATALOGOS!$F$2:$H$6,3,FALSE)),(VLOOKUP(V766,CATALOGOS!$J$2:$K$18,2,FALSE)),""-"",TO_TEXT(A766))"),"P24CS-0765")</f>
        <v>P24CS-0765</v>
      </c>
      <c r="H766" s="6" t="str">
        <f ca="1">IFERROR(__xludf.DUMMYFUNCTION("CONCATENATE($B766,(VLOOKUP($C766,CATALOGOS!$F$2:$H$6,3,FALSE)),(VLOOKUP($V766,CATALOGOS!$J$2:$K$18,2,FALSE)),""-"",TO_TEXT($A766))"),"P24CS-0765")</f>
        <v>P24CS-0765</v>
      </c>
      <c r="I766" s="6"/>
      <c r="J766" s="6" t="s">
        <v>5299</v>
      </c>
      <c r="K766" s="6" t="s">
        <v>5300</v>
      </c>
      <c r="L766" s="6" t="s">
        <v>5301</v>
      </c>
      <c r="M766" s="6" t="s">
        <v>5302</v>
      </c>
      <c r="N766" s="17"/>
      <c r="O766" s="17"/>
      <c r="P766" s="17" t="str">
        <f t="shared" si="3"/>
        <v>OK</v>
      </c>
      <c r="Q766" s="17" t="s">
        <v>406</v>
      </c>
      <c r="R766" s="6" t="s">
        <v>2674</v>
      </c>
      <c r="S766" s="17" t="s">
        <v>36</v>
      </c>
      <c r="T766" s="10" t="s">
        <v>5303</v>
      </c>
      <c r="U766" s="173" t="s">
        <v>38</v>
      </c>
      <c r="V766" s="11" t="s">
        <v>4979</v>
      </c>
      <c r="W766" s="20" t="s">
        <v>4980</v>
      </c>
      <c r="X766" s="20" t="s">
        <v>4980</v>
      </c>
      <c r="Y766" s="20"/>
      <c r="Z766" s="7"/>
      <c r="AA766" s="7"/>
      <c r="AB766" s="23"/>
      <c r="AC766" s="26"/>
    </row>
    <row r="767" spans="1:29" ht="15.75" customHeight="1">
      <c r="A767" s="10" t="s">
        <v>5304</v>
      </c>
      <c r="B767" s="10" t="s">
        <v>4410</v>
      </c>
      <c r="C767" s="19" t="s">
        <v>4411</v>
      </c>
      <c r="D767" s="12"/>
      <c r="E767" s="13" t="s">
        <v>378</v>
      </c>
      <c r="F767" s="6" t="s">
        <v>1306</v>
      </c>
      <c r="G767" s="15" t="str">
        <f ca="1">IFERROR(__xludf.DUMMYFUNCTION("CONCATENATE(B767,(VLOOKUP(C767,CATALOGOS!$F$2:$H$6,3,FALSE)),(VLOOKUP(V767,CATALOGOS!$J$2:$K$18,2,FALSE)),""-"",TO_TEXT(A767))"),"P24CS-0766")</f>
        <v>P24CS-0766</v>
      </c>
      <c r="H767" s="6" t="str">
        <f ca="1">IFERROR(__xludf.DUMMYFUNCTION("CONCATENATE($B767,(VLOOKUP($C767,CATALOGOS!$F$2:$H$6,3,FALSE)),(VLOOKUP($V767,CATALOGOS!$J$2:$K$18,2,FALSE)),""-"",TO_TEXT($A767))"),"P24CS-0766")</f>
        <v>P24CS-0766</v>
      </c>
      <c r="I767" s="6"/>
      <c r="J767" s="6" t="s">
        <v>5305</v>
      </c>
      <c r="K767" s="6" t="s">
        <v>5306</v>
      </c>
      <c r="L767" s="6" t="s">
        <v>5307</v>
      </c>
      <c r="M767" s="6" t="s">
        <v>5308</v>
      </c>
      <c r="N767" s="17"/>
      <c r="O767" s="17"/>
      <c r="P767" s="17" t="str">
        <f t="shared" si="3"/>
        <v>OK</v>
      </c>
      <c r="Q767" s="17" t="s">
        <v>35</v>
      </c>
      <c r="R767" s="6" t="s">
        <v>35</v>
      </c>
      <c r="S767" s="17" t="s">
        <v>36</v>
      </c>
      <c r="T767" s="17" t="s">
        <v>5309</v>
      </c>
      <c r="U767" s="173" t="s">
        <v>38</v>
      </c>
      <c r="V767" s="11" t="s">
        <v>4979</v>
      </c>
      <c r="W767" s="20" t="s">
        <v>4980</v>
      </c>
      <c r="X767" s="20" t="s">
        <v>4980</v>
      </c>
      <c r="Y767" s="20"/>
      <c r="Z767" s="7"/>
      <c r="AA767" s="7"/>
      <c r="AB767" s="23"/>
      <c r="AC767" s="26"/>
    </row>
    <row r="768" spans="1:29" ht="15.75" customHeight="1">
      <c r="A768" s="10" t="s">
        <v>5311</v>
      </c>
      <c r="B768" s="10" t="s">
        <v>4410</v>
      </c>
      <c r="C768" s="19" t="s">
        <v>4411</v>
      </c>
      <c r="D768" s="12"/>
      <c r="E768" s="13" t="s">
        <v>378</v>
      </c>
      <c r="F768" s="6" t="s">
        <v>1306</v>
      </c>
      <c r="G768" s="15" t="str">
        <f ca="1">IFERROR(__xludf.DUMMYFUNCTION("CONCATENATE(B768,(VLOOKUP(C768,CATALOGOS!$F$2:$H$6,3,FALSE)),(VLOOKUP(V768,CATALOGOS!$J$2:$K$18,2,FALSE)),""-"",TO_TEXT(A768))"),"P24CS-0767")</f>
        <v>P24CS-0767</v>
      </c>
      <c r="H768" s="6" t="str">
        <f ca="1">IFERROR(__xludf.DUMMYFUNCTION("CONCATENATE($B768,(VLOOKUP($C768,CATALOGOS!$F$2:$H$6,3,FALSE)),(VLOOKUP($V768,CATALOGOS!$J$2:$K$18,2,FALSE)),""-"",TO_TEXT($A768))"),"P24CS-0767")</f>
        <v>P24CS-0767</v>
      </c>
      <c r="I768" s="6"/>
      <c r="J768" s="6" t="s">
        <v>5312</v>
      </c>
      <c r="K768" s="6" t="s">
        <v>5313</v>
      </c>
      <c r="L768" s="6" t="s">
        <v>5314</v>
      </c>
      <c r="M768" s="6" t="s">
        <v>5315</v>
      </c>
      <c r="N768" s="17"/>
      <c r="O768" s="17"/>
      <c r="P768" s="17" t="str">
        <f t="shared" si="3"/>
        <v>OK</v>
      </c>
      <c r="Q768" s="17" t="s">
        <v>35</v>
      </c>
      <c r="R768" s="6" t="s">
        <v>35</v>
      </c>
      <c r="S768" s="17" t="s">
        <v>36</v>
      </c>
      <c r="T768" s="17" t="s">
        <v>5316</v>
      </c>
      <c r="U768" s="173" t="s">
        <v>38</v>
      </c>
      <c r="V768" s="11" t="s">
        <v>4979</v>
      </c>
      <c r="W768" s="20" t="s">
        <v>5310</v>
      </c>
      <c r="X768" s="20" t="s">
        <v>5310</v>
      </c>
      <c r="Y768" s="20"/>
      <c r="Z768" s="7"/>
      <c r="AA768" s="7"/>
      <c r="AB768" s="23"/>
      <c r="AC768" s="26"/>
    </row>
    <row r="769" spans="1:30" ht="15.75" customHeight="1">
      <c r="A769" s="10" t="s">
        <v>5317</v>
      </c>
      <c r="B769" s="10" t="s">
        <v>1469</v>
      </c>
      <c r="C769" s="60" t="s">
        <v>1470</v>
      </c>
      <c r="D769" s="12"/>
      <c r="E769" s="13" t="s">
        <v>184</v>
      </c>
      <c r="F769" s="43" t="s">
        <v>5318</v>
      </c>
      <c r="G769" s="64" t="str">
        <f ca="1">IFERROR(__xludf.DUMMYFUNCTION("CONCATENATE(B769,(VLOOKUP(C769,CATALOGOS!$F$2:$H$6,3,FALSE)),(VLOOKUP(V769,CATALOGOS!$J$2:$K$18,2,FALSE)),""-"",TO_TEXT(A769))"),"P12PP-0768")</f>
        <v>P12PP-0768</v>
      </c>
      <c r="H769" s="6" t="str">
        <f ca="1">IFERROR(__xludf.DUMMYFUNCTION("CONCATENATE($B769,(VLOOKUP($C769,CATALOGOS!$F$2:$H$6,3,FALSE)),(VLOOKUP($V769,CATALOGOS!$J$2:$K$18,2,FALSE)),""-"",TO_TEXT($A769))"),"P12PP-0768")</f>
        <v>P12PP-0768</v>
      </c>
      <c r="I769" s="6"/>
      <c r="J769" s="6" t="s">
        <v>5319</v>
      </c>
      <c r="K769" s="6" t="s">
        <v>5320</v>
      </c>
      <c r="L769" s="6" t="s">
        <v>5321</v>
      </c>
      <c r="M769" s="6" t="s">
        <v>5322</v>
      </c>
      <c r="N769" s="17"/>
      <c r="O769" s="17"/>
      <c r="P769" s="17" t="str">
        <f t="shared" si="3"/>
        <v>OK</v>
      </c>
      <c r="Q769" s="17" t="s">
        <v>35</v>
      </c>
      <c r="R769" s="6" t="s">
        <v>35</v>
      </c>
      <c r="S769" s="17" t="s">
        <v>36</v>
      </c>
      <c r="T769" s="17" t="s">
        <v>5323</v>
      </c>
      <c r="U769" s="179" t="s">
        <v>100</v>
      </c>
      <c r="V769" s="11" t="s">
        <v>1548</v>
      </c>
      <c r="W769" s="20" t="s">
        <v>1597</v>
      </c>
      <c r="X769" s="20" t="s">
        <v>1597</v>
      </c>
      <c r="Y769" s="20"/>
      <c r="Z769" s="7"/>
      <c r="AA769" s="7"/>
      <c r="AB769" s="23"/>
      <c r="AC769" s="26"/>
    </row>
    <row r="770" spans="1:30" ht="15.75" customHeight="1">
      <c r="A770" s="10" t="s">
        <v>5324</v>
      </c>
      <c r="B770" s="10" t="s">
        <v>4410</v>
      </c>
      <c r="C770" s="19" t="s">
        <v>4411</v>
      </c>
      <c r="D770" s="12"/>
      <c r="E770" s="13" t="s">
        <v>248</v>
      </c>
      <c r="F770" s="43" t="s">
        <v>249</v>
      </c>
      <c r="G770" s="15" t="str">
        <f ca="1">IFERROR(__xludf.DUMMYFUNCTION("CONCATENATE(B770,(VLOOKUP(C770,CATALOGOS!$F$2:$H$6,3,FALSE)),(VLOOKUP(V770,CATALOGOS!$J$2:$K$18,2,FALSE)),""-"",TO_TEXT(A770))"),"P24CS-0769")</f>
        <v>P24CS-0769</v>
      </c>
      <c r="H770" s="6" t="str">
        <f ca="1">IFERROR(__xludf.DUMMYFUNCTION("CONCATENATE($B770,(VLOOKUP($C770,CATALOGOS!$F$2:$H$6,3,FALSE)),(VLOOKUP($V770,CATALOGOS!$J$2:$K$18,2,FALSE)),""-"",TO_TEXT($A770))"),"P24CS-0769")</f>
        <v>P24CS-0769</v>
      </c>
      <c r="I770" s="6"/>
      <c r="J770" s="6" t="s">
        <v>5325</v>
      </c>
      <c r="K770" s="6" t="s">
        <v>5326</v>
      </c>
      <c r="L770" s="6" t="s">
        <v>5327</v>
      </c>
      <c r="M770" s="43" t="s">
        <v>5328</v>
      </c>
      <c r="N770" s="17"/>
      <c r="O770" s="17"/>
      <c r="P770" s="17" t="str">
        <f t="shared" si="3"/>
        <v>OK</v>
      </c>
      <c r="Q770" s="17" t="s">
        <v>978</v>
      </c>
      <c r="R770" s="6" t="s">
        <v>979</v>
      </c>
      <c r="S770" s="17" t="s">
        <v>5329</v>
      </c>
      <c r="T770" s="17" t="s">
        <v>5330</v>
      </c>
      <c r="U770" s="173" t="s">
        <v>38</v>
      </c>
      <c r="V770" s="11" t="s">
        <v>4979</v>
      </c>
      <c r="W770" s="20" t="s">
        <v>4980</v>
      </c>
      <c r="X770" s="20" t="s">
        <v>4980</v>
      </c>
      <c r="Y770" s="20"/>
      <c r="Z770" s="7"/>
      <c r="AA770" s="7"/>
      <c r="AB770" s="23"/>
      <c r="AC770" s="26"/>
    </row>
    <row r="771" spans="1:30" ht="15.75" customHeight="1">
      <c r="A771" s="10" t="s">
        <v>5331</v>
      </c>
      <c r="B771" s="10" t="s">
        <v>4410</v>
      </c>
      <c r="C771" s="19" t="s">
        <v>4411</v>
      </c>
      <c r="D771" s="12"/>
      <c r="E771" s="13" t="s">
        <v>93</v>
      </c>
      <c r="F771" s="43" t="s">
        <v>5332</v>
      </c>
      <c r="G771" s="15" t="str">
        <f ca="1">IFERROR(__xludf.DUMMYFUNCTION("CONCATENATE(B771,(VLOOKUP(C771,CATALOGOS!$F$2:$H$6,3,FALSE)),(VLOOKUP(V771,CATALOGOS!$J$2:$K$18,2,FALSE)),""-"",TO_TEXT(A771))"),"P24CS-0770")</f>
        <v>P24CS-0770</v>
      </c>
      <c r="H771" s="6" t="str">
        <f ca="1">IFERROR(__xludf.DUMMYFUNCTION("CONCATENATE($B771,(VLOOKUP($C771,CATALOGOS!$F$2:$H$6,3,FALSE)),(VLOOKUP($V771,CATALOGOS!$J$2:$K$18,2,FALSE)),""-"",TO_TEXT($A771))"),"P24CS-0770")</f>
        <v>P24CS-0770</v>
      </c>
      <c r="I771" s="6"/>
      <c r="J771" s="6" t="s">
        <v>5333</v>
      </c>
      <c r="K771" s="54"/>
      <c r="L771" s="6" t="s">
        <v>5334</v>
      </c>
      <c r="M771" s="6" t="s">
        <v>141</v>
      </c>
      <c r="N771" s="17"/>
      <c r="O771" s="17"/>
      <c r="P771" s="17" t="str">
        <f t="shared" si="3"/>
        <v>REPETIDO</v>
      </c>
      <c r="Q771" s="17" t="s">
        <v>35</v>
      </c>
      <c r="R771" s="32" t="s">
        <v>35</v>
      </c>
      <c r="S771" s="17" t="s">
        <v>36</v>
      </c>
      <c r="T771" s="17" t="s">
        <v>5335</v>
      </c>
      <c r="U771" s="173" t="s">
        <v>38</v>
      </c>
      <c r="V771" s="11" t="s">
        <v>4979</v>
      </c>
      <c r="W771" s="20" t="s">
        <v>4980</v>
      </c>
      <c r="X771" s="20" t="s">
        <v>4980</v>
      </c>
      <c r="Y771" s="20"/>
      <c r="Z771" s="7"/>
      <c r="AA771" s="7"/>
      <c r="AB771" s="23"/>
      <c r="AC771" s="26"/>
    </row>
    <row r="772" spans="1:30" ht="15.75" customHeight="1">
      <c r="A772" s="10" t="s">
        <v>5336</v>
      </c>
      <c r="B772" s="10" t="s">
        <v>4410</v>
      </c>
      <c r="C772" s="19" t="s">
        <v>4411</v>
      </c>
      <c r="D772" s="12"/>
      <c r="E772" s="13" t="s">
        <v>29</v>
      </c>
      <c r="F772" s="6" t="s">
        <v>5337</v>
      </c>
      <c r="G772" s="15" t="str">
        <f ca="1">IFERROR(__xludf.DUMMYFUNCTION("CONCATENATE(B772,(VLOOKUP(C772,CATALOGOS!$F$2:$H$6,3,FALSE)),(VLOOKUP(V772,CATALOGOS!$J$2:$K$18,2,FALSE)),""-"",TO_TEXT(A772))"),"P24CS-0771")</f>
        <v>P24CS-0771</v>
      </c>
      <c r="H772" s="6" t="str">
        <f ca="1">IFERROR(__xludf.DUMMYFUNCTION("CONCATENATE($B772,(VLOOKUP($C772,CATALOGOS!$F$2:$H$6,3,FALSE)),(VLOOKUP($V772,CATALOGOS!$J$2:$K$18,2,FALSE)),""-"",TO_TEXT($A772))"),"P24CS-0771")</f>
        <v>P24CS-0771</v>
      </c>
      <c r="I772" s="6"/>
      <c r="J772" s="6" t="s">
        <v>5338</v>
      </c>
      <c r="K772" s="54"/>
      <c r="L772" s="36"/>
      <c r="M772" s="6" t="s">
        <v>141</v>
      </c>
      <c r="N772" s="17"/>
      <c r="O772" s="17"/>
      <c r="P772" s="17" t="str">
        <f t="shared" si="3"/>
        <v>REPETIDO</v>
      </c>
      <c r="Q772" s="35" t="s">
        <v>35</v>
      </c>
      <c r="R772" s="6" t="s">
        <v>35</v>
      </c>
      <c r="S772" s="10" t="s">
        <v>36</v>
      </c>
      <c r="T772" s="32" t="s">
        <v>85</v>
      </c>
      <c r="U772" s="173" t="s">
        <v>38</v>
      </c>
      <c r="V772" s="11" t="s">
        <v>4979</v>
      </c>
      <c r="W772" s="20" t="s">
        <v>4980</v>
      </c>
      <c r="X772" s="20" t="s">
        <v>4980</v>
      </c>
      <c r="Y772" s="20"/>
      <c r="Z772" s="7"/>
      <c r="AA772" s="7"/>
      <c r="AB772" s="23"/>
      <c r="AC772" s="26"/>
    </row>
    <row r="773" spans="1:30" ht="29.25">
      <c r="A773" s="10" t="s">
        <v>5339</v>
      </c>
      <c r="B773" s="10" t="s">
        <v>4410</v>
      </c>
      <c r="C773" s="19" t="s">
        <v>4411</v>
      </c>
      <c r="D773" s="12"/>
      <c r="E773" s="13" t="s">
        <v>3521</v>
      </c>
      <c r="F773" s="43" t="s">
        <v>5340</v>
      </c>
      <c r="G773" s="15" t="str">
        <f ca="1">IFERROR(__xludf.DUMMYFUNCTION("CONCATENATE(B773,(VLOOKUP(C773,CATALOGOS!$F$2:$H$6,3,FALSE)),(VLOOKUP(V773,CATALOGOS!$J$2:$K$18,2,FALSE)),""-"",TO_TEXT(A773))"),"P24CS-0772")</f>
        <v>P24CS-0772</v>
      </c>
      <c r="H773" s="6" t="str">
        <f ca="1">IFERROR(__xludf.DUMMYFUNCTION("CONCATENATE($B773,(VLOOKUP($C773,CATALOGOS!$F$2:$H$6,3,FALSE)),(VLOOKUP($V773,CATALOGOS!$J$2:$K$18,2,FALSE)),""-"",TO_TEXT($A773))"),"P24CS-0772")</f>
        <v>P24CS-0772</v>
      </c>
      <c r="I773" s="6"/>
      <c r="J773" s="6" t="s">
        <v>5341</v>
      </c>
      <c r="K773" s="10" t="s">
        <v>5342</v>
      </c>
      <c r="L773" s="6" t="s">
        <v>5343</v>
      </c>
      <c r="M773" s="6" t="s">
        <v>5344</v>
      </c>
      <c r="N773" s="17"/>
      <c r="O773" s="17"/>
      <c r="P773" s="17" t="str">
        <f t="shared" si="3"/>
        <v>OK</v>
      </c>
      <c r="Q773" s="17" t="s">
        <v>35</v>
      </c>
      <c r="R773" s="6" t="s">
        <v>35</v>
      </c>
      <c r="S773" s="17" t="s">
        <v>36</v>
      </c>
      <c r="T773" s="17" t="s">
        <v>85</v>
      </c>
      <c r="U773" s="173" t="s">
        <v>38</v>
      </c>
      <c r="V773" s="11" t="s">
        <v>4979</v>
      </c>
      <c r="W773" s="20" t="s">
        <v>4980</v>
      </c>
      <c r="X773" s="20" t="s">
        <v>4980</v>
      </c>
      <c r="Y773" s="20"/>
      <c r="Z773" s="7"/>
      <c r="AA773" s="7"/>
      <c r="AB773" s="23"/>
      <c r="AC773" s="26"/>
    </row>
    <row r="774" spans="1:30" ht="30" customHeight="1">
      <c r="A774" s="10" t="s">
        <v>5345</v>
      </c>
      <c r="B774" s="10" t="s">
        <v>4410</v>
      </c>
      <c r="C774" s="19" t="s">
        <v>4411</v>
      </c>
      <c r="D774" s="12"/>
      <c r="E774" s="13" t="s">
        <v>116</v>
      </c>
      <c r="F774" s="6" t="s">
        <v>4638</v>
      </c>
      <c r="G774" s="15" t="str">
        <f ca="1">IFERROR(__xludf.DUMMYFUNCTION("CONCATENATE(B774,(VLOOKUP(C774,CATALOGOS!$F$2:$H$6,3,FALSE)),(VLOOKUP(V774,CATALOGOS!$J$2:$K$18,2,FALSE)),""-"",TO_TEXT(A774))"),"P24CS-0773")</f>
        <v>P24CS-0773</v>
      </c>
      <c r="H774" s="6" t="str">
        <f ca="1">IFERROR(__xludf.DUMMYFUNCTION("CONCATENATE($B774,(VLOOKUP($C774,CATALOGOS!$F$2:$H$6,3,FALSE)),(VLOOKUP($V774,CATALOGOS!$J$2:$K$18,2,FALSE)),""-"",TO_TEXT($A774))"),"P24CS-0773")</f>
        <v>P24CS-0773</v>
      </c>
      <c r="I774" s="6"/>
      <c r="J774" s="6" t="s">
        <v>5346</v>
      </c>
      <c r="K774" s="6" t="s">
        <v>5347</v>
      </c>
      <c r="L774" s="6" t="s">
        <v>5348</v>
      </c>
      <c r="M774" s="6" t="s">
        <v>5349</v>
      </c>
      <c r="N774" s="17"/>
      <c r="O774" s="17"/>
      <c r="P774" s="17" t="str">
        <f t="shared" si="3"/>
        <v>OK</v>
      </c>
      <c r="Q774" s="17" t="s">
        <v>35</v>
      </c>
      <c r="R774" s="6" t="s">
        <v>35</v>
      </c>
      <c r="S774" s="17" t="s">
        <v>36</v>
      </c>
      <c r="T774" s="17" t="s">
        <v>5350</v>
      </c>
      <c r="U774" s="173" t="s">
        <v>38</v>
      </c>
      <c r="V774" s="11" t="s">
        <v>4979</v>
      </c>
      <c r="W774" s="20" t="s">
        <v>4980</v>
      </c>
      <c r="X774" s="20" t="s">
        <v>4980</v>
      </c>
      <c r="Y774" s="20"/>
      <c r="Z774" s="7"/>
      <c r="AA774" s="7"/>
      <c r="AB774" s="23"/>
      <c r="AC774" s="26"/>
    </row>
    <row r="775" spans="1:30" ht="15.75" customHeight="1">
      <c r="A775" s="10" t="s">
        <v>5351</v>
      </c>
      <c r="B775" s="10" t="s">
        <v>4410</v>
      </c>
      <c r="C775" s="19" t="s">
        <v>4411</v>
      </c>
      <c r="D775" s="12"/>
      <c r="E775" s="13" t="s">
        <v>162</v>
      </c>
      <c r="F775" s="43" t="s">
        <v>285</v>
      </c>
      <c r="G775" s="15" t="str">
        <f ca="1">IFERROR(__xludf.DUMMYFUNCTION("CONCATENATE(B775,(VLOOKUP(C775,CATALOGOS!$F$2:$H$6,3,FALSE)),(VLOOKUP(V775,CATALOGOS!$J$2:$K$18,2,FALSE)),""-"",TO_TEXT(A775))"),"P24CS-0774")</f>
        <v>P24CS-0774</v>
      </c>
      <c r="H775" s="6" t="str">
        <f ca="1">IFERROR(__xludf.DUMMYFUNCTION("CONCATENATE($B775,(VLOOKUP($C775,CATALOGOS!$F$2:$H$6,3,FALSE)),(VLOOKUP($V775,CATALOGOS!$J$2:$K$18,2,FALSE)),""-"",TO_TEXT($A775))"),"P24CS-0774")</f>
        <v>P24CS-0774</v>
      </c>
      <c r="I775" s="6"/>
      <c r="J775" s="6" t="s">
        <v>5352</v>
      </c>
      <c r="K775" s="6" t="s">
        <v>5353</v>
      </c>
      <c r="L775" s="6" t="s">
        <v>5354</v>
      </c>
      <c r="M775" s="6" t="s">
        <v>5355</v>
      </c>
      <c r="N775" s="17"/>
      <c r="O775" s="17"/>
      <c r="P775" s="17" t="str">
        <f t="shared" si="3"/>
        <v>OK</v>
      </c>
      <c r="Q775" s="17" t="s">
        <v>168</v>
      </c>
      <c r="R775" s="6" t="s">
        <v>169</v>
      </c>
      <c r="S775" s="17" t="s">
        <v>5356</v>
      </c>
      <c r="T775" s="17" t="s">
        <v>5357</v>
      </c>
      <c r="U775" s="173" t="s">
        <v>38</v>
      </c>
      <c r="V775" s="188" t="s">
        <v>4979</v>
      </c>
      <c r="W775" s="20" t="s">
        <v>4980</v>
      </c>
      <c r="X775" s="20" t="s">
        <v>4980</v>
      </c>
      <c r="Y775" s="20"/>
      <c r="Z775" s="7"/>
      <c r="AA775" s="7"/>
      <c r="AB775" s="23"/>
      <c r="AC775" s="26"/>
    </row>
    <row r="776" spans="1:30" ht="15.75" customHeight="1">
      <c r="A776" s="10" t="s">
        <v>5358</v>
      </c>
      <c r="B776" s="10" t="s">
        <v>4410</v>
      </c>
      <c r="C776" s="19" t="s">
        <v>4411</v>
      </c>
      <c r="D776" s="12"/>
      <c r="E776" s="13" t="s">
        <v>199</v>
      </c>
      <c r="F776" s="6" t="s">
        <v>199</v>
      </c>
      <c r="G776" s="15" t="str">
        <f ca="1">IFERROR(__xludf.DUMMYFUNCTION("CONCATENATE(B776,(VLOOKUP(C776,CATALOGOS!$F$2:$H$6,3,FALSE)),(VLOOKUP(V776,CATALOGOS!$J$2:$K$18,2,FALSE)),""-"",TO_TEXT(A776))"),"P24CS-0775")</f>
        <v>P24CS-0775</v>
      </c>
      <c r="H776" s="6" t="str">
        <f ca="1">IFERROR(__xludf.DUMMYFUNCTION("CONCATENATE($B776,(VLOOKUP($C776,CATALOGOS!$F$2:$H$6,3,FALSE)),(VLOOKUP($V776,CATALOGOS!$J$2:$K$18,2,FALSE)),""-"",TO_TEXT($A776))"),"P24CS-0775")</f>
        <v>P24CS-0775</v>
      </c>
      <c r="I776" s="6"/>
      <c r="J776" s="6" t="s">
        <v>5359</v>
      </c>
      <c r="K776" s="6" t="s">
        <v>5360</v>
      </c>
      <c r="L776" s="36"/>
      <c r="M776" s="6" t="s">
        <v>5361</v>
      </c>
      <c r="N776" s="17"/>
      <c r="O776" s="17"/>
      <c r="P776" s="17" t="str">
        <f t="shared" si="3"/>
        <v>OK</v>
      </c>
      <c r="Q776" s="17" t="s">
        <v>273</v>
      </c>
      <c r="R776" s="6" t="s">
        <v>274</v>
      </c>
      <c r="S776" s="6">
        <v>11392903015655</v>
      </c>
      <c r="T776" s="10" t="s">
        <v>85</v>
      </c>
      <c r="U776" s="173" t="s">
        <v>38</v>
      </c>
      <c r="V776" s="11" t="s">
        <v>4979</v>
      </c>
      <c r="W776" s="20" t="s">
        <v>4980</v>
      </c>
      <c r="X776" s="20" t="s">
        <v>4980</v>
      </c>
      <c r="Y776" s="20"/>
      <c r="Z776" s="6"/>
      <c r="AA776" s="6"/>
      <c r="AB776" s="41" t="s">
        <v>275</v>
      </c>
      <c r="AC776" s="42">
        <v>44403</v>
      </c>
      <c r="AD776" s="8">
        <v>11249</v>
      </c>
    </row>
    <row r="777" spans="1:30" ht="15.75" customHeight="1">
      <c r="A777" s="10" t="s">
        <v>5362</v>
      </c>
      <c r="B777" s="10" t="s">
        <v>4410</v>
      </c>
      <c r="C777" s="19" t="s">
        <v>4411</v>
      </c>
      <c r="D777" s="38"/>
      <c r="E777" s="13" t="s">
        <v>151</v>
      </c>
      <c r="F777" s="6" t="s">
        <v>4113</v>
      </c>
      <c r="G777" s="15" t="str">
        <f ca="1">IFERROR(__xludf.DUMMYFUNCTION("CONCATENATE(B777,(VLOOKUP(C777,CATALOGOS!$F$2:$H$6,3,FALSE)),(VLOOKUP(V777,CATALOGOS!$J$2:$K$18,2,FALSE)),""-"",TO_TEXT(A777))"),"P24CS-0776")</f>
        <v>P24CS-0776</v>
      </c>
      <c r="H777" s="6" t="str">
        <f ca="1">IFERROR(__xludf.DUMMYFUNCTION("CONCATENATE($B777,(VLOOKUP($C777,CATALOGOS!$F$2:$H$6,3,FALSE)),(VLOOKUP($V777,CATALOGOS!$J$2:$K$18,2,FALSE)),""-"",TO_TEXT($A777))"),"P24CS-0776")</f>
        <v>P24CS-0776</v>
      </c>
      <c r="I777" s="6"/>
      <c r="J777" s="6" t="s">
        <v>5363</v>
      </c>
      <c r="K777" s="6" t="s">
        <v>5364</v>
      </c>
      <c r="L777" s="36"/>
      <c r="M777" s="6" t="s">
        <v>5365</v>
      </c>
      <c r="N777" s="17"/>
      <c r="O777" s="17"/>
      <c r="P777" s="17" t="str">
        <f t="shared" si="3"/>
        <v>OK</v>
      </c>
      <c r="Q777" s="17" t="s">
        <v>297</v>
      </c>
      <c r="R777" s="6" t="s">
        <v>298</v>
      </c>
      <c r="S777" s="6" t="s">
        <v>5366</v>
      </c>
      <c r="T777" s="32" t="s">
        <v>85</v>
      </c>
      <c r="U777" s="173" t="s">
        <v>38</v>
      </c>
      <c r="V777" s="11" t="s">
        <v>4979</v>
      </c>
      <c r="W777" s="20" t="s">
        <v>4980</v>
      </c>
      <c r="X777" s="20" t="s">
        <v>4980</v>
      </c>
      <c r="Y777" s="20"/>
      <c r="Z777" s="6"/>
      <c r="AA777" s="6"/>
      <c r="AB777" s="73" t="s">
        <v>275</v>
      </c>
      <c r="AC777" s="42">
        <v>44403</v>
      </c>
      <c r="AD777" s="8">
        <v>0</v>
      </c>
    </row>
    <row r="778" spans="1:30" ht="15.75" customHeight="1">
      <c r="A778" s="10" t="s">
        <v>5367</v>
      </c>
      <c r="B778" s="10" t="s">
        <v>4410</v>
      </c>
      <c r="C778" s="19" t="s">
        <v>4411</v>
      </c>
      <c r="D778" s="12"/>
      <c r="E778" s="13" t="s">
        <v>62</v>
      </c>
      <c r="F778" s="6" t="s">
        <v>5368</v>
      </c>
      <c r="G778" s="15" t="str">
        <f ca="1">IFERROR(__xludf.DUMMYFUNCTION("CONCATENATE(B778,(VLOOKUP(C778,CATALOGOS!$F$2:$H$6,3,FALSE)),(VLOOKUP(V778,CATALOGOS!$J$2:$K$18,2,FALSE)),""-"",TO_TEXT(A778))"),"P24CS-0777")</f>
        <v>P24CS-0777</v>
      </c>
      <c r="H778" s="6" t="str">
        <f ca="1">IFERROR(__xludf.DUMMYFUNCTION("CONCATENATE($B778,(VLOOKUP($C778,CATALOGOS!$F$2:$H$6,3,FALSE)),(VLOOKUP($V778,CATALOGOS!$J$2:$K$18,2,FALSE)),""-"",TO_TEXT($A778))"),"P24CS-0777")</f>
        <v>P24CS-0777</v>
      </c>
      <c r="I778" s="6"/>
      <c r="J778" s="6" t="s">
        <v>5369</v>
      </c>
      <c r="K778" s="6" t="s">
        <v>5370</v>
      </c>
      <c r="L778" s="6" t="s">
        <v>5371</v>
      </c>
      <c r="M778" s="6" t="s">
        <v>5372</v>
      </c>
      <c r="N778" s="17"/>
      <c r="O778" s="17"/>
      <c r="P778" s="17" t="str">
        <f t="shared" si="3"/>
        <v>OK</v>
      </c>
      <c r="Q778" s="17" t="s">
        <v>35</v>
      </c>
      <c r="R778" s="6" t="s">
        <v>35</v>
      </c>
      <c r="S778" s="17" t="s">
        <v>36</v>
      </c>
      <c r="T778" s="17" t="s">
        <v>5373</v>
      </c>
      <c r="U778" s="173" t="s">
        <v>38</v>
      </c>
      <c r="V778" s="11" t="s">
        <v>4979</v>
      </c>
      <c r="W778" s="20" t="s">
        <v>5374</v>
      </c>
      <c r="X778" s="22" t="s">
        <v>5374</v>
      </c>
      <c r="Y778" s="22"/>
      <c r="Z778" s="7"/>
      <c r="AA778" s="7"/>
      <c r="AB778" s="23"/>
      <c r="AC778" s="26"/>
    </row>
    <row r="779" spans="1:30" ht="15.75" customHeight="1">
      <c r="A779" s="10" t="s">
        <v>5375</v>
      </c>
      <c r="B779" s="10" t="s">
        <v>4410</v>
      </c>
      <c r="C779" s="19" t="s">
        <v>4411</v>
      </c>
      <c r="D779" s="12"/>
      <c r="E779" s="13" t="s">
        <v>43</v>
      </c>
      <c r="F779" s="43" t="s">
        <v>885</v>
      </c>
      <c r="G779" s="15" t="str">
        <f ca="1">IFERROR(__xludf.DUMMYFUNCTION("CONCATENATE(B779,(VLOOKUP(C779,CATALOGOS!$F$2:$H$6,3,FALSE)),(VLOOKUP(V779,CATALOGOS!$J$2:$K$18,2,FALSE)),""-"",TO_TEXT(A779))"),"P24CS-0778")</f>
        <v>P24CS-0778</v>
      </c>
      <c r="H779" s="6" t="str">
        <f ca="1">IFERROR(__xludf.DUMMYFUNCTION("CONCATENATE($B779,(VLOOKUP($C779,CATALOGOS!$F$2:$H$6,3,FALSE)),(VLOOKUP($V779,CATALOGOS!$J$2:$K$18,2,FALSE)),""-"",TO_TEXT($A779))"),"P24CS-0778")</f>
        <v>P24CS-0778</v>
      </c>
      <c r="I779" s="6"/>
      <c r="J779" s="6" t="s">
        <v>5376</v>
      </c>
      <c r="K779" s="6" t="s">
        <v>5377</v>
      </c>
      <c r="L779" s="6" t="s">
        <v>5378</v>
      </c>
      <c r="M779" s="43" t="s">
        <v>5379</v>
      </c>
      <c r="N779" s="17"/>
      <c r="O779" s="17"/>
      <c r="P779" s="17" t="str">
        <f t="shared" si="3"/>
        <v>OK</v>
      </c>
      <c r="Q779" s="17" t="s">
        <v>2586</v>
      </c>
      <c r="R779" s="6" t="s">
        <v>5380</v>
      </c>
      <c r="S779" s="17" t="s">
        <v>36</v>
      </c>
      <c r="T779" s="10" t="s">
        <v>5381</v>
      </c>
      <c r="U779" s="173" t="s">
        <v>38</v>
      </c>
      <c r="V779" s="11" t="s">
        <v>4979</v>
      </c>
      <c r="W779" s="22" t="s">
        <v>5374</v>
      </c>
      <c r="X779" s="22" t="s">
        <v>5374</v>
      </c>
      <c r="Y779" s="22"/>
      <c r="Z779" s="7"/>
      <c r="AA779" s="7"/>
      <c r="AB779" s="23"/>
      <c r="AC779" s="26"/>
    </row>
    <row r="780" spans="1:30" ht="15.75" customHeight="1">
      <c r="A780" s="10" t="s">
        <v>5382</v>
      </c>
      <c r="B780" s="10" t="s">
        <v>4410</v>
      </c>
      <c r="C780" s="19" t="s">
        <v>4411</v>
      </c>
      <c r="D780" s="12"/>
      <c r="E780" s="13" t="s">
        <v>93</v>
      </c>
      <c r="F780" s="6" t="s">
        <v>5383</v>
      </c>
      <c r="G780" s="15" t="str">
        <f ca="1">IFERROR(__xludf.DUMMYFUNCTION("CONCATENATE(B780,(VLOOKUP(C780,CATALOGOS!$F$2:$H$6,3,FALSE)),(VLOOKUP(V780,CATALOGOS!$J$2:$K$18,2,FALSE)),""-"",TO_TEXT(A780))"),"P24CS-0779")</f>
        <v>P24CS-0779</v>
      </c>
      <c r="H780" s="6" t="str">
        <f ca="1">IFERROR(__xludf.DUMMYFUNCTION("CONCATENATE($B780,(VLOOKUP($C780,CATALOGOS!$F$2:$H$6,3,FALSE)),(VLOOKUP($V780,CATALOGOS!$J$2:$K$18,2,FALSE)),""-"",TO_TEXT($A780))"),"P24CS-0779")</f>
        <v>P24CS-0779</v>
      </c>
      <c r="I780" s="6"/>
      <c r="J780" s="6" t="s">
        <v>5384</v>
      </c>
      <c r="K780" s="6" t="s">
        <v>5385</v>
      </c>
      <c r="L780" s="6" t="s">
        <v>5386</v>
      </c>
      <c r="M780" s="6" t="s">
        <v>5387</v>
      </c>
      <c r="N780" s="17"/>
      <c r="O780" s="17"/>
      <c r="P780" s="17" t="str">
        <f t="shared" si="3"/>
        <v>OK</v>
      </c>
      <c r="Q780" s="17" t="s">
        <v>35</v>
      </c>
      <c r="R780" s="6" t="s">
        <v>35</v>
      </c>
      <c r="S780" s="17" t="s">
        <v>36</v>
      </c>
      <c r="T780" s="17" t="s">
        <v>5388</v>
      </c>
      <c r="U780" s="173" t="s">
        <v>38</v>
      </c>
      <c r="V780" s="11" t="s">
        <v>4979</v>
      </c>
      <c r="W780" s="22" t="s">
        <v>5374</v>
      </c>
      <c r="X780" s="22" t="s">
        <v>5374</v>
      </c>
      <c r="Y780" s="22"/>
      <c r="Z780" s="7"/>
      <c r="AA780" s="7"/>
      <c r="AB780" s="23"/>
      <c r="AC780" s="26"/>
    </row>
    <row r="781" spans="1:30" ht="15.75" customHeight="1">
      <c r="A781" s="10" t="s">
        <v>5389</v>
      </c>
      <c r="B781" s="10" t="s">
        <v>4410</v>
      </c>
      <c r="C781" s="19" t="s">
        <v>4411</v>
      </c>
      <c r="D781" s="12"/>
      <c r="E781" s="13" t="s">
        <v>62</v>
      </c>
      <c r="F781" s="6" t="s">
        <v>5368</v>
      </c>
      <c r="G781" s="15" t="str">
        <f ca="1">IFERROR(__xludf.DUMMYFUNCTION("CONCATENATE(B781,(VLOOKUP(C781,CATALOGOS!$F$2:$H$6,3,FALSE)),(VLOOKUP(V781,CATALOGOS!$J$2:$K$18,2,FALSE)),""-"",TO_TEXT(A781))"),"P24CS-0780")</f>
        <v>P24CS-0780</v>
      </c>
      <c r="H781" s="6" t="str">
        <f ca="1">IFERROR(__xludf.DUMMYFUNCTION("CONCATENATE($B781,(VLOOKUP($C781,CATALOGOS!$F$2:$H$6,3,FALSE)),(VLOOKUP($V781,CATALOGOS!$J$2:$K$18,2,FALSE)),""-"",TO_TEXT($A781))"),"P24CS-0780")</f>
        <v>P24CS-0780</v>
      </c>
      <c r="I781" s="6"/>
      <c r="J781" s="6" t="s">
        <v>5390</v>
      </c>
      <c r="K781" s="6" t="s">
        <v>5391</v>
      </c>
      <c r="L781" s="6" t="s">
        <v>5392</v>
      </c>
      <c r="M781" s="6" t="s">
        <v>5393</v>
      </c>
      <c r="N781" s="17"/>
      <c r="O781" s="17"/>
      <c r="P781" s="17" t="str">
        <f t="shared" si="3"/>
        <v>OK</v>
      </c>
      <c r="Q781" s="17" t="s">
        <v>35</v>
      </c>
      <c r="R781" s="6" t="s">
        <v>35</v>
      </c>
      <c r="S781" s="17" t="s">
        <v>36</v>
      </c>
      <c r="T781" s="17" t="s">
        <v>5394</v>
      </c>
      <c r="U781" s="173" t="s">
        <v>38</v>
      </c>
      <c r="V781" s="11" t="s">
        <v>4979</v>
      </c>
      <c r="W781" s="22" t="s">
        <v>5374</v>
      </c>
      <c r="X781" s="22" t="s">
        <v>5374</v>
      </c>
      <c r="Y781" s="22"/>
      <c r="Z781" s="7"/>
      <c r="AA781" s="7"/>
      <c r="AB781" s="23"/>
      <c r="AC781" s="26"/>
    </row>
    <row r="782" spans="1:30" ht="15.75" customHeight="1">
      <c r="A782" s="10" t="s">
        <v>5395</v>
      </c>
      <c r="B782" s="10" t="s">
        <v>4410</v>
      </c>
      <c r="C782" s="19" t="s">
        <v>4411</v>
      </c>
      <c r="D782" s="12"/>
      <c r="E782" s="13" t="s">
        <v>116</v>
      </c>
      <c r="F782" s="43" t="s">
        <v>5396</v>
      </c>
      <c r="G782" s="15" t="str">
        <f ca="1">IFERROR(__xludf.DUMMYFUNCTION("CONCATENATE(B782,(VLOOKUP(C782,CATALOGOS!$F$2:$H$6,3,FALSE)),(VLOOKUP(V782,CATALOGOS!$J$2:$K$18,2,FALSE)),""-"",TO_TEXT(A782))"),"P24CS-0781")</f>
        <v>P24CS-0781</v>
      </c>
      <c r="H782" s="6" t="str">
        <f ca="1">IFERROR(__xludf.DUMMYFUNCTION("CONCATENATE($B782,(VLOOKUP($C782,CATALOGOS!$F$2:$H$6,3,FALSE)),(VLOOKUP($V782,CATALOGOS!$J$2:$K$18,2,FALSE)),""-"",TO_TEXT($A782))"),"P24CS-0781")</f>
        <v>P24CS-0781</v>
      </c>
      <c r="I782" s="6"/>
      <c r="J782" s="6" t="s">
        <v>5397</v>
      </c>
      <c r="K782" s="6" t="s">
        <v>5398</v>
      </c>
      <c r="L782" s="6" t="s">
        <v>5399</v>
      </c>
      <c r="M782" s="6" t="s">
        <v>5400</v>
      </c>
      <c r="N782" s="17"/>
      <c r="O782" s="17"/>
      <c r="P782" s="17" t="str">
        <f t="shared" si="3"/>
        <v>OK</v>
      </c>
      <c r="Q782" s="17" t="s">
        <v>35</v>
      </c>
      <c r="R782" s="6" t="s">
        <v>35</v>
      </c>
      <c r="S782" s="17" t="s">
        <v>36</v>
      </c>
      <c r="T782" s="17" t="s">
        <v>5401</v>
      </c>
      <c r="U782" s="173" t="s">
        <v>38</v>
      </c>
      <c r="V782" s="11" t="s">
        <v>4979</v>
      </c>
      <c r="W782" s="22" t="s">
        <v>5374</v>
      </c>
      <c r="X782" s="22" t="s">
        <v>5374</v>
      </c>
      <c r="Y782" s="22"/>
      <c r="Z782" s="7"/>
      <c r="AA782" s="7"/>
      <c r="AB782" s="23"/>
      <c r="AC782" s="26"/>
    </row>
    <row r="783" spans="1:30" ht="15.75" customHeight="1">
      <c r="A783" s="10" t="s">
        <v>5402</v>
      </c>
      <c r="B783" s="10" t="s">
        <v>4410</v>
      </c>
      <c r="C783" s="19" t="s">
        <v>4411</v>
      </c>
      <c r="D783" s="12"/>
      <c r="E783" s="13" t="s">
        <v>1240</v>
      </c>
      <c r="F783" s="43" t="s">
        <v>278</v>
      </c>
      <c r="G783" s="15" t="str">
        <f ca="1">IFERROR(__xludf.DUMMYFUNCTION("CONCATENATE(B783,(VLOOKUP(C783,CATALOGOS!$F$2:$H$6,3,FALSE)),(VLOOKUP(V783,CATALOGOS!$J$2:$K$18,2,FALSE)),""-"",TO_TEXT(A783))"),"P24CS-0782")</f>
        <v>P24CS-0782</v>
      </c>
      <c r="H783" s="6" t="str">
        <f ca="1">IFERROR(__xludf.DUMMYFUNCTION("CONCATENATE($B783,(VLOOKUP($C783,CATALOGOS!$F$2:$H$6,3,FALSE)),(VLOOKUP($V783,CATALOGOS!$J$2:$K$18,2,FALSE)),""-"",TO_TEXT($A783))"),"P24CS-0782")</f>
        <v>P24CS-0782</v>
      </c>
      <c r="I783" s="6"/>
      <c r="J783" s="6" t="s">
        <v>5403</v>
      </c>
      <c r="K783" s="6" t="s">
        <v>5404</v>
      </c>
      <c r="L783" s="6" t="s">
        <v>5405</v>
      </c>
      <c r="M783" s="6" t="s">
        <v>5406</v>
      </c>
      <c r="N783" s="17"/>
      <c r="O783" s="17"/>
      <c r="P783" s="17" t="str">
        <f t="shared" si="3"/>
        <v>OK</v>
      </c>
      <c r="Q783" s="17" t="s">
        <v>35</v>
      </c>
      <c r="R783" s="6" t="s">
        <v>35</v>
      </c>
      <c r="S783" s="17" t="s">
        <v>36</v>
      </c>
      <c r="T783" s="17" t="s">
        <v>5407</v>
      </c>
      <c r="U783" s="173" t="s">
        <v>38</v>
      </c>
      <c r="V783" s="11" t="s">
        <v>4979</v>
      </c>
      <c r="W783" s="22" t="s">
        <v>5374</v>
      </c>
      <c r="X783" s="22" t="s">
        <v>5374</v>
      </c>
      <c r="Y783" s="22"/>
      <c r="Z783" s="7"/>
      <c r="AA783" s="7"/>
      <c r="AB783" s="23"/>
      <c r="AC783" s="26"/>
    </row>
    <row r="784" spans="1:30" ht="15.75" customHeight="1">
      <c r="A784" s="10" t="s">
        <v>5408</v>
      </c>
      <c r="B784" s="10" t="s">
        <v>4410</v>
      </c>
      <c r="C784" s="19" t="s">
        <v>4411</v>
      </c>
      <c r="D784" s="12"/>
      <c r="E784" s="13" t="s">
        <v>199</v>
      </c>
      <c r="F784" s="6" t="s">
        <v>199</v>
      </c>
      <c r="G784" s="15" t="str">
        <f ca="1">IFERROR(__xludf.DUMMYFUNCTION("CONCATENATE(B784,(VLOOKUP(C784,CATALOGOS!$F$2:$H$6,3,FALSE)),(VLOOKUP(V784,CATALOGOS!$J$2:$K$18,2,FALSE)),""-"",TO_TEXT(A784))"),"P24CS-0783")</f>
        <v>P24CS-0783</v>
      </c>
      <c r="H784" s="6" t="str">
        <f ca="1">IFERROR(__xludf.DUMMYFUNCTION("CONCATENATE($B784,(VLOOKUP($C784,CATALOGOS!$F$2:$H$6,3,FALSE)),(VLOOKUP($V784,CATALOGOS!$J$2:$K$18,2,FALSE)),""-"",TO_TEXT($A784))"),"P24CS-0783")</f>
        <v>P24CS-0783</v>
      </c>
      <c r="I784" s="6"/>
      <c r="J784" s="6" t="s">
        <v>5409</v>
      </c>
      <c r="K784" s="6" t="s">
        <v>5410</v>
      </c>
      <c r="L784" s="6" t="s">
        <v>5411</v>
      </c>
      <c r="M784" s="43" t="s">
        <v>5412</v>
      </c>
      <c r="N784" s="17"/>
      <c r="O784" s="17"/>
      <c r="P784" s="17" t="str">
        <f t="shared" si="3"/>
        <v>OK</v>
      </c>
      <c r="Q784" s="17" t="s">
        <v>297</v>
      </c>
      <c r="R784" s="6" t="s">
        <v>5413</v>
      </c>
      <c r="S784" s="35" t="s">
        <v>5414</v>
      </c>
      <c r="T784" s="10" t="s">
        <v>5415</v>
      </c>
      <c r="U784" s="178" t="s">
        <v>38</v>
      </c>
      <c r="V784" s="11" t="s">
        <v>4979</v>
      </c>
      <c r="W784" s="22" t="s">
        <v>5374</v>
      </c>
      <c r="X784" s="22" t="s">
        <v>5374</v>
      </c>
      <c r="Y784" s="22"/>
      <c r="Z784" s="7"/>
      <c r="AA784" s="7"/>
      <c r="AB784" s="23"/>
      <c r="AC784" s="26"/>
    </row>
    <row r="785" spans="1:29" ht="15.75" customHeight="1">
      <c r="A785" s="10" t="s">
        <v>5416</v>
      </c>
      <c r="B785" s="10" t="s">
        <v>4410</v>
      </c>
      <c r="C785" s="19" t="s">
        <v>4411</v>
      </c>
      <c r="D785" s="12"/>
      <c r="E785" s="13" t="s">
        <v>248</v>
      </c>
      <c r="F785" s="43" t="s">
        <v>249</v>
      </c>
      <c r="G785" s="15" t="str">
        <f ca="1">IFERROR(__xludf.DUMMYFUNCTION("CONCATENATE(B785,(VLOOKUP(C785,CATALOGOS!$F$2:$H$6,3,FALSE)),(VLOOKUP(V785,CATALOGOS!$J$2:$K$18,2,FALSE)),""-"",TO_TEXT(A785))"),"P24CS-0784")</f>
        <v>P24CS-0784</v>
      </c>
      <c r="H785" s="6" t="str">
        <f ca="1">IFERROR(__xludf.DUMMYFUNCTION("CONCATENATE($B785,(VLOOKUP($C785,CATALOGOS!$F$2:$H$6,3,FALSE)),(VLOOKUP($V785,CATALOGOS!$J$2:$K$18,2,FALSE)),""-"",TO_TEXT($A785))"),"P24CS-0784")</f>
        <v>P24CS-0784</v>
      </c>
      <c r="I785" s="6"/>
      <c r="J785" s="6" t="s">
        <v>5417</v>
      </c>
      <c r="K785" s="6" t="s">
        <v>5418</v>
      </c>
      <c r="L785" s="6" t="s">
        <v>5419</v>
      </c>
      <c r="M785" s="6" t="s">
        <v>5420</v>
      </c>
      <c r="N785" s="17"/>
      <c r="O785" s="17"/>
      <c r="P785" s="17" t="str">
        <f t="shared" si="3"/>
        <v>OK</v>
      </c>
      <c r="Q785" s="17" t="s">
        <v>978</v>
      </c>
      <c r="R785" s="6" t="s">
        <v>979</v>
      </c>
      <c r="S785" s="35" t="s">
        <v>5421</v>
      </c>
      <c r="T785" s="17" t="s">
        <v>5422</v>
      </c>
      <c r="U785" s="173" t="s">
        <v>38</v>
      </c>
      <c r="V785" s="11" t="s">
        <v>4979</v>
      </c>
      <c r="W785" s="22" t="s">
        <v>5374</v>
      </c>
      <c r="X785" s="22" t="s">
        <v>5374</v>
      </c>
      <c r="Y785" s="22"/>
      <c r="Z785" s="7"/>
      <c r="AA785" s="7"/>
      <c r="AB785" s="23"/>
      <c r="AC785" s="26"/>
    </row>
    <row r="786" spans="1:29" ht="15.75" customHeight="1">
      <c r="A786" s="10" t="s">
        <v>5423</v>
      </c>
      <c r="B786" s="10" t="s">
        <v>4410</v>
      </c>
      <c r="C786" s="19" t="s">
        <v>4411</v>
      </c>
      <c r="D786" s="12"/>
      <c r="E786" s="13" t="s">
        <v>151</v>
      </c>
      <c r="F786" s="6" t="s">
        <v>963</v>
      </c>
      <c r="G786" s="15" t="str">
        <f ca="1">IFERROR(__xludf.DUMMYFUNCTION("CONCATENATE(B786,(VLOOKUP(C786,CATALOGOS!$F$2:$H$6,3,FALSE)),(VLOOKUP(V786,CATALOGOS!$J$2:$K$18,2,FALSE)),""-"",TO_TEXT(A786))"),"P24CS-0785")</f>
        <v>P24CS-0785</v>
      </c>
      <c r="H786" s="6" t="str">
        <f ca="1">IFERROR(__xludf.DUMMYFUNCTION("CONCATENATE($B786,(VLOOKUP($C786,CATALOGOS!$F$2:$H$6,3,FALSE)),(VLOOKUP($V786,CATALOGOS!$J$2:$K$18,2,FALSE)),""-"",TO_TEXT($A786))"),"P24CS-0785")</f>
        <v>P24CS-0785</v>
      </c>
      <c r="I786" s="6"/>
      <c r="J786" s="6" t="s">
        <v>5424</v>
      </c>
      <c r="K786" s="6" t="s">
        <v>5425</v>
      </c>
      <c r="L786" s="6" t="s">
        <v>5426</v>
      </c>
      <c r="M786" s="6" t="s">
        <v>5427</v>
      </c>
      <c r="N786" s="17"/>
      <c r="O786" s="17"/>
      <c r="P786" s="17" t="str">
        <f t="shared" si="3"/>
        <v>OK</v>
      </c>
      <c r="Q786" s="17" t="s">
        <v>297</v>
      </c>
      <c r="R786" s="6" t="s">
        <v>1037</v>
      </c>
      <c r="S786" s="17" t="s">
        <v>5428</v>
      </c>
      <c r="T786" s="17" t="s">
        <v>5429</v>
      </c>
      <c r="U786" s="173" t="s">
        <v>38</v>
      </c>
      <c r="V786" s="11" t="s">
        <v>4979</v>
      </c>
      <c r="W786" s="22" t="s">
        <v>5374</v>
      </c>
      <c r="X786" s="22" t="s">
        <v>5374</v>
      </c>
      <c r="Y786" s="22"/>
      <c r="Z786" s="7"/>
      <c r="AA786" s="7"/>
      <c r="AB786" s="23"/>
      <c r="AC786" s="26"/>
    </row>
    <row r="787" spans="1:29" ht="15.75" customHeight="1">
      <c r="A787" s="10" t="s">
        <v>5430</v>
      </c>
      <c r="B787" s="10" t="s">
        <v>4410</v>
      </c>
      <c r="C787" s="19" t="s">
        <v>4411</v>
      </c>
      <c r="D787" s="12"/>
      <c r="E787" s="13" t="s">
        <v>378</v>
      </c>
      <c r="F787" s="6" t="s">
        <v>878</v>
      </c>
      <c r="G787" s="15" t="str">
        <f ca="1">IFERROR(__xludf.DUMMYFUNCTION("CONCATENATE(B787,(VLOOKUP(C787,CATALOGOS!$F$2:$H$6,3,FALSE)),(VLOOKUP(V787,CATALOGOS!$J$2:$K$18,2,FALSE)),""-"",TO_TEXT(A787))"),"P24CS-0786")</f>
        <v>P24CS-0786</v>
      </c>
      <c r="H787" s="6" t="str">
        <f ca="1">IFERROR(__xludf.DUMMYFUNCTION("CONCATENATE($B787,(VLOOKUP($C787,CATALOGOS!$F$2:$H$6,3,FALSE)),(VLOOKUP($V787,CATALOGOS!$J$2:$K$18,2,FALSE)),""-"",TO_TEXT($A787))"),"P24CS-0786")</f>
        <v>P24CS-0786</v>
      </c>
      <c r="I787" s="6"/>
      <c r="J787" s="6" t="s">
        <v>5431</v>
      </c>
      <c r="K787" s="6" t="s">
        <v>5432</v>
      </c>
      <c r="L787" s="36"/>
      <c r="M787" s="6" t="s">
        <v>141</v>
      </c>
      <c r="N787" s="17"/>
      <c r="O787" s="17"/>
      <c r="P787" s="17" t="str">
        <f t="shared" si="3"/>
        <v>REPETIDO</v>
      </c>
      <c r="Q787" s="17" t="s">
        <v>35</v>
      </c>
      <c r="R787" s="6" t="s">
        <v>35</v>
      </c>
      <c r="S787" s="6" t="s">
        <v>36</v>
      </c>
      <c r="T787" s="10" t="s">
        <v>5433</v>
      </c>
      <c r="U787" s="173" t="s">
        <v>38</v>
      </c>
      <c r="V787" s="11" t="s">
        <v>4979</v>
      </c>
      <c r="W787" s="22" t="s">
        <v>5374</v>
      </c>
      <c r="X787" s="22" t="s">
        <v>5374</v>
      </c>
      <c r="Y787" s="22"/>
      <c r="Z787" s="7"/>
      <c r="AA787" s="7"/>
      <c r="AB787" s="23"/>
      <c r="AC787" s="26"/>
    </row>
    <row r="788" spans="1:29" ht="15.75" customHeight="1">
      <c r="A788" s="10" t="s">
        <v>5434</v>
      </c>
      <c r="B788" s="10" t="s">
        <v>4410</v>
      </c>
      <c r="C788" s="19" t="s">
        <v>4411</v>
      </c>
      <c r="D788" s="38"/>
      <c r="E788" s="13" t="s">
        <v>378</v>
      </c>
      <c r="F788" s="43" t="s">
        <v>379</v>
      </c>
      <c r="G788" s="15" t="str">
        <f ca="1">IFERROR(__xludf.DUMMYFUNCTION("CONCATENATE(B788,(VLOOKUP(C788,CATALOGOS!$F$2:$H$6,3,FALSE)),(VLOOKUP(V788,CATALOGOS!$J$2:$K$18,2,FALSE)),""-"",TO_TEXT(A788))"),"P24CS-0787")</f>
        <v>P24CS-0787</v>
      </c>
      <c r="H788" s="6" t="str">
        <f ca="1">IFERROR(__xludf.DUMMYFUNCTION("CONCATENATE($B788,(VLOOKUP($C788,CATALOGOS!$F$2:$H$6,3,FALSE)),(VLOOKUP($V788,CATALOGOS!$J$2:$K$18,2,FALSE)),""-"",TO_TEXT($A788))"),"P24CS-0787")</f>
        <v>P24CS-0787</v>
      </c>
      <c r="I788" s="6"/>
      <c r="J788" s="6" t="s">
        <v>5435</v>
      </c>
      <c r="K788" s="6" t="s">
        <v>5436</v>
      </c>
      <c r="L788" s="6" t="s">
        <v>5437</v>
      </c>
      <c r="M788" s="6" t="s">
        <v>5438</v>
      </c>
      <c r="N788" s="17"/>
      <c r="O788" s="17"/>
      <c r="P788" s="17" t="str">
        <f t="shared" si="3"/>
        <v>OK</v>
      </c>
      <c r="Q788" s="17" t="s">
        <v>35</v>
      </c>
      <c r="R788" s="6" t="s">
        <v>35</v>
      </c>
      <c r="S788" s="46" t="s">
        <v>36</v>
      </c>
      <c r="T788" s="17" t="s">
        <v>5439</v>
      </c>
      <c r="U788" s="173" t="s">
        <v>38</v>
      </c>
      <c r="V788" s="11" t="s">
        <v>4979</v>
      </c>
      <c r="W788" s="22" t="s">
        <v>5374</v>
      </c>
      <c r="X788" s="22" t="s">
        <v>5374</v>
      </c>
      <c r="Y788" s="22"/>
      <c r="Z788" s="7"/>
      <c r="AA788" s="7"/>
      <c r="AB788" s="26"/>
      <c r="AC788" s="26"/>
    </row>
    <row r="789" spans="1:29" ht="15.75" customHeight="1">
      <c r="A789" s="10" t="s">
        <v>5440</v>
      </c>
      <c r="B789" s="10" t="s">
        <v>4410</v>
      </c>
      <c r="C789" s="19" t="s">
        <v>4411</v>
      </c>
      <c r="D789" s="12"/>
      <c r="E789" s="13" t="s">
        <v>53</v>
      </c>
      <c r="F789" s="6" t="s">
        <v>192</v>
      </c>
      <c r="G789" s="15" t="str">
        <f ca="1">IFERROR(__xludf.DUMMYFUNCTION("CONCATENATE(B789,(VLOOKUP(C789,CATALOGOS!$F$2:$H$6,3,FALSE)),(VLOOKUP(V789,CATALOGOS!$J$2:$K$18,2,FALSE)),""-"",TO_TEXT(A789))"),"P24CA-0788")</f>
        <v>P24CA-0788</v>
      </c>
      <c r="H789" s="6" t="str">
        <f ca="1">IFERROR(__xludf.DUMMYFUNCTION("CONCATENATE($B789,(VLOOKUP($C789,CATALOGOS!$F$2:$H$6,3,FALSE)),(VLOOKUP($V789,CATALOGOS!$J$2:$K$18,2,FALSE)),""-"",TO_TEXT($A789))"),"P24CA-0788")</f>
        <v>P24CA-0788</v>
      </c>
      <c r="I789" s="6"/>
      <c r="J789" s="6" t="s">
        <v>5441</v>
      </c>
      <c r="K789" s="6" t="s">
        <v>5442</v>
      </c>
      <c r="L789" s="6" t="s">
        <v>5443</v>
      </c>
      <c r="M789" s="6" t="s">
        <v>5444</v>
      </c>
      <c r="N789" s="17"/>
      <c r="O789" s="17"/>
      <c r="P789" s="17" t="str">
        <f t="shared" si="3"/>
        <v>OK</v>
      </c>
      <c r="Q789" s="17" t="s">
        <v>35</v>
      </c>
      <c r="R789" s="6" t="s">
        <v>35</v>
      </c>
      <c r="S789" s="17" t="s">
        <v>36</v>
      </c>
      <c r="T789" s="17" t="s">
        <v>5445</v>
      </c>
      <c r="U789" s="173" t="s">
        <v>38</v>
      </c>
      <c r="V789" s="11" t="s">
        <v>4416</v>
      </c>
      <c r="W789" s="22" t="s">
        <v>5310</v>
      </c>
      <c r="X789" s="22" t="s">
        <v>5310</v>
      </c>
      <c r="Y789" s="22"/>
      <c r="Z789" s="7"/>
      <c r="AA789" s="7"/>
      <c r="AB789" s="23"/>
      <c r="AC789" s="26"/>
    </row>
    <row r="790" spans="1:29" ht="15.75" customHeight="1">
      <c r="A790" s="10" t="s">
        <v>5446</v>
      </c>
      <c r="B790" s="10" t="s">
        <v>4410</v>
      </c>
      <c r="C790" s="19" t="s">
        <v>4411</v>
      </c>
      <c r="D790" s="12"/>
      <c r="E790" s="13" t="s">
        <v>62</v>
      </c>
      <c r="F790" s="6" t="s">
        <v>5447</v>
      </c>
      <c r="G790" s="15" t="str">
        <f ca="1">IFERROR(__xludf.DUMMYFUNCTION("CONCATENATE(B790,(VLOOKUP(C790,CATALOGOS!$F$2:$H$6,3,FALSE)),(VLOOKUP(V790,CATALOGOS!$J$2:$K$18,2,FALSE)),""-"",TO_TEXT(A790))"),"P24CA-0789")</f>
        <v>P24CA-0789</v>
      </c>
      <c r="H790" s="6" t="str">
        <f ca="1">IFERROR(__xludf.DUMMYFUNCTION("CONCATENATE($B790,(VLOOKUP($C790,CATALOGOS!$F$2:$H$6,3,FALSE)),(VLOOKUP($V790,CATALOGOS!$J$2:$K$18,2,FALSE)),""-"",TO_TEXT($A790))"),"P24CA-0789")</f>
        <v>P24CA-0789</v>
      </c>
      <c r="I790" s="6"/>
      <c r="J790" s="6" t="s">
        <v>5448</v>
      </c>
      <c r="K790" s="6" t="s">
        <v>5449</v>
      </c>
      <c r="L790" s="6" t="s">
        <v>5450</v>
      </c>
      <c r="M790" s="6" t="s">
        <v>5451</v>
      </c>
      <c r="N790" s="17"/>
      <c r="O790" s="17"/>
      <c r="P790" s="17" t="str">
        <f t="shared" si="3"/>
        <v>OK</v>
      </c>
      <c r="Q790" s="17" t="s">
        <v>35</v>
      </c>
      <c r="R790" s="6" t="s">
        <v>35</v>
      </c>
      <c r="S790" s="17" t="s">
        <v>36</v>
      </c>
      <c r="T790" s="17" t="s">
        <v>5452</v>
      </c>
      <c r="U790" s="173" t="s">
        <v>38</v>
      </c>
      <c r="V790" s="11" t="s">
        <v>4416</v>
      </c>
      <c r="W790" s="22" t="s">
        <v>5310</v>
      </c>
      <c r="X790" s="22" t="s">
        <v>5310</v>
      </c>
      <c r="Y790" s="22"/>
      <c r="Z790" s="7"/>
      <c r="AA790" s="7"/>
      <c r="AB790" s="23"/>
      <c r="AC790" s="26"/>
    </row>
    <row r="791" spans="1:29" ht="15.75" customHeight="1">
      <c r="A791" s="10" t="s">
        <v>5453</v>
      </c>
      <c r="B791" s="10" t="s">
        <v>4410</v>
      </c>
      <c r="C791" s="19" t="s">
        <v>4411</v>
      </c>
      <c r="D791" s="12"/>
      <c r="E791" s="13" t="s">
        <v>71</v>
      </c>
      <c r="F791" s="6" t="s">
        <v>4937</v>
      </c>
      <c r="G791" s="15" t="str">
        <f ca="1">IFERROR(__xludf.DUMMYFUNCTION("CONCATENATE(B791,(VLOOKUP(C791,CATALOGOS!$F$2:$H$6,3,FALSE)),(VLOOKUP(V791,CATALOGOS!$J$2:$K$18,2,FALSE)),""-"",TO_TEXT(A791))"),"P24CA-0790")</f>
        <v>P24CA-0790</v>
      </c>
      <c r="H791" s="6" t="str">
        <f ca="1">IFERROR(__xludf.DUMMYFUNCTION("CONCATENATE($B791,(VLOOKUP($C791,CATALOGOS!$F$2:$H$6,3,FALSE)),(VLOOKUP($V791,CATALOGOS!$J$2:$K$18,2,FALSE)),""-"",TO_TEXT($A791))"),"P24CA-0790")</f>
        <v>P24CA-0790</v>
      </c>
      <c r="I791" s="6"/>
      <c r="J791" s="6" t="s">
        <v>5454</v>
      </c>
      <c r="K791" s="6" t="s">
        <v>5455</v>
      </c>
      <c r="L791" s="6" t="s">
        <v>5456</v>
      </c>
      <c r="M791" s="6" t="s">
        <v>5457</v>
      </c>
      <c r="N791" s="17"/>
      <c r="O791" s="17"/>
      <c r="P791" s="17" t="str">
        <f t="shared" si="3"/>
        <v>OK</v>
      </c>
      <c r="Q791" s="17" t="s">
        <v>35</v>
      </c>
      <c r="R791" s="6" t="s">
        <v>35</v>
      </c>
      <c r="S791" s="17" t="s">
        <v>36</v>
      </c>
      <c r="T791" s="17" t="s">
        <v>8359</v>
      </c>
      <c r="U791" s="173" t="s">
        <v>38</v>
      </c>
      <c r="V791" s="11" t="s">
        <v>4416</v>
      </c>
      <c r="W791" s="22" t="s">
        <v>5310</v>
      </c>
      <c r="X791" s="22" t="s">
        <v>5310</v>
      </c>
      <c r="Y791" s="22"/>
      <c r="Z791" s="7"/>
      <c r="AA791" s="7"/>
      <c r="AB791" s="23"/>
      <c r="AC791" s="26"/>
    </row>
    <row r="792" spans="1:29" ht="15.75" customHeight="1">
      <c r="A792" s="10" t="s">
        <v>5459</v>
      </c>
      <c r="B792" s="10" t="s">
        <v>4410</v>
      </c>
      <c r="C792" s="19" t="s">
        <v>4411</v>
      </c>
      <c r="D792" s="12"/>
      <c r="E792" s="13" t="s">
        <v>93</v>
      </c>
      <c r="F792" s="6" t="s">
        <v>5460</v>
      </c>
      <c r="G792" s="15" t="str">
        <f ca="1">IFERROR(__xludf.DUMMYFUNCTION("CONCATENATE(B792,(VLOOKUP(C792,CATALOGOS!$F$2:$H$6,3,FALSE)),(VLOOKUP(V792,CATALOGOS!$J$2:$K$18,2,FALSE)),""-"",TO_TEXT(A792))"),"P24CA-0791")</f>
        <v>P24CA-0791</v>
      </c>
      <c r="H792" s="6" t="str">
        <f ca="1">IFERROR(__xludf.DUMMYFUNCTION("CONCATENATE($B792,(VLOOKUP($C792,CATALOGOS!$F$2:$H$6,3,FALSE)),(VLOOKUP($V792,CATALOGOS!$J$2:$K$18,2,FALSE)),""-"",TO_TEXT($A792))"),"P24CA-0791")</f>
        <v>P24CA-0791</v>
      </c>
      <c r="I792" s="6"/>
      <c r="J792" s="6" t="s">
        <v>5461</v>
      </c>
      <c r="K792" s="6" t="s">
        <v>5462</v>
      </c>
      <c r="L792" s="6" t="s">
        <v>5463</v>
      </c>
      <c r="M792" s="6" t="s">
        <v>5464</v>
      </c>
      <c r="N792" s="17"/>
      <c r="O792" s="17"/>
      <c r="P792" s="17" t="str">
        <f t="shared" si="3"/>
        <v>OK</v>
      </c>
      <c r="Q792" s="17" t="s">
        <v>35</v>
      </c>
      <c r="R792" s="6" t="s">
        <v>35</v>
      </c>
      <c r="S792" s="17" t="s">
        <v>36</v>
      </c>
      <c r="T792" s="17" t="s">
        <v>5465</v>
      </c>
      <c r="U792" s="173" t="s">
        <v>38</v>
      </c>
      <c r="V792" s="11" t="s">
        <v>4416</v>
      </c>
      <c r="W792" s="22" t="s">
        <v>5310</v>
      </c>
      <c r="X792" s="22" t="s">
        <v>5310</v>
      </c>
      <c r="Y792" s="22"/>
      <c r="Z792" s="7"/>
      <c r="AA792" s="7"/>
      <c r="AB792" s="23"/>
      <c r="AC792" s="26"/>
    </row>
    <row r="793" spans="1:29" ht="15.75" customHeight="1">
      <c r="A793" s="10" t="s">
        <v>5466</v>
      </c>
      <c r="B793" s="10" t="s">
        <v>4410</v>
      </c>
      <c r="C793" s="19" t="s">
        <v>4411</v>
      </c>
      <c r="D793" s="12"/>
      <c r="E793" s="13" t="s">
        <v>93</v>
      </c>
      <c r="F793" s="6" t="s">
        <v>5460</v>
      </c>
      <c r="G793" s="15" t="str">
        <f ca="1">IFERROR(__xludf.DUMMYFUNCTION("CONCATENATE(B793,(VLOOKUP(C793,CATALOGOS!$F$2:$H$6,3,FALSE)),(VLOOKUP(V793,CATALOGOS!$J$2:$K$18,2,FALSE)),""-"",TO_TEXT(A793))"),"P24CA-0792")</f>
        <v>P24CA-0792</v>
      </c>
      <c r="H793" s="6" t="str">
        <f ca="1">IFERROR(__xludf.DUMMYFUNCTION("CONCATENATE($B793,(VLOOKUP($C793,CATALOGOS!$F$2:$H$6,3,FALSE)),(VLOOKUP($V793,CATALOGOS!$J$2:$K$18,2,FALSE)),""-"",TO_TEXT($A793))"),"P24CA-0792")</f>
        <v>P24CA-0792</v>
      </c>
      <c r="I793" s="6"/>
      <c r="J793" s="6" t="s">
        <v>5467</v>
      </c>
      <c r="K793" s="6" t="s">
        <v>5468</v>
      </c>
      <c r="L793" s="6" t="s">
        <v>5469</v>
      </c>
      <c r="M793" s="6" t="s">
        <v>5470</v>
      </c>
      <c r="N793" s="17"/>
      <c r="O793" s="17"/>
      <c r="P793" s="17" t="str">
        <f t="shared" si="3"/>
        <v>OK</v>
      </c>
      <c r="Q793" s="17" t="s">
        <v>35</v>
      </c>
      <c r="R793" s="6" t="s">
        <v>35</v>
      </c>
      <c r="S793" s="17" t="s">
        <v>36</v>
      </c>
      <c r="T793" s="17" t="s">
        <v>5471</v>
      </c>
      <c r="U793" s="173" t="s">
        <v>38</v>
      </c>
      <c r="V793" s="11" t="s">
        <v>4416</v>
      </c>
      <c r="W793" s="22" t="s">
        <v>5310</v>
      </c>
      <c r="X793" s="22" t="s">
        <v>5310</v>
      </c>
      <c r="Y793" s="22"/>
      <c r="Z793" s="7"/>
      <c r="AA793" s="7"/>
      <c r="AB793" s="23"/>
      <c r="AC793" s="26"/>
    </row>
    <row r="794" spans="1:29" ht="15.75" customHeight="1">
      <c r="A794" s="10" t="s">
        <v>5472</v>
      </c>
      <c r="B794" s="10" t="s">
        <v>4410</v>
      </c>
      <c r="C794" s="19" t="s">
        <v>4411</v>
      </c>
      <c r="D794" s="12"/>
      <c r="E794" s="13" t="s">
        <v>43</v>
      </c>
      <c r="F794" s="6" t="s">
        <v>5473</v>
      </c>
      <c r="G794" s="15" t="str">
        <f ca="1">IFERROR(__xludf.DUMMYFUNCTION("CONCATENATE(B794,(VLOOKUP(C794,CATALOGOS!$F$2:$H$6,3,FALSE)),(VLOOKUP(V794,CATALOGOS!$J$2:$K$18,2,FALSE)),""-"",TO_TEXT(A794))"),"P24CA-0793")</f>
        <v>P24CA-0793</v>
      </c>
      <c r="H794" s="6" t="str">
        <f ca="1">IFERROR(__xludf.DUMMYFUNCTION("CONCATENATE($B794,(VLOOKUP($C794,CATALOGOS!$F$2:$H$6,3,FALSE)),(VLOOKUP($V794,CATALOGOS!$J$2:$K$18,2,FALSE)),""-"",TO_TEXT($A794))"),"P24CA-0793")</f>
        <v>P24CA-0793</v>
      </c>
      <c r="I794" s="6"/>
      <c r="J794" s="6" t="s">
        <v>5474</v>
      </c>
      <c r="K794" s="6" t="s">
        <v>5475</v>
      </c>
      <c r="L794" s="36"/>
      <c r="M794" s="6" t="s">
        <v>141</v>
      </c>
      <c r="N794" s="17"/>
      <c r="O794" s="17"/>
      <c r="P794" s="17" t="str">
        <f t="shared" si="3"/>
        <v>REPETIDO</v>
      </c>
      <c r="Q794" s="17" t="s">
        <v>49</v>
      </c>
      <c r="R794" s="6">
        <v>3196</v>
      </c>
      <c r="S794" s="6" t="s">
        <v>36</v>
      </c>
      <c r="T794" s="10" t="s">
        <v>85</v>
      </c>
      <c r="U794" s="173" t="s">
        <v>38</v>
      </c>
      <c r="V794" s="19" t="s">
        <v>4416</v>
      </c>
      <c r="W794" s="22" t="s">
        <v>5310</v>
      </c>
      <c r="X794" s="22" t="s">
        <v>5310</v>
      </c>
      <c r="Y794" s="22"/>
      <c r="Z794" s="6"/>
      <c r="AA794" s="6"/>
      <c r="AB794" s="23"/>
      <c r="AC794" s="33"/>
    </row>
    <row r="795" spans="1:29" ht="15.75" customHeight="1">
      <c r="A795" s="10" t="s">
        <v>5479</v>
      </c>
      <c r="B795" s="10" t="s">
        <v>4410</v>
      </c>
      <c r="C795" s="19" t="s">
        <v>4411</v>
      </c>
      <c r="D795" s="12"/>
      <c r="E795" s="13" t="s">
        <v>501</v>
      </c>
      <c r="F795" s="43" t="s">
        <v>5480</v>
      </c>
      <c r="G795" s="15" t="str">
        <f ca="1">IFERROR(__xludf.DUMMYFUNCTION("CONCATENATE(B795,(VLOOKUP(C795,CATALOGOS!$F$2:$H$6,3,FALSE)),(VLOOKUP(V795,CATALOGOS!$J$2:$K$18,2,FALSE)),""-"",TO_TEXT(A795))"),"P24CA-0794")</f>
        <v>P24CA-0794</v>
      </c>
      <c r="H795" s="6" t="str">
        <f ca="1">IFERROR(__xludf.DUMMYFUNCTION("CONCATENATE($B795,(VLOOKUP($C795,CATALOGOS!$F$2:$H$6,3,FALSE)),(VLOOKUP($V795,CATALOGOS!$J$2:$K$18,2,FALSE)),""-"",TO_TEXT($A795))"),"P24CA-0794")</f>
        <v>P24CA-0794</v>
      </c>
      <c r="I795" s="6"/>
      <c r="J795" s="6" t="s">
        <v>5481</v>
      </c>
      <c r="K795" s="6" t="s">
        <v>5482</v>
      </c>
      <c r="L795" s="6" t="s">
        <v>5483</v>
      </c>
      <c r="M795" s="6" t="s">
        <v>5484</v>
      </c>
      <c r="N795" s="17"/>
      <c r="O795" s="17"/>
      <c r="P795" s="17" t="str">
        <f t="shared" si="3"/>
        <v>OK</v>
      </c>
      <c r="Q795" s="17" t="s">
        <v>35</v>
      </c>
      <c r="R795" s="6" t="s">
        <v>35</v>
      </c>
      <c r="S795" s="17" t="s">
        <v>36</v>
      </c>
      <c r="T795" s="17" t="s">
        <v>5485</v>
      </c>
      <c r="U795" s="173" t="s">
        <v>38</v>
      </c>
      <c r="V795" s="11" t="s">
        <v>4416</v>
      </c>
      <c r="W795" s="22" t="s">
        <v>5310</v>
      </c>
      <c r="X795" s="22" t="s">
        <v>5310</v>
      </c>
      <c r="Y795" s="22"/>
      <c r="Z795" s="7"/>
      <c r="AA795" s="7"/>
      <c r="AB795" s="23"/>
      <c r="AC795" s="26"/>
    </row>
    <row r="796" spans="1:29" ht="15.75" customHeight="1">
      <c r="A796" s="10" t="s">
        <v>5486</v>
      </c>
      <c r="B796" s="10" t="s">
        <v>4410</v>
      </c>
      <c r="C796" s="19" t="s">
        <v>4411</v>
      </c>
      <c r="D796" s="12"/>
      <c r="E796" s="13" t="s">
        <v>378</v>
      </c>
      <c r="F796" s="6" t="s">
        <v>1306</v>
      </c>
      <c r="G796" s="15" t="str">
        <f ca="1">IFERROR(__xludf.DUMMYFUNCTION("CONCATENATE(B796,(VLOOKUP(C796,CATALOGOS!$F$2:$H$6,3,FALSE)),(VLOOKUP(V796,CATALOGOS!$J$2:$K$18,2,FALSE)),""-"",TO_TEXT(A796))"),"P24CA-0795")</f>
        <v>P24CA-0795</v>
      </c>
      <c r="H796" s="6" t="str">
        <f ca="1">IFERROR(__xludf.DUMMYFUNCTION("CONCATENATE($B796,(VLOOKUP($C796,CATALOGOS!$F$2:$H$6,3,FALSE)),(VLOOKUP($V796,CATALOGOS!$J$2:$K$18,2,FALSE)),""-"",TO_TEXT($A796))"),"P24CA-0795")</f>
        <v>P24CA-0795</v>
      </c>
      <c r="I796" s="6"/>
      <c r="J796" s="6" t="s">
        <v>5487</v>
      </c>
      <c r="K796" s="6" t="s">
        <v>5488</v>
      </c>
      <c r="L796" s="6" t="s">
        <v>5489</v>
      </c>
      <c r="M796" s="6" t="s">
        <v>5490</v>
      </c>
      <c r="N796" s="17"/>
      <c r="O796" s="17"/>
      <c r="P796" s="17" t="str">
        <f t="shared" si="3"/>
        <v>OK</v>
      </c>
      <c r="Q796" s="17" t="s">
        <v>35</v>
      </c>
      <c r="R796" s="6" t="s">
        <v>35</v>
      </c>
      <c r="S796" s="17" t="s">
        <v>36</v>
      </c>
      <c r="T796" s="17" t="s">
        <v>5491</v>
      </c>
      <c r="U796" s="173" t="s">
        <v>38</v>
      </c>
      <c r="V796" s="11" t="s">
        <v>4416</v>
      </c>
      <c r="W796" s="22" t="s">
        <v>5310</v>
      </c>
      <c r="X796" s="22" t="s">
        <v>5310</v>
      </c>
      <c r="Y796" s="22"/>
      <c r="Z796" s="7"/>
      <c r="AA796" s="7"/>
      <c r="AB796" s="23"/>
      <c r="AC796" s="26"/>
    </row>
    <row r="797" spans="1:29" ht="15.75" customHeight="1">
      <c r="A797" s="10" t="s">
        <v>5492</v>
      </c>
      <c r="B797" s="10" t="s">
        <v>4410</v>
      </c>
      <c r="C797" s="19" t="s">
        <v>4411</v>
      </c>
      <c r="D797" s="12"/>
      <c r="E797" s="13" t="s">
        <v>378</v>
      </c>
      <c r="F797" s="6" t="s">
        <v>1306</v>
      </c>
      <c r="G797" s="15" t="str">
        <f ca="1">IFERROR(__xludf.DUMMYFUNCTION("CONCATENATE(B797,(VLOOKUP(C797,CATALOGOS!$F$2:$H$6,3,FALSE)),(VLOOKUP(V797,CATALOGOS!$J$2:$K$18,2,FALSE)),""-"",TO_TEXT(A797))"),"P24CA-0796")</f>
        <v>P24CA-0796</v>
      </c>
      <c r="H797" s="6" t="str">
        <f ca="1">IFERROR(__xludf.DUMMYFUNCTION("CONCATENATE($B797,(VLOOKUP($C797,CATALOGOS!$F$2:$H$6,3,FALSE)),(VLOOKUP($V797,CATALOGOS!$J$2:$K$18,2,FALSE)),""-"",TO_TEXT($A797))"),"P24CA-0796")</f>
        <v>P24CA-0796</v>
      </c>
      <c r="I797" s="6"/>
      <c r="J797" s="6" t="s">
        <v>5493</v>
      </c>
      <c r="K797" s="6" t="s">
        <v>5494</v>
      </c>
      <c r="L797" s="6" t="s">
        <v>5495</v>
      </c>
      <c r="M797" s="6" t="s">
        <v>5496</v>
      </c>
      <c r="N797" s="17"/>
      <c r="O797" s="17"/>
      <c r="P797" s="17" t="str">
        <f t="shared" si="3"/>
        <v>OK</v>
      </c>
      <c r="Q797" s="17" t="s">
        <v>35</v>
      </c>
      <c r="R797" s="6" t="s">
        <v>35</v>
      </c>
      <c r="S797" s="17" t="s">
        <v>36</v>
      </c>
      <c r="T797" s="17" t="s">
        <v>5497</v>
      </c>
      <c r="U797" s="173" t="s">
        <v>38</v>
      </c>
      <c r="V797" s="11" t="s">
        <v>4416</v>
      </c>
      <c r="W797" s="22" t="s">
        <v>5310</v>
      </c>
      <c r="X797" s="22" t="s">
        <v>5310</v>
      </c>
      <c r="Y797" s="22"/>
      <c r="Z797" s="7"/>
      <c r="AA797" s="7"/>
      <c r="AB797" s="23"/>
      <c r="AC797" s="26"/>
    </row>
    <row r="798" spans="1:29" ht="15.75" customHeight="1">
      <c r="A798" s="10" t="s">
        <v>5498</v>
      </c>
      <c r="B798" s="10" t="s">
        <v>4410</v>
      </c>
      <c r="C798" s="19" t="s">
        <v>4411</v>
      </c>
      <c r="D798" s="12"/>
      <c r="E798" s="13" t="s">
        <v>378</v>
      </c>
      <c r="F798" s="6" t="s">
        <v>5499</v>
      </c>
      <c r="G798" s="15" t="str">
        <f ca="1">IFERROR(__xludf.DUMMYFUNCTION("CONCATENATE(B798,(VLOOKUP(C798,CATALOGOS!$F$2:$H$6,3,FALSE)),(VLOOKUP(V798,CATALOGOS!$J$2:$K$18,2,FALSE)),""-"",TO_TEXT(A798))"),"P24CA-0797")</f>
        <v>P24CA-0797</v>
      </c>
      <c r="H798" s="6" t="str">
        <f ca="1">IFERROR(__xludf.DUMMYFUNCTION("CONCATENATE($B798,(VLOOKUP($C798,CATALOGOS!$F$2:$H$6,3,FALSE)),(VLOOKUP($V798,CATALOGOS!$J$2:$K$18,2,FALSE)),""-"",TO_TEXT($A798))"),"P24CA-0797")</f>
        <v>P24CA-0797</v>
      </c>
      <c r="I798" s="6"/>
      <c r="J798" s="6" t="s">
        <v>5500</v>
      </c>
      <c r="K798" s="6" t="s">
        <v>5501</v>
      </c>
      <c r="L798" s="6" t="s">
        <v>5502</v>
      </c>
      <c r="M798" s="6" t="s">
        <v>5503</v>
      </c>
      <c r="N798" s="17"/>
      <c r="O798" s="17"/>
      <c r="P798" s="17" t="str">
        <f t="shared" si="3"/>
        <v>OK</v>
      </c>
      <c r="Q798" s="17" t="s">
        <v>35</v>
      </c>
      <c r="R798" s="6" t="s">
        <v>35</v>
      </c>
      <c r="S798" s="17" t="s">
        <v>36</v>
      </c>
      <c r="T798" s="17" t="s">
        <v>5504</v>
      </c>
      <c r="U798" s="173" t="s">
        <v>38</v>
      </c>
      <c r="V798" s="11" t="s">
        <v>4416</v>
      </c>
      <c r="W798" s="22" t="s">
        <v>5310</v>
      </c>
      <c r="X798" s="22" t="s">
        <v>5310</v>
      </c>
      <c r="Y798" s="22"/>
      <c r="Z798" s="7"/>
      <c r="AA798" s="7"/>
      <c r="AB798" s="23"/>
      <c r="AC798" s="26"/>
    </row>
    <row r="799" spans="1:29" ht="15.75" customHeight="1">
      <c r="A799" s="10" t="s">
        <v>5505</v>
      </c>
      <c r="B799" s="10" t="s">
        <v>4410</v>
      </c>
      <c r="C799" s="19" t="s">
        <v>4411</v>
      </c>
      <c r="D799" s="12"/>
      <c r="E799" s="13" t="s">
        <v>116</v>
      </c>
      <c r="F799" s="43" t="s">
        <v>5506</v>
      </c>
      <c r="G799" s="15" t="str">
        <f ca="1">IFERROR(__xludf.DUMMYFUNCTION("CONCATENATE(B799,(VLOOKUP(C799,CATALOGOS!$F$2:$H$6,3,FALSE)),(VLOOKUP(V799,CATALOGOS!$J$2:$K$18,2,FALSE)),""-"",TO_TEXT(A799))"),"P24CA-0798")</f>
        <v>P24CA-0798</v>
      </c>
      <c r="H799" s="6" t="str">
        <f ca="1">IFERROR(__xludf.DUMMYFUNCTION("CONCATENATE($B799,(VLOOKUP($C799,CATALOGOS!$F$2:$H$6,3,FALSE)),(VLOOKUP($V799,CATALOGOS!$J$2:$K$18,2,FALSE)),""-"",TO_TEXT($A799))"),"P24CA-0798")</f>
        <v>P24CA-0798</v>
      </c>
      <c r="I799" s="6"/>
      <c r="J799" s="6" t="s">
        <v>5507</v>
      </c>
      <c r="K799" s="6" t="s">
        <v>5508</v>
      </c>
      <c r="L799" s="6" t="s">
        <v>5509</v>
      </c>
      <c r="M799" s="6" t="s">
        <v>5510</v>
      </c>
      <c r="N799" s="17"/>
      <c r="O799" s="17"/>
      <c r="P799" s="17" t="str">
        <f t="shared" si="3"/>
        <v>OK</v>
      </c>
      <c r="Q799" s="17" t="s">
        <v>35</v>
      </c>
      <c r="R799" s="6" t="s">
        <v>35</v>
      </c>
      <c r="S799" s="17" t="s">
        <v>36</v>
      </c>
      <c r="T799" s="17" t="s">
        <v>5511</v>
      </c>
      <c r="U799" s="173" t="s">
        <v>38</v>
      </c>
      <c r="V799" s="11" t="s">
        <v>4416</v>
      </c>
      <c r="W799" s="22" t="s">
        <v>5310</v>
      </c>
      <c r="X799" s="22" t="s">
        <v>5310</v>
      </c>
      <c r="Y799" s="22"/>
      <c r="Z799" s="7"/>
      <c r="AA799" s="7"/>
      <c r="AB799" s="23"/>
      <c r="AC799" s="26"/>
    </row>
    <row r="800" spans="1:29" ht="15.75" customHeight="1">
      <c r="A800" s="10" t="s">
        <v>5512</v>
      </c>
      <c r="B800" s="10" t="s">
        <v>4410</v>
      </c>
      <c r="C800" s="19" t="s">
        <v>4411</v>
      </c>
      <c r="D800" s="12"/>
      <c r="E800" s="13" t="s">
        <v>29</v>
      </c>
      <c r="F800" s="43" t="s">
        <v>29</v>
      </c>
      <c r="G800" s="15" t="str">
        <f ca="1">IFERROR(__xludf.DUMMYFUNCTION("CONCATENATE(B800,(VLOOKUP(C800,CATALOGOS!$F$2:$H$6,3,FALSE)),(VLOOKUP(V800,CATALOGOS!$J$2:$K$18,2,FALSE)),""-"",TO_TEXT(A800))"),"P24CA-0799")</f>
        <v>P24CA-0799</v>
      </c>
      <c r="H800" s="6" t="str">
        <f ca="1">IFERROR(__xludf.DUMMYFUNCTION("CONCATENATE($B800,(VLOOKUP($C800,CATALOGOS!$F$2:$H$6,3,FALSE)),(VLOOKUP($V800,CATALOGOS!$J$2:$K$18,2,FALSE)),""-"",TO_TEXT($A800))"),"P24CA-0799")</f>
        <v>P24CA-0799</v>
      </c>
      <c r="I800" s="6"/>
      <c r="J800" s="6" t="s">
        <v>5513</v>
      </c>
      <c r="K800" s="6" t="s">
        <v>5514</v>
      </c>
      <c r="L800" s="6" t="s">
        <v>5515</v>
      </c>
      <c r="M800" s="6" t="s">
        <v>5516</v>
      </c>
      <c r="N800" s="17"/>
      <c r="O800" s="17"/>
      <c r="P800" s="17" t="str">
        <f t="shared" si="3"/>
        <v>OK</v>
      </c>
      <c r="Q800" s="17" t="s">
        <v>35</v>
      </c>
      <c r="R800" s="6" t="s">
        <v>35</v>
      </c>
      <c r="S800" s="17" t="s">
        <v>5517</v>
      </c>
      <c r="T800" s="17" t="s">
        <v>5518</v>
      </c>
      <c r="U800" s="173" t="s">
        <v>38</v>
      </c>
      <c r="V800" s="11" t="s">
        <v>4416</v>
      </c>
      <c r="W800" s="22" t="s">
        <v>5310</v>
      </c>
      <c r="X800" s="22" t="s">
        <v>5310</v>
      </c>
      <c r="Y800" s="22"/>
      <c r="Z800" s="7"/>
      <c r="AA800" s="7"/>
      <c r="AB800" s="23"/>
      <c r="AC800" s="26"/>
    </row>
    <row r="801" spans="1:30" ht="15.75" customHeight="1">
      <c r="A801" s="10" t="s">
        <v>5519</v>
      </c>
      <c r="B801" s="10" t="s">
        <v>4410</v>
      </c>
      <c r="C801" s="19" t="s">
        <v>4411</v>
      </c>
      <c r="D801" s="12"/>
      <c r="E801" s="13" t="s">
        <v>3521</v>
      </c>
      <c r="F801" s="43" t="s">
        <v>5520</v>
      </c>
      <c r="G801" s="15" t="str">
        <f ca="1">IFERROR(__xludf.DUMMYFUNCTION("CONCATENATE(B801,(VLOOKUP(C801,CATALOGOS!$F$2:$H$6,3,FALSE)),(VLOOKUP(V801,CATALOGOS!$J$2:$K$18,2,FALSE)),""-"",TO_TEXT(A801))"),"P24CA-0800")</f>
        <v>P24CA-0800</v>
      </c>
      <c r="H801" s="6" t="str">
        <f ca="1">IFERROR(__xludf.DUMMYFUNCTION("CONCATENATE($B801,(VLOOKUP($C801,CATALOGOS!$F$2:$H$6,3,FALSE)),(VLOOKUP($V801,CATALOGOS!$J$2:$K$18,2,FALSE)),""-"",TO_TEXT($A801))"),"P24CA-0800")</f>
        <v>P24CA-0800</v>
      </c>
      <c r="I801" s="6"/>
      <c r="J801" s="6" t="s">
        <v>5521</v>
      </c>
      <c r="K801" s="6" t="s">
        <v>5522</v>
      </c>
      <c r="L801" s="6" t="s">
        <v>5523</v>
      </c>
      <c r="M801" s="6" t="s">
        <v>5524</v>
      </c>
      <c r="N801" s="17"/>
      <c r="O801" s="17"/>
      <c r="P801" s="17" t="str">
        <f t="shared" si="3"/>
        <v>OK</v>
      </c>
      <c r="Q801" s="17" t="s">
        <v>35</v>
      </c>
      <c r="R801" s="6" t="s">
        <v>35</v>
      </c>
      <c r="S801" s="17" t="s">
        <v>36</v>
      </c>
      <c r="T801" s="17" t="s">
        <v>5525</v>
      </c>
      <c r="U801" s="173" t="s">
        <v>38</v>
      </c>
      <c r="V801" s="11" t="s">
        <v>4416</v>
      </c>
      <c r="W801" s="22" t="s">
        <v>5310</v>
      </c>
      <c r="X801" s="22" t="s">
        <v>5310</v>
      </c>
      <c r="Y801" s="22"/>
      <c r="Z801" s="7"/>
      <c r="AA801" s="7"/>
      <c r="AB801" s="23"/>
      <c r="AC801" s="26"/>
    </row>
    <row r="802" spans="1:30" ht="15.75" customHeight="1">
      <c r="A802" s="10" t="s">
        <v>5526</v>
      </c>
      <c r="B802" s="10" t="s">
        <v>4410</v>
      </c>
      <c r="C802" s="19" t="s">
        <v>4411</v>
      </c>
      <c r="D802" s="12"/>
      <c r="E802" s="13" t="s">
        <v>116</v>
      </c>
      <c r="F802" s="43" t="s">
        <v>5527</v>
      </c>
      <c r="G802" s="15" t="str">
        <f ca="1">IFERROR(__xludf.DUMMYFUNCTION("CONCATENATE(B802,(VLOOKUP(C802,CATALOGOS!$F$2:$H$6,3,FALSE)),(VLOOKUP(V802,CATALOGOS!$J$2:$K$18,2,FALSE)),""-"",TO_TEXT(A802))"),"P24CA-0801")</f>
        <v>P24CA-0801</v>
      </c>
      <c r="H802" s="6" t="str">
        <f ca="1">IFERROR(__xludf.DUMMYFUNCTION("CONCATENATE($B802,(VLOOKUP($C802,CATALOGOS!$F$2:$H$6,3,FALSE)),(VLOOKUP($V802,CATALOGOS!$J$2:$K$18,2,FALSE)),""-"",TO_TEXT($A802))"),"P24CA-0801")</f>
        <v>P24CA-0801</v>
      </c>
      <c r="I802" s="6"/>
      <c r="J802" s="6" t="s">
        <v>5528</v>
      </c>
      <c r="K802" s="6" t="s">
        <v>5529</v>
      </c>
      <c r="L802" s="6" t="s">
        <v>5530</v>
      </c>
      <c r="M802" s="6" t="s">
        <v>5531</v>
      </c>
      <c r="N802" s="17"/>
      <c r="O802" s="17"/>
      <c r="P802" s="17" t="str">
        <f t="shared" si="3"/>
        <v>OK</v>
      </c>
      <c r="Q802" s="17" t="s">
        <v>35</v>
      </c>
      <c r="R802" s="6" t="s">
        <v>35</v>
      </c>
      <c r="S802" s="17" t="s">
        <v>36</v>
      </c>
      <c r="T802" s="17" t="s">
        <v>5532</v>
      </c>
      <c r="U802" s="173" t="s">
        <v>38</v>
      </c>
      <c r="V802" s="11" t="s">
        <v>4416</v>
      </c>
      <c r="W802" s="22" t="s">
        <v>5310</v>
      </c>
      <c r="X802" s="22" t="s">
        <v>5310</v>
      </c>
      <c r="Y802" s="22"/>
      <c r="Z802" s="7"/>
      <c r="AA802" s="7"/>
      <c r="AB802" s="23"/>
      <c r="AC802" s="26"/>
    </row>
    <row r="803" spans="1:30" ht="15.75" customHeight="1">
      <c r="A803" s="10" t="s">
        <v>5533</v>
      </c>
      <c r="B803" s="10" t="s">
        <v>4410</v>
      </c>
      <c r="C803" s="19" t="s">
        <v>4411</v>
      </c>
      <c r="D803" s="12"/>
      <c r="E803" s="13" t="s">
        <v>43</v>
      </c>
      <c r="F803" s="43" t="s">
        <v>5232</v>
      </c>
      <c r="G803" s="15" t="str">
        <f ca="1">IFERROR(__xludf.DUMMYFUNCTION("CONCATENATE(B803,(VLOOKUP(C803,CATALOGOS!$F$2:$H$6,3,FALSE)),(VLOOKUP(V803,CATALOGOS!$J$2:$K$18,2,FALSE)),""-"",TO_TEXT(A803))"),"P24CA-0802")</f>
        <v>P24CA-0802</v>
      </c>
      <c r="H803" s="6" t="str">
        <f ca="1">IFERROR(__xludf.DUMMYFUNCTION("CONCATENATE($B803,(VLOOKUP($C803,CATALOGOS!$F$2:$H$6,3,FALSE)),(VLOOKUP($V803,CATALOGOS!$J$2:$K$18,2,FALSE)),""-"",TO_TEXT($A803))"),"P24CA-0802")</f>
        <v>P24CA-0802</v>
      </c>
      <c r="I803" s="6"/>
      <c r="J803" s="6" t="s">
        <v>5534</v>
      </c>
      <c r="K803" s="6" t="s">
        <v>5535</v>
      </c>
      <c r="L803" s="6" t="s">
        <v>5536</v>
      </c>
      <c r="M803" s="43" t="s">
        <v>5537</v>
      </c>
      <c r="N803" s="17"/>
      <c r="O803" s="17"/>
      <c r="P803" s="17" t="str">
        <f t="shared" si="3"/>
        <v>OK</v>
      </c>
      <c r="Q803" s="17" t="s">
        <v>5538</v>
      </c>
      <c r="R803" s="6" t="s">
        <v>5539</v>
      </c>
      <c r="S803" s="6" t="s">
        <v>36</v>
      </c>
      <c r="T803" s="10" t="s">
        <v>5540</v>
      </c>
      <c r="U803" s="173" t="s">
        <v>38</v>
      </c>
      <c r="V803" s="11" t="s">
        <v>4416</v>
      </c>
      <c r="W803" s="22" t="s">
        <v>5310</v>
      </c>
      <c r="X803" s="22" t="s">
        <v>5310</v>
      </c>
      <c r="Y803" s="22"/>
      <c r="Z803" s="7"/>
      <c r="AA803" s="7"/>
      <c r="AB803" s="23"/>
      <c r="AC803" s="26"/>
    </row>
    <row r="804" spans="1:30" ht="15.75" customHeight="1">
      <c r="A804" s="10" t="s">
        <v>5541</v>
      </c>
      <c r="B804" s="10" t="s">
        <v>4410</v>
      </c>
      <c r="C804" s="19" t="s">
        <v>4411</v>
      </c>
      <c r="D804" s="12"/>
      <c r="E804" s="13" t="s">
        <v>162</v>
      </c>
      <c r="F804" s="43" t="s">
        <v>285</v>
      </c>
      <c r="G804" s="15" t="str">
        <f ca="1">IFERROR(__xludf.DUMMYFUNCTION("CONCATENATE(B804,(VLOOKUP(C804,CATALOGOS!$F$2:$H$6,3,FALSE)),(VLOOKUP(V804,CATALOGOS!$J$2:$K$18,2,FALSE)),""-"",TO_TEXT(A804))"),"P24CA-0803")</f>
        <v>P24CA-0803</v>
      </c>
      <c r="H804" s="6" t="str">
        <f ca="1">IFERROR(__xludf.DUMMYFUNCTION("CONCATENATE($B804,(VLOOKUP($C804,CATALOGOS!$F$2:$H$6,3,FALSE)),(VLOOKUP($V804,CATALOGOS!$J$2:$K$18,2,FALSE)),""-"",TO_TEXT($A804))"),"P24CA-0803")</f>
        <v>P24CA-0803</v>
      </c>
      <c r="I804" s="6"/>
      <c r="J804" s="6" t="s">
        <v>5542</v>
      </c>
      <c r="K804" s="6" t="s">
        <v>5543</v>
      </c>
      <c r="L804" s="6" t="s">
        <v>5544</v>
      </c>
      <c r="M804" s="6" t="s">
        <v>5545</v>
      </c>
      <c r="N804" s="17"/>
      <c r="O804" s="17"/>
      <c r="P804" s="17" t="str">
        <f t="shared" si="3"/>
        <v>OK</v>
      </c>
      <c r="Q804" s="17" t="s">
        <v>168</v>
      </c>
      <c r="R804" s="6" t="s">
        <v>169</v>
      </c>
      <c r="S804" s="17" t="s">
        <v>5546</v>
      </c>
      <c r="T804" s="17" t="s">
        <v>5547</v>
      </c>
      <c r="U804" s="173" t="s">
        <v>38</v>
      </c>
      <c r="V804" s="11" t="s">
        <v>4416</v>
      </c>
      <c r="W804" s="22" t="s">
        <v>5310</v>
      </c>
      <c r="X804" s="22" t="s">
        <v>5310</v>
      </c>
      <c r="Y804" s="22"/>
      <c r="Z804" s="7"/>
      <c r="AA804" s="7"/>
      <c r="AB804" s="23"/>
      <c r="AC804" s="26"/>
    </row>
    <row r="805" spans="1:30" ht="15.75" customHeight="1">
      <c r="A805" s="10" t="s">
        <v>5548</v>
      </c>
      <c r="B805" s="10" t="s">
        <v>4410</v>
      </c>
      <c r="C805" s="19" t="s">
        <v>4411</v>
      </c>
      <c r="D805" s="12"/>
      <c r="E805" s="13" t="s">
        <v>248</v>
      </c>
      <c r="F805" s="43" t="s">
        <v>249</v>
      </c>
      <c r="G805" s="15" t="str">
        <f ca="1">IFERROR(__xludf.DUMMYFUNCTION("CONCATENATE(B805,(VLOOKUP(C805,CATALOGOS!$F$2:$H$6,3,FALSE)),(VLOOKUP(V805,CATALOGOS!$J$2:$K$18,2,FALSE)),""-"",TO_TEXT(A805))"),"P24CA-0804")</f>
        <v>P24CA-0804</v>
      </c>
      <c r="H805" s="6" t="str">
        <f ca="1">IFERROR(__xludf.DUMMYFUNCTION("CONCATENATE($B805,(VLOOKUP($C805,CATALOGOS!$F$2:$H$6,3,FALSE)),(VLOOKUP($V805,CATALOGOS!$J$2:$K$18,2,FALSE)),""-"",TO_TEXT($A805))"),"P24CA-0804")</f>
        <v>P24CA-0804</v>
      </c>
      <c r="I805" s="6"/>
      <c r="J805" s="6" t="s">
        <v>5549</v>
      </c>
      <c r="K805" s="6" t="s">
        <v>5550</v>
      </c>
      <c r="L805" s="6" t="s">
        <v>5551</v>
      </c>
      <c r="M805" s="6" t="s">
        <v>5552</v>
      </c>
      <c r="N805" s="17"/>
      <c r="O805" s="17"/>
      <c r="P805" s="17" t="str">
        <f t="shared" si="3"/>
        <v>OK</v>
      </c>
      <c r="Q805" s="17" t="s">
        <v>978</v>
      </c>
      <c r="R805" s="6" t="s">
        <v>979</v>
      </c>
      <c r="S805" s="17" t="s">
        <v>5553</v>
      </c>
      <c r="T805" s="17" t="s">
        <v>5554</v>
      </c>
      <c r="U805" s="173" t="s">
        <v>38</v>
      </c>
      <c r="V805" s="11" t="s">
        <v>4416</v>
      </c>
      <c r="W805" s="22" t="s">
        <v>5310</v>
      </c>
      <c r="X805" s="22" t="s">
        <v>5310</v>
      </c>
      <c r="Y805" s="22"/>
      <c r="Z805" s="7"/>
      <c r="AA805" s="7"/>
      <c r="AB805" s="23"/>
      <c r="AC805" s="26"/>
    </row>
    <row r="806" spans="1:30" ht="15.75" customHeight="1">
      <c r="A806" s="10" t="s">
        <v>5555</v>
      </c>
      <c r="B806" s="10" t="s">
        <v>4410</v>
      </c>
      <c r="C806" s="19" t="s">
        <v>4411</v>
      </c>
      <c r="D806" s="12"/>
      <c r="E806" s="13" t="s">
        <v>199</v>
      </c>
      <c r="F806" s="6" t="s">
        <v>199</v>
      </c>
      <c r="G806" s="15" t="str">
        <f ca="1">IFERROR(__xludf.DUMMYFUNCTION("CONCATENATE(B806,(VLOOKUP(C806,CATALOGOS!$F$2:$H$6,3,FALSE)),(VLOOKUP(V806,CATALOGOS!$J$2:$K$18,2,FALSE)),""-"",TO_TEXT(A806))"),"P24CA-0805")</f>
        <v>P24CA-0805</v>
      </c>
      <c r="H806" s="6" t="str">
        <f ca="1">IFERROR(__xludf.DUMMYFUNCTION("CONCATENATE($B806,(VLOOKUP($C806,CATALOGOS!$F$2:$H$6,3,FALSE)),(VLOOKUP($V806,CATALOGOS!$J$2:$K$18,2,FALSE)),""-"",TO_TEXT($A806))"),"P24CA-0805")</f>
        <v>P24CA-0805</v>
      </c>
      <c r="I806" s="6"/>
      <c r="J806" s="6" t="s">
        <v>5556</v>
      </c>
      <c r="K806" s="6" t="s">
        <v>5557</v>
      </c>
      <c r="L806" s="36"/>
      <c r="M806" s="6" t="s">
        <v>5558</v>
      </c>
      <c r="N806" s="17"/>
      <c r="O806" s="17"/>
      <c r="P806" s="17" t="str">
        <f t="shared" si="3"/>
        <v>OK</v>
      </c>
      <c r="Q806" s="17" t="s">
        <v>273</v>
      </c>
      <c r="R806" s="6" t="s">
        <v>274</v>
      </c>
      <c r="S806" s="6">
        <v>11392903014323</v>
      </c>
      <c r="T806" s="10" t="s">
        <v>85</v>
      </c>
      <c r="U806" s="173" t="s">
        <v>38</v>
      </c>
      <c r="V806" s="11" t="s">
        <v>4416</v>
      </c>
      <c r="W806" s="22" t="s">
        <v>5310</v>
      </c>
      <c r="X806" s="22" t="s">
        <v>5310</v>
      </c>
      <c r="Y806" s="22"/>
      <c r="Z806" s="6"/>
      <c r="AA806" s="6"/>
      <c r="AB806" s="41" t="s">
        <v>92</v>
      </c>
      <c r="AC806" s="42">
        <v>44348</v>
      </c>
      <c r="AD806" s="8" t="s">
        <v>276</v>
      </c>
    </row>
    <row r="807" spans="1:30" ht="15.75" customHeight="1">
      <c r="A807" s="10" t="s">
        <v>5560</v>
      </c>
      <c r="B807" s="10" t="s">
        <v>4410</v>
      </c>
      <c r="C807" s="19" t="s">
        <v>4411</v>
      </c>
      <c r="D807" s="12"/>
      <c r="E807" s="13" t="s">
        <v>151</v>
      </c>
      <c r="F807" s="6" t="s">
        <v>4113</v>
      </c>
      <c r="G807" s="15" t="str">
        <f ca="1">IFERROR(__xludf.DUMMYFUNCTION("CONCATENATE(B807,(VLOOKUP(C807,CATALOGOS!$F$2:$H$6,3,FALSE)),(VLOOKUP(V807,CATALOGOS!$J$2:$K$18,2,FALSE)),""-"",TO_TEXT(A807))"),"P24CA-0806")</f>
        <v>P24CA-0806</v>
      </c>
      <c r="H807" s="6" t="str">
        <f ca="1">IFERROR(__xludf.DUMMYFUNCTION("CONCATENATE($B807,(VLOOKUP($C807,CATALOGOS!$F$2:$H$6,3,FALSE)),(VLOOKUP($V807,CATALOGOS!$J$2:$K$18,2,FALSE)),""-"",TO_TEXT($A807))"),"P24CA-0806")</f>
        <v>P24CA-0806</v>
      </c>
      <c r="I807" s="6"/>
      <c r="J807" s="6" t="s">
        <v>5561</v>
      </c>
      <c r="K807" s="6" t="s">
        <v>5562</v>
      </c>
      <c r="L807" s="36"/>
      <c r="M807" s="6" t="s">
        <v>5563</v>
      </c>
      <c r="N807" s="17"/>
      <c r="O807" s="17"/>
      <c r="P807" s="17" t="str">
        <f t="shared" si="3"/>
        <v>OK</v>
      </c>
      <c r="Q807" s="17" t="s">
        <v>297</v>
      </c>
      <c r="R807" s="6" t="s">
        <v>298</v>
      </c>
      <c r="S807" s="6" t="s">
        <v>5564</v>
      </c>
      <c r="T807" s="10" t="s">
        <v>85</v>
      </c>
      <c r="U807" s="173" t="s">
        <v>38</v>
      </c>
      <c r="V807" s="11" t="s">
        <v>4416</v>
      </c>
      <c r="W807" s="22" t="s">
        <v>5310</v>
      </c>
      <c r="X807" s="22" t="s">
        <v>5310</v>
      </c>
      <c r="Y807" s="22"/>
      <c r="Z807" s="6"/>
      <c r="AA807" s="6"/>
      <c r="AB807" s="41" t="s">
        <v>92</v>
      </c>
      <c r="AC807" s="42">
        <v>44348</v>
      </c>
      <c r="AD807" s="8">
        <v>0</v>
      </c>
    </row>
    <row r="808" spans="1:30" ht="15.75" customHeight="1">
      <c r="A808" s="10" t="s">
        <v>5566</v>
      </c>
      <c r="B808" s="10" t="s">
        <v>4410</v>
      </c>
      <c r="C808" s="19" t="s">
        <v>4411</v>
      </c>
      <c r="D808" s="12"/>
      <c r="E808" s="13" t="s">
        <v>184</v>
      </c>
      <c r="F808" s="43" t="s">
        <v>5318</v>
      </c>
      <c r="G808" s="15" t="str">
        <f ca="1">IFERROR(__xludf.DUMMYFUNCTION("CONCATENATE(B808,(VLOOKUP(C808,CATALOGOS!$F$2:$H$6,3,FALSE)),(VLOOKUP(V808,CATALOGOS!$J$2:$K$18,2,FALSE)),""-"",TO_TEXT(A808))"),"P24CA-0807")</f>
        <v>P24CA-0807</v>
      </c>
      <c r="H808" s="6" t="str">
        <f ca="1">IFERROR(__xludf.DUMMYFUNCTION("CONCATENATE($B808,(VLOOKUP($C808,CATALOGOS!$F$2:$H$6,3,FALSE)),(VLOOKUP($V808,CATALOGOS!$J$2:$K$18,2,FALSE)),""-"",TO_TEXT($A808))"),"P24CA-0807")</f>
        <v>P24CA-0807</v>
      </c>
      <c r="I808" s="6"/>
      <c r="J808" s="6" t="s">
        <v>5567</v>
      </c>
      <c r="K808" s="6" t="s">
        <v>5568</v>
      </c>
      <c r="L808" s="6" t="s">
        <v>5569</v>
      </c>
      <c r="M808" s="6" t="s">
        <v>5570</v>
      </c>
      <c r="N808" s="17"/>
      <c r="O808" s="17"/>
      <c r="P808" s="17" t="str">
        <f t="shared" si="3"/>
        <v>OK</v>
      </c>
      <c r="Q808" s="17" t="s">
        <v>35</v>
      </c>
      <c r="R808" s="6" t="s">
        <v>35</v>
      </c>
      <c r="S808" s="17" t="s">
        <v>36</v>
      </c>
      <c r="T808" s="17" t="s">
        <v>5565</v>
      </c>
      <c r="U808" s="173" t="s">
        <v>38</v>
      </c>
      <c r="V808" s="11" t="s">
        <v>4416</v>
      </c>
      <c r="W808" s="22" t="s">
        <v>5310</v>
      </c>
      <c r="X808" s="22" t="s">
        <v>5310</v>
      </c>
      <c r="Y808" s="22"/>
      <c r="Z808" s="7"/>
      <c r="AA808" s="7"/>
      <c r="AB808" s="23"/>
      <c r="AC808" s="26"/>
    </row>
    <row r="809" spans="1:30" ht="15.75" customHeight="1">
      <c r="A809" s="10" t="s">
        <v>5571</v>
      </c>
      <c r="B809" s="10" t="s">
        <v>4410</v>
      </c>
      <c r="C809" s="19" t="s">
        <v>4411</v>
      </c>
      <c r="D809" s="38"/>
      <c r="E809" s="13" t="s">
        <v>1275</v>
      </c>
      <c r="F809" s="43" t="s">
        <v>1275</v>
      </c>
      <c r="G809" s="15" t="str">
        <f ca="1">IFERROR(__xludf.DUMMYFUNCTION("CONCATENATE(B809,(VLOOKUP(C809,CATALOGOS!$F$2:$H$6,3,FALSE)),(VLOOKUP(V809,CATALOGOS!$J$2:$K$18,2,FALSE)),""-"",TO_TEXT(A809))"),"P24CA-0808")</f>
        <v>P24CA-0808</v>
      </c>
      <c r="H809" s="6" t="str">
        <f ca="1">IFERROR(__xludf.DUMMYFUNCTION("CONCATENATE($B809,(VLOOKUP($C809,CATALOGOS!$F$2:$H$6,3,FALSE)),(VLOOKUP($V809,CATALOGOS!$J$2:$K$18,2,FALSE)),""-"",TO_TEXT($A809))"),"P24CA-0808")</f>
        <v>P24CA-0808</v>
      </c>
      <c r="I809" s="6"/>
      <c r="J809" s="6" t="s">
        <v>5572</v>
      </c>
      <c r="K809" s="6" t="s">
        <v>5573</v>
      </c>
      <c r="L809" s="6" t="s">
        <v>5574</v>
      </c>
      <c r="M809" s="43" t="s">
        <v>141</v>
      </c>
      <c r="N809" s="17"/>
      <c r="O809" s="17"/>
      <c r="P809" s="17" t="str">
        <f t="shared" si="3"/>
        <v>REPETIDO</v>
      </c>
      <c r="Q809" s="17" t="s">
        <v>205</v>
      </c>
      <c r="R809" s="49" t="s">
        <v>5575</v>
      </c>
      <c r="S809" s="46" t="s">
        <v>5576</v>
      </c>
      <c r="T809" s="32" t="s">
        <v>5577</v>
      </c>
      <c r="U809" s="173" t="s">
        <v>38</v>
      </c>
      <c r="V809" s="188" t="s">
        <v>4416</v>
      </c>
      <c r="W809" s="22" t="s">
        <v>5310</v>
      </c>
      <c r="X809" s="22" t="s">
        <v>5310</v>
      </c>
      <c r="Y809" s="22"/>
      <c r="Z809" s="7"/>
      <c r="AA809" s="7"/>
      <c r="AB809" s="26"/>
      <c r="AC809" s="26"/>
    </row>
    <row r="810" spans="1:30" ht="31.5" customHeight="1">
      <c r="A810" s="10" t="s">
        <v>5578</v>
      </c>
      <c r="B810" s="10" t="s">
        <v>4410</v>
      </c>
      <c r="C810" s="19" t="s">
        <v>4411</v>
      </c>
      <c r="D810" s="12"/>
      <c r="E810" s="13" t="s">
        <v>62</v>
      </c>
      <c r="F810" s="6" t="s">
        <v>4982</v>
      </c>
      <c r="G810" s="15" t="str">
        <f ca="1">IFERROR(__xludf.DUMMYFUNCTION("CONCATENATE(B810,(VLOOKUP(C810,CATALOGOS!$F$2:$H$6,3,FALSE)),(VLOOKUP(V810,CATALOGOS!$J$2:$K$18,2,FALSE)),""-"",TO_TEXT(A810))"),"P24CA-0809")</f>
        <v>P24CA-0809</v>
      </c>
      <c r="H810" s="6" t="str">
        <f ca="1">IFERROR(__xludf.DUMMYFUNCTION("CONCATENATE($B810,(VLOOKUP($C810,CATALOGOS!$F$2:$H$6,3,FALSE)),(VLOOKUP($V810,CATALOGOS!$J$2:$K$18,2,FALSE)),""-"",TO_TEXT($A810))"),"P24CA-0809")</f>
        <v>P24CA-0809</v>
      </c>
      <c r="I810" s="6"/>
      <c r="J810" s="6" t="s">
        <v>5579</v>
      </c>
      <c r="K810" s="6" t="s">
        <v>5580</v>
      </c>
      <c r="L810" s="6" t="s">
        <v>5581</v>
      </c>
      <c r="M810" s="6" t="s">
        <v>5582</v>
      </c>
      <c r="N810" s="17"/>
      <c r="O810" s="17"/>
      <c r="P810" s="17" t="str">
        <f t="shared" si="3"/>
        <v>OK</v>
      </c>
      <c r="Q810" s="17" t="s">
        <v>35</v>
      </c>
      <c r="R810" s="6" t="s">
        <v>35</v>
      </c>
      <c r="S810" s="17" t="s">
        <v>36</v>
      </c>
      <c r="T810" s="17" t="s">
        <v>5583</v>
      </c>
      <c r="U810" s="173" t="s">
        <v>38</v>
      </c>
      <c r="V810" s="11" t="s">
        <v>4416</v>
      </c>
      <c r="W810" s="22" t="s">
        <v>5584</v>
      </c>
      <c r="X810" s="22" t="s">
        <v>5584</v>
      </c>
      <c r="Y810" s="22"/>
      <c r="Z810" s="7"/>
      <c r="AA810" s="7"/>
      <c r="AB810" s="23"/>
      <c r="AC810" s="26"/>
    </row>
    <row r="811" spans="1:30" ht="27.75" customHeight="1">
      <c r="A811" s="10" t="s">
        <v>5585</v>
      </c>
      <c r="B811" s="10" t="s">
        <v>4410</v>
      </c>
      <c r="C811" s="19" t="s">
        <v>4411</v>
      </c>
      <c r="D811" s="12"/>
      <c r="E811" s="13" t="s">
        <v>29</v>
      </c>
      <c r="F811" s="6" t="s">
        <v>5586</v>
      </c>
      <c r="G811" s="15" t="str">
        <f ca="1">IFERROR(__xludf.DUMMYFUNCTION("CONCATENATE(B811,(VLOOKUP(C811,CATALOGOS!$F$2:$H$6,3,FALSE)),(VLOOKUP(V811,CATALOGOS!$J$2:$K$18,2,FALSE)),""-"",TO_TEXT(A811))"),"P24CA-0810")</f>
        <v>P24CA-0810</v>
      </c>
      <c r="H811" s="6" t="str">
        <f ca="1">IFERROR(__xludf.DUMMYFUNCTION("CONCATENATE($B811,(VLOOKUP($C811,CATALOGOS!$F$2:$H$6,3,FALSE)),(VLOOKUP($V811,CATALOGOS!$J$2:$K$18,2,FALSE)),""-"",TO_TEXT($A811))"),"P24CA-0810")</f>
        <v>P24CA-0810</v>
      </c>
      <c r="I811" s="6"/>
      <c r="J811" s="6" t="s">
        <v>5587</v>
      </c>
      <c r="K811" s="6" t="s">
        <v>5588</v>
      </c>
      <c r="L811" s="6" t="s">
        <v>5589</v>
      </c>
      <c r="M811" s="6" t="s">
        <v>5590</v>
      </c>
      <c r="N811" s="17"/>
      <c r="O811" s="17"/>
      <c r="P811" s="17" t="str">
        <f t="shared" si="3"/>
        <v>OK</v>
      </c>
      <c r="Q811" s="17" t="s">
        <v>35</v>
      </c>
      <c r="R811" s="6" t="s">
        <v>35</v>
      </c>
      <c r="S811" s="17" t="s">
        <v>36</v>
      </c>
      <c r="T811" s="17" t="s">
        <v>5591</v>
      </c>
      <c r="U811" s="179" t="s">
        <v>517</v>
      </c>
      <c r="V811" s="11" t="s">
        <v>4416</v>
      </c>
      <c r="W811" s="22" t="s">
        <v>5584</v>
      </c>
      <c r="X811" s="22" t="s">
        <v>5584</v>
      </c>
      <c r="Y811" s="22"/>
      <c r="Z811" s="7"/>
      <c r="AA811" s="7"/>
      <c r="AB811" s="23"/>
      <c r="AC811" s="26"/>
    </row>
    <row r="812" spans="1:30" ht="15.75" customHeight="1">
      <c r="A812" s="10" t="s">
        <v>5592</v>
      </c>
      <c r="B812" s="10" t="s">
        <v>4410</v>
      </c>
      <c r="C812" s="19" t="s">
        <v>4411</v>
      </c>
      <c r="D812" s="12"/>
      <c r="E812" s="13" t="s">
        <v>387</v>
      </c>
      <c r="F812" s="43" t="s">
        <v>387</v>
      </c>
      <c r="G812" s="15" t="str">
        <f ca="1">IFERROR(__xludf.DUMMYFUNCTION("CONCATENATE(B812,(VLOOKUP(C812,CATALOGOS!$F$2:$H$6,3,FALSE)),(VLOOKUP(V812,CATALOGOS!$J$2:$K$18,2,FALSE)),""-"",TO_TEXT(A812))"),"P24CA-0811")</f>
        <v>P24CA-0811</v>
      </c>
      <c r="H812" s="6" t="str">
        <f ca="1">IFERROR(__xludf.DUMMYFUNCTION("CONCATENATE($B812,(VLOOKUP($C812,CATALOGOS!$F$2:$H$6,3,FALSE)),(VLOOKUP($V812,CATALOGOS!$J$2:$K$18,2,FALSE)),""-"",TO_TEXT($A812))"),"P24CA-0811")</f>
        <v>P24CA-0811</v>
      </c>
      <c r="I812" s="6"/>
      <c r="J812" s="6" t="s">
        <v>5593</v>
      </c>
      <c r="K812" s="6" t="s">
        <v>5594</v>
      </c>
      <c r="L812" s="6" t="s">
        <v>5595</v>
      </c>
      <c r="M812" s="43" t="s">
        <v>5596</v>
      </c>
      <c r="N812" s="17"/>
      <c r="O812" s="17"/>
      <c r="P812" s="17" t="str">
        <f t="shared" si="3"/>
        <v>OK</v>
      </c>
      <c r="Q812" s="17" t="s">
        <v>5597</v>
      </c>
      <c r="R812" s="6" t="s">
        <v>5598</v>
      </c>
      <c r="S812" s="17" t="s">
        <v>36</v>
      </c>
      <c r="T812" s="17" t="s">
        <v>5599</v>
      </c>
      <c r="U812" s="173" t="s">
        <v>38</v>
      </c>
      <c r="V812" s="11" t="s">
        <v>4416</v>
      </c>
      <c r="W812" s="22" t="s">
        <v>5584</v>
      </c>
      <c r="X812" s="22" t="s">
        <v>5584</v>
      </c>
      <c r="Y812" s="22"/>
      <c r="Z812" s="7"/>
      <c r="AA812" s="7"/>
      <c r="AB812" s="23"/>
      <c r="AC812" s="26"/>
    </row>
    <row r="813" spans="1:30" ht="15.75" customHeight="1">
      <c r="A813" s="10" t="s">
        <v>5600</v>
      </c>
      <c r="B813" s="10" t="s">
        <v>4410</v>
      </c>
      <c r="C813" s="19" t="s">
        <v>4411</v>
      </c>
      <c r="D813" s="12"/>
      <c r="E813" s="13" t="s">
        <v>850</v>
      </c>
      <c r="F813" s="43" t="s">
        <v>851</v>
      </c>
      <c r="G813" s="15" t="str">
        <f ca="1">IFERROR(__xludf.DUMMYFUNCTION("CONCATENATE(B813,(VLOOKUP(C813,CATALOGOS!$F$2:$H$6,3,FALSE)),(VLOOKUP(V813,CATALOGOS!$J$2:$K$18,2,FALSE)),""-"",TO_TEXT(A813))"),"P24CA-0812")</f>
        <v>P24CA-0812</v>
      </c>
      <c r="H813" s="6" t="str">
        <f ca="1">IFERROR(__xludf.DUMMYFUNCTION("CONCATENATE($B813,(VLOOKUP($C813,CATALOGOS!$F$2:$H$6,3,FALSE)),(VLOOKUP($V813,CATALOGOS!$J$2:$K$18,2,FALSE)),""-"",TO_TEXT($A813))"),"P24CA-0812")</f>
        <v>P24CA-0812</v>
      </c>
      <c r="I813" s="6"/>
      <c r="J813" s="6" t="s">
        <v>5601</v>
      </c>
      <c r="K813" s="6" t="s">
        <v>5602</v>
      </c>
      <c r="L813" s="6" t="s">
        <v>5603</v>
      </c>
      <c r="M813" s="6" t="s">
        <v>5604</v>
      </c>
      <c r="N813" s="17"/>
      <c r="O813" s="17"/>
      <c r="P813" s="17" t="str">
        <f t="shared" si="3"/>
        <v>OK</v>
      </c>
      <c r="Q813" s="17" t="s">
        <v>856</v>
      </c>
      <c r="R813" s="6" t="s">
        <v>5605</v>
      </c>
      <c r="S813" s="6" t="s">
        <v>36</v>
      </c>
      <c r="T813" s="10" t="s">
        <v>5606</v>
      </c>
      <c r="U813" s="173" t="s">
        <v>38</v>
      </c>
      <c r="V813" s="11" t="s">
        <v>4416</v>
      </c>
      <c r="W813" s="22" t="s">
        <v>5584</v>
      </c>
      <c r="X813" s="22" t="s">
        <v>5584</v>
      </c>
      <c r="Y813" s="22"/>
      <c r="Z813" s="7"/>
      <c r="AA813" s="7"/>
      <c r="AB813" s="23"/>
      <c r="AC813" s="26"/>
    </row>
    <row r="814" spans="1:30" ht="15.75" customHeight="1">
      <c r="A814" s="10" t="s">
        <v>5607</v>
      </c>
      <c r="B814" s="10" t="s">
        <v>4410</v>
      </c>
      <c r="C814" s="19" t="s">
        <v>4411</v>
      </c>
      <c r="D814" s="12"/>
      <c r="E814" s="13" t="s">
        <v>3521</v>
      </c>
      <c r="F814" s="6" t="s">
        <v>5608</v>
      </c>
      <c r="G814" s="15" t="str">
        <f ca="1">IFERROR(__xludf.DUMMYFUNCTION("CONCATENATE(B814,(VLOOKUP(C814,CATALOGOS!$F$2:$H$6,3,FALSE)),(VLOOKUP(V814,CATALOGOS!$J$2:$K$18,2,FALSE)),""-"",TO_TEXT(A814))"),"P24CA-0813")</f>
        <v>P24CA-0813</v>
      </c>
      <c r="H814" s="6" t="str">
        <f ca="1">IFERROR(__xludf.DUMMYFUNCTION("CONCATENATE($B814,(VLOOKUP($C814,CATALOGOS!$F$2:$H$6,3,FALSE)),(VLOOKUP($V814,CATALOGOS!$J$2:$K$18,2,FALSE)),""-"",TO_TEXT($A814))"),"P24CA-0813")</f>
        <v>P24CA-0813</v>
      </c>
      <c r="I814" s="6"/>
      <c r="J814" s="6" t="s">
        <v>5609</v>
      </c>
      <c r="K814" s="6" t="s">
        <v>5610</v>
      </c>
      <c r="L814" s="6" t="s">
        <v>5611</v>
      </c>
      <c r="M814" s="6" t="s">
        <v>5612</v>
      </c>
      <c r="N814" s="17"/>
      <c r="O814" s="17"/>
      <c r="P814" s="17" t="str">
        <f t="shared" si="3"/>
        <v>OK</v>
      </c>
      <c r="Q814" s="17" t="s">
        <v>35</v>
      </c>
      <c r="R814" s="6" t="s">
        <v>35</v>
      </c>
      <c r="S814" s="17" t="s">
        <v>36</v>
      </c>
      <c r="T814" s="17" t="s">
        <v>5613</v>
      </c>
      <c r="U814" s="173" t="s">
        <v>38</v>
      </c>
      <c r="V814" s="11" t="s">
        <v>4416</v>
      </c>
      <c r="W814" s="22" t="s">
        <v>5584</v>
      </c>
      <c r="X814" s="22" t="s">
        <v>5584</v>
      </c>
      <c r="Y814" s="22"/>
      <c r="Z814" s="7"/>
      <c r="AA814" s="7"/>
      <c r="AB814" s="23"/>
      <c r="AC814" s="26"/>
    </row>
    <row r="815" spans="1:30" ht="15.75" customHeight="1">
      <c r="A815" s="10" t="s">
        <v>5614</v>
      </c>
      <c r="B815" s="10" t="s">
        <v>4410</v>
      </c>
      <c r="C815" s="19" t="s">
        <v>4411</v>
      </c>
      <c r="D815" s="12"/>
      <c r="E815" s="13" t="s">
        <v>116</v>
      </c>
      <c r="F815" s="6" t="s">
        <v>5615</v>
      </c>
      <c r="G815" s="15" t="str">
        <f ca="1">IFERROR(__xludf.DUMMYFUNCTION("CONCATENATE(B815,(VLOOKUP(C815,CATALOGOS!$F$2:$H$6,3,FALSE)),(VLOOKUP(V815,CATALOGOS!$J$2:$K$18,2,FALSE)),""-"",TO_TEXT(A815))"),"P24CA-0814")</f>
        <v>P24CA-0814</v>
      </c>
      <c r="H815" s="6" t="str">
        <f ca="1">IFERROR(__xludf.DUMMYFUNCTION("CONCATENATE($B815,(VLOOKUP($C815,CATALOGOS!$F$2:$H$6,3,FALSE)),(VLOOKUP($V815,CATALOGOS!$J$2:$K$18,2,FALSE)),""-"",TO_TEXT($A815))"),"P24CA-0814")</f>
        <v>P24CA-0814</v>
      </c>
      <c r="I815" s="6"/>
      <c r="J815" s="6" t="s">
        <v>5616</v>
      </c>
      <c r="K815" s="6" t="s">
        <v>5617</v>
      </c>
      <c r="L815" s="6" t="s">
        <v>5618</v>
      </c>
      <c r="M815" s="6" t="s">
        <v>5619</v>
      </c>
      <c r="N815" s="17"/>
      <c r="O815" s="17"/>
      <c r="P815" s="17" t="str">
        <f t="shared" si="3"/>
        <v>OK</v>
      </c>
      <c r="Q815" s="17" t="s">
        <v>35</v>
      </c>
      <c r="R815" s="6" t="s">
        <v>35</v>
      </c>
      <c r="S815" s="17" t="s">
        <v>36</v>
      </c>
      <c r="T815" s="17" t="s">
        <v>5620</v>
      </c>
      <c r="U815" s="179" t="s">
        <v>100</v>
      </c>
      <c r="V815" s="11" t="s">
        <v>4416</v>
      </c>
      <c r="W815" s="22" t="s">
        <v>5584</v>
      </c>
      <c r="X815" s="22" t="s">
        <v>5584</v>
      </c>
      <c r="Y815" s="22"/>
      <c r="Z815" s="7"/>
      <c r="AA815" s="7"/>
      <c r="AB815" s="23"/>
      <c r="AC815" s="26"/>
    </row>
    <row r="816" spans="1:30" ht="15.75" customHeight="1">
      <c r="A816" s="10" t="s">
        <v>5621</v>
      </c>
      <c r="B816" s="10" t="s">
        <v>4410</v>
      </c>
      <c r="C816" s="19" t="s">
        <v>4411</v>
      </c>
      <c r="D816" s="12"/>
      <c r="E816" s="13" t="s">
        <v>378</v>
      </c>
      <c r="F816" s="6" t="s">
        <v>1306</v>
      </c>
      <c r="G816" s="15" t="str">
        <f ca="1">IFERROR(__xludf.DUMMYFUNCTION("CONCATENATE(B816,(VLOOKUP(C816,CATALOGOS!$F$2:$H$6,3,FALSE)),(VLOOKUP(V816,CATALOGOS!$J$2:$K$18,2,FALSE)),""-"",TO_TEXT(A816))"),"P24CA-0815")</f>
        <v>P24CA-0815</v>
      </c>
      <c r="H816" s="6" t="str">
        <f ca="1">IFERROR(__xludf.DUMMYFUNCTION("CONCATENATE($B816,(VLOOKUP($C816,CATALOGOS!$F$2:$H$6,3,FALSE)),(VLOOKUP($V816,CATALOGOS!$J$2:$K$18,2,FALSE)),""-"",TO_TEXT($A816))"),"P24CA-0815")</f>
        <v>P24CA-0815</v>
      </c>
      <c r="I816" s="6"/>
      <c r="J816" s="6" t="s">
        <v>5622</v>
      </c>
      <c r="K816" s="6" t="s">
        <v>5623</v>
      </c>
      <c r="L816" s="6" t="s">
        <v>5624</v>
      </c>
      <c r="M816" s="6" t="s">
        <v>5625</v>
      </c>
      <c r="N816" s="17"/>
      <c r="O816" s="17"/>
      <c r="P816" s="17" t="str">
        <f t="shared" si="3"/>
        <v>OK</v>
      </c>
      <c r="Q816" s="17" t="s">
        <v>35</v>
      </c>
      <c r="R816" s="6" t="s">
        <v>35</v>
      </c>
      <c r="S816" s="17" t="s">
        <v>36</v>
      </c>
      <c r="T816" s="17" t="s">
        <v>5626</v>
      </c>
      <c r="U816" s="173" t="s">
        <v>38</v>
      </c>
      <c r="V816" s="11" t="s">
        <v>4416</v>
      </c>
      <c r="W816" s="22" t="s">
        <v>5584</v>
      </c>
      <c r="X816" s="22" t="s">
        <v>5584</v>
      </c>
      <c r="Y816" s="22"/>
      <c r="Z816" s="7"/>
      <c r="AA816" s="7"/>
      <c r="AB816" s="23"/>
      <c r="AC816" s="26"/>
    </row>
    <row r="817" spans="1:30" ht="15.75" customHeight="1">
      <c r="A817" s="10" t="s">
        <v>5627</v>
      </c>
      <c r="B817" s="10" t="s">
        <v>4410</v>
      </c>
      <c r="C817" s="19" t="s">
        <v>4411</v>
      </c>
      <c r="D817" s="12"/>
      <c r="E817" s="13" t="s">
        <v>378</v>
      </c>
      <c r="F817" s="6" t="s">
        <v>1306</v>
      </c>
      <c r="G817" s="15" t="str">
        <f ca="1">IFERROR(__xludf.DUMMYFUNCTION("CONCATENATE(B817,(VLOOKUP(C817,CATALOGOS!$F$2:$H$6,3,FALSE)),(VLOOKUP(V817,CATALOGOS!$J$2:$K$18,2,FALSE)),""-"",TO_TEXT(A817))"),"P24CA-0816")</f>
        <v>P24CA-0816</v>
      </c>
      <c r="H817" s="6" t="str">
        <f ca="1">IFERROR(__xludf.DUMMYFUNCTION("CONCATENATE($B817,(VLOOKUP($C817,CATALOGOS!$F$2:$H$6,3,FALSE)),(VLOOKUP($V817,CATALOGOS!$J$2:$K$18,2,FALSE)),""-"",TO_TEXT($A817))"),"P24CA-0816")</f>
        <v>P24CA-0816</v>
      </c>
      <c r="I817" s="6"/>
      <c r="J817" s="6" t="s">
        <v>5628</v>
      </c>
      <c r="K817" s="6" t="s">
        <v>5629</v>
      </c>
      <c r="L817" s="6" t="s">
        <v>5630</v>
      </c>
      <c r="M817" s="6" t="s">
        <v>5631</v>
      </c>
      <c r="N817" s="17"/>
      <c r="O817" s="17"/>
      <c r="P817" s="17" t="str">
        <f t="shared" si="3"/>
        <v>OK</v>
      </c>
      <c r="Q817" s="17" t="s">
        <v>35</v>
      </c>
      <c r="R817" s="6" t="s">
        <v>35</v>
      </c>
      <c r="S817" s="17" t="s">
        <v>36</v>
      </c>
      <c r="T817" s="17" t="s">
        <v>5632</v>
      </c>
      <c r="U817" s="173" t="s">
        <v>38</v>
      </c>
      <c r="V817" s="11" t="s">
        <v>4416</v>
      </c>
      <c r="W817" s="22" t="s">
        <v>5584</v>
      </c>
      <c r="X817" s="22" t="s">
        <v>5584</v>
      </c>
      <c r="Y817" s="22"/>
      <c r="Z817" s="7"/>
      <c r="AA817" s="7"/>
      <c r="AB817" s="23"/>
      <c r="AC817" s="26"/>
    </row>
    <row r="818" spans="1:30" ht="15.75" customHeight="1">
      <c r="A818" s="10" t="s">
        <v>5633</v>
      </c>
      <c r="B818" s="10" t="s">
        <v>4410</v>
      </c>
      <c r="C818" s="19" t="s">
        <v>4411</v>
      </c>
      <c r="D818" s="12"/>
      <c r="E818" s="13" t="s">
        <v>378</v>
      </c>
      <c r="F818" s="6" t="s">
        <v>1306</v>
      </c>
      <c r="G818" s="15" t="str">
        <f ca="1">IFERROR(__xludf.DUMMYFUNCTION("CONCATENATE(B818,(VLOOKUP(C818,CATALOGOS!$F$2:$H$6,3,FALSE)),(VLOOKUP(V818,CATALOGOS!$J$2:$K$18,2,FALSE)),""-"",TO_TEXT(A818))"),"P24CA-0817")</f>
        <v>P24CA-0817</v>
      </c>
      <c r="H818" s="6" t="str">
        <f ca="1">IFERROR(__xludf.DUMMYFUNCTION("CONCATENATE($B818,(VLOOKUP($C818,CATALOGOS!$F$2:$H$6,3,FALSE)),(VLOOKUP($V818,CATALOGOS!$J$2:$K$18,2,FALSE)),""-"",TO_TEXT($A818))"),"P24CA-0817")</f>
        <v>P24CA-0817</v>
      </c>
      <c r="I818" s="6"/>
      <c r="J818" s="6" t="s">
        <v>5634</v>
      </c>
      <c r="K818" s="6" t="s">
        <v>5635</v>
      </c>
      <c r="L818" s="6" t="s">
        <v>5636</v>
      </c>
      <c r="M818" s="43" t="s">
        <v>5637</v>
      </c>
      <c r="N818" s="17"/>
      <c r="O818" s="17"/>
      <c r="P818" s="17" t="str">
        <f t="shared" si="3"/>
        <v>OK</v>
      </c>
      <c r="Q818" s="17" t="s">
        <v>35</v>
      </c>
      <c r="R818" s="6" t="s">
        <v>35</v>
      </c>
      <c r="S818" s="17" t="s">
        <v>36</v>
      </c>
      <c r="T818" s="17" t="s">
        <v>5638</v>
      </c>
      <c r="U818" s="173" t="s">
        <v>38</v>
      </c>
      <c r="V818" s="11" t="s">
        <v>4416</v>
      </c>
      <c r="W818" s="22" t="s">
        <v>5584</v>
      </c>
      <c r="X818" s="22" t="s">
        <v>5584</v>
      </c>
      <c r="Y818" s="22"/>
      <c r="Z818" s="7"/>
      <c r="AA818" s="7"/>
      <c r="AB818" s="23"/>
      <c r="AC818" s="26"/>
    </row>
    <row r="819" spans="1:30" ht="15.75" customHeight="1">
      <c r="A819" s="10" t="s">
        <v>5639</v>
      </c>
      <c r="B819" s="10" t="s">
        <v>4410</v>
      </c>
      <c r="C819" s="19" t="s">
        <v>4411</v>
      </c>
      <c r="D819" s="12"/>
      <c r="E819" s="13" t="s">
        <v>184</v>
      </c>
      <c r="F819" s="6" t="s">
        <v>2677</v>
      </c>
      <c r="G819" s="15" t="str">
        <f ca="1">IFERROR(__xludf.DUMMYFUNCTION("CONCATENATE(B819,(VLOOKUP(C819,CATALOGOS!$F$2:$H$6,3,FALSE)),(VLOOKUP(V819,CATALOGOS!$J$2:$K$18,2,FALSE)),""-"",TO_TEXT(A819))"),"P24CA-0818")</f>
        <v>P24CA-0818</v>
      </c>
      <c r="H819" s="6" t="str">
        <f ca="1">IFERROR(__xludf.DUMMYFUNCTION("CONCATENATE($B819,(VLOOKUP($C819,CATALOGOS!$F$2:$H$6,3,FALSE)),(VLOOKUP($V819,CATALOGOS!$J$2:$K$18,2,FALSE)),""-"",TO_TEXT($A819))"),"P24CA-0818")</f>
        <v>P24CA-0818</v>
      </c>
      <c r="I819" s="6"/>
      <c r="J819" s="6" t="s">
        <v>5640</v>
      </c>
      <c r="K819" s="6" t="s">
        <v>5641</v>
      </c>
      <c r="L819" s="6" t="s">
        <v>5642</v>
      </c>
      <c r="M819" s="6" t="s">
        <v>5643</v>
      </c>
      <c r="N819" s="17"/>
      <c r="O819" s="17"/>
      <c r="P819" s="17" t="str">
        <f t="shared" si="3"/>
        <v>OK</v>
      </c>
      <c r="Q819" s="17" t="s">
        <v>35</v>
      </c>
      <c r="R819" s="6" t="s">
        <v>35</v>
      </c>
      <c r="S819" s="17" t="s">
        <v>36</v>
      </c>
      <c r="T819" s="17" t="s">
        <v>5644</v>
      </c>
      <c r="U819" s="179" t="s">
        <v>100</v>
      </c>
      <c r="V819" s="11" t="s">
        <v>4416</v>
      </c>
      <c r="W819" s="22" t="s">
        <v>5584</v>
      </c>
      <c r="X819" s="22" t="s">
        <v>5584</v>
      </c>
      <c r="Y819" s="22"/>
      <c r="Z819" s="7"/>
      <c r="AA819" s="7"/>
      <c r="AB819" s="23"/>
      <c r="AC819" s="26"/>
    </row>
    <row r="820" spans="1:30" ht="15.75" customHeight="1">
      <c r="A820" s="10" t="s">
        <v>5645</v>
      </c>
      <c r="B820" s="10" t="s">
        <v>4410</v>
      </c>
      <c r="C820" s="19" t="s">
        <v>4411</v>
      </c>
      <c r="D820" s="12"/>
      <c r="E820" s="13" t="s">
        <v>43</v>
      </c>
      <c r="F820" s="6" t="s">
        <v>5232</v>
      </c>
      <c r="G820" s="15" t="str">
        <f ca="1">IFERROR(__xludf.DUMMYFUNCTION("CONCATENATE(B820,(VLOOKUP(C820,CATALOGOS!$F$2:$H$6,3,FALSE)),(VLOOKUP(V820,CATALOGOS!$J$2:$K$18,2,FALSE)),""-"",TO_TEXT(A820))"),"P24CA-0819")</f>
        <v>P24CA-0819</v>
      </c>
      <c r="H820" s="6" t="str">
        <f ca="1">IFERROR(__xludf.DUMMYFUNCTION("CONCATENATE($B820,(VLOOKUP($C820,CATALOGOS!$F$2:$H$6,3,FALSE)),(VLOOKUP($V820,CATALOGOS!$J$2:$K$18,2,FALSE)),""-"",TO_TEXT($A820))"),"P24CA-0819")</f>
        <v>P24CA-0819</v>
      </c>
      <c r="I820" s="6"/>
      <c r="J820" s="6" t="s">
        <v>5646</v>
      </c>
      <c r="K820" s="6" t="s">
        <v>5647</v>
      </c>
      <c r="L820" s="6" t="s">
        <v>5648</v>
      </c>
      <c r="M820" s="6" t="s">
        <v>5649</v>
      </c>
      <c r="N820" s="17"/>
      <c r="O820" s="17"/>
      <c r="P820" s="17" t="str">
        <f t="shared" si="3"/>
        <v>OK</v>
      </c>
      <c r="Q820" s="17" t="s">
        <v>5538</v>
      </c>
      <c r="R820" s="6" t="s">
        <v>5539</v>
      </c>
      <c r="S820" s="6" t="s">
        <v>36</v>
      </c>
      <c r="T820" s="10" t="s">
        <v>5650</v>
      </c>
      <c r="U820" s="179" t="s">
        <v>517</v>
      </c>
      <c r="V820" s="11" t="s">
        <v>4416</v>
      </c>
      <c r="W820" s="22" t="s">
        <v>5584</v>
      </c>
      <c r="X820" s="22" t="s">
        <v>5584</v>
      </c>
      <c r="Y820" s="22"/>
      <c r="Z820" s="7"/>
      <c r="AA820" s="7"/>
      <c r="AB820" s="23"/>
      <c r="AC820" s="26"/>
    </row>
    <row r="821" spans="1:30" ht="15.75" customHeight="1">
      <c r="A821" s="10" t="s">
        <v>5651</v>
      </c>
      <c r="B821" s="10" t="s">
        <v>4410</v>
      </c>
      <c r="C821" s="19" t="s">
        <v>4411</v>
      </c>
      <c r="D821" s="12"/>
      <c r="E821" s="13" t="s">
        <v>93</v>
      </c>
      <c r="F821" s="6" t="s">
        <v>5652</v>
      </c>
      <c r="G821" s="15" t="str">
        <f ca="1">IFERROR(__xludf.DUMMYFUNCTION("CONCATENATE(B821,(VLOOKUP(C821,CATALOGOS!$F$2:$H$6,3,FALSE)),(VLOOKUP(V821,CATALOGOS!$J$2:$K$18,2,FALSE)),""-"",TO_TEXT(A821))"),"P24CA-0820")</f>
        <v>P24CA-0820</v>
      </c>
      <c r="H821" s="6" t="str">
        <f ca="1">IFERROR(__xludf.DUMMYFUNCTION("CONCATENATE($B821,(VLOOKUP($C821,CATALOGOS!$F$2:$H$6,3,FALSE)),(VLOOKUP($V821,CATALOGOS!$J$2:$K$18,2,FALSE)),""-"",TO_TEXT($A821))"),"P24CA-0820")</f>
        <v>P24CA-0820</v>
      </c>
      <c r="I821" s="6"/>
      <c r="J821" s="6" t="s">
        <v>5653</v>
      </c>
      <c r="K821" s="6" t="s">
        <v>5654</v>
      </c>
      <c r="L821" s="6" t="s">
        <v>5655</v>
      </c>
      <c r="M821" s="6" t="s">
        <v>5656</v>
      </c>
      <c r="N821" s="17"/>
      <c r="O821" s="17"/>
      <c r="P821" s="17" t="str">
        <f t="shared" si="3"/>
        <v>OK</v>
      </c>
      <c r="Q821" s="17" t="s">
        <v>35</v>
      </c>
      <c r="R821" s="6" t="s">
        <v>35</v>
      </c>
      <c r="S821" s="17" t="s">
        <v>36</v>
      </c>
      <c r="T821" s="17" t="s">
        <v>5657</v>
      </c>
      <c r="U821" s="173" t="s">
        <v>38</v>
      </c>
      <c r="V821" s="11" t="s">
        <v>4416</v>
      </c>
      <c r="W821" s="22" t="s">
        <v>5584</v>
      </c>
      <c r="X821" s="22" t="s">
        <v>5584</v>
      </c>
      <c r="Y821" s="22"/>
      <c r="Z821" s="7"/>
      <c r="AA821" s="7"/>
      <c r="AB821" s="23"/>
      <c r="AC821" s="26"/>
    </row>
    <row r="822" spans="1:30" ht="15.75" customHeight="1">
      <c r="A822" s="10" t="s">
        <v>5658</v>
      </c>
      <c r="B822" s="10" t="s">
        <v>4410</v>
      </c>
      <c r="C822" s="19" t="s">
        <v>4411</v>
      </c>
      <c r="D822" s="12"/>
      <c r="E822" s="13" t="s">
        <v>162</v>
      </c>
      <c r="F822" s="43" t="s">
        <v>285</v>
      </c>
      <c r="G822" s="15" t="str">
        <f ca="1">IFERROR(__xludf.DUMMYFUNCTION("CONCATENATE(B822,(VLOOKUP(C822,CATALOGOS!$F$2:$H$6,3,FALSE)),(VLOOKUP(V822,CATALOGOS!$J$2:$K$18,2,FALSE)),""-"",TO_TEXT(A822))"),"P24CA-0821")</f>
        <v>P24CA-0821</v>
      </c>
      <c r="H822" s="6" t="str">
        <f ca="1">IFERROR(__xludf.DUMMYFUNCTION("CONCATENATE($B822,(VLOOKUP($C822,CATALOGOS!$F$2:$H$6,3,FALSE)),(VLOOKUP($V822,CATALOGOS!$J$2:$K$18,2,FALSE)),""-"",TO_TEXT($A822))"),"P24CA-0821")</f>
        <v>P24CA-0821</v>
      </c>
      <c r="I822" s="6"/>
      <c r="J822" s="6" t="s">
        <v>5659</v>
      </c>
      <c r="K822" s="6" t="s">
        <v>5660</v>
      </c>
      <c r="L822" s="6" t="s">
        <v>5661</v>
      </c>
      <c r="M822" s="6" t="s">
        <v>5662</v>
      </c>
      <c r="N822" s="17"/>
      <c r="O822" s="17"/>
      <c r="P822" s="17" t="str">
        <f t="shared" si="3"/>
        <v>OK</v>
      </c>
      <c r="Q822" s="17" t="s">
        <v>168</v>
      </c>
      <c r="R822" s="6" t="s">
        <v>169</v>
      </c>
      <c r="S822" s="17" t="s">
        <v>5663</v>
      </c>
      <c r="T822" s="17" t="s">
        <v>5664</v>
      </c>
      <c r="U822" s="179" t="s">
        <v>100</v>
      </c>
      <c r="V822" s="11" t="s">
        <v>4416</v>
      </c>
      <c r="W822" s="22" t="s">
        <v>5584</v>
      </c>
      <c r="X822" s="22" t="s">
        <v>5584</v>
      </c>
      <c r="Y822" s="22"/>
      <c r="Z822" s="7"/>
      <c r="AA822" s="7"/>
      <c r="AB822" s="23"/>
      <c r="AC822" s="26"/>
    </row>
    <row r="823" spans="1:30" ht="15.75" customHeight="1">
      <c r="A823" s="10" t="s">
        <v>5665</v>
      </c>
      <c r="B823" s="10" t="s">
        <v>4410</v>
      </c>
      <c r="C823" s="19" t="s">
        <v>4411</v>
      </c>
      <c r="D823" s="12"/>
      <c r="E823" s="13" t="s">
        <v>248</v>
      </c>
      <c r="F823" s="43" t="s">
        <v>248</v>
      </c>
      <c r="G823" s="15" t="str">
        <f ca="1">IFERROR(__xludf.DUMMYFUNCTION("CONCATENATE(B823,(VLOOKUP(C823,CATALOGOS!$F$2:$H$6,3,FALSE)),(VLOOKUP(V823,CATALOGOS!$J$2:$K$18,2,FALSE)),""-"",TO_TEXT(A823))"),"P24CA-0822")</f>
        <v>P24CA-0822</v>
      </c>
      <c r="H823" s="6" t="str">
        <f ca="1">IFERROR(__xludf.DUMMYFUNCTION("CONCATENATE($B823,(VLOOKUP($C823,CATALOGOS!$F$2:$H$6,3,FALSE)),(VLOOKUP($V823,CATALOGOS!$J$2:$K$18,2,FALSE)),""-"",TO_TEXT($A823))"),"P24CA-0822")</f>
        <v>P24CA-0822</v>
      </c>
      <c r="I823" s="6"/>
      <c r="J823" s="6" t="s">
        <v>5666</v>
      </c>
      <c r="K823" s="6" t="s">
        <v>5667</v>
      </c>
      <c r="L823" s="6" t="s">
        <v>5668</v>
      </c>
      <c r="M823" s="6" t="s">
        <v>5669</v>
      </c>
      <c r="N823" s="17"/>
      <c r="O823" s="17"/>
      <c r="P823" s="17" t="str">
        <f t="shared" si="3"/>
        <v>OK</v>
      </c>
      <c r="Q823" s="17" t="s">
        <v>978</v>
      </c>
      <c r="R823" s="6" t="s">
        <v>979</v>
      </c>
      <c r="S823" s="17" t="s">
        <v>5670</v>
      </c>
      <c r="T823" s="17" t="s">
        <v>5671</v>
      </c>
      <c r="U823" s="173" t="s">
        <v>38</v>
      </c>
      <c r="V823" s="11" t="s">
        <v>4416</v>
      </c>
      <c r="W823" s="22" t="s">
        <v>5584</v>
      </c>
      <c r="X823" s="22" t="s">
        <v>5584</v>
      </c>
      <c r="Y823" s="22"/>
      <c r="Z823" s="7"/>
      <c r="AA823" s="7"/>
      <c r="AB823" s="23"/>
      <c r="AC823" s="26"/>
    </row>
    <row r="824" spans="1:30" ht="15.75" customHeight="1">
      <c r="A824" s="10" t="s">
        <v>5672</v>
      </c>
      <c r="B824" s="10" t="s">
        <v>4410</v>
      </c>
      <c r="C824" s="19" t="s">
        <v>4411</v>
      </c>
      <c r="D824" s="12"/>
      <c r="E824" s="13" t="s">
        <v>199</v>
      </c>
      <c r="F824" s="6" t="s">
        <v>199</v>
      </c>
      <c r="G824" s="15" t="str">
        <f ca="1">IFERROR(__xludf.DUMMYFUNCTION("CONCATENATE(B824,(VLOOKUP(C824,CATALOGOS!$F$2:$H$6,3,FALSE)),(VLOOKUP(V824,CATALOGOS!$J$2:$K$18,2,FALSE)),""-"",TO_TEXT(A824))"),"P24CA-0823")</f>
        <v>P24CA-0823</v>
      </c>
      <c r="H824" s="6" t="str">
        <f ca="1">IFERROR(__xludf.DUMMYFUNCTION("CONCATENATE($B824,(VLOOKUP($C824,CATALOGOS!$F$2:$H$6,3,FALSE)),(VLOOKUP($V824,CATALOGOS!$J$2:$K$18,2,FALSE)),""-"",TO_TEXT($A824))"),"P24CA-0823")</f>
        <v>P24CA-0823</v>
      </c>
      <c r="I824" s="6"/>
      <c r="J824" s="6" t="s">
        <v>5673</v>
      </c>
      <c r="K824" s="6" t="s">
        <v>5674</v>
      </c>
      <c r="L824" s="36"/>
      <c r="M824" s="6" t="s">
        <v>5675</v>
      </c>
      <c r="N824" s="17"/>
      <c r="O824" s="17"/>
      <c r="P824" s="17" t="str">
        <f t="shared" si="3"/>
        <v>OK</v>
      </c>
      <c r="Q824" s="17" t="s">
        <v>273</v>
      </c>
      <c r="R824" s="6" t="s">
        <v>274</v>
      </c>
      <c r="S824" s="6">
        <v>11392903012333</v>
      </c>
      <c r="T824" s="10" t="s">
        <v>85</v>
      </c>
      <c r="U824" s="173" t="s">
        <v>38</v>
      </c>
      <c r="V824" s="11" t="s">
        <v>4416</v>
      </c>
      <c r="W824" s="22" t="s">
        <v>5584</v>
      </c>
      <c r="X824" s="22" t="s">
        <v>5584</v>
      </c>
      <c r="Y824" s="22"/>
      <c r="Z824" s="6"/>
      <c r="AA824" s="6"/>
      <c r="AB824" s="41" t="s">
        <v>92</v>
      </c>
      <c r="AC824" s="42">
        <v>44348</v>
      </c>
      <c r="AD824" s="8" t="s">
        <v>276</v>
      </c>
    </row>
    <row r="825" spans="1:30" ht="15.75" customHeight="1">
      <c r="A825" s="10" t="s">
        <v>5676</v>
      </c>
      <c r="B825" s="10" t="s">
        <v>4410</v>
      </c>
      <c r="C825" s="19" t="s">
        <v>4411</v>
      </c>
      <c r="D825" s="12"/>
      <c r="E825" s="13" t="s">
        <v>151</v>
      </c>
      <c r="F825" s="6" t="s">
        <v>2236</v>
      </c>
      <c r="G825" s="15" t="str">
        <f ca="1">IFERROR(__xludf.DUMMYFUNCTION("CONCATENATE(B825,(VLOOKUP(C825,CATALOGOS!$F$2:$H$6,3,FALSE)),(VLOOKUP(V825,CATALOGOS!$J$2:$K$18,2,FALSE)),""-"",TO_TEXT(A825))"),"P24CA-0824")</f>
        <v>P24CA-0824</v>
      </c>
      <c r="H825" s="6" t="str">
        <f ca="1">IFERROR(__xludf.DUMMYFUNCTION("CONCATENATE($B825,(VLOOKUP($C825,CATALOGOS!$F$2:$H$6,3,FALSE)),(VLOOKUP($V825,CATALOGOS!$J$2:$K$18,2,FALSE)),""-"",TO_TEXT($A825))"),"P24CA-0824")</f>
        <v>P24CA-0824</v>
      </c>
      <c r="I825" s="6"/>
      <c r="J825" s="6" t="s">
        <v>5677</v>
      </c>
      <c r="K825" s="6" t="s">
        <v>5678</v>
      </c>
      <c r="L825" s="6" t="s">
        <v>5679</v>
      </c>
      <c r="M825" s="6" t="s">
        <v>5680</v>
      </c>
      <c r="N825" s="17"/>
      <c r="O825" s="17"/>
      <c r="P825" s="17" t="str">
        <f t="shared" si="3"/>
        <v>OK</v>
      </c>
      <c r="Q825" s="17" t="s">
        <v>1220</v>
      </c>
      <c r="R825" s="6" t="s">
        <v>720</v>
      </c>
      <c r="S825" s="17" t="s">
        <v>5681</v>
      </c>
      <c r="T825" s="17" t="s">
        <v>5682</v>
      </c>
      <c r="U825" s="173" t="s">
        <v>38</v>
      </c>
      <c r="V825" s="11" t="s">
        <v>4416</v>
      </c>
      <c r="W825" s="22" t="s">
        <v>5584</v>
      </c>
      <c r="X825" s="22" t="s">
        <v>5584</v>
      </c>
      <c r="Y825" s="22"/>
      <c r="Z825" s="7"/>
      <c r="AA825" s="7"/>
      <c r="AB825" s="23"/>
      <c r="AC825" s="26"/>
    </row>
    <row r="826" spans="1:30" ht="15.75" customHeight="1">
      <c r="A826" s="10" t="s">
        <v>5683</v>
      </c>
      <c r="B826" s="10" t="s">
        <v>4410</v>
      </c>
      <c r="C826" s="19" t="s">
        <v>4411</v>
      </c>
      <c r="D826" s="38"/>
      <c r="E826" s="13" t="s">
        <v>151</v>
      </c>
      <c r="F826" s="6" t="s">
        <v>4113</v>
      </c>
      <c r="G826" s="15" t="str">
        <f ca="1">IFERROR(__xludf.DUMMYFUNCTION("CONCATENATE(B826,(VLOOKUP(C826,CATALOGOS!$F$2:$H$6,3,FALSE)),(VLOOKUP(V826,CATALOGOS!$J$2:$K$18,2,FALSE)),""-"",TO_TEXT(A826))"),"P24CA-0825")</f>
        <v>P24CA-0825</v>
      </c>
      <c r="H826" s="6" t="str">
        <f ca="1">IFERROR(__xludf.DUMMYFUNCTION("CONCATENATE($B826,(VLOOKUP($C826,CATALOGOS!$F$2:$H$6,3,FALSE)),(VLOOKUP($V826,CATALOGOS!$J$2:$K$18,2,FALSE)),""-"",TO_TEXT($A826))"),"P24CA-0825")</f>
        <v>P24CA-0825</v>
      </c>
      <c r="I826" s="6"/>
      <c r="J826" s="6" t="s">
        <v>5684</v>
      </c>
      <c r="K826" s="6" t="s">
        <v>5685</v>
      </c>
      <c r="L826" s="36"/>
      <c r="M826" s="6" t="s">
        <v>5686</v>
      </c>
      <c r="N826" s="17"/>
      <c r="O826" s="17"/>
      <c r="P826" s="17" t="str">
        <f t="shared" si="3"/>
        <v>OK</v>
      </c>
      <c r="Q826" s="17" t="s">
        <v>297</v>
      </c>
      <c r="R826" s="6" t="s">
        <v>298</v>
      </c>
      <c r="S826" s="6" t="s">
        <v>5687</v>
      </c>
      <c r="T826" s="32" t="s">
        <v>85</v>
      </c>
      <c r="U826" s="173" t="s">
        <v>38</v>
      </c>
      <c r="V826" s="11" t="s">
        <v>4416</v>
      </c>
      <c r="W826" s="22" t="s">
        <v>5584</v>
      </c>
      <c r="X826" s="22" t="s">
        <v>5584</v>
      </c>
      <c r="Y826" s="22"/>
      <c r="Z826" s="6"/>
      <c r="AA826" s="6"/>
      <c r="AB826" s="73" t="s">
        <v>92</v>
      </c>
      <c r="AC826" s="42">
        <v>44348</v>
      </c>
      <c r="AD826" s="8">
        <v>0</v>
      </c>
    </row>
    <row r="827" spans="1:30" ht="29.25">
      <c r="A827" s="10" t="s">
        <v>5688</v>
      </c>
      <c r="B827" s="10" t="s">
        <v>4410</v>
      </c>
      <c r="C827" s="19" t="s">
        <v>4411</v>
      </c>
      <c r="D827" s="12"/>
      <c r="E827" s="13" t="s">
        <v>501</v>
      </c>
      <c r="F827" s="6" t="s">
        <v>5689</v>
      </c>
      <c r="G827" s="15" t="str">
        <f ca="1">IFERROR(__xludf.DUMMYFUNCTION("CONCATENATE(B827,(VLOOKUP(C827,CATALOGOS!$F$2:$H$6,3,FALSE)),(VLOOKUP(V827,CATALOGOS!$J$2:$K$18,2,FALSE)),""-"",TO_TEXT(A827))"),"P24NV-0826")</f>
        <v>P24NV-0826</v>
      </c>
      <c r="H827" s="6" t="str">
        <f ca="1">IFERROR(__xludf.DUMMYFUNCTION("CONCATENATE($B827,(VLOOKUP($C827,CATALOGOS!$F$2:$H$6,3,FALSE)),(VLOOKUP($V827,CATALOGOS!$J$2:$K$18,2,FALSE)),""-"",TO_TEXT($A827))"),"P24NV-0826")</f>
        <v>P24NV-0826</v>
      </c>
      <c r="I827" s="6"/>
      <c r="J827" s="6" t="s">
        <v>5690</v>
      </c>
      <c r="K827" s="6" t="s">
        <v>5691</v>
      </c>
      <c r="L827" s="6" t="s">
        <v>5692</v>
      </c>
      <c r="M827" s="80" t="s">
        <v>5693</v>
      </c>
      <c r="N827" s="17"/>
      <c r="O827" s="17"/>
      <c r="P827" s="17" t="str">
        <f t="shared" si="3"/>
        <v>OK</v>
      </c>
      <c r="Q827" s="17" t="s">
        <v>35</v>
      </c>
      <c r="R827" s="6" t="s">
        <v>35</v>
      </c>
      <c r="S827" s="17" t="s">
        <v>36</v>
      </c>
      <c r="T827" s="17" t="s">
        <v>5694</v>
      </c>
      <c r="U827" s="173" t="s">
        <v>38</v>
      </c>
      <c r="V827" s="181" t="s">
        <v>5695</v>
      </c>
      <c r="W827" s="22" t="s">
        <v>5696</v>
      </c>
      <c r="X827" s="22" t="s">
        <v>5696</v>
      </c>
      <c r="Y827" s="22"/>
      <c r="Z827" s="7"/>
      <c r="AA827" s="7"/>
      <c r="AB827" s="23"/>
      <c r="AC827" s="26"/>
    </row>
    <row r="828" spans="1:30" ht="15.75" customHeight="1">
      <c r="A828" s="10" t="s">
        <v>5697</v>
      </c>
      <c r="B828" s="10" t="s">
        <v>4410</v>
      </c>
      <c r="C828" s="19" t="s">
        <v>4411</v>
      </c>
      <c r="D828" s="12"/>
      <c r="E828" s="13" t="s">
        <v>378</v>
      </c>
      <c r="F828" s="43" t="s">
        <v>1450</v>
      </c>
      <c r="G828" s="15" t="str">
        <f ca="1">IFERROR(__xludf.DUMMYFUNCTION("CONCATENATE(B828,(VLOOKUP(C828,CATALOGOS!$F$2:$H$6,3,FALSE)),(VLOOKUP(V828,CATALOGOS!$J$2:$K$18,2,FALSE)),""-"",TO_TEXT(A828))"),"P24NV-0827")</f>
        <v>P24NV-0827</v>
      </c>
      <c r="H828" s="6" t="str">
        <f ca="1">IFERROR(__xludf.DUMMYFUNCTION("CONCATENATE($B828,(VLOOKUP($C828,CATALOGOS!$F$2:$H$6,3,FALSE)),(VLOOKUP($V828,CATALOGOS!$J$2:$K$18,2,FALSE)),""-"",TO_TEXT($A828))"),"P24NV-0827")</f>
        <v>P24NV-0827</v>
      </c>
      <c r="I828" s="6"/>
      <c r="J828" s="6" t="s">
        <v>5698</v>
      </c>
      <c r="K828" s="6" t="s">
        <v>5699</v>
      </c>
      <c r="L828" s="6" t="s">
        <v>5700</v>
      </c>
      <c r="M828" s="6" t="s">
        <v>5701</v>
      </c>
      <c r="N828" s="17"/>
      <c r="O828" s="17"/>
      <c r="P828" s="17" t="str">
        <f t="shared" si="3"/>
        <v>OK</v>
      </c>
      <c r="Q828" s="17" t="s">
        <v>35</v>
      </c>
      <c r="R828" s="6" t="s">
        <v>35</v>
      </c>
      <c r="S828" s="17" t="s">
        <v>36</v>
      </c>
      <c r="T828" s="17" t="s">
        <v>5702</v>
      </c>
      <c r="U828" s="173" t="s">
        <v>38</v>
      </c>
      <c r="V828" s="181" t="s">
        <v>5695</v>
      </c>
      <c r="W828" s="22" t="s">
        <v>5696</v>
      </c>
      <c r="X828" s="22" t="s">
        <v>5696</v>
      </c>
      <c r="Y828" s="22"/>
      <c r="Z828" s="7"/>
      <c r="AA828" s="7"/>
      <c r="AB828" s="23"/>
      <c r="AC828" s="26"/>
    </row>
    <row r="829" spans="1:30" ht="15.75" customHeight="1">
      <c r="A829" s="10" t="s">
        <v>5703</v>
      </c>
      <c r="B829" s="10" t="s">
        <v>4410</v>
      </c>
      <c r="C829" s="19" t="s">
        <v>4411</v>
      </c>
      <c r="D829" s="12"/>
      <c r="E829" s="13" t="s">
        <v>116</v>
      </c>
      <c r="F829" s="6" t="s">
        <v>364</v>
      </c>
      <c r="G829" s="15" t="str">
        <f ca="1">IFERROR(__xludf.DUMMYFUNCTION("CONCATENATE(B829,(VLOOKUP(C829,CATALOGOS!$F$2:$H$6,3,FALSE)),(VLOOKUP(V829,CATALOGOS!$J$2:$K$18,2,FALSE)),""-"",TO_TEXT(A829))"),"P24NV-0828")</f>
        <v>P24NV-0828</v>
      </c>
      <c r="H829" s="6" t="str">
        <f ca="1">IFERROR(__xludf.DUMMYFUNCTION("CONCATENATE($B829,(VLOOKUP($C829,CATALOGOS!$F$2:$H$6,3,FALSE)),(VLOOKUP($V829,CATALOGOS!$J$2:$K$18,2,FALSE)),""-"",TO_TEXT($A829))"),"P24NV-0828")</f>
        <v>P24NV-0828</v>
      </c>
      <c r="I829" s="6"/>
      <c r="J829" s="6" t="s">
        <v>5704</v>
      </c>
      <c r="K829" s="6" t="s">
        <v>5705</v>
      </c>
      <c r="L829" s="6" t="s">
        <v>5706</v>
      </c>
      <c r="M829" s="6" t="s">
        <v>5707</v>
      </c>
      <c r="N829" s="17"/>
      <c r="O829" s="17"/>
      <c r="P829" s="17" t="str">
        <f t="shared" si="3"/>
        <v>OK</v>
      </c>
      <c r="Q829" s="17" t="s">
        <v>35</v>
      </c>
      <c r="R829" s="6" t="s">
        <v>35</v>
      </c>
      <c r="S829" s="17" t="s">
        <v>36</v>
      </c>
      <c r="T829" s="17" t="s">
        <v>5708</v>
      </c>
      <c r="U829" s="173" t="s">
        <v>38</v>
      </c>
      <c r="V829" s="181" t="s">
        <v>5695</v>
      </c>
      <c r="W829" s="22" t="s">
        <v>5696</v>
      </c>
      <c r="X829" s="22" t="s">
        <v>5696</v>
      </c>
      <c r="Y829" s="22"/>
      <c r="Z829" s="7"/>
      <c r="AA829" s="7"/>
      <c r="AB829" s="23"/>
      <c r="AC829" s="26"/>
    </row>
    <row r="830" spans="1:30" ht="15.75" customHeight="1">
      <c r="A830" s="10" t="s">
        <v>5709</v>
      </c>
      <c r="B830" s="10" t="s">
        <v>4410</v>
      </c>
      <c r="C830" s="19" t="s">
        <v>4411</v>
      </c>
      <c r="D830" s="12"/>
      <c r="E830" s="13" t="s">
        <v>248</v>
      </c>
      <c r="F830" s="43" t="s">
        <v>248</v>
      </c>
      <c r="G830" s="15" t="str">
        <f ca="1">IFERROR(__xludf.DUMMYFUNCTION("CONCATENATE(B830,(VLOOKUP(C830,CATALOGOS!$F$2:$H$6,3,FALSE)),(VLOOKUP(V830,CATALOGOS!$J$2:$K$18,2,FALSE)),""-"",TO_TEXT(A830))"),"P24NV-0829")</f>
        <v>P24NV-0829</v>
      </c>
      <c r="H830" s="6" t="str">
        <f ca="1">IFERROR(__xludf.DUMMYFUNCTION("CONCATENATE($B830,(VLOOKUP($C830,CATALOGOS!$F$2:$H$6,3,FALSE)),(VLOOKUP($V830,CATALOGOS!$J$2:$K$18,2,FALSE)),""-"",TO_TEXT($A830))"),"P24NV-0829")</f>
        <v>P24NV-0829</v>
      </c>
      <c r="I830" s="6"/>
      <c r="J830" s="6" t="s">
        <v>5710</v>
      </c>
      <c r="K830" s="6" t="s">
        <v>5711</v>
      </c>
      <c r="L830" s="6" t="s">
        <v>5712</v>
      </c>
      <c r="M830" s="6" t="s">
        <v>5713</v>
      </c>
      <c r="N830" s="17"/>
      <c r="O830" s="17"/>
      <c r="P830" s="17" t="str">
        <f t="shared" si="3"/>
        <v>OK</v>
      </c>
      <c r="Q830" s="17" t="s">
        <v>978</v>
      </c>
      <c r="R830" s="6" t="s">
        <v>979</v>
      </c>
      <c r="S830" s="17" t="s">
        <v>5714</v>
      </c>
      <c r="T830" s="17" t="s">
        <v>5715</v>
      </c>
      <c r="U830" s="173" t="s">
        <v>38</v>
      </c>
      <c r="V830" s="181" t="s">
        <v>5695</v>
      </c>
      <c r="W830" s="22" t="s">
        <v>5696</v>
      </c>
      <c r="X830" s="22" t="s">
        <v>5696</v>
      </c>
      <c r="Y830" s="22"/>
      <c r="Z830" s="7"/>
      <c r="AA830" s="7"/>
      <c r="AB830" s="23"/>
      <c r="AC830" s="26"/>
    </row>
    <row r="831" spans="1:30" ht="15.75" customHeight="1">
      <c r="A831" s="10" t="s">
        <v>5716</v>
      </c>
      <c r="B831" s="10" t="s">
        <v>4410</v>
      </c>
      <c r="C831" s="19" t="s">
        <v>4411</v>
      </c>
      <c r="D831" s="12"/>
      <c r="E831" s="13" t="s">
        <v>199</v>
      </c>
      <c r="F831" s="6" t="s">
        <v>199</v>
      </c>
      <c r="G831" s="15" t="str">
        <f ca="1">IFERROR(__xludf.DUMMYFUNCTION("CONCATENATE(B831,(VLOOKUP(C831,CATALOGOS!$F$2:$H$6,3,FALSE)),(VLOOKUP(V831,CATALOGOS!$J$2:$K$18,2,FALSE)),""-"",TO_TEXT(A831))"),"P24NV-0830")</f>
        <v>P24NV-0830</v>
      </c>
      <c r="H831" s="6" t="str">
        <f ca="1">IFERROR(__xludf.DUMMYFUNCTION("CONCATENATE($B831,(VLOOKUP($C831,CATALOGOS!$F$2:$H$6,3,FALSE)),(VLOOKUP($V831,CATALOGOS!$J$2:$K$18,2,FALSE)),""-"",TO_TEXT($A831))"),"P24NV-0830")</f>
        <v>P24NV-0830</v>
      </c>
      <c r="I831" s="6"/>
      <c r="J831" s="6" t="s">
        <v>5717</v>
      </c>
      <c r="K831" s="6" t="s">
        <v>5718</v>
      </c>
      <c r="L831" s="37"/>
      <c r="M831" s="6" t="s">
        <v>5719</v>
      </c>
      <c r="N831" s="17"/>
      <c r="O831" s="17"/>
      <c r="P831" s="17" t="str">
        <f t="shared" si="3"/>
        <v>OK</v>
      </c>
      <c r="Q831" s="17" t="s">
        <v>273</v>
      </c>
      <c r="R831" s="6" t="s">
        <v>274</v>
      </c>
      <c r="S831" s="6">
        <v>11392903012346</v>
      </c>
      <c r="T831" s="10" t="s">
        <v>85</v>
      </c>
      <c r="U831" s="173" t="s">
        <v>38</v>
      </c>
      <c r="V831" s="181" t="s">
        <v>5695</v>
      </c>
      <c r="W831" s="22" t="s">
        <v>5696</v>
      </c>
      <c r="X831" s="22" t="s">
        <v>5696</v>
      </c>
      <c r="Y831" s="22"/>
      <c r="Z831" s="6"/>
      <c r="AA831" s="6"/>
      <c r="AB831" s="41" t="s">
        <v>92</v>
      </c>
      <c r="AC831" s="42">
        <v>44348</v>
      </c>
      <c r="AD831" s="8" t="s">
        <v>276</v>
      </c>
    </row>
    <row r="832" spans="1:30" ht="15.75" customHeight="1">
      <c r="A832" s="10" t="s">
        <v>5720</v>
      </c>
      <c r="B832" s="10" t="s">
        <v>4410</v>
      </c>
      <c r="C832" s="19" t="s">
        <v>4411</v>
      </c>
      <c r="D832" s="12"/>
      <c r="E832" s="13" t="s">
        <v>151</v>
      </c>
      <c r="F832" s="6" t="s">
        <v>714</v>
      </c>
      <c r="G832" s="15" t="str">
        <f ca="1">IFERROR(__xludf.DUMMYFUNCTION("CONCATENATE(B832,(VLOOKUP(C832,CATALOGOS!$F$2:$H$6,3,FALSE)),(VLOOKUP(V832,CATALOGOS!$J$2:$K$18,2,FALSE)),""-"",TO_TEXT(A832))"),"P24NV-0831")</f>
        <v>P24NV-0831</v>
      </c>
      <c r="H832" s="6" t="str">
        <f ca="1">IFERROR(__xludf.DUMMYFUNCTION("CONCATENATE($B832,(VLOOKUP($C832,CATALOGOS!$F$2:$H$6,3,FALSE)),(VLOOKUP($V832,CATALOGOS!$J$2:$K$18,2,FALSE)),""-"",TO_TEXT($A832))"),"P24NV-0831")</f>
        <v>P24NV-0831</v>
      </c>
      <c r="I832" s="6"/>
      <c r="J832" s="6" t="s">
        <v>5721</v>
      </c>
      <c r="K832" s="6" t="s">
        <v>5722</v>
      </c>
      <c r="L832" s="37"/>
      <c r="M832" s="6" t="s">
        <v>5723</v>
      </c>
      <c r="N832" s="17"/>
      <c r="O832" s="17"/>
      <c r="P832" s="17" t="str">
        <f t="shared" si="3"/>
        <v>OK</v>
      </c>
      <c r="Q832" s="17" t="s">
        <v>297</v>
      </c>
      <c r="R832" s="6" t="s">
        <v>298</v>
      </c>
      <c r="S832" s="6" t="s">
        <v>5724</v>
      </c>
      <c r="T832" s="10" t="s">
        <v>85</v>
      </c>
      <c r="U832" s="173" t="s">
        <v>38</v>
      </c>
      <c r="V832" s="181" t="s">
        <v>5695</v>
      </c>
      <c r="W832" s="22" t="s">
        <v>5696</v>
      </c>
      <c r="X832" s="22" t="s">
        <v>5696</v>
      </c>
      <c r="Y832" s="22"/>
      <c r="Z832" s="6"/>
      <c r="AA832" s="6"/>
      <c r="AB832" s="41" t="s">
        <v>92</v>
      </c>
      <c r="AC832" s="42">
        <v>44348</v>
      </c>
      <c r="AD832" s="8">
        <v>0</v>
      </c>
    </row>
    <row r="833" spans="1:29" ht="15.75" customHeight="1">
      <c r="A833" s="10" t="s">
        <v>5725</v>
      </c>
      <c r="B833" s="10" t="s">
        <v>4410</v>
      </c>
      <c r="C833" s="19" t="s">
        <v>4411</v>
      </c>
      <c r="D833" s="38"/>
      <c r="E833" s="13" t="s">
        <v>43</v>
      </c>
      <c r="F833" s="43" t="s">
        <v>315</v>
      </c>
      <c r="G833" s="15" t="str">
        <f ca="1">IFERROR(__xludf.DUMMYFUNCTION("CONCATENATE(B833,(VLOOKUP(C833,CATALOGOS!$F$2:$H$6,3,FALSE)),(VLOOKUP(V833,CATALOGOS!$J$2:$K$18,2,FALSE)),""-"",TO_TEXT(A833))"),"P24NV-0832")</f>
        <v>P24NV-0832</v>
      </c>
      <c r="H833" s="6" t="str">
        <f ca="1">IFERROR(__xludf.DUMMYFUNCTION("CONCATENATE($B833,(VLOOKUP($C833,CATALOGOS!$F$2:$H$6,3,FALSE)),(VLOOKUP($V833,CATALOGOS!$J$2:$K$18,2,FALSE)),""-"",TO_TEXT($A833))"),"P24NV-0832")</f>
        <v>P24NV-0832</v>
      </c>
      <c r="I833" s="6"/>
      <c r="J833" s="6" t="s">
        <v>5726</v>
      </c>
      <c r="K833" s="6" t="s">
        <v>5727</v>
      </c>
      <c r="L833" s="6" t="s">
        <v>5728</v>
      </c>
      <c r="M833" s="6" t="s">
        <v>5729</v>
      </c>
      <c r="N833" s="17"/>
      <c r="O833" s="17"/>
      <c r="P833" s="17" t="str">
        <f t="shared" si="3"/>
        <v>OK</v>
      </c>
      <c r="Q833" s="17" t="s">
        <v>2586</v>
      </c>
      <c r="R833" s="6" t="s">
        <v>5730</v>
      </c>
      <c r="S833" s="46" t="s">
        <v>36</v>
      </c>
      <c r="T833" s="17" t="s">
        <v>5731</v>
      </c>
      <c r="U833" s="179" t="s">
        <v>100</v>
      </c>
      <c r="V833" s="181" t="s">
        <v>5695</v>
      </c>
      <c r="W833" s="22" t="s">
        <v>5696</v>
      </c>
      <c r="X833" s="22" t="s">
        <v>5696</v>
      </c>
      <c r="Y833" s="22"/>
      <c r="Z833" s="7"/>
      <c r="AA833" s="7"/>
      <c r="AB833" s="26"/>
      <c r="AC833" s="26"/>
    </row>
    <row r="834" spans="1:29" ht="15.75" customHeight="1">
      <c r="A834" s="10" t="s">
        <v>5732</v>
      </c>
      <c r="B834" s="10" t="s">
        <v>474</v>
      </c>
      <c r="C834" s="11" t="s">
        <v>28</v>
      </c>
      <c r="D834" s="12"/>
      <c r="E834" s="13" t="s">
        <v>93</v>
      </c>
      <c r="F834" s="6" t="s">
        <v>5733</v>
      </c>
      <c r="G834" s="6" t="str">
        <f ca="1">IFERROR(__xludf.DUMMYFUNCTION("CONCATENATE(B834,(VLOOKUP(C834,CATALOGOS!$F$2:$H$6,3,FALSE)),(VLOOKUP(V834,CATALOGOS!$J$2:$K$18,2,FALSE)),""-"",TO_TEXT(A834))"),"P35DA-0833")</f>
        <v>P35DA-0833</v>
      </c>
      <c r="H834" s="6" t="str">
        <f ca="1">IFERROR(__xludf.DUMMYFUNCTION("CONCATENATE($B834,(VLOOKUP($C834,CATALOGOS!$F$2:$H$6,3,FALSE)),(VLOOKUP($V834,CATALOGOS!$J$2:$K$18,2,FALSE)),""-"",TO_TEXT($A834))"),"P35DA-0833")</f>
        <v>P35DA-0833</v>
      </c>
      <c r="I834" s="6"/>
      <c r="J834" s="6" t="s">
        <v>5734</v>
      </c>
      <c r="K834" s="6" t="s">
        <v>5735</v>
      </c>
      <c r="L834" s="6" t="s">
        <v>5736</v>
      </c>
      <c r="M834" s="6" t="s">
        <v>5737</v>
      </c>
      <c r="N834" s="17"/>
      <c r="O834" s="17"/>
      <c r="P834" s="17" t="str">
        <f t="shared" si="3"/>
        <v>OK</v>
      </c>
      <c r="Q834" s="17" t="s">
        <v>35</v>
      </c>
      <c r="R834" s="6" t="s">
        <v>35</v>
      </c>
      <c r="S834" s="17" t="s">
        <v>36</v>
      </c>
      <c r="T834" s="17" t="s">
        <v>5738</v>
      </c>
      <c r="U834" s="173" t="s">
        <v>38</v>
      </c>
      <c r="V834" s="11" t="s">
        <v>28</v>
      </c>
      <c r="W834" s="22" t="s">
        <v>40</v>
      </c>
      <c r="X834" s="22" t="s">
        <v>40</v>
      </c>
      <c r="Y834" s="22"/>
      <c r="Z834" s="7"/>
      <c r="AA834" s="7"/>
      <c r="AB834" s="23"/>
      <c r="AC834" s="26"/>
    </row>
    <row r="835" spans="1:29" ht="15.75" customHeight="1">
      <c r="A835" s="10" t="s">
        <v>5739</v>
      </c>
      <c r="B835" s="10" t="s">
        <v>474</v>
      </c>
      <c r="C835" s="11" t="s">
        <v>28</v>
      </c>
      <c r="D835" s="12"/>
      <c r="E835" s="13" t="s">
        <v>93</v>
      </c>
      <c r="F835" s="6" t="s">
        <v>5740</v>
      </c>
      <c r="G835" s="6" t="str">
        <f ca="1">IFERROR(__xludf.DUMMYFUNCTION("CONCATENATE(B835,(VLOOKUP(C835,CATALOGOS!$F$2:$H$6,3,FALSE)),(VLOOKUP(V835,CATALOGOS!$J$2:$K$18,2,FALSE)),""-"",TO_TEXT(A835))"),"P35DA-0834")</f>
        <v>P35DA-0834</v>
      </c>
      <c r="H835" s="6" t="str">
        <f ca="1">IFERROR(__xludf.DUMMYFUNCTION("CONCATENATE($B835,(VLOOKUP($C835,CATALOGOS!$F$2:$H$6,3,FALSE)),(VLOOKUP($V835,CATALOGOS!$J$2:$K$18,2,FALSE)),""-"",TO_TEXT($A835))"),"P35DA-0834")</f>
        <v>P35DA-0834</v>
      </c>
      <c r="I835" s="6"/>
      <c r="J835" s="6" t="s">
        <v>5741</v>
      </c>
      <c r="K835" s="6" t="s">
        <v>5742</v>
      </c>
      <c r="L835" s="36"/>
      <c r="M835" s="6" t="s">
        <v>141</v>
      </c>
      <c r="N835" s="17"/>
      <c r="O835" s="17"/>
      <c r="P835" s="17" t="str">
        <f t="shared" si="3"/>
        <v>REPETIDO</v>
      </c>
      <c r="Q835" s="35" t="s">
        <v>35</v>
      </c>
      <c r="R835" s="6" t="s">
        <v>35</v>
      </c>
      <c r="S835" s="10" t="s">
        <v>36</v>
      </c>
      <c r="T835" s="32" t="s">
        <v>85</v>
      </c>
      <c r="U835" s="173" t="s">
        <v>38</v>
      </c>
      <c r="V835" s="11" t="s">
        <v>28</v>
      </c>
      <c r="W835" s="22" t="s">
        <v>40</v>
      </c>
      <c r="X835" s="22" t="s">
        <v>40</v>
      </c>
      <c r="Y835" s="22"/>
      <c r="Z835" s="7"/>
      <c r="AA835" s="7"/>
      <c r="AB835" s="23"/>
      <c r="AC835" s="26"/>
    </row>
    <row r="836" spans="1:29" ht="15.75" customHeight="1">
      <c r="A836" s="10" t="s">
        <v>5743</v>
      </c>
      <c r="B836" s="10" t="s">
        <v>474</v>
      </c>
      <c r="C836" s="11" t="s">
        <v>28</v>
      </c>
      <c r="D836" s="12"/>
      <c r="E836" s="13" t="s">
        <v>93</v>
      </c>
      <c r="F836" s="6" t="s">
        <v>5740</v>
      </c>
      <c r="G836" s="6" t="str">
        <f ca="1">IFERROR(__xludf.DUMMYFUNCTION("CONCATENATE(B836,(VLOOKUP(C836,CATALOGOS!$F$2:$H$6,3,FALSE)),(VLOOKUP(V836,CATALOGOS!$J$2:$K$18,2,FALSE)),""-"",TO_TEXT(A836))"),"P35DA-0835")</f>
        <v>P35DA-0835</v>
      </c>
      <c r="H836" s="6" t="str">
        <f ca="1">IFERROR(__xludf.DUMMYFUNCTION("CONCATENATE($B836,(VLOOKUP($C836,CATALOGOS!$F$2:$H$6,3,FALSE)),(VLOOKUP($V836,CATALOGOS!$J$2:$K$18,2,FALSE)),""-"",TO_TEXT($A836))"),"P35DA-0835")</f>
        <v>P35DA-0835</v>
      </c>
      <c r="I836" s="6"/>
      <c r="J836" s="6" t="s">
        <v>5744</v>
      </c>
      <c r="K836" s="6" t="s">
        <v>5745</v>
      </c>
      <c r="L836" s="36"/>
      <c r="M836" s="6" t="s">
        <v>141</v>
      </c>
      <c r="N836" s="17"/>
      <c r="O836" s="17"/>
      <c r="P836" s="17" t="str">
        <f t="shared" si="3"/>
        <v>REPETIDO</v>
      </c>
      <c r="Q836" s="35" t="s">
        <v>35</v>
      </c>
      <c r="R836" s="6" t="s">
        <v>35</v>
      </c>
      <c r="S836" s="10" t="s">
        <v>36</v>
      </c>
      <c r="T836" s="32" t="s">
        <v>85</v>
      </c>
      <c r="U836" s="173" t="s">
        <v>38</v>
      </c>
      <c r="V836" s="11" t="s">
        <v>28</v>
      </c>
      <c r="W836" s="22" t="s">
        <v>40</v>
      </c>
      <c r="X836" s="22" t="s">
        <v>40</v>
      </c>
      <c r="Y836" s="22"/>
      <c r="Z836" s="7"/>
      <c r="AA836" s="7"/>
      <c r="AB836" s="23"/>
      <c r="AC836" s="26"/>
    </row>
    <row r="837" spans="1:29" ht="15.75" customHeight="1">
      <c r="A837" s="10" t="s">
        <v>5746</v>
      </c>
      <c r="B837" s="10" t="s">
        <v>474</v>
      </c>
      <c r="C837" s="11" t="s">
        <v>28</v>
      </c>
      <c r="D837" s="12"/>
      <c r="E837" s="13" t="s">
        <v>93</v>
      </c>
      <c r="F837" s="6" t="s">
        <v>5740</v>
      </c>
      <c r="G837" s="6" t="str">
        <f ca="1">IFERROR(__xludf.DUMMYFUNCTION("CONCATENATE(B837,(VLOOKUP(C837,CATALOGOS!$F$2:$H$6,3,FALSE)),(VLOOKUP(V837,CATALOGOS!$J$2:$K$18,2,FALSE)),""-"",TO_TEXT(A837))"),"P35DA-0836")</f>
        <v>P35DA-0836</v>
      </c>
      <c r="H837" s="6" t="str">
        <f ca="1">IFERROR(__xludf.DUMMYFUNCTION("CONCATENATE($B837,(VLOOKUP($C837,CATALOGOS!$F$2:$H$6,3,FALSE)),(VLOOKUP($V837,CATALOGOS!$J$2:$K$18,2,FALSE)),""-"",TO_TEXT($A837))"),"P35DA-0836")</f>
        <v>P35DA-0836</v>
      </c>
      <c r="I837" s="6"/>
      <c r="J837" s="6" t="s">
        <v>5747</v>
      </c>
      <c r="K837" s="6" t="s">
        <v>5748</v>
      </c>
      <c r="L837" s="6" t="s">
        <v>5749</v>
      </c>
      <c r="M837" s="6" t="s">
        <v>5750</v>
      </c>
      <c r="N837" s="17"/>
      <c r="O837" s="17"/>
      <c r="P837" s="17" t="str">
        <f t="shared" si="3"/>
        <v>OK</v>
      </c>
      <c r="Q837" s="17" t="s">
        <v>35</v>
      </c>
      <c r="R837" s="6" t="s">
        <v>35</v>
      </c>
      <c r="S837" s="17" t="s">
        <v>36</v>
      </c>
      <c r="T837" s="17" t="s">
        <v>5751</v>
      </c>
      <c r="U837" s="173" t="s">
        <v>38</v>
      </c>
      <c r="V837" s="11" t="s">
        <v>28</v>
      </c>
      <c r="W837" s="22" t="s">
        <v>40</v>
      </c>
      <c r="X837" s="22" t="s">
        <v>40</v>
      </c>
      <c r="Y837" s="22"/>
      <c r="Z837" s="7"/>
      <c r="AA837" s="7"/>
      <c r="AB837" s="23"/>
      <c r="AC837" s="26"/>
    </row>
    <row r="838" spans="1:29" ht="15.75" customHeight="1">
      <c r="A838" s="10" t="s">
        <v>5752</v>
      </c>
      <c r="B838" s="10" t="s">
        <v>474</v>
      </c>
      <c r="C838" s="11" t="s">
        <v>28</v>
      </c>
      <c r="D838" s="12"/>
      <c r="E838" s="13" t="s">
        <v>378</v>
      </c>
      <c r="F838" s="43" t="s">
        <v>511</v>
      </c>
      <c r="G838" s="6" t="str">
        <f ca="1">IFERROR(__xludf.DUMMYFUNCTION("CONCATENATE(B838,(VLOOKUP(C838,CATALOGOS!$F$2:$H$6,3,FALSE)),(VLOOKUP(V838,CATALOGOS!$J$2:$K$18,2,FALSE)),""-"",TO_TEXT(A838))"),"P35DA-0837")</f>
        <v>P35DA-0837</v>
      </c>
      <c r="H838" s="6" t="str">
        <f ca="1">IFERROR(__xludf.DUMMYFUNCTION("CONCATENATE($B838,(VLOOKUP($C838,CATALOGOS!$F$2:$H$6,3,FALSE)),(VLOOKUP($V838,CATALOGOS!$J$2:$K$18,2,FALSE)),""-"",TO_TEXT($A838))"),"P35DA-0837")</f>
        <v>P35DA-0837</v>
      </c>
      <c r="I838" s="6"/>
      <c r="J838" s="6" t="s">
        <v>5753</v>
      </c>
      <c r="K838" s="6" t="s">
        <v>5754</v>
      </c>
      <c r="L838" s="6" t="s">
        <v>5755</v>
      </c>
      <c r="M838" s="6" t="s">
        <v>5756</v>
      </c>
      <c r="N838" s="17"/>
      <c r="O838" s="17"/>
      <c r="P838" s="17" t="str">
        <f t="shared" si="3"/>
        <v>OK</v>
      </c>
      <c r="Q838" s="17" t="s">
        <v>35</v>
      </c>
      <c r="R838" s="6" t="s">
        <v>35</v>
      </c>
      <c r="S838" s="17" t="s">
        <v>36</v>
      </c>
      <c r="T838" s="17" t="s">
        <v>5757</v>
      </c>
      <c r="U838" s="173" t="s">
        <v>517</v>
      </c>
      <c r="V838" s="11" t="s">
        <v>28</v>
      </c>
      <c r="W838" s="22" t="s">
        <v>40</v>
      </c>
      <c r="X838" s="22" t="s">
        <v>40</v>
      </c>
      <c r="Y838" s="22"/>
      <c r="Z838" s="7"/>
      <c r="AA838" s="7"/>
      <c r="AB838" s="23"/>
      <c r="AC838" s="26"/>
    </row>
    <row r="839" spans="1:29" ht="15.75" customHeight="1">
      <c r="A839" s="10" t="s">
        <v>5758</v>
      </c>
      <c r="B839" s="10" t="s">
        <v>474</v>
      </c>
      <c r="C839" s="11" t="s">
        <v>28</v>
      </c>
      <c r="D839" s="12"/>
      <c r="E839" s="13" t="s">
        <v>378</v>
      </c>
      <c r="F839" s="6" t="s">
        <v>511</v>
      </c>
      <c r="G839" s="6" t="str">
        <f ca="1">IFERROR(__xludf.DUMMYFUNCTION("CONCATENATE(B839,(VLOOKUP(C839,CATALOGOS!$F$2:$H$6,3,FALSE)),(VLOOKUP(V839,CATALOGOS!$J$2:$K$18,2,FALSE)),""-"",TO_TEXT(A839))"),"P35DA-0838")</f>
        <v>P35DA-0838</v>
      </c>
      <c r="H839" s="6" t="str">
        <f ca="1">IFERROR(__xludf.DUMMYFUNCTION("CONCATENATE($B839,(VLOOKUP($C839,CATALOGOS!$F$2:$H$6,3,FALSE)),(VLOOKUP($V839,CATALOGOS!$J$2:$K$18,2,FALSE)),""-"",TO_TEXT($A839))"),"P35DA-0838")</f>
        <v>P35DA-0838</v>
      </c>
      <c r="I839" s="6"/>
      <c r="J839" s="6" t="s">
        <v>5759</v>
      </c>
      <c r="K839" s="6" t="s">
        <v>5760</v>
      </c>
      <c r="L839" s="6" t="s">
        <v>5761</v>
      </c>
      <c r="M839" s="6" t="s">
        <v>5762</v>
      </c>
      <c r="N839" s="17"/>
      <c r="O839" s="17"/>
      <c r="P839" s="17" t="str">
        <f t="shared" si="3"/>
        <v>OK</v>
      </c>
      <c r="Q839" s="17" t="s">
        <v>35</v>
      </c>
      <c r="R839" s="6" t="s">
        <v>35</v>
      </c>
      <c r="S839" s="17" t="s">
        <v>36</v>
      </c>
      <c r="T839" s="17" t="s">
        <v>5763</v>
      </c>
      <c r="U839" s="173" t="s">
        <v>100</v>
      </c>
      <c r="V839" s="11" t="s">
        <v>28</v>
      </c>
      <c r="W839" s="22" t="s">
        <v>40</v>
      </c>
      <c r="X839" s="22" t="s">
        <v>40</v>
      </c>
      <c r="Y839" s="22"/>
      <c r="Z839" s="81"/>
      <c r="AA839" s="81"/>
      <c r="AB839" s="23"/>
      <c r="AC839" s="26"/>
    </row>
    <row r="840" spans="1:29" ht="15.75" customHeight="1">
      <c r="A840" s="10" t="s">
        <v>5764</v>
      </c>
      <c r="B840" s="10" t="s">
        <v>474</v>
      </c>
      <c r="C840" s="11" t="s">
        <v>28</v>
      </c>
      <c r="D840" s="12"/>
      <c r="E840" s="13" t="s">
        <v>80</v>
      </c>
      <c r="F840" s="6" t="s">
        <v>5765</v>
      </c>
      <c r="G840" s="6" t="str">
        <f ca="1">IFERROR(__xludf.DUMMYFUNCTION("CONCATENATE(B840,(VLOOKUP(C840,CATALOGOS!$F$2:$H$6,3,FALSE)),(VLOOKUP(V840,CATALOGOS!$J$2:$K$18,2,FALSE)),""-"",TO_TEXT(A840))"),"P35DA-0839")</f>
        <v>P35DA-0839</v>
      </c>
      <c r="H840" s="6" t="str">
        <f ca="1">IFERROR(__xludf.DUMMYFUNCTION("CONCATENATE($B840,(VLOOKUP($C840,CATALOGOS!$F$2:$H$6,3,FALSE)),(VLOOKUP($V840,CATALOGOS!$J$2:$K$18,2,FALSE)),""-"",TO_TEXT($A840))"),"P35DA-0839")</f>
        <v>P35DA-0839</v>
      </c>
      <c r="I840" s="6"/>
      <c r="J840" s="6" t="s">
        <v>5766</v>
      </c>
      <c r="K840" s="6" t="s">
        <v>5767</v>
      </c>
      <c r="L840" s="6" t="s">
        <v>5768</v>
      </c>
      <c r="M840" s="6" t="s">
        <v>5769</v>
      </c>
      <c r="N840" s="17"/>
      <c r="O840" s="17"/>
      <c r="P840" s="17" t="str">
        <f t="shared" si="3"/>
        <v>OK</v>
      </c>
      <c r="Q840" s="17" t="s">
        <v>35</v>
      </c>
      <c r="R840" s="6" t="s">
        <v>35</v>
      </c>
      <c r="S840" s="17" t="s">
        <v>36</v>
      </c>
      <c r="T840" s="17" t="s">
        <v>85</v>
      </c>
      <c r="U840" s="173" t="s">
        <v>38</v>
      </c>
      <c r="V840" s="11" t="s">
        <v>28</v>
      </c>
      <c r="W840" s="22" t="s">
        <v>40</v>
      </c>
      <c r="X840" s="22" t="s">
        <v>40</v>
      </c>
      <c r="Y840" s="22"/>
      <c r="Z840" s="6"/>
      <c r="AA840" s="6"/>
      <c r="AB840" s="23"/>
      <c r="AC840" s="7"/>
    </row>
    <row r="841" spans="1:29" ht="15.75" customHeight="1">
      <c r="A841" s="10" t="s">
        <v>5770</v>
      </c>
      <c r="B841" s="10" t="s">
        <v>474</v>
      </c>
      <c r="C841" s="11" t="s">
        <v>28</v>
      </c>
      <c r="D841" s="12"/>
      <c r="E841" s="13" t="s">
        <v>93</v>
      </c>
      <c r="F841" s="6" t="s">
        <v>5771</v>
      </c>
      <c r="G841" s="6" t="str">
        <f ca="1">IFERROR(__xludf.DUMMYFUNCTION("CONCATENATE(B841,(VLOOKUP(C841,CATALOGOS!$F$2:$H$6,3,FALSE)),(VLOOKUP(V841,CATALOGOS!$J$2:$K$18,2,FALSE)),""-"",TO_TEXT(A841))"),"P35DA-0840")</f>
        <v>P35DA-0840</v>
      </c>
      <c r="H841" s="6" t="str">
        <f ca="1">IFERROR(__xludf.DUMMYFUNCTION("CONCATENATE($B841,(VLOOKUP($C841,CATALOGOS!$F$2:$H$6,3,FALSE)),(VLOOKUP($V841,CATALOGOS!$J$2:$K$18,2,FALSE)),""-"",TO_TEXT($A841))"),"P35DA-0840")</f>
        <v>P35DA-0840</v>
      </c>
      <c r="I841" s="6"/>
      <c r="J841" s="6" t="s">
        <v>5772</v>
      </c>
      <c r="K841" s="6" t="s">
        <v>5773</v>
      </c>
      <c r="L841" s="6" t="s">
        <v>5774</v>
      </c>
      <c r="M841" s="6" t="s">
        <v>5775</v>
      </c>
      <c r="N841" s="17"/>
      <c r="O841" s="17"/>
      <c r="P841" s="17" t="str">
        <f t="shared" si="3"/>
        <v>OK</v>
      </c>
      <c r="Q841" s="17" t="s">
        <v>35</v>
      </c>
      <c r="R841" s="6" t="s">
        <v>35</v>
      </c>
      <c r="S841" s="17" t="s">
        <v>36</v>
      </c>
      <c r="T841" s="17" t="s">
        <v>5776</v>
      </c>
      <c r="U841" s="173" t="s">
        <v>38</v>
      </c>
      <c r="V841" s="11" t="s">
        <v>28</v>
      </c>
      <c r="W841" s="22" t="s">
        <v>40</v>
      </c>
      <c r="X841" s="22" t="s">
        <v>40</v>
      </c>
      <c r="Y841" s="22"/>
      <c r="Z841" s="6"/>
      <c r="AA841" s="6"/>
      <c r="AB841" s="23"/>
      <c r="AC841" s="7"/>
    </row>
    <row r="842" spans="1:29" ht="15.75" customHeight="1">
      <c r="A842" s="10" t="s">
        <v>5777</v>
      </c>
      <c r="B842" s="10" t="s">
        <v>474</v>
      </c>
      <c r="C842" s="11" t="s">
        <v>28</v>
      </c>
      <c r="D842" s="12"/>
      <c r="E842" s="13" t="s">
        <v>5778</v>
      </c>
      <c r="F842" s="43" t="s">
        <v>5779</v>
      </c>
      <c r="G842" s="6" t="str">
        <f ca="1">IFERROR(__xludf.DUMMYFUNCTION("CONCATENATE(B842,(VLOOKUP(C842,CATALOGOS!$F$2:$H$6,3,FALSE)),(VLOOKUP(V842,CATALOGOS!$J$2:$K$18,2,FALSE)),""-"",TO_TEXT(A842))"),"P35DA-0841")</f>
        <v>P35DA-0841</v>
      </c>
      <c r="H842" s="6" t="str">
        <f ca="1">IFERROR(__xludf.DUMMYFUNCTION("CONCATENATE($B842,(VLOOKUP($C842,CATALOGOS!$F$2:$H$6,3,FALSE)),(VLOOKUP($V842,CATALOGOS!$J$2:$K$18,2,FALSE)),""-"",TO_TEXT($A842))"),"P35DA-0841")</f>
        <v>P35DA-0841</v>
      </c>
      <c r="I842" s="6"/>
      <c r="J842" s="6" t="s">
        <v>5780</v>
      </c>
      <c r="K842" s="6" t="s">
        <v>5781</v>
      </c>
      <c r="L842" s="6" t="s">
        <v>5782</v>
      </c>
      <c r="M842" s="6" t="s">
        <v>5783</v>
      </c>
      <c r="N842" s="17"/>
      <c r="O842" s="17"/>
      <c r="P842" s="17" t="str">
        <f t="shared" si="3"/>
        <v>OK</v>
      </c>
      <c r="Q842" s="17" t="s">
        <v>5784</v>
      </c>
      <c r="R842" s="6" t="s">
        <v>5785</v>
      </c>
      <c r="S842" s="6" t="s">
        <v>36</v>
      </c>
      <c r="T842" s="10" t="s">
        <v>85</v>
      </c>
      <c r="U842" s="173" t="s">
        <v>38</v>
      </c>
      <c r="V842" s="11" t="s">
        <v>28</v>
      </c>
      <c r="W842" s="22" t="s">
        <v>40</v>
      </c>
      <c r="X842" s="22" t="s">
        <v>40</v>
      </c>
      <c r="Y842" s="22"/>
      <c r="Z842" s="81"/>
      <c r="AA842" s="81"/>
      <c r="AB842" s="23"/>
      <c r="AC842" s="26"/>
    </row>
    <row r="843" spans="1:29" ht="15.75" customHeight="1">
      <c r="A843" s="10" t="s">
        <v>5786</v>
      </c>
      <c r="B843" s="10" t="s">
        <v>474</v>
      </c>
      <c r="C843" s="11" t="s">
        <v>28</v>
      </c>
      <c r="D843" s="12"/>
      <c r="E843" s="13" t="s">
        <v>378</v>
      </c>
      <c r="F843" s="43" t="s">
        <v>511</v>
      </c>
      <c r="G843" s="6" t="str">
        <f ca="1">IFERROR(__xludf.DUMMYFUNCTION("CONCATENATE(B843,(VLOOKUP(C843,CATALOGOS!$F$2:$H$6,3,FALSE)),(VLOOKUP(V843,CATALOGOS!$J$2:$K$18,2,FALSE)),""-"",TO_TEXT(A843))"),"P35DA-0842")</f>
        <v>P35DA-0842</v>
      </c>
      <c r="H843" s="6" t="str">
        <f ca="1">IFERROR(__xludf.DUMMYFUNCTION("CONCATENATE($B843,(VLOOKUP($C843,CATALOGOS!$F$2:$H$6,3,FALSE)),(VLOOKUP($V843,CATALOGOS!$J$2:$K$18,2,FALSE)),""-"",TO_TEXT($A843))"),"P35DA-0842")</f>
        <v>P35DA-0842</v>
      </c>
      <c r="I843" s="6"/>
      <c r="J843" s="6" t="s">
        <v>5787</v>
      </c>
      <c r="K843" s="6" t="s">
        <v>5788</v>
      </c>
      <c r="L843" s="6" t="s">
        <v>5789</v>
      </c>
      <c r="M843" s="6" t="s">
        <v>5790</v>
      </c>
      <c r="N843" s="17"/>
      <c r="O843" s="17"/>
      <c r="P843" s="17" t="str">
        <f t="shared" si="3"/>
        <v>OK</v>
      </c>
      <c r="Q843" s="17" t="s">
        <v>35</v>
      </c>
      <c r="R843" s="6" t="s">
        <v>35</v>
      </c>
      <c r="S843" s="17" t="s">
        <v>36</v>
      </c>
      <c r="T843" s="17" t="s">
        <v>5791</v>
      </c>
      <c r="U843" s="173" t="s">
        <v>517</v>
      </c>
      <c r="V843" s="11" t="s">
        <v>28</v>
      </c>
      <c r="W843" s="22" t="s">
        <v>40</v>
      </c>
      <c r="X843" s="22" t="s">
        <v>40</v>
      </c>
      <c r="Y843" s="22"/>
      <c r="Z843" s="6"/>
      <c r="AA843" s="6"/>
      <c r="AB843" s="23"/>
      <c r="AC843" s="7"/>
    </row>
    <row r="844" spans="1:29" ht="15.75" customHeight="1">
      <c r="A844" s="10" t="s">
        <v>5792</v>
      </c>
      <c r="B844" s="10" t="s">
        <v>474</v>
      </c>
      <c r="C844" s="11" t="s">
        <v>28</v>
      </c>
      <c r="D844" s="12"/>
      <c r="E844" s="13" t="s">
        <v>378</v>
      </c>
      <c r="F844" s="43" t="s">
        <v>511</v>
      </c>
      <c r="G844" s="6" t="str">
        <f ca="1">IFERROR(__xludf.DUMMYFUNCTION("CONCATENATE(B844,(VLOOKUP(C844,CATALOGOS!$F$2:$H$6,3,FALSE)),(VLOOKUP(V844,CATALOGOS!$J$2:$K$18,2,FALSE)),""-"",TO_TEXT(A844))"),"P35DA-0843")</f>
        <v>P35DA-0843</v>
      </c>
      <c r="H844" s="6" t="str">
        <f ca="1">IFERROR(__xludf.DUMMYFUNCTION("CONCATENATE($B844,(VLOOKUP($C844,CATALOGOS!$F$2:$H$6,3,FALSE)),(VLOOKUP($V844,CATALOGOS!$J$2:$K$18,2,FALSE)),""-"",TO_TEXT($A844))"),"P35DA-0843")</f>
        <v>P35DA-0843</v>
      </c>
      <c r="I844" s="6"/>
      <c r="J844" s="6" t="s">
        <v>5794</v>
      </c>
      <c r="K844" s="6" t="s">
        <v>5795</v>
      </c>
      <c r="L844" s="6" t="s">
        <v>5796</v>
      </c>
      <c r="M844" s="6" t="s">
        <v>5797</v>
      </c>
      <c r="N844" s="17"/>
      <c r="O844" s="17"/>
      <c r="P844" s="17" t="str">
        <f t="shared" si="3"/>
        <v>OK</v>
      </c>
      <c r="Q844" s="17" t="s">
        <v>35</v>
      </c>
      <c r="R844" s="6" t="s">
        <v>35</v>
      </c>
      <c r="S844" s="17" t="s">
        <v>36</v>
      </c>
      <c r="T844" s="17" t="s">
        <v>5798</v>
      </c>
      <c r="U844" s="173" t="s">
        <v>100</v>
      </c>
      <c r="V844" s="11" t="s">
        <v>28</v>
      </c>
      <c r="W844" s="22" t="s">
        <v>40</v>
      </c>
      <c r="X844" s="22" t="s">
        <v>40</v>
      </c>
      <c r="Y844" s="22"/>
      <c r="Z844" s="6"/>
      <c r="AA844" s="6" t="s">
        <v>440</v>
      </c>
      <c r="AB844" s="23"/>
      <c r="AC844" s="7"/>
    </row>
    <row r="845" spans="1:29" ht="15.75" customHeight="1">
      <c r="A845" s="10" t="s">
        <v>5799</v>
      </c>
      <c r="B845" s="10" t="s">
        <v>474</v>
      </c>
      <c r="C845" s="11" t="s">
        <v>28</v>
      </c>
      <c r="D845" s="12"/>
      <c r="E845" s="13" t="s">
        <v>93</v>
      </c>
      <c r="F845" s="6" t="s">
        <v>5800</v>
      </c>
      <c r="G845" s="6" t="str">
        <f ca="1">IFERROR(__xludf.DUMMYFUNCTION("CONCATENATE(B845,(VLOOKUP(C845,CATALOGOS!$F$2:$H$6,3,FALSE)),(VLOOKUP(V845,CATALOGOS!$J$2:$K$18,2,FALSE)),""-"",TO_TEXT(A845))"),"P35DA-0844")</f>
        <v>P35DA-0844</v>
      </c>
      <c r="H845" s="6" t="str">
        <f ca="1">IFERROR(__xludf.DUMMYFUNCTION("CONCATENATE($B845,(VLOOKUP($C845,CATALOGOS!$F$2:$H$6,3,FALSE)),(VLOOKUP($V845,CATALOGOS!$J$2:$K$18,2,FALSE)),""-"",TO_TEXT($A845))"),"P35DA-0844")</f>
        <v>P35DA-0844</v>
      </c>
      <c r="I845" s="6"/>
      <c r="J845" s="6" t="s">
        <v>5801</v>
      </c>
      <c r="K845" s="6" t="s">
        <v>5802</v>
      </c>
      <c r="L845" s="6" t="s">
        <v>5803</v>
      </c>
      <c r="M845" s="6" t="s">
        <v>5804</v>
      </c>
      <c r="N845" s="17"/>
      <c r="O845" s="17"/>
      <c r="P845" s="17" t="str">
        <f t="shared" si="3"/>
        <v>OK</v>
      </c>
      <c r="Q845" s="17" t="s">
        <v>35</v>
      </c>
      <c r="R845" s="6" t="s">
        <v>35</v>
      </c>
      <c r="S845" s="17" t="s">
        <v>36</v>
      </c>
      <c r="T845" s="17" t="s">
        <v>5805</v>
      </c>
      <c r="U845" s="173" t="s">
        <v>38</v>
      </c>
      <c r="V845" s="11" t="s">
        <v>28</v>
      </c>
      <c r="W845" s="22" t="s">
        <v>40</v>
      </c>
      <c r="X845" s="22" t="s">
        <v>40</v>
      </c>
      <c r="Y845" s="22"/>
      <c r="Z845" s="6"/>
      <c r="AA845" s="6"/>
      <c r="AB845" s="23"/>
      <c r="AC845" s="7"/>
    </row>
    <row r="846" spans="1:29" ht="15.75" customHeight="1">
      <c r="A846" s="10" t="s">
        <v>5806</v>
      </c>
      <c r="B846" s="10" t="s">
        <v>474</v>
      </c>
      <c r="C846" s="11" t="s">
        <v>28</v>
      </c>
      <c r="D846" s="12"/>
      <c r="E846" s="13" t="s">
        <v>93</v>
      </c>
      <c r="F846" s="6" t="s">
        <v>772</v>
      </c>
      <c r="G846" s="6" t="str">
        <f ca="1">IFERROR(__xludf.DUMMYFUNCTION("CONCATENATE(B846,(VLOOKUP(C846,CATALOGOS!$F$2:$H$6,3,FALSE)),(VLOOKUP(V846,CATALOGOS!$J$2:$K$18,2,FALSE)),""-"",TO_TEXT(A846))"),"P35DA-0845")</f>
        <v>P35DA-0845</v>
      </c>
      <c r="H846" s="6" t="str">
        <f ca="1">IFERROR(__xludf.DUMMYFUNCTION("CONCATENATE($B846,(VLOOKUP($C846,CATALOGOS!$F$2:$H$6,3,FALSE)),(VLOOKUP($V846,CATALOGOS!$J$2:$K$18,2,FALSE)),""-"",TO_TEXT($A846))"),"P35DA-0845")</f>
        <v>P35DA-0845</v>
      </c>
      <c r="I846" s="6"/>
      <c r="J846" s="6" t="s">
        <v>5807</v>
      </c>
      <c r="K846" s="6" t="s">
        <v>5808</v>
      </c>
      <c r="L846" s="6" t="s">
        <v>5809</v>
      </c>
      <c r="M846" s="6" t="s">
        <v>5810</v>
      </c>
      <c r="N846" s="17"/>
      <c r="O846" s="17"/>
      <c r="P846" s="17" t="str">
        <f t="shared" si="3"/>
        <v>OK</v>
      </c>
      <c r="Q846" s="17" t="s">
        <v>35</v>
      </c>
      <c r="R846" s="6" t="s">
        <v>35</v>
      </c>
      <c r="S846" s="17" t="s">
        <v>36</v>
      </c>
      <c r="T846" s="17" t="s">
        <v>5811</v>
      </c>
      <c r="U846" s="173" t="s">
        <v>38</v>
      </c>
      <c r="V846" s="11" t="s">
        <v>28</v>
      </c>
      <c r="W846" s="22" t="s">
        <v>40</v>
      </c>
      <c r="X846" s="22" t="s">
        <v>40</v>
      </c>
      <c r="Y846" s="22"/>
      <c r="Z846" s="6"/>
      <c r="AA846" s="6"/>
      <c r="AB846" s="23"/>
      <c r="AC846" s="7"/>
    </row>
    <row r="847" spans="1:29" ht="15.75" customHeight="1">
      <c r="A847" s="10" t="s">
        <v>5812</v>
      </c>
      <c r="B847" s="10" t="s">
        <v>474</v>
      </c>
      <c r="C847" s="11" t="s">
        <v>28</v>
      </c>
      <c r="D847" s="12"/>
      <c r="E847" s="13" t="s">
        <v>93</v>
      </c>
      <c r="F847" s="6" t="s">
        <v>5813</v>
      </c>
      <c r="G847" s="6" t="str">
        <f ca="1">IFERROR(__xludf.DUMMYFUNCTION("CONCATENATE(B847,(VLOOKUP(C847,CATALOGOS!$F$2:$H$6,3,FALSE)),(VLOOKUP(V847,CATALOGOS!$J$2:$K$18,2,FALSE)),""-"",TO_TEXT(A847))"),"P35DA-0846")</f>
        <v>P35DA-0846</v>
      </c>
      <c r="H847" s="6" t="str">
        <f ca="1">IFERROR(__xludf.DUMMYFUNCTION("CONCATENATE($B847,(VLOOKUP($C847,CATALOGOS!$F$2:$H$6,3,FALSE)),(VLOOKUP($V847,CATALOGOS!$J$2:$K$18,2,FALSE)),""-"",TO_TEXT($A847))"),"P35DA-0846")</f>
        <v>P35DA-0846</v>
      </c>
      <c r="I847" s="6"/>
      <c r="J847" s="6" t="s">
        <v>5814</v>
      </c>
      <c r="K847" s="6" t="s">
        <v>5815</v>
      </c>
      <c r="L847" s="6" t="s">
        <v>5816</v>
      </c>
      <c r="M847" s="6" t="s">
        <v>5817</v>
      </c>
      <c r="N847" s="17"/>
      <c r="O847" s="17"/>
      <c r="P847" s="17" t="str">
        <f t="shared" si="3"/>
        <v>OK</v>
      </c>
      <c r="Q847" s="17" t="s">
        <v>35</v>
      </c>
      <c r="R847" s="6" t="s">
        <v>35</v>
      </c>
      <c r="S847" s="17" t="s">
        <v>36</v>
      </c>
      <c r="T847" s="17" t="s">
        <v>5818</v>
      </c>
      <c r="U847" s="173" t="s">
        <v>38</v>
      </c>
      <c r="V847" s="11" t="s">
        <v>28</v>
      </c>
      <c r="W847" s="22" t="s">
        <v>40</v>
      </c>
      <c r="X847" s="22" t="s">
        <v>40</v>
      </c>
      <c r="Y847" s="22"/>
      <c r="Z847" s="6"/>
      <c r="AA847" s="6"/>
      <c r="AB847" s="23"/>
      <c r="AC847" s="7"/>
    </row>
    <row r="848" spans="1:29" ht="15.75" customHeight="1">
      <c r="A848" s="10" t="s">
        <v>5819</v>
      </c>
      <c r="B848" s="10" t="s">
        <v>474</v>
      </c>
      <c r="C848" s="11" t="s">
        <v>28</v>
      </c>
      <c r="D848" s="12"/>
      <c r="E848" s="13" t="s">
        <v>378</v>
      </c>
      <c r="F848" s="43" t="s">
        <v>511</v>
      </c>
      <c r="G848" s="6" t="str">
        <f ca="1">IFERROR(__xludf.DUMMYFUNCTION("CONCATENATE(B848,(VLOOKUP(C848,CATALOGOS!$F$2:$H$6,3,FALSE)),(VLOOKUP(V848,CATALOGOS!$J$2:$K$18,2,FALSE)),""-"",TO_TEXT(A848))"),"P35DA-0847")</f>
        <v>P35DA-0847</v>
      </c>
      <c r="H848" s="6" t="str">
        <f ca="1">IFERROR(__xludf.DUMMYFUNCTION("CONCATENATE($B848,(VLOOKUP($C848,CATALOGOS!$F$2:$H$6,3,FALSE)),(VLOOKUP($V848,CATALOGOS!$J$2:$K$18,2,FALSE)),""-"",TO_TEXT($A848))"),"P35DA-0847")</f>
        <v>P35DA-0847</v>
      </c>
      <c r="I848" s="6"/>
      <c r="J848" s="6" t="s">
        <v>5820</v>
      </c>
      <c r="K848" s="6" t="s">
        <v>5821</v>
      </c>
      <c r="L848" s="6" t="s">
        <v>5822</v>
      </c>
      <c r="M848" s="6" t="s">
        <v>5823</v>
      </c>
      <c r="N848" s="17"/>
      <c r="O848" s="17"/>
      <c r="P848" s="17" t="str">
        <f t="shared" si="3"/>
        <v>OK</v>
      </c>
      <c r="Q848" s="17" t="s">
        <v>35</v>
      </c>
      <c r="R848" s="6" t="s">
        <v>35</v>
      </c>
      <c r="S848" s="17" t="s">
        <v>36</v>
      </c>
      <c r="T848" s="17" t="s">
        <v>5824</v>
      </c>
      <c r="U848" s="173" t="s">
        <v>517</v>
      </c>
      <c r="V848" s="11" t="s">
        <v>28</v>
      </c>
      <c r="W848" s="22" t="s">
        <v>40</v>
      </c>
      <c r="X848" s="22" t="s">
        <v>40</v>
      </c>
      <c r="Y848" s="22"/>
      <c r="Z848" s="81"/>
      <c r="AA848" s="81"/>
      <c r="AB848" s="23"/>
      <c r="AC848" s="26"/>
    </row>
    <row r="849" spans="1:29" ht="15.75" customHeight="1">
      <c r="A849" s="10" t="s">
        <v>5825</v>
      </c>
      <c r="B849" s="10" t="s">
        <v>474</v>
      </c>
      <c r="C849" s="11" t="s">
        <v>28</v>
      </c>
      <c r="D849" s="12"/>
      <c r="E849" s="13" t="s">
        <v>378</v>
      </c>
      <c r="F849" s="43" t="s">
        <v>511</v>
      </c>
      <c r="G849" s="6" t="str">
        <f ca="1">IFERROR(__xludf.DUMMYFUNCTION("CONCATENATE(B849,(VLOOKUP(C849,CATALOGOS!$F$2:$H$6,3,FALSE)),(VLOOKUP(V849,CATALOGOS!$J$2:$K$18,2,FALSE)),""-"",TO_TEXT(A849))"),"P35DA-0848")</f>
        <v>P35DA-0848</v>
      </c>
      <c r="H849" s="6" t="str">
        <f ca="1">IFERROR(__xludf.DUMMYFUNCTION("CONCATENATE($B849,(VLOOKUP($C849,CATALOGOS!$F$2:$H$6,3,FALSE)),(VLOOKUP($V849,CATALOGOS!$J$2:$K$18,2,FALSE)),""-"",TO_TEXT($A849))"),"P35DA-0848")</f>
        <v>P35DA-0848</v>
      </c>
      <c r="I849" s="6"/>
      <c r="J849" s="6" t="s">
        <v>5826</v>
      </c>
      <c r="K849" s="6" t="s">
        <v>5827</v>
      </c>
      <c r="L849" s="6" t="s">
        <v>5828</v>
      </c>
      <c r="M849" s="6" t="s">
        <v>5829</v>
      </c>
      <c r="N849" s="17"/>
      <c r="O849" s="17"/>
      <c r="P849" s="17" t="str">
        <f t="shared" si="3"/>
        <v>OK</v>
      </c>
      <c r="Q849" s="17" t="s">
        <v>35</v>
      </c>
      <c r="R849" s="6" t="s">
        <v>35</v>
      </c>
      <c r="S849" s="17" t="s">
        <v>36</v>
      </c>
      <c r="T849" s="17" t="s">
        <v>5830</v>
      </c>
      <c r="U849" s="173" t="s">
        <v>517</v>
      </c>
      <c r="V849" s="11" t="s">
        <v>28</v>
      </c>
      <c r="W849" s="22" t="s">
        <v>40</v>
      </c>
      <c r="X849" s="22" t="s">
        <v>40</v>
      </c>
      <c r="Y849" s="22"/>
      <c r="Z849" s="81"/>
      <c r="AA849" s="81"/>
      <c r="AB849" s="23"/>
      <c r="AC849" s="26"/>
    </row>
    <row r="850" spans="1:29" ht="15.75" customHeight="1">
      <c r="A850" s="10" t="s">
        <v>5831</v>
      </c>
      <c r="B850" s="10" t="s">
        <v>474</v>
      </c>
      <c r="C850" s="11" t="s">
        <v>28</v>
      </c>
      <c r="D850" s="12"/>
      <c r="E850" s="13" t="s">
        <v>378</v>
      </c>
      <c r="F850" s="43" t="s">
        <v>511</v>
      </c>
      <c r="G850" s="6" t="str">
        <f ca="1">IFERROR(__xludf.DUMMYFUNCTION("CONCATENATE(B850,(VLOOKUP(C850,CATALOGOS!$F$2:$H$6,3,FALSE)),(VLOOKUP(V850,CATALOGOS!$J$2:$K$18,2,FALSE)),""-"",TO_TEXT(A850))"),"P35DA-0849")</f>
        <v>P35DA-0849</v>
      </c>
      <c r="H850" s="6" t="str">
        <f ca="1">IFERROR(__xludf.DUMMYFUNCTION("CONCATENATE($B850,(VLOOKUP($C850,CATALOGOS!$F$2:$H$6,3,FALSE)),(VLOOKUP($V850,CATALOGOS!$J$2:$K$18,2,FALSE)),""-"",TO_TEXT($A850))"),"P35DA-0849")</f>
        <v>P35DA-0849</v>
      </c>
      <c r="I850" s="6"/>
      <c r="J850" s="6" t="s">
        <v>5832</v>
      </c>
      <c r="K850" s="6" t="s">
        <v>5833</v>
      </c>
      <c r="L850" s="6" t="s">
        <v>5834</v>
      </c>
      <c r="M850" s="6" t="s">
        <v>5835</v>
      </c>
      <c r="N850" s="17"/>
      <c r="O850" s="17"/>
      <c r="P850" s="17" t="str">
        <f t="shared" si="3"/>
        <v>OK</v>
      </c>
      <c r="Q850" s="17" t="s">
        <v>35</v>
      </c>
      <c r="R850" s="6" t="s">
        <v>35</v>
      </c>
      <c r="S850" s="17" t="s">
        <v>36</v>
      </c>
      <c r="T850" s="17" t="s">
        <v>5836</v>
      </c>
      <c r="U850" s="173" t="s">
        <v>517</v>
      </c>
      <c r="V850" s="11" t="s">
        <v>28</v>
      </c>
      <c r="W850" s="22" t="s">
        <v>40</v>
      </c>
      <c r="X850" s="22" t="s">
        <v>40</v>
      </c>
      <c r="Y850" s="22"/>
      <c r="Z850" s="81"/>
      <c r="AA850" s="81"/>
      <c r="AB850" s="23"/>
      <c r="AC850" s="26"/>
    </row>
    <row r="851" spans="1:29" ht="15.75" customHeight="1">
      <c r="A851" s="10" t="s">
        <v>5837</v>
      </c>
      <c r="B851" s="10" t="s">
        <v>474</v>
      </c>
      <c r="C851" s="11" t="s">
        <v>28</v>
      </c>
      <c r="D851" s="12"/>
      <c r="E851" s="13" t="s">
        <v>378</v>
      </c>
      <c r="F851" s="6" t="s">
        <v>535</v>
      </c>
      <c r="G851" s="6" t="str">
        <f ca="1">IFERROR(__xludf.DUMMYFUNCTION("CONCATENATE(B851,(VLOOKUP(C851,CATALOGOS!$F$2:$H$6,3,FALSE)),(VLOOKUP(V851,CATALOGOS!$J$2:$K$18,2,FALSE)),""-"",TO_TEXT(A851))"),"P35DA-0850")</f>
        <v>P35DA-0850</v>
      </c>
      <c r="H851" s="6" t="str">
        <f ca="1">IFERROR(__xludf.DUMMYFUNCTION("CONCATENATE($B851,(VLOOKUP($C851,CATALOGOS!$F$2:$H$6,3,FALSE)),(VLOOKUP($V851,CATALOGOS!$J$2:$K$18,2,FALSE)),""-"",TO_TEXT($A851))"),"P35DA-0850")</f>
        <v>P35DA-0850</v>
      </c>
      <c r="I851" s="6"/>
      <c r="J851" s="6" t="s">
        <v>5838</v>
      </c>
      <c r="K851" s="6" t="s">
        <v>5839</v>
      </c>
      <c r="L851" s="6" t="s">
        <v>5840</v>
      </c>
      <c r="M851" s="6" t="s">
        <v>5841</v>
      </c>
      <c r="N851" s="17"/>
      <c r="O851" s="17"/>
      <c r="P851" s="17" t="str">
        <f t="shared" si="3"/>
        <v>OK</v>
      </c>
      <c r="Q851" s="17" t="s">
        <v>35</v>
      </c>
      <c r="R851" s="6" t="s">
        <v>35</v>
      </c>
      <c r="S851" s="17" t="s">
        <v>36</v>
      </c>
      <c r="T851" s="17" t="s">
        <v>5842</v>
      </c>
      <c r="U851" s="173" t="s">
        <v>517</v>
      </c>
      <c r="V851" s="11" t="s">
        <v>28</v>
      </c>
      <c r="W851" s="22" t="s">
        <v>40</v>
      </c>
      <c r="X851" s="22" t="s">
        <v>40</v>
      </c>
      <c r="Y851" s="22"/>
      <c r="Z851" s="81"/>
      <c r="AA851" s="81"/>
      <c r="AB851" s="23"/>
      <c r="AC851" s="26"/>
    </row>
    <row r="852" spans="1:29" ht="15.75" customHeight="1">
      <c r="A852" s="10" t="s">
        <v>5843</v>
      </c>
      <c r="B852" s="10" t="s">
        <v>474</v>
      </c>
      <c r="C852" s="11" t="s">
        <v>28</v>
      </c>
      <c r="D852" s="12"/>
      <c r="E852" s="13" t="s">
        <v>378</v>
      </c>
      <c r="F852" s="43" t="s">
        <v>511</v>
      </c>
      <c r="G852" s="6" t="str">
        <f ca="1">IFERROR(__xludf.DUMMYFUNCTION("CONCATENATE(B852,(VLOOKUP(C852,CATALOGOS!$F$2:$H$6,3,FALSE)),(VLOOKUP(V852,CATALOGOS!$J$2:$K$18,2,FALSE)),""-"",TO_TEXT(A852))"),"P35DA-0851")</f>
        <v>P35DA-0851</v>
      </c>
      <c r="H852" s="6" t="str">
        <f ca="1">IFERROR(__xludf.DUMMYFUNCTION("CONCATENATE($B852,(VLOOKUP($C852,CATALOGOS!$F$2:$H$6,3,FALSE)),(VLOOKUP($V852,CATALOGOS!$J$2:$K$18,2,FALSE)),""-"",TO_TEXT($A852))"),"P35DA-0851")</f>
        <v>P35DA-0851</v>
      </c>
      <c r="I852" s="6"/>
      <c r="J852" s="6" t="s">
        <v>5844</v>
      </c>
      <c r="K852" s="6" t="s">
        <v>5845</v>
      </c>
      <c r="L852" s="6" t="s">
        <v>5846</v>
      </c>
      <c r="M852" s="6" t="s">
        <v>5847</v>
      </c>
      <c r="N852" s="17"/>
      <c r="O852" s="17"/>
      <c r="P852" s="17" t="str">
        <f t="shared" si="3"/>
        <v>OK</v>
      </c>
      <c r="Q852" s="17" t="s">
        <v>35</v>
      </c>
      <c r="R852" s="6" t="s">
        <v>35</v>
      </c>
      <c r="S852" s="17" t="s">
        <v>36</v>
      </c>
      <c r="T852" s="17" t="s">
        <v>5848</v>
      </c>
      <c r="U852" s="173" t="s">
        <v>517</v>
      </c>
      <c r="V852" s="11" t="s">
        <v>28</v>
      </c>
      <c r="W852" s="22" t="s">
        <v>40</v>
      </c>
      <c r="X852" s="22" t="s">
        <v>40</v>
      </c>
      <c r="Y852" s="22"/>
      <c r="Z852" s="81"/>
      <c r="AA852" s="81"/>
      <c r="AB852" s="23"/>
      <c r="AC852" s="26"/>
    </row>
    <row r="853" spans="1:29" ht="15.75" customHeight="1">
      <c r="A853" s="10" t="s">
        <v>5849</v>
      </c>
      <c r="B853" s="10" t="s">
        <v>474</v>
      </c>
      <c r="C853" s="11" t="s">
        <v>28</v>
      </c>
      <c r="D853" s="12"/>
      <c r="E853" s="13" t="s">
        <v>378</v>
      </c>
      <c r="F853" s="6" t="s">
        <v>511</v>
      </c>
      <c r="G853" s="6" t="str">
        <f ca="1">IFERROR(__xludf.DUMMYFUNCTION("CONCATENATE(B853,(VLOOKUP(C853,CATALOGOS!$F$2:$H$6,3,FALSE)),(VLOOKUP(V853,CATALOGOS!$J$2:$K$18,2,FALSE)),""-"",TO_TEXT(A853))"),"P35DA-0852")</f>
        <v>P35DA-0852</v>
      </c>
      <c r="H853" s="6" t="str">
        <f ca="1">IFERROR(__xludf.DUMMYFUNCTION("CONCATENATE($B853,(VLOOKUP($C853,CATALOGOS!$F$2:$H$6,3,FALSE)),(VLOOKUP($V853,CATALOGOS!$J$2:$K$18,2,FALSE)),""-"",TO_TEXT($A853))"),"P35DA-0852")</f>
        <v>P35DA-0852</v>
      </c>
      <c r="I853" s="6"/>
      <c r="J853" s="6" t="s">
        <v>5851</v>
      </c>
      <c r="K853" s="6" t="s">
        <v>5852</v>
      </c>
      <c r="L853" s="6" t="s">
        <v>5853</v>
      </c>
      <c r="M853" s="6" t="s">
        <v>5854</v>
      </c>
      <c r="N853" s="17"/>
      <c r="O853" s="17"/>
      <c r="P853" s="17" t="str">
        <f t="shared" si="3"/>
        <v>OK</v>
      </c>
      <c r="Q853" s="17" t="s">
        <v>35</v>
      </c>
      <c r="R853" s="6" t="s">
        <v>35</v>
      </c>
      <c r="S853" s="17" t="s">
        <v>36</v>
      </c>
      <c r="T853" s="17" t="s">
        <v>5855</v>
      </c>
      <c r="U853" s="173" t="s">
        <v>517</v>
      </c>
      <c r="V853" s="11" t="s">
        <v>28</v>
      </c>
      <c r="W853" s="22" t="s">
        <v>40</v>
      </c>
      <c r="X853" s="22" t="s">
        <v>40</v>
      </c>
      <c r="Y853" s="22"/>
      <c r="Z853" s="81"/>
      <c r="AA853" s="81"/>
      <c r="AB853" s="23"/>
      <c r="AC853" s="26"/>
    </row>
    <row r="854" spans="1:29" ht="15.75" customHeight="1">
      <c r="A854" s="10" t="s">
        <v>5856</v>
      </c>
      <c r="B854" s="10" t="s">
        <v>474</v>
      </c>
      <c r="C854" s="11" t="s">
        <v>28</v>
      </c>
      <c r="D854" s="12"/>
      <c r="E854" s="13" t="s">
        <v>378</v>
      </c>
      <c r="F854" s="6" t="s">
        <v>5857</v>
      </c>
      <c r="G854" s="6" t="str">
        <f ca="1">IFERROR(__xludf.DUMMYFUNCTION("CONCATENATE(B854,(VLOOKUP(C854,CATALOGOS!$F$2:$H$6,3,FALSE)),(VLOOKUP(V854,CATALOGOS!$J$2:$K$18,2,FALSE)),""-"",TO_TEXT(A854))"),"P35DA-0853")</f>
        <v>P35DA-0853</v>
      </c>
      <c r="H854" s="6" t="str">
        <f ca="1">IFERROR(__xludf.DUMMYFUNCTION("CONCATENATE($B854,(VLOOKUP($C854,CATALOGOS!$F$2:$H$6,3,FALSE)),(VLOOKUP($V854,CATALOGOS!$J$2:$K$18,2,FALSE)),""-"",TO_TEXT($A854))"),"P35DA-0853")</f>
        <v>P35DA-0853</v>
      </c>
      <c r="I854" s="6"/>
      <c r="J854" s="6" t="s">
        <v>5858</v>
      </c>
      <c r="K854" s="6" t="s">
        <v>5859</v>
      </c>
      <c r="L854" s="6" t="s">
        <v>5860</v>
      </c>
      <c r="M854" s="6" t="s">
        <v>5861</v>
      </c>
      <c r="N854" s="17"/>
      <c r="O854" s="17"/>
      <c r="P854" s="17" t="str">
        <f t="shared" si="3"/>
        <v>OK</v>
      </c>
      <c r="Q854" s="17" t="s">
        <v>35</v>
      </c>
      <c r="R854" s="6" t="s">
        <v>35</v>
      </c>
      <c r="S854" s="17" t="s">
        <v>36</v>
      </c>
      <c r="T854" s="17" t="s">
        <v>5862</v>
      </c>
      <c r="U854" s="173" t="s">
        <v>517</v>
      </c>
      <c r="V854" s="11" t="s">
        <v>28</v>
      </c>
      <c r="W854" s="22" t="s">
        <v>40</v>
      </c>
      <c r="X854" s="22" t="s">
        <v>40</v>
      </c>
      <c r="Y854" s="22"/>
      <c r="Z854" s="81"/>
      <c r="AA854" s="81"/>
      <c r="AB854" s="23"/>
      <c r="AC854" s="26"/>
    </row>
    <row r="855" spans="1:29" ht="15.75" customHeight="1">
      <c r="A855" s="10" t="s">
        <v>5863</v>
      </c>
      <c r="B855" s="10" t="s">
        <v>474</v>
      </c>
      <c r="C855" s="11" t="s">
        <v>28</v>
      </c>
      <c r="D855" s="12"/>
      <c r="E855" s="13" t="s">
        <v>93</v>
      </c>
      <c r="F855" s="6" t="s">
        <v>5771</v>
      </c>
      <c r="G855" s="6" t="str">
        <f ca="1">IFERROR(__xludf.DUMMYFUNCTION("CONCATENATE(B855,(VLOOKUP(C855,CATALOGOS!$F$2:$H$6,3,FALSE)),(VLOOKUP(V855,CATALOGOS!$J$2:$K$18,2,FALSE)),""-"",TO_TEXT(A855))"),"P35DA-0854")</f>
        <v>P35DA-0854</v>
      </c>
      <c r="H855" s="6" t="str">
        <f ca="1">IFERROR(__xludf.DUMMYFUNCTION("CONCATENATE($B855,(VLOOKUP($C855,CATALOGOS!$F$2:$H$6,3,FALSE)),(VLOOKUP($V855,CATALOGOS!$J$2:$K$18,2,FALSE)),""-"",TO_TEXT($A855))"),"P35DA-0854")</f>
        <v>P35DA-0854</v>
      </c>
      <c r="I855" s="6"/>
      <c r="J855" s="6" t="s">
        <v>5864</v>
      </c>
      <c r="K855" s="6" t="s">
        <v>5865</v>
      </c>
      <c r="L855" s="6" t="s">
        <v>5866</v>
      </c>
      <c r="M855" s="6" t="s">
        <v>5867</v>
      </c>
      <c r="N855" s="17"/>
      <c r="O855" s="17"/>
      <c r="P855" s="17" t="str">
        <f t="shared" si="3"/>
        <v>OK</v>
      </c>
      <c r="Q855" s="17" t="s">
        <v>35</v>
      </c>
      <c r="R855" s="6" t="s">
        <v>35</v>
      </c>
      <c r="S855" s="17" t="s">
        <v>36</v>
      </c>
      <c r="T855" s="17" t="s">
        <v>5868</v>
      </c>
      <c r="U855" s="173" t="s">
        <v>38</v>
      </c>
      <c r="V855" s="11" t="s">
        <v>28</v>
      </c>
      <c r="W855" s="22" t="s">
        <v>40</v>
      </c>
      <c r="X855" s="22" t="s">
        <v>40</v>
      </c>
      <c r="Y855" s="22"/>
      <c r="Z855" s="81"/>
      <c r="AA855" s="81"/>
      <c r="AB855" s="23"/>
      <c r="AC855" s="26"/>
    </row>
    <row r="856" spans="1:29" ht="15.75" customHeight="1">
      <c r="A856" s="10" t="s">
        <v>5869</v>
      </c>
      <c r="B856" s="10" t="s">
        <v>474</v>
      </c>
      <c r="C856" s="11" t="s">
        <v>28</v>
      </c>
      <c r="D856" s="12"/>
      <c r="E856" s="13" t="s">
        <v>5778</v>
      </c>
      <c r="F856" s="43" t="s">
        <v>5870</v>
      </c>
      <c r="G856" s="6" t="str">
        <f ca="1">IFERROR(__xludf.DUMMYFUNCTION("CONCATENATE(B856,(VLOOKUP(C856,CATALOGOS!$F$2:$H$6,3,FALSE)),(VLOOKUP(V856,CATALOGOS!$J$2:$K$18,2,FALSE)),""-"",TO_TEXT(A856))"),"P35DA-0855")</f>
        <v>P35DA-0855</v>
      </c>
      <c r="H856" s="6" t="str">
        <f ca="1">IFERROR(__xludf.DUMMYFUNCTION("CONCATENATE($B856,(VLOOKUP($C856,CATALOGOS!$F$2:$H$6,3,FALSE)),(VLOOKUP($V856,CATALOGOS!$J$2:$K$18,2,FALSE)),""-"",TO_TEXT($A856))"),"P35DA-0855")</f>
        <v>P35DA-0855</v>
      </c>
      <c r="I856" s="6"/>
      <c r="J856" s="6" t="s">
        <v>5871</v>
      </c>
      <c r="K856" s="6" t="s">
        <v>5872</v>
      </c>
      <c r="L856" s="6" t="s">
        <v>5873</v>
      </c>
      <c r="M856" s="6" t="s">
        <v>5874</v>
      </c>
      <c r="N856" s="17"/>
      <c r="O856" s="17"/>
      <c r="P856" s="17" t="str">
        <f t="shared" si="3"/>
        <v>OK</v>
      </c>
      <c r="Q856" s="17" t="s">
        <v>5875</v>
      </c>
      <c r="R856" s="6" t="s">
        <v>5876</v>
      </c>
      <c r="S856" s="17" t="s">
        <v>5877</v>
      </c>
      <c r="T856" s="17" t="s">
        <v>5878</v>
      </c>
      <c r="U856" s="173" t="s">
        <v>38</v>
      </c>
      <c r="V856" s="11" t="s">
        <v>28</v>
      </c>
      <c r="W856" s="22" t="s">
        <v>40</v>
      </c>
      <c r="X856" s="22" t="s">
        <v>40</v>
      </c>
      <c r="Y856" s="22"/>
      <c r="Z856" s="81"/>
      <c r="AA856" s="81"/>
      <c r="AB856" s="23"/>
      <c r="AC856" s="26"/>
    </row>
    <row r="857" spans="1:29" ht="15.75" customHeight="1">
      <c r="A857" s="10" t="s">
        <v>5879</v>
      </c>
      <c r="B857" s="10" t="s">
        <v>474</v>
      </c>
      <c r="C857" s="11" t="s">
        <v>28</v>
      </c>
      <c r="D857" s="12"/>
      <c r="E857" s="13" t="s">
        <v>5778</v>
      </c>
      <c r="F857" s="43" t="s">
        <v>5880</v>
      </c>
      <c r="G857" s="6" t="str">
        <f ca="1">IFERROR(__xludf.DUMMYFUNCTION("CONCATENATE(B857,(VLOOKUP(C857,CATALOGOS!$F$2:$H$6,3,FALSE)),(VLOOKUP(V857,CATALOGOS!$J$2:$K$18,2,FALSE)),""-"",TO_TEXT(A857))"),"P35DA-0856")</f>
        <v>P35DA-0856</v>
      </c>
      <c r="H857" s="6" t="str">
        <f ca="1">IFERROR(__xludf.DUMMYFUNCTION("CONCATENATE($B857,(VLOOKUP($C857,CATALOGOS!$F$2:$H$6,3,FALSE)),(VLOOKUP($V857,CATALOGOS!$J$2:$K$18,2,FALSE)),""-"",TO_TEXT($A857))"),"P35DA-0856")</f>
        <v>P35DA-0856</v>
      </c>
      <c r="I857" s="6"/>
      <c r="J857" s="6" t="s">
        <v>5881</v>
      </c>
      <c r="K857" s="6" t="s">
        <v>5882</v>
      </c>
      <c r="L857" s="6" t="s">
        <v>5883</v>
      </c>
      <c r="M857" s="6" t="s">
        <v>5884</v>
      </c>
      <c r="N857" s="17"/>
      <c r="O857" s="17"/>
      <c r="P857" s="17" t="str">
        <f t="shared" si="3"/>
        <v>OK</v>
      </c>
      <c r="Q857" s="17" t="s">
        <v>5597</v>
      </c>
      <c r="R857" s="6" t="s">
        <v>5885</v>
      </c>
      <c r="S857" s="17" t="s">
        <v>5886</v>
      </c>
      <c r="T857" s="17" t="s">
        <v>5887</v>
      </c>
      <c r="U857" s="173" t="s">
        <v>38</v>
      </c>
      <c r="V857" s="11" t="s">
        <v>28</v>
      </c>
      <c r="W857" s="22" t="s">
        <v>40</v>
      </c>
      <c r="X857" s="22" t="s">
        <v>40</v>
      </c>
      <c r="Y857" s="22"/>
      <c r="Z857" s="81"/>
      <c r="AA857" s="81"/>
      <c r="AB857" s="23"/>
      <c r="AC857" s="26"/>
    </row>
    <row r="858" spans="1:29" ht="15.75" customHeight="1">
      <c r="A858" s="10" t="s">
        <v>5888</v>
      </c>
      <c r="B858" s="10" t="s">
        <v>474</v>
      </c>
      <c r="C858" s="11" t="s">
        <v>28</v>
      </c>
      <c r="D858" s="12"/>
      <c r="E858" s="13" t="s">
        <v>5889</v>
      </c>
      <c r="F858" s="43" t="s">
        <v>5889</v>
      </c>
      <c r="G858" s="6" t="str">
        <f ca="1">IFERROR(__xludf.DUMMYFUNCTION("CONCATENATE(B858,(VLOOKUP(C858,CATALOGOS!$F$2:$H$6,3,FALSE)),(VLOOKUP(V858,CATALOGOS!$J$2:$K$18,2,FALSE)),""-"",TO_TEXT(A858))"),"P35DA-0857")</f>
        <v>P35DA-0857</v>
      </c>
      <c r="H858" s="6" t="str">
        <f ca="1">IFERROR(__xludf.DUMMYFUNCTION("CONCATENATE($B858,(VLOOKUP($C858,CATALOGOS!$F$2:$H$6,3,FALSE)),(VLOOKUP($V858,CATALOGOS!$J$2:$K$18,2,FALSE)),""-"",TO_TEXT($A858))"),"P35DA-0857")</f>
        <v>P35DA-0857</v>
      </c>
      <c r="I858" s="6"/>
      <c r="J858" s="6" t="s">
        <v>5890</v>
      </c>
      <c r="K858" s="6" t="s">
        <v>5891</v>
      </c>
      <c r="L858" s="6" t="s">
        <v>5892</v>
      </c>
      <c r="M858" s="6" t="s">
        <v>141</v>
      </c>
      <c r="N858" s="17"/>
      <c r="O858" s="17"/>
      <c r="P858" s="17" t="str">
        <f t="shared" si="3"/>
        <v>REPETIDO</v>
      </c>
      <c r="Q858" s="17" t="s">
        <v>5893</v>
      </c>
      <c r="R858" s="32" t="s">
        <v>5894</v>
      </c>
      <c r="S858" s="17" t="s">
        <v>5895</v>
      </c>
      <c r="T858" s="10" t="s">
        <v>85</v>
      </c>
      <c r="U858" s="173" t="s">
        <v>38</v>
      </c>
      <c r="V858" s="11" t="s">
        <v>28</v>
      </c>
      <c r="W858" s="22" t="s">
        <v>40</v>
      </c>
      <c r="X858" s="22" t="s">
        <v>40</v>
      </c>
      <c r="Y858" s="22"/>
      <c r="Z858" s="6"/>
      <c r="AA858" s="6"/>
      <c r="AB858" s="23"/>
      <c r="AC858" s="7"/>
    </row>
    <row r="859" spans="1:29" ht="15.75" customHeight="1">
      <c r="A859" s="10" t="s">
        <v>5896</v>
      </c>
      <c r="B859" s="10" t="s">
        <v>474</v>
      </c>
      <c r="C859" s="11" t="s">
        <v>28</v>
      </c>
      <c r="D859" s="12"/>
      <c r="E859" s="13" t="s">
        <v>5897</v>
      </c>
      <c r="F859" s="43" t="s">
        <v>5897</v>
      </c>
      <c r="G859" s="6" t="str">
        <f ca="1">IFERROR(__xludf.DUMMYFUNCTION("CONCATENATE(B859,(VLOOKUP(C859,CATALOGOS!$F$2:$H$6,3,FALSE)),(VLOOKUP(V859,CATALOGOS!$J$2:$K$18,2,FALSE)),""-"",TO_TEXT(A859))"),"P35DA-0858")</f>
        <v>P35DA-0858</v>
      </c>
      <c r="H859" s="6" t="str">
        <f ca="1">IFERROR(__xludf.DUMMYFUNCTION("CONCATENATE($B859,(VLOOKUP($C859,CATALOGOS!$F$2:$H$6,3,FALSE)),(VLOOKUP($V859,CATALOGOS!$J$2:$K$18,2,FALSE)),""-"",TO_TEXT($A859))"),"P35DA-0858")</f>
        <v>P35DA-0858</v>
      </c>
      <c r="I859" s="6"/>
      <c r="J859" s="6" t="s">
        <v>5898</v>
      </c>
      <c r="K859" s="6" t="s">
        <v>5899</v>
      </c>
      <c r="L859" s="6" t="s">
        <v>5900</v>
      </c>
      <c r="M859" s="6" t="s">
        <v>141</v>
      </c>
      <c r="N859" s="17"/>
      <c r="O859" s="17"/>
      <c r="P859" s="17" t="str">
        <f t="shared" si="3"/>
        <v>REPETIDO</v>
      </c>
      <c r="Q859" s="17" t="s">
        <v>5901</v>
      </c>
      <c r="R859" s="6">
        <v>106782</v>
      </c>
      <c r="S859" s="6" t="s">
        <v>5902</v>
      </c>
      <c r="T859" s="10" t="s">
        <v>85</v>
      </c>
      <c r="U859" s="173" t="s">
        <v>38</v>
      </c>
      <c r="V859" s="11" t="s">
        <v>28</v>
      </c>
      <c r="W859" s="22" t="s">
        <v>40</v>
      </c>
      <c r="X859" s="22" t="s">
        <v>40</v>
      </c>
      <c r="Y859" s="22"/>
      <c r="Z859" s="6"/>
      <c r="AA859" s="6"/>
      <c r="AB859" s="23"/>
      <c r="AC859" s="7"/>
    </row>
    <row r="860" spans="1:29" ht="15.75" customHeight="1">
      <c r="A860" s="10" t="s">
        <v>5903</v>
      </c>
      <c r="B860" s="10" t="s">
        <v>474</v>
      </c>
      <c r="C860" s="11" t="s">
        <v>28</v>
      </c>
      <c r="D860" s="12"/>
      <c r="E860" s="13" t="s">
        <v>5904</v>
      </c>
      <c r="F860" s="43" t="s">
        <v>5905</v>
      </c>
      <c r="G860" s="6" t="str">
        <f ca="1">IFERROR(__xludf.DUMMYFUNCTION("CONCATENATE(B860,(VLOOKUP(C860,CATALOGOS!$F$2:$H$6,3,FALSE)),(VLOOKUP(V860,CATALOGOS!$J$2:$K$18,2,FALSE)),""-"",TO_TEXT(A860))"),"P35DA-0859")</f>
        <v>P35DA-0859</v>
      </c>
      <c r="H860" s="6" t="str">
        <f ca="1">IFERROR(__xludf.DUMMYFUNCTION("CONCATENATE($B860,(VLOOKUP($C860,CATALOGOS!$F$2:$H$6,3,FALSE)),(VLOOKUP($V860,CATALOGOS!$J$2:$K$18,2,FALSE)),""-"",TO_TEXT($A860))"),"P35DA-0859")</f>
        <v>P35DA-0859</v>
      </c>
      <c r="I860" s="6"/>
      <c r="J860" s="6" t="s">
        <v>5906</v>
      </c>
      <c r="K860" s="6" t="s">
        <v>5907</v>
      </c>
      <c r="L860" s="6" t="s">
        <v>5908</v>
      </c>
      <c r="M860" s="6" t="s">
        <v>5909</v>
      </c>
      <c r="N860" s="17"/>
      <c r="O860" s="17"/>
      <c r="P860" s="17" t="str">
        <f t="shared" si="3"/>
        <v>OK</v>
      </c>
      <c r="Q860" s="17" t="s">
        <v>5910</v>
      </c>
      <c r="R860" s="6" t="s">
        <v>35</v>
      </c>
      <c r="S860" s="17" t="s">
        <v>36</v>
      </c>
      <c r="T860" s="17" t="s">
        <v>5911</v>
      </c>
      <c r="U860" s="173" t="s">
        <v>38</v>
      </c>
      <c r="V860" s="11" t="s">
        <v>28</v>
      </c>
      <c r="W860" s="22" t="s">
        <v>40</v>
      </c>
      <c r="X860" s="22" t="s">
        <v>40</v>
      </c>
      <c r="Y860" s="22"/>
      <c r="Z860" s="81"/>
      <c r="AA860" s="81"/>
      <c r="AB860" s="23"/>
      <c r="AC860" s="26"/>
    </row>
    <row r="861" spans="1:29" ht="15.75" customHeight="1">
      <c r="A861" s="10" t="s">
        <v>5912</v>
      </c>
      <c r="B861" s="10" t="s">
        <v>474</v>
      </c>
      <c r="C861" s="11" t="s">
        <v>28</v>
      </c>
      <c r="D861" s="12"/>
      <c r="E861" s="13" t="s">
        <v>5913</v>
      </c>
      <c r="F861" s="6" t="s">
        <v>5913</v>
      </c>
      <c r="G861" s="6" t="str">
        <f ca="1">IFERROR(__xludf.DUMMYFUNCTION("CONCATENATE(B861,(VLOOKUP(C861,CATALOGOS!$F$2:$H$6,3,FALSE)),(VLOOKUP(V861,CATALOGOS!$J$2:$K$18,2,FALSE)),""-"",TO_TEXT(A861))"),"P35DA-0860")</f>
        <v>P35DA-0860</v>
      </c>
      <c r="H861" s="6" t="str">
        <f ca="1">IFERROR(__xludf.DUMMYFUNCTION("CONCATENATE($B861,(VLOOKUP($C861,CATALOGOS!$F$2:$H$6,3,FALSE)),(VLOOKUP($V861,CATALOGOS!$J$2:$K$18,2,FALSE)),""-"",TO_TEXT($A861))"),"P35DA-0860")</f>
        <v>P35DA-0860</v>
      </c>
      <c r="I861" s="6"/>
      <c r="J861" s="6" t="s">
        <v>5914</v>
      </c>
      <c r="K861" s="6" t="s">
        <v>5915</v>
      </c>
      <c r="L861" s="6" t="s">
        <v>5916</v>
      </c>
      <c r="M861" s="6" t="s">
        <v>5917</v>
      </c>
      <c r="N861" s="17"/>
      <c r="O861" s="17"/>
      <c r="P861" s="17" t="str">
        <f t="shared" si="3"/>
        <v>OK</v>
      </c>
      <c r="Q861" s="17" t="s">
        <v>5918</v>
      </c>
      <c r="R861" s="6" t="s">
        <v>5919</v>
      </c>
      <c r="S861" s="17" t="s">
        <v>36</v>
      </c>
      <c r="T861" s="17" t="s">
        <v>5920</v>
      </c>
      <c r="U861" s="173" t="s">
        <v>38</v>
      </c>
      <c r="V861" s="11" t="s">
        <v>28</v>
      </c>
      <c r="W861" s="22" t="s">
        <v>40</v>
      </c>
      <c r="X861" s="22" t="s">
        <v>40</v>
      </c>
      <c r="Y861" s="22"/>
      <c r="Z861" s="81"/>
      <c r="AA861" s="81"/>
      <c r="AB861" s="23"/>
      <c r="AC861" s="26"/>
    </row>
    <row r="862" spans="1:29" ht="15.75" customHeight="1">
      <c r="A862" s="10" t="s">
        <v>5921</v>
      </c>
      <c r="B862" s="10" t="s">
        <v>474</v>
      </c>
      <c r="C862" s="11" t="s">
        <v>28</v>
      </c>
      <c r="D862" s="12"/>
      <c r="E862" s="13" t="s">
        <v>565</v>
      </c>
      <c r="F862" s="43" t="s">
        <v>5922</v>
      </c>
      <c r="G862" s="6" t="str">
        <f ca="1">IFERROR(__xludf.DUMMYFUNCTION("CONCATENATE(B862,(VLOOKUP(C862,CATALOGOS!$F$2:$H$6,3,FALSE)),(VLOOKUP(V862,CATALOGOS!$J$2:$K$18,2,FALSE)),""-"",TO_TEXT(A862))"),"P35DA-0861")</f>
        <v>P35DA-0861</v>
      </c>
      <c r="H862" s="6" t="str">
        <f ca="1">IFERROR(__xludf.DUMMYFUNCTION("CONCATENATE($B862,(VLOOKUP($C862,CATALOGOS!$F$2:$H$6,3,FALSE)),(VLOOKUP($V862,CATALOGOS!$J$2:$K$18,2,FALSE)),""-"",TO_TEXT($A862))"),"P35DA-0861")</f>
        <v>P35DA-0861</v>
      </c>
      <c r="I862" s="6"/>
      <c r="J862" s="6" t="s">
        <v>5923</v>
      </c>
      <c r="K862" s="6" t="s">
        <v>5924</v>
      </c>
      <c r="L862" s="6" t="s">
        <v>5925</v>
      </c>
      <c r="M862" s="6" t="s">
        <v>5926</v>
      </c>
      <c r="N862" s="17"/>
      <c r="O862" s="17"/>
      <c r="P862" s="17" t="str">
        <f t="shared" si="3"/>
        <v>OK</v>
      </c>
      <c r="Q862" s="17" t="s">
        <v>35</v>
      </c>
      <c r="R862" s="6" t="s">
        <v>35</v>
      </c>
      <c r="S862" s="17" t="s">
        <v>36</v>
      </c>
      <c r="T862" s="17" t="s">
        <v>5927</v>
      </c>
      <c r="U862" s="173" t="s">
        <v>38</v>
      </c>
      <c r="V862" s="11" t="s">
        <v>28</v>
      </c>
      <c r="W862" s="22" t="s">
        <v>40</v>
      </c>
      <c r="X862" s="22" t="s">
        <v>40</v>
      </c>
      <c r="Y862" s="22"/>
      <c r="Z862" s="81"/>
      <c r="AA862" s="81"/>
      <c r="AB862" s="23"/>
      <c r="AC862" s="26"/>
    </row>
    <row r="863" spans="1:29" ht="15.75" customHeight="1">
      <c r="A863" s="10" t="s">
        <v>5928</v>
      </c>
      <c r="B863" s="10" t="s">
        <v>474</v>
      </c>
      <c r="C863" s="11" t="s">
        <v>28</v>
      </c>
      <c r="D863" s="12"/>
      <c r="E863" s="13" t="s">
        <v>5929</v>
      </c>
      <c r="F863" s="43" t="s">
        <v>5930</v>
      </c>
      <c r="G863" s="6" t="str">
        <f ca="1">IFERROR(__xludf.DUMMYFUNCTION("CONCATENATE(B863,(VLOOKUP(C863,CATALOGOS!$F$2:$H$6,3,FALSE)),(VLOOKUP(V863,CATALOGOS!$J$2:$K$18,2,FALSE)),""-"",TO_TEXT(A863))"),"P35DA-0862")</f>
        <v>P35DA-0862</v>
      </c>
      <c r="H863" s="6" t="str">
        <f ca="1">IFERROR(__xludf.DUMMYFUNCTION("CONCATENATE($B863,(VLOOKUP($C863,CATALOGOS!$F$2:$H$6,3,FALSE)),(VLOOKUP($V863,CATALOGOS!$J$2:$K$18,2,FALSE)),""-"",TO_TEXT($A863))"),"P35DA-0862")</f>
        <v>P35DA-0862</v>
      </c>
      <c r="I863" s="6"/>
      <c r="J863" s="6" t="s">
        <v>5931</v>
      </c>
      <c r="K863" s="6" t="s">
        <v>5932</v>
      </c>
      <c r="L863" s="6" t="s">
        <v>5933</v>
      </c>
      <c r="M863" s="6" t="s">
        <v>5934</v>
      </c>
      <c r="N863" s="17"/>
      <c r="O863" s="17"/>
      <c r="P863" s="17" t="str">
        <f t="shared" si="3"/>
        <v>OK</v>
      </c>
      <c r="Q863" s="17" t="s">
        <v>5918</v>
      </c>
      <c r="R863" s="6" t="s">
        <v>35</v>
      </c>
      <c r="S863" s="17" t="s">
        <v>5935</v>
      </c>
      <c r="T863" s="17" t="s">
        <v>5936</v>
      </c>
      <c r="U863" s="173" t="s">
        <v>38</v>
      </c>
      <c r="V863" s="11" t="s">
        <v>28</v>
      </c>
      <c r="W863" s="22" t="s">
        <v>40</v>
      </c>
      <c r="X863" s="22" t="s">
        <v>40</v>
      </c>
      <c r="Y863" s="22"/>
      <c r="Z863" s="7"/>
      <c r="AA863" s="7"/>
      <c r="AB863" s="23"/>
      <c r="AC863" s="26"/>
    </row>
    <row r="864" spans="1:29" ht="15.75" customHeight="1">
      <c r="A864" s="10" t="s">
        <v>5937</v>
      </c>
      <c r="B864" s="10" t="s">
        <v>474</v>
      </c>
      <c r="C864" s="11" t="s">
        <v>28</v>
      </c>
      <c r="D864" s="12"/>
      <c r="E864" s="13" t="s">
        <v>565</v>
      </c>
      <c r="F864" s="43" t="s">
        <v>5938</v>
      </c>
      <c r="G864" s="6" t="str">
        <f ca="1">IFERROR(__xludf.DUMMYFUNCTION("CONCATENATE(B864,(VLOOKUP(C864,CATALOGOS!$F$2:$H$6,3,FALSE)),(VLOOKUP(V864,CATALOGOS!$J$2:$K$18,2,FALSE)),""-"",TO_TEXT(A864))"),"P35DA-0863")</f>
        <v>P35DA-0863</v>
      </c>
      <c r="H864" s="6" t="str">
        <f ca="1">IFERROR(__xludf.DUMMYFUNCTION("CONCATENATE($B864,(VLOOKUP($C864,CATALOGOS!$F$2:$H$6,3,FALSE)),(VLOOKUP($V864,CATALOGOS!$J$2:$K$18,2,FALSE)),""-"",TO_TEXT($A864))"),"P35DA-0863")</f>
        <v>P35DA-0863</v>
      </c>
      <c r="I864" s="6"/>
      <c r="J864" s="6" t="s">
        <v>5939</v>
      </c>
      <c r="K864" s="6" t="s">
        <v>5940</v>
      </c>
      <c r="L864" s="6" t="s">
        <v>5941</v>
      </c>
      <c r="M864" s="6" t="s">
        <v>5942</v>
      </c>
      <c r="N864" s="17"/>
      <c r="O864" s="17"/>
      <c r="P864" s="17" t="str">
        <f t="shared" si="3"/>
        <v>OK</v>
      </c>
      <c r="Q864" s="17" t="s">
        <v>35</v>
      </c>
      <c r="R864" s="6" t="s">
        <v>35</v>
      </c>
      <c r="S864" s="17" t="s">
        <v>36</v>
      </c>
      <c r="T864" s="17" t="s">
        <v>5943</v>
      </c>
      <c r="U864" s="173" t="s">
        <v>38</v>
      </c>
      <c r="V864" s="11" t="s">
        <v>28</v>
      </c>
      <c r="W864" s="22" t="s">
        <v>40</v>
      </c>
      <c r="X864" s="22" t="s">
        <v>40</v>
      </c>
      <c r="Y864" s="22"/>
      <c r="Z864" s="7"/>
      <c r="AA864" s="7"/>
      <c r="AB864" s="23"/>
      <c r="AC864" s="26"/>
    </row>
    <row r="865" spans="1:29" ht="15.75" customHeight="1">
      <c r="A865" s="10" t="s">
        <v>5944</v>
      </c>
      <c r="B865" s="10" t="s">
        <v>474</v>
      </c>
      <c r="C865" s="11" t="s">
        <v>28</v>
      </c>
      <c r="D865" s="12"/>
      <c r="E865" s="13" t="s">
        <v>378</v>
      </c>
      <c r="F865" s="6" t="s">
        <v>5945</v>
      </c>
      <c r="G865" s="6" t="str">
        <f ca="1">IFERROR(__xludf.DUMMYFUNCTION("CONCATENATE(B865,(VLOOKUP(C865,CATALOGOS!$F$2:$H$6,3,FALSE)),(VLOOKUP(V865,CATALOGOS!$J$2:$K$18,2,FALSE)),""-"",TO_TEXT(A865))"),"P35DA-0864")</f>
        <v>P35DA-0864</v>
      </c>
      <c r="H865" s="6" t="str">
        <f ca="1">IFERROR(__xludf.DUMMYFUNCTION("CONCATENATE($B865,(VLOOKUP($C865,CATALOGOS!$F$2:$H$6,3,FALSE)),(VLOOKUP($V865,CATALOGOS!$J$2:$K$18,2,FALSE)),""-"",TO_TEXT($A865))"),"P35DA-0864")</f>
        <v>P35DA-0864</v>
      </c>
      <c r="I865" s="6"/>
      <c r="J865" s="6" t="s">
        <v>5946</v>
      </c>
      <c r="K865" s="6" t="s">
        <v>5947</v>
      </c>
      <c r="L865" s="6" t="s">
        <v>5948</v>
      </c>
      <c r="M865" s="6" t="s">
        <v>5949</v>
      </c>
      <c r="N865" s="17"/>
      <c r="O865" s="17"/>
      <c r="P865" s="17" t="str">
        <f t="shared" si="3"/>
        <v>OK</v>
      </c>
      <c r="Q865" s="17" t="s">
        <v>35</v>
      </c>
      <c r="R865" s="6" t="s">
        <v>35</v>
      </c>
      <c r="S865" s="17" t="s">
        <v>36</v>
      </c>
      <c r="T865" s="17" t="s">
        <v>5950</v>
      </c>
      <c r="U865" s="173" t="s">
        <v>38</v>
      </c>
      <c r="V865" s="11" t="s">
        <v>28</v>
      </c>
      <c r="W865" s="22" t="s">
        <v>40</v>
      </c>
      <c r="X865" s="22" t="s">
        <v>40</v>
      </c>
      <c r="Y865" s="22"/>
      <c r="Z865" s="7"/>
      <c r="AA865" s="7"/>
      <c r="AB865" s="23"/>
      <c r="AC865" s="26"/>
    </row>
    <row r="866" spans="1:29" ht="15.75" customHeight="1">
      <c r="A866" s="10" t="s">
        <v>5951</v>
      </c>
      <c r="B866" s="10" t="s">
        <v>474</v>
      </c>
      <c r="C866" s="11" t="s">
        <v>28</v>
      </c>
      <c r="D866" s="12"/>
      <c r="E866" s="68" t="s">
        <v>378</v>
      </c>
      <c r="F866" s="6" t="s">
        <v>5945</v>
      </c>
      <c r="G866" s="6" t="str">
        <f ca="1">IFERROR(__xludf.DUMMYFUNCTION("CONCATENATE(B866,(VLOOKUP(C866,CATALOGOS!$F$2:$H$6,3,FALSE)),(VLOOKUP(V866,CATALOGOS!$J$2:$K$18,2,FALSE)),""-"",TO_TEXT(A866))"),"P35DA-0865")</f>
        <v>P35DA-0865</v>
      </c>
      <c r="H866" s="6" t="str">
        <f ca="1">IFERROR(__xludf.DUMMYFUNCTION("CONCATENATE($B866,(VLOOKUP($C866,CATALOGOS!$F$2:$H$6,3,FALSE)),(VLOOKUP($V866,CATALOGOS!$J$2:$K$18,2,FALSE)),""-"",TO_TEXT($A866))"),"P35DA-0865")</f>
        <v>P35DA-0865</v>
      </c>
      <c r="I866" s="6"/>
      <c r="J866" s="6" t="s">
        <v>5952</v>
      </c>
      <c r="K866" s="6" t="s">
        <v>5953</v>
      </c>
      <c r="L866" s="6" t="s">
        <v>5954</v>
      </c>
      <c r="M866" s="6" t="s">
        <v>5955</v>
      </c>
      <c r="N866" s="17"/>
      <c r="O866" s="17"/>
      <c r="P866" s="17" t="str">
        <f t="shared" si="3"/>
        <v>OK</v>
      </c>
      <c r="Q866" s="17" t="s">
        <v>35</v>
      </c>
      <c r="R866" s="6" t="s">
        <v>35</v>
      </c>
      <c r="S866" s="17" t="s">
        <v>36</v>
      </c>
      <c r="T866" s="17" t="s">
        <v>5956</v>
      </c>
      <c r="U866" s="173" t="s">
        <v>38</v>
      </c>
      <c r="V866" s="11" t="s">
        <v>28</v>
      </c>
      <c r="W866" s="22" t="s">
        <v>40</v>
      </c>
      <c r="X866" s="22" t="s">
        <v>40</v>
      </c>
      <c r="Y866" s="22"/>
      <c r="Z866" s="7"/>
      <c r="AA866" s="7"/>
      <c r="AB866" s="23"/>
      <c r="AC866" s="26"/>
    </row>
    <row r="867" spans="1:29" ht="15.75" customHeight="1">
      <c r="A867" s="10" t="s">
        <v>5957</v>
      </c>
      <c r="B867" s="10" t="s">
        <v>474</v>
      </c>
      <c r="C867" s="11" t="s">
        <v>28</v>
      </c>
      <c r="D867" s="12"/>
      <c r="E867" s="68" t="s">
        <v>378</v>
      </c>
      <c r="F867" s="43" t="s">
        <v>5945</v>
      </c>
      <c r="G867" s="6" t="str">
        <f ca="1">IFERROR(__xludf.DUMMYFUNCTION("CONCATENATE(B867,(VLOOKUP(C867,CATALOGOS!$F$2:$H$6,3,FALSE)),(VLOOKUP(V867,CATALOGOS!$J$2:$K$18,2,FALSE)),""-"",TO_TEXT(A867))"),"P35DA-0866")</f>
        <v>P35DA-0866</v>
      </c>
      <c r="H867" s="6" t="str">
        <f ca="1">IFERROR(__xludf.DUMMYFUNCTION("CONCATENATE($B867,(VLOOKUP($C867,CATALOGOS!$F$2:$H$6,3,FALSE)),(VLOOKUP($V867,CATALOGOS!$J$2:$K$18,2,FALSE)),""-"",TO_TEXT($A867))"),"P35DA-0866")</f>
        <v>P35DA-0866</v>
      </c>
      <c r="I867" s="6"/>
      <c r="J867" s="6" t="s">
        <v>5958</v>
      </c>
      <c r="K867" s="6" t="s">
        <v>5959</v>
      </c>
      <c r="L867" s="6" t="s">
        <v>5960</v>
      </c>
      <c r="M867" s="43" t="s">
        <v>5961</v>
      </c>
      <c r="N867" s="17"/>
      <c r="O867" s="17"/>
      <c r="P867" s="17" t="str">
        <f t="shared" si="3"/>
        <v>OK</v>
      </c>
      <c r="Q867" s="17" t="s">
        <v>35</v>
      </c>
      <c r="R867" s="6" t="s">
        <v>35</v>
      </c>
      <c r="S867" s="17" t="s">
        <v>36</v>
      </c>
      <c r="T867" s="17" t="s">
        <v>5962</v>
      </c>
      <c r="U867" s="173" t="s">
        <v>38</v>
      </c>
      <c r="V867" s="11" t="s">
        <v>28</v>
      </c>
      <c r="W867" s="22" t="s">
        <v>40</v>
      </c>
      <c r="X867" s="22" t="s">
        <v>40</v>
      </c>
      <c r="Y867" s="22"/>
      <c r="Z867" s="7"/>
      <c r="AA867" s="7"/>
      <c r="AB867" s="23"/>
      <c r="AC867" s="26"/>
    </row>
    <row r="868" spans="1:29" ht="15.75" customHeight="1">
      <c r="A868" s="10" t="s">
        <v>5963</v>
      </c>
      <c r="B868" s="10" t="s">
        <v>474</v>
      </c>
      <c r="C868" s="11" t="s">
        <v>28</v>
      </c>
      <c r="D868" s="12"/>
      <c r="E868" s="68" t="s">
        <v>378</v>
      </c>
      <c r="F868" s="43" t="s">
        <v>5945</v>
      </c>
      <c r="G868" s="6" t="str">
        <f ca="1">IFERROR(__xludf.DUMMYFUNCTION("CONCATENATE(B868,(VLOOKUP(C868,CATALOGOS!$F$2:$H$6,3,FALSE)),(VLOOKUP(V868,CATALOGOS!$J$2:$K$18,2,FALSE)),""-"",TO_TEXT(A868))"),"P35DA-0867")</f>
        <v>P35DA-0867</v>
      </c>
      <c r="H868" s="6" t="str">
        <f ca="1">IFERROR(__xludf.DUMMYFUNCTION("CONCATENATE($B868,(VLOOKUP($C868,CATALOGOS!$F$2:$H$6,3,FALSE)),(VLOOKUP($V868,CATALOGOS!$J$2:$K$18,2,FALSE)),""-"",TO_TEXT($A868))"),"P35DA-0867")</f>
        <v>P35DA-0867</v>
      </c>
      <c r="I868" s="6"/>
      <c r="J868" s="6" t="s">
        <v>5964</v>
      </c>
      <c r="K868" s="6" t="s">
        <v>5965</v>
      </c>
      <c r="L868" s="6" t="s">
        <v>5966</v>
      </c>
      <c r="M868" s="43" t="s">
        <v>5967</v>
      </c>
      <c r="N868" s="17"/>
      <c r="O868" s="17"/>
      <c r="P868" s="17" t="str">
        <f t="shared" si="3"/>
        <v>OK</v>
      </c>
      <c r="Q868" s="17" t="s">
        <v>35</v>
      </c>
      <c r="R868" s="6" t="s">
        <v>35</v>
      </c>
      <c r="S868" s="17" t="s">
        <v>36</v>
      </c>
      <c r="T868" s="17" t="s">
        <v>5968</v>
      </c>
      <c r="U868" s="173" t="s">
        <v>38</v>
      </c>
      <c r="V868" s="11" t="s">
        <v>28</v>
      </c>
      <c r="W868" s="22" t="s">
        <v>40</v>
      </c>
      <c r="X868" s="22" t="s">
        <v>40</v>
      </c>
      <c r="Y868" s="22"/>
      <c r="Z868" s="7"/>
      <c r="AA868" s="7"/>
      <c r="AB868" s="23"/>
      <c r="AC868" s="26"/>
    </row>
    <row r="869" spans="1:29" ht="15.75" customHeight="1">
      <c r="A869" s="10" t="s">
        <v>5969</v>
      </c>
      <c r="B869" s="10" t="s">
        <v>474</v>
      </c>
      <c r="C869" s="11" t="s">
        <v>28</v>
      </c>
      <c r="D869" s="12"/>
      <c r="E869" s="68" t="s">
        <v>378</v>
      </c>
      <c r="F869" s="43" t="s">
        <v>5945</v>
      </c>
      <c r="G869" s="6" t="str">
        <f ca="1">IFERROR(__xludf.DUMMYFUNCTION("CONCATENATE(B869,(VLOOKUP(C869,CATALOGOS!$F$2:$H$6,3,FALSE)),(VLOOKUP(V869,CATALOGOS!$J$2:$K$18,2,FALSE)),""-"",TO_TEXT(A869))"),"P35DA-0868")</f>
        <v>P35DA-0868</v>
      </c>
      <c r="H869" s="6" t="str">
        <f ca="1">IFERROR(__xludf.DUMMYFUNCTION("CONCATENATE($B869,(VLOOKUP($C869,CATALOGOS!$F$2:$H$6,3,FALSE)),(VLOOKUP($V869,CATALOGOS!$J$2:$K$18,2,FALSE)),""-"",TO_TEXT($A869))"),"P35DA-0868")</f>
        <v>P35DA-0868</v>
      </c>
      <c r="I869" s="6"/>
      <c r="J869" s="6" t="s">
        <v>5970</v>
      </c>
      <c r="K869" s="6" t="s">
        <v>5971</v>
      </c>
      <c r="L869" s="6" t="s">
        <v>5972</v>
      </c>
      <c r="M869" s="43" t="s">
        <v>5973</v>
      </c>
      <c r="N869" s="17"/>
      <c r="O869" s="17"/>
      <c r="P869" s="17" t="str">
        <f t="shared" si="3"/>
        <v>OK</v>
      </c>
      <c r="Q869" s="17" t="s">
        <v>35</v>
      </c>
      <c r="R869" s="6" t="s">
        <v>35</v>
      </c>
      <c r="S869" s="17" t="s">
        <v>36</v>
      </c>
      <c r="T869" s="17" t="s">
        <v>5974</v>
      </c>
      <c r="U869" s="173" t="s">
        <v>38</v>
      </c>
      <c r="V869" s="11" t="s">
        <v>28</v>
      </c>
      <c r="W869" s="22" t="s">
        <v>40</v>
      </c>
      <c r="X869" s="22" t="s">
        <v>40</v>
      </c>
      <c r="Y869" s="22"/>
      <c r="Z869" s="7"/>
      <c r="AA869" s="7"/>
      <c r="AB869" s="23"/>
      <c r="AC869" s="26"/>
    </row>
    <row r="870" spans="1:29" ht="15.75" customHeight="1">
      <c r="A870" s="10" t="s">
        <v>5975</v>
      </c>
      <c r="B870" s="10" t="s">
        <v>474</v>
      </c>
      <c r="C870" s="11" t="s">
        <v>28</v>
      </c>
      <c r="D870" s="12"/>
      <c r="E870" s="68" t="s">
        <v>378</v>
      </c>
      <c r="F870" s="43" t="s">
        <v>5945</v>
      </c>
      <c r="G870" s="6" t="str">
        <f ca="1">IFERROR(__xludf.DUMMYFUNCTION("CONCATENATE(B870,(VLOOKUP(C870,CATALOGOS!$F$2:$H$6,3,FALSE)),(VLOOKUP(V870,CATALOGOS!$J$2:$K$18,2,FALSE)),""-"",TO_TEXT(A870))"),"P35DA-0869")</f>
        <v>P35DA-0869</v>
      </c>
      <c r="H870" s="6" t="str">
        <f ca="1">IFERROR(__xludf.DUMMYFUNCTION("CONCATENATE($B870,(VLOOKUP($C870,CATALOGOS!$F$2:$H$6,3,FALSE)),(VLOOKUP($V870,CATALOGOS!$J$2:$K$18,2,FALSE)),""-"",TO_TEXT($A870))"),"P35DA-0869")</f>
        <v>P35DA-0869</v>
      </c>
      <c r="I870" s="6"/>
      <c r="J870" s="6" t="s">
        <v>5976</v>
      </c>
      <c r="K870" s="6" t="s">
        <v>5977</v>
      </c>
      <c r="L870" s="6" t="s">
        <v>5978</v>
      </c>
      <c r="M870" s="43" t="s">
        <v>5979</v>
      </c>
      <c r="N870" s="17"/>
      <c r="O870" s="17"/>
      <c r="P870" s="17" t="str">
        <f t="shared" si="3"/>
        <v>OK</v>
      </c>
      <c r="Q870" s="17" t="s">
        <v>35</v>
      </c>
      <c r="R870" s="6" t="s">
        <v>35</v>
      </c>
      <c r="S870" s="17" t="s">
        <v>36</v>
      </c>
      <c r="T870" s="17" t="s">
        <v>5980</v>
      </c>
      <c r="U870" s="173" t="s">
        <v>38</v>
      </c>
      <c r="V870" s="11" t="s">
        <v>28</v>
      </c>
      <c r="W870" s="22" t="s">
        <v>40</v>
      </c>
      <c r="X870" s="22" t="s">
        <v>40</v>
      </c>
      <c r="Y870" s="22"/>
      <c r="Z870" s="7"/>
      <c r="AA870" s="7"/>
      <c r="AB870" s="23"/>
      <c r="AC870" s="26"/>
    </row>
    <row r="871" spans="1:29" ht="15.75" customHeight="1">
      <c r="A871" s="10" t="s">
        <v>5981</v>
      </c>
      <c r="B871" s="10" t="s">
        <v>474</v>
      </c>
      <c r="C871" s="11" t="s">
        <v>28</v>
      </c>
      <c r="D871" s="12"/>
      <c r="E871" s="68" t="s">
        <v>378</v>
      </c>
      <c r="F871" s="43" t="s">
        <v>5945</v>
      </c>
      <c r="G871" s="6" t="str">
        <f ca="1">IFERROR(__xludf.DUMMYFUNCTION("CONCATENATE(B871,(VLOOKUP(C871,CATALOGOS!$F$2:$H$6,3,FALSE)),(VLOOKUP(V871,CATALOGOS!$J$2:$K$18,2,FALSE)),""-"",TO_TEXT(A871))"),"P35DA-0870")</f>
        <v>P35DA-0870</v>
      </c>
      <c r="H871" s="6" t="str">
        <f ca="1">IFERROR(__xludf.DUMMYFUNCTION("CONCATENATE($B871,(VLOOKUP($C871,CATALOGOS!$F$2:$H$6,3,FALSE)),(VLOOKUP($V871,CATALOGOS!$J$2:$K$18,2,FALSE)),""-"",TO_TEXT($A871))"),"P35DA-0870")</f>
        <v>P35DA-0870</v>
      </c>
      <c r="I871" s="6"/>
      <c r="J871" s="6" t="s">
        <v>5982</v>
      </c>
      <c r="K871" s="6" t="s">
        <v>5983</v>
      </c>
      <c r="L871" s="6" t="s">
        <v>5984</v>
      </c>
      <c r="M871" s="43" t="s">
        <v>5985</v>
      </c>
      <c r="N871" s="17"/>
      <c r="O871" s="17"/>
      <c r="P871" s="17" t="str">
        <f t="shared" si="3"/>
        <v>OK</v>
      </c>
      <c r="Q871" s="17" t="s">
        <v>35</v>
      </c>
      <c r="R871" s="6" t="s">
        <v>35</v>
      </c>
      <c r="S871" s="17" t="s">
        <v>36</v>
      </c>
      <c r="T871" s="17" t="s">
        <v>5986</v>
      </c>
      <c r="U871" s="173" t="s">
        <v>38</v>
      </c>
      <c r="V871" s="11" t="s">
        <v>28</v>
      </c>
      <c r="W871" s="22" t="s">
        <v>40</v>
      </c>
      <c r="X871" s="22" t="s">
        <v>40</v>
      </c>
      <c r="Y871" s="22"/>
      <c r="Z871" s="7"/>
      <c r="AA871" s="7"/>
      <c r="AB871" s="23"/>
      <c r="AC871" s="26"/>
    </row>
    <row r="872" spans="1:29" ht="15.75" customHeight="1">
      <c r="A872" s="10" t="s">
        <v>5987</v>
      </c>
      <c r="B872" s="10" t="s">
        <v>474</v>
      </c>
      <c r="C872" s="11" t="s">
        <v>28</v>
      </c>
      <c r="D872" s="12"/>
      <c r="E872" s="68" t="s">
        <v>378</v>
      </c>
      <c r="F872" s="43" t="s">
        <v>5945</v>
      </c>
      <c r="G872" s="6" t="str">
        <f ca="1">IFERROR(__xludf.DUMMYFUNCTION("CONCATENATE(B872,(VLOOKUP(C872,CATALOGOS!$F$2:$H$6,3,FALSE)),(VLOOKUP(V872,CATALOGOS!$J$2:$K$18,2,FALSE)),""-"",TO_TEXT(A872))"),"P35DA-0871")</f>
        <v>P35DA-0871</v>
      </c>
      <c r="H872" s="6" t="str">
        <f ca="1">IFERROR(__xludf.DUMMYFUNCTION("CONCATENATE($B872,(VLOOKUP($C872,CATALOGOS!$F$2:$H$6,3,FALSE)),(VLOOKUP($V872,CATALOGOS!$J$2:$K$18,2,FALSE)),""-"",TO_TEXT($A872))"),"P35DA-0871")</f>
        <v>P35DA-0871</v>
      </c>
      <c r="I872" s="6"/>
      <c r="J872" s="6" t="s">
        <v>5988</v>
      </c>
      <c r="K872" s="6" t="s">
        <v>5989</v>
      </c>
      <c r="L872" s="6" t="s">
        <v>5990</v>
      </c>
      <c r="M872" s="43" t="s">
        <v>5991</v>
      </c>
      <c r="N872" s="17"/>
      <c r="O872" s="17"/>
      <c r="P872" s="17" t="str">
        <f t="shared" si="3"/>
        <v>OK</v>
      </c>
      <c r="Q872" s="17" t="s">
        <v>35</v>
      </c>
      <c r="R872" s="6" t="s">
        <v>35</v>
      </c>
      <c r="S872" s="17" t="s">
        <v>36</v>
      </c>
      <c r="T872" s="17" t="s">
        <v>5992</v>
      </c>
      <c r="U872" s="173" t="s">
        <v>38</v>
      </c>
      <c r="V872" s="11" t="s">
        <v>28</v>
      </c>
      <c r="W872" s="22" t="s">
        <v>40</v>
      </c>
      <c r="X872" s="22" t="s">
        <v>40</v>
      </c>
      <c r="Y872" s="22"/>
      <c r="Z872" s="7"/>
      <c r="AA872" s="7"/>
      <c r="AB872" s="23"/>
      <c r="AC872" s="26"/>
    </row>
    <row r="873" spans="1:29" ht="15.75" customHeight="1">
      <c r="A873" s="10" t="s">
        <v>5993</v>
      </c>
      <c r="B873" s="10" t="s">
        <v>474</v>
      </c>
      <c r="C873" s="11" t="s">
        <v>28</v>
      </c>
      <c r="D873" s="12"/>
      <c r="E873" s="68" t="s">
        <v>378</v>
      </c>
      <c r="F873" s="43" t="s">
        <v>5945</v>
      </c>
      <c r="G873" s="6" t="str">
        <f ca="1">IFERROR(__xludf.DUMMYFUNCTION("CONCATENATE(B873,(VLOOKUP(C873,CATALOGOS!$F$2:$H$6,3,FALSE)),(VLOOKUP(V873,CATALOGOS!$J$2:$K$18,2,FALSE)),""-"",TO_TEXT(A873))"),"P35DA-0872")</f>
        <v>P35DA-0872</v>
      </c>
      <c r="H873" s="6" t="str">
        <f ca="1">IFERROR(__xludf.DUMMYFUNCTION("CONCATENATE($B873,(VLOOKUP($C873,CATALOGOS!$F$2:$H$6,3,FALSE)),(VLOOKUP($V873,CATALOGOS!$J$2:$K$18,2,FALSE)),""-"",TO_TEXT($A873))"),"P35DA-0872")</f>
        <v>P35DA-0872</v>
      </c>
      <c r="I873" s="6"/>
      <c r="J873" s="6" t="s">
        <v>5994</v>
      </c>
      <c r="K873" s="6" t="s">
        <v>5995</v>
      </c>
      <c r="L873" s="6" t="s">
        <v>5996</v>
      </c>
      <c r="M873" s="43" t="s">
        <v>5997</v>
      </c>
      <c r="N873" s="17"/>
      <c r="O873" s="17"/>
      <c r="P873" s="17" t="str">
        <f t="shared" si="3"/>
        <v>OK</v>
      </c>
      <c r="Q873" s="17" t="s">
        <v>35</v>
      </c>
      <c r="R873" s="6" t="s">
        <v>35</v>
      </c>
      <c r="S873" s="17" t="s">
        <v>36</v>
      </c>
      <c r="T873" s="17" t="s">
        <v>5998</v>
      </c>
      <c r="U873" s="173" t="s">
        <v>38</v>
      </c>
      <c r="V873" s="11" t="s">
        <v>28</v>
      </c>
      <c r="W873" s="22" t="s">
        <v>40</v>
      </c>
      <c r="X873" s="22" t="s">
        <v>40</v>
      </c>
      <c r="Y873" s="22"/>
      <c r="Z873" s="7"/>
      <c r="AA873" s="7"/>
      <c r="AB873" s="23"/>
      <c r="AC873" s="26"/>
    </row>
    <row r="874" spans="1:29" ht="15.75" customHeight="1">
      <c r="A874" s="10" t="s">
        <v>5999</v>
      </c>
      <c r="B874" s="10" t="s">
        <v>474</v>
      </c>
      <c r="C874" s="11" t="s">
        <v>28</v>
      </c>
      <c r="D874" s="12"/>
      <c r="E874" s="68" t="s">
        <v>378</v>
      </c>
      <c r="F874" s="43" t="s">
        <v>5945</v>
      </c>
      <c r="G874" s="6" t="str">
        <f ca="1">IFERROR(__xludf.DUMMYFUNCTION("CONCATENATE(B874,(VLOOKUP(C874,CATALOGOS!$F$2:$H$6,3,FALSE)),(VLOOKUP(V874,CATALOGOS!$J$2:$K$18,2,FALSE)),""-"",TO_TEXT(A874))"),"P35DA-0873")</f>
        <v>P35DA-0873</v>
      </c>
      <c r="H874" s="6" t="str">
        <f ca="1">IFERROR(__xludf.DUMMYFUNCTION("CONCATENATE($B874,(VLOOKUP($C874,CATALOGOS!$F$2:$H$6,3,FALSE)),(VLOOKUP($V874,CATALOGOS!$J$2:$K$18,2,FALSE)),""-"",TO_TEXT($A874))"),"P35DA-0873")</f>
        <v>P35DA-0873</v>
      </c>
      <c r="I874" s="6"/>
      <c r="J874" s="6" t="s">
        <v>6000</v>
      </c>
      <c r="K874" s="6" t="s">
        <v>6001</v>
      </c>
      <c r="L874" s="6" t="s">
        <v>6002</v>
      </c>
      <c r="M874" s="43" t="s">
        <v>6003</v>
      </c>
      <c r="N874" s="17"/>
      <c r="O874" s="17"/>
      <c r="P874" s="17" t="str">
        <f t="shared" si="3"/>
        <v>OK</v>
      </c>
      <c r="Q874" s="17" t="s">
        <v>35</v>
      </c>
      <c r="R874" s="6" t="s">
        <v>35</v>
      </c>
      <c r="S874" s="17" t="s">
        <v>36</v>
      </c>
      <c r="T874" s="17" t="s">
        <v>6004</v>
      </c>
      <c r="U874" s="173" t="s">
        <v>38</v>
      </c>
      <c r="V874" s="11" t="s">
        <v>28</v>
      </c>
      <c r="W874" s="22" t="s">
        <v>40</v>
      </c>
      <c r="X874" s="22" t="s">
        <v>40</v>
      </c>
      <c r="Y874" s="22"/>
      <c r="Z874" s="7"/>
      <c r="AA874" s="7"/>
      <c r="AB874" s="23"/>
      <c r="AC874" s="26"/>
    </row>
    <row r="875" spans="1:29" ht="15.75" customHeight="1">
      <c r="A875" s="10" t="s">
        <v>6005</v>
      </c>
      <c r="B875" s="10" t="s">
        <v>474</v>
      </c>
      <c r="C875" s="11" t="s">
        <v>28</v>
      </c>
      <c r="D875" s="12"/>
      <c r="E875" s="68" t="s">
        <v>378</v>
      </c>
      <c r="F875" s="43" t="s">
        <v>5945</v>
      </c>
      <c r="G875" s="6" t="str">
        <f ca="1">IFERROR(__xludf.DUMMYFUNCTION("CONCATENATE(B875,(VLOOKUP(C875,CATALOGOS!$F$2:$H$6,3,FALSE)),(VLOOKUP(V875,CATALOGOS!$J$2:$K$18,2,FALSE)),""-"",TO_TEXT(A875))"),"P35DA-0874")</f>
        <v>P35DA-0874</v>
      </c>
      <c r="H875" s="6" t="str">
        <f ca="1">IFERROR(__xludf.DUMMYFUNCTION("CONCATENATE($B875,(VLOOKUP($C875,CATALOGOS!$F$2:$H$6,3,FALSE)),(VLOOKUP($V875,CATALOGOS!$J$2:$K$18,2,FALSE)),""-"",TO_TEXT($A875))"),"P35DA-0874")</f>
        <v>P35DA-0874</v>
      </c>
      <c r="I875" s="6"/>
      <c r="J875" s="6" t="s">
        <v>6006</v>
      </c>
      <c r="K875" s="6" t="s">
        <v>6007</v>
      </c>
      <c r="L875" s="6" t="s">
        <v>6008</v>
      </c>
      <c r="M875" s="43" t="s">
        <v>6009</v>
      </c>
      <c r="N875" s="17"/>
      <c r="O875" s="17"/>
      <c r="P875" s="17" t="str">
        <f t="shared" si="3"/>
        <v>OK</v>
      </c>
      <c r="Q875" s="17" t="s">
        <v>35</v>
      </c>
      <c r="R875" s="6" t="s">
        <v>35</v>
      </c>
      <c r="S875" s="17" t="s">
        <v>36</v>
      </c>
      <c r="T875" s="17" t="s">
        <v>6010</v>
      </c>
      <c r="U875" s="173" t="s">
        <v>38</v>
      </c>
      <c r="V875" s="11" t="s">
        <v>28</v>
      </c>
      <c r="W875" s="22" t="s">
        <v>40</v>
      </c>
      <c r="X875" s="22" t="s">
        <v>40</v>
      </c>
      <c r="Y875" s="22"/>
      <c r="Z875" s="7"/>
      <c r="AA875" s="7"/>
      <c r="AB875" s="23"/>
      <c r="AC875" s="26"/>
    </row>
    <row r="876" spans="1:29" ht="15.75" customHeight="1">
      <c r="A876" s="10" t="s">
        <v>6011</v>
      </c>
      <c r="B876" s="10" t="s">
        <v>474</v>
      </c>
      <c r="C876" s="11" t="s">
        <v>28</v>
      </c>
      <c r="D876" s="12"/>
      <c r="E876" s="68" t="s">
        <v>378</v>
      </c>
      <c r="F876" s="43" t="s">
        <v>5945</v>
      </c>
      <c r="G876" s="6" t="str">
        <f ca="1">IFERROR(__xludf.DUMMYFUNCTION("CONCATENATE(B876,(VLOOKUP(C876,CATALOGOS!$F$2:$H$6,3,FALSE)),(VLOOKUP(V876,CATALOGOS!$J$2:$K$18,2,FALSE)),""-"",TO_TEXT(A876))"),"P35DA-0875")</f>
        <v>P35DA-0875</v>
      </c>
      <c r="H876" s="6" t="str">
        <f ca="1">IFERROR(__xludf.DUMMYFUNCTION("CONCATENATE($B876,(VLOOKUP($C876,CATALOGOS!$F$2:$H$6,3,FALSE)),(VLOOKUP($V876,CATALOGOS!$J$2:$K$18,2,FALSE)),""-"",TO_TEXT($A876))"),"P35DA-0875")</f>
        <v>P35DA-0875</v>
      </c>
      <c r="I876" s="6"/>
      <c r="J876" s="6" t="s">
        <v>6012</v>
      </c>
      <c r="K876" s="6" t="s">
        <v>6013</v>
      </c>
      <c r="L876" s="6" t="s">
        <v>6014</v>
      </c>
      <c r="M876" s="43" t="s">
        <v>6015</v>
      </c>
      <c r="N876" s="17"/>
      <c r="O876" s="17"/>
      <c r="P876" s="17" t="str">
        <f t="shared" si="3"/>
        <v>OK</v>
      </c>
      <c r="Q876" s="17" t="s">
        <v>35</v>
      </c>
      <c r="R876" s="6" t="s">
        <v>35</v>
      </c>
      <c r="S876" s="17" t="s">
        <v>36</v>
      </c>
      <c r="T876" s="17" t="s">
        <v>6016</v>
      </c>
      <c r="U876" s="173" t="s">
        <v>38</v>
      </c>
      <c r="V876" s="11" t="s">
        <v>28</v>
      </c>
      <c r="W876" s="22" t="s">
        <v>40</v>
      </c>
      <c r="X876" s="22" t="s">
        <v>40</v>
      </c>
      <c r="Y876" s="22"/>
      <c r="Z876" s="7"/>
      <c r="AA876" s="7"/>
      <c r="AB876" s="23"/>
      <c r="AC876" s="26"/>
    </row>
    <row r="877" spans="1:29" ht="15.75" customHeight="1">
      <c r="A877" s="10" t="s">
        <v>6017</v>
      </c>
      <c r="B877" s="10" t="s">
        <v>474</v>
      </c>
      <c r="C877" s="11" t="s">
        <v>28</v>
      </c>
      <c r="D877" s="12"/>
      <c r="E877" s="68" t="s">
        <v>378</v>
      </c>
      <c r="F877" s="43" t="s">
        <v>5945</v>
      </c>
      <c r="G877" s="6" t="str">
        <f ca="1">IFERROR(__xludf.DUMMYFUNCTION("CONCATENATE(B877,(VLOOKUP(C877,CATALOGOS!$F$2:$H$6,3,FALSE)),(VLOOKUP(V877,CATALOGOS!$J$2:$K$18,2,FALSE)),""-"",TO_TEXT(A877))"),"P35DA-0876")</f>
        <v>P35DA-0876</v>
      </c>
      <c r="H877" s="6" t="str">
        <f ca="1">IFERROR(__xludf.DUMMYFUNCTION("CONCATENATE($B877,(VLOOKUP($C877,CATALOGOS!$F$2:$H$6,3,FALSE)),(VLOOKUP($V877,CATALOGOS!$J$2:$K$18,2,FALSE)),""-"",TO_TEXT($A877))"),"P35DA-0876")</f>
        <v>P35DA-0876</v>
      </c>
      <c r="I877" s="6"/>
      <c r="J877" s="6" t="s">
        <v>6018</v>
      </c>
      <c r="K877" s="6" t="s">
        <v>6019</v>
      </c>
      <c r="L877" s="6" t="s">
        <v>6020</v>
      </c>
      <c r="M877" s="43" t="s">
        <v>6021</v>
      </c>
      <c r="N877" s="17"/>
      <c r="O877" s="17"/>
      <c r="P877" s="17" t="str">
        <f t="shared" si="3"/>
        <v>OK</v>
      </c>
      <c r="Q877" s="17" t="s">
        <v>35</v>
      </c>
      <c r="R877" s="6" t="s">
        <v>35</v>
      </c>
      <c r="S877" s="17" t="s">
        <v>36</v>
      </c>
      <c r="T877" s="17" t="s">
        <v>6022</v>
      </c>
      <c r="U877" s="173" t="s">
        <v>38</v>
      </c>
      <c r="V877" s="11" t="s">
        <v>28</v>
      </c>
      <c r="W877" s="22" t="s">
        <v>40</v>
      </c>
      <c r="X877" s="22" t="s">
        <v>40</v>
      </c>
      <c r="Y877" s="22"/>
      <c r="Z877" s="7"/>
      <c r="AA877" s="7"/>
      <c r="AB877" s="23"/>
      <c r="AC877" s="26"/>
    </row>
    <row r="878" spans="1:29" ht="15.75" customHeight="1">
      <c r="A878" s="10" t="s">
        <v>6023</v>
      </c>
      <c r="B878" s="10" t="s">
        <v>474</v>
      </c>
      <c r="C878" s="11" t="s">
        <v>28</v>
      </c>
      <c r="D878" s="12"/>
      <c r="E878" s="68" t="s">
        <v>378</v>
      </c>
      <c r="F878" s="6" t="s">
        <v>5945</v>
      </c>
      <c r="G878" s="6" t="str">
        <f ca="1">IFERROR(__xludf.DUMMYFUNCTION("CONCATENATE(B878,(VLOOKUP(C878,CATALOGOS!$F$2:$H$6,3,FALSE)),(VLOOKUP(V878,CATALOGOS!$J$2:$K$18,2,FALSE)),""-"",TO_TEXT(A878))"),"P35DA-0877")</f>
        <v>P35DA-0877</v>
      </c>
      <c r="H878" s="6" t="str">
        <f ca="1">IFERROR(__xludf.DUMMYFUNCTION("CONCATENATE($B878,(VLOOKUP($C878,CATALOGOS!$F$2:$H$6,3,FALSE)),(VLOOKUP($V878,CATALOGOS!$J$2:$K$18,2,FALSE)),""-"",TO_TEXT($A878))"),"P35DA-0877")</f>
        <v>P35DA-0877</v>
      </c>
      <c r="I878" s="6"/>
      <c r="J878" s="6" t="s">
        <v>6024</v>
      </c>
      <c r="K878" s="6" t="s">
        <v>6025</v>
      </c>
      <c r="L878" s="6" t="s">
        <v>6026</v>
      </c>
      <c r="M878" s="6" t="s">
        <v>6027</v>
      </c>
      <c r="N878" s="17"/>
      <c r="O878" s="17"/>
      <c r="P878" s="17" t="str">
        <f t="shared" si="3"/>
        <v>OK</v>
      </c>
      <c r="Q878" s="17" t="s">
        <v>35</v>
      </c>
      <c r="R878" s="6" t="s">
        <v>35</v>
      </c>
      <c r="S878" s="6" t="s">
        <v>36</v>
      </c>
      <c r="T878" s="10" t="s">
        <v>6028</v>
      </c>
      <c r="U878" s="173" t="s">
        <v>38</v>
      </c>
      <c r="V878" s="11" t="s">
        <v>28</v>
      </c>
      <c r="W878" s="22" t="s">
        <v>40</v>
      </c>
      <c r="X878" s="22" t="s">
        <v>40</v>
      </c>
      <c r="Y878" s="22"/>
      <c r="Z878" s="7"/>
      <c r="AA878" s="7"/>
      <c r="AB878" s="23"/>
      <c r="AC878" s="26"/>
    </row>
    <row r="879" spans="1:29" ht="15.75" customHeight="1">
      <c r="A879" s="10" t="s">
        <v>6029</v>
      </c>
      <c r="B879" s="10" t="s">
        <v>474</v>
      </c>
      <c r="C879" s="11" t="s">
        <v>28</v>
      </c>
      <c r="D879" s="12"/>
      <c r="E879" s="68" t="s">
        <v>378</v>
      </c>
      <c r="F879" s="43" t="s">
        <v>5945</v>
      </c>
      <c r="G879" s="6" t="str">
        <f ca="1">IFERROR(__xludf.DUMMYFUNCTION("CONCATENATE(B879,(VLOOKUP(C879,CATALOGOS!$F$2:$H$6,3,FALSE)),(VLOOKUP(V879,CATALOGOS!$J$2:$K$18,2,FALSE)),""-"",TO_TEXT(A879))"),"P35DA-0878")</f>
        <v>P35DA-0878</v>
      </c>
      <c r="H879" s="6" t="str">
        <f ca="1">IFERROR(__xludf.DUMMYFUNCTION("CONCATENATE($B879,(VLOOKUP($C879,CATALOGOS!$F$2:$H$6,3,FALSE)),(VLOOKUP($V879,CATALOGOS!$J$2:$K$18,2,FALSE)),""-"",TO_TEXT($A879))"),"P35DA-0878")</f>
        <v>P35DA-0878</v>
      </c>
      <c r="I879" s="6"/>
      <c r="J879" s="6" t="s">
        <v>6030</v>
      </c>
      <c r="K879" s="6" t="s">
        <v>6031</v>
      </c>
      <c r="L879" s="6" t="s">
        <v>6032</v>
      </c>
      <c r="M879" s="43" t="s">
        <v>6033</v>
      </c>
      <c r="N879" s="17"/>
      <c r="O879" s="17"/>
      <c r="P879" s="17" t="str">
        <f t="shared" si="3"/>
        <v>OK</v>
      </c>
      <c r="Q879" s="17" t="s">
        <v>35</v>
      </c>
      <c r="R879" s="6" t="s">
        <v>35</v>
      </c>
      <c r="S879" s="17" t="s">
        <v>36</v>
      </c>
      <c r="T879" s="17" t="s">
        <v>6034</v>
      </c>
      <c r="U879" s="173" t="s">
        <v>38</v>
      </c>
      <c r="V879" s="11" t="s">
        <v>28</v>
      </c>
      <c r="W879" s="22" t="s">
        <v>40</v>
      </c>
      <c r="X879" s="22" t="s">
        <v>40</v>
      </c>
      <c r="Y879" s="22"/>
      <c r="Z879" s="7"/>
      <c r="AA879" s="7"/>
      <c r="AB879" s="23"/>
      <c r="AC879" s="26"/>
    </row>
    <row r="880" spans="1:29" ht="15.75" customHeight="1">
      <c r="A880" s="10" t="s">
        <v>6035</v>
      </c>
      <c r="B880" s="10" t="s">
        <v>474</v>
      </c>
      <c r="C880" s="11" t="s">
        <v>28</v>
      </c>
      <c r="D880" s="12"/>
      <c r="E880" s="68" t="s">
        <v>378</v>
      </c>
      <c r="F880" s="43" t="s">
        <v>511</v>
      </c>
      <c r="G880" s="6" t="str">
        <f ca="1">IFERROR(__xludf.DUMMYFUNCTION("CONCATENATE(B880,(VLOOKUP(C880,CATALOGOS!$F$2:$H$6,3,FALSE)),(VLOOKUP(V880,CATALOGOS!$J$2:$K$18,2,FALSE)),""-"",TO_TEXT(A880))"),"P35DA-0879")</f>
        <v>P35DA-0879</v>
      </c>
      <c r="H880" s="6" t="str">
        <f ca="1">IFERROR(__xludf.DUMMYFUNCTION("CONCATENATE($B880,(VLOOKUP($C880,CATALOGOS!$F$2:$H$6,3,FALSE)),(VLOOKUP($V880,CATALOGOS!$J$2:$K$18,2,FALSE)),""-"",TO_TEXT($A880))"),"P35DA-0879")</f>
        <v>P35DA-0879</v>
      </c>
      <c r="I880" s="6"/>
      <c r="J880" s="6" t="s">
        <v>6036</v>
      </c>
      <c r="K880" s="6" t="s">
        <v>6037</v>
      </c>
      <c r="L880" s="6" t="s">
        <v>6038</v>
      </c>
      <c r="M880" s="43" t="s">
        <v>6039</v>
      </c>
      <c r="N880" s="17"/>
      <c r="O880" s="17"/>
      <c r="P880" s="17" t="str">
        <f t="shared" si="3"/>
        <v>OK</v>
      </c>
      <c r="Q880" s="17" t="s">
        <v>35</v>
      </c>
      <c r="R880" s="6" t="s">
        <v>35</v>
      </c>
      <c r="S880" s="17" t="s">
        <v>36</v>
      </c>
      <c r="T880" s="17" t="s">
        <v>6040</v>
      </c>
      <c r="U880" s="173" t="s">
        <v>38</v>
      </c>
      <c r="V880" s="11" t="s">
        <v>28</v>
      </c>
      <c r="W880" s="22" t="s">
        <v>40</v>
      </c>
      <c r="X880" s="22" t="s">
        <v>40</v>
      </c>
      <c r="Y880" s="22"/>
      <c r="Z880" s="6"/>
      <c r="AA880" s="6" t="s">
        <v>440</v>
      </c>
      <c r="AB880" s="23"/>
      <c r="AC880" s="26"/>
    </row>
    <row r="881" spans="1:29" ht="15.75" customHeight="1">
      <c r="A881" s="10" t="s">
        <v>6041</v>
      </c>
      <c r="B881" s="10" t="s">
        <v>474</v>
      </c>
      <c r="C881" s="11" t="s">
        <v>28</v>
      </c>
      <c r="D881" s="12"/>
      <c r="E881" s="68" t="s">
        <v>378</v>
      </c>
      <c r="F881" s="43" t="s">
        <v>511</v>
      </c>
      <c r="G881" s="6" t="str">
        <f ca="1">IFERROR(__xludf.DUMMYFUNCTION("CONCATENATE(B881,(VLOOKUP(C881,CATALOGOS!$F$2:$H$6,3,FALSE)),(VLOOKUP(V881,CATALOGOS!$J$2:$K$18,2,FALSE)),""-"",TO_TEXT(A881))"),"P35DA-0880")</f>
        <v>P35DA-0880</v>
      </c>
      <c r="H881" s="6" t="str">
        <f ca="1">IFERROR(__xludf.DUMMYFUNCTION("CONCATENATE($B881,(VLOOKUP($C881,CATALOGOS!$F$2:$H$6,3,FALSE)),(VLOOKUP($V881,CATALOGOS!$J$2:$K$18,2,FALSE)),""-"",TO_TEXT($A881))"),"P35DA-0880")</f>
        <v>P35DA-0880</v>
      </c>
      <c r="I881" s="6"/>
      <c r="J881" s="6" t="s">
        <v>6042</v>
      </c>
      <c r="K881" s="6" t="s">
        <v>6043</v>
      </c>
      <c r="L881" s="6" t="s">
        <v>6044</v>
      </c>
      <c r="M881" s="6" t="s">
        <v>6045</v>
      </c>
      <c r="N881" s="17"/>
      <c r="O881" s="17"/>
      <c r="P881" s="17" t="str">
        <f t="shared" si="3"/>
        <v>OK</v>
      </c>
      <c r="Q881" s="17" t="s">
        <v>35</v>
      </c>
      <c r="R881" s="6" t="s">
        <v>35</v>
      </c>
      <c r="S881" s="17" t="s">
        <v>36</v>
      </c>
      <c r="T881" s="17" t="s">
        <v>6046</v>
      </c>
      <c r="U881" s="173" t="s">
        <v>517</v>
      </c>
      <c r="V881" s="11" t="s">
        <v>28</v>
      </c>
      <c r="W881" s="22" t="s">
        <v>40</v>
      </c>
      <c r="X881" s="22" t="s">
        <v>40</v>
      </c>
      <c r="Y881" s="22"/>
      <c r="Z881" s="7"/>
      <c r="AA881" s="7"/>
      <c r="AB881" s="23"/>
      <c r="AC881" s="26"/>
    </row>
    <row r="882" spans="1:29" ht="15.75" customHeight="1">
      <c r="A882" s="10" t="s">
        <v>6047</v>
      </c>
      <c r="B882" s="10" t="s">
        <v>474</v>
      </c>
      <c r="C882" s="11" t="s">
        <v>28</v>
      </c>
      <c r="D882" s="38"/>
      <c r="E882" s="68" t="s">
        <v>565</v>
      </c>
      <c r="F882" s="6" t="s">
        <v>6048</v>
      </c>
      <c r="G882" s="6" t="str">
        <f ca="1">IFERROR(__xludf.DUMMYFUNCTION("CONCATENATE(B882,(VLOOKUP(C882,CATALOGOS!$F$2:$H$6,3,FALSE)),(VLOOKUP(V882,CATALOGOS!$J$2:$K$18,2,FALSE)),""-"",TO_TEXT(A882))"),"P35DA-0881")</f>
        <v>P35DA-0881</v>
      </c>
      <c r="H882" s="6" t="str">
        <f ca="1">IFERROR(__xludf.DUMMYFUNCTION("CONCATENATE($B882,(VLOOKUP($C882,CATALOGOS!$F$2:$H$6,3,FALSE)),(VLOOKUP($V882,CATALOGOS!$J$2:$K$18,2,FALSE)),""-"",TO_TEXT($A882))"),"P35DA-0881")</f>
        <v>P35DA-0881</v>
      </c>
      <c r="I882" s="6"/>
      <c r="J882" s="6" t="s">
        <v>6049</v>
      </c>
      <c r="K882" s="6" t="s">
        <v>6050</v>
      </c>
      <c r="L882" s="36"/>
      <c r="M882" s="6" t="s">
        <v>6051</v>
      </c>
      <c r="N882" s="17"/>
      <c r="O882" s="17"/>
      <c r="P882" s="17" t="str">
        <f t="shared" si="3"/>
        <v>OK</v>
      </c>
      <c r="Q882" s="17" t="s">
        <v>35</v>
      </c>
      <c r="R882" s="6" t="s">
        <v>35</v>
      </c>
      <c r="S882" s="6" t="s">
        <v>36</v>
      </c>
      <c r="T882" s="32" t="s">
        <v>6052</v>
      </c>
      <c r="U882" s="173" t="s">
        <v>38</v>
      </c>
      <c r="V882" s="11" t="s">
        <v>28</v>
      </c>
      <c r="W882" s="22" t="s">
        <v>40</v>
      </c>
      <c r="X882" s="22" t="s">
        <v>40</v>
      </c>
      <c r="Y882" s="22"/>
      <c r="Z882" s="7"/>
      <c r="AA882" s="7"/>
      <c r="AB882" s="26"/>
      <c r="AC882" s="26"/>
    </row>
    <row r="883" spans="1:29" ht="15.75" customHeight="1">
      <c r="A883" s="10" t="s">
        <v>6053</v>
      </c>
      <c r="B883" s="10" t="s">
        <v>4410</v>
      </c>
      <c r="C883" s="11" t="s">
        <v>6054</v>
      </c>
      <c r="D883" s="12"/>
      <c r="E883" s="13" t="s">
        <v>6055</v>
      </c>
      <c r="F883" s="6" t="s">
        <v>6056</v>
      </c>
      <c r="G883" s="6" t="str">
        <f ca="1">IFERROR(__xludf.DUMMYFUNCTION("CONCATENATE(B883,(VLOOKUP(C883,CATALOGOS!$F$2:$H$6,3,FALSE)),(VLOOKUP(V883,CATALOGOS!$J$2:$K$18,2,FALSE)),""-"",TO_TEXT(A883))"),"P21DG-0882")</f>
        <v>P21DG-0882</v>
      </c>
      <c r="H883" s="6" t="str">
        <f ca="1">IFERROR(__xludf.DUMMYFUNCTION("CONCATENATE($B883,(VLOOKUP($C883,CATALOGOS!$F$2:$H$6,3,FALSE)),(VLOOKUP($V883,CATALOGOS!$J$2:$K$18,2,FALSE)),""-"",TO_TEXT($A883))"),"P21DG-0882")</f>
        <v>P21DG-0882</v>
      </c>
      <c r="I883" s="6"/>
      <c r="J883" s="6" t="s">
        <v>6057</v>
      </c>
      <c r="K883" s="6" t="s">
        <v>6058</v>
      </c>
      <c r="L883" s="6" t="s">
        <v>6059</v>
      </c>
      <c r="M883" s="6" t="s">
        <v>6060</v>
      </c>
      <c r="N883" s="17"/>
      <c r="O883" s="17"/>
      <c r="P883" s="17" t="str">
        <f t="shared" si="3"/>
        <v>OK</v>
      </c>
      <c r="Q883" s="17" t="s">
        <v>35</v>
      </c>
      <c r="R883" s="6" t="s">
        <v>35</v>
      </c>
      <c r="S883" s="17" t="s">
        <v>36</v>
      </c>
      <c r="T883" s="17" t="s">
        <v>6061</v>
      </c>
      <c r="U883" s="173" t="s">
        <v>38</v>
      </c>
      <c r="V883" s="11" t="s">
        <v>6054</v>
      </c>
      <c r="W883" s="22" t="s">
        <v>6062</v>
      </c>
      <c r="X883" s="22" t="s">
        <v>6062</v>
      </c>
      <c r="Y883" s="22"/>
      <c r="Z883" s="7"/>
      <c r="AA883" s="7"/>
      <c r="AB883" s="23"/>
      <c r="AC883" s="26"/>
    </row>
    <row r="884" spans="1:29" ht="15.75" customHeight="1">
      <c r="A884" s="10" t="s">
        <v>6063</v>
      </c>
      <c r="B884" s="10" t="s">
        <v>4410</v>
      </c>
      <c r="C884" s="11" t="s">
        <v>6054</v>
      </c>
      <c r="D884" s="12"/>
      <c r="E884" s="13" t="s">
        <v>378</v>
      </c>
      <c r="F884" s="43" t="s">
        <v>6064</v>
      </c>
      <c r="G884" s="6" t="str">
        <f ca="1">IFERROR(__xludf.DUMMYFUNCTION("CONCATENATE(B884,(VLOOKUP(C884,CATALOGOS!$F$2:$H$6,3,FALSE)),(VLOOKUP(V884,CATALOGOS!$J$2:$K$18,2,FALSE)),""-"",TO_TEXT(A884))"),"P21DG-0883")</f>
        <v>P21DG-0883</v>
      </c>
      <c r="H884" s="6" t="str">
        <f ca="1">IFERROR(__xludf.DUMMYFUNCTION("CONCATENATE($B884,(VLOOKUP($C884,CATALOGOS!$F$2:$H$6,3,FALSE)),(VLOOKUP($V884,CATALOGOS!$J$2:$K$18,2,FALSE)),""-"",TO_TEXT($A884))"),"P21DG-0883")</f>
        <v>P21DG-0883</v>
      </c>
      <c r="I884" s="6"/>
      <c r="J884" s="6" t="s">
        <v>6065</v>
      </c>
      <c r="K884" s="6" t="s">
        <v>6066</v>
      </c>
      <c r="L884" s="6" t="s">
        <v>6067</v>
      </c>
      <c r="M884" s="6" t="s">
        <v>6068</v>
      </c>
      <c r="N884" s="17"/>
      <c r="O884" s="17"/>
      <c r="P884" s="17" t="str">
        <f t="shared" si="3"/>
        <v>OK</v>
      </c>
      <c r="Q884" s="17" t="s">
        <v>35</v>
      </c>
      <c r="R884" s="6" t="s">
        <v>35</v>
      </c>
      <c r="S884" s="17" t="s">
        <v>36</v>
      </c>
      <c r="T884" s="17" t="s">
        <v>6069</v>
      </c>
      <c r="U884" s="173" t="s">
        <v>38</v>
      </c>
      <c r="V884" s="11" t="s">
        <v>6054</v>
      </c>
      <c r="W884" s="22" t="s">
        <v>6062</v>
      </c>
      <c r="X884" s="22" t="s">
        <v>6062</v>
      </c>
      <c r="Y884" s="22"/>
      <c r="Z884" s="7"/>
      <c r="AA884" s="7"/>
      <c r="AB884" s="23"/>
      <c r="AC884" s="26"/>
    </row>
    <row r="885" spans="1:29" ht="15.75" customHeight="1">
      <c r="A885" s="10" t="s">
        <v>6070</v>
      </c>
      <c r="B885" s="10" t="s">
        <v>4410</v>
      </c>
      <c r="C885" s="11" t="s">
        <v>6054</v>
      </c>
      <c r="D885" s="12"/>
      <c r="E885" s="13" t="s">
        <v>116</v>
      </c>
      <c r="F885" s="6" t="s">
        <v>6071</v>
      </c>
      <c r="G885" s="6" t="str">
        <f ca="1">IFERROR(__xludf.DUMMYFUNCTION("CONCATENATE(B885,(VLOOKUP(C885,CATALOGOS!$F$2:$H$6,3,FALSE)),(VLOOKUP(V885,CATALOGOS!$J$2:$K$18,2,FALSE)),""-"",TO_TEXT(A885))"),"P21DG-0884")</f>
        <v>P21DG-0884</v>
      </c>
      <c r="H885" s="6" t="str">
        <f ca="1">IFERROR(__xludf.DUMMYFUNCTION("CONCATENATE($B885,(VLOOKUP($C885,CATALOGOS!$F$2:$H$6,3,FALSE)),(VLOOKUP($V885,CATALOGOS!$J$2:$K$18,2,FALSE)),""-"",TO_TEXT($A885))"),"P21DG-0884")</f>
        <v>P21DG-0884</v>
      </c>
      <c r="I885" s="6"/>
      <c r="J885" s="6" t="s">
        <v>6072</v>
      </c>
      <c r="K885" s="6" t="s">
        <v>6073</v>
      </c>
      <c r="L885" s="6" t="s">
        <v>6074</v>
      </c>
      <c r="M885" s="6" t="s">
        <v>6075</v>
      </c>
      <c r="N885" s="17"/>
      <c r="O885" s="17"/>
      <c r="P885" s="17" t="str">
        <f t="shared" si="3"/>
        <v>OK</v>
      </c>
      <c r="Q885" s="17" t="s">
        <v>35</v>
      </c>
      <c r="R885" s="6" t="s">
        <v>35</v>
      </c>
      <c r="S885" s="17" t="s">
        <v>36</v>
      </c>
      <c r="T885" s="17" t="s">
        <v>6076</v>
      </c>
      <c r="U885" s="173" t="s">
        <v>38</v>
      </c>
      <c r="V885" s="11" t="s">
        <v>6054</v>
      </c>
      <c r="W885" s="22" t="s">
        <v>6062</v>
      </c>
      <c r="X885" s="22" t="s">
        <v>6062</v>
      </c>
      <c r="Y885" s="22"/>
      <c r="Z885" s="7"/>
      <c r="AA885" s="7"/>
      <c r="AB885" s="23"/>
      <c r="AC885" s="26"/>
    </row>
    <row r="886" spans="1:29" ht="15.75" customHeight="1">
      <c r="A886" s="10" t="s">
        <v>6077</v>
      </c>
      <c r="B886" s="10" t="s">
        <v>4410</v>
      </c>
      <c r="C886" s="11" t="s">
        <v>6054</v>
      </c>
      <c r="D886" s="12"/>
      <c r="E886" s="13" t="s">
        <v>53</v>
      </c>
      <c r="F886" s="6" t="s">
        <v>6078</v>
      </c>
      <c r="G886" s="6" t="str">
        <f ca="1">IFERROR(__xludf.DUMMYFUNCTION("CONCATENATE(B886,(VLOOKUP(C886,CATALOGOS!$F$2:$H$6,3,FALSE)),(VLOOKUP(V886,CATALOGOS!$J$2:$K$18,2,FALSE)),""-"",TO_TEXT(A886))"),"P21DG-0885")</f>
        <v>P21DG-0885</v>
      </c>
      <c r="H886" s="6" t="str">
        <f ca="1">IFERROR(__xludf.DUMMYFUNCTION("CONCATENATE($B886,(VLOOKUP($C886,CATALOGOS!$F$2:$H$6,3,FALSE)),(VLOOKUP($V886,CATALOGOS!$J$2:$K$18,2,FALSE)),""-"",TO_TEXT($A886))"),"P21DG-0885")</f>
        <v>P21DG-0885</v>
      </c>
      <c r="I886" s="6"/>
      <c r="J886" s="6" t="s">
        <v>6079</v>
      </c>
      <c r="K886" s="6" t="s">
        <v>6080</v>
      </c>
      <c r="L886" s="6" t="s">
        <v>6081</v>
      </c>
      <c r="M886" s="6" t="s">
        <v>6082</v>
      </c>
      <c r="N886" s="17"/>
      <c r="O886" s="17"/>
      <c r="P886" s="17" t="str">
        <f t="shared" si="3"/>
        <v>OK</v>
      </c>
      <c r="Q886" s="17" t="s">
        <v>35</v>
      </c>
      <c r="R886" s="6" t="s">
        <v>35</v>
      </c>
      <c r="S886" s="17" t="s">
        <v>36</v>
      </c>
      <c r="T886" s="17" t="s">
        <v>6083</v>
      </c>
      <c r="U886" s="173" t="s">
        <v>38</v>
      </c>
      <c r="V886" s="11" t="s">
        <v>6054</v>
      </c>
      <c r="W886" s="22" t="s">
        <v>6062</v>
      </c>
      <c r="X886" s="22" t="s">
        <v>6062</v>
      </c>
      <c r="Y886" s="22"/>
      <c r="Z886" s="7"/>
      <c r="AA886" s="7"/>
      <c r="AB886" s="23"/>
      <c r="AC886" s="26"/>
    </row>
    <row r="887" spans="1:29" ht="15.75" customHeight="1">
      <c r="A887" s="10" t="s">
        <v>6084</v>
      </c>
      <c r="B887" s="10" t="s">
        <v>4410</v>
      </c>
      <c r="C887" s="11" t="s">
        <v>6054</v>
      </c>
      <c r="D887" s="12"/>
      <c r="E887" s="13" t="s">
        <v>2860</v>
      </c>
      <c r="F887" s="43" t="s">
        <v>2861</v>
      </c>
      <c r="G887" s="6" t="str">
        <f ca="1">IFERROR(__xludf.DUMMYFUNCTION("CONCATENATE(B887,(VLOOKUP(C887,CATALOGOS!$F$2:$H$6,3,FALSE)),(VLOOKUP(V887,CATALOGOS!$J$2:$K$18,2,FALSE)),""-"",TO_TEXT(A887))"),"P21DG-0886")</f>
        <v>P21DG-0886</v>
      </c>
      <c r="H887" s="6" t="str">
        <f ca="1">IFERROR(__xludf.DUMMYFUNCTION("CONCATENATE($B887,(VLOOKUP($C887,CATALOGOS!$F$2:$H$6,3,FALSE)),(VLOOKUP($V887,CATALOGOS!$J$2:$K$18,2,FALSE)),""-"",TO_TEXT($A887))"),"P21DG-0886")</f>
        <v>P21DG-0886</v>
      </c>
      <c r="I887" s="6"/>
      <c r="J887" s="6" t="s">
        <v>6085</v>
      </c>
      <c r="K887" s="6" t="s">
        <v>6086</v>
      </c>
      <c r="L887" s="6" t="s">
        <v>6087</v>
      </c>
      <c r="M887" s="6" t="s">
        <v>6088</v>
      </c>
      <c r="N887" s="17"/>
      <c r="O887" s="17"/>
      <c r="P887" s="17" t="str">
        <f t="shared" si="3"/>
        <v>OK</v>
      </c>
      <c r="Q887" s="17" t="s">
        <v>6089</v>
      </c>
      <c r="R887" s="6" t="s">
        <v>35</v>
      </c>
      <c r="S887" s="6" t="s">
        <v>36</v>
      </c>
      <c r="T887" s="17" t="s">
        <v>6090</v>
      </c>
      <c r="U887" s="173" t="s">
        <v>38</v>
      </c>
      <c r="V887" s="11" t="s">
        <v>6054</v>
      </c>
      <c r="W887" s="22" t="s">
        <v>6062</v>
      </c>
      <c r="X887" s="22" t="s">
        <v>6062</v>
      </c>
      <c r="Y887" s="22"/>
      <c r="Z887" s="7"/>
      <c r="AA887" s="7"/>
      <c r="AB887" s="23"/>
      <c r="AC887" s="26"/>
    </row>
    <row r="888" spans="1:29" ht="15.75" customHeight="1">
      <c r="A888" s="10" t="s">
        <v>6091</v>
      </c>
      <c r="B888" s="10" t="s">
        <v>4410</v>
      </c>
      <c r="C888" s="11" t="s">
        <v>6054</v>
      </c>
      <c r="D888" s="12"/>
      <c r="E888" s="13" t="s">
        <v>6092</v>
      </c>
      <c r="F888" s="43" t="s">
        <v>6093</v>
      </c>
      <c r="G888" s="6" t="str">
        <f ca="1">IFERROR(__xludf.DUMMYFUNCTION("CONCATENATE(B888,(VLOOKUP(C888,CATALOGOS!$F$2:$H$6,3,FALSE)),(VLOOKUP(V888,CATALOGOS!$J$2:$K$18,2,FALSE)),""-"",TO_TEXT(A888))"),"P21DG-0887")</f>
        <v>P21DG-0887</v>
      </c>
      <c r="H888" s="6" t="str">
        <f ca="1">IFERROR(__xludf.DUMMYFUNCTION("CONCATENATE($B888,(VLOOKUP($C888,CATALOGOS!$F$2:$H$6,3,FALSE)),(VLOOKUP($V888,CATALOGOS!$J$2:$K$18,2,FALSE)),""-"",TO_TEXT($A888))"),"P21DG-0887")</f>
        <v>P21DG-0887</v>
      </c>
      <c r="I888" s="6"/>
      <c r="J888" s="6" t="s">
        <v>6094</v>
      </c>
      <c r="K888" s="6" t="s">
        <v>6095</v>
      </c>
      <c r="L888" s="6" t="s">
        <v>6096</v>
      </c>
      <c r="M888" s="6" t="s">
        <v>6097</v>
      </c>
      <c r="N888" s="17"/>
      <c r="O888" s="17"/>
      <c r="P888" s="17" t="str">
        <f t="shared" si="3"/>
        <v>OK</v>
      </c>
      <c r="Q888" s="17" t="s">
        <v>35</v>
      </c>
      <c r="R888" s="49" t="s">
        <v>35</v>
      </c>
      <c r="S888" s="17" t="s">
        <v>36</v>
      </c>
      <c r="T888" s="17" t="s">
        <v>6098</v>
      </c>
      <c r="U888" s="173" t="s">
        <v>38</v>
      </c>
      <c r="V888" s="11" t="s">
        <v>6054</v>
      </c>
      <c r="W888" s="22" t="s">
        <v>6062</v>
      </c>
      <c r="X888" s="22" t="s">
        <v>6062</v>
      </c>
      <c r="Y888" s="22"/>
      <c r="Z888" s="7"/>
      <c r="AA888" s="7"/>
      <c r="AB888" s="23"/>
      <c r="AC888" s="26"/>
    </row>
    <row r="889" spans="1:29" ht="15.75" customHeight="1">
      <c r="A889" s="10" t="s">
        <v>6099</v>
      </c>
      <c r="B889" s="10" t="s">
        <v>4410</v>
      </c>
      <c r="C889" s="11" t="s">
        <v>6054</v>
      </c>
      <c r="D889" s="12"/>
      <c r="E889" s="13" t="s">
        <v>6100</v>
      </c>
      <c r="F889" s="6" t="s">
        <v>6101</v>
      </c>
      <c r="G889" s="6" t="str">
        <f ca="1">IFERROR(__xludf.DUMMYFUNCTION("CONCATENATE(B889,(VLOOKUP(C889,CATALOGOS!$F$2:$H$6,3,FALSE)),(VLOOKUP(V889,CATALOGOS!$J$2:$K$18,2,FALSE)),""-"",TO_TEXT(A889))"),"P21DG-0888")</f>
        <v>P21DG-0888</v>
      </c>
      <c r="H889" s="6" t="str">
        <f ca="1">IFERROR(__xludf.DUMMYFUNCTION("CONCATENATE($B889,(VLOOKUP($C889,CATALOGOS!$F$2:$H$6,3,FALSE)),(VLOOKUP($V889,CATALOGOS!$J$2:$K$18,2,FALSE)),""-"",TO_TEXT($A889))"),"P21DG-0888")</f>
        <v>P21DG-0888</v>
      </c>
      <c r="I889" s="6"/>
      <c r="J889" s="6" t="s">
        <v>6102</v>
      </c>
      <c r="K889" s="6" t="s">
        <v>6103</v>
      </c>
      <c r="L889" s="6" t="s">
        <v>6104</v>
      </c>
      <c r="M889" s="43" t="s">
        <v>6105</v>
      </c>
      <c r="N889" s="17"/>
      <c r="O889" s="17"/>
      <c r="P889" s="17" t="str">
        <f t="shared" si="3"/>
        <v>OK</v>
      </c>
      <c r="Q889" s="17" t="s">
        <v>35</v>
      </c>
      <c r="R889" s="6" t="s">
        <v>35</v>
      </c>
      <c r="S889" s="17" t="s">
        <v>36</v>
      </c>
      <c r="T889" s="17" t="s">
        <v>6106</v>
      </c>
      <c r="U889" s="173" t="s">
        <v>38</v>
      </c>
      <c r="V889" s="11" t="s">
        <v>6054</v>
      </c>
      <c r="W889" s="22" t="s">
        <v>6062</v>
      </c>
      <c r="X889" s="22" t="s">
        <v>6062</v>
      </c>
      <c r="Y889" s="22"/>
      <c r="Z889" s="7"/>
      <c r="AA889" s="7"/>
      <c r="AB889" s="23"/>
      <c r="AC889" s="26"/>
    </row>
    <row r="890" spans="1:29" ht="15.75" customHeight="1">
      <c r="A890" s="10" t="s">
        <v>6107</v>
      </c>
      <c r="B890" s="10" t="s">
        <v>4410</v>
      </c>
      <c r="C890" s="11" t="s">
        <v>6054</v>
      </c>
      <c r="D890" s="12"/>
      <c r="E890" s="13" t="s">
        <v>93</v>
      </c>
      <c r="F890" s="6" t="s">
        <v>6108</v>
      </c>
      <c r="G890" s="6" t="str">
        <f ca="1">IFERROR(__xludf.DUMMYFUNCTION("CONCATENATE(B890,(VLOOKUP(C890,CATALOGOS!$F$2:$H$6,3,FALSE)),(VLOOKUP(V890,CATALOGOS!$J$2:$K$18,2,FALSE)),""-"",TO_TEXT(A890))"),"P21DG-0889")</f>
        <v>P21DG-0889</v>
      </c>
      <c r="H890" s="6" t="str">
        <f ca="1">IFERROR(__xludf.DUMMYFUNCTION("CONCATENATE($B890,(VLOOKUP($C890,CATALOGOS!$F$2:$H$6,3,FALSE)),(VLOOKUP($V890,CATALOGOS!$J$2:$K$18,2,FALSE)),""-"",TO_TEXT($A890))"),"P21DG-0889")</f>
        <v>P21DG-0889</v>
      </c>
      <c r="I890" s="6"/>
      <c r="J890" s="6" t="s">
        <v>6109</v>
      </c>
      <c r="K890" s="6" t="s">
        <v>6110</v>
      </c>
      <c r="L890" s="6" t="s">
        <v>6111</v>
      </c>
      <c r="M890" s="6" t="s">
        <v>6112</v>
      </c>
      <c r="N890" s="17"/>
      <c r="O890" s="17"/>
      <c r="P890" s="17" t="str">
        <f t="shared" si="3"/>
        <v>OK</v>
      </c>
      <c r="Q890" s="17" t="s">
        <v>35</v>
      </c>
      <c r="R890" s="6" t="s">
        <v>35</v>
      </c>
      <c r="S890" s="17" t="s">
        <v>36</v>
      </c>
      <c r="T890" s="17" t="s">
        <v>6113</v>
      </c>
      <c r="U890" s="173" t="s">
        <v>38</v>
      </c>
      <c r="V890" s="11" t="s">
        <v>6054</v>
      </c>
      <c r="W890" s="22" t="s">
        <v>6062</v>
      </c>
      <c r="X890" s="22" t="s">
        <v>6062</v>
      </c>
      <c r="Y890" s="22"/>
      <c r="Z890" s="7"/>
      <c r="AA890" s="7"/>
      <c r="AB890" s="23"/>
      <c r="AC890" s="26"/>
    </row>
    <row r="891" spans="1:29" ht="15.75" customHeight="1">
      <c r="A891" s="10" t="s">
        <v>6114</v>
      </c>
      <c r="B891" s="10" t="s">
        <v>4410</v>
      </c>
      <c r="C891" s="11" t="s">
        <v>6054</v>
      </c>
      <c r="D891" s="12"/>
      <c r="E891" s="13" t="s">
        <v>71</v>
      </c>
      <c r="F891" s="6" t="s">
        <v>6115</v>
      </c>
      <c r="G891" s="6" t="str">
        <f ca="1">IFERROR(__xludf.DUMMYFUNCTION("CONCATENATE(B891,(VLOOKUP(C891,CATALOGOS!$F$2:$H$6,3,FALSE)),(VLOOKUP(V891,CATALOGOS!$J$2:$K$18,2,FALSE)),""-"",TO_TEXT(A891))"),"P21DG-0890")</f>
        <v>P21DG-0890</v>
      </c>
      <c r="H891" s="6" t="str">
        <f ca="1">IFERROR(__xludf.DUMMYFUNCTION("CONCATENATE($B891,(VLOOKUP($C891,CATALOGOS!$F$2:$H$6,3,FALSE)),(VLOOKUP($V891,CATALOGOS!$J$2:$K$18,2,FALSE)),""-"",TO_TEXT($A891))"),"P21DG-0890")</f>
        <v>P21DG-0890</v>
      </c>
      <c r="I891" s="6"/>
      <c r="J891" s="6" t="s">
        <v>6116</v>
      </c>
      <c r="K891" s="6" t="s">
        <v>6117</v>
      </c>
      <c r="L891" s="6" t="s">
        <v>6118</v>
      </c>
      <c r="M891" s="6" t="s">
        <v>6119</v>
      </c>
      <c r="N891" s="17"/>
      <c r="O891" s="17"/>
      <c r="P891" s="17" t="str">
        <f t="shared" si="3"/>
        <v>OK</v>
      </c>
      <c r="Q891" s="17" t="s">
        <v>35</v>
      </c>
      <c r="R891" s="49" t="s">
        <v>35</v>
      </c>
      <c r="S891" s="17" t="s">
        <v>36</v>
      </c>
      <c r="T891" s="17" t="s">
        <v>6120</v>
      </c>
      <c r="U891" s="173" t="s">
        <v>38</v>
      </c>
      <c r="V891" s="11" t="s">
        <v>6054</v>
      </c>
      <c r="W891" s="22" t="s">
        <v>6062</v>
      </c>
      <c r="X891" s="22" t="s">
        <v>6062</v>
      </c>
      <c r="Y891" s="22"/>
      <c r="Z891" s="7"/>
      <c r="AA891" s="7"/>
      <c r="AB891" s="23"/>
      <c r="AC891" s="26"/>
    </row>
    <row r="892" spans="1:29" ht="15.75" customHeight="1">
      <c r="A892" s="10" t="s">
        <v>6121</v>
      </c>
      <c r="B892" s="10" t="s">
        <v>4410</v>
      </c>
      <c r="C892" s="11" t="s">
        <v>6054</v>
      </c>
      <c r="D892" s="12"/>
      <c r="E892" s="13" t="s">
        <v>93</v>
      </c>
      <c r="F892" s="6" t="s">
        <v>6122</v>
      </c>
      <c r="G892" s="6" t="str">
        <f ca="1">IFERROR(__xludf.DUMMYFUNCTION("CONCATENATE(B892,(VLOOKUP(C892,CATALOGOS!$F$2:$H$6,3,FALSE)),(VLOOKUP(V892,CATALOGOS!$J$2:$K$18,2,FALSE)),""-"",TO_TEXT(A892))"),"P21DG-0891")</f>
        <v>P21DG-0891</v>
      </c>
      <c r="H892" s="6" t="str">
        <f ca="1">IFERROR(__xludf.DUMMYFUNCTION("CONCATENATE($B892,(VLOOKUP($C892,CATALOGOS!$F$2:$H$6,3,FALSE)),(VLOOKUP($V892,CATALOGOS!$J$2:$K$18,2,FALSE)),""-"",TO_TEXT($A892))"),"P21DG-0891")</f>
        <v>P21DG-0891</v>
      </c>
      <c r="I892" s="6"/>
      <c r="J892" s="6" t="s">
        <v>6123</v>
      </c>
      <c r="K892" s="6" t="s">
        <v>6124</v>
      </c>
      <c r="L892" s="6" t="s">
        <v>6125</v>
      </c>
      <c r="M892" s="6" t="s">
        <v>6126</v>
      </c>
      <c r="N892" s="17"/>
      <c r="O892" s="17"/>
      <c r="P892" s="17" t="str">
        <f t="shared" si="3"/>
        <v>OK</v>
      </c>
      <c r="Q892" s="17" t="s">
        <v>35</v>
      </c>
      <c r="R892" s="6" t="s">
        <v>35</v>
      </c>
      <c r="S892" s="17" t="s">
        <v>36</v>
      </c>
      <c r="T892" s="17" t="s">
        <v>6127</v>
      </c>
      <c r="U892" s="173" t="s">
        <v>38</v>
      </c>
      <c r="V892" s="11" t="s">
        <v>6054</v>
      </c>
      <c r="W892" s="22" t="s">
        <v>6062</v>
      </c>
      <c r="X892" s="22" t="s">
        <v>6062</v>
      </c>
      <c r="Y892" s="22"/>
      <c r="Z892" s="7"/>
      <c r="AA892" s="7"/>
      <c r="AB892" s="23"/>
      <c r="AC892" s="26"/>
    </row>
    <row r="893" spans="1:29" ht="15.75" customHeight="1">
      <c r="A893" s="10" t="s">
        <v>6128</v>
      </c>
      <c r="B893" s="10" t="s">
        <v>4410</v>
      </c>
      <c r="C893" s="11" t="s">
        <v>6054</v>
      </c>
      <c r="D893" s="12"/>
      <c r="E893" s="13" t="s">
        <v>6129</v>
      </c>
      <c r="F893" s="6" t="s">
        <v>6130</v>
      </c>
      <c r="G893" s="6" t="str">
        <f ca="1">IFERROR(__xludf.DUMMYFUNCTION("CONCATENATE(B893,(VLOOKUP(C893,CATALOGOS!$F$2:$H$6,3,FALSE)),(VLOOKUP(V893,CATALOGOS!$J$2:$K$18,2,FALSE)),""-"",TO_TEXT(A893))"),"P21DG-0892")</f>
        <v>P21DG-0892</v>
      </c>
      <c r="H893" s="6" t="str">
        <f ca="1">IFERROR(__xludf.DUMMYFUNCTION("CONCATENATE($B893,(VLOOKUP($C893,CATALOGOS!$F$2:$H$6,3,FALSE)),(VLOOKUP($V893,CATALOGOS!$J$2:$K$18,2,FALSE)),""-"",TO_TEXT($A893))"),"P21DG-0892")</f>
        <v>P21DG-0892</v>
      </c>
      <c r="I893" s="6"/>
      <c r="J893" s="6" t="s">
        <v>6131</v>
      </c>
      <c r="K893" s="6" t="s">
        <v>6132</v>
      </c>
      <c r="L893" s="6" t="s">
        <v>6133</v>
      </c>
      <c r="M893" s="43" t="s">
        <v>6134</v>
      </c>
      <c r="N893" s="17"/>
      <c r="O893" s="17"/>
      <c r="P893" s="17" t="str">
        <f t="shared" si="3"/>
        <v>OK</v>
      </c>
      <c r="Q893" s="17" t="s">
        <v>6135</v>
      </c>
      <c r="R893" s="6" t="s">
        <v>6136</v>
      </c>
      <c r="S893" s="17" t="s">
        <v>6137</v>
      </c>
      <c r="T893" s="10" t="s">
        <v>6138</v>
      </c>
      <c r="U893" s="173" t="s">
        <v>38</v>
      </c>
      <c r="V893" s="11" t="s">
        <v>6054</v>
      </c>
      <c r="W893" s="22" t="s">
        <v>6062</v>
      </c>
      <c r="X893" s="22" t="s">
        <v>6062</v>
      </c>
      <c r="Y893" s="22"/>
      <c r="Z893" s="7"/>
      <c r="AA893" s="7"/>
      <c r="AB893" s="23"/>
      <c r="AC893" s="26"/>
    </row>
    <row r="894" spans="1:29" ht="15.75" customHeight="1">
      <c r="A894" s="10" t="s">
        <v>6139</v>
      </c>
      <c r="B894" s="10" t="s">
        <v>4410</v>
      </c>
      <c r="C894" s="11" t="s">
        <v>6054</v>
      </c>
      <c r="D894" s="12"/>
      <c r="E894" s="13" t="s">
        <v>71</v>
      </c>
      <c r="F894" s="6" t="s">
        <v>6115</v>
      </c>
      <c r="G894" s="6" t="str">
        <f ca="1">IFERROR(__xludf.DUMMYFUNCTION("CONCATENATE(B894,(VLOOKUP(C894,CATALOGOS!$F$2:$H$6,3,FALSE)),(VLOOKUP(V894,CATALOGOS!$J$2:$K$18,2,FALSE)),""-"",TO_TEXT(A894))"),"P21DG-0893")</f>
        <v>P21DG-0893</v>
      </c>
      <c r="H894" s="6" t="str">
        <f ca="1">IFERROR(__xludf.DUMMYFUNCTION("CONCATENATE($B894,(VLOOKUP($C894,CATALOGOS!$F$2:$H$6,3,FALSE)),(VLOOKUP($V894,CATALOGOS!$J$2:$K$18,2,FALSE)),""-"",TO_TEXT($A894))"),"P21DG-0893")</f>
        <v>P21DG-0893</v>
      </c>
      <c r="I894" s="6"/>
      <c r="J894" s="6" t="s">
        <v>6140</v>
      </c>
      <c r="K894" s="6" t="s">
        <v>6141</v>
      </c>
      <c r="L894" s="6" t="s">
        <v>6142</v>
      </c>
      <c r="M894" s="6" t="s">
        <v>6143</v>
      </c>
      <c r="N894" s="17"/>
      <c r="O894" s="17"/>
      <c r="P894" s="17" t="str">
        <f t="shared" si="3"/>
        <v>OK</v>
      </c>
      <c r="Q894" s="17" t="s">
        <v>35</v>
      </c>
      <c r="R894" s="6" t="s">
        <v>35</v>
      </c>
      <c r="S894" s="17" t="s">
        <v>36</v>
      </c>
      <c r="T894" s="17" t="s">
        <v>6144</v>
      </c>
      <c r="U894" s="173" t="s">
        <v>38</v>
      </c>
      <c r="V894" s="11" t="s">
        <v>6054</v>
      </c>
      <c r="W894" s="22" t="s">
        <v>6062</v>
      </c>
      <c r="X894" s="22" t="s">
        <v>6062</v>
      </c>
      <c r="Y894" s="22"/>
      <c r="Z894" s="7"/>
      <c r="AA894" s="7"/>
      <c r="AB894" s="23"/>
      <c r="AC894" s="26"/>
    </row>
    <row r="895" spans="1:29" ht="15.75" customHeight="1">
      <c r="A895" s="10" t="s">
        <v>6145</v>
      </c>
      <c r="B895" s="10" t="s">
        <v>4410</v>
      </c>
      <c r="C895" s="11" t="s">
        <v>6054</v>
      </c>
      <c r="D895" s="12"/>
      <c r="E895" s="13" t="s">
        <v>93</v>
      </c>
      <c r="F895" s="6" t="s">
        <v>6146</v>
      </c>
      <c r="G895" s="6" t="str">
        <f ca="1">IFERROR(__xludf.DUMMYFUNCTION("CONCATENATE(B895,(VLOOKUP(C895,CATALOGOS!$F$2:$H$6,3,FALSE)),(VLOOKUP(V895,CATALOGOS!$J$2:$K$18,2,FALSE)),""-"",TO_TEXT(A895))"),"P21DG-0894")</f>
        <v>P21DG-0894</v>
      </c>
      <c r="H895" s="6" t="str">
        <f ca="1">IFERROR(__xludf.DUMMYFUNCTION("CONCATENATE($B895,(VLOOKUP($C895,CATALOGOS!$F$2:$H$6,3,FALSE)),(VLOOKUP($V895,CATALOGOS!$J$2:$K$18,2,FALSE)),""-"",TO_TEXT($A895))"),"P21DG-0894")</f>
        <v>P21DG-0894</v>
      </c>
      <c r="I895" s="6"/>
      <c r="J895" s="6" t="s">
        <v>6147</v>
      </c>
      <c r="K895" s="6" t="s">
        <v>6148</v>
      </c>
      <c r="L895" s="6" t="s">
        <v>6149</v>
      </c>
      <c r="M895" s="6" t="s">
        <v>6150</v>
      </c>
      <c r="N895" s="17"/>
      <c r="O895" s="17"/>
      <c r="P895" s="17" t="str">
        <f t="shared" si="3"/>
        <v>OK</v>
      </c>
      <c r="Q895" s="17" t="s">
        <v>35</v>
      </c>
      <c r="R895" s="6" t="s">
        <v>35</v>
      </c>
      <c r="S895" s="17" t="s">
        <v>36</v>
      </c>
      <c r="T895" s="17" t="s">
        <v>6151</v>
      </c>
      <c r="U895" s="173" t="s">
        <v>38</v>
      </c>
      <c r="V895" s="11" t="s">
        <v>6054</v>
      </c>
      <c r="W895" s="22" t="s">
        <v>6062</v>
      </c>
      <c r="X895" s="22" t="s">
        <v>6062</v>
      </c>
      <c r="Y895" s="22"/>
      <c r="Z895" s="7"/>
      <c r="AA895" s="7"/>
      <c r="AB895" s="23"/>
      <c r="AC895" s="26"/>
    </row>
    <row r="896" spans="1:29" ht="15.75" customHeight="1">
      <c r="A896" s="10" t="s">
        <v>6152</v>
      </c>
      <c r="B896" s="10" t="s">
        <v>4410</v>
      </c>
      <c r="C896" s="11" t="s">
        <v>6054</v>
      </c>
      <c r="D896" s="12"/>
      <c r="E896" s="13" t="s">
        <v>29</v>
      </c>
      <c r="F896" s="6" t="s">
        <v>6153</v>
      </c>
      <c r="G896" s="6" t="str">
        <f ca="1">IFERROR(__xludf.DUMMYFUNCTION("CONCATENATE(B896,(VLOOKUP(C896,CATALOGOS!$F$2:$H$6,3,FALSE)),(VLOOKUP(V896,CATALOGOS!$J$2:$K$18,2,FALSE)),""-"",TO_TEXT(A896))"),"P21DG-0895")</f>
        <v>P21DG-0895</v>
      </c>
      <c r="H896" s="6" t="str">
        <f ca="1">IFERROR(__xludf.DUMMYFUNCTION("CONCATENATE($B896,(VLOOKUP($C896,CATALOGOS!$F$2:$H$6,3,FALSE)),(VLOOKUP($V896,CATALOGOS!$J$2:$K$18,2,FALSE)),""-"",TO_TEXT($A896))"),"P21DG-0895")</f>
        <v>P21DG-0895</v>
      </c>
      <c r="I896" s="6"/>
      <c r="J896" s="6" t="s">
        <v>6154</v>
      </c>
      <c r="K896" s="6" t="s">
        <v>6155</v>
      </c>
      <c r="L896" s="6" t="s">
        <v>6156</v>
      </c>
      <c r="M896" s="6" t="s">
        <v>6157</v>
      </c>
      <c r="N896" s="17"/>
      <c r="O896" s="17"/>
      <c r="P896" s="17" t="str">
        <f t="shared" si="3"/>
        <v>OK</v>
      </c>
      <c r="Q896" s="17" t="s">
        <v>35</v>
      </c>
      <c r="R896" s="6" t="s">
        <v>35</v>
      </c>
      <c r="S896" s="17" t="s">
        <v>36</v>
      </c>
      <c r="T896" s="17" t="s">
        <v>6158</v>
      </c>
      <c r="U896" s="173" t="s">
        <v>38</v>
      </c>
      <c r="V896" s="11" t="s">
        <v>6054</v>
      </c>
      <c r="W896" s="22" t="s">
        <v>6062</v>
      </c>
      <c r="X896" s="22" t="s">
        <v>6062</v>
      </c>
      <c r="Y896" s="22"/>
      <c r="Z896" s="7"/>
      <c r="AA896" s="7"/>
      <c r="AB896" s="23"/>
      <c r="AC896" s="26"/>
    </row>
    <row r="897" spans="1:29" ht="15.75" customHeight="1">
      <c r="A897" s="10" t="s">
        <v>6159</v>
      </c>
      <c r="B897" s="10" t="s">
        <v>4410</v>
      </c>
      <c r="C897" s="11" t="s">
        <v>6054</v>
      </c>
      <c r="D897" s="12"/>
      <c r="E897" s="13" t="s">
        <v>93</v>
      </c>
      <c r="F897" s="6" t="s">
        <v>6160</v>
      </c>
      <c r="G897" s="6" t="str">
        <f ca="1">IFERROR(__xludf.DUMMYFUNCTION("CONCATENATE(B897,(VLOOKUP(C897,CATALOGOS!$F$2:$H$6,3,FALSE)),(VLOOKUP(V897,CATALOGOS!$J$2:$K$18,2,FALSE)),""-"",TO_TEXT(A897))"),"P21DG-0896")</f>
        <v>P21DG-0896</v>
      </c>
      <c r="H897" s="6" t="str">
        <f ca="1">IFERROR(__xludf.DUMMYFUNCTION("CONCATENATE($B897,(VLOOKUP($C897,CATALOGOS!$F$2:$H$6,3,FALSE)),(VLOOKUP($V897,CATALOGOS!$J$2:$K$18,2,FALSE)),""-"",TO_TEXT($A897))"),"P21DG-0896")</f>
        <v>P21DG-0896</v>
      </c>
      <c r="I897" s="6"/>
      <c r="J897" s="6" t="s">
        <v>6161</v>
      </c>
      <c r="K897" s="6" t="s">
        <v>6162</v>
      </c>
      <c r="L897" s="6" t="s">
        <v>6163</v>
      </c>
      <c r="M897" s="6" t="s">
        <v>6164</v>
      </c>
      <c r="N897" s="17"/>
      <c r="O897" s="17"/>
      <c r="P897" s="17" t="str">
        <f t="shared" si="3"/>
        <v>OK</v>
      </c>
      <c r="Q897" s="17" t="s">
        <v>35</v>
      </c>
      <c r="R897" s="49" t="s">
        <v>35</v>
      </c>
      <c r="S897" s="17" t="s">
        <v>36</v>
      </c>
      <c r="T897" s="17" t="s">
        <v>6165</v>
      </c>
      <c r="U897" s="173" t="s">
        <v>38</v>
      </c>
      <c r="V897" s="11" t="s">
        <v>6054</v>
      </c>
      <c r="W897" s="22" t="s">
        <v>6062</v>
      </c>
      <c r="X897" s="22" t="s">
        <v>6062</v>
      </c>
      <c r="Y897" s="22"/>
      <c r="Z897" s="7"/>
      <c r="AA897" s="7"/>
      <c r="AB897" s="23"/>
      <c r="AC897" s="26"/>
    </row>
    <row r="898" spans="1:29" ht="15.75" customHeight="1">
      <c r="A898" s="10" t="s">
        <v>6166</v>
      </c>
      <c r="B898" s="10" t="s">
        <v>4410</v>
      </c>
      <c r="C898" s="11" t="s">
        <v>6054</v>
      </c>
      <c r="D898" s="12"/>
      <c r="E898" s="13" t="s">
        <v>93</v>
      </c>
      <c r="F898" s="6" t="s">
        <v>6146</v>
      </c>
      <c r="G898" s="6" t="str">
        <f ca="1">IFERROR(__xludf.DUMMYFUNCTION("CONCATENATE(B898,(VLOOKUP(C898,CATALOGOS!$F$2:$H$6,3,FALSE)),(VLOOKUP(V898,CATALOGOS!$J$2:$K$18,2,FALSE)),""-"",TO_TEXT(A898))"),"P21DG-0897")</f>
        <v>P21DG-0897</v>
      </c>
      <c r="H898" s="6" t="str">
        <f ca="1">IFERROR(__xludf.DUMMYFUNCTION("CONCATENATE($B898,(VLOOKUP($C898,CATALOGOS!$F$2:$H$6,3,FALSE)),(VLOOKUP($V898,CATALOGOS!$J$2:$K$18,2,FALSE)),""-"",TO_TEXT($A898))"),"P21DG-0897")</f>
        <v>P21DG-0897</v>
      </c>
      <c r="I898" s="6"/>
      <c r="J898" s="6" t="s">
        <v>6167</v>
      </c>
      <c r="K898" s="6" t="s">
        <v>6168</v>
      </c>
      <c r="L898" s="6" t="s">
        <v>6169</v>
      </c>
      <c r="M898" s="6" t="s">
        <v>6170</v>
      </c>
      <c r="N898" s="17"/>
      <c r="O898" s="17"/>
      <c r="P898" s="17" t="str">
        <f t="shared" si="3"/>
        <v>OK</v>
      </c>
      <c r="Q898" s="17" t="s">
        <v>35</v>
      </c>
      <c r="R898" s="6" t="s">
        <v>35</v>
      </c>
      <c r="S898" s="17" t="s">
        <v>36</v>
      </c>
      <c r="T898" s="17" t="s">
        <v>6171</v>
      </c>
      <c r="U898" s="173" t="s">
        <v>38</v>
      </c>
      <c r="V898" s="11" t="s">
        <v>6054</v>
      </c>
      <c r="W898" s="22" t="s">
        <v>6062</v>
      </c>
      <c r="X898" s="22" t="s">
        <v>6062</v>
      </c>
      <c r="Y898" s="22"/>
      <c r="Z898" s="7"/>
      <c r="AA898" s="7"/>
      <c r="AB898" s="23"/>
      <c r="AC898" s="26"/>
    </row>
    <row r="899" spans="1:29" ht="15.75" customHeight="1">
      <c r="A899" s="10" t="s">
        <v>6172</v>
      </c>
      <c r="B899" s="10" t="s">
        <v>4410</v>
      </c>
      <c r="C899" s="11" t="s">
        <v>6054</v>
      </c>
      <c r="D899" s="12"/>
      <c r="E899" s="13" t="s">
        <v>234</v>
      </c>
      <c r="F899" s="43" t="s">
        <v>6173</v>
      </c>
      <c r="G899" s="6" t="str">
        <f ca="1">IFERROR(__xludf.DUMMYFUNCTION("CONCATENATE(B899,(VLOOKUP(C899,CATALOGOS!$F$2:$H$6,3,FALSE)),(VLOOKUP(V899,CATALOGOS!$J$2:$K$18,2,FALSE)),""-"",TO_TEXT(A899))"),"P21DG-0898")</f>
        <v>P21DG-0898</v>
      </c>
      <c r="H899" s="6" t="str">
        <f ca="1">IFERROR(__xludf.DUMMYFUNCTION("CONCATENATE($B899,(VLOOKUP($C899,CATALOGOS!$F$2:$H$6,3,FALSE)),(VLOOKUP($V899,CATALOGOS!$J$2:$K$18,2,FALSE)),""-"",TO_TEXT($A899))"),"P21DG-0898")</f>
        <v>P21DG-0898</v>
      </c>
      <c r="I899" s="6"/>
      <c r="J899" s="6" t="s">
        <v>6174</v>
      </c>
      <c r="K899" s="6" t="s">
        <v>6175</v>
      </c>
      <c r="L899" s="6" t="s">
        <v>6176</v>
      </c>
      <c r="M899" s="6" t="s">
        <v>6177</v>
      </c>
      <c r="N899" s="17"/>
      <c r="O899" s="17"/>
      <c r="P899" s="17" t="str">
        <f t="shared" si="3"/>
        <v>OK</v>
      </c>
      <c r="Q899" s="17" t="s">
        <v>35</v>
      </c>
      <c r="R899" s="6" t="s">
        <v>35</v>
      </c>
      <c r="S899" s="17" t="s">
        <v>36</v>
      </c>
      <c r="T899" s="17" t="s">
        <v>6178</v>
      </c>
      <c r="U899" s="173" t="s">
        <v>38</v>
      </c>
      <c r="V899" s="11" t="s">
        <v>6054</v>
      </c>
      <c r="W899" s="22" t="s">
        <v>6062</v>
      </c>
      <c r="X899" s="22" t="s">
        <v>6062</v>
      </c>
      <c r="Y899" s="22"/>
      <c r="Z899" s="7"/>
      <c r="AA899" s="7"/>
      <c r="AB899" s="23"/>
      <c r="AC899" s="26"/>
    </row>
    <row r="900" spans="1:29" ht="15.75" customHeight="1">
      <c r="A900" s="10" t="s">
        <v>6179</v>
      </c>
      <c r="B900" s="10" t="s">
        <v>4410</v>
      </c>
      <c r="C900" s="11" t="s">
        <v>6054</v>
      </c>
      <c r="D900" s="12"/>
      <c r="E900" s="13" t="s">
        <v>6180</v>
      </c>
      <c r="F900" s="43" t="s">
        <v>6181</v>
      </c>
      <c r="G900" s="6" t="str">
        <f ca="1">IFERROR(__xludf.DUMMYFUNCTION("CONCATENATE(B900,(VLOOKUP(C900,CATALOGOS!$F$2:$H$6,3,FALSE)),(VLOOKUP(V900,CATALOGOS!$J$2:$K$18,2,FALSE)),""-"",TO_TEXT(A900))"),"P21DG-0899")</f>
        <v>P21DG-0899</v>
      </c>
      <c r="H900" s="6" t="str">
        <f ca="1">IFERROR(__xludf.DUMMYFUNCTION("CONCATENATE($B900,(VLOOKUP($C900,CATALOGOS!$F$2:$H$6,3,FALSE)),(VLOOKUP($V900,CATALOGOS!$J$2:$K$18,2,FALSE)),""-"",TO_TEXT($A900))"),"P21DG-0899")</f>
        <v>P21DG-0899</v>
      </c>
      <c r="I900" s="6"/>
      <c r="J900" s="6" t="s">
        <v>6182</v>
      </c>
      <c r="K900" s="6" t="s">
        <v>6183</v>
      </c>
      <c r="L900" s="6" t="s">
        <v>6184</v>
      </c>
      <c r="M900" s="6" t="s">
        <v>6185</v>
      </c>
      <c r="N900" s="17"/>
      <c r="O900" s="17"/>
      <c r="P900" s="17" t="str">
        <f t="shared" si="3"/>
        <v>OK</v>
      </c>
      <c r="Q900" s="17" t="s">
        <v>35</v>
      </c>
      <c r="R900" s="6" t="s">
        <v>35</v>
      </c>
      <c r="S900" s="17" t="s">
        <v>36</v>
      </c>
      <c r="T900" s="17" t="s">
        <v>85</v>
      </c>
      <c r="U900" s="173" t="s">
        <v>38</v>
      </c>
      <c r="V900" s="11" t="s">
        <v>6054</v>
      </c>
      <c r="W900" s="22" t="s">
        <v>6062</v>
      </c>
      <c r="X900" s="22" t="s">
        <v>6062</v>
      </c>
      <c r="Y900" s="22"/>
      <c r="Z900" s="7"/>
      <c r="AA900" s="7"/>
      <c r="AB900" s="23"/>
      <c r="AC900" s="26"/>
    </row>
    <row r="901" spans="1:29" ht="15.75" customHeight="1">
      <c r="A901" s="10" t="s">
        <v>6186</v>
      </c>
      <c r="B901" s="10" t="s">
        <v>4410</v>
      </c>
      <c r="C901" s="11" t="s">
        <v>6054</v>
      </c>
      <c r="D901" s="12"/>
      <c r="E901" s="13" t="s">
        <v>6187</v>
      </c>
      <c r="F901" s="6" t="s">
        <v>6188</v>
      </c>
      <c r="G901" s="6" t="str">
        <f ca="1">IFERROR(__xludf.DUMMYFUNCTION("CONCATENATE(B901,(VLOOKUP(C901,CATALOGOS!$F$2:$H$6,3,FALSE)),(VLOOKUP(V901,CATALOGOS!$J$2:$K$18,2,FALSE)),""-"",TO_TEXT(A901))"),"P21DG-0900")</f>
        <v>P21DG-0900</v>
      </c>
      <c r="H901" s="6" t="str">
        <f ca="1">IFERROR(__xludf.DUMMYFUNCTION("CONCATENATE($B901,(VLOOKUP($C901,CATALOGOS!$F$2:$H$6,3,FALSE)),(VLOOKUP($V901,CATALOGOS!$J$2:$K$18,2,FALSE)),""-"",TO_TEXT($A901))"),"P21DG-0900")</f>
        <v>P21DG-0900</v>
      </c>
      <c r="I901" s="6"/>
      <c r="J901" s="6" t="s">
        <v>6189</v>
      </c>
      <c r="K901" s="36"/>
      <c r="L901" s="36"/>
      <c r="M901" s="6" t="s">
        <v>141</v>
      </c>
      <c r="N901" s="17"/>
      <c r="O901" s="17"/>
      <c r="P901" s="17" t="str">
        <f t="shared" si="3"/>
        <v>REPETIDO</v>
      </c>
      <c r="Q901" s="35" t="s">
        <v>35</v>
      </c>
      <c r="R901" s="6" t="s">
        <v>35</v>
      </c>
      <c r="S901" s="10" t="s">
        <v>36</v>
      </c>
      <c r="T901" s="32" t="s">
        <v>85</v>
      </c>
      <c r="U901" s="173" t="s">
        <v>38</v>
      </c>
      <c r="V901" s="11" t="s">
        <v>6054</v>
      </c>
      <c r="W901" s="22" t="s">
        <v>6062</v>
      </c>
      <c r="X901" s="22" t="s">
        <v>6062</v>
      </c>
      <c r="Y901" s="22"/>
      <c r="Z901" s="36"/>
      <c r="AA901" s="36"/>
      <c r="AB901" s="23"/>
      <c r="AC901" s="33"/>
    </row>
    <row r="902" spans="1:29" ht="15.75" customHeight="1">
      <c r="A902" s="10" t="s">
        <v>6190</v>
      </c>
      <c r="B902" s="10" t="s">
        <v>4410</v>
      </c>
      <c r="C902" s="11" t="s">
        <v>6054</v>
      </c>
      <c r="D902" s="12"/>
      <c r="E902" s="13" t="s">
        <v>93</v>
      </c>
      <c r="F902" s="6" t="s">
        <v>6191</v>
      </c>
      <c r="G902" s="6" t="str">
        <f ca="1">IFERROR(__xludf.DUMMYFUNCTION("CONCATENATE(B902,(VLOOKUP(C902,CATALOGOS!$F$2:$H$6,3,FALSE)),(VLOOKUP(V902,CATALOGOS!$J$2:$K$18,2,FALSE)),""-"",TO_TEXT(A902))"),"P21DG-0901")</f>
        <v>P21DG-0901</v>
      </c>
      <c r="H902" s="6" t="str">
        <f ca="1">IFERROR(__xludf.DUMMYFUNCTION("CONCATENATE($B902,(VLOOKUP($C902,CATALOGOS!$F$2:$H$6,3,FALSE)),(VLOOKUP($V902,CATALOGOS!$J$2:$K$18,2,FALSE)),""-"",TO_TEXT($A902))"),"P21DG-0901")</f>
        <v>P21DG-0901</v>
      </c>
      <c r="I902" s="6"/>
      <c r="J902" s="6" t="s">
        <v>6192</v>
      </c>
      <c r="K902" s="36"/>
      <c r="L902" s="36"/>
      <c r="M902" s="6" t="s">
        <v>141</v>
      </c>
      <c r="N902" s="17"/>
      <c r="O902" s="17"/>
      <c r="P902" s="17" t="str">
        <f t="shared" si="3"/>
        <v>REPETIDO</v>
      </c>
      <c r="Q902" s="35" t="s">
        <v>35</v>
      </c>
      <c r="R902" s="6" t="s">
        <v>35</v>
      </c>
      <c r="S902" s="10" t="s">
        <v>36</v>
      </c>
      <c r="T902" s="32" t="s">
        <v>85</v>
      </c>
      <c r="U902" s="173" t="s">
        <v>38</v>
      </c>
      <c r="V902" s="11" t="s">
        <v>6054</v>
      </c>
      <c r="W902" s="22" t="s">
        <v>6062</v>
      </c>
      <c r="X902" s="22" t="s">
        <v>6062</v>
      </c>
      <c r="Y902" s="22"/>
      <c r="Z902" s="36"/>
      <c r="AA902" s="36"/>
      <c r="AB902" s="23"/>
      <c r="AC902" s="33"/>
    </row>
    <row r="903" spans="1:29" ht="15.75" customHeight="1">
      <c r="A903" s="10" t="s">
        <v>6193</v>
      </c>
      <c r="B903" s="10" t="s">
        <v>4410</v>
      </c>
      <c r="C903" s="11" t="s">
        <v>6054</v>
      </c>
      <c r="D903" s="12"/>
      <c r="E903" s="13" t="s">
        <v>116</v>
      </c>
      <c r="F903" s="6" t="s">
        <v>6194</v>
      </c>
      <c r="G903" s="6" t="str">
        <f ca="1">IFERROR(__xludf.DUMMYFUNCTION("CONCATENATE(B903,(VLOOKUP(C903,CATALOGOS!$F$2:$H$6,3,FALSE)),(VLOOKUP(V903,CATALOGOS!$J$2:$K$18,2,FALSE)),""-"",TO_TEXT(A903))"),"P21DG-0902")</f>
        <v>P21DG-0902</v>
      </c>
      <c r="H903" s="6" t="str">
        <f ca="1">IFERROR(__xludf.DUMMYFUNCTION("CONCATENATE($B903,(VLOOKUP($C903,CATALOGOS!$F$2:$H$6,3,FALSE)),(VLOOKUP($V903,CATALOGOS!$J$2:$K$18,2,FALSE)),""-"",TO_TEXT($A903))"),"P21DG-0902")</f>
        <v>P21DG-0902</v>
      </c>
      <c r="I903" s="6"/>
      <c r="J903" s="6" t="s">
        <v>6195</v>
      </c>
      <c r="K903" s="6" t="s">
        <v>6196</v>
      </c>
      <c r="L903" s="6" t="s">
        <v>6197</v>
      </c>
      <c r="M903" s="6" t="s">
        <v>6198</v>
      </c>
      <c r="N903" s="17"/>
      <c r="O903" s="17"/>
      <c r="P903" s="17" t="str">
        <f t="shared" si="3"/>
        <v>OK</v>
      </c>
      <c r="Q903" s="17" t="s">
        <v>35</v>
      </c>
      <c r="R903" s="49" t="s">
        <v>35</v>
      </c>
      <c r="S903" s="17" t="s">
        <v>36</v>
      </c>
      <c r="T903" s="17" t="s">
        <v>6199</v>
      </c>
      <c r="U903" s="173" t="s">
        <v>38</v>
      </c>
      <c r="V903" s="11" t="s">
        <v>6054</v>
      </c>
      <c r="W903" s="22" t="s">
        <v>6062</v>
      </c>
      <c r="X903" s="22" t="s">
        <v>6062</v>
      </c>
      <c r="Y903" s="22"/>
      <c r="Z903" s="6"/>
      <c r="AA903" s="6"/>
      <c r="AB903" s="23"/>
      <c r="AC903" s="33"/>
    </row>
    <row r="904" spans="1:29" ht="15.75" customHeight="1">
      <c r="A904" s="10" t="s">
        <v>6200</v>
      </c>
      <c r="B904" s="10" t="s">
        <v>4410</v>
      </c>
      <c r="C904" s="11" t="s">
        <v>6054</v>
      </c>
      <c r="D904" s="12"/>
      <c r="E904" s="13" t="s">
        <v>184</v>
      </c>
      <c r="F904" s="6" t="s">
        <v>6201</v>
      </c>
      <c r="G904" s="6" t="str">
        <f ca="1">IFERROR(__xludf.DUMMYFUNCTION("CONCATENATE(B904,(VLOOKUP(C904,CATALOGOS!$F$2:$H$6,3,FALSE)),(VLOOKUP(V904,CATALOGOS!$J$2:$K$18,2,FALSE)),""-"",TO_TEXT(A904))"),"P21DG-0903")</f>
        <v>P21DG-0903</v>
      </c>
      <c r="H904" s="6" t="str">
        <f ca="1">IFERROR(__xludf.DUMMYFUNCTION("CONCATENATE($B904,(VLOOKUP($C904,CATALOGOS!$F$2:$H$6,3,FALSE)),(VLOOKUP($V904,CATALOGOS!$J$2:$K$18,2,FALSE)),""-"",TO_TEXT($A904))"),"P21DG-0903")</f>
        <v>P21DG-0903</v>
      </c>
      <c r="I904" s="6"/>
      <c r="J904" s="6" t="s">
        <v>6202</v>
      </c>
      <c r="K904" s="6" t="s">
        <v>6203</v>
      </c>
      <c r="L904" s="6" t="s">
        <v>6204</v>
      </c>
      <c r="M904" s="43" t="s">
        <v>6205</v>
      </c>
      <c r="N904" s="17"/>
      <c r="O904" s="17"/>
      <c r="P904" s="17" t="str">
        <f t="shared" si="3"/>
        <v>OK</v>
      </c>
      <c r="Q904" s="17" t="s">
        <v>35</v>
      </c>
      <c r="R904" s="6" t="s">
        <v>35</v>
      </c>
      <c r="S904" s="17" t="s">
        <v>36</v>
      </c>
      <c r="T904" s="17" t="s">
        <v>6206</v>
      </c>
      <c r="U904" s="173" t="s">
        <v>38</v>
      </c>
      <c r="V904" s="11" t="s">
        <v>6054</v>
      </c>
      <c r="W904" s="22" t="s">
        <v>6062</v>
      </c>
      <c r="X904" s="22" t="s">
        <v>6062</v>
      </c>
      <c r="Y904" s="22"/>
      <c r="Z904" s="7"/>
      <c r="AA904" s="7"/>
      <c r="AB904" s="23"/>
      <c r="AC904" s="26"/>
    </row>
    <row r="905" spans="1:29" ht="15.75" customHeight="1">
      <c r="A905" s="10" t="s">
        <v>6207</v>
      </c>
      <c r="B905" s="10" t="s">
        <v>4410</v>
      </c>
      <c r="C905" s="11" t="s">
        <v>6054</v>
      </c>
      <c r="D905" s="12"/>
      <c r="E905" s="13" t="s">
        <v>184</v>
      </c>
      <c r="F905" s="6" t="s">
        <v>6201</v>
      </c>
      <c r="G905" s="6" t="str">
        <f ca="1">IFERROR(__xludf.DUMMYFUNCTION("CONCATENATE(B905,(VLOOKUP(C905,CATALOGOS!$F$2:$H$6,3,FALSE)),(VLOOKUP(V905,CATALOGOS!$J$2:$K$18,2,FALSE)),""-"",TO_TEXT(A905))"),"P21DG-0904")</f>
        <v>P21DG-0904</v>
      </c>
      <c r="H905" s="6" t="str">
        <f ca="1">IFERROR(__xludf.DUMMYFUNCTION("CONCATENATE($B905,(VLOOKUP($C905,CATALOGOS!$F$2:$H$6,3,FALSE)),(VLOOKUP($V905,CATALOGOS!$J$2:$K$18,2,FALSE)),""-"",TO_TEXT($A905))"),"P21DG-0904")</f>
        <v>P21DG-0904</v>
      </c>
      <c r="I905" s="6"/>
      <c r="J905" s="6" t="s">
        <v>6208</v>
      </c>
      <c r="K905" s="6" t="s">
        <v>6209</v>
      </c>
      <c r="L905" s="6" t="s">
        <v>6210</v>
      </c>
      <c r="M905" s="43" t="s">
        <v>6211</v>
      </c>
      <c r="N905" s="17"/>
      <c r="O905" s="17"/>
      <c r="P905" s="17" t="str">
        <f t="shared" si="3"/>
        <v>OK</v>
      </c>
      <c r="Q905" s="17" t="s">
        <v>35</v>
      </c>
      <c r="R905" s="6" t="s">
        <v>35</v>
      </c>
      <c r="S905" s="17" t="s">
        <v>36</v>
      </c>
      <c r="T905" s="17" t="s">
        <v>6212</v>
      </c>
      <c r="U905" s="173" t="s">
        <v>38</v>
      </c>
      <c r="V905" s="11" t="s">
        <v>6054</v>
      </c>
      <c r="W905" s="22" t="s">
        <v>6062</v>
      </c>
      <c r="X905" s="22" t="s">
        <v>6062</v>
      </c>
      <c r="Y905" s="22"/>
      <c r="Z905" s="7"/>
      <c r="AA905" s="7"/>
      <c r="AB905" s="23"/>
      <c r="AC905" s="26"/>
    </row>
    <row r="906" spans="1:29" ht="15.75" customHeight="1">
      <c r="A906" s="10" t="s">
        <v>6213</v>
      </c>
      <c r="B906" s="10" t="s">
        <v>4410</v>
      </c>
      <c r="C906" s="11" t="s">
        <v>6054</v>
      </c>
      <c r="D906" s="12"/>
      <c r="E906" s="13" t="s">
        <v>184</v>
      </c>
      <c r="F906" s="6" t="s">
        <v>6201</v>
      </c>
      <c r="G906" s="6" t="str">
        <f ca="1">IFERROR(__xludf.DUMMYFUNCTION("CONCATENATE(B906,(VLOOKUP(C906,CATALOGOS!$F$2:$H$6,3,FALSE)),(VLOOKUP(V906,CATALOGOS!$J$2:$K$18,2,FALSE)),""-"",TO_TEXT(A906))"),"P21DG-0905")</f>
        <v>P21DG-0905</v>
      </c>
      <c r="H906" s="6" t="str">
        <f ca="1">IFERROR(__xludf.DUMMYFUNCTION("CONCATENATE($B906,(VLOOKUP($C906,CATALOGOS!$F$2:$H$6,3,FALSE)),(VLOOKUP($V906,CATALOGOS!$J$2:$K$18,2,FALSE)),""-"",TO_TEXT($A906))"),"P21DG-0905")</f>
        <v>P21DG-0905</v>
      </c>
      <c r="I906" s="6"/>
      <c r="J906" s="6" t="s">
        <v>6214</v>
      </c>
      <c r="K906" s="6" t="s">
        <v>6215</v>
      </c>
      <c r="L906" s="6" t="s">
        <v>6216</v>
      </c>
      <c r="M906" s="6" t="s">
        <v>6217</v>
      </c>
      <c r="N906" s="17"/>
      <c r="O906" s="17"/>
      <c r="P906" s="17" t="str">
        <f t="shared" si="3"/>
        <v>OK</v>
      </c>
      <c r="Q906" s="17" t="s">
        <v>35</v>
      </c>
      <c r="R906" s="6" t="s">
        <v>35</v>
      </c>
      <c r="S906" s="17" t="s">
        <v>36</v>
      </c>
      <c r="T906" s="17" t="s">
        <v>6218</v>
      </c>
      <c r="U906" s="173" t="s">
        <v>38</v>
      </c>
      <c r="V906" s="11" t="s">
        <v>6054</v>
      </c>
      <c r="W906" s="22" t="s">
        <v>6062</v>
      </c>
      <c r="X906" s="22" t="s">
        <v>6062</v>
      </c>
      <c r="Y906" s="22"/>
      <c r="Z906" s="7"/>
      <c r="AA906" s="7"/>
      <c r="AB906" s="23"/>
      <c r="AC906" s="26"/>
    </row>
    <row r="907" spans="1:29" ht="15.75" customHeight="1">
      <c r="A907" s="10" t="s">
        <v>6219</v>
      </c>
      <c r="B907" s="10" t="s">
        <v>4410</v>
      </c>
      <c r="C907" s="11" t="s">
        <v>6054</v>
      </c>
      <c r="D907" s="12"/>
      <c r="E907" s="13" t="s">
        <v>378</v>
      </c>
      <c r="F907" s="6" t="s">
        <v>379</v>
      </c>
      <c r="G907" s="6" t="str">
        <f ca="1">IFERROR(__xludf.DUMMYFUNCTION("CONCATENATE(B907,(VLOOKUP(C907,CATALOGOS!$F$2:$H$6,3,FALSE)),(VLOOKUP(V907,CATALOGOS!$J$2:$K$18,2,FALSE)),""-"",TO_TEXT(A907))"),"P21DG-0906")</f>
        <v>P21DG-0906</v>
      </c>
      <c r="H907" s="6" t="str">
        <f ca="1">IFERROR(__xludf.DUMMYFUNCTION("CONCATENATE($B907,(VLOOKUP($C907,CATALOGOS!$F$2:$H$6,3,FALSE)),(VLOOKUP($V907,CATALOGOS!$J$2:$K$18,2,FALSE)),""-"",TO_TEXT($A907))"),"P21DG-0906")</f>
        <v>P21DG-0906</v>
      </c>
      <c r="I907" s="6"/>
      <c r="J907" s="6" t="s">
        <v>6220</v>
      </c>
      <c r="K907" s="6" t="s">
        <v>6221</v>
      </c>
      <c r="L907" s="66" t="s">
        <v>6222</v>
      </c>
      <c r="M907" s="6" t="s">
        <v>6223</v>
      </c>
      <c r="N907" s="17"/>
      <c r="O907" s="17"/>
      <c r="P907" s="17" t="str">
        <f t="shared" si="3"/>
        <v>OK</v>
      </c>
      <c r="Q907" s="17" t="s">
        <v>35</v>
      </c>
      <c r="R907" s="6" t="s">
        <v>35</v>
      </c>
      <c r="S907" s="17" t="s">
        <v>36</v>
      </c>
      <c r="T907" s="17" t="s">
        <v>6224</v>
      </c>
      <c r="U907" s="173" t="s">
        <v>38</v>
      </c>
      <c r="V907" s="11" t="s">
        <v>6054</v>
      </c>
      <c r="W907" s="22" t="s">
        <v>6062</v>
      </c>
      <c r="X907" s="22" t="s">
        <v>6062</v>
      </c>
      <c r="Y907" s="22"/>
      <c r="Z907" s="7"/>
      <c r="AA907" s="7"/>
      <c r="AB907" s="23"/>
      <c r="AC907" s="26"/>
    </row>
    <row r="908" spans="1:29" ht="15.75" customHeight="1">
      <c r="A908" s="10" t="s">
        <v>6225</v>
      </c>
      <c r="B908" s="10" t="s">
        <v>4410</v>
      </c>
      <c r="C908" s="11" t="s">
        <v>6054</v>
      </c>
      <c r="D908" s="12"/>
      <c r="E908" s="13" t="s">
        <v>6226</v>
      </c>
      <c r="F908" s="43" t="s">
        <v>278</v>
      </c>
      <c r="G908" s="6" t="str">
        <f ca="1">IFERROR(__xludf.DUMMYFUNCTION("CONCATENATE(B908,(VLOOKUP(C908,CATALOGOS!$F$2:$H$6,3,FALSE)),(VLOOKUP(V908,CATALOGOS!$J$2:$K$18,2,FALSE)),""-"",TO_TEXT(A908))"),"P21DG-0907")</f>
        <v>P21DG-0907</v>
      </c>
      <c r="H908" s="6" t="str">
        <f ca="1">IFERROR(__xludf.DUMMYFUNCTION("CONCATENATE($B908,(VLOOKUP($C908,CATALOGOS!$F$2:$H$6,3,FALSE)),(VLOOKUP($V908,CATALOGOS!$J$2:$K$18,2,FALSE)),""-"",TO_TEXT($A908))"),"P21DG-0907")</f>
        <v>P21DG-0907</v>
      </c>
      <c r="I908" s="6"/>
      <c r="J908" s="6" t="s">
        <v>6227</v>
      </c>
      <c r="K908" s="6" t="s">
        <v>6228</v>
      </c>
      <c r="L908" s="6" t="s">
        <v>6229</v>
      </c>
      <c r="M908" s="6" t="s">
        <v>6230</v>
      </c>
      <c r="N908" s="17"/>
      <c r="O908" s="17"/>
      <c r="P908" s="17" t="str">
        <f t="shared" si="3"/>
        <v>OK</v>
      </c>
      <c r="Q908" s="17" t="s">
        <v>35</v>
      </c>
      <c r="R908" s="6" t="s">
        <v>35</v>
      </c>
      <c r="S908" s="17" t="s">
        <v>36</v>
      </c>
      <c r="T908" s="17" t="s">
        <v>6231</v>
      </c>
      <c r="U908" s="173" t="s">
        <v>38</v>
      </c>
      <c r="V908" s="11" t="s">
        <v>6054</v>
      </c>
      <c r="W908" s="22" t="s">
        <v>6062</v>
      </c>
      <c r="X908" s="22" t="s">
        <v>6062</v>
      </c>
      <c r="Y908" s="22"/>
      <c r="Z908" s="7"/>
      <c r="AA908" s="7"/>
      <c r="AB908" s="23"/>
      <c r="AC908" s="26"/>
    </row>
    <row r="909" spans="1:29" ht="15.75" customHeight="1">
      <c r="A909" s="10" t="s">
        <v>6232</v>
      </c>
      <c r="B909" s="10" t="s">
        <v>4410</v>
      </c>
      <c r="C909" s="11" t="s">
        <v>6054</v>
      </c>
      <c r="D909" s="12"/>
      <c r="E909" s="13" t="s">
        <v>93</v>
      </c>
      <c r="F909" s="6" t="s">
        <v>6233</v>
      </c>
      <c r="G909" s="6" t="str">
        <f ca="1">IFERROR(__xludf.DUMMYFUNCTION("CONCATENATE(B909,(VLOOKUP(C909,CATALOGOS!$F$2:$H$6,3,FALSE)),(VLOOKUP(V909,CATALOGOS!$J$2:$K$18,2,FALSE)),""-"",TO_TEXT(A909))"),"P21DG-0908")</f>
        <v>P21DG-0908</v>
      </c>
      <c r="H909" s="6" t="str">
        <f ca="1">IFERROR(__xludf.DUMMYFUNCTION("CONCATENATE($B909,(VLOOKUP($C909,CATALOGOS!$F$2:$H$6,3,FALSE)),(VLOOKUP($V909,CATALOGOS!$J$2:$K$18,2,FALSE)),""-"",TO_TEXT($A909))"),"P21DG-0908")</f>
        <v>P21DG-0908</v>
      </c>
      <c r="I909" s="6"/>
      <c r="J909" s="6" t="s">
        <v>6234</v>
      </c>
      <c r="K909" s="6" t="s">
        <v>6235</v>
      </c>
      <c r="L909" s="37"/>
      <c r="M909" s="6" t="s">
        <v>6236</v>
      </c>
      <c r="N909" s="17"/>
      <c r="O909" s="17"/>
      <c r="P909" s="17" t="str">
        <f t="shared" si="3"/>
        <v>OK</v>
      </c>
      <c r="Q909" s="35" t="s">
        <v>35</v>
      </c>
      <c r="R909" s="6" t="s">
        <v>35</v>
      </c>
      <c r="S909" s="10" t="s">
        <v>36</v>
      </c>
      <c r="T909" s="32" t="s">
        <v>6237</v>
      </c>
      <c r="U909" s="173" t="s">
        <v>38</v>
      </c>
      <c r="V909" s="11" t="s">
        <v>6054</v>
      </c>
      <c r="W909" s="22" t="s">
        <v>6062</v>
      </c>
      <c r="X909" s="22" t="s">
        <v>6062</v>
      </c>
      <c r="Y909" s="22"/>
      <c r="Z909" s="7"/>
      <c r="AA909" s="7"/>
      <c r="AB909" s="23"/>
      <c r="AC909" s="26"/>
    </row>
    <row r="910" spans="1:29" ht="15.75" customHeight="1">
      <c r="A910" s="10" t="s">
        <v>6238</v>
      </c>
      <c r="B910" s="10" t="s">
        <v>4410</v>
      </c>
      <c r="C910" s="11" t="s">
        <v>6054</v>
      </c>
      <c r="D910" s="12"/>
      <c r="E910" s="13" t="s">
        <v>1199</v>
      </c>
      <c r="F910" s="43" t="s">
        <v>6239</v>
      </c>
      <c r="G910" s="6" t="str">
        <f ca="1">IFERROR(__xludf.DUMMYFUNCTION("CONCATENATE(B910,(VLOOKUP(C910,CATALOGOS!$F$2:$H$6,3,FALSE)),(VLOOKUP(V910,CATALOGOS!$J$2:$K$18,2,FALSE)),""-"",TO_TEXT(A910))"),"P21DG-0909")</f>
        <v>P21DG-0909</v>
      </c>
      <c r="H910" s="6" t="str">
        <f ca="1">IFERROR(__xludf.DUMMYFUNCTION("CONCATENATE($B910,(VLOOKUP($C910,CATALOGOS!$F$2:$H$6,3,FALSE)),(VLOOKUP($V910,CATALOGOS!$J$2:$K$18,2,FALSE)),""-"",TO_TEXT($A910))"),"P21DG-0909")</f>
        <v>P21DG-0909</v>
      </c>
      <c r="I910" s="6"/>
      <c r="J910" s="6" t="s">
        <v>6240</v>
      </c>
      <c r="K910" s="6" t="s">
        <v>6241</v>
      </c>
      <c r="L910" s="6" t="s">
        <v>6242</v>
      </c>
      <c r="M910" s="6" t="s">
        <v>6243</v>
      </c>
      <c r="N910" s="17"/>
      <c r="O910" s="17"/>
      <c r="P910" s="17" t="str">
        <f t="shared" si="3"/>
        <v>OK</v>
      </c>
      <c r="Q910" s="17" t="s">
        <v>205</v>
      </c>
      <c r="R910" s="6" t="s">
        <v>6244</v>
      </c>
      <c r="S910" s="17" t="s">
        <v>6245</v>
      </c>
      <c r="T910" s="10" t="s">
        <v>6246</v>
      </c>
      <c r="U910" s="173" t="s">
        <v>38</v>
      </c>
      <c r="V910" s="11" t="s">
        <v>6054</v>
      </c>
      <c r="W910" s="22" t="s">
        <v>6062</v>
      </c>
      <c r="X910" s="22" t="s">
        <v>6062</v>
      </c>
      <c r="Y910" s="22"/>
      <c r="Z910" s="7"/>
      <c r="AA910" s="7"/>
      <c r="AB910" s="23"/>
      <c r="AC910" s="26"/>
    </row>
    <row r="911" spans="1:29" ht="15.75" customHeight="1">
      <c r="A911" s="10" t="s">
        <v>6247</v>
      </c>
      <c r="B911" s="10" t="s">
        <v>4410</v>
      </c>
      <c r="C911" s="11" t="s">
        <v>6054</v>
      </c>
      <c r="D911" s="12"/>
      <c r="E911" s="13" t="s">
        <v>248</v>
      </c>
      <c r="F911" s="43" t="s">
        <v>248</v>
      </c>
      <c r="G911" s="6" t="str">
        <f ca="1">IFERROR(__xludf.DUMMYFUNCTION("CONCATENATE(B911,(VLOOKUP(C911,CATALOGOS!$F$2:$H$6,3,FALSE)),(VLOOKUP(V911,CATALOGOS!$J$2:$K$18,2,FALSE)),""-"",TO_TEXT(A911))"),"P21DG-0910")</f>
        <v>P21DG-0910</v>
      </c>
      <c r="H911" s="6" t="str">
        <f ca="1">IFERROR(__xludf.DUMMYFUNCTION("CONCATENATE($B911,(VLOOKUP($C911,CATALOGOS!$F$2:$H$6,3,FALSE)),(VLOOKUP($V911,CATALOGOS!$J$2:$K$18,2,FALSE)),""-"",TO_TEXT($A911))"),"P21DG-0910")</f>
        <v>P21DG-0910</v>
      </c>
      <c r="I911" s="6"/>
      <c r="J911" s="6" t="s">
        <v>6248</v>
      </c>
      <c r="K911" s="6" t="s">
        <v>6249</v>
      </c>
      <c r="L911" s="6" t="s">
        <v>6250</v>
      </c>
      <c r="M911" s="6" t="s">
        <v>6251</v>
      </c>
      <c r="N911" s="17"/>
      <c r="O911" s="17"/>
      <c r="P911" s="17" t="str">
        <f t="shared" si="3"/>
        <v>OK</v>
      </c>
      <c r="Q911" s="17" t="s">
        <v>978</v>
      </c>
      <c r="R911" s="6" t="s">
        <v>979</v>
      </c>
      <c r="S911" s="17" t="s">
        <v>6252</v>
      </c>
      <c r="T911" s="17" t="s">
        <v>6253</v>
      </c>
      <c r="U911" s="173" t="s">
        <v>38</v>
      </c>
      <c r="V911" s="11" t="s">
        <v>6054</v>
      </c>
      <c r="W911" s="22" t="s">
        <v>6062</v>
      </c>
      <c r="X911" s="22" t="s">
        <v>6062</v>
      </c>
      <c r="Y911" s="22"/>
      <c r="Z911" s="7"/>
      <c r="AA911" s="7"/>
      <c r="AB911" s="23"/>
      <c r="AC911" s="26"/>
    </row>
    <row r="912" spans="1:29" ht="15.75" customHeight="1">
      <c r="A912" s="10" t="s">
        <v>6254</v>
      </c>
      <c r="B912" s="10" t="s">
        <v>4410</v>
      </c>
      <c r="C912" s="11" t="s">
        <v>6054</v>
      </c>
      <c r="D912" s="12"/>
      <c r="E912" s="13" t="s">
        <v>162</v>
      </c>
      <c r="F912" s="43" t="s">
        <v>6255</v>
      </c>
      <c r="G912" s="6" t="str">
        <f ca="1">IFERROR(__xludf.DUMMYFUNCTION("CONCATENATE(B912,(VLOOKUP(C912,CATALOGOS!$F$2:$H$6,3,FALSE)),(VLOOKUP(V912,CATALOGOS!$J$2:$K$18,2,FALSE)),""-"",TO_TEXT(A912))"),"P21DG-0911")</f>
        <v>P21DG-0911</v>
      </c>
      <c r="H912" s="6" t="str">
        <f ca="1">IFERROR(__xludf.DUMMYFUNCTION("CONCATENATE($B912,(VLOOKUP($C912,CATALOGOS!$F$2:$H$6,3,FALSE)),(VLOOKUP($V912,CATALOGOS!$J$2:$K$18,2,FALSE)),""-"",TO_TEXT($A912))"),"P21DG-0911")</f>
        <v>P21DG-0911</v>
      </c>
      <c r="I912" s="6"/>
      <c r="J912" s="6" t="s">
        <v>6256</v>
      </c>
      <c r="K912" s="6" t="s">
        <v>6257</v>
      </c>
      <c r="L912" s="6" t="s">
        <v>6258</v>
      </c>
      <c r="M912" s="6" t="s">
        <v>6259</v>
      </c>
      <c r="N912" s="17"/>
      <c r="O912" s="17"/>
      <c r="P912" s="17" t="str">
        <f t="shared" si="3"/>
        <v>OK</v>
      </c>
      <c r="Q912" s="17" t="s">
        <v>168</v>
      </c>
      <c r="R912" s="6" t="s">
        <v>169</v>
      </c>
      <c r="S912" s="17" t="s">
        <v>6260</v>
      </c>
      <c r="T912" s="17" t="s">
        <v>6261</v>
      </c>
      <c r="U912" s="173" t="s">
        <v>38</v>
      </c>
      <c r="V912" s="11" t="s">
        <v>6054</v>
      </c>
      <c r="W912" s="22" t="s">
        <v>6062</v>
      </c>
      <c r="X912" s="22" t="s">
        <v>6062</v>
      </c>
      <c r="Y912" s="22"/>
      <c r="Z912" s="7"/>
      <c r="AA912" s="7"/>
      <c r="AB912" s="23"/>
      <c r="AC912" s="26"/>
    </row>
    <row r="913" spans="1:29" ht="15.75" customHeight="1">
      <c r="A913" s="10" t="s">
        <v>6262</v>
      </c>
      <c r="B913" s="10" t="s">
        <v>4410</v>
      </c>
      <c r="C913" s="60" t="s">
        <v>1470</v>
      </c>
      <c r="D913" s="38"/>
      <c r="E913" s="13" t="s">
        <v>199</v>
      </c>
      <c r="F913" s="6" t="s">
        <v>677</v>
      </c>
      <c r="G913" s="6" t="str">
        <f ca="1">IFERROR(__xludf.DUMMYFUNCTION("CONCATENATE(B913,(VLOOKUP(C913,CATALOGOS!$F$2:$H$6,3,FALSE)),(VLOOKUP(V913,CATALOGOS!$J$2:$K$18,2,FALSE)),""-"",TO_TEXT(A913))"),"P22SI-0912")</f>
        <v>P22SI-0912</v>
      </c>
      <c r="H913" s="6" t="str">
        <f ca="1">IFERROR(__xludf.DUMMYFUNCTION("CONCATENATE($B913,(VLOOKUP($C913,CATALOGOS!$F$2:$H$6,3,FALSE)),(VLOOKUP($V913,CATALOGOS!$J$2:$K$18,2,FALSE)),""-"",TO_TEXT($A913))"),"P22SI-0912")</f>
        <v>P22SI-0912</v>
      </c>
      <c r="I913" s="6"/>
      <c r="J913" s="6" t="s">
        <v>6263</v>
      </c>
      <c r="K913" s="6" t="s">
        <v>6264</v>
      </c>
      <c r="L913" s="6" t="s">
        <v>6265</v>
      </c>
      <c r="M913" s="6" t="s">
        <v>6266</v>
      </c>
      <c r="N913" s="17"/>
      <c r="O913" s="17"/>
      <c r="P913" s="17" t="str">
        <f t="shared" si="3"/>
        <v>OK</v>
      </c>
      <c r="Q913" s="17" t="s">
        <v>682</v>
      </c>
      <c r="R913" s="6" t="s">
        <v>6267</v>
      </c>
      <c r="S913" s="46" t="s">
        <v>6268</v>
      </c>
      <c r="T913" s="32" t="s">
        <v>6269</v>
      </c>
      <c r="U913" s="173" t="s">
        <v>38</v>
      </c>
      <c r="V913" s="181" t="s">
        <v>1483</v>
      </c>
      <c r="W913" s="20" t="s">
        <v>1484</v>
      </c>
      <c r="X913" s="20" t="s">
        <v>1484</v>
      </c>
      <c r="Y913" s="20"/>
      <c r="Z913" s="7"/>
      <c r="AA913" s="7"/>
      <c r="AB913" s="26"/>
      <c r="AC913" s="26"/>
    </row>
    <row r="914" spans="1:29" ht="15.75" customHeight="1">
      <c r="A914" s="10" t="s">
        <v>6270</v>
      </c>
      <c r="B914" s="10" t="s">
        <v>4410</v>
      </c>
      <c r="C914" s="11" t="s">
        <v>6054</v>
      </c>
      <c r="D914" s="12"/>
      <c r="E914" s="13" t="s">
        <v>93</v>
      </c>
      <c r="F914" s="6" t="s">
        <v>6271</v>
      </c>
      <c r="G914" s="6" t="str">
        <f ca="1">IFERROR(__xludf.DUMMYFUNCTION("CONCATENATE(B914,(VLOOKUP(C914,CATALOGOS!$F$2:$H$6,3,FALSE)),(VLOOKUP(V914,CATALOGOS!$J$2:$K$18,2,FALSE)),""-"",TO_TEXT(A914))"),"P21DG-0913")</f>
        <v>P21DG-0913</v>
      </c>
      <c r="H914" s="6" t="str">
        <f ca="1">IFERROR(__xludf.DUMMYFUNCTION("CONCATENATE($B914,(VLOOKUP($C914,CATALOGOS!$F$2:$H$6,3,FALSE)),(VLOOKUP($V914,CATALOGOS!$J$2:$K$18,2,FALSE)),""-"",TO_TEXT($A914))"),"P21DG-0913")</f>
        <v>P21DG-0913</v>
      </c>
      <c r="I914" s="6"/>
      <c r="J914" s="6" t="s">
        <v>6272</v>
      </c>
      <c r="K914" s="6" t="s">
        <v>6273</v>
      </c>
      <c r="L914" s="6" t="s">
        <v>6274</v>
      </c>
      <c r="M914" s="6" t="s">
        <v>6275</v>
      </c>
      <c r="N914" s="17"/>
      <c r="O914" s="17"/>
      <c r="P914" s="17" t="str">
        <f t="shared" si="3"/>
        <v>OK</v>
      </c>
      <c r="Q914" s="17" t="s">
        <v>35</v>
      </c>
      <c r="R914" s="6" t="s">
        <v>35</v>
      </c>
      <c r="S914" s="17" t="s">
        <v>36</v>
      </c>
      <c r="T914" s="17" t="s">
        <v>6276</v>
      </c>
      <c r="U914" s="173" t="s">
        <v>38</v>
      </c>
      <c r="V914" s="11" t="s">
        <v>6054</v>
      </c>
      <c r="W914" s="22" t="s">
        <v>6277</v>
      </c>
      <c r="X914" s="22" t="s">
        <v>6277</v>
      </c>
      <c r="Y914" s="22"/>
      <c r="Z914" s="7"/>
      <c r="AA914" s="7"/>
      <c r="AB914" s="23"/>
      <c r="AC914" s="26"/>
    </row>
    <row r="915" spans="1:29" ht="15.75" customHeight="1">
      <c r="A915" s="10" t="s">
        <v>6278</v>
      </c>
      <c r="B915" s="10" t="s">
        <v>4410</v>
      </c>
      <c r="C915" s="11" t="s">
        <v>6054</v>
      </c>
      <c r="D915" s="12"/>
      <c r="E915" s="13" t="s">
        <v>378</v>
      </c>
      <c r="F915" s="6" t="s">
        <v>6279</v>
      </c>
      <c r="G915" s="6" t="str">
        <f ca="1">IFERROR(__xludf.DUMMYFUNCTION("CONCATENATE(B915,(VLOOKUP(C915,CATALOGOS!$F$2:$H$6,3,FALSE)),(VLOOKUP(V915,CATALOGOS!$J$2:$K$18,2,FALSE)),""-"",TO_TEXT(A915))"),"P21DG-0914")</f>
        <v>P21DG-0914</v>
      </c>
      <c r="H915" s="6" t="str">
        <f ca="1">IFERROR(__xludf.DUMMYFUNCTION("CONCATENATE($B915,(VLOOKUP($C915,CATALOGOS!$F$2:$H$6,3,FALSE)),(VLOOKUP($V915,CATALOGOS!$J$2:$K$18,2,FALSE)),""-"",TO_TEXT($A915))"),"P21DG-0914")</f>
        <v>P21DG-0914</v>
      </c>
      <c r="I915" s="6"/>
      <c r="J915" s="6" t="s">
        <v>6280</v>
      </c>
      <c r="K915" s="6" t="s">
        <v>6281</v>
      </c>
      <c r="L915" s="6" t="s">
        <v>6282</v>
      </c>
      <c r="M915" s="6" t="s">
        <v>6283</v>
      </c>
      <c r="N915" s="17"/>
      <c r="O915" s="17"/>
      <c r="P915" s="17" t="str">
        <f t="shared" si="3"/>
        <v>OK</v>
      </c>
      <c r="Q915" s="17" t="s">
        <v>35</v>
      </c>
      <c r="R915" s="6" t="s">
        <v>35</v>
      </c>
      <c r="S915" s="17" t="s">
        <v>36</v>
      </c>
      <c r="T915" s="17" t="s">
        <v>6284</v>
      </c>
      <c r="U915" s="173" t="s">
        <v>517</v>
      </c>
      <c r="V915" s="11" t="s">
        <v>6054</v>
      </c>
      <c r="W915" s="22" t="s">
        <v>6277</v>
      </c>
      <c r="X915" s="22" t="s">
        <v>6277</v>
      </c>
      <c r="Y915" s="22"/>
      <c r="Z915" s="6"/>
      <c r="AA915" s="6" t="s">
        <v>440</v>
      </c>
      <c r="AB915" s="23"/>
      <c r="AC915" s="26"/>
    </row>
    <row r="916" spans="1:29" ht="15.75" customHeight="1">
      <c r="A916" s="10" t="s">
        <v>6285</v>
      </c>
      <c r="B916" s="10" t="s">
        <v>27</v>
      </c>
      <c r="C916" s="63" t="s">
        <v>28</v>
      </c>
      <c r="D916" s="12"/>
      <c r="E916" s="13" t="s">
        <v>378</v>
      </c>
      <c r="F916" s="6" t="s">
        <v>6279</v>
      </c>
      <c r="G916" s="6" t="str">
        <f ca="1">IFERROR(__xludf.DUMMYFUNCTION("CONCATENATE(B916,(VLOOKUP(C916,CATALOGOS!$F$2:$H$6,3,FALSE)),(VLOOKUP(V916,CATALOGOS!$J$2:$K$18,2,FALSE)),""-"",TO_TEXT(A916))"),"P05DA-0915")</f>
        <v>P05DA-0915</v>
      </c>
      <c r="H916" s="6" t="str">
        <f ca="1">IFERROR(__xludf.DUMMYFUNCTION("CONCATENATE($B916,(VLOOKUP($C916,CATALOGOS!$F$2:$H$6,3,FALSE)),(VLOOKUP($V916,CATALOGOS!$J$2:$K$18,2,FALSE)),""-"",TO_TEXT($A916))"),"P05DA-0915")</f>
        <v>P05DA-0915</v>
      </c>
      <c r="I916" s="6"/>
      <c r="J916" s="6" t="s">
        <v>6286</v>
      </c>
      <c r="K916" s="6" t="s">
        <v>6287</v>
      </c>
      <c r="L916" s="6" t="s">
        <v>6288</v>
      </c>
      <c r="M916" s="43" t="s">
        <v>6289</v>
      </c>
      <c r="N916" s="17"/>
      <c r="O916" s="17"/>
      <c r="P916" s="17" t="str">
        <f t="shared" si="3"/>
        <v>OK</v>
      </c>
      <c r="Q916" s="17" t="s">
        <v>35</v>
      </c>
      <c r="R916" s="6" t="s">
        <v>35</v>
      </c>
      <c r="S916" s="17" t="s">
        <v>36</v>
      </c>
      <c r="T916" s="17" t="s">
        <v>6290</v>
      </c>
      <c r="U916" s="173" t="s">
        <v>38</v>
      </c>
      <c r="V916" s="11" t="s">
        <v>28</v>
      </c>
      <c r="W916" s="20" t="s">
        <v>40</v>
      </c>
      <c r="X916" s="20" t="s">
        <v>40</v>
      </c>
      <c r="Y916" s="20"/>
      <c r="Z916" s="6"/>
      <c r="AA916" s="6" t="s">
        <v>6291</v>
      </c>
      <c r="AB916" s="23"/>
      <c r="AC916" s="26"/>
    </row>
    <row r="917" spans="1:29" ht="15.75" customHeight="1">
      <c r="A917" s="10" t="s">
        <v>6292</v>
      </c>
      <c r="B917" s="10" t="s">
        <v>4410</v>
      </c>
      <c r="C917" s="11" t="s">
        <v>6054</v>
      </c>
      <c r="D917" s="12"/>
      <c r="E917" s="13" t="s">
        <v>93</v>
      </c>
      <c r="F917" s="6" t="s">
        <v>6293</v>
      </c>
      <c r="G917" s="6" t="str">
        <f ca="1">IFERROR(__xludf.DUMMYFUNCTION("CONCATENATE(B917,(VLOOKUP(C917,CATALOGOS!$F$2:$H$6,3,FALSE)),(VLOOKUP(V917,CATALOGOS!$J$2:$K$18,2,FALSE)),""-"",TO_TEXT(A917))"),"P21DG-0916")</f>
        <v>P21DG-0916</v>
      </c>
      <c r="H917" s="6" t="str">
        <f ca="1">IFERROR(__xludf.DUMMYFUNCTION("CONCATENATE($B917,(VLOOKUP($C917,CATALOGOS!$F$2:$H$6,3,FALSE)),(VLOOKUP($V917,CATALOGOS!$J$2:$K$18,2,FALSE)),""-"",TO_TEXT($A917))"),"P21DG-0916")</f>
        <v>P21DG-0916</v>
      </c>
      <c r="I917" s="6"/>
      <c r="J917" s="6" t="s">
        <v>6294</v>
      </c>
      <c r="K917" s="6" t="s">
        <v>6295</v>
      </c>
      <c r="L917" s="6" t="s">
        <v>6296</v>
      </c>
      <c r="M917" s="6" t="s">
        <v>6297</v>
      </c>
      <c r="N917" s="17"/>
      <c r="O917" s="17"/>
      <c r="P917" s="17" t="str">
        <f t="shared" si="3"/>
        <v>OK</v>
      </c>
      <c r="Q917" s="17" t="s">
        <v>35</v>
      </c>
      <c r="R917" s="6" t="s">
        <v>35</v>
      </c>
      <c r="S917" s="17" t="s">
        <v>36</v>
      </c>
      <c r="T917" s="17" t="s">
        <v>6298</v>
      </c>
      <c r="U917" s="173" t="s">
        <v>38</v>
      </c>
      <c r="V917" s="11" t="s">
        <v>6054</v>
      </c>
      <c r="W917" s="22" t="s">
        <v>6277</v>
      </c>
      <c r="X917" s="22" t="s">
        <v>6277</v>
      </c>
      <c r="Y917" s="22"/>
      <c r="Z917" s="7"/>
      <c r="AA917" s="7"/>
      <c r="AB917" s="23"/>
      <c r="AC917" s="26"/>
    </row>
    <row r="918" spans="1:29" ht="15.75" customHeight="1">
      <c r="A918" s="10" t="s">
        <v>6299</v>
      </c>
      <c r="B918" s="10" t="s">
        <v>4410</v>
      </c>
      <c r="C918" s="11" t="s">
        <v>6054</v>
      </c>
      <c r="D918" s="12"/>
      <c r="E918" s="13" t="s">
        <v>353</v>
      </c>
      <c r="F918" s="43" t="s">
        <v>6300</v>
      </c>
      <c r="G918" s="6" t="str">
        <f ca="1">IFERROR(__xludf.DUMMYFUNCTION("CONCATENATE(B918,(VLOOKUP(C918,CATALOGOS!$F$2:$H$6,3,FALSE)),(VLOOKUP(V918,CATALOGOS!$J$2:$K$18,2,FALSE)),""-"",TO_TEXT(A918))"),"P21DG-0917")</f>
        <v>P21DG-0917</v>
      </c>
      <c r="H918" s="6" t="str">
        <f ca="1">IFERROR(__xludf.DUMMYFUNCTION("CONCATENATE($B918,(VLOOKUP($C918,CATALOGOS!$F$2:$H$6,3,FALSE)),(VLOOKUP($V918,CATALOGOS!$J$2:$K$18,2,FALSE)),""-"",TO_TEXT($A918))"),"P21DG-0917")</f>
        <v>P21DG-0917</v>
      </c>
      <c r="I918" s="6"/>
      <c r="J918" s="6" t="s">
        <v>6301</v>
      </c>
      <c r="K918" s="6" t="s">
        <v>6302</v>
      </c>
      <c r="L918" s="6" t="s">
        <v>6303</v>
      </c>
      <c r="M918" s="6" t="s">
        <v>6304</v>
      </c>
      <c r="N918" s="17"/>
      <c r="O918" s="17"/>
      <c r="P918" s="17" t="str">
        <f t="shared" si="3"/>
        <v>OK</v>
      </c>
      <c r="Q918" s="17" t="s">
        <v>6305</v>
      </c>
      <c r="R918" s="6" t="s">
        <v>6306</v>
      </c>
      <c r="S918" s="17" t="s">
        <v>6307</v>
      </c>
      <c r="T918" s="10" t="s">
        <v>6308</v>
      </c>
      <c r="U918" s="173" t="s">
        <v>38</v>
      </c>
      <c r="V918" s="11" t="s">
        <v>6054</v>
      </c>
      <c r="W918" s="22" t="s">
        <v>6277</v>
      </c>
      <c r="X918" s="22" t="s">
        <v>6277</v>
      </c>
      <c r="Y918" s="22"/>
      <c r="Z918" s="7"/>
      <c r="AA918" s="7"/>
      <c r="AB918" s="23"/>
      <c r="AC918" s="26"/>
    </row>
    <row r="919" spans="1:29" ht="15.75" customHeight="1">
      <c r="A919" s="10" t="s">
        <v>6309</v>
      </c>
      <c r="B919" s="10" t="s">
        <v>4410</v>
      </c>
      <c r="C919" s="11" t="s">
        <v>6054</v>
      </c>
      <c r="D919" s="12"/>
      <c r="E919" s="13" t="s">
        <v>3521</v>
      </c>
      <c r="F919" s="6" t="s">
        <v>6310</v>
      </c>
      <c r="G919" s="6" t="str">
        <f ca="1">IFERROR(__xludf.DUMMYFUNCTION("CONCATENATE(B919,(VLOOKUP(C919,CATALOGOS!$F$2:$H$6,3,FALSE)),(VLOOKUP(V919,CATALOGOS!$J$2:$K$18,2,FALSE)),""-"",TO_TEXT(A919))"),"P21DG-0918")</f>
        <v>P21DG-0918</v>
      </c>
      <c r="H919" s="6" t="str">
        <f ca="1">IFERROR(__xludf.DUMMYFUNCTION("CONCATENATE($B919,(VLOOKUP($C919,CATALOGOS!$F$2:$H$6,3,FALSE)),(VLOOKUP($V919,CATALOGOS!$J$2:$K$18,2,FALSE)),""-"",TO_TEXT($A919))"),"P21DG-0918")</f>
        <v>P21DG-0918</v>
      </c>
      <c r="I919" s="6"/>
      <c r="J919" s="6" t="s">
        <v>6311</v>
      </c>
      <c r="K919" s="6" t="s">
        <v>6312</v>
      </c>
      <c r="L919" s="6" t="s">
        <v>6313</v>
      </c>
      <c r="M919" s="6" t="s">
        <v>6314</v>
      </c>
      <c r="N919" s="17"/>
      <c r="O919" s="17"/>
      <c r="P919" s="17" t="str">
        <f t="shared" si="3"/>
        <v>OK</v>
      </c>
      <c r="Q919" s="17" t="s">
        <v>35</v>
      </c>
      <c r="R919" s="6" t="s">
        <v>35</v>
      </c>
      <c r="S919" s="17" t="s">
        <v>36</v>
      </c>
      <c r="T919" s="17" t="s">
        <v>6315</v>
      </c>
      <c r="U919" s="173" t="s">
        <v>38</v>
      </c>
      <c r="V919" s="11" t="s">
        <v>6054</v>
      </c>
      <c r="W919" s="22" t="s">
        <v>6277</v>
      </c>
      <c r="X919" s="22" t="s">
        <v>6277</v>
      </c>
      <c r="Y919" s="22"/>
      <c r="Z919" s="7"/>
      <c r="AA919" s="7"/>
      <c r="AB919" s="23"/>
      <c r="AC919" s="26"/>
    </row>
    <row r="920" spans="1:29" ht="15.75" customHeight="1">
      <c r="A920" s="10" t="s">
        <v>6316</v>
      </c>
      <c r="B920" s="10" t="s">
        <v>4410</v>
      </c>
      <c r="C920" s="11" t="s">
        <v>6054</v>
      </c>
      <c r="D920" s="12"/>
      <c r="E920" s="13" t="s">
        <v>71</v>
      </c>
      <c r="F920" s="6" t="s">
        <v>6317</v>
      </c>
      <c r="G920" s="6" t="str">
        <f ca="1">IFERROR(__xludf.DUMMYFUNCTION("CONCATENATE(B920,(VLOOKUP(C920,CATALOGOS!$F$2:$H$6,3,FALSE)),(VLOOKUP(V920,CATALOGOS!$J$2:$K$18,2,FALSE)),""-"",TO_TEXT(A920))"),"P21DG-0919")</f>
        <v>P21DG-0919</v>
      </c>
      <c r="H920" s="6" t="str">
        <f ca="1">IFERROR(__xludf.DUMMYFUNCTION("CONCATENATE($B920,(VLOOKUP($C920,CATALOGOS!$F$2:$H$6,3,FALSE)),(VLOOKUP($V920,CATALOGOS!$J$2:$K$18,2,FALSE)),""-"",TO_TEXT($A920))"),"P21DG-0919")</f>
        <v>P21DG-0919</v>
      </c>
      <c r="I920" s="6"/>
      <c r="J920" s="6" t="s">
        <v>6318</v>
      </c>
      <c r="K920" s="6" t="s">
        <v>6319</v>
      </c>
      <c r="L920" s="6" t="s">
        <v>6320</v>
      </c>
      <c r="M920" s="6" t="s">
        <v>6321</v>
      </c>
      <c r="N920" s="17"/>
      <c r="O920" s="17"/>
      <c r="P920" s="17" t="str">
        <f t="shared" si="3"/>
        <v>OK</v>
      </c>
      <c r="Q920" s="17" t="s">
        <v>35</v>
      </c>
      <c r="R920" s="49" t="s">
        <v>35</v>
      </c>
      <c r="S920" s="17" t="s">
        <v>36</v>
      </c>
      <c r="T920" s="17" t="s">
        <v>6322</v>
      </c>
      <c r="U920" s="173" t="s">
        <v>38</v>
      </c>
      <c r="V920" s="11" t="s">
        <v>6054</v>
      </c>
      <c r="W920" s="22" t="s">
        <v>6277</v>
      </c>
      <c r="X920" s="22" t="s">
        <v>6277</v>
      </c>
      <c r="Y920" s="22"/>
      <c r="Z920" s="7"/>
      <c r="AA920" s="7"/>
      <c r="AB920" s="23"/>
      <c r="AC920" s="26"/>
    </row>
    <row r="921" spans="1:29" ht="15.75" customHeight="1">
      <c r="A921" s="10" t="s">
        <v>6323</v>
      </c>
      <c r="B921" s="10" t="s">
        <v>4410</v>
      </c>
      <c r="C921" s="11" t="s">
        <v>6054</v>
      </c>
      <c r="D921" s="12"/>
      <c r="E921" s="13" t="s">
        <v>93</v>
      </c>
      <c r="F921" s="6" t="s">
        <v>6324</v>
      </c>
      <c r="G921" s="6" t="str">
        <f ca="1">IFERROR(__xludf.DUMMYFUNCTION("CONCATENATE(B921,(VLOOKUP(C921,CATALOGOS!$F$2:$H$6,3,FALSE)),(VLOOKUP(V921,CATALOGOS!$J$2:$K$18,2,FALSE)),""-"",TO_TEXT(A921))"),"P21DG-0920")</f>
        <v>P21DG-0920</v>
      </c>
      <c r="H921" s="6" t="str">
        <f ca="1">IFERROR(__xludf.DUMMYFUNCTION("CONCATENATE($B921,(VLOOKUP($C921,CATALOGOS!$F$2:$H$6,3,FALSE)),(VLOOKUP($V921,CATALOGOS!$J$2:$K$18,2,FALSE)),""-"",TO_TEXT($A921))"),"P21DG-0920")</f>
        <v>P21DG-0920</v>
      </c>
      <c r="I921" s="6"/>
      <c r="J921" s="6" t="s">
        <v>6325</v>
      </c>
      <c r="K921" s="6" t="s">
        <v>6326</v>
      </c>
      <c r="L921" s="6" t="s">
        <v>6327</v>
      </c>
      <c r="M921" s="6" t="s">
        <v>6328</v>
      </c>
      <c r="N921" s="17"/>
      <c r="O921" s="17"/>
      <c r="P921" s="17" t="str">
        <f t="shared" si="3"/>
        <v>OK</v>
      </c>
      <c r="Q921" s="17" t="s">
        <v>35</v>
      </c>
      <c r="R921" s="6" t="s">
        <v>35</v>
      </c>
      <c r="S921" s="17" t="s">
        <v>36</v>
      </c>
      <c r="T921" s="17" t="s">
        <v>6329</v>
      </c>
      <c r="U921" s="173" t="s">
        <v>38</v>
      </c>
      <c r="V921" s="11" t="s">
        <v>6054</v>
      </c>
      <c r="W921" s="22" t="s">
        <v>6277</v>
      </c>
      <c r="X921" s="22" t="s">
        <v>6277</v>
      </c>
      <c r="Y921" s="22"/>
      <c r="Z921" s="7"/>
      <c r="AA921" s="7"/>
      <c r="AB921" s="23"/>
      <c r="AC921" s="26"/>
    </row>
    <row r="922" spans="1:29" ht="15.75" customHeight="1">
      <c r="A922" s="10" t="s">
        <v>6330</v>
      </c>
      <c r="B922" s="10" t="s">
        <v>4410</v>
      </c>
      <c r="C922" s="11" t="s">
        <v>6054</v>
      </c>
      <c r="D922" s="12"/>
      <c r="E922" s="13" t="s">
        <v>93</v>
      </c>
      <c r="F922" s="6" t="s">
        <v>6331</v>
      </c>
      <c r="G922" s="6" t="str">
        <f ca="1">IFERROR(__xludf.DUMMYFUNCTION("CONCATENATE(B922,(VLOOKUP(C922,CATALOGOS!$F$2:$H$6,3,FALSE)),(VLOOKUP(V922,CATALOGOS!$J$2:$K$18,2,FALSE)),""-"",TO_TEXT(A922))"),"P21DG-0921")</f>
        <v>P21DG-0921</v>
      </c>
      <c r="H922" s="6" t="str">
        <f ca="1">IFERROR(__xludf.DUMMYFUNCTION("CONCATENATE($B922,(VLOOKUP($C922,CATALOGOS!$F$2:$H$6,3,FALSE)),(VLOOKUP($V922,CATALOGOS!$J$2:$K$18,2,FALSE)),""-"",TO_TEXT($A922))"),"P21DG-0921")</f>
        <v>P21DG-0921</v>
      </c>
      <c r="I922" s="6"/>
      <c r="J922" s="6" t="s">
        <v>6332</v>
      </c>
      <c r="K922" s="6" t="s">
        <v>6333</v>
      </c>
      <c r="L922" s="6" t="s">
        <v>6334</v>
      </c>
      <c r="M922" s="6" t="s">
        <v>6335</v>
      </c>
      <c r="N922" s="17"/>
      <c r="O922" s="17"/>
      <c r="P922" s="17" t="str">
        <f t="shared" si="3"/>
        <v>OK</v>
      </c>
      <c r="Q922" s="17" t="s">
        <v>35</v>
      </c>
      <c r="R922" s="6" t="s">
        <v>35</v>
      </c>
      <c r="S922" s="17" t="s">
        <v>36</v>
      </c>
      <c r="T922" s="17" t="s">
        <v>6336</v>
      </c>
      <c r="U922" s="173" t="s">
        <v>38</v>
      </c>
      <c r="V922" s="11" t="s">
        <v>6054</v>
      </c>
      <c r="W922" s="22" t="s">
        <v>6277</v>
      </c>
      <c r="X922" s="22" t="s">
        <v>6277</v>
      </c>
      <c r="Y922" s="22"/>
      <c r="Z922" s="7"/>
      <c r="AA922" s="7"/>
      <c r="AB922" s="23"/>
      <c r="AC922" s="26"/>
    </row>
    <row r="923" spans="1:29" ht="15.75" customHeight="1">
      <c r="A923" s="10" t="s">
        <v>6337</v>
      </c>
      <c r="B923" s="10" t="s">
        <v>4410</v>
      </c>
      <c r="C923" s="11" t="s">
        <v>6054</v>
      </c>
      <c r="D923" s="12"/>
      <c r="E923" s="13" t="s">
        <v>6338</v>
      </c>
      <c r="F923" s="6" t="s">
        <v>6339</v>
      </c>
      <c r="G923" s="6" t="str">
        <f ca="1">IFERROR(__xludf.DUMMYFUNCTION("CONCATENATE(B923,(VLOOKUP(C923,CATALOGOS!$F$2:$H$6,3,FALSE)),(VLOOKUP(V923,CATALOGOS!$J$2:$K$18,2,FALSE)),""-"",TO_TEXT(A923))"),"P21DG-0922")</f>
        <v>P21DG-0922</v>
      </c>
      <c r="H923" s="6" t="str">
        <f ca="1">IFERROR(__xludf.DUMMYFUNCTION("CONCATENATE($B923,(VLOOKUP($C923,CATALOGOS!$F$2:$H$6,3,FALSE)),(VLOOKUP($V923,CATALOGOS!$J$2:$K$18,2,FALSE)),""-"",TO_TEXT($A923))"),"P21DG-0922")</f>
        <v>P21DG-0922</v>
      </c>
      <c r="I923" s="6"/>
      <c r="J923" s="6" t="s">
        <v>6340</v>
      </c>
      <c r="K923" s="6" t="s">
        <v>6341</v>
      </c>
      <c r="L923" s="6" t="s">
        <v>6342</v>
      </c>
      <c r="M923" s="6" t="s">
        <v>6343</v>
      </c>
      <c r="N923" s="17"/>
      <c r="O923" s="17"/>
      <c r="P923" s="17" t="str">
        <f t="shared" si="3"/>
        <v>OK</v>
      </c>
      <c r="Q923" s="17" t="s">
        <v>35</v>
      </c>
      <c r="R923" s="6" t="s">
        <v>35</v>
      </c>
      <c r="S923" s="17" t="s">
        <v>36</v>
      </c>
      <c r="T923" s="17" t="s">
        <v>85</v>
      </c>
      <c r="U923" s="173" t="s">
        <v>38</v>
      </c>
      <c r="V923" s="11" t="s">
        <v>6054</v>
      </c>
      <c r="W923" s="22" t="s">
        <v>6277</v>
      </c>
      <c r="X923" s="22" t="s">
        <v>6277</v>
      </c>
      <c r="Y923" s="22"/>
      <c r="Z923" s="7"/>
      <c r="AA923" s="7"/>
      <c r="AB923" s="23"/>
      <c r="AC923" s="26"/>
    </row>
    <row r="924" spans="1:29" ht="15.75" customHeight="1">
      <c r="A924" s="10" t="s">
        <v>6344</v>
      </c>
      <c r="B924" s="10" t="s">
        <v>4410</v>
      </c>
      <c r="C924" s="11" t="s">
        <v>6054</v>
      </c>
      <c r="D924" s="12"/>
      <c r="E924" s="13" t="s">
        <v>6345</v>
      </c>
      <c r="F924" s="6" t="s">
        <v>6346</v>
      </c>
      <c r="G924" s="6" t="str">
        <f ca="1">IFERROR(__xludf.DUMMYFUNCTION("CONCATENATE(B924,(VLOOKUP(C924,CATALOGOS!$F$2:$H$6,3,FALSE)),(VLOOKUP(V924,CATALOGOS!$J$2:$K$18,2,FALSE)),""-"",TO_TEXT(A924))"),"P21DG-0923")</f>
        <v>P21DG-0923</v>
      </c>
      <c r="H924" s="6" t="str">
        <f ca="1">IFERROR(__xludf.DUMMYFUNCTION("CONCATENATE($B924,(VLOOKUP($C924,CATALOGOS!$F$2:$H$6,3,FALSE)),(VLOOKUP($V924,CATALOGOS!$J$2:$K$18,2,FALSE)),""-"",TO_TEXT($A924))"),"P21DG-0923")</f>
        <v>P21DG-0923</v>
      </c>
      <c r="I924" s="6"/>
      <c r="J924" s="6" t="s">
        <v>6347</v>
      </c>
      <c r="K924" s="6" t="s">
        <v>6348</v>
      </c>
      <c r="L924" s="6" t="s">
        <v>6349</v>
      </c>
      <c r="M924" s="6" t="s">
        <v>6350</v>
      </c>
      <c r="N924" s="17"/>
      <c r="O924" s="17"/>
      <c r="P924" s="17" t="str">
        <f t="shared" si="3"/>
        <v>OK</v>
      </c>
      <c r="Q924" s="17" t="s">
        <v>35</v>
      </c>
      <c r="R924" s="6" t="s">
        <v>35</v>
      </c>
      <c r="S924" s="17" t="s">
        <v>36</v>
      </c>
      <c r="T924" s="17" t="s">
        <v>6351</v>
      </c>
      <c r="U924" s="173" t="s">
        <v>38</v>
      </c>
      <c r="V924" s="11" t="s">
        <v>6054</v>
      </c>
      <c r="W924" s="22" t="s">
        <v>6277</v>
      </c>
      <c r="X924" s="22" t="s">
        <v>6277</v>
      </c>
      <c r="Y924" s="22"/>
      <c r="Z924" s="7"/>
      <c r="AA924" s="7"/>
      <c r="AB924" s="23"/>
      <c r="AC924" s="26"/>
    </row>
    <row r="925" spans="1:29" ht="15.75" customHeight="1">
      <c r="A925" s="10" t="s">
        <v>6352</v>
      </c>
      <c r="B925" s="10" t="s">
        <v>4410</v>
      </c>
      <c r="C925" s="11" t="s">
        <v>6054</v>
      </c>
      <c r="D925" s="12"/>
      <c r="E925" s="13" t="s">
        <v>6353</v>
      </c>
      <c r="F925" s="43" t="s">
        <v>6354</v>
      </c>
      <c r="G925" s="6" t="str">
        <f ca="1">IFERROR(__xludf.DUMMYFUNCTION("CONCATENATE(B925,(VLOOKUP(C925,CATALOGOS!$F$2:$H$6,3,FALSE)),(VLOOKUP(V925,CATALOGOS!$J$2:$K$18,2,FALSE)),""-"",TO_TEXT(A925))"),"P21DG-0924")</f>
        <v>P21DG-0924</v>
      </c>
      <c r="H925" s="6" t="str">
        <f ca="1">IFERROR(__xludf.DUMMYFUNCTION("CONCATENATE($B925,(VLOOKUP($C925,CATALOGOS!$F$2:$H$6,3,FALSE)),(VLOOKUP($V925,CATALOGOS!$J$2:$K$18,2,FALSE)),""-"",TO_TEXT($A925))"),"P21DG-0924")</f>
        <v>P21DG-0924</v>
      </c>
      <c r="I925" s="6"/>
      <c r="J925" s="6" t="s">
        <v>6355</v>
      </c>
      <c r="K925" s="6" t="s">
        <v>6356</v>
      </c>
      <c r="L925" s="6" t="s">
        <v>6357</v>
      </c>
      <c r="M925" s="6" t="s">
        <v>6358</v>
      </c>
      <c r="N925" s="17"/>
      <c r="O925" s="17"/>
      <c r="P925" s="17" t="str">
        <f t="shared" si="3"/>
        <v>OK</v>
      </c>
      <c r="Q925" s="17" t="s">
        <v>6359</v>
      </c>
      <c r="R925" s="6" t="s">
        <v>6360</v>
      </c>
      <c r="S925" s="17" t="s">
        <v>6361</v>
      </c>
      <c r="T925" s="10" t="s">
        <v>6362</v>
      </c>
      <c r="U925" s="173" t="s">
        <v>38</v>
      </c>
      <c r="V925" s="11" t="s">
        <v>6054</v>
      </c>
      <c r="W925" s="22" t="s">
        <v>6277</v>
      </c>
      <c r="X925" s="22" t="s">
        <v>6277</v>
      </c>
      <c r="Y925" s="22"/>
      <c r="Z925" s="7"/>
      <c r="AA925" s="7"/>
      <c r="AB925" s="23"/>
      <c r="AC925" s="26"/>
    </row>
    <row r="926" spans="1:29" ht="15.75" customHeight="1">
      <c r="A926" s="10" t="s">
        <v>6363</v>
      </c>
      <c r="B926" s="10" t="s">
        <v>4410</v>
      </c>
      <c r="C926" s="11" t="s">
        <v>6054</v>
      </c>
      <c r="D926" s="12"/>
      <c r="E926" s="13" t="s">
        <v>2860</v>
      </c>
      <c r="F926" s="43" t="s">
        <v>2861</v>
      </c>
      <c r="G926" s="6" t="str">
        <f ca="1">IFERROR(__xludf.DUMMYFUNCTION("CONCATENATE(B926,(VLOOKUP(C926,CATALOGOS!$F$2:$H$6,3,FALSE)),(VLOOKUP(V926,CATALOGOS!$J$2:$K$18,2,FALSE)),""-"",TO_TEXT(A926))"),"P21DG-0925")</f>
        <v>P21DG-0925</v>
      </c>
      <c r="H926" s="6" t="str">
        <f ca="1">IFERROR(__xludf.DUMMYFUNCTION("CONCATENATE($B926,(VLOOKUP($C926,CATALOGOS!$F$2:$H$6,3,FALSE)),(VLOOKUP($V926,CATALOGOS!$J$2:$K$18,2,FALSE)),""-"",TO_TEXT($A926))"),"P21DG-0925")</f>
        <v>P21DG-0925</v>
      </c>
      <c r="I926" s="6"/>
      <c r="J926" s="6" t="s">
        <v>6364</v>
      </c>
      <c r="K926" s="6" t="s">
        <v>6365</v>
      </c>
      <c r="L926" s="6" t="s">
        <v>6366</v>
      </c>
      <c r="M926" s="6" t="s">
        <v>6367</v>
      </c>
      <c r="N926" s="17"/>
      <c r="O926" s="17"/>
      <c r="P926" s="17" t="str">
        <f t="shared" si="3"/>
        <v>OK</v>
      </c>
      <c r="Q926" s="17" t="s">
        <v>2866</v>
      </c>
      <c r="R926" s="6" t="s">
        <v>35</v>
      </c>
      <c r="S926" s="17" t="s">
        <v>36</v>
      </c>
      <c r="T926" s="17" t="s">
        <v>6368</v>
      </c>
      <c r="U926" s="173" t="s">
        <v>38</v>
      </c>
      <c r="V926" s="11" t="s">
        <v>6054</v>
      </c>
      <c r="W926" s="22" t="s">
        <v>6277</v>
      </c>
      <c r="X926" s="22" t="s">
        <v>6277</v>
      </c>
      <c r="Y926" s="22"/>
      <c r="Z926" s="7"/>
      <c r="AA926" s="7"/>
      <c r="AB926" s="23"/>
      <c r="AC926" s="26"/>
    </row>
    <row r="927" spans="1:29" ht="15.75" customHeight="1">
      <c r="A927" s="10" t="s">
        <v>6369</v>
      </c>
      <c r="B927" s="10" t="s">
        <v>4410</v>
      </c>
      <c r="C927" s="11" t="s">
        <v>6054</v>
      </c>
      <c r="D927" s="12"/>
      <c r="E927" s="13" t="s">
        <v>184</v>
      </c>
      <c r="F927" s="6" t="s">
        <v>6370</v>
      </c>
      <c r="G927" s="6" t="str">
        <f ca="1">IFERROR(__xludf.DUMMYFUNCTION("CONCATENATE(B927,(VLOOKUP(C927,CATALOGOS!$F$2:$H$6,3,FALSE)),(VLOOKUP(V927,CATALOGOS!$J$2:$K$18,2,FALSE)),""-"",TO_TEXT(A927))"),"P21DG-0926")</f>
        <v>P21DG-0926</v>
      </c>
      <c r="H927" s="6" t="str">
        <f ca="1">IFERROR(__xludf.DUMMYFUNCTION("CONCATENATE($B927,(VLOOKUP($C927,CATALOGOS!$F$2:$H$6,3,FALSE)),(VLOOKUP($V927,CATALOGOS!$J$2:$K$18,2,FALSE)),""-"",TO_TEXT($A927))"),"P21DG-0926")</f>
        <v>P21DG-0926</v>
      </c>
      <c r="I927" s="6"/>
      <c r="J927" s="6" t="s">
        <v>6371</v>
      </c>
      <c r="K927" s="6" t="s">
        <v>6372</v>
      </c>
      <c r="L927" s="6" t="s">
        <v>6373</v>
      </c>
      <c r="M927" s="6" t="s">
        <v>6374</v>
      </c>
      <c r="N927" s="17"/>
      <c r="O927" s="17"/>
      <c r="P927" s="17" t="str">
        <f t="shared" si="3"/>
        <v>OK</v>
      </c>
      <c r="Q927" s="17" t="s">
        <v>35</v>
      </c>
      <c r="R927" s="6" t="s">
        <v>35</v>
      </c>
      <c r="S927" s="17" t="s">
        <v>36</v>
      </c>
      <c r="T927" s="17" t="s">
        <v>6375</v>
      </c>
      <c r="U927" s="173" t="s">
        <v>38</v>
      </c>
      <c r="V927" s="11" t="s">
        <v>6054</v>
      </c>
      <c r="W927" s="22" t="s">
        <v>6277</v>
      </c>
      <c r="X927" s="22" t="s">
        <v>6277</v>
      </c>
      <c r="Y927" s="22"/>
      <c r="Z927" s="7"/>
      <c r="AA927" s="7"/>
      <c r="AB927" s="23"/>
      <c r="AC927" s="26"/>
    </row>
    <row r="928" spans="1:29" ht="15.75" customHeight="1">
      <c r="A928" s="10" t="s">
        <v>6376</v>
      </c>
      <c r="B928" s="10" t="s">
        <v>4410</v>
      </c>
      <c r="C928" s="11" t="s">
        <v>6054</v>
      </c>
      <c r="D928" s="12"/>
      <c r="E928" s="13" t="s">
        <v>184</v>
      </c>
      <c r="F928" s="6" t="s">
        <v>6370</v>
      </c>
      <c r="G928" s="6" t="str">
        <f ca="1">IFERROR(__xludf.DUMMYFUNCTION("CONCATENATE(B928,(VLOOKUP(C928,CATALOGOS!$F$2:$H$6,3,FALSE)),(VLOOKUP(V928,CATALOGOS!$J$2:$K$18,2,FALSE)),""-"",TO_TEXT(A928))"),"P21DG-0927")</f>
        <v>P21DG-0927</v>
      </c>
      <c r="H928" s="6" t="str">
        <f ca="1">IFERROR(__xludf.DUMMYFUNCTION("CONCATENATE($B928,(VLOOKUP($C928,CATALOGOS!$F$2:$H$6,3,FALSE)),(VLOOKUP($V928,CATALOGOS!$J$2:$K$18,2,FALSE)),""-"",TO_TEXT($A928))"),"P21DG-0927")</f>
        <v>P21DG-0927</v>
      </c>
      <c r="I928" s="6"/>
      <c r="J928" s="6" t="s">
        <v>6377</v>
      </c>
      <c r="K928" s="6" t="s">
        <v>6378</v>
      </c>
      <c r="L928" s="6" t="s">
        <v>6379</v>
      </c>
      <c r="M928" s="6" t="s">
        <v>6380</v>
      </c>
      <c r="N928" s="17"/>
      <c r="O928" s="17"/>
      <c r="P928" s="17" t="str">
        <f t="shared" si="3"/>
        <v>OK</v>
      </c>
      <c r="Q928" s="17" t="s">
        <v>35</v>
      </c>
      <c r="R928" s="6" t="s">
        <v>35</v>
      </c>
      <c r="S928" s="17" t="s">
        <v>36</v>
      </c>
      <c r="T928" s="17" t="s">
        <v>6381</v>
      </c>
      <c r="U928" s="173" t="s">
        <v>38</v>
      </c>
      <c r="V928" s="11" t="s">
        <v>6054</v>
      </c>
      <c r="W928" s="22" t="s">
        <v>6277</v>
      </c>
      <c r="X928" s="22" t="s">
        <v>6277</v>
      </c>
      <c r="Y928" s="22"/>
      <c r="Z928" s="7"/>
      <c r="AA928" s="7"/>
      <c r="AB928" s="23"/>
      <c r="AC928" s="26"/>
    </row>
    <row r="929" spans="1:29" ht="15.75" customHeight="1">
      <c r="A929" s="10" t="s">
        <v>6382</v>
      </c>
      <c r="B929" s="10" t="s">
        <v>4410</v>
      </c>
      <c r="C929" s="11" t="s">
        <v>6054</v>
      </c>
      <c r="D929" s="12"/>
      <c r="E929" s="13" t="s">
        <v>184</v>
      </c>
      <c r="F929" s="6" t="s">
        <v>6370</v>
      </c>
      <c r="G929" s="6" t="str">
        <f ca="1">IFERROR(__xludf.DUMMYFUNCTION("CONCATENATE(B929,(VLOOKUP(C929,CATALOGOS!$F$2:$H$6,3,FALSE)),(VLOOKUP(V929,CATALOGOS!$J$2:$K$18,2,FALSE)),""-"",TO_TEXT(A929))"),"P21DG-0928")</f>
        <v>P21DG-0928</v>
      </c>
      <c r="H929" s="6" t="str">
        <f ca="1">IFERROR(__xludf.DUMMYFUNCTION("CONCATENATE($B929,(VLOOKUP($C929,CATALOGOS!$F$2:$H$6,3,FALSE)),(VLOOKUP($V929,CATALOGOS!$J$2:$K$18,2,FALSE)),""-"",TO_TEXT($A929))"),"P21DG-0928")</f>
        <v>P21DG-0928</v>
      </c>
      <c r="I929" s="6"/>
      <c r="J929" s="6" t="s">
        <v>6383</v>
      </c>
      <c r="K929" s="6" t="s">
        <v>6384</v>
      </c>
      <c r="L929" s="6" t="s">
        <v>6385</v>
      </c>
      <c r="M929" s="6" t="s">
        <v>6386</v>
      </c>
      <c r="N929" s="17"/>
      <c r="O929" s="17"/>
      <c r="P929" s="17" t="str">
        <f t="shared" si="3"/>
        <v>OK</v>
      </c>
      <c r="Q929" s="17" t="s">
        <v>35</v>
      </c>
      <c r="R929" s="6" t="s">
        <v>35</v>
      </c>
      <c r="S929" s="17" t="s">
        <v>36</v>
      </c>
      <c r="T929" s="17" t="s">
        <v>6387</v>
      </c>
      <c r="U929" s="173" t="s">
        <v>38</v>
      </c>
      <c r="V929" s="11" t="s">
        <v>6054</v>
      </c>
      <c r="W929" s="22" t="s">
        <v>6277</v>
      </c>
      <c r="X929" s="22" t="s">
        <v>6277</v>
      </c>
      <c r="Y929" s="22"/>
      <c r="Z929" s="7"/>
      <c r="AA929" s="7"/>
      <c r="AB929" s="23"/>
      <c r="AC929" s="26"/>
    </row>
    <row r="930" spans="1:29" ht="15.75" customHeight="1">
      <c r="A930" s="10" t="s">
        <v>6388</v>
      </c>
      <c r="B930" s="10" t="s">
        <v>4410</v>
      </c>
      <c r="C930" s="11" t="s">
        <v>6054</v>
      </c>
      <c r="D930" s="12"/>
      <c r="E930" s="13" t="s">
        <v>184</v>
      </c>
      <c r="F930" s="6" t="s">
        <v>6370</v>
      </c>
      <c r="G930" s="6" t="str">
        <f ca="1">IFERROR(__xludf.DUMMYFUNCTION("CONCATENATE(B930,(VLOOKUP(C930,CATALOGOS!$F$2:$H$6,3,FALSE)),(VLOOKUP(V930,CATALOGOS!$J$2:$K$18,2,FALSE)),""-"",TO_TEXT(A930))"),"P21DG-0929")</f>
        <v>P21DG-0929</v>
      </c>
      <c r="H930" s="6" t="str">
        <f ca="1">IFERROR(__xludf.DUMMYFUNCTION("CONCATENATE($B930,(VLOOKUP($C930,CATALOGOS!$F$2:$H$6,3,FALSE)),(VLOOKUP($V930,CATALOGOS!$J$2:$K$18,2,FALSE)),""-"",TO_TEXT($A930))"),"P21DG-0929")</f>
        <v>P21DG-0929</v>
      </c>
      <c r="I930" s="6"/>
      <c r="J930" s="6" t="s">
        <v>6389</v>
      </c>
      <c r="K930" s="6" t="s">
        <v>6390</v>
      </c>
      <c r="L930" s="6" t="s">
        <v>6391</v>
      </c>
      <c r="M930" s="6" t="s">
        <v>6392</v>
      </c>
      <c r="N930" s="17"/>
      <c r="O930" s="17"/>
      <c r="P930" s="17" t="str">
        <f t="shared" si="3"/>
        <v>OK</v>
      </c>
      <c r="Q930" s="17" t="s">
        <v>35</v>
      </c>
      <c r="R930" s="6" t="s">
        <v>35</v>
      </c>
      <c r="S930" s="17" t="s">
        <v>36</v>
      </c>
      <c r="T930" s="17" t="s">
        <v>6393</v>
      </c>
      <c r="U930" s="173" t="s">
        <v>38</v>
      </c>
      <c r="V930" s="11" t="s">
        <v>6054</v>
      </c>
      <c r="W930" s="22" t="s">
        <v>6277</v>
      </c>
      <c r="X930" s="22" t="s">
        <v>6277</v>
      </c>
      <c r="Y930" s="22"/>
      <c r="Z930" s="7"/>
      <c r="AA930" s="7"/>
      <c r="AB930" s="23"/>
      <c r="AC930" s="26"/>
    </row>
    <row r="931" spans="1:29" ht="15.75" customHeight="1">
      <c r="A931" s="10" t="s">
        <v>6394</v>
      </c>
      <c r="B931" s="10" t="s">
        <v>4410</v>
      </c>
      <c r="C931" s="60" t="s">
        <v>4411</v>
      </c>
      <c r="D931" s="12"/>
      <c r="E931" s="13" t="s">
        <v>184</v>
      </c>
      <c r="F931" s="6" t="s">
        <v>6370</v>
      </c>
      <c r="G931" s="15" t="str">
        <f ca="1">IFERROR(__xludf.DUMMYFUNCTION("CONCATENATE(B931,(VLOOKUP(C931,CATALOGOS!$F$2:$H$6,3,FALSE)),(VLOOKUP(V931,CATALOGOS!$J$2:$K$18,2,FALSE)),""-"",TO_TEXT(A931))"),"P24SJ-0930")</f>
        <v>P24SJ-0930</v>
      </c>
      <c r="H931" s="6" t="str">
        <f ca="1">IFERROR(__xludf.DUMMYFUNCTION("CONCATENATE($B931,(VLOOKUP($C931,CATALOGOS!$F$2:$H$6,3,FALSE)),(VLOOKUP($V931,CATALOGOS!$J$2:$K$18,2,FALSE)),""-"",TO_TEXT($A931))"),"P24SJ-0930")</f>
        <v>P24SJ-0930</v>
      </c>
      <c r="I931" s="6"/>
      <c r="J931" s="6" t="s">
        <v>6395</v>
      </c>
      <c r="K931" s="6" t="s">
        <v>6396</v>
      </c>
      <c r="L931" s="6" t="s">
        <v>6397</v>
      </c>
      <c r="M931" s="6" t="s">
        <v>6398</v>
      </c>
      <c r="N931" s="17"/>
      <c r="O931" s="17"/>
      <c r="P931" s="17" t="str">
        <f t="shared" si="3"/>
        <v>OK</v>
      </c>
      <c r="Q931" s="17" t="s">
        <v>35</v>
      </c>
      <c r="R931" s="6" t="s">
        <v>35</v>
      </c>
      <c r="S931" s="17" t="s">
        <v>36</v>
      </c>
      <c r="T931" s="17" t="s">
        <v>6399</v>
      </c>
      <c r="U931" s="173" t="s">
        <v>38</v>
      </c>
      <c r="V931" s="11" t="s">
        <v>4411</v>
      </c>
      <c r="W931" s="20" t="s">
        <v>4935</v>
      </c>
      <c r="X931" s="20" t="s">
        <v>4935</v>
      </c>
      <c r="Y931" s="20"/>
      <c r="Z931" s="7"/>
      <c r="AA931" s="7"/>
      <c r="AB931" s="23"/>
      <c r="AC931" s="26"/>
    </row>
    <row r="932" spans="1:29" ht="15.75" customHeight="1">
      <c r="A932" s="10" t="s">
        <v>6400</v>
      </c>
      <c r="B932" s="10" t="s">
        <v>4410</v>
      </c>
      <c r="C932" s="11" t="s">
        <v>6054</v>
      </c>
      <c r="D932" s="12"/>
      <c r="E932" s="13" t="s">
        <v>184</v>
      </c>
      <c r="F932" s="6" t="s">
        <v>6370</v>
      </c>
      <c r="G932" s="6" t="str">
        <f ca="1">IFERROR(__xludf.DUMMYFUNCTION("CONCATENATE(B932,(VLOOKUP(C932,CATALOGOS!$F$2:$H$6,3,FALSE)),(VLOOKUP(V932,CATALOGOS!$J$2:$K$18,2,FALSE)),""-"",TO_TEXT(A932))"),"P21DG-0931")</f>
        <v>P21DG-0931</v>
      </c>
      <c r="H932" s="6" t="str">
        <f ca="1">IFERROR(__xludf.DUMMYFUNCTION("CONCATENATE($B932,(VLOOKUP($C932,CATALOGOS!$F$2:$H$6,3,FALSE)),(VLOOKUP($V932,CATALOGOS!$J$2:$K$18,2,FALSE)),""-"",TO_TEXT($A932))"),"P21DG-0931")</f>
        <v>P21DG-0931</v>
      </c>
      <c r="I932" s="6"/>
      <c r="J932" s="6" t="s">
        <v>6401</v>
      </c>
      <c r="K932" s="6" t="s">
        <v>6402</v>
      </c>
      <c r="L932" s="6" t="s">
        <v>6403</v>
      </c>
      <c r="M932" s="6" t="s">
        <v>6404</v>
      </c>
      <c r="N932" s="17"/>
      <c r="O932" s="17"/>
      <c r="P932" s="17" t="str">
        <f t="shared" si="3"/>
        <v>OK</v>
      </c>
      <c r="Q932" s="17" t="s">
        <v>35</v>
      </c>
      <c r="R932" s="6" t="s">
        <v>35</v>
      </c>
      <c r="S932" s="17" t="s">
        <v>36</v>
      </c>
      <c r="T932" s="17" t="s">
        <v>6405</v>
      </c>
      <c r="U932" s="173" t="s">
        <v>38</v>
      </c>
      <c r="V932" s="11" t="s">
        <v>6054</v>
      </c>
      <c r="W932" s="22" t="s">
        <v>6277</v>
      </c>
      <c r="X932" s="22" t="s">
        <v>6277</v>
      </c>
      <c r="Y932" s="22"/>
      <c r="Z932" s="7"/>
      <c r="AA932" s="7"/>
      <c r="AB932" s="23"/>
      <c r="AC932" s="26"/>
    </row>
    <row r="933" spans="1:29" ht="15.75" customHeight="1">
      <c r="A933" s="10" t="s">
        <v>6406</v>
      </c>
      <c r="B933" s="10" t="s">
        <v>4410</v>
      </c>
      <c r="C933" s="11" t="s">
        <v>6054</v>
      </c>
      <c r="D933" s="12"/>
      <c r="E933" s="13" t="s">
        <v>184</v>
      </c>
      <c r="F933" s="6" t="s">
        <v>6370</v>
      </c>
      <c r="G933" s="6" t="str">
        <f ca="1">IFERROR(__xludf.DUMMYFUNCTION("CONCATENATE(B933,(VLOOKUP(C933,CATALOGOS!$F$2:$H$6,3,FALSE)),(VLOOKUP(V933,CATALOGOS!$J$2:$K$18,2,FALSE)),""-"",TO_TEXT(A933))"),"P21DG-0932")</f>
        <v>P21DG-0932</v>
      </c>
      <c r="H933" s="6" t="str">
        <f ca="1">IFERROR(__xludf.DUMMYFUNCTION("CONCATENATE($B933,(VLOOKUP($C933,CATALOGOS!$F$2:$H$6,3,FALSE)),(VLOOKUP($V933,CATALOGOS!$J$2:$K$18,2,FALSE)),""-"",TO_TEXT($A933))"),"P21DG-0932")</f>
        <v>P21DG-0932</v>
      </c>
      <c r="I933" s="6"/>
      <c r="J933" s="6" t="s">
        <v>6407</v>
      </c>
      <c r="K933" s="6" t="s">
        <v>6408</v>
      </c>
      <c r="L933" s="6" t="s">
        <v>6409</v>
      </c>
      <c r="M933" s="6" t="s">
        <v>6410</v>
      </c>
      <c r="N933" s="17"/>
      <c r="O933" s="17"/>
      <c r="P933" s="17" t="str">
        <f t="shared" si="3"/>
        <v>OK</v>
      </c>
      <c r="Q933" s="17" t="s">
        <v>35</v>
      </c>
      <c r="R933" s="6" t="s">
        <v>35</v>
      </c>
      <c r="S933" s="17" t="s">
        <v>36</v>
      </c>
      <c r="T933" s="17" t="s">
        <v>6411</v>
      </c>
      <c r="U933" s="173" t="s">
        <v>38</v>
      </c>
      <c r="V933" s="11" t="s">
        <v>6054</v>
      </c>
      <c r="W933" s="22" t="s">
        <v>6277</v>
      </c>
      <c r="X933" s="22" t="s">
        <v>6277</v>
      </c>
      <c r="Y933" s="22"/>
      <c r="Z933" s="7"/>
      <c r="AA933" s="7"/>
      <c r="AB933" s="23"/>
      <c r="AC933" s="26"/>
    </row>
    <row r="934" spans="1:29" ht="15.75" customHeight="1">
      <c r="A934" s="10" t="s">
        <v>6412</v>
      </c>
      <c r="B934" s="10" t="s">
        <v>4410</v>
      </c>
      <c r="C934" s="11" t="s">
        <v>6054</v>
      </c>
      <c r="D934" s="12"/>
      <c r="E934" s="13" t="s">
        <v>184</v>
      </c>
      <c r="F934" s="6" t="s">
        <v>6370</v>
      </c>
      <c r="G934" s="6" t="str">
        <f ca="1">IFERROR(__xludf.DUMMYFUNCTION("CONCATENATE(B934,(VLOOKUP(C934,CATALOGOS!$F$2:$H$6,3,FALSE)),(VLOOKUP(V934,CATALOGOS!$J$2:$K$18,2,FALSE)),""-"",TO_TEXT(A934))"),"P21DG-0933")</f>
        <v>P21DG-0933</v>
      </c>
      <c r="H934" s="6" t="str">
        <f ca="1">IFERROR(__xludf.DUMMYFUNCTION("CONCATENATE($B934,(VLOOKUP($C934,CATALOGOS!$F$2:$H$6,3,FALSE)),(VLOOKUP($V934,CATALOGOS!$J$2:$K$18,2,FALSE)),""-"",TO_TEXT($A934))"),"P21DG-0933")</f>
        <v>P21DG-0933</v>
      </c>
      <c r="I934" s="6"/>
      <c r="J934" s="6" t="s">
        <v>6413</v>
      </c>
      <c r="K934" s="6" t="s">
        <v>6414</v>
      </c>
      <c r="L934" s="6" t="s">
        <v>6415</v>
      </c>
      <c r="M934" s="6" t="s">
        <v>6416</v>
      </c>
      <c r="N934" s="17"/>
      <c r="O934" s="17"/>
      <c r="P934" s="17" t="str">
        <f t="shared" si="3"/>
        <v>OK</v>
      </c>
      <c r="Q934" s="17" t="s">
        <v>35</v>
      </c>
      <c r="R934" s="6" t="s">
        <v>35</v>
      </c>
      <c r="S934" s="17" t="s">
        <v>36</v>
      </c>
      <c r="T934" s="17" t="s">
        <v>6417</v>
      </c>
      <c r="U934" s="173" t="s">
        <v>38</v>
      </c>
      <c r="V934" s="11" t="s">
        <v>6054</v>
      </c>
      <c r="W934" s="22" t="s">
        <v>6277</v>
      </c>
      <c r="X934" s="22" t="s">
        <v>6277</v>
      </c>
      <c r="Y934" s="22"/>
      <c r="Z934" s="7"/>
      <c r="AA934" s="7"/>
      <c r="AB934" s="23"/>
      <c r="AC934" s="26"/>
    </row>
    <row r="935" spans="1:29" ht="15.75" customHeight="1">
      <c r="A935" s="10" t="s">
        <v>6418</v>
      </c>
      <c r="B935" s="10" t="s">
        <v>4410</v>
      </c>
      <c r="C935" s="11" t="s">
        <v>6054</v>
      </c>
      <c r="D935" s="12"/>
      <c r="E935" s="13" t="s">
        <v>184</v>
      </c>
      <c r="F935" s="6" t="s">
        <v>6370</v>
      </c>
      <c r="G935" s="6" t="str">
        <f ca="1">IFERROR(__xludf.DUMMYFUNCTION("CONCATENATE(B935,(VLOOKUP(C935,CATALOGOS!$F$2:$H$6,3,FALSE)),(VLOOKUP(V935,CATALOGOS!$J$2:$K$18,2,FALSE)),""-"",TO_TEXT(A935))"),"P21DG-0934")</f>
        <v>P21DG-0934</v>
      </c>
      <c r="H935" s="6" t="str">
        <f ca="1">IFERROR(__xludf.DUMMYFUNCTION("CONCATENATE($B935,(VLOOKUP($C935,CATALOGOS!$F$2:$H$6,3,FALSE)),(VLOOKUP($V935,CATALOGOS!$J$2:$K$18,2,FALSE)),""-"",TO_TEXT($A935))"),"P21DG-0934")</f>
        <v>P21DG-0934</v>
      </c>
      <c r="I935" s="6"/>
      <c r="J935" s="6" t="s">
        <v>6419</v>
      </c>
      <c r="K935" s="6" t="s">
        <v>6420</v>
      </c>
      <c r="L935" s="6" t="s">
        <v>6421</v>
      </c>
      <c r="M935" s="6" t="s">
        <v>6422</v>
      </c>
      <c r="N935" s="17"/>
      <c r="O935" s="17"/>
      <c r="P935" s="17" t="str">
        <f t="shared" si="3"/>
        <v>OK</v>
      </c>
      <c r="Q935" s="17" t="s">
        <v>35</v>
      </c>
      <c r="R935" s="6" t="s">
        <v>35</v>
      </c>
      <c r="S935" s="17" t="s">
        <v>36</v>
      </c>
      <c r="T935" s="17" t="s">
        <v>6423</v>
      </c>
      <c r="U935" s="173" t="s">
        <v>38</v>
      </c>
      <c r="V935" s="11" t="s">
        <v>6054</v>
      </c>
      <c r="W935" s="22" t="s">
        <v>6277</v>
      </c>
      <c r="X935" s="22" t="s">
        <v>6277</v>
      </c>
      <c r="Y935" s="22"/>
      <c r="Z935" s="7"/>
      <c r="AA935" s="7"/>
      <c r="AB935" s="23"/>
      <c r="AC935" s="26"/>
    </row>
    <row r="936" spans="1:29" ht="15.75" customHeight="1">
      <c r="A936" s="10" t="s">
        <v>6424</v>
      </c>
      <c r="B936" s="10" t="s">
        <v>4410</v>
      </c>
      <c r="C936" s="11" t="s">
        <v>6054</v>
      </c>
      <c r="D936" s="12"/>
      <c r="E936" s="13" t="s">
        <v>184</v>
      </c>
      <c r="F936" s="6" t="s">
        <v>6370</v>
      </c>
      <c r="G936" s="6" t="str">
        <f ca="1">IFERROR(__xludf.DUMMYFUNCTION("CONCATENATE(B936,(VLOOKUP(C936,CATALOGOS!$F$2:$H$6,3,FALSE)),(VLOOKUP(V936,CATALOGOS!$J$2:$K$18,2,FALSE)),""-"",TO_TEXT(A936))"),"P21DG-0935")</f>
        <v>P21DG-0935</v>
      </c>
      <c r="H936" s="6" t="str">
        <f ca="1">IFERROR(__xludf.DUMMYFUNCTION("CONCATENATE($B936,(VLOOKUP($C936,CATALOGOS!$F$2:$H$6,3,FALSE)),(VLOOKUP($V936,CATALOGOS!$J$2:$K$18,2,FALSE)),""-"",TO_TEXT($A936))"),"P21DG-0935")</f>
        <v>P21DG-0935</v>
      </c>
      <c r="I936" s="6"/>
      <c r="J936" s="6" t="s">
        <v>6425</v>
      </c>
      <c r="K936" s="6" t="s">
        <v>6426</v>
      </c>
      <c r="L936" s="6" t="s">
        <v>6427</v>
      </c>
      <c r="M936" s="6" t="s">
        <v>6428</v>
      </c>
      <c r="N936" s="17"/>
      <c r="O936" s="17"/>
      <c r="P936" s="17" t="str">
        <f t="shared" si="3"/>
        <v>OK</v>
      </c>
      <c r="Q936" s="17" t="s">
        <v>35</v>
      </c>
      <c r="R936" s="6" t="s">
        <v>35</v>
      </c>
      <c r="S936" s="17" t="s">
        <v>36</v>
      </c>
      <c r="T936" s="17" t="s">
        <v>6429</v>
      </c>
      <c r="U936" s="173" t="s">
        <v>38</v>
      </c>
      <c r="V936" s="11" t="s">
        <v>6054</v>
      </c>
      <c r="W936" s="22" t="s">
        <v>6277</v>
      </c>
      <c r="X936" s="22" t="s">
        <v>6277</v>
      </c>
      <c r="Y936" s="22"/>
      <c r="Z936" s="7"/>
      <c r="AA936" s="7"/>
      <c r="AB936" s="23"/>
      <c r="AC936" s="26"/>
    </row>
    <row r="937" spans="1:29" ht="15.75" customHeight="1">
      <c r="A937" s="10" t="s">
        <v>6430</v>
      </c>
      <c r="B937" s="10" t="s">
        <v>4410</v>
      </c>
      <c r="C937" s="11" t="s">
        <v>6054</v>
      </c>
      <c r="D937" s="12"/>
      <c r="E937" s="13" t="s">
        <v>184</v>
      </c>
      <c r="F937" s="6" t="s">
        <v>6370</v>
      </c>
      <c r="G937" s="6" t="str">
        <f ca="1">IFERROR(__xludf.DUMMYFUNCTION("CONCATENATE(B937,(VLOOKUP(C937,CATALOGOS!$F$2:$H$6,3,FALSE)),(VLOOKUP(V937,CATALOGOS!$J$2:$K$18,2,FALSE)),""-"",TO_TEXT(A937))"),"P21DG-0936")</f>
        <v>P21DG-0936</v>
      </c>
      <c r="H937" s="6" t="str">
        <f ca="1">IFERROR(__xludf.DUMMYFUNCTION("CONCATENATE($B937,(VLOOKUP($C937,CATALOGOS!$F$2:$H$6,3,FALSE)),(VLOOKUP($V937,CATALOGOS!$J$2:$K$18,2,FALSE)),""-"",TO_TEXT($A937))"),"P21DG-0936")</f>
        <v>P21DG-0936</v>
      </c>
      <c r="I937" s="6"/>
      <c r="J937" s="6" t="s">
        <v>6431</v>
      </c>
      <c r="K937" s="6" t="s">
        <v>6432</v>
      </c>
      <c r="L937" s="6" t="s">
        <v>6433</v>
      </c>
      <c r="M937" s="6" t="s">
        <v>6434</v>
      </c>
      <c r="N937" s="17"/>
      <c r="O937" s="17"/>
      <c r="P937" s="17" t="str">
        <f t="shared" si="3"/>
        <v>OK</v>
      </c>
      <c r="Q937" s="17" t="s">
        <v>35</v>
      </c>
      <c r="R937" s="6" t="s">
        <v>35</v>
      </c>
      <c r="S937" s="17" t="s">
        <v>36</v>
      </c>
      <c r="T937" s="17" t="s">
        <v>6435</v>
      </c>
      <c r="U937" s="173" t="s">
        <v>38</v>
      </c>
      <c r="V937" s="11" t="s">
        <v>6054</v>
      </c>
      <c r="W937" s="22" t="s">
        <v>6277</v>
      </c>
      <c r="X937" s="22" t="s">
        <v>6277</v>
      </c>
      <c r="Y937" s="22"/>
      <c r="Z937" s="7"/>
      <c r="AA937" s="7"/>
      <c r="AB937" s="23"/>
      <c r="AC937" s="26"/>
    </row>
    <row r="938" spans="1:29" ht="15.75" customHeight="1">
      <c r="A938" s="10" t="s">
        <v>6436</v>
      </c>
      <c r="B938" s="10" t="s">
        <v>4410</v>
      </c>
      <c r="C938" s="11" t="s">
        <v>6054</v>
      </c>
      <c r="D938" s="12"/>
      <c r="E938" s="13" t="s">
        <v>184</v>
      </c>
      <c r="F938" s="6" t="s">
        <v>6370</v>
      </c>
      <c r="G938" s="6" t="str">
        <f ca="1">IFERROR(__xludf.DUMMYFUNCTION("CONCATENATE(B938,(VLOOKUP(C938,CATALOGOS!$F$2:$H$6,3,FALSE)),(VLOOKUP(V938,CATALOGOS!$J$2:$K$18,2,FALSE)),""-"",TO_TEXT(A938))"),"P21DG-0937")</f>
        <v>P21DG-0937</v>
      </c>
      <c r="H938" s="6" t="str">
        <f ca="1">IFERROR(__xludf.DUMMYFUNCTION("CONCATENATE($B938,(VLOOKUP($C938,CATALOGOS!$F$2:$H$6,3,FALSE)),(VLOOKUP($V938,CATALOGOS!$J$2:$K$18,2,FALSE)),""-"",TO_TEXT($A938))"),"P21DG-0937")</f>
        <v>P21DG-0937</v>
      </c>
      <c r="I938" s="6"/>
      <c r="J938" s="6" t="s">
        <v>6437</v>
      </c>
      <c r="K938" s="6" t="s">
        <v>6438</v>
      </c>
      <c r="L938" s="6" t="s">
        <v>6439</v>
      </c>
      <c r="M938" s="43" t="s">
        <v>6440</v>
      </c>
      <c r="N938" s="17"/>
      <c r="O938" s="17"/>
      <c r="P938" s="17" t="str">
        <f t="shared" si="3"/>
        <v>OK</v>
      </c>
      <c r="Q938" s="17" t="s">
        <v>35</v>
      </c>
      <c r="R938" s="6" t="s">
        <v>35</v>
      </c>
      <c r="S938" s="17" t="s">
        <v>36</v>
      </c>
      <c r="T938" s="17" t="s">
        <v>6441</v>
      </c>
      <c r="U938" s="173" t="s">
        <v>38</v>
      </c>
      <c r="V938" s="11" t="s">
        <v>6054</v>
      </c>
      <c r="W938" s="22" t="s">
        <v>6277</v>
      </c>
      <c r="X938" s="22" t="s">
        <v>6277</v>
      </c>
      <c r="Y938" s="22"/>
      <c r="Z938" s="7"/>
      <c r="AA938" s="7"/>
      <c r="AB938" s="23"/>
      <c r="AC938" s="26"/>
    </row>
    <row r="939" spans="1:29" ht="15.75" customHeight="1">
      <c r="A939" s="10" t="s">
        <v>6442</v>
      </c>
      <c r="B939" s="10" t="s">
        <v>4410</v>
      </c>
      <c r="C939" s="11" t="s">
        <v>6054</v>
      </c>
      <c r="D939" s="12"/>
      <c r="E939" s="13" t="s">
        <v>93</v>
      </c>
      <c r="F939" s="6" t="s">
        <v>6443</v>
      </c>
      <c r="G939" s="6" t="str">
        <f ca="1">IFERROR(__xludf.DUMMYFUNCTION("CONCATENATE(B939,(VLOOKUP(C939,CATALOGOS!$F$2:$H$6,3,FALSE)),(VLOOKUP(V939,CATALOGOS!$J$2:$K$18,2,FALSE)),""-"",TO_TEXT(A939))"),"P21DG-0938")</f>
        <v>P21DG-0938</v>
      </c>
      <c r="H939" s="6" t="str">
        <f ca="1">IFERROR(__xludf.DUMMYFUNCTION("CONCATENATE($B939,(VLOOKUP($C939,CATALOGOS!$F$2:$H$6,3,FALSE)),(VLOOKUP($V939,CATALOGOS!$J$2:$K$18,2,FALSE)),""-"",TO_TEXT($A939))"),"P21DG-0938")</f>
        <v>P21DG-0938</v>
      </c>
      <c r="I939" s="6"/>
      <c r="J939" s="6" t="s">
        <v>6444</v>
      </c>
      <c r="K939" s="6" t="s">
        <v>6445</v>
      </c>
      <c r="L939" s="6" t="s">
        <v>6446</v>
      </c>
      <c r="M939" s="6" t="s">
        <v>6447</v>
      </c>
      <c r="N939" s="17"/>
      <c r="O939" s="17"/>
      <c r="P939" s="17" t="str">
        <f t="shared" si="3"/>
        <v>OK</v>
      </c>
      <c r="Q939" s="17" t="s">
        <v>35</v>
      </c>
      <c r="R939" s="6" t="s">
        <v>35</v>
      </c>
      <c r="S939" s="17" t="s">
        <v>36</v>
      </c>
      <c r="T939" s="17" t="s">
        <v>6448</v>
      </c>
      <c r="U939" s="173" t="s">
        <v>38</v>
      </c>
      <c r="V939" s="11" t="s">
        <v>6054</v>
      </c>
      <c r="W939" s="22" t="s">
        <v>6277</v>
      </c>
      <c r="X939" s="22" t="s">
        <v>6277</v>
      </c>
      <c r="Y939" s="22"/>
      <c r="Z939" s="7"/>
      <c r="AA939" s="7"/>
      <c r="AB939" s="23"/>
      <c r="AC939" s="26"/>
    </row>
    <row r="940" spans="1:29" ht="15.75" customHeight="1">
      <c r="A940" s="10" t="s">
        <v>6449</v>
      </c>
      <c r="B940" s="10" t="s">
        <v>4410</v>
      </c>
      <c r="C940" s="11" t="s">
        <v>6054</v>
      </c>
      <c r="D940" s="12"/>
      <c r="E940" s="13" t="s">
        <v>93</v>
      </c>
      <c r="F940" s="6" t="s">
        <v>6450</v>
      </c>
      <c r="G940" s="6" t="str">
        <f ca="1">IFERROR(__xludf.DUMMYFUNCTION("CONCATENATE(B940,(VLOOKUP(C940,CATALOGOS!$F$2:$H$6,3,FALSE)),(VLOOKUP(V940,CATALOGOS!$J$2:$K$18,2,FALSE)),""-"",TO_TEXT(A940))"),"P21DG-0939")</f>
        <v>P21DG-0939</v>
      </c>
      <c r="H940" s="6" t="str">
        <f ca="1">IFERROR(__xludf.DUMMYFUNCTION("CONCATENATE($B940,(VLOOKUP($C940,CATALOGOS!$F$2:$H$6,3,FALSE)),(VLOOKUP($V940,CATALOGOS!$J$2:$K$18,2,FALSE)),""-"",TO_TEXT($A940))"),"P21DG-0939")</f>
        <v>P21DG-0939</v>
      </c>
      <c r="I940" s="6"/>
      <c r="J940" s="6" t="s">
        <v>6451</v>
      </c>
      <c r="K940" s="6" t="s">
        <v>6452</v>
      </c>
      <c r="L940" s="6" t="s">
        <v>6453</v>
      </c>
      <c r="M940" s="6" t="s">
        <v>6454</v>
      </c>
      <c r="N940" s="17"/>
      <c r="O940" s="17"/>
      <c r="P940" s="17" t="str">
        <f t="shared" si="3"/>
        <v>OK</v>
      </c>
      <c r="Q940" s="17" t="s">
        <v>35</v>
      </c>
      <c r="R940" s="6" t="s">
        <v>35</v>
      </c>
      <c r="S940" s="17" t="s">
        <v>36</v>
      </c>
      <c r="T940" s="17" t="s">
        <v>6455</v>
      </c>
      <c r="U940" s="173" t="s">
        <v>38</v>
      </c>
      <c r="V940" s="11" t="s">
        <v>6054</v>
      </c>
      <c r="W940" s="22" t="s">
        <v>6277</v>
      </c>
      <c r="X940" s="22" t="s">
        <v>6277</v>
      </c>
      <c r="Y940" s="22"/>
      <c r="Z940" s="7"/>
      <c r="AA940" s="7"/>
      <c r="AB940" s="23"/>
      <c r="AC940" s="26"/>
    </row>
    <row r="941" spans="1:29" ht="15.75" customHeight="1">
      <c r="A941" s="10" t="s">
        <v>6456</v>
      </c>
      <c r="B941" s="10" t="s">
        <v>4410</v>
      </c>
      <c r="C941" s="11" t="s">
        <v>6054</v>
      </c>
      <c r="D941" s="12"/>
      <c r="E941" s="13" t="s">
        <v>93</v>
      </c>
      <c r="F941" s="6" t="s">
        <v>6450</v>
      </c>
      <c r="G941" s="6" t="str">
        <f ca="1">IFERROR(__xludf.DUMMYFUNCTION("CONCATENATE(B941,(VLOOKUP(C941,CATALOGOS!$F$2:$H$6,3,FALSE)),(VLOOKUP(V941,CATALOGOS!$J$2:$K$18,2,FALSE)),""-"",TO_TEXT(A941))"),"P21DG-0940")</f>
        <v>P21DG-0940</v>
      </c>
      <c r="H941" s="6" t="str">
        <f ca="1">IFERROR(__xludf.DUMMYFUNCTION("CONCATENATE($B941,(VLOOKUP($C941,CATALOGOS!$F$2:$H$6,3,FALSE)),(VLOOKUP($V941,CATALOGOS!$J$2:$K$18,2,FALSE)),""-"",TO_TEXT($A941))"),"P21DG-0940")</f>
        <v>P21DG-0940</v>
      </c>
      <c r="I941" s="6"/>
      <c r="J941" s="6" t="s">
        <v>6457</v>
      </c>
      <c r="K941" s="6" t="s">
        <v>6458</v>
      </c>
      <c r="L941" s="6" t="s">
        <v>6459</v>
      </c>
      <c r="M941" s="6" t="s">
        <v>6460</v>
      </c>
      <c r="N941" s="17"/>
      <c r="O941" s="17"/>
      <c r="P941" s="17" t="str">
        <f t="shared" si="3"/>
        <v>OK</v>
      </c>
      <c r="Q941" s="17" t="s">
        <v>35</v>
      </c>
      <c r="R941" s="6" t="s">
        <v>35</v>
      </c>
      <c r="S941" s="17" t="s">
        <v>36</v>
      </c>
      <c r="T941" s="17" t="s">
        <v>6461</v>
      </c>
      <c r="U941" s="173" t="s">
        <v>38</v>
      </c>
      <c r="V941" s="11" t="s">
        <v>6054</v>
      </c>
      <c r="W941" s="22" t="s">
        <v>6277</v>
      </c>
      <c r="X941" s="22" t="s">
        <v>6277</v>
      </c>
      <c r="Y941" s="22"/>
      <c r="Z941" s="7"/>
      <c r="AA941" s="7"/>
      <c r="AB941" s="23"/>
      <c r="AC941" s="26"/>
    </row>
    <row r="942" spans="1:29" ht="15.75" customHeight="1">
      <c r="A942" s="10" t="s">
        <v>6462</v>
      </c>
      <c r="B942" s="10" t="s">
        <v>4410</v>
      </c>
      <c r="C942" s="11" t="s">
        <v>6054</v>
      </c>
      <c r="D942" s="12"/>
      <c r="E942" s="13" t="s">
        <v>93</v>
      </c>
      <c r="F942" s="6" t="s">
        <v>6443</v>
      </c>
      <c r="G942" s="6" t="str">
        <f ca="1">IFERROR(__xludf.DUMMYFUNCTION("CONCATENATE(B942,(VLOOKUP(C942,CATALOGOS!$F$2:$H$6,3,FALSE)),(VLOOKUP(V942,CATALOGOS!$J$2:$K$18,2,FALSE)),""-"",TO_TEXT(A942))"),"P21DG-0941")</f>
        <v>P21DG-0941</v>
      </c>
      <c r="H942" s="6" t="str">
        <f ca="1">IFERROR(__xludf.DUMMYFUNCTION("CONCATENATE($B942,(VLOOKUP($C942,CATALOGOS!$F$2:$H$6,3,FALSE)),(VLOOKUP($V942,CATALOGOS!$J$2:$K$18,2,FALSE)),""-"",TO_TEXT($A942))"),"P21DG-0941")</f>
        <v>P21DG-0941</v>
      </c>
      <c r="I942" s="6"/>
      <c r="J942" s="6" t="s">
        <v>6463</v>
      </c>
      <c r="K942" s="6" t="s">
        <v>6464</v>
      </c>
      <c r="L942" s="6" t="s">
        <v>6465</v>
      </c>
      <c r="M942" s="6" t="s">
        <v>6466</v>
      </c>
      <c r="N942" s="17"/>
      <c r="O942" s="17"/>
      <c r="P942" s="17" t="str">
        <f t="shared" si="3"/>
        <v>OK</v>
      </c>
      <c r="Q942" s="17" t="s">
        <v>35</v>
      </c>
      <c r="R942" s="6" t="s">
        <v>35</v>
      </c>
      <c r="S942" s="17" t="s">
        <v>36</v>
      </c>
      <c r="T942" s="17" t="s">
        <v>6467</v>
      </c>
      <c r="U942" s="173" t="s">
        <v>38</v>
      </c>
      <c r="V942" s="11" t="s">
        <v>6054</v>
      </c>
      <c r="W942" s="22" t="s">
        <v>6277</v>
      </c>
      <c r="X942" s="22" t="s">
        <v>6277</v>
      </c>
      <c r="Y942" s="22"/>
      <c r="Z942" s="7"/>
      <c r="AA942" s="7"/>
      <c r="AB942" s="23"/>
      <c r="AC942" s="26"/>
    </row>
    <row r="943" spans="1:29" ht="15.75" customHeight="1">
      <c r="A943" s="10" t="s">
        <v>6468</v>
      </c>
      <c r="B943" s="10" t="s">
        <v>4410</v>
      </c>
      <c r="C943" s="11" t="s">
        <v>6054</v>
      </c>
      <c r="D943" s="12"/>
      <c r="E943" s="13" t="s">
        <v>93</v>
      </c>
      <c r="F943" s="6" t="s">
        <v>6450</v>
      </c>
      <c r="G943" s="6" t="str">
        <f ca="1">IFERROR(__xludf.DUMMYFUNCTION("CONCATENATE(B943,(VLOOKUP(C943,CATALOGOS!$F$2:$H$6,3,FALSE)),(VLOOKUP(V943,CATALOGOS!$J$2:$K$18,2,FALSE)),""-"",TO_TEXT(A943))"),"P21DG-0942")</f>
        <v>P21DG-0942</v>
      </c>
      <c r="H943" s="6" t="str">
        <f ca="1">IFERROR(__xludf.DUMMYFUNCTION("CONCATENATE($B943,(VLOOKUP($C943,CATALOGOS!$F$2:$H$6,3,FALSE)),(VLOOKUP($V943,CATALOGOS!$J$2:$K$18,2,FALSE)),""-"",TO_TEXT($A943))"),"P21DG-0942")</f>
        <v>P21DG-0942</v>
      </c>
      <c r="I943" s="6"/>
      <c r="J943" s="6" t="s">
        <v>6469</v>
      </c>
      <c r="K943" s="6" t="s">
        <v>6470</v>
      </c>
      <c r="L943" s="6" t="s">
        <v>6471</v>
      </c>
      <c r="M943" s="6" t="s">
        <v>6472</v>
      </c>
      <c r="N943" s="17"/>
      <c r="O943" s="17"/>
      <c r="P943" s="17" t="str">
        <f t="shared" si="3"/>
        <v>OK</v>
      </c>
      <c r="Q943" s="17" t="s">
        <v>35</v>
      </c>
      <c r="R943" s="6" t="s">
        <v>35</v>
      </c>
      <c r="S943" s="17" t="s">
        <v>36</v>
      </c>
      <c r="T943" s="17" t="s">
        <v>6473</v>
      </c>
      <c r="U943" s="173" t="s">
        <v>38</v>
      </c>
      <c r="V943" s="11" t="s">
        <v>6054</v>
      </c>
      <c r="W943" s="22" t="s">
        <v>6277</v>
      </c>
      <c r="X943" s="22" t="s">
        <v>6277</v>
      </c>
      <c r="Y943" s="22"/>
      <c r="Z943" s="7"/>
      <c r="AA943" s="7"/>
      <c r="AB943" s="23"/>
      <c r="AC943" s="26"/>
    </row>
    <row r="944" spans="1:29" ht="15.75" customHeight="1">
      <c r="A944" s="10" t="s">
        <v>6474</v>
      </c>
      <c r="B944" s="10" t="s">
        <v>4410</v>
      </c>
      <c r="C944" s="11" t="s">
        <v>6054</v>
      </c>
      <c r="D944" s="12"/>
      <c r="E944" s="13" t="s">
        <v>93</v>
      </c>
      <c r="F944" s="6" t="s">
        <v>6450</v>
      </c>
      <c r="G944" s="6" t="str">
        <f ca="1">IFERROR(__xludf.DUMMYFUNCTION("CONCATENATE(B944,(VLOOKUP(C944,CATALOGOS!$F$2:$H$6,3,FALSE)),(VLOOKUP(V944,CATALOGOS!$J$2:$K$18,2,FALSE)),""-"",TO_TEXT(A944))"),"P21DG-0943")</f>
        <v>P21DG-0943</v>
      </c>
      <c r="H944" s="6" t="str">
        <f ca="1">IFERROR(__xludf.DUMMYFUNCTION("CONCATENATE($B944,(VLOOKUP($C944,CATALOGOS!$F$2:$H$6,3,FALSE)),(VLOOKUP($V944,CATALOGOS!$J$2:$K$18,2,FALSE)),""-"",TO_TEXT($A944))"),"P21DG-0943")</f>
        <v>P21DG-0943</v>
      </c>
      <c r="I944" s="6"/>
      <c r="J944" s="6" t="s">
        <v>6475</v>
      </c>
      <c r="K944" s="6" t="s">
        <v>6476</v>
      </c>
      <c r="L944" s="6" t="s">
        <v>6477</v>
      </c>
      <c r="M944" s="6" t="s">
        <v>6478</v>
      </c>
      <c r="N944" s="17"/>
      <c r="O944" s="17"/>
      <c r="P944" s="17" t="str">
        <f t="shared" si="3"/>
        <v>OK</v>
      </c>
      <c r="Q944" s="17" t="s">
        <v>35</v>
      </c>
      <c r="R944" s="6" t="s">
        <v>35</v>
      </c>
      <c r="S944" s="17" t="s">
        <v>36</v>
      </c>
      <c r="T944" s="17" t="s">
        <v>6479</v>
      </c>
      <c r="U944" s="173" t="s">
        <v>38</v>
      </c>
      <c r="V944" s="11" t="s">
        <v>6054</v>
      </c>
      <c r="W944" s="22" t="s">
        <v>6277</v>
      </c>
      <c r="X944" s="22" t="s">
        <v>6277</v>
      </c>
      <c r="Y944" s="22"/>
      <c r="Z944" s="7"/>
      <c r="AA944" s="7"/>
      <c r="AB944" s="23"/>
      <c r="AC944" s="26"/>
    </row>
    <row r="945" spans="1:29" ht="15.75" customHeight="1">
      <c r="A945" s="10" t="s">
        <v>6480</v>
      </c>
      <c r="B945" s="10" t="s">
        <v>27</v>
      </c>
      <c r="C945" s="60" t="s">
        <v>868</v>
      </c>
      <c r="D945" s="12"/>
      <c r="E945" s="13" t="s">
        <v>116</v>
      </c>
      <c r="F945" s="6" t="s">
        <v>920</v>
      </c>
      <c r="G945" s="15" t="str">
        <f ca="1">IFERROR(__xludf.DUMMYFUNCTION("CONCATENATE(B945,(VLOOKUP(C945,CATALOGOS!$F$2:$H$6,3,FALSE)),(VLOOKUP(V945,CATALOGOS!$J$2:$K$18,2,FALSE)),""-"",TO_TEXT(A945))"),"P03CV-0944")</f>
        <v>P03CV-0944</v>
      </c>
      <c r="H945" s="6" t="str">
        <f ca="1">IFERROR(__xludf.DUMMYFUNCTION("CONCATENATE($B945,(VLOOKUP($C945,CATALOGOS!$F$2:$H$6,3,FALSE)),(VLOOKUP($V945,CATALOGOS!$J$2:$K$18,2,FALSE)),""-"",TO_TEXT($A945))"),"P03CV-0944")</f>
        <v>P03CV-0944</v>
      </c>
      <c r="I945" s="6"/>
      <c r="J945" s="6" t="s">
        <v>6481</v>
      </c>
      <c r="K945" s="6" t="s">
        <v>6482</v>
      </c>
      <c r="L945" s="6" t="s">
        <v>6483</v>
      </c>
      <c r="M945" s="6" t="s">
        <v>6484</v>
      </c>
      <c r="N945" s="17"/>
      <c r="O945" s="17"/>
      <c r="P945" s="17" t="str">
        <f t="shared" si="3"/>
        <v>OK</v>
      </c>
      <c r="Q945" s="17" t="s">
        <v>35</v>
      </c>
      <c r="R945" s="6" t="s">
        <v>35</v>
      </c>
      <c r="S945" s="17" t="s">
        <v>36</v>
      </c>
      <c r="T945" s="17" t="s">
        <v>6485</v>
      </c>
      <c r="U945" s="173" t="s">
        <v>38</v>
      </c>
      <c r="V945" s="11" t="s">
        <v>875</v>
      </c>
      <c r="W945" s="20" t="s">
        <v>876</v>
      </c>
      <c r="X945" s="20" t="s">
        <v>876</v>
      </c>
      <c r="Y945" s="20"/>
      <c r="Z945" s="7"/>
      <c r="AA945" s="7"/>
      <c r="AB945" s="23"/>
      <c r="AC945" s="26"/>
    </row>
    <row r="946" spans="1:29" ht="15.75" customHeight="1">
      <c r="A946" s="10" t="s">
        <v>6486</v>
      </c>
      <c r="B946" s="10" t="s">
        <v>4410</v>
      </c>
      <c r="C946" s="11" t="s">
        <v>6054</v>
      </c>
      <c r="D946" s="12"/>
      <c r="E946" s="13" t="s">
        <v>93</v>
      </c>
      <c r="F946" s="6" t="s">
        <v>6487</v>
      </c>
      <c r="G946" s="6" t="str">
        <f ca="1">IFERROR(__xludf.DUMMYFUNCTION("CONCATENATE(B946,(VLOOKUP(C946,CATALOGOS!$F$2:$H$6,3,FALSE)),(VLOOKUP(V946,CATALOGOS!$J$2:$K$18,2,FALSE)),""-"",TO_TEXT(A946))"),"P21DG-0945")</f>
        <v>P21DG-0945</v>
      </c>
      <c r="H946" s="6" t="str">
        <f ca="1">IFERROR(__xludf.DUMMYFUNCTION("CONCATENATE($B946,(VLOOKUP($C946,CATALOGOS!$F$2:$H$6,3,FALSE)),(VLOOKUP($V946,CATALOGOS!$J$2:$K$18,2,FALSE)),""-"",TO_TEXT($A946))"),"P21DG-0945")</f>
        <v>P21DG-0945</v>
      </c>
      <c r="I946" s="6"/>
      <c r="J946" s="6" t="s">
        <v>6488</v>
      </c>
      <c r="K946" s="6" t="s">
        <v>6489</v>
      </c>
      <c r="L946" s="6" t="s">
        <v>6490</v>
      </c>
      <c r="M946" s="6" t="s">
        <v>6491</v>
      </c>
      <c r="N946" s="17"/>
      <c r="O946" s="17"/>
      <c r="P946" s="17" t="str">
        <f t="shared" si="3"/>
        <v>OK</v>
      </c>
      <c r="Q946" s="17" t="s">
        <v>35</v>
      </c>
      <c r="R946" s="6" t="s">
        <v>35</v>
      </c>
      <c r="S946" s="17" t="s">
        <v>36</v>
      </c>
      <c r="T946" s="17" t="s">
        <v>6492</v>
      </c>
      <c r="U946" s="173" t="s">
        <v>38</v>
      </c>
      <c r="V946" s="11" t="s">
        <v>6054</v>
      </c>
      <c r="W946" s="22" t="s">
        <v>6277</v>
      </c>
      <c r="X946" s="22" t="s">
        <v>6277</v>
      </c>
      <c r="Y946" s="22"/>
      <c r="Z946" s="7"/>
      <c r="AA946" s="7"/>
      <c r="AB946" s="23"/>
      <c r="AC946" s="26"/>
    </row>
    <row r="947" spans="1:29" ht="15.75" customHeight="1">
      <c r="A947" s="10" t="s">
        <v>6493</v>
      </c>
      <c r="B947" s="10" t="s">
        <v>4410</v>
      </c>
      <c r="C947" s="11" t="s">
        <v>6054</v>
      </c>
      <c r="D947" s="12"/>
      <c r="E947" s="13" t="s">
        <v>1199</v>
      </c>
      <c r="F947" s="43" t="s">
        <v>1199</v>
      </c>
      <c r="G947" s="6" t="str">
        <f ca="1">IFERROR(__xludf.DUMMYFUNCTION("CONCATENATE(B947,(VLOOKUP(C947,CATALOGOS!$F$2:$H$6,3,FALSE)),(VLOOKUP(V947,CATALOGOS!$J$2:$K$18,2,FALSE)),""-"",TO_TEXT(A947))"),"P21DG-0946")</f>
        <v>P21DG-0946</v>
      </c>
      <c r="H947" s="6" t="str">
        <f ca="1">IFERROR(__xludf.DUMMYFUNCTION("CONCATENATE($B947,(VLOOKUP($C947,CATALOGOS!$F$2:$H$6,3,FALSE)),(VLOOKUP($V947,CATALOGOS!$J$2:$K$18,2,FALSE)),""-"",TO_TEXT($A947))"),"P21DG-0946")</f>
        <v>P21DG-0946</v>
      </c>
      <c r="I947" s="6"/>
      <c r="J947" s="6" t="s">
        <v>6494</v>
      </c>
      <c r="K947" s="6" t="s">
        <v>6495</v>
      </c>
      <c r="L947" s="6" t="s">
        <v>6496</v>
      </c>
      <c r="M947" s="6" t="s">
        <v>6497</v>
      </c>
      <c r="N947" s="17"/>
      <c r="O947" s="17"/>
      <c r="P947" s="17" t="str">
        <f t="shared" si="3"/>
        <v>OK</v>
      </c>
      <c r="Q947" s="17" t="s">
        <v>205</v>
      </c>
      <c r="R947" s="6" t="s">
        <v>6498</v>
      </c>
      <c r="S947" s="17" t="s">
        <v>6499</v>
      </c>
      <c r="T947" s="17" t="s">
        <v>6500</v>
      </c>
      <c r="U947" s="173" t="s">
        <v>38</v>
      </c>
      <c r="V947" s="11" t="s">
        <v>6054</v>
      </c>
      <c r="W947" s="22" t="s">
        <v>6277</v>
      </c>
      <c r="X947" s="22" t="s">
        <v>6277</v>
      </c>
      <c r="Y947" s="22"/>
      <c r="Z947" s="7"/>
      <c r="AA947" s="7"/>
      <c r="AB947" s="23"/>
      <c r="AC947" s="26"/>
    </row>
    <row r="948" spans="1:29" ht="15.75" customHeight="1">
      <c r="A948" s="10" t="s">
        <v>6501</v>
      </c>
      <c r="B948" s="10" t="s">
        <v>1469</v>
      </c>
      <c r="C948" s="61" t="s">
        <v>1470</v>
      </c>
      <c r="D948" s="12"/>
      <c r="E948" s="13" t="s">
        <v>248</v>
      </c>
      <c r="F948" s="6" t="s">
        <v>248</v>
      </c>
      <c r="G948" s="6" t="str">
        <f ca="1">IFERROR(__xludf.DUMMYFUNCTION("CONCATENATE(B948,(VLOOKUP(C948,CATALOGOS!$F$2:$H$6,3,FALSE)),(VLOOKUP(V948,CATALOGOS!$J$2:$K$18,2,FALSE)),""-"",TO_TEXT(A948))"),"P12SI-0947")</f>
        <v>P12SI-0947</v>
      </c>
      <c r="H948" s="6" t="str">
        <f ca="1">IFERROR(__xludf.DUMMYFUNCTION("CONCATENATE($B948,(VLOOKUP($C948,CATALOGOS!$F$2:$H$6,3,FALSE)),(VLOOKUP($V948,CATALOGOS!$J$2:$K$18,2,FALSE)),""-"",TO_TEXT($A948))"),"P12SI-0947")</f>
        <v>P12SI-0947</v>
      </c>
      <c r="I948" s="6"/>
      <c r="J948" s="6" t="s">
        <v>6502</v>
      </c>
      <c r="K948" s="6" t="s">
        <v>6503</v>
      </c>
      <c r="L948" s="6" t="s">
        <v>6504</v>
      </c>
      <c r="M948" s="6" t="s">
        <v>6505</v>
      </c>
      <c r="N948" s="17"/>
      <c r="O948" s="17"/>
      <c r="P948" s="17" t="str">
        <f t="shared" si="3"/>
        <v>OK</v>
      </c>
      <c r="Q948" s="17" t="s">
        <v>6506</v>
      </c>
      <c r="R948" s="6" t="s">
        <v>6507</v>
      </c>
      <c r="S948" s="6" t="s">
        <v>6508</v>
      </c>
      <c r="T948" s="10" t="s">
        <v>6509</v>
      </c>
      <c r="U948" s="173" t="s">
        <v>38</v>
      </c>
      <c r="V948" s="181" t="s">
        <v>1483</v>
      </c>
      <c r="W948" s="20" t="s">
        <v>1484</v>
      </c>
      <c r="X948" s="20" t="s">
        <v>1484</v>
      </c>
      <c r="Y948" s="20"/>
      <c r="Z948" s="7"/>
      <c r="AA948" s="7"/>
      <c r="AB948" s="23"/>
      <c r="AC948" s="26"/>
    </row>
    <row r="949" spans="1:29" ht="15.75" customHeight="1">
      <c r="A949" s="10" t="s">
        <v>6510</v>
      </c>
      <c r="B949" s="10" t="s">
        <v>4410</v>
      </c>
      <c r="C949" s="61" t="s">
        <v>6054</v>
      </c>
      <c r="D949" s="12"/>
      <c r="E949" s="13" t="s">
        <v>162</v>
      </c>
      <c r="F949" s="6" t="s">
        <v>285</v>
      </c>
      <c r="G949" s="6" t="str">
        <f ca="1">IFERROR(__xludf.DUMMYFUNCTION("CONCATENATE(B949,(VLOOKUP(C949,CATALOGOS!$F$2:$H$6,3,FALSE)),(VLOOKUP(V949,CATALOGOS!$J$2:$K$18,2,FALSE)),""-"",TO_TEXT(A949))"),"P21DG-0948")</f>
        <v>P21DG-0948</v>
      </c>
      <c r="H949" s="6" t="str">
        <f ca="1">IFERROR(__xludf.DUMMYFUNCTION("CONCATENATE($B949,(VLOOKUP($C949,CATALOGOS!$F$2:$H$6,3,FALSE)),(VLOOKUP($V949,CATALOGOS!$J$2:$K$18,2,FALSE)),""-"",TO_TEXT($A949))"),"P21DG-0948")</f>
        <v>P21DG-0948</v>
      </c>
      <c r="I949" s="6"/>
      <c r="J949" s="6" t="s">
        <v>6511</v>
      </c>
      <c r="K949" s="6" t="s">
        <v>6512</v>
      </c>
      <c r="L949" s="6" t="s">
        <v>6513</v>
      </c>
      <c r="M949" s="6" t="s">
        <v>6514</v>
      </c>
      <c r="N949" s="17"/>
      <c r="O949" s="17"/>
      <c r="P949" s="17" t="str">
        <f t="shared" si="3"/>
        <v>OK</v>
      </c>
      <c r="Q949" s="17" t="s">
        <v>168</v>
      </c>
      <c r="R949" s="6" t="s">
        <v>169</v>
      </c>
      <c r="S949" s="17" t="s">
        <v>6515</v>
      </c>
      <c r="T949" s="10" t="s">
        <v>6516</v>
      </c>
      <c r="U949" s="173" t="s">
        <v>38</v>
      </c>
      <c r="V949" s="11" t="s">
        <v>6054</v>
      </c>
      <c r="W949" s="22" t="s">
        <v>6277</v>
      </c>
      <c r="X949" s="22" t="s">
        <v>6277</v>
      </c>
      <c r="Y949" s="22"/>
      <c r="Z949" s="7"/>
      <c r="AA949" s="7"/>
      <c r="AB949" s="23"/>
      <c r="AC949" s="26"/>
    </row>
    <row r="950" spans="1:29" ht="15.75" customHeight="1">
      <c r="A950" s="10" t="s">
        <v>6517</v>
      </c>
      <c r="B950" s="10" t="s">
        <v>4410</v>
      </c>
      <c r="C950" s="61" t="s">
        <v>6054</v>
      </c>
      <c r="D950" s="12"/>
      <c r="E950" s="13" t="s">
        <v>378</v>
      </c>
      <c r="F950" s="6" t="s">
        <v>379</v>
      </c>
      <c r="G950" s="6" t="str">
        <f ca="1">IFERROR(__xludf.DUMMYFUNCTION("CONCATENATE(B950,(VLOOKUP(C950,CATALOGOS!$F$2:$H$6,3,FALSE)),(VLOOKUP(V950,CATALOGOS!$J$2:$K$18,2,FALSE)),""-"",TO_TEXT(A950))"),"P21DG-0949")</f>
        <v>P21DG-0949</v>
      </c>
      <c r="H950" s="6" t="str">
        <f ca="1">IFERROR(__xludf.DUMMYFUNCTION("CONCATENATE($B950,(VLOOKUP($C950,CATALOGOS!$F$2:$H$6,3,FALSE)),(VLOOKUP($V950,CATALOGOS!$J$2:$K$18,2,FALSE)),""-"",TO_TEXT($A950))"),"P21DG-0949")</f>
        <v>P21DG-0949</v>
      </c>
      <c r="I950" s="6"/>
      <c r="J950" s="6" t="s">
        <v>6518</v>
      </c>
      <c r="K950" s="6" t="s">
        <v>6519</v>
      </c>
      <c r="L950" s="49" t="s">
        <v>6520</v>
      </c>
      <c r="M950" s="6" t="s">
        <v>6521</v>
      </c>
      <c r="N950" s="17"/>
      <c r="O950" s="17"/>
      <c r="P950" s="17" t="str">
        <f t="shared" si="3"/>
        <v>OK</v>
      </c>
      <c r="Q950" s="17" t="s">
        <v>35</v>
      </c>
      <c r="R950" s="6" t="s">
        <v>35</v>
      </c>
      <c r="S950" s="6" t="s">
        <v>36</v>
      </c>
      <c r="T950" s="17" t="s">
        <v>6522</v>
      </c>
      <c r="U950" s="173" t="s">
        <v>38</v>
      </c>
      <c r="V950" s="11" t="s">
        <v>6054</v>
      </c>
      <c r="W950" s="22" t="s">
        <v>6277</v>
      </c>
      <c r="X950" s="22" t="s">
        <v>6277</v>
      </c>
      <c r="Y950" s="22"/>
      <c r="Z950" s="36"/>
      <c r="AA950" s="36"/>
      <c r="AB950" s="23"/>
      <c r="AC950" s="33"/>
    </row>
    <row r="951" spans="1:29" ht="15.75" customHeight="1">
      <c r="A951" s="10" t="s">
        <v>6523</v>
      </c>
      <c r="B951" s="10" t="s">
        <v>4410</v>
      </c>
      <c r="C951" s="61" t="s">
        <v>6054</v>
      </c>
      <c r="D951" s="12"/>
      <c r="E951" s="13" t="s">
        <v>199</v>
      </c>
      <c r="F951" s="43" t="s">
        <v>1394</v>
      </c>
      <c r="G951" s="6" t="str">
        <f ca="1">IFERROR(__xludf.DUMMYFUNCTION("CONCATENATE(B951,(VLOOKUP(C951,CATALOGOS!$F$2:$H$6,3,FALSE)),(VLOOKUP(V951,CATALOGOS!$J$2:$K$18,2,FALSE)),""-"",TO_TEXT(A951))"),"P21DG-0950")</f>
        <v>P21DG-0950</v>
      </c>
      <c r="H951" s="6" t="str">
        <f ca="1">IFERROR(__xludf.DUMMYFUNCTION("CONCATENATE($B951,(VLOOKUP($C951,CATALOGOS!$F$2:$H$6,3,FALSE)),(VLOOKUP($V951,CATALOGOS!$J$2:$K$18,2,FALSE)),""-"",TO_TEXT($A951))"),"P21DG-0950")</f>
        <v>P21DG-0950</v>
      </c>
      <c r="I951" s="6"/>
      <c r="J951" s="6" t="s">
        <v>6524</v>
      </c>
      <c r="K951" s="6" t="s">
        <v>6525</v>
      </c>
      <c r="L951" s="6" t="s">
        <v>6526</v>
      </c>
      <c r="M951" s="6" t="s">
        <v>6527</v>
      </c>
      <c r="N951" s="17"/>
      <c r="O951" s="17"/>
      <c r="P951" s="17" t="str">
        <f t="shared" si="3"/>
        <v>OK</v>
      </c>
      <c r="Q951" s="17" t="s">
        <v>157</v>
      </c>
      <c r="R951" s="6" t="s">
        <v>6528</v>
      </c>
      <c r="S951" s="17" t="s">
        <v>6529</v>
      </c>
      <c r="T951" s="10" t="s">
        <v>6530</v>
      </c>
      <c r="U951" s="173" t="s">
        <v>38</v>
      </c>
      <c r="V951" s="11" t="s">
        <v>6054</v>
      </c>
      <c r="W951" s="22" t="s">
        <v>6277</v>
      </c>
      <c r="X951" s="22" t="s">
        <v>6277</v>
      </c>
      <c r="Y951" s="22"/>
      <c r="Z951" s="7"/>
      <c r="AA951" s="7"/>
      <c r="AB951" s="23"/>
      <c r="AC951" s="26"/>
    </row>
    <row r="952" spans="1:29" ht="15.75" customHeight="1">
      <c r="A952" s="10" t="s">
        <v>6531</v>
      </c>
      <c r="B952" s="10" t="s">
        <v>4410</v>
      </c>
      <c r="C952" s="61" t="s">
        <v>6054</v>
      </c>
      <c r="D952" s="38"/>
      <c r="E952" s="13" t="s">
        <v>151</v>
      </c>
      <c r="F952" s="6" t="s">
        <v>963</v>
      </c>
      <c r="G952" s="6" t="str">
        <f ca="1">IFERROR(__xludf.DUMMYFUNCTION("CONCATENATE(B952,(VLOOKUP(C952,CATALOGOS!$F$2:$H$6,3,FALSE)),(VLOOKUP(V952,CATALOGOS!$J$2:$K$18,2,FALSE)),""-"",TO_TEXT(A952))"),"P21DG-0951")</f>
        <v>P21DG-0951</v>
      </c>
      <c r="H952" s="6" t="str">
        <f ca="1">IFERROR(__xludf.DUMMYFUNCTION("CONCATENATE($B952,(VLOOKUP($C952,CATALOGOS!$F$2:$H$6,3,FALSE)),(VLOOKUP($V952,CATALOGOS!$J$2:$K$18,2,FALSE)),""-"",TO_TEXT($A952))"),"P21DG-0951")</f>
        <v>P21DG-0951</v>
      </c>
      <c r="I952" s="6"/>
      <c r="J952" s="6" t="s">
        <v>6532</v>
      </c>
      <c r="K952" s="6" t="s">
        <v>6533</v>
      </c>
      <c r="L952" s="6" t="s">
        <v>6534</v>
      </c>
      <c r="M952" s="6" t="s">
        <v>6535</v>
      </c>
      <c r="N952" s="17"/>
      <c r="O952" s="17"/>
      <c r="P952" s="17" t="str">
        <f t="shared" si="3"/>
        <v>OK</v>
      </c>
      <c r="Q952" s="17" t="s">
        <v>703</v>
      </c>
      <c r="R952" s="6" t="s">
        <v>6536</v>
      </c>
      <c r="S952" s="46" t="s">
        <v>6537</v>
      </c>
      <c r="T952" s="17" t="s">
        <v>6538</v>
      </c>
      <c r="U952" s="173" t="s">
        <v>38</v>
      </c>
      <c r="V952" s="11" t="s">
        <v>6054</v>
      </c>
      <c r="W952" s="22" t="s">
        <v>6277</v>
      </c>
      <c r="X952" s="22" t="s">
        <v>6277</v>
      </c>
      <c r="Y952" s="22"/>
      <c r="Z952" s="7"/>
      <c r="AA952" s="7"/>
      <c r="AB952" s="26"/>
      <c r="AC952" s="26"/>
    </row>
    <row r="953" spans="1:29" ht="15.75" customHeight="1">
      <c r="A953" s="10" t="s">
        <v>6539</v>
      </c>
      <c r="B953" s="10" t="s">
        <v>4410</v>
      </c>
      <c r="C953" s="61" t="s">
        <v>6054</v>
      </c>
      <c r="D953" s="12"/>
      <c r="E953" s="13" t="s">
        <v>116</v>
      </c>
      <c r="F953" s="6" t="s">
        <v>6540</v>
      </c>
      <c r="G953" s="6" t="str">
        <f ca="1">IFERROR(__xludf.DUMMYFUNCTION("CONCATENATE(B953,(VLOOKUP(C953,CATALOGOS!$F$2:$H$6,3,FALSE)),(VLOOKUP(V953,CATALOGOS!$J$2:$K$18,2,FALSE)),""-"",TO_TEXT(A953))"),"P21DG-0952")</f>
        <v>P21DG-0952</v>
      </c>
      <c r="H953" s="6" t="str">
        <f ca="1">IFERROR(__xludf.DUMMYFUNCTION("CONCATENATE($B953,(VLOOKUP($C953,CATALOGOS!$F$2:$H$6,3,FALSE)),(VLOOKUP($V953,CATALOGOS!$J$2:$K$18,2,FALSE)),""-"",TO_TEXT($A953))"),"P21DG-0952")</f>
        <v>P21DG-0952</v>
      </c>
      <c r="I953" s="6"/>
      <c r="J953" s="6" t="s">
        <v>6541</v>
      </c>
      <c r="K953" s="6" t="s">
        <v>6542</v>
      </c>
      <c r="L953" s="6" t="s">
        <v>6543</v>
      </c>
      <c r="M953" s="6" t="s">
        <v>6544</v>
      </c>
      <c r="N953" s="17"/>
      <c r="O953" s="17"/>
      <c r="P953" s="17" t="str">
        <f t="shared" si="3"/>
        <v>OK</v>
      </c>
      <c r="Q953" s="17" t="s">
        <v>35</v>
      </c>
      <c r="R953" s="6" t="s">
        <v>35</v>
      </c>
      <c r="S953" s="17" t="s">
        <v>36</v>
      </c>
      <c r="T953" s="17" t="s">
        <v>85</v>
      </c>
      <c r="U953" s="173" t="s">
        <v>38</v>
      </c>
      <c r="V953" s="11" t="s">
        <v>6054</v>
      </c>
      <c r="W953" s="20" t="s">
        <v>6546</v>
      </c>
      <c r="X953" s="20" t="s">
        <v>6546</v>
      </c>
      <c r="Y953" s="20"/>
      <c r="Z953" s="7"/>
      <c r="AA953" s="7"/>
      <c r="AB953" s="23"/>
      <c r="AC953" s="26"/>
    </row>
    <row r="954" spans="1:29" ht="15.75" customHeight="1">
      <c r="A954" s="10" t="s">
        <v>6547</v>
      </c>
      <c r="B954" s="10" t="s">
        <v>4410</v>
      </c>
      <c r="C954" s="61" t="s">
        <v>6054</v>
      </c>
      <c r="D954" s="12"/>
      <c r="E954" s="13" t="s">
        <v>43</v>
      </c>
      <c r="F954" s="43" t="s">
        <v>2581</v>
      </c>
      <c r="G954" s="6" t="str">
        <f ca="1">IFERROR(__xludf.DUMMYFUNCTION("CONCATENATE(B954,(VLOOKUP(C954,CATALOGOS!$F$2:$H$6,3,FALSE)),(VLOOKUP(V954,CATALOGOS!$J$2:$K$18,2,FALSE)),""-"",TO_TEXT(A954))"),"P21DG-0953")</f>
        <v>P21DG-0953</v>
      </c>
      <c r="H954" s="6" t="str">
        <f ca="1">IFERROR(__xludf.DUMMYFUNCTION("CONCATENATE($B954,(VLOOKUP($C954,CATALOGOS!$F$2:$H$6,3,FALSE)),(VLOOKUP($V954,CATALOGOS!$J$2:$K$18,2,FALSE)),""-"",TO_TEXT($A954))"),"P21DG-0953")</f>
        <v>P21DG-0953</v>
      </c>
      <c r="I954" s="6"/>
      <c r="J954" s="6" t="s">
        <v>6548</v>
      </c>
      <c r="K954" s="6" t="s">
        <v>6549</v>
      </c>
      <c r="L954" s="6" t="s">
        <v>6550</v>
      </c>
      <c r="M954" s="6" t="s">
        <v>6551</v>
      </c>
      <c r="N954" s="17"/>
      <c r="O954" s="17"/>
      <c r="P954" s="17" t="str">
        <f t="shared" si="3"/>
        <v>OK</v>
      </c>
      <c r="Q954" s="17" t="s">
        <v>49</v>
      </c>
      <c r="R954" s="6" t="s">
        <v>35</v>
      </c>
      <c r="S954" s="17" t="s">
        <v>36</v>
      </c>
      <c r="T954" s="17" t="s">
        <v>6552</v>
      </c>
      <c r="U954" s="173" t="s">
        <v>38</v>
      </c>
      <c r="V954" s="11" t="s">
        <v>6054</v>
      </c>
      <c r="W954" s="20" t="s">
        <v>6546</v>
      </c>
      <c r="X954" s="20" t="s">
        <v>6546</v>
      </c>
      <c r="Y954" s="20"/>
      <c r="Z954" s="7"/>
      <c r="AA954" s="7"/>
      <c r="AB954" s="23"/>
      <c r="AC954" s="26"/>
    </row>
    <row r="955" spans="1:29" ht="15.75" customHeight="1">
      <c r="A955" s="10" t="s">
        <v>6553</v>
      </c>
      <c r="B955" s="10" t="s">
        <v>4410</v>
      </c>
      <c r="C955" s="61" t="s">
        <v>6054</v>
      </c>
      <c r="D955" s="12"/>
      <c r="E955" s="13" t="s">
        <v>378</v>
      </c>
      <c r="F955" s="6" t="s">
        <v>6554</v>
      </c>
      <c r="G955" s="6" t="str">
        <f ca="1">IFERROR(__xludf.DUMMYFUNCTION("CONCATENATE(B955,(VLOOKUP(C955,CATALOGOS!$F$2:$H$6,3,FALSE)),(VLOOKUP(V955,CATALOGOS!$J$2:$K$18,2,FALSE)),""-"",TO_TEXT(A955))"),"P21DG-0954")</f>
        <v>P21DG-0954</v>
      </c>
      <c r="H955" s="6" t="str">
        <f ca="1">IFERROR(__xludf.DUMMYFUNCTION("CONCATENATE($B955,(VLOOKUP($C955,CATALOGOS!$F$2:$H$6,3,FALSE)),(VLOOKUP($V955,CATALOGOS!$J$2:$K$18,2,FALSE)),""-"",TO_TEXT($A955))"),"P21DG-0954")</f>
        <v>P21DG-0954</v>
      </c>
      <c r="I955" s="6"/>
      <c r="J955" s="6" t="s">
        <v>6555</v>
      </c>
      <c r="K955" s="6" t="s">
        <v>6556</v>
      </c>
      <c r="L955" s="6" t="s">
        <v>6557</v>
      </c>
      <c r="M955" s="6" t="s">
        <v>6558</v>
      </c>
      <c r="N955" s="17"/>
      <c r="O955" s="17"/>
      <c r="P955" s="17" t="str">
        <f t="shared" si="3"/>
        <v>OK</v>
      </c>
      <c r="Q955" s="17" t="s">
        <v>35</v>
      </c>
      <c r="R955" s="6" t="s">
        <v>35</v>
      </c>
      <c r="S955" s="17" t="s">
        <v>36</v>
      </c>
      <c r="T955" s="17" t="s">
        <v>6559</v>
      </c>
      <c r="U955" s="173" t="s">
        <v>38</v>
      </c>
      <c r="V955" s="11" t="s">
        <v>6054</v>
      </c>
      <c r="W955" s="20" t="s">
        <v>6546</v>
      </c>
      <c r="X955" s="20" t="s">
        <v>6546</v>
      </c>
      <c r="Y955" s="20"/>
      <c r="Z955" s="7"/>
      <c r="AA955" s="7"/>
      <c r="AB955" s="23"/>
      <c r="AC955" s="26"/>
    </row>
    <row r="956" spans="1:29" ht="15.75" customHeight="1">
      <c r="A956" s="10" t="s">
        <v>6560</v>
      </c>
      <c r="B956" s="10" t="s">
        <v>4410</v>
      </c>
      <c r="C956" s="61" t="s">
        <v>6054</v>
      </c>
      <c r="D956" s="12"/>
      <c r="E956" s="13" t="s">
        <v>353</v>
      </c>
      <c r="F956" s="43" t="s">
        <v>638</v>
      </c>
      <c r="G956" s="6" t="str">
        <f ca="1">IFERROR(__xludf.DUMMYFUNCTION("CONCATENATE(B956,(VLOOKUP(C956,CATALOGOS!$F$2:$H$6,3,FALSE)),(VLOOKUP(V956,CATALOGOS!$J$2:$K$18,2,FALSE)),""-"",TO_TEXT(A956))"),"P21DG-0955")</f>
        <v>P21DG-0955</v>
      </c>
      <c r="H956" s="6" t="str">
        <f ca="1">IFERROR(__xludf.DUMMYFUNCTION("CONCATENATE($B956,(VLOOKUP($C956,CATALOGOS!$F$2:$H$6,3,FALSE)),(VLOOKUP($V956,CATALOGOS!$J$2:$K$18,2,FALSE)),""-"",TO_TEXT($A956))"),"P21DG-0955")</f>
        <v>P21DG-0955</v>
      </c>
      <c r="I956" s="6"/>
      <c r="J956" s="6" t="s">
        <v>6561</v>
      </c>
      <c r="K956" s="6" t="s">
        <v>6562</v>
      </c>
      <c r="L956" s="6" t="s">
        <v>6563</v>
      </c>
      <c r="M956" s="6" t="s">
        <v>6564</v>
      </c>
      <c r="N956" s="17"/>
      <c r="O956" s="17"/>
      <c r="P956" s="17" t="str">
        <f t="shared" si="3"/>
        <v>OK</v>
      </c>
      <c r="Q956" s="17" t="s">
        <v>6565</v>
      </c>
      <c r="R956" s="6" t="s">
        <v>6566</v>
      </c>
      <c r="S956" s="6" t="s">
        <v>6567</v>
      </c>
      <c r="T956" s="10" t="s">
        <v>6568</v>
      </c>
      <c r="U956" s="173" t="s">
        <v>38</v>
      </c>
      <c r="V956" s="11" t="s">
        <v>6054</v>
      </c>
      <c r="W956" s="20" t="s">
        <v>6546</v>
      </c>
      <c r="X956" s="20" t="s">
        <v>6546</v>
      </c>
      <c r="Y956" s="20"/>
      <c r="Z956" s="6"/>
      <c r="AA956" s="6"/>
      <c r="AB956" s="23"/>
      <c r="AC956" s="33"/>
    </row>
    <row r="957" spans="1:29" ht="15.75" customHeight="1">
      <c r="A957" s="10" t="s">
        <v>6569</v>
      </c>
      <c r="B957" s="10" t="s">
        <v>4410</v>
      </c>
      <c r="C957" s="61" t="s">
        <v>6054</v>
      </c>
      <c r="D957" s="12"/>
      <c r="E957" s="13" t="s">
        <v>151</v>
      </c>
      <c r="F957" s="6" t="s">
        <v>6570</v>
      </c>
      <c r="G957" s="6" t="str">
        <f ca="1">IFERROR(__xludf.DUMMYFUNCTION("CONCATENATE(B957,(VLOOKUP(C957,CATALOGOS!$F$2:$H$6,3,FALSE)),(VLOOKUP(V957,CATALOGOS!$J$2:$K$18,2,FALSE)),""-"",TO_TEXT(A957))"),"P21DG-0956")</f>
        <v>P21DG-0956</v>
      </c>
      <c r="H957" s="6" t="str">
        <f ca="1">IFERROR(__xludf.DUMMYFUNCTION("CONCATENATE($B957,(VLOOKUP($C957,CATALOGOS!$F$2:$H$6,3,FALSE)),(VLOOKUP($V957,CATALOGOS!$J$2:$K$18,2,FALSE)),""-"",TO_TEXT($A957))"),"P21DG-0956")</f>
        <v>P21DG-0956</v>
      </c>
      <c r="I957" s="6"/>
      <c r="J957" s="6" t="s">
        <v>6571</v>
      </c>
      <c r="K957" s="6" t="s">
        <v>6572</v>
      </c>
      <c r="L957" s="6" t="s">
        <v>6573</v>
      </c>
      <c r="M957" s="6" t="s">
        <v>6574</v>
      </c>
      <c r="N957" s="17"/>
      <c r="O957" s="17"/>
      <c r="P957" s="17" t="str">
        <f t="shared" si="3"/>
        <v>OK</v>
      </c>
      <c r="Q957" s="17" t="s">
        <v>6575</v>
      </c>
      <c r="R957" s="6" t="s">
        <v>6576</v>
      </c>
      <c r="S957" s="17" t="s">
        <v>6577</v>
      </c>
      <c r="T957" s="10" t="s">
        <v>6578</v>
      </c>
      <c r="U957" s="173" t="s">
        <v>38</v>
      </c>
      <c r="V957" s="11" t="s">
        <v>6054</v>
      </c>
      <c r="W957" s="20" t="s">
        <v>6546</v>
      </c>
      <c r="X957" s="20" t="s">
        <v>6546</v>
      </c>
      <c r="Y957" s="20"/>
      <c r="Z957" s="7"/>
      <c r="AA957" s="7"/>
      <c r="AB957" s="23"/>
      <c r="AC957" s="26"/>
    </row>
    <row r="958" spans="1:29" ht="15.75" customHeight="1">
      <c r="A958" s="10" t="s">
        <v>6579</v>
      </c>
      <c r="B958" s="10" t="s">
        <v>4410</v>
      </c>
      <c r="C958" s="61" t="s">
        <v>6054</v>
      </c>
      <c r="D958" s="38"/>
      <c r="E958" s="13" t="s">
        <v>199</v>
      </c>
      <c r="F958" s="6" t="s">
        <v>199</v>
      </c>
      <c r="G958" s="6" t="str">
        <f ca="1">IFERROR(__xludf.DUMMYFUNCTION("CONCATENATE(B958,(VLOOKUP(C958,CATALOGOS!$F$2:$H$6,3,FALSE)),(VLOOKUP(V958,CATALOGOS!$J$2:$K$18,2,FALSE)),""-"",TO_TEXT(A958))"),"P21DG-0957")</f>
        <v>P21DG-0957</v>
      </c>
      <c r="H958" s="6" t="str">
        <f ca="1">IFERROR(__xludf.DUMMYFUNCTION("CONCATENATE($B958,(VLOOKUP($C958,CATALOGOS!$F$2:$H$6,3,FALSE)),(VLOOKUP($V958,CATALOGOS!$J$2:$K$18,2,FALSE)),""-"",TO_TEXT($A958))"),"P21DG-0957")</f>
        <v>P21DG-0957</v>
      </c>
      <c r="I958" s="6"/>
      <c r="J958" s="6" t="s">
        <v>6580</v>
      </c>
      <c r="K958" s="6" t="s">
        <v>6581</v>
      </c>
      <c r="L958" s="6" t="s">
        <v>6582</v>
      </c>
      <c r="M958" s="6" t="s">
        <v>6583</v>
      </c>
      <c r="N958" s="17"/>
      <c r="O958" s="17"/>
      <c r="P958" s="17" t="str">
        <f t="shared" si="3"/>
        <v>OK</v>
      </c>
      <c r="Q958" s="17" t="s">
        <v>205</v>
      </c>
      <c r="R958" s="6" t="s">
        <v>794</v>
      </c>
      <c r="S958" s="46" t="s">
        <v>6584</v>
      </c>
      <c r="T958" s="17" t="s">
        <v>6585</v>
      </c>
      <c r="U958" s="173" t="s">
        <v>38</v>
      </c>
      <c r="V958" s="11" t="s">
        <v>6054</v>
      </c>
      <c r="W958" s="20" t="s">
        <v>6546</v>
      </c>
      <c r="X958" s="20" t="s">
        <v>6546</v>
      </c>
      <c r="Y958" s="20"/>
      <c r="Z958" s="7"/>
      <c r="AA958" s="7"/>
      <c r="AB958" s="26"/>
      <c r="AC958" s="26"/>
    </row>
    <row r="959" spans="1:29" ht="15.75" customHeight="1">
      <c r="A959" s="10" t="s">
        <v>6586</v>
      </c>
      <c r="B959" s="10" t="s">
        <v>4410</v>
      </c>
      <c r="C959" s="61" t="s">
        <v>6054</v>
      </c>
      <c r="D959" s="12"/>
      <c r="E959" s="13" t="s">
        <v>5904</v>
      </c>
      <c r="F959" s="6" t="s">
        <v>6587</v>
      </c>
      <c r="G959" s="6" t="str">
        <f ca="1">IFERROR(__xludf.DUMMYFUNCTION("CONCATENATE(B959,(VLOOKUP(C959,CATALOGOS!$F$2:$H$6,3,FALSE)),(VLOOKUP(V959,CATALOGOS!$J$2:$K$18,2,FALSE)),""-"",TO_TEXT(A959))"),"P21DG-0958")</f>
        <v>P21DG-0958</v>
      </c>
      <c r="H959" s="6" t="str">
        <f ca="1">IFERROR(__xludf.DUMMYFUNCTION("CONCATENATE($B959,(VLOOKUP($C959,CATALOGOS!$F$2:$H$6,3,FALSE)),(VLOOKUP($V959,CATALOGOS!$J$2:$K$18,2,FALSE)),""-"",TO_TEXT($A959))"),"P21DG-0958")</f>
        <v>P21DG-0958</v>
      </c>
      <c r="I959" s="6"/>
      <c r="J959" s="6" t="s">
        <v>6588</v>
      </c>
      <c r="K959" s="6" t="s">
        <v>6589</v>
      </c>
      <c r="L959" s="6" t="s">
        <v>6590</v>
      </c>
      <c r="M959" s="6" t="s">
        <v>6591</v>
      </c>
      <c r="N959" s="17"/>
      <c r="O959" s="17"/>
      <c r="P959" s="17" t="str">
        <f t="shared" si="3"/>
        <v>OK</v>
      </c>
      <c r="Q959" s="17" t="s">
        <v>5918</v>
      </c>
      <c r="R959" s="6" t="s">
        <v>6592</v>
      </c>
      <c r="S959" s="17" t="s">
        <v>36</v>
      </c>
      <c r="T959" s="10" t="s">
        <v>6593</v>
      </c>
      <c r="U959" s="173" t="s">
        <v>38</v>
      </c>
      <c r="V959" s="11" t="s">
        <v>6054</v>
      </c>
      <c r="W959" s="22" t="s">
        <v>6594</v>
      </c>
      <c r="X959" s="22" t="s">
        <v>6594</v>
      </c>
      <c r="Y959" s="22"/>
      <c r="Z959" s="7"/>
      <c r="AA959" s="7"/>
      <c r="AB959" s="23"/>
      <c r="AC959" s="26"/>
    </row>
    <row r="960" spans="1:29" ht="15.75" customHeight="1">
      <c r="A960" s="10" t="s">
        <v>6595</v>
      </c>
      <c r="B960" s="10" t="s">
        <v>4410</v>
      </c>
      <c r="C960" s="61" t="s">
        <v>6054</v>
      </c>
      <c r="D960" s="12"/>
      <c r="E960" s="13" t="s">
        <v>501</v>
      </c>
      <c r="F960" s="6" t="s">
        <v>6596</v>
      </c>
      <c r="G960" s="6" t="str">
        <f ca="1">IFERROR(__xludf.DUMMYFUNCTION("CONCATENATE(B960,(VLOOKUP(C960,CATALOGOS!$F$2:$H$6,3,FALSE)),(VLOOKUP(V960,CATALOGOS!$J$2:$K$18,2,FALSE)),""-"",TO_TEXT(A960))"),"P21DG-0959")</f>
        <v>P21DG-0959</v>
      </c>
      <c r="H960" s="6" t="str">
        <f ca="1">IFERROR(__xludf.DUMMYFUNCTION("CONCATENATE($B960,(VLOOKUP($C960,CATALOGOS!$F$2:$H$6,3,FALSE)),(VLOOKUP($V960,CATALOGOS!$J$2:$K$18,2,FALSE)),""-"",TO_TEXT($A960))"),"P21DG-0959")</f>
        <v>P21DG-0959</v>
      </c>
      <c r="I960" s="6"/>
      <c r="J960" s="6" t="s">
        <v>6597</v>
      </c>
      <c r="K960" s="6" t="s">
        <v>6598</v>
      </c>
      <c r="L960" s="6" t="s">
        <v>6599</v>
      </c>
      <c r="M960" s="6" t="s">
        <v>6600</v>
      </c>
      <c r="N960" s="17"/>
      <c r="O960" s="17"/>
      <c r="P960" s="17" t="str">
        <f t="shared" si="3"/>
        <v>OK</v>
      </c>
      <c r="Q960" s="17" t="s">
        <v>35</v>
      </c>
      <c r="R960" s="6" t="s">
        <v>35</v>
      </c>
      <c r="S960" s="17" t="s">
        <v>36</v>
      </c>
      <c r="T960" s="17" t="s">
        <v>6601</v>
      </c>
      <c r="U960" s="173" t="s">
        <v>38</v>
      </c>
      <c r="V960" s="11" t="s">
        <v>6054</v>
      </c>
      <c r="W960" s="22" t="s">
        <v>6594</v>
      </c>
      <c r="X960" s="22" t="s">
        <v>6594</v>
      </c>
      <c r="Y960" s="22"/>
      <c r="Z960" s="7"/>
      <c r="AA960" s="7"/>
      <c r="AB960" s="23"/>
      <c r="AC960" s="26"/>
    </row>
    <row r="961" spans="1:29" ht="15.75" customHeight="1">
      <c r="A961" s="10" t="s">
        <v>6602</v>
      </c>
      <c r="B961" s="10" t="s">
        <v>4410</v>
      </c>
      <c r="C961" s="61" t="s">
        <v>6054</v>
      </c>
      <c r="D961" s="12"/>
      <c r="E961" s="13" t="s">
        <v>378</v>
      </c>
      <c r="F961" s="6" t="s">
        <v>878</v>
      </c>
      <c r="G961" s="6" t="str">
        <f ca="1">IFERROR(__xludf.DUMMYFUNCTION("CONCATENATE(B961,(VLOOKUP(C961,CATALOGOS!$F$2:$H$6,3,FALSE)),(VLOOKUP(V961,CATALOGOS!$J$2:$K$18,2,FALSE)),""-"",TO_TEXT(A961))"),"P21DG-0960")</f>
        <v>P21DG-0960</v>
      </c>
      <c r="H961" s="6" t="str">
        <f ca="1">IFERROR(__xludf.DUMMYFUNCTION("CONCATENATE($B961,(VLOOKUP($C961,CATALOGOS!$F$2:$H$6,3,FALSE)),(VLOOKUP($V961,CATALOGOS!$J$2:$K$18,2,FALSE)),""-"",TO_TEXT($A961))"),"P21DG-0960")</f>
        <v>P21DG-0960</v>
      </c>
      <c r="I961" s="6"/>
      <c r="J961" s="6" t="s">
        <v>6603</v>
      </c>
      <c r="K961" s="6" t="s">
        <v>6604</v>
      </c>
      <c r="L961" s="6" t="s">
        <v>6605</v>
      </c>
      <c r="M961" s="6" t="s">
        <v>141</v>
      </c>
      <c r="N961" s="17"/>
      <c r="O961" s="17"/>
      <c r="P961" s="17" t="str">
        <f t="shared" si="3"/>
        <v>REPETIDO</v>
      </c>
      <c r="Q961" s="17" t="s">
        <v>35</v>
      </c>
      <c r="R961" s="32" t="s">
        <v>35</v>
      </c>
      <c r="S961" s="17" t="s">
        <v>36</v>
      </c>
      <c r="T961" s="17" t="s">
        <v>6606</v>
      </c>
      <c r="U961" s="173" t="s">
        <v>38</v>
      </c>
      <c r="V961" s="11" t="s">
        <v>6054</v>
      </c>
      <c r="W961" s="22" t="s">
        <v>6594</v>
      </c>
      <c r="X961" s="22" t="s">
        <v>6594</v>
      </c>
      <c r="Y961" s="22"/>
      <c r="Z961" s="7"/>
      <c r="AA961" s="7"/>
      <c r="AB961" s="23"/>
      <c r="AC961" s="26"/>
    </row>
    <row r="962" spans="1:29" ht="15.75" customHeight="1">
      <c r="A962" s="10" t="s">
        <v>6607</v>
      </c>
      <c r="B962" s="10" t="s">
        <v>4410</v>
      </c>
      <c r="C962" s="61" t="s">
        <v>6054</v>
      </c>
      <c r="D962" s="12"/>
      <c r="E962" s="13" t="s">
        <v>5778</v>
      </c>
      <c r="F962" s="43" t="s">
        <v>6608</v>
      </c>
      <c r="G962" s="6" t="str">
        <f ca="1">IFERROR(__xludf.DUMMYFUNCTION("CONCATENATE(B962,(VLOOKUP(C962,CATALOGOS!$F$2:$H$6,3,FALSE)),(VLOOKUP(V962,CATALOGOS!$J$2:$K$18,2,FALSE)),""-"",TO_TEXT(A962))"),"P21DG-0961")</f>
        <v>P21DG-0961</v>
      </c>
      <c r="H962" s="6" t="str">
        <f ca="1">IFERROR(__xludf.DUMMYFUNCTION("CONCATENATE($B962,(VLOOKUP($C962,CATALOGOS!$F$2:$H$6,3,FALSE)),(VLOOKUP($V962,CATALOGOS!$J$2:$K$18,2,FALSE)),""-"",TO_TEXT($A962))"),"P21DG-0961")</f>
        <v>P21DG-0961</v>
      </c>
      <c r="I962" s="6"/>
      <c r="J962" s="6" t="s">
        <v>6609</v>
      </c>
      <c r="K962" s="6" t="s">
        <v>6610</v>
      </c>
      <c r="L962" s="6" t="s">
        <v>6611</v>
      </c>
      <c r="M962" s="6" t="s">
        <v>6612</v>
      </c>
      <c r="N962" s="17"/>
      <c r="O962" s="17"/>
      <c r="P962" s="17" t="str">
        <f t="shared" si="3"/>
        <v>OK</v>
      </c>
      <c r="Q962" s="17" t="s">
        <v>4035</v>
      </c>
      <c r="R962" s="6" t="s">
        <v>6613</v>
      </c>
      <c r="S962" s="17" t="s">
        <v>6614</v>
      </c>
      <c r="T962" s="10" t="s">
        <v>6615</v>
      </c>
      <c r="U962" s="173" t="s">
        <v>38</v>
      </c>
      <c r="V962" s="11" t="s">
        <v>6054</v>
      </c>
      <c r="W962" s="22" t="s">
        <v>6594</v>
      </c>
      <c r="X962" s="22" t="s">
        <v>6594</v>
      </c>
      <c r="Y962" s="22"/>
      <c r="Z962" s="7"/>
      <c r="AA962" s="7"/>
      <c r="AB962" s="23"/>
      <c r="AC962" s="26"/>
    </row>
    <row r="963" spans="1:29" ht="15.75" customHeight="1">
      <c r="A963" s="10" t="s">
        <v>6616</v>
      </c>
      <c r="B963" s="10" t="s">
        <v>4410</v>
      </c>
      <c r="C963" s="61" t="s">
        <v>6054</v>
      </c>
      <c r="D963" s="12"/>
      <c r="E963" s="13" t="s">
        <v>93</v>
      </c>
      <c r="F963" s="6" t="s">
        <v>6617</v>
      </c>
      <c r="G963" s="6" t="str">
        <f ca="1">IFERROR(__xludf.DUMMYFUNCTION("CONCATENATE(B963,(VLOOKUP(C963,CATALOGOS!$F$2:$H$6,3,FALSE)),(VLOOKUP(V963,CATALOGOS!$J$2:$K$18,2,FALSE)),""-"",TO_TEXT(A963))"),"P21DG-0962")</f>
        <v>P21DG-0962</v>
      </c>
      <c r="H963" s="6" t="str">
        <f ca="1">IFERROR(__xludf.DUMMYFUNCTION("CONCATENATE($B963,(VLOOKUP($C963,CATALOGOS!$F$2:$H$6,3,FALSE)),(VLOOKUP($V963,CATALOGOS!$J$2:$K$18,2,FALSE)),""-"",TO_TEXT($A963))"),"P21DG-0962")</f>
        <v>P21DG-0962</v>
      </c>
      <c r="I963" s="6"/>
      <c r="J963" s="6" t="s">
        <v>6618</v>
      </c>
      <c r="K963" s="6" t="s">
        <v>6619</v>
      </c>
      <c r="L963" s="6" t="s">
        <v>6620</v>
      </c>
      <c r="M963" s="6" t="s">
        <v>6621</v>
      </c>
      <c r="N963" s="17"/>
      <c r="O963" s="17"/>
      <c r="P963" s="17" t="str">
        <f t="shared" si="3"/>
        <v>OK</v>
      </c>
      <c r="Q963" s="17" t="s">
        <v>35</v>
      </c>
      <c r="R963" s="6" t="s">
        <v>35</v>
      </c>
      <c r="S963" s="17" t="s">
        <v>36</v>
      </c>
      <c r="T963" s="17" t="s">
        <v>6622</v>
      </c>
      <c r="U963" s="173" t="s">
        <v>38</v>
      </c>
      <c r="V963" s="11" t="s">
        <v>6054</v>
      </c>
      <c r="W963" s="22" t="s">
        <v>6594</v>
      </c>
      <c r="X963" s="22" t="s">
        <v>6594</v>
      </c>
      <c r="Y963" s="22"/>
      <c r="Z963" s="7"/>
      <c r="AA963" s="7"/>
      <c r="AB963" s="23"/>
      <c r="AC963" s="26"/>
    </row>
    <row r="964" spans="1:29" ht="15.75" customHeight="1">
      <c r="A964" s="10" t="s">
        <v>6623</v>
      </c>
      <c r="B964" s="10" t="s">
        <v>4410</v>
      </c>
      <c r="C964" s="61" t="s">
        <v>6054</v>
      </c>
      <c r="D964" s="12"/>
      <c r="E964" s="13" t="s">
        <v>93</v>
      </c>
      <c r="F964" s="6" t="s">
        <v>6617</v>
      </c>
      <c r="G964" s="6" t="str">
        <f ca="1">IFERROR(__xludf.DUMMYFUNCTION("CONCATENATE(B964,(VLOOKUP(C964,CATALOGOS!$F$2:$H$6,3,FALSE)),(VLOOKUP(V964,CATALOGOS!$J$2:$K$18,2,FALSE)),""-"",TO_TEXT(A964))"),"P21DG-0963")</f>
        <v>P21DG-0963</v>
      </c>
      <c r="H964" s="6" t="str">
        <f ca="1">IFERROR(__xludf.DUMMYFUNCTION("CONCATENATE($B964,(VLOOKUP($C964,CATALOGOS!$F$2:$H$6,3,FALSE)),(VLOOKUP($V964,CATALOGOS!$J$2:$K$18,2,FALSE)),""-"",TO_TEXT($A964))"),"P21DG-0963")</f>
        <v>P21DG-0963</v>
      </c>
      <c r="I964" s="6"/>
      <c r="J964" s="6" t="s">
        <v>6624</v>
      </c>
      <c r="K964" s="6" t="s">
        <v>6625</v>
      </c>
      <c r="L964" s="6" t="s">
        <v>6626</v>
      </c>
      <c r="M964" s="6" t="s">
        <v>6627</v>
      </c>
      <c r="N964" s="17"/>
      <c r="O964" s="17"/>
      <c r="P964" s="17" t="str">
        <f t="shared" si="3"/>
        <v>OK</v>
      </c>
      <c r="Q964" s="17" t="s">
        <v>35</v>
      </c>
      <c r="R964" s="6" t="s">
        <v>35</v>
      </c>
      <c r="S964" s="17" t="s">
        <v>36</v>
      </c>
      <c r="T964" s="17" t="s">
        <v>6628</v>
      </c>
      <c r="U964" s="173" t="s">
        <v>38</v>
      </c>
      <c r="V964" s="11" t="s">
        <v>6054</v>
      </c>
      <c r="W964" s="22" t="s">
        <v>6594</v>
      </c>
      <c r="X964" s="22" t="s">
        <v>6594</v>
      </c>
      <c r="Y964" s="22"/>
      <c r="Z964" s="7"/>
      <c r="AA964" s="7"/>
      <c r="AB964" s="23"/>
      <c r="AC964" s="26"/>
    </row>
    <row r="965" spans="1:29" ht="15.75" customHeight="1">
      <c r="A965" s="10" t="s">
        <v>6629</v>
      </c>
      <c r="B965" s="10" t="s">
        <v>4410</v>
      </c>
      <c r="C965" s="61" t="s">
        <v>6054</v>
      </c>
      <c r="D965" s="12"/>
      <c r="E965" s="13" t="s">
        <v>93</v>
      </c>
      <c r="F965" s="6" t="s">
        <v>6630</v>
      </c>
      <c r="G965" s="6" t="str">
        <f ca="1">IFERROR(__xludf.DUMMYFUNCTION("CONCATENATE(B965,(VLOOKUP(C965,CATALOGOS!$F$2:$H$6,3,FALSE)),(VLOOKUP(V965,CATALOGOS!$J$2:$K$18,2,FALSE)),""-"",TO_TEXT(A965))"),"P21DG-0964")</f>
        <v>P21DG-0964</v>
      </c>
      <c r="H965" s="6" t="str">
        <f ca="1">IFERROR(__xludf.DUMMYFUNCTION("CONCATENATE($B965,(VLOOKUP($C965,CATALOGOS!$F$2:$H$6,3,FALSE)),(VLOOKUP($V965,CATALOGOS!$J$2:$K$18,2,FALSE)),""-"",TO_TEXT($A965))"),"P21DG-0964")</f>
        <v>P21DG-0964</v>
      </c>
      <c r="I965" s="6"/>
      <c r="J965" s="6" t="s">
        <v>6631</v>
      </c>
      <c r="K965" s="6" t="s">
        <v>6632</v>
      </c>
      <c r="L965" s="6" t="s">
        <v>6633</v>
      </c>
      <c r="M965" s="6" t="s">
        <v>6634</v>
      </c>
      <c r="N965" s="17"/>
      <c r="O965" s="17"/>
      <c r="P965" s="17" t="str">
        <f t="shared" si="3"/>
        <v>OK</v>
      </c>
      <c r="Q965" s="17" t="s">
        <v>35</v>
      </c>
      <c r="R965" s="6" t="s">
        <v>35</v>
      </c>
      <c r="S965" s="17" t="s">
        <v>36</v>
      </c>
      <c r="T965" s="17" t="s">
        <v>85</v>
      </c>
      <c r="U965" s="173" t="s">
        <v>38</v>
      </c>
      <c r="V965" s="11" t="s">
        <v>6054</v>
      </c>
      <c r="W965" s="22" t="s">
        <v>6594</v>
      </c>
      <c r="X965" s="22" t="s">
        <v>6594</v>
      </c>
      <c r="Y965" s="22"/>
      <c r="Z965" s="7"/>
      <c r="AA965" s="7"/>
      <c r="AB965" s="23"/>
      <c r="AC965" s="26"/>
    </row>
    <row r="966" spans="1:29" ht="15.75" customHeight="1">
      <c r="A966" s="10" t="s">
        <v>6635</v>
      </c>
      <c r="B966" s="10" t="s">
        <v>4410</v>
      </c>
      <c r="C966" s="61" t="s">
        <v>6054</v>
      </c>
      <c r="D966" s="38"/>
      <c r="E966" s="13" t="s">
        <v>387</v>
      </c>
      <c r="F966" s="43" t="s">
        <v>387</v>
      </c>
      <c r="G966" s="6" t="str">
        <f ca="1">IFERROR(__xludf.DUMMYFUNCTION("CONCATENATE(B966,(VLOOKUP(C966,CATALOGOS!$F$2:$H$6,3,FALSE)),(VLOOKUP(V966,CATALOGOS!$J$2:$K$18,2,FALSE)),""-"",TO_TEXT(A966))"),"P21DG-0965")</f>
        <v>P21DG-0965</v>
      </c>
      <c r="H966" s="6" t="str">
        <f ca="1">IFERROR(__xludf.DUMMYFUNCTION("CONCATENATE($B966,(VLOOKUP($C966,CATALOGOS!$F$2:$H$6,3,FALSE)),(VLOOKUP($V966,CATALOGOS!$J$2:$K$18,2,FALSE)),""-"",TO_TEXT($A966))"),"P21DG-0965")</f>
        <v>P21DG-0965</v>
      </c>
      <c r="I966" s="6"/>
      <c r="J966" s="6" t="s">
        <v>6636</v>
      </c>
      <c r="K966" s="6" t="s">
        <v>6637</v>
      </c>
      <c r="L966" s="6" t="s">
        <v>6638</v>
      </c>
      <c r="M966" s="43" t="s">
        <v>6639</v>
      </c>
      <c r="N966" s="17"/>
      <c r="O966" s="17"/>
      <c r="P966" s="17" t="str">
        <f t="shared" si="3"/>
        <v>OK</v>
      </c>
      <c r="Q966" s="17" t="s">
        <v>5597</v>
      </c>
      <c r="R966" s="6" t="s">
        <v>5598</v>
      </c>
      <c r="S966" s="46" t="s">
        <v>6640</v>
      </c>
      <c r="T966" s="17" t="s">
        <v>6641</v>
      </c>
      <c r="U966" s="173" t="s">
        <v>38</v>
      </c>
      <c r="V966" s="11" t="s">
        <v>6054</v>
      </c>
      <c r="W966" s="22" t="s">
        <v>6594</v>
      </c>
      <c r="X966" s="22" t="s">
        <v>6594</v>
      </c>
      <c r="Y966" s="22"/>
      <c r="Z966" s="7"/>
      <c r="AA966" s="7"/>
      <c r="AB966" s="26"/>
      <c r="AC966" s="26"/>
    </row>
    <row r="967" spans="1:29" ht="15.75" customHeight="1">
      <c r="A967" s="10" t="s">
        <v>6642</v>
      </c>
      <c r="B967" s="10" t="s">
        <v>4410</v>
      </c>
      <c r="C967" s="61" t="s">
        <v>6054</v>
      </c>
      <c r="D967" s="12"/>
      <c r="E967" s="13" t="s">
        <v>93</v>
      </c>
      <c r="F967" s="6" t="s">
        <v>6146</v>
      </c>
      <c r="G967" s="6" t="str">
        <f ca="1">IFERROR(__xludf.DUMMYFUNCTION("CONCATENATE(B967,(VLOOKUP(C967,CATALOGOS!$F$2:$H$6,3,FALSE)),(VLOOKUP(V967,CATALOGOS!$J$2:$K$18,2,FALSE)),""-"",TO_TEXT(A967))"),"P21DG-0966")</f>
        <v>P21DG-0966</v>
      </c>
      <c r="H967" s="6" t="str">
        <f ca="1">IFERROR(__xludf.DUMMYFUNCTION("CONCATENATE($B967,(VLOOKUP($C967,CATALOGOS!$F$2:$H$6,3,FALSE)),(VLOOKUP($V967,CATALOGOS!$J$2:$K$18,2,FALSE)),""-"",TO_TEXT($A967))"),"P21DG-0966")</f>
        <v>P21DG-0966</v>
      </c>
      <c r="I967" s="6"/>
      <c r="J967" s="6" t="s">
        <v>6643</v>
      </c>
      <c r="K967" s="6" t="s">
        <v>6644</v>
      </c>
      <c r="L967" s="6" t="s">
        <v>6645</v>
      </c>
      <c r="M967" s="6" t="s">
        <v>6646</v>
      </c>
      <c r="N967" s="17"/>
      <c r="O967" s="17"/>
      <c r="P967" s="17" t="str">
        <f t="shared" si="3"/>
        <v>OK</v>
      </c>
      <c r="Q967" s="17" t="s">
        <v>35</v>
      </c>
      <c r="R967" s="6" t="s">
        <v>35</v>
      </c>
      <c r="S967" s="17" t="s">
        <v>36</v>
      </c>
      <c r="T967" s="17" t="s">
        <v>6647</v>
      </c>
      <c r="U967" s="173" t="s">
        <v>38</v>
      </c>
      <c r="V967" s="11" t="s">
        <v>6054</v>
      </c>
      <c r="W967" s="22" t="s">
        <v>6648</v>
      </c>
      <c r="X967" s="22" t="s">
        <v>6648</v>
      </c>
      <c r="Y967" s="22"/>
      <c r="Z967" s="7"/>
      <c r="AA967" s="7"/>
      <c r="AB967" s="23"/>
      <c r="AC967" s="26"/>
    </row>
    <row r="968" spans="1:29" ht="15.75" customHeight="1">
      <c r="A968" s="10" t="s">
        <v>6649</v>
      </c>
      <c r="B968" s="10" t="s">
        <v>4410</v>
      </c>
      <c r="C968" s="61" t="s">
        <v>6054</v>
      </c>
      <c r="D968" s="12"/>
      <c r="E968" s="13" t="s">
        <v>93</v>
      </c>
      <c r="F968" s="6" t="s">
        <v>6146</v>
      </c>
      <c r="G968" s="6" t="str">
        <f ca="1">IFERROR(__xludf.DUMMYFUNCTION("CONCATENATE(B968,(VLOOKUP(C968,CATALOGOS!$F$2:$H$6,3,FALSE)),(VLOOKUP(V968,CATALOGOS!$J$2:$K$18,2,FALSE)),""-"",TO_TEXT(A968))"),"P21DG-0967")</f>
        <v>P21DG-0967</v>
      </c>
      <c r="H968" s="6" t="str">
        <f ca="1">IFERROR(__xludf.DUMMYFUNCTION("CONCATENATE($B968,(VLOOKUP($C968,CATALOGOS!$F$2:$H$6,3,FALSE)),(VLOOKUP($V968,CATALOGOS!$J$2:$K$18,2,FALSE)),""-"",TO_TEXT($A968))"),"P21DG-0967")</f>
        <v>P21DG-0967</v>
      </c>
      <c r="I968" s="6"/>
      <c r="J968" s="6" t="s">
        <v>6650</v>
      </c>
      <c r="K968" s="6" t="s">
        <v>6651</v>
      </c>
      <c r="L968" s="6" t="s">
        <v>6652</v>
      </c>
      <c r="M968" s="6" t="s">
        <v>6653</v>
      </c>
      <c r="N968" s="17"/>
      <c r="O968" s="17"/>
      <c r="P968" s="17" t="str">
        <f t="shared" si="3"/>
        <v>OK</v>
      </c>
      <c r="Q968" s="17" t="s">
        <v>35</v>
      </c>
      <c r="R968" s="6" t="s">
        <v>35</v>
      </c>
      <c r="S968" s="17" t="s">
        <v>36</v>
      </c>
      <c r="T968" s="17" t="s">
        <v>6654</v>
      </c>
      <c r="U968" s="173" t="s">
        <v>38</v>
      </c>
      <c r="V968" s="11" t="s">
        <v>6054</v>
      </c>
      <c r="W968" s="22" t="s">
        <v>6648</v>
      </c>
      <c r="X968" s="22" t="s">
        <v>6648</v>
      </c>
      <c r="Y968" s="22"/>
      <c r="Z968" s="36"/>
      <c r="AA968" s="36"/>
      <c r="AB968" s="23"/>
      <c r="AC968" s="33"/>
    </row>
    <row r="969" spans="1:29" ht="15.75" customHeight="1">
      <c r="A969" s="10" t="s">
        <v>6655</v>
      </c>
      <c r="B969" s="10" t="s">
        <v>4410</v>
      </c>
      <c r="C969" s="61" t="s">
        <v>6054</v>
      </c>
      <c r="D969" s="12"/>
      <c r="E969" s="13" t="s">
        <v>93</v>
      </c>
      <c r="F969" s="6" t="s">
        <v>6656</v>
      </c>
      <c r="G969" s="6" t="str">
        <f ca="1">IFERROR(__xludf.DUMMYFUNCTION("CONCATENATE(B969,(VLOOKUP(C969,CATALOGOS!$F$2:$H$6,3,FALSE)),(VLOOKUP(V969,CATALOGOS!$J$2:$K$18,2,FALSE)),""-"",TO_TEXT(A969))"),"P21DG-0968")</f>
        <v>P21DG-0968</v>
      </c>
      <c r="H969" s="6" t="str">
        <f ca="1">IFERROR(__xludf.DUMMYFUNCTION("CONCATENATE($B969,(VLOOKUP($C969,CATALOGOS!$F$2:$H$6,3,FALSE)),(VLOOKUP($V969,CATALOGOS!$J$2:$K$18,2,FALSE)),""-"",TO_TEXT($A969))"),"P21DG-0968")</f>
        <v>P21DG-0968</v>
      </c>
      <c r="I969" s="6"/>
      <c r="J969" s="6" t="s">
        <v>6657</v>
      </c>
      <c r="K969" s="6" t="s">
        <v>6658</v>
      </c>
      <c r="L969" s="6" t="s">
        <v>6659</v>
      </c>
      <c r="M969" s="6" t="s">
        <v>6660</v>
      </c>
      <c r="N969" s="17"/>
      <c r="O969" s="17"/>
      <c r="P969" s="17" t="str">
        <f t="shared" si="3"/>
        <v>OK</v>
      </c>
      <c r="Q969" s="17" t="s">
        <v>35</v>
      </c>
      <c r="R969" s="6" t="s">
        <v>35</v>
      </c>
      <c r="S969" s="17" t="s">
        <v>36</v>
      </c>
      <c r="T969" s="17" t="s">
        <v>6661</v>
      </c>
      <c r="U969" s="173" t="s">
        <v>38</v>
      </c>
      <c r="V969" s="11" t="s">
        <v>6054</v>
      </c>
      <c r="W969" s="22" t="s">
        <v>6648</v>
      </c>
      <c r="X969" s="22" t="s">
        <v>6648</v>
      </c>
      <c r="Y969" s="22"/>
      <c r="Z969" s="7"/>
      <c r="AA969" s="7"/>
      <c r="AB969" s="23"/>
      <c r="AC969" s="26"/>
    </row>
    <row r="970" spans="1:29" ht="15.75" customHeight="1">
      <c r="A970" s="10" t="s">
        <v>6662</v>
      </c>
      <c r="B970" s="10" t="s">
        <v>4410</v>
      </c>
      <c r="C970" s="61" t="s">
        <v>6054</v>
      </c>
      <c r="D970" s="12"/>
      <c r="E970" s="13" t="s">
        <v>93</v>
      </c>
      <c r="F970" s="6" t="s">
        <v>6663</v>
      </c>
      <c r="G970" s="6" t="str">
        <f ca="1">IFERROR(__xludf.DUMMYFUNCTION("CONCATENATE(B970,(VLOOKUP(C970,CATALOGOS!$F$2:$H$6,3,FALSE)),(VLOOKUP(V970,CATALOGOS!$J$2:$K$18,2,FALSE)),""-"",TO_TEXT(A970))"),"P21DG-0969")</f>
        <v>P21DG-0969</v>
      </c>
      <c r="H970" s="6" t="str">
        <f ca="1">IFERROR(__xludf.DUMMYFUNCTION("CONCATENATE($B970,(VLOOKUP($C970,CATALOGOS!$F$2:$H$6,3,FALSE)),(VLOOKUP($V970,CATALOGOS!$J$2:$K$18,2,FALSE)),""-"",TO_TEXT($A970))"),"P21DG-0969")</f>
        <v>P21DG-0969</v>
      </c>
      <c r="I970" s="6"/>
      <c r="J970" s="6" t="s">
        <v>6664</v>
      </c>
      <c r="K970" s="6" t="s">
        <v>6665</v>
      </c>
      <c r="L970" s="6" t="s">
        <v>6666</v>
      </c>
      <c r="M970" s="6" t="s">
        <v>6667</v>
      </c>
      <c r="N970" s="17"/>
      <c r="O970" s="17"/>
      <c r="P970" s="17" t="str">
        <f t="shared" si="3"/>
        <v>OK</v>
      </c>
      <c r="Q970" s="17" t="s">
        <v>35</v>
      </c>
      <c r="R970" s="6" t="s">
        <v>35</v>
      </c>
      <c r="S970" s="17" t="s">
        <v>36</v>
      </c>
      <c r="T970" s="17" t="s">
        <v>6668</v>
      </c>
      <c r="U970" s="173" t="s">
        <v>38</v>
      </c>
      <c r="V970" s="11" t="s">
        <v>6054</v>
      </c>
      <c r="W970" s="22" t="s">
        <v>6648</v>
      </c>
      <c r="X970" s="22" t="s">
        <v>6648</v>
      </c>
      <c r="Y970" s="22"/>
      <c r="Z970" s="36"/>
      <c r="AA970" s="36"/>
      <c r="AB970" s="23"/>
      <c r="AC970" s="33"/>
    </row>
    <row r="971" spans="1:29" ht="15.75" customHeight="1">
      <c r="A971" s="10" t="s">
        <v>6669</v>
      </c>
      <c r="B971" s="10" t="s">
        <v>4410</v>
      </c>
      <c r="C971" s="61" t="s">
        <v>6054</v>
      </c>
      <c r="D971" s="12"/>
      <c r="E971" s="13" t="s">
        <v>6092</v>
      </c>
      <c r="F971" s="43" t="s">
        <v>6670</v>
      </c>
      <c r="G971" s="6" t="str">
        <f ca="1">IFERROR(__xludf.DUMMYFUNCTION("CONCATENATE(B971,(VLOOKUP(C971,CATALOGOS!$F$2:$H$6,3,FALSE)),(VLOOKUP(V971,CATALOGOS!$J$2:$K$18,2,FALSE)),""-"",TO_TEXT(A971))"),"P21DG-0970")</f>
        <v>P21DG-0970</v>
      </c>
      <c r="H971" s="6" t="str">
        <f ca="1">IFERROR(__xludf.DUMMYFUNCTION("CONCATENATE($B971,(VLOOKUP($C971,CATALOGOS!$F$2:$H$6,3,FALSE)),(VLOOKUP($V971,CATALOGOS!$J$2:$K$18,2,FALSE)),""-"",TO_TEXT($A971))"),"P21DG-0970")</f>
        <v>P21DG-0970</v>
      </c>
      <c r="I971" s="6"/>
      <c r="J971" s="6" t="s">
        <v>6671</v>
      </c>
      <c r="K971" s="6" t="s">
        <v>6672</v>
      </c>
      <c r="L971" s="6" t="s">
        <v>6673</v>
      </c>
      <c r="M971" s="6" t="s">
        <v>6674</v>
      </c>
      <c r="N971" s="17"/>
      <c r="O971" s="17"/>
      <c r="P971" s="17" t="str">
        <f t="shared" si="3"/>
        <v>OK</v>
      </c>
      <c r="Q971" s="17" t="s">
        <v>35</v>
      </c>
      <c r="R971" s="6" t="s">
        <v>35</v>
      </c>
      <c r="S971" s="17" t="s">
        <v>36</v>
      </c>
      <c r="T971" s="17" t="s">
        <v>6675</v>
      </c>
      <c r="U971" s="173" t="s">
        <v>38</v>
      </c>
      <c r="V971" s="11" t="s">
        <v>6054</v>
      </c>
      <c r="W971" s="22" t="s">
        <v>6648</v>
      </c>
      <c r="X971" s="22" t="s">
        <v>6648</v>
      </c>
      <c r="Y971" s="22"/>
      <c r="Z971" s="7"/>
      <c r="AA971" s="7"/>
      <c r="AB971" s="23"/>
      <c r="AC971" s="26"/>
    </row>
    <row r="972" spans="1:29" ht="15.75" customHeight="1">
      <c r="A972" s="10" t="s">
        <v>6676</v>
      </c>
      <c r="B972" s="10" t="s">
        <v>4410</v>
      </c>
      <c r="C972" s="61" t="s">
        <v>6054</v>
      </c>
      <c r="D972" s="38"/>
      <c r="E972" s="13" t="s">
        <v>43</v>
      </c>
      <c r="F972" s="43" t="s">
        <v>4929</v>
      </c>
      <c r="G972" s="15" t="str">
        <f ca="1">IFERROR(__xludf.DUMMYFUNCTION("CONCATENATE(B972,(VLOOKUP(C972,CATALOGOS!$F$2:$H$6,3,FALSE)),(VLOOKUP(V972,CATALOGOS!$J$2:$K$18,2,FALSE)),""-"",TO_TEXT(A972))"),"P21DG-0971")</f>
        <v>P21DG-0971</v>
      </c>
      <c r="H972" s="6" t="str">
        <f ca="1">IFERROR(__xludf.DUMMYFUNCTION("CONCATENATE($B972,(VLOOKUP($C972,CATALOGOS!$F$2:$H$6,3,FALSE)),(VLOOKUP($V972,CATALOGOS!$J$2:$K$18,2,FALSE)),""-"",TO_TEXT($A972))"),"P21DG-0971")</f>
        <v>P21DG-0971</v>
      </c>
      <c r="I972" s="6"/>
      <c r="J972" s="6" t="s">
        <v>6677</v>
      </c>
      <c r="K972" s="6" t="s">
        <v>6678</v>
      </c>
      <c r="L972" s="6" t="s">
        <v>6679</v>
      </c>
      <c r="M972" s="6" t="s">
        <v>6680</v>
      </c>
      <c r="N972" s="17"/>
      <c r="O972" s="17"/>
      <c r="P972" s="17" t="str">
        <f t="shared" si="3"/>
        <v>OK</v>
      </c>
      <c r="Q972" s="17" t="s">
        <v>406</v>
      </c>
      <c r="R972" s="6" t="s">
        <v>6681</v>
      </c>
      <c r="S972" s="46" t="s">
        <v>6682</v>
      </c>
      <c r="T972" s="17" t="s">
        <v>6683</v>
      </c>
      <c r="U972" s="173" t="s">
        <v>38</v>
      </c>
      <c r="V972" s="11" t="s">
        <v>6054</v>
      </c>
      <c r="W972" s="20" t="s">
        <v>6684</v>
      </c>
      <c r="X972" s="22" t="s">
        <v>6648</v>
      </c>
      <c r="Y972" s="22"/>
      <c r="Z972" s="7"/>
      <c r="AA972" s="7"/>
      <c r="AB972" s="26"/>
      <c r="AC972" s="26"/>
    </row>
    <row r="973" spans="1:29" ht="15.75" customHeight="1">
      <c r="A973" s="10" t="s">
        <v>6685</v>
      </c>
      <c r="B973" s="10" t="s">
        <v>4410</v>
      </c>
      <c r="C973" s="61" t="s">
        <v>6054</v>
      </c>
      <c r="D973" s="12"/>
      <c r="E973" s="13" t="s">
        <v>93</v>
      </c>
      <c r="F973" s="6" t="s">
        <v>6686</v>
      </c>
      <c r="G973" s="15" t="str">
        <f ca="1">IFERROR(__xludf.DUMMYFUNCTION("CONCATENATE(B973,(VLOOKUP(C973,CATALOGOS!$F$2:$H$6,3,FALSE)),(VLOOKUP(V973,CATALOGOS!$J$2:$K$18,2,FALSE)),""-"",TO_TEXT(A973))"),"P21DG-0972")</f>
        <v>P21DG-0972</v>
      </c>
      <c r="H973" s="6" t="str">
        <f ca="1">IFERROR(__xludf.DUMMYFUNCTION("CONCATENATE($B973,(VLOOKUP($C973,CATALOGOS!$F$2:$H$6,3,FALSE)),(VLOOKUP($V973,CATALOGOS!$J$2:$K$18,2,FALSE)),""-"",TO_TEXT($A973))"),"P21DG-0972")</f>
        <v>P21DG-0972</v>
      </c>
      <c r="I973" s="6"/>
      <c r="J973" s="6" t="s">
        <v>6687</v>
      </c>
      <c r="K973" s="6" t="s">
        <v>6688</v>
      </c>
      <c r="L973" s="6" t="s">
        <v>6689</v>
      </c>
      <c r="M973" s="6" t="s">
        <v>6690</v>
      </c>
      <c r="N973" s="17"/>
      <c r="O973" s="17"/>
      <c r="P973" s="17" t="str">
        <f t="shared" si="3"/>
        <v>OK</v>
      </c>
      <c r="Q973" s="17" t="s">
        <v>35</v>
      </c>
      <c r="R973" s="6" t="s">
        <v>35</v>
      </c>
      <c r="S973" s="17" t="s">
        <v>36</v>
      </c>
      <c r="T973" s="17" t="s">
        <v>6691</v>
      </c>
      <c r="U973" s="173" t="s">
        <v>38</v>
      </c>
      <c r="V973" s="11" t="s">
        <v>6054</v>
      </c>
      <c r="W973" s="20" t="s">
        <v>6684</v>
      </c>
      <c r="X973" s="20" t="s">
        <v>6684</v>
      </c>
      <c r="Y973" s="20"/>
      <c r="Z973" s="7"/>
      <c r="AA973" s="7"/>
      <c r="AB973" s="23"/>
      <c r="AC973" s="26"/>
    </row>
    <row r="974" spans="1:29" ht="15.75" customHeight="1">
      <c r="A974" s="10" t="s">
        <v>6692</v>
      </c>
      <c r="B974" s="10" t="s">
        <v>4410</v>
      </c>
      <c r="C974" s="61" t="s">
        <v>6054</v>
      </c>
      <c r="D974" s="12"/>
      <c r="E974" s="13" t="s">
        <v>93</v>
      </c>
      <c r="F974" s="6" t="s">
        <v>6686</v>
      </c>
      <c r="G974" s="15" t="str">
        <f ca="1">IFERROR(__xludf.DUMMYFUNCTION("CONCATENATE(B974,(VLOOKUP(C974,CATALOGOS!$F$2:$H$6,3,FALSE)),(VLOOKUP(V974,CATALOGOS!$J$2:$K$18,2,FALSE)),""-"",TO_TEXT(A974))"),"P21DG-0973")</f>
        <v>P21DG-0973</v>
      </c>
      <c r="H974" s="6" t="str">
        <f ca="1">IFERROR(__xludf.DUMMYFUNCTION("CONCATENATE($B974,(VLOOKUP($C974,CATALOGOS!$F$2:$H$6,3,FALSE)),(VLOOKUP($V974,CATALOGOS!$J$2:$K$18,2,FALSE)),""-"",TO_TEXT($A974))"),"P21DG-0973")</f>
        <v>P21DG-0973</v>
      </c>
      <c r="I974" s="6"/>
      <c r="J974" s="6" t="s">
        <v>6693</v>
      </c>
      <c r="K974" s="6" t="s">
        <v>6694</v>
      </c>
      <c r="L974" s="6" t="s">
        <v>6695</v>
      </c>
      <c r="M974" s="6" t="s">
        <v>6696</v>
      </c>
      <c r="N974" s="17"/>
      <c r="O974" s="17"/>
      <c r="P974" s="17" t="str">
        <f t="shared" si="3"/>
        <v>OK</v>
      </c>
      <c r="Q974" s="17" t="s">
        <v>35</v>
      </c>
      <c r="R974" s="6" t="s">
        <v>35</v>
      </c>
      <c r="S974" s="17" t="s">
        <v>36</v>
      </c>
      <c r="T974" s="17" t="s">
        <v>6697</v>
      </c>
      <c r="U974" s="173" t="s">
        <v>38</v>
      </c>
      <c r="V974" s="11" t="s">
        <v>6054</v>
      </c>
      <c r="W974" s="20" t="s">
        <v>6684</v>
      </c>
      <c r="X974" s="20" t="s">
        <v>6684</v>
      </c>
      <c r="Y974" s="20"/>
      <c r="Z974" s="7"/>
      <c r="AA974" s="7"/>
      <c r="AB974" s="23"/>
      <c r="AC974" s="26"/>
    </row>
    <row r="975" spans="1:29" ht="15.75" customHeight="1">
      <c r="A975" s="10" t="s">
        <v>6698</v>
      </c>
      <c r="B975" s="10" t="s">
        <v>4410</v>
      </c>
      <c r="C975" s="61" t="s">
        <v>6054</v>
      </c>
      <c r="D975" s="12"/>
      <c r="E975" s="13" t="s">
        <v>116</v>
      </c>
      <c r="F975" s="6" t="s">
        <v>6699</v>
      </c>
      <c r="G975" s="15" t="str">
        <f ca="1">IFERROR(__xludf.DUMMYFUNCTION("CONCATENATE(B975,(VLOOKUP(C975,CATALOGOS!$F$2:$H$6,3,FALSE)),(VLOOKUP(V975,CATALOGOS!$J$2:$K$18,2,FALSE)),""-"",TO_TEXT(A975))"),"P21DG-0974")</f>
        <v>P21DG-0974</v>
      </c>
      <c r="H975" s="6" t="str">
        <f ca="1">IFERROR(__xludf.DUMMYFUNCTION("CONCATENATE($B975,(VLOOKUP($C975,CATALOGOS!$F$2:$H$6,3,FALSE)),(VLOOKUP($V975,CATALOGOS!$J$2:$K$18,2,FALSE)),""-"",TO_TEXT($A975))"),"P21DG-0974")</f>
        <v>P21DG-0974</v>
      </c>
      <c r="I975" s="6"/>
      <c r="J975" s="6" t="s">
        <v>6700</v>
      </c>
      <c r="K975" s="6" t="s">
        <v>6701</v>
      </c>
      <c r="L975" s="6" t="s">
        <v>6702</v>
      </c>
      <c r="M975" s="6" t="s">
        <v>6703</v>
      </c>
      <c r="N975" s="17"/>
      <c r="O975" s="17"/>
      <c r="P975" s="17" t="str">
        <f t="shared" si="3"/>
        <v>OK</v>
      </c>
      <c r="Q975" s="17" t="s">
        <v>35</v>
      </c>
      <c r="R975" s="6" t="s">
        <v>35</v>
      </c>
      <c r="S975" s="17" t="s">
        <v>36</v>
      </c>
      <c r="T975" s="17" t="s">
        <v>6704</v>
      </c>
      <c r="U975" s="173" t="s">
        <v>38</v>
      </c>
      <c r="V975" s="11" t="s">
        <v>6054</v>
      </c>
      <c r="W975" s="20" t="s">
        <v>6684</v>
      </c>
      <c r="X975" s="20" t="s">
        <v>6684</v>
      </c>
      <c r="Y975" s="20"/>
      <c r="Z975" s="7"/>
      <c r="AA975" s="7"/>
      <c r="AB975" s="23"/>
      <c r="AC975" s="26"/>
    </row>
    <row r="976" spans="1:29" ht="15.75" customHeight="1">
      <c r="A976" s="10" t="s">
        <v>6705</v>
      </c>
      <c r="B976" s="10" t="s">
        <v>4410</v>
      </c>
      <c r="C976" s="61" t="s">
        <v>6054</v>
      </c>
      <c r="D976" s="12"/>
      <c r="E976" s="13" t="s">
        <v>62</v>
      </c>
      <c r="F976" s="6" t="s">
        <v>6706</v>
      </c>
      <c r="G976" s="15" t="str">
        <f ca="1">IFERROR(__xludf.DUMMYFUNCTION("CONCATENATE(B976,(VLOOKUP(C976,CATALOGOS!$F$2:$H$6,3,FALSE)),(VLOOKUP(V976,CATALOGOS!$J$2:$K$18,2,FALSE)),""-"",TO_TEXT(A976))"),"P21DG-0975")</f>
        <v>P21DG-0975</v>
      </c>
      <c r="H976" s="6" t="str">
        <f ca="1">IFERROR(__xludf.DUMMYFUNCTION("CONCATENATE($B976,(VLOOKUP($C976,CATALOGOS!$F$2:$H$6,3,FALSE)),(VLOOKUP($V976,CATALOGOS!$J$2:$K$18,2,FALSE)),""-"",TO_TEXT($A976))"),"P21DG-0975")</f>
        <v>P21DG-0975</v>
      </c>
      <c r="I976" s="6"/>
      <c r="J976" s="6" t="s">
        <v>6707</v>
      </c>
      <c r="K976" s="6" t="s">
        <v>6708</v>
      </c>
      <c r="L976" s="6" t="s">
        <v>6709</v>
      </c>
      <c r="M976" s="6" t="s">
        <v>6710</v>
      </c>
      <c r="N976" s="17"/>
      <c r="O976" s="17"/>
      <c r="P976" s="17" t="str">
        <f t="shared" si="3"/>
        <v>OK</v>
      </c>
      <c r="Q976" s="17" t="s">
        <v>35</v>
      </c>
      <c r="R976" s="6" t="s">
        <v>35</v>
      </c>
      <c r="S976" s="17" t="s">
        <v>36</v>
      </c>
      <c r="T976" s="17" t="s">
        <v>6711</v>
      </c>
      <c r="U976" s="173" t="s">
        <v>38</v>
      </c>
      <c r="V976" s="11" t="s">
        <v>6054</v>
      </c>
      <c r="W976" s="20" t="s">
        <v>6684</v>
      </c>
      <c r="X976" s="20" t="s">
        <v>6684</v>
      </c>
      <c r="Y976" s="20"/>
      <c r="Z976" s="7"/>
      <c r="AA976" s="7"/>
      <c r="AB976" s="23"/>
      <c r="AC976" s="26"/>
    </row>
    <row r="977" spans="1:29" ht="15.75" customHeight="1">
      <c r="A977" s="10" t="s">
        <v>6712</v>
      </c>
      <c r="B977" s="10" t="s">
        <v>4410</v>
      </c>
      <c r="C977" s="61" t="s">
        <v>6054</v>
      </c>
      <c r="D977" s="12"/>
      <c r="E977" s="13" t="s">
        <v>43</v>
      </c>
      <c r="F977" s="43" t="s">
        <v>457</v>
      </c>
      <c r="G977" s="64" t="str">
        <f ca="1">IFERROR(__xludf.DUMMYFUNCTION("CONCATENATE(B977,(VLOOKUP(C977,CATALOGOS!$F$2:$H$6,3,FALSE)),(VLOOKUP(V977,CATALOGOS!$J$2:$K$18,2,FALSE)),""-"",TO_TEXT(A977))"),"P21DG-0976")</f>
        <v>P21DG-0976</v>
      </c>
      <c r="H977" s="6" t="str">
        <f ca="1">IFERROR(__xludf.DUMMYFUNCTION("CONCATENATE($B977,(VLOOKUP($C977,CATALOGOS!$F$2:$H$6,3,FALSE)),(VLOOKUP($V977,CATALOGOS!$J$2:$K$18,2,FALSE)),""-"",TO_TEXT($A977))"),"P21DG-0976")</f>
        <v>P21DG-0976</v>
      </c>
      <c r="I977" s="6"/>
      <c r="J977" s="6" t="s">
        <v>6713</v>
      </c>
      <c r="K977" s="6" t="s">
        <v>6714</v>
      </c>
      <c r="L977" s="6" t="s">
        <v>6715</v>
      </c>
      <c r="M977" s="6" t="s">
        <v>6716</v>
      </c>
      <c r="N977" s="17"/>
      <c r="O977" s="17"/>
      <c r="P977" s="17" t="str">
        <f t="shared" si="3"/>
        <v>OK</v>
      </c>
      <c r="Q977" s="17" t="s">
        <v>406</v>
      </c>
      <c r="R977" s="6" t="s">
        <v>6717</v>
      </c>
      <c r="S977" s="17" t="s">
        <v>6682</v>
      </c>
      <c r="T977" s="10" t="s">
        <v>6718</v>
      </c>
      <c r="U977" s="184" t="s">
        <v>1304</v>
      </c>
      <c r="V977" s="11" t="s">
        <v>6054</v>
      </c>
      <c r="W977" s="20" t="s">
        <v>6684</v>
      </c>
      <c r="X977" s="20" t="s">
        <v>6684</v>
      </c>
      <c r="Y977" s="20"/>
      <c r="Z977" s="7"/>
      <c r="AA977" s="7"/>
      <c r="AB977" s="23"/>
      <c r="AC977" s="26"/>
    </row>
    <row r="978" spans="1:29" ht="15.75" customHeight="1">
      <c r="A978" s="10" t="s">
        <v>6719</v>
      </c>
      <c r="B978" s="10" t="s">
        <v>4410</v>
      </c>
      <c r="C978" s="61" t="s">
        <v>6054</v>
      </c>
      <c r="D978" s="12"/>
      <c r="E978" s="13" t="s">
        <v>353</v>
      </c>
      <c r="F978" s="43" t="s">
        <v>354</v>
      </c>
      <c r="G978" s="15" t="str">
        <f ca="1">IFERROR(__xludf.DUMMYFUNCTION("CONCATENATE(B978,(VLOOKUP(C978,CATALOGOS!$F$2:$H$6,3,FALSE)),(VLOOKUP(V978,CATALOGOS!$J$2:$K$18,2,FALSE)),""-"",TO_TEXT(A978))"),"P21DG-0977")</f>
        <v>P21DG-0977</v>
      </c>
      <c r="H978" s="6" t="str">
        <f ca="1">IFERROR(__xludf.DUMMYFUNCTION("CONCATENATE($B978,(VLOOKUP($C978,CATALOGOS!$F$2:$H$6,3,FALSE)),(VLOOKUP($V978,CATALOGOS!$J$2:$K$18,2,FALSE)),""-"",TO_TEXT($A978))"),"P21DG-0977")</f>
        <v>P21DG-0977</v>
      </c>
      <c r="I978" s="6"/>
      <c r="J978" s="6" t="s">
        <v>6720</v>
      </c>
      <c r="K978" s="6" t="s">
        <v>6721</v>
      </c>
      <c r="L978" s="6" t="s">
        <v>6722</v>
      </c>
      <c r="M978" s="6" t="s">
        <v>6723</v>
      </c>
      <c r="N978" s="17"/>
      <c r="O978" s="17"/>
      <c r="P978" s="17" t="str">
        <f t="shared" si="3"/>
        <v>OK</v>
      </c>
      <c r="Q978" s="17" t="s">
        <v>359</v>
      </c>
      <c r="R978" s="6" t="s">
        <v>6724</v>
      </c>
      <c r="S978" s="17" t="s">
        <v>6725</v>
      </c>
      <c r="T978" s="10" t="s">
        <v>6726</v>
      </c>
      <c r="U978" s="173" t="s">
        <v>38</v>
      </c>
      <c r="V978" s="11" t="s">
        <v>6054</v>
      </c>
      <c r="W978" s="20" t="s">
        <v>6684</v>
      </c>
      <c r="X978" s="20" t="s">
        <v>6684</v>
      </c>
      <c r="Y978" s="20"/>
      <c r="Z978" s="7"/>
      <c r="AA978" s="7"/>
      <c r="AB978" s="23"/>
      <c r="AC978" s="26"/>
    </row>
    <row r="979" spans="1:29" ht="15.75" customHeight="1">
      <c r="A979" s="10" t="s">
        <v>6727</v>
      </c>
      <c r="B979" s="10" t="s">
        <v>4410</v>
      </c>
      <c r="C979" s="61" t="s">
        <v>6054</v>
      </c>
      <c r="D979" s="12"/>
      <c r="E979" s="13" t="s">
        <v>199</v>
      </c>
      <c r="F979" s="6" t="s">
        <v>199</v>
      </c>
      <c r="G979" s="15" t="str">
        <f ca="1">IFERROR(__xludf.DUMMYFUNCTION("CONCATENATE(B979,(VLOOKUP(C979,CATALOGOS!$F$2:$H$6,3,FALSE)),(VLOOKUP(V979,CATALOGOS!$J$2:$K$18,2,FALSE)),""-"",TO_TEXT(A979))"),"P21DG-0978")</f>
        <v>P21DG-0978</v>
      </c>
      <c r="H979" s="6" t="str">
        <f ca="1">IFERROR(__xludf.DUMMYFUNCTION("CONCATENATE($B979,(VLOOKUP($C979,CATALOGOS!$F$2:$H$6,3,FALSE)),(VLOOKUP($V979,CATALOGOS!$J$2:$K$18,2,FALSE)),""-"",TO_TEXT($A979))"),"P21DG-0978")</f>
        <v>P21DG-0978</v>
      </c>
      <c r="I979" s="6"/>
      <c r="J979" s="6" t="s">
        <v>6728</v>
      </c>
      <c r="K979" s="6" t="s">
        <v>6729</v>
      </c>
      <c r="L979" s="6" t="s">
        <v>6730</v>
      </c>
      <c r="M979" s="6" t="s">
        <v>141</v>
      </c>
      <c r="N979" s="17"/>
      <c r="O979" s="17"/>
      <c r="P979" s="17" t="str">
        <f t="shared" si="3"/>
        <v>REPETIDO</v>
      </c>
      <c r="Q979" s="17" t="s">
        <v>205</v>
      </c>
      <c r="R979" s="32" t="s">
        <v>794</v>
      </c>
      <c r="S979" s="17" t="s">
        <v>6731</v>
      </c>
      <c r="T979" s="17" t="s">
        <v>6732</v>
      </c>
      <c r="U979" s="173" t="s">
        <v>38</v>
      </c>
      <c r="V979" s="11" t="s">
        <v>6054</v>
      </c>
      <c r="W979" s="20" t="s">
        <v>6684</v>
      </c>
      <c r="X979" s="20" t="s">
        <v>6684</v>
      </c>
      <c r="Y979" s="20"/>
      <c r="Z979" s="7"/>
      <c r="AA979" s="7"/>
      <c r="AB979" s="23"/>
      <c r="AC979" s="26"/>
    </row>
    <row r="980" spans="1:29" ht="15.75" customHeight="1">
      <c r="A980" s="10" t="s">
        <v>6733</v>
      </c>
      <c r="B980" s="10" t="s">
        <v>4410</v>
      </c>
      <c r="C980" s="61" t="s">
        <v>6054</v>
      </c>
      <c r="D980" s="12"/>
      <c r="E980" s="13" t="s">
        <v>151</v>
      </c>
      <c r="F980" s="6" t="s">
        <v>714</v>
      </c>
      <c r="G980" s="15" t="str">
        <f ca="1">IFERROR(__xludf.DUMMYFUNCTION("CONCATENATE(B980,(VLOOKUP(C980,CATALOGOS!$F$2:$H$6,3,FALSE)),(VLOOKUP(V980,CATALOGOS!$J$2:$K$18,2,FALSE)),""-"",TO_TEXT(A980))"),"P21DG-0979")</f>
        <v>P21DG-0979</v>
      </c>
      <c r="H980" s="6" t="str">
        <f ca="1">IFERROR(__xludf.DUMMYFUNCTION("CONCATENATE($B980,(VLOOKUP($C980,CATALOGOS!$F$2:$H$6,3,FALSE)),(VLOOKUP($V980,CATALOGOS!$J$2:$K$18,2,FALSE)),""-"",TO_TEXT($A980))"),"P21DG-0979")</f>
        <v>P21DG-0979</v>
      </c>
      <c r="I980" s="6"/>
      <c r="J980" s="6" t="s">
        <v>6734</v>
      </c>
      <c r="K980" s="6" t="s">
        <v>6735</v>
      </c>
      <c r="L980" s="6" t="s">
        <v>6736</v>
      </c>
      <c r="M980" s="6" t="s">
        <v>6737</v>
      </c>
      <c r="N980" s="17"/>
      <c r="O980" s="17"/>
      <c r="P980" s="17" t="str">
        <f t="shared" si="3"/>
        <v>OK</v>
      </c>
      <c r="Q980" s="17" t="s">
        <v>1220</v>
      </c>
      <c r="R980" s="6" t="s">
        <v>720</v>
      </c>
      <c r="S980" s="17" t="s">
        <v>6738</v>
      </c>
      <c r="T980" s="17" t="s">
        <v>6739</v>
      </c>
      <c r="U980" s="173" t="s">
        <v>38</v>
      </c>
      <c r="V980" s="19" t="s">
        <v>6054</v>
      </c>
      <c r="W980" s="20" t="s">
        <v>6684</v>
      </c>
      <c r="X980" s="20" t="s">
        <v>6684</v>
      </c>
      <c r="Y980" s="20"/>
      <c r="Z980" s="7"/>
      <c r="AA980" s="7"/>
      <c r="AB980" s="23"/>
      <c r="AC980" s="26"/>
    </row>
    <row r="981" spans="1:29" ht="15.75" customHeight="1">
      <c r="A981" s="10" t="s">
        <v>6740</v>
      </c>
      <c r="B981" s="10" t="s">
        <v>4410</v>
      </c>
      <c r="C981" s="61" t="s">
        <v>6054</v>
      </c>
      <c r="D981" s="12"/>
      <c r="E981" s="13" t="s">
        <v>162</v>
      </c>
      <c r="F981" s="43" t="s">
        <v>285</v>
      </c>
      <c r="G981" s="15" t="str">
        <f ca="1">IFERROR(__xludf.DUMMYFUNCTION("CONCATENATE(B981,(VLOOKUP(C981,CATALOGOS!$F$2:$H$6,3,FALSE)),(VLOOKUP(V981,CATALOGOS!$J$2:$K$18,2,FALSE)),""-"",TO_TEXT(A981))"),"P21DG-0980")</f>
        <v>P21DG-0980</v>
      </c>
      <c r="H981" s="6" t="str">
        <f ca="1">IFERROR(__xludf.DUMMYFUNCTION("CONCATENATE($B981,(VLOOKUP($C981,CATALOGOS!$F$2:$H$6,3,FALSE)),(VLOOKUP($V981,CATALOGOS!$J$2:$K$18,2,FALSE)),""-"",TO_TEXT($A981))"),"P21DG-0980")</f>
        <v>P21DG-0980</v>
      </c>
      <c r="I981" s="6"/>
      <c r="J981" s="6" t="s">
        <v>6741</v>
      </c>
      <c r="K981" s="6" t="s">
        <v>6742</v>
      </c>
      <c r="L981" s="6" t="s">
        <v>6743</v>
      </c>
      <c r="M981" s="6" t="s">
        <v>6744</v>
      </c>
      <c r="N981" s="17"/>
      <c r="O981" s="17"/>
      <c r="P981" s="17" t="str">
        <f t="shared" si="3"/>
        <v>OK</v>
      </c>
      <c r="Q981" s="17" t="s">
        <v>663</v>
      </c>
      <c r="R981" s="6" t="s">
        <v>664</v>
      </c>
      <c r="S981" s="17" t="s">
        <v>6745</v>
      </c>
      <c r="T981" s="17" t="s">
        <v>6746</v>
      </c>
      <c r="U981" s="173" t="s">
        <v>38</v>
      </c>
      <c r="V981" s="11" t="s">
        <v>6054</v>
      </c>
      <c r="W981" s="20" t="s">
        <v>6684</v>
      </c>
      <c r="X981" s="20" t="s">
        <v>6684</v>
      </c>
      <c r="Y981" s="20"/>
      <c r="Z981" s="7"/>
      <c r="AA981" s="7"/>
      <c r="AB981" s="23"/>
      <c r="AC981" s="26"/>
    </row>
    <row r="982" spans="1:29" ht="15.75" customHeight="1">
      <c r="A982" s="10" t="s">
        <v>6747</v>
      </c>
      <c r="B982" s="10" t="s">
        <v>4410</v>
      </c>
      <c r="C982" s="61" t="s">
        <v>6054</v>
      </c>
      <c r="D982" s="12"/>
      <c r="E982" s="13" t="s">
        <v>62</v>
      </c>
      <c r="F982" s="6" t="s">
        <v>6748</v>
      </c>
      <c r="G982" s="15" t="str">
        <f ca="1">IFERROR(__xludf.DUMMYFUNCTION("CONCATENATE(B982,(VLOOKUP(C982,CATALOGOS!$F$2:$H$6,3,FALSE)),(VLOOKUP(V982,CATALOGOS!$J$2:$K$18,2,FALSE)),""-"",TO_TEXT(A982))"),"P21DG-0981")</f>
        <v>P21DG-0981</v>
      </c>
      <c r="H982" s="6" t="str">
        <f ca="1">IFERROR(__xludf.DUMMYFUNCTION("CONCATENATE($B982,(VLOOKUP($C982,CATALOGOS!$F$2:$H$6,3,FALSE)),(VLOOKUP($V982,CATALOGOS!$J$2:$K$18,2,FALSE)),""-"",TO_TEXT($A982))"),"P21DG-0981")</f>
        <v>P21DG-0981</v>
      </c>
      <c r="I982" s="6"/>
      <c r="J982" s="6" t="s">
        <v>6749</v>
      </c>
      <c r="K982" s="6" t="s">
        <v>6750</v>
      </c>
      <c r="L982" s="6" t="s">
        <v>6751</v>
      </c>
      <c r="M982" s="6" t="s">
        <v>6752</v>
      </c>
      <c r="N982" s="17"/>
      <c r="O982" s="35" t="s">
        <v>6753</v>
      </c>
      <c r="P982" s="17" t="str">
        <f t="shared" si="3"/>
        <v>OK</v>
      </c>
      <c r="Q982" s="17" t="s">
        <v>35</v>
      </c>
      <c r="R982" s="32" t="s">
        <v>35</v>
      </c>
      <c r="S982" s="17" t="s">
        <v>36</v>
      </c>
      <c r="T982" s="17" t="s">
        <v>6754</v>
      </c>
      <c r="U982" s="173" t="s">
        <v>38</v>
      </c>
      <c r="V982" s="11" t="s">
        <v>6054</v>
      </c>
      <c r="W982" s="20" t="s">
        <v>6684</v>
      </c>
      <c r="X982" s="20" t="s">
        <v>6684</v>
      </c>
      <c r="Y982" s="20"/>
      <c r="Z982" s="7"/>
      <c r="AA982" s="7"/>
      <c r="AB982" s="23"/>
      <c r="AC982" s="26"/>
    </row>
    <row r="983" spans="1:29" ht="15.75" customHeight="1">
      <c r="A983" s="10" t="s">
        <v>6755</v>
      </c>
      <c r="B983" s="10" t="s">
        <v>4410</v>
      </c>
      <c r="C983" s="61" t="s">
        <v>6054</v>
      </c>
      <c r="D983" s="12"/>
      <c r="E983" s="13" t="s">
        <v>501</v>
      </c>
      <c r="F983" s="6" t="s">
        <v>6756</v>
      </c>
      <c r="G983" s="15" t="str">
        <f ca="1">IFERROR(__xludf.DUMMYFUNCTION("CONCATENATE(B983,(VLOOKUP(C983,CATALOGOS!$F$2:$H$6,3,FALSE)),(VLOOKUP(V983,CATALOGOS!$J$2:$K$18,2,FALSE)),""-"",TO_TEXT(A983))"),"P21DG-0982")</f>
        <v>P21DG-0982</v>
      </c>
      <c r="H983" s="6" t="str">
        <f ca="1">IFERROR(__xludf.DUMMYFUNCTION("CONCATENATE($B983,(VLOOKUP($C983,CATALOGOS!$F$2:$H$6,3,FALSE)),(VLOOKUP($V983,CATALOGOS!$J$2:$K$18,2,FALSE)),""-"",TO_TEXT($A983))"),"P21DG-0982")</f>
        <v>P21DG-0982</v>
      </c>
      <c r="I983" s="6"/>
      <c r="J983" s="6" t="s">
        <v>6757</v>
      </c>
      <c r="K983" s="6" t="s">
        <v>6758</v>
      </c>
      <c r="L983" s="6" t="s">
        <v>6759</v>
      </c>
      <c r="M983" s="6" t="s">
        <v>6760</v>
      </c>
      <c r="N983" s="17"/>
      <c r="O983" s="17"/>
      <c r="P983" s="17" t="str">
        <f t="shared" si="3"/>
        <v>OK</v>
      </c>
      <c r="Q983" s="17" t="s">
        <v>35</v>
      </c>
      <c r="R983" s="6" t="s">
        <v>35</v>
      </c>
      <c r="S983" s="17" t="s">
        <v>36</v>
      </c>
      <c r="T983" s="17" t="s">
        <v>6761</v>
      </c>
      <c r="U983" s="173" t="s">
        <v>38</v>
      </c>
      <c r="V983" s="11" t="s">
        <v>6054</v>
      </c>
      <c r="W983" s="20" t="s">
        <v>6684</v>
      </c>
      <c r="X983" s="20" t="s">
        <v>6684</v>
      </c>
      <c r="Y983" s="20"/>
      <c r="Z983" s="7"/>
      <c r="AA983" s="7"/>
      <c r="AB983" s="23"/>
      <c r="AC983" s="26"/>
    </row>
    <row r="984" spans="1:29" ht="15.75" customHeight="1">
      <c r="A984" s="10" t="s">
        <v>6762</v>
      </c>
      <c r="B984" s="10" t="s">
        <v>4410</v>
      </c>
      <c r="C984" s="61" t="s">
        <v>6054</v>
      </c>
      <c r="D984" s="12"/>
      <c r="E984" s="13" t="s">
        <v>378</v>
      </c>
      <c r="F984" s="43" t="s">
        <v>6763</v>
      </c>
      <c r="G984" s="15" t="str">
        <f ca="1">IFERROR(__xludf.DUMMYFUNCTION("CONCATENATE(B984,(VLOOKUP(C984,CATALOGOS!$F$2:$H$6,3,FALSE)),(VLOOKUP(V984,CATALOGOS!$J$2:$K$18,2,FALSE)),""-"",TO_TEXT(A984))"),"P21DG-0983")</f>
        <v>P21DG-0983</v>
      </c>
      <c r="H984" s="6" t="str">
        <f ca="1">IFERROR(__xludf.DUMMYFUNCTION("CONCATENATE($B984,(VLOOKUP($C984,CATALOGOS!$F$2:$H$6,3,FALSE)),(VLOOKUP($V984,CATALOGOS!$J$2:$K$18,2,FALSE)),""-"",TO_TEXT($A984))"),"P21DG-0983")</f>
        <v>P21DG-0983</v>
      </c>
      <c r="I984" s="6"/>
      <c r="J984" s="6" t="s">
        <v>6764</v>
      </c>
      <c r="K984" s="6" t="s">
        <v>6765</v>
      </c>
      <c r="L984" s="6" t="s">
        <v>6766</v>
      </c>
      <c r="M984" s="6" t="s">
        <v>6767</v>
      </c>
      <c r="N984" s="17"/>
      <c r="O984" s="17"/>
      <c r="P984" s="17" t="str">
        <f t="shared" si="3"/>
        <v>OK</v>
      </c>
      <c r="Q984" s="17" t="s">
        <v>35</v>
      </c>
      <c r="R984" s="6" t="s">
        <v>35</v>
      </c>
      <c r="S984" s="17" t="s">
        <v>36</v>
      </c>
      <c r="T984" s="17" t="s">
        <v>6768</v>
      </c>
      <c r="U984" s="173" t="s">
        <v>38</v>
      </c>
      <c r="V984" s="11" t="s">
        <v>6054</v>
      </c>
      <c r="W984" s="20" t="s">
        <v>6684</v>
      </c>
      <c r="X984" s="20" t="s">
        <v>6684</v>
      </c>
      <c r="Y984" s="20"/>
      <c r="Z984" s="7"/>
      <c r="AA984" s="7"/>
      <c r="AB984" s="23"/>
      <c r="AC984" s="26"/>
    </row>
    <row r="985" spans="1:29" ht="15.75" customHeight="1">
      <c r="A985" s="10" t="s">
        <v>6769</v>
      </c>
      <c r="B985" s="10" t="s">
        <v>4410</v>
      </c>
      <c r="C985" s="61" t="s">
        <v>6054</v>
      </c>
      <c r="D985" s="38"/>
      <c r="E985" s="13" t="s">
        <v>378</v>
      </c>
      <c r="F985" s="6" t="s">
        <v>1306</v>
      </c>
      <c r="G985" s="15" t="str">
        <f ca="1">IFERROR(__xludf.DUMMYFUNCTION("CONCATENATE(B985,(VLOOKUP(C985,CATALOGOS!$F$2:$H$6,3,FALSE)),(VLOOKUP(V985,CATALOGOS!$J$2:$K$18,2,FALSE)),""-"",TO_TEXT(A985))"),"P21DG-0984")</f>
        <v>P21DG-0984</v>
      </c>
      <c r="H985" s="6" t="str">
        <f ca="1">IFERROR(__xludf.DUMMYFUNCTION("CONCATENATE($B985,(VLOOKUP($C985,CATALOGOS!$F$2:$H$6,3,FALSE)),(VLOOKUP($V985,CATALOGOS!$J$2:$K$18,2,FALSE)),""-"",TO_TEXT($A985))"),"P21DG-0984")</f>
        <v>P21DG-0984</v>
      </c>
      <c r="I985" s="6"/>
      <c r="J985" s="6" t="s">
        <v>6770</v>
      </c>
      <c r="K985" s="6" t="s">
        <v>6771</v>
      </c>
      <c r="L985" s="6" t="s">
        <v>6772</v>
      </c>
      <c r="M985" s="6" t="s">
        <v>6773</v>
      </c>
      <c r="N985" s="17"/>
      <c r="O985" s="17"/>
      <c r="P985" s="17" t="str">
        <f t="shared" si="3"/>
        <v>OK</v>
      </c>
      <c r="Q985" s="17" t="s">
        <v>35</v>
      </c>
      <c r="R985" s="6" t="s">
        <v>35</v>
      </c>
      <c r="S985" s="46" t="s">
        <v>36</v>
      </c>
      <c r="T985" s="17" t="s">
        <v>6774</v>
      </c>
      <c r="U985" s="173" t="s">
        <v>38</v>
      </c>
      <c r="V985" s="11" t="s">
        <v>6054</v>
      </c>
      <c r="W985" s="20" t="s">
        <v>6684</v>
      </c>
      <c r="X985" s="20" t="s">
        <v>6684</v>
      </c>
      <c r="Y985" s="20"/>
      <c r="Z985" s="7"/>
      <c r="AA985" s="7"/>
      <c r="AB985" s="26"/>
      <c r="AC985" s="26"/>
    </row>
    <row r="986" spans="1:29" ht="15.75" customHeight="1">
      <c r="A986" s="10" t="s">
        <v>6775</v>
      </c>
      <c r="B986" s="10" t="s">
        <v>1469</v>
      </c>
      <c r="C986" s="61" t="s">
        <v>1470</v>
      </c>
      <c r="D986" s="12"/>
      <c r="E986" s="13" t="s">
        <v>162</v>
      </c>
      <c r="F986" s="6" t="s">
        <v>162</v>
      </c>
      <c r="G986" s="6" t="str">
        <f ca="1">IFERROR(__xludf.DUMMYFUNCTION("CONCATENATE(B986,(VLOOKUP(C986,CATALOGOS!$F$2:$H$6,3,FALSE)),(VLOOKUP(V986,CATALOGOS!$J$2:$K$18,2,FALSE)),""-"",TO_TEXT(A986))"),"P12SI-0985")</f>
        <v>P12SI-0985</v>
      </c>
      <c r="H986" s="6" t="str">
        <f ca="1">IFERROR(__xludf.DUMMYFUNCTION("CONCATENATE($B986,(VLOOKUP($C986,CATALOGOS!$F$2:$H$6,3,FALSE)),(VLOOKUP($V986,CATALOGOS!$J$2:$K$18,2,FALSE)),""-"",TO_TEXT($A986))"),"P12SI-0985")</f>
        <v>P12SI-0985</v>
      </c>
      <c r="I986" s="6"/>
      <c r="J986" s="6" t="s">
        <v>6776</v>
      </c>
      <c r="K986" s="6" t="s">
        <v>6777</v>
      </c>
      <c r="L986" s="37"/>
      <c r="M986" s="6" t="s">
        <v>6778</v>
      </c>
      <c r="N986" s="17"/>
      <c r="O986" s="17"/>
      <c r="P986" s="17" t="str">
        <f t="shared" si="3"/>
        <v>OK</v>
      </c>
      <c r="Q986" s="17" t="s">
        <v>663</v>
      </c>
      <c r="R986" s="6" t="s">
        <v>6779</v>
      </c>
      <c r="S986" s="6" t="s">
        <v>6780</v>
      </c>
      <c r="T986" s="10" t="s">
        <v>85</v>
      </c>
      <c r="U986" s="173" t="s">
        <v>38</v>
      </c>
      <c r="V986" s="11" t="s">
        <v>1483</v>
      </c>
      <c r="W986" s="20" t="s">
        <v>1484</v>
      </c>
      <c r="X986" s="20" t="s">
        <v>1484</v>
      </c>
      <c r="Y986" s="20"/>
      <c r="Z986" s="26"/>
      <c r="AA986" s="26"/>
      <c r="AB986" s="26"/>
      <c r="AC986" s="26"/>
    </row>
    <row r="987" spans="1:29" ht="15.75" customHeight="1">
      <c r="A987" s="10" t="s">
        <v>6781</v>
      </c>
      <c r="B987" s="10" t="s">
        <v>1469</v>
      </c>
      <c r="C987" s="61" t="s">
        <v>1470</v>
      </c>
      <c r="D987" s="12"/>
      <c r="E987" s="13" t="s">
        <v>162</v>
      </c>
      <c r="F987" s="6" t="s">
        <v>162</v>
      </c>
      <c r="G987" s="6" t="str">
        <f ca="1">IFERROR(__xludf.DUMMYFUNCTION("CONCATENATE(B987,(VLOOKUP(C987,CATALOGOS!$F$2:$H$6,3,FALSE)),(VLOOKUP(V987,CATALOGOS!$J$2:$K$18,2,FALSE)),""-"",TO_TEXT(A987))"),"P12SI-0986")</f>
        <v>P12SI-0986</v>
      </c>
      <c r="H987" s="6" t="str">
        <f ca="1">IFERROR(__xludf.DUMMYFUNCTION("CONCATENATE($B987,(VLOOKUP($C987,CATALOGOS!$F$2:$H$6,3,FALSE)),(VLOOKUP($V987,CATALOGOS!$J$2:$K$18,2,FALSE)),""-"",TO_TEXT($A987))"),"P12SI-0986")</f>
        <v>P12SI-0986</v>
      </c>
      <c r="I987" s="6"/>
      <c r="J987" s="6" t="s">
        <v>6782</v>
      </c>
      <c r="K987" s="6" t="s">
        <v>6783</v>
      </c>
      <c r="L987" s="54"/>
      <c r="M987" s="32" t="s">
        <v>6784</v>
      </c>
      <c r="N987" s="17"/>
      <c r="O987" s="17"/>
      <c r="P987" s="17" t="str">
        <f t="shared" si="3"/>
        <v>OK</v>
      </c>
      <c r="Q987" s="32" t="s">
        <v>663</v>
      </c>
      <c r="R987" s="6" t="s">
        <v>6785</v>
      </c>
      <c r="S987" s="17" t="s">
        <v>6786</v>
      </c>
      <c r="T987" s="6" t="s">
        <v>85</v>
      </c>
      <c r="U987" s="173" t="s">
        <v>38</v>
      </c>
      <c r="V987" s="11" t="s">
        <v>1483</v>
      </c>
      <c r="W987" s="20" t="s">
        <v>1484</v>
      </c>
      <c r="X987" s="20" t="s">
        <v>1484</v>
      </c>
      <c r="Y987" s="20"/>
      <c r="Z987" s="26"/>
      <c r="AA987" s="26"/>
      <c r="AB987" s="26"/>
      <c r="AC987" s="26"/>
    </row>
    <row r="988" spans="1:29" ht="15.75" customHeight="1">
      <c r="A988" s="10" t="s">
        <v>6787</v>
      </c>
      <c r="B988" s="10" t="s">
        <v>1469</v>
      </c>
      <c r="C988" s="61" t="s">
        <v>1470</v>
      </c>
      <c r="D988" s="12"/>
      <c r="E988" s="13" t="s">
        <v>162</v>
      </c>
      <c r="F988" s="6" t="s">
        <v>162</v>
      </c>
      <c r="G988" s="6" t="str">
        <f ca="1">IFERROR(__xludf.DUMMYFUNCTION("CONCATENATE(B988,(VLOOKUP(C988,CATALOGOS!$F$2:$H$6,3,FALSE)),(VLOOKUP(V988,CATALOGOS!$J$2:$K$18,2,FALSE)),""-"",TO_TEXT(A988))"),"P12SI-0987")</f>
        <v>P12SI-0987</v>
      </c>
      <c r="H988" s="6" t="str">
        <f ca="1">IFERROR(__xludf.DUMMYFUNCTION("CONCATENATE($B988,(VLOOKUP($C988,CATALOGOS!$F$2:$H$6,3,FALSE)),(VLOOKUP($V988,CATALOGOS!$J$2:$K$18,2,FALSE)),""-"",TO_TEXT($A988))"),"P12SI-0987")</f>
        <v>P12SI-0987</v>
      </c>
      <c r="I988" s="6"/>
      <c r="J988" s="6" t="s">
        <v>6788</v>
      </c>
      <c r="K988" s="6" t="s">
        <v>6789</v>
      </c>
      <c r="L988" s="54"/>
      <c r="M988" s="32" t="s">
        <v>6790</v>
      </c>
      <c r="N988" s="17"/>
      <c r="O988" s="17"/>
      <c r="P988" s="17" t="str">
        <f t="shared" si="3"/>
        <v>OK</v>
      </c>
      <c r="Q988" s="32" t="s">
        <v>663</v>
      </c>
      <c r="R988" s="6" t="s">
        <v>6779</v>
      </c>
      <c r="S988" s="17" t="s">
        <v>6791</v>
      </c>
      <c r="T988" s="6" t="s">
        <v>85</v>
      </c>
      <c r="U988" s="173" t="s">
        <v>38</v>
      </c>
      <c r="V988" s="11" t="s">
        <v>1483</v>
      </c>
      <c r="W988" s="20" t="s">
        <v>1484</v>
      </c>
      <c r="X988" s="20" t="s">
        <v>1484</v>
      </c>
      <c r="Y988" s="20"/>
      <c r="Z988" s="26"/>
      <c r="AA988" s="26"/>
      <c r="AB988" s="26"/>
      <c r="AC988" s="26"/>
    </row>
    <row r="989" spans="1:29" ht="15.75" customHeight="1">
      <c r="A989" s="10" t="s">
        <v>6792</v>
      </c>
      <c r="B989" s="10" t="s">
        <v>1469</v>
      </c>
      <c r="C989" s="61" t="s">
        <v>1470</v>
      </c>
      <c r="D989" s="12"/>
      <c r="E989" s="13" t="s">
        <v>162</v>
      </c>
      <c r="F989" s="6" t="s">
        <v>162</v>
      </c>
      <c r="G989" s="6" t="str">
        <f ca="1">IFERROR(__xludf.DUMMYFUNCTION("CONCATENATE(B989,(VLOOKUP(C989,CATALOGOS!$F$2:$H$6,3,FALSE)),(VLOOKUP(V989,CATALOGOS!$J$2:$K$18,2,FALSE)),""-"",TO_TEXT(A989))"),"P12SI-0988")</f>
        <v>P12SI-0988</v>
      </c>
      <c r="H989" s="6" t="str">
        <f ca="1">IFERROR(__xludf.DUMMYFUNCTION("CONCATENATE($B989,(VLOOKUP($C989,CATALOGOS!$F$2:$H$6,3,FALSE)),(VLOOKUP($V989,CATALOGOS!$J$2:$K$18,2,FALSE)),""-"",TO_TEXT($A989))"),"P12SI-0988")</f>
        <v>P12SI-0988</v>
      </c>
      <c r="I989" s="6"/>
      <c r="J989" s="6" t="s">
        <v>6793</v>
      </c>
      <c r="K989" s="6" t="s">
        <v>6794</v>
      </c>
      <c r="L989" s="54"/>
      <c r="M989" s="32" t="s">
        <v>6795</v>
      </c>
      <c r="N989" s="17"/>
      <c r="O989" s="17"/>
      <c r="P989" s="17" t="str">
        <f t="shared" si="3"/>
        <v>OK</v>
      </c>
      <c r="Q989" s="32" t="s">
        <v>663</v>
      </c>
      <c r="R989" s="6" t="s">
        <v>6779</v>
      </c>
      <c r="S989" s="17" t="s">
        <v>6796</v>
      </c>
      <c r="T989" s="6" t="s">
        <v>85</v>
      </c>
      <c r="U989" s="173" t="s">
        <v>38</v>
      </c>
      <c r="V989" s="11" t="s">
        <v>1483</v>
      </c>
      <c r="W989" s="20" t="s">
        <v>1484</v>
      </c>
      <c r="X989" s="20" t="s">
        <v>1484</v>
      </c>
      <c r="Y989" s="20"/>
      <c r="Z989" s="26"/>
      <c r="AA989" s="26"/>
      <c r="AB989" s="26"/>
      <c r="AC989" s="26"/>
    </row>
    <row r="990" spans="1:29" ht="15.75" customHeight="1">
      <c r="A990" s="10" t="s">
        <v>6797</v>
      </c>
      <c r="B990" s="20" t="s">
        <v>1469</v>
      </c>
      <c r="C990" s="61" t="s">
        <v>1470</v>
      </c>
      <c r="D990" s="38"/>
      <c r="E990" s="13" t="s">
        <v>162</v>
      </c>
      <c r="F990" s="6" t="s">
        <v>162</v>
      </c>
      <c r="G990" s="6" t="str">
        <f ca="1">IFERROR(__xludf.DUMMYFUNCTION("CONCATENATE(B990,(VLOOKUP(C990,CATALOGOS!$F$2:$H$6,3,FALSE)),(VLOOKUP(V990,CATALOGOS!$J$2:$K$18,2,FALSE)),""-"",TO_TEXT(A990))"),"P12SI-0989")</f>
        <v>P12SI-0989</v>
      </c>
      <c r="H990" s="6" t="str">
        <f ca="1">IFERROR(__xludf.DUMMYFUNCTION("CONCATENATE($B990,(VLOOKUP($C990,CATALOGOS!$F$2:$H$6,3,FALSE)),(VLOOKUP($V990,CATALOGOS!$J$2:$K$18,2,FALSE)),""-"",TO_TEXT($A990))"),"P12SI-0989")</f>
        <v>P12SI-0989</v>
      </c>
      <c r="I990" s="6"/>
      <c r="J990" s="6" t="s">
        <v>6798</v>
      </c>
      <c r="K990" s="6" t="s">
        <v>6799</v>
      </c>
      <c r="L990" s="72"/>
      <c r="M990" s="6" t="s">
        <v>6800</v>
      </c>
      <c r="N990" s="17"/>
      <c r="O990" s="17"/>
      <c r="P990" s="17" t="str">
        <f t="shared" si="3"/>
        <v>OK</v>
      </c>
      <c r="Q990" s="17" t="s">
        <v>663</v>
      </c>
      <c r="R990" s="6" t="s">
        <v>35</v>
      </c>
      <c r="S990" s="6" t="s">
        <v>36</v>
      </c>
      <c r="T990" s="32" t="s">
        <v>85</v>
      </c>
      <c r="U990" s="173" t="s">
        <v>38</v>
      </c>
      <c r="V990" s="11" t="s">
        <v>1483</v>
      </c>
      <c r="W990" s="20" t="s">
        <v>1484</v>
      </c>
      <c r="X990" s="20" t="s">
        <v>1484</v>
      </c>
      <c r="Y990" s="20"/>
      <c r="Z990" s="84"/>
      <c r="AA990" s="84"/>
      <c r="AB990" s="54"/>
      <c r="AC990" s="26"/>
    </row>
    <row r="991" spans="1:29" ht="15.75" customHeight="1">
      <c r="A991" s="10" t="s">
        <v>6801</v>
      </c>
      <c r="B991" s="10" t="s">
        <v>4410</v>
      </c>
      <c r="C991" s="61" t="s">
        <v>4411</v>
      </c>
      <c r="D991" s="12"/>
      <c r="E991" s="13" t="s">
        <v>43</v>
      </c>
      <c r="F991" s="43" t="s">
        <v>2581</v>
      </c>
      <c r="G991" s="6" t="str">
        <f ca="1">IFERROR(__xludf.DUMMYFUNCTION("CONCATENATE(B991,(VLOOKUP(C991,CATALOGOS!$F$2:$H$6,3,FALSE)),(VLOOKUP(V991,CATALOGOS!$J$2:$K$18,2,FALSE)),""-"",TO_TEXT(A991))"),"P24SJ-0990")</f>
        <v>P24SJ-0990</v>
      </c>
      <c r="H991" s="6" t="str">
        <f ca="1">IFERROR(__xludf.DUMMYFUNCTION("CONCATENATE($B991,(VLOOKUP($C991,CATALOGOS!$F$2:$H$6,3,FALSE)),(VLOOKUP($V991,CATALOGOS!$J$2:$K$18,2,FALSE)),""-"",TO_TEXT($A991))"),"P24SJ-0990")</f>
        <v>P24SJ-0990</v>
      </c>
      <c r="I991" s="6"/>
      <c r="J991" s="6" t="s">
        <v>6802</v>
      </c>
      <c r="K991" s="6" t="s">
        <v>5285</v>
      </c>
      <c r="L991" s="32" t="s">
        <v>5235</v>
      </c>
      <c r="M991" s="6" t="s">
        <v>141</v>
      </c>
      <c r="N991" s="17"/>
      <c r="O991" s="17"/>
      <c r="P991" s="17" t="str">
        <f t="shared" si="3"/>
        <v>REPETIDO</v>
      </c>
      <c r="Q991" s="17" t="s">
        <v>5237</v>
      </c>
      <c r="R991" s="32" t="s">
        <v>35</v>
      </c>
      <c r="S991" s="17" t="s">
        <v>36</v>
      </c>
      <c r="T991" s="17" t="s">
        <v>5239</v>
      </c>
      <c r="U991" s="173" t="s">
        <v>38</v>
      </c>
      <c r="V991" s="11" t="s">
        <v>4411</v>
      </c>
      <c r="W991" s="22" t="s">
        <v>4417</v>
      </c>
      <c r="X991" s="22" t="s">
        <v>4417</v>
      </c>
      <c r="Y991" s="22"/>
      <c r="Z991" s="7"/>
      <c r="AA991" s="7"/>
      <c r="AB991" s="23"/>
      <c r="AC991" s="26"/>
    </row>
    <row r="992" spans="1:29" ht="15.75" customHeight="1">
      <c r="A992" s="10" t="s">
        <v>6803</v>
      </c>
      <c r="B992" s="10" t="s">
        <v>4410</v>
      </c>
      <c r="C992" s="61" t="s">
        <v>4411</v>
      </c>
      <c r="D992" s="12"/>
      <c r="E992" s="13" t="s">
        <v>184</v>
      </c>
      <c r="F992" s="43" t="s">
        <v>6804</v>
      </c>
      <c r="G992" s="6" t="str">
        <f ca="1">IFERROR(__xludf.DUMMYFUNCTION("CONCATENATE(B992,(VLOOKUP(C992,CATALOGOS!$F$2:$H$6,3,FALSE)),(VLOOKUP(V992,CATALOGOS!$J$2:$K$18,2,FALSE)),""-"",TO_TEXT(A992))"),"P24SJ-0991")</f>
        <v>P24SJ-0991</v>
      </c>
      <c r="H992" s="6" t="str">
        <f ca="1">IFERROR(__xludf.DUMMYFUNCTION("CONCATENATE($B992,(VLOOKUP($C992,CATALOGOS!$F$2:$H$6,3,FALSE)),(VLOOKUP($V992,CATALOGOS!$J$2:$K$18,2,FALSE)),""-"",TO_TEXT($A992))"),"P24SJ-0991")</f>
        <v>P24SJ-0991</v>
      </c>
      <c r="I992" s="6"/>
      <c r="J992" s="6" t="s">
        <v>6805</v>
      </c>
      <c r="K992" s="6" t="s">
        <v>6806</v>
      </c>
      <c r="L992" s="32" t="s">
        <v>6807</v>
      </c>
      <c r="M992" s="6" t="s">
        <v>6808</v>
      </c>
      <c r="N992" s="17"/>
      <c r="O992" s="17"/>
      <c r="P992" s="17" t="str">
        <f t="shared" si="3"/>
        <v>OK</v>
      </c>
      <c r="Q992" s="17" t="s">
        <v>35</v>
      </c>
      <c r="R992" s="6" t="s">
        <v>35</v>
      </c>
      <c r="S992" s="17" t="s">
        <v>36</v>
      </c>
      <c r="T992" s="17" t="s">
        <v>6809</v>
      </c>
      <c r="U992" s="173" t="s">
        <v>38</v>
      </c>
      <c r="V992" s="11" t="s">
        <v>4411</v>
      </c>
      <c r="W992" s="22" t="s">
        <v>4417</v>
      </c>
      <c r="X992" s="22" t="s">
        <v>4417</v>
      </c>
      <c r="Y992" s="22"/>
      <c r="Z992" s="7"/>
      <c r="AA992" s="7"/>
      <c r="AB992" s="23"/>
      <c r="AC992" s="26"/>
    </row>
    <row r="993" spans="1:29" ht="15.75" customHeight="1">
      <c r="A993" s="10" t="s">
        <v>6810</v>
      </c>
      <c r="B993" s="10" t="s">
        <v>4410</v>
      </c>
      <c r="C993" s="61" t="s">
        <v>4411</v>
      </c>
      <c r="D993" s="12"/>
      <c r="E993" s="13" t="s">
        <v>116</v>
      </c>
      <c r="F993" s="43" t="s">
        <v>6811</v>
      </c>
      <c r="G993" s="15" t="str">
        <f ca="1">IFERROR(__xludf.DUMMYFUNCTION("CONCATENATE(B993,(VLOOKUP(C993,CATALOGOS!$F$2:$H$6,3,FALSE)),(VLOOKUP(V993,CATALOGOS!$J$2:$K$18,2,FALSE)),""-"",TO_TEXT(A993))"),"P24SJ-0992")</f>
        <v>P24SJ-0992</v>
      </c>
      <c r="H993" s="6" t="str">
        <f ca="1">IFERROR(__xludf.DUMMYFUNCTION("CONCATENATE($B993,(VLOOKUP($C993,CATALOGOS!$F$2:$H$6,3,FALSE)),(VLOOKUP($V993,CATALOGOS!$J$2:$K$18,2,FALSE)),""-"",TO_TEXT($A993))"),"P24SJ-0992")</f>
        <v>P24SJ-0992</v>
      </c>
      <c r="I993" s="6"/>
      <c r="J993" s="6" t="s">
        <v>6812</v>
      </c>
      <c r="K993" s="6" t="s">
        <v>6813</v>
      </c>
      <c r="L993" s="32" t="s">
        <v>4413</v>
      </c>
      <c r="M993" s="6" t="s">
        <v>6814</v>
      </c>
      <c r="N993" s="17"/>
      <c r="O993" s="17"/>
      <c r="P993" s="17" t="str">
        <f t="shared" si="3"/>
        <v>OK</v>
      </c>
      <c r="Q993" s="17" t="s">
        <v>35</v>
      </c>
      <c r="R993" s="6" t="s">
        <v>35</v>
      </c>
      <c r="S993" s="17" t="s">
        <v>36</v>
      </c>
      <c r="T993" s="17" t="s">
        <v>6815</v>
      </c>
      <c r="U993" s="173" t="s">
        <v>38</v>
      </c>
      <c r="V993" s="11" t="s">
        <v>4411</v>
      </c>
      <c r="W993" s="22" t="s">
        <v>4417</v>
      </c>
      <c r="X993" s="22" t="s">
        <v>4417</v>
      </c>
      <c r="Y993" s="20" t="s">
        <v>8444</v>
      </c>
      <c r="Z993" s="7"/>
      <c r="AA993" s="7"/>
      <c r="AB993" s="23"/>
      <c r="AC993" s="26"/>
    </row>
    <row r="994" spans="1:29" ht="15.75" customHeight="1">
      <c r="A994" s="10" t="s">
        <v>6816</v>
      </c>
      <c r="B994" s="10" t="s">
        <v>4410</v>
      </c>
      <c r="C994" s="61" t="s">
        <v>4411</v>
      </c>
      <c r="D994" s="12"/>
      <c r="E994" s="13" t="s">
        <v>248</v>
      </c>
      <c r="F994" s="43" t="s">
        <v>249</v>
      </c>
      <c r="G994" s="15" t="str">
        <f ca="1">IFERROR(__xludf.DUMMYFUNCTION("CONCATENATE(B994,(VLOOKUP(C994,CATALOGOS!$F$2:$H$6,3,FALSE)),(VLOOKUP(V994,CATALOGOS!$J$2:$K$18,2,FALSE)),""-"",TO_TEXT(A994))"),"P24SJ-0993")</f>
        <v>P24SJ-0993</v>
      </c>
      <c r="H994" s="6" t="str">
        <f ca="1">IFERROR(__xludf.DUMMYFUNCTION("CONCATENATE($B994,(VLOOKUP($C994,CATALOGOS!$F$2:$H$6,3,FALSE)),(VLOOKUP($V994,CATALOGOS!$J$2:$K$18,2,FALSE)),""-"",TO_TEXT($A994))"),"P24SJ-0993")</f>
        <v>P24SJ-0993</v>
      </c>
      <c r="I994" s="6"/>
      <c r="J994" s="6" t="s">
        <v>6817</v>
      </c>
      <c r="K994" s="6" t="s">
        <v>6818</v>
      </c>
      <c r="L994" s="32" t="s">
        <v>6819</v>
      </c>
      <c r="M994" s="6" t="s">
        <v>6820</v>
      </c>
      <c r="N994" s="17"/>
      <c r="O994" s="17"/>
      <c r="P994" s="17" t="str">
        <f t="shared" si="3"/>
        <v>OK</v>
      </c>
      <c r="Q994" s="17" t="s">
        <v>978</v>
      </c>
      <c r="R994" s="6" t="s">
        <v>979</v>
      </c>
      <c r="S994" s="17" t="s">
        <v>36</v>
      </c>
      <c r="T994" s="17" t="s">
        <v>6821</v>
      </c>
      <c r="U994" s="173" t="s">
        <v>38</v>
      </c>
      <c r="V994" s="11" t="s">
        <v>4411</v>
      </c>
      <c r="W994" s="22" t="s">
        <v>4417</v>
      </c>
      <c r="X994" s="22" t="s">
        <v>4417</v>
      </c>
      <c r="Y994" s="20" t="s">
        <v>8444</v>
      </c>
      <c r="Z994" s="7"/>
      <c r="AA994" s="7"/>
      <c r="AB994" s="23"/>
      <c r="AC994" s="26"/>
    </row>
    <row r="995" spans="1:29" ht="15.75" customHeight="1">
      <c r="A995" s="10" t="s">
        <v>6822</v>
      </c>
      <c r="B995" s="10" t="s">
        <v>4410</v>
      </c>
      <c r="C995" s="61" t="s">
        <v>4411</v>
      </c>
      <c r="D995" s="12"/>
      <c r="E995" s="13" t="s">
        <v>278</v>
      </c>
      <c r="F995" s="43" t="s">
        <v>278</v>
      </c>
      <c r="G995" s="15" t="str">
        <f ca="1">IFERROR(__xludf.DUMMYFUNCTION("CONCATENATE(B995,(VLOOKUP(C995,CATALOGOS!$F$2:$H$6,3,FALSE)),(VLOOKUP(V995,CATALOGOS!$J$2:$K$18,2,FALSE)),""-"",TO_TEXT(A995))"),"P24SJ-0994")</f>
        <v>P24SJ-0994</v>
      </c>
      <c r="H995" s="6" t="str">
        <f ca="1">IFERROR(__xludf.DUMMYFUNCTION("CONCATENATE($B995,(VLOOKUP($C995,CATALOGOS!$F$2:$H$6,3,FALSE)),(VLOOKUP($V995,CATALOGOS!$J$2:$K$18,2,FALSE)),""-"",TO_TEXT($A995))"),"P24SJ-0994")</f>
        <v>P24SJ-0994</v>
      </c>
      <c r="I995" s="6"/>
      <c r="J995" s="6" t="s">
        <v>6823</v>
      </c>
      <c r="K995" s="6" t="s">
        <v>6824</v>
      </c>
      <c r="L995" s="32" t="s">
        <v>6825</v>
      </c>
      <c r="M995" s="6" t="s">
        <v>6826</v>
      </c>
      <c r="N995" s="17"/>
      <c r="O995" s="17"/>
      <c r="P995" s="17" t="str">
        <f t="shared" si="3"/>
        <v>OK</v>
      </c>
      <c r="Q995" s="17" t="s">
        <v>35</v>
      </c>
      <c r="R995" s="6" t="s">
        <v>35</v>
      </c>
      <c r="S995" s="17" t="s">
        <v>36</v>
      </c>
      <c r="T995" s="17" t="s">
        <v>6827</v>
      </c>
      <c r="U995" s="173" t="s">
        <v>38</v>
      </c>
      <c r="V995" s="11" t="s">
        <v>4411</v>
      </c>
      <c r="W995" s="22" t="s">
        <v>4417</v>
      </c>
      <c r="X995" s="22" t="s">
        <v>4417</v>
      </c>
      <c r="Y995" s="22"/>
      <c r="Z995" s="7"/>
      <c r="AA995" s="7"/>
      <c r="AB995" s="23"/>
      <c r="AC995" s="26"/>
    </row>
    <row r="996" spans="1:29" ht="15.75" customHeight="1">
      <c r="A996" s="10" t="s">
        <v>6828</v>
      </c>
      <c r="B996" s="10" t="s">
        <v>4410</v>
      </c>
      <c r="C996" s="61" t="s">
        <v>4411</v>
      </c>
      <c r="D996" s="12"/>
      <c r="E996" s="13" t="s">
        <v>43</v>
      </c>
      <c r="F996" s="43" t="s">
        <v>2581</v>
      </c>
      <c r="G996" s="15" t="str">
        <f ca="1">IFERROR(__xludf.DUMMYFUNCTION("CONCATENATE(B996,(VLOOKUP(C996,CATALOGOS!$F$2:$H$6,3,FALSE)),(VLOOKUP(V996,CATALOGOS!$J$2:$K$18,2,FALSE)),""-"",TO_TEXT(A996))"),"P24SJ-0995")</f>
        <v>P24SJ-0995</v>
      </c>
      <c r="H996" s="6" t="str">
        <f ca="1">IFERROR(__xludf.DUMMYFUNCTION("CONCATENATE($B996,(VLOOKUP($C996,CATALOGOS!$F$2:$H$6,3,FALSE)),(VLOOKUP($V996,CATALOGOS!$J$2:$K$18,2,FALSE)),""-"",TO_TEXT($A996))"),"P24SJ-0995")</f>
        <v>P24SJ-0995</v>
      </c>
      <c r="I996" s="6"/>
      <c r="J996" s="6" t="s">
        <v>6829</v>
      </c>
      <c r="K996" s="6" t="s">
        <v>6830</v>
      </c>
      <c r="L996" s="32" t="s">
        <v>6831</v>
      </c>
      <c r="M996" s="6" t="s">
        <v>6832</v>
      </c>
      <c r="N996" s="17"/>
      <c r="O996" s="17"/>
      <c r="P996" s="17" t="str">
        <f t="shared" si="3"/>
        <v>OK</v>
      </c>
      <c r="Q996" s="17" t="s">
        <v>5237</v>
      </c>
      <c r="R996" s="6" t="s">
        <v>35</v>
      </c>
      <c r="S996" s="17" t="s">
        <v>36</v>
      </c>
      <c r="T996" s="35" t="s">
        <v>6833</v>
      </c>
      <c r="U996" s="173" t="s">
        <v>38</v>
      </c>
      <c r="V996" s="11" t="s">
        <v>4411</v>
      </c>
      <c r="W996" s="22" t="s">
        <v>4417</v>
      </c>
      <c r="X996" s="22" t="s">
        <v>4417</v>
      </c>
      <c r="Y996" s="22"/>
      <c r="Z996" s="7"/>
      <c r="AA996" s="7"/>
      <c r="AB996" s="23"/>
      <c r="AC996" s="26"/>
    </row>
    <row r="997" spans="1:29" ht="15.75" customHeight="1">
      <c r="A997" s="10" t="s">
        <v>6835</v>
      </c>
      <c r="B997" s="20" t="s">
        <v>4410</v>
      </c>
      <c r="C997" s="61" t="s">
        <v>4411</v>
      </c>
      <c r="D997" s="38"/>
      <c r="E997" s="13" t="s">
        <v>199</v>
      </c>
      <c r="F997" s="43" t="s">
        <v>6836</v>
      </c>
      <c r="G997" s="6" t="str">
        <f ca="1">IFERROR(__xludf.DUMMYFUNCTION("CONCATENATE(B997,(VLOOKUP(C997,CATALOGOS!$F$2:$H$6,3,FALSE)),(VLOOKUP(V997,CATALOGOS!$J$2:$K$18,2,FALSE)),""-"",TO_TEXT(A997))"),"P24SJ-0996")</f>
        <v>P24SJ-0996</v>
      </c>
      <c r="H997" s="6" t="str">
        <f ca="1">IFERROR(__xludf.DUMMYFUNCTION("CONCATENATE($B997,(VLOOKUP($C997,CATALOGOS!$F$2:$H$6,3,FALSE)),(VLOOKUP($V997,CATALOGOS!$J$2:$K$18,2,FALSE)),""-"",TO_TEXT($A997))"),"P24SJ-0996")</f>
        <v>P24SJ-0996</v>
      </c>
      <c r="I997" s="6"/>
      <c r="J997" s="6" t="s">
        <v>6837</v>
      </c>
      <c r="K997" s="6" t="s">
        <v>6838</v>
      </c>
      <c r="L997" s="49" t="s">
        <v>6839</v>
      </c>
      <c r="M997" s="6" t="s">
        <v>6840</v>
      </c>
      <c r="N997" s="17"/>
      <c r="O997" s="17"/>
      <c r="P997" s="17" t="str">
        <f t="shared" si="3"/>
        <v>OK</v>
      </c>
      <c r="Q997" s="17" t="s">
        <v>682</v>
      </c>
      <c r="R997" s="6" t="s">
        <v>35</v>
      </c>
      <c r="S997" s="46" t="s">
        <v>8445</v>
      </c>
      <c r="T997" s="35" t="s">
        <v>85</v>
      </c>
      <c r="U997" s="173" t="s">
        <v>38</v>
      </c>
      <c r="V997" s="11" t="s">
        <v>4411</v>
      </c>
      <c r="W997" s="22" t="s">
        <v>4417</v>
      </c>
      <c r="X997" s="22" t="s">
        <v>4417</v>
      </c>
      <c r="Y997" s="22"/>
      <c r="Z997" s="7"/>
      <c r="AA997" s="7"/>
      <c r="AB997" s="26"/>
      <c r="AC997" s="26"/>
    </row>
    <row r="998" spans="1:29" ht="15.75" customHeight="1">
      <c r="A998" s="10" t="s">
        <v>6842</v>
      </c>
      <c r="B998" s="10" t="s">
        <v>1469</v>
      </c>
      <c r="C998" s="61" t="s">
        <v>1470</v>
      </c>
      <c r="D998" s="12"/>
      <c r="E998" s="13" t="s">
        <v>378</v>
      </c>
      <c r="F998" s="6" t="s">
        <v>379</v>
      </c>
      <c r="G998" s="6" t="str">
        <f ca="1">IFERROR(__xludf.DUMMYFUNCTION("CONCATENATE(B998,(VLOOKUP(C998,CATALOGOS!$F$2:$H$6,3,FALSE)),(VLOOKUP(V998,CATALOGOS!$J$2:$K$18,2,FALSE)),""-"",TO_TEXT(A998))"),"P12PP-0997")</f>
        <v>P12PP-0997</v>
      </c>
      <c r="H998" s="6" t="str">
        <f ca="1">IFERROR(__xludf.DUMMYFUNCTION("CONCATENATE($B998,(VLOOKUP($C998,CATALOGOS!$F$2:$H$6,3,FALSE)),(VLOOKUP($V998,CATALOGOS!$J$2:$K$18,2,FALSE)),""-"",TO_TEXT($A998))"),"P12PP-0997")</f>
        <v>P12PP-0997</v>
      </c>
      <c r="I998" s="6"/>
      <c r="J998" s="6" t="s">
        <v>6843</v>
      </c>
      <c r="K998" s="37"/>
      <c r="L998" s="37"/>
      <c r="M998" s="6" t="s">
        <v>141</v>
      </c>
      <c r="N998" s="17"/>
      <c r="O998" s="17"/>
      <c r="P998" s="17"/>
      <c r="Q998" s="35" t="s">
        <v>6844</v>
      </c>
      <c r="R998" s="10" t="s">
        <v>6845</v>
      </c>
      <c r="S998" s="10" t="s">
        <v>36</v>
      </c>
      <c r="T998" s="10" t="s">
        <v>6846</v>
      </c>
      <c r="U998" s="173" t="s">
        <v>38</v>
      </c>
      <c r="V998" s="11" t="s">
        <v>1548</v>
      </c>
      <c r="W998" s="20" t="s">
        <v>1737</v>
      </c>
      <c r="X998" s="20" t="s">
        <v>1737</v>
      </c>
      <c r="Y998" s="20"/>
      <c r="Z998" s="26"/>
      <c r="AA998" s="26"/>
      <c r="AB998" s="26"/>
      <c r="AC998" s="26"/>
    </row>
    <row r="999" spans="1:29" ht="15.75" customHeight="1">
      <c r="A999" s="10" t="s">
        <v>6847</v>
      </c>
      <c r="B999" s="10" t="s">
        <v>1469</v>
      </c>
      <c r="C999" s="61" t="s">
        <v>1470</v>
      </c>
      <c r="D999" s="12"/>
      <c r="E999" s="13" t="s">
        <v>43</v>
      </c>
      <c r="F999" s="6" t="s">
        <v>6848</v>
      </c>
      <c r="G999" s="6" t="str">
        <f ca="1">IFERROR(__xludf.DUMMYFUNCTION("CONCATENATE(B999,(VLOOKUP(C999,CATALOGOS!$F$2:$H$6,3,FALSE)),(VLOOKUP(V999,CATALOGOS!$J$2:$K$18,2,FALSE)),""-"",TO_TEXT(A999))"),"P12PL-0998")</f>
        <v>P12PL-0998</v>
      </c>
      <c r="H999" s="6" t="str">
        <f ca="1">IFERROR(__xludf.DUMMYFUNCTION("CONCATENATE($B999,(VLOOKUP($C999,CATALOGOS!$F$2:$H$6,3,FALSE)),(VLOOKUP($V999,CATALOGOS!$J$2:$K$18,2,FALSE)),""-"",TO_TEXT($A999))"),"P12PL-0998")</f>
        <v>P12PL-0998</v>
      </c>
      <c r="I999" s="6"/>
      <c r="J999" s="6" t="s">
        <v>6849</v>
      </c>
      <c r="K999" s="37"/>
      <c r="L999" s="37"/>
      <c r="M999" s="6" t="s">
        <v>141</v>
      </c>
      <c r="N999" s="17"/>
      <c r="O999" s="17"/>
      <c r="P999" s="17"/>
      <c r="Q999" s="35" t="s">
        <v>1913</v>
      </c>
      <c r="R999" s="10" t="s">
        <v>6850</v>
      </c>
      <c r="S999" s="10" t="s">
        <v>36</v>
      </c>
      <c r="T999" s="10" t="s">
        <v>85</v>
      </c>
      <c r="U999" s="173" t="s">
        <v>38</v>
      </c>
      <c r="V999" s="11" t="s">
        <v>3091</v>
      </c>
      <c r="W999" s="20" t="s">
        <v>3092</v>
      </c>
      <c r="X999" s="20" t="s">
        <v>3092</v>
      </c>
      <c r="Y999" s="20"/>
      <c r="Z999" s="26"/>
      <c r="AA999" s="26"/>
      <c r="AB999" s="26"/>
      <c r="AC999" s="26"/>
    </row>
    <row r="1000" spans="1:29" ht="15.75" customHeight="1">
      <c r="A1000" s="10" t="s">
        <v>6851</v>
      </c>
      <c r="B1000" s="10" t="s">
        <v>1469</v>
      </c>
      <c r="C1000" s="61" t="s">
        <v>1470</v>
      </c>
      <c r="D1000" s="12"/>
      <c r="E1000" s="13" t="s">
        <v>378</v>
      </c>
      <c r="F1000" s="6" t="s">
        <v>379</v>
      </c>
      <c r="G1000" s="6" t="str">
        <f ca="1">IFERROR(__xludf.DUMMYFUNCTION("CONCATENATE(B1000,(VLOOKUP(C1000,CATALOGOS!$F$2:$H$6,3,FALSE)),(VLOOKUP(V1000,CATALOGOS!$J$2:$K$18,2,FALSE)),""-"",TO_TEXT(A1000))"),"P12SI-0999")</f>
        <v>P12SI-0999</v>
      </c>
      <c r="H1000" s="6" t="str">
        <f ca="1">IFERROR(__xludf.DUMMYFUNCTION("CONCATENATE($B1000,(VLOOKUP($C1000,CATALOGOS!$F$2:$H$6,3,FALSE)),(VLOOKUP($V1000,CATALOGOS!$J$2:$K$18,2,FALSE)),""-"",TO_TEXT($A1000))"),"P12SI-0999")</f>
        <v>P12SI-0999</v>
      </c>
      <c r="I1000" s="6"/>
      <c r="J1000" s="6" t="s">
        <v>6852</v>
      </c>
      <c r="K1000" s="37"/>
      <c r="L1000" s="37"/>
      <c r="M1000" s="6" t="s">
        <v>141</v>
      </c>
      <c r="N1000" s="17"/>
      <c r="O1000" s="17"/>
      <c r="P1000" s="17"/>
      <c r="Q1000" s="35" t="s">
        <v>35</v>
      </c>
      <c r="R1000" s="10" t="s">
        <v>35</v>
      </c>
      <c r="S1000" s="10" t="s">
        <v>36</v>
      </c>
      <c r="T1000" s="10" t="s">
        <v>6853</v>
      </c>
      <c r="U1000" s="173" t="s">
        <v>38</v>
      </c>
      <c r="V1000" s="181" t="s">
        <v>1483</v>
      </c>
      <c r="W1000" s="20" t="s">
        <v>2533</v>
      </c>
      <c r="X1000" s="20" t="s">
        <v>2533</v>
      </c>
      <c r="Y1000" s="20"/>
      <c r="Z1000" s="26"/>
      <c r="AA1000" s="26"/>
      <c r="AB1000" s="26"/>
      <c r="AC1000" s="26"/>
    </row>
    <row r="1001" spans="1:29" ht="15.75" customHeight="1">
      <c r="A1001" s="10" t="s">
        <v>6854</v>
      </c>
      <c r="B1001" s="10" t="s">
        <v>1469</v>
      </c>
      <c r="C1001" s="61" t="s">
        <v>1470</v>
      </c>
      <c r="D1001" s="12"/>
      <c r="E1001" s="13" t="s">
        <v>378</v>
      </c>
      <c r="F1001" s="6" t="s">
        <v>379</v>
      </c>
      <c r="G1001" s="6" t="str">
        <f ca="1">IFERROR(__xludf.DUMMYFUNCTION("CONCATENATE(B1001,(VLOOKUP(C1001,CATALOGOS!$F$2:$H$6,3,FALSE)),(VLOOKUP(V1001,CATALOGOS!$J$2:$K$18,2,FALSE)),""-"",TO_TEXT(A1001))"),"P12SI-1000")</f>
        <v>P12SI-1000</v>
      </c>
      <c r="H1001" s="6" t="str">
        <f ca="1">IFERROR(__xludf.DUMMYFUNCTION("CONCATENATE($B1001,(VLOOKUP($C1001,CATALOGOS!$F$2:$H$6,3,FALSE)),(VLOOKUP($V1001,CATALOGOS!$J$2:$K$18,2,FALSE)),""-"",TO_TEXT($A1001))"),"P12SI-1000")</f>
        <v>P12SI-1000</v>
      </c>
      <c r="I1001" s="6"/>
      <c r="J1001" s="6" t="s">
        <v>6855</v>
      </c>
      <c r="K1001" s="37"/>
      <c r="L1001" s="37"/>
      <c r="M1001" s="6" t="s">
        <v>141</v>
      </c>
      <c r="N1001" s="17"/>
      <c r="O1001" s="17"/>
      <c r="P1001" s="17"/>
      <c r="Q1001" s="35" t="s">
        <v>35</v>
      </c>
      <c r="R1001" s="10" t="s">
        <v>35</v>
      </c>
      <c r="S1001" s="10" t="s">
        <v>36</v>
      </c>
      <c r="T1001" s="10" t="s">
        <v>6856</v>
      </c>
      <c r="U1001" s="173" t="s">
        <v>38</v>
      </c>
      <c r="V1001" s="181" t="s">
        <v>1483</v>
      </c>
      <c r="W1001" s="20" t="s">
        <v>1484</v>
      </c>
      <c r="X1001" s="20" t="s">
        <v>1484</v>
      </c>
      <c r="Y1001" s="20"/>
      <c r="Z1001" s="26"/>
      <c r="AA1001" s="26"/>
      <c r="AB1001" s="26"/>
      <c r="AC1001" s="26"/>
    </row>
    <row r="1002" spans="1:29" ht="15.75" customHeight="1">
      <c r="A1002" s="10" t="s">
        <v>6857</v>
      </c>
      <c r="B1002" s="10" t="s">
        <v>1469</v>
      </c>
      <c r="C1002" s="61" t="s">
        <v>1470</v>
      </c>
      <c r="D1002" s="12"/>
      <c r="E1002" s="13" t="s">
        <v>151</v>
      </c>
      <c r="F1002" s="6" t="s">
        <v>6858</v>
      </c>
      <c r="G1002" s="6" t="str">
        <f ca="1">IFERROR(__xludf.DUMMYFUNCTION("CONCATENATE(B1002,(VLOOKUP(C1002,CATALOGOS!$F$2:$H$6,3,FALSE)),(VLOOKUP(V1002,CATALOGOS!$J$2:$K$18,2,FALSE)),""-"",TO_TEXT(A1002))"),"P12SI-1001")</f>
        <v>P12SI-1001</v>
      </c>
      <c r="H1002" s="6" t="str">
        <f ca="1">IFERROR(__xludf.DUMMYFUNCTION("CONCATENATE($B1002,(VLOOKUP($C1002,CATALOGOS!$F$2:$H$6,3,FALSE)),(VLOOKUP($V1002,CATALOGOS!$J$2:$K$18,2,FALSE)),""-"",TO_TEXT($A1002))"),"P12SI-1001")</f>
        <v>P12SI-1001</v>
      </c>
      <c r="I1002" s="6"/>
      <c r="J1002" s="6" t="s">
        <v>6859</v>
      </c>
      <c r="K1002" s="37"/>
      <c r="L1002" s="37"/>
      <c r="M1002" s="6" t="s">
        <v>141</v>
      </c>
      <c r="N1002" s="17"/>
      <c r="O1002" s="17"/>
      <c r="P1002" s="17"/>
      <c r="Q1002" s="35" t="s">
        <v>35</v>
      </c>
      <c r="R1002" s="10" t="s">
        <v>6860</v>
      </c>
      <c r="S1002" s="10" t="s">
        <v>6861</v>
      </c>
      <c r="T1002" s="10" t="s">
        <v>85</v>
      </c>
      <c r="U1002" s="173" t="s">
        <v>38</v>
      </c>
      <c r="V1002" s="181" t="s">
        <v>1483</v>
      </c>
      <c r="W1002" s="20" t="s">
        <v>2533</v>
      </c>
      <c r="X1002" s="20" t="s">
        <v>2533</v>
      </c>
      <c r="Y1002" s="20"/>
      <c r="Z1002" s="26"/>
      <c r="AA1002" s="26"/>
      <c r="AB1002" s="26"/>
      <c r="AC1002" s="26"/>
    </row>
    <row r="1003" spans="1:29" ht="15.75" customHeight="1">
      <c r="A1003" s="10" t="s">
        <v>6863</v>
      </c>
      <c r="B1003" s="10" t="s">
        <v>1469</v>
      </c>
      <c r="C1003" s="61" t="s">
        <v>1470</v>
      </c>
      <c r="D1003" s="12"/>
      <c r="E1003" s="13" t="s">
        <v>151</v>
      </c>
      <c r="F1003" s="6" t="s">
        <v>6858</v>
      </c>
      <c r="G1003" s="6" t="str">
        <f ca="1">IFERROR(__xludf.DUMMYFUNCTION("CONCATENATE(B1003,(VLOOKUP(C1003,CATALOGOS!$F$2:$H$6,3,FALSE)),(VLOOKUP(V1003,CATALOGOS!$J$2:$K$18,2,FALSE)),""-"",TO_TEXT(A1003))"),"P12SI-1002")</f>
        <v>P12SI-1002</v>
      </c>
      <c r="H1003" s="6" t="str">
        <f ca="1">IFERROR(__xludf.DUMMYFUNCTION("CONCATENATE($B1003,(VLOOKUP($C1003,CATALOGOS!$F$2:$H$6,3,FALSE)),(VLOOKUP($V1003,CATALOGOS!$J$2:$K$18,2,FALSE)),""-"",TO_TEXT($A1003))"),"P12SI-1002")</f>
        <v>P12SI-1002</v>
      </c>
      <c r="I1003" s="6"/>
      <c r="J1003" s="6" t="s">
        <v>6864</v>
      </c>
      <c r="K1003" s="37"/>
      <c r="L1003" s="37"/>
      <c r="M1003" s="6" t="s">
        <v>141</v>
      </c>
      <c r="N1003" s="17"/>
      <c r="O1003" s="17"/>
      <c r="P1003" s="17"/>
      <c r="Q1003" s="35" t="s">
        <v>2317</v>
      </c>
      <c r="R1003" s="10" t="s">
        <v>6860</v>
      </c>
      <c r="S1003" s="10" t="s">
        <v>6865</v>
      </c>
      <c r="T1003" s="10" t="s">
        <v>85</v>
      </c>
      <c r="U1003" s="173" t="s">
        <v>38</v>
      </c>
      <c r="V1003" s="181" t="s">
        <v>1483</v>
      </c>
      <c r="W1003" s="20" t="s">
        <v>3173</v>
      </c>
      <c r="X1003" s="20" t="s">
        <v>3173</v>
      </c>
      <c r="Y1003" s="20"/>
      <c r="Z1003" s="26"/>
      <c r="AA1003" s="26"/>
      <c r="AB1003" s="26"/>
      <c r="AC1003" s="26"/>
    </row>
    <row r="1004" spans="1:29" ht="15.75" customHeight="1">
      <c r="A1004" s="10" t="s">
        <v>6867</v>
      </c>
      <c r="B1004" s="10" t="s">
        <v>1469</v>
      </c>
      <c r="C1004" s="61" t="s">
        <v>1470</v>
      </c>
      <c r="D1004" s="12"/>
      <c r="E1004" s="13" t="s">
        <v>378</v>
      </c>
      <c r="F1004" s="6" t="s">
        <v>379</v>
      </c>
      <c r="G1004" s="6" t="str">
        <f ca="1">IFERROR(__xludf.DUMMYFUNCTION("CONCATENATE(B1004,(VLOOKUP(C1004,CATALOGOS!$F$2:$H$6,3,FALSE)),(VLOOKUP(V1004,CATALOGOS!$J$2:$K$18,2,FALSE)),""-"",TO_TEXT(A1004))"),"P12SI-1003")</f>
        <v>P12SI-1003</v>
      </c>
      <c r="H1004" s="6" t="str">
        <f ca="1">IFERROR(__xludf.DUMMYFUNCTION("CONCATENATE($B1004,(VLOOKUP($C1004,CATALOGOS!$F$2:$H$6,3,FALSE)),(VLOOKUP($V1004,CATALOGOS!$J$2:$K$18,2,FALSE)),""-"",TO_TEXT($A1004))"),"P12SI-1003")</f>
        <v>P12SI-1003</v>
      </c>
      <c r="I1004" s="6"/>
      <c r="J1004" s="6" t="s">
        <v>6868</v>
      </c>
      <c r="K1004" s="37"/>
      <c r="L1004" s="37"/>
      <c r="M1004" s="6" t="s">
        <v>141</v>
      </c>
      <c r="N1004" s="17"/>
      <c r="O1004" s="17"/>
      <c r="P1004" s="17"/>
      <c r="Q1004" s="35" t="s">
        <v>35</v>
      </c>
      <c r="R1004" s="10" t="s">
        <v>35</v>
      </c>
      <c r="S1004" s="10" t="s">
        <v>36</v>
      </c>
      <c r="T1004" s="10" t="s">
        <v>6869</v>
      </c>
      <c r="U1004" s="173" t="s">
        <v>38</v>
      </c>
      <c r="V1004" s="181" t="s">
        <v>1483</v>
      </c>
      <c r="W1004" s="20" t="s">
        <v>3173</v>
      </c>
      <c r="X1004" s="20" t="s">
        <v>3173</v>
      </c>
      <c r="Y1004" s="20"/>
      <c r="Z1004" s="26"/>
      <c r="AA1004" s="26"/>
      <c r="AB1004" s="26"/>
      <c r="AC1004" s="26"/>
    </row>
    <row r="1005" spans="1:29" ht="15.75" customHeight="1">
      <c r="A1005" s="10" t="s">
        <v>6870</v>
      </c>
      <c r="B1005" s="10" t="s">
        <v>4410</v>
      </c>
      <c r="C1005" s="61" t="s">
        <v>4411</v>
      </c>
      <c r="D1005" s="12"/>
      <c r="E1005" s="13" t="s">
        <v>184</v>
      </c>
      <c r="F1005" s="6" t="s">
        <v>6871</v>
      </c>
      <c r="G1005" s="15" t="str">
        <f ca="1">IFERROR(__xludf.DUMMYFUNCTION("CONCATENATE(B1005,(VLOOKUP(C1005,CATALOGOS!$F$2:$H$6,3,FALSE)),(VLOOKUP(V1005,CATALOGOS!$J$2:$K$18,2,FALSE)),""-"",TO_TEXT(A1005))"),"P24SJ-1004")</f>
        <v>P24SJ-1004</v>
      </c>
      <c r="H1005" s="6" t="str">
        <f ca="1">IFERROR(__xludf.DUMMYFUNCTION("CONCATENATE($B1005,(VLOOKUP($C1005,CATALOGOS!$F$2:$H$6,3,FALSE)),(VLOOKUP($V1005,CATALOGOS!$J$2:$K$18,2,FALSE)),""-"",TO_TEXT($A1005))"),"P24SJ-1004")</f>
        <v>P24SJ-1004</v>
      </c>
      <c r="I1005" s="6"/>
      <c r="J1005" s="6" t="s">
        <v>6872</v>
      </c>
      <c r="K1005" s="37"/>
      <c r="L1005" s="37"/>
      <c r="M1005" s="6" t="s">
        <v>141</v>
      </c>
      <c r="N1005" s="17"/>
      <c r="O1005" s="17"/>
      <c r="P1005" s="17"/>
      <c r="Q1005" s="35" t="s">
        <v>35</v>
      </c>
      <c r="R1005" s="10" t="s">
        <v>35</v>
      </c>
      <c r="S1005" s="10" t="s">
        <v>36</v>
      </c>
      <c r="T1005" s="10" t="s">
        <v>6873</v>
      </c>
      <c r="U1005" s="173" t="s">
        <v>38</v>
      </c>
      <c r="V1005" s="189" t="s">
        <v>4411</v>
      </c>
      <c r="W1005" s="20" t="s">
        <v>4935</v>
      </c>
      <c r="X1005" s="20" t="s">
        <v>4935</v>
      </c>
      <c r="Y1005" s="20"/>
      <c r="Z1005" s="26"/>
      <c r="AA1005" s="26"/>
      <c r="AB1005" s="26"/>
      <c r="AC1005" s="26"/>
    </row>
    <row r="1006" spans="1:29" ht="15.75" customHeight="1">
      <c r="A1006" s="10" t="s">
        <v>6874</v>
      </c>
      <c r="B1006" s="10" t="s">
        <v>4410</v>
      </c>
      <c r="C1006" s="61" t="s">
        <v>4411</v>
      </c>
      <c r="D1006" s="12"/>
      <c r="E1006" s="13" t="s">
        <v>184</v>
      </c>
      <c r="F1006" s="6" t="s">
        <v>6871</v>
      </c>
      <c r="G1006" s="15" t="str">
        <f ca="1">IFERROR(__xludf.DUMMYFUNCTION("CONCATENATE(B1006,(VLOOKUP(C1006,CATALOGOS!$F$2:$H$6,3,FALSE)),(VLOOKUP(V1006,CATALOGOS!$J$2:$K$18,2,FALSE)),""-"",TO_TEXT(A1006))"),"P24SJ-1005")</f>
        <v>P24SJ-1005</v>
      </c>
      <c r="H1006" s="6" t="str">
        <f ca="1">IFERROR(__xludf.DUMMYFUNCTION("CONCATENATE($B1006,(VLOOKUP($C1006,CATALOGOS!$F$2:$H$6,3,FALSE)),(VLOOKUP($V1006,CATALOGOS!$J$2:$K$18,2,FALSE)),""-"",TO_TEXT($A1006))"),"P24SJ-1005")</f>
        <v>P24SJ-1005</v>
      </c>
      <c r="I1006" s="6"/>
      <c r="J1006" s="6" t="s">
        <v>6875</v>
      </c>
      <c r="K1006" s="37"/>
      <c r="L1006" s="37"/>
      <c r="M1006" s="6" t="s">
        <v>141</v>
      </c>
      <c r="N1006" s="17"/>
      <c r="O1006" s="17"/>
      <c r="P1006" s="17"/>
      <c r="Q1006" s="35" t="s">
        <v>35</v>
      </c>
      <c r="R1006" s="10" t="s">
        <v>35</v>
      </c>
      <c r="S1006" s="10" t="s">
        <v>36</v>
      </c>
      <c r="T1006" s="10" t="s">
        <v>6876</v>
      </c>
      <c r="U1006" s="173" t="s">
        <v>38</v>
      </c>
      <c r="V1006" s="189" t="s">
        <v>4411</v>
      </c>
      <c r="W1006" s="20" t="s">
        <v>4935</v>
      </c>
      <c r="X1006" s="20" t="s">
        <v>4935</v>
      </c>
      <c r="Y1006" s="20"/>
      <c r="Z1006" s="26"/>
      <c r="AA1006" s="26"/>
      <c r="AB1006" s="26"/>
      <c r="AC1006" s="26"/>
    </row>
    <row r="1007" spans="1:29" ht="15.75" customHeight="1">
      <c r="A1007" s="10" t="s">
        <v>6877</v>
      </c>
      <c r="B1007" s="10" t="s">
        <v>4410</v>
      </c>
      <c r="C1007" s="61" t="s">
        <v>4411</v>
      </c>
      <c r="D1007" s="12"/>
      <c r="E1007" s="13" t="s">
        <v>43</v>
      </c>
      <c r="F1007" s="6" t="s">
        <v>6878</v>
      </c>
      <c r="G1007" s="15" t="str">
        <f ca="1">IFERROR(__xludf.DUMMYFUNCTION("CONCATENATE(B1007,(VLOOKUP(C1007,CATALOGOS!$F$2:$H$6,3,FALSE)),(VLOOKUP(V1007,CATALOGOS!$J$2:$K$18,2,FALSE)),""-"",TO_TEXT(A1007))"),"P24SJ-1006")</f>
        <v>P24SJ-1006</v>
      </c>
      <c r="H1007" s="6" t="str">
        <f ca="1">IFERROR(__xludf.DUMMYFUNCTION("CONCATENATE($B1007,(VLOOKUP($C1007,CATALOGOS!$F$2:$H$6,3,FALSE)),(VLOOKUP($V1007,CATALOGOS!$J$2:$K$18,2,FALSE)),""-"",TO_TEXT($A1007))"),"P24SJ-1006")</f>
        <v>P24SJ-1006</v>
      </c>
      <c r="I1007" s="6"/>
      <c r="J1007" s="6" t="s">
        <v>6879</v>
      </c>
      <c r="K1007" s="37"/>
      <c r="L1007" s="37"/>
      <c r="M1007" s="6" t="s">
        <v>141</v>
      </c>
      <c r="N1007" s="17"/>
      <c r="O1007" s="17"/>
      <c r="P1007" s="17"/>
      <c r="Q1007" s="35" t="s">
        <v>49</v>
      </c>
      <c r="R1007" s="10">
        <v>3196</v>
      </c>
      <c r="S1007" s="10" t="s">
        <v>36</v>
      </c>
      <c r="T1007" s="10" t="s">
        <v>6880</v>
      </c>
      <c r="U1007" s="173" t="s">
        <v>38</v>
      </c>
      <c r="V1007" s="189" t="s">
        <v>4411</v>
      </c>
      <c r="W1007" s="20" t="s">
        <v>4935</v>
      </c>
      <c r="X1007" s="20" t="s">
        <v>4935</v>
      </c>
      <c r="Y1007" s="20"/>
      <c r="Z1007" s="26"/>
      <c r="AA1007" s="26"/>
      <c r="AB1007" s="26"/>
      <c r="AC1007" s="26"/>
    </row>
    <row r="1008" spans="1:29" ht="15.75" customHeight="1">
      <c r="A1008" s="10" t="s">
        <v>6881</v>
      </c>
      <c r="B1008" s="10" t="s">
        <v>4410</v>
      </c>
      <c r="C1008" s="61" t="s">
        <v>4411</v>
      </c>
      <c r="D1008" s="12"/>
      <c r="E1008" s="13" t="s">
        <v>321</v>
      </c>
      <c r="F1008" s="6" t="s">
        <v>6882</v>
      </c>
      <c r="G1008" s="15" t="str">
        <f ca="1">IFERROR(__xludf.DUMMYFUNCTION("CONCATENATE(B1008,(VLOOKUP(C1008,CATALOGOS!$F$2:$H$6,3,FALSE)),(VLOOKUP(V1008,CATALOGOS!$J$2:$K$18,2,FALSE)),""-"",TO_TEXT(A1008))"),"P24SJ-1007")</f>
        <v>P24SJ-1007</v>
      </c>
      <c r="H1008" s="6" t="str">
        <f ca="1">IFERROR(__xludf.DUMMYFUNCTION("CONCATENATE($B1008,(VLOOKUP($C1008,CATALOGOS!$F$2:$H$6,3,FALSE)),(VLOOKUP($V1008,CATALOGOS!$J$2:$K$18,2,FALSE)),""-"",TO_TEXT($A1008))"),"P24SJ-1007")</f>
        <v>P24SJ-1007</v>
      </c>
      <c r="I1008" s="6"/>
      <c r="J1008" s="6" t="s">
        <v>6883</v>
      </c>
      <c r="K1008" s="37"/>
      <c r="L1008" s="37"/>
      <c r="M1008" s="6" t="s">
        <v>141</v>
      </c>
      <c r="N1008" s="17"/>
      <c r="O1008" s="17"/>
      <c r="P1008" s="17"/>
      <c r="Q1008" s="35" t="s">
        <v>6884</v>
      </c>
      <c r="R1008" s="10" t="s">
        <v>6885</v>
      </c>
      <c r="S1008" s="10" t="s">
        <v>36</v>
      </c>
      <c r="T1008" s="10" t="s">
        <v>85</v>
      </c>
      <c r="U1008" s="179" t="s">
        <v>517</v>
      </c>
      <c r="V1008" s="189" t="s">
        <v>4411</v>
      </c>
      <c r="W1008" s="20" t="s">
        <v>5138</v>
      </c>
      <c r="X1008" s="20" t="s">
        <v>5138</v>
      </c>
      <c r="Y1008" s="20"/>
      <c r="Z1008" s="26"/>
      <c r="AA1008" s="26"/>
      <c r="AB1008" s="26"/>
      <c r="AC1008" s="26"/>
    </row>
    <row r="1009" spans="1:29" ht="15.75" customHeight="1">
      <c r="A1009" s="10" t="s">
        <v>6886</v>
      </c>
      <c r="B1009" s="10" t="s">
        <v>4410</v>
      </c>
      <c r="C1009" s="61" t="s">
        <v>4411</v>
      </c>
      <c r="D1009" s="12"/>
      <c r="E1009" s="13" t="s">
        <v>184</v>
      </c>
      <c r="F1009" s="6" t="s">
        <v>927</v>
      </c>
      <c r="G1009" s="15" t="str">
        <f ca="1">IFERROR(__xludf.DUMMYFUNCTION("CONCATENATE(B1009,(VLOOKUP(C1009,CATALOGOS!$F$2:$H$6,3,FALSE)),(VLOOKUP(V1009,CATALOGOS!$J$2:$K$18,2,FALSE)),""-"",TO_TEXT(A1009))"),"P24SJ-1008")</f>
        <v>P24SJ-1008</v>
      </c>
      <c r="H1009" s="6" t="str">
        <f ca="1">IFERROR(__xludf.DUMMYFUNCTION("CONCATENATE($B1009,(VLOOKUP($C1009,CATALOGOS!$F$2:$H$6,3,FALSE)),(VLOOKUP($V1009,CATALOGOS!$J$2:$K$18,2,FALSE)),""-"",TO_TEXT($A1009))"),"P24SJ-1008")</f>
        <v>P24SJ-1008</v>
      </c>
      <c r="I1009" s="6"/>
      <c r="J1009" s="6" t="s">
        <v>6887</v>
      </c>
      <c r="K1009" s="37"/>
      <c r="L1009" s="37"/>
      <c r="M1009" s="6" t="s">
        <v>141</v>
      </c>
      <c r="N1009" s="17"/>
      <c r="O1009" s="17"/>
      <c r="P1009" s="17"/>
      <c r="Q1009" s="35" t="s">
        <v>35</v>
      </c>
      <c r="R1009" s="10" t="s">
        <v>35</v>
      </c>
      <c r="S1009" s="10" t="s">
        <v>36</v>
      </c>
      <c r="T1009" s="10" t="s">
        <v>6888</v>
      </c>
      <c r="U1009" s="173" t="s">
        <v>38</v>
      </c>
      <c r="V1009" s="189" t="s">
        <v>4411</v>
      </c>
      <c r="W1009" s="20" t="s">
        <v>5223</v>
      </c>
      <c r="X1009" s="20" t="s">
        <v>5223</v>
      </c>
      <c r="Y1009" s="20"/>
      <c r="Z1009" s="26"/>
      <c r="AA1009" s="26"/>
      <c r="AB1009" s="26"/>
      <c r="AC1009" s="26"/>
    </row>
    <row r="1010" spans="1:29" ht="15.75" customHeight="1">
      <c r="A1010" s="10" t="s">
        <v>6889</v>
      </c>
      <c r="B1010" s="10" t="s">
        <v>4410</v>
      </c>
      <c r="C1010" s="61" t="s">
        <v>4411</v>
      </c>
      <c r="D1010" s="12"/>
      <c r="E1010" s="13" t="s">
        <v>210</v>
      </c>
      <c r="F1010" s="6" t="s">
        <v>210</v>
      </c>
      <c r="G1010" s="15" t="str">
        <f ca="1">IFERROR(__xludf.DUMMYFUNCTION("CONCATENATE(B1010,(VLOOKUP(C1010,CATALOGOS!$F$2:$H$6,3,FALSE)),(VLOOKUP(V1010,CATALOGOS!$J$2:$K$18,2,FALSE)),""-"",TO_TEXT(A1010))"),"P24NV-1009")</f>
        <v>P24NV-1009</v>
      </c>
      <c r="H1010" s="6" t="str">
        <f ca="1">IFERROR(__xludf.DUMMYFUNCTION("CONCATENATE($B1010,(VLOOKUP($C1010,CATALOGOS!$F$2:$H$6,3,FALSE)),(VLOOKUP($V1010,CATALOGOS!$J$2:$K$18,2,FALSE)),""-"",TO_TEXT($A1010))"),"P24NV-1009")</f>
        <v>P24NV-1009</v>
      </c>
      <c r="I1010" s="6"/>
      <c r="J1010" s="6" t="s">
        <v>6890</v>
      </c>
      <c r="K1010" s="37"/>
      <c r="L1010" s="37"/>
      <c r="M1010" s="6" t="s">
        <v>141</v>
      </c>
      <c r="N1010" s="17"/>
      <c r="O1010" s="17"/>
      <c r="P1010" s="17"/>
      <c r="Q1010" s="35" t="s">
        <v>216</v>
      </c>
      <c r="R1010" s="10" t="s">
        <v>6891</v>
      </c>
      <c r="S1010" s="10" t="s">
        <v>6892</v>
      </c>
      <c r="T1010" s="10" t="s">
        <v>6893</v>
      </c>
      <c r="U1010" s="173" t="s">
        <v>38</v>
      </c>
      <c r="V1010" s="181" t="s">
        <v>5695</v>
      </c>
      <c r="W1010" s="20" t="s">
        <v>5696</v>
      </c>
      <c r="X1010" s="20" t="s">
        <v>5696</v>
      </c>
      <c r="Y1010" s="20"/>
      <c r="Z1010" s="26"/>
      <c r="AA1010" s="26"/>
      <c r="AB1010" s="26"/>
      <c r="AC1010" s="26"/>
    </row>
    <row r="1011" spans="1:29" ht="15.75" customHeight="1">
      <c r="A1011" s="10" t="s">
        <v>6894</v>
      </c>
      <c r="B1011" s="10" t="s">
        <v>4410</v>
      </c>
      <c r="C1011" s="61" t="s">
        <v>4411</v>
      </c>
      <c r="D1011" s="12"/>
      <c r="E1011" s="13" t="s">
        <v>2311</v>
      </c>
      <c r="F1011" s="6" t="s">
        <v>6895</v>
      </c>
      <c r="G1011" s="64" t="str">
        <f ca="1">IFERROR(__xludf.DUMMYFUNCTION("CONCATENATE(B1011,(VLOOKUP(C1011,CATALOGOS!$F$2:$H$6,3,FALSE)),(VLOOKUP(V1011,CATALOGOS!$J$2:$K$18,2,FALSE)),""-"",TO_TEXT(A1011))"),"P24NV-1010")</f>
        <v>P24NV-1010</v>
      </c>
      <c r="H1011" s="6" t="str">
        <f ca="1">IFERROR(__xludf.DUMMYFUNCTION("CONCATENATE($B1011,(VLOOKUP($C1011,CATALOGOS!$F$2:$H$6,3,FALSE)),(VLOOKUP($V1011,CATALOGOS!$J$2:$K$18,2,FALSE)),""-"",TO_TEXT($A1011))"),"P24NV-1010")</f>
        <v>P24NV-1010</v>
      </c>
      <c r="I1011" s="6"/>
      <c r="J1011" s="6" t="s">
        <v>6896</v>
      </c>
      <c r="K1011" s="37"/>
      <c r="L1011" s="37"/>
      <c r="M1011" s="6" t="s">
        <v>141</v>
      </c>
      <c r="N1011" s="17"/>
      <c r="O1011" s="17"/>
      <c r="P1011" s="17"/>
      <c r="Q1011" s="35" t="s">
        <v>682</v>
      </c>
      <c r="R1011" s="10" t="s">
        <v>6897</v>
      </c>
      <c r="S1011" s="10" t="s">
        <v>6898</v>
      </c>
      <c r="T1011" s="10" t="s">
        <v>6899</v>
      </c>
      <c r="U1011" s="173" t="s">
        <v>38</v>
      </c>
      <c r="V1011" s="181" t="s">
        <v>5695</v>
      </c>
      <c r="W1011" s="20" t="s">
        <v>5696</v>
      </c>
      <c r="X1011" s="20" t="s">
        <v>5696</v>
      </c>
      <c r="Y1011" s="20"/>
      <c r="Z1011" s="26"/>
      <c r="AA1011" s="26"/>
      <c r="AB1011" s="26"/>
      <c r="AC1011" s="26"/>
    </row>
    <row r="1012" spans="1:29" ht="15.75" customHeight="1">
      <c r="A1012" s="10" t="s">
        <v>6900</v>
      </c>
      <c r="B1012" s="10" t="s">
        <v>4410</v>
      </c>
      <c r="C1012" s="61" t="s">
        <v>4411</v>
      </c>
      <c r="D1012" s="12"/>
      <c r="E1012" s="13" t="s">
        <v>184</v>
      </c>
      <c r="F1012" s="6" t="s">
        <v>6901</v>
      </c>
      <c r="G1012" s="15" t="str">
        <f ca="1">IFERROR(__xludf.DUMMYFUNCTION("CONCATENATE(B1012,(VLOOKUP(C1012,CATALOGOS!$F$2:$H$6,3,FALSE)),(VLOOKUP(V1012,CATALOGOS!$J$2:$K$18,2,FALSE)),""-"",TO_TEXT(A1012))"),"P24CS-1011")</f>
        <v>P24CS-1011</v>
      </c>
      <c r="H1012" s="6" t="str">
        <f ca="1">IFERROR(__xludf.DUMMYFUNCTION("CONCATENATE($B1012,(VLOOKUP($C1012,CATALOGOS!$F$2:$H$6,3,FALSE)),(VLOOKUP($V1012,CATALOGOS!$J$2:$K$18,2,FALSE)),""-"",TO_TEXT($A1012))"),"P24CS-1011")</f>
        <v>P24CS-1011</v>
      </c>
      <c r="I1012" s="6"/>
      <c r="J1012" s="6" t="s">
        <v>6902</v>
      </c>
      <c r="K1012" s="37"/>
      <c r="L1012" s="37"/>
      <c r="M1012" s="6" t="s">
        <v>141</v>
      </c>
      <c r="N1012" s="17"/>
      <c r="O1012" s="17"/>
      <c r="P1012" s="17"/>
      <c r="Q1012" s="35" t="s">
        <v>35</v>
      </c>
      <c r="R1012" s="10" t="s">
        <v>35</v>
      </c>
      <c r="S1012" s="10" t="s">
        <v>36</v>
      </c>
      <c r="T1012" s="10" t="s">
        <v>6903</v>
      </c>
      <c r="U1012" s="173" t="s">
        <v>38</v>
      </c>
      <c r="V1012" s="189" t="s">
        <v>4979</v>
      </c>
      <c r="W1012" s="20" t="s">
        <v>4980</v>
      </c>
      <c r="X1012" s="20" t="s">
        <v>4980</v>
      </c>
      <c r="Y1012" s="20"/>
      <c r="Z1012" s="26"/>
      <c r="AA1012" s="26"/>
      <c r="AB1012" s="26"/>
      <c r="AC1012" s="26"/>
    </row>
    <row r="1013" spans="1:29" ht="15.75" customHeight="1">
      <c r="A1013" s="10" t="s">
        <v>6904</v>
      </c>
      <c r="B1013" s="10" t="s">
        <v>1469</v>
      </c>
      <c r="C1013" s="61" t="s">
        <v>1470</v>
      </c>
      <c r="D1013" s="12"/>
      <c r="E1013" s="13" t="s">
        <v>2502</v>
      </c>
      <c r="F1013" s="6" t="s">
        <v>6905</v>
      </c>
      <c r="G1013" s="6" t="str">
        <f ca="1">IFERROR(__xludf.DUMMYFUNCTION("CONCATENATE(B1013,(VLOOKUP(C1013,CATALOGOS!$F$2:$H$6,3,FALSE)),(VLOOKUP(V1013,CATALOGOS!$J$2:$K$18,2,FALSE)),""-"",TO_TEXT(A1013))"),"P12SI-1012")</f>
        <v>P12SI-1012</v>
      </c>
      <c r="H1013" s="6" t="str">
        <f ca="1">IFERROR(__xludf.DUMMYFUNCTION("CONCATENATE($B1013,(VLOOKUP($C1013,CATALOGOS!$F$2:$H$6,3,FALSE)),(VLOOKUP($V1013,CATALOGOS!$J$2:$K$18,2,FALSE)),""-"",TO_TEXT($A1013))"),"P12SI-1012")</f>
        <v>P12SI-1012</v>
      </c>
      <c r="I1013" s="6"/>
      <c r="J1013" s="6" t="s">
        <v>6906</v>
      </c>
      <c r="K1013" s="37"/>
      <c r="L1013" s="37"/>
      <c r="M1013" s="6" t="s">
        <v>141</v>
      </c>
      <c r="N1013" s="17"/>
      <c r="O1013" s="17"/>
      <c r="P1013" s="17"/>
      <c r="Q1013" s="35" t="s">
        <v>179</v>
      </c>
      <c r="R1013" s="10" t="s">
        <v>6907</v>
      </c>
      <c r="S1013" s="10" t="s">
        <v>6908</v>
      </c>
      <c r="T1013" s="10" t="s">
        <v>85</v>
      </c>
      <c r="U1013" s="173" t="s">
        <v>38</v>
      </c>
      <c r="V1013" s="181" t="s">
        <v>1483</v>
      </c>
      <c r="W1013" s="20" t="s">
        <v>1484</v>
      </c>
      <c r="X1013" s="20" t="s">
        <v>1484</v>
      </c>
      <c r="Y1013" s="20"/>
      <c r="Z1013" s="26"/>
      <c r="AA1013" s="26"/>
      <c r="AB1013" s="26"/>
      <c r="AC1013" s="26"/>
    </row>
    <row r="1014" spans="1:29" ht="15.75" customHeight="1">
      <c r="A1014" s="10" t="s">
        <v>6910</v>
      </c>
      <c r="B1014" s="86" t="s">
        <v>474</v>
      </c>
      <c r="C1014" s="86" t="s">
        <v>28</v>
      </c>
      <c r="E1014" s="86" t="s">
        <v>378</v>
      </c>
      <c r="F1014" s="86" t="s">
        <v>535</v>
      </c>
      <c r="G1014" s="6" t="str">
        <f ca="1">IFERROR(__xludf.DUMMYFUNCTION("CONCATENATE(B1014,(VLOOKUP(C1014,CATALOGOS!$F$2:$H$6,3,FALSE)),(VLOOKUP(V1014,CATALOGOS!$J$2:$K$18,2,FALSE)),""-"",TO_TEXT(A1014))"),"P35DA-1013")</f>
        <v>P35DA-1013</v>
      </c>
      <c r="H1014" s="6" t="str">
        <f ca="1">IFERROR(__xludf.DUMMYFUNCTION("CONCATENATE($B1014,(VLOOKUP($C1014,CATALOGOS!$F$2:$H$6,3,FALSE)),(VLOOKUP($V1014,CATALOGOS!$J$2:$K$18,2,FALSE)),""-"",TO_TEXT($A1014))"),"P35DA-1013")</f>
        <v>P35DA-1013</v>
      </c>
      <c r="I1014" s="6"/>
      <c r="J1014" s="6" t="s">
        <v>6911</v>
      </c>
      <c r="M1014" s="86" t="s">
        <v>141</v>
      </c>
      <c r="Q1014" s="86" t="s">
        <v>35</v>
      </c>
      <c r="R1014" s="86" t="s">
        <v>35</v>
      </c>
      <c r="S1014" s="86" t="s">
        <v>36</v>
      </c>
      <c r="T1014" s="86" t="s">
        <v>85</v>
      </c>
      <c r="U1014" s="86" t="s">
        <v>517</v>
      </c>
      <c r="V1014" s="86" t="s">
        <v>28</v>
      </c>
      <c r="W1014" s="86" t="s">
        <v>40</v>
      </c>
      <c r="X1014" s="86" t="s">
        <v>40</v>
      </c>
      <c r="Y1014" s="86"/>
      <c r="Z1014" s="26"/>
      <c r="AA1014" s="26"/>
      <c r="AB1014" s="26"/>
      <c r="AC1014" s="26"/>
    </row>
    <row r="1015" spans="1:29" ht="15.75" customHeight="1">
      <c r="A1015" s="10" t="s">
        <v>6912</v>
      </c>
      <c r="B1015" s="10" t="s">
        <v>27</v>
      </c>
      <c r="C1015" s="10" t="s">
        <v>28</v>
      </c>
      <c r="D1015" s="12"/>
      <c r="E1015" s="13" t="s">
        <v>62</v>
      </c>
      <c r="F1015" s="6" t="s">
        <v>6913</v>
      </c>
      <c r="G1015" s="6" t="str">
        <f ca="1">IFERROR(__xludf.DUMMYFUNCTION("CONCATENATE(B1015,(VLOOKUP(C1015,CATALOGOS!$F$2:$H$6,3,FALSE)),(VLOOKUP(V1015,CATALOGOS!$J$2:$K$18,2,FALSE)),""-"",TO_TEXT(A1015))"),"P05RM-1014")</f>
        <v>P05RM-1014</v>
      </c>
      <c r="H1015" s="6" t="str">
        <f ca="1">IFERROR(__xludf.DUMMYFUNCTION("CONCATENATE($B1015,(VLOOKUP($C1015,CATALOGOS!$F$2:$H$6,3,FALSE)),(VLOOKUP($V1015,CATALOGOS!$J$2:$K$18,2,FALSE)),""-"",TO_TEXT($A1015))"),"P05RM-1014")</f>
        <v>P05RM-1014</v>
      </c>
      <c r="I1015" s="6"/>
      <c r="J1015" s="6" t="s">
        <v>6914</v>
      </c>
      <c r="K1015" s="37"/>
      <c r="L1015" s="37"/>
      <c r="M1015" s="6" t="s">
        <v>141</v>
      </c>
      <c r="N1015" s="17"/>
      <c r="O1015" s="17"/>
      <c r="P1015" s="17"/>
      <c r="Q1015" s="35" t="s">
        <v>35</v>
      </c>
      <c r="R1015" s="10" t="s">
        <v>35</v>
      </c>
      <c r="S1015" s="10" t="s">
        <v>36</v>
      </c>
      <c r="T1015" s="10" t="s">
        <v>85</v>
      </c>
      <c r="U1015" s="173" t="s">
        <v>38</v>
      </c>
      <c r="V1015" s="189" t="s">
        <v>147</v>
      </c>
      <c r="W1015" s="20" t="s">
        <v>493</v>
      </c>
      <c r="X1015" s="20" t="s">
        <v>493</v>
      </c>
      <c r="Y1015" s="20"/>
      <c r="Z1015" s="26"/>
      <c r="AA1015" s="26"/>
      <c r="AB1015" s="26"/>
      <c r="AC1015" s="26"/>
    </row>
    <row r="1016" spans="1:29" ht="15.75" customHeight="1">
      <c r="A1016" s="10" t="s">
        <v>6915</v>
      </c>
      <c r="B1016" s="10" t="s">
        <v>27</v>
      </c>
      <c r="C1016" s="10" t="s">
        <v>1470</v>
      </c>
      <c r="D1016" s="12"/>
      <c r="E1016" s="13" t="s">
        <v>6916</v>
      </c>
      <c r="F1016" s="6" t="s">
        <v>6917</v>
      </c>
      <c r="G1016" s="15" t="str">
        <f ca="1">IFERROR(__xludf.DUMMYFUNCTION("CONCATENATE(B1016,(VLOOKUP(C1016,CATALOGOS!$F$2:$H$6,3,FALSE)),(VLOOKUP(V1016,CATALOGOS!$J$2:$K$18,2,FALSE)),""-"",TO_TEXT(A1016))"),"P02PP-1015")</f>
        <v>P02PP-1015</v>
      </c>
      <c r="H1016" s="6" t="str">
        <f ca="1">IFERROR(__xludf.DUMMYFUNCTION("CONCATENATE($B1016,(VLOOKUP($C1016,CATALOGOS!$F$2:$H$6,3,FALSE)),(VLOOKUP($V1016,CATALOGOS!$J$2:$K$18,2,FALSE)),""-"",TO_TEXT($A1016))"),"P02PP-1015")</f>
        <v>P02PP-1015</v>
      </c>
      <c r="I1016" s="6"/>
      <c r="J1016" s="6"/>
      <c r="K1016" s="37"/>
      <c r="L1016" s="37"/>
      <c r="M1016" s="6" t="s">
        <v>141</v>
      </c>
      <c r="N1016" s="17"/>
      <c r="O1016" s="17"/>
      <c r="P1016" s="17"/>
      <c r="Q1016" s="35" t="s">
        <v>6918</v>
      </c>
      <c r="R1016" s="10" t="s">
        <v>6919</v>
      </c>
      <c r="S1016" s="10">
        <v>41480</v>
      </c>
      <c r="T1016" s="10" t="s">
        <v>85</v>
      </c>
      <c r="U1016" s="191" t="s">
        <v>38</v>
      </c>
      <c r="V1016" s="189" t="s">
        <v>1548</v>
      </c>
      <c r="W1016" s="20" t="s">
        <v>1983</v>
      </c>
      <c r="X1016" s="20"/>
      <c r="Y1016" s="90"/>
      <c r="Z1016" s="26"/>
      <c r="AA1016" s="26"/>
      <c r="AB1016" s="26"/>
      <c r="AC1016" s="26"/>
    </row>
    <row r="1017" spans="1:29" ht="15.75" customHeight="1">
      <c r="A1017" s="10" t="s">
        <v>6921</v>
      </c>
      <c r="B1017" s="10" t="s">
        <v>27</v>
      </c>
      <c r="C1017" s="10" t="s">
        <v>1470</v>
      </c>
      <c r="D1017" s="12"/>
      <c r="E1017" s="13" t="s">
        <v>6916</v>
      </c>
      <c r="F1017" s="6" t="s">
        <v>6922</v>
      </c>
      <c r="G1017" s="15" t="str">
        <f ca="1">IFERROR(__xludf.DUMMYFUNCTION("CONCATENATE(B1017,(VLOOKUP(C1017,CATALOGOS!$F$2:$H$6,3,FALSE)),(VLOOKUP(V1017,CATALOGOS!$J$2:$K$18,2,FALSE)),""-"",TO_TEXT(A1017))"),"P02PP-1016")</f>
        <v>P02PP-1016</v>
      </c>
      <c r="H1017" s="6" t="str">
        <f ca="1">IFERROR(__xludf.DUMMYFUNCTION("CONCATENATE($B1017,(VLOOKUP($C1017,CATALOGOS!$F$2:$H$6,3,FALSE)),(VLOOKUP($V1017,CATALOGOS!$J$2:$K$18,2,FALSE)),""-"",TO_TEXT($A1017))"),"P02PP-1016")</f>
        <v>P02PP-1016</v>
      </c>
      <c r="I1017" s="6"/>
      <c r="J1017" s="6"/>
      <c r="K1017" s="37"/>
      <c r="L1017" s="37"/>
      <c r="M1017" s="6" t="s">
        <v>141</v>
      </c>
      <c r="N1017" s="17"/>
      <c r="O1017" s="17"/>
      <c r="P1017" s="17"/>
      <c r="Q1017" s="35" t="s">
        <v>6923</v>
      </c>
      <c r="R1017" s="10" t="s">
        <v>6924</v>
      </c>
      <c r="S1017" s="10" t="s">
        <v>6925</v>
      </c>
      <c r="T1017" s="10" t="s">
        <v>85</v>
      </c>
      <c r="U1017" s="191" t="s">
        <v>38</v>
      </c>
      <c r="V1017" s="189" t="s">
        <v>1548</v>
      </c>
      <c r="W1017" s="20" t="s">
        <v>1983</v>
      </c>
      <c r="X1017" s="20"/>
      <c r="Y1017" s="90"/>
      <c r="Z1017" s="26"/>
      <c r="AA1017" s="26"/>
      <c r="AB1017" s="26"/>
      <c r="AC1017" s="26"/>
    </row>
    <row r="1018" spans="1:29" ht="15.75" customHeight="1">
      <c r="A1018" s="10" t="s">
        <v>6927</v>
      </c>
      <c r="B1018" s="10" t="s">
        <v>27</v>
      </c>
      <c r="C1018" s="10" t="s">
        <v>1470</v>
      </c>
      <c r="D1018" s="12"/>
      <c r="E1018" s="13" t="s">
        <v>6928</v>
      </c>
      <c r="F1018" s="6" t="s">
        <v>6929</v>
      </c>
      <c r="G1018" s="15" t="str">
        <f ca="1">IFERROR(__xludf.DUMMYFUNCTION("CONCATENATE(B1018,(VLOOKUP(C1018,CATALOGOS!$F$2:$H$6,3,FALSE)),(VLOOKUP(V1018,CATALOGOS!$J$2:$K$18,2,FALSE)),""-"",TO_TEXT(A1018))"),"P02PP-1017")</f>
        <v>P02PP-1017</v>
      </c>
      <c r="H1018" s="6" t="str">
        <f ca="1">IFERROR(__xludf.DUMMYFUNCTION("CONCATENATE($B1018,(VLOOKUP($C1018,CATALOGOS!$F$2:$H$6,3,FALSE)),(VLOOKUP($V1018,CATALOGOS!$J$2:$K$18,2,FALSE)),""-"",TO_TEXT($A1018))"),"P02PP-1017")</f>
        <v>P02PP-1017</v>
      </c>
      <c r="I1018" s="6"/>
      <c r="J1018" s="6"/>
      <c r="K1018" s="37"/>
      <c r="L1018" s="37"/>
      <c r="M1018" s="6" t="s">
        <v>141</v>
      </c>
      <c r="N1018" s="17"/>
      <c r="O1018" s="17"/>
      <c r="P1018" s="17"/>
      <c r="Q1018" s="35" t="s">
        <v>6930</v>
      </c>
      <c r="R1018" s="10" t="s">
        <v>6931</v>
      </c>
      <c r="S1018" s="10">
        <v>264105</v>
      </c>
      <c r="T1018" s="10" t="s">
        <v>85</v>
      </c>
      <c r="U1018" s="191" t="s">
        <v>38</v>
      </c>
      <c r="V1018" s="189" t="s">
        <v>1548</v>
      </c>
      <c r="W1018" s="20" t="s">
        <v>1983</v>
      </c>
      <c r="X1018" s="20"/>
      <c r="Y1018" s="90"/>
      <c r="Z1018" s="26"/>
      <c r="AA1018" s="26"/>
      <c r="AB1018" s="26"/>
      <c r="AC1018" s="26"/>
    </row>
    <row r="1019" spans="1:29" ht="15.75" customHeight="1">
      <c r="A1019" s="10" t="s">
        <v>6933</v>
      </c>
      <c r="B1019" s="10" t="s">
        <v>27</v>
      </c>
      <c r="C1019" s="10" t="s">
        <v>868</v>
      </c>
      <c r="D1019" s="12"/>
      <c r="E1019" s="13" t="s">
        <v>199</v>
      </c>
      <c r="F1019" s="6" t="s">
        <v>199</v>
      </c>
      <c r="G1019" s="15" t="str">
        <f ca="1">IFERROR(__xludf.DUMMYFUNCTION("CONCATENATE(B1019,(VLOOKUP(C1019,CATALOGOS!$F$2:$H$6,3,FALSE)),(VLOOKUP(V1019,CATALOGOS!$J$2:$K$18,2,FALSE)),""-"",TO_TEXT(A1019))"),"P03CV-1018")</f>
        <v>P03CV-1018</v>
      </c>
      <c r="H1019" s="6" t="str">
        <f ca="1">IFERROR(__xludf.DUMMYFUNCTION("CONCATENATE($B1019,(VLOOKUP($C1019,CATALOGOS!$F$2:$H$6,3,FALSE)),(VLOOKUP($V1019,CATALOGOS!$J$2:$K$18,2,FALSE)),""-"",TO_TEXT($A1019))"),"P03CV-1018")</f>
        <v>P03CV-1018</v>
      </c>
      <c r="I1019" s="6"/>
      <c r="J1019" s="6"/>
      <c r="K1019" s="37"/>
      <c r="L1019" s="37"/>
      <c r="M1019" s="81"/>
      <c r="N1019" s="17"/>
      <c r="O1019" s="17"/>
      <c r="P1019" s="17"/>
      <c r="Q1019" s="35" t="s">
        <v>2748</v>
      </c>
      <c r="R1019" s="10" t="s">
        <v>6934</v>
      </c>
      <c r="S1019" s="10" t="s">
        <v>6935</v>
      </c>
      <c r="T1019" s="10" t="s">
        <v>85</v>
      </c>
      <c r="U1019" s="191" t="s">
        <v>38</v>
      </c>
      <c r="V1019" s="189" t="s">
        <v>875</v>
      </c>
      <c r="W1019" s="20" t="s">
        <v>1004</v>
      </c>
      <c r="X1019" s="90"/>
      <c r="Y1019" s="90"/>
      <c r="Z1019" s="26"/>
      <c r="AA1019" s="26"/>
      <c r="AB1019" s="26"/>
      <c r="AC1019" s="26"/>
    </row>
    <row r="1020" spans="1:29" ht="15.75" customHeight="1">
      <c r="A1020" s="10" t="s">
        <v>6937</v>
      </c>
      <c r="B1020" s="10" t="s">
        <v>27</v>
      </c>
      <c r="C1020" s="10" t="s">
        <v>868</v>
      </c>
      <c r="D1020" s="12"/>
      <c r="E1020" s="13" t="s">
        <v>151</v>
      </c>
      <c r="F1020" s="6" t="s">
        <v>6938</v>
      </c>
      <c r="G1020" s="15" t="str">
        <f ca="1">IFERROR(__xludf.DUMMYFUNCTION("CONCATENATE(B1020,(VLOOKUP(C1020,CATALOGOS!$F$2:$H$6,3,FALSE)),(VLOOKUP(V1020,CATALOGOS!$J$2:$K$18,2,FALSE)),""-"",TO_TEXT(A1020))"),"P03CV-1019")</f>
        <v>P03CV-1019</v>
      </c>
      <c r="H1020" s="6" t="str">
        <f ca="1">IFERROR(__xludf.DUMMYFUNCTION("CONCATENATE($B1020,(VLOOKUP($C1020,CATALOGOS!$F$2:$H$6,3,FALSE)),(VLOOKUP($V1020,CATALOGOS!$J$2:$K$18,2,FALSE)),""-"",TO_TEXT($A1020))"),"P03CV-1019")</f>
        <v>P03CV-1019</v>
      </c>
      <c r="I1020" s="6"/>
      <c r="J1020" s="6"/>
      <c r="K1020" s="37"/>
      <c r="L1020" s="37"/>
      <c r="M1020" s="81"/>
      <c r="N1020" s="17"/>
      <c r="O1020" s="17"/>
      <c r="P1020" s="17"/>
      <c r="Q1020" s="35" t="s">
        <v>2748</v>
      </c>
      <c r="R1020" s="10" t="s">
        <v>6939</v>
      </c>
      <c r="S1020" s="10" t="s">
        <v>8446</v>
      </c>
      <c r="T1020" s="10" t="s">
        <v>85</v>
      </c>
      <c r="U1020" s="191" t="s">
        <v>38</v>
      </c>
      <c r="V1020" s="189" t="s">
        <v>875</v>
      </c>
      <c r="W1020" s="20" t="s">
        <v>1004</v>
      </c>
      <c r="X1020" s="90"/>
      <c r="Y1020" s="90"/>
      <c r="Z1020" s="26"/>
      <c r="AA1020" s="26"/>
      <c r="AB1020" s="26"/>
      <c r="AC1020" s="26"/>
    </row>
    <row r="1021" spans="1:29" ht="15.75" customHeight="1">
      <c r="A1021" s="10" t="s">
        <v>6942</v>
      </c>
      <c r="B1021" s="10" t="s">
        <v>27</v>
      </c>
      <c r="C1021" s="10" t="s">
        <v>868</v>
      </c>
      <c r="D1021" s="12"/>
      <c r="E1021" s="13" t="s">
        <v>199</v>
      </c>
      <c r="F1021" s="6" t="s">
        <v>199</v>
      </c>
      <c r="G1021" s="15" t="str">
        <f ca="1">IFERROR(__xludf.DUMMYFUNCTION("CONCATENATE(B1021,(VLOOKUP(C1021,CATALOGOS!$F$2:$H$6,3,FALSE)),(VLOOKUP(V1021,CATALOGOS!$J$2:$K$18,2,FALSE)),""-"",TO_TEXT(A1021))"),"P03CV-1020")</f>
        <v>P03CV-1020</v>
      </c>
      <c r="H1021" s="6" t="str">
        <f ca="1">IFERROR(__xludf.DUMMYFUNCTION("CONCATENATE($B1021,(VLOOKUP($C1021,CATALOGOS!$F$2:$H$6,3,FALSE)),(VLOOKUP($V1021,CATALOGOS!$J$2:$K$18,2,FALSE)),""-"",TO_TEXT($A1021))"),"P03CV-1020")</f>
        <v>P03CV-1020</v>
      </c>
      <c r="I1021" s="6"/>
      <c r="J1021" s="6"/>
      <c r="K1021" s="37"/>
      <c r="L1021" s="37"/>
      <c r="M1021" s="81"/>
      <c r="N1021" s="17"/>
      <c r="O1021" s="17"/>
      <c r="P1021" s="17"/>
      <c r="Q1021" s="35" t="s">
        <v>2748</v>
      </c>
      <c r="R1021" s="10" t="s">
        <v>6934</v>
      </c>
      <c r="S1021" s="10" t="s">
        <v>6943</v>
      </c>
      <c r="T1021" s="10" t="s">
        <v>85</v>
      </c>
      <c r="U1021" s="191" t="s">
        <v>38</v>
      </c>
      <c r="V1021" s="189" t="s">
        <v>875</v>
      </c>
      <c r="W1021" s="20" t="s">
        <v>876</v>
      </c>
      <c r="X1021" s="90"/>
      <c r="Y1021" s="90"/>
      <c r="Z1021" s="26"/>
      <c r="AA1021" s="26"/>
      <c r="AB1021" s="26"/>
      <c r="AC1021" s="26"/>
    </row>
    <row r="1022" spans="1:29" ht="15.75" customHeight="1">
      <c r="A1022" s="10" t="s">
        <v>6945</v>
      </c>
      <c r="B1022" s="10" t="s">
        <v>27</v>
      </c>
      <c r="C1022" s="10" t="s">
        <v>868</v>
      </c>
      <c r="D1022" s="12"/>
      <c r="E1022" s="13" t="s">
        <v>151</v>
      </c>
      <c r="F1022" s="6" t="s">
        <v>6938</v>
      </c>
      <c r="G1022" s="15" t="str">
        <f ca="1">IFERROR(__xludf.DUMMYFUNCTION("CONCATENATE(B1022,(VLOOKUP(C1022,CATALOGOS!$F$2:$H$6,3,FALSE)),(VLOOKUP(V1022,CATALOGOS!$J$2:$K$18,2,FALSE)),""-"",TO_TEXT(A1022))"),"P03CV-1021")</f>
        <v>P03CV-1021</v>
      </c>
      <c r="H1022" s="6" t="str">
        <f ca="1">IFERROR(__xludf.DUMMYFUNCTION("CONCATENATE($B1022,(VLOOKUP($C1022,CATALOGOS!$F$2:$H$6,3,FALSE)),(VLOOKUP($V1022,CATALOGOS!$J$2:$K$18,2,FALSE)),""-"",TO_TEXT($A1022))"),"P03CV-1021")</f>
        <v>P03CV-1021</v>
      </c>
      <c r="I1022" s="6"/>
      <c r="J1022" s="6"/>
      <c r="K1022" s="37"/>
      <c r="L1022" s="37"/>
      <c r="M1022" s="81"/>
      <c r="N1022" s="17"/>
      <c r="O1022" s="17"/>
      <c r="P1022" s="17"/>
      <c r="Q1022" s="35" t="s">
        <v>2748</v>
      </c>
      <c r="R1022" s="10" t="s">
        <v>6939</v>
      </c>
      <c r="S1022" s="10" t="s">
        <v>8447</v>
      </c>
      <c r="T1022" s="10" t="s">
        <v>85</v>
      </c>
      <c r="U1022" s="191" t="s">
        <v>38</v>
      </c>
      <c r="V1022" s="189" t="s">
        <v>875</v>
      </c>
      <c r="W1022" s="20" t="s">
        <v>876</v>
      </c>
      <c r="X1022" s="90"/>
      <c r="Y1022" s="90"/>
      <c r="Z1022" s="26"/>
      <c r="AA1022" s="26"/>
      <c r="AB1022" s="26"/>
      <c r="AC1022" s="26"/>
    </row>
    <row r="1023" spans="1:29" ht="15.75" customHeight="1">
      <c r="A1023" s="10" t="s">
        <v>6948</v>
      </c>
      <c r="B1023" s="10" t="s">
        <v>1469</v>
      </c>
      <c r="C1023" s="10" t="s">
        <v>868</v>
      </c>
      <c r="D1023" s="12"/>
      <c r="E1023" s="13" t="s">
        <v>199</v>
      </c>
      <c r="F1023" s="6" t="s">
        <v>199</v>
      </c>
      <c r="G1023" s="15" t="str">
        <f ca="1">IFERROR(__xludf.DUMMYFUNCTION("CONCATENATE(B1023,(VLOOKUP(C1023,CATALOGOS!$F$2:$H$6,3,FALSE)),(VLOOKUP(V1023,CATALOGOS!$J$2:$K$18,2,FALSE)),""-"",TO_TEXT(A1023))"),"P13LP-1022")</f>
        <v>P13LP-1022</v>
      </c>
      <c r="H1023" s="6" t="str">
        <f ca="1">IFERROR(__xludf.DUMMYFUNCTION("CONCATENATE($B1023,(VLOOKUP($C1023,CATALOGOS!$F$2:$H$6,3,FALSE)),(VLOOKUP($V1023,CATALOGOS!$J$2:$K$18,2,FALSE)),""-"",TO_TEXT($A1023))"),"P13LP-1022")</f>
        <v>P13LP-1022</v>
      </c>
      <c r="I1023" s="6"/>
      <c r="J1023" s="6"/>
      <c r="K1023" s="37"/>
      <c r="L1023" s="37"/>
      <c r="M1023" s="81"/>
      <c r="N1023" s="17"/>
      <c r="O1023" s="17"/>
      <c r="P1023" s="17"/>
      <c r="Q1023" s="35" t="s">
        <v>2748</v>
      </c>
      <c r="R1023" s="10" t="s">
        <v>6934</v>
      </c>
      <c r="S1023" s="10" t="s">
        <v>6949</v>
      </c>
      <c r="T1023" s="10" t="s">
        <v>85</v>
      </c>
      <c r="U1023" s="191" t="s">
        <v>38</v>
      </c>
      <c r="V1023" s="189" t="s">
        <v>2328</v>
      </c>
      <c r="W1023" s="20" t="s">
        <v>3984</v>
      </c>
      <c r="X1023" s="90"/>
      <c r="Y1023" s="90"/>
      <c r="Z1023" s="26"/>
      <c r="AA1023" s="26"/>
      <c r="AB1023" s="26"/>
      <c r="AC1023" s="26"/>
    </row>
    <row r="1024" spans="1:29" ht="15.75" customHeight="1">
      <c r="A1024" s="10" t="s">
        <v>6951</v>
      </c>
      <c r="B1024" s="10" t="s">
        <v>1469</v>
      </c>
      <c r="C1024" s="10" t="s">
        <v>868</v>
      </c>
      <c r="D1024" s="12"/>
      <c r="E1024" s="13" t="s">
        <v>151</v>
      </c>
      <c r="F1024" s="6" t="s">
        <v>6938</v>
      </c>
      <c r="G1024" s="15" t="str">
        <f ca="1">IFERROR(__xludf.DUMMYFUNCTION("CONCATENATE(B1024,(VLOOKUP(C1024,CATALOGOS!$F$2:$H$6,3,FALSE)),(VLOOKUP(V1024,CATALOGOS!$J$2:$K$18,2,FALSE)),""-"",TO_TEXT(A1024))"),"P13LP-1023")</f>
        <v>P13LP-1023</v>
      </c>
      <c r="H1024" s="6" t="str">
        <f ca="1">IFERROR(__xludf.DUMMYFUNCTION("CONCATENATE($B1024,(VLOOKUP($C1024,CATALOGOS!$F$2:$H$6,3,FALSE)),(VLOOKUP($V1024,CATALOGOS!$J$2:$K$18,2,FALSE)),""-"",TO_TEXT($A1024))"),"P13LP-1023")</f>
        <v>P13LP-1023</v>
      </c>
      <c r="I1024" s="6"/>
      <c r="J1024" s="6"/>
      <c r="K1024" s="37"/>
      <c r="L1024" s="37"/>
      <c r="M1024" s="81"/>
      <c r="N1024" s="17"/>
      <c r="O1024" s="17"/>
      <c r="P1024" s="17"/>
      <c r="Q1024" s="35" t="s">
        <v>2748</v>
      </c>
      <c r="R1024" s="10" t="s">
        <v>6939</v>
      </c>
      <c r="S1024" s="10" t="s">
        <v>6952</v>
      </c>
      <c r="T1024" s="10" t="s">
        <v>85</v>
      </c>
      <c r="U1024" s="191" t="s">
        <v>38</v>
      </c>
      <c r="V1024" s="189" t="s">
        <v>2328</v>
      </c>
      <c r="W1024" s="20" t="s">
        <v>3984</v>
      </c>
      <c r="X1024" s="90"/>
      <c r="Y1024" s="90"/>
      <c r="Z1024" s="26"/>
      <c r="AA1024" s="26"/>
      <c r="AB1024" s="26"/>
      <c r="AC1024" s="26"/>
    </row>
    <row r="1025" spans="1:30" ht="15.75" customHeight="1">
      <c r="A1025" s="10" t="s">
        <v>6954</v>
      </c>
      <c r="B1025" s="10" t="s">
        <v>4410</v>
      </c>
      <c r="C1025" s="10" t="s">
        <v>4411</v>
      </c>
      <c r="D1025" s="12"/>
      <c r="E1025" s="13" t="s">
        <v>199</v>
      </c>
      <c r="F1025" s="6" t="s">
        <v>199</v>
      </c>
      <c r="G1025" s="15" t="str">
        <f ca="1">IFERROR(__xludf.DUMMYFUNCTION("CONCATENATE(B1025,(VLOOKUP(C1025,CATALOGOS!$F$2:$H$6,3,FALSE)),(VLOOKUP(V1025,CATALOGOS!$J$2:$K$18,2,FALSE)),""-"",TO_TEXT(A1025))"),"P24SJ-1024")</f>
        <v>P24SJ-1024</v>
      </c>
      <c r="H1025" s="6" t="str">
        <f ca="1">IFERROR(__xludf.DUMMYFUNCTION("CONCATENATE($B1025,(VLOOKUP($C1025,CATALOGOS!$F$2:$H$6,3,FALSE)),(VLOOKUP($V1025,CATALOGOS!$J$2:$K$18,2,FALSE)),""-"",TO_TEXT($A1025))"),"P24SJ-1024")</f>
        <v>P24SJ-1024</v>
      </c>
      <c r="I1025" s="6"/>
      <c r="J1025" s="6"/>
      <c r="K1025" s="37"/>
      <c r="L1025" s="37"/>
      <c r="M1025" s="81"/>
      <c r="N1025" s="17"/>
      <c r="O1025" s="17"/>
      <c r="P1025" s="17"/>
      <c r="Q1025" s="35" t="s">
        <v>2748</v>
      </c>
      <c r="R1025" s="10" t="s">
        <v>6934</v>
      </c>
      <c r="S1025" s="10" t="s">
        <v>8448</v>
      </c>
      <c r="T1025" s="10" t="s">
        <v>85</v>
      </c>
      <c r="U1025" s="191" t="s">
        <v>38</v>
      </c>
      <c r="V1025" s="189" t="s">
        <v>4411</v>
      </c>
      <c r="W1025" s="20" t="s">
        <v>5223</v>
      </c>
      <c r="X1025" s="90"/>
      <c r="Y1025" s="90"/>
      <c r="Z1025" s="26"/>
      <c r="AA1025" s="26"/>
      <c r="AB1025" s="26"/>
      <c r="AC1025" s="26"/>
    </row>
    <row r="1026" spans="1:30" ht="15.75" customHeight="1">
      <c r="A1026" s="10" t="s">
        <v>6957</v>
      </c>
      <c r="B1026" s="10" t="s">
        <v>4410</v>
      </c>
      <c r="C1026" s="10" t="s">
        <v>4411</v>
      </c>
      <c r="D1026" s="12"/>
      <c r="E1026" s="13" t="s">
        <v>151</v>
      </c>
      <c r="F1026" s="6" t="s">
        <v>6938</v>
      </c>
      <c r="G1026" s="15" t="str">
        <f ca="1">IFERROR(__xludf.DUMMYFUNCTION("CONCATENATE(B1026,(VLOOKUP(C1026,CATALOGOS!$F$2:$H$6,3,FALSE)),(VLOOKUP(V1026,CATALOGOS!$J$2:$K$18,2,FALSE)),""-"",TO_TEXT(A1026))"),"P24SJ-1025")</f>
        <v>P24SJ-1025</v>
      </c>
      <c r="H1026" s="6" t="str">
        <f ca="1">IFERROR(__xludf.DUMMYFUNCTION("CONCATENATE($B1026,(VLOOKUP($C1026,CATALOGOS!$F$2:$H$6,3,FALSE)),(VLOOKUP($V1026,CATALOGOS!$J$2:$K$18,2,FALSE)),""-"",TO_TEXT($A1026))"),"P24SJ-1025")</f>
        <v>P24SJ-1025</v>
      </c>
      <c r="I1026" s="6"/>
      <c r="J1026" s="6"/>
      <c r="K1026" s="37"/>
      <c r="L1026" s="37"/>
      <c r="M1026" s="81"/>
      <c r="N1026" s="17"/>
      <c r="O1026" s="17"/>
      <c r="P1026" s="17"/>
      <c r="Q1026" s="35" t="s">
        <v>2748</v>
      </c>
      <c r="R1026" s="10" t="s">
        <v>6939</v>
      </c>
      <c r="S1026" s="10" t="s">
        <v>6958</v>
      </c>
      <c r="T1026" s="10" t="s">
        <v>85</v>
      </c>
      <c r="U1026" s="191" t="s">
        <v>38</v>
      </c>
      <c r="V1026" s="189" t="s">
        <v>4411</v>
      </c>
      <c r="W1026" s="20" t="s">
        <v>5223</v>
      </c>
      <c r="X1026" s="90"/>
      <c r="Y1026" s="90"/>
      <c r="Z1026" s="26"/>
      <c r="AA1026" s="26"/>
      <c r="AB1026" s="26"/>
      <c r="AC1026" s="26"/>
    </row>
    <row r="1027" spans="1:30" ht="15.75" customHeight="1">
      <c r="A1027" s="10" t="s">
        <v>6960</v>
      </c>
      <c r="B1027" s="10" t="s">
        <v>1469</v>
      </c>
      <c r="C1027" s="10" t="s">
        <v>1470</v>
      </c>
      <c r="D1027" s="12"/>
      <c r="E1027" s="13" t="s">
        <v>2743</v>
      </c>
      <c r="F1027" s="6" t="s">
        <v>2743</v>
      </c>
      <c r="G1027" s="15" t="str">
        <f ca="1">IFERROR(__xludf.DUMMYFUNCTION("CONCATENATE(B1027,(VLOOKUP(C1027,CATALOGOS!$F$2:$H$6,3,FALSE)),(VLOOKUP(V1027,CATALOGOS!$J$2:$K$18,2,FALSE)),""-"",TO_TEXT(A1027))"),"P12SI-1026")</f>
        <v>P12SI-1026</v>
      </c>
      <c r="H1027" s="6" t="str">
        <f ca="1">IFERROR(__xludf.DUMMYFUNCTION("CONCATENATE($B1027,(VLOOKUP($C1027,CATALOGOS!$F$2:$H$6,3,FALSE)),(VLOOKUP($V1027,CATALOGOS!$J$2:$K$18,2,FALSE)),""-"",TO_TEXT($A1027))"),"P12SI-1026")</f>
        <v>P12SI-1026</v>
      </c>
      <c r="I1027" s="6"/>
      <c r="J1027" s="6"/>
      <c r="K1027" s="37"/>
      <c r="L1027" s="37"/>
      <c r="M1027" s="81"/>
      <c r="N1027" s="17"/>
      <c r="O1027" s="17"/>
      <c r="P1027" s="17"/>
      <c r="Q1027" s="35" t="s">
        <v>205</v>
      </c>
      <c r="R1027" s="10" t="s">
        <v>6961</v>
      </c>
      <c r="S1027" s="10" t="s">
        <v>6962</v>
      </c>
      <c r="T1027" s="10" t="s">
        <v>85</v>
      </c>
      <c r="U1027" s="191" t="s">
        <v>38</v>
      </c>
      <c r="V1027" s="189" t="s">
        <v>1483</v>
      </c>
      <c r="W1027" s="20" t="s">
        <v>1484</v>
      </c>
      <c r="X1027" s="90"/>
      <c r="Y1027" s="90"/>
      <c r="Z1027" s="26"/>
      <c r="AA1027" s="26"/>
      <c r="AB1027" s="26"/>
      <c r="AC1027" s="26"/>
    </row>
    <row r="1028" spans="1:30" ht="15.75" customHeight="1">
      <c r="A1028" s="10" t="s">
        <v>6963</v>
      </c>
      <c r="B1028" s="10" t="s">
        <v>27</v>
      </c>
      <c r="C1028" s="10" t="s">
        <v>6054</v>
      </c>
      <c r="D1028" s="12"/>
      <c r="E1028" s="13" t="s">
        <v>6964</v>
      </c>
      <c r="F1028" s="6" t="s">
        <v>6965</v>
      </c>
      <c r="G1028" s="15" t="str">
        <f ca="1">IFERROR(__xludf.DUMMYFUNCTION("CONCATENATE(B1028,(VLOOKUP(C1028,CATALOGOS!$F$2:$H$6,3,FALSE)),(VLOOKUP(V1028,CATALOGOS!$J$2:$K$18,2,FALSE)),""-"",TO_TEXT(A1028))"),"P01DG-1027")</f>
        <v>P01DG-1027</v>
      </c>
      <c r="H1028" s="6" t="str">
        <f ca="1">IFERROR(__xludf.DUMMYFUNCTION("CONCATENATE($B1028,(VLOOKUP($C1028,CATALOGOS!$F$2:$H$6,3,FALSE)),(VLOOKUP($V1028,CATALOGOS!$J$2:$K$18,2,FALSE)),""-"",TO_TEXT($A1028))"),"P01DG-1027")</f>
        <v>P01DG-1027</v>
      </c>
      <c r="I1028" s="6"/>
      <c r="J1028" s="6"/>
      <c r="K1028" s="37"/>
      <c r="L1028" s="37"/>
      <c r="M1028" s="86" t="s">
        <v>6966</v>
      </c>
      <c r="N1028" s="17"/>
      <c r="O1028" s="35" t="s">
        <v>6967</v>
      </c>
      <c r="P1028" s="17"/>
      <c r="Q1028" s="35" t="s">
        <v>6968</v>
      </c>
      <c r="R1028" s="10" t="s">
        <v>6969</v>
      </c>
      <c r="S1028" s="10" t="s">
        <v>6970</v>
      </c>
      <c r="T1028" s="10" t="s">
        <v>6971</v>
      </c>
      <c r="U1028" s="191" t="s">
        <v>100</v>
      </c>
      <c r="V1028" s="189" t="s">
        <v>6054</v>
      </c>
      <c r="W1028" s="20" t="s">
        <v>7503</v>
      </c>
      <c r="X1028" s="90"/>
      <c r="Y1028" s="90"/>
      <c r="Z1028" s="26"/>
      <c r="AA1028" s="26"/>
      <c r="AB1028" s="26"/>
      <c r="AC1028" s="26"/>
    </row>
    <row r="1029" spans="1:30" ht="15.75" customHeight="1">
      <c r="A1029" s="10" t="s">
        <v>6972</v>
      </c>
      <c r="B1029" s="10" t="s">
        <v>27</v>
      </c>
      <c r="C1029" s="10" t="s">
        <v>6054</v>
      </c>
      <c r="D1029" s="12"/>
      <c r="E1029" s="13" t="s">
        <v>6964</v>
      </c>
      <c r="F1029" s="6" t="s">
        <v>6973</v>
      </c>
      <c r="G1029" s="15" t="str">
        <f ca="1">IFERROR(__xludf.DUMMYFUNCTION("CONCATENATE(B1029,(VLOOKUP(C1029,CATALOGOS!$F$2:$H$6,3,FALSE)),(VLOOKUP(V1029,CATALOGOS!$J$2:$K$18,2,FALSE)),""-"",TO_TEXT(A1029))"),"P01DG-1028")</f>
        <v>P01DG-1028</v>
      </c>
      <c r="H1029" s="6" t="str">
        <f ca="1">IFERROR(__xludf.DUMMYFUNCTION("CONCATENATE($B1029,(VLOOKUP($C1029,CATALOGOS!$F$2:$H$6,3,FALSE)),(VLOOKUP($V1029,CATALOGOS!$J$2:$K$18,2,FALSE)),""-"",TO_TEXT($A1029))"),"P01DG-1028")</f>
        <v>P01DG-1028</v>
      </c>
      <c r="I1029" s="6"/>
      <c r="J1029" s="6"/>
      <c r="K1029" s="37"/>
      <c r="L1029" s="37"/>
      <c r="M1029" s="86" t="s">
        <v>6974</v>
      </c>
      <c r="N1029" s="17"/>
      <c r="O1029" s="35" t="s">
        <v>6975</v>
      </c>
      <c r="P1029" s="17"/>
      <c r="Q1029" s="35" t="s">
        <v>6976</v>
      </c>
      <c r="R1029" s="10" t="s">
        <v>6977</v>
      </c>
      <c r="S1029" s="10" t="s">
        <v>6978</v>
      </c>
      <c r="T1029" s="10" t="s">
        <v>6979</v>
      </c>
      <c r="U1029" s="191" t="s">
        <v>100</v>
      </c>
      <c r="V1029" s="189" t="s">
        <v>6054</v>
      </c>
      <c r="W1029" s="20" t="s">
        <v>7503</v>
      </c>
      <c r="X1029" s="90"/>
      <c r="Y1029" s="90"/>
      <c r="Z1029" s="26"/>
      <c r="AA1029" s="26"/>
      <c r="AB1029" s="26"/>
      <c r="AC1029" s="26"/>
    </row>
    <row r="1030" spans="1:30" ht="15.75" customHeight="1">
      <c r="A1030" s="10" t="s">
        <v>6981</v>
      </c>
      <c r="B1030" s="10" t="s">
        <v>27</v>
      </c>
      <c r="C1030" s="10" t="s">
        <v>6054</v>
      </c>
      <c r="D1030" s="12"/>
      <c r="E1030" s="13" t="s">
        <v>6964</v>
      </c>
      <c r="F1030" s="6" t="s">
        <v>6982</v>
      </c>
      <c r="G1030" s="15" t="str">
        <f ca="1">IFERROR(__xludf.DUMMYFUNCTION("CONCATENATE(B1030,(VLOOKUP(C1030,CATALOGOS!$F$2:$H$6,3,FALSE)),(VLOOKUP(V1030,CATALOGOS!$J$2:$K$18,2,FALSE)),""-"",TO_TEXT(A1030))"),"P01DG-1029")</f>
        <v>P01DG-1029</v>
      </c>
      <c r="H1030" s="6" t="str">
        <f ca="1">IFERROR(__xludf.DUMMYFUNCTION("CONCATENATE($B1030,(VLOOKUP($C1030,CATALOGOS!$F$2:$H$6,3,FALSE)),(VLOOKUP($V1030,CATALOGOS!$J$2:$K$18,2,FALSE)),""-"",TO_TEXT($A1030))"),"P01DG-1029")</f>
        <v>P01DG-1029</v>
      </c>
      <c r="I1030" s="6"/>
      <c r="J1030" s="6"/>
      <c r="K1030" s="37"/>
      <c r="L1030" s="37"/>
      <c r="M1030" s="86" t="s">
        <v>6983</v>
      </c>
      <c r="N1030" s="17"/>
      <c r="O1030" s="35" t="s">
        <v>6984</v>
      </c>
      <c r="P1030" s="17"/>
      <c r="Q1030" s="35" t="s">
        <v>6985</v>
      </c>
      <c r="R1030" s="10" t="s">
        <v>6986</v>
      </c>
      <c r="S1030" s="10" t="s">
        <v>6987</v>
      </c>
      <c r="T1030" s="10" t="s">
        <v>6988</v>
      </c>
      <c r="U1030" s="191" t="s">
        <v>100</v>
      </c>
      <c r="V1030" s="189" t="s">
        <v>6054</v>
      </c>
      <c r="W1030" s="20" t="s">
        <v>7503</v>
      </c>
      <c r="X1030" s="90"/>
      <c r="Y1030" s="90"/>
      <c r="Z1030" s="26"/>
      <c r="AA1030" s="26"/>
      <c r="AB1030" s="26"/>
      <c r="AC1030" s="26"/>
    </row>
    <row r="1031" spans="1:30" ht="15.75" customHeight="1">
      <c r="A1031" s="10" t="s">
        <v>6989</v>
      </c>
      <c r="B1031" s="10" t="s">
        <v>27</v>
      </c>
      <c r="C1031" s="10" t="s">
        <v>28</v>
      </c>
      <c r="D1031" s="12"/>
      <c r="E1031" s="13" t="s">
        <v>6964</v>
      </c>
      <c r="F1031" s="6" t="s">
        <v>6990</v>
      </c>
      <c r="G1031" s="15" t="str">
        <f ca="1">IFERROR(__xludf.DUMMYFUNCTION("CONCATENATE(B1031,(VLOOKUP(C1031,CATALOGOS!$F$2:$H$6,3,FALSE)),(VLOOKUP(V1031,CATALOGOS!$J$2:$K$18,2,FALSE)),""-"",TO_TEXT(A1031))"),"P05DA-1030")</f>
        <v>P05DA-1030</v>
      </c>
      <c r="H1031" s="6" t="str">
        <f ca="1">IFERROR(__xludf.DUMMYFUNCTION("CONCATENATE($B1031,(VLOOKUP($C1031,CATALOGOS!$F$2:$H$6,3,FALSE)),(VLOOKUP($V1031,CATALOGOS!$J$2:$K$18,2,FALSE)),""-"",TO_TEXT($A1031))"),"P05DA-1030")</f>
        <v>P05DA-1030</v>
      </c>
      <c r="I1031" s="6"/>
      <c r="J1031" s="6"/>
      <c r="K1031" s="37"/>
      <c r="L1031" s="37"/>
      <c r="M1031" s="86" t="s">
        <v>6991</v>
      </c>
      <c r="N1031" s="17"/>
      <c r="O1031" s="35" t="s">
        <v>6992</v>
      </c>
      <c r="P1031" s="17"/>
      <c r="Q1031" s="35" t="s">
        <v>6993</v>
      </c>
      <c r="R1031" s="10" t="s">
        <v>6994</v>
      </c>
      <c r="S1031" s="10" t="s">
        <v>6995</v>
      </c>
      <c r="T1031" s="10" t="s">
        <v>6996</v>
      </c>
      <c r="U1031" s="191" t="s">
        <v>517</v>
      </c>
      <c r="V1031" s="189" t="s">
        <v>28</v>
      </c>
      <c r="W1031" s="20" t="s">
        <v>40</v>
      </c>
      <c r="X1031" s="90"/>
      <c r="Y1031" s="90"/>
      <c r="Z1031" s="26"/>
      <c r="AA1031" s="26"/>
      <c r="AB1031" s="26"/>
      <c r="AC1031" s="26"/>
    </row>
    <row r="1032" spans="1:30" ht="15.75" customHeight="1">
      <c r="A1032" s="10" t="s">
        <v>6997</v>
      </c>
      <c r="B1032" s="10" t="s">
        <v>27</v>
      </c>
      <c r="C1032" s="10" t="s">
        <v>6054</v>
      </c>
      <c r="D1032" s="12"/>
      <c r="E1032" s="13" t="s">
        <v>6964</v>
      </c>
      <c r="F1032" s="6" t="s">
        <v>6998</v>
      </c>
      <c r="G1032" s="15" t="str">
        <f ca="1">IFERROR(__xludf.DUMMYFUNCTION("CONCATENATE(B1032,(VLOOKUP(C1032,CATALOGOS!$F$2:$H$6,3,FALSE)),(VLOOKUP(V1032,CATALOGOS!$J$2:$K$18,2,FALSE)),""-"",TO_TEXT(A1032))"),"P01DA-1031")</f>
        <v>P01DA-1031</v>
      </c>
      <c r="H1032" s="6" t="str">
        <f ca="1">IFERROR(__xludf.DUMMYFUNCTION("CONCATENATE($B1032,(VLOOKUP($C1032,CATALOGOS!$F$2:$H$6,3,FALSE)),(VLOOKUP($V1032,CATALOGOS!$J$2:$K$18,2,FALSE)),""-"",TO_TEXT($A1032))"),"P01DA-1031")</f>
        <v>P01DA-1031</v>
      </c>
      <c r="I1032" s="6"/>
      <c r="J1032" s="6"/>
      <c r="K1032" s="37"/>
      <c r="L1032" s="37"/>
      <c r="M1032" s="86" t="s">
        <v>6999</v>
      </c>
      <c r="N1032" s="17"/>
      <c r="O1032" s="35" t="s">
        <v>7000</v>
      </c>
      <c r="P1032" s="17"/>
      <c r="Q1032" s="35" t="s">
        <v>7001</v>
      </c>
      <c r="R1032" s="10" t="s">
        <v>7002</v>
      </c>
      <c r="S1032" s="10" t="s">
        <v>7003</v>
      </c>
      <c r="T1032" s="10" t="s">
        <v>7004</v>
      </c>
      <c r="U1032" s="191" t="s">
        <v>100</v>
      </c>
      <c r="V1032" s="189" t="s">
        <v>28</v>
      </c>
      <c r="W1032" s="20" t="s">
        <v>40</v>
      </c>
      <c r="X1032" s="90"/>
      <c r="Y1032" s="90"/>
      <c r="Z1032" s="26"/>
      <c r="AA1032" s="26"/>
      <c r="AB1032" s="26"/>
      <c r="AC1032" s="26"/>
    </row>
    <row r="1033" spans="1:30" ht="15.75" customHeight="1">
      <c r="A1033" s="113">
        <v>1032</v>
      </c>
      <c r="B1033" s="94" t="s">
        <v>1469</v>
      </c>
      <c r="C1033" s="94" t="s">
        <v>1470</v>
      </c>
      <c r="D1033" s="95"/>
      <c r="E1033" s="96" t="s">
        <v>7005</v>
      </c>
      <c r="F1033" s="114" t="s">
        <v>7006</v>
      </c>
      <c r="G1033" s="14" t="str">
        <f ca="1">IFERROR(__xludf.DUMMYFUNCTION("CONCATENATE(B1033,(VLOOKUP(C1033,CATALOGOS!$F$2:$H$6,3,FALSE)),(VLOOKUP(V1033,CATALOGOS!$J$2:$K$18,2,FALSE)),""-"",TO_TEXT(A1033))"),"P12PL-1032")</f>
        <v>P12PL-1032</v>
      </c>
      <c r="H1033" s="6" t="str">
        <f ca="1">IFERROR(__xludf.DUMMYFUNCTION("CONCATENATE($B1033,(VLOOKUP($C1033,CATALOGOS!$F$2:$H$6,3,FALSE)),(VLOOKUP($V1033,CATALOGOS!$J$2:$K$18,2,FALSE)),""-"",TO_TEXT($A1033))"),"P12PL-1032")</f>
        <v>P12PL-1032</v>
      </c>
      <c r="I1033" s="6"/>
      <c r="J1033" s="6"/>
      <c r="K1033" s="37"/>
      <c r="L1033" s="37"/>
      <c r="M1033" s="81"/>
      <c r="N1033" s="17"/>
      <c r="O1033" s="35"/>
      <c r="P1033" s="17"/>
      <c r="Q1033" s="98" t="s">
        <v>2748</v>
      </c>
      <c r="R1033" s="94" t="s">
        <v>7007</v>
      </c>
      <c r="S1033" s="94" t="s">
        <v>8449</v>
      </c>
      <c r="T1033" s="80" t="s">
        <v>85</v>
      </c>
      <c r="U1033" s="194" t="s">
        <v>38</v>
      </c>
      <c r="V1033" s="195" t="s">
        <v>3091</v>
      </c>
      <c r="W1033" s="101" t="s">
        <v>3151</v>
      </c>
      <c r="X1033" s="90"/>
      <c r="Y1033" s="90"/>
      <c r="Z1033" s="26"/>
      <c r="AA1033" s="26"/>
      <c r="AB1033" s="102"/>
      <c r="AC1033" s="102"/>
    </row>
    <row r="1034" spans="1:30" ht="15.75" customHeight="1">
      <c r="A1034" s="113">
        <v>1033</v>
      </c>
      <c r="B1034" s="94" t="s">
        <v>27</v>
      </c>
      <c r="C1034" s="94" t="s">
        <v>868</v>
      </c>
      <c r="D1034" s="95"/>
      <c r="E1034" s="96" t="s">
        <v>184</v>
      </c>
      <c r="F1034" s="114" t="s">
        <v>7087</v>
      </c>
      <c r="G1034" s="14" t="str">
        <f ca="1">IFERROR(__xludf.DUMMYFUNCTION("CONCATENATE(B1034,(VLOOKUP(C1034,CATALOGOS!$F$2:$H$6,3,FALSE)),(VLOOKUP(V1034,CATALOGOS!$J$2:$K$18,2,FALSE)),""-"",TO_TEXT(A1034))"),"P03CV-1033")</f>
        <v>P03CV-1033</v>
      </c>
      <c r="H1034" s="6" t="str">
        <f ca="1">IFERROR(__xludf.DUMMYFUNCTION("CONCATENATE($B1034,(VLOOKUP($C1034,CATALOGOS!$F$2:$H$6,3,FALSE)),(VLOOKUP($V1034,CATALOGOS!$J$2:$K$18,2,FALSE)),""-"",TO_TEXT($A1034))"),"P03CV-1033")</f>
        <v>P03CV-1033</v>
      </c>
      <c r="I1034" s="6"/>
      <c r="J1034" s="6"/>
      <c r="K1034" s="37"/>
      <c r="L1034" s="37"/>
      <c r="M1034" s="81"/>
      <c r="N1034" s="17"/>
      <c r="O1034" s="17"/>
      <c r="P1034" s="17"/>
      <c r="Q1034" s="98" t="s">
        <v>7088</v>
      </c>
      <c r="R1034" s="94" t="s">
        <v>7089</v>
      </c>
      <c r="S1034" s="94" t="s">
        <v>36</v>
      </c>
      <c r="T1034" s="209" t="s">
        <v>7130</v>
      </c>
      <c r="U1034" s="194" t="s">
        <v>38</v>
      </c>
      <c r="V1034" s="195" t="s">
        <v>875</v>
      </c>
      <c r="W1034" s="101" t="s">
        <v>4629</v>
      </c>
      <c r="X1034" s="90"/>
      <c r="Y1034" s="90"/>
      <c r="Z1034" s="26"/>
      <c r="AA1034" s="26"/>
      <c r="AB1034" s="104" t="s">
        <v>7098</v>
      </c>
      <c r="AC1034" s="105">
        <v>45274</v>
      </c>
    </row>
    <row r="1035" spans="1:30" ht="15.75" customHeight="1">
      <c r="A1035" s="113">
        <v>1034</v>
      </c>
      <c r="B1035" s="94" t="s">
        <v>27</v>
      </c>
      <c r="C1035" s="94" t="s">
        <v>28</v>
      </c>
      <c r="D1035" s="95"/>
      <c r="E1035" s="96" t="s">
        <v>8450</v>
      </c>
      <c r="F1035" s="114" t="s">
        <v>8451</v>
      </c>
      <c r="G1035" s="14" t="str">
        <f ca="1">IFERROR(__xludf.DUMMYFUNCTION("CONCATENATE(B1035,(VLOOKUP(C1035,CATALOGOS!$F$2:$H$6,3,FALSE)),(VLOOKUP(V1035,CATALOGOS!$J$2:$K$18,2,FALSE)),""-"",TO_TEXT(A1035))"),"P05DA-1034")</f>
        <v>P05DA-1034</v>
      </c>
      <c r="H1035" s="6" t="str">
        <f ca="1">IFERROR(__xludf.DUMMYFUNCTION("CONCATENATE($B1035,(VLOOKUP($C1035,CATALOGOS!$F$2:$H$6,3,FALSE)),(VLOOKUP($V1035,CATALOGOS!$J$2:$K$18,2,FALSE)),""-"",TO_TEXT($A1035))"),"P05DA-1034")</f>
        <v>P05DA-1034</v>
      </c>
      <c r="I1035" s="6"/>
      <c r="J1035" s="6"/>
      <c r="K1035" s="37"/>
      <c r="L1035" s="37"/>
      <c r="M1035" s="81"/>
      <c r="N1035" s="17"/>
      <c r="O1035" s="17"/>
      <c r="P1035" s="17"/>
      <c r="Q1035" s="98" t="s">
        <v>7013</v>
      </c>
      <c r="R1035" s="91" t="s">
        <v>7014</v>
      </c>
      <c r="S1035" s="91" t="s">
        <v>7015</v>
      </c>
      <c r="T1035" s="118" t="s">
        <v>7016</v>
      </c>
      <c r="U1035" s="194" t="s">
        <v>38</v>
      </c>
      <c r="V1035" s="195" t="s">
        <v>28</v>
      </c>
      <c r="W1035" s="101" t="s">
        <v>40</v>
      </c>
      <c r="X1035" s="90"/>
      <c r="Y1035" s="90"/>
      <c r="Z1035" s="26"/>
      <c r="AA1035" s="26"/>
      <c r="AB1035" s="104" t="s">
        <v>7017</v>
      </c>
      <c r="AC1035" s="106">
        <v>45266</v>
      </c>
    </row>
    <row r="1036" spans="1:30" ht="15.75" customHeight="1">
      <c r="A1036" s="113">
        <v>1035</v>
      </c>
      <c r="B1036" s="94" t="s">
        <v>27</v>
      </c>
      <c r="C1036" s="94" t="s">
        <v>28</v>
      </c>
      <c r="D1036" s="95"/>
      <c r="E1036" s="96" t="s">
        <v>8450</v>
      </c>
      <c r="F1036" s="114" t="s">
        <v>8451</v>
      </c>
      <c r="G1036" s="14" t="str">
        <f ca="1">IFERROR(__xludf.DUMMYFUNCTION("CONCATENATE(B1036,(VLOOKUP(C1036,CATALOGOS!$F$2:$H$6,3,FALSE)),(VLOOKUP(V1036,CATALOGOS!$J$2:$K$18,2,FALSE)),""-"",TO_TEXT(A1036))"),"P05DA-1035")</f>
        <v>P05DA-1035</v>
      </c>
      <c r="H1036" s="6" t="str">
        <f ca="1">IFERROR(__xludf.DUMMYFUNCTION("CONCATENATE($B1036,(VLOOKUP($C1036,CATALOGOS!$F$2:$H$6,3,FALSE)),(VLOOKUP($V1036,CATALOGOS!$J$2:$K$18,2,FALSE)),""-"",TO_TEXT($A1036))"),"P05DA-1035")</f>
        <v>P05DA-1035</v>
      </c>
      <c r="I1036" s="6"/>
      <c r="J1036" s="6"/>
      <c r="K1036" s="37"/>
      <c r="L1036" s="37"/>
      <c r="M1036" s="81"/>
      <c r="N1036" s="17"/>
      <c r="O1036" s="17"/>
      <c r="P1036" s="17"/>
      <c r="Q1036" s="98" t="s">
        <v>7013</v>
      </c>
      <c r="R1036" s="91" t="s">
        <v>7014</v>
      </c>
      <c r="S1036" s="91" t="s">
        <v>7018</v>
      </c>
      <c r="T1036" s="118" t="s">
        <v>7019</v>
      </c>
      <c r="U1036" s="194" t="s">
        <v>38</v>
      </c>
      <c r="V1036" s="195" t="s">
        <v>28</v>
      </c>
      <c r="W1036" s="101" t="s">
        <v>40</v>
      </c>
      <c r="X1036" s="90"/>
      <c r="Y1036" s="90"/>
      <c r="Z1036" s="26"/>
      <c r="AA1036" s="26"/>
      <c r="AB1036" s="104" t="s">
        <v>7017</v>
      </c>
      <c r="AC1036" s="106">
        <v>45266</v>
      </c>
      <c r="AD1036" s="86" t="s">
        <v>7020</v>
      </c>
    </row>
    <row r="1037" spans="1:30" ht="15.75" customHeight="1">
      <c r="A1037" s="113">
        <v>1036</v>
      </c>
      <c r="B1037" s="94" t="s">
        <v>27</v>
      </c>
      <c r="C1037" s="94" t="s">
        <v>28</v>
      </c>
      <c r="D1037" s="95"/>
      <c r="E1037" s="96" t="s">
        <v>7021</v>
      </c>
      <c r="F1037" s="114" t="s">
        <v>7021</v>
      </c>
      <c r="G1037" s="14" t="str">
        <f ca="1">IFERROR(__xludf.DUMMYFUNCTION("CONCATENATE(B1037,(VLOOKUP(C1037,CATALOGOS!$F$2:$H$6,3,FALSE)),(VLOOKUP(V1037,CATALOGOS!$J$2:$K$18,2,FALSE)),""-"",TO_TEXT(A1037))"),"P05RH-1036")</f>
        <v>P05RH-1036</v>
      </c>
      <c r="H1037" s="6" t="str">
        <f ca="1">IFERROR(__xludf.DUMMYFUNCTION("CONCATENATE($B1037,(VLOOKUP($C1037,CATALOGOS!$F$2:$H$6,3,FALSE)),(VLOOKUP($V1037,CATALOGOS!$J$2:$K$18,2,FALSE)),""-"",TO_TEXT($A1037))"),"P05RH-1036")</f>
        <v>P05RH-1036</v>
      </c>
      <c r="I1037" s="6"/>
      <c r="J1037" s="6"/>
      <c r="K1037" s="37"/>
      <c r="L1037" s="37"/>
      <c r="M1037" s="81"/>
      <c r="N1037" s="17"/>
      <c r="O1037" s="35"/>
      <c r="P1037" s="17"/>
      <c r="Q1037" s="98" t="s">
        <v>2403</v>
      </c>
      <c r="R1037" s="91" t="s">
        <v>7023</v>
      </c>
      <c r="S1037" s="91" t="s">
        <v>7024</v>
      </c>
      <c r="T1037" s="118" t="s">
        <v>7025</v>
      </c>
      <c r="U1037" s="194" t="s">
        <v>38</v>
      </c>
      <c r="V1037" s="195" t="s">
        <v>723</v>
      </c>
      <c r="W1037" s="101" t="s">
        <v>7026</v>
      </c>
      <c r="X1037" s="90"/>
      <c r="Y1037" s="90"/>
      <c r="Z1037" s="26"/>
      <c r="AA1037" s="26"/>
      <c r="AB1037" s="104" t="s">
        <v>7027</v>
      </c>
      <c r="AC1037" s="107">
        <v>45273</v>
      </c>
    </row>
    <row r="1038" spans="1:30" ht="15.75" customHeight="1">
      <c r="A1038" s="113">
        <v>1037</v>
      </c>
      <c r="B1038" s="94" t="s">
        <v>27</v>
      </c>
      <c r="C1038" s="94" t="s">
        <v>28</v>
      </c>
      <c r="D1038" s="95"/>
      <c r="E1038" s="96" t="s">
        <v>7005</v>
      </c>
      <c r="F1038" s="114" t="s">
        <v>7028</v>
      </c>
      <c r="G1038" s="14" t="str">
        <f ca="1">IFERROR(__xludf.DUMMYFUNCTION("CONCATENATE(B1038,(VLOOKUP(C1038,CATALOGOS!$F$2:$H$6,3,FALSE)),(VLOOKUP(V1038,CATALOGOS!$J$2:$K$18,2,FALSE)),""-"",TO_TEXT(A1038))"),"P05RH-1037")</f>
        <v>P05RH-1037</v>
      </c>
      <c r="H1038" s="6" t="str">
        <f ca="1">IFERROR(__xludf.DUMMYFUNCTION("CONCATENATE($B1038,(VLOOKUP($C1038,CATALOGOS!$F$2:$H$6,3,FALSE)),(VLOOKUP($V1038,CATALOGOS!$J$2:$K$18,2,FALSE)),""-"",TO_TEXT($A1038))"),"P05RH-1037")</f>
        <v>P05RH-1037</v>
      </c>
      <c r="I1038" s="6"/>
      <c r="J1038" s="6"/>
      <c r="K1038" s="37"/>
      <c r="L1038" s="37"/>
      <c r="M1038" s="81"/>
      <c r="N1038" s="17"/>
      <c r="O1038" s="17"/>
      <c r="P1038" s="17"/>
      <c r="Q1038" s="98" t="s">
        <v>2748</v>
      </c>
      <c r="R1038" s="91" t="s">
        <v>7029</v>
      </c>
      <c r="S1038" s="91" t="s">
        <v>7030</v>
      </c>
      <c r="T1038" s="118" t="s">
        <v>7031</v>
      </c>
      <c r="U1038" s="194" t="s">
        <v>38</v>
      </c>
      <c r="V1038" s="195" t="s">
        <v>723</v>
      </c>
      <c r="W1038" s="101" t="s">
        <v>724</v>
      </c>
      <c r="X1038" s="90"/>
      <c r="Y1038" s="90"/>
      <c r="Z1038" s="26"/>
      <c r="AA1038" s="26"/>
      <c r="AB1038" s="104" t="s">
        <v>7032</v>
      </c>
      <c r="AC1038" s="107">
        <v>45273</v>
      </c>
    </row>
    <row r="1039" spans="1:30" ht="15.75" customHeight="1">
      <c r="A1039" s="113">
        <v>1038</v>
      </c>
      <c r="B1039" s="94" t="s">
        <v>1469</v>
      </c>
      <c r="C1039" s="94" t="s">
        <v>1470</v>
      </c>
      <c r="D1039" s="95"/>
      <c r="E1039" s="96" t="s">
        <v>7033</v>
      </c>
      <c r="F1039" s="114" t="s">
        <v>7034</v>
      </c>
      <c r="G1039" s="14" t="str">
        <f ca="1">IFERROR(__xludf.DUMMYFUNCTION("CONCATENATE(B1039,(VLOOKUP(C1039,CATALOGOS!$F$2:$H$6,3,FALSE)),(VLOOKUP(V1039,CATALOGOS!$J$2:$K$18,2,FALSE)),""-"",TO_TEXT(A1039))"),"P12SI-1038")</f>
        <v>P12SI-1038</v>
      </c>
      <c r="H1039" s="6" t="str">
        <f ca="1">IFERROR(__xludf.DUMMYFUNCTION("CONCATENATE($B1039,(VLOOKUP($C1039,CATALOGOS!$F$2:$H$6,3,FALSE)),(VLOOKUP($V1039,CATALOGOS!$J$2:$K$18,2,FALSE)),""-"",TO_TEXT($A1039))"),"P12SI-1038")</f>
        <v>P12SI-1038</v>
      </c>
      <c r="I1039" s="6"/>
      <c r="J1039" s="6"/>
      <c r="K1039" s="37"/>
      <c r="L1039" s="37"/>
      <c r="M1039" s="81"/>
      <c r="N1039" s="17"/>
      <c r="O1039" s="35"/>
      <c r="P1039" s="17"/>
      <c r="Q1039" s="98" t="s">
        <v>216</v>
      </c>
      <c r="R1039" s="91" t="s">
        <v>7035</v>
      </c>
      <c r="S1039" s="91" t="s">
        <v>7036</v>
      </c>
      <c r="T1039" s="118" t="s">
        <v>7037</v>
      </c>
      <c r="U1039" s="194" t="s">
        <v>38</v>
      </c>
      <c r="V1039" s="195" t="s">
        <v>1483</v>
      </c>
      <c r="W1039" s="101" t="s">
        <v>1484</v>
      </c>
      <c r="X1039" s="90"/>
      <c r="Y1039" s="90"/>
      <c r="Z1039" s="26"/>
      <c r="AA1039" s="26"/>
      <c r="AB1039" s="101" t="s">
        <v>7038</v>
      </c>
      <c r="AC1039" s="107">
        <v>45273</v>
      </c>
    </row>
    <row r="1040" spans="1:30" ht="15.75" customHeight="1">
      <c r="A1040" s="113">
        <v>1039</v>
      </c>
      <c r="B1040" s="94" t="s">
        <v>1469</v>
      </c>
      <c r="C1040" s="94" t="s">
        <v>1470</v>
      </c>
      <c r="D1040" s="95"/>
      <c r="E1040" s="96" t="s">
        <v>248</v>
      </c>
      <c r="F1040" s="114" t="s">
        <v>7039</v>
      </c>
      <c r="G1040" s="14" t="str">
        <f ca="1">IFERROR(__xludf.DUMMYFUNCTION("CONCATENATE(B1040,(VLOOKUP(C1040,CATALOGOS!$F$2:$H$6,3,FALSE)),(VLOOKUP(V1040,CATALOGOS!$J$2:$K$18,2,FALSE)),""-"",TO_TEXT(A1040))"),"P12SI-1039")</f>
        <v>P12SI-1039</v>
      </c>
      <c r="H1040" s="6" t="str">
        <f ca="1">IFERROR(__xludf.DUMMYFUNCTION("CONCATENATE($B1040,(VLOOKUP($C1040,CATALOGOS!$F$2:$H$6,3,FALSE)),(VLOOKUP($V1040,CATALOGOS!$J$2:$K$18,2,FALSE)),""-"",TO_TEXT($A1040))"),"P12SI-1039")</f>
        <v>P12SI-1039</v>
      </c>
      <c r="I1040" s="6"/>
      <c r="J1040" s="6"/>
      <c r="K1040" s="37"/>
      <c r="L1040" s="37"/>
      <c r="M1040" s="81"/>
      <c r="N1040" s="17"/>
      <c r="O1040" s="35"/>
      <c r="P1040" s="17"/>
      <c r="Q1040" s="98" t="s">
        <v>7040</v>
      </c>
      <c r="R1040" s="94" t="s">
        <v>7041</v>
      </c>
      <c r="S1040" s="91" t="s">
        <v>7042</v>
      </c>
      <c r="T1040" s="118" t="s">
        <v>7043</v>
      </c>
      <c r="U1040" s="194" t="s">
        <v>38</v>
      </c>
      <c r="V1040" s="195" t="s">
        <v>1483</v>
      </c>
      <c r="W1040" s="101" t="s">
        <v>1484</v>
      </c>
      <c r="X1040" s="90"/>
      <c r="Y1040" s="90"/>
      <c r="Z1040" s="26"/>
      <c r="AA1040" s="26"/>
      <c r="AB1040" s="104" t="s">
        <v>7038</v>
      </c>
      <c r="AC1040" s="107">
        <v>45273</v>
      </c>
    </row>
    <row r="1041" spans="1:30" ht="15.75" customHeight="1">
      <c r="A1041" s="113">
        <v>1040</v>
      </c>
      <c r="B1041" s="94" t="s">
        <v>4410</v>
      </c>
      <c r="C1041" s="94" t="s">
        <v>6054</v>
      </c>
      <c r="D1041" s="95"/>
      <c r="E1041" s="96" t="s">
        <v>7044</v>
      </c>
      <c r="F1041" s="114" t="s">
        <v>7045</v>
      </c>
      <c r="G1041" s="14" t="str">
        <f ca="1">IFERROR(__xludf.DUMMYFUNCTION("CONCATENATE(B1041,(VLOOKUP(C1041,CATALOGOS!$F$2:$H$6,3,FALSE)),(VLOOKUP(V1041,CATALOGOS!$J$2:$K$18,2,FALSE)),""-"",TO_TEXT(A1041))"),"P21DG-1040")</f>
        <v>P21DG-1040</v>
      </c>
      <c r="H1041" s="6" t="str">
        <f ca="1">IFERROR(__xludf.DUMMYFUNCTION("CONCATENATE($B1041,(VLOOKUP($C1041,CATALOGOS!$F$2:$H$6,3,FALSE)),(VLOOKUP($V1041,CATALOGOS!$J$2:$K$18,2,FALSE)),""-"",TO_TEXT($A1041))"),"P21DG-1040")</f>
        <v>P21DG-1040</v>
      </c>
      <c r="I1041" s="6"/>
      <c r="J1041" s="6"/>
      <c r="K1041" s="37"/>
      <c r="L1041" s="37"/>
      <c r="M1041" s="81"/>
      <c r="N1041" s="17"/>
      <c r="O1041" s="35"/>
      <c r="P1041" s="17"/>
      <c r="Q1041" s="98" t="s">
        <v>7046</v>
      </c>
      <c r="R1041" s="91" t="s">
        <v>8452</v>
      </c>
      <c r="S1041" s="91" t="s">
        <v>7048</v>
      </c>
      <c r="T1041" s="118" t="s">
        <v>7049</v>
      </c>
      <c r="U1041" s="194" t="s">
        <v>38</v>
      </c>
      <c r="V1041" s="195" t="s">
        <v>6054</v>
      </c>
      <c r="W1041" s="101" t="s">
        <v>6062</v>
      </c>
      <c r="X1041" s="90"/>
      <c r="Y1041" s="90"/>
      <c r="Z1041" s="26"/>
      <c r="AA1041" s="26"/>
      <c r="AB1041" s="104" t="s">
        <v>7050</v>
      </c>
      <c r="AC1041" s="107">
        <v>45273</v>
      </c>
    </row>
    <row r="1042" spans="1:30" ht="15.75" customHeight="1">
      <c r="A1042" s="113">
        <v>1041</v>
      </c>
      <c r="B1042" s="94" t="s">
        <v>4410</v>
      </c>
      <c r="C1042" s="94" t="s">
        <v>6054</v>
      </c>
      <c r="D1042" s="95"/>
      <c r="E1042" s="96" t="s">
        <v>7051</v>
      </c>
      <c r="F1042" s="114" t="s">
        <v>7052</v>
      </c>
      <c r="G1042" s="14" t="str">
        <f ca="1">IFERROR(__xludf.DUMMYFUNCTION("CONCATENATE(B1042,(VLOOKUP(C1042,CATALOGOS!$F$2:$H$6,3,FALSE)),(VLOOKUP(V1042,CATALOGOS!$J$2:$K$18,2,FALSE)),""-"",TO_TEXT(A1042))"),"P21DG-1041")</f>
        <v>P21DG-1041</v>
      </c>
      <c r="H1042" s="6" t="str">
        <f ca="1">IFERROR(__xludf.DUMMYFUNCTION("CONCATENATE($B1042,(VLOOKUP($C1042,CATALOGOS!$F$2:$H$6,3,FALSE)),(VLOOKUP($V1042,CATALOGOS!$J$2:$K$18,2,FALSE)),""-"",TO_TEXT($A1042))"),"P21DG-1041")</f>
        <v>P21DG-1041</v>
      </c>
      <c r="I1042" s="6"/>
      <c r="J1042" s="6"/>
      <c r="K1042" s="37"/>
      <c r="L1042" s="37"/>
      <c r="M1042" s="81"/>
      <c r="N1042" s="17"/>
      <c r="O1042" s="17"/>
      <c r="P1042" s="17"/>
      <c r="Q1042" s="98" t="s">
        <v>3069</v>
      </c>
      <c r="R1042" s="94" t="s">
        <v>7053</v>
      </c>
      <c r="S1042" s="94" t="s">
        <v>7054</v>
      </c>
      <c r="T1042" s="209" t="s">
        <v>7055</v>
      </c>
      <c r="U1042" s="194" t="s">
        <v>38</v>
      </c>
      <c r="V1042" s="195" t="s">
        <v>6054</v>
      </c>
      <c r="W1042" s="101" t="s">
        <v>6062</v>
      </c>
      <c r="X1042" s="90"/>
      <c r="Y1042" s="90"/>
      <c r="Z1042" s="26"/>
      <c r="AA1042" s="26"/>
      <c r="AB1042" s="104" t="s">
        <v>7056</v>
      </c>
      <c r="AC1042" s="107">
        <v>45273</v>
      </c>
    </row>
    <row r="1043" spans="1:30" ht="15.75" customHeight="1">
      <c r="A1043" s="113">
        <v>1042</v>
      </c>
      <c r="B1043" s="94" t="s">
        <v>27</v>
      </c>
      <c r="C1043" s="94" t="s">
        <v>28</v>
      </c>
      <c r="D1043" s="95"/>
      <c r="E1043" s="96" t="s">
        <v>8453</v>
      </c>
      <c r="F1043" s="114" t="s">
        <v>7057</v>
      </c>
      <c r="G1043" s="14" t="str">
        <f ca="1">IFERROR(__xludf.DUMMYFUNCTION("CONCATENATE(B1043,(VLOOKUP(C1043,CATALOGOS!$F$2:$H$6,3,FALSE)),(VLOOKUP(V1043,CATALOGOS!$J$2:$K$18,2,FALSE)),""-"",TO_TEXT(A1043))"),"P05RH-1042")</f>
        <v>P05RH-1042</v>
      </c>
      <c r="H1043" s="6" t="str">
        <f ca="1">IFERROR(__xludf.DUMMYFUNCTION("CONCATENATE($B1043,(VLOOKUP($C1043,CATALOGOS!$F$2:$H$6,3,FALSE)),(VLOOKUP($V1043,CATALOGOS!$J$2:$K$18,2,FALSE)),""-"",TO_TEXT($A1043))"),"P05RH-1042")</f>
        <v>P05RH-1042</v>
      </c>
      <c r="I1043" s="6"/>
      <c r="J1043" s="36"/>
      <c r="K1043" s="37"/>
      <c r="L1043" s="37"/>
      <c r="M1043" s="81"/>
      <c r="N1043" s="108"/>
      <c r="O1043" s="108"/>
      <c r="P1043" s="108"/>
      <c r="Q1043" s="109" t="s">
        <v>2599</v>
      </c>
      <c r="R1043" s="91" t="s">
        <v>7058</v>
      </c>
      <c r="S1043" s="91" t="s">
        <v>7059</v>
      </c>
      <c r="T1043" s="118" t="s">
        <v>7060</v>
      </c>
      <c r="U1043" s="194" t="s">
        <v>38</v>
      </c>
      <c r="V1043" s="199" t="s">
        <v>723</v>
      </c>
      <c r="W1043" s="101" t="s">
        <v>724</v>
      </c>
      <c r="X1043" s="90"/>
      <c r="Y1043" s="90"/>
      <c r="Z1043" s="26"/>
      <c r="AA1043" s="26"/>
      <c r="AB1043" s="104" t="s">
        <v>7061</v>
      </c>
      <c r="AC1043" s="106">
        <v>45075</v>
      </c>
    </row>
    <row r="1044" spans="1:30" ht="15.75" customHeight="1">
      <c r="A1044" s="113">
        <v>1043</v>
      </c>
      <c r="B1044" s="94" t="s">
        <v>1469</v>
      </c>
      <c r="C1044" s="94" t="s">
        <v>868</v>
      </c>
      <c r="D1044" s="95"/>
      <c r="E1044" s="96" t="s">
        <v>7062</v>
      </c>
      <c r="F1044" s="114" t="s">
        <v>7063</v>
      </c>
      <c r="G1044" s="14" t="str">
        <f ca="1">IFERROR(__xludf.DUMMYFUNCTION("CONCATENATE(B1044,(VLOOKUP(C1044,CATALOGOS!$F$2:$H$6,3,FALSE)),(VLOOKUP(V1044,CATALOGOS!$J$2:$K$18,2,FALSE)),""-"",TO_TEXT(A1044))"),"P13SO-1043")</f>
        <v>P13SO-1043</v>
      </c>
      <c r="H1044" s="6" t="str">
        <f ca="1">IFERROR(__xludf.DUMMYFUNCTION("CONCATENATE($B1044,(VLOOKUP($C1044,CATALOGOS!$F$2:$H$6,3,FALSE)),(VLOOKUP($V1044,CATALOGOS!$J$2:$K$18,2,FALSE)),""-"",TO_TEXT($A1044))"),"P13SO-1043")</f>
        <v>P13SO-1043</v>
      </c>
      <c r="I1044" s="6"/>
      <c r="J1044" s="36"/>
      <c r="K1044" s="37"/>
      <c r="L1044" s="37"/>
      <c r="M1044" s="81"/>
      <c r="N1044" s="108"/>
      <c r="O1044" s="108"/>
      <c r="P1044" s="108"/>
      <c r="Q1044" s="98" t="s">
        <v>2748</v>
      </c>
      <c r="R1044" s="94" t="s">
        <v>8454</v>
      </c>
      <c r="S1044" s="115" t="s">
        <v>7080</v>
      </c>
      <c r="T1044" s="118" t="s">
        <v>7066</v>
      </c>
      <c r="U1044" s="194" t="s">
        <v>38</v>
      </c>
      <c r="V1044" s="199" t="s">
        <v>868</v>
      </c>
      <c r="W1044" s="101" t="s">
        <v>8455</v>
      </c>
      <c r="X1044" s="90"/>
      <c r="Y1044" s="90"/>
      <c r="Z1044" s="26"/>
      <c r="AA1044" s="26"/>
      <c r="AB1044" s="104" t="s">
        <v>7067</v>
      </c>
      <c r="AC1044" s="112">
        <v>45075</v>
      </c>
    </row>
    <row r="1045" spans="1:30" ht="15.75" customHeight="1">
      <c r="A1045" s="113">
        <v>1044</v>
      </c>
      <c r="B1045" s="94" t="s">
        <v>1469</v>
      </c>
      <c r="C1045" s="94" t="s">
        <v>868</v>
      </c>
      <c r="D1045" s="95"/>
      <c r="E1045" s="96" t="s">
        <v>151</v>
      </c>
      <c r="F1045" s="114" t="s">
        <v>8456</v>
      </c>
      <c r="G1045" s="14" t="str">
        <f ca="1">IFERROR(__xludf.DUMMYFUNCTION("CONCATENATE(B1045,(VLOOKUP(C1045,CATALOGOS!$F$2:$H$6,3,FALSE)),(VLOOKUP(V1045,CATALOGOS!$J$2:$K$18,2,FALSE)),""-"",TO_TEXT(A1045))"),"P13LP-1044")</f>
        <v>P13LP-1044</v>
      </c>
      <c r="H1045" s="6" t="str">
        <f ca="1">IFERROR(__xludf.DUMMYFUNCTION("CONCATENATE($B1045,(VLOOKUP($C1045,CATALOGOS!$F$2:$H$6,3,FALSE)),(VLOOKUP($V1045,CATALOGOS!$J$2:$K$18,2,FALSE)),""-"",TO_TEXT($A1045))"),"P13LP-1044")</f>
        <v>P13LP-1044</v>
      </c>
      <c r="I1045" s="6"/>
      <c r="J1045" s="36"/>
      <c r="K1045" s="37"/>
      <c r="L1045" s="37"/>
      <c r="M1045" s="81"/>
      <c r="N1045" s="108"/>
      <c r="O1045" s="108"/>
      <c r="P1045" s="108"/>
      <c r="Q1045" s="98" t="s">
        <v>2748</v>
      </c>
      <c r="R1045" s="94" t="s">
        <v>8457</v>
      </c>
      <c r="S1045" s="91" t="s">
        <v>8458</v>
      </c>
      <c r="T1045" s="118" t="s">
        <v>8459</v>
      </c>
      <c r="U1045" s="194" t="s">
        <v>38</v>
      </c>
      <c r="V1045" s="199" t="s">
        <v>2328</v>
      </c>
      <c r="W1045" s="101" t="s">
        <v>3984</v>
      </c>
      <c r="X1045" s="90"/>
      <c r="Y1045" s="90"/>
      <c r="Z1045" s="26"/>
      <c r="AA1045" s="26"/>
      <c r="AB1045" s="104" t="s">
        <v>7071</v>
      </c>
      <c r="AC1045" s="112">
        <v>45114</v>
      </c>
    </row>
    <row r="1046" spans="1:30" ht="15.75" customHeight="1">
      <c r="A1046" s="113">
        <v>1045</v>
      </c>
      <c r="B1046" s="94" t="s">
        <v>1469</v>
      </c>
      <c r="C1046" s="94" t="s">
        <v>868</v>
      </c>
      <c r="D1046" s="95"/>
      <c r="E1046" s="96" t="s">
        <v>199</v>
      </c>
      <c r="F1046" s="114" t="s">
        <v>7153</v>
      </c>
      <c r="G1046" s="14" t="str">
        <f ca="1">IFERROR(__xludf.DUMMYFUNCTION("CONCATENATE(B1046,(VLOOKUP(C1046,CATALOGOS!$F$2:$H$6,3,FALSE)),(VLOOKUP(V1046,CATALOGOS!$J$2:$K$18,2,FALSE)),""-"",TO_TEXT(A1046))"),"P13LP-1045")</f>
        <v>P13LP-1045</v>
      </c>
      <c r="H1046" s="6" t="str">
        <f ca="1">IFERROR(__xludf.DUMMYFUNCTION("CONCATENATE($B1046,(VLOOKUP($C1046,CATALOGOS!$F$2:$H$6,3,FALSE)),(VLOOKUP($V1046,CATALOGOS!$J$2:$K$18,2,FALSE)),""-"",TO_TEXT($A1046))"),"P13LP-1045")</f>
        <v>P13LP-1045</v>
      </c>
      <c r="I1046" s="6"/>
      <c r="J1046" s="36"/>
      <c r="K1046" s="37"/>
      <c r="L1046" s="37"/>
      <c r="M1046" s="81"/>
      <c r="N1046" s="108"/>
      <c r="O1046" s="108"/>
      <c r="P1046" s="108"/>
      <c r="Q1046" s="98" t="s">
        <v>2748</v>
      </c>
      <c r="R1046" s="91" t="s">
        <v>8460</v>
      </c>
      <c r="S1046" s="91" t="s">
        <v>8461</v>
      </c>
      <c r="T1046" s="118" t="s">
        <v>8462</v>
      </c>
      <c r="U1046" s="194" t="s">
        <v>38</v>
      </c>
      <c r="V1046" s="199" t="s">
        <v>2328</v>
      </c>
      <c r="W1046" s="101" t="s">
        <v>3984</v>
      </c>
      <c r="X1046" s="90"/>
      <c r="Y1046" s="90"/>
      <c r="Z1046" s="26"/>
      <c r="AA1046" s="26"/>
      <c r="AB1046" s="104" t="s">
        <v>7071</v>
      </c>
      <c r="AC1046" s="112">
        <v>45114</v>
      </c>
    </row>
    <row r="1047" spans="1:30" ht="15.75" customHeight="1">
      <c r="A1047" s="113">
        <v>1046</v>
      </c>
      <c r="B1047" s="94" t="s">
        <v>4410</v>
      </c>
      <c r="C1047" s="94" t="s">
        <v>4411</v>
      </c>
      <c r="D1047" s="95"/>
      <c r="E1047" s="96" t="s">
        <v>151</v>
      </c>
      <c r="F1047" s="114" t="s">
        <v>7073</v>
      </c>
      <c r="G1047" s="14" t="str">
        <f ca="1">IFERROR(__xludf.DUMMYFUNCTION("CONCATENATE(B1047,(VLOOKUP(C1047,CATALOGOS!$F$2:$H$6,3,FALSE)),(VLOOKUP(V1047,CATALOGOS!$J$2:$K$18,2,FALSE)),""-"",TO_TEXT(A1047))"),"P24SJ-1046")</f>
        <v>P24SJ-1046</v>
      </c>
      <c r="H1047" s="6" t="str">
        <f ca="1">IFERROR(__xludf.DUMMYFUNCTION("CONCATENATE($B1047,(VLOOKUP($C1047,CATALOGOS!$F$2:$H$6,3,FALSE)),(VLOOKUP($V1047,CATALOGOS!$J$2:$K$18,2,FALSE)),""-"",TO_TEXT($A1047))"),"P24SJ-1046")</f>
        <v>P24SJ-1046</v>
      </c>
      <c r="I1047" s="6"/>
      <c r="J1047" s="36"/>
      <c r="K1047" s="37"/>
      <c r="L1047" s="37"/>
      <c r="M1047" s="81"/>
      <c r="N1047" s="108"/>
      <c r="O1047" s="108"/>
      <c r="P1047" s="108"/>
      <c r="Q1047" s="98" t="s">
        <v>2317</v>
      </c>
      <c r="R1047" s="94" t="s">
        <v>8463</v>
      </c>
      <c r="S1047" s="91" t="s">
        <v>7075</v>
      </c>
      <c r="T1047" s="118" t="s">
        <v>7076</v>
      </c>
      <c r="U1047" s="194" t="s">
        <v>38</v>
      </c>
      <c r="V1047" s="199" t="s">
        <v>4411</v>
      </c>
      <c r="W1047" s="101" t="s">
        <v>4935</v>
      </c>
      <c r="X1047" s="90"/>
      <c r="Y1047" s="90"/>
      <c r="Z1047" s="26"/>
      <c r="AA1047" s="26"/>
      <c r="AB1047" s="104" t="s">
        <v>7077</v>
      </c>
      <c r="AC1047" s="112">
        <v>45166</v>
      </c>
    </row>
    <row r="1048" spans="1:30" ht="15.75" customHeight="1">
      <c r="A1048" s="113">
        <v>1047</v>
      </c>
      <c r="B1048" s="94" t="s">
        <v>1469</v>
      </c>
      <c r="C1048" s="94" t="s">
        <v>868</v>
      </c>
      <c r="D1048" s="95"/>
      <c r="E1048" s="96" t="s">
        <v>7005</v>
      </c>
      <c r="F1048" s="114" t="s">
        <v>7078</v>
      </c>
      <c r="G1048" s="14" t="str">
        <f ca="1">IFERROR(__xludf.DUMMYFUNCTION("CONCATENATE(B1048,(VLOOKUP(C1048,CATALOGOS!$F$2:$H$6,3,FALSE)),(VLOOKUP(V1048,CATALOGOS!$J$2:$K$18,2,FALSE)),""-"",TO_TEXT(A1048))"),"P13SO-1047")</f>
        <v>P13SO-1047</v>
      </c>
      <c r="H1048" s="6" t="str">
        <f ca="1">IFERROR(__xludf.DUMMYFUNCTION("CONCATENATE($B1048,(VLOOKUP($C1048,CATALOGOS!$F$2:$H$6,3,FALSE)),(VLOOKUP($V1048,CATALOGOS!$J$2:$K$18,2,FALSE)),""-"",TO_TEXT($A1048))"),"P13SO-1047")</f>
        <v>P13SO-1047</v>
      </c>
      <c r="I1048" s="6"/>
      <c r="J1048" s="36"/>
      <c r="K1048" s="37"/>
      <c r="L1048" s="37"/>
      <c r="M1048" s="81"/>
      <c r="N1048" s="108"/>
      <c r="O1048" s="108"/>
      <c r="P1048" s="108"/>
      <c r="Q1048" s="98" t="s">
        <v>2748</v>
      </c>
      <c r="R1048" s="91" t="s">
        <v>7079</v>
      </c>
      <c r="S1048" s="115" t="s">
        <v>7080</v>
      </c>
      <c r="T1048" s="118" t="s">
        <v>7081</v>
      </c>
      <c r="U1048" s="194" t="s">
        <v>38</v>
      </c>
      <c r="V1048" s="199" t="s">
        <v>868</v>
      </c>
      <c r="W1048" s="101" t="s">
        <v>8455</v>
      </c>
      <c r="X1048" s="90"/>
      <c r="Y1048" s="90"/>
      <c r="Z1048" s="26"/>
      <c r="AA1048" s="26"/>
      <c r="AB1048" s="104" t="s">
        <v>7082</v>
      </c>
      <c r="AC1048" s="112">
        <v>45175</v>
      </c>
    </row>
    <row r="1049" spans="1:30" ht="15.75" customHeight="1">
      <c r="A1049" s="113">
        <v>1048</v>
      </c>
      <c r="B1049" s="94" t="s">
        <v>1469</v>
      </c>
      <c r="C1049" s="94" t="s">
        <v>868</v>
      </c>
      <c r="D1049" s="95"/>
      <c r="E1049" s="96" t="s">
        <v>1275</v>
      </c>
      <c r="F1049" s="114" t="s">
        <v>8464</v>
      </c>
      <c r="G1049" s="14" t="str">
        <f ca="1">IFERROR(__xludf.DUMMYFUNCTION("CONCATENATE(B1049,(VLOOKUP(C1049,CATALOGOS!$F$2:$H$6,3,FALSE)),(VLOOKUP(V1049,CATALOGOS!$J$2:$K$18,2,FALSE)),""-"",TO_TEXT(A1049))"),"P13SO-1048")</f>
        <v>P13SO-1048</v>
      </c>
      <c r="H1049" s="6" t="str">
        <f ca="1">IFERROR(__xludf.DUMMYFUNCTION("CONCATENATE($B1049,(VLOOKUP($C1049,CATALOGOS!$F$2:$H$6,3,FALSE)),(VLOOKUP($V1049,CATALOGOS!$J$2:$K$18,2,FALSE)),""-"",TO_TEXT($A1049))"),"P13SO-1048")</f>
        <v>P13SO-1048</v>
      </c>
      <c r="I1049" s="6"/>
      <c r="J1049" s="36"/>
      <c r="K1049" s="37"/>
      <c r="L1049" s="37"/>
      <c r="M1049" s="81"/>
      <c r="N1049" s="108"/>
      <c r="O1049" s="108"/>
      <c r="P1049" s="108"/>
      <c r="Q1049" s="98" t="s">
        <v>2748</v>
      </c>
      <c r="R1049" s="91" t="s">
        <v>8465</v>
      </c>
      <c r="S1049" s="91" t="s">
        <v>7085</v>
      </c>
      <c r="T1049" s="118" t="s">
        <v>7086</v>
      </c>
      <c r="U1049" s="194" t="s">
        <v>38</v>
      </c>
      <c r="V1049" s="199" t="s">
        <v>868</v>
      </c>
      <c r="W1049" s="101" t="s">
        <v>8455</v>
      </c>
      <c r="X1049" s="90"/>
      <c r="Y1049" s="90"/>
      <c r="Z1049" s="26"/>
      <c r="AA1049" s="26"/>
      <c r="AB1049" s="104" t="s">
        <v>7082</v>
      </c>
      <c r="AC1049" s="112">
        <v>45175</v>
      </c>
    </row>
    <row r="1050" spans="1:30" ht="15.75" customHeight="1">
      <c r="A1050" s="113">
        <v>1049</v>
      </c>
      <c r="B1050" s="94" t="s">
        <v>1469</v>
      </c>
      <c r="C1050" s="94" t="s">
        <v>1470</v>
      </c>
      <c r="D1050" s="95"/>
      <c r="E1050" s="96" t="s">
        <v>184</v>
      </c>
      <c r="F1050" s="114" t="s">
        <v>7087</v>
      </c>
      <c r="G1050" s="14" t="str">
        <f ca="1">IFERROR(__xludf.DUMMYFUNCTION("CONCATENATE(B1050,(VLOOKUP(C1050,CATALOGOS!$F$2:$H$6,3,FALSE)),(VLOOKUP(V1050,CATALOGOS!$J$2:$K$18,2,FALSE)),""-"",TO_TEXT(A1050))"),"P12PP-1049")</f>
        <v>P12PP-1049</v>
      </c>
      <c r="H1050" s="6" t="str">
        <f ca="1">IFERROR(__xludf.DUMMYFUNCTION("CONCATENATE($B1050,(VLOOKUP($C1050,CATALOGOS!$F$2:$H$6,3,FALSE)),(VLOOKUP($V1050,CATALOGOS!$J$2:$K$18,2,FALSE)),""-"",TO_TEXT($A1050))"),"P12PP-1049")</f>
        <v>P12PP-1049</v>
      </c>
      <c r="I1050" s="6"/>
      <c r="J1050" s="36"/>
      <c r="K1050" s="37"/>
      <c r="L1050" s="37"/>
      <c r="M1050" s="81"/>
      <c r="N1050" s="108"/>
      <c r="O1050" s="108"/>
      <c r="P1050" s="108"/>
      <c r="Q1050" s="98" t="s">
        <v>7088</v>
      </c>
      <c r="R1050" s="94" t="s">
        <v>7089</v>
      </c>
      <c r="S1050" s="91" t="s">
        <v>7093</v>
      </c>
      <c r="T1050" s="118" t="s">
        <v>7090</v>
      </c>
      <c r="U1050" s="194" t="s">
        <v>38</v>
      </c>
      <c r="V1050" s="199" t="s">
        <v>1548</v>
      </c>
      <c r="W1050" s="101" t="s">
        <v>7702</v>
      </c>
      <c r="X1050" s="90"/>
      <c r="Y1050" s="90"/>
      <c r="Z1050" s="26"/>
      <c r="AA1050" s="26"/>
      <c r="AB1050" s="104" t="s">
        <v>7091</v>
      </c>
      <c r="AC1050" s="101" t="s">
        <v>7092</v>
      </c>
    </row>
    <row r="1051" spans="1:30" ht="15.75" customHeight="1">
      <c r="A1051" s="113">
        <v>1050</v>
      </c>
      <c r="B1051" s="94" t="s">
        <v>4410</v>
      </c>
      <c r="C1051" s="94" t="s">
        <v>4411</v>
      </c>
      <c r="D1051" s="95"/>
      <c r="E1051" s="96" t="s">
        <v>184</v>
      </c>
      <c r="F1051" s="114" t="s">
        <v>7087</v>
      </c>
      <c r="G1051" s="14" t="str">
        <f ca="1">IFERROR(__xludf.DUMMYFUNCTION("CONCATENATE(B1051,(VLOOKUP(C1051,CATALOGOS!$F$2:$H$6,3,FALSE)),(VLOOKUP(V1051,CATALOGOS!$J$2:$K$18,2,FALSE)),""-"",TO_TEXT(A1051))"),"P24CA-1050")</f>
        <v>P24CA-1050</v>
      </c>
      <c r="H1051" s="6" t="str">
        <f ca="1">IFERROR(__xludf.DUMMYFUNCTION("CONCATENATE($B1051,(VLOOKUP($C1051,CATALOGOS!$F$2:$H$6,3,FALSE)),(VLOOKUP($V1051,CATALOGOS!$J$2:$K$18,2,FALSE)),""-"",TO_TEXT($A1051))"),"P24CA-1050")</f>
        <v>P24CA-1050</v>
      </c>
      <c r="I1051" s="6"/>
      <c r="J1051" s="36"/>
      <c r="K1051" s="37"/>
      <c r="L1051" s="37"/>
      <c r="M1051" s="81"/>
      <c r="N1051" s="108"/>
      <c r="O1051" s="108"/>
      <c r="P1051" s="108"/>
      <c r="Q1051" s="98" t="s">
        <v>7088</v>
      </c>
      <c r="R1051" s="94" t="s">
        <v>7089</v>
      </c>
      <c r="S1051" s="94" t="s">
        <v>7093</v>
      </c>
      <c r="T1051" s="118" t="s">
        <v>7094</v>
      </c>
      <c r="U1051" s="194" t="s">
        <v>38</v>
      </c>
      <c r="V1051" s="199" t="s">
        <v>4416</v>
      </c>
      <c r="W1051" s="101" t="s">
        <v>5584</v>
      </c>
      <c r="X1051" s="90"/>
      <c r="Y1051" s="90"/>
      <c r="Z1051" s="26"/>
      <c r="AA1051" s="26"/>
      <c r="AB1051" s="104" t="s">
        <v>7091</v>
      </c>
      <c r="AC1051" s="106">
        <v>45159</v>
      </c>
    </row>
    <row r="1052" spans="1:30" ht="15.75" customHeight="1">
      <c r="A1052" s="113">
        <v>1051</v>
      </c>
      <c r="B1052" s="94" t="s">
        <v>27</v>
      </c>
      <c r="C1052" s="94" t="s">
        <v>868</v>
      </c>
      <c r="D1052" s="95"/>
      <c r="E1052" s="96" t="s">
        <v>378</v>
      </c>
      <c r="F1052" s="114" t="s">
        <v>7095</v>
      </c>
      <c r="G1052" s="14" t="str">
        <f ca="1">IFERROR(__xludf.DUMMYFUNCTION("CONCATENATE(B1052,(VLOOKUP(C1052,CATALOGOS!$F$2:$H$6,3,FALSE)),(VLOOKUP(V1052,CATALOGOS!$J$2:$K$18,2,FALSE)),""-"",TO_TEXT(A1052))"),"P03CV-1051")</f>
        <v>P03CV-1051</v>
      </c>
      <c r="H1052" s="6" t="str">
        <f ca="1">IFERROR(__xludf.DUMMYFUNCTION("CONCATENATE($B1052,(VLOOKUP($C1052,CATALOGOS!$F$2:$H$6,3,FALSE)),(VLOOKUP($V1052,CATALOGOS!$J$2:$K$18,2,FALSE)),""-"",TO_TEXT($A1052))"),"P03CV-1051")</f>
        <v>P03CV-1051</v>
      </c>
      <c r="I1052" s="6"/>
      <c r="J1052" s="36"/>
      <c r="K1052" s="37"/>
      <c r="L1052" s="37"/>
      <c r="M1052" s="81"/>
      <c r="N1052" s="108"/>
      <c r="O1052" s="108"/>
      <c r="P1052" s="108"/>
      <c r="Q1052" s="98" t="s">
        <v>4684</v>
      </c>
      <c r="R1052" s="94" t="s">
        <v>7096</v>
      </c>
      <c r="S1052" s="94" t="s">
        <v>7093</v>
      </c>
      <c r="T1052" s="118" t="s">
        <v>7097</v>
      </c>
      <c r="U1052" s="194" t="s">
        <v>38</v>
      </c>
      <c r="V1052" s="199" t="s">
        <v>875</v>
      </c>
      <c r="W1052" s="101" t="s">
        <v>8466</v>
      </c>
      <c r="X1052" s="90"/>
      <c r="Y1052" s="90"/>
      <c r="Z1052" s="26"/>
      <c r="AA1052" s="26"/>
      <c r="AB1052" s="104" t="s">
        <v>7098</v>
      </c>
      <c r="AC1052" s="112">
        <v>45167</v>
      </c>
    </row>
    <row r="1053" spans="1:30" ht="15.75" customHeight="1">
      <c r="A1053" s="113">
        <v>1052</v>
      </c>
      <c r="B1053" s="94" t="s">
        <v>1469</v>
      </c>
      <c r="C1053" s="94" t="s">
        <v>868</v>
      </c>
      <c r="D1053" s="95"/>
      <c r="E1053" s="96" t="s">
        <v>378</v>
      </c>
      <c r="F1053" s="114" t="s">
        <v>7095</v>
      </c>
      <c r="G1053" s="14" t="str">
        <f ca="1">IFERROR(__xludf.DUMMYFUNCTION("CONCATENATE(B1053,(VLOOKUP(C1053,CATALOGOS!$F$2:$H$6,3,FALSE)),(VLOOKUP(V1053,CATALOGOS!$J$2:$K$18,2,FALSE)),""-"",TO_TEXT(A1053))"),"P13SO-1052")</f>
        <v>P13SO-1052</v>
      </c>
      <c r="H1053" s="6" t="str">
        <f ca="1">IFERROR(__xludf.DUMMYFUNCTION("CONCATENATE($B1053,(VLOOKUP($C1053,CATALOGOS!$F$2:$H$6,3,FALSE)),(VLOOKUP($V1053,CATALOGOS!$J$2:$K$18,2,FALSE)),""-"",TO_TEXT($A1053))"),"P13SO-1052")</f>
        <v>P13SO-1052</v>
      </c>
      <c r="I1053" s="6"/>
      <c r="J1053" s="36"/>
      <c r="K1053" s="37"/>
      <c r="L1053" s="37"/>
      <c r="M1053" s="81"/>
      <c r="N1053" s="108"/>
      <c r="O1053" s="108"/>
      <c r="P1053" s="108"/>
      <c r="Q1053" s="98" t="s">
        <v>4684</v>
      </c>
      <c r="R1053" s="94" t="s">
        <v>7096</v>
      </c>
      <c r="S1053" s="94" t="s">
        <v>7093</v>
      </c>
      <c r="T1053" s="118" t="s">
        <v>7099</v>
      </c>
      <c r="U1053" s="194" t="s">
        <v>38</v>
      </c>
      <c r="V1053" s="199" t="s">
        <v>868</v>
      </c>
      <c r="W1053" s="101" t="s">
        <v>1665</v>
      </c>
      <c r="X1053" s="90"/>
      <c r="Y1053" s="90"/>
      <c r="Z1053" s="26"/>
      <c r="AA1053" s="26"/>
      <c r="AB1053" s="101" t="s">
        <v>7098</v>
      </c>
      <c r="AC1053" s="112">
        <v>45167</v>
      </c>
    </row>
    <row r="1054" spans="1:30" ht="15.75" customHeight="1">
      <c r="A1054" s="113">
        <v>1053</v>
      </c>
      <c r="B1054" s="94" t="s">
        <v>1469</v>
      </c>
      <c r="C1054" s="94" t="s">
        <v>1470</v>
      </c>
      <c r="D1054" s="95"/>
      <c r="E1054" s="96" t="s">
        <v>378</v>
      </c>
      <c r="F1054" s="114" t="s">
        <v>7095</v>
      </c>
      <c r="G1054" s="14" t="str">
        <f ca="1">IFERROR(__xludf.DUMMYFUNCTION("CONCATENATE(B1054,(VLOOKUP(C1054,CATALOGOS!$F$2:$H$6,3,FALSE)),(VLOOKUP(V1054,CATALOGOS!$J$2:$K$18,2,FALSE)),""-"",TO_TEXT(A1054))"),"P12ST-1053")</f>
        <v>P12ST-1053</v>
      </c>
      <c r="H1054" s="6" t="str">
        <f ca="1">IFERROR(__xludf.DUMMYFUNCTION("CONCATENATE($B1054,(VLOOKUP($C1054,CATALOGOS!$F$2:$H$6,3,FALSE)),(VLOOKUP($V1054,CATALOGOS!$J$2:$K$18,2,FALSE)),""-"",TO_TEXT($A1054))"),"P12ST-1053")</f>
        <v>P12ST-1053</v>
      </c>
      <c r="I1054" s="6"/>
      <c r="J1054" s="36"/>
      <c r="K1054" s="37"/>
      <c r="L1054" s="37"/>
      <c r="M1054" s="81"/>
      <c r="N1054" s="108"/>
      <c r="O1054" s="108"/>
      <c r="P1054" s="108"/>
      <c r="Q1054" s="98" t="s">
        <v>4684</v>
      </c>
      <c r="R1054" s="94" t="s">
        <v>7096</v>
      </c>
      <c r="S1054" s="94" t="s">
        <v>7093</v>
      </c>
      <c r="T1054" s="118" t="s">
        <v>7100</v>
      </c>
      <c r="U1054" s="194" t="s">
        <v>38</v>
      </c>
      <c r="V1054" s="199" t="s">
        <v>1470</v>
      </c>
      <c r="W1054" s="101" t="s">
        <v>1477</v>
      </c>
      <c r="X1054" s="90"/>
      <c r="Y1054" s="90"/>
      <c r="Z1054" s="26"/>
      <c r="AA1054" s="26"/>
      <c r="AB1054" s="104" t="s">
        <v>7101</v>
      </c>
      <c r="AC1054" s="112">
        <v>45195</v>
      </c>
    </row>
    <row r="1055" spans="1:30" ht="15.75" customHeight="1">
      <c r="A1055" s="113">
        <v>1054</v>
      </c>
      <c r="B1055" s="94" t="s">
        <v>1469</v>
      </c>
      <c r="C1055" s="94" t="s">
        <v>1470</v>
      </c>
      <c r="D1055" s="95"/>
      <c r="E1055" s="116" t="s">
        <v>378</v>
      </c>
      <c r="F1055" s="200" t="s">
        <v>7095</v>
      </c>
      <c r="G1055" s="14" t="str">
        <f ca="1">IFERROR(__xludf.DUMMYFUNCTION("CONCATENATE(B1055,(VLOOKUP(C1055,CATALOGOS!$F$2:$H$6,3,FALSE)),(VLOOKUP(V1055,CATALOGOS!$J$2:$K$18,2,FALSE)),""-"",TO_TEXT(A1055))"),"P12ST-1054")</f>
        <v>P12ST-1054</v>
      </c>
      <c r="H1055" s="6" t="str">
        <f ca="1">IFERROR(__xludf.DUMMYFUNCTION("CONCATENATE($B1055,(VLOOKUP($C1055,CATALOGOS!$F$2:$H$6,3,FALSE)),(VLOOKUP($V1055,CATALOGOS!$J$2:$K$18,2,FALSE)),""-"",TO_TEXT($A1055))"),"P12ST-1054")</f>
        <v>P12ST-1054</v>
      </c>
      <c r="I1055" s="6"/>
      <c r="J1055" s="36"/>
      <c r="K1055" s="37"/>
      <c r="L1055" s="37"/>
      <c r="M1055" s="81"/>
      <c r="N1055" s="108"/>
      <c r="O1055" s="108"/>
      <c r="P1055" s="108"/>
      <c r="Q1055" s="98" t="s">
        <v>4684</v>
      </c>
      <c r="R1055" s="94" t="s">
        <v>7096</v>
      </c>
      <c r="S1055" s="94" t="s">
        <v>7093</v>
      </c>
      <c r="T1055" s="118" t="s">
        <v>7102</v>
      </c>
      <c r="U1055" s="194" t="s">
        <v>38</v>
      </c>
      <c r="V1055" s="199" t="s">
        <v>1470</v>
      </c>
      <c r="W1055" s="101" t="s">
        <v>1477</v>
      </c>
      <c r="X1055" s="90"/>
      <c r="Y1055" s="90"/>
      <c r="Z1055" s="26"/>
      <c r="AA1055" s="26"/>
      <c r="AB1055" s="101" t="s">
        <v>7101</v>
      </c>
      <c r="AC1055" s="112">
        <v>45195</v>
      </c>
    </row>
    <row r="1056" spans="1:30" ht="15.75" customHeight="1">
      <c r="A1056" s="113">
        <v>1055</v>
      </c>
      <c r="B1056" s="94" t="s">
        <v>27</v>
      </c>
      <c r="C1056" s="94" t="s">
        <v>28</v>
      </c>
      <c r="D1056" s="95"/>
      <c r="E1056" s="96" t="s">
        <v>184</v>
      </c>
      <c r="F1056" s="114" t="s">
        <v>7087</v>
      </c>
      <c r="G1056" s="14" t="str">
        <f ca="1">IFERROR(__xludf.DUMMYFUNCTION("CONCATENATE(B1056,(VLOOKUP(C1056,CATALOGOS!$F$2:$H$6,3,FALSE)),(VLOOKUP(V1056,CATALOGOS!$J$2:$K$18,2,FALSE)),""-"",TO_TEXT(A1056))"),"P05DA-1055")</f>
        <v>P05DA-1055</v>
      </c>
      <c r="H1056" s="6" t="str">
        <f ca="1">IFERROR(__xludf.DUMMYFUNCTION("CONCATENATE($B1056,(VLOOKUP($C1056,CATALOGOS!$F$2:$H$6,3,FALSE)),(VLOOKUP($V1056,CATALOGOS!$J$2:$K$18,2,FALSE)),""-"",TO_TEXT($A1056))"),"P05DA-1055")</f>
        <v>P05DA-1055</v>
      </c>
      <c r="I1056" s="6"/>
      <c r="J1056" s="36"/>
      <c r="K1056" s="37"/>
      <c r="L1056" s="37"/>
      <c r="M1056" s="81"/>
      <c r="N1056" s="108"/>
      <c r="O1056" s="108"/>
      <c r="P1056" s="108"/>
      <c r="Q1056" s="98" t="s">
        <v>7088</v>
      </c>
      <c r="R1056" s="94" t="s">
        <v>7089</v>
      </c>
      <c r="S1056" s="94" t="s">
        <v>7093</v>
      </c>
      <c r="T1056" s="118" t="s">
        <v>7130</v>
      </c>
      <c r="U1056" s="194" t="s">
        <v>38</v>
      </c>
      <c r="V1056" s="199" t="s">
        <v>28</v>
      </c>
      <c r="W1056" s="101" t="s">
        <v>332</v>
      </c>
      <c r="X1056" s="90"/>
      <c r="Y1056" s="90"/>
      <c r="Z1056" s="26"/>
      <c r="AA1056" s="26"/>
      <c r="AB1056" s="104" t="s">
        <v>7104</v>
      </c>
      <c r="AC1056" s="112">
        <v>45224</v>
      </c>
      <c r="AD1056" s="86" t="s">
        <v>7020</v>
      </c>
    </row>
    <row r="1057" spans="1:29" ht="15.75" customHeight="1">
      <c r="A1057" s="113">
        <v>1056</v>
      </c>
      <c r="B1057" s="94" t="s">
        <v>27</v>
      </c>
      <c r="C1057" s="94" t="s">
        <v>28</v>
      </c>
      <c r="D1057" s="95"/>
      <c r="E1057" s="96" t="s">
        <v>184</v>
      </c>
      <c r="F1057" s="114" t="s">
        <v>7087</v>
      </c>
      <c r="G1057" s="14" t="str">
        <f ca="1">IFERROR(__xludf.DUMMYFUNCTION("CONCATENATE(B1057,(VLOOKUP(C1057,CATALOGOS!$F$2:$H$6,3,FALSE)),(VLOOKUP(V1057,CATALOGOS!$J$2:$K$18,2,FALSE)),""-"",TO_TEXT(A1057))"),"P05DA-1056")</f>
        <v>P05DA-1056</v>
      </c>
      <c r="H1057" s="6" t="str">
        <f ca="1">IFERROR(__xludf.DUMMYFUNCTION("CONCATENATE($B1057,(VLOOKUP($C1057,CATALOGOS!$F$2:$H$6,3,FALSE)),(VLOOKUP($V1057,CATALOGOS!$J$2:$K$18,2,FALSE)),""-"",TO_TEXT($A1057))"),"P05DA-1056")</f>
        <v>P05DA-1056</v>
      </c>
      <c r="I1057" s="6"/>
      <c r="J1057" s="36"/>
      <c r="K1057" s="37"/>
      <c r="L1057" s="37"/>
      <c r="M1057" s="81"/>
      <c r="N1057" s="108"/>
      <c r="O1057" s="108"/>
      <c r="P1057" s="108"/>
      <c r="Q1057" s="98" t="s">
        <v>7088</v>
      </c>
      <c r="R1057" s="94" t="s">
        <v>7123</v>
      </c>
      <c r="S1057" s="94" t="s">
        <v>7093</v>
      </c>
      <c r="T1057" s="118" t="s">
        <v>7114</v>
      </c>
      <c r="U1057" s="194" t="s">
        <v>38</v>
      </c>
      <c r="V1057" s="199" t="s">
        <v>28</v>
      </c>
      <c r="W1057" s="101" t="s">
        <v>39</v>
      </c>
      <c r="X1057" s="90"/>
      <c r="Y1057" s="90"/>
      <c r="Z1057" s="26"/>
      <c r="AA1057" s="26"/>
      <c r="AB1057" s="104" t="s">
        <v>7104</v>
      </c>
      <c r="AC1057" s="112">
        <v>45224</v>
      </c>
    </row>
    <row r="1058" spans="1:29" ht="15.75" customHeight="1">
      <c r="A1058" s="113">
        <v>1057</v>
      </c>
      <c r="B1058" s="94" t="s">
        <v>27</v>
      </c>
      <c r="C1058" s="94" t="s">
        <v>868</v>
      </c>
      <c r="D1058" s="95"/>
      <c r="E1058" s="96" t="s">
        <v>184</v>
      </c>
      <c r="F1058" s="114" t="s">
        <v>7087</v>
      </c>
      <c r="G1058" s="14" t="str">
        <f ca="1">IFERROR(__xludf.DUMMYFUNCTION("CONCATENATE(B1058,(VLOOKUP(C1058,CATALOGOS!$F$2:$H$6,3,FALSE)),(VLOOKUP(V1058,CATALOGOS!$J$2:$K$18,2,FALSE)),""-"",TO_TEXT(A1058))"),"P03CV-1057")</f>
        <v>P03CV-1057</v>
      </c>
      <c r="H1058" s="6" t="str">
        <f ca="1">IFERROR(__xludf.DUMMYFUNCTION("CONCATENATE($B1058,(VLOOKUP($C1058,CATALOGOS!$F$2:$H$6,3,FALSE)),(VLOOKUP($V1058,CATALOGOS!$J$2:$K$18,2,FALSE)),""-"",TO_TEXT($A1058))"),"P03CV-1057")</f>
        <v>P03CV-1057</v>
      </c>
      <c r="I1058" s="6"/>
      <c r="J1058" s="36"/>
      <c r="K1058" s="37"/>
      <c r="L1058" s="37"/>
      <c r="M1058" s="81"/>
      <c r="N1058" s="108"/>
      <c r="O1058" s="108"/>
      <c r="P1058" s="108"/>
      <c r="Q1058" s="98" t="s">
        <v>7088</v>
      </c>
      <c r="R1058" s="94" t="s">
        <v>7123</v>
      </c>
      <c r="S1058" s="94" t="s">
        <v>7093</v>
      </c>
      <c r="T1058" s="118" t="s">
        <v>7114</v>
      </c>
      <c r="U1058" s="194" t="s">
        <v>38</v>
      </c>
      <c r="V1058" s="199" t="s">
        <v>875</v>
      </c>
      <c r="W1058" s="101" t="s">
        <v>876</v>
      </c>
      <c r="X1058" s="90"/>
      <c r="Y1058" s="90"/>
      <c r="Z1058" s="26"/>
      <c r="AA1058" s="26"/>
      <c r="AB1058" s="104" t="s">
        <v>7104</v>
      </c>
      <c r="AC1058" s="105">
        <v>45224</v>
      </c>
    </row>
    <row r="1059" spans="1:29" ht="15.75" customHeight="1">
      <c r="A1059" s="113">
        <v>1058</v>
      </c>
      <c r="B1059" s="94" t="s">
        <v>27</v>
      </c>
      <c r="C1059" s="94" t="s">
        <v>868</v>
      </c>
      <c r="D1059" s="95"/>
      <c r="E1059" s="96" t="s">
        <v>378</v>
      </c>
      <c r="F1059" s="114" t="s">
        <v>7095</v>
      </c>
      <c r="G1059" s="14" t="str">
        <f ca="1">IFERROR(__xludf.DUMMYFUNCTION("CONCATENATE(B1059,(VLOOKUP(C1059,CATALOGOS!$F$2:$H$6,3,FALSE)),(VLOOKUP(V1059,CATALOGOS!$J$2:$K$18,2,FALSE)),""-"",TO_TEXT(A1059))"),"P03CV-1058")</f>
        <v>P03CV-1058</v>
      </c>
      <c r="H1059" s="6" t="str">
        <f ca="1">IFERROR(__xludf.DUMMYFUNCTION("CONCATENATE($B1059,(VLOOKUP($C1059,CATALOGOS!$F$2:$H$6,3,FALSE)),(VLOOKUP($V1059,CATALOGOS!$J$2:$K$18,2,FALSE)),""-"",TO_TEXT($A1059))"),"P03CV-1058")</f>
        <v>P03CV-1058</v>
      </c>
      <c r="I1059" s="6"/>
      <c r="J1059" s="36"/>
      <c r="K1059" s="37"/>
      <c r="L1059" s="37"/>
      <c r="M1059" s="81"/>
      <c r="N1059" s="108"/>
      <c r="O1059" s="108"/>
      <c r="P1059" s="108"/>
      <c r="Q1059" s="98" t="s">
        <v>4684</v>
      </c>
      <c r="R1059" s="94" t="s">
        <v>7096</v>
      </c>
      <c r="S1059" s="94" t="s">
        <v>7093</v>
      </c>
      <c r="T1059" s="118" t="s">
        <v>7130</v>
      </c>
      <c r="U1059" s="194" t="s">
        <v>38</v>
      </c>
      <c r="V1059" s="199" t="s">
        <v>875</v>
      </c>
      <c r="W1059" s="101" t="s">
        <v>4629</v>
      </c>
      <c r="X1059" s="90"/>
      <c r="Y1059" s="90"/>
      <c r="Z1059" s="26"/>
      <c r="AA1059" s="26"/>
      <c r="AB1059" s="104" t="s">
        <v>7098</v>
      </c>
      <c r="AC1059" s="105">
        <v>45167</v>
      </c>
    </row>
    <row r="1060" spans="1:29" ht="15.75" customHeight="1">
      <c r="A1060" s="113">
        <v>1059</v>
      </c>
      <c r="B1060" s="94" t="s">
        <v>1469</v>
      </c>
      <c r="C1060" s="94" t="s">
        <v>868</v>
      </c>
      <c r="D1060" s="95"/>
      <c r="E1060" s="96" t="s">
        <v>378</v>
      </c>
      <c r="F1060" s="114" t="s">
        <v>7095</v>
      </c>
      <c r="G1060" s="14" t="str">
        <f ca="1">IFERROR(__xludf.DUMMYFUNCTION("CONCATENATE(B1060,(VLOOKUP(C1060,CATALOGOS!$F$2:$H$6,3,FALSE)),(VLOOKUP(V1060,CATALOGOS!$J$2:$K$18,2,FALSE)),""-"",TO_TEXT(A1060))"),"P13SO-1059")</f>
        <v>P13SO-1059</v>
      </c>
      <c r="H1060" s="6" t="str">
        <f ca="1">IFERROR(__xludf.DUMMYFUNCTION("CONCATENATE($B1060,(VLOOKUP($C1060,CATALOGOS!$F$2:$H$6,3,FALSE)),(VLOOKUP($V1060,CATALOGOS!$J$2:$K$18,2,FALSE)),""-"",TO_TEXT($A1060))"),"P13SO-1059")</f>
        <v>P13SO-1059</v>
      </c>
      <c r="I1060" s="6"/>
      <c r="J1060" s="36"/>
      <c r="K1060" s="37"/>
      <c r="L1060" s="37"/>
      <c r="M1060" s="81"/>
      <c r="N1060" s="108"/>
      <c r="O1060" s="108"/>
      <c r="P1060" s="108"/>
      <c r="Q1060" s="98" t="s">
        <v>4684</v>
      </c>
      <c r="R1060" s="94" t="s">
        <v>7096</v>
      </c>
      <c r="S1060" s="94" t="s">
        <v>7093</v>
      </c>
      <c r="T1060" s="118" t="s">
        <v>7114</v>
      </c>
      <c r="U1060" s="194" t="s">
        <v>38</v>
      </c>
      <c r="V1060" s="199" t="s">
        <v>868</v>
      </c>
      <c r="W1060" s="101" t="s">
        <v>1665</v>
      </c>
      <c r="X1060" s="90"/>
      <c r="Y1060" s="90"/>
      <c r="Z1060" s="26"/>
      <c r="AA1060" s="26"/>
      <c r="AB1060" s="104" t="s">
        <v>7098</v>
      </c>
      <c r="AC1060" s="112">
        <v>45167</v>
      </c>
    </row>
    <row r="1061" spans="1:29" ht="15.75" customHeight="1">
      <c r="A1061" s="113">
        <v>1060</v>
      </c>
      <c r="B1061" s="94" t="s">
        <v>1469</v>
      </c>
      <c r="C1061" s="94" t="s">
        <v>1470</v>
      </c>
      <c r="D1061" s="95"/>
      <c r="E1061" s="96" t="s">
        <v>378</v>
      </c>
      <c r="F1061" s="114" t="s">
        <v>7095</v>
      </c>
      <c r="G1061" s="14" t="str">
        <f ca="1">IFERROR(__xludf.DUMMYFUNCTION("CONCATENATE(B1061,(VLOOKUP(C1061,CATALOGOS!$F$2:$H$6,3,FALSE)),(VLOOKUP(V1061,CATALOGOS!$J$2:$K$18,2,FALSE)),""-"",TO_TEXT(A1061))"),"P12ST-1060")</f>
        <v>P12ST-1060</v>
      </c>
      <c r="H1061" s="6" t="str">
        <f ca="1">IFERROR(__xludf.DUMMYFUNCTION("CONCATENATE($B1061,(VLOOKUP($C1061,CATALOGOS!$F$2:$H$6,3,FALSE)),(VLOOKUP($V1061,CATALOGOS!$J$2:$K$18,2,FALSE)),""-"",TO_TEXT($A1061))"),"P12ST-1060")</f>
        <v>P12ST-1060</v>
      </c>
      <c r="I1061" s="6"/>
      <c r="J1061" s="36"/>
      <c r="K1061" s="37"/>
      <c r="L1061" s="37"/>
      <c r="M1061" s="81"/>
      <c r="N1061" s="108"/>
      <c r="O1061" s="108"/>
      <c r="P1061" s="108"/>
      <c r="Q1061" s="98" t="s">
        <v>4684</v>
      </c>
      <c r="R1061" s="94" t="s">
        <v>7096</v>
      </c>
      <c r="S1061" s="94" t="s">
        <v>7093</v>
      </c>
      <c r="T1061" s="118" t="s">
        <v>7130</v>
      </c>
      <c r="U1061" s="194" t="s">
        <v>38</v>
      </c>
      <c r="V1061" s="199" t="s">
        <v>1470</v>
      </c>
      <c r="W1061" s="101" t="s">
        <v>1477</v>
      </c>
      <c r="X1061" s="90"/>
      <c r="Y1061" s="90"/>
      <c r="Z1061" s="26"/>
      <c r="AA1061" s="26"/>
      <c r="AB1061" s="104" t="s">
        <v>7101</v>
      </c>
      <c r="AC1061" s="112">
        <v>45195</v>
      </c>
    </row>
    <row r="1062" spans="1:29" ht="15.75" customHeight="1">
      <c r="A1062" s="113">
        <v>1061</v>
      </c>
      <c r="B1062" s="94" t="s">
        <v>1469</v>
      </c>
      <c r="C1062" s="94" t="s">
        <v>1470</v>
      </c>
      <c r="D1062" s="95"/>
      <c r="E1062" s="96" t="s">
        <v>378</v>
      </c>
      <c r="F1062" s="114" t="s">
        <v>7095</v>
      </c>
      <c r="G1062" s="14" t="str">
        <f ca="1">IFERROR(__xludf.DUMMYFUNCTION("CONCATENATE(B1062,(VLOOKUP(C1062,CATALOGOS!$F$2:$H$6,3,FALSE)),(VLOOKUP(V1062,CATALOGOS!$J$2:$K$18,2,FALSE)),""-"",TO_TEXT(A1062))"),"P12ST-1061")</f>
        <v>P12ST-1061</v>
      </c>
      <c r="H1062" s="6" t="str">
        <f ca="1">IFERROR(__xludf.DUMMYFUNCTION("CONCATENATE($B1062,(VLOOKUP($C1062,CATALOGOS!$F$2:$H$6,3,FALSE)),(VLOOKUP($V1062,CATALOGOS!$J$2:$K$18,2,FALSE)),""-"",TO_TEXT($A1062))"),"P12ST-1061")</f>
        <v>P12ST-1061</v>
      </c>
      <c r="I1062" s="6"/>
      <c r="J1062" s="36"/>
      <c r="K1062" s="37"/>
      <c r="L1062" s="37"/>
      <c r="M1062" s="81"/>
      <c r="N1062" s="108"/>
      <c r="O1062" s="108"/>
      <c r="P1062" s="108"/>
      <c r="Q1062" s="98" t="s">
        <v>4684</v>
      </c>
      <c r="R1062" s="94" t="s">
        <v>7096</v>
      </c>
      <c r="S1062" s="94" t="s">
        <v>7093</v>
      </c>
      <c r="T1062" s="118" t="s">
        <v>7114</v>
      </c>
      <c r="U1062" s="194" t="s">
        <v>38</v>
      </c>
      <c r="V1062" s="199" t="s">
        <v>1470</v>
      </c>
      <c r="W1062" s="101" t="s">
        <v>1477</v>
      </c>
      <c r="X1062" s="90"/>
      <c r="Y1062" s="90"/>
      <c r="Z1062" s="26"/>
      <c r="AA1062" s="26"/>
      <c r="AB1062" s="104" t="s">
        <v>7101</v>
      </c>
      <c r="AC1062" s="112">
        <v>45195</v>
      </c>
    </row>
    <row r="1063" spans="1:29" ht="15.75" customHeight="1">
      <c r="A1063" s="113">
        <v>1062</v>
      </c>
      <c r="B1063" s="94" t="s">
        <v>27</v>
      </c>
      <c r="C1063" s="94" t="s">
        <v>28</v>
      </c>
      <c r="D1063" s="95"/>
      <c r="E1063" s="210" t="s">
        <v>184</v>
      </c>
      <c r="F1063" s="211" t="s">
        <v>7087</v>
      </c>
      <c r="G1063" s="14" t="str">
        <f ca="1">IFERROR(__xludf.DUMMYFUNCTION("CONCATENATE(B1063,(VLOOKUP(C1063,CATALOGOS!$F$2:$H$6,3,FALSE)),(VLOOKUP(V1063,CATALOGOS!$J$2:$K$18,2,FALSE)),""-"",TO_TEXT(A1063))"),"P05DA-1062")</f>
        <v>P05DA-1062</v>
      </c>
      <c r="H1063" s="6" t="str">
        <f ca="1">IFERROR(__xludf.DUMMYFUNCTION("CONCATENATE($B1063,(VLOOKUP($C1063,CATALOGOS!$F$2:$H$6,3,FALSE)),(VLOOKUP($V1063,CATALOGOS!$J$2:$K$18,2,FALSE)),""-"",TO_TEXT($A1063))"),"P05DA-1062")</f>
        <v>P05DA-1062</v>
      </c>
      <c r="I1063" s="6"/>
      <c r="J1063" s="36"/>
      <c r="K1063" s="37"/>
      <c r="L1063" s="37"/>
      <c r="M1063" s="81"/>
      <c r="N1063" s="108"/>
      <c r="O1063" s="108"/>
      <c r="P1063" s="108"/>
      <c r="Q1063" s="98" t="s">
        <v>7088</v>
      </c>
      <c r="R1063" s="103" t="s">
        <v>7096</v>
      </c>
      <c r="S1063" s="103" t="s">
        <v>36</v>
      </c>
      <c r="T1063" s="118" t="s">
        <v>9269</v>
      </c>
      <c r="U1063" s="194" t="s">
        <v>38</v>
      </c>
      <c r="V1063" s="199" t="s">
        <v>28</v>
      </c>
      <c r="W1063" s="170" t="s">
        <v>332</v>
      </c>
      <c r="X1063" s="90"/>
      <c r="Y1063" s="90"/>
      <c r="Z1063" s="26"/>
      <c r="AA1063" s="26"/>
      <c r="AB1063" s="104" t="s">
        <v>7104</v>
      </c>
      <c r="AC1063" s="106">
        <v>45224</v>
      </c>
    </row>
    <row r="1064" spans="1:29" ht="15.75" customHeight="1">
      <c r="A1064" s="113">
        <v>1063</v>
      </c>
      <c r="B1064" s="94" t="s">
        <v>27</v>
      </c>
      <c r="C1064" s="94" t="s">
        <v>28</v>
      </c>
      <c r="D1064" s="95"/>
      <c r="E1064" s="96" t="s">
        <v>184</v>
      </c>
      <c r="F1064" s="114" t="s">
        <v>7087</v>
      </c>
      <c r="G1064" s="14" t="str">
        <f ca="1">IFERROR(__xludf.DUMMYFUNCTION("CONCATENATE(B1064,(VLOOKUP(C1064,CATALOGOS!$F$2:$H$6,3,FALSE)),(VLOOKUP(V1064,CATALOGOS!$J$2:$K$18,2,FALSE)),""-"",TO_TEXT(A1064))"),"P05DA-1063")</f>
        <v>P05DA-1063</v>
      </c>
      <c r="H1064" s="6" t="str">
        <f ca="1">IFERROR(__xludf.DUMMYFUNCTION("CONCATENATE($B1064,(VLOOKUP($C1064,CATALOGOS!$F$2:$H$6,3,FALSE)),(VLOOKUP($V1064,CATALOGOS!$J$2:$K$18,2,FALSE)),""-"",TO_TEXT($A1064))"),"P05DA-1063")</f>
        <v>P05DA-1063</v>
      </c>
      <c r="I1064" s="36"/>
      <c r="J1064" s="36"/>
      <c r="K1064" s="37"/>
      <c r="L1064" s="37"/>
      <c r="M1064" s="81"/>
      <c r="N1064" s="108"/>
      <c r="O1064" s="108"/>
      <c r="P1064" s="108"/>
      <c r="Q1064" s="35" t="s">
        <v>7088</v>
      </c>
      <c r="R1064" s="10" t="s">
        <v>7089</v>
      </c>
      <c r="S1064" s="10" t="s">
        <v>36</v>
      </c>
      <c r="T1064" s="118" t="s">
        <v>9269</v>
      </c>
      <c r="U1064" s="194" t="s">
        <v>38</v>
      </c>
      <c r="V1064" s="11" t="s">
        <v>28</v>
      </c>
      <c r="W1064" s="20" t="s">
        <v>332</v>
      </c>
      <c r="X1064" s="90"/>
      <c r="Y1064" s="90"/>
      <c r="Z1064" s="26"/>
      <c r="AA1064" s="26"/>
      <c r="AB1064" s="22" t="s">
        <v>7104</v>
      </c>
      <c r="AC1064" s="119">
        <v>45224</v>
      </c>
    </row>
    <row r="1065" spans="1:29" ht="15.75" customHeight="1">
      <c r="A1065" s="113">
        <v>1064</v>
      </c>
      <c r="B1065" s="94" t="s">
        <v>27</v>
      </c>
      <c r="C1065" s="94" t="s">
        <v>28</v>
      </c>
      <c r="D1065" s="95"/>
      <c r="E1065" s="96" t="s">
        <v>184</v>
      </c>
      <c r="F1065" s="114" t="s">
        <v>7122</v>
      </c>
      <c r="G1065" s="14" t="str">
        <f ca="1">IFERROR(__xludf.DUMMYFUNCTION("CONCATENATE(B1065,(VLOOKUP(C1065,CATALOGOS!$F$2:$H$6,3,FALSE)),(VLOOKUP(V1065,CATALOGOS!$J$2:$K$18,2,FALSE)),""-"",TO_TEXT(A1065))"),"P05DA-1064")</f>
        <v>P05DA-1064</v>
      </c>
      <c r="H1065" s="6" t="str">
        <f ca="1">IFERROR(__xludf.DUMMYFUNCTION("CONCATENATE($B1065,(VLOOKUP($C1065,CATALOGOS!$F$2:$H$6,3,FALSE)),(VLOOKUP($V1065,CATALOGOS!$J$2:$K$18,2,FALSE)),""-"",TO_TEXT($A1065))"),"P05DA-1064")</f>
        <v>P05DA-1064</v>
      </c>
      <c r="I1065" s="36"/>
      <c r="J1065" s="36"/>
      <c r="K1065" s="37"/>
      <c r="L1065" s="37"/>
      <c r="M1065" s="81"/>
      <c r="N1065" s="108"/>
      <c r="O1065" s="108"/>
      <c r="P1065" s="108"/>
      <c r="Q1065" s="35" t="s">
        <v>7088</v>
      </c>
      <c r="R1065" s="10" t="s">
        <v>7123</v>
      </c>
      <c r="S1065" s="10" t="s">
        <v>36</v>
      </c>
      <c r="T1065" s="118" t="s">
        <v>8467</v>
      </c>
      <c r="U1065" s="194" t="s">
        <v>38</v>
      </c>
      <c r="V1065" s="11" t="s">
        <v>28</v>
      </c>
      <c r="W1065" s="20" t="s">
        <v>39</v>
      </c>
      <c r="X1065" s="90"/>
      <c r="Y1065" s="90"/>
      <c r="Z1065" s="26"/>
      <c r="AA1065" s="26"/>
      <c r="AB1065" s="22" t="s">
        <v>7104</v>
      </c>
      <c r="AC1065" s="119">
        <v>45224</v>
      </c>
    </row>
    <row r="1066" spans="1:29" ht="15.75" customHeight="1">
      <c r="A1066" s="113">
        <v>1065</v>
      </c>
      <c r="B1066" s="94" t="s">
        <v>27</v>
      </c>
      <c r="C1066" s="94" t="s">
        <v>868</v>
      </c>
      <c r="D1066" s="95"/>
      <c r="E1066" s="96" t="s">
        <v>184</v>
      </c>
      <c r="F1066" s="114" t="s">
        <v>7125</v>
      </c>
      <c r="G1066" s="14" t="str">
        <f ca="1">IFERROR(__xludf.DUMMYFUNCTION("CONCATENATE(B1066,(VLOOKUP(C1066,CATALOGOS!$F$2:$H$6,3,FALSE)),(VLOOKUP(V1066,CATALOGOS!$J$2:$K$18,2,FALSE)),""-"",TO_TEXT(A1066))"),"P03CV-1065")</f>
        <v>P03CV-1065</v>
      </c>
      <c r="H1066" s="6" t="str">
        <f ca="1">IFERROR(__xludf.DUMMYFUNCTION("CONCATENATE($B1066,(VLOOKUP($C1066,CATALOGOS!$F$2:$H$6,3,FALSE)),(VLOOKUP($V1066,CATALOGOS!$J$2:$K$18,2,FALSE)),""-"",TO_TEXT($A1066))"),"P03CV-1065")</f>
        <v>P03CV-1065</v>
      </c>
      <c r="I1066" s="36"/>
      <c r="J1066" s="36"/>
      <c r="K1066" s="37"/>
      <c r="L1066" s="37"/>
      <c r="M1066" s="81"/>
      <c r="N1066" s="108"/>
      <c r="O1066" s="108"/>
      <c r="P1066" s="108"/>
      <c r="Q1066" s="35" t="s">
        <v>7088</v>
      </c>
      <c r="R1066" s="10" t="s">
        <v>7123</v>
      </c>
      <c r="S1066" s="10" t="s">
        <v>36</v>
      </c>
      <c r="T1066" s="118" t="s">
        <v>7126</v>
      </c>
      <c r="U1066" s="194" t="s">
        <v>38</v>
      </c>
      <c r="V1066" s="11" t="s">
        <v>875</v>
      </c>
      <c r="W1066" s="20" t="s">
        <v>876</v>
      </c>
      <c r="X1066" s="90"/>
      <c r="Y1066" s="90"/>
      <c r="Z1066" s="26"/>
      <c r="AA1066" s="26"/>
      <c r="AB1066" s="22" t="s">
        <v>7104</v>
      </c>
      <c r="AC1066" s="119" t="s">
        <v>7127</v>
      </c>
    </row>
    <row r="1067" spans="1:29" ht="15.75" customHeight="1">
      <c r="A1067" s="113">
        <v>1066</v>
      </c>
      <c r="B1067" s="94" t="s">
        <v>27</v>
      </c>
      <c r="C1067" s="94" t="s">
        <v>868</v>
      </c>
      <c r="D1067" s="95"/>
      <c r="E1067" s="96" t="s">
        <v>378</v>
      </c>
      <c r="F1067" s="114" t="s">
        <v>7095</v>
      </c>
      <c r="G1067" s="14" t="str">
        <f ca="1">IFERROR(__xludf.DUMMYFUNCTION("CONCATENATE(B1067,(VLOOKUP(C1067,CATALOGOS!$F$2:$H$6,3,FALSE)),(VLOOKUP(V1067,CATALOGOS!$J$2:$K$18,2,FALSE)),""-"",TO_TEXT(A1067))"),"P03CV-1066")</f>
        <v>P03CV-1066</v>
      </c>
      <c r="H1067" s="6" t="str">
        <f ca="1">IFERROR(__xludf.DUMMYFUNCTION("CONCATENATE($B1067,(VLOOKUP($C1067,CATALOGOS!$F$2:$H$6,3,FALSE)),(VLOOKUP($V1067,CATALOGOS!$J$2:$K$18,2,FALSE)),""-"",TO_TEXT($A1067))"),"P03CV-1066")</f>
        <v>P03CV-1066</v>
      </c>
      <c r="I1067" s="36"/>
      <c r="J1067" s="36"/>
      <c r="K1067" s="37"/>
      <c r="L1067" s="37"/>
      <c r="M1067" s="81"/>
      <c r="N1067" s="108"/>
      <c r="O1067" s="108"/>
      <c r="P1067" s="108"/>
      <c r="Q1067" s="35" t="s">
        <v>4684</v>
      </c>
      <c r="R1067" s="10" t="s">
        <v>7096</v>
      </c>
      <c r="S1067" s="10" t="s">
        <v>36</v>
      </c>
      <c r="T1067" s="118" t="s">
        <v>7130</v>
      </c>
      <c r="U1067" s="194" t="s">
        <v>38</v>
      </c>
      <c r="V1067" s="11" t="s">
        <v>875</v>
      </c>
      <c r="W1067" s="20" t="s">
        <v>4629</v>
      </c>
      <c r="X1067" s="90"/>
      <c r="Y1067" s="90"/>
      <c r="Z1067" s="26"/>
      <c r="AA1067" s="26"/>
      <c r="AB1067" s="22" t="s">
        <v>7098</v>
      </c>
      <c r="AC1067" s="120">
        <v>45167</v>
      </c>
    </row>
    <row r="1068" spans="1:29" ht="15.75" customHeight="1">
      <c r="A1068" s="113">
        <v>1067</v>
      </c>
      <c r="B1068" s="94" t="s">
        <v>1469</v>
      </c>
      <c r="C1068" s="94" t="s">
        <v>868</v>
      </c>
      <c r="D1068" s="95"/>
      <c r="E1068" s="96" t="s">
        <v>378</v>
      </c>
      <c r="F1068" s="114" t="s">
        <v>7095</v>
      </c>
      <c r="G1068" s="14" t="str">
        <f ca="1">IFERROR(__xludf.DUMMYFUNCTION("CONCATENATE(B1068,(VLOOKUP(C1068,CATALOGOS!$F$2:$H$6,3,FALSE)),(VLOOKUP(V1068,CATALOGOS!$J$2:$K$18,2,FALSE)),""-"",TO_TEXT(A1068))"),"P13SO-1067")</f>
        <v>P13SO-1067</v>
      </c>
      <c r="H1068" s="6" t="str">
        <f ca="1">IFERROR(__xludf.DUMMYFUNCTION("CONCATENATE($B1068,(VLOOKUP($C1068,CATALOGOS!$F$2:$H$6,3,FALSE)),(VLOOKUP($V1068,CATALOGOS!$J$2:$K$18,2,FALSE)),""-"",TO_TEXT($A1068))"),"P13SO-1067")</f>
        <v>P13SO-1067</v>
      </c>
      <c r="I1068" s="36"/>
      <c r="J1068" s="36"/>
      <c r="K1068" s="37"/>
      <c r="L1068" s="37"/>
      <c r="M1068" s="81"/>
      <c r="N1068" s="108"/>
      <c r="O1068" s="108"/>
      <c r="P1068" s="108"/>
      <c r="Q1068" s="35" t="s">
        <v>4684</v>
      </c>
      <c r="R1068" s="10" t="s">
        <v>7096</v>
      </c>
      <c r="S1068" s="10" t="s">
        <v>36</v>
      </c>
      <c r="T1068" s="118" t="s">
        <v>7114</v>
      </c>
      <c r="U1068" s="194" t="s">
        <v>38</v>
      </c>
      <c r="V1068" s="11" t="s">
        <v>868</v>
      </c>
      <c r="W1068" s="20" t="s">
        <v>1665</v>
      </c>
      <c r="X1068" s="90"/>
      <c r="Y1068" s="90"/>
      <c r="Z1068" s="26"/>
      <c r="AA1068" s="26"/>
      <c r="AB1068" s="22" t="s">
        <v>7098</v>
      </c>
      <c r="AC1068" s="120">
        <v>45167</v>
      </c>
    </row>
    <row r="1069" spans="1:29" ht="15.75" customHeight="1">
      <c r="A1069" s="113">
        <v>1068</v>
      </c>
      <c r="B1069" s="94" t="s">
        <v>1469</v>
      </c>
      <c r="C1069" s="94" t="s">
        <v>1470</v>
      </c>
      <c r="D1069" s="95"/>
      <c r="E1069" s="96" t="s">
        <v>378</v>
      </c>
      <c r="F1069" s="114" t="s">
        <v>7095</v>
      </c>
      <c r="G1069" s="14" t="str">
        <f ca="1">IFERROR(__xludf.DUMMYFUNCTION("CONCATENATE(B1069,(VLOOKUP(C1069,CATALOGOS!$F$2:$H$6,3,FALSE)),(VLOOKUP(V1069,CATALOGOS!$J$2:$K$18,2,FALSE)),""-"",TO_TEXT(A1069))"),"P12ST-1068")</f>
        <v>P12ST-1068</v>
      </c>
      <c r="H1069" s="6" t="str">
        <f ca="1">IFERROR(__xludf.DUMMYFUNCTION("CONCATENATE($B1069,(VLOOKUP($C1069,CATALOGOS!$F$2:$H$6,3,FALSE)),(VLOOKUP($V1069,CATALOGOS!$J$2:$K$18,2,FALSE)),""-"",TO_TEXT($A1069))"),"P12ST-1068")</f>
        <v>P12ST-1068</v>
      </c>
      <c r="I1069" s="36"/>
      <c r="J1069" s="36"/>
      <c r="K1069" s="37"/>
      <c r="L1069" s="37"/>
      <c r="M1069" s="81"/>
      <c r="N1069" s="108"/>
      <c r="O1069" s="108"/>
      <c r="P1069" s="108"/>
      <c r="Q1069" s="35" t="s">
        <v>4684</v>
      </c>
      <c r="R1069" s="10" t="s">
        <v>7096</v>
      </c>
      <c r="S1069" s="10" t="s">
        <v>36</v>
      </c>
      <c r="T1069" s="118" t="s">
        <v>7130</v>
      </c>
      <c r="U1069" s="194" t="s">
        <v>38</v>
      </c>
      <c r="V1069" s="11" t="s">
        <v>1470</v>
      </c>
      <c r="W1069" s="20" t="s">
        <v>1477</v>
      </c>
      <c r="X1069" s="90"/>
      <c r="Y1069" s="90"/>
      <c r="Z1069" s="26"/>
      <c r="AA1069" s="26"/>
      <c r="AB1069" s="121" t="s">
        <v>7101</v>
      </c>
      <c r="AC1069" s="120">
        <v>45195</v>
      </c>
    </row>
    <row r="1070" spans="1:29" ht="15.75" customHeight="1">
      <c r="A1070" s="113">
        <v>1069</v>
      </c>
      <c r="B1070" s="94" t="s">
        <v>1469</v>
      </c>
      <c r="C1070" s="94" t="s">
        <v>1470</v>
      </c>
      <c r="D1070" s="95"/>
      <c r="E1070" s="96" t="s">
        <v>378</v>
      </c>
      <c r="F1070" s="114" t="s">
        <v>7095</v>
      </c>
      <c r="G1070" s="14" t="str">
        <f ca="1">IFERROR(__xludf.DUMMYFUNCTION("CONCATENATE(B1070,(VLOOKUP(C1070,CATALOGOS!$F$2:$H$6,3,FALSE)),(VLOOKUP(V1070,CATALOGOS!$J$2:$K$18,2,FALSE)),""-"",TO_TEXT(A1070))"),"P12ST-1069")</f>
        <v>P12ST-1069</v>
      </c>
      <c r="H1070" s="6" t="str">
        <f ca="1">IFERROR(__xludf.DUMMYFUNCTION("CONCATENATE($B1070,(VLOOKUP($C1070,CATALOGOS!$F$2:$H$6,3,FALSE)),(VLOOKUP($V1070,CATALOGOS!$J$2:$K$18,2,FALSE)),""-"",TO_TEXT($A1070))"),"P12ST-1069")</f>
        <v>P12ST-1069</v>
      </c>
      <c r="I1070" s="36"/>
      <c r="J1070" s="36"/>
      <c r="K1070" s="37"/>
      <c r="L1070" s="37"/>
      <c r="M1070" s="81"/>
      <c r="N1070" s="108"/>
      <c r="O1070" s="108"/>
      <c r="P1070" s="108"/>
      <c r="Q1070" s="35" t="s">
        <v>4684</v>
      </c>
      <c r="R1070" s="10" t="s">
        <v>7096</v>
      </c>
      <c r="S1070" s="10" t="s">
        <v>36</v>
      </c>
      <c r="T1070" s="118" t="s">
        <v>7114</v>
      </c>
      <c r="U1070" s="194" t="s">
        <v>38</v>
      </c>
      <c r="V1070" s="11" t="s">
        <v>1470</v>
      </c>
      <c r="W1070" s="20" t="s">
        <v>1477</v>
      </c>
      <c r="X1070" s="90"/>
      <c r="Y1070" s="90"/>
      <c r="Z1070" s="26"/>
      <c r="AA1070" s="26"/>
      <c r="AB1070" s="22" t="s">
        <v>7101</v>
      </c>
      <c r="AC1070" s="120">
        <v>45195</v>
      </c>
    </row>
    <row r="1071" spans="1:29" ht="15.75" customHeight="1">
      <c r="A1071" s="113">
        <v>1070</v>
      </c>
      <c r="B1071" s="94" t="s">
        <v>27</v>
      </c>
      <c r="C1071" s="94" t="s">
        <v>1470</v>
      </c>
      <c r="D1071" s="95"/>
      <c r="E1071" s="96" t="s">
        <v>6916</v>
      </c>
      <c r="F1071" s="114" t="s">
        <v>8468</v>
      </c>
      <c r="G1071" s="14" t="str">
        <f ca="1">IFERROR(__xludf.DUMMYFUNCTION("CONCATENATE(B1071,(VLOOKUP(C1071,CATALOGOS!$F$2:$H$6,3,FALSE)),(VLOOKUP(V1071,CATALOGOS!$J$2:$K$18,2,FALSE)),""-"",TO_TEXT(A1071))"),"P02PP-1070")</f>
        <v>P02PP-1070</v>
      </c>
      <c r="H1071" s="6" t="str">
        <f ca="1">IFERROR(__xludf.DUMMYFUNCTION("CONCATENATE($B1071,(VLOOKUP($C1071,CATALOGOS!$F$2:$H$6,3,FALSE)),(VLOOKUP($V1071,CATALOGOS!$J$2:$K$18,2,FALSE)),""-"",TO_TEXT($A1071))"),"P02PP-1070")</f>
        <v>P02PP-1070</v>
      </c>
      <c r="I1071" s="36"/>
      <c r="J1071" s="36"/>
      <c r="K1071" s="37"/>
      <c r="L1071" s="37"/>
      <c r="M1071" s="81"/>
      <c r="N1071" s="108"/>
      <c r="O1071" s="108"/>
      <c r="P1071" s="108"/>
      <c r="Q1071" s="35" t="s">
        <v>6923</v>
      </c>
      <c r="R1071" s="10" t="s">
        <v>6924</v>
      </c>
      <c r="S1071" s="32" t="s">
        <v>6925</v>
      </c>
      <c r="T1071" s="118" t="s">
        <v>6926</v>
      </c>
      <c r="U1071" s="194" t="s">
        <v>38</v>
      </c>
      <c r="V1071" s="11" t="s">
        <v>1548</v>
      </c>
      <c r="W1071" s="20" t="s">
        <v>1983</v>
      </c>
      <c r="X1071" s="90"/>
      <c r="Y1071" s="90"/>
      <c r="Z1071" s="26"/>
      <c r="AA1071" s="26"/>
      <c r="AB1071" s="22" t="s">
        <v>7136</v>
      </c>
      <c r="AC1071" s="120">
        <v>45030</v>
      </c>
    </row>
    <row r="1072" spans="1:29" ht="15.75" customHeight="1">
      <c r="A1072" s="113">
        <v>1071</v>
      </c>
      <c r="B1072" s="94" t="s">
        <v>27</v>
      </c>
      <c r="C1072" s="94" t="s">
        <v>1470</v>
      </c>
      <c r="D1072" s="95"/>
      <c r="E1072" s="96" t="s">
        <v>6916</v>
      </c>
      <c r="F1072" s="114" t="s">
        <v>8469</v>
      </c>
      <c r="G1072" s="14" t="str">
        <f ca="1">IFERROR(__xludf.DUMMYFUNCTION("CONCATENATE(B1072,(VLOOKUP(C1072,CATALOGOS!$F$2:$H$6,3,FALSE)),(VLOOKUP(V1072,CATALOGOS!$J$2:$K$18,2,FALSE)),""-"",TO_TEXT(A1072))"),"P02PP-1071")</f>
        <v>P02PP-1071</v>
      </c>
      <c r="H1072" s="6" t="str">
        <f ca="1">IFERROR(__xludf.DUMMYFUNCTION("CONCATENATE($B1072,(VLOOKUP($C1072,CATALOGOS!$F$2:$H$6,3,FALSE)),(VLOOKUP($V1072,CATALOGOS!$J$2:$K$18,2,FALSE)),""-"",TO_TEXT($A1072))"),"P02PP-1071")</f>
        <v>P02PP-1071</v>
      </c>
      <c r="I1072" s="36"/>
      <c r="J1072" s="36"/>
      <c r="K1072" s="37"/>
      <c r="L1072" s="37"/>
      <c r="M1072" s="81"/>
      <c r="N1072" s="108"/>
      <c r="O1072" s="108"/>
      <c r="P1072" s="108"/>
      <c r="Q1072" s="35" t="s">
        <v>6918</v>
      </c>
      <c r="R1072" s="10" t="s">
        <v>6919</v>
      </c>
      <c r="S1072" s="10">
        <v>41480</v>
      </c>
      <c r="T1072" s="122" t="s">
        <v>8470</v>
      </c>
      <c r="U1072" s="194" t="s">
        <v>38</v>
      </c>
      <c r="V1072" s="11" t="s">
        <v>1548</v>
      </c>
      <c r="W1072" s="20" t="s">
        <v>1983</v>
      </c>
      <c r="X1072" s="90"/>
      <c r="Y1072" s="90"/>
      <c r="Z1072" s="26"/>
      <c r="AA1072" s="26"/>
      <c r="AB1072" s="22" t="s">
        <v>7136</v>
      </c>
      <c r="AC1072" s="120">
        <v>45030</v>
      </c>
    </row>
    <row r="1073" spans="1:29" ht="15.75" customHeight="1">
      <c r="A1073" s="212" t="s">
        <v>9270</v>
      </c>
      <c r="B1073" s="10" t="s">
        <v>27</v>
      </c>
      <c r="C1073" s="10" t="s">
        <v>1470</v>
      </c>
      <c r="D1073" s="12"/>
      <c r="E1073" s="13" t="s">
        <v>8418</v>
      </c>
      <c r="F1073" s="6" t="s">
        <v>8471</v>
      </c>
      <c r="G1073" s="14" t="str">
        <f ca="1">IFERROR(__xludf.DUMMYFUNCTION("CONCATENATE(B1073,(VLOOKUP(C1073,CATALOGOS!$F$2:$H$6,3,FALSE)),(VLOOKUP(V1073,CATALOGOS!$J$2:$K$18,2,FALSE)),""-"",TO_TEXT(A1073))"),"P02PP-1072")</f>
        <v>P02PP-1072</v>
      </c>
      <c r="H1073" s="6" t="str">
        <f ca="1">IFERROR(__xludf.DUMMYFUNCTION("CONCATENATE($B1073,(VLOOKUP($C1073,CATALOGOS!$F$2:$H$6,3,FALSE)),(VLOOKUP($V1073,CATALOGOS!$J$2:$K$18,2,FALSE)),""-"",TO_TEXT($A1073))"),"P02PP-1072")</f>
        <v>P02PP-1072</v>
      </c>
      <c r="I1073" s="36"/>
      <c r="J1073" s="36"/>
      <c r="K1073" s="37"/>
      <c r="L1073" s="37"/>
      <c r="M1073" s="81"/>
      <c r="N1073" s="108"/>
      <c r="O1073" s="108"/>
      <c r="P1073" s="108"/>
      <c r="Q1073" s="35" t="s">
        <v>6930</v>
      </c>
      <c r="R1073" s="10" t="s">
        <v>6931</v>
      </c>
      <c r="S1073" s="10" t="s">
        <v>90</v>
      </c>
      <c r="T1073" s="122" t="s">
        <v>8472</v>
      </c>
      <c r="U1073" s="194" t="s">
        <v>38</v>
      </c>
      <c r="V1073" s="11" t="s">
        <v>1548</v>
      </c>
      <c r="W1073" s="20" t="s">
        <v>1983</v>
      </c>
      <c r="X1073" s="90"/>
      <c r="Y1073" s="90"/>
      <c r="Z1073" s="26"/>
      <c r="AA1073" s="26"/>
      <c r="AB1073" s="22" t="s">
        <v>7136</v>
      </c>
      <c r="AC1073" s="120">
        <v>45030</v>
      </c>
    </row>
    <row r="1074" spans="1:29" ht="15.75" customHeight="1">
      <c r="A1074" s="212" t="s">
        <v>9271</v>
      </c>
      <c r="B1074" s="10" t="s">
        <v>1469</v>
      </c>
      <c r="C1074" s="10" t="s">
        <v>1470</v>
      </c>
      <c r="D1074" s="12"/>
      <c r="E1074" s="13" t="s">
        <v>7144</v>
      </c>
      <c r="F1074" s="6" t="s">
        <v>8473</v>
      </c>
      <c r="G1074" s="14" t="str">
        <f ca="1">IFERROR(__xludf.DUMMYFUNCTION("CONCATENATE(B1074,(VLOOKUP(C1074,CATALOGOS!$F$2:$H$6,3,FALSE)),(VLOOKUP(V1074,CATALOGOS!$J$2:$K$18,2,FALSE)),""-"",TO_TEXT(A1074))"),"P12SI-1073")</f>
        <v>P12SI-1073</v>
      </c>
      <c r="H1074" s="6" t="str">
        <f ca="1">IFERROR(__xludf.DUMMYFUNCTION("CONCATENATE($B1074,(VLOOKUP($C1074,CATALOGOS!$F$2:$H$6,3,FALSE)),(VLOOKUP($V1074,CATALOGOS!$J$2:$K$18,2,FALSE)),""-"",TO_TEXT($A1074))"),"P12SI-1073")</f>
        <v>P12SI-1073</v>
      </c>
      <c r="I1074" s="36"/>
      <c r="J1074" s="36"/>
      <c r="K1074" s="37"/>
      <c r="L1074" s="37"/>
      <c r="M1074" s="81"/>
      <c r="N1074" s="108"/>
      <c r="O1074" s="108"/>
      <c r="P1074" s="108"/>
      <c r="Q1074" s="35" t="s">
        <v>2866</v>
      </c>
      <c r="R1074" s="32" t="s">
        <v>8474</v>
      </c>
      <c r="S1074" s="32" t="s">
        <v>8475</v>
      </c>
      <c r="T1074" s="122" t="s">
        <v>7148</v>
      </c>
      <c r="U1074" s="194" t="s">
        <v>38</v>
      </c>
      <c r="V1074" s="11" t="s">
        <v>1483</v>
      </c>
      <c r="W1074" s="20" t="s">
        <v>1484</v>
      </c>
      <c r="X1074" s="90"/>
      <c r="Y1074" s="90"/>
      <c r="Z1074" s="26"/>
      <c r="AA1074" s="20" t="s">
        <v>7139</v>
      </c>
      <c r="AB1074" s="22" t="s">
        <v>7140</v>
      </c>
      <c r="AC1074" s="120">
        <v>45189</v>
      </c>
    </row>
    <row r="1075" spans="1:29" ht="15.75" customHeight="1">
      <c r="A1075" s="212" t="s">
        <v>9272</v>
      </c>
      <c r="B1075" s="10" t="s">
        <v>27</v>
      </c>
      <c r="C1075" s="10" t="s">
        <v>1470</v>
      </c>
      <c r="D1075" s="12"/>
      <c r="E1075" s="13" t="s">
        <v>43</v>
      </c>
      <c r="F1075" s="6" t="s">
        <v>7141</v>
      </c>
      <c r="G1075" s="14" t="str">
        <f ca="1">IFERROR(__xludf.DUMMYFUNCTION("CONCATENATE(B1075,(VLOOKUP(C1075,CATALOGOS!$F$2:$H$6,3,FALSE)),(VLOOKUP(V1075,CATALOGOS!$J$2:$K$18,2,FALSE)),""-"",TO_TEXT(A1075))"),"P02PP-1074")</f>
        <v>P02PP-1074</v>
      </c>
      <c r="H1075" s="6" t="str">
        <f ca="1">IFERROR(__xludf.DUMMYFUNCTION("CONCATENATE($B1075,(VLOOKUP($C1075,CATALOGOS!$F$2:$H$6,3,FALSE)),(VLOOKUP($V1075,CATALOGOS!$J$2:$K$18,2,FALSE)),""-"",TO_TEXT($A1075))"),"P02PP-1074")</f>
        <v>P02PP-1074</v>
      </c>
      <c r="I1075" s="36"/>
      <c r="J1075" s="36"/>
      <c r="K1075" s="37"/>
      <c r="L1075" s="37"/>
      <c r="M1075" s="81"/>
      <c r="N1075" s="108"/>
      <c r="O1075" s="108"/>
      <c r="P1075" s="108"/>
      <c r="Q1075" s="35" t="s">
        <v>5477</v>
      </c>
      <c r="R1075" s="10" t="s">
        <v>35</v>
      </c>
      <c r="S1075" s="10" t="s">
        <v>36</v>
      </c>
      <c r="T1075" s="122" t="s">
        <v>7142</v>
      </c>
      <c r="U1075" s="194" t="s">
        <v>38</v>
      </c>
      <c r="V1075" s="11" t="s">
        <v>1548</v>
      </c>
      <c r="W1075" s="20" t="s">
        <v>1983</v>
      </c>
      <c r="X1075" s="90"/>
      <c r="Y1075" s="90"/>
      <c r="Z1075" s="26"/>
      <c r="AA1075" s="26"/>
      <c r="AB1075" s="22" t="s">
        <v>7143</v>
      </c>
      <c r="AC1075" s="123">
        <v>45159</v>
      </c>
    </row>
    <row r="1076" spans="1:29" ht="15.75" customHeight="1">
      <c r="A1076" s="212" t="s">
        <v>9273</v>
      </c>
      <c r="B1076" s="10" t="s">
        <v>1469</v>
      </c>
      <c r="C1076" s="10" t="s">
        <v>1470</v>
      </c>
      <c r="D1076" s="12"/>
      <c r="E1076" s="13" t="s">
        <v>7144</v>
      </c>
      <c r="F1076" s="6" t="s">
        <v>7145</v>
      </c>
      <c r="G1076" s="14" t="str">
        <f ca="1">IFERROR(__xludf.DUMMYFUNCTION("CONCATENATE(B1076,(VLOOKUP(C1076,CATALOGOS!$F$2:$H$6,3,FALSE)),(VLOOKUP(V1076,CATALOGOS!$J$2:$K$18,2,FALSE)),""-"",TO_TEXT(A1076))"),"P12SI-1075")</f>
        <v>P12SI-1075</v>
      </c>
      <c r="H1076" s="6" t="str">
        <f ca="1">IFERROR(__xludf.DUMMYFUNCTION("CONCATENATE($B1076,(VLOOKUP($C1076,CATALOGOS!$F$2:$H$6,3,FALSE)),(VLOOKUP($V1076,CATALOGOS!$J$2:$K$18,2,FALSE)),""-"",TO_TEXT($A1076))"),"P12SI-1075")</f>
        <v>P12SI-1075</v>
      </c>
      <c r="I1076" s="36"/>
      <c r="J1076" s="36"/>
      <c r="K1076" s="37"/>
      <c r="L1076" s="37"/>
      <c r="M1076" s="81"/>
      <c r="N1076" s="108"/>
      <c r="O1076" s="108"/>
      <c r="P1076" s="108"/>
      <c r="Q1076" s="35" t="s">
        <v>2866</v>
      </c>
      <c r="R1076" s="10" t="s">
        <v>8474</v>
      </c>
      <c r="S1076" s="32" t="s">
        <v>8475</v>
      </c>
      <c r="T1076" s="122" t="s">
        <v>7148</v>
      </c>
      <c r="U1076" s="194" t="s">
        <v>38</v>
      </c>
      <c r="V1076" s="11" t="s">
        <v>1483</v>
      </c>
      <c r="W1076" s="20" t="s">
        <v>1484</v>
      </c>
      <c r="X1076" s="90"/>
      <c r="Y1076" s="90"/>
      <c r="Z1076" s="26"/>
      <c r="AA1076" s="26"/>
      <c r="AB1076" s="22" t="s">
        <v>7140</v>
      </c>
      <c r="AC1076" s="120">
        <v>45189</v>
      </c>
    </row>
    <row r="1077" spans="1:29" ht="15.75" customHeight="1">
      <c r="A1077" s="212" t="s">
        <v>9274</v>
      </c>
      <c r="B1077" s="10" t="s">
        <v>1469</v>
      </c>
      <c r="C1077" s="10" t="s">
        <v>1470</v>
      </c>
      <c r="D1077" s="12"/>
      <c r="E1077" s="13" t="s">
        <v>151</v>
      </c>
      <c r="F1077" s="6" t="s">
        <v>7149</v>
      </c>
      <c r="G1077" s="14" t="str">
        <f ca="1">IFERROR(__xludf.DUMMYFUNCTION("CONCATENATE(B1077,(VLOOKUP(C1077,CATALOGOS!$F$2:$H$6,3,FALSE)),(VLOOKUP(V1077,CATALOGOS!$J$2:$K$18,2,FALSE)),""-"",TO_TEXT(A1077))"),"P12PL-1076")</f>
        <v>P12PL-1076</v>
      </c>
      <c r="H1077" s="6" t="str">
        <f ca="1">IFERROR(__xludf.DUMMYFUNCTION("CONCATENATE($B1077,(VLOOKUP($C1077,CATALOGOS!$F$2:$H$6,3,FALSE)),(VLOOKUP($V1077,CATALOGOS!$J$2:$K$18,2,FALSE)),""-"",TO_TEXT($A1077))"),"P12PL-1076")</f>
        <v>P12PL-1076</v>
      </c>
      <c r="I1077" s="36"/>
      <c r="J1077" s="36"/>
      <c r="K1077" s="37"/>
      <c r="L1077" s="37"/>
      <c r="M1077" s="81"/>
      <c r="N1077" s="108"/>
      <c r="O1077" s="108"/>
      <c r="P1077" s="108"/>
      <c r="Q1077" s="35" t="s">
        <v>2748</v>
      </c>
      <c r="R1077" s="32" t="s">
        <v>8476</v>
      </c>
      <c r="S1077" s="32" t="s">
        <v>7150</v>
      </c>
      <c r="T1077" s="122" t="s">
        <v>7151</v>
      </c>
      <c r="U1077" s="194" t="s">
        <v>38</v>
      </c>
      <c r="V1077" s="11" t="s">
        <v>3091</v>
      </c>
      <c r="W1077" s="20" t="s">
        <v>3151</v>
      </c>
      <c r="X1077" s="90"/>
      <c r="Y1077" s="90"/>
      <c r="Z1077" s="26"/>
      <c r="AA1077" s="26"/>
      <c r="AB1077" s="22" t="s">
        <v>7152</v>
      </c>
      <c r="AC1077" s="120">
        <v>45054</v>
      </c>
    </row>
    <row r="1078" spans="1:29" ht="15.75" customHeight="1">
      <c r="A1078" s="212" t="s">
        <v>9275</v>
      </c>
      <c r="B1078" s="10" t="s">
        <v>1469</v>
      </c>
      <c r="C1078" s="10" t="s">
        <v>1470</v>
      </c>
      <c r="D1078" s="12"/>
      <c r="E1078" s="13" t="s">
        <v>199</v>
      </c>
      <c r="F1078" s="6" t="s">
        <v>7153</v>
      </c>
      <c r="G1078" s="14" t="str">
        <f ca="1">IFERROR(__xludf.DUMMYFUNCTION("CONCATENATE(B1078,(VLOOKUP(C1078,CATALOGOS!$F$2:$H$6,3,FALSE)),(VLOOKUP(V1078,CATALOGOS!$J$2:$K$18,2,FALSE)),""-"",TO_TEXT(A1078))"),"P12PL-1077")</f>
        <v>P12PL-1077</v>
      </c>
      <c r="H1078" s="6" t="str">
        <f ca="1">IFERROR(__xludf.DUMMYFUNCTION("CONCATENATE($B1078,(VLOOKUP($C1078,CATALOGOS!$F$2:$H$6,3,FALSE)),(VLOOKUP($V1078,CATALOGOS!$J$2:$K$18,2,FALSE)),""-"",TO_TEXT($A1078))"),"P12PL-1077")</f>
        <v>P12PL-1077</v>
      </c>
      <c r="I1078" s="36"/>
      <c r="J1078" s="36"/>
      <c r="K1078" s="37"/>
      <c r="L1078" s="37"/>
      <c r="M1078" s="81"/>
      <c r="N1078" s="108"/>
      <c r="O1078" s="108"/>
      <c r="P1078" s="108"/>
      <c r="Q1078" s="35" t="s">
        <v>2748</v>
      </c>
      <c r="R1078" s="32" t="s">
        <v>7154</v>
      </c>
      <c r="S1078" s="32" t="s">
        <v>7155</v>
      </c>
      <c r="T1078" s="122" t="s">
        <v>7156</v>
      </c>
      <c r="U1078" s="194" t="s">
        <v>38</v>
      </c>
      <c r="V1078" s="11" t="s">
        <v>3091</v>
      </c>
      <c r="W1078" s="20" t="s">
        <v>3151</v>
      </c>
      <c r="X1078" s="90"/>
      <c r="Y1078" s="90"/>
      <c r="Z1078" s="26"/>
      <c r="AA1078" s="26"/>
      <c r="AB1078" s="22" t="s">
        <v>7152</v>
      </c>
      <c r="AC1078" s="120">
        <v>45054</v>
      </c>
    </row>
    <row r="1079" spans="1:29" ht="15.75" customHeight="1">
      <c r="A1079" s="212" t="s">
        <v>9276</v>
      </c>
      <c r="B1079" s="10" t="s">
        <v>1469</v>
      </c>
      <c r="C1079" s="10" t="s">
        <v>1470</v>
      </c>
      <c r="D1079" s="12"/>
      <c r="E1079" s="13" t="s">
        <v>151</v>
      </c>
      <c r="F1079" s="6" t="s">
        <v>7149</v>
      </c>
      <c r="G1079" s="14" t="str">
        <f ca="1">IFERROR(__xludf.DUMMYFUNCTION("CONCATENATE(B1079,(VLOOKUP(C1079,CATALOGOS!$F$2:$H$6,3,FALSE)),(VLOOKUP(V1079,CATALOGOS!$J$2:$K$18,2,FALSE)),""-"",TO_TEXT(A1079))"),"P12ST-1078")</f>
        <v>P12ST-1078</v>
      </c>
      <c r="H1079" s="6" t="str">
        <f ca="1">IFERROR(__xludf.DUMMYFUNCTION("CONCATENATE($B1079,(VLOOKUP($C1079,CATALOGOS!$F$2:$H$6,3,FALSE)),(VLOOKUP($V1079,CATALOGOS!$J$2:$K$18,2,FALSE)),""-"",TO_TEXT($A1079))"),"P12ST-1078")</f>
        <v>P12ST-1078</v>
      </c>
      <c r="I1079" s="36"/>
      <c r="J1079" s="36"/>
      <c r="K1079" s="37"/>
      <c r="L1079" s="37"/>
      <c r="M1079" s="81"/>
      <c r="N1079" s="108"/>
      <c r="O1079" s="108"/>
      <c r="P1079" s="108"/>
      <c r="Q1079" s="35" t="s">
        <v>2748</v>
      </c>
      <c r="R1079" s="32" t="s">
        <v>8477</v>
      </c>
      <c r="S1079" s="32" t="s">
        <v>7157</v>
      </c>
      <c r="T1079" s="122" t="s">
        <v>7158</v>
      </c>
      <c r="U1079" s="194" t="s">
        <v>38</v>
      </c>
      <c r="V1079" s="11" t="s">
        <v>1470</v>
      </c>
      <c r="W1079" s="20" t="s">
        <v>1477</v>
      </c>
      <c r="X1079" s="90"/>
      <c r="Y1079" s="90"/>
      <c r="Z1079" s="26"/>
      <c r="AA1079" s="26"/>
      <c r="AB1079" s="22" t="s">
        <v>7152</v>
      </c>
      <c r="AC1079" s="120">
        <v>45054</v>
      </c>
    </row>
    <row r="1080" spans="1:29" ht="15.75" customHeight="1">
      <c r="A1080" s="212" t="s">
        <v>9277</v>
      </c>
      <c r="B1080" s="12"/>
      <c r="C1080" s="12"/>
      <c r="D1080" s="12"/>
      <c r="E1080" s="205"/>
      <c r="F1080" s="36"/>
      <c r="G1080" s="14" t="str">
        <f ca="1">IFERROR(__xludf.DUMMYFUNCTION("CONCATENATE(B1080,(VLOOKUP(C1080,CATALOGOS!$F$2:$H$6,3,FALSE)),(VLOOKUP(V1080,CATALOGOS!$J$2:$K$18,2,FALSE)),""-"",TO_TEXT(A1080))"),"#N/A")</f>
        <v>#N/A</v>
      </c>
      <c r="H1080" s="6" t="str">
        <f ca="1">IFERROR(__xludf.DUMMYFUNCTION("CONCATENATE($B1080,(VLOOKUP($C1080,CATALOGOS!$F$2:$H$6,3,FALSE)),(VLOOKUP($V1080,CATALOGOS!$J$2:$K$18,2,FALSE)),""-"",TO_TEXT($A1080))"),"#N/A")</f>
        <v>#N/A</v>
      </c>
      <c r="I1080" s="36"/>
      <c r="J1080" s="36"/>
      <c r="K1080" s="37"/>
      <c r="L1080" s="37"/>
      <c r="M1080" s="81"/>
      <c r="N1080" s="108"/>
      <c r="O1080" s="108"/>
      <c r="P1080" s="108"/>
      <c r="Q1080" s="108"/>
      <c r="R1080" s="37"/>
      <c r="S1080" s="37"/>
      <c r="T1080" s="62"/>
      <c r="U1080" s="90"/>
      <c r="V1080" s="136"/>
      <c r="W1080" s="90"/>
      <c r="X1080" s="90"/>
      <c r="Y1080" s="90"/>
      <c r="Z1080" s="26"/>
      <c r="AA1080" s="26"/>
      <c r="AB1080" s="26"/>
      <c r="AC1080" s="26"/>
    </row>
    <row r="1081" spans="1:29" ht="15.75" customHeight="1">
      <c r="A1081" s="212" t="s">
        <v>9278</v>
      </c>
      <c r="B1081" s="12"/>
      <c r="C1081" s="12"/>
      <c r="D1081" s="12"/>
      <c r="E1081" s="205"/>
      <c r="F1081" s="36"/>
      <c r="G1081" s="14" t="str">
        <f ca="1">IFERROR(__xludf.DUMMYFUNCTION("CONCATENATE(B1081,(VLOOKUP(C1081,CATALOGOS!$F$2:$H$6,3,FALSE)),(VLOOKUP(V1081,CATALOGOS!$J$2:$K$18,2,FALSE)),""-"",TO_TEXT(A1081))"),"#N/A")</f>
        <v>#N/A</v>
      </c>
      <c r="H1081" s="6" t="str">
        <f ca="1">IFERROR(__xludf.DUMMYFUNCTION("CONCATENATE($B1081,(VLOOKUP($C1081,CATALOGOS!$F$2:$H$6,3,FALSE)),(VLOOKUP($V1081,CATALOGOS!$J$2:$K$18,2,FALSE)),""-"",TO_TEXT($A1081))"),"#N/A")</f>
        <v>#N/A</v>
      </c>
      <c r="I1081" s="36"/>
      <c r="J1081" s="36"/>
      <c r="K1081" s="37"/>
      <c r="L1081" s="37"/>
      <c r="M1081" s="81"/>
      <c r="N1081" s="108"/>
      <c r="O1081" s="108"/>
      <c r="P1081" s="108"/>
      <c r="Q1081" s="108"/>
      <c r="R1081" s="37"/>
      <c r="S1081" s="37"/>
      <c r="T1081" s="62"/>
      <c r="U1081" s="90"/>
      <c r="V1081" s="136"/>
      <c r="W1081" s="90"/>
      <c r="X1081" s="90"/>
      <c r="Y1081" s="90"/>
      <c r="Z1081" s="26"/>
      <c r="AA1081" s="26"/>
      <c r="AB1081" s="26"/>
      <c r="AC1081" s="26"/>
    </row>
    <row r="1082" spans="1:29" ht="15.75" customHeight="1">
      <c r="A1082" s="212" t="s">
        <v>9279</v>
      </c>
      <c r="B1082" s="12"/>
      <c r="C1082" s="12"/>
      <c r="D1082" s="12"/>
      <c r="E1082" s="205"/>
      <c r="F1082" s="36"/>
      <c r="G1082" s="14" t="str">
        <f ca="1">IFERROR(__xludf.DUMMYFUNCTION("CONCATENATE(B1082,(VLOOKUP(C1082,CATALOGOS!$F$2:$H$6,3,FALSE)),(VLOOKUP(V1082,CATALOGOS!$J$2:$K$18,2,FALSE)),""-"",TO_TEXT(A1082))"),"#N/A")</f>
        <v>#N/A</v>
      </c>
      <c r="H1082" s="6" t="str">
        <f ca="1">IFERROR(__xludf.DUMMYFUNCTION("CONCATENATE($B1082,(VLOOKUP($C1082,CATALOGOS!$F$2:$H$6,3,FALSE)),(VLOOKUP($V1082,CATALOGOS!$J$2:$K$18,2,FALSE)),""-"",TO_TEXT($A1082))"),"#N/A")</f>
        <v>#N/A</v>
      </c>
      <c r="I1082" s="36"/>
      <c r="J1082" s="36"/>
      <c r="K1082" s="37"/>
      <c r="L1082" s="37"/>
      <c r="M1082" s="81"/>
      <c r="N1082" s="108"/>
      <c r="O1082" s="108"/>
      <c r="P1082" s="108"/>
      <c r="Q1082" s="108"/>
      <c r="R1082" s="37"/>
      <c r="S1082" s="37"/>
      <c r="T1082" s="62"/>
      <c r="U1082" s="90"/>
      <c r="V1082" s="136"/>
      <c r="W1082" s="90"/>
      <c r="X1082" s="90"/>
      <c r="Y1082" s="90"/>
      <c r="Z1082" s="26"/>
      <c r="AA1082" s="26"/>
      <c r="AB1082" s="26"/>
      <c r="AC1082" s="26"/>
    </row>
    <row r="1083" spans="1:29" ht="15.75" customHeight="1">
      <c r="A1083" s="212" t="s">
        <v>9280</v>
      </c>
      <c r="B1083" s="12"/>
      <c r="C1083" s="12"/>
      <c r="D1083" s="12"/>
      <c r="E1083" s="205"/>
      <c r="F1083" s="36"/>
      <c r="G1083" s="14" t="str">
        <f ca="1">IFERROR(__xludf.DUMMYFUNCTION("CONCATENATE(B1083,(VLOOKUP(C1083,CATALOGOS!$F$2:$H$6,3,FALSE)),(VLOOKUP(V1083,CATALOGOS!$J$2:$K$18,2,FALSE)),""-"",TO_TEXT(A1083))"),"#N/A")</f>
        <v>#N/A</v>
      </c>
      <c r="H1083" s="6" t="str">
        <f ca="1">IFERROR(__xludf.DUMMYFUNCTION("CONCATENATE($B1083,(VLOOKUP($C1083,CATALOGOS!$F$2:$H$6,3,FALSE)),(VLOOKUP($V1083,CATALOGOS!$J$2:$K$18,2,FALSE)),""-"",TO_TEXT($A1083))"),"#N/A")</f>
        <v>#N/A</v>
      </c>
      <c r="I1083" s="36"/>
      <c r="J1083" s="36"/>
      <c r="K1083" s="37"/>
      <c r="L1083" s="37"/>
      <c r="M1083" s="81"/>
      <c r="N1083" s="108"/>
      <c r="O1083" s="108"/>
      <c r="P1083" s="108"/>
      <c r="Q1083" s="108"/>
      <c r="R1083" s="37"/>
      <c r="S1083" s="37"/>
      <c r="T1083" s="62"/>
      <c r="U1083" s="90"/>
      <c r="V1083" s="136"/>
      <c r="W1083" s="90"/>
      <c r="X1083" s="90"/>
      <c r="Y1083" s="90"/>
      <c r="Z1083" s="26"/>
      <c r="AA1083" s="26"/>
      <c r="AB1083" s="26"/>
      <c r="AC1083" s="26"/>
    </row>
    <row r="1084" spans="1:29" ht="15.75" customHeight="1">
      <c r="A1084" s="212" t="s">
        <v>9281</v>
      </c>
      <c r="B1084" s="12"/>
      <c r="C1084" s="12"/>
      <c r="D1084" s="125"/>
      <c r="E1084" s="126"/>
      <c r="F1084" s="128"/>
      <c r="G1084" s="14" t="str">
        <f ca="1">IFERROR(__xludf.DUMMYFUNCTION("CONCATENATE(B1084,(VLOOKUP(C1084,CATALOGOS!$F$2:$H$6,3,FALSE)),(VLOOKUP(V1084,CATALOGOS!$J$2:$K$18,2,FALSE)),""-"",TO_TEXT(A1084))"),"#N/A")</f>
        <v>#N/A</v>
      </c>
      <c r="H1084" s="6" t="str">
        <f ca="1">IFERROR(__xludf.DUMMYFUNCTION("CONCATENATE($B1084,(VLOOKUP($C1084,CATALOGOS!$F$2:$H$6,3,FALSE)),(VLOOKUP($V1084,CATALOGOS!$J$2:$K$18,2,FALSE)),""-"",TO_TEXT($A1084))"),"#N/A")</f>
        <v>#N/A</v>
      </c>
      <c r="I1084" s="128"/>
      <c r="J1084" s="128"/>
      <c r="K1084" s="129"/>
      <c r="L1084" s="129"/>
      <c r="M1084" s="129"/>
      <c r="N1084" s="129"/>
      <c r="O1084" s="129"/>
      <c r="P1084" s="129"/>
      <c r="Q1084" s="129"/>
      <c r="R1084" s="132"/>
      <c r="S1084" s="132"/>
      <c r="T1084" s="135"/>
      <c r="U1084" s="132"/>
      <c r="V1084" s="129"/>
      <c r="W1084" s="132"/>
      <c r="X1084" s="132"/>
      <c r="Y1084" s="132"/>
      <c r="Z1084" s="26"/>
      <c r="AA1084" s="26"/>
    </row>
    <row r="1085" spans="1:29" ht="15.75" customHeight="1">
      <c r="A1085" s="212" t="s">
        <v>9282</v>
      </c>
      <c r="B1085" s="12"/>
      <c r="C1085" s="12"/>
      <c r="D1085" s="125"/>
      <c r="E1085" s="126"/>
      <c r="F1085" s="128"/>
      <c r="G1085" s="14" t="str">
        <f ca="1">IFERROR(__xludf.DUMMYFUNCTION("CONCATENATE(B1085,(VLOOKUP(C1085,CATALOGOS!$F$2:$H$6,3,FALSE)),(VLOOKUP(V1085,CATALOGOS!$J$2:$K$18,2,FALSE)),""-"",TO_TEXT(A1085))"),"#N/A")</f>
        <v>#N/A</v>
      </c>
      <c r="H1085" s="6" t="str">
        <f ca="1">IFERROR(__xludf.DUMMYFUNCTION("CONCATENATE($B1085,(VLOOKUP($C1085,CATALOGOS!$F$2:$H$6,3,FALSE)),(VLOOKUP($V1085,CATALOGOS!$J$2:$K$18,2,FALSE)),""-"",TO_TEXT($A1085))"),"#N/A")</f>
        <v>#N/A</v>
      </c>
      <c r="I1085" s="128"/>
      <c r="J1085" s="128"/>
      <c r="K1085" s="129"/>
      <c r="L1085" s="129"/>
      <c r="M1085" s="129"/>
      <c r="N1085" s="129"/>
      <c r="O1085" s="129"/>
      <c r="P1085" s="129"/>
      <c r="Q1085" s="129"/>
      <c r="R1085" s="132"/>
      <c r="S1085" s="132"/>
      <c r="T1085" s="135"/>
      <c r="U1085" s="132"/>
      <c r="V1085" s="129"/>
      <c r="W1085" s="132"/>
      <c r="X1085" s="132"/>
      <c r="Y1085" s="132"/>
      <c r="Z1085" s="26"/>
      <c r="AA1085" s="26"/>
    </row>
    <row r="1086" spans="1:29" ht="15.75" customHeight="1">
      <c r="A1086" s="212" t="s">
        <v>9283</v>
      </c>
      <c r="B1086" s="12"/>
      <c r="C1086" s="12"/>
      <c r="D1086" s="125"/>
      <c r="E1086" s="126"/>
      <c r="F1086" s="128"/>
      <c r="G1086" s="14" t="str">
        <f ca="1">IFERROR(__xludf.DUMMYFUNCTION("CONCATENATE(B1086,(VLOOKUP(C1086,CATALOGOS!$F$2:$H$6,3,FALSE)),(VLOOKUP(V1086,CATALOGOS!$J$2:$K$18,2,FALSE)),""-"",TO_TEXT(A1086))"),"#N/A")</f>
        <v>#N/A</v>
      </c>
      <c r="H1086" s="6" t="str">
        <f ca="1">IFERROR(__xludf.DUMMYFUNCTION("CONCATENATE($B1086,(VLOOKUP($C1086,CATALOGOS!$F$2:$H$6,3,FALSE)),(VLOOKUP($V1086,CATALOGOS!$J$2:$K$18,2,FALSE)),""-"",TO_TEXT($A1086))"),"#N/A")</f>
        <v>#N/A</v>
      </c>
      <c r="I1086" s="128"/>
      <c r="J1086" s="128"/>
      <c r="K1086" s="129"/>
      <c r="L1086" s="129"/>
      <c r="M1086" s="129"/>
      <c r="N1086" s="129"/>
      <c r="O1086" s="129"/>
      <c r="P1086" s="129"/>
      <c r="Q1086" s="129"/>
      <c r="R1086" s="132"/>
      <c r="S1086" s="132"/>
      <c r="T1086" s="135"/>
      <c r="U1086" s="132"/>
      <c r="V1086" s="129"/>
      <c r="W1086" s="132"/>
      <c r="X1086" s="132"/>
      <c r="Y1086" s="132"/>
      <c r="Z1086" s="26"/>
      <c r="AA1086" s="26"/>
    </row>
    <row r="1087" spans="1:29" ht="15.75" customHeight="1">
      <c r="A1087" s="212" t="s">
        <v>9284</v>
      </c>
      <c r="B1087" s="12"/>
      <c r="C1087" s="12"/>
      <c r="D1087" s="125"/>
      <c r="E1087" s="126"/>
      <c r="F1087" s="128"/>
      <c r="G1087" s="14" t="str">
        <f ca="1">IFERROR(__xludf.DUMMYFUNCTION("CONCATENATE(B1087,(VLOOKUP(C1087,CATALOGOS!$F$2:$H$6,3,FALSE)),(VLOOKUP(V1087,CATALOGOS!$J$2:$K$18,2,FALSE)),""-"",TO_TEXT(A1087))"),"#N/A")</f>
        <v>#N/A</v>
      </c>
      <c r="H1087" s="6" t="str">
        <f ca="1">IFERROR(__xludf.DUMMYFUNCTION("CONCATENATE($B1087,(VLOOKUP($C1087,CATALOGOS!$F$2:$H$6,3,FALSE)),(VLOOKUP($V1087,CATALOGOS!$J$2:$K$18,2,FALSE)),""-"",TO_TEXT($A1087))"),"#N/A")</f>
        <v>#N/A</v>
      </c>
      <c r="I1087" s="128"/>
      <c r="J1087" s="128"/>
      <c r="K1087" s="129"/>
      <c r="L1087" s="129"/>
      <c r="M1087" s="129"/>
      <c r="N1087" s="129"/>
      <c r="O1087" s="129"/>
      <c r="P1087" s="129"/>
      <c r="Q1087" s="129"/>
      <c r="R1087" s="132"/>
      <c r="S1087" s="132"/>
      <c r="T1087" s="135"/>
      <c r="U1087" s="132"/>
      <c r="V1087" s="129"/>
      <c r="W1087" s="132"/>
      <c r="X1087" s="132"/>
      <c r="Y1087" s="132"/>
      <c r="Z1087" s="26"/>
      <c r="AA1087" s="26"/>
    </row>
    <row r="1088" spans="1:29" ht="15.75" customHeight="1">
      <c r="A1088" s="212" t="s">
        <v>9285</v>
      </c>
      <c r="B1088" s="12"/>
      <c r="C1088" s="12"/>
      <c r="D1088" s="125"/>
      <c r="E1088" s="126"/>
      <c r="F1088" s="128"/>
      <c r="G1088" s="14" t="str">
        <f ca="1">IFERROR(__xludf.DUMMYFUNCTION("CONCATENATE(B1088,(VLOOKUP(C1088,CATALOGOS!$F$2:$H$6,3,FALSE)),(VLOOKUP(V1088,CATALOGOS!$J$2:$K$18,2,FALSE)),""-"",TO_TEXT(A1088))"),"#N/A")</f>
        <v>#N/A</v>
      </c>
      <c r="H1088" s="6" t="str">
        <f ca="1">IFERROR(__xludf.DUMMYFUNCTION("CONCATENATE($B1088,(VLOOKUP($C1088,CATALOGOS!$F$2:$H$6,3,FALSE)),(VLOOKUP($V1088,CATALOGOS!$J$2:$K$18,2,FALSE)),""-"",TO_TEXT($A1088))"),"#N/A")</f>
        <v>#N/A</v>
      </c>
      <c r="I1088" s="128"/>
      <c r="J1088" s="128"/>
      <c r="K1088" s="129"/>
      <c r="L1088" s="129"/>
      <c r="M1088" s="129"/>
      <c r="N1088" s="129"/>
      <c r="O1088" s="129"/>
      <c r="P1088" s="129"/>
      <c r="Q1088" s="129"/>
      <c r="R1088" s="132"/>
      <c r="S1088" s="132"/>
      <c r="T1088" s="135"/>
      <c r="U1088" s="132"/>
      <c r="V1088" s="129"/>
      <c r="W1088" s="132"/>
      <c r="X1088" s="132"/>
      <c r="Y1088" s="132"/>
      <c r="Z1088" s="26"/>
      <c r="AA1088" s="26"/>
    </row>
    <row r="1089" spans="1:27" ht="15.75" customHeight="1">
      <c r="A1089" s="212" t="s">
        <v>9286</v>
      </c>
      <c r="B1089" s="12"/>
      <c r="C1089" s="12"/>
      <c r="D1089" s="125"/>
      <c r="E1089" s="126"/>
      <c r="F1089" s="128"/>
      <c r="G1089" s="14" t="str">
        <f ca="1">IFERROR(__xludf.DUMMYFUNCTION("CONCATENATE(B1089,(VLOOKUP(C1089,CATALOGOS!$F$2:$H$6,3,FALSE)),(VLOOKUP(V1089,CATALOGOS!$J$2:$K$18,2,FALSE)),""-"",TO_TEXT(A1089))"),"#N/A")</f>
        <v>#N/A</v>
      </c>
      <c r="H1089" s="6" t="str">
        <f ca="1">IFERROR(__xludf.DUMMYFUNCTION("CONCATENATE($B1089,(VLOOKUP($C1089,CATALOGOS!$F$2:$H$6,3,FALSE)),(VLOOKUP($V1089,CATALOGOS!$J$2:$K$18,2,FALSE)),""-"",TO_TEXT($A1089))"),"#N/A")</f>
        <v>#N/A</v>
      </c>
      <c r="I1089" s="128"/>
      <c r="J1089" s="128"/>
      <c r="K1089" s="129"/>
      <c r="L1089" s="129"/>
      <c r="M1089" s="129"/>
      <c r="N1089" s="129"/>
      <c r="O1089" s="129"/>
      <c r="P1089" s="129"/>
      <c r="Q1089" s="129"/>
      <c r="R1089" s="132"/>
      <c r="S1089" s="132"/>
      <c r="T1089" s="135"/>
      <c r="U1089" s="132"/>
      <c r="V1089" s="129"/>
      <c r="W1089" s="132"/>
      <c r="X1089" s="132"/>
      <c r="Y1089" s="132"/>
      <c r="Z1089" s="26"/>
      <c r="AA1089" s="26"/>
    </row>
    <row r="1090" spans="1:27" ht="15.75" customHeight="1">
      <c r="A1090" s="212" t="s">
        <v>9287</v>
      </c>
      <c r="B1090" s="12"/>
      <c r="C1090" s="12"/>
      <c r="D1090" s="125"/>
      <c r="E1090" s="126"/>
      <c r="F1090" s="128"/>
      <c r="G1090" s="14" t="str">
        <f ca="1">IFERROR(__xludf.DUMMYFUNCTION("CONCATENATE(B1090,(VLOOKUP(C1090,CATALOGOS!$F$2:$H$6,3,FALSE)),(VLOOKUP(V1090,CATALOGOS!$J$2:$K$18,2,FALSE)),""-"",TO_TEXT(A1090))"),"#N/A")</f>
        <v>#N/A</v>
      </c>
      <c r="H1090" s="6" t="str">
        <f ca="1">IFERROR(__xludf.DUMMYFUNCTION("CONCATENATE($B1090,(VLOOKUP($C1090,CATALOGOS!$F$2:$H$6,3,FALSE)),(VLOOKUP($V1090,CATALOGOS!$J$2:$K$18,2,FALSE)),""-"",TO_TEXT($A1090))"),"#N/A")</f>
        <v>#N/A</v>
      </c>
      <c r="I1090" s="128"/>
      <c r="J1090" s="128"/>
      <c r="K1090" s="129"/>
      <c r="L1090" s="129"/>
      <c r="M1090" s="129"/>
      <c r="N1090" s="129"/>
      <c r="O1090" s="129"/>
      <c r="P1090" s="129"/>
      <c r="Q1090" s="129"/>
      <c r="R1090" s="132"/>
      <c r="S1090" s="132"/>
      <c r="T1090" s="135"/>
      <c r="U1090" s="132"/>
      <c r="V1090" s="129"/>
      <c r="W1090" s="132"/>
      <c r="X1090" s="132"/>
      <c r="Y1090" s="132"/>
      <c r="Z1090" s="26"/>
      <c r="AA1090" s="26"/>
    </row>
    <row r="1091" spans="1:27" ht="15.75" customHeight="1">
      <c r="A1091" s="212" t="s">
        <v>9288</v>
      </c>
      <c r="B1091" s="12"/>
      <c r="C1091" s="12"/>
      <c r="D1091" s="125"/>
      <c r="E1091" s="126"/>
      <c r="F1091" s="128"/>
      <c r="G1091" s="14" t="str">
        <f ca="1">IFERROR(__xludf.DUMMYFUNCTION("CONCATENATE(B1091,(VLOOKUP(C1091,CATALOGOS!$F$2:$H$6,3,FALSE)),(VLOOKUP(V1091,CATALOGOS!$J$2:$K$18,2,FALSE)),""-"",TO_TEXT(A1091))"),"#N/A")</f>
        <v>#N/A</v>
      </c>
      <c r="H1091" s="6" t="str">
        <f ca="1">IFERROR(__xludf.DUMMYFUNCTION("CONCATENATE($B1091,(VLOOKUP($C1091,CATALOGOS!$F$2:$H$6,3,FALSE)),(VLOOKUP($V1091,CATALOGOS!$J$2:$K$18,2,FALSE)),""-"",TO_TEXT($A1091))"),"#N/A")</f>
        <v>#N/A</v>
      </c>
      <c r="I1091" s="128"/>
      <c r="J1091" s="128"/>
      <c r="K1091" s="129"/>
      <c r="L1091" s="129"/>
      <c r="M1091" s="129"/>
      <c r="N1091" s="129"/>
      <c r="O1091" s="129"/>
      <c r="P1091" s="129"/>
      <c r="Q1091" s="129"/>
      <c r="R1091" s="132"/>
      <c r="S1091" s="132"/>
      <c r="T1091" s="135"/>
      <c r="U1091" s="132"/>
      <c r="V1091" s="129"/>
      <c r="W1091" s="132"/>
      <c r="X1091" s="132"/>
      <c r="Y1091" s="132"/>
      <c r="Z1091" s="26"/>
      <c r="AA1091" s="26"/>
    </row>
    <row r="1092" spans="1:27" ht="15.75" customHeight="1">
      <c r="A1092" s="212" t="s">
        <v>9289</v>
      </c>
      <c r="B1092" s="12"/>
      <c r="C1092" s="12"/>
      <c r="D1092" s="125"/>
      <c r="E1092" s="126"/>
      <c r="F1092" s="128"/>
      <c r="G1092" s="14" t="str">
        <f ca="1">IFERROR(__xludf.DUMMYFUNCTION("CONCATENATE(B1092,(VLOOKUP(C1092,CATALOGOS!$F$2:$H$6,3,FALSE)),(VLOOKUP(V1092,CATALOGOS!$J$2:$K$18,2,FALSE)),""-"",TO_TEXT(A1092))"),"#N/A")</f>
        <v>#N/A</v>
      </c>
      <c r="H1092" s="6" t="str">
        <f ca="1">IFERROR(__xludf.DUMMYFUNCTION("CONCATENATE($B1092,(VLOOKUP($C1092,CATALOGOS!$F$2:$H$6,3,FALSE)),(VLOOKUP($V1092,CATALOGOS!$J$2:$K$18,2,FALSE)),""-"",TO_TEXT($A1092))"),"#N/A")</f>
        <v>#N/A</v>
      </c>
      <c r="I1092" s="128"/>
      <c r="J1092" s="128"/>
      <c r="K1092" s="129"/>
      <c r="L1092" s="129"/>
      <c r="M1092" s="129"/>
      <c r="N1092" s="129"/>
      <c r="O1092" s="129"/>
      <c r="P1092" s="129"/>
      <c r="Q1092" s="129"/>
      <c r="R1092" s="132"/>
      <c r="S1092" s="132"/>
      <c r="T1092" s="135"/>
      <c r="U1092" s="132"/>
      <c r="V1092" s="129"/>
      <c r="W1092" s="132"/>
      <c r="X1092" s="132"/>
      <c r="Y1092" s="132"/>
      <c r="Z1092" s="26"/>
      <c r="AA1092" s="26"/>
    </row>
    <row r="1093" spans="1:27" ht="15.75" customHeight="1">
      <c r="A1093" s="212" t="s">
        <v>9290</v>
      </c>
      <c r="B1093" s="12"/>
      <c r="C1093" s="12"/>
      <c r="D1093" s="125"/>
      <c r="E1093" s="126"/>
      <c r="F1093" s="128"/>
      <c r="G1093" s="14" t="str">
        <f ca="1">IFERROR(__xludf.DUMMYFUNCTION("CONCATENATE(B1093,(VLOOKUP(C1093,CATALOGOS!$F$2:$H$6,3,FALSE)),(VLOOKUP(V1093,CATALOGOS!$J$2:$K$18,2,FALSE)),""-"",TO_TEXT(A1093))"),"#N/A")</f>
        <v>#N/A</v>
      </c>
      <c r="H1093" s="6" t="str">
        <f ca="1">IFERROR(__xludf.DUMMYFUNCTION("CONCATENATE($B1093,(VLOOKUP($C1093,CATALOGOS!$F$2:$H$6,3,FALSE)),(VLOOKUP($V1093,CATALOGOS!$J$2:$K$18,2,FALSE)),""-"",TO_TEXT($A1093))"),"#N/A")</f>
        <v>#N/A</v>
      </c>
      <c r="I1093" s="128"/>
      <c r="J1093" s="128"/>
      <c r="K1093" s="129"/>
      <c r="L1093" s="129"/>
      <c r="M1093" s="129"/>
      <c r="N1093" s="129"/>
      <c r="O1093" s="129"/>
      <c r="P1093" s="129"/>
      <c r="Q1093" s="129"/>
      <c r="R1093" s="132"/>
      <c r="S1093" s="132"/>
      <c r="T1093" s="135"/>
      <c r="U1093" s="132"/>
      <c r="V1093" s="129"/>
      <c r="W1093" s="132"/>
      <c r="X1093" s="132"/>
      <c r="Y1093" s="132"/>
      <c r="Z1093" s="26"/>
      <c r="AA1093" s="26"/>
    </row>
    <row r="1094" spans="1:27" ht="15.75" customHeight="1">
      <c r="A1094" s="10" t="s">
        <v>9291</v>
      </c>
      <c r="B1094" s="12"/>
      <c r="C1094" s="12"/>
      <c r="D1094" s="125"/>
      <c r="E1094" s="126"/>
      <c r="F1094" s="128"/>
      <c r="G1094" s="14" t="str">
        <f ca="1">IFERROR(__xludf.DUMMYFUNCTION("CONCATENATE(B1094,(VLOOKUP(C1094,CATALOGOS!$F$2:$H$6,3,FALSE)),(VLOOKUP(V1094,CATALOGOS!$J$2:$K$18,2,FALSE)),""-"",TO_TEXT(A1094))"),"#N/A")</f>
        <v>#N/A</v>
      </c>
      <c r="H1094" s="6" t="str">
        <f ca="1">IFERROR(__xludf.DUMMYFUNCTION("CONCATENATE($B1094,(VLOOKUP($C1094,CATALOGOS!$F$2:$H$6,3,FALSE)),(VLOOKUP($V1094,CATALOGOS!$J$2:$K$18,2,FALSE)),""-"",TO_TEXT($A1094))"),"#N/A")</f>
        <v>#N/A</v>
      </c>
      <c r="I1094" s="128"/>
      <c r="J1094" s="128"/>
      <c r="K1094" s="129"/>
      <c r="L1094" s="129"/>
      <c r="M1094" s="129"/>
      <c r="N1094" s="129"/>
      <c r="O1094" s="129"/>
      <c r="P1094" s="129"/>
      <c r="Q1094" s="129"/>
      <c r="R1094" s="132"/>
      <c r="S1094" s="132"/>
      <c r="T1094" s="135"/>
      <c r="U1094" s="132"/>
      <c r="V1094" s="129"/>
      <c r="W1094" s="132"/>
      <c r="X1094" s="132"/>
      <c r="Y1094" s="132"/>
    </row>
    <row r="1095" spans="1:27" ht="15.75" customHeight="1">
      <c r="A1095" s="10" t="s">
        <v>9292</v>
      </c>
      <c r="B1095" s="12"/>
      <c r="C1095" s="12"/>
      <c r="D1095" s="125"/>
      <c r="E1095" s="126"/>
      <c r="F1095" s="128"/>
      <c r="G1095" s="14" t="str">
        <f ca="1">IFERROR(__xludf.DUMMYFUNCTION("CONCATENATE(B1095,(VLOOKUP(C1095,CATALOGOS!$F$2:$H$6,3,FALSE)),(VLOOKUP(V1095,CATALOGOS!$J$2:$K$18,2,FALSE)),""-"",TO_TEXT(A1095))"),"#N/A")</f>
        <v>#N/A</v>
      </c>
      <c r="H1095" s="6" t="str">
        <f ca="1">IFERROR(__xludf.DUMMYFUNCTION("CONCATENATE($B1095,(VLOOKUP($C1095,CATALOGOS!$F$2:$H$6,3,FALSE)),(VLOOKUP($V1095,CATALOGOS!$J$2:$K$18,2,FALSE)),""-"",TO_TEXT($A1095))"),"#N/A")</f>
        <v>#N/A</v>
      </c>
      <c r="I1095" s="128"/>
      <c r="J1095" s="128"/>
      <c r="K1095" s="129"/>
      <c r="L1095" s="129"/>
      <c r="M1095" s="129"/>
      <c r="N1095" s="129"/>
      <c r="O1095" s="129"/>
      <c r="P1095" s="129"/>
      <c r="Q1095" s="129"/>
      <c r="R1095" s="132"/>
      <c r="S1095" s="132"/>
      <c r="T1095" s="135"/>
      <c r="U1095" s="132"/>
      <c r="V1095" s="129"/>
      <c r="W1095" s="132"/>
      <c r="X1095" s="132"/>
      <c r="Y1095" s="132"/>
    </row>
    <row r="1096" spans="1:27" ht="15.75" customHeight="1">
      <c r="A1096" s="10" t="s">
        <v>9293</v>
      </c>
      <c r="B1096" s="12"/>
      <c r="C1096" s="12"/>
      <c r="D1096" s="125"/>
      <c r="E1096" s="126"/>
      <c r="F1096" s="128"/>
      <c r="G1096" s="14" t="str">
        <f ca="1">IFERROR(__xludf.DUMMYFUNCTION("CONCATENATE(B1096,(VLOOKUP(C1096,CATALOGOS!$F$2:$H$6,3,FALSE)),(VLOOKUP(V1096,CATALOGOS!$J$2:$K$18,2,FALSE)),""-"",TO_TEXT(A1096))"),"#N/A")</f>
        <v>#N/A</v>
      </c>
      <c r="H1096" s="6" t="str">
        <f ca="1">IFERROR(__xludf.DUMMYFUNCTION("CONCATENATE($B1096,(VLOOKUP($C1096,CATALOGOS!$F$2:$H$6,3,FALSE)),(VLOOKUP($V1096,CATALOGOS!$J$2:$K$18,2,FALSE)),""-"",TO_TEXT($A1096))"),"#N/A")</f>
        <v>#N/A</v>
      </c>
      <c r="I1096" s="128"/>
      <c r="J1096" s="128"/>
      <c r="K1096" s="129"/>
      <c r="L1096" s="129"/>
      <c r="M1096" s="129"/>
      <c r="N1096" s="129"/>
      <c r="O1096" s="129"/>
      <c r="P1096" s="129"/>
      <c r="Q1096" s="129"/>
      <c r="R1096" s="132"/>
      <c r="S1096" s="132"/>
      <c r="T1096" s="135"/>
      <c r="U1096" s="132"/>
      <c r="V1096" s="129"/>
      <c r="W1096" s="132"/>
      <c r="X1096" s="132"/>
      <c r="Y1096" s="132"/>
    </row>
    <row r="1097" spans="1:27" ht="15.75" customHeight="1">
      <c r="A1097" s="10" t="s">
        <v>9294</v>
      </c>
      <c r="B1097" s="12"/>
      <c r="C1097" s="12"/>
      <c r="D1097" s="125"/>
      <c r="E1097" s="126"/>
      <c r="F1097" s="128"/>
      <c r="G1097" s="14" t="str">
        <f ca="1">IFERROR(__xludf.DUMMYFUNCTION("CONCATENATE(B1097,(VLOOKUP(C1097,CATALOGOS!$F$2:$H$6,3,FALSE)),(VLOOKUP(V1097,CATALOGOS!$J$2:$K$18,2,FALSE)),""-"",TO_TEXT(A1097))"),"#N/A")</f>
        <v>#N/A</v>
      </c>
      <c r="H1097" s="6" t="str">
        <f ca="1">IFERROR(__xludf.DUMMYFUNCTION("CONCATENATE($B1097,(VLOOKUP($C1097,CATALOGOS!$F$2:$H$6,3,FALSE)),(VLOOKUP($V1097,CATALOGOS!$J$2:$K$18,2,FALSE)),""-"",TO_TEXT($A1097))"),"#N/A")</f>
        <v>#N/A</v>
      </c>
      <c r="I1097" s="128"/>
      <c r="J1097" s="128"/>
      <c r="K1097" s="129"/>
      <c r="L1097" s="129"/>
      <c r="M1097" s="129"/>
      <c r="N1097" s="129"/>
      <c r="O1097" s="129"/>
      <c r="P1097" s="129"/>
      <c r="Q1097" s="129"/>
      <c r="R1097" s="132"/>
      <c r="S1097" s="132"/>
      <c r="T1097" s="135"/>
      <c r="U1097" s="132"/>
      <c r="V1097" s="129"/>
      <c r="W1097" s="132"/>
      <c r="X1097" s="132"/>
      <c r="Y1097" s="132"/>
    </row>
    <row r="1098" spans="1:27" ht="15.75" customHeight="1">
      <c r="A1098" s="10" t="s">
        <v>9295</v>
      </c>
      <c r="B1098" s="12"/>
      <c r="C1098" s="12"/>
      <c r="D1098" s="125"/>
      <c r="E1098" s="126"/>
      <c r="F1098" s="128"/>
      <c r="G1098" s="14" t="str">
        <f ca="1">IFERROR(__xludf.DUMMYFUNCTION("CONCATENATE(B1098,(VLOOKUP(C1098,CATALOGOS!$F$2:$H$6,3,FALSE)),(VLOOKUP(V1098,CATALOGOS!$J$2:$K$18,2,FALSE)),""-"",TO_TEXT(A1098))"),"#N/A")</f>
        <v>#N/A</v>
      </c>
      <c r="H1098" s="6" t="str">
        <f ca="1">IFERROR(__xludf.DUMMYFUNCTION("CONCATENATE($B1098,(VLOOKUP($C1098,CATALOGOS!$F$2:$H$6,3,FALSE)),(VLOOKUP($V1098,CATALOGOS!$J$2:$K$18,2,FALSE)),""-"",TO_TEXT($A1098))"),"#N/A")</f>
        <v>#N/A</v>
      </c>
      <c r="I1098" s="128"/>
      <c r="J1098" s="128"/>
      <c r="K1098" s="129"/>
      <c r="L1098" s="129"/>
      <c r="M1098" s="129"/>
      <c r="N1098" s="129"/>
      <c r="O1098" s="129"/>
      <c r="P1098" s="129"/>
      <c r="Q1098" s="129"/>
      <c r="R1098" s="132"/>
      <c r="S1098" s="132"/>
      <c r="T1098" s="135"/>
      <c r="U1098" s="132"/>
      <c r="V1098" s="129"/>
      <c r="W1098" s="132"/>
      <c r="X1098" s="132"/>
      <c r="Y1098" s="132"/>
    </row>
    <row r="1099" spans="1:27" ht="15.75" customHeight="1">
      <c r="A1099" s="10" t="s">
        <v>9296</v>
      </c>
      <c r="B1099" s="12"/>
      <c r="C1099" s="12"/>
      <c r="D1099" s="125"/>
      <c r="E1099" s="126"/>
      <c r="F1099" s="128"/>
      <c r="G1099" s="14" t="str">
        <f ca="1">IFERROR(__xludf.DUMMYFUNCTION("CONCATENATE(B1099,(VLOOKUP(C1099,CATALOGOS!$F$2:$H$6,3,FALSE)),(VLOOKUP(V1099,CATALOGOS!$J$2:$K$18,2,FALSE)),""-"",TO_TEXT(A1099))"),"#N/A")</f>
        <v>#N/A</v>
      </c>
      <c r="H1099" s="6" t="str">
        <f ca="1">IFERROR(__xludf.DUMMYFUNCTION("CONCATENATE($B1099,(VLOOKUP($C1099,CATALOGOS!$F$2:$H$6,3,FALSE)),(VLOOKUP($V1099,CATALOGOS!$J$2:$K$18,2,FALSE)),""-"",TO_TEXT($A1099))"),"#N/A")</f>
        <v>#N/A</v>
      </c>
      <c r="I1099" s="128"/>
      <c r="J1099" s="128"/>
      <c r="K1099" s="129"/>
      <c r="L1099" s="129"/>
      <c r="M1099" s="129"/>
      <c r="N1099" s="129"/>
      <c r="O1099" s="129"/>
      <c r="P1099" s="129"/>
      <c r="Q1099" s="129"/>
      <c r="R1099" s="132"/>
      <c r="S1099" s="132"/>
      <c r="T1099" s="135"/>
      <c r="U1099" s="132"/>
      <c r="V1099" s="129"/>
      <c r="W1099" s="132"/>
      <c r="X1099" s="132"/>
      <c r="Y1099" s="132"/>
    </row>
    <row r="1100" spans="1:27" ht="15.75" customHeight="1">
      <c r="A1100" s="10" t="s">
        <v>9297</v>
      </c>
      <c r="B1100" s="12"/>
      <c r="C1100" s="12"/>
      <c r="D1100" s="125"/>
      <c r="E1100" s="126"/>
      <c r="F1100" s="128"/>
      <c r="G1100" s="14" t="str">
        <f ca="1">IFERROR(__xludf.DUMMYFUNCTION("CONCATENATE(B1100,(VLOOKUP(C1100,CATALOGOS!$F$2:$H$6,3,FALSE)),(VLOOKUP(V1100,CATALOGOS!$J$2:$K$18,2,FALSE)),""-"",TO_TEXT(A1100))"),"#N/A")</f>
        <v>#N/A</v>
      </c>
      <c r="H1100" s="6" t="str">
        <f ca="1">IFERROR(__xludf.DUMMYFUNCTION("CONCATENATE($B1100,(VLOOKUP($C1100,CATALOGOS!$F$2:$H$6,3,FALSE)),(VLOOKUP($V1100,CATALOGOS!$J$2:$K$18,2,FALSE)),""-"",TO_TEXT($A1100))"),"#N/A")</f>
        <v>#N/A</v>
      </c>
      <c r="I1100" s="128"/>
      <c r="J1100" s="128"/>
      <c r="K1100" s="129"/>
      <c r="L1100" s="129"/>
      <c r="M1100" s="129"/>
      <c r="N1100" s="129"/>
      <c r="O1100" s="129"/>
      <c r="P1100" s="129"/>
      <c r="Q1100" s="129"/>
      <c r="R1100" s="132"/>
      <c r="S1100" s="132"/>
      <c r="T1100" s="135"/>
      <c r="U1100" s="132"/>
      <c r="V1100" s="129"/>
      <c r="W1100" s="132"/>
      <c r="X1100" s="132"/>
      <c r="Y1100" s="132"/>
    </row>
    <row r="1101" spans="1:27" ht="15.75" customHeight="1">
      <c r="A1101" s="10" t="s">
        <v>9298</v>
      </c>
      <c r="B1101" s="12"/>
      <c r="C1101" s="12"/>
      <c r="D1101" s="125"/>
      <c r="E1101" s="126"/>
      <c r="F1101" s="128"/>
      <c r="G1101" s="14" t="str">
        <f ca="1">IFERROR(__xludf.DUMMYFUNCTION("CONCATENATE(B1101,(VLOOKUP(C1101,CATALOGOS!$F$2:$H$6,3,FALSE)),(VLOOKUP(V1101,CATALOGOS!$J$2:$K$18,2,FALSE)),""-"",TO_TEXT(A1101))"),"#N/A")</f>
        <v>#N/A</v>
      </c>
      <c r="H1101" s="6" t="str">
        <f ca="1">IFERROR(__xludf.DUMMYFUNCTION("CONCATENATE($B1101,(VLOOKUP($C1101,CATALOGOS!$F$2:$H$6,3,FALSE)),(VLOOKUP($V1101,CATALOGOS!$J$2:$K$18,2,FALSE)),""-"",TO_TEXT($A1101))"),"#N/A")</f>
        <v>#N/A</v>
      </c>
      <c r="I1101" s="128"/>
      <c r="J1101" s="128"/>
      <c r="K1101" s="129"/>
      <c r="L1101" s="129"/>
      <c r="M1101" s="129"/>
      <c r="N1101" s="129"/>
      <c r="O1101" s="129"/>
      <c r="P1101" s="129"/>
      <c r="Q1101" s="129"/>
      <c r="R1101" s="132"/>
      <c r="S1101" s="132"/>
      <c r="T1101" s="135"/>
      <c r="U1101" s="132"/>
      <c r="V1101" s="129"/>
      <c r="W1101" s="132"/>
      <c r="X1101" s="132"/>
      <c r="Y1101" s="132"/>
    </row>
    <row r="1102" spans="1:27" ht="15.75" customHeight="1">
      <c r="A1102" s="10" t="s">
        <v>9299</v>
      </c>
      <c r="B1102" s="12"/>
      <c r="C1102" s="12"/>
      <c r="D1102" s="125"/>
      <c r="E1102" s="126"/>
      <c r="F1102" s="128"/>
      <c r="G1102" s="14" t="str">
        <f ca="1">IFERROR(__xludf.DUMMYFUNCTION("CONCATENATE(B1102,(VLOOKUP(C1102,CATALOGOS!$F$2:$H$6,3,FALSE)),(VLOOKUP(V1102,CATALOGOS!$J$2:$K$18,2,FALSE)),""-"",TO_TEXT(A1102))"),"#N/A")</f>
        <v>#N/A</v>
      </c>
      <c r="H1102" s="6" t="str">
        <f ca="1">IFERROR(__xludf.DUMMYFUNCTION("CONCATENATE($B1102,(VLOOKUP($C1102,CATALOGOS!$F$2:$H$6,3,FALSE)),(VLOOKUP($V1102,CATALOGOS!$J$2:$K$18,2,FALSE)),""-"",TO_TEXT($A1102))"),"#N/A")</f>
        <v>#N/A</v>
      </c>
      <c r="I1102" s="128"/>
      <c r="J1102" s="128"/>
      <c r="K1102" s="129"/>
      <c r="L1102" s="129"/>
      <c r="M1102" s="129"/>
      <c r="N1102" s="129"/>
      <c r="O1102" s="129"/>
      <c r="P1102" s="129"/>
      <c r="Q1102" s="129"/>
      <c r="R1102" s="132"/>
      <c r="S1102" s="132"/>
      <c r="T1102" s="135"/>
      <c r="U1102" s="132"/>
      <c r="V1102" s="129"/>
      <c r="W1102" s="132"/>
      <c r="X1102" s="132"/>
      <c r="Y1102" s="132"/>
    </row>
    <row r="1103" spans="1:27" ht="15.75" customHeight="1">
      <c r="A1103" s="10" t="s">
        <v>9300</v>
      </c>
      <c r="B1103" s="12"/>
      <c r="C1103" s="12"/>
      <c r="D1103" s="125"/>
      <c r="E1103" s="126"/>
      <c r="F1103" s="128"/>
      <c r="G1103" s="14" t="str">
        <f ca="1">IFERROR(__xludf.DUMMYFUNCTION("CONCATENATE(B1103,(VLOOKUP(C1103,CATALOGOS!$F$2:$H$6,3,FALSE)),(VLOOKUP(V1103,CATALOGOS!$J$2:$K$18,2,FALSE)),""-"",TO_TEXT(A1103))"),"#N/A")</f>
        <v>#N/A</v>
      </c>
      <c r="H1103" s="6" t="str">
        <f ca="1">IFERROR(__xludf.DUMMYFUNCTION("CONCATENATE($B1103,(VLOOKUP($C1103,CATALOGOS!$F$2:$H$6,3,FALSE)),(VLOOKUP($V1103,CATALOGOS!$J$2:$K$18,2,FALSE)),""-"",TO_TEXT($A1103))"),"#N/A")</f>
        <v>#N/A</v>
      </c>
      <c r="I1103" s="128"/>
      <c r="J1103" s="128"/>
      <c r="K1103" s="129"/>
      <c r="L1103" s="129"/>
      <c r="M1103" s="129"/>
      <c r="N1103" s="129"/>
      <c r="O1103" s="129"/>
      <c r="P1103" s="129"/>
      <c r="Q1103" s="129"/>
      <c r="R1103" s="132"/>
      <c r="S1103" s="132"/>
      <c r="T1103" s="135"/>
      <c r="U1103" s="132"/>
      <c r="V1103" s="129"/>
      <c r="W1103" s="132"/>
      <c r="X1103" s="132"/>
      <c r="Y1103" s="132"/>
    </row>
    <row r="1104" spans="1:27" ht="15.75" customHeight="1">
      <c r="A1104" s="10" t="s">
        <v>9301</v>
      </c>
      <c r="B1104" s="12"/>
      <c r="C1104" s="12"/>
      <c r="D1104" s="125"/>
      <c r="E1104" s="126"/>
      <c r="F1104" s="128"/>
      <c r="G1104" s="14" t="str">
        <f ca="1">IFERROR(__xludf.DUMMYFUNCTION("CONCATENATE(B1104,(VLOOKUP(C1104,CATALOGOS!$F$2:$H$6,3,FALSE)),(VLOOKUP(V1104,CATALOGOS!$J$2:$K$18,2,FALSE)),""-"",TO_TEXT(A1104))"),"#N/A")</f>
        <v>#N/A</v>
      </c>
      <c r="H1104" s="6" t="str">
        <f ca="1">IFERROR(__xludf.DUMMYFUNCTION("CONCATENATE($B1104,(VLOOKUP($C1104,CATALOGOS!$F$2:$H$6,3,FALSE)),(VLOOKUP($V1104,CATALOGOS!$J$2:$K$18,2,FALSE)),""-"",TO_TEXT($A1104))"),"#N/A")</f>
        <v>#N/A</v>
      </c>
      <c r="I1104" s="128"/>
      <c r="J1104" s="128"/>
      <c r="K1104" s="129"/>
      <c r="L1104" s="129"/>
      <c r="M1104" s="129"/>
      <c r="N1104" s="129"/>
      <c r="O1104" s="129"/>
      <c r="P1104" s="129"/>
      <c r="Q1104" s="129"/>
      <c r="R1104" s="132"/>
      <c r="S1104" s="132"/>
      <c r="T1104" s="135"/>
      <c r="U1104" s="132"/>
      <c r="V1104" s="129"/>
      <c r="W1104" s="132"/>
      <c r="X1104" s="132"/>
      <c r="Y1104" s="132"/>
    </row>
    <row r="1105" spans="1:25" ht="15.75" customHeight="1">
      <c r="A1105" s="10" t="s">
        <v>9302</v>
      </c>
      <c r="B1105" s="12"/>
      <c r="C1105" s="12"/>
      <c r="D1105" s="125"/>
      <c r="E1105" s="126"/>
      <c r="F1105" s="128"/>
      <c r="G1105" s="14" t="str">
        <f ca="1">IFERROR(__xludf.DUMMYFUNCTION("CONCATENATE(B1105,(VLOOKUP(C1105,CATALOGOS!$F$2:$H$6,3,FALSE)),(VLOOKUP(V1105,CATALOGOS!$J$2:$K$18,2,FALSE)),""-"",TO_TEXT(A1105))"),"#N/A")</f>
        <v>#N/A</v>
      </c>
      <c r="H1105" s="6" t="str">
        <f ca="1">IFERROR(__xludf.DUMMYFUNCTION("CONCATENATE($B1105,(VLOOKUP($C1105,CATALOGOS!$F$2:$H$6,3,FALSE)),(VLOOKUP($V1105,CATALOGOS!$J$2:$K$18,2,FALSE)),""-"",TO_TEXT($A1105))"),"#N/A")</f>
        <v>#N/A</v>
      </c>
      <c r="I1105" s="128"/>
      <c r="J1105" s="128"/>
      <c r="K1105" s="129"/>
      <c r="L1105" s="129"/>
      <c r="M1105" s="129"/>
      <c r="N1105" s="129"/>
      <c r="O1105" s="129"/>
      <c r="P1105" s="129"/>
      <c r="Q1105" s="129"/>
      <c r="R1105" s="132"/>
      <c r="S1105" s="132"/>
      <c r="T1105" s="135"/>
      <c r="U1105" s="132"/>
      <c r="V1105" s="129"/>
      <c r="W1105" s="132"/>
      <c r="X1105" s="132"/>
      <c r="Y1105" s="132"/>
    </row>
    <row r="1106" spans="1:25" ht="15.75" customHeight="1">
      <c r="A1106" s="10" t="s">
        <v>9303</v>
      </c>
      <c r="B1106" s="12"/>
      <c r="C1106" s="12"/>
      <c r="D1106" s="125"/>
      <c r="E1106" s="126"/>
      <c r="F1106" s="128"/>
      <c r="G1106" s="14" t="str">
        <f ca="1">IFERROR(__xludf.DUMMYFUNCTION("CONCATENATE(B1106,(VLOOKUP(C1106,CATALOGOS!$F$2:$H$6,3,FALSE)),(VLOOKUP(V1106,CATALOGOS!$J$2:$K$18,2,FALSE)),""-"",TO_TEXT(A1106))"),"#N/A")</f>
        <v>#N/A</v>
      </c>
      <c r="H1106" s="6" t="str">
        <f ca="1">IFERROR(__xludf.DUMMYFUNCTION("CONCATENATE($B1106,(VLOOKUP($C1106,CATALOGOS!$F$2:$H$6,3,FALSE)),(VLOOKUP($V1106,CATALOGOS!$J$2:$K$18,2,FALSE)),""-"",TO_TEXT($A1106))"),"#N/A")</f>
        <v>#N/A</v>
      </c>
      <c r="I1106" s="128"/>
      <c r="J1106" s="128"/>
      <c r="K1106" s="129"/>
      <c r="L1106" s="129"/>
      <c r="M1106" s="129"/>
      <c r="N1106" s="129"/>
      <c r="O1106" s="129"/>
      <c r="P1106" s="129"/>
      <c r="Q1106" s="129"/>
      <c r="R1106" s="132"/>
      <c r="S1106" s="132"/>
      <c r="T1106" s="135"/>
      <c r="U1106" s="132"/>
      <c r="V1106" s="129"/>
      <c r="W1106" s="132"/>
      <c r="X1106" s="132"/>
      <c r="Y1106" s="132"/>
    </row>
    <row r="1107" spans="1:25" ht="15.75" customHeight="1">
      <c r="A1107" s="10" t="s">
        <v>9304</v>
      </c>
      <c r="B1107" s="12"/>
      <c r="C1107" s="12"/>
      <c r="D1107" s="125"/>
      <c r="E1107" s="126"/>
      <c r="F1107" s="128"/>
      <c r="G1107" s="14" t="str">
        <f ca="1">IFERROR(__xludf.DUMMYFUNCTION("CONCATENATE(B1107,(VLOOKUP(C1107,CATALOGOS!$F$2:$H$6,3,FALSE)),(VLOOKUP(V1107,CATALOGOS!$J$2:$K$18,2,FALSE)),""-"",TO_TEXT(A1107))"),"#N/A")</f>
        <v>#N/A</v>
      </c>
      <c r="H1107" s="6" t="str">
        <f ca="1">IFERROR(__xludf.DUMMYFUNCTION("CONCATENATE($B1107,(VLOOKUP($C1107,CATALOGOS!$F$2:$H$6,3,FALSE)),(VLOOKUP($V1107,CATALOGOS!$J$2:$K$18,2,FALSE)),""-"",TO_TEXT($A1107))"),"#N/A")</f>
        <v>#N/A</v>
      </c>
      <c r="I1107" s="128"/>
      <c r="J1107" s="128"/>
      <c r="K1107" s="129"/>
      <c r="L1107" s="129"/>
      <c r="M1107" s="129"/>
      <c r="N1107" s="129"/>
      <c r="O1107" s="129"/>
      <c r="P1107" s="129"/>
      <c r="Q1107" s="129"/>
      <c r="R1107" s="132"/>
      <c r="S1107" s="132"/>
      <c r="T1107" s="135"/>
      <c r="U1107" s="132"/>
      <c r="V1107" s="129"/>
      <c r="W1107" s="132"/>
      <c r="X1107" s="132"/>
      <c r="Y1107" s="132"/>
    </row>
    <row r="1108" spans="1:25" ht="15.75" customHeight="1">
      <c r="A1108" s="10" t="s">
        <v>9305</v>
      </c>
      <c r="B1108" s="12"/>
      <c r="C1108" s="12"/>
      <c r="D1108" s="125"/>
      <c r="E1108" s="126"/>
      <c r="F1108" s="128"/>
      <c r="G1108" s="14" t="str">
        <f ca="1">IFERROR(__xludf.DUMMYFUNCTION("CONCATENATE(B1108,(VLOOKUP(C1108,CATALOGOS!$F$2:$H$6,3,FALSE)),(VLOOKUP(V1108,CATALOGOS!$J$2:$K$18,2,FALSE)),""-"",TO_TEXT(A1108))"),"#N/A")</f>
        <v>#N/A</v>
      </c>
      <c r="H1108" s="6" t="str">
        <f ca="1">IFERROR(__xludf.DUMMYFUNCTION("CONCATENATE($B1108,(VLOOKUP($C1108,CATALOGOS!$F$2:$H$6,3,FALSE)),(VLOOKUP($V1108,CATALOGOS!$J$2:$K$18,2,FALSE)),""-"",TO_TEXT($A1108))"),"#N/A")</f>
        <v>#N/A</v>
      </c>
      <c r="I1108" s="128"/>
      <c r="J1108" s="128"/>
      <c r="K1108" s="129"/>
      <c r="L1108" s="129"/>
      <c r="M1108" s="129"/>
      <c r="N1108" s="129"/>
      <c r="O1108" s="129"/>
      <c r="P1108" s="129"/>
      <c r="Q1108" s="129"/>
      <c r="R1108" s="132"/>
      <c r="S1108" s="132"/>
      <c r="T1108" s="135"/>
      <c r="U1108" s="132"/>
      <c r="V1108" s="129"/>
      <c r="W1108" s="132"/>
      <c r="X1108" s="132"/>
      <c r="Y1108" s="132"/>
    </row>
    <row r="1109" spans="1:25" ht="15.75" customHeight="1">
      <c r="A1109" s="10" t="s">
        <v>9306</v>
      </c>
      <c r="B1109" s="12"/>
      <c r="C1109" s="12"/>
      <c r="D1109" s="125"/>
      <c r="E1109" s="126"/>
      <c r="F1109" s="128"/>
      <c r="G1109" s="14" t="str">
        <f ca="1">IFERROR(__xludf.DUMMYFUNCTION("CONCATENATE(B1109,(VLOOKUP(C1109,CATALOGOS!$F$2:$H$6,3,FALSE)),(VLOOKUP(V1109,CATALOGOS!$J$2:$K$18,2,FALSE)),""-"",TO_TEXT(A1109))"),"#N/A")</f>
        <v>#N/A</v>
      </c>
      <c r="H1109" s="6" t="str">
        <f ca="1">IFERROR(__xludf.DUMMYFUNCTION("CONCATENATE($B1109,(VLOOKUP($C1109,CATALOGOS!$F$2:$H$6,3,FALSE)),(VLOOKUP($V1109,CATALOGOS!$J$2:$K$18,2,FALSE)),""-"",TO_TEXT($A1109))"),"#N/A")</f>
        <v>#N/A</v>
      </c>
      <c r="I1109" s="128"/>
      <c r="J1109" s="128"/>
      <c r="K1109" s="129"/>
      <c r="L1109" s="129"/>
      <c r="M1109" s="129"/>
      <c r="N1109" s="129"/>
      <c r="O1109" s="129"/>
      <c r="P1109" s="129"/>
      <c r="Q1109" s="129"/>
      <c r="R1109" s="132"/>
      <c r="S1109" s="132"/>
      <c r="T1109" s="135"/>
      <c r="U1109" s="132"/>
      <c r="V1109" s="129"/>
      <c r="W1109" s="132"/>
      <c r="X1109" s="132"/>
      <c r="Y1109" s="132"/>
    </row>
    <row r="1110" spans="1:25" ht="15.75" customHeight="1">
      <c r="A1110" s="10" t="s">
        <v>9307</v>
      </c>
      <c r="B1110" s="12"/>
      <c r="C1110" s="12"/>
      <c r="D1110" s="125"/>
      <c r="E1110" s="126"/>
      <c r="F1110" s="128"/>
      <c r="G1110" s="14" t="str">
        <f ca="1">IFERROR(__xludf.DUMMYFUNCTION("CONCATENATE(B1110,(VLOOKUP(C1110,CATALOGOS!$F$2:$H$6,3,FALSE)),(VLOOKUP(V1110,CATALOGOS!$J$2:$K$18,2,FALSE)),""-"",TO_TEXT(A1110))"),"#N/A")</f>
        <v>#N/A</v>
      </c>
      <c r="H1110" s="6" t="str">
        <f ca="1">IFERROR(__xludf.DUMMYFUNCTION("CONCATENATE($B1110,(VLOOKUP($C1110,CATALOGOS!$F$2:$H$6,3,FALSE)),(VLOOKUP($V1110,CATALOGOS!$J$2:$K$18,2,FALSE)),""-"",TO_TEXT($A1110))"),"#N/A")</f>
        <v>#N/A</v>
      </c>
      <c r="I1110" s="128"/>
      <c r="J1110" s="128"/>
      <c r="K1110" s="129"/>
      <c r="L1110" s="129"/>
      <c r="M1110" s="129"/>
      <c r="N1110" s="129"/>
      <c r="O1110" s="129"/>
      <c r="P1110" s="129"/>
      <c r="Q1110" s="129"/>
      <c r="R1110" s="132"/>
      <c r="S1110" s="132"/>
      <c r="T1110" s="135"/>
      <c r="U1110" s="132"/>
      <c r="V1110" s="129"/>
      <c r="W1110" s="132"/>
      <c r="X1110" s="132"/>
      <c r="Y1110" s="132"/>
    </row>
    <row r="1111" spans="1:25" ht="15.75" customHeight="1">
      <c r="A1111" s="10" t="s">
        <v>9308</v>
      </c>
      <c r="B1111" s="12"/>
      <c r="C1111" s="12"/>
      <c r="D1111" s="125"/>
      <c r="E1111" s="126"/>
      <c r="F1111" s="128"/>
      <c r="G1111" s="14" t="str">
        <f ca="1">IFERROR(__xludf.DUMMYFUNCTION("CONCATENATE(B1111,(VLOOKUP(C1111,CATALOGOS!$F$2:$H$6,3,FALSE)),(VLOOKUP(V1111,CATALOGOS!$J$2:$K$18,2,FALSE)),""-"",TO_TEXT(A1111))"),"#N/A")</f>
        <v>#N/A</v>
      </c>
      <c r="H1111" s="6" t="str">
        <f ca="1">IFERROR(__xludf.DUMMYFUNCTION("CONCATENATE($B1111,(VLOOKUP($C1111,CATALOGOS!$F$2:$H$6,3,FALSE)),(VLOOKUP($V1111,CATALOGOS!$J$2:$K$18,2,FALSE)),""-"",TO_TEXT($A1111))"),"#N/A")</f>
        <v>#N/A</v>
      </c>
      <c r="I1111" s="128"/>
      <c r="J1111" s="128"/>
      <c r="K1111" s="129"/>
      <c r="L1111" s="129"/>
      <c r="M1111" s="129"/>
      <c r="N1111" s="129"/>
      <c r="O1111" s="129"/>
      <c r="P1111" s="129"/>
      <c r="Q1111" s="129"/>
      <c r="R1111" s="132"/>
      <c r="S1111" s="132"/>
      <c r="T1111" s="135"/>
      <c r="U1111" s="132"/>
      <c r="V1111" s="129"/>
      <c r="W1111" s="132"/>
      <c r="X1111" s="132"/>
      <c r="Y1111" s="132"/>
    </row>
    <row r="1112" spans="1:25" ht="15.75" customHeight="1">
      <c r="A1112" s="10" t="s">
        <v>9309</v>
      </c>
      <c r="B1112" s="12"/>
      <c r="C1112" s="12"/>
      <c r="D1112" s="125"/>
      <c r="E1112" s="126"/>
      <c r="F1112" s="128"/>
      <c r="G1112" s="14" t="str">
        <f ca="1">IFERROR(__xludf.DUMMYFUNCTION("CONCATENATE(B1112,(VLOOKUP(C1112,CATALOGOS!$F$2:$H$6,3,FALSE)),(VLOOKUP(V1112,CATALOGOS!$J$2:$K$18,2,FALSE)),""-"",TO_TEXT(A1112))"),"#N/A")</f>
        <v>#N/A</v>
      </c>
      <c r="H1112" s="6" t="str">
        <f ca="1">IFERROR(__xludf.DUMMYFUNCTION("CONCATENATE($B1112,(VLOOKUP($C1112,CATALOGOS!$F$2:$H$6,3,FALSE)),(VLOOKUP($V1112,CATALOGOS!$J$2:$K$18,2,FALSE)),""-"",TO_TEXT($A1112))"),"#N/A")</f>
        <v>#N/A</v>
      </c>
      <c r="I1112" s="128"/>
      <c r="J1112" s="128"/>
      <c r="K1112" s="129"/>
      <c r="L1112" s="129"/>
      <c r="M1112" s="129"/>
      <c r="N1112" s="129"/>
      <c r="O1112" s="129"/>
      <c r="P1112" s="129"/>
      <c r="Q1112" s="129"/>
      <c r="R1112" s="132"/>
      <c r="S1112" s="132"/>
      <c r="T1112" s="135"/>
      <c r="U1112" s="132"/>
      <c r="V1112" s="129"/>
      <c r="W1112" s="132"/>
      <c r="X1112" s="132"/>
      <c r="Y1112" s="132"/>
    </row>
    <row r="1113" spans="1:25" ht="15.75" customHeight="1">
      <c r="A1113" s="10" t="s">
        <v>9310</v>
      </c>
      <c r="B1113" s="12"/>
      <c r="C1113" s="12"/>
      <c r="D1113" s="125"/>
      <c r="E1113" s="126"/>
      <c r="F1113" s="128"/>
      <c r="G1113" s="14" t="str">
        <f ca="1">IFERROR(__xludf.DUMMYFUNCTION("CONCATENATE(B1113,(VLOOKUP(C1113,CATALOGOS!$F$2:$H$6,3,FALSE)),(VLOOKUP(V1113,CATALOGOS!$J$2:$K$18,2,FALSE)),""-"",TO_TEXT(A1113))"),"#N/A")</f>
        <v>#N/A</v>
      </c>
      <c r="H1113" s="6" t="str">
        <f ca="1">IFERROR(__xludf.DUMMYFUNCTION("CONCATENATE($B1113,(VLOOKUP($C1113,CATALOGOS!$F$2:$H$6,3,FALSE)),(VLOOKUP($V1113,CATALOGOS!$J$2:$K$18,2,FALSE)),""-"",TO_TEXT($A1113))"),"#N/A")</f>
        <v>#N/A</v>
      </c>
      <c r="I1113" s="128"/>
      <c r="J1113" s="128"/>
      <c r="K1113" s="129"/>
      <c r="L1113" s="129"/>
      <c r="M1113" s="129"/>
      <c r="N1113" s="129"/>
      <c r="O1113" s="129"/>
      <c r="P1113" s="129"/>
      <c r="Q1113" s="129"/>
      <c r="R1113" s="132"/>
      <c r="S1113" s="132"/>
      <c r="T1113" s="135"/>
      <c r="U1113" s="132"/>
      <c r="V1113" s="129"/>
      <c r="W1113" s="132"/>
      <c r="X1113" s="132"/>
      <c r="Y1113" s="132"/>
    </row>
    <row r="1114" spans="1:25" ht="15.75" customHeight="1">
      <c r="A1114" s="10" t="s">
        <v>9311</v>
      </c>
      <c r="B1114" s="12"/>
      <c r="C1114" s="12"/>
      <c r="D1114" s="125"/>
      <c r="E1114" s="126"/>
      <c r="F1114" s="128"/>
      <c r="G1114" s="14" t="str">
        <f ca="1">IFERROR(__xludf.DUMMYFUNCTION("CONCATENATE(B1114,(VLOOKUP(C1114,CATALOGOS!$F$2:$H$6,3,FALSE)),(VLOOKUP(V1114,CATALOGOS!$J$2:$K$18,2,FALSE)),""-"",TO_TEXT(A1114))"),"#N/A")</f>
        <v>#N/A</v>
      </c>
      <c r="H1114" s="6" t="str">
        <f ca="1">IFERROR(__xludf.DUMMYFUNCTION("CONCATENATE($B1114,(VLOOKUP($C1114,CATALOGOS!$F$2:$H$6,3,FALSE)),(VLOOKUP($V1114,CATALOGOS!$J$2:$K$18,2,FALSE)),""-"",TO_TEXT($A1114))"),"#N/A")</f>
        <v>#N/A</v>
      </c>
      <c r="I1114" s="128"/>
      <c r="J1114" s="128"/>
      <c r="K1114" s="129"/>
      <c r="L1114" s="129"/>
      <c r="M1114" s="129"/>
      <c r="N1114" s="129"/>
      <c r="O1114" s="129"/>
      <c r="P1114" s="129"/>
      <c r="Q1114" s="129"/>
      <c r="R1114" s="132"/>
      <c r="S1114" s="132"/>
      <c r="T1114" s="135"/>
      <c r="U1114" s="132"/>
      <c r="V1114" s="129"/>
      <c r="W1114" s="132"/>
      <c r="X1114" s="132"/>
      <c r="Y1114" s="132"/>
    </row>
    <row r="1115" spans="1:25" ht="15.75" customHeight="1">
      <c r="A1115" s="10" t="s">
        <v>9312</v>
      </c>
      <c r="B1115" s="12"/>
      <c r="C1115" s="12"/>
      <c r="D1115" s="125"/>
      <c r="E1115" s="126"/>
      <c r="F1115" s="128"/>
      <c r="G1115" s="14" t="str">
        <f ca="1">IFERROR(__xludf.DUMMYFUNCTION("CONCATENATE(B1115,(VLOOKUP(C1115,CATALOGOS!$F$2:$H$6,3,FALSE)),(VLOOKUP(V1115,CATALOGOS!$J$2:$K$18,2,FALSE)),""-"",TO_TEXT(A1115))"),"#N/A")</f>
        <v>#N/A</v>
      </c>
      <c r="H1115" s="6" t="str">
        <f ca="1">IFERROR(__xludf.DUMMYFUNCTION("CONCATENATE($B1115,(VLOOKUP($C1115,CATALOGOS!$F$2:$H$6,3,FALSE)),(VLOOKUP($V1115,CATALOGOS!$J$2:$K$18,2,FALSE)),""-"",TO_TEXT($A1115))"),"#N/A")</f>
        <v>#N/A</v>
      </c>
      <c r="I1115" s="128"/>
      <c r="J1115" s="128"/>
      <c r="K1115" s="129"/>
      <c r="L1115" s="129"/>
      <c r="M1115" s="129"/>
      <c r="N1115" s="129"/>
      <c r="O1115" s="129"/>
      <c r="P1115" s="129"/>
      <c r="Q1115" s="129"/>
      <c r="R1115" s="132"/>
      <c r="S1115" s="132"/>
      <c r="T1115" s="135"/>
      <c r="U1115" s="132"/>
      <c r="V1115" s="129"/>
      <c r="W1115" s="132"/>
      <c r="X1115" s="132"/>
      <c r="Y1115" s="132"/>
    </row>
    <row r="1116" spans="1:25" ht="15.75" customHeight="1">
      <c r="A1116" s="10" t="s">
        <v>9313</v>
      </c>
      <c r="B1116" s="12"/>
      <c r="C1116" s="12"/>
      <c r="D1116" s="125"/>
      <c r="E1116" s="126"/>
      <c r="F1116" s="128"/>
      <c r="G1116" s="14" t="str">
        <f ca="1">IFERROR(__xludf.DUMMYFUNCTION("CONCATENATE(B1116,(VLOOKUP(C1116,CATALOGOS!$F$2:$H$6,3,FALSE)),(VLOOKUP(V1116,CATALOGOS!$J$2:$K$18,2,FALSE)),""-"",TO_TEXT(A1116))"),"#N/A")</f>
        <v>#N/A</v>
      </c>
      <c r="H1116" s="6" t="str">
        <f ca="1">IFERROR(__xludf.DUMMYFUNCTION("CONCATENATE($B1116,(VLOOKUP($C1116,CATALOGOS!$F$2:$H$6,3,FALSE)),(VLOOKUP($V1116,CATALOGOS!$J$2:$K$18,2,FALSE)),""-"",TO_TEXT($A1116))"),"#N/A")</f>
        <v>#N/A</v>
      </c>
      <c r="I1116" s="128"/>
      <c r="J1116" s="128"/>
      <c r="K1116" s="129"/>
      <c r="L1116" s="129"/>
      <c r="M1116" s="129"/>
      <c r="N1116" s="129"/>
      <c r="O1116" s="129"/>
      <c r="P1116" s="129"/>
      <c r="Q1116" s="129"/>
      <c r="R1116" s="132"/>
      <c r="S1116" s="132"/>
      <c r="T1116" s="135"/>
      <c r="U1116" s="132"/>
      <c r="V1116" s="129"/>
      <c r="W1116" s="132"/>
      <c r="X1116" s="132"/>
      <c r="Y1116" s="132"/>
    </row>
    <row r="1117" spans="1:25" ht="15.75" customHeight="1">
      <c r="A1117" s="10" t="s">
        <v>9314</v>
      </c>
      <c r="B1117" s="12"/>
      <c r="C1117" s="12"/>
      <c r="D1117" s="125"/>
      <c r="E1117" s="126"/>
      <c r="F1117" s="128"/>
      <c r="G1117" s="14" t="str">
        <f ca="1">IFERROR(__xludf.DUMMYFUNCTION("CONCATENATE(B1117,(VLOOKUP(C1117,CATALOGOS!$F$2:$H$6,3,FALSE)),(VLOOKUP(V1117,CATALOGOS!$J$2:$K$18,2,FALSE)),""-"",TO_TEXT(A1117))"),"#N/A")</f>
        <v>#N/A</v>
      </c>
      <c r="H1117" s="6" t="str">
        <f ca="1">IFERROR(__xludf.DUMMYFUNCTION("CONCATENATE($B1117,(VLOOKUP($C1117,CATALOGOS!$F$2:$H$6,3,FALSE)),(VLOOKUP($V1117,CATALOGOS!$J$2:$K$18,2,FALSE)),""-"",TO_TEXT($A1117))"),"#N/A")</f>
        <v>#N/A</v>
      </c>
      <c r="I1117" s="128"/>
      <c r="J1117" s="128"/>
      <c r="K1117" s="129"/>
      <c r="L1117" s="129"/>
      <c r="M1117" s="129"/>
      <c r="N1117" s="129"/>
      <c r="O1117" s="129"/>
      <c r="P1117" s="129"/>
      <c r="Q1117" s="129"/>
      <c r="R1117" s="132"/>
      <c r="S1117" s="132"/>
      <c r="T1117" s="135"/>
      <c r="U1117" s="132"/>
      <c r="V1117" s="129"/>
      <c r="W1117" s="132"/>
      <c r="X1117" s="132"/>
      <c r="Y1117" s="132"/>
    </row>
    <row r="1118" spans="1:25" ht="15.75" customHeight="1">
      <c r="A1118" s="10" t="s">
        <v>9315</v>
      </c>
      <c r="B1118" s="12"/>
      <c r="C1118" s="12"/>
      <c r="D1118" s="125"/>
      <c r="E1118" s="126"/>
      <c r="F1118" s="128"/>
      <c r="G1118" s="14" t="str">
        <f ca="1">IFERROR(__xludf.DUMMYFUNCTION("CONCATENATE(B1118,(VLOOKUP(C1118,CATALOGOS!$F$2:$H$6,3,FALSE)),(VLOOKUP(V1118,CATALOGOS!$J$2:$K$18,2,FALSE)),""-"",TO_TEXT(A1118))"),"#N/A")</f>
        <v>#N/A</v>
      </c>
      <c r="H1118" s="6" t="str">
        <f ca="1">IFERROR(__xludf.DUMMYFUNCTION("CONCATENATE($B1118,(VLOOKUP($C1118,CATALOGOS!$F$2:$H$6,3,FALSE)),(VLOOKUP($V1118,CATALOGOS!$J$2:$K$18,2,FALSE)),""-"",TO_TEXT($A1118))"),"#N/A")</f>
        <v>#N/A</v>
      </c>
      <c r="I1118" s="128"/>
      <c r="J1118" s="128"/>
      <c r="K1118" s="129"/>
      <c r="L1118" s="129"/>
      <c r="M1118" s="129"/>
      <c r="N1118" s="129"/>
      <c r="O1118" s="129"/>
      <c r="P1118" s="129"/>
      <c r="Q1118" s="129"/>
      <c r="R1118" s="132"/>
      <c r="S1118" s="132"/>
      <c r="T1118" s="135"/>
      <c r="U1118" s="132"/>
      <c r="V1118" s="129"/>
      <c r="W1118" s="132"/>
      <c r="X1118" s="132"/>
      <c r="Y1118" s="132"/>
    </row>
    <row r="1119" spans="1:25" ht="15.75" customHeight="1">
      <c r="A1119" s="10" t="s">
        <v>9316</v>
      </c>
      <c r="B1119" s="12"/>
      <c r="C1119" s="12"/>
      <c r="D1119" s="125"/>
      <c r="E1119" s="126"/>
      <c r="F1119" s="128"/>
      <c r="G1119" s="14" t="str">
        <f ca="1">IFERROR(__xludf.DUMMYFUNCTION("CONCATENATE(B1119,(VLOOKUP(C1119,CATALOGOS!$F$2:$H$6,3,FALSE)),(VLOOKUP(V1119,CATALOGOS!$J$2:$K$18,2,FALSE)),""-"",TO_TEXT(A1119))"),"#N/A")</f>
        <v>#N/A</v>
      </c>
      <c r="H1119" s="6" t="str">
        <f ca="1">IFERROR(__xludf.DUMMYFUNCTION("CONCATENATE($B1119,(VLOOKUP($C1119,CATALOGOS!$F$2:$H$6,3,FALSE)),(VLOOKUP($V1119,CATALOGOS!$J$2:$K$18,2,FALSE)),""-"",TO_TEXT($A1119))"),"#N/A")</f>
        <v>#N/A</v>
      </c>
      <c r="I1119" s="128"/>
      <c r="J1119" s="128"/>
      <c r="K1119" s="129"/>
      <c r="L1119" s="129"/>
      <c r="M1119" s="129"/>
      <c r="N1119" s="129"/>
      <c r="O1119" s="129"/>
      <c r="P1119" s="129"/>
      <c r="Q1119" s="129"/>
      <c r="R1119" s="132"/>
      <c r="S1119" s="132"/>
      <c r="T1119" s="135"/>
      <c r="U1119" s="132"/>
      <c r="V1119" s="129"/>
      <c r="W1119" s="132"/>
      <c r="X1119" s="132"/>
      <c r="Y1119" s="132"/>
    </row>
    <row r="1120" spans="1:25" ht="15.75" customHeight="1">
      <c r="A1120" s="10" t="s">
        <v>9317</v>
      </c>
      <c r="B1120" s="12"/>
      <c r="C1120" s="12"/>
      <c r="D1120" s="125"/>
      <c r="E1120" s="126"/>
      <c r="F1120" s="128"/>
      <c r="G1120" s="14" t="str">
        <f ca="1">IFERROR(__xludf.DUMMYFUNCTION("CONCATENATE(B1120,(VLOOKUP(C1120,CATALOGOS!$F$2:$H$6,3,FALSE)),(VLOOKUP(V1120,CATALOGOS!$J$2:$K$18,2,FALSE)),""-"",TO_TEXT(A1120))"),"#N/A")</f>
        <v>#N/A</v>
      </c>
      <c r="H1120" s="6" t="str">
        <f ca="1">IFERROR(__xludf.DUMMYFUNCTION("CONCATENATE($B1120,(VLOOKUP($C1120,CATALOGOS!$F$2:$H$6,3,FALSE)),(VLOOKUP($V1120,CATALOGOS!$J$2:$K$18,2,FALSE)),""-"",TO_TEXT($A1120))"),"#N/A")</f>
        <v>#N/A</v>
      </c>
      <c r="I1120" s="128"/>
      <c r="J1120" s="128"/>
      <c r="K1120" s="129"/>
      <c r="L1120" s="129"/>
      <c r="M1120" s="129"/>
      <c r="N1120" s="129"/>
      <c r="O1120" s="129"/>
      <c r="P1120" s="129"/>
      <c r="Q1120" s="129"/>
      <c r="R1120" s="132"/>
      <c r="S1120" s="132"/>
      <c r="T1120" s="135"/>
      <c r="U1120" s="132"/>
      <c r="V1120" s="129"/>
      <c r="W1120" s="132"/>
      <c r="X1120" s="132"/>
      <c r="Y1120" s="132"/>
    </row>
    <row r="1121" spans="1:25" ht="15.75" customHeight="1">
      <c r="A1121" s="10" t="s">
        <v>9318</v>
      </c>
      <c r="B1121" s="12"/>
      <c r="C1121" s="12"/>
      <c r="D1121" s="125"/>
      <c r="E1121" s="126"/>
      <c r="F1121" s="128"/>
      <c r="G1121" s="14" t="str">
        <f ca="1">IFERROR(__xludf.DUMMYFUNCTION("CONCATENATE(B1121,(VLOOKUP(C1121,CATALOGOS!$F$2:$H$6,3,FALSE)),(VLOOKUP(V1121,CATALOGOS!$J$2:$K$18,2,FALSE)),""-"",TO_TEXT(A1121))"),"#N/A")</f>
        <v>#N/A</v>
      </c>
      <c r="H1121" s="6" t="str">
        <f ca="1">IFERROR(__xludf.DUMMYFUNCTION("CONCATENATE($B1121,(VLOOKUP($C1121,CATALOGOS!$F$2:$H$6,3,FALSE)),(VLOOKUP($V1121,CATALOGOS!$J$2:$K$18,2,FALSE)),""-"",TO_TEXT($A1121))"),"#N/A")</f>
        <v>#N/A</v>
      </c>
      <c r="I1121" s="128"/>
      <c r="J1121" s="128"/>
      <c r="K1121" s="129"/>
      <c r="L1121" s="129"/>
      <c r="M1121" s="129"/>
      <c r="N1121" s="129"/>
      <c r="O1121" s="129"/>
      <c r="P1121" s="129"/>
      <c r="Q1121" s="129"/>
      <c r="R1121" s="132"/>
      <c r="S1121" s="132"/>
      <c r="T1121" s="135"/>
      <c r="U1121" s="132"/>
      <c r="V1121" s="129"/>
      <c r="W1121" s="132"/>
      <c r="X1121" s="132"/>
      <c r="Y1121" s="132"/>
    </row>
    <row r="1122" spans="1:25" ht="15.75" customHeight="1">
      <c r="A1122" s="10" t="s">
        <v>9319</v>
      </c>
      <c r="B1122" s="12"/>
      <c r="C1122" s="12"/>
      <c r="D1122" s="125"/>
      <c r="E1122" s="126"/>
      <c r="F1122" s="128"/>
      <c r="G1122" s="14" t="str">
        <f ca="1">IFERROR(__xludf.DUMMYFUNCTION("CONCATENATE(B1122,(VLOOKUP(C1122,CATALOGOS!$F$2:$H$6,3,FALSE)),(VLOOKUP(V1122,CATALOGOS!$J$2:$K$18,2,FALSE)),""-"",TO_TEXT(A1122))"),"#N/A")</f>
        <v>#N/A</v>
      </c>
      <c r="H1122" s="6" t="str">
        <f ca="1">IFERROR(__xludf.DUMMYFUNCTION("CONCATENATE($B1122,(VLOOKUP($C1122,CATALOGOS!$F$2:$H$6,3,FALSE)),(VLOOKUP($V1122,CATALOGOS!$J$2:$K$18,2,FALSE)),""-"",TO_TEXT($A1122))"),"#N/A")</f>
        <v>#N/A</v>
      </c>
      <c r="I1122" s="128"/>
      <c r="J1122" s="128"/>
      <c r="K1122" s="129"/>
      <c r="L1122" s="129"/>
      <c r="M1122" s="129"/>
      <c r="N1122" s="129"/>
      <c r="O1122" s="129"/>
      <c r="P1122" s="129"/>
      <c r="Q1122" s="129"/>
      <c r="R1122" s="132"/>
      <c r="S1122" s="132"/>
      <c r="T1122" s="135"/>
      <c r="U1122" s="132"/>
      <c r="V1122" s="129"/>
      <c r="W1122" s="132"/>
      <c r="X1122" s="132"/>
      <c r="Y1122" s="132"/>
    </row>
    <row r="1123" spans="1:25" ht="15.75" customHeight="1">
      <c r="A1123" s="10" t="s">
        <v>9320</v>
      </c>
      <c r="B1123" s="12"/>
      <c r="C1123" s="12"/>
      <c r="D1123" s="125"/>
      <c r="E1123" s="126"/>
      <c r="F1123" s="128"/>
      <c r="G1123" s="14" t="str">
        <f ca="1">IFERROR(__xludf.DUMMYFUNCTION("CONCATENATE(B1123,(VLOOKUP(C1123,CATALOGOS!$F$2:$H$6,3,FALSE)),(VLOOKUP(V1123,CATALOGOS!$J$2:$K$18,2,FALSE)),""-"",TO_TEXT(A1123))"),"#N/A")</f>
        <v>#N/A</v>
      </c>
      <c r="H1123" s="6" t="str">
        <f ca="1">IFERROR(__xludf.DUMMYFUNCTION("CONCATENATE($B1123,(VLOOKUP($C1123,CATALOGOS!$F$2:$H$6,3,FALSE)),(VLOOKUP($V1123,CATALOGOS!$J$2:$K$18,2,FALSE)),""-"",TO_TEXT($A1123))"),"#N/A")</f>
        <v>#N/A</v>
      </c>
      <c r="I1123" s="128"/>
      <c r="J1123" s="128"/>
      <c r="K1123" s="129"/>
      <c r="L1123" s="129"/>
      <c r="M1123" s="129"/>
      <c r="N1123" s="129"/>
      <c r="O1123" s="129"/>
      <c r="P1123" s="129"/>
      <c r="Q1123" s="129"/>
      <c r="R1123" s="132"/>
      <c r="S1123" s="132"/>
      <c r="T1123" s="135"/>
      <c r="U1123" s="132"/>
      <c r="V1123" s="129"/>
      <c r="W1123" s="132"/>
      <c r="X1123" s="132"/>
      <c r="Y1123" s="132"/>
    </row>
    <row r="1124" spans="1:25" ht="15.75" customHeight="1">
      <c r="A1124" s="10" t="s">
        <v>9321</v>
      </c>
      <c r="B1124" s="12"/>
      <c r="C1124" s="12"/>
      <c r="D1124" s="125"/>
      <c r="E1124" s="126"/>
      <c r="F1124" s="128"/>
      <c r="G1124" s="14" t="str">
        <f ca="1">IFERROR(__xludf.DUMMYFUNCTION("CONCATENATE(B1124,(VLOOKUP(C1124,CATALOGOS!$F$2:$H$6,3,FALSE)),(VLOOKUP(V1124,CATALOGOS!$J$2:$K$18,2,FALSE)),""-"",TO_TEXT(A1124))"),"#N/A")</f>
        <v>#N/A</v>
      </c>
      <c r="H1124" s="6" t="str">
        <f ca="1">IFERROR(__xludf.DUMMYFUNCTION("CONCATENATE($B1124,(VLOOKUP($C1124,CATALOGOS!$F$2:$H$6,3,FALSE)),(VLOOKUP($V1124,CATALOGOS!$J$2:$K$18,2,FALSE)),""-"",TO_TEXT($A1124))"),"#N/A")</f>
        <v>#N/A</v>
      </c>
      <c r="I1124" s="128"/>
      <c r="J1124" s="128"/>
      <c r="K1124" s="129"/>
      <c r="L1124" s="129"/>
      <c r="M1124" s="129"/>
      <c r="N1124" s="129"/>
      <c r="O1124" s="129"/>
      <c r="P1124" s="129"/>
      <c r="Q1124" s="129"/>
      <c r="R1124" s="132"/>
      <c r="S1124" s="132"/>
      <c r="T1124" s="135"/>
      <c r="U1124" s="132"/>
      <c r="V1124" s="129"/>
      <c r="W1124" s="132"/>
      <c r="X1124" s="132"/>
      <c r="Y1124" s="132"/>
    </row>
    <row r="1125" spans="1:25" ht="15.75" customHeight="1">
      <c r="A1125" s="125"/>
      <c r="B1125" s="125"/>
      <c r="C1125" s="125"/>
      <c r="D1125" s="125"/>
      <c r="E1125" s="126"/>
      <c r="F1125" s="128"/>
      <c r="G1125" s="128"/>
      <c r="H1125" s="128"/>
      <c r="I1125" s="128"/>
      <c r="J1125" s="128"/>
      <c r="K1125" s="129"/>
      <c r="L1125" s="129"/>
      <c r="M1125" s="129"/>
      <c r="N1125" s="129"/>
      <c r="O1125" s="129"/>
      <c r="P1125" s="129"/>
      <c r="Q1125" s="129"/>
      <c r="R1125" s="132"/>
      <c r="S1125" s="132"/>
      <c r="T1125" s="135"/>
      <c r="U1125" s="132"/>
      <c r="V1125" s="129"/>
      <c r="W1125" s="132"/>
      <c r="X1125" s="132"/>
      <c r="Y1125" s="132"/>
    </row>
    <row r="1126" spans="1:25" ht="15.75" customHeight="1">
      <c r="A1126" s="125"/>
      <c r="B1126" s="125"/>
      <c r="C1126" s="125"/>
      <c r="D1126" s="125"/>
      <c r="E1126" s="126"/>
      <c r="F1126" s="128"/>
      <c r="G1126" s="128"/>
      <c r="H1126" s="128"/>
      <c r="I1126" s="128"/>
      <c r="J1126" s="128"/>
      <c r="K1126" s="129"/>
      <c r="L1126" s="129"/>
      <c r="M1126" s="129"/>
      <c r="N1126" s="129"/>
      <c r="O1126" s="129"/>
      <c r="P1126" s="129"/>
      <c r="Q1126" s="129"/>
      <c r="R1126" s="132"/>
      <c r="S1126" s="132"/>
      <c r="T1126" s="135"/>
      <c r="U1126" s="132"/>
      <c r="V1126" s="129"/>
      <c r="W1126" s="132"/>
      <c r="X1126" s="132"/>
      <c r="Y1126" s="132"/>
    </row>
    <row r="1127" spans="1:25" ht="15.75" customHeight="1">
      <c r="A1127" s="125"/>
      <c r="B1127" s="125"/>
      <c r="C1127" s="125"/>
      <c r="D1127" s="125"/>
      <c r="E1127" s="126"/>
      <c r="F1127" s="128"/>
      <c r="G1127" s="128"/>
      <c r="H1127" s="128"/>
      <c r="I1127" s="128"/>
      <c r="J1127" s="128"/>
      <c r="K1127" s="129"/>
      <c r="L1127" s="129"/>
      <c r="M1127" s="129"/>
      <c r="N1127" s="129"/>
      <c r="O1127" s="129"/>
      <c r="P1127" s="129"/>
      <c r="Q1127" s="129"/>
      <c r="R1127" s="132"/>
      <c r="S1127" s="132"/>
      <c r="T1127" s="135"/>
      <c r="U1127" s="132"/>
      <c r="V1127" s="129"/>
      <c r="W1127" s="132"/>
      <c r="X1127" s="132"/>
      <c r="Y1127" s="132"/>
    </row>
    <row r="1128" spans="1:25" ht="15.75" customHeight="1">
      <c r="A1128" s="125"/>
      <c r="B1128" s="125"/>
      <c r="C1128" s="125"/>
      <c r="D1128" s="125"/>
      <c r="E1128" s="126"/>
      <c r="F1128" s="128"/>
      <c r="G1128" s="128"/>
      <c r="H1128" s="128"/>
      <c r="I1128" s="128"/>
      <c r="J1128" s="128"/>
      <c r="K1128" s="129"/>
      <c r="L1128" s="129"/>
      <c r="M1128" s="129"/>
      <c r="N1128" s="129"/>
      <c r="O1128" s="129"/>
      <c r="P1128" s="129"/>
      <c r="Q1128" s="129"/>
      <c r="R1128" s="132"/>
      <c r="S1128" s="132"/>
      <c r="T1128" s="135"/>
      <c r="U1128" s="132"/>
      <c r="V1128" s="129"/>
      <c r="W1128" s="132"/>
      <c r="X1128" s="132"/>
      <c r="Y1128" s="132"/>
    </row>
    <row r="1129" spans="1:25" ht="15.75" customHeight="1">
      <c r="A1129" s="125"/>
      <c r="B1129" s="125"/>
      <c r="C1129" s="125"/>
      <c r="D1129" s="125"/>
      <c r="E1129" s="126"/>
      <c r="F1129" s="128"/>
      <c r="G1129" s="128"/>
      <c r="H1129" s="128"/>
      <c r="I1129" s="128"/>
      <c r="J1129" s="128"/>
      <c r="K1129" s="129"/>
      <c r="L1129" s="129"/>
      <c r="M1129" s="129"/>
      <c r="N1129" s="129"/>
      <c r="O1129" s="129"/>
      <c r="P1129" s="129"/>
      <c r="Q1129" s="129"/>
      <c r="R1129" s="132"/>
      <c r="S1129" s="132"/>
      <c r="T1129" s="135"/>
      <c r="U1129" s="132"/>
      <c r="V1129" s="129"/>
      <c r="W1129" s="132"/>
      <c r="X1129" s="132"/>
      <c r="Y1129" s="132"/>
    </row>
    <row r="1130" spans="1:25" ht="15.75" customHeight="1">
      <c r="A1130" s="125"/>
      <c r="B1130" s="125"/>
      <c r="C1130" s="125"/>
      <c r="D1130" s="125"/>
      <c r="E1130" s="126"/>
      <c r="F1130" s="128"/>
      <c r="G1130" s="128"/>
      <c r="H1130" s="128"/>
      <c r="I1130" s="128"/>
      <c r="J1130" s="128"/>
      <c r="K1130" s="129"/>
      <c r="L1130" s="129"/>
      <c r="M1130" s="129"/>
      <c r="N1130" s="129"/>
      <c r="O1130" s="129"/>
      <c r="P1130" s="129"/>
      <c r="Q1130" s="129"/>
      <c r="R1130" s="132"/>
      <c r="S1130" s="132"/>
      <c r="T1130" s="135"/>
      <c r="U1130" s="132"/>
      <c r="V1130" s="129"/>
      <c r="W1130" s="132"/>
      <c r="X1130" s="132"/>
      <c r="Y1130" s="132"/>
    </row>
    <row r="1131" spans="1:25" ht="15.75" customHeight="1">
      <c r="A1131" s="125"/>
      <c r="B1131" s="125"/>
      <c r="C1131" s="125"/>
      <c r="D1131" s="125"/>
      <c r="E1131" s="126"/>
      <c r="F1131" s="128"/>
      <c r="G1131" s="128"/>
      <c r="H1131" s="128"/>
      <c r="I1131" s="128"/>
      <c r="J1131" s="128"/>
      <c r="K1131" s="129"/>
      <c r="L1131" s="129"/>
      <c r="M1131" s="129"/>
      <c r="N1131" s="129"/>
      <c r="O1131" s="129"/>
      <c r="P1131" s="129"/>
      <c r="Q1131" s="129"/>
      <c r="R1131" s="132"/>
      <c r="S1131" s="132"/>
      <c r="T1131" s="135"/>
      <c r="U1131" s="132"/>
      <c r="V1131" s="129"/>
      <c r="W1131" s="132"/>
      <c r="X1131" s="132"/>
      <c r="Y1131" s="132"/>
    </row>
    <row r="1132" spans="1:25" ht="15.75" customHeight="1">
      <c r="A1132" s="125"/>
      <c r="B1132" s="125"/>
      <c r="C1132" s="125"/>
      <c r="D1132" s="125"/>
      <c r="E1132" s="126"/>
      <c r="F1132" s="128"/>
      <c r="G1132" s="128"/>
      <c r="H1132" s="128"/>
      <c r="I1132" s="128"/>
      <c r="J1132" s="128"/>
      <c r="K1132" s="129"/>
      <c r="L1132" s="129"/>
      <c r="M1132" s="129"/>
      <c r="N1132" s="129"/>
      <c r="O1132" s="129"/>
      <c r="P1132" s="129"/>
      <c r="Q1132" s="129"/>
      <c r="R1132" s="132"/>
      <c r="S1132" s="132"/>
      <c r="T1132" s="135"/>
      <c r="U1132" s="132"/>
      <c r="V1132" s="129"/>
      <c r="W1132" s="132"/>
      <c r="X1132" s="132"/>
      <c r="Y1132" s="132"/>
    </row>
    <row r="1133" spans="1:25" ht="15.75" customHeight="1">
      <c r="A1133" s="125"/>
      <c r="B1133" s="125"/>
      <c r="C1133" s="125"/>
      <c r="D1133" s="125"/>
      <c r="E1133" s="126"/>
      <c r="F1133" s="128"/>
      <c r="G1133" s="128"/>
      <c r="H1133" s="128"/>
      <c r="I1133" s="128"/>
      <c r="J1133" s="128"/>
      <c r="K1133" s="129"/>
      <c r="L1133" s="129"/>
      <c r="M1133" s="129"/>
      <c r="N1133" s="129"/>
      <c r="O1133" s="129"/>
      <c r="P1133" s="129"/>
      <c r="Q1133" s="129"/>
      <c r="R1133" s="132"/>
      <c r="S1133" s="132"/>
      <c r="T1133" s="135"/>
      <c r="U1133" s="132"/>
      <c r="V1133" s="129"/>
      <c r="W1133" s="132"/>
      <c r="X1133" s="132"/>
      <c r="Y1133" s="132"/>
    </row>
    <row r="1134" spans="1:25" ht="15.75" customHeight="1">
      <c r="A1134" s="125"/>
      <c r="B1134" s="125"/>
      <c r="C1134" s="125"/>
      <c r="D1134" s="125"/>
      <c r="E1134" s="126"/>
      <c r="F1134" s="128"/>
      <c r="G1134" s="128"/>
      <c r="H1134" s="128"/>
      <c r="I1134" s="128"/>
      <c r="J1134" s="128"/>
      <c r="K1134" s="129"/>
      <c r="L1134" s="129"/>
      <c r="M1134" s="129"/>
      <c r="N1134" s="129"/>
      <c r="O1134" s="129"/>
      <c r="P1134" s="129"/>
      <c r="Q1134" s="129"/>
      <c r="R1134" s="132"/>
      <c r="S1134" s="132"/>
      <c r="T1134" s="135"/>
      <c r="U1134" s="132"/>
      <c r="V1134" s="129"/>
      <c r="W1134" s="132"/>
      <c r="X1134" s="132"/>
      <c r="Y1134" s="132"/>
    </row>
    <row r="1135" spans="1:25" ht="15.75" customHeight="1">
      <c r="A1135" s="125"/>
      <c r="B1135" s="125"/>
      <c r="C1135" s="125"/>
      <c r="D1135" s="125"/>
      <c r="E1135" s="126"/>
      <c r="F1135" s="128"/>
      <c r="G1135" s="128"/>
      <c r="H1135" s="128"/>
      <c r="I1135" s="128"/>
      <c r="J1135" s="128"/>
      <c r="K1135" s="129"/>
      <c r="L1135" s="129"/>
      <c r="M1135" s="129"/>
      <c r="N1135" s="129"/>
      <c r="O1135" s="129"/>
      <c r="P1135" s="129"/>
      <c r="Q1135" s="129"/>
      <c r="R1135" s="132"/>
      <c r="S1135" s="132"/>
      <c r="T1135" s="135"/>
      <c r="U1135" s="132"/>
      <c r="V1135" s="129"/>
      <c r="W1135" s="132"/>
      <c r="X1135" s="132"/>
      <c r="Y1135" s="132"/>
    </row>
    <row r="1136" spans="1:25" ht="15.75" customHeight="1">
      <c r="A1136" s="125"/>
      <c r="B1136" s="125"/>
      <c r="C1136" s="125"/>
      <c r="D1136" s="125"/>
      <c r="E1136" s="126"/>
      <c r="F1136" s="128"/>
      <c r="G1136" s="128"/>
      <c r="H1136" s="128"/>
      <c r="I1136" s="128"/>
      <c r="J1136" s="128"/>
      <c r="K1136" s="129"/>
      <c r="L1136" s="129"/>
      <c r="M1136" s="129"/>
      <c r="N1136" s="129"/>
      <c r="O1136" s="129"/>
      <c r="P1136" s="129"/>
      <c r="Q1136" s="129"/>
      <c r="R1136" s="132"/>
      <c r="S1136" s="132"/>
      <c r="T1136" s="135"/>
      <c r="U1136" s="132"/>
      <c r="V1136" s="129"/>
      <c r="W1136" s="132"/>
      <c r="X1136" s="132"/>
      <c r="Y1136" s="132"/>
    </row>
    <row r="1137" spans="1:25" ht="15.75" customHeight="1">
      <c r="A1137" s="125"/>
      <c r="B1137" s="125"/>
      <c r="C1137" s="125"/>
      <c r="D1137" s="125"/>
      <c r="E1137" s="126"/>
      <c r="F1137" s="128"/>
      <c r="G1137" s="128"/>
      <c r="H1137" s="128"/>
      <c r="I1137" s="128"/>
      <c r="J1137" s="128"/>
      <c r="K1137" s="129"/>
      <c r="L1137" s="129"/>
      <c r="M1137" s="129"/>
      <c r="N1137" s="129"/>
      <c r="O1137" s="129"/>
      <c r="P1137" s="129"/>
      <c r="Q1137" s="129"/>
      <c r="R1137" s="132"/>
      <c r="S1137" s="132"/>
      <c r="T1137" s="135"/>
      <c r="U1137" s="132"/>
      <c r="V1137" s="129"/>
      <c r="W1137" s="132"/>
      <c r="X1137" s="132"/>
      <c r="Y1137" s="132"/>
    </row>
    <row r="1138" spans="1:25" ht="15.75" customHeight="1">
      <c r="A1138" s="125"/>
      <c r="B1138" s="125"/>
      <c r="C1138" s="125"/>
      <c r="D1138" s="125"/>
      <c r="E1138" s="126"/>
      <c r="F1138" s="128"/>
      <c r="G1138" s="128"/>
      <c r="H1138" s="128"/>
      <c r="I1138" s="128"/>
      <c r="J1138" s="128"/>
      <c r="K1138" s="129"/>
      <c r="L1138" s="129"/>
      <c r="M1138" s="129"/>
      <c r="N1138" s="129"/>
      <c r="O1138" s="129"/>
      <c r="P1138" s="129"/>
      <c r="Q1138" s="129"/>
      <c r="R1138" s="132"/>
      <c r="S1138" s="132"/>
      <c r="T1138" s="135"/>
      <c r="U1138" s="132"/>
      <c r="V1138" s="129"/>
      <c r="W1138" s="132"/>
      <c r="X1138" s="132"/>
      <c r="Y1138" s="132"/>
    </row>
    <row r="1139" spans="1:25" ht="15.75" customHeight="1">
      <c r="A1139" s="125"/>
      <c r="B1139" s="125"/>
      <c r="C1139" s="125"/>
      <c r="D1139" s="125"/>
      <c r="E1139" s="126"/>
      <c r="F1139" s="128"/>
      <c r="G1139" s="128"/>
      <c r="H1139" s="128"/>
      <c r="I1139" s="128"/>
      <c r="J1139" s="128"/>
      <c r="K1139" s="129"/>
      <c r="L1139" s="129"/>
      <c r="M1139" s="129"/>
      <c r="N1139" s="129"/>
      <c r="O1139" s="129"/>
      <c r="P1139" s="129"/>
      <c r="Q1139" s="129"/>
      <c r="R1139" s="132"/>
      <c r="S1139" s="132"/>
      <c r="T1139" s="135"/>
      <c r="U1139" s="132"/>
      <c r="V1139" s="129"/>
      <c r="W1139" s="132"/>
      <c r="X1139" s="132"/>
      <c r="Y1139" s="132"/>
    </row>
    <row r="1140" spans="1:25" ht="15.75" customHeight="1">
      <c r="A1140" s="125"/>
      <c r="B1140" s="125"/>
      <c r="C1140" s="125"/>
      <c r="D1140" s="125"/>
      <c r="E1140" s="126"/>
      <c r="F1140" s="128"/>
      <c r="G1140" s="128"/>
      <c r="H1140" s="128"/>
      <c r="I1140" s="128"/>
      <c r="J1140" s="128"/>
      <c r="K1140" s="129"/>
      <c r="L1140" s="129"/>
      <c r="M1140" s="129"/>
      <c r="N1140" s="129"/>
      <c r="O1140" s="129"/>
      <c r="P1140" s="129"/>
      <c r="Q1140" s="129"/>
      <c r="R1140" s="132"/>
      <c r="S1140" s="132"/>
      <c r="T1140" s="135"/>
      <c r="U1140" s="132"/>
      <c r="V1140" s="129"/>
      <c r="W1140" s="132"/>
      <c r="X1140" s="132"/>
      <c r="Y1140" s="132"/>
    </row>
    <row r="1141" spans="1:25" ht="15.75" customHeight="1">
      <c r="A1141" s="125"/>
      <c r="B1141" s="125"/>
      <c r="C1141" s="125"/>
      <c r="D1141" s="125"/>
      <c r="E1141" s="126"/>
      <c r="F1141" s="128"/>
      <c r="G1141" s="128"/>
      <c r="H1141" s="128"/>
      <c r="I1141" s="128"/>
      <c r="J1141" s="128"/>
      <c r="K1141" s="129"/>
      <c r="L1141" s="129"/>
      <c r="M1141" s="129"/>
      <c r="N1141" s="129"/>
      <c r="O1141" s="129"/>
      <c r="P1141" s="129"/>
      <c r="Q1141" s="129"/>
      <c r="R1141" s="132"/>
      <c r="S1141" s="132"/>
      <c r="T1141" s="135"/>
      <c r="U1141" s="132"/>
      <c r="V1141" s="129"/>
      <c r="W1141" s="132"/>
      <c r="X1141" s="132"/>
      <c r="Y1141" s="132"/>
    </row>
    <row r="1142" spans="1:25" ht="15.75" customHeight="1">
      <c r="A1142" s="125"/>
      <c r="B1142" s="125"/>
      <c r="C1142" s="125"/>
      <c r="D1142" s="125"/>
      <c r="E1142" s="126"/>
      <c r="F1142" s="128"/>
      <c r="G1142" s="128"/>
      <c r="H1142" s="128"/>
      <c r="I1142" s="128"/>
      <c r="J1142" s="128"/>
      <c r="K1142" s="129"/>
      <c r="L1142" s="129"/>
      <c r="M1142" s="129"/>
      <c r="N1142" s="129"/>
      <c r="O1142" s="129"/>
      <c r="P1142" s="129"/>
      <c r="Q1142" s="129"/>
      <c r="R1142" s="132"/>
      <c r="S1142" s="132"/>
      <c r="T1142" s="135"/>
      <c r="U1142" s="132"/>
      <c r="V1142" s="129"/>
      <c r="W1142" s="132"/>
      <c r="X1142" s="132"/>
      <c r="Y1142" s="132"/>
    </row>
    <row r="1143" spans="1:25" ht="15.75" customHeight="1">
      <c r="A1143" s="125"/>
      <c r="B1143" s="125"/>
      <c r="C1143" s="125"/>
      <c r="D1143" s="125"/>
      <c r="E1143" s="126"/>
      <c r="F1143" s="128"/>
      <c r="G1143" s="128"/>
      <c r="H1143" s="128"/>
      <c r="I1143" s="128"/>
      <c r="J1143" s="128"/>
      <c r="K1143" s="129"/>
      <c r="L1143" s="129"/>
      <c r="M1143" s="129"/>
      <c r="N1143" s="129"/>
      <c r="O1143" s="129"/>
      <c r="P1143" s="129"/>
      <c r="Q1143" s="129"/>
      <c r="R1143" s="132"/>
      <c r="S1143" s="132"/>
      <c r="T1143" s="135"/>
      <c r="U1143" s="132"/>
      <c r="V1143" s="129"/>
      <c r="W1143" s="132"/>
      <c r="X1143" s="132"/>
      <c r="Y1143" s="132"/>
    </row>
    <row r="1144" spans="1:25" ht="15.75" customHeight="1">
      <c r="A1144" s="125"/>
      <c r="B1144" s="125"/>
      <c r="C1144" s="125"/>
      <c r="D1144" s="125"/>
      <c r="E1144" s="126"/>
      <c r="F1144" s="128"/>
      <c r="G1144" s="128"/>
      <c r="H1144" s="128"/>
      <c r="I1144" s="128"/>
      <c r="J1144" s="128"/>
      <c r="K1144" s="129"/>
      <c r="L1144" s="129"/>
      <c r="M1144" s="129"/>
      <c r="N1144" s="129"/>
      <c r="O1144" s="129"/>
      <c r="P1144" s="129"/>
      <c r="Q1144" s="129"/>
      <c r="R1144" s="132"/>
      <c r="S1144" s="132"/>
      <c r="T1144" s="135"/>
      <c r="U1144" s="132"/>
      <c r="V1144" s="129"/>
      <c r="W1144" s="132"/>
      <c r="X1144" s="132"/>
      <c r="Y1144" s="132"/>
    </row>
    <row r="1145" spans="1:25" ht="15.75" customHeight="1">
      <c r="A1145" s="125"/>
      <c r="B1145" s="125"/>
      <c r="C1145" s="125"/>
      <c r="D1145" s="125"/>
      <c r="E1145" s="126"/>
      <c r="F1145" s="128"/>
      <c r="G1145" s="128"/>
      <c r="H1145" s="128"/>
      <c r="I1145" s="128"/>
      <c r="J1145" s="128"/>
      <c r="K1145" s="129"/>
      <c r="L1145" s="129"/>
      <c r="M1145" s="129"/>
      <c r="N1145" s="129"/>
      <c r="O1145" s="129"/>
      <c r="P1145" s="129"/>
      <c r="Q1145" s="129"/>
      <c r="R1145" s="132"/>
      <c r="S1145" s="132"/>
      <c r="T1145" s="135"/>
      <c r="U1145" s="132"/>
      <c r="V1145" s="129"/>
      <c r="W1145" s="132"/>
      <c r="X1145" s="132"/>
      <c r="Y1145" s="132"/>
    </row>
    <row r="1146" spans="1:25" ht="15.75" customHeight="1">
      <c r="A1146" s="125"/>
      <c r="B1146" s="125"/>
      <c r="C1146" s="125"/>
      <c r="D1146" s="125"/>
      <c r="E1146" s="126"/>
      <c r="F1146" s="128"/>
      <c r="G1146" s="128"/>
      <c r="H1146" s="128"/>
      <c r="I1146" s="128"/>
      <c r="J1146" s="128"/>
      <c r="K1146" s="129"/>
      <c r="L1146" s="129"/>
      <c r="M1146" s="129"/>
      <c r="N1146" s="129"/>
      <c r="O1146" s="129"/>
      <c r="P1146" s="129"/>
      <c r="Q1146" s="129"/>
      <c r="R1146" s="132"/>
      <c r="S1146" s="132"/>
      <c r="T1146" s="135"/>
      <c r="U1146" s="132"/>
      <c r="V1146" s="129"/>
      <c r="W1146" s="132"/>
      <c r="X1146" s="132"/>
      <c r="Y1146" s="132"/>
    </row>
    <row r="1147" spans="1:25" ht="15.75" customHeight="1">
      <c r="A1147" s="125"/>
      <c r="B1147" s="125"/>
      <c r="C1147" s="125"/>
      <c r="D1147" s="125"/>
      <c r="E1147" s="126"/>
      <c r="F1147" s="128"/>
      <c r="G1147" s="128"/>
      <c r="H1147" s="128"/>
      <c r="I1147" s="128"/>
      <c r="J1147" s="128"/>
      <c r="K1147" s="129"/>
      <c r="L1147" s="129"/>
      <c r="M1147" s="129"/>
      <c r="N1147" s="129"/>
      <c r="O1147" s="129"/>
      <c r="P1147" s="129"/>
      <c r="Q1147" s="129"/>
      <c r="R1147" s="132"/>
      <c r="S1147" s="132"/>
      <c r="T1147" s="135"/>
      <c r="U1147" s="132"/>
      <c r="V1147" s="129"/>
      <c r="W1147" s="132"/>
      <c r="X1147" s="132"/>
      <c r="Y1147" s="132"/>
    </row>
    <row r="1148" spans="1:25" ht="15.75" customHeight="1">
      <c r="A1148" s="125"/>
      <c r="B1148" s="125"/>
      <c r="C1148" s="125"/>
      <c r="D1148" s="125"/>
      <c r="E1148" s="126"/>
      <c r="F1148" s="128"/>
      <c r="G1148" s="128"/>
      <c r="H1148" s="128"/>
      <c r="I1148" s="128"/>
      <c r="J1148" s="128"/>
      <c r="K1148" s="129"/>
      <c r="L1148" s="129"/>
      <c r="M1148" s="129"/>
      <c r="N1148" s="129"/>
      <c r="O1148" s="129"/>
      <c r="P1148" s="129"/>
      <c r="Q1148" s="129"/>
      <c r="R1148" s="132"/>
      <c r="S1148" s="132"/>
      <c r="T1148" s="135"/>
      <c r="U1148" s="132"/>
      <c r="V1148" s="129"/>
      <c r="W1148" s="132"/>
      <c r="X1148" s="132"/>
      <c r="Y1148" s="132"/>
    </row>
    <row r="1149" spans="1:25" ht="15.75" customHeight="1">
      <c r="A1149" s="125"/>
      <c r="B1149" s="125"/>
      <c r="C1149" s="125"/>
      <c r="D1149" s="125"/>
      <c r="E1149" s="126"/>
      <c r="F1149" s="128"/>
      <c r="G1149" s="128"/>
      <c r="H1149" s="128"/>
      <c r="I1149" s="128"/>
      <c r="J1149" s="128"/>
      <c r="K1149" s="129"/>
      <c r="L1149" s="129"/>
      <c r="M1149" s="129"/>
      <c r="N1149" s="129"/>
      <c r="O1149" s="129"/>
      <c r="P1149" s="129"/>
      <c r="Q1149" s="129"/>
      <c r="R1149" s="132"/>
      <c r="S1149" s="132"/>
      <c r="T1149" s="135"/>
      <c r="U1149" s="132"/>
      <c r="V1149" s="129"/>
      <c r="W1149" s="132"/>
      <c r="X1149" s="132"/>
      <c r="Y1149" s="132"/>
    </row>
    <row r="1150" spans="1:25" ht="15.75" customHeight="1">
      <c r="A1150" s="125"/>
      <c r="B1150" s="125"/>
      <c r="C1150" s="125"/>
      <c r="D1150" s="125"/>
      <c r="E1150" s="126"/>
      <c r="F1150" s="128"/>
      <c r="G1150" s="128"/>
      <c r="H1150" s="128"/>
      <c r="I1150" s="128"/>
      <c r="J1150" s="128"/>
      <c r="K1150" s="129"/>
      <c r="L1150" s="129"/>
      <c r="M1150" s="129"/>
      <c r="N1150" s="129"/>
      <c r="O1150" s="129"/>
      <c r="P1150" s="129"/>
      <c r="Q1150" s="129"/>
      <c r="R1150" s="132"/>
      <c r="S1150" s="132"/>
      <c r="T1150" s="135"/>
      <c r="U1150" s="132"/>
      <c r="V1150" s="129"/>
      <c r="W1150" s="132"/>
      <c r="X1150" s="132"/>
      <c r="Y1150" s="132"/>
    </row>
    <row r="1151" spans="1:25" ht="15.75" customHeight="1">
      <c r="A1151" s="125"/>
      <c r="B1151" s="125"/>
      <c r="C1151" s="125"/>
      <c r="D1151" s="125"/>
      <c r="E1151" s="126"/>
      <c r="F1151" s="128"/>
      <c r="G1151" s="128"/>
      <c r="H1151" s="128"/>
      <c r="I1151" s="128"/>
      <c r="J1151" s="128"/>
      <c r="K1151" s="129"/>
      <c r="L1151" s="129"/>
      <c r="M1151" s="129"/>
      <c r="N1151" s="129"/>
      <c r="O1151" s="129"/>
      <c r="P1151" s="129"/>
      <c r="Q1151" s="129"/>
      <c r="R1151" s="132"/>
      <c r="S1151" s="132"/>
      <c r="T1151" s="135"/>
      <c r="U1151" s="132"/>
      <c r="V1151" s="129"/>
      <c r="W1151" s="132"/>
      <c r="X1151" s="132"/>
      <c r="Y1151" s="132"/>
    </row>
    <row r="1152" spans="1:25" ht="15.75" customHeight="1">
      <c r="A1152" s="125"/>
      <c r="B1152" s="125"/>
      <c r="C1152" s="125"/>
      <c r="D1152" s="125"/>
      <c r="E1152" s="126"/>
      <c r="F1152" s="128"/>
      <c r="G1152" s="128"/>
      <c r="H1152" s="128"/>
      <c r="I1152" s="128"/>
      <c r="J1152" s="128"/>
      <c r="K1152" s="129"/>
      <c r="L1152" s="129"/>
      <c r="M1152" s="129"/>
      <c r="N1152" s="129"/>
      <c r="O1152" s="129"/>
      <c r="P1152" s="129"/>
      <c r="Q1152" s="129"/>
      <c r="R1152" s="132"/>
      <c r="S1152" s="132"/>
      <c r="T1152" s="135"/>
      <c r="U1152" s="132"/>
      <c r="V1152" s="129"/>
      <c r="W1152" s="132"/>
      <c r="X1152" s="132"/>
      <c r="Y1152" s="132"/>
    </row>
    <row r="1153" spans="1:25" ht="15.75" customHeight="1">
      <c r="A1153" s="125"/>
      <c r="B1153" s="125"/>
      <c r="C1153" s="125"/>
      <c r="D1153" s="125"/>
      <c r="E1153" s="126"/>
      <c r="F1153" s="128"/>
      <c r="G1153" s="128"/>
      <c r="H1153" s="128"/>
      <c r="I1153" s="128"/>
      <c r="J1153" s="128"/>
      <c r="K1153" s="129"/>
      <c r="L1153" s="129"/>
      <c r="M1153" s="129"/>
      <c r="N1153" s="129"/>
      <c r="O1153" s="129"/>
      <c r="P1153" s="129"/>
      <c r="Q1153" s="129"/>
      <c r="R1153" s="132"/>
      <c r="S1153" s="132"/>
      <c r="T1153" s="135"/>
      <c r="U1153" s="132"/>
      <c r="V1153" s="129"/>
      <c r="W1153" s="132"/>
      <c r="X1153" s="132"/>
      <c r="Y1153" s="132"/>
    </row>
    <row r="1154" spans="1:25" ht="15.75" customHeight="1">
      <c r="A1154" s="125"/>
      <c r="B1154" s="125"/>
      <c r="C1154" s="125"/>
      <c r="D1154" s="125"/>
      <c r="E1154" s="126"/>
      <c r="F1154" s="128"/>
      <c r="G1154" s="128"/>
      <c r="H1154" s="128"/>
      <c r="I1154" s="128"/>
      <c r="J1154" s="128"/>
      <c r="K1154" s="129"/>
      <c r="L1154" s="129"/>
      <c r="M1154" s="129"/>
      <c r="N1154" s="129"/>
      <c r="O1154" s="129"/>
      <c r="P1154" s="129"/>
      <c r="Q1154" s="129"/>
      <c r="R1154" s="132"/>
      <c r="S1154" s="132"/>
      <c r="T1154" s="135"/>
      <c r="U1154" s="132"/>
      <c r="V1154" s="129"/>
      <c r="W1154" s="132"/>
      <c r="X1154" s="132"/>
      <c r="Y1154" s="132"/>
    </row>
    <row r="1155" spans="1:25" ht="15.75" customHeight="1">
      <c r="A1155" s="125"/>
      <c r="B1155" s="125"/>
      <c r="C1155" s="125"/>
      <c r="D1155" s="125"/>
      <c r="E1155" s="126"/>
      <c r="F1155" s="128"/>
      <c r="G1155" s="128"/>
      <c r="H1155" s="128"/>
      <c r="I1155" s="128"/>
      <c r="J1155" s="128"/>
      <c r="K1155" s="129"/>
      <c r="L1155" s="129"/>
      <c r="M1155" s="129"/>
      <c r="N1155" s="129"/>
      <c r="O1155" s="129"/>
      <c r="P1155" s="129"/>
      <c r="Q1155" s="129"/>
      <c r="R1155" s="132"/>
      <c r="S1155" s="132"/>
      <c r="T1155" s="135"/>
      <c r="U1155" s="132"/>
      <c r="V1155" s="129"/>
      <c r="W1155" s="132"/>
      <c r="X1155" s="132"/>
      <c r="Y1155" s="132"/>
    </row>
    <row r="1156" spans="1:25" ht="15.75" customHeight="1">
      <c r="A1156" s="125"/>
      <c r="B1156" s="125"/>
      <c r="C1156" s="125"/>
      <c r="D1156" s="125"/>
      <c r="E1156" s="126"/>
      <c r="F1156" s="128"/>
      <c r="G1156" s="128"/>
      <c r="H1156" s="128"/>
      <c r="I1156" s="128"/>
      <c r="J1156" s="128"/>
      <c r="K1156" s="129"/>
      <c r="L1156" s="129"/>
      <c r="M1156" s="129"/>
      <c r="N1156" s="129"/>
      <c r="O1156" s="129"/>
      <c r="P1156" s="129"/>
      <c r="Q1156" s="129"/>
      <c r="R1156" s="132"/>
      <c r="S1156" s="132"/>
      <c r="T1156" s="135"/>
      <c r="U1156" s="132"/>
      <c r="V1156" s="129"/>
      <c r="W1156" s="132"/>
      <c r="X1156" s="132"/>
      <c r="Y1156" s="132"/>
    </row>
    <row r="1157" spans="1:25" ht="15.75" customHeight="1">
      <c r="A1157" s="125"/>
      <c r="B1157" s="125"/>
      <c r="C1157" s="125"/>
      <c r="D1157" s="125"/>
      <c r="E1157" s="126"/>
      <c r="F1157" s="128"/>
      <c r="G1157" s="128"/>
      <c r="H1157" s="128"/>
      <c r="I1157" s="128"/>
      <c r="J1157" s="128"/>
      <c r="K1157" s="129"/>
      <c r="L1157" s="129"/>
      <c r="M1157" s="129"/>
      <c r="N1157" s="129"/>
      <c r="O1157" s="129"/>
      <c r="P1157" s="129"/>
      <c r="Q1157" s="129"/>
      <c r="R1157" s="132"/>
      <c r="S1157" s="132"/>
      <c r="T1157" s="135"/>
      <c r="U1157" s="132"/>
      <c r="V1157" s="129"/>
      <c r="W1157" s="132"/>
      <c r="X1157" s="132"/>
      <c r="Y1157" s="132"/>
    </row>
    <row r="1158" spans="1:25" ht="15.75" customHeight="1">
      <c r="A1158" s="125"/>
      <c r="B1158" s="125"/>
      <c r="C1158" s="125"/>
      <c r="D1158" s="125"/>
      <c r="E1158" s="126"/>
      <c r="F1158" s="128"/>
      <c r="G1158" s="128"/>
      <c r="H1158" s="128"/>
      <c r="I1158" s="128"/>
      <c r="J1158" s="128"/>
      <c r="K1158" s="129"/>
      <c r="L1158" s="129"/>
      <c r="M1158" s="129"/>
      <c r="N1158" s="129"/>
      <c r="O1158" s="129"/>
      <c r="P1158" s="129"/>
      <c r="Q1158" s="129"/>
      <c r="R1158" s="132"/>
      <c r="S1158" s="132"/>
      <c r="T1158" s="135"/>
      <c r="U1158" s="132"/>
      <c r="V1158" s="129"/>
      <c r="W1158" s="132"/>
      <c r="X1158" s="132"/>
      <c r="Y1158" s="132"/>
    </row>
    <row r="1159" spans="1:25" ht="15.75" customHeight="1">
      <c r="A1159" s="125"/>
      <c r="B1159" s="125"/>
      <c r="C1159" s="125"/>
      <c r="D1159" s="125"/>
      <c r="E1159" s="126"/>
      <c r="F1159" s="128"/>
      <c r="G1159" s="128"/>
      <c r="H1159" s="128"/>
      <c r="I1159" s="128"/>
      <c r="J1159" s="128"/>
      <c r="K1159" s="129"/>
      <c r="L1159" s="129"/>
      <c r="M1159" s="129"/>
      <c r="N1159" s="129"/>
      <c r="O1159" s="129"/>
      <c r="P1159" s="129"/>
      <c r="Q1159" s="129"/>
      <c r="R1159" s="132"/>
      <c r="S1159" s="132"/>
      <c r="T1159" s="135"/>
      <c r="U1159" s="132"/>
      <c r="V1159" s="129"/>
      <c r="W1159" s="132"/>
      <c r="X1159" s="132"/>
      <c r="Y1159" s="132"/>
    </row>
    <row r="1160" spans="1:25" ht="15.75" customHeight="1">
      <c r="A1160" s="125"/>
      <c r="B1160" s="125"/>
      <c r="C1160" s="125"/>
      <c r="D1160" s="125"/>
      <c r="E1160" s="126"/>
      <c r="F1160" s="128"/>
      <c r="G1160" s="128"/>
      <c r="H1160" s="128"/>
      <c r="I1160" s="128"/>
      <c r="J1160" s="128"/>
      <c r="K1160" s="129"/>
      <c r="L1160" s="129"/>
      <c r="M1160" s="129"/>
      <c r="N1160" s="129"/>
      <c r="O1160" s="129"/>
      <c r="P1160" s="129"/>
      <c r="Q1160" s="129"/>
      <c r="R1160" s="132"/>
      <c r="S1160" s="132"/>
      <c r="T1160" s="135"/>
      <c r="U1160" s="132"/>
      <c r="V1160" s="129"/>
      <c r="W1160" s="132"/>
      <c r="X1160" s="132"/>
      <c r="Y1160" s="132"/>
    </row>
    <row r="1161" spans="1:25" ht="15.75" customHeight="1">
      <c r="A1161" s="125"/>
      <c r="B1161" s="125"/>
      <c r="C1161" s="125"/>
      <c r="D1161" s="125"/>
      <c r="E1161" s="126"/>
      <c r="F1161" s="128"/>
      <c r="G1161" s="128"/>
      <c r="H1161" s="128"/>
      <c r="I1161" s="128"/>
      <c r="J1161" s="128"/>
      <c r="K1161" s="129"/>
      <c r="L1161" s="129"/>
      <c r="M1161" s="129"/>
      <c r="N1161" s="129"/>
      <c r="O1161" s="129"/>
      <c r="P1161" s="129"/>
      <c r="Q1161" s="129"/>
      <c r="R1161" s="132"/>
      <c r="S1161" s="132"/>
      <c r="T1161" s="135"/>
      <c r="U1161" s="132"/>
      <c r="V1161" s="129"/>
      <c r="W1161" s="132"/>
      <c r="X1161" s="132"/>
      <c r="Y1161" s="132"/>
    </row>
    <row r="1162" spans="1:25" ht="15.75" customHeight="1">
      <c r="A1162" s="125"/>
      <c r="B1162" s="125"/>
      <c r="C1162" s="125"/>
      <c r="D1162" s="125"/>
      <c r="E1162" s="126"/>
      <c r="F1162" s="128"/>
      <c r="G1162" s="128"/>
      <c r="H1162" s="128"/>
      <c r="I1162" s="128"/>
      <c r="J1162" s="128"/>
      <c r="K1162" s="129"/>
      <c r="L1162" s="129"/>
      <c r="M1162" s="129"/>
      <c r="N1162" s="129"/>
      <c r="O1162" s="129"/>
      <c r="P1162" s="129"/>
      <c r="Q1162" s="129"/>
      <c r="R1162" s="132"/>
      <c r="S1162" s="132"/>
      <c r="T1162" s="135"/>
      <c r="U1162" s="132"/>
      <c r="V1162" s="129"/>
      <c r="W1162" s="132"/>
      <c r="X1162" s="132"/>
      <c r="Y1162" s="132"/>
    </row>
    <row r="1163" spans="1:25" ht="15.75" customHeight="1">
      <c r="A1163" s="125"/>
      <c r="B1163" s="125"/>
      <c r="C1163" s="125"/>
      <c r="D1163" s="125"/>
      <c r="E1163" s="126"/>
      <c r="F1163" s="128"/>
      <c r="G1163" s="128"/>
      <c r="H1163" s="128"/>
      <c r="I1163" s="128"/>
      <c r="J1163" s="128"/>
      <c r="K1163" s="129"/>
      <c r="L1163" s="129"/>
      <c r="M1163" s="129"/>
      <c r="N1163" s="129"/>
      <c r="O1163" s="129"/>
      <c r="P1163" s="129"/>
      <c r="Q1163" s="129"/>
      <c r="R1163" s="132"/>
      <c r="S1163" s="132"/>
      <c r="T1163" s="135"/>
      <c r="U1163" s="132"/>
      <c r="V1163" s="129"/>
      <c r="W1163" s="132"/>
      <c r="X1163" s="132"/>
      <c r="Y1163" s="132"/>
    </row>
    <row r="1164" spans="1:25" ht="15.75" customHeight="1">
      <c r="A1164" s="125"/>
      <c r="B1164" s="125"/>
      <c r="C1164" s="125"/>
      <c r="D1164" s="125"/>
      <c r="E1164" s="126"/>
      <c r="F1164" s="128"/>
      <c r="G1164" s="128"/>
      <c r="H1164" s="128"/>
      <c r="I1164" s="128"/>
      <c r="J1164" s="128"/>
      <c r="K1164" s="129"/>
      <c r="L1164" s="129"/>
      <c r="M1164" s="129"/>
      <c r="N1164" s="129"/>
      <c r="O1164" s="129"/>
      <c r="P1164" s="129"/>
      <c r="Q1164" s="129"/>
      <c r="R1164" s="132"/>
      <c r="S1164" s="132"/>
      <c r="T1164" s="135"/>
      <c r="U1164" s="132"/>
      <c r="V1164" s="129"/>
      <c r="W1164" s="132"/>
      <c r="X1164" s="132"/>
      <c r="Y1164" s="132"/>
    </row>
    <row r="1165" spans="1:25" ht="15.75" customHeight="1">
      <c r="A1165" s="125"/>
      <c r="B1165" s="125"/>
      <c r="C1165" s="125"/>
      <c r="D1165" s="125"/>
      <c r="E1165" s="126"/>
      <c r="F1165" s="128"/>
      <c r="G1165" s="128"/>
      <c r="H1165" s="128"/>
      <c r="I1165" s="128"/>
      <c r="J1165" s="128"/>
      <c r="K1165" s="129"/>
      <c r="L1165" s="129"/>
      <c r="M1165" s="129"/>
      <c r="N1165" s="129"/>
      <c r="O1165" s="129"/>
      <c r="P1165" s="129"/>
      <c r="Q1165" s="129"/>
      <c r="R1165" s="132"/>
      <c r="S1165" s="132"/>
      <c r="T1165" s="135"/>
      <c r="U1165" s="132"/>
      <c r="V1165" s="129"/>
      <c r="W1165" s="132"/>
      <c r="X1165" s="132"/>
      <c r="Y1165" s="132"/>
    </row>
    <row r="1166" spans="1:25" ht="15.75" customHeight="1">
      <c r="A1166" s="125"/>
      <c r="B1166" s="125"/>
      <c r="C1166" s="125"/>
      <c r="D1166" s="125"/>
      <c r="E1166" s="126"/>
      <c r="F1166" s="128"/>
      <c r="G1166" s="128"/>
      <c r="H1166" s="128"/>
      <c r="I1166" s="128"/>
      <c r="J1166" s="128"/>
      <c r="K1166" s="129"/>
      <c r="L1166" s="129"/>
      <c r="M1166" s="129"/>
      <c r="N1166" s="129"/>
      <c r="O1166" s="129"/>
      <c r="P1166" s="129"/>
      <c r="Q1166" s="129"/>
      <c r="R1166" s="132"/>
      <c r="S1166" s="132"/>
      <c r="T1166" s="135"/>
      <c r="U1166" s="132"/>
      <c r="V1166" s="129"/>
      <c r="W1166" s="132"/>
      <c r="X1166" s="132"/>
      <c r="Y1166" s="132"/>
    </row>
    <row r="1167" spans="1:25" ht="15.75" customHeight="1">
      <c r="A1167" s="125"/>
      <c r="B1167" s="125"/>
      <c r="C1167" s="125"/>
      <c r="D1167" s="125"/>
      <c r="E1167" s="126"/>
      <c r="F1167" s="128"/>
      <c r="G1167" s="128"/>
      <c r="H1167" s="128"/>
      <c r="I1167" s="128"/>
      <c r="J1167" s="128"/>
      <c r="K1167" s="129"/>
      <c r="L1167" s="129"/>
      <c r="M1167" s="129"/>
      <c r="N1167" s="129"/>
      <c r="O1167" s="129"/>
      <c r="P1167" s="129"/>
      <c r="Q1167" s="129"/>
      <c r="R1167" s="132"/>
      <c r="S1167" s="132"/>
      <c r="T1167" s="135"/>
      <c r="U1167" s="132"/>
      <c r="V1167" s="129"/>
      <c r="W1167" s="132"/>
      <c r="X1167" s="132"/>
      <c r="Y1167" s="132"/>
    </row>
    <row r="1168" spans="1:25" ht="15.75" customHeight="1">
      <c r="A1168" s="125"/>
      <c r="B1168" s="125"/>
      <c r="C1168" s="125"/>
      <c r="D1168" s="125"/>
      <c r="E1168" s="126"/>
      <c r="F1168" s="128"/>
      <c r="G1168" s="128"/>
      <c r="H1168" s="128"/>
      <c r="I1168" s="128"/>
      <c r="J1168" s="128"/>
      <c r="K1168" s="129"/>
      <c r="L1168" s="129"/>
      <c r="M1168" s="129"/>
      <c r="N1168" s="129"/>
      <c r="O1168" s="129"/>
      <c r="P1168" s="129"/>
      <c r="Q1168" s="129"/>
      <c r="R1168" s="132"/>
      <c r="S1168" s="132"/>
      <c r="T1168" s="135"/>
      <c r="U1168" s="132"/>
      <c r="V1168" s="129"/>
      <c r="W1168" s="132"/>
      <c r="X1168" s="132"/>
      <c r="Y1168" s="132"/>
    </row>
    <row r="1169" spans="1:25" ht="15.75" customHeight="1">
      <c r="A1169" s="125"/>
      <c r="B1169" s="125"/>
      <c r="C1169" s="125"/>
      <c r="D1169" s="125"/>
      <c r="E1169" s="126"/>
      <c r="F1169" s="128"/>
      <c r="G1169" s="128"/>
      <c r="H1169" s="128"/>
      <c r="I1169" s="128"/>
      <c r="J1169" s="128"/>
      <c r="K1169" s="129"/>
      <c r="L1169" s="129"/>
      <c r="M1169" s="129"/>
      <c r="N1169" s="129"/>
      <c r="O1169" s="129"/>
      <c r="P1169" s="129"/>
      <c r="Q1169" s="129"/>
      <c r="R1169" s="132"/>
      <c r="S1169" s="132"/>
      <c r="T1169" s="135"/>
      <c r="U1169" s="132"/>
      <c r="V1169" s="129"/>
      <c r="W1169" s="132"/>
      <c r="X1169" s="132"/>
      <c r="Y1169" s="132"/>
    </row>
    <row r="1170" spans="1:25" ht="15.75" customHeight="1">
      <c r="A1170" s="125"/>
      <c r="B1170" s="125"/>
      <c r="C1170" s="125"/>
      <c r="D1170" s="125"/>
      <c r="E1170" s="126"/>
      <c r="F1170" s="128"/>
      <c r="G1170" s="128"/>
      <c r="H1170" s="128"/>
      <c r="I1170" s="128"/>
      <c r="J1170" s="128"/>
      <c r="K1170" s="129"/>
      <c r="L1170" s="129"/>
      <c r="M1170" s="129"/>
      <c r="N1170" s="129"/>
      <c r="O1170" s="129"/>
      <c r="P1170" s="129"/>
      <c r="Q1170" s="129"/>
      <c r="R1170" s="132"/>
      <c r="S1170" s="132"/>
      <c r="T1170" s="135"/>
      <c r="U1170" s="132"/>
      <c r="V1170" s="129"/>
      <c r="W1170" s="132"/>
      <c r="X1170" s="132"/>
      <c r="Y1170" s="132"/>
    </row>
    <row r="1171" spans="1:25" ht="15.75" customHeight="1">
      <c r="A1171" s="125"/>
      <c r="B1171" s="125"/>
      <c r="C1171" s="125"/>
      <c r="D1171" s="125"/>
      <c r="E1171" s="126"/>
      <c r="F1171" s="128"/>
      <c r="G1171" s="128"/>
      <c r="H1171" s="128"/>
      <c r="I1171" s="128"/>
      <c r="J1171" s="128"/>
      <c r="K1171" s="129"/>
      <c r="L1171" s="129"/>
      <c r="M1171" s="129"/>
      <c r="N1171" s="129"/>
      <c r="O1171" s="129"/>
      <c r="P1171" s="129"/>
      <c r="Q1171" s="129"/>
      <c r="R1171" s="132"/>
      <c r="S1171" s="132"/>
      <c r="T1171" s="135"/>
      <c r="U1171" s="132"/>
      <c r="V1171" s="129"/>
      <c r="W1171" s="132"/>
      <c r="X1171" s="132"/>
      <c r="Y1171" s="132"/>
    </row>
    <row r="1172" spans="1:25" ht="15.75" customHeight="1">
      <c r="A1172" s="125"/>
      <c r="B1172" s="125"/>
      <c r="C1172" s="125"/>
      <c r="D1172" s="125"/>
      <c r="E1172" s="126"/>
      <c r="F1172" s="128"/>
      <c r="G1172" s="128"/>
      <c r="H1172" s="128"/>
      <c r="I1172" s="128"/>
      <c r="J1172" s="128"/>
      <c r="K1172" s="129"/>
      <c r="L1172" s="129"/>
      <c r="M1172" s="129"/>
      <c r="N1172" s="129"/>
      <c r="O1172" s="129"/>
      <c r="P1172" s="129"/>
      <c r="Q1172" s="129"/>
      <c r="R1172" s="132"/>
      <c r="S1172" s="132"/>
      <c r="T1172" s="135"/>
      <c r="U1172" s="132"/>
      <c r="V1172" s="129"/>
      <c r="W1172" s="132"/>
      <c r="X1172" s="132"/>
      <c r="Y1172" s="132"/>
    </row>
    <row r="1173" spans="1:25" ht="15.75" customHeight="1">
      <c r="A1173" s="125"/>
      <c r="B1173" s="125"/>
      <c r="C1173" s="125"/>
      <c r="D1173" s="125"/>
      <c r="E1173" s="126"/>
      <c r="F1173" s="128"/>
      <c r="G1173" s="128"/>
      <c r="H1173" s="128"/>
      <c r="I1173" s="128"/>
      <c r="J1173" s="128"/>
      <c r="K1173" s="129"/>
      <c r="L1173" s="129"/>
      <c r="M1173" s="129"/>
      <c r="N1173" s="129"/>
      <c r="O1173" s="129"/>
      <c r="P1173" s="129"/>
      <c r="Q1173" s="129"/>
      <c r="R1173" s="132"/>
      <c r="S1173" s="132"/>
      <c r="T1173" s="135"/>
      <c r="U1173" s="132"/>
      <c r="V1173" s="129"/>
      <c r="W1173" s="132"/>
      <c r="X1173" s="132"/>
      <c r="Y1173" s="132"/>
    </row>
    <row r="1174" spans="1:25" ht="15.75" customHeight="1">
      <c r="A1174" s="125"/>
      <c r="B1174" s="125"/>
      <c r="C1174" s="125"/>
      <c r="D1174" s="125"/>
      <c r="E1174" s="126"/>
      <c r="F1174" s="128"/>
      <c r="G1174" s="128"/>
      <c r="H1174" s="128"/>
      <c r="I1174" s="128"/>
      <c r="J1174" s="128"/>
      <c r="K1174" s="129"/>
      <c r="L1174" s="129"/>
      <c r="M1174" s="129"/>
      <c r="N1174" s="129"/>
      <c r="O1174" s="129"/>
      <c r="P1174" s="129"/>
      <c r="Q1174" s="129"/>
      <c r="R1174" s="132"/>
      <c r="S1174" s="132"/>
      <c r="T1174" s="135"/>
      <c r="U1174" s="132"/>
      <c r="V1174" s="129"/>
      <c r="W1174" s="132"/>
      <c r="X1174" s="132"/>
      <c r="Y1174" s="132"/>
    </row>
    <row r="1175" spans="1:25" ht="15.75" customHeight="1">
      <c r="A1175" s="125"/>
      <c r="B1175" s="125"/>
      <c r="C1175" s="125"/>
      <c r="D1175" s="125"/>
      <c r="E1175" s="126"/>
      <c r="F1175" s="128"/>
      <c r="G1175" s="128"/>
      <c r="H1175" s="128"/>
      <c r="I1175" s="128"/>
      <c r="J1175" s="128"/>
      <c r="K1175" s="129"/>
      <c r="L1175" s="129"/>
      <c r="M1175" s="129"/>
      <c r="N1175" s="129"/>
      <c r="O1175" s="129"/>
      <c r="P1175" s="129"/>
      <c r="Q1175" s="129"/>
      <c r="R1175" s="132"/>
      <c r="S1175" s="132"/>
      <c r="T1175" s="135"/>
      <c r="U1175" s="132"/>
      <c r="V1175" s="129"/>
      <c r="W1175" s="132"/>
      <c r="X1175" s="132"/>
      <c r="Y1175" s="132"/>
    </row>
    <row r="1176" spans="1:25" ht="15.75" customHeight="1">
      <c r="A1176" s="125"/>
      <c r="B1176" s="125"/>
      <c r="C1176" s="125"/>
      <c r="D1176" s="125"/>
      <c r="E1176" s="126"/>
      <c r="F1176" s="128"/>
      <c r="G1176" s="128"/>
      <c r="H1176" s="128"/>
      <c r="I1176" s="128"/>
      <c r="J1176" s="128"/>
      <c r="K1176" s="129"/>
      <c r="L1176" s="129"/>
      <c r="M1176" s="129"/>
      <c r="N1176" s="129"/>
      <c r="O1176" s="129"/>
      <c r="P1176" s="129"/>
      <c r="Q1176" s="129"/>
      <c r="R1176" s="132"/>
      <c r="S1176" s="132"/>
      <c r="T1176" s="135"/>
      <c r="U1176" s="132"/>
      <c r="V1176" s="129"/>
      <c r="W1176" s="132"/>
      <c r="X1176" s="132"/>
      <c r="Y1176" s="132"/>
    </row>
    <row r="1177" spans="1:25" ht="15.75" customHeight="1">
      <c r="A1177" s="125"/>
      <c r="B1177" s="125"/>
      <c r="C1177" s="125"/>
      <c r="D1177" s="125"/>
      <c r="E1177" s="126"/>
      <c r="F1177" s="128"/>
      <c r="G1177" s="128"/>
      <c r="H1177" s="128"/>
      <c r="I1177" s="128"/>
      <c r="J1177" s="128"/>
      <c r="K1177" s="129"/>
      <c r="L1177" s="129"/>
      <c r="M1177" s="129"/>
      <c r="N1177" s="129"/>
      <c r="O1177" s="129"/>
      <c r="P1177" s="129"/>
      <c r="Q1177" s="129"/>
      <c r="R1177" s="132"/>
      <c r="S1177" s="132"/>
      <c r="T1177" s="135"/>
      <c r="U1177" s="132"/>
      <c r="V1177" s="129"/>
      <c r="W1177" s="132"/>
      <c r="X1177" s="132"/>
      <c r="Y1177" s="132"/>
    </row>
    <row r="1178" spans="1:25" ht="15.75" customHeight="1">
      <c r="A1178" s="125"/>
      <c r="B1178" s="125"/>
      <c r="C1178" s="125"/>
      <c r="D1178" s="125"/>
      <c r="E1178" s="126"/>
      <c r="F1178" s="128"/>
      <c r="G1178" s="128"/>
      <c r="H1178" s="128"/>
      <c r="I1178" s="128"/>
      <c r="J1178" s="128"/>
      <c r="K1178" s="129"/>
      <c r="L1178" s="129"/>
      <c r="M1178" s="129"/>
      <c r="N1178" s="129"/>
      <c r="O1178" s="129"/>
      <c r="P1178" s="129"/>
      <c r="Q1178" s="129"/>
      <c r="R1178" s="132"/>
      <c r="S1178" s="132"/>
      <c r="T1178" s="135"/>
      <c r="U1178" s="132"/>
      <c r="V1178" s="129"/>
      <c r="W1178" s="132"/>
      <c r="X1178" s="132"/>
      <c r="Y1178" s="132"/>
    </row>
    <row r="1179" spans="1:25" ht="15.75" customHeight="1">
      <c r="A1179" s="125"/>
      <c r="B1179" s="125"/>
      <c r="C1179" s="125"/>
      <c r="D1179" s="125"/>
      <c r="E1179" s="126"/>
      <c r="F1179" s="128"/>
      <c r="G1179" s="128"/>
      <c r="H1179" s="128"/>
      <c r="I1179" s="128"/>
      <c r="J1179" s="128"/>
      <c r="K1179" s="129"/>
      <c r="L1179" s="129"/>
      <c r="M1179" s="129"/>
      <c r="N1179" s="129"/>
      <c r="O1179" s="129"/>
      <c r="P1179" s="129"/>
      <c r="Q1179" s="129"/>
      <c r="R1179" s="132"/>
      <c r="S1179" s="132"/>
      <c r="T1179" s="135"/>
      <c r="U1179" s="132"/>
      <c r="V1179" s="129"/>
      <c r="W1179" s="132"/>
      <c r="X1179" s="132"/>
      <c r="Y1179" s="132"/>
    </row>
    <row r="1180" spans="1:25" ht="15.75" customHeight="1">
      <c r="A1180" s="125"/>
      <c r="B1180" s="125"/>
      <c r="C1180" s="125"/>
      <c r="D1180" s="125"/>
      <c r="E1180" s="126"/>
      <c r="F1180" s="128"/>
      <c r="G1180" s="128"/>
      <c r="H1180" s="128"/>
      <c r="I1180" s="128"/>
      <c r="J1180" s="128"/>
      <c r="K1180" s="129"/>
      <c r="L1180" s="129"/>
      <c r="M1180" s="129"/>
      <c r="N1180" s="129"/>
      <c r="O1180" s="129"/>
      <c r="P1180" s="129"/>
      <c r="Q1180" s="129"/>
      <c r="R1180" s="132"/>
      <c r="S1180" s="132"/>
      <c r="T1180" s="135"/>
      <c r="U1180" s="132"/>
      <c r="V1180" s="129"/>
      <c r="W1180" s="132"/>
      <c r="X1180" s="132"/>
      <c r="Y1180" s="132"/>
    </row>
    <row r="1181" spans="1:25" ht="15.75" customHeight="1">
      <c r="A1181" s="125"/>
      <c r="B1181" s="125"/>
      <c r="C1181" s="125"/>
      <c r="D1181" s="125"/>
      <c r="E1181" s="126"/>
      <c r="F1181" s="128"/>
      <c r="G1181" s="128"/>
      <c r="H1181" s="128"/>
      <c r="I1181" s="128"/>
      <c r="J1181" s="128"/>
      <c r="K1181" s="129"/>
      <c r="L1181" s="129"/>
      <c r="M1181" s="129"/>
      <c r="N1181" s="129"/>
      <c r="O1181" s="129"/>
      <c r="P1181" s="129"/>
      <c r="Q1181" s="129"/>
      <c r="R1181" s="132"/>
      <c r="S1181" s="132"/>
      <c r="T1181" s="135"/>
      <c r="U1181" s="132"/>
      <c r="V1181" s="129"/>
      <c r="W1181" s="132"/>
      <c r="X1181" s="132"/>
      <c r="Y1181" s="132"/>
    </row>
    <row r="1182" spans="1:25" ht="15.75" customHeight="1">
      <c r="A1182" s="125"/>
      <c r="B1182" s="125"/>
      <c r="C1182" s="125"/>
      <c r="D1182" s="125"/>
      <c r="E1182" s="126"/>
      <c r="F1182" s="128"/>
      <c r="G1182" s="128"/>
      <c r="H1182" s="128"/>
      <c r="I1182" s="128"/>
      <c r="J1182" s="128"/>
      <c r="K1182" s="129"/>
      <c r="L1182" s="129"/>
      <c r="M1182" s="129"/>
      <c r="N1182" s="129"/>
      <c r="O1182" s="129"/>
      <c r="P1182" s="129"/>
      <c r="Q1182" s="129"/>
      <c r="R1182" s="132"/>
      <c r="S1182" s="132"/>
      <c r="T1182" s="135"/>
      <c r="U1182" s="132"/>
      <c r="V1182" s="129"/>
      <c r="W1182" s="132"/>
      <c r="X1182" s="132"/>
      <c r="Y1182" s="132"/>
    </row>
    <row r="1183" spans="1:25" ht="15.75" customHeight="1">
      <c r="A1183" s="125"/>
      <c r="B1183" s="125"/>
      <c r="C1183" s="125"/>
      <c r="D1183" s="125"/>
      <c r="E1183" s="126"/>
      <c r="F1183" s="128"/>
      <c r="G1183" s="128"/>
      <c r="H1183" s="128"/>
      <c r="I1183" s="128"/>
      <c r="J1183" s="128"/>
      <c r="K1183" s="129"/>
      <c r="L1183" s="129"/>
      <c r="M1183" s="129"/>
      <c r="N1183" s="129"/>
      <c r="O1183" s="129"/>
      <c r="P1183" s="129"/>
      <c r="Q1183" s="129"/>
      <c r="R1183" s="132"/>
      <c r="S1183" s="132"/>
      <c r="T1183" s="135"/>
      <c r="U1183" s="132"/>
      <c r="V1183" s="129"/>
      <c r="W1183" s="132"/>
      <c r="X1183" s="132"/>
      <c r="Y1183" s="132"/>
    </row>
    <row r="1184" spans="1:25" ht="15.75" customHeight="1">
      <c r="A1184" s="125"/>
      <c r="B1184" s="125"/>
      <c r="C1184" s="125"/>
      <c r="D1184" s="125"/>
      <c r="E1184" s="126"/>
      <c r="F1184" s="128"/>
      <c r="G1184" s="128"/>
      <c r="H1184" s="128"/>
      <c r="I1184" s="128"/>
      <c r="J1184" s="128"/>
      <c r="K1184" s="129"/>
      <c r="L1184" s="129"/>
      <c r="M1184" s="129"/>
      <c r="N1184" s="129"/>
      <c r="O1184" s="129"/>
      <c r="P1184" s="129"/>
      <c r="Q1184" s="129"/>
      <c r="R1184" s="132"/>
      <c r="S1184" s="132"/>
      <c r="T1184" s="135"/>
      <c r="U1184" s="132"/>
      <c r="V1184" s="129"/>
      <c r="W1184" s="132"/>
      <c r="X1184" s="132"/>
      <c r="Y1184" s="132"/>
    </row>
    <row r="1185" spans="1:25" ht="15.75" customHeight="1">
      <c r="A1185" s="125"/>
      <c r="B1185" s="125"/>
      <c r="C1185" s="125"/>
      <c r="D1185" s="125"/>
      <c r="E1185" s="126"/>
      <c r="F1185" s="128"/>
      <c r="G1185" s="128"/>
      <c r="H1185" s="128"/>
      <c r="I1185" s="128"/>
      <c r="J1185" s="128"/>
      <c r="K1185" s="129"/>
      <c r="L1185" s="129"/>
      <c r="M1185" s="129"/>
      <c r="N1185" s="129"/>
      <c r="O1185" s="129"/>
      <c r="P1185" s="129"/>
      <c r="Q1185" s="129"/>
      <c r="R1185" s="132"/>
      <c r="S1185" s="132"/>
      <c r="T1185" s="135"/>
      <c r="U1185" s="132"/>
      <c r="V1185" s="129"/>
      <c r="W1185" s="132"/>
      <c r="X1185" s="132"/>
      <c r="Y1185" s="132"/>
    </row>
    <row r="1186" spans="1:25" ht="15.75" customHeight="1">
      <c r="A1186" s="125"/>
      <c r="B1186" s="125"/>
      <c r="C1186" s="125"/>
      <c r="D1186" s="125"/>
      <c r="E1186" s="126"/>
      <c r="F1186" s="128"/>
      <c r="G1186" s="128"/>
      <c r="H1186" s="128"/>
      <c r="I1186" s="128"/>
      <c r="J1186" s="128"/>
      <c r="K1186" s="129"/>
      <c r="L1186" s="129"/>
      <c r="M1186" s="129"/>
      <c r="N1186" s="129"/>
      <c r="O1186" s="129"/>
      <c r="P1186" s="129"/>
      <c r="Q1186" s="129"/>
      <c r="R1186" s="132"/>
      <c r="S1186" s="132"/>
      <c r="T1186" s="135"/>
      <c r="U1186" s="132"/>
      <c r="V1186" s="129"/>
      <c r="W1186" s="132"/>
      <c r="X1186" s="132"/>
      <c r="Y1186" s="132"/>
    </row>
    <row r="1187" spans="1:25" ht="15.75" customHeight="1">
      <c r="A1187" s="125"/>
      <c r="B1187" s="125"/>
      <c r="C1187" s="125"/>
      <c r="D1187" s="125"/>
      <c r="E1187" s="126"/>
      <c r="F1187" s="128"/>
      <c r="G1187" s="128"/>
      <c r="H1187" s="128"/>
      <c r="I1187" s="128"/>
      <c r="J1187" s="128"/>
      <c r="K1187" s="129"/>
      <c r="L1187" s="129"/>
      <c r="M1187" s="129"/>
      <c r="N1187" s="129"/>
      <c r="O1187" s="129"/>
      <c r="P1187" s="129"/>
      <c r="Q1187" s="129"/>
      <c r="R1187" s="132"/>
      <c r="S1187" s="132"/>
      <c r="T1187" s="135"/>
      <c r="U1187" s="132"/>
      <c r="V1187" s="129"/>
      <c r="W1187" s="132"/>
      <c r="X1187" s="132"/>
      <c r="Y1187" s="132"/>
    </row>
    <row r="1188" spans="1:25" ht="15.75" customHeight="1">
      <c r="A1188" s="125"/>
      <c r="B1188" s="125"/>
      <c r="C1188" s="125"/>
      <c r="D1188" s="125"/>
      <c r="E1188" s="126"/>
      <c r="F1188" s="128"/>
      <c r="G1188" s="128"/>
      <c r="H1188" s="128"/>
      <c r="I1188" s="128"/>
      <c r="J1188" s="128"/>
      <c r="K1188" s="129"/>
      <c r="L1188" s="129"/>
      <c r="M1188" s="129"/>
      <c r="N1188" s="129"/>
      <c r="O1188" s="129"/>
      <c r="P1188" s="129"/>
      <c r="Q1188" s="129"/>
      <c r="R1188" s="132"/>
      <c r="S1188" s="132"/>
      <c r="T1188" s="135"/>
      <c r="U1188" s="132"/>
      <c r="V1188" s="129"/>
      <c r="W1188" s="132"/>
      <c r="X1188" s="132"/>
      <c r="Y1188" s="132"/>
    </row>
    <row r="1189" spans="1:25" ht="15.75" customHeight="1">
      <c r="A1189" s="125"/>
      <c r="B1189" s="125"/>
      <c r="C1189" s="125"/>
      <c r="D1189" s="125"/>
      <c r="E1189" s="126"/>
      <c r="F1189" s="128"/>
      <c r="G1189" s="128"/>
      <c r="H1189" s="128"/>
      <c r="I1189" s="128"/>
      <c r="J1189" s="128"/>
      <c r="K1189" s="129"/>
      <c r="L1189" s="129"/>
      <c r="M1189" s="129"/>
      <c r="N1189" s="129"/>
      <c r="O1189" s="129"/>
      <c r="P1189" s="129"/>
      <c r="Q1189" s="129"/>
      <c r="R1189" s="132"/>
      <c r="S1189" s="132"/>
      <c r="T1189" s="135"/>
      <c r="U1189" s="132"/>
      <c r="V1189" s="129"/>
      <c r="W1189" s="132"/>
      <c r="X1189" s="132"/>
      <c r="Y1189" s="132"/>
    </row>
    <row r="1190" spans="1:25" ht="15.75" customHeight="1">
      <c r="A1190" s="125"/>
      <c r="B1190" s="125"/>
      <c r="C1190" s="125"/>
      <c r="D1190" s="125"/>
      <c r="E1190" s="126"/>
      <c r="F1190" s="128"/>
      <c r="G1190" s="128"/>
      <c r="H1190" s="128"/>
      <c r="I1190" s="128"/>
      <c r="J1190" s="128"/>
      <c r="K1190" s="129"/>
      <c r="L1190" s="129"/>
      <c r="M1190" s="129"/>
      <c r="N1190" s="129"/>
      <c r="O1190" s="129"/>
      <c r="P1190" s="129"/>
      <c r="Q1190" s="129"/>
      <c r="R1190" s="132"/>
      <c r="S1190" s="132"/>
      <c r="T1190" s="135"/>
      <c r="U1190" s="132"/>
      <c r="V1190" s="129"/>
      <c r="W1190" s="132"/>
      <c r="X1190" s="132"/>
      <c r="Y1190" s="132"/>
    </row>
    <row r="1191" spans="1:25" ht="15.75" customHeight="1">
      <c r="A1191" s="125"/>
      <c r="B1191" s="125"/>
      <c r="C1191" s="125"/>
      <c r="D1191" s="125"/>
      <c r="E1191" s="126"/>
      <c r="F1191" s="128"/>
      <c r="G1191" s="128"/>
      <c r="H1191" s="128"/>
      <c r="I1191" s="128"/>
      <c r="J1191" s="128"/>
      <c r="K1191" s="129"/>
      <c r="L1191" s="129"/>
      <c r="M1191" s="129"/>
      <c r="N1191" s="129"/>
      <c r="O1191" s="129"/>
      <c r="P1191" s="129"/>
      <c r="Q1191" s="129"/>
      <c r="R1191" s="132"/>
      <c r="S1191" s="132"/>
      <c r="T1191" s="135"/>
      <c r="U1191" s="132"/>
      <c r="V1191" s="129"/>
      <c r="W1191" s="132"/>
      <c r="X1191" s="132"/>
      <c r="Y1191" s="132"/>
    </row>
    <row r="1192" spans="1:25" ht="15.75" customHeight="1">
      <c r="A1192" s="125"/>
      <c r="B1192" s="125"/>
      <c r="C1192" s="125"/>
      <c r="D1192" s="125"/>
      <c r="E1192" s="126"/>
      <c r="F1192" s="128"/>
      <c r="G1192" s="128"/>
      <c r="H1192" s="128"/>
      <c r="I1192" s="128"/>
      <c r="J1192" s="128"/>
      <c r="K1192" s="129"/>
      <c r="L1192" s="129"/>
      <c r="M1192" s="129"/>
      <c r="N1192" s="129"/>
      <c r="O1192" s="129"/>
      <c r="P1192" s="129"/>
      <c r="Q1192" s="129"/>
      <c r="R1192" s="132"/>
      <c r="S1192" s="132"/>
      <c r="T1192" s="135"/>
      <c r="U1192" s="132"/>
      <c r="V1192" s="129"/>
      <c r="W1192" s="132"/>
      <c r="X1192" s="132"/>
      <c r="Y1192" s="132"/>
    </row>
    <row r="1193" spans="1:25" ht="15.75" customHeight="1">
      <c r="A1193" s="125"/>
      <c r="B1193" s="125"/>
      <c r="C1193" s="125"/>
      <c r="D1193" s="125"/>
      <c r="E1193" s="126"/>
      <c r="F1193" s="128"/>
      <c r="G1193" s="128"/>
      <c r="H1193" s="128"/>
      <c r="I1193" s="128"/>
      <c r="J1193" s="128"/>
      <c r="K1193" s="129"/>
      <c r="L1193" s="129"/>
      <c r="M1193" s="129"/>
      <c r="N1193" s="129"/>
      <c r="O1193" s="129"/>
      <c r="P1193" s="129"/>
      <c r="Q1193" s="129"/>
      <c r="R1193" s="132"/>
      <c r="S1193" s="132"/>
      <c r="T1193" s="135"/>
      <c r="U1193" s="132"/>
      <c r="V1193" s="129"/>
      <c r="W1193" s="132"/>
      <c r="X1193" s="132"/>
      <c r="Y1193" s="132"/>
    </row>
    <row r="1194" spans="1:25" ht="15.75" customHeight="1">
      <c r="A1194" s="125"/>
      <c r="B1194" s="125"/>
      <c r="C1194" s="125"/>
      <c r="D1194" s="125"/>
      <c r="E1194" s="126"/>
      <c r="F1194" s="128"/>
      <c r="G1194" s="128"/>
      <c r="H1194" s="128"/>
      <c r="I1194" s="128"/>
      <c r="J1194" s="128"/>
      <c r="K1194" s="129"/>
      <c r="L1194" s="129"/>
      <c r="M1194" s="129"/>
      <c r="N1194" s="129"/>
      <c r="O1194" s="129"/>
      <c r="P1194" s="129"/>
      <c r="Q1194" s="129"/>
      <c r="R1194" s="132"/>
      <c r="S1194" s="132"/>
      <c r="T1194" s="135"/>
      <c r="U1194" s="132"/>
      <c r="V1194" s="129"/>
      <c r="W1194" s="132"/>
      <c r="X1194" s="132"/>
      <c r="Y1194" s="132"/>
    </row>
    <row r="1195" spans="1:25" ht="15.75" customHeight="1">
      <c r="A1195" s="125"/>
      <c r="B1195" s="125"/>
      <c r="C1195" s="125"/>
      <c r="D1195" s="125"/>
      <c r="E1195" s="126"/>
      <c r="F1195" s="128"/>
      <c r="G1195" s="128"/>
      <c r="H1195" s="128"/>
      <c r="I1195" s="128"/>
      <c r="J1195" s="128"/>
      <c r="K1195" s="129"/>
      <c r="L1195" s="129"/>
      <c r="M1195" s="129"/>
      <c r="N1195" s="129"/>
      <c r="O1195" s="129"/>
      <c r="P1195" s="129"/>
      <c r="Q1195" s="129"/>
      <c r="R1195" s="132"/>
      <c r="S1195" s="132"/>
      <c r="T1195" s="135"/>
      <c r="U1195" s="132"/>
      <c r="V1195" s="129"/>
      <c r="W1195" s="132"/>
      <c r="X1195" s="132"/>
      <c r="Y1195" s="132"/>
    </row>
    <row r="1196" spans="1:25" ht="15.75" customHeight="1">
      <c r="A1196" s="125"/>
      <c r="B1196" s="125"/>
      <c r="C1196" s="125"/>
      <c r="D1196" s="125"/>
      <c r="E1196" s="126"/>
      <c r="F1196" s="128"/>
      <c r="G1196" s="128"/>
      <c r="H1196" s="128"/>
      <c r="I1196" s="128"/>
      <c r="J1196" s="128"/>
      <c r="K1196" s="129"/>
      <c r="L1196" s="129"/>
      <c r="M1196" s="129"/>
      <c r="N1196" s="129"/>
      <c r="O1196" s="129"/>
      <c r="P1196" s="129"/>
      <c r="Q1196" s="129"/>
      <c r="R1196" s="132"/>
      <c r="S1196" s="132"/>
      <c r="T1196" s="135"/>
      <c r="U1196" s="132"/>
      <c r="V1196" s="129"/>
      <c r="W1196" s="132"/>
      <c r="X1196" s="132"/>
      <c r="Y1196" s="132"/>
    </row>
    <row r="1197" spans="1:25" ht="15.75" customHeight="1">
      <c r="A1197" s="125"/>
      <c r="B1197" s="125"/>
      <c r="C1197" s="125"/>
      <c r="D1197" s="125"/>
      <c r="E1197" s="126"/>
      <c r="F1197" s="128"/>
      <c r="G1197" s="128"/>
      <c r="H1197" s="128"/>
      <c r="I1197" s="128"/>
      <c r="J1197" s="128"/>
      <c r="K1197" s="129"/>
      <c r="L1197" s="129"/>
      <c r="M1197" s="129"/>
      <c r="N1197" s="129"/>
      <c r="O1197" s="129"/>
      <c r="P1197" s="129"/>
      <c r="Q1197" s="129"/>
      <c r="R1197" s="132"/>
      <c r="S1197" s="132"/>
      <c r="T1197" s="135"/>
      <c r="U1197" s="132"/>
      <c r="V1197" s="129"/>
      <c r="W1197" s="132"/>
      <c r="X1197" s="132"/>
      <c r="Y1197" s="132"/>
    </row>
    <row r="1198" spans="1:25" ht="15.75" customHeight="1">
      <c r="A1198" s="125"/>
      <c r="B1198" s="125"/>
      <c r="C1198" s="125"/>
      <c r="D1198" s="125"/>
      <c r="E1198" s="126"/>
      <c r="F1198" s="128"/>
      <c r="G1198" s="128"/>
      <c r="H1198" s="128"/>
      <c r="I1198" s="128"/>
      <c r="J1198" s="128"/>
      <c r="K1198" s="129"/>
      <c r="L1198" s="129"/>
      <c r="M1198" s="129"/>
      <c r="N1198" s="129"/>
      <c r="O1198" s="129"/>
      <c r="P1198" s="129"/>
      <c r="Q1198" s="129"/>
      <c r="R1198" s="132"/>
      <c r="S1198" s="132"/>
      <c r="T1198" s="135"/>
      <c r="U1198" s="132"/>
      <c r="V1198" s="129"/>
      <c r="W1198" s="132"/>
      <c r="X1198" s="132"/>
      <c r="Y1198" s="132"/>
    </row>
    <row r="1199" spans="1:25" ht="15.75" customHeight="1">
      <c r="A1199" s="125"/>
      <c r="B1199" s="125"/>
      <c r="C1199" s="125"/>
      <c r="D1199" s="125"/>
      <c r="E1199" s="126"/>
      <c r="F1199" s="128"/>
      <c r="G1199" s="128"/>
      <c r="H1199" s="128"/>
      <c r="I1199" s="128"/>
      <c r="J1199" s="128"/>
      <c r="K1199" s="129"/>
      <c r="L1199" s="129"/>
      <c r="M1199" s="129"/>
      <c r="N1199" s="129"/>
      <c r="O1199" s="129"/>
      <c r="P1199" s="129"/>
      <c r="Q1199" s="129"/>
      <c r="R1199" s="132"/>
      <c r="S1199" s="132"/>
      <c r="T1199" s="135"/>
      <c r="U1199" s="132"/>
      <c r="V1199" s="129"/>
      <c r="W1199" s="132"/>
      <c r="X1199" s="132"/>
      <c r="Y1199" s="132"/>
    </row>
    <row r="1200" spans="1:25" ht="15.75" customHeight="1">
      <c r="A1200" s="125"/>
      <c r="B1200" s="125"/>
      <c r="C1200" s="125"/>
      <c r="D1200" s="125"/>
      <c r="E1200" s="126"/>
      <c r="F1200" s="128"/>
      <c r="G1200" s="128"/>
      <c r="H1200" s="128"/>
      <c r="I1200" s="128"/>
      <c r="J1200" s="128"/>
      <c r="K1200" s="129"/>
      <c r="L1200" s="129"/>
      <c r="M1200" s="129"/>
      <c r="N1200" s="129"/>
      <c r="O1200" s="129"/>
      <c r="P1200" s="129"/>
      <c r="Q1200" s="129"/>
      <c r="R1200" s="132"/>
      <c r="S1200" s="132"/>
      <c r="T1200" s="135"/>
      <c r="U1200" s="132"/>
      <c r="V1200" s="129"/>
      <c r="W1200" s="132"/>
      <c r="X1200" s="132"/>
      <c r="Y1200" s="132"/>
    </row>
    <row r="1201" spans="1:25" ht="15.75" customHeight="1">
      <c r="A1201" s="125"/>
      <c r="B1201" s="125"/>
      <c r="C1201" s="125"/>
      <c r="D1201" s="125"/>
      <c r="E1201" s="126"/>
      <c r="F1201" s="128"/>
      <c r="G1201" s="128"/>
      <c r="H1201" s="128"/>
      <c r="I1201" s="128"/>
      <c r="J1201" s="128"/>
      <c r="K1201" s="129"/>
      <c r="L1201" s="129"/>
      <c r="M1201" s="129"/>
      <c r="N1201" s="129"/>
      <c r="O1201" s="129"/>
      <c r="P1201" s="129"/>
      <c r="Q1201" s="129"/>
      <c r="R1201" s="132"/>
      <c r="S1201" s="132"/>
      <c r="T1201" s="135"/>
      <c r="U1201" s="132"/>
      <c r="V1201" s="129"/>
      <c r="W1201" s="132"/>
      <c r="X1201" s="132"/>
      <c r="Y1201" s="132"/>
    </row>
    <row r="1202" spans="1:25" ht="15.75" customHeight="1">
      <c r="A1202" s="125"/>
      <c r="B1202" s="125"/>
      <c r="C1202" s="125"/>
      <c r="D1202" s="125"/>
      <c r="E1202" s="126"/>
      <c r="F1202" s="128"/>
      <c r="G1202" s="128"/>
      <c r="H1202" s="128"/>
      <c r="I1202" s="128"/>
      <c r="J1202" s="128"/>
      <c r="K1202" s="129"/>
      <c r="L1202" s="129"/>
      <c r="M1202" s="129"/>
      <c r="N1202" s="129"/>
      <c r="O1202" s="129"/>
      <c r="P1202" s="129"/>
      <c r="Q1202" s="129"/>
      <c r="R1202" s="132"/>
      <c r="S1202" s="132"/>
      <c r="T1202" s="135"/>
      <c r="U1202" s="132"/>
      <c r="V1202" s="129"/>
      <c r="W1202" s="132"/>
      <c r="X1202" s="132"/>
      <c r="Y1202" s="132"/>
    </row>
    <row r="1203" spans="1:25" ht="15.75" customHeight="1">
      <c r="A1203" s="125"/>
      <c r="B1203" s="125"/>
      <c r="C1203" s="125"/>
      <c r="D1203" s="125"/>
      <c r="E1203" s="126"/>
      <c r="F1203" s="128"/>
      <c r="G1203" s="128"/>
      <c r="H1203" s="128"/>
      <c r="I1203" s="128"/>
      <c r="J1203" s="128"/>
      <c r="K1203" s="129"/>
      <c r="L1203" s="129"/>
      <c r="M1203" s="129"/>
      <c r="N1203" s="129"/>
      <c r="O1203" s="129"/>
      <c r="P1203" s="129"/>
      <c r="Q1203" s="129"/>
      <c r="R1203" s="132"/>
      <c r="S1203" s="132"/>
      <c r="T1203" s="135"/>
      <c r="U1203" s="132"/>
      <c r="V1203" s="129"/>
      <c r="W1203" s="132"/>
      <c r="X1203" s="132"/>
      <c r="Y1203" s="132"/>
    </row>
    <row r="1204" spans="1:25" ht="15.75" customHeight="1">
      <c r="A1204" s="125"/>
      <c r="B1204" s="125"/>
      <c r="C1204" s="125"/>
      <c r="D1204" s="125"/>
      <c r="E1204" s="126"/>
      <c r="F1204" s="128"/>
      <c r="G1204" s="128"/>
      <c r="H1204" s="128"/>
      <c r="I1204" s="128"/>
      <c r="J1204" s="128"/>
      <c r="K1204" s="129"/>
      <c r="L1204" s="129"/>
      <c r="M1204" s="129"/>
      <c r="N1204" s="129"/>
      <c r="O1204" s="129"/>
      <c r="P1204" s="129"/>
      <c r="Q1204" s="129"/>
      <c r="R1204" s="132"/>
      <c r="S1204" s="132"/>
      <c r="T1204" s="135"/>
      <c r="U1204" s="132"/>
      <c r="V1204" s="129"/>
      <c r="W1204" s="132"/>
      <c r="X1204" s="132"/>
      <c r="Y1204" s="132"/>
    </row>
    <row r="1205" spans="1:25" ht="15.75" customHeight="1">
      <c r="A1205" s="125"/>
      <c r="B1205" s="125"/>
      <c r="C1205" s="125"/>
      <c r="D1205" s="125"/>
      <c r="E1205" s="126"/>
      <c r="F1205" s="128"/>
      <c r="G1205" s="128"/>
      <c r="H1205" s="128"/>
      <c r="I1205" s="128"/>
      <c r="J1205" s="128"/>
      <c r="K1205" s="129"/>
      <c r="L1205" s="129"/>
      <c r="M1205" s="129"/>
      <c r="N1205" s="129"/>
      <c r="O1205" s="129"/>
      <c r="P1205" s="129"/>
      <c r="Q1205" s="129"/>
      <c r="R1205" s="132"/>
      <c r="S1205" s="132"/>
      <c r="T1205" s="135"/>
      <c r="U1205" s="132"/>
      <c r="V1205" s="129"/>
      <c r="W1205" s="132"/>
      <c r="X1205" s="132"/>
      <c r="Y1205" s="132"/>
    </row>
    <row r="1206" spans="1:25" ht="15.75" customHeight="1">
      <c r="A1206" s="125"/>
      <c r="B1206" s="125"/>
      <c r="C1206" s="125"/>
      <c r="D1206" s="125"/>
      <c r="E1206" s="126"/>
      <c r="F1206" s="128"/>
      <c r="G1206" s="128"/>
      <c r="H1206" s="128"/>
      <c r="I1206" s="128"/>
      <c r="J1206" s="128"/>
      <c r="K1206" s="129"/>
      <c r="L1206" s="129"/>
      <c r="M1206" s="129"/>
      <c r="N1206" s="129"/>
      <c r="O1206" s="129"/>
      <c r="P1206" s="129"/>
      <c r="Q1206" s="129"/>
      <c r="R1206" s="132"/>
      <c r="S1206" s="132"/>
      <c r="T1206" s="135"/>
      <c r="U1206" s="132"/>
      <c r="V1206" s="129"/>
      <c r="W1206" s="132"/>
      <c r="X1206" s="132"/>
      <c r="Y1206" s="132"/>
    </row>
    <row r="1207" spans="1:25" ht="15.75" customHeight="1">
      <c r="A1207" s="125"/>
      <c r="B1207" s="125"/>
      <c r="C1207" s="125"/>
      <c r="D1207" s="125"/>
      <c r="E1207" s="126"/>
      <c r="F1207" s="128"/>
      <c r="G1207" s="128"/>
      <c r="H1207" s="128"/>
      <c r="I1207" s="128"/>
      <c r="J1207" s="128"/>
      <c r="K1207" s="129"/>
      <c r="L1207" s="129"/>
      <c r="M1207" s="129"/>
      <c r="N1207" s="129"/>
      <c r="O1207" s="129"/>
      <c r="P1207" s="129"/>
      <c r="Q1207" s="129"/>
      <c r="R1207" s="132"/>
      <c r="S1207" s="132"/>
      <c r="T1207" s="135"/>
      <c r="U1207" s="132"/>
      <c r="V1207" s="129"/>
      <c r="W1207" s="132"/>
      <c r="X1207" s="132"/>
      <c r="Y1207" s="132"/>
    </row>
    <row r="1208" spans="1:25" ht="15.75" customHeight="1">
      <c r="A1208" s="125"/>
      <c r="B1208" s="125"/>
      <c r="C1208" s="125"/>
      <c r="D1208" s="125"/>
      <c r="E1208" s="126"/>
      <c r="F1208" s="128"/>
      <c r="G1208" s="128"/>
      <c r="H1208" s="128"/>
      <c r="I1208" s="128"/>
      <c r="J1208" s="128"/>
      <c r="K1208" s="129"/>
      <c r="L1208" s="129"/>
      <c r="M1208" s="129"/>
      <c r="N1208" s="129"/>
      <c r="O1208" s="129"/>
      <c r="P1208" s="129"/>
      <c r="Q1208" s="129"/>
      <c r="R1208" s="132"/>
      <c r="S1208" s="132"/>
      <c r="T1208" s="135"/>
      <c r="U1208" s="132"/>
      <c r="V1208" s="129"/>
      <c r="W1208" s="132"/>
      <c r="X1208" s="132"/>
      <c r="Y1208" s="132"/>
    </row>
    <row r="1209" spans="1:25" ht="15.75" customHeight="1">
      <c r="A1209" s="125"/>
      <c r="B1209" s="125"/>
      <c r="C1209" s="125"/>
      <c r="D1209" s="125"/>
      <c r="E1209" s="126"/>
      <c r="F1209" s="128"/>
      <c r="G1209" s="128"/>
      <c r="H1209" s="128"/>
      <c r="I1209" s="128"/>
      <c r="J1209" s="128"/>
      <c r="K1209" s="129"/>
      <c r="L1209" s="129"/>
      <c r="M1209" s="129"/>
      <c r="N1209" s="129"/>
      <c r="O1209" s="129"/>
      <c r="P1209" s="129"/>
      <c r="Q1209" s="129"/>
      <c r="R1209" s="132"/>
      <c r="S1209" s="132"/>
      <c r="T1209" s="135"/>
      <c r="U1209" s="132"/>
      <c r="V1209" s="129"/>
      <c r="W1209" s="132"/>
      <c r="X1209" s="132"/>
      <c r="Y1209" s="132"/>
    </row>
    <row r="1210" spans="1:25" ht="15.75" customHeight="1">
      <c r="A1210" s="125"/>
      <c r="B1210" s="125"/>
      <c r="C1210" s="125"/>
      <c r="D1210" s="125"/>
      <c r="E1210" s="126"/>
      <c r="F1210" s="128"/>
      <c r="G1210" s="128"/>
      <c r="H1210" s="128"/>
      <c r="I1210" s="128"/>
      <c r="J1210" s="128"/>
      <c r="K1210" s="129"/>
      <c r="L1210" s="129"/>
      <c r="M1210" s="129"/>
      <c r="N1210" s="129"/>
      <c r="O1210" s="129"/>
      <c r="P1210" s="129"/>
      <c r="Q1210" s="129"/>
      <c r="R1210" s="132"/>
      <c r="S1210" s="132"/>
      <c r="T1210" s="135"/>
      <c r="U1210" s="132"/>
      <c r="V1210" s="129"/>
      <c r="W1210" s="132"/>
      <c r="X1210" s="132"/>
      <c r="Y1210" s="132"/>
    </row>
    <row r="1211" spans="1:25" ht="15.75" customHeight="1">
      <c r="A1211" s="125"/>
      <c r="B1211" s="125"/>
      <c r="C1211" s="125"/>
      <c r="D1211" s="125"/>
      <c r="E1211" s="126"/>
      <c r="F1211" s="128"/>
      <c r="G1211" s="128"/>
      <c r="H1211" s="128"/>
      <c r="I1211" s="128"/>
      <c r="J1211" s="128"/>
      <c r="K1211" s="129"/>
      <c r="L1211" s="129"/>
      <c r="M1211" s="129"/>
      <c r="N1211" s="129"/>
      <c r="O1211" s="129"/>
      <c r="P1211" s="129"/>
      <c r="Q1211" s="129"/>
      <c r="R1211" s="132"/>
      <c r="S1211" s="132"/>
      <c r="T1211" s="135"/>
      <c r="U1211" s="132"/>
      <c r="V1211" s="129"/>
      <c r="W1211" s="132"/>
      <c r="X1211" s="132"/>
      <c r="Y1211" s="132"/>
    </row>
    <row r="1212" spans="1:25" ht="15.75" customHeight="1">
      <c r="A1212" s="125"/>
      <c r="B1212" s="125"/>
      <c r="C1212" s="125"/>
      <c r="D1212" s="125"/>
      <c r="E1212" s="126"/>
      <c r="F1212" s="128"/>
      <c r="G1212" s="128"/>
      <c r="H1212" s="128"/>
      <c r="I1212" s="128"/>
      <c r="J1212" s="128"/>
      <c r="K1212" s="129"/>
      <c r="L1212" s="129"/>
      <c r="M1212" s="129"/>
      <c r="N1212" s="129"/>
      <c r="O1212" s="129"/>
      <c r="P1212" s="129"/>
      <c r="Q1212" s="129"/>
      <c r="R1212" s="132"/>
      <c r="S1212" s="132"/>
      <c r="T1212" s="135"/>
      <c r="U1212" s="132"/>
      <c r="V1212" s="129"/>
      <c r="W1212" s="132"/>
      <c r="X1212" s="132"/>
      <c r="Y1212" s="132"/>
    </row>
    <row r="1213" spans="1:25" ht="15.75" customHeight="1">
      <c r="A1213" s="125"/>
      <c r="B1213" s="125"/>
      <c r="C1213" s="125"/>
      <c r="D1213" s="125"/>
      <c r="E1213" s="126"/>
      <c r="F1213" s="128"/>
      <c r="G1213" s="128"/>
      <c r="H1213" s="128"/>
      <c r="I1213" s="128"/>
      <c r="J1213" s="128"/>
      <c r="K1213" s="129"/>
      <c r="L1213" s="129"/>
      <c r="M1213" s="129"/>
      <c r="N1213" s="129"/>
      <c r="O1213" s="129"/>
      <c r="P1213" s="129"/>
      <c r="Q1213" s="129"/>
      <c r="R1213" s="132"/>
      <c r="S1213" s="132"/>
      <c r="T1213" s="135"/>
      <c r="U1213" s="132"/>
      <c r="V1213" s="129"/>
      <c r="W1213" s="132"/>
      <c r="X1213" s="132"/>
      <c r="Y1213" s="132"/>
    </row>
    <row r="1214" spans="1:25" ht="15.75" customHeight="1">
      <c r="A1214" s="125"/>
      <c r="B1214" s="125"/>
      <c r="C1214" s="125"/>
      <c r="D1214" s="125"/>
      <c r="E1214" s="126"/>
      <c r="F1214" s="128"/>
      <c r="G1214" s="128"/>
      <c r="H1214" s="128"/>
      <c r="I1214" s="128"/>
      <c r="J1214" s="128"/>
      <c r="K1214" s="129"/>
      <c r="L1214" s="129"/>
      <c r="M1214" s="129"/>
      <c r="N1214" s="129"/>
      <c r="O1214" s="129"/>
      <c r="P1214" s="129"/>
      <c r="Q1214" s="129"/>
      <c r="R1214" s="132"/>
      <c r="S1214" s="132"/>
      <c r="T1214" s="135"/>
      <c r="U1214" s="132"/>
      <c r="V1214" s="129"/>
      <c r="W1214" s="132"/>
      <c r="X1214" s="132"/>
      <c r="Y1214" s="132"/>
    </row>
    <row r="1215" spans="1:25" ht="15.75" customHeight="1">
      <c r="A1215" s="125"/>
      <c r="B1215" s="125"/>
      <c r="C1215" s="125"/>
      <c r="D1215" s="125"/>
      <c r="E1215" s="126"/>
      <c r="F1215" s="128"/>
      <c r="G1215" s="128"/>
      <c r="H1215" s="128"/>
      <c r="I1215" s="128"/>
      <c r="J1215" s="128"/>
      <c r="K1215" s="129"/>
      <c r="L1215" s="129"/>
      <c r="M1215" s="129"/>
      <c r="N1215" s="129"/>
      <c r="O1215" s="129"/>
      <c r="P1215" s="129"/>
      <c r="Q1215" s="129"/>
      <c r="R1215" s="132"/>
      <c r="S1215" s="132"/>
      <c r="T1215" s="135"/>
      <c r="U1215" s="132"/>
      <c r="V1215" s="129"/>
      <c r="W1215" s="132"/>
      <c r="X1215" s="132"/>
      <c r="Y1215" s="132"/>
    </row>
    <row r="1216" spans="1:25" ht="15.75" customHeight="1">
      <c r="A1216" s="125"/>
      <c r="B1216" s="125"/>
      <c r="C1216" s="125"/>
      <c r="D1216" s="125"/>
      <c r="E1216" s="126"/>
      <c r="F1216" s="128"/>
      <c r="G1216" s="128"/>
      <c r="H1216" s="128"/>
      <c r="I1216" s="128"/>
      <c r="J1216" s="128"/>
      <c r="K1216" s="129"/>
      <c r="L1216" s="129"/>
      <c r="M1216" s="129"/>
      <c r="N1216" s="129"/>
      <c r="O1216" s="129"/>
      <c r="P1216" s="129"/>
      <c r="Q1216" s="129"/>
      <c r="R1216" s="132"/>
      <c r="S1216" s="132"/>
      <c r="T1216" s="135"/>
      <c r="U1216" s="132"/>
      <c r="V1216" s="129"/>
      <c r="W1216" s="132"/>
      <c r="X1216" s="132"/>
      <c r="Y1216" s="132"/>
    </row>
    <row r="1217" spans="1:25" ht="15.75" customHeight="1">
      <c r="A1217" s="125"/>
      <c r="B1217" s="125"/>
      <c r="C1217" s="125"/>
      <c r="D1217" s="125"/>
      <c r="E1217" s="126"/>
      <c r="F1217" s="128"/>
      <c r="G1217" s="128"/>
      <c r="H1217" s="128"/>
      <c r="I1217" s="128"/>
      <c r="J1217" s="128"/>
      <c r="K1217" s="129"/>
      <c r="L1217" s="129"/>
      <c r="M1217" s="129"/>
      <c r="N1217" s="129"/>
      <c r="O1217" s="129"/>
      <c r="P1217" s="129"/>
      <c r="Q1217" s="129"/>
      <c r="R1217" s="132"/>
      <c r="S1217" s="132"/>
      <c r="T1217" s="135"/>
      <c r="U1217" s="132"/>
      <c r="V1217" s="129"/>
      <c r="W1217" s="132"/>
      <c r="X1217" s="132"/>
      <c r="Y1217" s="132"/>
    </row>
    <row r="1218" spans="1:25" ht="15.75" customHeight="1">
      <c r="A1218" s="125"/>
      <c r="B1218" s="125"/>
      <c r="C1218" s="125"/>
      <c r="D1218" s="125"/>
      <c r="E1218" s="126"/>
      <c r="F1218" s="128"/>
      <c r="G1218" s="128"/>
      <c r="H1218" s="128"/>
      <c r="I1218" s="128"/>
      <c r="J1218" s="128"/>
      <c r="K1218" s="129"/>
      <c r="L1218" s="129"/>
      <c r="M1218" s="129"/>
      <c r="N1218" s="129"/>
      <c r="O1218" s="129"/>
      <c r="P1218" s="129"/>
      <c r="Q1218" s="129"/>
      <c r="R1218" s="132"/>
      <c r="S1218" s="132"/>
      <c r="T1218" s="135"/>
      <c r="U1218" s="132"/>
      <c r="V1218" s="129"/>
      <c r="W1218" s="132"/>
      <c r="X1218" s="132"/>
      <c r="Y1218" s="132"/>
    </row>
    <row r="1219" spans="1:25" ht="15.75" customHeight="1">
      <c r="A1219" s="125"/>
      <c r="B1219" s="125"/>
      <c r="C1219" s="125"/>
      <c r="D1219" s="125"/>
      <c r="E1219" s="126"/>
      <c r="F1219" s="128"/>
      <c r="G1219" s="128"/>
      <c r="H1219" s="128"/>
      <c r="I1219" s="128"/>
      <c r="J1219" s="128"/>
      <c r="K1219" s="129"/>
      <c r="L1219" s="129"/>
      <c r="M1219" s="129"/>
      <c r="N1219" s="129"/>
      <c r="O1219" s="129"/>
      <c r="P1219" s="129"/>
      <c r="Q1219" s="129"/>
      <c r="R1219" s="132"/>
      <c r="S1219" s="132"/>
      <c r="T1219" s="135"/>
      <c r="U1219" s="132"/>
      <c r="V1219" s="129"/>
      <c r="W1219" s="132"/>
      <c r="X1219" s="132"/>
      <c r="Y1219" s="132"/>
    </row>
    <row r="1220" spans="1:25" ht="15.75" customHeight="1">
      <c r="A1220" s="125"/>
      <c r="B1220" s="125"/>
      <c r="C1220" s="125"/>
      <c r="D1220" s="125"/>
      <c r="E1220" s="126"/>
      <c r="F1220" s="128"/>
      <c r="G1220" s="128"/>
      <c r="H1220" s="128"/>
      <c r="I1220" s="128"/>
      <c r="J1220" s="128"/>
      <c r="K1220" s="129"/>
      <c r="L1220" s="129"/>
      <c r="M1220" s="129"/>
      <c r="N1220" s="129"/>
      <c r="O1220" s="129"/>
      <c r="P1220" s="129"/>
      <c r="Q1220" s="129"/>
      <c r="R1220" s="132"/>
      <c r="S1220" s="132"/>
      <c r="T1220" s="135"/>
      <c r="U1220" s="132"/>
      <c r="V1220" s="129"/>
      <c r="W1220" s="132"/>
      <c r="X1220" s="132"/>
      <c r="Y1220" s="132"/>
    </row>
    <row r="1221" spans="1:25" ht="15.75" customHeight="1">
      <c r="A1221" s="125"/>
      <c r="B1221" s="125"/>
      <c r="C1221" s="125"/>
      <c r="D1221" s="125"/>
      <c r="E1221" s="126"/>
      <c r="F1221" s="128"/>
      <c r="G1221" s="128"/>
      <c r="H1221" s="128"/>
      <c r="I1221" s="128"/>
      <c r="J1221" s="128"/>
      <c r="K1221" s="129"/>
      <c r="L1221" s="129"/>
      <c r="M1221" s="129"/>
      <c r="N1221" s="129"/>
      <c r="O1221" s="129"/>
      <c r="P1221" s="129"/>
      <c r="Q1221" s="129"/>
      <c r="R1221" s="132"/>
      <c r="S1221" s="132"/>
      <c r="T1221" s="135"/>
      <c r="U1221" s="132"/>
      <c r="V1221" s="129"/>
      <c r="W1221" s="132"/>
      <c r="X1221" s="132"/>
      <c r="Y1221" s="132"/>
    </row>
    <row r="1222" spans="1:25" ht="15.75" customHeight="1">
      <c r="A1222" s="125"/>
      <c r="B1222" s="125"/>
      <c r="C1222" s="125"/>
      <c r="D1222" s="125"/>
      <c r="E1222" s="126"/>
      <c r="F1222" s="128"/>
      <c r="G1222" s="128"/>
      <c r="H1222" s="128"/>
      <c r="I1222" s="128"/>
      <c r="J1222" s="128"/>
      <c r="K1222" s="129"/>
      <c r="L1222" s="129"/>
      <c r="M1222" s="129"/>
      <c r="N1222" s="129"/>
      <c r="O1222" s="129"/>
      <c r="P1222" s="129"/>
      <c r="Q1222" s="129"/>
      <c r="R1222" s="132"/>
      <c r="S1222" s="132"/>
      <c r="T1222" s="135"/>
      <c r="U1222" s="132"/>
      <c r="V1222" s="129"/>
      <c r="W1222" s="132"/>
      <c r="X1222" s="132"/>
      <c r="Y1222" s="132"/>
    </row>
    <row r="1223" spans="1:25" ht="15.75" customHeight="1">
      <c r="A1223" s="125"/>
      <c r="B1223" s="125"/>
      <c r="C1223" s="125"/>
      <c r="D1223" s="125"/>
      <c r="E1223" s="126"/>
      <c r="F1223" s="128"/>
      <c r="G1223" s="128"/>
      <c r="H1223" s="128"/>
      <c r="I1223" s="128"/>
      <c r="J1223" s="128"/>
      <c r="K1223" s="129"/>
      <c r="L1223" s="129"/>
      <c r="M1223" s="129"/>
      <c r="N1223" s="129"/>
      <c r="O1223" s="129"/>
      <c r="P1223" s="129"/>
      <c r="Q1223" s="129"/>
      <c r="R1223" s="132"/>
      <c r="S1223" s="132"/>
      <c r="T1223" s="135"/>
      <c r="U1223" s="132"/>
      <c r="V1223" s="129"/>
      <c r="W1223" s="132"/>
      <c r="X1223" s="132"/>
      <c r="Y1223" s="132"/>
    </row>
    <row r="1224" spans="1:25" ht="15.75" customHeight="1">
      <c r="A1224" s="125"/>
      <c r="B1224" s="125"/>
      <c r="C1224" s="125"/>
      <c r="D1224" s="125"/>
      <c r="E1224" s="126"/>
      <c r="F1224" s="128"/>
      <c r="G1224" s="128"/>
      <c r="H1224" s="128"/>
      <c r="I1224" s="128"/>
      <c r="J1224" s="128"/>
      <c r="K1224" s="129"/>
      <c r="L1224" s="129"/>
      <c r="M1224" s="129"/>
      <c r="N1224" s="129"/>
      <c r="O1224" s="129"/>
      <c r="P1224" s="129"/>
      <c r="Q1224" s="129"/>
      <c r="R1224" s="132"/>
      <c r="S1224" s="132"/>
      <c r="T1224" s="135"/>
      <c r="U1224" s="132"/>
      <c r="V1224" s="129"/>
      <c r="W1224" s="132"/>
      <c r="X1224" s="132"/>
      <c r="Y1224" s="132"/>
    </row>
    <row r="1225" spans="1:25" ht="15.75" customHeight="1">
      <c r="A1225" s="125"/>
      <c r="B1225" s="125"/>
      <c r="C1225" s="125"/>
      <c r="D1225" s="125"/>
      <c r="E1225" s="126"/>
      <c r="F1225" s="128"/>
      <c r="G1225" s="128"/>
      <c r="H1225" s="128"/>
      <c r="I1225" s="128"/>
      <c r="J1225" s="128"/>
      <c r="K1225" s="129"/>
      <c r="L1225" s="129"/>
      <c r="M1225" s="129"/>
      <c r="N1225" s="129"/>
      <c r="O1225" s="129"/>
      <c r="P1225" s="129"/>
      <c r="Q1225" s="129"/>
      <c r="R1225" s="132"/>
      <c r="S1225" s="132"/>
      <c r="T1225" s="135"/>
      <c r="U1225" s="132"/>
      <c r="V1225" s="129"/>
      <c r="W1225" s="132"/>
      <c r="X1225" s="132"/>
      <c r="Y1225" s="132"/>
    </row>
    <row r="1226" spans="1:25" ht="15.75" customHeight="1">
      <c r="A1226" s="125"/>
      <c r="B1226" s="125"/>
      <c r="C1226" s="125"/>
      <c r="D1226" s="125"/>
      <c r="E1226" s="126"/>
      <c r="F1226" s="128"/>
      <c r="G1226" s="128"/>
      <c r="H1226" s="128"/>
      <c r="I1226" s="128"/>
      <c r="J1226" s="128"/>
      <c r="K1226" s="129"/>
      <c r="L1226" s="129"/>
      <c r="M1226" s="129"/>
      <c r="N1226" s="129"/>
      <c r="O1226" s="129"/>
      <c r="P1226" s="129"/>
      <c r="Q1226" s="129"/>
      <c r="R1226" s="132"/>
      <c r="S1226" s="132"/>
      <c r="T1226" s="135"/>
      <c r="U1226" s="132"/>
      <c r="V1226" s="129"/>
      <c r="W1226" s="132"/>
      <c r="X1226" s="132"/>
      <c r="Y1226" s="132"/>
    </row>
    <row r="1227" spans="1:25" ht="15.75" customHeight="1">
      <c r="A1227" s="125"/>
      <c r="B1227" s="125"/>
      <c r="C1227" s="125"/>
      <c r="D1227" s="125"/>
      <c r="E1227" s="126"/>
      <c r="F1227" s="128"/>
      <c r="G1227" s="128"/>
      <c r="H1227" s="128"/>
      <c r="I1227" s="128"/>
      <c r="J1227" s="128"/>
      <c r="K1227" s="129"/>
      <c r="L1227" s="129"/>
      <c r="M1227" s="129"/>
      <c r="N1227" s="129"/>
      <c r="O1227" s="129"/>
      <c r="P1227" s="129"/>
      <c r="Q1227" s="129"/>
      <c r="R1227" s="132"/>
      <c r="S1227" s="132"/>
      <c r="T1227" s="135"/>
      <c r="U1227" s="132"/>
      <c r="V1227" s="129"/>
      <c r="W1227" s="132"/>
      <c r="X1227" s="132"/>
      <c r="Y1227" s="132"/>
    </row>
    <row r="1228" spans="1:25" ht="15.75" customHeight="1">
      <c r="A1228" s="125"/>
      <c r="B1228" s="125"/>
      <c r="C1228" s="125"/>
      <c r="D1228" s="125"/>
      <c r="E1228" s="126"/>
      <c r="F1228" s="128"/>
      <c r="G1228" s="128"/>
      <c r="H1228" s="128"/>
      <c r="I1228" s="128"/>
      <c r="J1228" s="128"/>
      <c r="K1228" s="129"/>
      <c r="L1228" s="129"/>
      <c r="M1228" s="129"/>
      <c r="N1228" s="129"/>
      <c r="O1228" s="129"/>
      <c r="P1228" s="129"/>
      <c r="Q1228" s="129"/>
      <c r="R1228" s="132"/>
      <c r="S1228" s="132"/>
      <c r="T1228" s="135"/>
      <c r="U1228" s="132"/>
      <c r="V1228" s="129"/>
      <c r="W1228" s="132"/>
      <c r="X1228" s="132"/>
      <c r="Y1228" s="132"/>
    </row>
    <row r="1229" spans="1:25" ht="15.75" customHeight="1">
      <c r="A1229" s="125"/>
      <c r="B1229" s="125"/>
      <c r="C1229" s="125"/>
      <c r="D1229" s="125"/>
      <c r="E1229" s="126"/>
      <c r="F1229" s="128"/>
      <c r="G1229" s="128"/>
      <c r="H1229" s="128"/>
      <c r="I1229" s="128"/>
      <c r="J1229" s="128"/>
      <c r="K1229" s="129"/>
      <c r="L1229" s="129"/>
      <c r="M1229" s="129"/>
      <c r="N1229" s="129"/>
      <c r="O1229" s="129"/>
      <c r="P1229" s="129"/>
      <c r="Q1229" s="129"/>
      <c r="R1229" s="132"/>
      <c r="S1229" s="132"/>
      <c r="T1229" s="135"/>
      <c r="U1229" s="132"/>
      <c r="V1229" s="129"/>
      <c r="W1229" s="132"/>
      <c r="X1229" s="132"/>
      <c r="Y1229" s="132"/>
    </row>
    <row r="1230" spans="1:25" ht="15.75" customHeight="1">
      <c r="A1230" s="125"/>
      <c r="B1230" s="125"/>
      <c r="C1230" s="125"/>
      <c r="D1230" s="125"/>
      <c r="E1230" s="126"/>
      <c r="F1230" s="128"/>
      <c r="G1230" s="128"/>
      <c r="H1230" s="128"/>
      <c r="I1230" s="128"/>
      <c r="J1230" s="128"/>
      <c r="K1230" s="129"/>
      <c r="L1230" s="129"/>
      <c r="M1230" s="129"/>
      <c r="N1230" s="129"/>
      <c r="O1230" s="129"/>
      <c r="P1230" s="129"/>
      <c r="Q1230" s="129"/>
      <c r="R1230" s="132"/>
      <c r="S1230" s="132"/>
      <c r="T1230" s="135"/>
      <c r="U1230" s="132"/>
      <c r="V1230" s="129"/>
      <c r="W1230" s="132"/>
      <c r="X1230" s="132"/>
      <c r="Y1230" s="132"/>
    </row>
    <row r="1231" spans="1:25" ht="15.75" customHeight="1">
      <c r="A1231" s="125"/>
      <c r="B1231" s="125"/>
      <c r="C1231" s="125"/>
      <c r="D1231" s="125"/>
      <c r="E1231" s="126"/>
      <c r="F1231" s="128"/>
      <c r="G1231" s="128"/>
      <c r="H1231" s="128"/>
      <c r="I1231" s="128"/>
      <c r="J1231" s="128"/>
      <c r="K1231" s="129"/>
      <c r="L1231" s="129"/>
      <c r="M1231" s="129"/>
      <c r="N1231" s="129"/>
      <c r="O1231" s="129"/>
      <c r="P1231" s="129"/>
      <c r="Q1231" s="129"/>
      <c r="R1231" s="132"/>
      <c r="S1231" s="132"/>
      <c r="T1231" s="135"/>
      <c r="U1231" s="132"/>
      <c r="V1231" s="129"/>
      <c r="W1231" s="132"/>
      <c r="X1231" s="132"/>
      <c r="Y1231" s="132"/>
    </row>
    <row r="1232" spans="1:25" ht="15.75" customHeight="1">
      <c r="A1232" s="125"/>
      <c r="B1232" s="125"/>
      <c r="C1232" s="125"/>
      <c r="D1232" s="125"/>
      <c r="E1232" s="126"/>
      <c r="F1232" s="128"/>
      <c r="G1232" s="128"/>
      <c r="H1232" s="128"/>
      <c r="I1232" s="128"/>
      <c r="J1232" s="128"/>
      <c r="K1232" s="129"/>
      <c r="L1232" s="129"/>
      <c r="M1232" s="129"/>
      <c r="N1232" s="129"/>
      <c r="O1232" s="129"/>
      <c r="P1232" s="129"/>
      <c r="Q1232" s="129"/>
      <c r="R1232" s="132"/>
      <c r="S1232" s="132"/>
      <c r="T1232" s="135"/>
      <c r="U1232" s="132"/>
      <c r="V1232" s="129"/>
      <c r="W1232" s="132"/>
      <c r="X1232" s="132"/>
      <c r="Y1232" s="132"/>
    </row>
    <row r="1233" spans="1:25" ht="15.75" customHeight="1">
      <c r="A1233" s="125"/>
      <c r="B1233" s="125"/>
      <c r="C1233" s="125"/>
      <c r="D1233" s="125"/>
      <c r="E1233" s="126"/>
      <c r="F1233" s="128"/>
      <c r="G1233" s="128"/>
      <c r="H1233" s="128"/>
      <c r="I1233" s="128"/>
      <c r="J1233" s="128"/>
      <c r="K1233" s="129"/>
      <c r="L1233" s="129"/>
      <c r="M1233" s="129"/>
      <c r="N1233" s="129"/>
      <c r="O1233" s="129"/>
      <c r="P1233" s="129"/>
      <c r="Q1233" s="129"/>
      <c r="R1233" s="132"/>
      <c r="S1233" s="132"/>
      <c r="T1233" s="135"/>
      <c r="U1233" s="132"/>
      <c r="V1233" s="129"/>
      <c r="W1233" s="132"/>
      <c r="X1233" s="132"/>
      <c r="Y1233" s="132"/>
    </row>
    <row r="1234" spans="1:25" ht="15.75" customHeight="1">
      <c r="A1234" s="125"/>
      <c r="B1234" s="125"/>
      <c r="C1234" s="125"/>
      <c r="D1234" s="125"/>
      <c r="E1234" s="126"/>
      <c r="F1234" s="128"/>
      <c r="G1234" s="128"/>
      <c r="H1234" s="128"/>
      <c r="I1234" s="128"/>
      <c r="J1234" s="128"/>
      <c r="K1234" s="129"/>
      <c r="L1234" s="129"/>
      <c r="M1234" s="129"/>
      <c r="N1234" s="129"/>
      <c r="O1234" s="129"/>
      <c r="P1234" s="129"/>
      <c r="Q1234" s="129"/>
      <c r="R1234" s="132"/>
      <c r="S1234" s="132"/>
      <c r="T1234" s="135"/>
      <c r="U1234" s="132"/>
      <c r="V1234" s="129"/>
      <c r="W1234" s="132"/>
      <c r="X1234" s="132"/>
      <c r="Y1234" s="132"/>
    </row>
    <row r="1235" spans="1:25" ht="15.75" customHeight="1">
      <c r="A1235" s="125"/>
      <c r="B1235" s="125"/>
      <c r="C1235" s="125"/>
      <c r="D1235" s="125"/>
      <c r="E1235" s="126"/>
      <c r="F1235" s="128"/>
      <c r="G1235" s="128"/>
      <c r="H1235" s="128"/>
      <c r="I1235" s="128"/>
      <c r="J1235" s="128"/>
      <c r="K1235" s="129"/>
      <c r="L1235" s="129"/>
      <c r="M1235" s="129"/>
      <c r="N1235" s="129"/>
      <c r="O1235" s="129"/>
      <c r="P1235" s="129"/>
      <c r="Q1235" s="129"/>
      <c r="R1235" s="132"/>
      <c r="S1235" s="132"/>
      <c r="T1235" s="135"/>
      <c r="U1235" s="132"/>
      <c r="V1235" s="129"/>
      <c r="W1235" s="132"/>
      <c r="X1235" s="132"/>
      <c r="Y1235" s="132"/>
    </row>
    <row r="1236" spans="1:25" ht="15.75" customHeight="1">
      <c r="A1236" s="125"/>
      <c r="B1236" s="125"/>
      <c r="C1236" s="125"/>
      <c r="D1236" s="125"/>
      <c r="E1236" s="126"/>
      <c r="F1236" s="128"/>
      <c r="G1236" s="128"/>
      <c r="H1236" s="128"/>
      <c r="I1236" s="128"/>
      <c r="J1236" s="128"/>
      <c r="K1236" s="129"/>
      <c r="L1236" s="129"/>
      <c r="M1236" s="129"/>
      <c r="N1236" s="129"/>
      <c r="O1236" s="129"/>
      <c r="P1236" s="129"/>
      <c r="Q1236" s="129"/>
      <c r="R1236" s="132"/>
      <c r="S1236" s="132"/>
      <c r="T1236" s="135"/>
      <c r="U1236" s="132"/>
      <c r="V1236" s="129"/>
      <c r="W1236" s="132"/>
      <c r="X1236" s="132"/>
      <c r="Y1236" s="132"/>
    </row>
    <row r="1237" spans="1:25" ht="15.75" customHeight="1">
      <c r="A1237" s="125"/>
      <c r="B1237" s="125"/>
      <c r="C1237" s="125"/>
      <c r="D1237" s="125"/>
      <c r="E1237" s="126"/>
      <c r="F1237" s="128"/>
      <c r="G1237" s="128"/>
      <c r="H1237" s="128"/>
      <c r="I1237" s="128"/>
      <c r="J1237" s="128"/>
      <c r="K1237" s="129"/>
      <c r="L1237" s="129"/>
      <c r="M1237" s="129"/>
      <c r="N1237" s="129"/>
      <c r="O1237" s="129"/>
      <c r="P1237" s="129"/>
      <c r="Q1237" s="129"/>
      <c r="R1237" s="132"/>
      <c r="S1237" s="132"/>
      <c r="T1237" s="135"/>
      <c r="U1237" s="132"/>
      <c r="V1237" s="129"/>
      <c r="W1237" s="132"/>
      <c r="X1237" s="132"/>
      <c r="Y1237" s="132"/>
    </row>
    <row r="1238" spans="1:25" ht="15.75" customHeight="1">
      <c r="A1238" s="125"/>
      <c r="B1238" s="125"/>
      <c r="C1238" s="125"/>
      <c r="D1238" s="125"/>
      <c r="E1238" s="126"/>
      <c r="F1238" s="128"/>
      <c r="G1238" s="128"/>
      <c r="H1238" s="128"/>
      <c r="I1238" s="128"/>
      <c r="J1238" s="128"/>
      <c r="K1238" s="129"/>
      <c r="L1238" s="129"/>
      <c r="M1238" s="129"/>
      <c r="N1238" s="129"/>
      <c r="O1238" s="129"/>
      <c r="P1238" s="129"/>
      <c r="Q1238" s="129"/>
      <c r="R1238" s="132"/>
      <c r="S1238" s="132"/>
      <c r="T1238" s="135"/>
      <c r="U1238" s="132"/>
      <c r="V1238" s="129"/>
      <c r="W1238" s="132"/>
      <c r="X1238" s="132"/>
      <c r="Y1238" s="132"/>
    </row>
    <row r="1239" spans="1:25" ht="15.75" customHeight="1">
      <c r="A1239" s="125"/>
      <c r="B1239" s="125"/>
      <c r="C1239" s="125"/>
      <c r="D1239" s="125"/>
      <c r="E1239" s="126"/>
      <c r="F1239" s="128"/>
      <c r="G1239" s="128"/>
      <c r="H1239" s="128"/>
      <c r="I1239" s="128"/>
      <c r="J1239" s="128"/>
      <c r="K1239" s="129"/>
      <c r="L1239" s="129"/>
      <c r="M1239" s="129"/>
      <c r="N1239" s="129"/>
      <c r="O1239" s="129"/>
      <c r="P1239" s="129"/>
      <c r="Q1239" s="129"/>
      <c r="R1239" s="132"/>
      <c r="S1239" s="132"/>
      <c r="T1239" s="135"/>
      <c r="U1239" s="132"/>
      <c r="V1239" s="129"/>
      <c r="W1239" s="132"/>
      <c r="X1239" s="132"/>
      <c r="Y1239" s="132"/>
    </row>
    <row r="1240" spans="1:25" ht="15.75" customHeight="1">
      <c r="A1240" s="125"/>
      <c r="B1240" s="125"/>
      <c r="C1240" s="125"/>
      <c r="D1240" s="125"/>
      <c r="E1240" s="126"/>
      <c r="F1240" s="128"/>
      <c r="G1240" s="128"/>
      <c r="H1240" s="128"/>
      <c r="I1240" s="128"/>
      <c r="J1240" s="128"/>
      <c r="K1240" s="129"/>
      <c r="L1240" s="129"/>
      <c r="M1240" s="129"/>
      <c r="N1240" s="129"/>
      <c r="O1240" s="129"/>
      <c r="P1240" s="129"/>
      <c r="Q1240" s="129"/>
      <c r="R1240" s="132"/>
      <c r="S1240" s="132"/>
      <c r="T1240" s="135"/>
      <c r="U1240" s="132"/>
      <c r="V1240" s="129"/>
      <c r="W1240" s="132"/>
      <c r="X1240" s="132"/>
      <c r="Y1240" s="132"/>
    </row>
    <row r="1241" spans="1:25" ht="15.75" customHeight="1">
      <c r="A1241" s="125"/>
      <c r="B1241" s="125"/>
      <c r="C1241" s="125"/>
      <c r="D1241" s="125"/>
      <c r="E1241" s="126"/>
      <c r="F1241" s="128"/>
      <c r="G1241" s="128"/>
      <c r="H1241" s="128"/>
      <c r="I1241" s="128"/>
      <c r="J1241" s="128"/>
      <c r="K1241" s="129"/>
      <c r="L1241" s="129"/>
      <c r="M1241" s="129"/>
      <c r="N1241" s="129"/>
      <c r="O1241" s="129"/>
      <c r="P1241" s="129"/>
      <c r="Q1241" s="129"/>
      <c r="R1241" s="132"/>
      <c r="S1241" s="132"/>
      <c r="T1241" s="135"/>
      <c r="U1241" s="132"/>
      <c r="V1241" s="129"/>
      <c r="W1241" s="132"/>
      <c r="X1241" s="132"/>
      <c r="Y1241" s="132"/>
    </row>
    <row r="1242" spans="1:25" ht="15.75" customHeight="1">
      <c r="A1242" s="125"/>
      <c r="B1242" s="125"/>
      <c r="C1242" s="125"/>
      <c r="D1242" s="125"/>
      <c r="E1242" s="126"/>
      <c r="F1242" s="128"/>
      <c r="G1242" s="128"/>
      <c r="H1242" s="128"/>
      <c r="I1242" s="128"/>
      <c r="J1242" s="128"/>
      <c r="K1242" s="129"/>
      <c r="L1242" s="129"/>
      <c r="M1242" s="129"/>
      <c r="N1242" s="129"/>
      <c r="O1242" s="129"/>
      <c r="P1242" s="129"/>
      <c r="Q1242" s="129"/>
      <c r="R1242" s="132"/>
      <c r="S1242" s="132"/>
      <c r="T1242" s="135"/>
      <c r="U1242" s="132"/>
      <c r="V1242" s="129"/>
      <c r="W1242" s="132"/>
      <c r="X1242" s="132"/>
      <c r="Y1242" s="132"/>
    </row>
    <row r="1243" spans="1:25" ht="15.75" customHeight="1">
      <c r="A1243" s="125"/>
      <c r="B1243" s="125"/>
      <c r="C1243" s="125"/>
      <c r="D1243" s="125"/>
      <c r="E1243" s="126"/>
      <c r="F1243" s="128"/>
      <c r="G1243" s="128"/>
      <c r="H1243" s="128"/>
      <c r="I1243" s="128"/>
      <c r="J1243" s="128"/>
      <c r="K1243" s="129"/>
      <c r="L1243" s="129"/>
      <c r="M1243" s="129"/>
      <c r="N1243" s="129"/>
      <c r="O1243" s="129"/>
      <c r="P1243" s="129"/>
      <c r="Q1243" s="129"/>
      <c r="R1243" s="132"/>
      <c r="S1243" s="132"/>
      <c r="T1243" s="135"/>
      <c r="U1243" s="132"/>
      <c r="V1243" s="129"/>
      <c r="W1243" s="132"/>
      <c r="X1243" s="132"/>
      <c r="Y1243" s="132"/>
    </row>
    <row r="1244" spans="1:25" ht="15.75" customHeight="1">
      <c r="A1244" s="125"/>
      <c r="B1244" s="125"/>
      <c r="C1244" s="125"/>
      <c r="D1244" s="125"/>
      <c r="E1244" s="126"/>
      <c r="F1244" s="128"/>
      <c r="G1244" s="128"/>
      <c r="H1244" s="128"/>
      <c r="I1244" s="128"/>
      <c r="J1244" s="128"/>
      <c r="K1244" s="129"/>
      <c r="L1244" s="129"/>
      <c r="M1244" s="129"/>
      <c r="N1244" s="129"/>
      <c r="O1244" s="129"/>
      <c r="P1244" s="129"/>
      <c r="Q1244" s="129"/>
      <c r="R1244" s="132"/>
      <c r="S1244" s="132"/>
      <c r="T1244" s="135"/>
      <c r="U1244" s="132"/>
      <c r="V1244" s="129"/>
      <c r="W1244" s="132"/>
      <c r="X1244" s="132"/>
      <c r="Y1244" s="132"/>
    </row>
    <row r="1245" spans="1:25" ht="15.75" customHeight="1">
      <c r="A1245" s="125"/>
      <c r="B1245" s="125"/>
      <c r="C1245" s="125"/>
      <c r="D1245" s="125"/>
      <c r="E1245" s="126"/>
      <c r="F1245" s="128"/>
      <c r="G1245" s="128"/>
      <c r="H1245" s="128"/>
      <c r="I1245" s="128"/>
      <c r="J1245" s="128"/>
      <c r="K1245" s="129"/>
      <c r="L1245" s="129"/>
      <c r="M1245" s="129"/>
      <c r="N1245" s="129"/>
      <c r="O1245" s="129"/>
      <c r="P1245" s="129"/>
      <c r="Q1245" s="129"/>
      <c r="R1245" s="132"/>
      <c r="S1245" s="132"/>
      <c r="T1245" s="135"/>
      <c r="U1245" s="132"/>
      <c r="V1245" s="129"/>
      <c r="W1245" s="132"/>
      <c r="X1245" s="132"/>
      <c r="Y1245" s="132"/>
    </row>
    <row r="1246" spans="1:25" ht="15.75" customHeight="1">
      <c r="A1246" s="125"/>
      <c r="B1246" s="125"/>
      <c r="C1246" s="125"/>
      <c r="D1246" s="125"/>
      <c r="E1246" s="126"/>
      <c r="F1246" s="128"/>
      <c r="G1246" s="128"/>
      <c r="H1246" s="128"/>
      <c r="I1246" s="128"/>
      <c r="J1246" s="128"/>
      <c r="K1246" s="129"/>
      <c r="L1246" s="129"/>
      <c r="M1246" s="129"/>
      <c r="N1246" s="129"/>
      <c r="O1246" s="129"/>
      <c r="P1246" s="129"/>
      <c r="Q1246" s="129"/>
      <c r="R1246" s="132"/>
      <c r="S1246" s="132"/>
      <c r="T1246" s="135"/>
      <c r="U1246" s="132"/>
      <c r="V1246" s="129"/>
      <c r="W1246" s="132"/>
      <c r="X1246" s="132"/>
      <c r="Y1246" s="132"/>
    </row>
    <row r="1247" spans="1:25" ht="15.75" customHeight="1">
      <c r="A1247" s="125"/>
      <c r="B1247" s="125"/>
      <c r="C1247" s="125"/>
      <c r="D1247" s="125"/>
      <c r="E1247" s="126"/>
      <c r="F1247" s="128"/>
      <c r="G1247" s="128"/>
      <c r="H1247" s="128"/>
      <c r="I1247" s="128"/>
      <c r="J1247" s="128"/>
      <c r="K1247" s="129"/>
      <c r="L1247" s="129"/>
      <c r="M1247" s="129"/>
      <c r="N1247" s="129"/>
      <c r="O1247" s="129"/>
      <c r="P1247" s="129"/>
      <c r="Q1247" s="129"/>
      <c r="R1247" s="132"/>
      <c r="S1247" s="132"/>
      <c r="T1247" s="135"/>
      <c r="U1247" s="132"/>
      <c r="V1247" s="129"/>
      <c r="W1247" s="132"/>
      <c r="X1247" s="132"/>
      <c r="Y1247" s="132"/>
    </row>
    <row r="1248" spans="1:25" ht="15.75" customHeight="1">
      <c r="A1248" s="125"/>
      <c r="B1248" s="125"/>
      <c r="C1248" s="125"/>
      <c r="D1248" s="125"/>
      <c r="E1248" s="126"/>
      <c r="F1248" s="128"/>
      <c r="G1248" s="128"/>
      <c r="H1248" s="128"/>
      <c r="I1248" s="128"/>
      <c r="J1248" s="128"/>
      <c r="K1248" s="129"/>
      <c r="L1248" s="129"/>
      <c r="M1248" s="129"/>
      <c r="N1248" s="129"/>
      <c r="O1248" s="129"/>
      <c r="P1248" s="129"/>
      <c r="Q1248" s="129"/>
      <c r="R1248" s="132"/>
      <c r="S1248" s="132"/>
      <c r="T1248" s="135"/>
      <c r="U1248" s="132"/>
      <c r="V1248" s="129"/>
      <c r="W1248" s="132"/>
      <c r="X1248" s="132"/>
      <c r="Y1248" s="132"/>
    </row>
    <row r="1249" spans="1:25" ht="15.75" customHeight="1">
      <c r="A1249" s="125"/>
      <c r="B1249" s="125"/>
      <c r="C1249" s="125"/>
      <c r="D1249" s="125"/>
      <c r="E1249" s="126"/>
      <c r="F1249" s="128"/>
      <c r="G1249" s="128"/>
      <c r="H1249" s="128"/>
      <c r="I1249" s="128"/>
      <c r="J1249" s="128"/>
      <c r="K1249" s="129"/>
      <c r="L1249" s="129"/>
      <c r="M1249" s="129"/>
      <c r="N1249" s="129"/>
      <c r="O1249" s="129"/>
      <c r="P1249" s="129"/>
      <c r="Q1249" s="129"/>
      <c r="R1249" s="132"/>
      <c r="S1249" s="132"/>
      <c r="T1249" s="135"/>
      <c r="U1249" s="132"/>
      <c r="V1249" s="129"/>
      <c r="W1249" s="132"/>
      <c r="X1249" s="132"/>
      <c r="Y1249" s="132"/>
    </row>
    <row r="1250" spans="1:25" ht="15.75" customHeight="1">
      <c r="A1250" s="125"/>
      <c r="B1250" s="125"/>
      <c r="C1250" s="125"/>
      <c r="D1250" s="125"/>
      <c r="E1250" s="126"/>
      <c r="F1250" s="128"/>
      <c r="G1250" s="128"/>
      <c r="H1250" s="128"/>
      <c r="I1250" s="128"/>
      <c r="J1250" s="128"/>
      <c r="K1250" s="129"/>
      <c r="L1250" s="129"/>
      <c r="M1250" s="129"/>
      <c r="N1250" s="129"/>
      <c r="O1250" s="129"/>
      <c r="P1250" s="129"/>
      <c r="Q1250" s="129"/>
      <c r="R1250" s="132"/>
      <c r="S1250" s="132"/>
      <c r="T1250" s="135"/>
      <c r="U1250" s="132"/>
      <c r="V1250" s="129"/>
      <c r="W1250" s="132"/>
      <c r="X1250" s="132"/>
      <c r="Y1250" s="132"/>
    </row>
    <row r="1251" spans="1:25" ht="15.75" customHeight="1">
      <c r="A1251" s="125"/>
      <c r="B1251" s="125"/>
      <c r="C1251" s="125"/>
      <c r="D1251" s="125"/>
      <c r="E1251" s="126"/>
      <c r="F1251" s="128"/>
      <c r="G1251" s="128"/>
      <c r="H1251" s="128"/>
      <c r="I1251" s="128"/>
      <c r="J1251" s="128"/>
      <c r="K1251" s="129"/>
      <c r="L1251" s="129"/>
      <c r="M1251" s="129"/>
      <c r="N1251" s="129"/>
      <c r="O1251" s="129"/>
      <c r="P1251" s="129"/>
      <c r="Q1251" s="129"/>
      <c r="R1251" s="132"/>
      <c r="S1251" s="132"/>
      <c r="T1251" s="135"/>
      <c r="U1251" s="132"/>
      <c r="V1251" s="129"/>
      <c r="W1251" s="132"/>
      <c r="X1251" s="132"/>
      <c r="Y1251" s="132"/>
    </row>
    <row r="1252" spans="1:25" ht="15.75" customHeight="1">
      <c r="A1252" s="125"/>
      <c r="B1252" s="125"/>
      <c r="C1252" s="125"/>
      <c r="D1252" s="125"/>
      <c r="E1252" s="126"/>
      <c r="F1252" s="128"/>
      <c r="G1252" s="128"/>
      <c r="H1252" s="128"/>
      <c r="I1252" s="128"/>
      <c r="J1252" s="128"/>
      <c r="K1252" s="129"/>
      <c r="L1252" s="129"/>
      <c r="M1252" s="129"/>
      <c r="N1252" s="129"/>
      <c r="O1252" s="129"/>
      <c r="P1252" s="129"/>
      <c r="Q1252" s="129"/>
      <c r="R1252" s="132"/>
      <c r="S1252" s="132"/>
      <c r="T1252" s="135"/>
      <c r="U1252" s="132"/>
      <c r="V1252" s="129"/>
      <c r="W1252" s="132"/>
      <c r="X1252" s="132"/>
      <c r="Y1252" s="132"/>
    </row>
    <row r="1253" spans="1:25" ht="15.75" customHeight="1">
      <c r="A1253" s="125"/>
      <c r="B1253" s="125"/>
      <c r="C1253" s="125"/>
      <c r="D1253" s="125"/>
      <c r="E1253" s="126"/>
      <c r="F1253" s="128"/>
      <c r="G1253" s="128"/>
      <c r="H1253" s="128"/>
      <c r="I1253" s="128"/>
      <c r="J1253" s="128"/>
      <c r="K1253" s="129"/>
      <c r="L1253" s="129"/>
      <c r="M1253" s="129"/>
      <c r="N1253" s="129"/>
      <c r="O1253" s="129"/>
      <c r="P1253" s="129"/>
      <c r="Q1253" s="129"/>
      <c r="R1253" s="132"/>
      <c r="S1253" s="132"/>
      <c r="T1253" s="135"/>
      <c r="U1253" s="132"/>
      <c r="V1253" s="129"/>
      <c r="W1253" s="132"/>
      <c r="X1253" s="132"/>
      <c r="Y1253" s="132"/>
    </row>
    <row r="1254" spans="1:25" ht="15.75" customHeight="1">
      <c r="A1254" s="125"/>
      <c r="B1254" s="125"/>
      <c r="C1254" s="125"/>
      <c r="D1254" s="125"/>
      <c r="E1254" s="126"/>
      <c r="F1254" s="128"/>
      <c r="G1254" s="128"/>
      <c r="H1254" s="128"/>
      <c r="I1254" s="128"/>
      <c r="J1254" s="128"/>
      <c r="K1254" s="129"/>
      <c r="L1254" s="129"/>
      <c r="M1254" s="129"/>
      <c r="N1254" s="129"/>
      <c r="O1254" s="129"/>
      <c r="P1254" s="129"/>
      <c r="Q1254" s="129"/>
      <c r="R1254" s="132"/>
      <c r="S1254" s="132"/>
      <c r="T1254" s="135"/>
      <c r="U1254" s="132"/>
      <c r="V1254" s="129"/>
      <c r="W1254" s="132"/>
      <c r="X1254" s="132"/>
      <c r="Y1254" s="132"/>
    </row>
    <row r="1255" spans="1:25" ht="15.75" customHeight="1">
      <c r="A1255" s="125"/>
      <c r="B1255" s="125"/>
      <c r="C1255" s="125"/>
      <c r="D1255" s="125"/>
      <c r="E1255" s="126"/>
      <c r="F1255" s="128"/>
      <c r="G1255" s="128"/>
      <c r="H1255" s="128"/>
      <c r="I1255" s="128"/>
      <c r="J1255" s="128"/>
      <c r="K1255" s="129"/>
      <c r="L1255" s="129"/>
      <c r="M1255" s="129"/>
      <c r="N1255" s="129"/>
      <c r="O1255" s="129"/>
      <c r="P1255" s="129"/>
      <c r="Q1255" s="129"/>
      <c r="R1255" s="132"/>
      <c r="S1255" s="132"/>
      <c r="T1255" s="135"/>
      <c r="U1255" s="132"/>
      <c r="V1255" s="129"/>
      <c r="W1255" s="132"/>
      <c r="X1255" s="132"/>
      <c r="Y1255" s="132"/>
    </row>
    <row r="1256" spans="1:25" ht="15.75" customHeight="1">
      <c r="A1256" s="125"/>
      <c r="B1256" s="125"/>
      <c r="C1256" s="125"/>
      <c r="D1256" s="125"/>
      <c r="E1256" s="126"/>
      <c r="F1256" s="128"/>
      <c r="G1256" s="128"/>
      <c r="H1256" s="128"/>
      <c r="I1256" s="128"/>
      <c r="J1256" s="128"/>
      <c r="K1256" s="129"/>
      <c r="L1256" s="129"/>
      <c r="M1256" s="129"/>
      <c r="N1256" s="129"/>
      <c r="O1256" s="129"/>
      <c r="P1256" s="129"/>
      <c r="Q1256" s="129"/>
      <c r="R1256" s="132"/>
      <c r="S1256" s="132"/>
      <c r="T1256" s="135"/>
      <c r="U1256" s="132"/>
      <c r="V1256" s="129"/>
      <c r="W1256" s="132"/>
      <c r="X1256" s="132"/>
      <c r="Y1256" s="132"/>
    </row>
    <row r="1257" spans="1:25" ht="15.75" customHeight="1">
      <c r="A1257" s="125"/>
      <c r="B1257" s="125"/>
      <c r="C1257" s="125"/>
      <c r="D1257" s="125"/>
      <c r="E1257" s="126"/>
      <c r="F1257" s="128"/>
      <c r="G1257" s="128"/>
      <c r="H1257" s="128"/>
      <c r="I1257" s="128"/>
      <c r="J1257" s="128"/>
      <c r="K1257" s="129"/>
      <c r="L1257" s="129"/>
      <c r="M1257" s="129"/>
      <c r="N1257" s="129"/>
      <c r="O1257" s="129"/>
      <c r="P1257" s="129"/>
      <c r="Q1257" s="129"/>
      <c r="R1257" s="132"/>
      <c r="S1257" s="132"/>
      <c r="T1257" s="135"/>
      <c r="U1257" s="132"/>
      <c r="V1257" s="129"/>
      <c r="W1257" s="132"/>
      <c r="X1257" s="132"/>
      <c r="Y1257" s="132"/>
    </row>
    <row r="1258" spans="1:25" ht="15.75" customHeight="1">
      <c r="A1258" s="125"/>
      <c r="B1258" s="125"/>
      <c r="C1258" s="125"/>
      <c r="D1258" s="125"/>
      <c r="E1258" s="126"/>
      <c r="F1258" s="128"/>
      <c r="G1258" s="128"/>
      <c r="H1258" s="128"/>
      <c r="I1258" s="128"/>
      <c r="J1258" s="128"/>
      <c r="K1258" s="129"/>
      <c r="L1258" s="129"/>
      <c r="M1258" s="129"/>
      <c r="N1258" s="129"/>
      <c r="O1258" s="129"/>
      <c r="P1258" s="129"/>
      <c r="Q1258" s="129"/>
      <c r="R1258" s="132"/>
      <c r="S1258" s="132"/>
      <c r="T1258" s="135"/>
      <c r="U1258" s="132"/>
      <c r="V1258" s="129"/>
      <c r="W1258" s="132"/>
      <c r="X1258" s="132"/>
      <c r="Y1258" s="132"/>
    </row>
    <row r="1259" spans="1:25" ht="15.75" customHeight="1">
      <c r="A1259" s="125"/>
      <c r="B1259" s="125"/>
      <c r="C1259" s="125"/>
      <c r="D1259" s="125"/>
      <c r="E1259" s="126"/>
      <c r="F1259" s="128"/>
      <c r="G1259" s="128"/>
      <c r="H1259" s="128"/>
      <c r="I1259" s="128"/>
      <c r="J1259" s="128"/>
      <c r="K1259" s="129"/>
      <c r="L1259" s="129"/>
      <c r="M1259" s="129"/>
      <c r="N1259" s="129"/>
      <c r="O1259" s="129"/>
      <c r="P1259" s="129"/>
      <c r="Q1259" s="129"/>
      <c r="R1259" s="132"/>
      <c r="S1259" s="132"/>
      <c r="T1259" s="135"/>
      <c r="U1259" s="132"/>
      <c r="V1259" s="129"/>
      <c r="W1259" s="132"/>
      <c r="X1259" s="132"/>
      <c r="Y1259" s="132"/>
    </row>
    <row r="1260" spans="1:25" ht="15.75" customHeight="1">
      <c r="A1260" s="125"/>
      <c r="B1260" s="125"/>
      <c r="C1260" s="125"/>
      <c r="D1260" s="125"/>
      <c r="E1260" s="126"/>
      <c r="F1260" s="128"/>
      <c r="G1260" s="128"/>
      <c r="H1260" s="128"/>
      <c r="I1260" s="128"/>
      <c r="J1260" s="128"/>
      <c r="K1260" s="129"/>
      <c r="L1260" s="129"/>
      <c r="M1260" s="129"/>
      <c r="N1260" s="129"/>
      <c r="O1260" s="129"/>
      <c r="P1260" s="129"/>
      <c r="Q1260" s="129"/>
      <c r="R1260" s="132"/>
      <c r="S1260" s="132"/>
      <c r="T1260" s="135"/>
      <c r="U1260" s="132"/>
      <c r="V1260" s="129"/>
      <c r="W1260" s="132"/>
      <c r="X1260" s="132"/>
      <c r="Y1260" s="132"/>
    </row>
    <row r="1261" spans="1:25" ht="15.75" customHeight="1">
      <c r="A1261" s="125"/>
      <c r="B1261" s="125"/>
      <c r="C1261" s="125"/>
      <c r="D1261" s="125"/>
      <c r="E1261" s="126"/>
      <c r="F1261" s="128"/>
      <c r="G1261" s="128"/>
      <c r="H1261" s="128"/>
      <c r="I1261" s="128"/>
      <c r="J1261" s="128"/>
      <c r="K1261" s="129"/>
      <c r="L1261" s="129"/>
      <c r="M1261" s="129"/>
      <c r="N1261" s="129"/>
      <c r="O1261" s="129"/>
      <c r="P1261" s="129"/>
      <c r="Q1261" s="129"/>
      <c r="R1261" s="132"/>
      <c r="S1261" s="132"/>
      <c r="T1261" s="135"/>
      <c r="U1261" s="132"/>
      <c r="V1261" s="129"/>
      <c r="W1261" s="132"/>
      <c r="X1261" s="132"/>
      <c r="Y1261" s="132"/>
    </row>
    <row r="1262" spans="1:25" ht="15.75" customHeight="1">
      <c r="A1262" s="125"/>
      <c r="B1262" s="125"/>
      <c r="C1262" s="125"/>
      <c r="D1262" s="125"/>
      <c r="E1262" s="126"/>
      <c r="F1262" s="128"/>
      <c r="G1262" s="128"/>
      <c r="H1262" s="128"/>
      <c r="I1262" s="128"/>
      <c r="J1262" s="128"/>
      <c r="K1262" s="129"/>
      <c r="L1262" s="129"/>
      <c r="M1262" s="129"/>
      <c r="N1262" s="129"/>
      <c r="O1262" s="129"/>
      <c r="P1262" s="129"/>
      <c r="Q1262" s="129"/>
      <c r="R1262" s="132"/>
      <c r="S1262" s="132"/>
      <c r="T1262" s="135"/>
      <c r="U1262" s="132"/>
      <c r="V1262" s="129"/>
      <c r="W1262" s="132"/>
      <c r="X1262" s="132"/>
      <c r="Y1262" s="132"/>
    </row>
    <row r="1263" spans="1:25" ht="15.75" customHeight="1">
      <c r="A1263" s="125"/>
      <c r="B1263" s="125"/>
      <c r="C1263" s="125"/>
      <c r="D1263" s="125"/>
      <c r="E1263" s="126"/>
      <c r="F1263" s="128"/>
      <c r="G1263" s="128"/>
      <c r="H1263" s="128"/>
      <c r="I1263" s="128"/>
      <c r="J1263" s="128"/>
      <c r="K1263" s="129"/>
      <c r="L1263" s="129"/>
      <c r="M1263" s="129"/>
      <c r="N1263" s="129"/>
      <c r="O1263" s="129"/>
      <c r="P1263" s="129"/>
      <c r="Q1263" s="129"/>
      <c r="R1263" s="132"/>
      <c r="S1263" s="132"/>
      <c r="T1263" s="135"/>
      <c r="U1263" s="132"/>
      <c r="V1263" s="129"/>
      <c r="W1263" s="132"/>
      <c r="X1263" s="132"/>
      <c r="Y1263" s="132"/>
    </row>
    <row r="1264" spans="1:25" ht="15.75" customHeight="1">
      <c r="A1264" s="125"/>
      <c r="B1264" s="125"/>
      <c r="C1264" s="125"/>
      <c r="D1264" s="125"/>
      <c r="E1264" s="126"/>
      <c r="F1264" s="128"/>
      <c r="G1264" s="128"/>
      <c r="H1264" s="128"/>
      <c r="I1264" s="128"/>
      <c r="J1264" s="128"/>
      <c r="K1264" s="129"/>
      <c r="L1264" s="129"/>
      <c r="M1264" s="129"/>
      <c r="N1264" s="129"/>
      <c r="O1264" s="129"/>
      <c r="P1264" s="129"/>
      <c r="Q1264" s="129"/>
      <c r="R1264" s="132"/>
      <c r="S1264" s="132"/>
      <c r="T1264" s="135"/>
      <c r="U1264" s="132"/>
      <c r="V1264" s="129"/>
      <c r="W1264" s="132"/>
      <c r="X1264" s="132"/>
      <c r="Y1264" s="132"/>
    </row>
    <row r="1265" spans="1:25" ht="15.75" customHeight="1">
      <c r="A1265" s="125"/>
      <c r="B1265" s="125"/>
      <c r="C1265" s="125"/>
      <c r="D1265" s="125"/>
      <c r="E1265" s="126"/>
      <c r="F1265" s="128"/>
      <c r="G1265" s="128"/>
      <c r="H1265" s="128"/>
      <c r="I1265" s="128"/>
      <c r="J1265" s="128"/>
      <c r="K1265" s="129"/>
      <c r="L1265" s="129"/>
      <c r="M1265" s="129"/>
      <c r="N1265" s="129"/>
      <c r="O1265" s="129"/>
      <c r="P1265" s="129"/>
      <c r="Q1265" s="129"/>
      <c r="R1265" s="132"/>
      <c r="S1265" s="132"/>
      <c r="T1265" s="135"/>
      <c r="U1265" s="132"/>
      <c r="V1265" s="129"/>
      <c r="W1265" s="132"/>
      <c r="X1265" s="132"/>
      <c r="Y1265" s="132"/>
    </row>
    <row r="1266" spans="1:25" ht="15.75" customHeight="1">
      <c r="A1266" s="125"/>
      <c r="B1266" s="125"/>
      <c r="C1266" s="125"/>
      <c r="D1266" s="125"/>
      <c r="E1266" s="126"/>
      <c r="F1266" s="128"/>
      <c r="G1266" s="128"/>
      <c r="H1266" s="128"/>
      <c r="I1266" s="128"/>
      <c r="J1266" s="128"/>
      <c r="K1266" s="129"/>
      <c r="L1266" s="129"/>
      <c r="M1266" s="129"/>
      <c r="N1266" s="129"/>
      <c r="O1266" s="129"/>
      <c r="P1266" s="129"/>
      <c r="Q1266" s="129"/>
      <c r="R1266" s="132"/>
      <c r="S1266" s="132"/>
      <c r="T1266" s="135"/>
      <c r="U1266" s="132"/>
      <c r="V1266" s="129"/>
      <c r="W1266" s="132"/>
      <c r="X1266" s="132"/>
      <c r="Y1266" s="132"/>
    </row>
    <row r="1267" spans="1:25" ht="15.75" customHeight="1">
      <c r="A1267" s="125"/>
      <c r="B1267" s="125"/>
      <c r="C1267" s="125"/>
      <c r="D1267" s="125"/>
      <c r="E1267" s="126"/>
      <c r="F1267" s="128"/>
      <c r="G1267" s="128"/>
      <c r="H1267" s="128"/>
      <c r="I1267" s="128"/>
      <c r="J1267" s="128"/>
      <c r="K1267" s="129"/>
      <c r="L1267" s="129"/>
      <c r="M1267" s="129"/>
      <c r="N1267" s="129"/>
      <c r="O1267" s="129"/>
      <c r="P1267" s="129"/>
      <c r="Q1267" s="129"/>
      <c r="R1267" s="132"/>
      <c r="S1267" s="132"/>
      <c r="T1267" s="135"/>
      <c r="U1267" s="132"/>
      <c r="V1267" s="129"/>
      <c r="W1267" s="132"/>
      <c r="X1267" s="132"/>
      <c r="Y1267" s="132"/>
    </row>
    <row r="1268" spans="1:25" ht="15.75" customHeight="1">
      <c r="A1268" s="125"/>
      <c r="B1268" s="125"/>
      <c r="C1268" s="125"/>
      <c r="D1268" s="125"/>
      <c r="E1268" s="126"/>
      <c r="F1268" s="128"/>
      <c r="G1268" s="128"/>
      <c r="H1268" s="128"/>
      <c r="I1268" s="128"/>
      <c r="J1268" s="128"/>
      <c r="K1268" s="129"/>
      <c r="L1268" s="129"/>
      <c r="M1268" s="129"/>
      <c r="N1268" s="129"/>
      <c r="O1268" s="129"/>
      <c r="P1268" s="129"/>
      <c r="Q1268" s="129"/>
      <c r="R1268" s="132"/>
      <c r="S1268" s="132"/>
      <c r="T1268" s="135"/>
      <c r="U1268" s="132"/>
      <c r="V1268" s="129"/>
      <c r="W1268" s="132"/>
      <c r="X1268" s="132"/>
      <c r="Y1268" s="132"/>
    </row>
    <row r="1269" spans="1:25" ht="15.75" customHeight="1">
      <c r="A1269" s="125"/>
      <c r="B1269" s="125"/>
      <c r="C1269" s="125"/>
      <c r="D1269" s="125"/>
      <c r="E1269" s="126"/>
      <c r="F1269" s="128"/>
      <c r="G1269" s="128"/>
      <c r="H1269" s="128"/>
      <c r="I1269" s="128"/>
      <c r="J1269" s="128"/>
      <c r="K1269" s="129"/>
      <c r="L1269" s="129"/>
      <c r="M1269" s="129"/>
      <c r="N1269" s="129"/>
      <c r="O1269" s="129"/>
      <c r="P1269" s="129"/>
      <c r="Q1269" s="129"/>
      <c r="R1269" s="132"/>
      <c r="S1269" s="132"/>
      <c r="T1269" s="135"/>
      <c r="U1269" s="132"/>
      <c r="V1269" s="129"/>
      <c r="W1269" s="132"/>
      <c r="X1269" s="132"/>
      <c r="Y1269" s="132"/>
    </row>
    <row r="1270" spans="1:25" ht="15.75" customHeight="1">
      <c r="A1270" s="125"/>
      <c r="B1270" s="125"/>
      <c r="C1270" s="125"/>
      <c r="D1270" s="125"/>
      <c r="E1270" s="126"/>
      <c r="F1270" s="128"/>
      <c r="G1270" s="128"/>
      <c r="H1270" s="128"/>
      <c r="I1270" s="128"/>
      <c r="J1270" s="128"/>
      <c r="K1270" s="129"/>
      <c r="L1270" s="129"/>
      <c r="M1270" s="129"/>
      <c r="N1270" s="129"/>
      <c r="O1270" s="129"/>
      <c r="P1270" s="129"/>
      <c r="Q1270" s="129"/>
      <c r="R1270" s="132"/>
      <c r="S1270" s="132"/>
      <c r="T1270" s="135"/>
      <c r="U1270" s="132"/>
      <c r="V1270" s="129"/>
      <c r="W1270" s="132"/>
      <c r="X1270" s="132"/>
      <c r="Y1270" s="132"/>
    </row>
    <row r="1271" spans="1:25" ht="15.75" customHeight="1">
      <c r="A1271" s="125"/>
      <c r="B1271" s="125"/>
      <c r="C1271" s="125"/>
      <c r="D1271" s="125"/>
      <c r="E1271" s="126"/>
      <c r="F1271" s="128"/>
      <c r="G1271" s="128"/>
      <c r="H1271" s="128"/>
      <c r="I1271" s="128"/>
      <c r="J1271" s="128"/>
      <c r="K1271" s="129"/>
      <c r="L1271" s="129"/>
      <c r="M1271" s="129"/>
      <c r="N1271" s="129"/>
      <c r="O1271" s="129"/>
      <c r="P1271" s="129"/>
      <c r="Q1271" s="129"/>
      <c r="R1271" s="132"/>
      <c r="S1271" s="132"/>
      <c r="T1271" s="135"/>
      <c r="U1271" s="132"/>
      <c r="V1271" s="129"/>
      <c r="W1271" s="132"/>
      <c r="X1271" s="132"/>
      <c r="Y1271" s="132"/>
    </row>
    <row r="1272" spans="1:25" ht="15.75" customHeight="1">
      <c r="A1272" s="125"/>
      <c r="B1272" s="125"/>
      <c r="C1272" s="125"/>
      <c r="D1272" s="125"/>
      <c r="E1272" s="126"/>
      <c r="F1272" s="128"/>
      <c r="G1272" s="128"/>
      <c r="H1272" s="128"/>
      <c r="I1272" s="128"/>
      <c r="J1272" s="128"/>
      <c r="K1272" s="129"/>
      <c r="L1272" s="129"/>
      <c r="M1272" s="129"/>
      <c r="N1272" s="129"/>
      <c r="O1272" s="129"/>
      <c r="P1272" s="129"/>
      <c r="Q1272" s="129"/>
      <c r="R1272" s="132"/>
      <c r="S1272" s="132"/>
      <c r="T1272" s="135"/>
      <c r="U1272" s="132"/>
      <c r="V1272" s="129"/>
      <c r="W1272" s="132"/>
      <c r="X1272" s="132"/>
      <c r="Y1272" s="132"/>
    </row>
    <row r="1273" spans="1:25" ht="15.75" customHeight="1">
      <c r="A1273" s="125"/>
      <c r="B1273" s="125"/>
      <c r="C1273" s="125"/>
      <c r="D1273" s="125"/>
      <c r="E1273" s="126"/>
      <c r="F1273" s="128"/>
      <c r="G1273" s="128"/>
      <c r="H1273" s="128"/>
      <c r="I1273" s="128"/>
      <c r="J1273" s="128"/>
      <c r="K1273" s="129"/>
      <c r="L1273" s="129"/>
      <c r="M1273" s="129"/>
      <c r="N1273" s="129"/>
      <c r="O1273" s="129"/>
      <c r="P1273" s="129"/>
      <c r="Q1273" s="129"/>
      <c r="R1273" s="132"/>
      <c r="S1273" s="132"/>
      <c r="T1273" s="135"/>
      <c r="U1273" s="132"/>
      <c r="V1273" s="129"/>
      <c r="W1273" s="132"/>
      <c r="X1273" s="132"/>
      <c r="Y1273" s="132"/>
    </row>
    <row r="1274" spans="1:25" ht="15.75" customHeight="1">
      <c r="A1274" s="125"/>
      <c r="B1274" s="125"/>
      <c r="C1274" s="125"/>
      <c r="D1274" s="125"/>
      <c r="E1274" s="126"/>
      <c r="F1274" s="128"/>
      <c r="G1274" s="128"/>
      <c r="H1274" s="128"/>
      <c r="I1274" s="128"/>
      <c r="J1274" s="128"/>
      <c r="K1274" s="129"/>
      <c r="L1274" s="129"/>
      <c r="M1274" s="129"/>
      <c r="N1274" s="129"/>
      <c r="O1274" s="129"/>
      <c r="P1274" s="129"/>
      <c r="Q1274" s="129"/>
      <c r="R1274" s="132"/>
      <c r="S1274" s="132"/>
      <c r="T1274" s="135"/>
      <c r="U1274" s="132"/>
      <c r="V1274" s="129"/>
      <c r="W1274" s="132"/>
      <c r="X1274" s="132"/>
      <c r="Y1274" s="132"/>
    </row>
    <row r="1275" spans="1:25" ht="15.75" customHeight="1">
      <c r="A1275" s="125"/>
      <c r="B1275" s="125"/>
      <c r="C1275" s="125"/>
      <c r="D1275" s="125"/>
      <c r="E1275" s="126"/>
      <c r="F1275" s="128"/>
      <c r="G1275" s="128"/>
      <c r="H1275" s="128"/>
      <c r="I1275" s="128"/>
      <c r="J1275" s="128"/>
      <c r="K1275" s="129"/>
      <c r="L1275" s="129"/>
      <c r="M1275" s="129"/>
      <c r="N1275" s="129"/>
      <c r="O1275" s="129"/>
      <c r="P1275" s="129"/>
      <c r="Q1275" s="129"/>
      <c r="R1275" s="132"/>
      <c r="S1275" s="132"/>
      <c r="T1275" s="135"/>
      <c r="U1275" s="132"/>
      <c r="V1275" s="129"/>
      <c r="W1275" s="132"/>
      <c r="X1275" s="132"/>
      <c r="Y1275" s="132"/>
    </row>
    <row r="1276" spans="1:25" ht="15.75" customHeight="1">
      <c r="A1276" s="125"/>
      <c r="B1276" s="125"/>
      <c r="C1276" s="125"/>
      <c r="D1276" s="125"/>
      <c r="E1276" s="126"/>
      <c r="F1276" s="128"/>
      <c r="G1276" s="128"/>
      <c r="H1276" s="128"/>
      <c r="I1276" s="128"/>
      <c r="J1276" s="128"/>
      <c r="K1276" s="129"/>
      <c r="L1276" s="129"/>
      <c r="M1276" s="129"/>
      <c r="N1276" s="129"/>
      <c r="O1276" s="129"/>
      <c r="P1276" s="129"/>
      <c r="Q1276" s="129"/>
      <c r="R1276" s="132"/>
      <c r="S1276" s="132"/>
      <c r="T1276" s="135"/>
      <c r="U1276" s="132"/>
      <c r="V1276" s="129"/>
      <c r="W1276" s="132"/>
      <c r="X1276" s="132"/>
      <c r="Y1276" s="132"/>
    </row>
    <row r="1277" spans="1:25" ht="15.75" customHeight="1">
      <c r="A1277" s="125"/>
      <c r="B1277" s="125"/>
      <c r="C1277" s="125"/>
      <c r="D1277" s="125"/>
      <c r="E1277" s="126"/>
      <c r="F1277" s="128"/>
      <c r="G1277" s="128"/>
      <c r="H1277" s="128"/>
      <c r="I1277" s="128"/>
      <c r="J1277" s="128"/>
      <c r="K1277" s="129"/>
      <c r="L1277" s="129"/>
      <c r="M1277" s="129"/>
      <c r="N1277" s="129"/>
      <c r="O1277" s="129"/>
      <c r="P1277" s="129"/>
      <c r="Q1277" s="129"/>
      <c r="R1277" s="132"/>
      <c r="S1277" s="132"/>
      <c r="T1277" s="135"/>
      <c r="U1277" s="132"/>
      <c r="V1277" s="129"/>
      <c r="W1277" s="132"/>
      <c r="X1277" s="132"/>
      <c r="Y1277" s="132"/>
    </row>
    <row r="1278" spans="1:25" ht="15.75" customHeight="1">
      <c r="A1278" s="125"/>
      <c r="B1278" s="125"/>
      <c r="C1278" s="125"/>
      <c r="D1278" s="125"/>
      <c r="E1278" s="126"/>
      <c r="F1278" s="128"/>
      <c r="G1278" s="128"/>
      <c r="H1278" s="128"/>
      <c r="I1278" s="128"/>
      <c r="J1278" s="128"/>
      <c r="K1278" s="129"/>
      <c r="L1278" s="129"/>
      <c r="M1278" s="129"/>
      <c r="N1278" s="129"/>
      <c r="O1278" s="129"/>
      <c r="P1278" s="129"/>
      <c r="Q1278" s="129"/>
      <c r="R1278" s="132"/>
      <c r="S1278" s="132"/>
      <c r="T1278" s="135"/>
      <c r="U1278" s="132"/>
      <c r="V1278" s="129"/>
      <c r="W1278" s="132"/>
      <c r="X1278" s="132"/>
      <c r="Y1278" s="132"/>
    </row>
    <row r="1279" spans="1:25" ht="15.75" customHeight="1">
      <c r="A1279" s="125"/>
      <c r="B1279" s="125"/>
      <c r="C1279" s="125"/>
      <c r="D1279" s="125"/>
      <c r="E1279" s="126"/>
      <c r="F1279" s="128"/>
      <c r="G1279" s="128"/>
      <c r="H1279" s="128"/>
      <c r="I1279" s="128"/>
      <c r="J1279" s="128"/>
      <c r="K1279" s="129"/>
      <c r="L1279" s="129"/>
      <c r="M1279" s="129"/>
      <c r="N1279" s="129"/>
      <c r="O1279" s="129"/>
      <c r="P1279" s="129"/>
      <c r="Q1279" s="129"/>
      <c r="R1279" s="132"/>
      <c r="S1279" s="132"/>
      <c r="T1279" s="135"/>
      <c r="U1279" s="132"/>
      <c r="V1279" s="129"/>
      <c r="W1279" s="132"/>
      <c r="X1279" s="132"/>
      <c r="Y1279" s="132"/>
    </row>
    <row r="1280" spans="1:25" ht="15.75" customHeight="1">
      <c r="A1280" s="125"/>
      <c r="B1280" s="125"/>
      <c r="C1280" s="125"/>
      <c r="D1280" s="125"/>
      <c r="E1280" s="126"/>
      <c r="F1280" s="128"/>
      <c r="G1280" s="128"/>
      <c r="H1280" s="128"/>
      <c r="I1280" s="128"/>
      <c r="J1280" s="128"/>
      <c r="K1280" s="129"/>
      <c r="L1280" s="129"/>
      <c r="M1280" s="129"/>
      <c r="N1280" s="129"/>
      <c r="O1280" s="129"/>
      <c r="P1280" s="129"/>
      <c r="Q1280" s="129"/>
      <c r="R1280" s="132"/>
      <c r="S1280" s="132"/>
      <c r="T1280" s="135"/>
      <c r="U1280" s="132"/>
      <c r="V1280" s="129"/>
      <c r="W1280" s="132"/>
      <c r="X1280" s="132"/>
      <c r="Y1280" s="132"/>
    </row>
    <row r="1281" spans="1:25" ht="15.75" customHeight="1">
      <c r="A1281" s="125"/>
      <c r="B1281" s="125"/>
      <c r="C1281" s="125"/>
      <c r="D1281" s="125"/>
      <c r="E1281" s="126"/>
      <c r="F1281" s="128"/>
      <c r="G1281" s="128"/>
      <c r="H1281" s="128"/>
      <c r="I1281" s="128"/>
      <c r="J1281" s="128"/>
      <c r="K1281" s="129"/>
      <c r="L1281" s="129"/>
      <c r="M1281" s="129"/>
      <c r="N1281" s="129"/>
      <c r="O1281" s="129"/>
      <c r="P1281" s="129"/>
      <c r="Q1281" s="129"/>
      <c r="R1281" s="132"/>
      <c r="S1281" s="132"/>
      <c r="T1281" s="135"/>
      <c r="U1281" s="132"/>
      <c r="V1281" s="129"/>
      <c r="W1281" s="132"/>
      <c r="X1281" s="132"/>
      <c r="Y1281" s="132"/>
    </row>
    <row r="1282" spans="1:25" ht="15.75" customHeight="1">
      <c r="A1282" s="125"/>
      <c r="B1282" s="125"/>
      <c r="C1282" s="125"/>
      <c r="D1282" s="125"/>
      <c r="E1282" s="126"/>
      <c r="F1282" s="128"/>
      <c r="G1282" s="128"/>
      <c r="H1282" s="128"/>
      <c r="I1282" s="128"/>
      <c r="J1282" s="128"/>
      <c r="K1282" s="129"/>
      <c r="L1282" s="129"/>
      <c r="M1282" s="129"/>
      <c r="N1282" s="129"/>
      <c r="O1282" s="129"/>
      <c r="P1282" s="129"/>
      <c r="Q1282" s="129"/>
      <c r="R1282" s="132"/>
      <c r="S1282" s="132"/>
      <c r="T1282" s="135"/>
      <c r="U1282" s="132"/>
      <c r="V1282" s="129"/>
      <c r="W1282" s="132"/>
      <c r="X1282" s="132"/>
      <c r="Y1282" s="132"/>
    </row>
    <row r="1283" spans="1:25" ht="15.75" customHeight="1">
      <c r="A1283" s="125"/>
      <c r="B1283" s="125"/>
      <c r="C1283" s="125"/>
      <c r="D1283" s="125"/>
      <c r="E1283" s="126"/>
      <c r="F1283" s="128"/>
      <c r="G1283" s="128"/>
      <c r="H1283" s="128"/>
      <c r="I1283" s="128"/>
      <c r="J1283" s="128"/>
      <c r="K1283" s="129"/>
      <c r="L1283" s="129"/>
      <c r="M1283" s="129"/>
      <c r="N1283" s="129"/>
      <c r="O1283" s="129"/>
      <c r="P1283" s="129"/>
      <c r="Q1283" s="129"/>
      <c r="R1283" s="132"/>
      <c r="S1283" s="132"/>
      <c r="T1283" s="135"/>
      <c r="U1283" s="132"/>
      <c r="V1283" s="129"/>
      <c r="W1283" s="132"/>
      <c r="X1283" s="132"/>
      <c r="Y1283" s="132"/>
    </row>
    <row r="1284" spans="1:25" ht="15.75" customHeight="1">
      <c r="A1284" s="125"/>
      <c r="B1284" s="125"/>
      <c r="C1284" s="125"/>
      <c r="D1284" s="125"/>
      <c r="E1284" s="126"/>
      <c r="F1284" s="128"/>
      <c r="G1284" s="128"/>
      <c r="H1284" s="128"/>
      <c r="I1284" s="128"/>
      <c r="J1284" s="128"/>
      <c r="K1284" s="129"/>
      <c r="L1284" s="129"/>
      <c r="M1284" s="129"/>
      <c r="N1284" s="129"/>
      <c r="O1284" s="129"/>
      <c r="P1284" s="129"/>
      <c r="Q1284" s="129"/>
      <c r="R1284" s="132"/>
      <c r="S1284" s="132"/>
      <c r="T1284" s="135"/>
      <c r="U1284" s="132"/>
      <c r="V1284" s="129"/>
      <c r="W1284" s="132"/>
      <c r="X1284" s="132"/>
      <c r="Y1284" s="132"/>
    </row>
    <row r="1285" spans="1:25" ht="15.75" customHeight="1">
      <c r="A1285" s="125"/>
      <c r="B1285" s="125"/>
      <c r="C1285" s="125"/>
      <c r="D1285" s="125"/>
      <c r="E1285" s="126"/>
      <c r="F1285" s="128"/>
      <c r="G1285" s="128"/>
      <c r="H1285" s="128"/>
      <c r="I1285" s="128"/>
      <c r="J1285" s="128"/>
      <c r="K1285" s="129"/>
      <c r="L1285" s="129"/>
      <c r="M1285" s="129"/>
      <c r="N1285" s="129"/>
      <c r="O1285" s="129"/>
      <c r="P1285" s="129"/>
      <c r="Q1285" s="129"/>
      <c r="R1285" s="132"/>
      <c r="S1285" s="132"/>
      <c r="T1285" s="135"/>
      <c r="U1285" s="132"/>
      <c r="V1285" s="129"/>
      <c r="W1285" s="132"/>
      <c r="X1285" s="132"/>
      <c r="Y1285" s="132"/>
    </row>
    <row r="1286" spans="1:25" ht="15.75" customHeight="1">
      <c r="A1286" s="125"/>
      <c r="B1286" s="125"/>
      <c r="C1286" s="125"/>
      <c r="D1286" s="125"/>
      <c r="E1286" s="126"/>
      <c r="F1286" s="128"/>
      <c r="G1286" s="128"/>
      <c r="H1286" s="128"/>
      <c r="I1286" s="128"/>
      <c r="J1286" s="128"/>
      <c r="K1286" s="129"/>
      <c r="L1286" s="129"/>
      <c r="M1286" s="129"/>
      <c r="N1286" s="129"/>
      <c r="O1286" s="129"/>
      <c r="P1286" s="129"/>
      <c r="Q1286" s="129"/>
      <c r="R1286" s="132"/>
      <c r="S1286" s="132"/>
      <c r="T1286" s="135"/>
      <c r="U1286" s="132"/>
      <c r="V1286" s="129"/>
      <c r="W1286" s="132"/>
      <c r="X1286" s="132"/>
      <c r="Y1286" s="132"/>
    </row>
    <row r="1287" spans="1:25" ht="15.75" customHeight="1">
      <c r="A1287" s="125"/>
      <c r="B1287" s="125"/>
      <c r="C1287" s="125"/>
      <c r="D1287" s="125"/>
      <c r="E1287" s="126"/>
      <c r="F1287" s="128"/>
      <c r="G1287" s="128"/>
      <c r="H1287" s="128"/>
      <c r="I1287" s="128"/>
      <c r="J1287" s="128"/>
      <c r="K1287" s="129"/>
      <c r="L1287" s="129"/>
      <c r="M1287" s="129"/>
      <c r="N1287" s="129"/>
      <c r="O1287" s="129"/>
      <c r="P1287" s="129"/>
      <c r="Q1287" s="129"/>
      <c r="R1287" s="132"/>
      <c r="S1287" s="132"/>
      <c r="T1287" s="135"/>
      <c r="U1287" s="132"/>
      <c r="V1287" s="129"/>
      <c r="W1287" s="132"/>
      <c r="X1287" s="132"/>
      <c r="Y1287" s="132"/>
    </row>
    <row r="1288" spans="1:25" ht="15.75" customHeight="1">
      <c r="A1288" s="125"/>
      <c r="B1288" s="125"/>
      <c r="C1288" s="125"/>
      <c r="D1288" s="125"/>
      <c r="E1288" s="126"/>
      <c r="F1288" s="128"/>
      <c r="G1288" s="128"/>
      <c r="H1288" s="128"/>
      <c r="I1288" s="128"/>
      <c r="J1288" s="128"/>
      <c r="K1288" s="129"/>
      <c r="L1288" s="129"/>
      <c r="M1288" s="129"/>
      <c r="N1288" s="129"/>
      <c r="O1288" s="129"/>
      <c r="P1288" s="129"/>
      <c r="Q1288" s="129"/>
      <c r="R1288" s="132"/>
      <c r="S1288" s="132"/>
      <c r="T1288" s="135"/>
      <c r="U1288" s="132"/>
      <c r="V1288" s="129"/>
      <c r="W1288" s="132"/>
      <c r="X1288" s="132"/>
      <c r="Y1288" s="132"/>
    </row>
    <row r="1289" spans="1:25" ht="15.75" customHeight="1">
      <c r="A1289" s="125"/>
      <c r="B1289" s="125"/>
      <c r="C1289" s="125"/>
      <c r="D1289" s="125"/>
      <c r="E1289" s="126"/>
      <c r="F1289" s="128"/>
      <c r="G1289" s="128"/>
      <c r="H1289" s="128"/>
      <c r="I1289" s="128"/>
      <c r="J1289" s="128"/>
      <c r="K1289" s="129"/>
      <c r="L1289" s="129"/>
      <c r="M1289" s="129"/>
      <c r="N1289" s="129"/>
      <c r="O1289" s="129"/>
      <c r="P1289" s="129"/>
      <c r="Q1289" s="129"/>
      <c r="R1289" s="132"/>
      <c r="S1289" s="132"/>
      <c r="T1289" s="135"/>
      <c r="U1289" s="132"/>
      <c r="V1289" s="129"/>
      <c r="W1289" s="132"/>
      <c r="X1289" s="132"/>
      <c r="Y1289" s="132"/>
    </row>
    <row r="1290" spans="1:25" ht="15.75" customHeight="1">
      <c r="A1290" s="125"/>
      <c r="B1290" s="125"/>
      <c r="C1290" s="125"/>
      <c r="D1290" s="125"/>
      <c r="E1290" s="126"/>
      <c r="F1290" s="128"/>
      <c r="G1290" s="128"/>
      <c r="H1290" s="128"/>
      <c r="I1290" s="128"/>
      <c r="J1290" s="128"/>
      <c r="K1290" s="129"/>
      <c r="L1290" s="129"/>
      <c r="M1290" s="129"/>
      <c r="N1290" s="129"/>
      <c r="O1290" s="129"/>
      <c r="P1290" s="129"/>
      <c r="Q1290" s="129"/>
      <c r="R1290" s="132"/>
      <c r="S1290" s="132"/>
      <c r="T1290" s="135"/>
      <c r="U1290" s="132"/>
      <c r="V1290" s="129"/>
      <c r="W1290" s="132"/>
      <c r="X1290" s="132"/>
      <c r="Y1290" s="132"/>
    </row>
    <row r="1291" spans="1:25" ht="15.75" customHeight="1">
      <c r="A1291" s="125"/>
      <c r="B1291" s="125"/>
      <c r="C1291" s="125"/>
      <c r="D1291" s="125"/>
      <c r="E1291" s="126"/>
      <c r="F1291" s="128"/>
      <c r="G1291" s="128"/>
      <c r="H1291" s="128"/>
      <c r="I1291" s="128"/>
      <c r="J1291" s="128"/>
      <c r="K1291" s="129"/>
      <c r="L1291" s="129"/>
      <c r="M1291" s="129"/>
      <c r="N1291" s="129"/>
      <c r="O1291" s="129"/>
      <c r="P1291" s="129"/>
      <c r="Q1291" s="129"/>
      <c r="R1291" s="132"/>
      <c r="S1291" s="132"/>
      <c r="T1291" s="135"/>
      <c r="U1291" s="132"/>
      <c r="V1291" s="129"/>
      <c r="W1291" s="132"/>
      <c r="X1291" s="132"/>
      <c r="Y1291" s="132"/>
    </row>
    <row r="1292" spans="1:25" ht="15.75" customHeight="1">
      <c r="A1292" s="125"/>
      <c r="B1292" s="125"/>
      <c r="C1292" s="125"/>
      <c r="D1292" s="125"/>
      <c r="E1292" s="126"/>
      <c r="F1292" s="128"/>
      <c r="G1292" s="128"/>
      <c r="H1292" s="128"/>
      <c r="I1292" s="128"/>
      <c r="J1292" s="128"/>
      <c r="K1292" s="129"/>
      <c r="L1292" s="129"/>
      <c r="M1292" s="129"/>
      <c r="N1292" s="129"/>
      <c r="O1292" s="129"/>
      <c r="P1292" s="129"/>
      <c r="Q1292" s="129"/>
      <c r="R1292" s="132"/>
      <c r="S1292" s="132"/>
      <c r="T1292" s="135"/>
      <c r="U1292" s="132"/>
      <c r="V1292" s="129"/>
      <c r="W1292" s="132"/>
      <c r="X1292" s="132"/>
      <c r="Y1292" s="132"/>
    </row>
    <row r="1293" spans="1:25" ht="15.75" customHeight="1">
      <c r="A1293" s="125"/>
      <c r="B1293" s="125"/>
      <c r="C1293" s="125"/>
      <c r="D1293" s="125"/>
      <c r="E1293" s="126"/>
      <c r="F1293" s="128"/>
      <c r="G1293" s="128"/>
      <c r="H1293" s="128"/>
      <c r="I1293" s="128"/>
      <c r="J1293" s="128"/>
      <c r="K1293" s="129"/>
      <c r="L1293" s="129"/>
      <c r="M1293" s="129"/>
      <c r="N1293" s="129"/>
      <c r="O1293" s="129"/>
      <c r="P1293" s="129"/>
      <c r="Q1293" s="129"/>
      <c r="R1293" s="132"/>
      <c r="S1293" s="132"/>
      <c r="T1293" s="135"/>
      <c r="U1293" s="132"/>
      <c r="V1293" s="129"/>
      <c r="W1293" s="132"/>
      <c r="X1293" s="132"/>
      <c r="Y1293" s="132"/>
    </row>
    <row r="1294" spans="1:25" ht="15.75" customHeight="1">
      <c r="A1294" s="125"/>
      <c r="B1294" s="125"/>
      <c r="C1294" s="125"/>
      <c r="D1294" s="125"/>
      <c r="E1294" s="126"/>
      <c r="F1294" s="128"/>
      <c r="G1294" s="128"/>
      <c r="H1294" s="128"/>
      <c r="I1294" s="128"/>
      <c r="J1294" s="128"/>
      <c r="K1294" s="129"/>
      <c r="L1294" s="129"/>
      <c r="M1294" s="129"/>
      <c r="N1294" s="129"/>
      <c r="O1294" s="129"/>
      <c r="P1294" s="129"/>
      <c r="Q1294" s="129"/>
      <c r="R1294" s="132"/>
      <c r="S1294" s="132"/>
      <c r="T1294" s="135"/>
      <c r="U1294" s="132"/>
      <c r="V1294" s="129"/>
      <c r="W1294" s="132"/>
      <c r="X1294" s="132"/>
      <c r="Y1294" s="132"/>
    </row>
    <row r="1295" spans="1:25" ht="15.75" customHeight="1">
      <c r="A1295" s="125"/>
      <c r="B1295" s="125"/>
      <c r="C1295" s="125"/>
      <c r="D1295" s="125"/>
      <c r="E1295" s="126"/>
      <c r="F1295" s="128"/>
      <c r="G1295" s="128"/>
      <c r="H1295" s="128"/>
      <c r="I1295" s="128"/>
      <c r="J1295" s="128"/>
      <c r="K1295" s="129"/>
      <c r="L1295" s="129"/>
      <c r="M1295" s="129"/>
      <c r="N1295" s="129"/>
      <c r="O1295" s="129"/>
      <c r="P1295" s="129"/>
      <c r="Q1295" s="129"/>
      <c r="R1295" s="132"/>
      <c r="S1295" s="132"/>
      <c r="T1295" s="135"/>
      <c r="U1295" s="132"/>
      <c r="V1295" s="129"/>
      <c r="W1295" s="132"/>
      <c r="X1295" s="132"/>
      <c r="Y1295" s="132"/>
    </row>
    <row r="1296" spans="1:25" ht="15.75" customHeight="1">
      <c r="A1296" s="125"/>
      <c r="B1296" s="125"/>
      <c r="C1296" s="125"/>
      <c r="D1296" s="125"/>
      <c r="E1296" s="126"/>
      <c r="F1296" s="128"/>
      <c r="G1296" s="128"/>
      <c r="H1296" s="128"/>
      <c r="I1296" s="128"/>
      <c r="J1296" s="128"/>
      <c r="K1296" s="129"/>
      <c r="L1296" s="129"/>
      <c r="M1296" s="129"/>
      <c r="N1296" s="129"/>
      <c r="O1296" s="129"/>
      <c r="P1296" s="129"/>
      <c r="Q1296" s="129"/>
      <c r="R1296" s="132"/>
      <c r="S1296" s="132"/>
      <c r="T1296" s="135"/>
      <c r="U1296" s="132"/>
      <c r="V1296" s="129"/>
      <c r="W1296" s="132"/>
      <c r="X1296" s="132"/>
      <c r="Y1296" s="132"/>
    </row>
    <row r="1297" spans="1:25" ht="15.75" customHeight="1">
      <c r="A1297" s="125"/>
      <c r="B1297" s="125"/>
      <c r="C1297" s="125"/>
      <c r="D1297" s="125"/>
      <c r="E1297" s="126"/>
      <c r="F1297" s="128"/>
      <c r="G1297" s="128"/>
      <c r="H1297" s="128"/>
      <c r="I1297" s="128"/>
      <c r="J1297" s="128"/>
      <c r="K1297" s="129"/>
      <c r="L1297" s="129"/>
      <c r="M1297" s="129"/>
      <c r="N1297" s="129"/>
      <c r="O1297" s="129"/>
      <c r="P1297" s="129"/>
      <c r="Q1297" s="129"/>
      <c r="R1297" s="132"/>
      <c r="S1297" s="132"/>
      <c r="T1297" s="135"/>
      <c r="U1297" s="132"/>
      <c r="V1297" s="129"/>
      <c r="W1297" s="132"/>
      <c r="X1297" s="132"/>
      <c r="Y1297" s="132"/>
    </row>
    <row r="1298" spans="1:25" ht="15.75" customHeight="1">
      <c r="A1298" s="125"/>
      <c r="B1298" s="125"/>
      <c r="C1298" s="125"/>
      <c r="D1298" s="125"/>
      <c r="E1298" s="126"/>
      <c r="F1298" s="128"/>
      <c r="G1298" s="128"/>
      <c r="H1298" s="128"/>
      <c r="I1298" s="128"/>
      <c r="J1298" s="128"/>
      <c r="K1298" s="129"/>
      <c r="L1298" s="129"/>
      <c r="M1298" s="129"/>
      <c r="N1298" s="129"/>
      <c r="O1298" s="129"/>
      <c r="P1298" s="129"/>
      <c r="Q1298" s="129"/>
      <c r="R1298" s="132"/>
      <c r="S1298" s="132"/>
      <c r="T1298" s="135"/>
      <c r="U1298" s="132"/>
      <c r="V1298" s="129"/>
      <c r="W1298" s="132"/>
      <c r="X1298" s="132"/>
      <c r="Y1298" s="132"/>
    </row>
    <row r="1299" spans="1:25" ht="15.75" customHeight="1">
      <c r="A1299" s="125"/>
      <c r="B1299" s="125"/>
      <c r="C1299" s="125"/>
      <c r="D1299" s="125"/>
      <c r="E1299" s="126"/>
      <c r="F1299" s="128"/>
      <c r="G1299" s="128"/>
      <c r="H1299" s="128"/>
      <c r="I1299" s="128"/>
      <c r="J1299" s="128"/>
      <c r="K1299" s="129"/>
      <c r="L1299" s="129"/>
      <c r="M1299" s="129"/>
      <c r="N1299" s="129"/>
      <c r="O1299" s="129"/>
      <c r="P1299" s="129"/>
      <c r="Q1299" s="129"/>
      <c r="R1299" s="132"/>
      <c r="S1299" s="132"/>
      <c r="T1299" s="135"/>
      <c r="U1299" s="132"/>
      <c r="V1299" s="129"/>
      <c r="W1299" s="132"/>
      <c r="X1299" s="132"/>
      <c r="Y1299" s="132"/>
    </row>
    <row r="1300" spans="1:25" ht="15.75" customHeight="1">
      <c r="A1300" s="125"/>
      <c r="B1300" s="125"/>
      <c r="C1300" s="125"/>
      <c r="D1300" s="125"/>
      <c r="E1300" s="126"/>
      <c r="F1300" s="128"/>
      <c r="G1300" s="128"/>
      <c r="H1300" s="128"/>
      <c r="I1300" s="128"/>
      <c r="J1300" s="128"/>
      <c r="K1300" s="129"/>
      <c r="L1300" s="129"/>
      <c r="M1300" s="129"/>
      <c r="N1300" s="129"/>
      <c r="O1300" s="129"/>
      <c r="P1300" s="129"/>
      <c r="Q1300" s="129"/>
      <c r="R1300" s="132"/>
      <c r="S1300" s="132"/>
      <c r="T1300" s="135"/>
      <c r="U1300" s="132"/>
      <c r="V1300" s="129"/>
      <c r="W1300" s="132"/>
      <c r="X1300" s="132"/>
      <c r="Y1300" s="132"/>
    </row>
    <row r="1301" spans="1:25" ht="15.75" customHeight="1">
      <c r="A1301" s="125"/>
      <c r="B1301" s="125"/>
      <c r="C1301" s="125"/>
      <c r="D1301" s="125"/>
      <c r="E1301" s="126"/>
      <c r="F1301" s="128"/>
      <c r="G1301" s="128"/>
      <c r="H1301" s="128"/>
      <c r="I1301" s="128"/>
      <c r="J1301" s="128"/>
      <c r="K1301" s="129"/>
      <c r="L1301" s="129"/>
      <c r="M1301" s="129"/>
      <c r="N1301" s="129"/>
      <c r="O1301" s="129"/>
      <c r="P1301" s="129"/>
      <c r="Q1301" s="129"/>
      <c r="R1301" s="132"/>
      <c r="S1301" s="132"/>
      <c r="T1301" s="135"/>
      <c r="U1301" s="132"/>
      <c r="V1301" s="129"/>
      <c r="W1301" s="132"/>
      <c r="X1301" s="132"/>
      <c r="Y1301" s="132"/>
    </row>
    <row r="1302" spans="1:25" ht="15.75" customHeight="1">
      <c r="A1302" s="125"/>
      <c r="B1302" s="125"/>
      <c r="C1302" s="125"/>
      <c r="D1302" s="125"/>
      <c r="E1302" s="126"/>
      <c r="F1302" s="128"/>
      <c r="G1302" s="128"/>
      <c r="H1302" s="128"/>
      <c r="I1302" s="128"/>
      <c r="J1302" s="128"/>
      <c r="K1302" s="129"/>
      <c r="L1302" s="129"/>
      <c r="M1302" s="129"/>
      <c r="N1302" s="129"/>
      <c r="O1302" s="129"/>
      <c r="P1302" s="129"/>
      <c r="Q1302" s="129"/>
      <c r="R1302" s="132"/>
      <c r="S1302" s="132"/>
      <c r="T1302" s="135"/>
      <c r="U1302" s="132"/>
      <c r="V1302" s="129"/>
      <c r="W1302" s="132"/>
      <c r="X1302" s="132"/>
      <c r="Y1302" s="132"/>
    </row>
    <row r="1303" spans="1:25" ht="15.75" customHeight="1">
      <c r="A1303" s="125"/>
      <c r="B1303" s="125"/>
      <c r="C1303" s="125"/>
      <c r="D1303" s="125"/>
      <c r="E1303" s="126"/>
      <c r="F1303" s="128"/>
      <c r="G1303" s="128"/>
      <c r="H1303" s="128"/>
      <c r="I1303" s="128"/>
      <c r="J1303" s="128"/>
      <c r="K1303" s="129"/>
      <c r="L1303" s="129"/>
      <c r="M1303" s="129"/>
      <c r="N1303" s="129"/>
      <c r="O1303" s="129"/>
      <c r="P1303" s="129"/>
      <c r="Q1303" s="129"/>
      <c r="R1303" s="132"/>
      <c r="S1303" s="132"/>
      <c r="T1303" s="135"/>
      <c r="U1303" s="132"/>
      <c r="V1303" s="129"/>
      <c r="W1303" s="132"/>
      <c r="X1303" s="132"/>
      <c r="Y1303" s="132"/>
    </row>
    <row r="1304" spans="1:25" ht="15.75" customHeight="1">
      <c r="A1304" s="125"/>
      <c r="B1304" s="125"/>
      <c r="C1304" s="125"/>
      <c r="D1304" s="125"/>
      <c r="E1304" s="126"/>
      <c r="F1304" s="128"/>
      <c r="G1304" s="128"/>
      <c r="H1304" s="128"/>
      <c r="I1304" s="128"/>
      <c r="J1304" s="128"/>
      <c r="K1304" s="129"/>
      <c r="L1304" s="129"/>
      <c r="M1304" s="129"/>
      <c r="N1304" s="129"/>
      <c r="O1304" s="129"/>
      <c r="P1304" s="129"/>
      <c r="Q1304" s="129"/>
      <c r="R1304" s="132"/>
      <c r="S1304" s="132"/>
      <c r="T1304" s="135"/>
      <c r="U1304" s="132"/>
      <c r="V1304" s="129"/>
      <c r="W1304" s="132"/>
      <c r="X1304" s="132"/>
      <c r="Y1304" s="132"/>
    </row>
    <row r="1305" spans="1:25" ht="15.75" customHeight="1">
      <c r="A1305" s="125"/>
      <c r="B1305" s="125"/>
      <c r="C1305" s="125"/>
      <c r="D1305" s="125"/>
      <c r="E1305" s="126"/>
      <c r="F1305" s="128"/>
      <c r="G1305" s="128"/>
      <c r="H1305" s="128"/>
      <c r="I1305" s="128"/>
      <c r="J1305" s="128"/>
      <c r="K1305" s="129"/>
      <c r="L1305" s="129"/>
      <c r="M1305" s="129"/>
      <c r="N1305" s="129"/>
      <c r="O1305" s="129"/>
      <c r="P1305" s="129"/>
      <c r="Q1305" s="129"/>
      <c r="R1305" s="132"/>
      <c r="S1305" s="132"/>
      <c r="T1305" s="135"/>
      <c r="U1305" s="132"/>
      <c r="V1305" s="129"/>
      <c r="W1305" s="132"/>
      <c r="X1305" s="132"/>
      <c r="Y1305" s="132"/>
    </row>
    <row r="1306" spans="1:25" ht="15.75" customHeight="1">
      <c r="A1306" s="125"/>
      <c r="B1306" s="125"/>
      <c r="C1306" s="125"/>
      <c r="D1306" s="125"/>
      <c r="E1306" s="126"/>
      <c r="F1306" s="128"/>
      <c r="G1306" s="128"/>
      <c r="H1306" s="128"/>
      <c r="I1306" s="128"/>
      <c r="J1306" s="128"/>
      <c r="K1306" s="129"/>
      <c r="L1306" s="129"/>
      <c r="M1306" s="129"/>
      <c r="N1306" s="129"/>
      <c r="O1306" s="129"/>
      <c r="P1306" s="129"/>
      <c r="Q1306" s="129"/>
      <c r="R1306" s="132"/>
      <c r="S1306" s="132"/>
      <c r="T1306" s="135"/>
      <c r="U1306" s="132"/>
      <c r="V1306" s="129"/>
      <c r="W1306" s="132"/>
      <c r="X1306" s="132"/>
      <c r="Y1306" s="132"/>
    </row>
    <row r="1307" spans="1:25" ht="15.75" customHeight="1">
      <c r="A1307" s="125"/>
      <c r="B1307" s="125"/>
      <c r="C1307" s="125"/>
      <c r="D1307" s="125"/>
      <c r="E1307" s="126"/>
      <c r="F1307" s="128"/>
      <c r="G1307" s="128"/>
      <c r="H1307" s="128"/>
      <c r="I1307" s="128"/>
      <c r="J1307" s="128"/>
      <c r="K1307" s="129"/>
      <c r="L1307" s="129"/>
      <c r="M1307" s="129"/>
      <c r="N1307" s="129"/>
      <c r="O1307" s="129"/>
      <c r="P1307" s="129"/>
      <c r="Q1307" s="129"/>
      <c r="R1307" s="132"/>
      <c r="S1307" s="132"/>
      <c r="T1307" s="135"/>
      <c r="U1307" s="132"/>
      <c r="V1307" s="129"/>
      <c r="W1307" s="132"/>
      <c r="X1307" s="132"/>
      <c r="Y1307" s="132"/>
    </row>
    <row r="1308" spans="1:25" ht="15.75" customHeight="1">
      <c r="A1308" s="125"/>
      <c r="B1308" s="125"/>
      <c r="C1308" s="125"/>
      <c r="D1308" s="125"/>
      <c r="E1308" s="126"/>
      <c r="F1308" s="128"/>
      <c r="G1308" s="128"/>
      <c r="H1308" s="128"/>
      <c r="I1308" s="128"/>
      <c r="J1308" s="128"/>
      <c r="K1308" s="129"/>
      <c r="L1308" s="129"/>
      <c r="M1308" s="129"/>
      <c r="N1308" s="129"/>
      <c r="O1308" s="129"/>
      <c r="P1308" s="129"/>
      <c r="Q1308" s="129"/>
      <c r="R1308" s="132"/>
      <c r="S1308" s="132"/>
      <c r="T1308" s="135"/>
      <c r="U1308" s="132"/>
      <c r="V1308" s="129"/>
      <c r="W1308" s="132"/>
      <c r="X1308" s="132"/>
      <c r="Y1308" s="132"/>
    </row>
    <row r="1309" spans="1:25" ht="15.75" customHeight="1">
      <c r="A1309" s="125"/>
      <c r="B1309" s="125"/>
      <c r="C1309" s="125"/>
      <c r="D1309" s="125"/>
      <c r="E1309" s="126"/>
      <c r="F1309" s="128"/>
      <c r="G1309" s="128"/>
      <c r="H1309" s="128"/>
      <c r="I1309" s="128"/>
      <c r="J1309" s="128"/>
      <c r="K1309" s="129"/>
      <c r="L1309" s="129"/>
      <c r="M1309" s="129"/>
      <c r="N1309" s="129"/>
      <c r="O1309" s="129"/>
      <c r="P1309" s="129"/>
      <c r="Q1309" s="129"/>
      <c r="R1309" s="132"/>
      <c r="S1309" s="132"/>
      <c r="T1309" s="135"/>
      <c r="U1309" s="132"/>
      <c r="V1309" s="129"/>
      <c r="W1309" s="132"/>
      <c r="X1309" s="132"/>
      <c r="Y1309" s="132"/>
    </row>
    <row r="1310" spans="1:25" ht="15.75" customHeight="1">
      <c r="A1310" s="125"/>
      <c r="B1310" s="125"/>
      <c r="C1310" s="125"/>
      <c r="D1310" s="125"/>
      <c r="E1310" s="126"/>
      <c r="F1310" s="128"/>
      <c r="G1310" s="128"/>
      <c r="H1310" s="128"/>
      <c r="I1310" s="128"/>
      <c r="J1310" s="128"/>
      <c r="K1310" s="129"/>
      <c r="L1310" s="129"/>
      <c r="M1310" s="129"/>
      <c r="N1310" s="129"/>
      <c r="O1310" s="129"/>
      <c r="P1310" s="129"/>
      <c r="Q1310" s="129"/>
      <c r="R1310" s="132"/>
      <c r="S1310" s="132"/>
      <c r="T1310" s="135"/>
      <c r="U1310" s="132"/>
      <c r="V1310" s="129"/>
      <c r="W1310" s="132"/>
      <c r="X1310" s="132"/>
      <c r="Y1310" s="132"/>
    </row>
    <row r="1311" spans="1:25" ht="15.75" customHeight="1">
      <c r="A1311" s="125"/>
      <c r="B1311" s="125"/>
      <c r="C1311" s="125"/>
      <c r="D1311" s="125"/>
      <c r="E1311" s="126"/>
      <c r="F1311" s="128"/>
      <c r="G1311" s="128"/>
      <c r="H1311" s="128"/>
      <c r="I1311" s="128"/>
      <c r="J1311" s="128"/>
      <c r="K1311" s="129"/>
      <c r="L1311" s="129"/>
      <c r="M1311" s="129"/>
      <c r="N1311" s="129"/>
      <c r="O1311" s="129"/>
      <c r="P1311" s="129"/>
      <c r="Q1311" s="129"/>
      <c r="R1311" s="132"/>
      <c r="S1311" s="132"/>
      <c r="T1311" s="135"/>
      <c r="U1311" s="132"/>
      <c r="V1311" s="129"/>
      <c r="W1311" s="132"/>
      <c r="X1311" s="132"/>
      <c r="Y1311" s="132"/>
    </row>
    <row r="1312" spans="1:25" ht="15.75" customHeight="1">
      <c r="A1312" s="125"/>
      <c r="B1312" s="125"/>
      <c r="C1312" s="125"/>
      <c r="D1312" s="125"/>
      <c r="E1312" s="126"/>
      <c r="F1312" s="128"/>
      <c r="G1312" s="128"/>
      <c r="H1312" s="128"/>
      <c r="I1312" s="128"/>
      <c r="J1312" s="128"/>
      <c r="K1312" s="129"/>
      <c r="L1312" s="129"/>
      <c r="M1312" s="129"/>
      <c r="N1312" s="129"/>
      <c r="O1312" s="129"/>
      <c r="P1312" s="129"/>
      <c r="Q1312" s="129"/>
      <c r="R1312" s="132"/>
      <c r="S1312" s="132"/>
      <c r="T1312" s="135"/>
      <c r="U1312" s="132"/>
      <c r="V1312" s="129"/>
      <c r="W1312" s="132"/>
      <c r="X1312" s="132"/>
      <c r="Y1312" s="132"/>
    </row>
    <row r="1313" spans="1:25" ht="15.75" customHeight="1">
      <c r="A1313" s="125"/>
      <c r="B1313" s="125"/>
      <c r="C1313" s="125"/>
      <c r="D1313" s="125"/>
      <c r="E1313" s="126"/>
      <c r="F1313" s="128"/>
      <c r="G1313" s="128"/>
      <c r="H1313" s="128"/>
      <c r="I1313" s="128"/>
      <c r="J1313" s="128"/>
      <c r="K1313" s="129"/>
      <c r="L1313" s="129"/>
      <c r="M1313" s="129"/>
      <c r="N1313" s="129"/>
      <c r="O1313" s="129"/>
      <c r="P1313" s="129"/>
      <c r="Q1313" s="129"/>
      <c r="R1313" s="132"/>
      <c r="S1313" s="132"/>
      <c r="T1313" s="135"/>
      <c r="U1313" s="132"/>
      <c r="V1313" s="129"/>
      <c r="W1313" s="132"/>
      <c r="X1313" s="132"/>
      <c r="Y1313" s="132"/>
    </row>
    <row r="1314" spans="1:25" ht="15.75" customHeight="1">
      <c r="A1314" s="125"/>
      <c r="B1314" s="125"/>
      <c r="C1314" s="125"/>
      <c r="D1314" s="125"/>
      <c r="E1314" s="126"/>
      <c r="F1314" s="128"/>
      <c r="G1314" s="128"/>
      <c r="H1314" s="128"/>
      <c r="I1314" s="128"/>
      <c r="J1314" s="128"/>
      <c r="K1314" s="129"/>
      <c r="L1314" s="129"/>
      <c r="M1314" s="129"/>
      <c r="N1314" s="129"/>
      <c r="O1314" s="129"/>
      <c r="P1314" s="129"/>
      <c r="Q1314" s="129"/>
      <c r="R1314" s="132"/>
      <c r="S1314" s="132"/>
      <c r="T1314" s="135"/>
      <c r="U1314" s="132"/>
      <c r="V1314" s="129"/>
      <c r="W1314" s="132"/>
      <c r="X1314" s="132"/>
      <c r="Y1314" s="132"/>
    </row>
    <row r="1315" spans="1:25" ht="15.75" customHeight="1">
      <c r="A1315" s="125"/>
      <c r="B1315" s="125"/>
      <c r="C1315" s="125"/>
      <c r="D1315" s="125"/>
      <c r="E1315" s="126"/>
      <c r="F1315" s="128"/>
      <c r="G1315" s="128"/>
      <c r="H1315" s="128"/>
      <c r="I1315" s="128"/>
      <c r="J1315" s="128"/>
      <c r="K1315" s="129"/>
      <c r="L1315" s="129"/>
      <c r="M1315" s="129"/>
      <c r="N1315" s="129"/>
      <c r="O1315" s="129"/>
      <c r="P1315" s="129"/>
      <c r="Q1315" s="129"/>
      <c r="R1315" s="132"/>
      <c r="S1315" s="132"/>
      <c r="T1315" s="135"/>
      <c r="U1315" s="132"/>
      <c r="V1315" s="129"/>
      <c r="W1315" s="132"/>
      <c r="X1315" s="132"/>
      <c r="Y1315" s="132"/>
    </row>
    <row r="1316" spans="1:25" ht="15.75" customHeight="1">
      <c r="A1316" s="125"/>
      <c r="B1316" s="125"/>
      <c r="C1316" s="125"/>
      <c r="D1316" s="125"/>
      <c r="E1316" s="126"/>
      <c r="F1316" s="128"/>
      <c r="G1316" s="128"/>
      <c r="H1316" s="128"/>
      <c r="I1316" s="128"/>
      <c r="J1316" s="128"/>
      <c r="K1316" s="129"/>
      <c r="L1316" s="129"/>
      <c r="M1316" s="129"/>
      <c r="N1316" s="129"/>
      <c r="O1316" s="129"/>
      <c r="P1316" s="129"/>
      <c r="Q1316" s="129"/>
      <c r="R1316" s="132"/>
      <c r="S1316" s="132"/>
      <c r="T1316" s="135"/>
      <c r="U1316" s="132"/>
      <c r="V1316" s="129"/>
      <c r="W1316" s="132"/>
      <c r="X1316" s="132"/>
      <c r="Y1316" s="132"/>
    </row>
    <row r="1317" spans="1:25" ht="15.75" customHeight="1">
      <c r="A1317" s="125"/>
      <c r="B1317" s="125"/>
      <c r="C1317" s="125"/>
      <c r="D1317" s="125"/>
      <c r="E1317" s="126"/>
      <c r="F1317" s="128"/>
      <c r="G1317" s="128"/>
      <c r="H1317" s="128"/>
      <c r="I1317" s="128"/>
      <c r="J1317" s="128"/>
      <c r="K1317" s="129"/>
      <c r="L1317" s="129"/>
      <c r="M1317" s="129"/>
      <c r="N1317" s="129"/>
      <c r="O1317" s="129"/>
      <c r="P1317" s="129"/>
      <c r="Q1317" s="129"/>
      <c r="R1317" s="132"/>
      <c r="S1317" s="132"/>
      <c r="T1317" s="135"/>
      <c r="U1317" s="132"/>
      <c r="V1317" s="129"/>
      <c r="W1317" s="132"/>
      <c r="X1317" s="132"/>
      <c r="Y1317" s="132"/>
    </row>
    <row r="1318" spans="1:25" ht="15.75" customHeight="1">
      <c r="A1318" s="125"/>
      <c r="B1318" s="125"/>
      <c r="C1318" s="125"/>
      <c r="D1318" s="125"/>
      <c r="E1318" s="126"/>
      <c r="F1318" s="128"/>
      <c r="G1318" s="128"/>
      <c r="H1318" s="128"/>
      <c r="I1318" s="128"/>
      <c r="J1318" s="128"/>
      <c r="K1318" s="129"/>
      <c r="L1318" s="129"/>
      <c r="M1318" s="129"/>
      <c r="N1318" s="129"/>
      <c r="O1318" s="129"/>
      <c r="P1318" s="129"/>
      <c r="Q1318" s="129"/>
      <c r="R1318" s="132"/>
      <c r="S1318" s="132"/>
      <c r="T1318" s="135"/>
      <c r="U1318" s="132"/>
      <c r="V1318" s="129"/>
      <c r="W1318" s="132"/>
      <c r="X1318" s="132"/>
      <c r="Y1318" s="132"/>
    </row>
    <row r="1319" spans="1:25" ht="15.75" customHeight="1">
      <c r="A1319" s="125"/>
      <c r="B1319" s="125"/>
      <c r="C1319" s="125"/>
      <c r="D1319" s="125"/>
      <c r="E1319" s="126"/>
      <c r="F1319" s="128"/>
      <c r="G1319" s="128"/>
      <c r="H1319" s="128"/>
      <c r="I1319" s="128"/>
      <c r="J1319" s="128"/>
      <c r="K1319" s="129"/>
      <c r="L1319" s="129"/>
      <c r="M1319" s="129"/>
      <c r="N1319" s="129"/>
      <c r="O1319" s="129"/>
      <c r="P1319" s="129"/>
      <c r="Q1319" s="129"/>
      <c r="R1319" s="132"/>
      <c r="S1319" s="132"/>
      <c r="T1319" s="135"/>
      <c r="U1319" s="132"/>
      <c r="V1319" s="129"/>
      <c r="W1319" s="132"/>
      <c r="X1319" s="132"/>
      <c r="Y1319" s="132"/>
    </row>
    <row r="1320" spans="1:25" ht="15.75" customHeight="1">
      <c r="A1320" s="125"/>
      <c r="B1320" s="125"/>
      <c r="C1320" s="125"/>
      <c r="D1320" s="125"/>
      <c r="E1320" s="126"/>
      <c r="F1320" s="128"/>
      <c r="G1320" s="128"/>
      <c r="H1320" s="128"/>
      <c r="I1320" s="128"/>
      <c r="J1320" s="128"/>
      <c r="K1320" s="129"/>
      <c r="L1320" s="129"/>
      <c r="M1320" s="129"/>
      <c r="N1320" s="129"/>
      <c r="O1320" s="129"/>
      <c r="P1320" s="129"/>
      <c r="Q1320" s="129"/>
      <c r="R1320" s="132"/>
      <c r="S1320" s="132"/>
      <c r="T1320" s="135"/>
      <c r="U1320" s="132"/>
      <c r="V1320" s="129"/>
      <c r="W1320" s="132"/>
      <c r="X1320" s="132"/>
      <c r="Y1320" s="132"/>
    </row>
    <row r="1321" spans="1:25" ht="15.75" customHeight="1">
      <c r="A1321" s="125"/>
      <c r="B1321" s="125"/>
      <c r="C1321" s="125"/>
      <c r="D1321" s="125"/>
      <c r="E1321" s="126"/>
      <c r="F1321" s="128"/>
      <c r="G1321" s="128"/>
      <c r="H1321" s="128"/>
      <c r="I1321" s="128"/>
      <c r="J1321" s="128"/>
      <c r="K1321" s="129"/>
      <c r="L1321" s="129"/>
      <c r="M1321" s="129"/>
      <c r="N1321" s="129"/>
      <c r="O1321" s="129"/>
      <c r="P1321" s="129"/>
      <c r="Q1321" s="129"/>
      <c r="R1321" s="132"/>
      <c r="S1321" s="132"/>
      <c r="T1321" s="135"/>
      <c r="U1321" s="132"/>
      <c r="V1321" s="129"/>
      <c r="W1321" s="132"/>
      <c r="X1321" s="132"/>
      <c r="Y1321" s="132"/>
    </row>
    <row r="1322" spans="1:25" ht="15.75" customHeight="1">
      <c r="A1322" s="125"/>
      <c r="B1322" s="125"/>
      <c r="C1322" s="125"/>
      <c r="D1322" s="125"/>
      <c r="E1322" s="126"/>
      <c r="F1322" s="128"/>
      <c r="G1322" s="128"/>
      <c r="H1322" s="128"/>
      <c r="I1322" s="128"/>
      <c r="J1322" s="128"/>
      <c r="K1322" s="129"/>
      <c r="L1322" s="129"/>
      <c r="M1322" s="129"/>
      <c r="N1322" s="129"/>
      <c r="O1322" s="129"/>
      <c r="P1322" s="129"/>
      <c r="Q1322" s="129"/>
      <c r="R1322" s="132"/>
      <c r="S1322" s="132"/>
      <c r="T1322" s="135"/>
      <c r="U1322" s="132"/>
      <c r="V1322" s="129"/>
      <c r="W1322" s="132"/>
      <c r="X1322" s="132"/>
      <c r="Y1322" s="132"/>
    </row>
    <row r="1323" spans="1:25" ht="15.75" customHeight="1">
      <c r="A1323" s="125"/>
      <c r="B1323" s="125"/>
      <c r="C1323" s="125"/>
      <c r="D1323" s="125"/>
      <c r="E1323" s="126"/>
      <c r="F1323" s="128"/>
      <c r="G1323" s="128"/>
      <c r="H1323" s="128"/>
      <c r="I1323" s="128"/>
      <c r="J1323" s="128"/>
      <c r="K1323" s="129"/>
      <c r="L1323" s="129"/>
      <c r="M1323" s="129"/>
      <c r="N1323" s="129"/>
      <c r="O1323" s="129"/>
      <c r="P1323" s="129"/>
      <c r="Q1323" s="129"/>
      <c r="R1323" s="132"/>
      <c r="S1323" s="132"/>
      <c r="T1323" s="135"/>
      <c r="U1323" s="132"/>
      <c r="V1323" s="129"/>
      <c r="W1323" s="132"/>
      <c r="X1323" s="132"/>
      <c r="Y1323" s="132"/>
    </row>
    <row r="1324" spans="1:25" ht="15.75" customHeight="1">
      <c r="A1324" s="125"/>
      <c r="B1324" s="125"/>
      <c r="C1324" s="125"/>
      <c r="D1324" s="125"/>
      <c r="E1324" s="126"/>
      <c r="F1324" s="128"/>
      <c r="G1324" s="128"/>
      <c r="H1324" s="128"/>
      <c r="I1324" s="128"/>
      <c r="J1324" s="128"/>
      <c r="K1324" s="129"/>
      <c r="L1324" s="129"/>
      <c r="M1324" s="129"/>
      <c r="N1324" s="129"/>
      <c r="O1324" s="129"/>
      <c r="P1324" s="129"/>
      <c r="Q1324" s="129"/>
      <c r="R1324" s="132"/>
      <c r="S1324" s="132"/>
      <c r="T1324" s="135"/>
      <c r="U1324" s="132"/>
      <c r="V1324" s="129"/>
      <c r="W1324" s="132"/>
      <c r="X1324" s="132"/>
      <c r="Y1324" s="132"/>
    </row>
    <row r="1325" spans="1:25" ht="15.75" customHeight="1">
      <c r="A1325" s="125"/>
      <c r="B1325" s="125"/>
      <c r="C1325" s="125"/>
      <c r="D1325" s="125"/>
      <c r="E1325" s="126"/>
      <c r="F1325" s="128"/>
      <c r="G1325" s="128"/>
      <c r="H1325" s="128"/>
      <c r="I1325" s="128"/>
      <c r="J1325" s="128"/>
      <c r="K1325" s="129"/>
      <c r="L1325" s="129"/>
      <c r="M1325" s="129"/>
      <c r="N1325" s="129"/>
      <c r="O1325" s="129"/>
      <c r="P1325" s="129"/>
      <c r="Q1325" s="129"/>
      <c r="R1325" s="132"/>
      <c r="S1325" s="132"/>
      <c r="T1325" s="135"/>
      <c r="U1325" s="132"/>
      <c r="V1325" s="129"/>
      <c r="W1325" s="132"/>
      <c r="X1325" s="132"/>
      <c r="Y1325" s="132"/>
    </row>
    <row r="1326" spans="1:25" ht="15.75" customHeight="1">
      <c r="A1326" s="125"/>
      <c r="B1326" s="125"/>
      <c r="C1326" s="125"/>
      <c r="D1326" s="125"/>
      <c r="E1326" s="126"/>
      <c r="F1326" s="128"/>
      <c r="G1326" s="128"/>
      <c r="H1326" s="128"/>
      <c r="I1326" s="128"/>
      <c r="J1326" s="128"/>
      <c r="K1326" s="129"/>
      <c r="L1326" s="129"/>
      <c r="M1326" s="129"/>
      <c r="N1326" s="129"/>
      <c r="O1326" s="129"/>
      <c r="P1326" s="129"/>
      <c r="Q1326" s="129"/>
      <c r="R1326" s="132"/>
      <c r="S1326" s="132"/>
      <c r="T1326" s="135"/>
      <c r="U1326" s="132"/>
      <c r="V1326" s="129"/>
      <c r="W1326" s="132"/>
      <c r="X1326" s="132"/>
      <c r="Y1326" s="132"/>
    </row>
    <row r="1327" spans="1:25" ht="15.75" customHeight="1">
      <c r="A1327" s="125"/>
      <c r="B1327" s="125"/>
      <c r="C1327" s="125"/>
      <c r="D1327" s="125"/>
      <c r="E1327" s="126"/>
      <c r="F1327" s="128"/>
      <c r="G1327" s="128"/>
      <c r="H1327" s="128"/>
      <c r="I1327" s="128"/>
      <c r="J1327" s="128"/>
      <c r="K1327" s="129"/>
      <c r="L1327" s="129"/>
      <c r="M1327" s="129"/>
      <c r="N1327" s="129"/>
      <c r="O1327" s="129"/>
      <c r="P1327" s="129"/>
      <c r="Q1327" s="129"/>
      <c r="R1327" s="132"/>
      <c r="S1327" s="132"/>
      <c r="T1327" s="135"/>
      <c r="U1327" s="132"/>
      <c r="V1327" s="129"/>
      <c r="W1327" s="132"/>
      <c r="X1327" s="132"/>
      <c r="Y1327" s="132"/>
    </row>
    <row r="1328" spans="1:25" ht="15.75" customHeight="1">
      <c r="A1328" s="125"/>
      <c r="B1328" s="125"/>
      <c r="C1328" s="125"/>
      <c r="D1328" s="125"/>
      <c r="E1328" s="126"/>
      <c r="F1328" s="128"/>
      <c r="G1328" s="128"/>
      <c r="H1328" s="128"/>
      <c r="I1328" s="128"/>
      <c r="J1328" s="128"/>
      <c r="K1328" s="129"/>
      <c r="L1328" s="129"/>
      <c r="M1328" s="129"/>
      <c r="N1328" s="129"/>
      <c r="O1328" s="129"/>
      <c r="P1328" s="129"/>
      <c r="Q1328" s="129"/>
      <c r="R1328" s="132"/>
      <c r="S1328" s="132"/>
      <c r="T1328" s="135"/>
      <c r="U1328" s="132"/>
      <c r="V1328" s="129"/>
      <c r="W1328" s="132"/>
      <c r="X1328" s="132"/>
      <c r="Y1328" s="132"/>
    </row>
    <row r="1329" spans="1:25" ht="15.75" customHeight="1">
      <c r="A1329" s="125"/>
      <c r="B1329" s="125"/>
      <c r="C1329" s="125"/>
      <c r="D1329" s="125"/>
      <c r="E1329" s="126"/>
      <c r="F1329" s="128"/>
      <c r="G1329" s="128"/>
      <c r="H1329" s="128"/>
      <c r="I1329" s="128"/>
      <c r="J1329" s="128"/>
      <c r="K1329" s="129"/>
      <c r="L1329" s="129"/>
      <c r="M1329" s="129"/>
      <c r="N1329" s="129"/>
      <c r="O1329" s="129"/>
      <c r="P1329" s="129"/>
      <c r="Q1329" s="129"/>
      <c r="R1329" s="132"/>
      <c r="S1329" s="132"/>
      <c r="T1329" s="135"/>
      <c r="U1329" s="132"/>
      <c r="V1329" s="129"/>
      <c r="W1329" s="132"/>
      <c r="X1329" s="132"/>
      <c r="Y1329" s="132"/>
    </row>
    <row r="1330" spans="1:25" ht="15.75" customHeight="1">
      <c r="A1330" s="125"/>
      <c r="B1330" s="125"/>
      <c r="C1330" s="125"/>
      <c r="D1330" s="125"/>
      <c r="E1330" s="126"/>
      <c r="F1330" s="128"/>
      <c r="G1330" s="128"/>
      <c r="H1330" s="128"/>
      <c r="I1330" s="128"/>
      <c r="J1330" s="128"/>
      <c r="K1330" s="129"/>
      <c r="L1330" s="129"/>
      <c r="M1330" s="129"/>
      <c r="N1330" s="129"/>
      <c r="O1330" s="129"/>
      <c r="P1330" s="129"/>
      <c r="Q1330" s="129"/>
      <c r="R1330" s="132"/>
      <c r="S1330" s="132"/>
      <c r="T1330" s="135"/>
      <c r="U1330" s="132"/>
      <c r="V1330" s="129"/>
      <c r="W1330" s="132"/>
      <c r="X1330" s="132"/>
      <c r="Y1330" s="132"/>
    </row>
    <row r="1331" spans="1:25" ht="15.75" customHeight="1">
      <c r="A1331" s="125"/>
      <c r="B1331" s="125"/>
      <c r="C1331" s="125"/>
      <c r="D1331" s="125"/>
      <c r="E1331" s="126"/>
      <c r="F1331" s="128"/>
      <c r="G1331" s="128"/>
      <c r="H1331" s="128"/>
      <c r="I1331" s="128"/>
      <c r="J1331" s="128"/>
      <c r="K1331" s="129"/>
      <c r="L1331" s="129"/>
      <c r="M1331" s="129"/>
      <c r="N1331" s="129"/>
      <c r="O1331" s="129"/>
      <c r="P1331" s="129"/>
      <c r="Q1331" s="129"/>
      <c r="R1331" s="132"/>
      <c r="S1331" s="132"/>
      <c r="T1331" s="135"/>
      <c r="U1331" s="132"/>
      <c r="V1331" s="129"/>
      <c r="W1331" s="132"/>
      <c r="X1331" s="132"/>
      <c r="Y1331" s="132"/>
    </row>
    <row r="1332" spans="1:25" ht="15.75" customHeight="1">
      <c r="A1332" s="125"/>
      <c r="B1332" s="125"/>
      <c r="C1332" s="125"/>
      <c r="D1332" s="125"/>
      <c r="E1332" s="126"/>
      <c r="F1332" s="128"/>
      <c r="G1332" s="128"/>
      <c r="H1332" s="128"/>
      <c r="I1332" s="128"/>
      <c r="J1332" s="128"/>
      <c r="K1332" s="129"/>
      <c r="L1332" s="129"/>
      <c r="M1332" s="129"/>
      <c r="N1332" s="129"/>
      <c r="O1332" s="129"/>
      <c r="P1332" s="129"/>
      <c r="Q1332" s="129"/>
      <c r="R1332" s="132"/>
      <c r="S1332" s="132"/>
      <c r="T1332" s="135"/>
      <c r="U1332" s="132"/>
      <c r="V1332" s="129"/>
      <c r="W1332" s="132"/>
      <c r="X1332" s="132"/>
      <c r="Y1332" s="132"/>
    </row>
    <row r="1333" spans="1:25" ht="15.75" customHeight="1">
      <c r="A1333" s="125"/>
      <c r="B1333" s="125"/>
      <c r="C1333" s="125"/>
      <c r="D1333" s="125"/>
      <c r="E1333" s="126"/>
      <c r="F1333" s="128"/>
      <c r="G1333" s="128"/>
      <c r="H1333" s="128"/>
      <c r="I1333" s="128"/>
      <c r="J1333" s="128"/>
      <c r="K1333" s="129"/>
      <c r="L1333" s="129"/>
      <c r="M1333" s="129"/>
      <c r="N1333" s="129"/>
      <c r="O1333" s="129"/>
      <c r="P1333" s="129"/>
      <c r="Q1333" s="129"/>
      <c r="R1333" s="132"/>
      <c r="S1333" s="132"/>
      <c r="T1333" s="135"/>
      <c r="U1333" s="132"/>
      <c r="V1333" s="129"/>
      <c r="W1333" s="132"/>
      <c r="X1333" s="132"/>
      <c r="Y1333" s="132"/>
    </row>
    <row r="1334" spans="1:25" ht="15.75" customHeight="1">
      <c r="A1334" s="125"/>
      <c r="B1334" s="125"/>
      <c r="C1334" s="125"/>
      <c r="D1334" s="125"/>
      <c r="E1334" s="126"/>
      <c r="F1334" s="128"/>
      <c r="G1334" s="128"/>
      <c r="H1334" s="128"/>
      <c r="I1334" s="128"/>
      <c r="J1334" s="128"/>
      <c r="K1334" s="129"/>
      <c r="L1334" s="129"/>
      <c r="M1334" s="129"/>
      <c r="N1334" s="129"/>
      <c r="O1334" s="129"/>
      <c r="P1334" s="129"/>
      <c r="Q1334" s="129"/>
      <c r="R1334" s="132"/>
      <c r="S1334" s="132"/>
      <c r="T1334" s="135"/>
      <c r="U1334" s="132"/>
      <c r="V1334" s="129"/>
      <c r="W1334" s="132"/>
      <c r="X1334" s="132"/>
      <c r="Y1334" s="132"/>
    </row>
    <row r="1335" spans="1:25" ht="15.75" customHeight="1">
      <c r="A1335" s="125"/>
      <c r="B1335" s="125"/>
      <c r="C1335" s="125"/>
      <c r="D1335" s="125"/>
      <c r="E1335" s="126"/>
      <c r="F1335" s="128"/>
      <c r="G1335" s="128"/>
      <c r="H1335" s="128"/>
      <c r="I1335" s="128"/>
      <c r="J1335" s="128"/>
      <c r="K1335" s="129"/>
      <c r="L1335" s="129"/>
      <c r="M1335" s="129"/>
      <c r="N1335" s="129"/>
      <c r="O1335" s="129"/>
      <c r="P1335" s="129"/>
      <c r="Q1335" s="129"/>
      <c r="R1335" s="132"/>
      <c r="S1335" s="132"/>
      <c r="T1335" s="135"/>
      <c r="U1335" s="132"/>
      <c r="V1335" s="129"/>
      <c r="W1335" s="132"/>
      <c r="X1335" s="132"/>
      <c r="Y1335" s="132"/>
    </row>
    <row r="1336" spans="1:25" ht="15.75" customHeight="1">
      <c r="A1336" s="125"/>
      <c r="B1336" s="125"/>
      <c r="C1336" s="125"/>
      <c r="D1336" s="125"/>
      <c r="E1336" s="126"/>
      <c r="F1336" s="128"/>
      <c r="G1336" s="128"/>
      <c r="H1336" s="128"/>
      <c r="I1336" s="128"/>
      <c r="J1336" s="128"/>
      <c r="K1336" s="129"/>
      <c r="L1336" s="129"/>
      <c r="M1336" s="129"/>
      <c r="N1336" s="129"/>
      <c r="O1336" s="129"/>
      <c r="P1336" s="129"/>
      <c r="Q1336" s="129"/>
      <c r="R1336" s="132"/>
      <c r="S1336" s="132"/>
      <c r="T1336" s="135"/>
      <c r="U1336" s="132"/>
      <c r="V1336" s="129"/>
      <c r="W1336" s="132"/>
      <c r="X1336" s="132"/>
      <c r="Y1336" s="132"/>
    </row>
    <row r="1337" spans="1:25" ht="15.75" customHeight="1">
      <c r="A1337" s="125"/>
      <c r="B1337" s="125"/>
      <c r="C1337" s="125"/>
      <c r="D1337" s="125"/>
      <c r="E1337" s="126"/>
      <c r="F1337" s="128"/>
      <c r="G1337" s="128"/>
      <c r="H1337" s="128"/>
      <c r="I1337" s="128"/>
      <c r="J1337" s="128"/>
      <c r="K1337" s="129"/>
      <c r="L1337" s="129"/>
      <c r="M1337" s="129"/>
      <c r="N1337" s="129"/>
      <c r="O1337" s="129"/>
      <c r="P1337" s="129"/>
      <c r="Q1337" s="129"/>
      <c r="R1337" s="132"/>
      <c r="S1337" s="132"/>
      <c r="T1337" s="135"/>
      <c r="U1337" s="132"/>
      <c r="V1337" s="129"/>
      <c r="W1337" s="132"/>
      <c r="X1337" s="132"/>
      <c r="Y1337" s="132"/>
    </row>
    <row r="1338" spans="1:25" ht="15.75" customHeight="1">
      <c r="A1338" s="125"/>
      <c r="B1338" s="125"/>
      <c r="C1338" s="125"/>
      <c r="D1338" s="125"/>
      <c r="E1338" s="126"/>
      <c r="F1338" s="128"/>
      <c r="G1338" s="128"/>
      <c r="H1338" s="128"/>
      <c r="I1338" s="128"/>
      <c r="J1338" s="128"/>
      <c r="K1338" s="129"/>
      <c r="L1338" s="129"/>
      <c r="M1338" s="129"/>
      <c r="N1338" s="129"/>
      <c r="O1338" s="129"/>
      <c r="P1338" s="129"/>
      <c r="Q1338" s="129"/>
      <c r="R1338" s="132"/>
      <c r="S1338" s="132"/>
      <c r="T1338" s="135"/>
      <c r="U1338" s="132"/>
      <c r="V1338" s="129"/>
      <c r="W1338" s="132"/>
      <c r="X1338" s="132"/>
      <c r="Y1338" s="132"/>
    </row>
    <row r="1339" spans="1:25" ht="15.75" customHeight="1">
      <c r="A1339" s="125"/>
      <c r="B1339" s="125"/>
      <c r="C1339" s="125"/>
      <c r="D1339" s="125"/>
      <c r="E1339" s="126"/>
      <c r="F1339" s="128"/>
      <c r="G1339" s="128"/>
      <c r="H1339" s="128"/>
      <c r="I1339" s="128"/>
      <c r="J1339" s="128"/>
      <c r="K1339" s="129"/>
      <c r="L1339" s="129"/>
      <c r="M1339" s="129"/>
      <c r="N1339" s="129"/>
      <c r="O1339" s="129"/>
      <c r="P1339" s="129"/>
      <c r="Q1339" s="129"/>
      <c r="R1339" s="132"/>
      <c r="S1339" s="132"/>
      <c r="T1339" s="135"/>
      <c r="U1339" s="132"/>
      <c r="V1339" s="129"/>
      <c r="W1339" s="132"/>
      <c r="X1339" s="132"/>
      <c r="Y1339" s="132"/>
    </row>
    <row r="1340" spans="1:25" ht="15.75" customHeight="1">
      <c r="A1340" s="125"/>
      <c r="B1340" s="125"/>
      <c r="C1340" s="125"/>
      <c r="D1340" s="125"/>
      <c r="E1340" s="126"/>
      <c r="F1340" s="128"/>
      <c r="G1340" s="128"/>
      <c r="H1340" s="128"/>
      <c r="I1340" s="128"/>
      <c r="J1340" s="128"/>
      <c r="K1340" s="129"/>
      <c r="L1340" s="129"/>
      <c r="M1340" s="129"/>
      <c r="N1340" s="129"/>
      <c r="O1340" s="129"/>
      <c r="P1340" s="129"/>
      <c r="Q1340" s="129"/>
      <c r="R1340" s="132"/>
      <c r="S1340" s="132"/>
      <c r="T1340" s="135"/>
      <c r="U1340" s="132"/>
      <c r="V1340" s="129"/>
      <c r="W1340" s="132"/>
      <c r="X1340" s="132"/>
      <c r="Y1340" s="132"/>
    </row>
    <row r="1341" spans="1:25" ht="15.75" customHeight="1">
      <c r="A1341" s="125"/>
      <c r="B1341" s="125"/>
      <c r="C1341" s="125"/>
      <c r="D1341" s="125"/>
      <c r="E1341" s="126"/>
      <c r="F1341" s="128"/>
      <c r="G1341" s="128"/>
      <c r="H1341" s="128"/>
      <c r="I1341" s="128"/>
      <c r="J1341" s="128"/>
      <c r="K1341" s="129"/>
      <c r="L1341" s="129"/>
      <c r="M1341" s="129"/>
      <c r="N1341" s="129"/>
      <c r="O1341" s="129"/>
      <c r="P1341" s="129"/>
      <c r="Q1341" s="129"/>
      <c r="R1341" s="132"/>
      <c r="S1341" s="132"/>
      <c r="T1341" s="135"/>
      <c r="U1341" s="132"/>
      <c r="V1341" s="129"/>
      <c r="W1341" s="132"/>
      <c r="X1341" s="132"/>
      <c r="Y1341" s="132"/>
    </row>
    <row r="1342" spans="1:25" ht="15.75" customHeight="1">
      <c r="A1342" s="125"/>
      <c r="B1342" s="125"/>
      <c r="C1342" s="125"/>
      <c r="D1342" s="125"/>
      <c r="E1342" s="126"/>
      <c r="F1342" s="128"/>
      <c r="G1342" s="128"/>
      <c r="H1342" s="128"/>
      <c r="I1342" s="128"/>
      <c r="J1342" s="128"/>
      <c r="K1342" s="129"/>
      <c r="L1342" s="129"/>
      <c r="M1342" s="129"/>
      <c r="N1342" s="129"/>
      <c r="O1342" s="129"/>
      <c r="P1342" s="129"/>
      <c r="Q1342" s="129"/>
      <c r="R1342" s="132"/>
      <c r="S1342" s="132"/>
      <c r="T1342" s="135"/>
      <c r="U1342" s="132"/>
      <c r="V1342" s="129"/>
      <c r="W1342" s="132"/>
      <c r="X1342" s="132"/>
      <c r="Y1342" s="132"/>
    </row>
    <row r="1343" spans="1:25" ht="15.75" customHeight="1">
      <c r="A1343" s="125"/>
      <c r="B1343" s="125"/>
      <c r="C1343" s="125"/>
      <c r="D1343" s="125"/>
      <c r="E1343" s="126"/>
      <c r="F1343" s="128"/>
      <c r="G1343" s="128"/>
      <c r="H1343" s="128"/>
      <c r="I1343" s="128"/>
      <c r="J1343" s="128"/>
      <c r="K1343" s="129"/>
      <c r="L1343" s="129"/>
      <c r="M1343" s="129"/>
      <c r="N1343" s="129"/>
      <c r="O1343" s="129"/>
      <c r="P1343" s="129"/>
      <c r="Q1343" s="129"/>
      <c r="R1343" s="132"/>
      <c r="S1343" s="132"/>
      <c r="T1343" s="135"/>
      <c r="U1343" s="132"/>
      <c r="V1343" s="129"/>
      <c r="W1343" s="132"/>
      <c r="X1343" s="132"/>
      <c r="Y1343" s="132"/>
    </row>
    <row r="1344" spans="1:25" ht="15.75" customHeight="1">
      <c r="A1344" s="125"/>
      <c r="B1344" s="125"/>
      <c r="C1344" s="125"/>
      <c r="D1344" s="125"/>
      <c r="E1344" s="126"/>
      <c r="F1344" s="128"/>
      <c r="G1344" s="128"/>
      <c r="H1344" s="128"/>
      <c r="I1344" s="128"/>
      <c r="J1344" s="128"/>
      <c r="K1344" s="129"/>
      <c r="L1344" s="129"/>
      <c r="M1344" s="129"/>
      <c r="N1344" s="129"/>
      <c r="O1344" s="129"/>
      <c r="P1344" s="129"/>
      <c r="Q1344" s="129"/>
      <c r="R1344" s="132"/>
      <c r="S1344" s="132"/>
      <c r="T1344" s="135"/>
      <c r="U1344" s="132"/>
      <c r="V1344" s="129"/>
      <c r="W1344" s="132"/>
      <c r="X1344" s="132"/>
      <c r="Y1344" s="132"/>
    </row>
    <row r="1345" spans="1:25" ht="15.75" customHeight="1">
      <c r="A1345" s="125"/>
      <c r="B1345" s="125"/>
      <c r="C1345" s="125"/>
      <c r="D1345" s="125"/>
      <c r="E1345" s="126"/>
      <c r="F1345" s="128"/>
      <c r="G1345" s="128"/>
      <c r="H1345" s="128"/>
      <c r="I1345" s="128"/>
      <c r="J1345" s="128"/>
      <c r="K1345" s="129"/>
      <c r="L1345" s="129"/>
      <c r="M1345" s="129"/>
      <c r="N1345" s="129"/>
      <c r="O1345" s="129"/>
      <c r="P1345" s="129"/>
      <c r="Q1345" s="129"/>
      <c r="R1345" s="132"/>
      <c r="S1345" s="132"/>
      <c r="T1345" s="135"/>
      <c r="U1345" s="132"/>
      <c r="V1345" s="129"/>
      <c r="W1345" s="132"/>
      <c r="X1345" s="132"/>
      <c r="Y1345" s="132"/>
    </row>
    <row r="1346" spans="1:25" ht="15.75" customHeight="1">
      <c r="A1346" s="125"/>
      <c r="B1346" s="125"/>
      <c r="C1346" s="125"/>
      <c r="D1346" s="125"/>
      <c r="E1346" s="126"/>
      <c r="F1346" s="128"/>
      <c r="G1346" s="128"/>
      <c r="H1346" s="128"/>
      <c r="I1346" s="128"/>
      <c r="J1346" s="128"/>
      <c r="K1346" s="129"/>
      <c r="L1346" s="129"/>
      <c r="M1346" s="129"/>
      <c r="N1346" s="129"/>
      <c r="O1346" s="129"/>
      <c r="P1346" s="129"/>
      <c r="Q1346" s="129"/>
      <c r="R1346" s="132"/>
      <c r="S1346" s="132"/>
      <c r="T1346" s="135"/>
      <c r="U1346" s="132"/>
      <c r="V1346" s="129"/>
      <c r="W1346" s="132"/>
      <c r="X1346" s="132"/>
      <c r="Y1346" s="132"/>
    </row>
    <row r="1347" spans="1:25" ht="15.75" customHeight="1">
      <c r="A1347" s="125"/>
      <c r="B1347" s="125"/>
      <c r="C1347" s="125"/>
      <c r="D1347" s="125"/>
      <c r="E1347" s="126"/>
      <c r="F1347" s="128"/>
      <c r="G1347" s="128"/>
      <c r="H1347" s="128"/>
      <c r="I1347" s="128"/>
      <c r="J1347" s="128"/>
      <c r="K1347" s="129"/>
      <c r="L1347" s="129"/>
      <c r="M1347" s="129"/>
      <c r="N1347" s="129"/>
      <c r="O1347" s="129"/>
      <c r="P1347" s="129"/>
      <c r="Q1347" s="129"/>
      <c r="R1347" s="132"/>
      <c r="S1347" s="132"/>
      <c r="T1347" s="135"/>
      <c r="U1347" s="132"/>
      <c r="V1347" s="129"/>
      <c r="W1347" s="132"/>
      <c r="X1347" s="132"/>
      <c r="Y1347" s="132"/>
    </row>
    <row r="1348" spans="1:25" ht="15.75" customHeight="1">
      <c r="A1348" s="125"/>
      <c r="B1348" s="125"/>
      <c r="C1348" s="125"/>
      <c r="D1348" s="125"/>
      <c r="E1348" s="126"/>
      <c r="F1348" s="128"/>
      <c r="G1348" s="128"/>
      <c r="H1348" s="128"/>
      <c r="I1348" s="128"/>
      <c r="J1348" s="128"/>
      <c r="K1348" s="129"/>
      <c r="L1348" s="129"/>
      <c r="M1348" s="129"/>
      <c r="N1348" s="129"/>
      <c r="O1348" s="129"/>
      <c r="P1348" s="129"/>
      <c r="Q1348" s="129"/>
      <c r="R1348" s="132"/>
      <c r="S1348" s="132"/>
      <c r="T1348" s="135"/>
      <c r="U1348" s="132"/>
      <c r="V1348" s="129"/>
      <c r="W1348" s="132"/>
      <c r="X1348" s="132"/>
      <c r="Y1348" s="132"/>
    </row>
    <row r="1349" spans="1:25" ht="15.75" customHeight="1">
      <c r="A1349" s="125"/>
      <c r="B1349" s="125"/>
      <c r="C1349" s="125"/>
      <c r="D1349" s="125"/>
      <c r="E1349" s="126"/>
      <c r="F1349" s="128"/>
      <c r="G1349" s="128"/>
      <c r="H1349" s="128"/>
      <c r="I1349" s="128"/>
      <c r="J1349" s="128"/>
      <c r="K1349" s="129"/>
      <c r="L1349" s="129"/>
      <c r="M1349" s="129"/>
      <c r="N1349" s="129"/>
      <c r="O1349" s="129"/>
      <c r="P1349" s="129"/>
      <c r="Q1349" s="129"/>
      <c r="R1349" s="132"/>
      <c r="S1349" s="132"/>
      <c r="T1349" s="135"/>
      <c r="U1349" s="132"/>
      <c r="V1349" s="129"/>
      <c r="W1349" s="132"/>
      <c r="X1349" s="132"/>
      <c r="Y1349" s="132"/>
    </row>
    <row r="1350" spans="1:25" ht="15.75" customHeight="1">
      <c r="A1350" s="125"/>
      <c r="B1350" s="125"/>
      <c r="C1350" s="125"/>
      <c r="D1350" s="125"/>
      <c r="E1350" s="126"/>
      <c r="F1350" s="128"/>
      <c r="G1350" s="128"/>
      <c r="H1350" s="128"/>
      <c r="I1350" s="128"/>
      <c r="J1350" s="128"/>
      <c r="K1350" s="129"/>
      <c r="L1350" s="129"/>
      <c r="M1350" s="129"/>
      <c r="N1350" s="129"/>
      <c r="O1350" s="129"/>
      <c r="P1350" s="129"/>
      <c r="Q1350" s="129"/>
      <c r="R1350" s="132"/>
      <c r="S1350" s="132"/>
      <c r="T1350" s="135"/>
      <c r="U1350" s="132"/>
      <c r="V1350" s="129"/>
      <c r="W1350" s="132"/>
      <c r="X1350" s="132"/>
      <c r="Y1350" s="132"/>
    </row>
    <row r="1351" spans="1:25" ht="15.75" customHeight="1">
      <c r="A1351" s="125"/>
      <c r="B1351" s="125"/>
      <c r="C1351" s="125"/>
      <c r="D1351" s="125"/>
      <c r="E1351" s="126"/>
      <c r="F1351" s="128"/>
      <c r="G1351" s="128"/>
      <c r="H1351" s="128"/>
      <c r="I1351" s="128"/>
      <c r="J1351" s="128"/>
      <c r="K1351" s="129"/>
      <c r="L1351" s="129"/>
      <c r="M1351" s="129"/>
      <c r="N1351" s="129"/>
      <c r="O1351" s="129"/>
      <c r="P1351" s="129"/>
      <c r="Q1351" s="129"/>
      <c r="R1351" s="132"/>
      <c r="S1351" s="132"/>
      <c r="T1351" s="135"/>
      <c r="U1351" s="132"/>
      <c r="V1351" s="129"/>
      <c r="W1351" s="132"/>
      <c r="X1351" s="132"/>
      <c r="Y1351" s="132"/>
    </row>
    <row r="1352" spans="1:25" ht="15.75" customHeight="1">
      <c r="A1352" s="125"/>
      <c r="B1352" s="125"/>
      <c r="C1352" s="125"/>
      <c r="D1352" s="125"/>
      <c r="E1352" s="126"/>
      <c r="F1352" s="128"/>
      <c r="G1352" s="128"/>
      <c r="H1352" s="128"/>
      <c r="I1352" s="128"/>
      <c r="J1352" s="128"/>
      <c r="K1352" s="129"/>
      <c r="L1352" s="129"/>
      <c r="M1352" s="129"/>
      <c r="N1352" s="129"/>
      <c r="O1352" s="129"/>
      <c r="P1352" s="129"/>
      <c r="Q1352" s="129"/>
      <c r="R1352" s="132"/>
      <c r="S1352" s="132"/>
      <c r="T1352" s="135"/>
      <c r="U1352" s="132"/>
      <c r="V1352" s="129"/>
      <c r="W1352" s="132"/>
      <c r="X1352" s="132"/>
      <c r="Y1352" s="132"/>
    </row>
    <row r="1353" spans="1:25" ht="15.75" customHeight="1">
      <c r="A1353" s="125"/>
      <c r="B1353" s="125"/>
      <c r="C1353" s="125"/>
      <c r="D1353" s="125"/>
      <c r="E1353" s="126"/>
      <c r="F1353" s="128"/>
      <c r="G1353" s="128"/>
      <c r="H1353" s="128"/>
      <c r="I1353" s="128"/>
      <c r="J1353" s="128"/>
      <c r="K1353" s="129"/>
      <c r="L1353" s="129"/>
      <c r="M1353" s="129"/>
      <c r="N1353" s="129"/>
      <c r="O1353" s="129"/>
      <c r="P1353" s="129"/>
      <c r="Q1353" s="129"/>
      <c r="R1353" s="132"/>
      <c r="S1353" s="132"/>
      <c r="T1353" s="135"/>
      <c r="U1353" s="132"/>
      <c r="V1353" s="129"/>
      <c r="W1353" s="132"/>
      <c r="X1353" s="132"/>
      <c r="Y1353" s="132"/>
    </row>
    <row r="1354" spans="1:25" ht="15.75" customHeight="1">
      <c r="A1354" s="125"/>
      <c r="B1354" s="125"/>
      <c r="C1354" s="125"/>
      <c r="D1354" s="125"/>
      <c r="E1354" s="126"/>
      <c r="F1354" s="128"/>
      <c r="G1354" s="128"/>
      <c r="H1354" s="128"/>
      <c r="I1354" s="128"/>
      <c r="J1354" s="128"/>
      <c r="K1354" s="129"/>
      <c r="L1354" s="129"/>
      <c r="M1354" s="129"/>
      <c r="N1354" s="129"/>
      <c r="O1354" s="129"/>
      <c r="P1354" s="129"/>
      <c r="Q1354" s="129"/>
      <c r="R1354" s="132"/>
      <c r="S1354" s="132"/>
      <c r="T1354" s="135"/>
      <c r="U1354" s="132"/>
      <c r="V1354" s="129"/>
      <c r="W1354" s="132"/>
      <c r="X1354" s="132"/>
      <c r="Y1354" s="132"/>
    </row>
    <row r="1355" spans="1:25" ht="15.75" customHeight="1">
      <c r="A1355" s="125"/>
      <c r="B1355" s="125"/>
      <c r="C1355" s="125"/>
      <c r="D1355" s="125"/>
      <c r="E1355" s="126"/>
      <c r="F1355" s="128"/>
      <c r="G1355" s="128"/>
      <c r="H1355" s="128"/>
      <c r="I1355" s="128"/>
      <c r="J1355" s="128"/>
      <c r="K1355" s="129"/>
      <c r="L1355" s="129"/>
      <c r="M1355" s="129"/>
      <c r="N1355" s="129"/>
      <c r="O1355" s="129"/>
      <c r="P1355" s="129"/>
      <c r="Q1355" s="129"/>
      <c r="R1355" s="132"/>
      <c r="S1355" s="132"/>
      <c r="T1355" s="135"/>
      <c r="U1355" s="132"/>
      <c r="V1355" s="129"/>
      <c r="W1355" s="132"/>
      <c r="X1355" s="132"/>
      <c r="Y1355" s="132"/>
    </row>
    <row r="1356" spans="1:25" ht="15.75" customHeight="1">
      <c r="A1356" s="125"/>
      <c r="B1356" s="125"/>
      <c r="C1356" s="125"/>
      <c r="D1356" s="125"/>
      <c r="E1356" s="126"/>
      <c r="F1356" s="128"/>
      <c r="G1356" s="128"/>
      <c r="H1356" s="128"/>
      <c r="I1356" s="128"/>
      <c r="J1356" s="128"/>
      <c r="K1356" s="129"/>
      <c r="L1356" s="129"/>
      <c r="M1356" s="129"/>
      <c r="N1356" s="129"/>
      <c r="O1356" s="129"/>
      <c r="P1356" s="129"/>
      <c r="Q1356" s="129"/>
      <c r="R1356" s="132"/>
      <c r="S1356" s="132"/>
      <c r="T1356" s="135"/>
      <c r="U1356" s="132"/>
      <c r="V1356" s="129"/>
      <c r="W1356" s="132"/>
      <c r="X1356" s="132"/>
      <c r="Y1356" s="132"/>
    </row>
    <row r="1357" spans="1:25" ht="15.75" customHeight="1">
      <c r="A1357" s="125"/>
      <c r="B1357" s="125"/>
      <c r="C1357" s="125"/>
      <c r="D1357" s="125"/>
      <c r="E1357" s="126"/>
      <c r="F1357" s="128"/>
      <c r="G1357" s="128"/>
      <c r="H1357" s="128"/>
      <c r="I1357" s="128"/>
      <c r="J1357" s="128"/>
      <c r="K1357" s="129"/>
      <c r="L1357" s="129"/>
      <c r="M1357" s="129"/>
      <c r="N1357" s="129"/>
      <c r="O1357" s="129"/>
      <c r="P1357" s="129"/>
      <c r="Q1357" s="129"/>
      <c r="R1357" s="132"/>
      <c r="S1357" s="132"/>
      <c r="T1357" s="135"/>
      <c r="U1357" s="132"/>
      <c r="V1357" s="129"/>
      <c r="W1357" s="132"/>
      <c r="X1357" s="132"/>
      <c r="Y1357" s="132"/>
    </row>
    <row r="1358" spans="1:25" ht="15.75" customHeight="1">
      <c r="A1358" s="125"/>
      <c r="B1358" s="125"/>
      <c r="C1358" s="125"/>
      <c r="D1358" s="125"/>
      <c r="E1358" s="126"/>
      <c r="F1358" s="128"/>
      <c r="G1358" s="128"/>
      <c r="H1358" s="128"/>
      <c r="I1358" s="128"/>
      <c r="J1358" s="128"/>
      <c r="K1358" s="129"/>
      <c r="L1358" s="129"/>
      <c r="M1358" s="129"/>
      <c r="N1358" s="129"/>
      <c r="O1358" s="129"/>
      <c r="P1358" s="129"/>
      <c r="Q1358" s="129"/>
      <c r="R1358" s="132"/>
      <c r="S1358" s="132"/>
      <c r="T1358" s="135"/>
      <c r="U1358" s="132"/>
      <c r="V1358" s="129"/>
      <c r="W1358" s="132"/>
      <c r="X1358" s="132"/>
      <c r="Y1358" s="132"/>
    </row>
    <row r="1359" spans="1:25" ht="15.75" customHeight="1">
      <c r="A1359" s="125"/>
      <c r="B1359" s="125"/>
      <c r="C1359" s="125"/>
      <c r="D1359" s="125"/>
      <c r="E1359" s="126"/>
      <c r="F1359" s="128"/>
      <c r="G1359" s="128"/>
      <c r="H1359" s="128"/>
      <c r="I1359" s="128"/>
      <c r="J1359" s="128"/>
      <c r="K1359" s="129"/>
      <c r="L1359" s="129"/>
      <c r="M1359" s="129"/>
      <c r="N1359" s="129"/>
      <c r="O1359" s="129"/>
      <c r="P1359" s="129"/>
      <c r="Q1359" s="129"/>
      <c r="R1359" s="132"/>
      <c r="S1359" s="132"/>
      <c r="T1359" s="135"/>
      <c r="U1359" s="132"/>
      <c r="V1359" s="129"/>
      <c r="W1359" s="132"/>
      <c r="X1359" s="132"/>
      <c r="Y1359" s="132"/>
    </row>
    <row r="1360" spans="1:25" ht="15.75" customHeight="1">
      <c r="A1360" s="125"/>
      <c r="B1360" s="125"/>
      <c r="C1360" s="125"/>
      <c r="D1360" s="125"/>
      <c r="E1360" s="126"/>
      <c r="F1360" s="128"/>
      <c r="G1360" s="128"/>
      <c r="H1360" s="128"/>
      <c r="I1360" s="128"/>
      <c r="J1360" s="128"/>
      <c r="K1360" s="129"/>
      <c r="L1360" s="129"/>
      <c r="M1360" s="129"/>
      <c r="N1360" s="129"/>
      <c r="O1360" s="129"/>
      <c r="P1360" s="129"/>
      <c r="Q1360" s="129"/>
      <c r="R1360" s="132"/>
      <c r="S1360" s="132"/>
      <c r="T1360" s="135"/>
      <c r="U1360" s="132"/>
      <c r="V1360" s="129"/>
      <c r="W1360" s="132"/>
      <c r="X1360" s="132"/>
      <c r="Y1360" s="132"/>
    </row>
    <row r="1361" spans="1:25" ht="15.75" customHeight="1">
      <c r="A1361" s="125"/>
      <c r="B1361" s="125"/>
      <c r="C1361" s="125"/>
      <c r="D1361" s="125"/>
      <c r="E1361" s="126"/>
      <c r="F1361" s="128"/>
      <c r="G1361" s="128"/>
      <c r="H1361" s="128"/>
      <c r="I1361" s="128"/>
      <c r="J1361" s="128"/>
      <c r="K1361" s="129"/>
      <c r="L1361" s="129"/>
      <c r="M1361" s="129"/>
      <c r="N1361" s="129"/>
      <c r="O1361" s="129"/>
      <c r="P1361" s="129"/>
      <c r="Q1361" s="129"/>
      <c r="R1361" s="132"/>
      <c r="S1361" s="132"/>
      <c r="T1361" s="135"/>
      <c r="U1361" s="132"/>
      <c r="V1361" s="129"/>
      <c r="W1361" s="132"/>
      <c r="X1361" s="132"/>
      <c r="Y1361" s="132"/>
    </row>
    <row r="1362" spans="1:25" ht="15.75" customHeight="1">
      <c r="A1362" s="125"/>
      <c r="B1362" s="125"/>
      <c r="C1362" s="125"/>
      <c r="D1362" s="125"/>
      <c r="E1362" s="126"/>
      <c r="F1362" s="128"/>
      <c r="G1362" s="128"/>
      <c r="H1362" s="128"/>
      <c r="I1362" s="128"/>
      <c r="J1362" s="128"/>
      <c r="K1362" s="129"/>
      <c r="L1362" s="129"/>
      <c r="M1362" s="129"/>
      <c r="N1362" s="129"/>
      <c r="O1362" s="129"/>
      <c r="P1362" s="129"/>
      <c r="Q1362" s="129"/>
      <c r="R1362" s="132"/>
      <c r="S1362" s="132"/>
      <c r="T1362" s="135"/>
      <c r="U1362" s="132"/>
      <c r="V1362" s="129"/>
      <c r="W1362" s="132"/>
      <c r="X1362" s="132"/>
      <c r="Y1362" s="132"/>
    </row>
    <row r="1363" spans="1:25" ht="15.75" customHeight="1">
      <c r="A1363" s="125"/>
      <c r="B1363" s="125"/>
      <c r="C1363" s="125"/>
      <c r="D1363" s="125"/>
      <c r="E1363" s="126"/>
      <c r="F1363" s="128"/>
      <c r="G1363" s="128"/>
      <c r="H1363" s="128"/>
      <c r="I1363" s="128"/>
      <c r="J1363" s="128"/>
      <c r="K1363" s="129"/>
      <c r="L1363" s="129"/>
      <c r="M1363" s="129"/>
      <c r="N1363" s="129"/>
      <c r="O1363" s="129"/>
      <c r="P1363" s="129"/>
      <c r="Q1363" s="129"/>
      <c r="R1363" s="132"/>
      <c r="S1363" s="132"/>
      <c r="T1363" s="135"/>
      <c r="U1363" s="132"/>
      <c r="V1363" s="129"/>
      <c r="W1363" s="132"/>
      <c r="X1363" s="132"/>
      <c r="Y1363" s="132"/>
    </row>
    <row r="1364" spans="1:25" ht="15.75" customHeight="1">
      <c r="A1364" s="125"/>
      <c r="B1364" s="125"/>
      <c r="C1364" s="125"/>
      <c r="D1364" s="125"/>
      <c r="E1364" s="126"/>
      <c r="F1364" s="128"/>
      <c r="G1364" s="128"/>
      <c r="H1364" s="128"/>
      <c r="I1364" s="128"/>
      <c r="J1364" s="128"/>
      <c r="K1364" s="129"/>
      <c r="L1364" s="129"/>
      <c r="M1364" s="129"/>
      <c r="N1364" s="129"/>
      <c r="O1364" s="129"/>
      <c r="P1364" s="129"/>
      <c r="Q1364" s="129"/>
      <c r="R1364" s="132"/>
      <c r="S1364" s="132"/>
      <c r="T1364" s="135"/>
      <c r="U1364" s="132"/>
      <c r="V1364" s="129"/>
      <c r="W1364" s="132"/>
      <c r="X1364" s="132"/>
      <c r="Y1364" s="132"/>
    </row>
    <row r="1365" spans="1:25" ht="15.75" customHeight="1">
      <c r="A1365" s="125"/>
      <c r="B1365" s="125"/>
      <c r="C1365" s="125"/>
      <c r="D1365" s="125"/>
      <c r="E1365" s="126"/>
      <c r="F1365" s="128"/>
      <c r="G1365" s="128"/>
      <c r="H1365" s="128"/>
      <c r="I1365" s="128"/>
      <c r="J1365" s="128"/>
      <c r="K1365" s="129"/>
      <c r="L1365" s="129"/>
      <c r="M1365" s="129"/>
      <c r="N1365" s="129"/>
      <c r="O1365" s="129"/>
      <c r="P1365" s="129"/>
      <c r="Q1365" s="129"/>
      <c r="R1365" s="132"/>
      <c r="S1365" s="132"/>
      <c r="T1365" s="135"/>
      <c r="U1365" s="132"/>
      <c r="V1365" s="129"/>
      <c r="W1365" s="132"/>
      <c r="X1365" s="132"/>
      <c r="Y1365" s="132"/>
    </row>
    <row r="1366" spans="1:25" ht="15.75" customHeight="1">
      <c r="A1366" s="125"/>
      <c r="B1366" s="125"/>
      <c r="C1366" s="125"/>
      <c r="D1366" s="125"/>
      <c r="E1366" s="126"/>
      <c r="F1366" s="128"/>
      <c r="G1366" s="128"/>
      <c r="H1366" s="128"/>
      <c r="I1366" s="128"/>
      <c r="J1366" s="128"/>
      <c r="K1366" s="129"/>
      <c r="L1366" s="129"/>
      <c r="M1366" s="129"/>
      <c r="N1366" s="129"/>
      <c r="O1366" s="129"/>
      <c r="P1366" s="129"/>
      <c r="Q1366" s="129"/>
      <c r="R1366" s="132"/>
      <c r="S1366" s="132"/>
      <c r="T1366" s="135"/>
      <c r="U1366" s="132"/>
      <c r="V1366" s="129"/>
      <c r="W1366" s="132"/>
      <c r="X1366" s="132"/>
      <c r="Y1366" s="132"/>
    </row>
    <row r="1367" spans="1:25" ht="15.75" customHeight="1">
      <c r="A1367" s="125"/>
      <c r="B1367" s="125"/>
      <c r="C1367" s="125"/>
      <c r="D1367" s="125"/>
      <c r="E1367" s="126"/>
      <c r="F1367" s="128"/>
      <c r="G1367" s="128"/>
      <c r="H1367" s="128"/>
      <c r="I1367" s="128"/>
      <c r="J1367" s="128"/>
      <c r="K1367" s="129"/>
      <c r="L1367" s="129"/>
      <c r="M1367" s="129"/>
      <c r="N1367" s="129"/>
      <c r="O1367" s="129"/>
      <c r="P1367" s="129"/>
      <c r="Q1367" s="129"/>
      <c r="R1367" s="132"/>
      <c r="S1367" s="132"/>
      <c r="T1367" s="135"/>
      <c r="U1367" s="132"/>
      <c r="V1367" s="129"/>
      <c r="W1367" s="132"/>
      <c r="X1367" s="132"/>
      <c r="Y1367" s="132"/>
    </row>
    <row r="1368" spans="1:25" ht="15.75" customHeight="1">
      <c r="A1368" s="125"/>
      <c r="B1368" s="125"/>
      <c r="C1368" s="125"/>
      <c r="D1368" s="125"/>
      <c r="E1368" s="126"/>
      <c r="F1368" s="128"/>
      <c r="G1368" s="128"/>
      <c r="H1368" s="128"/>
      <c r="I1368" s="128"/>
      <c r="J1368" s="128"/>
      <c r="K1368" s="129"/>
      <c r="L1368" s="129"/>
      <c r="M1368" s="129"/>
      <c r="N1368" s="129"/>
      <c r="O1368" s="129"/>
      <c r="P1368" s="129"/>
      <c r="Q1368" s="129"/>
      <c r="R1368" s="132"/>
      <c r="S1368" s="132"/>
      <c r="T1368" s="135"/>
      <c r="U1368" s="132"/>
      <c r="V1368" s="129"/>
      <c r="W1368" s="132"/>
      <c r="X1368" s="132"/>
      <c r="Y1368" s="132"/>
    </row>
    <row r="1369" spans="1:25" ht="15.75" customHeight="1">
      <c r="A1369" s="125"/>
      <c r="B1369" s="125"/>
      <c r="C1369" s="125"/>
      <c r="D1369" s="125"/>
      <c r="E1369" s="126"/>
      <c r="F1369" s="128"/>
      <c r="G1369" s="128"/>
      <c r="H1369" s="128"/>
      <c r="I1369" s="128"/>
      <c r="J1369" s="128"/>
      <c r="K1369" s="129"/>
      <c r="L1369" s="129"/>
      <c r="M1369" s="129"/>
      <c r="N1369" s="129"/>
      <c r="O1369" s="129"/>
      <c r="P1369" s="129"/>
      <c r="Q1369" s="129"/>
      <c r="R1369" s="132"/>
      <c r="S1369" s="132"/>
      <c r="T1369" s="135"/>
      <c r="U1369" s="132"/>
      <c r="V1369" s="129"/>
      <c r="W1369" s="132"/>
      <c r="X1369" s="132"/>
      <c r="Y1369" s="132"/>
    </row>
    <row r="1370" spans="1:25" ht="15.75" customHeight="1">
      <c r="A1370" s="125"/>
      <c r="B1370" s="125"/>
      <c r="C1370" s="125"/>
      <c r="D1370" s="125"/>
      <c r="E1370" s="126"/>
      <c r="F1370" s="128"/>
      <c r="G1370" s="128"/>
      <c r="H1370" s="128"/>
      <c r="I1370" s="128"/>
      <c r="J1370" s="128"/>
      <c r="K1370" s="129"/>
      <c r="L1370" s="129"/>
      <c r="M1370" s="129"/>
      <c r="N1370" s="129"/>
      <c r="O1370" s="129"/>
      <c r="P1370" s="129"/>
      <c r="Q1370" s="129"/>
      <c r="R1370" s="132"/>
      <c r="S1370" s="132"/>
      <c r="T1370" s="135"/>
      <c r="U1370" s="132"/>
      <c r="V1370" s="129"/>
      <c r="W1370" s="132"/>
      <c r="X1370" s="132"/>
      <c r="Y1370" s="132"/>
    </row>
    <row r="1371" spans="1:25" ht="15.75" customHeight="1">
      <c r="A1371" s="125"/>
      <c r="B1371" s="125"/>
      <c r="C1371" s="125"/>
      <c r="D1371" s="125"/>
      <c r="E1371" s="126"/>
      <c r="F1371" s="128"/>
      <c r="G1371" s="128"/>
      <c r="H1371" s="128"/>
      <c r="I1371" s="128"/>
      <c r="J1371" s="128"/>
      <c r="K1371" s="129"/>
      <c r="L1371" s="129"/>
      <c r="M1371" s="129"/>
      <c r="N1371" s="129"/>
      <c r="O1371" s="129"/>
      <c r="P1371" s="129"/>
      <c r="Q1371" s="129"/>
      <c r="R1371" s="132"/>
      <c r="S1371" s="132"/>
      <c r="T1371" s="135"/>
      <c r="U1371" s="132"/>
      <c r="V1371" s="129"/>
      <c r="W1371" s="132"/>
      <c r="X1371" s="132"/>
      <c r="Y1371" s="132"/>
    </row>
    <row r="1372" spans="1:25" ht="15.75" customHeight="1">
      <c r="A1372" s="125"/>
      <c r="B1372" s="125"/>
      <c r="C1372" s="125"/>
      <c r="D1372" s="125"/>
      <c r="E1372" s="126"/>
      <c r="F1372" s="128"/>
      <c r="G1372" s="128"/>
      <c r="H1372" s="128"/>
      <c r="I1372" s="128"/>
      <c r="J1372" s="128"/>
      <c r="K1372" s="129"/>
      <c r="L1372" s="129"/>
      <c r="M1372" s="129"/>
      <c r="N1372" s="129"/>
      <c r="O1372" s="129"/>
      <c r="P1372" s="129"/>
      <c r="Q1372" s="129"/>
      <c r="R1372" s="132"/>
      <c r="S1372" s="132"/>
      <c r="T1372" s="135"/>
      <c r="U1372" s="132"/>
      <c r="V1372" s="129"/>
      <c r="W1372" s="132"/>
      <c r="X1372" s="132"/>
      <c r="Y1372" s="132"/>
    </row>
    <row r="1373" spans="1:25" ht="15.75" customHeight="1">
      <c r="A1373" s="125"/>
      <c r="B1373" s="125"/>
      <c r="C1373" s="125"/>
      <c r="D1373" s="125"/>
      <c r="E1373" s="126"/>
      <c r="F1373" s="128"/>
      <c r="G1373" s="128"/>
      <c r="H1373" s="128"/>
      <c r="I1373" s="128"/>
      <c r="J1373" s="128"/>
      <c r="K1373" s="129"/>
      <c r="L1373" s="129"/>
      <c r="M1373" s="129"/>
      <c r="N1373" s="129"/>
      <c r="O1373" s="129"/>
      <c r="P1373" s="129"/>
      <c r="Q1373" s="129"/>
      <c r="R1373" s="132"/>
      <c r="S1373" s="132"/>
      <c r="T1373" s="135"/>
      <c r="U1373" s="132"/>
      <c r="V1373" s="129"/>
      <c r="W1373" s="132"/>
      <c r="X1373" s="132"/>
      <c r="Y1373" s="132"/>
    </row>
    <row r="1374" spans="1:25" ht="15.75" customHeight="1">
      <c r="A1374" s="125"/>
      <c r="B1374" s="125"/>
      <c r="C1374" s="125"/>
      <c r="D1374" s="125"/>
      <c r="E1374" s="126"/>
      <c r="F1374" s="128"/>
      <c r="G1374" s="128"/>
      <c r="H1374" s="128"/>
      <c r="I1374" s="128"/>
      <c r="J1374" s="128"/>
      <c r="K1374" s="129"/>
      <c r="L1374" s="129"/>
      <c r="M1374" s="129"/>
      <c r="N1374" s="129"/>
      <c r="O1374" s="129"/>
      <c r="P1374" s="129"/>
      <c r="Q1374" s="129"/>
      <c r="R1374" s="132"/>
      <c r="S1374" s="132"/>
      <c r="T1374" s="135"/>
      <c r="U1374" s="132"/>
      <c r="V1374" s="129"/>
      <c r="W1374" s="132"/>
      <c r="X1374" s="132"/>
      <c r="Y1374" s="132"/>
    </row>
    <row r="1375" spans="1:25" ht="15.75" customHeight="1">
      <c r="A1375" s="125"/>
      <c r="B1375" s="125"/>
      <c r="C1375" s="125"/>
      <c r="D1375" s="125"/>
      <c r="E1375" s="126"/>
      <c r="F1375" s="128"/>
      <c r="G1375" s="128"/>
      <c r="H1375" s="128"/>
      <c r="I1375" s="128"/>
      <c r="J1375" s="128"/>
      <c r="K1375" s="129"/>
      <c r="L1375" s="129"/>
      <c r="M1375" s="129"/>
      <c r="N1375" s="129"/>
      <c r="O1375" s="129"/>
      <c r="P1375" s="129"/>
      <c r="Q1375" s="129"/>
      <c r="R1375" s="132"/>
      <c r="S1375" s="132"/>
      <c r="T1375" s="135"/>
      <c r="U1375" s="132"/>
      <c r="V1375" s="129"/>
      <c r="W1375" s="132"/>
      <c r="X1375" s="132"/>
      <c r="Y1375" s="132"/>
    </row>
    <row r="1376" spans="1:25" ht="15.75" customHeight="1">
      <c r="A1376" s="125"/>
      <c r="B1376" s="125"/>
      <c r="C1376" s="125"/>
      <c r="D1376" s="125"/>
      <c r="E1376" s="126"/>
      <c r="F1376" s="128"/>
      <c r="G1376" s="128"/>
      <c r="H1376" s="128"/>
      <c r="I1376" s="128"/>
      <c r="J1376" s="128"/>
      <c r="K1376" s="129"/>
      <c r="L1376" s="129"/>
      <c r="M1376" s="129"/>
      <c r="N1376" s="129"/>
      <c r="O1376" s="129"/>
      <c r="P1376" s="129"/>
      <c r="Q1376" s="129"/>
      <c r="R1376" s="132"/>
      <c r="S1376" s="132"/>
      <c r="T1376" s="135"/>
      <c r="U1376" s="132"/>
      <c r="V1376" s="129"/>
      <c r="W1376" s="132"/>
      <c r="X1376" s="132"/>
      <c r="Y1376" s="132"/>
    </row>
    <row r="1377" spans="1:25" ht="15.75" customHeight="1">
      <c r="A1377" s="125"/>
      <c r="B1377" s="125"/>
      <c r="C1377" s="125"/>
      <c r="D1377" s="125"/>
      <c r="E1377" s="126"/>
      <c r="F1377" s="128"/>
      <c r="G1377" s="128"/>
      <c r="H1377" s="128"/>
      <c r="I1377" s="128"/>
      <c r="J1377" s="128"/>
      <c r="K1377" s="129"/>
      <c r="L1377" s="129"/>
      <c r="M1377" s="129"/>
      <c r="N1377" s="129"/>
      <c r="O1377" s="129"/>
      <c r="P1377" s="129"/>
      <c r="Q1377" s="129"/>
      <c r="R1377" s="132"/>
      <c r="S1377" s="132"/>
      <c r="T1377" s="135"/>
      <c r="U1377" s="132"/>
      <c r="V1377" s="129"/>
      <c r="W1377" s="132"/>
      <c r="X1377" s="132"/>
      <c r="Y1377" s="132"/>
    </row>
    <row r="1378" spans="1:25" ht="15.75" customHeight="1">
      <c r="A1378" s="125"/>
      <c r="B1378" s="125"/>
      <c r="C1378" s="125"/>
      <c r="D1378" s="125"/>
      <c r="E1378" s="126"/>
      <c r="F1378" s="128"/>
      <c r="G1378" s="128"/>
      <c r="H1378" s="128"/>
      <c r="I1378" s="128"/>
      <c r="J1378" s="128"/>
      <c r="K1378" s="129"/>
      <c r="L1378" s="129"/>
      <c r="M1378" s="129"/>
      <c r="N1378" s="129"/>
      <c r="O1378" s="129"/>
      <c r="P1378" s="129"/>
      <c r="Q1378" s="129"/>
      <c r="R1378" s="132"/>
      <c r="S1378" s="132"/>
      <c r="T1378" s="135"/>
      <c r="U1378" s="132"/>
      <c r="V1378" s="129"/>
      <c r="W1378" s="132"/>
      <c r="X1378" s="132"/>
      <c r="Y1378" s="132"/>
    </row>
    <row r="1379" spans="1:25" ht="15.75" customHeight="1">
      <c r="A1379" s="125"/>
      <c r="B1379" s="125"/>
      <c r="C1379" s="125"/>
      <c r="D1379" s="125"/>
      <c r="E1379" s="126"/>
      <c r="F1379" s="128"/>
      <c r="G1379" s="128"/>
      <c r="H1379" s="128"/>
      <c r="I1379" s="128"/>
      <c r="J1379" s="128"/>
      <c r="K1379" s="129"/>
      <c r="L1379" s="129"/>
      <c r="M1379" s="129"/>
      <c r="N1379" s="129"/>
      <c r="O1379" s="129"/>
      <c r="P1379" s="129"/>
      <c r="Q1379" s="129"/>
      <c r="R1379" s="132"/>
      <c r="S1379" s="132"/>
      <c r="T1379" s="135"/>
      <c r="U1379" s="132"/>
      <c r="V1379" s="129"/>
      <c r="W1379" s="132"/>
      <c r="X1379" s="132"/>
      <c r="Y1379" s="132"/>
    </row>
    <row r="1380" spans="1:25" ht="15.75" customHeight="1">
      <c r="A1380" s="125"/>
      <c r="B1380" s="125"/>
      <c r="C1380" s="125"/>
      <c r="D1380" s="125"/>
      <c r="E1380" s="126"/>
      <c r="F1380" s="128"/>
      <c r="G1380" s="128"/>
      <c r="H1380" s="128"/>
      <c r="I1380" s="128"/>
      <c r="J1380" s="128"/>
      <c r="K1380" s="129"/>
      <c r="L1380" s="129"/>
      <c r="M1380" s="129"/>
      <c r="N1380" s="129"/>
      <c r="O1380" s="129"/>
      <c r="P1380" s="129"/>
      <c r="Q1380" s="129"/>
      <c r="R1380" s="132"/>
      <c r="S1380" s="132"/>
      <c r="T1380" s="135"/>
      <c r="U1380" s="132"/>
      <c r="V1380" s="129"/>
      <c r="W1380" s="132"/>
      <c r="X1380" s="132"/>
      <c r="Y1380" s="132"/>
    </row>
    <row r="1381" spans="1:25" ht="15.75" customHeight="1">
      <c r="A1381" s="125"/>
      <c r="B1381" s="125"/>
      <c r="C1381" s="125"/>
      <c r="D1381" s="125"/>
      <c r="E1381" s="126"/>
      <c r="F1381" s="128"/>
      <c r="G1381" s="128"/>
      <c r="H1381" s="128"/>
      <c r="I1381" s="128"/>
      <c r="J1381" s="128"/>
      <c r="K1381" s="129"/>
      <c r="L1381" s="129"/>
      <c r="M1381" s="129"/>
      <c r="N1381" s="129"/>
      <c r="O1381" s="129"/>
      <c r="P1381" s="129"/>
      <c r="Q1381" s="129"/>
      <c r="R1381" s="132"/>
      <c r="S1381" s="132"/>
      <c r="T1381" s="135"/>
      <c r="U1381" s="132"/>
      <c r="V1381" s="129"/>
      <c r="W1381" s="132"/>
      <c r="X1381" s="132"/>
      <c r="Y1381" s="132"/>
    </row>
    <row r="1382" spans="1:25" ht="15.75" customHeight="1">
      <c r="A1382" s="125"/>
      <c r="B1382" s="125"/>
      <c r="C1382" s="125"/>
      <c r="D1382" s="125"/>
      <c r="E1382" s="126"/>
      <c r="F1382" s="128"/>
      <c r="G1382" s="128"/>
      <c r="H1382" s="128"/>
      <c r="I1382" s="128"/>
      <c r="J1382" s="128"/>
      <c r="K1382" s="129"/>
      <c r="L1382" s="129"/>
      <c r="M1382" s="129"/>
      <c r="N1382" s="129"/>
      <c r="O1382" s="129"/>
      <c r="P1382" s="129"/>
      <c r="Q1382" s="129"/>
      <c r="R1382" s="132"/>
      <c r="S1382" s="132"/>
      <c r="T1382" s="135"/>
      <c r="U1382" s="132"/>
      <c r="V1382" s="129"/>
      <c r="W1382" s="132"/>
      <c r="X1382" s="132"/>
      <c r="Y1382" s="132"/>
    </row>
    <row r="1383" spans="1:25" ht="15.75" customHeight="1">
      <c r="A1383" s="125"/>
      <c r="B1383" s="125"/>
      <c r="C1383" s="125"/>
      <c r="D1383" s="125"/>
      <c r="E1383" s="126"/>
      <c r="F1383" s="128"/>
      <c r="G1383" s="128"/>
      <c r="H1383" s="128"/>
      <c r="I1383" s="128"/>
      <c r="J1383" s="128"/>
      <c r="K1383" s="129"/>
      <c r="L1383" s="129"/>
      <c r="M1383" s="129"/>
      <c r="N1383" s="129"/>
      <c r="O1383" s="129"/>
      <c r="P1383" s="129"/>
      <c r="Q1383" s="129"/>
      <c r="R1383" s="132"/>
      <c r="S1383" s="132"/>
      <c r="T1383" s="135"/>
      <c r="U1383" s="132"/>
      <c r="V1383" s="129"/>
      <c r="W1383" s="132"/>
      <c r="X1383" s="132"/>
      <c r="Y1383" s="132"/>
    </row>
    <row r="1384" spans="1:25" ht="15.75" customHeight="1">
      <c r="A1384" s="125"/>
      <c r="B1384" s="125"/>
      <c r="C1384" s="125"/>
      <c r="D1384" s="125"/>
      <c r="E1384" s="126"/>
      <c r="F1384" s="128"/>
      <c r="G1384" s="128"/>
      <c r="H1384" s="128"/>
      <c r="I1384" s="128"/>
      <c r="J1384" s="128"/>
      <c r="K1384" s="129"/>
      <c r="L1384" s="129"/>
      <c r="M1384" s="129"/>
      <c r="N1384" s="129"/>
      <c r="O1384" s="129"/>
      <c r="P1384" s="129"/>
      <c r="Q1384" s="129"/>
      <c r="R1384" s="132"/>
      <c r="S1384" s="132"/>
      <c r="T1384" s="135"/>
      <c r="U1384" s="132"/>
      <c r="V1384" s="129"/>
      <c r="W1384" s="132"/>
      <c r="X1384" s="132"/>
      <c r="Y1384" s="132"/>
    </row>
    <row r="1385" spans="1:25" ht="15.75" customHeight="1">
      <c r="A1385" s="125"/>
      <c r="B1385" s="125"/>
      <c r="C1385" s="125"/>
      <c r="D1385" s="125"/>
      <c r="E1385" s="126"/>
      <c r="F1385" s="128"/>
      <c r="G1385" s="128"/>
      <c r="H1385" s="128"/>
      <c r="I1385" s="128"/>
      <c r="J1385" s="128"/>
      <c r="K1385" s="129"/>
      <c r="L1385" s="129"/>
      <c r="M1385" s="129"/>
      <c r="N1385" s="129"/>
      <c r="O1385" s="129"/>
      <c r="P1385" s="129"/>
      <c r="Q1385" s="129"/>
      <c r="R1385" s="132"/>
      <c r="S1385" s="132"/>
      <c r="T1385" s="135"/>
      <c r="U1385" s="132"/>
      <c r="V1385" s="129"/>
      <c r="W1385" s="132"/>
      <c r="X1385" s="132"/>
      <c r="Y1385" s="132"/>
    </row>
    <row r="1386" spans="1:25" ht="15.75" customHeight="1">
      <c r="A1386" s="125"/>
      <c r="B1386" s="125"/>
      <c r="C1386" s="125"/>
      <c r="D1386" s="125"/>
      <c r="E1386" s="126"/>
      <c r="F1386" s="128"/>
      <c r="G1386" s="128"/>
      <c r="H1386" s="128"/>
      <c r="I1386" s="128"/>
      <c r="J1386" s="128"/>
      <c r="K1386" s="129"/>
      <c r="L1386" s="129"/>
      <c r="M1386" s="129"/>
      <c r="N1386" s="129"/>
      <c r="O1386" s="129"/>
      <c r="P1386" s="129"/>
      <c r="Q1386" s="129"/>
      <c r="R1386" s="132"/>
      <c r="S1386" s="132"/>
      <c r="T1386" s="135"/>
      <c r="U1386" s="132"/>
      <c r="V1386" s="129"/>
      <c r="W1386" s="132"/>
      <c r="X1386" s="132"/>
      <c r="Y1386" s="132"/>
    </row>
    <row r="1387" spans="1:25" ht="15.75" customHeight="1">
      <c r="A1387" s="125"/>
      <c r="B1387" s="125"/>
      <c r="C1387" s="125"/>
      <c r="D1387" s="125"/>
      <c r="E1387" s="126"/>
      <c r="F1387" s="128"/>
      <c r="G1387" s="128"/>
      <c r="H1387" s="128"/>
      <c r="I1387" s="128"/>
      <c r="J1387" s="128"/>
      <c r="K1387" s="129"/>
      <c r="L1387" s="129"/>
      <c r="M1387" s="129"/>
      <c r="N1387" s="129"/>
      <c r="O1387" s="129"/>
      <c r="P1387" s="129"/>
      <c r="Q1387" s="129"/>
      <c r="R1387" s="132"/>
      <c r="S1387" s="132"/>
      <c r="T1387" s="135"/>
      <c r="U1387" s="132"/>
      <c r="V1387" s="129"/>
      <c r="W1387" s="132"/>
      <c r="X1387" s="132"/>
      <c r="Y1387" s="132"/>
    </row>
    <row r="1388" spans="1:25" ht="15.75" customHeight="1">
      <c r="A1388" s="125"/>
      <c r="B1388" s="125"/>
      <c r="C1388" s="125"/>
      <c r="D1388" s="125"/>
      <c r="E1388" s="126"/>
      <c r="F1388" s="128"/>
      <c r="G1388" s="128"/>
      <c r="H1388" s="128"/>
      <c r="I1388" s="128"/>
      <c r="J1388" s="128"/>
      <c r="K1388" s="129"/>
      <c r="L1388" s="129"/>
      <c r="M1388" s="129"/>
      <c r="N1388" s="129"/>
      <c r="O1388" s="129"/>
      <c r="P1388" s="129"/>
      <c r="Q1388" s="129"/>
      <c r="R1388" s="132"/>
      <c r="S1388" s="132"/>
      <c r="T1388" s="135"/>
      <c r="U1388" s="132"/>
      <c r="V1388" s="129"/>
      <c r="W1388" s="132"/>
      <c r="X1388" s="132"/>
      <c r="Y1388" s="132"/>
    </row>
    <row r="1389" spans="1:25" ht="15.75" customHeight="1">
      <c r="A1389" s="125"/>
      <c r="B1389" s="125"/>
      <c r="C1389" s="125"/>
      <c r="D1389" s="125"/>
      <c r="E1389" s="126"/>
      <c r="F1389" s="128"/>
      <c r="G1389" s="128"/>
      <c r="H1389" s="128"/>
      <c r="I1389" s="128"/>
      <c r="J1389" s="128"/>
      <c r="K1389" s="129"/>
      <c r="L1389" s="129"/>
      <c r="M1389" s="129"/>
      <c r="N1389" s="129"/>
      <c r="O1389" s="129"/>
      <c r="P1389" s="129"/>
      <c r="Q1389" s="129"/>
      <c r="R1389" s="132"/>
      <c r="S1389" s="132"/>
      <c r="T1389" s="135"/>
      <c r="U1389" s="132"/>
      <c r="V1389" s="129"/>
      <c r="W1389" s="132"/>
      <c r="X1389" s="132"/>
      <c r="Y1389" s="132"/>
    </row>
    <row r="1390" spans="1:25" ht="15.75" customHeight="1">
      <c r="A1390" s="125"/>
      <c r="B1390" s="125"/>
      <c r="C1390" s="125"/>
      <c r="D1390" s="125"/>
      <c r="E1390" s="126"/>
      <c r="F1390" s="128"/>
      <c r="G1390" s="128"/>
      <c r="H1390" s="128"/>
      <c r="I1390" s="128"/>
      <c r="J1390" s="128"/>
      <c r="K1390" s="129"/>
      <c r="L1390" s="129"/>
      <c r="M1390" s="129"/>
      <c r="N1390" s="129"/>
      <c r="O1390" s="129"/>
      <c r="P1390" s="129"/>
      <c r="Q1390" s="129"/>
      <c r="R1390" s="132"/>
      <c r="S1390" s="132"/>
      <c r="T1390" s="135"/>
      <c r="U1390" s="132"/>
      <c r="V1390" s="129"/>
      <c r="W1390" s="132"/>
      <c r="X1390" s="132"/>
      <c r="Y1390" s="132"/>
    </row>
    <row r="1391" spans="1:25" ht="15.75" customHeight="1">
      <c r="A1391" s="125"/>
      <c r="B1391" s="125"/>
      <c r="C1391" s="125"/>
      <c r="D1391" s="125"/>
      <c r="E1391" s="126"/>
      <c r="F1391" s="128"/>
      <c r="G1391" s="128"/>
      <c r="H1391" s="128"/>
      <c r="I1391" s="128"/>
      <c r="J1391" s="128"/>
      <c r="K1391" s="129"/>
      <c r="L1391" s="129"/>
      <c r="M1391" s="129"/>
      <c r="N1391" s="129"/>
      <c r="O1391" s="129"/>
      <c r="P1391" s="129"/>
      <c r="Q1391" s="129"/>
      <c r="R1391" s="132"/>
      <c r="S1391" s="132"/>
      <c r="T1391" s="135"/>
      <c r="U1391" s="132"/>
      <c r="V1391" s="129"/>
      <c r="W1391" s="132"/>
      <c r="X1391" s="132"/>
      <c r="Y1391" s="132"/>
    </row>
    <row r="1392" spans="1:25" ht="15.75" customHeight="1">
      <c r="A1392" s="125"/>
      <c r="B1392" s="125"/>
      <c r="C1392" s="125"/>
      <c r="D1392" s="125"/>
      <c r="E1392" s="126"/>
      <c r="F1392" s="128"/>
      <c r="G1392" s="128"/>
      <c r="H1392" s="128"/>
      <c r="I1392" s="128"/>
      <c r="J1392" s="128"/>
      <c r="K1392" s="129"/>
      <c r="L1392" s="129"/>
      <c r="M1392" s="129"/>
      <c r="N1392" s="129"/>
      <c r="O1392" s="129"/>
      <c r="P1392" s="129"/>
      <c r="Q1392" s="129"/>
      <c r="R1392" s="132"/>
      <c r="S1392" s="132"/>
      <c r="T1392" s="135"/>
      <c r="U1392" s="132"/>
      <c r="V1392" s="129"/>
      <c r="W1392" s="132"/>
      <c r="X1392" s="132"/>
      <c r="Y1392" s="132"/>
    </row>
    <row r="1393" spans="1:25" ht="15.75" customHeight="1">
      <c r="A1393" s="125"/>
      <c r="B1393" s="125"/>
      <c r="C1393" s="125"/>
      <c r="D1393" s="125"/>
      <c r="E1393" s="126"/>
      <c r="F1393" s="128"/>
      <c r="G1393" s="128"/>
      <c r="H1393" s="128"/>
      <c r="I1393" s="128"/>
      <c r="J1393" s="128"/>
      <c r="K1393" s="129"/>
      <c r="L1393" s="129"/>
      <c r="M1393" s="129"/>
      <c r="N1393" s="129"/>
      <c r="O1393" s="129"/>
      <c r="P1393" s="129"/>
      <c r="Q1393" s="129"/>
      <c r="R1393" s="132"/>
      <c r="S1393" s="132"/>
      <c r="T1393" s="135"/>
      <c r="U1393" s="132"/>
      <c r="V1393" s="129"/>
      <c r="W1393" s="132"/>
      <c r="X1393" s="132"/>
      <c r="Y1393" s="132"/>
    </row>
    <row r="1394" spans="1:25" ht="15.75" customHeight="1">
      <c r="A1394" s="125"/>
      <c r="B1394" s="125"/>
      <c r="C1394" s="125"/>
      <c r="D1394" s="125"/>
      <c r="E1394" s="126"/>
      <c r="F1394" s="128"/>
      <c r="G1394" s="128"/>
      <c r="H1394" s="128"/>
      <c r="I1394" s="128"/>
      <c r="J1394" s="128"/>
      <c r="K1394" s="129"/>
      <c r="L1394" s="129"/>
      <c r="M1394" s="129"/>
      <c r="N1394" s="129"/>
      <c r="O1394" s="129"/>
      <c r="P1394" s="129"/>
      <c r="Q1394" s="129"/>
      <c r="R1394" s="132"/>
      <c r="S1394" s="132"/>
      <c r="T1394" s="135"/>
      <c r="U1394" s="132"/>
      <c r="V1394" s="129"/>
      <c r="W1394" s="132"/>
      <c r="X1394" s="132"/>
      <c r="Y1394" s="132"/>
    </row>
    <row r="1395" spans="1:25" ht="15.75" customHeight="1">
      <c r="A1395" s="125"/>
      <c r="B1395" s="125"/>
      <c r="C1395" s="125"/>
      <c r="D1395" s="125"/>
      <c r="E1395" s="126"/>
      <c r="F1395" s="128"/>
      <c r="G1395" s="128"/>
      <c r="H1395" s="128"/>
      <c r="I1395" s="128"/>
      <c r="J1395" s="128"/>
      <c r="K1395" s="129"/>
      <c r="L1395" s="129"/>
      <c r="M1395" s="129"/>
      <c r="N1395" s="129"/>
      <c r="O1395" s="129"/>
      <c r="P1395" s="129"/>
      <c r="Q1395" s="129"/>
      <c r="R1395" s="132"/>
      <c r="S1395" s="132"/>
      <c r="T1395" s="135"/>
      <c r="U1395" s="132"/>
      <c r="V1395" s="129"/>
      <c r="W1395" s="132"/>
      <c r="X1395" s="132"/>
      <c r="Y1395" s="132"/>
    </row>
    <row r="1396" spans="1:25" ht="15.75" customHeight="1">
      <c r="A1396" s="125"/>
      <c r="B1396" s="125"/>
      <c r="C1396" s="125"/>
      <c r="D1396" s="125"/>
      <c r="E1396" s="126"/>
      <c r="F1396" s="128"/>
      <c r="G1396" s="128"/>
      <c r="H1396" s="128"/>
      <c r="I1396" s="128"/>
      <c r="J1396" s="128"/>
      <c r="K1396" s="129"/>
      <c r="L1396" s="129"/>
      <c r="M1396" s="129"/>
      <c r="N1396" s="129"/>
      <c r="O1396" s="129"/>
      <c r="P1396" s="129"/>
      <c r="Q1396" s="129"/>
      <c r="R1396" s="132"/>
      <c r="S1396" s="132"/>
      <c r="T1396" s="135"/>
      <c r="U1396" s="132"/>
      <c r="V1396" s="129"/>
      <c r="W1396" s="132"/>
      <c r="X1396" s="132"/>
      <c r="Y1396" s="132"/>
    </row>
    <row r="1397" spans="1:25" ht="15.75" customHeight="1">
      <c r="A1397" s="125"/>
      <c r="B1397" s="125"/>
      <c r="C1397" s="125"/>
      <c r="D1397" s="125"/>
      <c r="E1397" s="126"/>
      <c r="F1397" s="128"/>
      <c r="G1397" s="128"/>
      <c r="H1397" s="128"/>
      <c r="I1397" s="128"/>
      <c r="J1397" s="128"/>
      <c r="K1397" s="129"/>
      <c r="L1397" s="129"/>
      <c r="M1397" s="129"/>
      <c r="N1397" s="129"/>
      <c r="O1397" s="129"/>
      <c r="P1397" s="129"/>
      <c r="Q1397" s="129"/>
      <c r="R1397" s="132"/>
      <c r="S1397" s="132"/>
      <c r="T1397" s="135"/>
      <c r="U1397" s="132"/>
      <c r="V1397" s="129"/>
      <c r="W1397" s="132"/>
      <c r="X1397" s="132"/>
      <c r="Y1397" s="132"/>
    </row>
    <row r="1398" spans="1:25" ht="15.75" customHeight="1">
      <c r="A1398" s="125"/>
      <c r="B1398" s="125"/>
      <c r="C1398" s="125"/>
      <c r="D1398" s="125"/>
      <c r="E1398" s="126"/>
      <c r="F1398" s="128"/>
      <c r="G1398" s="128"/>
      <c r="H1398" s="128"/>
      <c r="I1398" s="128"/>
      <c r="J1398" s="128"/>
      <c r="K1398" s="129"/>
      <c r="L1398" s="129"/>
      <c r="M1398" s="129"/>
      <c r="N1398" s="129"/>
      <c r="O1398" s="129"/>
      <c r="P1398" s="129"/>
      <c r="Q1398" s="129"/>
      <c r="R1398" s="132"/>
      <c r="S1398" s="132"/>
      <c r="T1398" s="135"/>
      <c r="U1398" s="132"/>
      <c r="V1398" s="129"/>
      <c r="W1398" s="132"/>
      <c r="X1398" s="132"/>
      <c r="Y1398" s="132"/>
    </row>
    <row r="1399" spans="1:25" ht="15.75" customHeight="1">
      <c r="A1399" s="125"/>
      <c r="B1399" s="125"/>
      <c r="C1399" s="125"/>
      <c r="D1399" s="125"/>
      <c r="E1399" s="126"/>
      <c r="F1399" s="128"/>
      <c r="G1399" s="128"/>
      <c r="H1399" s="128"/>
      <c r="I1399" s="128"/>
      <c r="J1399" s="128"/>
      <c r="K1399" s="129"/>
      <c r="L1399" s="129"/>
      <c r="M1399" s="129"/>
      <c r="N1399" s="129"/>
      <c r="O1399" s="129"/>
      <c r="P1399" s="129"/>
      <c r="Q1399" s="129"/>
      <c r="R1399" s="132"/>
      <c r="S1399" s="132"/>
      <c r="T1399" s="135"/>
      <c r="U1399" s="132"/>
      <c r="V1399" s="129"/>
      <c r="W1399" s="132"/>
      <c r="X1399" s="132"/>
      <c r="Y1399" s="132"/>
    </row>
    <row r="1400" spans="1:25" ht="15.75" customHeight="1">
      <c r="A1400" s="125"/>
      <c r="B1400" s="125"/>
      <c r="C1400" s="125"/>
      <c r="D1400" s="125"/>
      <c r="E1400" s="126"/>
      <c r="F1400" s="128"/>
      <c r="G1400" s="128"/>
      <c r="H1400" s="128"/>
      <c r="I1400" s="128"/>
      <c r="J1400" s="128"/>
      <c r="K1400" s="129"/>
      <c r="L1400" s="129"/>
      <c r="M1400" s="129"/>
      <c r="N1400" s="129"/>
      <c r="O1400" s="129"/>
      <c r="P1400" s="129"/>
      <c r="Q1400" s="129"/>
      <c r="R1400" s="132"/>
      <c r="S1400" s="132"/>
      <c r="T1400" s="135"/>
      <c r="U1400" s="132"/>
      <c r="V1400" s="129"/>
      <c r="W1400" s="132"/>
      <c r="X1400" s="132"/>
      <c r="Y1400" s="132"/>
    </row>
    <row r="1401" spans="1:25" ht="15.75" customHeight="1">
      <c r="A1401" s="125"/>
      <c r="B1401" s="125"/>
      <c r="C1401" s="125"/>
      <c r="D1401" s="125"/>
      <c r="E1401" s="126"/>
      <c r="F1401" s="128"/>
      <c r="G1401" s="128"/>
      <c r="H1401" s="128"/>
      <c r="I1401" s="128"/>
      <c r="J1401" s="128"/>
      <c r="K1401" s="129"/>
      <c r="L1401" s="129"/>
      <c r="M1401" s="129"/>
      <c r="N1401" s="129"/>
      <c r="O1401" s="129"/>
      <c r="P1401" s="129"/>
      <c r="Q1401" s="129"/>
      <c r="R1401" s="132"/>
      <c r="S1401" s="132"/>
      <c r="T1401" s="135"/>
      <c r="U1401" s="132"/>
      <c r="V1401" s="129"/>
      <c r="W1401" s="132"/>
      <c r="X1401" s="132"/>
      <c r="Y1401" s="132"/>
    </row>
    <row r="1402" spans="1:25" ht="15.75" customHeight="1">
      <c r="A1402" s="125"/>
      <c r="B1402" s="125"/>
      <c r="C1402" s="125"/>
      <c r="D1402" s="125"/>
      <c r="E1402" s="126"/>
      <c r="F1402" s="128"/>
      <c r="G1402" s="128"/>
      <c r="H1402" s="128"/>
      <c r="I1402" s="128"/>
      <c r="J1402" s="128"/>
      <c r="K1402" s="129"/>
      <c r="L1402" s="129"/>
      <c r="M1402" s="129"/>
      <c r="N1402" s="129"/>
      <c r="O1402" s="129"/>
      <c r="P1402" s="129"/>
      <c r="Q1402" s="129"/>
      <c r="R1402" s="132"/>
      <c r="S1402" s="132"/>
      <c r="T1402" s="135"/>
      <c r="U1402" s="132"/>
      <c r="V1402" s="129"/>
      <c r="W1402" s="132"/>
      <c r="X1402" s="132"/>
      <c r="Y1402" s="132"/>
    </row>
    <row r="1403" spans="1:25" ht="15.75" customHeight="1">
      <c r="A1403" s="125"/>
      <c r="B1403" s="125"/>
      <c r="C1403" s="125"/>
      <c r="D1403" s="125"/>
      <c r="E1403" s="126"/>
      <c r="F1403" s="128"/>
      <c r="G1403" s="128"/>
      <c r="H1403" s="128"/>
      <c r="I1403" s="128"/>
      <c r="J1403" s="128"/>
      <c r="K1403" s="129"/>
      <c r="L1403" s="129"/>
      <c r="M1403" s="129"/>
      <c r="N1403" s="129"/>
      <c r="O1403" s="129"/>
      <c r="P1403" s="129"/>
      <c r="Q1403" s="129"/>
      <c r="R1403" s="132"/>
      <c r="S1403" s="132"/>
      <c r="T1403" s="135"/>
      <c r="U1403" s="132"/>
      <c r="V1403" s="129"/>
      <c r="W1403" s="132"/>
      <c r="X1403" s="132"/>
      <c r="Y1403" s="132"/>
    </row>
    <row r="1404" spans="1:25" ht="15.75" customHeight="1">
      <c r="A1404" s="125"/>
      <c r="B1404" s="125"/>
      <c r="C1404" s="125"/>
      <c r="D1404" s="125"/>
      <c r="E1404" s="126"/>
      <c r="F1404" s="128"/>
      <c r="G1404" s="128"/>
      <c r="H1404" s="128"/>
      <c r="I1404" s="128"/>
      <c r="J1404" s="128"/>
      <c r="K1404" s="129"/>
      <c r="L1404" s="129"/>
      <c r="M1404" s="129"/>
      <c r="N1404" s="129"/>
      <c r="O1404" s="129"/>
      <c r="P1404" s="129"/>
      <c r="Q1404" s="129"/>
      <c r="R1404" s="132"/>
      <c r="S1404" s="132"/>
      <c r="T1404" s="135"/>
      <c r="U1404" s="132"/>
      <c r="V1404" s="129"/>
      <c r="W1404" s="132"/>
      <c r="X1404" s="132"/>
      <c r="Y1404" s="132"/>
    </row>
    <row r="1405" spans="1:25" ht="15.75" customHeight="1">
      <c r="A1405" s="125"/>
      <c r="B1405" s="125"/>
      <c r="C1405" s="125"/>
      <c r="D1405" s="125"/>
      <c r="E1405" s="126"/>
      <c r="F1405" s="128"/>
      <c r="G1405" s="128"/>
      <c r="H1405" s="128"/>
      <c r="I1405" s="128"/>
      <c r="J1405" s="128"/>
      <c r="K1405" s="129"/>
      <c r="L1405" s="129"/>
      <c r="M1405" s="129"/>
      <c r="N1405" s="129"/>
      <c r="O1405" s="129"/>
      <c r="P1405" s="129"/>
      <c r="Q1405" s="129"/>
      <c r="R1405" s="132"/>
      <c r="S1405" s="132"/>
      <c r="T1405" s="135"/>
      <c r="U1405" s="132"/>
      <c r="V1405" s="129"/>
      <c r="W1405" s="132"/>
      <c r="X1405" s="132"/>
      <c r="Y1405" s="132"/>
    </row>
    <row r="1406" spans="1:25" ht="15.75" customHeight="1">
      <c r="A1406" s="125"/>
      <c r="B1406" s="125"/>
      <c r="C1406" s="125"/>
      <c r="D1406" s="125"/>
      <c r="E1406" s="126"/>
      <c r="F1406" s="128"/>
      <c r="G1406" s="128"/>
      <c r="H1406" s="128"/>
      <c r="I1406" s="128"/>
      <c r="J1406" s="128"/>
      <c r="K1406" s="129"/>
      <c r="L1406" s="129"/>
      <c r="M1406" s="129"/>
      <c r="N1406" s="129"/>
      <c r="O1406" s="129"/>
      <c r="P1406" s="129"/>
      <c r="Q1406" s="129"/>
      <c r="R1406" s="132"/>
      <c r="S1406" s="132"/>
      <c r="T1406" s="135"/>
      <c r="U1406" s="132"/>
      <c r="V1406" s="129"/>
      <c r="W1406" s="132"/>
      <c r="X1406" s="132"/>
      <c r="Y1406" s="132"/>
    </row>
    <row r="1407" spans="1:25" ht="15.75" customHeight="1">
      <c r="A1407" s="125"/>
      <c r="B1407" s="125"/>
      <c r="C1407" s="125"/>
      <c r="D1407" s="125"/>
      <c r="E1407" s="126"/>
      <c r="F1407" s="128"/>
      <c r="G1407" s="128"/>
      <c r="H1407" s="128"/>
      <c r="I1407" s="128"/>
      <c r="J1407" s="128"/>
      <c r="K1407" s="129"/>
      <c r="L1407" s="129"/>
      <c r="M1407" s="129"/>
      <c r="N1407" s="129"/>
      <c r="O1407" s="129"/>
      <c r="P1407" s="129"/>
      <c r="Q1407" s="129"/>
      <c r="R1407" s="132"/>
      <c r="S1407" s="132"/>
      <c r="T1407" s="135"/>
      <c r="U1407" s="132"/>
      <c r="V1407" s="129"/>
      <c r="W1407" s="132"/>
      <c r="X1407" s="132"/>
      <c r="Y1407" s="132"/>
    </row>
    <row r="1408" spans="1:25" ht="15.75" customHeight="1">
      <c r="A1408" s="125"/>
      <c r="B1408" s="125"/>
      <c r="C1408" s="125"/>
      <c r="D1408" s="125"/>
      <c r="E1408" s="126"/>
      <c r="F1408" s="128"/>
      <c r="G1408" s="128"/>
      <c r="H1408" s="128"/>
      <c r="I1408" s="128"/>
      <c r="J1408" s="128"/>
      <c r="K1408" s="129"/>
      <c r="L1408" s="129"/>
      <c r="M1408" s="129"/>
      <c r="N1408" s="129"/>
      <c r="O1408" s="129"/>
      <c r="P1408" s="129"/>
      <c r="Q1408" s="129"/>
      <c r="R1408" s="132"/>
      <c r="S1408" s="132"/>
      <c r="T1408" s="135"/>
      <c r="U1408" s="132"/>
      <c r="V1408" s="129"/>
      <c r="W1408" s="132"/>
      <c r="X1408" s="132"/>
      <c r="Y1408" s="132"/>
    </row>
    <row r="1409" spans="1:25" ht="15.75" customHeight="1">
      <c r="A1409" s="125"/>
      <c r="B1409" s="125"/>
      <c r="C1409" s="125"/>
      <c r="D1409" s="125"/>
      <c r="E1409" s="126"/>
      <c r="F1409" s="128"/>
      <c r="G1409" s="128"/>
      <c r="H1409" s="128"/>
      <c r="I1409" s="128"/>
      <c r="J1409" s="128"/>
      <c r="K1409" s="129"/>
      <c r="L1409" s="129"/>
      <c r="M1409" s="129"/>
      <c r="N1409" s="129"/>
      <c r="O1409" s="129"/>
      <c r="P1409" s="129"/>
      <c r="Q1409" s="129"/>
      <c r="R1409" s="132"/>
      <c r="S1409" s="132"/>
      <c r="T1409" s="135"/>
      <c r="U1409" s="132"/>
      <c r="V1409" s="129"/>
      <c r="W1409" s="132"/>
      <c r="X1409" s="132"/>
      <c r="Y1409" s="132"/>
    </row>
    <row r="1410" spans="1:25" ht="15.75" customHeight="1">
      <c r="A1410" s="125"/>
      <c r="B1410" s="125"/>
      <c r="C1410" s="125"/>
      <c r="D1410" s="125"/>
      <c r="E1410" s="126"/>
      <c r="F1410" s="128"/>
      <c r="G1410" s="128"/>
      <c r="H1410" s="128"/>
      <c r="I1410" s="128"/>
      <c r="J1410" s="128"/>
      <c r="K1410" s="129"/>
      <c r="L1410" s="129"/>
      <c r="M1410" s="129"/>
      <c r="N1410" s="129"/>
      <c r="O1410" s="129"/>
      <c r="P1410" s="129"/>
      <c r="Q1410" s="129"/>
      <c r="R1410" s="132"/>
      <c r="S1410" s="132"/>
      <c r="T1410" s="135"/>
      <c r="U1410" s="132"/>
      <c r="V1410" s="129"/>
      <c r="W1410" s="132"/>
      <c r="X1410" s="132"/>
      <c r="Y1410" s="132"/>
    </row>
    <row r="1411" spans="1:25" ht="15.75" customHeight="1">
      <c r="A1411" s="125"/>
      <c r="B1411" s="125"/>
      <c r="C1411" s="125"/>
      <c r="D1411" s="125"/>
      <c r="E1411" s="126"/>
      <c r="F1411" s="128"/>
      <c r="G1411" s="128"/>
      <c r="H1411" s="128"/>
      <c r="I1411" s="128"/>
      <c r="J1411" s="128"/>
      <c r="K1411" s="129"/>
      <c r="L1411" s="129"/>
      <c r="M1411" s="129"/>
      <c r="N1411" s="129"/>
      <c r="O1411" s="129"/>
      <c r="P1411" s="129"/>
      <c r="Q1411" s="129"/>
      <c r="R1411" s="132"/>
      <c r="S1411" s="132"/>
      <c r="T1411" s="135"/>
      <c r="U1411" s="132"/>
      <c r="V1411" s="129"/>
      <c r="W1411" s="132"/>
      <c r="X1411" s="132"/>
      <c r="Y1411" s="132"/>
    </row>
    <row r="1412" spans="1:25" ht="15.75" customHeight="1">
      <c r="A1412" s="125"/>
      <c r="B1412" s="125"/>
      <c r="C1412" s="125"/>
      <c r="D1412" s="125"/>
      <c r="E1412" s="126"/>
      <c r="F1412" s="128"/>
      <c r="G1412" s="128"/>
      <c r="H1412" s="128"/>
      <c r="I1412" s="128"/>
      <c r="J1412" s="128"/>
      <c r="K1412" s="129"/>
      <c r="L1412" s="129"/>
      <c r="M1412" s="129"/>
      <c r="N1412" s="129"/>
      <c r="O1412" s="129"/>
      <c r="P1412" s="129"/>
      <c r="Q1412" s="129"/>
      <c r="R1412" s="132"/>
      <c r="S1412" s="132"/>
      <c r="T1412" s="135"/>
      <c r="U1412" s="132"/>
      <c r="V1412" s="129"/>
      <c r="W1412" s="132"/>
      <c r="X1412" s="132"/>
      <c r="Y1412" s="132"/>
    </row>
    <row r="1413" spans="1:25" ht="15.75" customHeight="1">
      <c r="A1413" s="125"/>
      <c r="B1413" s="125"/>
      <c r="C1413" s="125"/>
      <c r="D1413" s="125"/>
      <c r="E1413" s="126"/>
      <c r="F1413" s="128"/>
      <c r="G1413" s="128"/>
      <c r="H1413" s="128"/>
      <c r="I1413" s="128"/>
      <c r="J1413" s="128"/>
      <c r="K1413" s="129"/>
      <c r="L1413" s="129"/>
      <c r="M1413" s="129"/>
      <c r="N1413" s="129"/>
      <c r="O1413" s="129"/>
      <c r="P1413" s="129"/>
      <c r="Q1413" s="129"/>
      <c r="R1413" s="132"/>
      <c r="S1413" s="132"/>
      <c r="T1413" s="135"/>
      <c r="U1413" s="132"/>
      <c r="V1413" s="129"/>
      <c r="W1413" s="132"/>
      <c r="X1413" s="132"/>
      <c r="Y1413" s="132"/>
    </row>
    <row r="1414" spans="1:25" ht="15.75" customHeight="1">
      <c r="A1414" s="125"/>
      <c r="B1414" s="125"/>
      <c r="C1414" s="125"/>
      <c r="D1414" s="125"/>
      <c r="E1414" s="126"/>
      <c r="F1414" s="128"/>
      <c r="G1414" s="128"/>
      <c r="H1414" s="128"/>
      <c r="I1414" s="128"/>
      <c r="J1414" s="128"/>
      <c r="K1414" s="129"/>
      <c r="L1414" s="129"/>
      <c r="M1414" s="129"/>
      <c r="N1414" s="129"/>
      <c r="O1414" s="129"/>
      <c r="P1414" s="129"/>
      <c r="Q1414" s="129"/>
      <c r="R1414" s="132"/>
      <c r="S1414" s="132"/>
      <c r="T1414" s="135"/>
      <c r="U1414" s="132"/>
      <c r="V1414" s="129"/>
      <c r="W1414" s="132"/>
      <c r="X1414" s="132"/>
      <c r="Y1414" s="132"/>
    </row>
    <row r="1415" spans="1:25" ht="15.75" customHeight="1">
      <c r="A1415" s="125"/>
      <c r="B1415" s="125"/>
      <c r="C1415" s="125"/>
      <c r="D1415" s="125"/>
      <c r="E1415" s="126"/>
      <c r="F1415" s="128"/>
      <c r="G1415" s="128"/>
      <c r="H1415" s="128"/>
      <c r="I1415" s="128"/>
      <c r="J1415" s="128"/>
      <c r="K1415" s="129"/>
      <c r="L1415" s="129"/>
      <c r="M1415" s="129"/>
      <c r="N1415" s="129"/>
      <c r="O1415" s="129"/>
      <c r="P1415" s="129"/>
      <c r="Q1415" s="129"/>
      <c r="R1415" s="132"/>
      <c r="S1415" s="132"/>
      <c r="T1415" s="135"/>
      <c r="U1415" s="132"/>
      <c r="V1415" s="129"/>
      <c r="W1415" s="132"/>
      <c r="X1415" s="132"/>
      <c r="Y1415" s="132"/>
    </row>
    <row r="1416" spans="1:25" ht="15.75" customHeight="1">
      <c r="A1416" s="125"/>
      <c r="B1416" s="125"/>
      <c r="C1416" s="125"/>
      <c r="D1416" s="125"/>
      <c r="E1416" s="126"/>
      <c r="F1416" s="128"/>
      <c r="G1416" s="128"/>
      <c r="H1416" s="128"/>
      <c r="I1416" s="128"/>
      <c r="J1416" s="128"/>
      <c r="K1416" s="129"/>
      <c r="L1416" s="129"/>
      <c r="M1416" s="129"/>
      <c r="N1416" s="129"/>
      <c r="O1416" s="129"/>
      <c r="P1416" s="129"/>
      <c r="Q1416" s="129"/>
      <c r="R1416" s="132"/>
      <c r="S1416" s="132"/>
      <c r="T1416" s="135"/>
      <c r="U1416" s="132"/>
      <c r="V1416" s="129"/>
      <c r="W1416" s="132"/>
      <c r="X1416" s="132"/>
      <c r="Y1416" s="132"/>
    </row>
    <row r="1417" spans="1:25" ht="15.75" customHeight="1">
      <c r="A1417" s="125"/>
      <c r="B1417" s="125"/>
      <c r="C1417" s="125"/>
      <c r="D1417" s="125"/>
      <c r="E1417" s="126"/>
      <c r="F1417" s="128"/>
      <c r="G1417" s="128"/>
      <c r="H1417" s="128"/>
      <c r="I1417" s="128"/>
      <c r="J1417" s="128"/>
      <c r="K1417" s="129"/>
      <c r="L1417" s="129"/>
      <c r="M1417" s="129"/>
      <c r="N1417" s="129"/>
      <c r="O1417" s="129"/>
      <c r="P1417" s="129"/>
      <c r="Q1417" s="129"/>
      <c r="R1417" s="132"/>
      <c r="S1417" s="132"/>
      <c r="T1417" s="135"/>
      <c r="U1417" s="132"/>
      <c r="V1417" s="129"/>
      <c r="W1417" s="132"/>
      <c r="X1417" s="132"/>
      <c r="Y1417" s="132"/>
    </row>
    <row r="1418" spans="1:25" ht="15.75" customHeight="1">
      <c r="A1418" s="125"/>
      <c r="B1418" s="125"/>
      <c r="C1418" s="125"/>
      <c r="D1418" s="125"/>
      <c r="E1418" s="126"/>
      <c r="F1418" s="128"/>
      <c r="G1418" s="128"/>
      <c r="H1418" s="128"/>
      <c r="I1418" s="128"/>
      <c r="J1418" s="128"/>
      <c r="K1418" s="129"/>
      <c r="L1418" s="129"/>
      <c r="M1418" s="129"/>
      <c r="N1418" s="129"/>
      <c r="O1418" s="129"/>
      <c r="P1418" s="129"/>
      <c r="Q1418" s="129"/>
      <c r="R1418" s="132"/>
      <c r="S1418" s="132"/>
      <c r="T1418" s="135"/>
      <c r="U1418" s="132"/>
      <c r="V1418" s="129"/>
      <c r="W1418" s="132"/>
      <c r="X1418" s="132"/>
      <c r="Y1418" s="132"/>
    </row>
    <row r="1419" spans="1:25" ht="15.75" customHeight="1">
      <c r="A1419" s="125"/>
      <c r="B1419" s="125"/>
      <c r="C1419" s="125"/>
      <c r="D1419" s="125"/>
      <c r="E1419" s="126"/>
      <c r="F1419" s="128"/>
      <c r="G1419" s="128"/>
      <c r="H1419" s="128"/>
      <c r="I1419" s="128"/>
      <c r="J1419" s="128"/>
      <c r="K1419" s="129"/>
      <c r="L1419" s="129"/>
      <c r="M1419" s="129"/>
      <c r="N1419" s="129"/>
      <c r="O1419" s="129"/>
      <c r="P1419" s="129"/>
      <c r="Q1419" s="129"/>
      <c r="R1419" s="132"/>
      <c r="S1419" s="132"/>
      <c r="T1419" s="135"/>
      <c r="U1419" s="132"/>
      <c r="V1419" s="129"/>
      <c r="W1419" s="132"/>
      <c r="X1419" s="132"/>
      <c r="Y1419" s="132"/>
    </row>
    <row r="1420" spans="1:25" ht="15.75" customHeight="1">
      <c r="A1420" s="125"/>
      <c r="B1420" s="125"/>
      <c r="C1420" s="125"/>
      <c r="D1420" s="125"/>
      <c r="E1420" s="126"/>
      <c r="F1420" s="128"/>
      <c r="G1420" s="128"/>
      <c r="H1420" s="128"/>
      <c r="I1420" s="128"/>
      <c r="J1420" s="128"/>
      <c r="K1420" s="129"/>
      <c r="L1420" s="129"/>
      <c r="M1420" s="129"/>
      <c r="N1420" s="129"/>
      <c r="O1420" s="129"/>
      <c r="P1420" s="129"/>
      <c r="Q1420" s="129"/>
      <c r="R1420" s="132"/>
      <c r="S1420" s="132"/>
      <c r="T1420" s="135"/>
      <c r="U1420" s="132"/>
      <c r="V1420" s="129"/>
      <c r="W1420" s="132"/>
      <c r="X1420" s="132"/>
      <c r="Y1420" s="132"/>
    </row>
    <row r="1421" spans="1:25" ht="15.75" customHeight="1">
      <c r="A1421" s="125"/>
      <c r="B1421" s="125"/>
      <c r="C1421" s="125"/>
      <c r="D1421" s="125"/>
      <c r="E1421" s="126"/>
      <c r="F1421" s="128"/>
      <c r="G1421" s="128"/>
      <c r="H1421" s="128"/>
      <c r="I1421" s="128"/>
      <c r="J1421" s="128"/>
      <c r="K1421" s="129"/>
      <c r="L1421" s="129"/>
      <c r="M1421" s="129"/>
      <c r="N1421" s="129"/>
      <c r="O1421" s="129"/>
      <c r="P1421" s="129"/>
      <c r="Q1421" s="129"/>
      <c r="R1421" s="132"/>
      <c r="S1421" s="132"/>
      <c r="T1421" s="135"/>
      <c r="U1421" s="132"/>
      <c r="V1421" s="129"/>
      <c r="W1421" s="132"/>
      <c r="X1421" s="132"/>
      <c r="Y1421" s="132"/>
    </row>
    <row r="1422" spans="1:25" ht="15.75" customHeight="1">
      <c r="A1422" s="125"/>
      <c r="B1422" s="125"/>
      <c r="C1422" s="125"/>
      <c r="D1422" s="125"/>
      <c r="E1422" s="126"/>
      <c r="F1422" s="128"/>
      <c r="G1422" s="128"/>
      <c r="H1422" s="128"/>
      <c r="I1422" s="128"/>
      <c r="J1422" s="128"/>
      <c r="K1422" s="129"/>
      <c r="L1422" s="129"/>
      <c r="M1422" s="129"/>
      <c r="N1422" s="129"/>
      <c r="O1422" s="129"/>
      <c r="P1422" s="129"/>
      <c r="Q1422" s="129"/>
      <c r="R1422" s="132"/>
      <c r="S1422" s="132"/>
      <c r="T1422" s="135"/>
      <c r="U1422" s="132"/>
      <c r="V1422" s="129"/>
      <c r="W1422" s="132"/>
      <c r="X1422" s="132"/>
      <c r="Y1422" s="132"/>
    </row>
    <row r="1423" spans="1:25" ht="15.75" customHeight="1">
      <c r="A1423" s="125"/>
      <c r="B1423" s="125"/>
      <c r="C1423" s="125"/>
      <c r="D1423" s="125"/>
      <c r="E1423" s="126"/>
      <c r="F1423" s="128"/>
      <c r="G1423" s="128"/>
      <c r="H1423" s="128"/>
      <c r="I1423" s="128"/>
      <c r="J1423" s="128"/>
      <c r="K1423" s="129"/>
      <c r="L1423" s="129"/>
      <c r="M1423" s="129"/>
      <c r="N1423" s="129"/>
      <c r="O1423" s="129"/>
      <c r="P1423" s="129"/>
      <c r="Q1423" s="129"/>
      <c r="R1423" s="132"/>
      <c r="S1423" s="132"/>
      <c r="T1423" s="135"/>
      <c r="U1423" s="132"/>
      <c r="V1423" s="129"/>
      <c r="W1423" s="132"/>
      <c r="X1423" s="132"/>
      <c r="Y1423" s="132"/>
    </row>
    <row r="1424" spans="1:25" ht="15.75" customHeight="1">
      <c r="A1424" s="125"/>
      <c r="B1424" s="125"/>
      <c r="C1424" s="125"/>
      <c r="D1424" s="125"/>
      <c r="E1424" s="126"/>
      <c r="F1424" s="128"/>
      <c r="G1424" s="128"/>
      <c r="H1424" s="128"/>
      <c r="I1424" s="128"/>
      <c r="J1424" s="128"/>
      <c r="K1424" s="129"/>
      <c r="L1424" s="129"/>
      <c r="M1424" s="129"/>
      <c r="N1424" s="129"/>
      <c r="O1424" s="129"/>
      <c r="P1424" s="129"/>
      <c r="Q1424" s="129"/>
      <c r="R1424" s="132"/>
      <c r="S1424" s="132"/>
      <c r="T1424" s="135"/>
      <c r="U1424" s="132"/>
      <c r="V1424" s="129"/>
      <c r="W1424" s="132"/>
      <c r="X1424" s="132"/>
      <c r="Y1424" s="132"/>
    </row>
    <row r="1425" spans="1:25" ht="15.75" customHeight="1">
      <c r="A1425" s="125"/>
      <c r="B1425" s="125"/>
      <c r="C1425" s="125"/>
      <c r="D1425" s="125"/>
      <c r="E1425" s="126"/>
      <c r="F1425" s="128"/>
      <c r="G1425" s="128"/>
      <c r="H1425" s="128"/>
      <c r="I1425" s="128"/>
      <c r="J1425" s="128"/>
      <c r="K1425" s="129"/>
      <c r="L1425" s="129"/>
      <c r="M1425" s="129"/>
      <c r="N1425" s="129"/>
      <c r="O1425" s="129"/>
      <c r="P1425" s="129"/>
      <c r="Q1425" s="129"/>
      <c r="R1425" s="132"/>
      <c r="S1425" s="132"/>
      <c r="T1425" s="135"/>
      <c r="U1425" s="132"/>
      <c r="V1425" s="129"/>
      <c r="W1425" s="132"/>
      <c r="X1425" s="132"/>
      <c r="Y1425" s="132"/>
    </row>
    <row r="1426" spans="1:25" ht="15.75" customHeight="1">
      <c r="A1426" s="125"/>
      <c r="B1426" s="125"/>
      <c r="C1426" s="125"/>
      <c r="D1426" s="125"/>
      <c r="E1426" s="126"/>
      <c r="F1426" s="128"/>
      <c r="G1426" s="128"/>
      <c r="H1426" s="128"/>
      <c r="I1426" s="128"/>
      <c r="J1426" s="128"/>
      <c r="K1426" s="129"/>
      <c r="L1426" s="129"/>
      <c r="M1426" s="129"/>
      <c r="N1426" s="129"/>
      <c r="O1426" s="129"/>
      <c r="P1426" s="129"/>
      <c r="Q1426" s="129"/>
      <c r="R1426" s="132"/>
      <c r="S1426" s="132"/>
      <c r="T1426" s="135"/>
      <c r="U1426" s="132"/>
      <c r="V1426" s="129"/>
      <c r="W1426" s="132"/>
      <c r="X1426" s="132"/>
      <c r="Y1426" s="132"/>
    </row>
    <row r="1427" spans="1:25" ht="15.75" customHeight="1">
      <c r="A1427" s="125"/>
      <c r="B1427" s="125"/>
      <c r="C1427" s="125"/>
      <c r="D1427" s="125"/>
      <c r="E1427" s="126"/>
      <c r="F1427" s="128"/>
      <c r="G1427" s="128"/>
      <c r="H1427" s="128"/>
      <c r="I1427" s="128"/>
      <c r="J1427" s="128"/>
      <c r="K1427" s="129"/>
      <c r="L1427" s="129"/>
      <c r="M1427" s="129"/>
      <c r="N1427" s="129"/>
      <c r="O1427" s="129"/>
      <c r="P1427" s="129"/>
      <c r="Q1427" s="129"/>
      <c r="R1427" s="132"/>
      <c r="S1427" s="132"/>
      <c r="T1427" s="135"/>
      <c r="U1427" s="132"/>
      <c r="V1427" s="129"/>
      <c r="W1427" s="132"/>
      <c r="X1427" s="132"/>
      <c r="Y1427" s="132"/>
    </row>
    <row r="1428" spans="1:25" ht="15.75" customHeight="1">
      <c r="A1428" s="125"/>
      <c r="B1428" s="125"/>
      <c r="C1428" s="125"/>
      <c r="D1428" s="125"/>
      <c r="E1428" s="126"/>
      <c r="F1428" s="128"/>
      <c r="G1428" s="128"/>
      <c r="H1428" s="128"/>
      <c r="I1428" s="128"/>
      <c r="J1428" s="128"/>
      <c r="K1428" s="129"/>
      <c r="L1428" s="129"/>
      <c r="M1428" s="129"/>
      <c r="N1428" s="129"/>
      <c r="O1428" s="129"/>
      <c r="P1428" s="129"/>
      <c r="Q1428" s="129"/>
      <c r="R1428" s="132"/>
      <c r="S1428" s="132"/>
      <c r="T1428" s="135"/>
      <c r="U1428" s="132"/>
      <c r="V1428" s="129"/>
      <c r="W1428" s="132"/>
      <c r="X1428" s="132"/>
      <c r="Y1428" s="132"/>
    </row>
    <row r="1429" spans="1:25" ht="15.75" customHeight="1">
      <c r="A1429" s="125"/>
      <c r="B1429" s="125"/>
      <c r="C1429" s="125"/>
      <c r="D1429" s="125"/>
      <c r="E1429" s="126"/>
      <c r="F1429" s="128"/>
      <c r="G1429" s="128"/>
      <c r="H1429" s="128"/>
      <c r="I1429" s="128"/>
      <c r="J1429" s="128"/>
      <c r="K1429" s="129"/>
      <c r="L1429" s="129"/>
      <c r="M1429" s="129"/>
      <c r="N1429" s="129"/>
      <c r="O1429" s="129"/>
      <c r="P1429" s="129"/>
      <c r="Q1429" s="129"/>
      <c r="R1429" s="132"/>
      <c r="S1429" s="132"/>
      <c r="T1429" s="135"/>
      <c r="U1429" s="132"/>
      <c r="V1429" s="129"/>
      <c r="W1429" s="132"/>
      <c r="X1429" s="132"/>
      <c r="Y1429" s="132"/>
    </row>
    <row r="1430" spans="1:25" ht="15.75" customHeight="1">
      <c r="A1430" s="125"/>
      <c r="B1430" s="125"/>
      <c r="C1430" s="125"/>
      <c r="D1430" s="125"/>
      <c r="E1430" s="126"/>
      <c r="F1430" s="128"/>
      <c r="G1430" s="128"/>
      <c r="H1430" s="128"/>
      <c r="I1430" s="128"/>
      <c r="J1430" s="128"/>
      <c r="K1430" s="129"/>
      <c r="L1430" s="129"/>
      <c r="M1430" s="129"/>
      <c r="N1430" s="129"/>
      <c r="O1430" s="129"/>
      <c r="P1430" s="129"/>
      <c r="Q1430" s="129"/>
      <c r="R1430" s="132"/>
      <c r="S1430" s="132"/>
      <c r="T1430" s="135"/>
      <c r="U1430" s="132"/>
      <c r="V1430" s="129"/>
      <c r="W1430" s="132"/>
      <c r="X1430" s="132"/>
      <c r="Y1430" s="132"/>
    </row>
    <row r="1431" spans="1:25" ht="15.75" customHeight="1">
      <c r="A1431" s="125"/>
      <c r="B1431" s="125"/>
      <c r="C1431" s="125"/>
      <c r="D1431" s="125"/>
      <c r="E1431" s="126"/>
      <c r="F1431" s="128"/>
      <c r="G1431" s="128"/>
      <c r="H1431" s="128"/>
      <c r="I1431" s="128"/>
      <c r="J1431" s="128"/>
      <c r="K1431" s="129"/>
      <c r="L1431" s="129"/>
      <c r="M1431" s="129"/>
      <c r="N1431" s="129"/>
      <c r="O1431" s="129"/>
      <c r="P1431" s="129"/>
      <c r="Q1431" s="129"/>
      <c r="R1431" s="132"/>
      <c r="S1431" s="132"/>
      <c r="T1431" s="135"/>
      <c r="U1431" s="132"/>
      <c r="V1431" s="129"/>
      <c r="W1431" s="132"/>
      <c r="X1431" s="132"/>
      <c r="Y1431" s="132"/>
    </row>
    <row r="1432" spans="1:25" ht="15.75" customHeight="1">
      <c r="A1432" s="125"/>
      <c r="B1432" s="125"/>
      <c r="C1432" s="125"/>
      <c r="D1432" s="125"/>
      <c r="E1432" s="126"/>
      <c r="F1432" s="128"/>
      <c r="G1432" s="128"/>
      <c r="H1432" s="128"/>
      <c r="I1432" s="128"/>
      <c r="J1432" s="128"/>
      <c r="K1432" s="129"/>
      <c r="L1432" s="129"/>
      <c r="M1432" s="129"/>
      <c r="N1432" s="129"/>
      <c r="O1432" s="129"/>
      <c r="P1432" s="129"/>
      <c r="Q1432" s="129"/>
      <c r="R1432" s="132"/>
      <c r="S1432" s="132"/>
      <c r="T1432" s="135"/>
      <c r="U1432" s="132"/>
      <c r="V1432" s="129"/>
      <c r="W1432" s="132"/>
      <c r="X1432" s="132"/>
      <c r="Y1432" s="132"/>
    </row>
    <row r="1433" spans="1:25" ht="15.75" customHeight="1">
      <c r="A1433" s="125"/>
      <c r="B1433" s="125"/>
      <c r="C1433" s="125"/>
      <c r="D1433" s="125"/>
      <c r="E1433" s="126"/>
      <c r="F1433" s="128"/>
      <c r="G1433" s="128"/>
      <c r="H1433" s="128"/>
      <c r="I1433" s="128"/>
      <c r="J1433" s="128"/>
      <c r="K1433" s="129"/>
      <c r="L1433" s="129"/>
      <c r="M1433" s="129"/>
      <c r="N1433" s="129"/>
      <c r="O1433" s="129"/>
      <c r="P1433" s="129"/>
      <c r="Q1433" s="129"/>
      <c r="R1433" s="132"/>
      <c r="S1433" s="132"/>
      <c r="T1433" s="135"/>
      <c r="U1433" s="132"/>
      <c r="V1433" s="129"/>
      <c r="W1433" s="132"/>
      <c r="X1433" s="132"/>
      <c r="Y1433" s="132"/>
    </row>
    <row r="1434" spans="1:25" ht="15.75" customHeight="1">
      <c r="A1434" s="125"/>
      <c r="B1434" s="125"/>
      <c r="C1434" s="125"/>
      <c r="D1434" s="125"/>
      <c r="E1434" s="126"/>
      <c r="F1434" s="128"/>
      <c r="G1434" s="128"/>
      <c r="H1434" s="128"/>
      <c r="I1434" s="128"/>
      <c r="J1434" s="128"/>
      <c r="K1434" s="129"/>
      <c r="L1434" s="129"/>
      <c r="M1434" s="129"/>
      <c r="N1434" s="129"/>
      <c r="O1434" s="129"/>
      <c r="P1434" s="129"/>
      <c r="Q1434" s="129"/>
      <c r="R1434" s="132"/>
      <c r="S1434" s="132"/>
      <c r="T1434" s="135"/>
      <c r="U1434" s="132"/>
      <c r="V1434" s="129"/>
      <c r="W1434" s="132"/>
      <c r="X1434" s="132"/>
      <c r="Y1434" s="132"/>
    </row>
    <row r="1435" spans="1:25" ht="15.75" customHeight="1">
      <c r="A1435" s="125"/>
      <c r="B1435" s="125"/>
      <c r="C1435" s="125"/>
      <c r="D1435" s="125"/>
      <c r="E1435" s="126"/>
      <c r="F1435" s="128"/>
      <c r="G1435" s="128"/>
      <c r="H1435" s="128"/>
      <c r="I1435" s="128"/>
      <c r="J1435" s="128"/>
      <c r="K1435" s="129"/>
      <c r="L1435" s="129"/>
      <c r="M1435" s="129"/>
      <c r="N1435" s="129"/>
      <c r="O1435" s="129"/>
      <c r="P1435" s="129"/>
      <c r="Q1435" s="129"/>
      <c r="R1435" s="132"/>
      <c r="S1435" s="132"/>
      <c r="T1435" s="135"/>
      <c r="U1435" s="132"/>
      <c r="V1435" s="129"/>
      <c r="W1435" s="132"/>
      <c r="X1435" s="132"/>
      <c r="Y1435" s="132"/>
    </row>
    <row r="1436" spans="1:25" ht="15.75" customHeight="1">
      <c r="A1436" s="125"/>
      <c r="B1436" s="125"/>
      <c r="C1436" s="125"/>
      <c r="D1436" s="125"/>
      <c r="E1436" s="126"/>
      <c r="F1436" s="128"/>
      <c r="G1436" s="128"/>
      <c r="H1436" s="128"/>
      <c r="I1436" s="128"/>
      <c r="J1436" s="128"/>
      <c r="K1436" s="129"/>
      <c r="L1436" s="129"/>
      <c r="M1436" s="129"/>
      <c r="N1436" s="129"/>
      <c r="O1436" s="129"/>
      <c r="P1436" s="129"/>
      <c r="Q1436" s="129"/>
      <c r="R1436" s="132"/>
      <c r="S1436" s="132"/>
      <c r="T1436" s="135"/>
      <c r="U1436" s="132"/>
      <c r="V1436" s="129"/>
      <c r="W1436" s="132"/>
      <c r="X1436" s="132"/>
      <c r="Y1436" s="132"/>
    </row>
    <row r="1437" spans="1:25" ht="15.75" customHeight="1">
      <c r="A1437" s="125"/>
      <c r="B1437" s="125"/>
      <c r="C1437" s="125"/>
      <c r="D1437" s="125"/>
      <c r="E1437" s="126"/>
      <c r="F1437" s="128"/>
      <c r="G1437" s="128"/>
      <c r="H1437" s="128"/>
      <c r="I1437" s="128"/>
      <c r="J1437" s="128"/>
      <c r="K1437" s="129"/>
      <c r="L1437" s="129"/>
      <c r="M1437" s="129"/>
      <c r="N1437" s="129"/>
      <c r="O1437" s="129"/>
      <c r="P1437" s="129"/>
      <c r="Q1437" s="129"/>
      <c r="R1437" s="132"/>
      <c r="S1437" s="132"/>
      <c r="T1437" s="135"/>
      <c r="U1437" s="132"/>
      <c r="V1437" s="129"/>
      <c r="W1437" s="132"/>
      <c r="X1437" s="132"/>
      <c r="Y1437" s="132"/>
    </row>
    <row r="1438" spans="1:25" ht="15.75" customHeight="1">
      <c r="A1438" s="125"/>
      <c r="B1438" s="125"/>
      <c r="C1438" s="125"/>
      <c r="D1438" s="125"/>
      <c r="E1438" s="126"/>
      <c r="F1438" s="128"/>
      <c r="G1438" s="128"/>
      <c r="H1438" s="128"/>
      <c r="I1438" s="128"/>
      <c r="J1438" s="128"/>
      <c r="K1438" s="129"/>
      <c r="L1438" s="129"/>
      <c r="M1438" s="129"/>
      <c r="N1438" s="129"/>
      <c r="O1438" s="129"/>
      <c r="P1438" s="129"/>
      <c r="Q1438" s="129"/>
      <c r="R1438" s="132"/>
      <c r="S1438" s="132"/>
      <c r="T1438" s="135"/>
      <c r="U1438" s="132"/>
      <c r="V1438" s="129"/>
      <c r="W1438" s="132"/>
      <c r="X1438" s="132"/>
      <c r="Y1438" s="132"/>
    </row>
    <row r="1439" spans="1:25" ht="15.75" customHeight="1">
      <c r="A1439" s="125"/>
      <c r="B1439" s="125"/>
      <c r="C1439" s="125"/>
      <c r="D1439" s="125"/>
      <c r="E1439" s="126"/>
      <c r="F1439" s="128"/>
      <c r="G1439" s="128"/>
      <c r="H1439" s="128"/>
      <c r="I1439" s="128"/>
      <c r="J1439" s="128"/>
      <c r="K1439" s="129"/>
      <c r="L1439" s="129"/>
      <c r="M1439" s="129"/>
      <c r="N1439" s="129"/>
      <c r="O1439" s="129"/>
      <c r="P1439" s="129"/>
      <c r="Q1439" s="129"/>
      <c r="R1439" s="132"/>
      <c r="S1439" s="132"/>
      <c r="T1439" s="135"/>
      <c r="U1439" s="132"/>
      <c r="V1439" s="129"/>
      <c r="W1439" s="132"/>
      <c r="X1439" s="132"/>
      <c r="Y1439" s="132"/>
    </row>
    <row r="1440" spans="1:25" ht="15.75" customHeight="1">
      <c r="A1440" s="125"/>
      <c r="B1440" s="125"/>
      <c r="C1440" s="125"/>
      <c r="D1440" s="125"/>
      <c r="E1440" s="126"/>
      <c r="F1440" s="128"/>
      <c r="G1440" s="128"/>
      <c r="H1440" s="128"/>
      <c r="I1440" s="128"/>
      <c r="J1440" s="128"/>
      <c r="K1440" s="129"/>
      <c r="L1440" s="129"/>
      <c r="M1440" s="129"/>
      <c r="N1440" s="129"/>
      <c r="O1440" s="129"/>
      <c r="P1440" s="129"/>
      <c r="Q1440" s="129"/>
      <c r="R1440" s="132"/>
      <c r="S1440" s="132"/>
      <c r="T1440" s="135"/>
      <c r="U1440" s="132"/>
      <c r="V1440" s="129"/>
      <c r="W1440" s="132"/>
      <c r="X1440" s="132"/>
      <c r="Y1440" s="132"/>
    </row>
    <row r="1441" spans="1:25" ht="15.75" customHeight="1">
      <c r="A1441" s="125"/>
      <c r="B1441" s="125"/>
      <c r="C1441" s="125"/>
      <c r="D1441" s="125"/>
      <c r="E1441" s="126"/>
      <c r="F1441" s="128"/>
      <c r="G1441" s="128"/>
      <c r="H1441" s="128"/>
      <c r="I1441" s="128"/>
      <c r="J1441" s="128"/>
      <c r="K1441" s="129"/>
      <c r="L1441" s="129"/>
      <c r="M1441" s="129"/>
      <c r="N1441" s="129"/>
      <c r="O1441" s="129"/>
      <c r="P1441" s="129"/>
      <c r="Q1441" s="129"/>
      <c r="R1441" s="132"/>
      <c r="S1441" s="132"/>
      <c r="T1441" s="135"/>
      <c r="U1441" s="132"/>
      <c r="V1441" s="129"/>
      <c r="W1441" s="132"/>
      <c r="X1441" s="132"/>
      <c r="Y1441" s="132"/>
    </row>
    <row r="1442" spans="1:25" ht="15.75" customHeight="1">
      <c r="A1442" s="125"/>
      <c r="B1442" s="125"/>
      <c r="C1442" s="125"/>
      <c r="D1442" s="125"/>
      <c r="E1442" s="126"/>
      <c r="F1442" s="128"/>
      <c r="G1442" s="128"/>
      <c r="H1442" s="128"/>
      <c r="I1442" s="128"/>
      <c r="J1442" s="128"/>
      <c r="K1442" s="129"/>
      <c r="L1442" s="129"/>
      <c r="M1442" s="129"/>
      <c r="N1442" s="129"/>
      <c r="O1442" s="129"/>
      <c r="P1442" s="129"/>
      <c r="Q1442" s="129"/>
      <c r="R1442" s="132"/>
      <c r="S1442" s="132"/>
      <c r="T1442" s="135"/>
      <c r="U1442" s="132"/>
      <c r="V1442" s="129"/>
      <c r="W1442" s="132"/>
      <c r="X1442" s="132"/>
      <c r="Y1442" s="132"/>
    </row>
    <row r="1443" spans="1:25" ht="15.75" customHeight="1">
      <c r="A1443" s="125"/>
      <c r="B1443" s="125"/>
      <c r="C1443" s="125"/>
      <c r="D1443" s="125"/>
      <c r="E1443" s="126"/>
      <c r="F1443" s="128"/>
      <c r="G1443" s="128"/>
      <c r="H1443" s="128"/>
      <c r="I1443" s="128"/>
      <c r="J1443" s="128"/>
      <c r="K1443" s="129"/>
      <c r="L1443" s="129"/>
      <c r="M1443" s="129"/>
      <c r="N1443" s="129"/>
      <c r="O1443" s="129"/>
      <c r="P1443" s="129"/>
      <c r="Q1443" s="129"/>
      <c r="R1443" s="132"/>
      <c r="S1443" s="132"/>
      <c r="T1443" s="135"/>
      <c r="U1443" s="132"/>
      <c r="V1443" s="129"/>
      <c r="W1443" s="132"/>
      <c r="X1443" s="132"/>
      <c r="Y1443" s="132"/>
    </row>
    <row r="1444" spans="1:25" ht="15.75" customHeight="1">
      <c r="A1444" s="125"/>
      <c r="B1444" s="125"/>
      <c r="C1444" s="125"/>
      <c r="D1444" s="125"/>
      <c r="E1444" s="126"/>
      <c r="F1444" s="128"/>
      <c r="G1444" s="128"/>
      <c r="H1444" s="128"/>
      <c r="I1444" s="128"/>
      <c r="J1444" s="128"/>
      <c r="K1444" s="129"/>
      <c r="L1444" s="129"/>
      <c r="M1444" s="129"/>
      <c r="N1444" s="129"/>
      <c r="O1444" s="129"/>
      <c r="P1444" s="129"/>
      <c r="Q1444" s="129"/>
      <c r="R1444" s="132"/>
      <c r="S1444" s="132"/>
      <c r="T1444" s="135"/>
      <c r="U1444" s="132"/>
      <c r="V1444" s="129"/>
      <c r="W1444" s="132"/>
      <c r="X1444" s="132"/>
      <c r="Y1444" s="132"/>
    </row>
    <row r="1445" spans="1:25" ht="15.75" customHeight="1">
      <c r="A1445" s="125"/>
      <c r="B1445" s="125"/>
      <c r="C1445" s="125"/>
      <c r="D1445" s="125"/>
      <c r="E1445" s="126"/>
      <c r="F1445" s="128"/>
      <c r="G1445" s="128"/>
      <c r="H1445" s="128"/>
      <c r="I1445" s="128"/>
      <c r="J1445" s="128"/>
      <c r="K1445" s="129"/>
      <c r="L1445" s="129"/>
      <c r="M1445" s="129"/>
      <c r="N1445" s="129"/>
      <c r="O1445" s="129"/>
      <c r="P1445" s="129"/>
      <c r="Q1445" s="129"/>
      <c r="R1445" s="132"/>
      <c r="S1445" s="132"/>
      <c r="T1445" s="135"/>
      <c r="U1445" s="132"/>
      <c r="V1445" s="129"/>
      <c r="W1445" s="132"/>
      <c r="X1445" s="132"/>
      <c r="Y1445" s="132"/>
    </row>
    <row r="1446" spans="1:25" ht="15.75" customHeight="1">
      <c r="A1446" s="125"/>
      <c r="B1446" s="125"/>
      <c r="C1446" s="125"/>
      <c r="D1446" s="125"/>
      <c r="E1446" s="126"/>
      <c r="F1446" s="128"/>
      <c r="G1446" s="128"/>
      <c r="H1446" s="128"/>
      <c r="I1446" s="128"/>
      <c r="J1446" s="128"/>
      <c r="K1446" s="129"/>
      <c r="L1446" s="129"/>
      <c r="M1446" s="129"/>
      <c r="N1446" s="129"/>
      <c r="O1446" s="129"/>
      <c r="P1446" s="129"/>
      <c r="Q1446" s="129"/>
      <c r="R1446" s="132"/>
      <c r="S1446" s="132"/>
      <c r="T1446" s="135"/>
      <c r="U1446" s="132"/>
      <c r="V1446" s="129"/>
      <c r="W1446" s="132"/>
      <c r="X1446" s="132"/>
      <c r="Y1446" s="132"/>
    </row>
    <row r="1447" spans="1:25" ht="15.75" customHeight="1">
      <c r="A1447" s="125"/>
      <c r="B1447" s="125"/>
      <c r="C1447" s="125"/>
      <c r="D1447" s="125"/>
      <c r="E1447" s="126"/>
      <c r="F1447" s="128"/>
      <c r="G1447" s="128"/>
      <c r="H1447" s="128"/>
      <c r="I1447" s="128"/>
      <c r="J1447" s="128"/>
      <c r="K1447" s="129"/>
      <c r="L1447" s="129"/>
      <c r="M1447" s="129"/>
      <c r="N1447" s="129"/>
      <c r="O1447" s="129"/>
      <c r="P1447" s="129"/>
      <c r="Q1447" s="129"/>
      <c r="R1447" s="132"/>
      <c r="S1447" s="132"/>
      <c r="T1447" s="135"/>
      <c r="U1447" s="132"/>
      <c r="V1447" s="129"/>
      <c r="W1447" s="132"/>
      <c r="X1447" s="132"/>
      <c r="Y1447" s="132"/>
    </row>
    <row r="1448" spans="1:25" ht="15.75" customHeight="1">
      <c r="A1448" s="125"/>
      <c r="B1448" s="125"/>
      <c r="C1448" s="125"/>
      <c r="D1448" s="125"/>
      <c r="E1448" s="126"/>
      <c r="F1448" s="128"/>
      <c r="G1448" s="128"/>
      <c r="H1448" s="128"/>
      <c r="I1448" s="128"/>
      <c r="J1448" s="128"/>
      <c r="K1448" s="129"/>
      <c r="L1448" s="129"/>
      <c r="M1448" s="129"/>
      <c r="N1448" s="129"/>
      <c r="O1448" s="129"/>
      <c r="P1448" s="129"/>
      <c r="Q1448" s="129"/>
      <c r="R1448" s="132"/>
      <c r="S1448" s="132"/>
      <c r="T1448" s="135"/>
      <c r="U1448" s="132"/>
      <c r="V1448" s="129"/>
      <c r="W1448" s="132"/>
      <c r="X1448" s="132"/>
      <c r="Y1448" s="132"/>
    </row>
    <row r="1449" spans="1:25" ht="15.75" customHeight="1">
      <c r="A1449" s="125"/>
      <c r="B1449" s="125"/>
      <c r="C1449" s="125"/>
      <c r="D1449" s="125"/>
      <c r="E1449" s="126"/>
      <c r="F1449" s="128"/>
      <c r="G1449" s="128"/>
      <c r="H1449" s="128"/>
      <c r="I1449" s="128"/>
      <c r="J1449" s="128"/>
      <c r="K1449" s="129"/>
      <c r="L1449" s="129"/>
      <c r="M1449" s="129"/>
      <c r="N1449" s="129"/>
      <c r="O1449" s="129"/>
      <c r="P1449" s="129"/>
      <c r="Q1449" s="129"/>
      <c r="R1449" s="132"/>
      <c r="S1449" s="132"/>
      <c r="T1449" s="135"/>
      <c r="U1449" s="132"/>
      <c r="V1449" s="129"/>
      <c r="W1449" s="132"/>
      <c r="X1449" s="132"/>
      <c r="Y1449" s="132"/>
    </row>
    <row r="1450" spans="1:25" ht="15.75" customHeight="1">
      <c r="A1450" s="125"/>
      <c r="B1450" s="125"/>
      <c r="C1450" s="125"/>
      <c r="D1450" s="125"/>
      <c r="E1450" s="126"/>
      <c r="F1450" s="128"/>
      <c r="G1450" s="128"/>
      <c r="H1450" s="128"/>
      <c r="I1450" s="128"/>
      <c r="J1450" s="128"/>
      <c r="K1450" s="129"/>
      <c r="L1450" s="129"/>
      <c r="M1450" s="129"/>
      <c r="N1450" s="129"/>
      <c r="O1450" s="129"/>
      <c r="P1450" s="129"/>
      <c r="Q1450" s="129"/>
      <c r="R1450" s="132"/>
      <c r="S1450" s="132"/>
      <c r="T1450" s="135"/>
      <c r="U1450" s="132"/>
      <c r="V1450" s="129"/>
      <c r="W1450" s="132"/>
      <c r="X1450" s="132"/>
      <c r="Y1450" s="132"/>
    </row>
    <row r="1451" spans="1:25" ht="15.75" customHeight="1">
      <c r="A1451" s="125"/>
      <c r="B1451" s="125"/>
      <c r="C1451" s="125"/>
      <c r="D1451" s="125"/>
      <c r="E1451" s="126"/>
      <c r="F1451" s="128"/>
      <c r="G1451" s="128"/>
      <c r="H1451" s="128"/>
      <c r="I1451" s="128"/>
      <c r="J1451" s="128"/>
      <c r="K1451" s="129"/>
      <c r="L1451" s="129"/>
      <c r="M1451" s="129"/>
      <c r="N1451" s="129"/>
      <c r="O1451" s="129"/>
      <c r="P1451" s="129"/>
      <c r="Q1451" s="129"/>
      <c r="R1451" s="132"/>
      <c r="S1451" s="132"/>
      <c r="T1451" s="135"/>
      <c r="U1451" s="132"/>
      <c r="V1451" s="129"/>
      <c r="W1451" s="132"/>
      <c r="X1451" s="132"/>
      <c r="Y1451" s="132"/>
    </row>
    <row r="1452" spans="1:25" ht="15.75" customHeight="1">
      <c r="A1452" s="125"/>
      <c r="B1452" s="125"/>
      <c r="C1452" s="125"/>
      <c r="D1452" s="125"/>
      <c r="E1452" s="126"/>
      <c r="F1452" s="128"/>
      <c r="G1452" s="128"/>
      <c r="H1452" s="128"/>
      <c r="I1452" s="128"/>
      <c r="J1452" s="128"/>
      <c r="K1452" s="129"/>
      <c r="L1452" s="129"/>
      <c r="M1452" s="129"/>
      <c r="N1452" s="129"/>
      <c r="O1452" s="129"/>
      <c r="P1452" s="129"/>
      <c r="Q1452" s="129"/>
      <c r="R1452" s="132"/>
      <c r="S1452" s="132"/>
      <c r="T1452" s="135"/>
      <c r="U1452" s="132"/>
      <c r="V1452" s="129"/>
      <c r="W1452" s="132"/>
      <c r="X1452" s="132"/>
      <c r="Y1452" s="132"/>
    </row>
    <row r="1453" spans="1:25" ht="15.75" customHeight="1">
      <c r="A1453" s="125"/>
      <c r="B1453" s="125"/>
      <c r="C1453" s="125"/>
      <c r="D1453" s="125"/>
      <c r="E1453" s="126"/>
      <c r="F1453" s="128"/>
      <c r="G1453" s="128"/>
      <c r="H1453" s="128"/>
      <c r="I1453" s="128"/>
      <c r="J1453" s="128"/>
      <c r="K1453" s="129"/>
      <c r="L1453" s="129"/>
      <c r="M1453" s="129"/>
      <c r="N1453" s="129"/>
      <c r="O1453" s="129"/>
      <c r="P1453" s="129"/>
      <c r="Q1453" s="129"/>
      <c r="R1453" s="132"/>
      <c r="S1453" s="132"/>
      <c r="T1453" s="135"/>
      <c r="U1453" s="132"/>
      <c r="V1453" s="129"/>
      <c r="W1453" s="132"/>
      <c r="X1453" s="132"/>
      <c r="Y1453" s="132"/>
    </row>
    <row r="1454" spans="1:25" ht="15.75" customHeight="1">
      <c r="A1454" s="125"/>
      <c r="B1454" s="125"/>
      <c r="C1454" s="125"/>
      <c r="D1454" s="125"/>
      <c r="E1454" s="126"/>
      <c r="F1454" s="128"/>
      <c r="G1454" s="128"/>
      <c r="H1454" s="128"/>
      <c r="I1454" s="128"/>
      <c r="J1454" s="128"/>
      <c r="K1454" s="129"/>
      <c r="L1454" s="129"/>
      <c r="M1454" s="129"/>
      <c r="N1454" s="129"/>
      <c r="O1454" s="129"/>
      <c r="P1454" s="129"/>
      <c r="Q1454" s="129"/>
      <c r="R1454" s="132"/>
      <c r="S1454" s="132"/>
      <c r="T1454" s="135"/>
      <c r="U1454" s="132"/>
      <c r="V1454" s="129"/>
      <c r="W1454" s="132"/>
      <c r="X1454" s="132"/>
      <c r="Y1454" s="132"/>
    </row>
    <row r="1455" spans="1:25" ht="15.75" customHeight="1">
      <c r="A1455" s="125"/>
      <c r="B1455" s="125"/>
      <c r="C1455" s="125"/>
      <c r="D1455" s="125"/>
      <c r="E1455" s="126"/>
      <c r="F1455" s="128"/>
      <c r="G1455" s="128"/>
      <c r="H1455" s="128"/>
      <c r="I1455" s="128"/>
      <c r="J1455" s="128"/>
      <c r="K1455" s="129"/>
      <c r="L1455" s="129"/>
      <c r="M1455" s="129"/>
      <c r="N1455" s="129"/>
      <c r="O1455" s="129"/>
      <c r="P1455" s="129"/>
      <c r="Q1455" s="129"/>
      <c r="R1455" s="132"/>
      <c r="S1455" s="132"/>
      <c r="T1455" s="135"/>
      <c r="U1455" s="132"/>
      <c r="V1455" s="129"/>
      <c r="W1455" s="132"/>
      <c r="X1455" s="132"/>
      <c r="Y1455" s="132"/>
    </row>
    <row r="1456" spans="1:25" ht="15.75" customHeight="1">
      <c r="A1456" s="125"/>
      <c r="B1456" s="125"/>
      <c r="C1456" s="125"/>
      <c r="D1456" s="125"/>
      <c r="E1456" s="126"/>
      <c r="F1456" s="128"/>
      <c r="G1456" s="128"/>
      <c r="H1456" s="128"/>
      <c r="I1456" s="128"/>
      <c r="J1456" s="128"/>
      <c r="K1456" s="129"/>
      <c r="L1456" s="129"/>
      <c r="M1456" s="129"/>
      <c r="N1456" s="129"/>
      <c r="O1456" s="129"/>
      <c r="P1456" s="129"/>
      <c r="Q1456" s="129"/>
      <c r="R1456" s="132"/>
      <c r="S1456" s="132"/>
      <c r="T1456" s="135"/>
      <c r="U1456" s="132"/>
      <c r="V1456" s="129"/>
      <c r="W1456" s="132"/>
      <c r="X1456" s="132"/>
      <c r="Y1456" s="132"/>
    </row>
    <row r="1457" spans="1:25" ht="15.75" customHeight="1">
      <c r="A1457" s="125"/>
      <c r="B1457" s="125"/>
      <c r="C1457" s="125"/>
      <c r="D1457" s="125"/>
      <c r="E1457" s="126"/>
      <c r="F1457" s="128"/>
      <c r="G1457" s="128"/>
      <c r="H1457" s="128"/>
      <c r="I1457" s="128"/>
      <c r="J1457" s="128"/>
      <c r="K1457" s="129"/>
      <c r="L1457" s="129"/>
      <c r="M1457" s="129"/>
      <c r="N1457" s="129"/>
      <c r="O1457" s="129"/>
      <c r="P1457" s="129"/>
      <c r="Q1457" s="129"/>
      <c r="R1457" s="132"/>
      <c r="S1457" s="132"/>
      <c r="T1457" s="135"/>
      <c r="U1457" s="132"/>
      <c r="V1457" s="129"/>
      <c r="W1457" s="132"/>
      <c r="X1457" s="132"/>
      <c r="Y1457" s="132"/>
    </row>
    <row r="1458" spans="1:25" ht="15.75" customHeight="1">
      <c r="A1458" s="125"/>
      <c r="B1458" s="125"/>
      <c r="C1458" s="125"/>
      <c r="D1458" s="125"/>
      <c r="E1458" s="126"/>
      <c r="F1458" s="128"/>
      <c r="G1458" s="128"/>
      <c r="H1458" s="128"/>
      <c r="I1458" s="128"/>
      <c r="J1458" s="128"/>
      <c r="K1458" s="129"/>
      <c r="L1458" s="129"/>
      <c r="M1458" s="129"/>
      <c r="N1458" s="129"/>
      <c r="O1458" s="129"/>
      <c r="P1458" s="129"/>
      <c r="Q1458" s="129"/>
      <c r="R1458" s="132"/>
      <c r="S1458" s="132"/>
      <c r="T1458" s="135"/>
      <c r="U1458" s="132"/>
      <c r="V1458" s="129"/>
      <c r="W1458" s="132"/>
      <c r="X1458" s="132"/>
      <c r="Y1458" s="132"/>
    </row>
    <row r="1459" spans="1:25" ht="15.75" customHeight="1">
      <c r="A1459" s="125"/>
      <c r="B1459" s="125"/>
      <c r="C1459" s="125"/>
      <c r="D1459" s="125"/>
      <c r="E1459" s="126"/>
      <c r="F1459" s="128"/>
      <c r="G1459" s="128"/>
      <c r="H1459" s="128"/>
      <c r="I1459" s="128"/>
      <c r="J1459" s="128"/>
      <c r="K1459" s="129"/>
      <c r="L1459" s="129"/>
      <c r="M1459" s="129"/>
      <c r="N1459" s="129"/>
      <c r="O1459" s="129"/>
      <c r="P1459" s="129"/>
      <c r="Q1459" s="129"/>
      <c r="R1459" s="132"/>
      <c r="S1459" s="132"/>
      <c r="T1459" s="135"/>
      <c r="U1459" s="132"/>
      <c r="V1459" s="129"/>
      <c r="W1459" s="132"/>
      <c r="X1459" s="132"/>
      <c r="Y1459" s="132"/>
    </row>
    <row r="1460" spans="1:25" ht="15.75" customHeight="1">
      <c r="A1460" s="125"/>
      <c r="B1460" s="125"/>
      <c r="C1460" s="125"/>
      <c r="D1460" s="125"/>
      <c r="E1460" s="126"/>
      <c r="F1460" s="128"/>
      <c r="G1460" s="128"/>
      <c r="H1460" s="128"/>
      <c r="I1460" s="128"/>
      <c r="J1460" s="128"/>
      <c r="K1460" s="129"/>
      <c r="L1460" s="129"/>
      <c r="M1460" s="129"/>
      <c r="N1460" s="129"/>
      <c r="O1460" s="129"/>
      <c r="P1460" s="129"/>
      <c r="Q1460" s="129"/>
      <c r="R1460" s="132"/>
      <c r="S1460" s="132"/>
      <c r="T1460" s="135"/>
      <c r="U1460" s="132"/>
      <c r="V1460" s="129"/>
      <c r="W1460" s="132"/>
      <c r="X1460" s="132"/>
      <c r="Y1460" s="132"/>
    </row>
    <row r="1461" spans="1:25" ht="15.75" customHeight="1">
      <c r="A1461" s="125"/>
      <c r="B1461" s="125"/>
      <c r="C1461" s="125"/>
      <c r="D1461" s="125"/>
      <c r="E1461" s="126"/>
      <c r="F1461" s="128"/>
      <c r="G1461" s="128"/>
      <c r="H1461" s="128"/>
      <c r="I1461" s="128"/>
      <c r="J1461" s="128"/>
      <c r="K1461" s="129"/>
      <c r="L1461" s="129"/>
      <c r="M1461" s="129"/>
      <c r="N1461" s="129"/>
      <c r="O1461" s="129"/>
      <c r="P1461" s="129"/>
      <c r="Q1461" s="129"/>
      <c r="R1461" s="132"/>
      <c r="S1461" s="132"/>
      <c r="T1461" s="135"/>
      <c r="U1461" s="132"/>
      <c r="V1461" s="129"/>
      <c r="W1461" s="132"/>
      <c r="X1461" s="132"/>
      <c r="Y1461" s="132"/>
    </row>
    <row r="1462" spans="1:25" ht="15.75" customHeight="1">
      <c r="A1462" s="125"/>
      <c r="B1462" s="125"/>
      <c r="C1462" s="125"/>
      <c r="D1462" s="125"/>
      <c r="E1462" s="126"/>
      <c r="F1462" s="128"/>
      <c r="G1462" s="128"/>
      <c r="H1462" s="128"/>
      <c r="I1462" s="128"/>
      <c r="J1462" s="128"/>
      <c r="K1462" s="129"/>
      <c r="L1462" s="129"/>
      <c r="M1462" s="129"/>
      <c r="N1462" s="129"/>
      <c r="O1462" s="129"/>
      <c r="P1462" s="129"/>
      <c r="Q1462" s="129"/>
      <c r="R1462" s="132"/>
      <c r="S1462" s="132"/>
      <c r="T1462" s="135"/>
      <c r="U1462" s="132"/>
      <c r="V1462" s="129"/>
      <c r="W1462" s="132"/>
      <c r="X1462" s="132"/>
      <c r="Y1462" s="132"/>
    </row>
    <row r="1463" spans="1:25" ht="15.75" customHeight="1">
      <c r="A1463" s="125"/>
      <c r="B1463" s="125"/>
      <c r="C1463" s="125"/>
      <c r="D1463" s="125"/>
      <c r="E1463" s="126"/>
      <c r="F1463" s="128"/>
      <c r="G1463" s="128"/>
      <c r="H1463" s="128"/>
      <c r="I1463" s="128"/>
      <c r="J1463" s="128"/>
      <c r="K1463" s="129"/>
      <c r="L1463" s="129"/>
      <c r="M1463" s="129"/>
      <c r="N1463" s="129"/>
      <c r="O1463" s="129"/>
      <c r="P1463" s="129"/>
      <c r="Q1463" s="129"/>
      <c r="R1463" s="132"/>
      <c r="S1463" s="132"/>
      <c r="T1463" s="135"/>
      <c r="U1463" s="132"/>
      <c r="V1463" s="129"/>
      <c r="W1463" s="132"/>
      <c r="X1463" s="132"/>
      <c r="Y1463" s="132"/>
    </row>
    <row r="1464" spans="1:25" ht="15.75" customHeight="1">
      <c r="A1464" s="125"/>
      <c r="B1464" s="125"/>
      <c r="C1464" s="125"/>
      <c r="D1464" s="125"/>
      <c r="E1464" s="126"/>
      <c r="F1464" s="128"/>
      <c r="G1464" s="128"/>
      <c r="H1464" s="128"/>
      <c r="I1464" s="128"/>
      <c r="J1464" s="128"/>
      <c r="K1464" s="129"/>
      <c r="L1464" s="129"/>
      <c r="M1464" s="129"/>
      <c r="N1464" s="129"/>
      <c r="O1464" s="129"/>
      <c r="P1464" s="129"/>
      <c r="Q1464" s="129"/>
      <c r="R1464" s="132"/>
      <c r="S1464" s="132"/>
      <c r="T1464" s="135"/>
      <c r="U1464" s="132"/>
      <c r="V1464" s="129"/>
      <c r="W1464" s="132"/>
      <c r="X1464" s="132"/>
      <c r="Y1464" s="132"/>
    </row>
    <row r="1465" spans="1:25" ht="15.75" customHeight="1">
      <c r="A1465" s="125"/>
      <c r="B1465" s="125"/>
      <c r="C1465" s="125"/>
      <c r="D1465" s="125"/>
      <c r="E1465" s="126"/>
      <c r="F1465" s="128"/>
      <c r="G1465" s="128"/>
      <c r="H1465" s="128"/>
      <c r="I1465" s="128"/>
      <c r="J1465" s="128"/>
      <c r="K1465" s="129"/>
      <c r="L1465" s="129"/>
      <c r="M1465" s="129"/>
      <c r="N1465" s="129"/>
      <c r="O1465" s="129"/>
      <c r="P1465" s="129"/>
      <c r="Q1465" s="129"/>
      <c r="R1465" s="132"/>
      <c r="S1465" s="132"/>
      <c r="T1465" s="135"/>
      <c r="U1465" s="132"/>
      <c r="V1465" s="129"/>
      <c r="W1465" s="132"/>
      <c r="X1465" s="132"/>
      <c r="Y1465" s="132"/>
    </row>
    <row r="1466" spans="1:25" ht="15.75" customHeight="1">
      <c r="A1466" s="125"/>
      <c r="B1466" s="125"/>
      <c r="C1466" s="125"/>
      <c r="D1466" s="125"/>
      <c r="E1466" s="126"/>
      <c r="F1466" s="128"/>
      <c r="G1466" s="128"/>
      <c r="H1466" s="128"/>
      <c r="I1466" s="128"/>
      <c r="J1466" s="128"/>
      <c r="K1466" s="129"/>
      <c r="L1466" s="129"/>
      <c r="M1466" s="129"/>
      <c r="N1466" s="129"/>
      <c r="O1466" s="129"/>
      <c r="P1466" s="129"/>
      <c r="Q1466" s="129"/>
      <c r="R1466" s="132"/>
      <c r="S1466" s="132"/>
      <c r="T1466" s="135"/>
      <c r="U1466" s="132"/>
      <c r="V1466" s="129"/>
      <c r="W1466" s="132"/>
      <c r="X1466" s="132"/>
      <c r="Y1466" s="132"/>
    </row>
    <row r="1467" spans="1:25" ht="15.75" customHeight="1">
      <c r="A1467" s="125"/>
      <c r="B1467" s="125"/>
      <c r="C1467" s="125"/>
      <c r="D1467" s="125"/>
      <c r="E1467" s="126"/>
      <c r="F1467" s="128"/>
      <c r="G1467" s="128"/>
      <c r="H1467" s="128"/>
      <c r="I1467" s="128"/>
      <c r="J1467" s="128"/>
      <c r="K1467" s="129"/>
      <c r="L1467" s="129"/>
      <c r="M1467" s="129"/>
      <c r="N1467" s="129"/>
      <c r="O1467" s="129"/>
      <c r="P1467" s="129"/>
      <c r="Q1467" s="129"/>
      <c r="R1467" s="132"/>
      <c r="S1467" s="132"/>
      <c r="T1467" s="135"/>
      <c r="U1467" s="132"/>
      <c r="V1467" s="129"/>
      <c r="W1467" s="132"/>
      <c r="X1467" s="132"/>
      <c r="Y1467" s="132"/>
    </row>
    <row r="1468" spans="1:25" ht="15.75" customHeight="1">
      <c r="A1468" s="125"/>
      <c r="B1468" s="125"/>
      <c r="C1468" s="125"/>
      <c r="D1468" s="125"/>
      <c r="E1468" s="126"/>
      <c r="F1468" s="128"/>
      <c r="G1468" s="128"/>
      <c r="H1468" s="128"/>
      <c r="I1468" s="128"/>
      <c r="J1468" s="128"/>
      <c r="K1468" s="129"/>
      <c r="L1468" s="129"/>
      <c r="M1468" s="129"/>
      <c r="N1468" s="129"/>
      <c r="O1468" s="129"/>
      <c r="P1468" s="129"/>
      <c r="Q1468" s="129"/>
      <c r="R1468" s="132"/>
      <c r="S1468" s="132"/>
      <c r="T1468" s="135"/>
      <c r="U1468" s="132"/>
      <c r="V1468" s="129"/>
      <c r="W1468" s="132"/>
      <c r="X1468" s="132"/>
      <c r="Y1468" s="132"/>
    </row>
    <row r="1469" spans="1:25" ht="15.75" customHeight="1">
      <c r="A1469" s="125"/>
      <c r="B1469" s="125"/>
      <c r="C1469" s="125"/>
      <c r="D1469" s="125"/>
      <c r="E1469" s="126"/>
      <c r="F1469" s="128"/>
      <c r="G1469" s="128"/>
      <c r="H1469" s="128"/>
      <c r="I1469" s="128"/>
      <c r="J1469" s="128"/>
      <c r="K1469" s="129"/>
      <c r="L1469" s="129"/>
      <c r="M1469" s="129"/>
      <c r="N1469" s="129"/>
      <c r="O1469" s="129"/>
      <c r="P1469" s="129"/>
      <c r="Q1469" s="129"/>
      <c r="R1469" s="132"/>
      <c r="S1469" s="132"/>
      <c r="T1469" s="135"/>
      <c r="U1469" s="132"/>
      <c r="V1469" s="129"/>
      <c r="W1469" s="132"/>
      <c r="X1469" s="132"/>
      <c r="Y1469" s="132"/>
    </row>
    <row r="1470" spans="1:25" ht="15.75" customHeight="1">
      <c r="A1470" s="125"/>
      <c r="B1470" s="125"/>
      <c r="C1470" s="125"/>
      <c r="D1470" s="125"/>
      <c r="E1470" s="126"/>
      <c r="F1470" s="128"/>
      <c r="G1470" s="128"/>
      <c r="H1470" s="128"/>
      <c r="I1470" s="128"/>
      <c r="J1470" s="128"/>
      <c r="K1470" s="129"/>
      <c r="L1470" s="129"/>
      <c r="M1470" s="129"/>
      <c r="N1470" s="129"/>
      <c r="O1470" s="129"/>
      <c r="P1470" s="129"/>
      <c r="Q1470" s="129"/>
      <c r="R1470" s="132"/>
      <c r="S1470" s="132"/>
      <c r="T1470" s="135"/>
      <c r="U1470" s="132"/>
      <c r="V1470" s="129"/>
      <c r="W1470" s="132"/>
      <c r="X1470" s="132"/>
      <c r="Y1470" s="132"/>
    </row>
    <row r="1471" spans="1:25" ht="15.75" customHeight="1">
      <c r="A1471" s="125"/>
      <c r="B1471" s="125"/>
      <c r="C1471" s="125"/>
      <c r="D1471" s="125"/>
      <c r="E1471" s="126"/>
      <c r="F1471" s="128"/>
      <c r="G1471" s="128"/>
      <c r="H1471" s="128"/>
      <c r="I1471" s="128"/>
      <c r="J1471" s="128"/>
      <c r="K1471" s="129"/>
      <c r="L1471" s="129"/>
      <c r="M1471" s="129"/>
      <c r="N1471" s="129"/>
      <c r="O1471" s="129"/>
      <c r="P1471" s="129"/>
      <c r="Q1471" s="129"/>
      <c r="R1471" s="132"/>
      <c r="S1471" s="132"/>
      <c r="T1471" s="135"/>
      <c r="U1471" s="132"/>
      <c r="V1471" s="129"/>
      <c r="W1471" s="132"/>
      <c r="X1471" s="132"/>
      <c r="Y1471" s="132"/>
    </row>
    <row r="1472" spans="1:25" ht="15.75" customHeight="1">
      <c r="A1472" s="125"/>
      <c r="B1472" s="125"/>
      <c r="C1472" s="125"/>
      <c r="D1472" s="125"/>
      <c r="E1472" s="126"/>
      <c r="F1472" s="128"/>
      <c r="G1472" s="128"/>
      <c r="H1472" s="128"/>
      <c r="I1472" s="128"/>
      <c r="J1472" s="128"/>
      <c r="K1472" s="129"/>
      <c r="L1472" s="129"/>
      <c r="M1472" s="129"/>
      <c r="N1472" s="129"/>
      <c r="O1472" s="129"/>
      <c r="P1472" s="129"/>
      <c r="Q1472" s="129"/>
      <c r="R1472" s="132"/>
      <c r="S1472" s="132"/>
      <c r="T1472" s="135"/>
      <c r="U1472" s="132"/>
      <c r="V1472" s="129"/>
      <c r="W1472" s="132"/>
      <c r="X1472" s="132"/>
      <c r="Y1472" s="132"/>
    </row>
    <row r="1473" spans="1:25" ht="15.75" customHeight="1">
      <c r="A1473" s="125"/>
      <c r="B1473" s="125"/>
      <c r="C1473" s="125"/>
      <c r="D1473" s="125"/>
      <c r="E1473" s="126"/>
      <c r="F1473" s="128"/>
      <c r="G1473" s="128"/>
      <c r="H1473" s="128"/>
      <c r="I1473" s="128"/>
      <c r="J1473" s="128"/>
      <c r="K1473" s="129"/>
      <c r="L1473" s="129"/>
      <c r="M1473" s="129"/>
      <c r="N1473" s="129"/>
      <c r="O1473" s="129"/>
      <c r="P1473" s="129"/>
      <c r="Q1473" s="129"/>
      <c r="R1473" s="132"/>
      <c r="S1473" s="132"/>
      <c r="T1473" s="135"/>
      <c r="U1473" s="132"/>
      <c r="V1473" s="129"/>
      <c r="W1473" s="132"/>
      <c r="X1473" s="132"/>
      <c r="Y1473" s="132"/>
    </row>
    <row r="1474" spans="1:25" ht="15.75" customHeight="1">
      <c r="A1474" s="125"/>
      <c r="B1474" s="125"/>
      <c r="C1474" s="125"/>
      <c r="D1474" s="125"/>
      <c r="E1474" s="126"/>
      <c r="F1474" s="128"/>
      <c r="G1474" s="128"/>
      <c r="H1474" s="128"/>
      <c r="I1474" s="128"/>
      <c r="J1474" s="128"/>
      <c r="K1474" s="129"/>
      <c r="L1474" s="129"/>
      <c r="M1474" s="129"/>
      <c r="N1474" s="129"/>
      <c r="O1474" s="129"/>
      <c r="P1474" s="129"/>
      <c r="Q1474" s="129"/>
      <c r="R1474" s="132"/>
      <c r="S1474" s="132"/>
      <c r="T1474" s="135"/>
      <c r="U1474" s="132"/>
      <c r="V1474" s="129"/>
      <c r="W1474" s="132"/>
      <c r="X1474" s="132"/>
      <c r="Y1474" s="132"/>
    </row>
    <row r="1475" spans="1:25" ht="15.75" customHeight="1">
      <c r="A1475" s="125"/>
      <c r="B1475" s="125"/>
      <c r="C1475" s="125"/>
      <c r="D1475" s="125"/>
      <c r="E1475" s="126"/>
      <c r="F1475" s="128"/>
      <c r="G1475" s="128"/>
      <c r="H1475" s="128"/>
      <c r="I1475" s="128"/>
      <c r="J1475" s="128"/>
      <c r="K1475" s="129"/>
      <c r="L1475" s="129"/>
      <c r="M1475" s="129"/>
      <c r="N1475" s="129"/>
      <c r="O1475" s="129"/>
      <c r="P1475" s="129"/>
      <c r="Q1475" s="129"/>
      <c r="R1475" s="132"/>
      <c r="S1475" s="132"/>
      <c r="T1475" s="135"/>
      <c r="U1475" s="132"/>
      <c r="V1475" s="129"/>
      <c r="W1475" s="132"/>
      <c r="X1475" s="132"/>
      <c r="Y1475" s="132"/>
    </row>
    <row r="1476" spans="1:25" ht="15.75" customHeight="1">
      <c r="A1476" s="125"/>
      <c r="B1476" s="125"/>
      <c r="C1476" s="125"/>
      <c r="D1476" s="125"/>
      <c r="E1476" s="126"/>
      <c r="F1476" s="128"/>
      <c r="G1476" s="128"/>
      <c r="H1476" s="128"/>
      <c r="I1476" s="128"/>
      <c r="J1476" s="128"/>
      <c r="K1476" s="129"/>
      <c r="L1476" s="129"/>
      <c r="M1476" s="129"/>
      <c r="N1476" s="129"/>
      <c r="O1476" s="129"/>
      <c r="P1476" s="129"/>
      <c r="Q1476" s="129"/>
      <c r="R1476" s="132"/>
      <c r="S1476" s="132"/>
      <c r="T1476" s="135"/>
      <c r="U1476" s="132"/>
      <c r="V1476" s="129"/>
      <c r="W1476" s="132"/>
      <c r="X1476" s="132"/>
      <c r="Y1476" s="132"/>
    </row>
    <row r="1477" spans="1:25" ht="15.75" customHeight="1">
      <c r="A1477" s="125"/>
      <c r="B1477" s="125"/>
      <c r="C1477" s="125"/>
      <c r="D1477" s="125"/>
      <c r="E1477" s="126"/>
      <c r="F1477" s="128"/>
      <c r="G1477" s="128"/>
      <c r="H1477" s="128"/>
      <c r="I1477" s="128"/>
      <c r="J1477" s="128"/>
      <c r="K1477" s="129"/>
      <c r="L1477" s="129"/>
      <c r="M1477" s="129"/>
      <c r="N1477" s="129"/>
      <c r="O1477" s="129"/>
      <c r="P1477" s="129"/>
      <c r="Q1477" s="129"/>
      <c r="R1477" s="132"/>
      <c r="S1477" s="132"/>
      <c r="T1477" s="135"/>
      <c r="U1477" s="132"/>
      <c r="V1477" s="129"/>
      <c r="W1477" s="132"/>
      <c r="X1477" s="132"/>
      <c r="Y1477" s="132"/>
    </row>
    <row r="1478" spans="1:25" ht="15.75" customHeight="1">
      <c r="A1478" s="125"/>
      <c r="B1478" s="125"/>
      <c r="C1478" s="125"/>
      <c r="D1478" s="125"/>
      <c r="E1478" s="126"/>
      <c r="F1478" s="128"/>
      <c r="G1478" s="128"/>
      <c r="H1478" s="128"/>
      <c r="I1478" s="128"/>
      <c r="J1478" s="128"/>
      <c r="K1478" s="129"/>
      <c r="L1478" s="129"/>
      <c r="M1478" s="129"/>
      <c r="N1478" s="129"/>
      <c r="O1478" s="129"/>
      <c r="P1478" s="129"/>
      <c r="Q1478" s="129"/>
      <c r="R1478" s="132"/>
      <c r="S1478" s="132"/>
      <c r="T1478" s="135"/>
      <c r="U1478" s="132"/>
      <c r="V1478" s="129"/>
      <c r="W1478" s="132"/>
      <c r="X1478" s="132"/>
      <c r="Y1478" s="132"/>
    </row>
    <row r="1479" spans="1:25" ht="15.75" customHeight="1">
      <c r="A1479" s="125"/>
      <c r="B1479" s="125"/>
      <c r="C1479" s="125"/>
      <c r="D1479" s="125"/>
      <c r="E1479" s="126"/>
      <c r="F1479" s="128"/>
      <c r="G1479" s="128"/>
      <c r="H1479" s="128"/>
      <c r="I1479" s="128"/>
      <c r="J1479" s="128"/>
      <c r="K1479" s="129"/>
      <c r="L1479" s="129"/>
      <c r="M1479" s="129"/>
      <c r="N1479" s="129"/>
      <c r="O1479" s="129"/>
      <c r="P1479" s="129"/>
      <c r="Q1479" s="129"/>
      <c r="R1479" s="132"/>
      <c r="S1479" s="132"/>
      <c r="T1479" s="135"/>
      <c r="U1479" s="132"/>
      <c r="V1479" s="129"/>
      <c r="W1479" s="132"/>
      <c r="X1479" s="132"/>
      <c r="Y1479" s="132"/>
    </row>
    <row r="1480" spans="1:25" ht="15.75" customHeight="1">
      <c r="A1480" s="125"/>
      <c r="B1480" s="125"/>
      <c r="C1480" s="125"/>
      <c r="D1480" s="125"/>
      <c r="E1480" s="126"/>
      <c r="F1480" s="128"/>
      <c r="G1480" s="128"/>
      <c r="H1480" s="128"/>
      <c r="I1480" s="128"/>
      <c r="J1480" s="128"/>
      <c r="K1480" s="129"/>
      <c r="L1480" s="129"/>
      <c r="M1480" s="129"/>
      <c r="N1480" s="129"/>
      <c r="O1480" s="129"/>
      <c r="P1480" s="129"/>
      <c r="Q1480" s="129"/>
      <c r="R1480" s="132"/>
      <c r="S1480" s="132"/>
      <c r="T1480" s="135"/>
      <c r="U1480" s="132"/>
      <c r="V1480" s="129"/>
      <c r="W1480" s="132"/>
      <c r="X1480" s="132"/>
      <c r="Y1480" s="132"/>
    </row>
    <row r="1481" spans="1:25" ht="15.75" customHeight="1">
      <c r="A1481" s="125"/>
      <c r="B1481" s="125"/>
      <c r="C1481" s="125"/>
      <c r="D1481" s="125"/>
      <c r="E1481" s="126"/>
      <c r="F1481" s="128"/>
      <c r="G1481" s="128"/>
      <c r="H1481" s="128"/>
      <c r="I1481" s="128"/>
      <c r="J1481" s="128"/>
      <c r="K1481" s="129"/>
      <c r="L1481" s="129"/>
      <c r="M1481" s="129"/>
      <c r="N1481" s="129"/>
      <c r="O1481" s="129"/>
      <c r="P1481" s="129"/>
      <c r="Q1481" s="129"/>
      <c r="R1481" s="132"/>
      <c r="S1481" s="132"/>
      <c r="T1481" s="135"/>
      <c r="U1481" s="132"/>
      <c r="V1481" s="129"/>
      <c r="W1481" s="132"/>
      <c r="X1481" s="132"/>
      <c r="Y1481" s="132"/>
    </row>
    <row r="1482" spans="1:25" ht="15.75" customHeight="1">
      <c r="A1482" s="125"/>
      <c r="B1482" s="125"/>
      <c r="C1482" s="125"/>
      <c r="D1482" s="125"/>
      <c r="E1482" s="126"/>
      <c r="F1482" s="128"/>
      <c r="G1482" s="128"/>
      <c r="H1482" s="128"/>
      <c r="I1482" s="128"/>
      <c r="J1482" s="128"/>
      <c r="K1482" s="129"/>
      <c r="L1482" s="129"/>
      <c r="M1482" s="129"/>
      <c r="N1482" s="129"/>
      <c r="O1482" s="129"/>
      <c r="P1482" s="129"/>
      <c r="Q1482" s="129"/>
      <c r="R1482" s="132"/>
      <c r="S1482" s="132"/>
      <c r="T1482" s="135"/>
      <c r="U1482" s="132"/>
      <c r="V1482" s="129"/>
      <c r="W1482" s="132"/>
      <c r="X1482" s="132"/>
      <c r="Y1482" s="132"/>
    </row>
    <row r="1483" spans="1:25" ht="15.75" customHeight="1">
      <c r="A1483" s="125"/>
      <c r="B1483" s="125"/>
      <c r="C1483" s="125"/>
      <c r="D1483" s="125"/>
      <c r="E1483" s="126"/>
      <c r="F1483" s="128"/>
      <c r="G1483" s="128"/>
      <c r="H1483" s="128"/>
      <c r="I1483" s="128"/>
      <c r="J1483" s="128"/>
      <c r="K1483" s="129"/>
      <c r="L1483" s="129"/>
      <c r="M1483" s="129"/>
      <c r="N1483" s="129"/>
      <c r="O1483" s="129"/>
      <c r="P1483" s="129"/>
      <c r="Q1483" s="129"/>
      <c r="R1483" s="132"/>
      <c r="S1483" s="132"/>
      <c r="T1483" s="135"/>
      <c r="U1483" s="132"/>
      <c r="V1483" s="129"/>
      <c r="W1483" s="132"/>
      <c r="X1483" s="132"/>
      <c r="Y1483" s="132"/>
    </row>
  </sheetData>
  <autoFilter ref="A1:AE1483"/>
  <dataValidations count="3">
    <dataValidation type="list" allowBlank="1" sqref="C2:C1124">
      <formula1>#REF!</formula1>
    </dataValidation>
    <dataValidation type="list" allowBlank="1" sqref="V2:V1083">
      <formula1>#REF!</formula1>
    </dataValidation>
    <dataValidation type="list" allowBlank="1" sqref="B2:B1124">
      <formula1>#REF!</formula1>
    </dataValidation>
  </dataValidations>
  <pageMargins left="0.25" right="0.25" top="0.75" bottom="0.75" header="0" footer="0"/>
  <pageSetup paperSize="5" fitToHeight="0" orientation="landscape"/>
  <headerFooter>
    <oddHeader>&amp;CINVENTARIO SUBDIRECCIÓN TÉCNICA&amp;RSUBDIRECCIÓN TÉCNICA</oddHead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pageSetUpPr fitToPage="1"/>
  </sheetPr>
  <dimension ref="A1:AC1483"/>
  <sheetViews>
    <sheetView workbookViewId="0"/>
  </sheetViews>
  <sheetFormatPr baseColWidth="10" defaultColWidth="12.5703125" defaultRowHeight="15.75" customHeight="1"/>
  <cols>
    <col min="1" max="1" width="9.28515625" customWidth="1"/>
    <col min="2" max="2" width="4.85546875" customWidth="1"/>
    <col min="3" max="3" width="10.42578125" customWidth="1"/>
    <col min="4" max="4" width="4.85546875" customWidth="1"/>
    <col min="5" max="5" width="13.7109375" customWidth="1"/>
    <col min="6" max="6" width="34.42578125" customWidth="1"/>
    <col min="7" max="7" width="19" customWidth="1"/>
    <col min="8" max="8" width="15.7109375" hidden="1" customWidth="1"/>
    <col min="9" max="9" width="11.5703125" hidden="1" customWidth="1"/>
    <col min="10" max="10" width="9.5703125" hidden="1" customWidth="1"/>
    <col min="11" max="11" width="13.85546875" hidden="1" customWidth="1"/>
    <col min="12" max="12" width="12" hidden="1" customWidth="1"/>
    <col min="13" max="14" width="12.42578125" hidden="1" customWidth="1"/>
    <col min="15" max="16" width="15.42578125" customWidth="1"/>
    <col min="17" max="17" width="32.28515625" customWidth="1"/>
    <col min="18" max="18" width="26.7109375" customWidth="1"/>
    <col min="19" max="19" width="14.140625" customWidth="1"/>
    <col min="20" max="20" width="24.28515625" customWidth="1"/>
    <col min="21" max="21" width="25.42578125" customWidth="1"/>
    <col min="22" max="22" width="27.42578125" customWidth="1"/>
    <col min="23" max="23" width="32.28515625" customWidth="1"/>
    <col min="24" max="27" width="8.42578125" customWidth="1"/>
    <col min="28" max="28" width="9.140625" customWidth="1"/>
    <col min="29" max="29" width="23.140625" customWidth="1"/>
  </cols>
  <sheetData>
    <row r="1" spans="1:29" ht="71.25">
      <c r="A1" s="1" t="s">
        <v>0</v>
      </c>
      <c r="B1" s="1" t="s">
        <v>1</v>
      </c>
      <c r="C1" s="1" t="s">
        <v>2</v>
      </c>
      <c r="D1" s="1" t="s">
        <v>3</v>
      </c>
      <c r="E1" s="2" t="s">
        <v>4</v>
      </c>
      <c r="F1" s="2" t="s">
        <v>5</v>
      </c>
      <c r="G1" s="2" t="s">
        <v>6</v>
      </c>
      <c r="H1" s="2" t="s">
        <v>8</v>
      </c>
      <c r="I1" s="172" t="s">
        <v>9</v>
      </c>
      <c r="J1" s="2" t="s">
        <v>10</v>
      </c>
      <c r="K1" s="2" t="s">
        <v>11</v>
      </c>
      <c r="L1" s="2" t="s">
        <v>12</v>
      </c>
      <c r="M1" s="2" t="s">
        <v>13</v>
      </c>
      <c r="N1" s="2"/>
      <c r="O1" s="2" t="s">
        <v>14</v>
      </c>
      <c r="P1" s="4" t="s">
        <v>15</v>
      </c>
      <c r="Q1" s="4" t="s">
        <v>16</v>
      </c>
      <c r="R1" s="1" t="s">
        <v>17</v>
      </c>
      <c r="S1" s="4" t="s">
        <v>18</v>
      </c>
      <c r="T1" s="2" t="s">
        <v>19</v>
      </c>
      <c r="U1" s="4" t="s">
        <v>20</v>
      </c>
      <c r="V1" s="4" t="s">
        <v>21</v>
      </c>
      <c r="W1" s="4" t="s">
        <v>8428</v>
      </c>
      <c r="X1" s="6" t="s">
        <v>23</v>
      </c>
      <c r="Y1" s="7"/>
      <c r="Z1" s="8" t="s">
        <v>24</v>
      </c>
      <c r="AA1" s="8" t="s">
        <v>25</v>
      </c>
      <c r="AB1" s="8" t="s">
        <v>13</v>
      </c>
    </row>
    <row r="2" spans="1:29" ht="15.75" customHeight="1">
      <c r="A2" s="9" t="s">
        <v>26</v>
      </c>
      <c r="B2" s="10" t="s">
        <v>27</v>
      </c>
      <c r="C2" s="11" t="s">
        <v>28</v>
      </c>
      <c r="D2" s="12"/>
      <c r="E2" s="13" t="s">
        <v>29</v>
      </c>
      <c r="F2" s="6" t="s">
        <v>30</v>
      </c>
      <c r="G2" s="6" t="str">
        <f ca="1">IFERROR(__xludf.DUMMYFUNCTION("CONCATENATE(B2,(VLOOKUP(C2,CATALOGOS!$F$2:$H$6,3,FALSE)),(VLOOKUP(T2,CATALOGOS!$J$2:$K$18,2,FALSE)),""-"",TO_TEXT(A2))"),"P05DA-0001")</f>
        <v>P05DA-0001</v>
      </c>
      <c r="H2" s="6" t="s">
        <v>31</v>
      </c>
      <c r="I2" s="6" t="s">
        <v>32</v>
      </c>
      <c r="J2" s="6" t="s">
        <v>33</v>
      </c>
      <c r="K2" s="6" t="s">
        <v>34</v>
      </c>
      <c r="L2" s="17"/>
      <c r="M2" s="17"/>
      <c r="N2" s="17" t="str">
        <f t="shared" ref="N2:N26" si="0">IF(COUNTIF($K$2:$K$997,K2)&gt;1,"REPETIDO","OK")</f>
        <v>OK</v>
      </c>
      <c r="O2" s="17" t="s">
        <v>35</v>
      </c>
      <c r="P2" s="6" t="s">
        <v>35</v>
      </c>
      <c r="Q2" s="6" t="s">
        <v>36</v>
      </c>
      <c r="R2" s="213" t="s">
        <v>37</v>
      </c>
      <c r="S2" s="173" t="s">
        <v>38</v>
      </c>
      <c r="T2" s="11" t="s">
        <v>28</v>
      </c>
      <c r="U2" s="22" t="s">
        <v>40</v>
      </c>
      <c r="V2" s="22" t="s">
        <v>40</v>
      </c>
      <c r="W2" s="22"/>
      <c r="X2" s="6"/>
      <c r="Y2" s="6"/>
      <c r="Z2" s="23"/>
      <c r="AA2" s="24"/>
      <c r="AC2" s="25" t="s">
        <v>41</v>
      </c>
    </row>
    <row r="3" spans="1:29" ht="15.75" customHeight="1">
      <c r="A3" s="9" t="s">
        <v>42</v>
      </c>
      <c r="B3" s="10" t="s">
        <v>27</v>
      </c>
      <c r="C3" s="11" t="s">
        <v>28</v>
      </c>
      <c r="D3" s="12"/>
      <c r="E3" s="13" t="s">
        <v>43</v>
      </c>
      <c r="F3" s="6" t="s">
        <v>44</v>
      </c>
      <c r="G3" s="6" t="str">
        <f ca="1">IFERROR(__xludf.DUMMYFUNCTION("CONCATENATE(B3,(VLOOKUP(C3,CATALOGOS!$F$2:$H$6,3,FALSE)),(VLOOKUP(T3,CATALOGOS!$J$2:$K$18,2,FALSE)),""-"",TO_TEXT(A3))"),"P05DA-0002")</f>
        <v>P05DA-0002</v>
      </c>
      <c r="H3" s="6" t="s">
        <v>45</v>
      </c>
      <c r="I3" s="6" t="s">
        <v>46</v>
      </c>
      <c r="J3" s="6" t="s">
        <v>47</v>
      </c>
      <c r="K3" s="6" t="s">
        <v>48</v>
      </c>
      <c r="L3" s="17"/>
      <c r="M3" s="17"/>
      <c r="N3" s="17" t="str">
        <f t="shared" si="0"/>
        <v>OK</v>
      </c>
      <c r="O3" s="17" t="s">
        <v>49</v>
      </c>
      <c r="P3" s="6">
        <v>3358</v>
      </c>
      <c r="Q3" s="6" t="s">
        <v>36</v>
      </c>
      <c r="R3" s="214" t="s">
        <v>50</v>
      </c>
      <c r="S3" s="173" t="s">
        <v>38</v>
      </c>
      <c r="T3" s="11" t="s">
        <v>28</v>
      </c>
      <c r="U3" s="22" t="s">
        <v>40</v>
      </c>
      <c r="V3" s="22" t="s">
        <v>40</v>
      </c>
      <c r="W3" s="22"/>
      <c r="Z3" s="23"/>
      <c r="AA3" s="26"/>
      <c r="AC3" s="27" t="s">
        <v>51</v>
      </c>
    </row>
    <row r="4" spans="1:29" ht="15.75" customHeight="1">
      <c r="A4" s="9" t="s">
        <v>52</v>
      </c>
      <c r="B4" s="10" t="s">
        <v>27</v>
      </c>
      <c r="C4" s="11" t="s">
        <v>28</v>
      </c>
      <c r="D4" s="12"/>
      <c r="E4" s="13" t="s">
        <v>53</v>
      </c>
      <c r="F4" s="6" t="s">
        <v>9267</v>
      </c>
      <c r="G4" s="6" t="str">
        <f ca="1">IFERROR(__xludf.DUMMYFUNCTION("CONCATENATE(B4,(VLOOKUP(C4,CATALOGOS!$F$2:$H$6,3,FALSE)),(VLOOKUP(T4,CATALOGOS!$J$2:$K$18,2,FALSE)),""-"",TO_TEXT(A4))"),"P05DA-0003")</f>
        <v>P05DA-0003</v>
      </c>
      <c r="H4" s="6" t="s">
        <v>55</v>
      </c>
      <c r="I4" s="6" t="s">
        <v>56</v>
      </c>
      <c r="J4" s="6" t="s">
        <v>57</v>
      </c>
      <c r="K4" s="6" t="s">
        <v>58</v>
      </c>
      <c r="L4" s="17"/>
      <c r="M4" s="17"/>
      <c r="N4" s="17" t="str">
        <f t="shared" si="0"/>
        <v>OK</v>
      </c>
      <c r="O4" s="17" t="s">
        <v>35</v>
      </c>
      <c r="P4" s="6" t="s">
        <v>35</v>
      </c>
      <c r="Q4" s="6" t="s">
        <v>36</v>
      </c>
      <c r="R4" s="214" t="s">
        <v>59</v>
      </c>
      <c r="S4" s="173" t="s">
        <v>38</v>
      </c>
      <c r="T4" s="174" t="s">
        <v>28</v>
      </c>
      <c r="U4" s="22" t="s">
        <v>40</v>
      </c>
      <c r="V4" s="22" t="s">
        <v>40</v>
      </c>
      <c r="W4" s="22"/>
      <c r="X4" s="6"/>
      <c r="Y4" s="6"/>
      <c r="Z4" s="23"/>
      <c r="AA4" s="24"/>
      <c r="AC4" s="29" t="s">
        <v>60</v>
      </c>
    </row>
    <row r="5" spans="1:29" ht="15.75" customHeight="1">
      <c r="A5" s="10" t="s">
        <v>61</v>
      </c>
      <c r="B5" s="10" t="s">
        <v>27</v>
      </c>
      <c r="C5" s="11" t="s">
        <v>28</v>
      </c>
      <c r="D5" s="12"/>
      <c r="E5" s="13" t="s">
        <v>62</v>
      </c>
      <c r="F5" s="6" t="s">
        <v>63</v>
      </c>
      <c r="G5" s="6" t="str">
        <f ca="1">IFERROR(__xludf.DUMMYFUNCTION("CONCATENATE(B5,(VLOOKUP(C5,CATALOGOS!$F$2:$H$6,3,FALSE)),(VLOOKUP(T5,CATALOGOS!$J$2:$K$18,2,FALSE)),""-"",TO_TEXT(A5))"),"P05DA-0004")</f>
        <v>P05DA-0004</v>
      </c>
      <c r="H5" s="6" t="s">
        <v>64</v>
      </c>
      <c r="I5" s="6" t="s">
        <v>65</v>
      </c>
      <c r="J5" s="6" t="s">
        <v>66</v>
      </c>
      <c r="K5" s="6" t="s">
        <v>67</v>
      </c>
      <c r="L5" s="17"/>
      <c r="M5" s="17"/>
      <c r="N5" s="17" t="str">
        <f t="shared" si="0"/>
        <v>OK</v>
      </c>
      <c r="O5" s="17" t="s">
        <v>35</v>
      </c>
      <c r="P5" s="6" t="s">
        <v>35</v>
      </c>
      <c r="Q5" s="6" t="s">
        <v>36</v>
      </c>
      <c r="R5" s="213" t="s">
        <v>68</v>
      </c>
      <c r="S5" s="173" t="s">
        <v>38</v>
      </c>
      <c r="T5" s="11" t="s">
        <v>28</v>
      </c>
      <c r="U5" s="22" t="s">
        <v>40</v>
      </c>
      <c r="V5" s="22" t="s">
        <v>40</v>
      </c>
      <c r="W5" s="22"/>
      <c r="X5" s="7"/>
      <c r="Y5" s="7"/>
      <c r="Z5" s="23"/>
      <c r="AA5" s="26"/>
      <c r="AC5" s="30" t="s">
        <v>69</v>
      </c>
    </row>
    <row r="6" spans="1:29" ht="15.75" customHeight="1">
      <c r="A6" s="10" t="s">
        <v>70</v>
      </c>
      <c r="B6" s="10" t="s">
        <v>27</v>
      </c>
      <c r="C6" s="11" t="s">
        <v>28</v>
      </c>
      <c r="D6" s="12"/>
      <c r="E6" s="13" t="s">
        <v>71</v>
      </c>
      <c r="F6" s="6" t="s">
        <v>72</v>
      </c>
      <c r="G6" s="6" t="str">
        <f ca="1">IFERROR(__xludf.DUMMYFUNCTION("CONCATENATE(B6,(VLOOKUP(C6,CATALOGOS!$F$2:$H$6,3,FALSE)),(VLOOKUP(T6,CATALOGOS!$J$2:$K$18,2,FALSE)),""-"",TO_TEXT(A6))"),"P05DA-0005")</f>
        <v>P05DA-0005</v>
      </c>
      <c r="H6" s="6" t="s">
        <v>73</v>
      </c>
      <c r="I6" s="6" t="s">
        <v>74</v>
      </c>
      <c r="J6" s="6" t="s">
        <v>75</v>
      </c>
      <c r="K6" s="6" t="s">
        <v>76</v>
      </c>
      <c r="L6" s="17"/>
      <c r="M6" s="17"/>
      <c r="N6" s="17" t="str">
        <f t="shared" si="0"/>
        <v>OK</v>
      </c>
      <c r="O6" s="17" t="s">
        <v>35</v>
      </c>
      <c r="P6" s="6" t="s">
        <v>35</v>
      </c>
      <c r="Q6" s="6" t="s">
        <v>36</v>
      </c>
      <c r="R6" s="214" t="s">
        <v>77</v>
      </c>
      <c r="S6" s="173" t="s">
        <v>38</v>
      </c>
      <c r="T6" s="11" t="s">
        <v>28</v>
      </c>
      <c r="U6" s="22" t="s">
        <v>40</v>
      </c>
      <c r="V6" s="22" t="s">
        <v>40</v>
      </c>
      <c r="W6" s="22"/>
      <c r="X6" s="7"/>
      <c r="Y6" s="7"/>
      <c r="Z6" s="23"/>
      <c r="AA6" s="26"/>
      <c r="AC6" s="31" t="s">
        <v>78</v>
      </c>
    </row>
    <row r="7" spans="1:29" ht="15.75" customHeight="1">
      <c r="A7" s="10" t="s">
        <v>79</v>
      </c>
      <c r="B7" s="10" t="s">
        <v>27</v>
      </c>
      <c r="C7" s="11" t="s">
        <v>28</v>
      </c>
      <c r="D7" s="12"/>
      <c r="E7" s="13" t="s">
        <v>80</v>
      </c>
      <c r="F7" s="6" t="s">
        <v>81</v>
      </c>
      <c r="G7" s="6" t="str">
        <f ca="1">IFERROR(__xludf.DUMMYFUNCTION("CONCATENATE(B7,(VLOOKUP(C7,CATALOGOS!$F$2:$H$6,3,FALSE)),(VLOOKUP(T7,CATALOGOS!$J$2:$K$18,2,FALSE)),""-"",TO_TEXT(A7))"),"P05DA-0006")</f>
        <v>P05DA-0006</v>
      </c>
      <c r="H7" s="6" t="s">
        <v>82</v>
      </c>
      <c r="I7" s="6" t="s">
        <v>83</v>
      </c>
      <c r="J7" s="6">
        <v>0</v>
      </c>
      <c r="K7" s="32" t="s">
        <v>84</v>
      </c>
      <c r="L7" s="17"/>
      <c r="M7" s="17"/>
      <c r="N7" s="17" t="str">
        <f t="shared" si="0"/>
        <v>OK</v>
      </c>
      <c r="O7" s="17" t="s">
        <v>35</v>
      </c>
      <c r="P7" s="6" t="s">
        <v>35</v>
      </c>
      <c r="Q7" s="6" t="s">
        <v>36</v>
      </c>
      <c r="R7" s="215" t="s">
        <v>85</v>
      </c>
      <c r="S7" s="173" t="s">
        <v>38</v>
      </c>
      <c r="T7" s="11" t="s">
        <v>28</v>
      </c>
      <c r="U7" s="22" t="s">
        <v>40</v>
      </c>
      <c r="V7" s="22" t="s">
        <v>40</v>
      </c>
      <c r="W7" s="22"/>
      <c r="X7" s="6"/>
      <c r="Y7" s="6"/>
      <c r="Z7" s="23"/>
      <c r="AA7" s="33"/>
      <c r="AC7" s="34" t="s">
        <v>86</v>
      </c>
    </row>
    <row r="8" spans="1:29" ht="15.75" customHeight="1">
      <c r="A8" s="10" t="s">
        <v>87</v>
      </c>
      <c r="B8" s="10" t="s">
        <v>27</v>
      </c>
      <c r="C8" s="11" t="s">
        <v>28</v>
      </c>
      <c r="D8" s="12"/>
      <c r="E8" s="13" t="s">
        <v>80</v>
      </c>
      <c r="F8" s="6" t="s">
        <v>8429</v>
      </c>
      <c r="G8" s="6" t="str">
        <f ca="1">IFERROR(__xludf.DUMMYFUNCTION("CONCATENATE(B8,(VLOOKUP(C8,CATALOGOS!$F$2:$H$6,3,FALSE)),(VLOOKUP(T8,CATALOGOS!$J$2:$K$18,2,FALSE)),""-"",TO_TEXT(A8))"),"P05DA-0007")</f>
        <v>P05DA-0007</v>
      </c>
      <c r="H8" s="6" t="s">
        <v>7389</v>
      </c>
      <c r="I8" s="6" t="s">
        <v>88</v>
      </c>
      <c r="J8" s="6" t="s">
        <v>89</v>
      </c>
      <c r="K8" s="6" t="s">
        <v>8430</v>
      </c>
      <c r="L8" s="17"/>
      <c r="M8" s="17"/>
      <c r="N8" s="17" t="str">
        <f t="shared" si="0"/>
        <v>OK</v>
      </c>
      <c r="O8" s="17" t="s">
        <v>35</v>
      </c>
      <c r="P8" s="6" t="s">
        <v>35</v>
      </c>
      <c r="Q8" s="6" t="s">
        <v>36</v>
      </c>
      <c r="R8" s="214" t="s">
        <v>91</v>
      </c>
      <c r="S8" s="173" t="s">
        <v>38</v>
      </c>
      <c r="T8" s="11" t="s">
        <v>28</v>
      </c>
      <c r="U8" s="22" t="s">
        <v>40</v>
      </c>
      <c r="V8" s="22" t="s">
        <v>40</v>
      </c>
      <c r="W8" s="22"/>
      <c r="X8" s="7"/>
      <c r="Y8" s="7"/>
      <c r="Z8" s="23"/>
      <c r="AA8" s="26"/>
      <c r="AC8" s="175" t="s">
        <v>8431</v>
      </c>
    </row>
    <row r="9" spans="1:29" ht="15.75" customHeight="1">
      <c r="A9" s="10" t="s">
        <v>92</v>
      </c>
      <c r="B9" s="10" t="s">
        <v>27</v>
      </c>
      <c r="C9" s="11" t="s">
        <v>28</v>
      </c>
      <c r="D9" s="12"/>
      <c r="E9" s="13" t="s">
        <v>93</v>
      </c>
      <c r="F9" s="6" t="s">
        <v>94</v>
      </c>
      <c r="G9" s="6" t="str">
        <f ca="1">IFERROR(__xludf.DUMMYFUNCTION("CONCATENATE(B9,(VLOOKUP(C9,CATALOGOS!$F$2:$H$6,3,FALSE)),(VLOOKUP(T9,CATALOGOS!$J$2:$K$18,2,FALSE)),""-"",TO_TEXT(A9))"),"P05DA-0008")</f>
        <v>P05DA-0008</v>
      </c>
      <c r="H9" s="6" t="s">
        <v>95</v>
      </c>
      <c r="I9" s="6" t="s">
        <v>96</v>
      </c>
      <c r="J9" s="6" t="s">
        <v>97</v>
      </c>
      <c r="K9" s="6" t="s">
        <v>98</v>
      </c>
      <c r="L9" s="17"/>
      <c r="M9" s="17"/>
      <c r="N9" s="17" t="str">
        <f t="shared" si="0"/>
        <v>OK</v>
      </c>
      <c r="O9" s="17" t="s">
        <v>35</v>
      </c>
      <c r="P9" s="6" t="s">
        <v>35</v>
      </c>
      <c r="Q9" s="6" t="s">
        <v>36</v>
      </c>
      <c r="R9" s="213" t="s">
        <v>99</v>
      </c>
      <c r="S9" s="173" t="s">
        <v>38</v>
      </c>
      <c r="T9" s="11" t="s">
        <v>28</v>
      </c>
      <c r="U9" s="22" t="s">
        <v>40</v>
      </c>
      <c r="V9" s="22" t="s">
        <v>40</v>
      </c>
      <c r="W9" s="22"/>
      <c r="X9" s="6" t="s">
        <v>101</v>
      </c>
      <c r="Y9" s="6"/>
      <c r="Z9" s="23"/>
      <c r="AA9" s="24"/>
    </row>
    <row r="10" spans="1:29" ht="15.75" customHeight="1">
      <c r="A10" s="10" t="s">
        <v>102</v>
      </c>
      <c r="B10" s="10" t="s">
        <v>27</v>
      </c>
      <c r="C10" s="11" t="s">
        <v>28</v>
      </c>
      <c r="D10" s="12"/>
      <c r="E10" s="13" t="s">
        <v>62</v>
      </c>
      <c r="F10" s="6" t="s">
        <v>103</v>
      </c>
      <c r="G10" s="6" t="str">
        <f ca="1">IFERROR(__xludf.DUMMYFUNCTION("CONCATENATE(B10,(VLOOKUP(C10,CATALOGOS!$F$2:$H$6,3,FALSE)),(VLOOKUP(T10,CATALOGOS!$J$2:$K$18,2,FALSE)),""-"",TO_TEXT(A10))"),"P05DA-0009")</f>
        <v>P05DA-0009</v>
      </c>
      <c r="H10" s="6" t="s">
        <v>104</v>
      </c>
      <c r="I10" s="6" t="s">
        <v>105</v>
      </c>
      <c r="J10" s="6" t="s">
        <v>106</v>
      </c>
      <c r="K10" s="6" t="s">
        <v>107</v>
      </c>
      <c r="L10" s="17"/>
      <c r="M10" s="17"/>
      <c r="N10" s="17" t="str">
        <f t="shared" si="0"/>
        <v>OK</v>
      </c>
      <c r="O10" s="17" t="s">
        <v>35</v>
      </c>
      <c r="P10" s="6" t="s">
        <v>35</v>
      </c>
      <c r="Q10" s="6" t="s">
        <v>36</v>
      </c>
      <c r="R10" s="214" t="s">
        <v>108</v>
      </c>
      <c r="S10" s="173" t="s">
        <v>38</v>
      </c>
      <c r="T10" s="11" t="s">
        <v>28</v>
      </c>
      <c r="U10" s="22" t="s">
        <v>40</v>
      </c>
      <c r="V10" s="22" t="s">
        <v>40</v>
      </c>
      <c r="W10" s="22"/>
      <c r="X10" s="6"/>
      <c r="Y10" s="6"/>
      <c r="Z10" s="23"/>
      <c r="AA10" s="24"/>
    </row>
    <row r="11" spans="1:29" ht="15.75" customHeight="1">
      <c r="A11" s="10" t="s">
        <v>109</v>
      </c>
      <c r="B11" s="10" t="s">
        <v>27</v>
      </c>
      <c r="C11" s="11" t="s">
        <v>28</v>
      </c>
      <c r="D11" s="12"/>
      <c r="E11" s="13" t="s">
        <v>29</v>
      </c>
      <c r="F11" s="6" t="s">
        <v>110</v>
      </c>
      <c r="G11" s="6" t="str">
        <f ca="1">IFERROR(__xludf.DUMMYFUNCTION("CONCATENATE(B11,(VLOOKUP(C11,CATALOGOS!$F$2:$H$6,3,FALSE)),(VLOOKUP(T11,CATALOGOS!$J$2:$K$18,2,FALSE)),""-"",TO_TEXT(A11))"),"P05DA-0010")</f>
        <v>P05DA-0010</v>
      </c>
      <c r="H11" s="6" t="s">
        <v>111</v>
      </c>
      <c r="I11" s="36"/>
      <c r="J11" s="6" t="s">
        <v>112</v>
      </c>
      <c r="K11" s="6" t="s">
        <v>113</v>
      </c>
      <c r="L11" s="17"/>
      <c r="M11" s="35"/>
      <c r="N11" s="17" t="str">
        <f t="shared" si="0"/>
        <v>OK</v>
      </c>
      <c r="O11" s="17" t="s">
        <v>35</v>
      </c>
      <c r="P11" s="6" t="s">
        <v>35</v>
      </c>
      <c r="Q11" s="6" t="s">
        <v>36</v>
      </c>
      <c r="R11" s="214" t="s">
        <v>114</v>
      </c>
      <c r="S11" s="173" t="s">
        <v>38</v>
      </c>
      <c r="T11" s="11" t="s">
        <v>28</v>
      </c>
      <c r="U11" s="22" t="s">
        <v>40</v>
      </c>
      <c r="V11" s="22" t="s">
        <v>40</v>
      </c>
      <c r="W11" s="22"/>
      <c r="X11" s="6"/>
      <c r="Y11" s="6"/>
      <c r="Z11" s="23"/>
      <c r="AA11" s="33"/>
    </row>
    <row r="12" spans="1:29" ht="15.75" customHeight="1">
      <c r="A12" s="10" t="s">
        <v>115</v>
      </c>
      <c r="B12" s="10" t="s">
        <v>27</v>
      </c>
      <c r="C12" s="11" t="s">
        <v>28</v>
      </c>
      <c r="D12" s="12"/>
      <c r="E12" s="13" t="s">
        <v>116</v>
      </c>
      <c r="F12" s="6" t="s">
        <v>117</v>
      </c>
      <c r="G12" s="6" t="str">
        <f ca="1">IFERROR(__xludf.DUMMYFUNCTION("CONCATENATE(B12,(VLOOKUP(C12,CATALOGOS!$F$2:$H$6,3,FALSE)),(VLOOKUP(T12,CATALOGOS!$J$2:$K$18,2,FALSE)),""-"",TO_TEXT(A12))"),"P05DA-0011")</f>
        <v>P05DA-0011</v>
      </c>
      <c r="H12" s="6" t="s">
        <v>118</v>
      </c>
      <c r="I12" s="37"/>
      <c r="J12" s="6" t="s">
        <v>119</v>
      </c>
      <c r="K12" s="6" t="s">
        <v>120</v>
      </c>
      <c r="L12" s="17"/>
      <c r="M12" s="17"/>
      <c r="N12" s="17" t="str">
        <f t="shared" si="0"/>
        <v>OK</v>
      </c>
      <c r="O12" s="17" t="s">
        <v>35</v>
      </c>
      <c r="P12" s="6" t="s">
        <v>35</v>
      </c>
      <c r="Q12" s="6" t="s">
        <v>36</v>
      </c>
      <c r="R12" s="214" t="s">
        <v>121</v>
      </c>
      <c r="S12" s="173" t="s">
        <v>38</v>
      </c>
      <c r="T12" s="11" t="s">
        <v>28</v>
      </c>
      <c r="U12" s="22" t="s">
        <v>40</v>
      </c>
      <c r="V12" s="22" t="s">
        <v>40</v>
      </c>
      <c r="W12" s="22"/>
      <c r="X12" s="6"/>
      <c r="Y12" s="6"/>
      <c r="Z12" s="23"/>
      <c r="AA12" s="33"/>
    </row>
    <row r="13" spans="1:29" ht="15.75" customHeight="1">
      <c r="A13" s="10" t="s">
        <v>122</v>
      </c>
      <c r="B13" s="10" t="s">
        <v>27</v>
      </c>
      <c r="C13" s="11" t="s">
        <v>28</v>
      </c>
      <c r="D13" s="12"/>
      <c r="E13" s="13" t="s">
        <v>116</v>
      </c>
      <c r="F13" s="6" t="s">
        <v>123</v>
      </c>
      <c r="G13" s="6" t="str">
        <f ca="1">IFERROR(__xludf.DUMMYFUNCTION("CONCATENATE(B13,(VLOOKUP(C13,CATALOGOS!$F$2:$H$6,3,FALSE)),(VLOOKUP(T13,CATALOGOS!$J$2:$K$18,2,FALSE)),""-"",TO_TEXT(A13))"),"P05DA-0012")</f>
        <v>P05DA-0012</v>
      </c>
      <c r="H13" s="6" t="s">
        <v>124</v>
      </c>
      <c r="I13" s="36"/>
      <c r="J13" s="6" t="s">
        <v>125</v>
      </c>
      <c r="K13" s="6" t="s">
        <v>126</v>
      </c>
      <c r="L13" s="17"/>
      <c r="M13" s="17"/>
      <c r="N13" s="17" t="str">
        <f t="shared" si="0"/>
        <v>OK</v>
      </c>
      <c r="O13" s="17" t="s">
        <v>35</v>
      </c>
      <c r="P13" s="6" t="s">
        <v>35</v>
      </c>
      <c r="Q13" s="6" t="s">
        <v>36</v>
      </c>
      <c r="R13" s="214" t="s">
        <v>127</v>
      </c>
      <c r="S13" s="173" t="s">
        <v>38</v>
      </c>
      <c r="T13" s="11" t="s">
        <v>28</v>
      </c>
      <c r="U13" s="22" t="s">
        <v>40</v>
      </c>
      <c r="V13" s="22" t="s">
        <v>40</v>
      </c>
      <c r="W13" s="22"/>
      <c r="X13" s="36"/>
      <c r="Y13" s="36"/>
      <c r="Z13" s="23"/>
      <c r="AA13" s="33"/>
    </row>
    <row r="14" spans="1:29" ht="15.75" customHeight="1">
      <c r="A14" s="10" t="s">
        <v>128</v>
      </c>
      <c r="B14" s="10" t="s">
        <v>27</v>
      </c>
      <c r="C14" s="11" t="s">
        <v>28</v>
      </c>
      <c r="D14" s="12"/>
      <c r="E14" s="13" t="s">
        <v>116</v>
      </c>
      <c r="F14" s="6" t="s">
        <v>129</v>
      </c>
      <c r="G14" s="6" t="str">
        <f ca="1">IFERROR(__xludf.DUMMYFUNCTION("CONCATENATE(B14,(VLOOKUP(C14,CATALOGOS!$F$2:$H$6,3,FALSE)),(VLOOKUP(T14,CATALOGOS!$J$2:$K$18,2,FALSE)),""-"",TO_TEXT(A14))"),"P05DA-0013")</f>
        <v>P05DA-0013</v>
      </c>
      <c r="H14" s="6" t="s">
        <v>130</v>
      </c>
      <c r="I14" s="6" t="s">
        <v>131</v>
      </c>
      <c r="J14" s="6" t="s">
        <v>132</v>
      </c>
      <c r="K14" s="6" t="s">
        <v>133</v>
      </c>
      <c r="L14" s="17"/>
      <c r="M14" s="17"/>
      <c r="N14" s="17" t="str">
        <f t="shared" si="0"/>
        <v>OK</v>
      </c>
      <c r="O14" s="17" t="s">
        <v>35</v>
      </c>
      <c r="P14" s="6" t="s">
        <v>35</v>
      </c>
      <c r="Q14" s="6" t="s">
        <v>36</v>
      </c>
      <c r="R14" s="214" t="s">
        <v>134</v>
      </c>
      <c r="S14" s="173" t="s">
        <v>38</v>
      </c>
      <c r="T14" s="11" t="s">
        <v>28</v>
      </c>
      <c r="U14" s="22" t="s">
        <v>40</v>
      </c>
      <c r="V14" s="22" t="s">
        <v>40</v>
      </c>
      <c r="W14" s="22"/>
      <c r="X14" s="6"/>
      <c r="Y14" s="6"/>
      <c r="Z14" s="23"/>
      <c r="AA14" s="33"/>
    </row>
    <row r="15" spans="1:29" ht="15.75" customHeight="1">
      <c r="A15" s="10" t="s">
        <v>135</v>
      </c>
      <c r="B15" s="10" t="s">
        <v>27</v>
      </c>
      <c r="C15" s="11" t="s">
        <v>28</v>
      </c>
      <c r="D15" s="12"/>
      <c r="E15" s="13" t="s">
        <v>136</v>
      </c>
      <c r="F15" s="6" t="s">
        <v>137</v>
      </c>
      <c r="G15" s="6" t="str">
        <f ca="1">IFERROR(__xludf.DUMMYFUNCTION("CONCATENATE(B15,(VLOOKUP(C15,CATALOGOS!$F$2:$H$6,3,FALSE)),(VLOOKUP(T15,CATALOGOS!$J$2:$K$18,2,FALSE)),""-"",TO_TEXT(A15))"),"P05DA-0014")</f>
        <v>P05DA-0014</v>
      </c>
      <c r="H15" s="6" t="s">
        <v>138</v>
      </c>
      <c r="I15" s="6" t="s">
        <v>139</v>
      </c>
      <c r="J15" s="6" t="s">
        <v>140</v>
      </c>
      <c r="K15" s="6" t="s">
        <v>141</v>
      </c>
      <c r="L15" s="17"/>
      <c r="M15" s="17"/>
      <c r="N15" s="17" t="str">
        <f t="shared" si="0"/>
        <v>REPETIDO</v>
      </c>
      <c r="O15" s="17" t="s">
        <v>143</v>
      </c>
      <c r="P15" s="6" t="s">
        <v>144</v>
      </c>
      <c r="Q15" s="6" t="s">
        <v>145</v>
      </c>
      <c r="R15" s="213" t="s">
        <v>146</v>
      </c>
      <c r="S15" s="173" t="s">
        <v>38</v>
      </c>
      <c r="T15" s="11" t="s">
        <v>28</v>
      </c>
      <c r="U15" s="22" t="s">
        <v>40</v>
      </c>
      <c r="V15" s="22" t="s">
        <v>40</v>
      </c>
      <c r="W15" s="22"/>
      <c r="X15" s="6"/>
      <c r="Y15" s="6" t="s">
        <v>149</v>
      </c>
      <c r="Z15" s="23"/>
      <c r="AA15" s="24"/>
    </row>
    <row r="16" spans="1:29" ht="15.75" customHeight="1">
      <c r="A16" s="10" t="s">
        <v>150</v>
      </c>
      <c r="B16" s="10" t="s">
        <v>27</v>
      </c>
      <c r="C16" s="11" t="s">
        <v>28</v>
      </c>
      <c r="D16" s="12"/>
      <c r="E16" s="13" t="s">
        <v>151</v>
      </c>
      <c r="F16" s="6" t="s">
        <v>152</v>
      </c>
      <c r="G16" s="6" t="str">
        <f ca="1">IFERROR(__xludf.DUMMYFUNCTION("CONCATENATE(B16,(VLOOKUP(C16,CATALOGOS!$F$2:$H$6,3,FALSE)),(VLOOKUP(T16,CATALOGOS!$J$2:$K$18,2,FALSE)),""-"",TO_TEXT(A16))"),"P05DA-0015")</f>
        <v>P05DA-0015</v>
      </c>
      <c r="H16" s="6" t="s">
        <v>153</v>
      </c>
      <c r="I16" s="6" t="s">
        <v>154</v>
      </c>
      <c r="J16" s="6" t="s">
        <v>155</v>
      </c>
      <c r="K16" s="6" t="s">
        <v>156</v>
      </c>
      <c r="L16" s="17"/>
      <c r="M16" s="17"/>
      <c r="N16" s="17" t="str">
        <f t="shared" si="0"/>
        <v>OK</v>
      </c>
      <c r="O16" s="17" t="s">
        <v>157</v>
      </c>
      <c r="P16" s="6" t="s">
        <v>158</v>
      </c>
      <c r="Q16" s="6" t="s">
        <v>159</v>
      </c>
      <c r="R16" s="213" t="s">
        <v>160</v>
      </c>
      <c r="S16" s="173" t="s">
        <v>38</v>
      </c>
      <c r="T16" s="11" t="s">
        <v>28</v>
      </c>
      <c r="U16" s="22" t="s">
        <v>40</v>
      </c>
      <c r="V16" s="22" t="s">
        <v>40</v>
      </c>
      <c r="W16" s="22"/>
      <c r="X16" s="6"/>
      <c r="Y16" s="6"/>
      <c r="Z16" s="23"/>
      <c r="AA16" s="24"/>
    </row>
    <row r="17" spans="1:28" ht="15.75" customHeight="1">
      <c r="A17" s="10" t="s">
        <v>161</v>
      </c>
      <c r="B17" s="10" t="s">
        <v>27</v>
      </c>
      <c r="C17" s="11" t="s">
        <v>28</v>
      </c>
      <c r="D17" s="12"/>
      <c r="E17" s="13" t="s">
        <v>162</v>
      </c>
      <c r="F17" s="6" t="s">
        <v>163</v>
      </c>
      <c r="G17" s="6" t="str">
        <f ca="1">IFERROR(__xludf.DUMMYFUNCTION("CONCATENATE(B17,(VLOOKUP(C17,CATALOGOS!$F$2:$H$6,3,FALSE)),(VLOOKUP(T17,CATALOGOS!$J$2:$K$18,2,FALSE)),""-"",TO_TEXT(A17))"),"P05DA-0016")</f>
        <v>P05DA-0016</v>
      </c>
      <c r="H17" s="6" t="s">
        <v>164</v>
      </c>
      <c r="I17" s="6" t="s">
        <v>165</v>
      </c>
      <c r="J17" s="6" t="s">
        <v>166</v>
      </c>
      <c r="K17" s="32" t="s">
        <v>167</v>
      </c>
      <c r="L17" s="17"/>
      <c r="M17" s="17"/>
      <c r="N17" s="17" t="str">
        <f t="shared" si="0"/>
        <v>OK</v>
      </c>
      <c r="O17" s="17" t="s">
        <v>168</v>
      </c>
      <c r="P17" s="6" t="s">
        <v>169</v>
      </c>
      <c r="Q17" s="6" t="s">
        <v>170</v>
      </c>
      <c r="R17" s="214" t="s">
        <v>171</v>
      </c>
      <c r="S17" s="173" t="s">
        <v>38</v>
      </c>
      <c r="T17" s="11" t="s">
        <v>28</v>
      </c>
      <c r="U17" s="22" t="s">
        <v>40</v>
      </c>
      <c r="V17" s="22" t="s">
        <v>40</v>
      </c>
      <c r="W17" s="22"/>
      <c r="X17" s="7"/>
      <c r="Y17" s="7"/>
      <c r="Z17" s="23"/>
      <c r="AA17" s="26"/>
    </row>
    <row r="18" spans="1:28" ht="15.75" customHeight="1">
      <c r="A18" s="10" t="s">
        <v>172</v>
      </c>
      <c r="B18" s="10" t="s">
        <v>27</v>
      </c>
      <c r="C18" s="11" t="s">
        <v>28</v>
      </c>
      <c r="D18" s="12"/>
      <c r="E18" s="13" t="s">
        <v>173</v>
      </c>
      <c r="F18" s="6" t="s">
        <v>174</v>
      </c>
      <c r="G18" s="6" t="str">
        <f ca="1">IFERROR(__xludf.DUMMYFUNCTION("CONCATENATE(B18,(VLOOKUP(C18,CATALOGOS!$F$2:$H$6,3,FALSE)),(VLOOKUP(T18,CATALOGOS!$J$2:$K$18,2,FALSE)),""-"",TO_TEXT(A18))"),"P05DA-0017")</f>
        <v>P05DA-0017</v>
      </c>
      <c r="H18" s="6" t="s">
        <v>175</v>
      </c>
      <c r="I18" s="6" t="s">
        <v>176</v>
      </c>
      <c r="J18" s="6" t="s">
        <v>177</v>
      </c>
      <c r="K18" s="6" t="s">
        <v>178</v>
      </c>
      <c r="L18" s="17"/>
      <c r="M18" s="17"/>
      <c r="N18" s="17" t="str">
        <f t="shared" si="0"/>
        <v>OK</v>
      </c>
      <c r="O18" s="17" t="s">
        <v>179</v>
      </c>
      <c r="P18" s="6" t="s">
        <v>180</v>
      </c>
      <c r="Q18" s="6" t="s">
        <v>181</v>
      </c>
      <c r="R18" s="214" t="s">
        <v>182</v>
      </c>
      <c r="S18" s="173" t="s">
        <v>38</v>
      </c>
      <c r="T18" s="11" t="s">
        <v>28</v>
      </c>
      <c r="U18" s="22" t="s">
        <v>40</v>
      </c>
      <c r="V18" s="22" t="s">
        <v>40</v>
      </c>
      <c r="W18" s="22"/>
      <c r="X18" s="7"/>
      <c r="Y18" s="7"/>
      <c r="Z18" s="23"/>
      <c r="AA18" s="26"/>
    </row>
    <row r="19" spans="1:28" ht="15.75" customHeight="1">
      <c r="A19" s="10" t="s">
        <v>183</v>
      </c>
      <c r="B19" s="10" t="s">
        <v>27</v>
      </c>
      <c r="C19" s="11" t="s">
        <v>28</v>
      </c>
      <c r="D19" s="12"/>
      <c r="E19" s="13" t="s">
        <v>184</v>
      </c>
      <c r="F19" s="6" t="s">
        <v>185</v>
      </c>
      <c r="G19" s="6" t="str">
        <f ca="1">IFERROR(__xludf.DUMMYFUNCTION("CONCATENATE(B19,(VLOOKUP(C19,CATALOGOS!$F$2:$H$6,3,FALSE)),(VLOOKUP(T19,CATALOGOS!$J$2:$K$18,2,FALSE)),""-"",TO_TEXT(A19))"),"P05DA-0018")</f>
        <v>P05DA-0018</v>
      </c>
      <c r="H19" s="6" t="s">
        <v>186</v>
      </c>
      <c r="I19" s="6" t="s">
        <v>187</v>
      </c>
      <c r="J19" s="6" t="s">
        <v>188</v>
      </c>
      <c r="K19" s="6" t="s">
        <v>189</v>
      </c>
      <c r="L19" s="17"/>
      <c r="M19" s="17"/>
      <c r="N19" s="17" t="str">
        <f t="shared" si="0"/>
        <v>OK</v>
      </c>
      <c r="O19" s="35" t="s">
        <v>35</v>
      </c>
      <c r="P19" s="6" t="s">
        <v>35</v>
      </c>
      <c r="Q19" s="10" t="s">
        <v>36</v>
      </c>
      <c r="R19" s="214" t="s">
        <v>190</v>
      </c>
      <c r="S19" s="173" t="s">
        <v>38</v>
      </c>
      <c r="T19" s="11" t="s">
        <v>28</v>
      </c>
      <c r="U19" s="22" t="s">
        <v>40</v>
      </c>
      <c r="V19" s="22" t="s">
        <v>40</v>
      </c>
      <c r="W19" s="22"/>
      <c r="X19" s="6"/>
      <c r="Y19" s="6"/>
      <c r="Z19" s="23"/>
      <c r="AA19" s="24"/>
    </row>
    <row r="20" spans="1:28" ht="15.75" customHeight="1">
      <c r="A20" s="10" t="s">
        <v>191</v>
      </c>
      <c r="B20" s="10" t="s">
        <v>27</v>
      </c>
      <c r="C20" s="11" t="s">
        <v>28</v>
      </c>
      <c r="D20" s="12"/>
      <c r="E20" s="13" t="s">
        <v>53</v>
      </c>
      <c r="F20" s="6" t="s">
        <v>192</v>
      </c>
      <c r="G20" s="6" t="str">
        <f ca="1">IFERROR(__xludf.DUMMYFUNCTION("CONCATENATE(B20,(VLOOKUP(C20,CATALOGOS!$F$2:$H$6,3,FALSE)),(VLOOKUP(T20,CATALOGOS!$J$2:$K$18,2,FALSE)),""-"",TO_TEXT(A20))"),"P05DA-0019")</f>
        <v>P05DA-0019</v>
      </c>
      <c r="H20" s="6" t="s">
        <v>193</v>
      </c>
      <c r="I20" s="6" t="s">
        <v>194</v>
      </c>
      <c r="J20" s="6" t="s">
        <v>195</v>
      </c>
      <c r="K20" s="6" t="s">
        <v>196</v>
      </c>
      <c r="L20" s="17"/>
      <c r="M20" s="17"/>
      <c r="N20" s="17" t="str">
        <f t="shared" si="0"/>
        <v>OK</v>
      </c>
      <c r="O20" s="35" t="s">
        <v>35</v>
      </c>
      <c r="P20" s="6" t="s">
        <v>35</v>
      </c>
      <c r="Q20" s="10" t="s">
        <v>36</v>
      </c>
      <c r="R20" s="214" t="s">
        <v>197</v>
      </c>
      <c r="S20" s="173" t="s">
        <v>38</v>
      </c>
      <c r="T20" s="11" t="s">
        <v>28</v>
      </c>
      <c r="U20" s="22" t="s">
        <v>40</v>
      </c>
      <c r="V20" s="22" t="s">
        <v>40</v>
      </c>
      <c r="W20" s="22"/>
      <c r="X20" s="7"/>
      <c r="Y20" s="7"/>
      <c r="Z20" s="23"/>
      <c r="AA20" s="26"/>
    </row>
    <row r="21" spans="1:28" ht="15.75" customHeight="1">
      <c r="A21" s="10" t="s">
        <v>198</v>
      </c>
      <c r="B21" s="10" t="s">
        <v>27</v>
      </c>
      <c r="C21" s="11" t="s">
        <v>28</v>
      </c>
      <c r="D21" s="12"/>
      <c r="E21" s="13" t="s">
        <v>199</v>
      </c>
      <c r="F21" s="6" t="s">
        <v>200</v>
      </c>
      <c r="G21" s="6" t="str">
        <f ca="1">IFERROR(__xludf.DUMMYFUNCTION("CONCATENATE(B21,(VLOOKUP(C21,CATALOGOS!$F$2:$H$6,3,FALSE)),(VLOOKUP(T21,CATALOGOS!$J$2:$K$18,2,FALSE)),""-"",TO_TEXT(A21))"),"P05DA-0020")</f>
        <v>P05DA-0020</v>
      </c>
      <c r="H21" s="6" t="s">
        <v>201</v>
      </c>
      <c r="I21" s="6" t="s">
        <v>202</v>
      </c>
      <c r="J21" s="6" t="s">
        <v>203</v>
      </c>
      <c r="K21" s="6" t="s">
        <v>204</v>
      </c>
      <c r="L21" s="17"/>
      <c r="M21" s="17"/>
      <c r="N21" s="17" t="str">
        <f t="shared" si="0"/>
        <v>OK</v>
      </c>
      <c r="O21" s="17" t="s">
        <v>205</v>
      </c>
      <c r="P21" s="6" t="s">
        <v>206</v>
      </c>
      <c r="Q21" s="6" t="s">
        <v>207</v>
      </c>
      <c r="R21" s="213" t="s">
        <v>208</v>
      </c>
      <c r="S21" s="173" t="s">
        <v>38</v>
      </c>
      <c r="T21" s="11" t="s">
        <v>28</v>
      </c>
      <c r="U21" s="22" t="s">
        <v>40</v>
      </c>
      <c r="V21" s="22" t="s">
        <v>40</v>
      </c>
      <c r="W21" s="22"/>
      <c r="X21" s="7"/>
      <c r="Y21" s="7"/>
      <c r="Z21" s="23"/>
      <c r="AA21" s="26"/>
    </row>
    <row r="22" spans="1:28" ht="15.75" customHeight="1">
      <c r="A22" s="10" t="s">
        <v>209</v>
      </c>
      <c r="B22" s="10" t="s">
        <v>27</v>
      </c>
      <c r="C22" s="11" t="s">
        <v>28</v>
      </c>
      <c r="D22" s="12"/>
      <c r="E22" s="13" t="s">
        <v>210</v>
      </c>
      <c r="F22" s="6" t="s">
        <v>211</v>
      </c>
      <c r="G22" s="6" t="str">
        <f ca="1">IFERROR(__xludf.DUMMYFUNCTION("CONCATENATE(B22,(VLOOKUP(C22,CATALOGOS!$F$2:$H$6,3,FALSE)),(VLOOKUP(T22,CATALOGOS!$J$2:$K$18,2,FALSE)),""-"",TO_TEXT(A22))"),"P05DA-0021")</f>
        <v>P05DA-0021</v>
      </c>
      <c r="H22" s="6" t="s">
        <v>212</v>
      </c>
      <c r="I22" s="6" t="s">
        <v>213</v>
      </c>
      <c r="J22" s="6" t="s">
        <v>214</v>
      </c>
      <c r="K22" s="6" t="s">
        <v>215</v>
      </c>
      <c r="L22" s="17"/>
      <c r="M22" s="17"/>
      <c r="N22" s="17" t="str">
        <f t="shared" si="0"/>
        <v>OK</v>
      </c>
      <c r="O22" s="17" t="s">
        <v>216</v>
      </c>
      <c r="P22" s="6" t="s">
        <v>217</v>
      </c>
      <c r="Q22" s="6" t="s">
        <v>218</v>
      </c>
      <c r="R22" s="214" t="s">
        <v>219</v>
      </c>
      <c r="S22" s="173" t="s">
        <v>38</v>
      </c>
      <c r="T22" s="11" t="s">
        <v>28</v>
      </c>
      <c r="U22" s="22" t="s">
        <v>40</v>
      </c>
      <c r="V22" s="22" t="s">
        <v>40</v>
      </c>
      <c r="W22" s="22"/>
      <c r="X22" s="7"/>
      <c r="Y22" s="7"/>
      <c r="Z22" s="23"/>
      <c r="AA22" s="26"/>
    </row>
    <row r="23" spans="1:28" ht="15.75" customHeight="1">
      <c r="A23" s="10" t="s">
        <v>220</v>
      </c>
      <c r="B23" s="10" t="s">
        <v>27</v>
      </c>
      <c r="C23" s="11" t="s">
        <v>28</v>
      </c>
      <c r="D23" s="12"/>
      <c r="E23" s="13" t="s">
        <v>184</v>
      </c>
      <c r="F23" s="6" t="s">
        <v>221</v>
      </c>
      <c r="G23" s="6" t="str">
        <f ca="1">IFERROR(__xludf.DUMMYFUNCTION("CONCATENATE(B23,(VLOOKUP(C23,CATALOGOS!$F$2:$H$6,3,FALSE)),(VLOOKUP(T23,CATALOGOS!$J$2:$K$18,2,FALSE)),""-"",TO_TEXT(A23))"),"P05DA-0022")</f>
        <v>P05DA-0022</v>
      </c>
      <c r="H23" s="6" t="s">
        <v>222</v>
      </c>
      <c r="I23" s="6" t="s">
        <v>223</v>
      </c>
      <c r="J23" s="6" t="s">
        <v>224</v>
      </c>
      <c r="K23" s="6" t="s">
        <v>225</v>
      </c>
      <c r="L23" s="17"/>
      <c r="M23" s="17"/>
      <c r="N23" s="17" t="str">
        <f t="shared" si="0"/>
        <v>OK</v>
      </c>
      <c r="O23" s="17" t="s">
        <v>35</v>
      </c>
      <c r="P23" s="6" t="s">
        <v>35</v>
      </c>
      <c r="Q23" s="6" t="s">
        <v>36</v>
      </c>
      <c r="R23" s="214" t="s">
        <v>226</v>
      </c>
      <c r="S23" s="173" t="s">
        <v>38</v>
      </c>
      <c r="T23" s="11" t="s">
        <v>28</v>
      </c>
      <c r="U23" s="22" t="s">
        <v>40</v>
      </c>
      <c r="V23" s="22" t="s">
        <v>40</v>
      </c>
      <c r="W23" s="22"/>
      <c r="X23" s="7"/>
      <c r="Y23" s="7"/>
      <c r="Z23" s="23"/>
      <c r="AA23" s="26"/>
    </row>
    <row r="24" spans="1:28" ht="15.75" customHeight="1">
      <c r="A24" s="10" t="s">
        <v>227</v>
      </c>
      <c r="B24" s="10" t="s">
        <v>27</v>
      </c>
      <c r="C24" s="11" t="s">
        <v>28</v>
      </c>
      <c r="D24" s="12"/>
      <c r="E24" s="13" t="s">
        <v>184</v>
      </c>
      <c r="F24" s="6" t="s">
        <v>221</v>
      </c>
      <c r="G24" s="6" t="str">
        <f ca="1">IFERROR(__xludf.DUMMYFUNCTION("CONCATENATE(B24,(VLOOKUP(C24,CATALOGOS!$F$2:$H$6,3,FALSE)),(VLOOKUP(T24,CATALOGOS!$J$2:$K$18,2,FALSE)),""-"",TO_TEXT(A24))"),"P05DA-0023")</f>
        <v>P05DA-0023</v>
      </c>
      <c r="H24" s="6" t="s">
        <v>228</v>
      </c>
      <c r="I24" s="6" t="s">
        <v>229</v>
      </c>
      <c r="J24" s="6" t="s">
        <v>230</v>
      </c>
      <c r="K24" s="6" t="s">
        <v>231</v>
      </c>
      <c r="L24" s="17"/>
      <c r="M24" s="17"/>
      <c r="N24" s="17" t="str">
        <f t="shared" si="0"/>
        <v>OK</v>
      </c>
      <c r="O24" s="17" t="s">
        <v>35</v>
      </c>
      <c r="P24" s="6" t="s">
        <v>35</v>
      </c>
      <c r="Q24" s="17" t="s">
        <v>36</v>
      </c>
      <c r="R24" s="177" t="s">
        <v>232</v>
      </c>
      <c r="S24" s="173" t="s">
        <v>38</v>
      </c>
      <c r="T24" s="11" t="s">
        <v>28</v>
      </c>
      <c r="U24" s="22" t="s">
        <v>40</v>
      </c>
      <c r="V24" s="22" t="s">
        <v>40</v>
      </c>
      <c r="W24" s="22"/>
      <c r="X24" s="7"/>
      <c r="Y24" s="7"/>
      <c r="Z24" s="23"/>
      <c r="AA24" s="26"/>
    </row>
    <row r="25" spans="1:28" ht="15.75" customHeight="1">
      <c r="A25" s="10" t="s">
        <v>233</v>
      </c>
      <c r="B25" s="10" t="s">
        <v>27</v>
      </c>
      <c r="C25" s="11" t="s">
        <v>28</v>
      </c>
      <c r="D25" s="12"/>
      <c r="E25" s="13" t="s">
        <v>234</v>
      </c>
      <c r="F25" s="6" t="s">
        <v>235</v>
      </c>
      <c r="G25" s="6" t="str">
        <f ca="1">IFERROR(__xludf.DUMMYFUNCTION("CONCATENATE(B25,(VLOOKUP(C25,CATALOGOS!$F$2:$H$6,3,FALSE)),(VLOOKUP(T25,CATALOGOS!$J$2:$K$18,2,FALSE)),""-"",TO_TEXT(A25))"),"P05DA-0024")</f>
        <v>P05DA-0024</v>
      </c>
      <c r="H25" s="6" t="s">
        <v>236</v>
      </c>
      <c r="I25" s="6" t="s">
        <v>237</v>
      </c>
      <c r="J25" s="6" t="s">
        <v>238</v>
      </c>
      <c r="K25" s="6" t="s">
        <v>239</v>
      </c>
      <c r="L25" s="17"/>
      <c r="M25" s="17"/>
      <c r="N25" s="17" t="str">
        <f t="shared" si="0"/>
        <v>OK</v>
      </c>
      <c r="O25" s="17" t="s">
        <v>35</v>
      </c>
      <c r="P25" s="6" t="s">
        <v>35</v>
      </c>
      <c r="Q25" s="17" t="s">
        <v>36</v>
      </c>
      <c r="R25" s="177" t="s">
        <v>240</v>
      </c>
      <c r="S25" s="173" t="s">
        <v>38</v>
      </c>
      <c r="T25" s="174" t="s">
        <v>28</v>
      </c>
      <c r="U25" s="22" t="s">
        <v>40</v>
      </c>
      <c r="V25" s="22" t="s">
        <v>40</v>
      </c>
      <c r="W25" s="22"/>
      <c r="X25" s="7"/>
      <c r="Y25" s="7"/>
      <c r="Z25" s="23"/>
      <c r="AA25" s="26"/>
    </row>
    <row r="26" spans="1:28" ht="15.75" customHeight="1">
      <c r="A26" s="10" t="s">
        <v>241</v>
      </c>
      <c r="B26" s="10" t="s">
        <v>27</v>
      </c>
      <c r="C26" s="11" t="s">
        <v>28</v>
      </c>
      <c r="D26" s="38"/>
      <c r="E26" s="13" t="s">
        <v>242</v>
      </c>
      <c r="F26" s="6" t="s">
        <v>242</v>
      </c>
      <c r="G26" s="6" t="str">
        <f ca="1">IFERROR(__xludf.DUMMYFUNCTION("CONCATENATE(B26,(VLOOKUP(C26,CATALOGOS!$F$2:$H$6,3,FALSE)),(VLOOKUP(T26,CATALOGOS!$J$2:$K$18,2,FALSE)),""-"",TO_TEXT(A26))"),"P05DA-0025")</f>
        <v>P05DA-0025</v>
      </c>
      <c r="H26" s="6" t="s">
        <v>243</v>
      </c>
      <c r="I26" s="6" t="s">
        <v>244</v>
      </c>
      <c r="J26" s="36"/>
      <c r="K26" s="6" t="s">
        <v>141</v>
      </c>
      <c r="L26" s="17"/>
      <c r="M26" s="17"/>
      <c r="N26" s="17" t="str">
        <f t="shared" si="0"/>
        <v>REPETIDO</v>
      </c>
      <c r="O26" s="17" t="s">
        <v>245</v>
      </c>
      <c r="P26" s="6" t="s">
        <v>246</v>
      </c>
      <c r="Q26" s="6" t="s">
        <v>36</v>
      </c>
      <c r="R26" s="215" t="s">
        <v>85</v>
      </c>
      <c r="S26" s="173" t="s">
        <v>38</v>
      </c>
      <c r="T26" s="11" t="s">
        <v>28</v>
      </c>
      <c r="U26" s="22" t="s">
        <v>40</v>
      </c>
      <c r="V26" s="22" t="s">
        <v>40</v>
      </c>
      <c r="W26" s="22"/>
      <c r="X26" s="7"/>
      <c r="Y26" s="7"/>
      <c r="Z26" s="26"/>
      <c r="AA26" s="26"/>
    </row>
    <row r="27" spans="1:28" ht="15.75" customHeight="1">
      <c r="A27" s="10" t="s">
        <v>247</v>
      </c>
      <c r="B27" s="10" t="s">
        <v>27</v>
      </c>
      <c r="C27" s="11" t="s">
        <v>28</v>
      </c>
      <c r="D27" s="38"/>
      <c r="E27" s="13" t="s">
        <v>248</v>
      </c>
      <c r="F27" s="6" t="s">
        <v>249</v>
      </c>
      <c r="G27" s="6" t="str">
        <f ca="1">IFERROR(__xludf.DUMMYFUNCTION("CONCATENATE(B27,(VLOOKUP(C27,CATALOGOS!$F$2:$H$6,3,FALSE)),(VLOOKUP(T27,CATALOGOS!$J$2:$K$18,2,FALSE)),""-"",TO_TEXT(A27))"),"P05DA-0026")</f>
        <v>P05DA-0026</v>
      </c>
      <c r="H27" s="6"/>
      <c r="I27" s="6"/>
      <c r="J27" s="36"/>
      <c r="K27" s="6" t="s">
        <v>141</v>
      </c>
      <c r="L27" s="17"/>
      <c r="M27" s="17"/>
      <c r="N27" s="17"/>
      <c r="O27" s="35" t="s">
        <v>250</v>
      </c>
      <c r="P27" s="6" t="s">
        <v>251</v>
      </c>
      <c r="Q27" s="6">
        <v>5827700022</v>
      </c>
      <c r="R27" s="214" t="s">
        <v>252</v>
      </c>
      <c r="S27" s="173" t="s">
        <v>38</v>
      </c>
      <c r="T27" s="11" t="s">
        <v>28</v>
      </c>
      <c r="U27" s="20" t="s">
        <v>40</v>
      </c>
      <c r="V27" s="20" t="s">
        <v>40</v>
      </c>
      <c r="W27" s="20"/>
      <c r="X27" s="7"/>
      <c r="Y27" s="7"/>
      <c r="Z27" s="26"/>
      <c r="AA27" s="26"/>
    </row>
    <row r="28" spans="1:28" ht="15.75" customHeight="1">
      <c r="A28" s="10" t="s">
        <v>253</v>
      </c>
      <c r="B28" s="10" t="s">
        <v>27</v>
      </c>
      <c r="C28" s="11" t="s">
        <v>28</v>
      </c>
      <c r="D28" s="12"/>
      <c r="E28" s="13" t="s">
        <v>184</v>
      </c>
      <c r="F28" s="6" t="s">
        <v>254</v>
      </c>
      <c r="G28" s="6" t="str">
        <f ca="1">IFERROR(__xludf.DUMMYFUNCTION("CONCATENATE(B28,(VLOOKUP(C28,CATALOGOS!$F$2:$H$6,3,FALSE)),(VLOOKUP(T28,CATALOGOS!$J$2:$K$18,2,FALSE)),""-"",TO_TEXT(A28))"),"P05RM-0027")</f>
        <v>P05RM-0027</v>
      </c>
      <c r="H28" s="6" t="s">
        <v>255</v>
      </c>
      <c r="I28" s="6" t="s">
        <v>256</v>
      </c>
      <c r="J28" s="6" t="s">
        <v>257</v>
      </c>
      <c r="K28" s="6" t="s">
        <v>258</v>
      </c>
      <c r="L28" s="17"/>
      <c r="M28" s="17"/>
      <c r="N28" s="17" t="str">
        <f t="shared" ref="N28:N430" si="1">IF(COUNTIF($K$2:$K$997,K28)&gt;1,"REPETIDO","OK")</f>
        <v>OK</v>
      </c>
      <c r="O28" s="17" t="s">
        <v>35</v>
      </c>
      <c r="P28" s="6" t="s">
        <v>35</v>
      </c>
      <c r="Q28" s="17" t="s">
        <v>36</v>
      </c>
      <c r="R28" s="176" t="s">
        <v>259</v>
      </c>
      <c r="S28" s="173" t="s">
        <v>38</v>
      </c>
      <c r="T28" s="11" t="s">
        <v>147</v>
      </c>
      <c r="U28" s="20" t="s">
        <v>260</v>
      </c>
      <c r="V28" s="20" t="s">
        <v>260</v>
      </c>
      <c r="W28" s="20"/>
      <c r="X28" s="7"/>
      <c r="Y28" s="7"/>
      <c r="Z28" s="23"/>
      <c r="AA28" s="26"/>
    </row>
    <row r="29" spans="1:28" ht="15.75" customHeight="1">
      <c r="A29" s="10" t="s">
        <v>262</v>
      </c>
      <c r="B29" s="10" t="s">
        <v>27</v>
      </c>
      <c r="C29" s="11" t="s">
        <v>28</v>
      </c>
      <c r="D29" s="12"/>
      <c r="E29" s="13" t="s">
        <v>116</v>
      </c>
      <c r="F29" s="6" t="s">
        <v>263</v>
      </c>
      <c r="G29" s="6" t="str">
        <f ca="1">IFERROR(__xludf.DUMMYFUNCTION("CONCATENATE(B29,(VLOOKUP(C29,CATALOGOS!$F$2:$H$6,3,FALSE)),(VLOOKUP(T29,CATALOGOS!$J$2:$K$18,2,FALSE)),""-"",TO_TEXT(A29))"),"P05DA-0028")</f>
        <v>P05DA-0028</v>
      </c>
      <c r="H29" s="6" t="s">
        <v>264</v>
      </c>
      <c r="I29" s="6" t="s">
        <v>265</v>
      </c>
      <c r="J29" s="6" t="s">
        <v>266</v>
      </c>
      <c r="K29" s="6" t="s">
        <v>267</v>
      </c>
      <c r="L29" s="17"/>
      <c r="M29" s="17"/>
      <c r="N29" s="17" t="str">
        <f t="shared" si="1"/>
        <v>OK</v>
      </c>
      <c r="O29" s="17" t="s">
        <v>35</v>
      </c>
      <c r="P29" s="6" t="s">
        <v>35</v>
      </c>
      <c r="Q29" s="17" t="s">
        <v>36</v>
      </c>
      <c r="R29" s="177" t="s">
        <v>268</v>
      </c>
      <c r="S29" s="173" t="s">
        <v>38</v>
      </c>
      <c r="T29" s="11" t="s">
        <v>28</v>
      </c>
      <c r="U29" s="22" t="s">
        <v>39</v>
      </c>
      <c r="V29" s="22" t="s">
        <v>39</v>
      </c>
      <c r="W29" s="22"/>
      <c r="X29" s="7"/>
      <c r="Y29" s="7"/>
      <c r="Z29" s="23"/>
      <c r="AA29" s="26"/>
    </row>
    <row r="30" spans="1:28" ht="15.75" customHeight="1">
      <c r="A30" s="10" t="s">
        <v>269</v>
      </c>
      <c r="B30" s="10" t="s">
        <v>27</v>
      </c>
      <c r="C30" s="11" t="s">
        <v>28</v>
      </c>
      <c r="D30" s="12"/>
      <c r="E30" s="13" t="s">
        <v>199</v>
      </c>
      <c r="F30" s="6" t="s">
        <v>199</v>
      </c>
      <c r="G30" s="6" t="str">
        <f ca="1">IFERROR(__xludf.DUMMYFUNCTION("CONCATENATE(B30,(VLOOKUP(C30,CATALOGOS!$F$2:$H$6,3,FALSE)),(VLOOKUP(T30,CATALOGOS!$J$2:$K$18,2,FALSE)),""-"",TO_TEXT(A30))"),"P05DA-0029")</f>
        <v>P05DA-0029</v>
      </c>
      <c r="H30" s="6" t="s">
        <v>270</v>
      </c>
      <c r="I30" s="6" t="s">
        <v>271</v>
      </c>
      <c r="J30" s="36"/>
      <c r="K30" s="6" t="s">
        <v>272</v>
      </c>
      <c r="L30" s="17"/>
      <c r="M30" s="17"/>
      <c r="N30" s="17" t="str">
        <f t="shared" si="1"/>
        <v>OK</v>
      </c>
      <c r="O30" s="17" t="s">
        <v>273</v>
      </c>
      <c r="P30" s="6" t="s">
        <v>274</v>
      </c>
      <c r="Q30" s="6">
        <v>11392903015651</v>
      </c>
      <c r="R30" s="215" t="s">
        <v>85</v>
      </c>
      <c r="S30" s="173" t="s">
        <v>38</v>
      </c>
      <c r="T30" s="11" t="s">
        <v>28</v>
      </c>
      <c r="U30" s="22" t="s">
        <v>39</v>
      </c>
      <c r="V30" s="22" t="s">
        <v>39</v>
      </c>
      <c r="W30" s="22"/>
      <c r="X30" s="6"/>
      <c r="Y30" s="6"/>
      <c r="Z30" s="41" t="s">
        <v>275</v>
      </c>
      <c r="AA30" s="42">
        <v>44403</v>
      </c>
      <c r="AB30" s="8" t="s">
        <v>276</v>
      </c>
    </row>
    <row r="31" spans="1:28" ht="15.75" customHeight="1">
      <c r="A31" s="10" t="s">
        <v>277</v>
      </c>
      <c r="B31" s="10" t="s">
        <v>27</v>
      </c>
      <c r="C31" s="11" t="s">
        <v>28</v>
      </c>
      <c r="D31" s="12"/>
      <c r="E31" s="13" t="s">
        <v>278</v>
      </c>
      <c r="F31" s="43" t="s">
        <v>278</v>
      </c>
      <c r="G31" s="6" t="str">
        <f ca="1">IFERROR(__xludf.DUMMYFUNCTION("CONCATENATE(B31,(VLOOKUP(C31,CATALOGOS!$F$2:$H$6,3,FALSE)),(VLOOKUP(T31,CATALOGOS!$J$2:$K$18,2,FALSE)),""-"",TO_TEXT(A31))"),"P05DA-0030")</f>
        <v>P05DA-0030</v>
      </c>
      <c r="H31" s="6" t="s">
        <v>279</v>
      </c>
      <c r="I31" s="6" t="s">
        <v>280</v>
      </c>
      <c r="J31" s="6" t="s">
        <v>8432</v>
      </c>
      <c r="K31" s="6" t="s">
        <v>282</v>
      </c>
      <c r="L31" s="17"/>
      <c r="M31" s="17"/>
      <c r="N31" s="17" t="str">
        <f t="shared" si="1"/>
        <v>OK</v>
      </c>
      <c r="O31" s="17" t="s">
        <v>35</v>
      </c>
      <c r="P31" s="6" t="s">
        <v>35</v>
      </c>
      <c r="Q31" s="17" t="s">
        <v>36</v>
      </c>
      <c r="R31" s="177" t="s">
        <v>283</v>
      </c>
      <c r="S31" s="173" t="s">
        <v>38</v>
      </c>
      <c r="T31" s="11" t="s">
        <v>28</v>
      </c>
      <c r="U31" s="22" t="s">
        <v>39</v>
      </c>
      <c r="V31" s="22" t="s">
        <v>39</v>
      </c>
      <c r="W31" s="22"/>
      <c r="X31" s="7"/>
      <c r="Y31" s="7"/>
      <c r="Z31" s="23"/>
      <c r="AA31" s="26"/>
    </row>
    <row r="32" spans="1:28" ht="15.75" customHeight="1">
      <c r="A32" s="10" t="s">
        <v>284</v>
      </c>
      <c r="B32" s="10" t="s">
        <v>27</v>
      </c>
      <c r="C32" s="11" t="s">
        <v>28</v>
      </c>
      <c r="D32" s="12"/>
      <c r="E32" s="13" t="s">
        <v>162</v>
      </c>
      <c r="F32" s="6" t="s">
        <v>285</v>
      </c>
      <c r="G32" s="6" t="str">
        <f ca="1">IFERROR(__xludf.DUMMYFUNCTION("CONCATENATE(B32,(VLOOKUP(C32,CATALOGOS!$F$2:$H$6,3,FALSE)),(VLOOKUP(T32,CATALOGOS!$J$2:$K$18,2,FALSE)),""-"",TO_TEXT(A32))"),"P05DA-0031")</f>
        <v>P05DA-0031</v>
      </c>
      <c r="H32" s="6" t="s">
        <v>286</v>
      </c>
      <c r="I32" s="6" t="s">
        <v>287</v>
      </c>
      <c r="J32" s="6" t="s">
        <v>288</v>
      </c>
      <c r="K32" s="6" t="s">
        <v>289</v>
      </c>
      <c r="L32" s="17"/>
      <c r="M32" s="17"/>
      <c r="N32" s="17" t="str">
        <f t="shared" si="1"/>
        <v>OK</v>
      </c>
      <c r="O32" s="17" t="s">
        <v>168</v>
      </c>
      <c r="P32" s="6" t="s">
        <v>169</v>
      </c>
      <c r="Q32" s="17" t="s">
        <v>290</v>
      </c>
      <c r="R32" s="177" t="s">
        <v>291</v>
      </c>
      <c r="S32" s="173" t="s">
        <v>38</v>
      </c>
      <c r="T32" s="11" t="s">
        <v>28</v>
      </c>
      <c r="U32" s="22" t="s">
        <v>39</v>
      </c>
      <c r="V32" s="22" t="s">
        <v>39</v>
      </c>
      <c r="W32" s="22"/>
      <c r="X32" s="7"/>
      <c r="Y32" s="7"/>
      <c r="Z32" s="23"/>
      <c r="AA32" s="26"/>
    </row>
    <row r="33" spans="1:28" ht="15.75" customHeight="1">
      <c r="A33" s="10" t="s">
        <v>292</v>
      </c>
      <c r="B33" s="10" t="s">
        <v>27</v>
      </c>
      <c r="C33" s="11" t="s">
        <v>28</v>
      </c>
      <c r="D33" s="12"/>
      <c r="E33" s="13" t="s">
        <v>151</v>
      </c>
      <c r="F33" s="6" t="s">
        <v>293</v>
      </c>
      <c r="G33" s="6" t="str">
        <f ca="1">IFERROR(__xludf.DUMMYFUNCTION("CONCATENATE(B33,(VLOOKUP(C33,CATALOGOS!$F$2:$H$6,3,FALSE)),(VLOOKUP(T33,CATALOGOS!$J$2:$K$18,2,FALSE)),""-"",TO_TEXT(A33))"),"P05DA-0032")</f>
        <v>P05DA-0032</v>
      </c>
      <c r="H33" s="6" t="s">
        <v>294</v>
      </c>
      <c r="I33" s="6" t="s">
        <v>295</v>
      </c>
      <c r="J33" s="36"/>
      <c r="K33" s="6" t="s">
        <v>296</v>
      </c>
      <c r="L33" s="17"/>
      <c r="M33" s="17"/>
      <c r="N33" s="17" t="str">
        <f t="shared" si="1"/>
        <v>OK</v>
      </c>
      <c r="O33" s="17" t="s">
        <v>297</v>
      </c>
      <c r="P33" s="6" t="s">
        <v>298</v>
      </c>
      <c r="Q33" s="6" t="s">
        <v>299</v>
      </c>
      <c r="R33" s="215" t="s">
        <v>85</v>
      </c>
      <c r="S33" s="173" t="s">
        <v>38</v>
      </c>
      <c r="T33" s="11" t="s">
        <v>28</v>
      </c>
      <c r="U33" s="22" t="s">
        <v>39</v>
      </c>
      <c r="V33" s="22" t="s">
        <v>39</v>
      </c>
      <c r="W33" s="22"/>
      <c r="X33" s="6"/>
      <c r="Y33" s="6"/>
      <c r="Z33" s="41" t="s">
        <v>275</v>
      </c>
      <c r="AA33" s="42">
        <v>44403</v>
      </c>
      <c r="AB33" s="8">
        <v>0</v>
      </c>
    </row>
    <row r="34" spans="1:28" ht="15.75" customHeight="1">
      <c r="A34" s="10" t="s">
        <v>300</v>
      </c>
      <c r="B34" s="10" t="s">
        <v>27</v>
      </c>
      <c r="C34" s="11" t="s">
        <v>28</v>
      </c>
      <c r="D34" s="12"/>
      <c r="E34" s="13" t="s">
        <v>248</v>
      </c>
      <c r="F34" s="6" t="s">
        <v>248</v>
      </c>
      <c r="G34" s="6" t="str">
        <f ca="1">IFERROR(__xludf.DUMMYFUNCTION("CONCATENATE(B34,(VLOOKUP(C34,CATALOGOS!$F$2:$H$6,3,FALSE)),(VLOOKUP(T34,CATALOGOS!$J$2:$K$18,2,FALSE)),""-"",TO_TEXT(A34))"),"P05DA-0033")</f>
        <v>P05DA-0033</v>
      </c>
      <c r="H34" s="6" t="s">
        <v>301</v>
      </c>
      <c r="I34" s="6" t="s">
        <v>302</v>
      </c>
      <c r="J34" s="36"/>
      <c r="K34" s="6" t="s">
        <v>141</v>
      </c>
      <c r="L34" s="44"/>
      <c r="M34" s="17"/>
      <c r="N34" s="17" t="str">
        <f t="shared" si="1"/>
        <v>REPETIDO</v>
      </c>
      <c r="O34" s="17" t="s">
        <v>303</v>
      </c>
      <c r="P34" s="6" t="s">
        <v>304</v>
      </c>
      <c r="Q34" s="6" t="s">
        <v>305</v>
      </c>
      <c r="R34" s="213" t="s">
        <v>306</v>
      </c>
      <c r="S34" s="173" t="s">
        <v>38</v>
      </c>
      <c r="T34" s="11" t="s">
        <v>28</v>
      </c>
      <c r="U34" s="22" t="s">
        <v>39</v>
      </c>
      <c r="V34" s="22" t="s">
        <v>39</v>
      </c>
      <c r="W34" s="22"/>
      <c r="X34" s="7"/>
      <c r="Y34" s="7"/>
      <c r="Z34" s="23"/>
      <c r="AA34" s="26"/>
    </row>
    <row r="35" spans="1:28" ht="15.75" customHeight="1">
      <c r="A35" s="10" t="s">
        <v>307</v>
      </c>
      <c r="B35" s="10" t="s">
        <v>27</v>
      </c>
      <c r="C35" s="11" t="s">
        <v>28</v>
      </c>
      <c r="D35" s="12"/>
      <c r="E35" s="13" t="s">
        <v>93</v>
      </c>
      <c r="F35" s="6" t="s">
        <v>308</v>
      </c>
      <c r="G35" s="6" t="str">
        <f ca="1">IFERROR(__xludf.DUMMYFUNCTION("CONCATENATE(B35,(VLOOKUP(C35,CATALOGOS!$F$2:$H$6,3,FALSE)),(VLOOKUP(T35,CATALOGOS!$J$2:$K$18,2,FALSE)),""-"",TO_TEXT(A35))"),"P05DA-0034")</f>
        <v>P05DA-0034</v>
      </c>
      <c r="H35" s="6" t="s">
        <v>309</v>
      </c>
      <c r="I35" s="6" t="s">
        <v>310</v>
      </c>
      <c r="J35" s="6" t="s">
        <v>311</v>
      </c>
      <c r="K35" s="6" t="s">
        <v>312</v>
      </c>
      <c r="L35" s="17"/>
      <c r="M35" s="17"/>
      <c r="N35" s="17" t="str">
        <f t="shared" si="1"/>
        <v>OK</v>
      </c>
      <c r="O35" s="17" t="s">
        <v>35</v>
      </c>
      <c r="P35" s="6" t="s">
        <v>35</v>
      </c>
      <c r="Q35" s="17" t="s">
        <v>36</v>
      </c>
      <c r="R35" s="177" t="s">
        <v>313</v>
      </c>
      <c r="S35" s="173" t="s">
        <v>38</v>
      </c>
      <c r="T35" s="11" t="s">
        <v>28</v>
      </c>
      <c r="U35" s="22" t="s">
        <v>39</v>
      </c>
      <c r="V35" s="22" t="s">
        <v>39</v>
      </c>
      <c r="W35" s="22"/>
      <c r="X35" s="7"/>
      <c r="Y35" s="7"/>
      <c r="Z35" s="23"/>
      <c r="AA35" s="26"/>
    </row>
    <row r="36" spans="1:28" ht="15.75" customHeight="1">
      <c r="A36" s="10" t="s">
        <v>314</v>
      </c>
      <c r="B36" s="10" t="s">
        <v>27</v>
      </c>
      <c r="C36" s="11" t="s">
        <v>28</v>
      </c>
      <c r="D36" s="12"/>
      <c r="E36" s="13" t="s">
        <v>43</v>
      </c>
      <c r="F36" s="6" t="s">
        <v>315</v>
      </c>
      <c r="G36" s="6" t="str">
        <f ca="1">IFERROR(__xludf.DUMMYFUNCTION("CONCATENATE(B36,(VLOOKUP(C36,CATALOGOS!$F$2:$H$6,3,FALSE)),(VLOOKUP(T36,CATALOGOS!$J$2:$K$18,2,FALSE)),""-"",TO_TEXT(A36))"),"P05DA-0035")</f>
        <v>P05DA-0035</v>
      </c>
      <c r="H36" s="6" t="s">
        <v>316</v>
      </c>
      <c r="I36" s="6" t="s">
        <v>317</v>
      </c>
      <c r="J36" s="36"/>
      <c r="K36" s="6" t="s">
        <v>141</v>
      </c>
      <c r="L36" s="17"/>
      <c r="M36" s="17"/>
      <c r="N36" s="17" t="str">
        <f t="shared" si="1"/>
        <v>REPETIDO</v>
      </c>
      <c r="O36" s="17" t="s">
        <v>318</v>
      </c>
      <c r="P36" s="6">
        <v>10188</v>
      </c>
      <c r="Q36" s="6" t="s">
        <v>36</v>
      </c>
      <c r="R36" s="214" t="s">
        <v>319</v>
      </c>
      <c r="S36" s="173" t="s">
        <v>38</v>
      </c>
      <c r="T36" s="11" t="s">
        <v>28</v>
      </c>
      <c r="U36" s="22" t="s">
        <v>39</v>
      </c>
      <c r="V36" s="22" t="s">
        <v>39</v>
      </c>
      <c r="W36" s="22"/>
      <c r="X36" s="7"/>
      <c r="Y36" s="7"/>
      <c r="Z36" s="23"/>
      <c r="AA36" s="26"/>
    </row>
    <row r="37" spans="1:28" ht="15.75" customHeight="1">
      <c r="A37" s="10" t="s">
        <v>320</v>
      </c>
      <c r="B37" s="10" t="s">
        <v>27</v>
      </c>
      <c r="C37" s="11" t="s">
        <v>28</v>
      </c>
      <c r="D37" s="38"/>
      <c r="E37" s="13" t="s">
        <v>321</v>
      </c>
      <c r="F37" s="6" t="s">
        <v>322</v>
      </c>
      <c r="G37" s="6" t="str">
        <f ca="1">IFERROR(__xludf.DUMMYFUNCTION("CONCATENATE(B37,(VLOOKUP(C37,CATALOGOS!$F$2:$H$6,3,FALSE)),(VLOOKUP(T37,CATALOGOS!$J$2:$K$18,2,FALSE)),""-"",TO_TEXT(A37))"),"P05DA-0036")</f>
        <v>P05DA-0036</v>
      </c>
      <c r="H37" s="6" t="s">
        <v>323</v>
      </c>
      <c r="I37" s="6" t="s">
        <v>324</v>
      </c>
      <c r="J37" s="36"/>
      <c r="K37" s="6" t="s">
        <v>141</v>
      </c>
      <c r="L37" s="17"/>
      <c r="M37" s="17"/>
      <c r="N37" s="17" t="str">
        <f t="shared" si="1"/>
        <v>REPETIDO</v>
      </c>
      <c r="O37" s="17" t="s">
        <v>325</v>
      </c>
      <c r="P37" s="6" t="s">
        <v>326</v>
      </c>
      <c r="Q37" s="6" t="s">
        <v>36</v>
      </c>
      <c r="R37" s="216" t="s">
        <v>85</v>
      </c>
      <c r="S37" s="173" t="s">
        <v>38</v>
      </c>
      <c r="T37" s="11" t="s">
        <v>28</v>
      </c>
      <c r="U37" s="22" t="s">
        <v>39</v>
      </c>
      <c r="V37" s="22" t="s">
        <v>39</v>
      </c>
      <c r="W37" s="22"/>
      <c r="X37" s="7"/>
      <c r="Y37" s="7"/>
      <c r="Z37" s="26"/>
      <c r="AA37" s="26"/>
    </row>
    <row r="38" spans="1:28" ht="15.75" customHeight="1">
      <c r="A38" s="10" t="s">
        <v>327</v>
      </c>
      <c r="B38" s="10" t="s">
        <v>27</v>
      </c>
      <c r="C38" s="11" t="s">
        <v>28</v>
      </c>
      <c r="D38" s="12"/>
      <c r="E38" s="13" t="s">
        <v>151</v>
      </c>
      <c r="F38" s="6" t="s">
        <v>293</v>
      </c>
      <c r="G38" s="6" t="str">
        <f ca="1">IFERROR(__xludf.DUMMYFUNCTION("CONCATENATE(B38,(VLOOKUP(C38,CATALOGOS!$F$2:$H$6,3,FALSE)),(VLOOKUP(T38,CATALOGOS!$J$2:$K$18,2,FALSE)),""-"",TO_TEXT(A38))"),"P05DA-0037")</f>
        <v>P05DA-0037</v>
      </c>
      <c r="H38" s="6" t="s">
        <v>328</v>
      </c>
      <c r="I38" s="6" t="s">
        <v>329</v>
      </c>
      <c r="J38" s="36"/>
      <c r="K38" s="6" t="s">
        <v>330</v>
      </c>
      <c r="L38" s="17"/>
      <c r="M38" s="17"/>
      <c r="N38" s="17" t="str">
        <f t="shared" si="1"/>
        <v>OK</v>
      </c>
      <c r="O38" s="17" t="s">
        <v>297</v>
      </c>
      <c r="P38" s="6" t="s">
        <v>298</v>
      </c>
      <c r="Q38" s="6" t="s">
        <v>331</v>
      </c>
      <c r="R38" s="215" t="s">
        <v>85</v>
      </c>
      <c r="S38" s="173" t="s">
        <v>38</v>
      </c>
      <c r="T38" s="11" t="s">
        <v>28</v>
      </c>
      <c r="U38" s="22" t="s">
        <v>332</v>
      </c>
      <c r="V38" s="22" t="s">
        <v>332</v>
      </c>
      <c r="W38" s="22"/>
      <c r="X38" s="6"/>
      <c r="Y38" s="6"/>
      <c r="Z38" s="41" t="s">
        <v>92</v>
      </c>
      <c r="AA38" s="42">
        <v>44348</v>
      </c>
      <c r="AB38" s="45">
        <v>0</v>
      </c>
    </row>
    <row r="39" spans="1:28" ht="15.75" customHeight="1">
      <c r="A39" s="10" t="s">
        <v>333</v>
      </c>
      <c r="B39" s="10" t="s">
        <v>27</v>
      </c>
      <c r="C39" s="11" t="s">
        <v>28</v>
      </c>
      <c r="D39" s="12"/>
      <c r="E39" s="13" t="s">
        <v>162</v>
      </c>
      <c r="F39" s="6" t="s">
        <v>285</v>
      </c>
      <c r="G39" s="6" t="str">
        <f ca="1">IFERROR(__xludf.DUMMYFUNCTION("CONCATENATE(B39,(VLOOKUP(C39,CATALOGOS!$F$2:$H$6,3,FALSE)),(VLOOKUP(T39,CATALOGOS!$J$2:$K$18,2,FALSE)),""-"",TO_TEXT(A39))"),"P05DA-0038")</f>
        <v>P05DA-0038</v>
      </c>
      <c r="H39" s="6" t="s">
        <v>334</v>
      </c>
      <c r="I39" s="6" t="s">
        <v>335</v>
      </c>
      <c r="J39" s="6" t="s">
        <v>336</v>
      </c>
      <c r="K39" s="6" t="s">
        <v>337</v>
      </c>
      <c r="L39" s="17"/>
      <c r="M39" s="17"/>
      <c r="N39" s="17" t="str">
        <f t="shared" si="1"/>
        <v>OK</v>
      </c>
      <c r="O39" s="17" t="s">
        <v>168</v>
      </c>
      <c r="P39" s="6" t="s">
        <v>169</v>
      </c>
      <c r="Q39" s="17" t="s">
        <v>338</v>
      </c>
      <c r="R39" s="177" t="s">
        <v>339</v>
      </c>
      <c r="S39" s="173" t="s">
        <v>38</v>
      </c>
      <c r="T39" s="11" t="s">
        <v>28</v>
      </c>
      <c r="U39" s="22" t="s">
        <v>332</v>
      </c>
      <c r="V39" s="22" t="s">
        <v>332</v>
      </c>
      <c r="W39" s="22"/>
      <c r="X39" s="7"/>
      <c r="Y39" s="7"/>
      <c r="Z39" s="23"/>
      <c r="AA39" s="26"/>
    </row>
    <row r="40" spans="1:28" ht="15.75" customHeight="1">
      <c r="A40" s="10" t="s">
        <v>341</v>
      </c>
      <c r="B40" s="10" t="s">
        <v>27</v>
      </c>
      <c r="C40" s="11" t="s">
        <v>28</v>
      </c>
      <c r="D40" s="12"/>
      <c r="E40" s="13" t="s">
        <v>199</v>
      </c>
      <c r="F40" s="6" t="s">
        <v>199</v>
      </c>
      <c r="G40" s="6" t="str">
        <f ca="1">IFERROR(__xludf.DUMMYFUNCTION("CONCATENATE(B40,(VLOOKUP(C40,CATALOGOS!$F$2:$H$6,3,FALSE)),(VLOOKUP(T40,CATALOGOS!$J$2:$K$18,2,FALSE)),""-"",TO_TEXT(A40))"),"P05DA-0039")</f>
        <v>P05DA-0039</v>
      </c>
      <c r="H40" s="6" t="s">
        <v>342</v>
      </c>
      <c r="I40" s="6" t="s">
        <v>343</v>
      </c>
      <c r="J40" s="36"/>
      <c r="K40" s="6" t="s">
        <v>344</v>
      </c>
      <c r="L40" s="17"/>
      <c r="M40" s="17"/>
      <c r="N40" s="17" t="str">
        <f t="shared" si="1"/>
        <v>OK</v>
      </c>
      <c r="O40" s="17" t="s">
        <v>273</v>
      </c>
      <c r="P40" s="6" t="s">
        <v>274</v>
      </c>
      <c r="Q40" s="6">
        <v>11392903011586</v>
      </c>
      <c r="R40" s="215" t="s">
        <v>85</v>
      </c>
      <c r="S40" s="173" t="s">
        <v>38</v>
      </c>
      <c r="T40" s="11" t="s">
        <v>28</v>
      </c>
      <c r="U40" s="22" t="s">
        <v>332</v>
      </c>
      <c r="V40" s="22" t="s">
        <v>332</v>
      </c>
      <c r="W40" s="22"/>
      <c r="X40" s="6"/>
      <c r="Y40" s="6"/>
      <c r="Z40" s="41" t="s">
        <v>92</v>
      </c>
      <c r="AA40" s="42">
        <v>44348</v>
      </c>
      <c r="AB40" s="8" t="s">
        <v>276</v>
      </c>
    </row>
    <row r="41" spans="1:28" ht="15.75" customHeight="1">
      <c r="A41" s="10" t="s">
        <v>345</v>
      </c>
      <c r="B41" s="10" t="s">
        <v>27</v>
      </c>
      <c r="C41" s="11" t="s">
        <v>28</v>
      </c>
      <c r="D41" s="12"/>
      <c r="E41" s="13" t="s">
        <v>62</v>
      </c>
      <c r="F41" s="6" t="s">
        <v>346</v>
      </c>
      <c r="G41" s="6" t="str">
        <f ca="1">IFERROR(__xludf.DUMMYFUNCTION("CONCATENATE(B41,(VLOOKUP(C41,CATALOGOS!$F$2:$H$6,3,FALSE)),(VLOOKUP(T41,CATALOGOS!$J$2:$K$18,2,FALSE)),""-"",TO_TEXT(A41))"),"P05DA-0040")</f>
        <v>P05DA-0040</v>
      </c>
      <c r="H41" s="6" t="s">
        <v>347</v>
      </c>
      <c r="I41" s="6" t="s">
        <v>348</v>
      </c>
      <c r="J41" s="6" t="s">
        <v>349</v>
      </c>
      <c r="K41" s="6" t="s">
        <v>350</v>
      </c>
      <c r="L41" s="17"/>
      <c r="M41" s="17"/>
      <c r="N41" s="17" t="str">
        <f t="shared" si="1"/>
        <v>OK</v>
      </c>
      <c r="O41" s="17" t="s">
        <v>35</v>
      </c>
      <c r="P41" s="6" t="s">
        <v>35</v>
      </c>
      <c r="Q41" s="35" t="s">
        <v>36</v>
      </c>
      <c r="R41" s="177" t="s">
        <v>351</v>
      </c>
      <c r="S41" s="173" t="s">
        <v>38</v>
      </c>
      <c r="T41" s="11" t="s">
        <v>28</v>
      </c>
      <c r="U41" s="22" t="s">
        <v>332</v>
      </c>
      <c r="V41" s="22" t="s">
        <v>332</v>
      </c>
      <c r="W41" s="22"/>
      <c r="X41" s="7"/>
      <c r="Y41" s="7"/>
      <c r="Z41" s="23"/>
      <c r="AA41" s="26"/>
    </row>
    <row r="42" spans="1:28" ht="15.75" customHeight="1">
      <c r="A42" s="10" t="s">
        <v>352</v>
      </c>
      <c r="B42" s="10" t="s">
        <v>27</v>
      </c>
      <c r="C42" s="11" t="s">
        <v>28</v>
      </c>
      <c r="D42" s="12"/>
      <c r="E42" s="13" t="s">
        <v>353</v>
      </c>
      <c r="F42" s="6" t="s">
        <v>354</v>
      </c>
      <c r="G42" s="6" t="str">
        <f ca="1">IFERROR(__xludf.DUMMYFUNCTION("CONCATENATE(B42,(VLOOKUP(C42,CATALOGOS!$F$2:$H$6,3,FALSE)),(VLOOKUP(T42,CATALOGOS!$J$2:$K$18,2,FALSE)),""-"",TO_TEXT(A42))"),"P05DA-0041")</f>
        <v>P05DA-0041</v>
      </c>
      <c r="H42" s="6" t="s">
        <v>355</v>
      </c>
      <c r="I42" s="6" t="s">
        <v>356</v>
      </c>
      <c r="J42" s="6" t="s">
        <v>357</v>
      </c>
      <c r="K42" s="6" t="s">
        <v>358</v>
      </c>
      <c r="L42" s="17"/>
      <c r="M42" s="17"/>
      <c r="N42" s="17" t="str">
        <f t="shared" si="1"/>
        <v>OK</v>
      </c>
      <c r="O42" s="17" t="s">
        <v>359</v>
      </c>
      <c r="P42" s="6" t="s">
        <v>360</v>
      </c>
      <c r="Q42" s="17" t="s">
        <v>361</v>
      </c>
      <c r="R42" s="177" t="s">
        <v>362</v>
      </c>
      <c r="S42" s="173" t="s">
        <v>38</v>
      </c>
      <c r="T42" s="11" t="s">
        <v>28</v>
      </c>
      <c r="U42" s="22" t="s">
        <v>332</v>
      </c>
      <c r="V42" s="22" t="s">
        <v>332</v>
      </c>
      <c r="W42" s="22"/>
      <c r="X42" s="7"/>
      <c r="Y42" s="7"/>
      <c r="Z42" s="23"/>
      <c r="AA42" s="26"/>
    </row>
    <row r="43" spans="1:28" ht="15.75" customHeight="1">
      <c r="A43" s="10" t="s">
        <v>363</v>
      </c>
      <c r="B43" s="10" t="s">
        <v>27</v>
      </c>
      <c r="C43" s="11" t="s">
        <v>28</v>
      </c>
      <c r="D43" s="12"/>
      <c r="E43" s="13" t="s">
        <v>116</v>
      </c>
      <c r="F43" s="6" t="s">
        <v>364</v>
      </c>
      <c r="G43" s="6" t="str">
        <f ca="1">IFERROR(__xludf.DUMMYFUNCTION("CONCATENATE(B43,(VLOOKUP(C43,CATALOGOS!$F$2:$H$6,3,FALSE)),(VLOOKUP(T43,CATALOGOS!$J$2:$K$18,2,FALSE)),""-"",TO_TEXT(A43))"),"P05DA-0042")</f>
        <v>P05DA-0042</v>
      </c>
      <c r="H43" s="6" t="s">
        <v>365</v>
      </c>
      <c r="I43" s="6" t="s">
        <v>366</v>
      </c>
      <c r="J43" s="6" t="s">
        <v>367</v>
      </c>
      <c r="K43" s="6" t="s">
        <v>368</v>
      </c>
      <c r="L43" s="17"/>
      <c r="M43" s="17"/>
      <c r="N43" s="17" t="str">
        <f t="shared" si="1"/>
        <v>OK</v>
      </c>
      <c r="O43" s="17" t="s">
        <v>35</v>
      </c>
      <c r="P43" s="6" t="s">
        <v>35</v>
      </c>
      <c r="Q43" s="17" t="s">
        <v>36</v>
      </c>
      <c r="R43" s="177" t="s">
        <v>369</v>
      </c>
      <c r="S43" s="173" t="s">
        <v>38</v>
      </c>
      <c r="T43" s="11" t="s">
        <v>28</v>
      </c>
      <c r="U43" s="22" t="s">
        <v>332</v>
      </c>
      <c r="V43" s="22" t="s">
        <v>332</v>
      </c>
      <c r="W43" s="22"/>
      <c r="X43" s="7"/>
      <c r="Y43" s="7"/>
      <c r="Z43" s="23"/>
      <c r="AA43" s="26"/>
    </row>
    <row r="44" spans="1:28" ht="15.75" customHeight="1">
      <c r="A44" s="10" t="s">
        <v>370</v>
      </c>
      <c r="B44" s="10" t="s">
        <v>27</v>
      </c>
      <c r="C44" s="11" t="s">
        <v>28</v>
      </c>
      <c r="D44" s="12"/>
      <c r="E44" s="13" t="s">
        <v>93</v>
      </c>
      <c r="F44" s="6" t="s">
        <v>371</v>
      </c>
      <c r="G44" s="6" t="str">
        <f ca="1">IFERROR(__xludf.DUMMYFUNCTION("CONCATENATE(B44,(VLOOKUP(C44,CATALOGOS!$F$2:$H$6,3,FALSE)),(VLOOKUP(T44,CATALOGOS!$J$2:$K$18,2,FALSE)),""-"",TO_TEXT(A44))"),"P05DA-0043")</f>
        <v>P05DA-0043</v>
      </c>
      <c r="H44" s="6" t="s">
        <v>372</v>
      </c>
      <c r="I44" s="6" t="s">
        <v>373</v>
      </c>
      <c r="J44" s="6" t="s">
        <v>374</v>
      </c>
      <c r="K44" s="6" t="s">
        <v>375</v>
      </c>
      <c r="L44" s="17"/>
      <c r="M44" s="17"/>
      <c r="N44" s="17" t="str">
        <f t="shared" si="1"/>
        <v>OK</v>
      </c>
      <c r="O44" s="17" t="s">
        <v>35</v>
      </c>
      <c r="P44" s="6" t="s">
        <v>35</v>
      </c>
      <c r="Q44" s="17" t="s">
        <v>36</v>
      </c>
      <c r="R44" s="177" t="s">
        <v>376</v>
      </c>
      <c r="S44" s="173" t="s">
        <v>38</v>
      </c>
      <c r="T44" s="11" t="s">
        <v>28</v>
      </c>
      <c r="U44" s="22" t="s">
        <v>332</v>
      </c>
      <c r="V44" s="22" t="s">
        <v>332</v>
      </c>
      <c r="W44" s="22"/>
      <c r="X44" s="7"/>
      <c r="Y44" s="7"/>
      <c r="Z44" s="23"/>
      <c r="AA44" s="26"/>
    </row>
    <row r="45" spans="1:28" ht="15.75" customHeight="1">
      <c r="A45" s="10" t="s">
        <v>377</v>
      </c>
      <c r="B45" s="10" t="s">
        <v>27</v>
      </c>
      <c r="C45" s="11" t="s">
        <v>28</v>
      </c>
      <c r="D45" s="38"/>
      <c r="E45" s="13" t="s">
        <v>378</v>
      </c>
      <c r="F45" s="6" t="s">
        <v>379</v>
      </c>
      <c r="G45" s="6" t="str">
        <f ca="1">IFERROR(__xludf.DUMMYFUNCTION("CONCATENATE(B45,(VLOOKUP(C45,CATALOGOS!$F$2:$H$6,3,FALSE)),(VLOOKUP(T45,CATALOGOS!$J$2:$K$18,2,FALSE)),""-"",TO_TEXT(A45))"),"P05DA-0044")</f>
        <v>P05DA-0044</v>
      </c>
      <c r="H45" s="6" t="s">
        <v>380</v>
      </c>
      <c r="I45" s="6" t="s">
        <v>381</v>
      </c>
      <c r="J45" s="6" t="s">
        <v>382</v>
      </c>
      <c r="K45" s="6" t="s">
        <v>383</v>
      </c>
      <c r="L45" s="17"/>
      <c r="M45" s="17"/>
      <c r="N45" s="17" t="str">
        <f t="shared" si="1"/>
        <v>OK</v>
      </c>
      <c r="O45" s="17" t="s">
        <v>35</v>
      </c>
      <c r="P45" s="6" t="s">
        <v>35</v>
      </c>
      <c r="Q45" s="46" t="s">
        <v>36</v>
      </c>
      <c r="R45" s="177" t="s">
        <v>384</v>
      </c>
      <c r="S45" s="173" t="s">
        <v>517</v>
      </c>
      <c r="T45" s="11" t="s">
        <v>28</v>
      </c>
      <c r="U45" s="22" t="s">
        <v>332</v>
      </c>
      <c r="V45" s="22" t="s">
        <v>332</v>
      </c>
      <c r="W45" s="22"/>
      <c r="X45" s="7"/>
      <c r="Y45" s="7"/>
      <c r="Z45" s="26"/>
      <c r="AA45" s="26"/>
    </row>
    <row r="46" spans="1:28" ht="15.75" customHeight="1">
      <c r="A46" s="10" t="s">
        <v>386</v>
      </c>
      <c r="B46" s="10" t="s">
        <v>27</v>
      </c>
      <c r="C46" s="11" t="s">
        <v>28</v>
      </c>
      <c r="D46" s="12"/>
      <c r="E46" s="13" t="s">
        <v>387</v>
      </c>
      <c r="F46" s="6" t="s">
        <v>387</v>
      </c>
      <c r="G46" s="6" t="str">
        <f ca="1">IFERROR(__xludf.DUMMYFUNCTION("CONCATENATE(B46,(VLOOKUP(C46,CATALOGOS!$F$2:$H$6,3,FALSE)),(VLOOKUP(T46,CATALOGOS!$J$2:$K$18,2,FALSE)),""-"",TO_TEXT(A46))"),"P05DA-0045")</f>
        <v>P05DA-0045</v>
      </c>
      <c r="H46" s="6" t="s">
        <v>388</v>
      </c>
      <c r="I46" s="6" t="s">
        <v>389</v>
      </c>
      <c r="J46" s="36"/>
      <c r="K46" s="6" t="s">
        <v>141</v>
      </c>
      <c r="L46" s="17"/>
      <c r="M46" s="17"/>
      <c r="N46" s="17" t="str">
        <f t="shared" si="1"/>
        <v>REPETIDO</v>
      </c>
      <c r="O46" s="17" t="s">
        <v>390</v>
      </c>
      <c r="P46" s="6">
        <v>40514</v>
      </c>
      <c r="Q46" s="6" t="s">
        <v>391</v>
      </c>
      <c r="R46" s="215" t="s">
        <v>85</v>
      </c>
      <c r="S46" s="173" t="s">
        <v>38</v>
      </c>
      <c r="T46" s="11" t="s">
        <v>28</v>
      </c>
      <c r="U46" s="22" t="s">
        <v>392</v>
      </c>
      <c r="V46" s="22" t="s">
        <v>392</v>
      </c>
      <c r="W46" s="22"/>
      <c r="X46" s="7"/>
      <c r="Y46" s="7"/>
      <c r="Z46" s="23"/>
      <c r="AA46" s="26"/>
    </row>
    <row r="47" spans="1:28" ht="15.75" customHeight="1">
      <c r="A47" s="10" t="s">
        <v>393</v>
      </c>
      <c r="B47" s="10" t="s">
        <v>27</v>
      </c>
      <c r="C47" s="11" t="s">
        <v>28</v>
      </c>
      <c r="D47" s="12"/>
      <c r="E47" s="13" t="s">
        <v>93</v>
      </c>
      <c r="F47" s="6" t="s">
        <v>394</v>
      </c>
      <c r="G47" s="6" t="str">
        <f ca="1">IFERROR(__xludf.DUMMYFUNCTION("CONCATENATE(B47,(VLOOKUP(C47,CATALOGOS!$F$2:$H$6,3,FALSE)),(VLOOKUP(T47,CATALOGOS!$J$2:$K$18,2,FALSE)),""-"",TO_TEXT(A47))"),"P05DA-0046")</f>
        <v>P05DA-0046</v>
      </c>
      <c r="H47" s="6" t="s">
        <v>395</v>
      </c>
      <c r="I47" s="6" t="s">
        <v>396</v>
      </c>
      <c r="J47" s="6" t="s">
        <v>397</v>
      </c>
      <c r="K47" s="43" t="s">
        <v>398</v>
      </c>
      <c r="L47" s="17"/>
      <c r="M47" s="17"/>
      <c r="N47" s="17" t="str">
        <f t="shared" si="1"/>
        <v>OK</v>
      </c>
      <c r="O47" s="17" t="s">
        <v>35</v>
      </c>
      <c r="P47" s="6" t="s">
        <v>35</v>
      </c>
      <c r="Q47" s="6" t="s">
        <v>36</v>
      </c>
      <c r="R47" s="214" t="s">
        <v>399</v>
      </c>
      <c r="S47" s="173" t="s">
        <v>38</v>
      </c>
      <c r="T47" s="11" t="s">
        <v>28</v>
      </c>
      <c r="U47" s="22" t="s">
        <v>392</v>
      </c>
      <c r="V47" s="22" t="s">
        <v>392</v>
      </c>
      <c r="W47" s="22"/>
      <c r="X47" s="7"/>
      <c r="Y47" s="7"/>
      <c r="Z47" s="23"/>
      <c r="AA47" s="26"/>
    </row>
    <row r="48" spans="1:28" ht="15.75" customHeight="1">
      <c r="A48" s="10" t="s">
        <v>400</v>
      </c>
      <c r="B48" s="10" t="s">
        <v>27</v>
      </c>
      <c r="C48" s="11" t="s">
        <v>28</v>
      </c>
      <c r="D48" s="12"/>
      <c r="E48" s="13" t="s">
        <v>43</v>
      </c>
      <c r="F48" s="6" t="s">
        <v>401</v>
      </c>
      <c r="G48" s="6" t="str">
        <f ca="1">IFERROR(__xludf.DUMMYFUNCTION("CONCATENATE(B48,(VLOOKUP(C48,CATALOGOS!$F$2:$H$6,3,FALSE)),(VLOOKUP(T48,CATALOGOS!$J$2:$K$18,2,FALSE)),""-"",TO_TEXT(A48))"),"P05DA-0047")</f>
        <v>P05DA-0047</v>
      </c>
      <c r="H48" s="6" t="s">
        <v>402</v>
      </c>
      <c r="I48" s="6" t="s">
        <v>403</v>
      </c>
      <c r="J48" s="6" t="s">
        <v>404</v>
      </c>
      <c r="K48" s="6" t="s">
        <v>405</v>
      </c>
      <c r="L48" s="17"/>
      <c r="M48" s="17"/>
      <c r="N48" s="17" t="str">
        <f t="shared" si="1"/>
        <v>OK</v>
      </c>
      <c r="O48" s="17" t="s">
        <v>406</v>
      </c>
      <c r="P48" s="10" t="s">
        <v>407</v>
      </c>
      <c r="Q48" s="17" t="s">
        <v>408</v>
      </c>
      <c r="R48" s="177" t="s">
        <v>409</v>
      </c>
      <c r="S48" s="173" t="s">
        <v>38</v>
      </c>
      <c r="T48" s="11" t="s">
        <v>28</v>
      </c>
      <c r="U48" s="22" t="s">
        <v>392</v>
      </c>
      <c r="V48" s="22" t="s">
        <v>392</v>
      </c>
      <c r="W48" s="22"/>
      <c r="X48" s="7"/>
      <c r="Y48" s="7"/>
      <c r="Z48" s="23"/>
      <c r="AA48" s="26"/>
    </row>
    <row r="49" spans="1:27" ht="15.75" customHeight="1">
      <c r="A49" s="10" t="s">
        <v>410</v>
      </c>
      <c r="B49" s="10" t="s">
        <v>27</v>
      </c>
      <c r="C49" s="11" t="s">
        <v>28</v>
      </c>
      <c r="D49" s="12"/>
      <c r="E49" s="13" t="s">
        <v>43</v>
      </c>
      <c r="F49" s="6" t="s">
        <v>401</v>
      </c>
      <c r="G49" s="6" t="str">
        <f ca="1">IFERROR(__xludf.DUMMYFUNCTION("CONCATENATE(B49,(VLOOKUP(C49,CATALOGOS!$F$2:$H$6,3,FALSE)),(VLOOKUP(T49,CATALOGOS!$J$2:$K$18,2,FALSE)),""-"",TO_TEXT(A49))"),"P05DA-0048")</f>
        <v>P05DA-0048</v>
      </c>
      <c r="H49" s="6" t="s">
        <v>411</v>
      </c>
      <c r="I49" s="6" t="s">
        <v>412</v>
      </c>
      <c r="J49" s="6" t="s">
        <v>413</v>
      </c>
      <c r="K49" s="6" t="s">
        <v>414</v>
      </c>
      <c r="L49" s="17"/>
      <c r="M49" s="17"/>
      <c r="N49" s="17" t="str">
        <f t="shared" si="1"/>
        <v>OK</v>
      </c>
      <c r="O49" s="17" t="s">
        <v>406</v>
      </c>
      <c r="P49" s="6" t="s">
        <v>407</v>
      </c>
      <c r="Q49" s="17" t="s">
        <v>415</v>
      </c>
      <c r="R49" s="177" t="s">
        <v>416</v>
      </c>
      <c r="S49" s="173" t="s">
        <v>38</v>
      </c>
      <c r="T49" s="11" t="s">
        <v>28</v>
      </c>
      <c r="U49" s="22" t="s">
        <v>392</v>
      </c>
      <c r="V49" s="22" t="s">
        <v>392</v>
      </c>
      <c r="W49" s="22"/>
      <c r="X49" s="7"/>
      <c r="Y49" s="7"/>
      <c r="Z49" s="23"/>
      <c r="AA49" s="26"/>
    </row>
    <row r="50" spans="1:27" ht="15.75" customHeight="1">
      <c r="A50" s="10" t="s">
        <v>417</v>
      </c>
      <c r="B50" s="10" t="s">
        <v>27</v>
      </c>
      <c r="C50" s="11" t="s">
        <v>28</v>
      </c>
      <c r="D50" s="12"/>
      <c r="E50" s="13" t="s">
        <v>43</v>
      </c>
      <c r="F50" s="6" t="s">
        <v>401</v>
      </c>
      <c r="G50" s="6" t="str">
        <f ca="1">IFERROR(__xludf.DUMMYFUNCTION("CONCATENATE(B50,(VLOOKUP(C50,CATALOGOS!$F$2:$H$6,3,FALSE)),(VLOOKUP(T50,CATALOGOS!$J$2:$K$18,2,FALSE)),""-"",TO_TEXT(A50))"),"P05DA-0049")</f>
        <v>P05DA-0049</v>
      </c>
      <c r="H50" s="6" t="s">
        <v>418</v>
      </c>
      <c r="I50" s="6" t="s">
        <v>419</v>
      </c>
      <c r="J50" s="6" t="s">
        <v>420</v>
      </c>
      <c r="K50" s="6" t="s">
        <v>421</v>
      </c>
      <c r="L50" s="17"/>
      <c r="M50" s="17"/>
      <c r="N50" s="17" t="str">
        <f t="shared" si="1"/>
        <v>OK</v>
      </c>
      <c r="O50" s="17" t="s">
        <v>406</v>
      </c>
      <c r="P50" s="6" t="s">
        <v>407</v>
      </c>
      <c r="Q50" s="17" t="s">
        <v>422</v>
      </c>
      <c r="R50" s="177" t="s">
        <v>423</v>
      </c>
      <c r="S50" s="173" t="s">
        <v>38</v>
      </c>
      <c r="T50" s="11" t="s">
        <v>28</v>
      </c>
      <c r="U50" s="22" t="s">
        <v>392</v>
      </c>
      <c r="V50" s="22" t="s">
        <v>392</v>
      </c>
      <c r="W50" s="22"/>
      <c r="X50" s="7"/>
      <c r="Y50" s="7"/>
      <c r="Z50" s="23"/>
      <c r="AA50" s="26"/>
    </row>
    <row r="51" spans="1:27" ht="15.75" customHeight="1">
      <c r="A51" s="10" t="s">
        <v>424</v>
      </c>
      <c r="B51" s="10" t="s">
        <v>27</v>
      </c>
      <c r="C51" s="11" t="s">
        <v>28</v>
      </c>
      <c r="D51" s="12"/>
      <c r="E51" s="13" t="s">
        <v>425</v>
      </c>
      <c r="F51" s="43" t="s">
        <v>426</v>
      </c>
      <c r="G51" s="6" t="str">
        <f ca="1">IFERROR(__xludf.DUMMYFUNCTION("CONCATENATE(B51,(VLOOKUP(C51,CATALOGOS!$F$2:$H$6,3,FALSE)),(VLOOKUP(T51,CATALOGOS!$J$2:$K$18,2,FALSE)),""-"",TO_TEXT(A51))"),"P05DA-0050")</f>
        <v>P05DA-0050</v>
      </c>
      <c r="H51" s="6" t="s">
        <v>427</v>
      </c>
      <c r="I51" s="6" t="s">
        <v>428</v>
      </c>
      <c r="J51" s="6" t="s">
        <v>429</v>
      </c>
      <c r="K51" s="6" t="s">
        <v>430</v>
      </c>
      <c r="L51" s="17"/>
      <c r="M51" s="17"/>
      <c r="N51" s="17" t="str">
        <f t="shared" si="1"/>
        <v>OK</v>
      </c>
      <c r="O51" s="17" t="s">
        <v>35</v>
      </c>
      <c r="P51" s="6" t="s">
        <v>35</v>
      </c>
      <c r="Q51" s="17" t="s">
        <v>36</v>
      </c>
      <c r="R51" s="177" t="s">
        <v>431</v>
      </c>
      <c r="S51" s="173" t="s">
        <v>38</v>
      </c>
      <c r="T51" s="11" t="s">
        <v>28</v>
      </c>
      <c r="U51" s="22" t="s">
        <v>392</v>
      </c>
      <c r="V51" s="22" t="s">
        <v>392</v>
      </c>
      <c r="W51" s="22"/>
      <c r="X51" s="6"/>
      <c r="Y51" s="6" t="s">
        <v>432</v>
      </c>
      <c r="Z51" s="23"/>
      <c r="AA51" s="26"/>
    </row>
    <row r="52" spans="1:27" ht="15.75" customHeight="1">
      <c r="A52" s="10" t="s">
        <v>433</v>
      </c>
      <c r="B52" s="10" t="s">
        <v>27</v>
      </c>
      <c r="C52" s="11" t="s">
        <v>28</v>
      </c>
      <c r="D52" s="12"/>
      <c r="E52" s="13" t="s">
        <v>378</v>
      </c>
      <c r="F52" s="43" t="s">
        <v>434</v>
      </c>
      <c r="G52" s="6" t="str">
        <f ca="1">IFERROR(__xludf.DUMMYFUNCTION("CONCATENATE(B52,(VLOOKUP(C52,CATALOGOS!$F$2:$H$6,3,FALSE)),(VLOOKUP(T52,CATALOGOS!$J$2:$K$18,2,FALSE)),""-"",TO_TEXT(A52))"),"P05DA-0051")</f>
        <v>P05DA-0051</v>
      </c>
      <c r="H52" s="6" t="s">
        <v>435</v>
      </c>
      <c r="I52" s="6" t="s">
        <v>436</v>
      </c>
      <c r="J52" s="6" t="s">
        <v>437</v>
      </c>
      <c r="K52" s="6" t="s">
        <v>438</v>
      </c>
      <c r="L52" s="17"/>
      <c r="M52" s="17"/>
      <c r="N52" s="17" t="str">
        <f t="shared" si="1"/>
        <v>OK</v>
      </c>
      <c r="O52" s="35" t="s">
        <v>35</v>
      </c>
      <c r="P52" s="6" t="s">
        <v>35</v>
      </c>
      <c r="Q52" s="17" t="s">
        <v>36</v>
      </c>
      <c r="R52" s="177" t="s">
        <v>439</v>
      </c>
      <c r="S52" s="173" t="s">
        <v>100</v>
      </c>
      <c r="T52" s="11" t="s">
        <v>28</v>
      </c>
      <c r="U52" s="22" t="s">
        <v>392</v>
      </c>
      <c r="V52" s="22" t="s">
        <v>392</v>
      </c>
      <c r="W52" s="22"/>
      <c r="X52" s="6"/>
      <c r="Y52" s="6" t="s">
        <v>440</v>
      </c>
      <c r="Z52" s="23"/>
      <c r="AA52" s="26"/>
    </row>
    <row r="53" spans="1:27" ht="15.75" customHeight="1">
      <c r="A53" s="10" t="s">
        <v>441</v>
      </c>
      <c r="B53" s="10" t="s">
        <v>27</v>
      </c>
      <c r="C53" s="11" t="s">
        <v>28</v>
      </c>
      <c r="D53" s="12"/>
      <c r="E53" s="13" t="s">
        <v>93</v>
      </c>
      <c r="F53" s="43" t="s">
        <v>442</v>
      </c>
      <c r="G53" s="6" t="str">
        <f ca="1">IFERROR(__xludf.DUMMYFUNCTION("CONCATENATE(B53,(VLOOKUP(C53,CATALOGOS!$F$2:$H$6,3,FALSE)),(VLOOKUP(T53,CATALOGOS!$J$2:$K$18,2,FALSE)),""-"",TO_TEXT(A53))"),"P05DA-0052")</f>
        <v>P05DA-0052</v>
      </c>
      <c r="H53" s="6" t="s">
        <v>443</v>
      </c>
      <c r="I53" s="6" t="s">
        <v>444</v>
      </c>
      <c r="J53" s="6" t="s">
        <v>445</v>
      </c>
      <c r="K53" s="6" t="s">
        <v>446</v>
      </c>
      <c r="L53" s="17"/>
      <c r="M53" s="17"/>
      <c r="N53" s="17" t="str">
        <f t="shared" si="1"/>
        <v>OK</v>
      </c>
      <c r="O53" s="17" t="s">
        <v>35</v>
      </c>
      <c r="P53" s="6" t="s">
        <v>35</v>
      </c>
      <c r="Q53" s="17" t="s">
        <v>36</v>
      </c>
      <c r="R53" s="177" t="s">
        <v>447</v>
      </c>
      <c r="S53" s="173" t="s">
        <v>38</v>
      </c>
      <c r="T53" s="11" t="s">
        <v>28</v>
      </c>
      <c r="U53" s="22" t="s">
        <v>392</v>
      </c>
      <c r="V53" s="22" t="s">
        <v>392</v>
      </c>
      <c r="W53" s="22"/>
      <c r="X53" s="6"/>
      <c r="Y53" s="6" t="s">
        <v>432</v>
      </c>
      <c r="Z53" s="23"/>
      <c r="AA53" s="26"/>
    </row>
    <row r="54" spans="1:27" ht="15.75" customHeight="1">
      <c r="A54" s="10" t="s">
        <v>448</v>
      </c>
      <c r="B54" s="10" t="s">
        <v>27</v>
      </c>
      <c r="C54" s="11" t="s">
        <v>28</v>
      </c>
      <c r="D54" s="12"/>
      <c r="E54" s="13" t="s">
        <v>184</v>
      </c>
      <c r="F54" s="6" t="s">
        <v>449</v>
      </c>
      <c r="G54" s="6" t="str">
        <f ca="1">IFERROR(__xludf.DUMMYFUNCTION("CONCATENATE(B54,(VLOOKUP(C54,CATALOGOS!$F$2:$H$6,3,FALSE)),(VLOOKUP(T54,CATALOGOS!$J$2:$K$18,2,FALSE)),""-"",TO_TEXT(A54))"),"P05DA-0053")</f>
        <v>P05DA-0053</v>
      </c>
      <c r="H54" s="6" t="s">
        <v>450</v>
      </c>
      <c r="I54" s="6" t="s">
        <v>451</v>
      </c>
      <c r="J54" s="6" t="s">
        <v>452</v>
      </c>
      <c r="K54" s="6" t="s">
        <v>453</v>
      </c>
      <c r="L54" s="17"/>
      <c r="M54" s="17"/>
      <c r="N54" s="17" t="str">
        <f t="shared" si="1"/>
        <v>OK</v>
      </c>
      <c r="O54" s="17" t="s">
        <v>35</v>
      </c>
      <c r="P54" s="6" t="s">
        <v>35</v>
      </c>
      <c r="Q54" s="17" t="s">
        <v>36</v>
      </c>
      <c r="R54" s="177" t="s">
        <v>454</v>
      </c>
      <c r="S54" s="173" t="s">
        <v>38</v>
      </c>
      <c r="T54" s="11" t="s">
        <v>28</v>
      </c>
      <c r="U54" s="22" t="s">
        <v>392</v>
      </c>
      <c r="V54" s="22" t="s">
        <v>392</v>
      </c>
      <c r="W54" s="20" t="s">
        <v>455</v>
      </c>
      <c r="X54" s="7"/>
      <c r="Y54" s="7"/>
      <c r="Z54" s="23"/>
      <c r="AA54" s="26"/>
    </row>
    <row r="55" spans="1:27" ht="15.75" customHeight="1">
      <c r="A55" s="10" t="s">
        <v>456</v>
      </c>
      <c r="B55" s="10" t="s">
        <v>27</v>
      </c>
      <c r="C55" s="11" t="s">
        <v>28</v>
      </c>
      <c r="D55" s="12"/>
      <c r="E55" s="13" t="s">
        <v>43</v>
      </c>
      <c r="F55" s="43" t="s">
        <v>457</v>
      </c>
      <c r="G55" s="6" t="str">
        <f ca="1">IFERROR(__xludf.DUMMYFUNCTION("CONCATENATE(B55,(VLOOKUP(C55,CATALOGOS!$F$2:$H$6,3,FALSE)),(VLOOKUP(T55,CATALOGOS!$J$2:$K$18,2,FALSE)),""-"",TO_TEXT(A55))"),"P05DA-0054")</f>
        <v>P05DA-0054</v>
      </c>
      <c r="H55" s="6" t="s">
        <v>458</v>
      </c>
      <c r="I55" s="6" t="s">
        <v>459</v>
      </c>
      <c r="J55" s="6" t="s">
        <v>460</v>
      </c>
      <c r="K55" s="6" t="s">
        <v>461</v>
      </c>
      <c r="L55" s="17"/>
      <c r="M55" s="17"/>
      <c r="N55" s="17" t="str">
        <f t="shared" si="1"/>
        <v>OK</v>
      </c>
      <c r="O55" s="17" t="s">
        <v>462</v>
      </c>
      <c r="P55" s="6" t="s">
        <v>35</v>
      </c>
      <c r="Q55" s="17" t="s">
        <v>463</v>
      </c>
      <c r="R55" s="177" t="s">
        <v>464</v>
      </c>
      <c r="S55" s="173" t="s">
        <v>38</v>
      </c>
      <c r="T55" s="11" t="s">
        <v>28</v>
      </c>
      <c r="U55" s="22" t="s">
        <v>392</v>
      </c>
      <c r="V55" s="22" t="s">
        <v>392</v>
      </c>
      <c r="W55" s="22"/>
      <c r="X55" s="6"/>
      <c r="Y55" s="6" t="s">
        <v>432</v>
      </c>
      <c r="Z55" s="23"/>
      <c r="AA55" s="26"/>
    </row>
    <row r="56" spans="1:27" ht="15.75" customHeight="1">
      <c r="A56" s="10" t="s">
        <v>465</v>
      </c>
      <c r="B56" s="10" t="s">
        <v>27</v>
      </c>
      <c r="C56" s="11" t="s">
        <v>28</v>
      </c>
      <c r="D56" s="12"/>
      <c r="E56" s="13" t="s">
        <v>466</v>
      </c>
      <c r="F56" s="6" t="s">
        <v>467</v>
      </c>
      <c r="G56" s="6" t="str">
        <f ca="1">IFERROR(__xludf.DUMMYFUNCTION("CONCATENATE(B56,(VLOOKUP(C56,CATALOGOS!$F$2:$H$6,3,FALSE)),(VLOOKUP(T56,CATALOGOS!$J$2:$K$18,2,FALSE)),""-"",TO_TEXT(A56))"),"P05DA-0055")</f>
        <v>P05DA-0055</v>
      </c>
      <c r="H56" s="6" t="s">
        <v>468</v>
      </c>
      <c r="I56" s="6" t="s">
        <v>469</v>
      </c>
      <c r="J56" s="6" t="s">
        <v>470</v>
      </c>
      <c r="K56" s="6" t="s">
        <v>471</v>
      </c>
      <c r="L56" s="17"/>
      <c r="M56" s="17"/>
      <c r="N56" s="17" t="str">
        <f t="shared" si="1"/>
        <v>OK</v>
      </c>
      <c r="O56" s="17" t="s">
        <v>35</v>
      </c>
      <c r="P56" s="6" t="s">
        <v>35</v>
      </c>
      <c r="Q56" s="17" t="s">
        <v>36</v>
      </c>
      <c r="R56" s="177" t="s">
        <v>472</v>
      </c>
      <c r="S56" s="173" t="s">
        <v>38</v>
      </c>
      <c r="T56" s="11" t="s">
        <v>28</v>
      </c>
      <c r="U56" s="22" t="s">
        <v>392</v>
      </c>
      <c r="V56" s="22" t="s">
        <v>392</v>
      </c>
      <c r="W56" s="22"/>
      <c r="X56" s="7"/>
      <c r="Y56" s="7"/>
      <c r="Z56" s="23"/>
      <c r="AA56" s="26"/>
    </row>
    <row r="57" spans="1:27" ht="15.75" customHeight="1">
      <c r="A57" s="10" t="s">
        <v>473</v>
      </c>
      <c r="B57" s="10" t="s">
        <v>27</v>
      </c>
      <c r="C57" s="11" t="s">
        <v>28</v>
      </c>
      <c r="D57" s="12"/>
      <c r="E57" s="13" t="s">
        <v>353</v>
      </c>
      <c r="F57" s="43" t="s">
        <v>475</v>
      </c>
      <c r="G57" s="6" t="str">
        <f ca="1">IFERROR(__xludf.DUMMYFUNCTION("CONCATENATE(B57,(VLOOKUP(C57,CATALOGOS!$F$2:$H$6,3,FALSE)),(VLOOKUP(T57,CATALOGOS!$J$2:$K$18,2,FALSE)),""-"",TO_TEXT(A57))"),"P05RM-0056")</f>
        <v>P05RM-0056</v>
      </c>
      <c r="H57" s="6" t="s">
        <v>476</v>
      </c>
      <c r="I57" s="6" t="s">
        <v>477</v>
      </c>
      <c r="J57" s="6" t="s">
        <v>478</v>
      </c>
      <c r="K57" s="43" t="s">
        <v>479</v>
      </c>
      <c r="L57" s="17"/>
      <c r="M57" s="17"/>
      <c r="N57" s="17" t="str">
        <f t="shared" si="1"/>
        <v>OK</v>
      </c>
      <c r="O57" s="17" t="s">
        <v>480</v>
      </c>
      <c r="P57" s="6">
        <v>1300</v>
      </c>
      <c r="Q57" s="17" t="s">
        <v>481</v>
      </c>
      <c r="R57" s="176" t="s">
        <v>482</v>
      </c>
      <c r="S57" s="173" t="s">
        <v>38</v>
      </c>
      <c r="T57" s="11" t="s">
        <v>147</v>
      </c>
      <c r="U57" s="20" t="s">
        <v>484</v>
      </c>
      <c r="V57" s="20" t="s">
        <v>484</v>
      </c>
      <c r="W57" s="20"/>
      <c r="X57" s="7"/>
      <c r="Y57" s="7"/>
      <c r="Z57" s="23"/>
      <c r="AA57" s="26"/>
    </row>
    <row r="58" spans="1:27" ht="15.75" customHeight="1">
      <c r="A58" s="10" t="s">
        <v>485</v>
      </c>
      <c r="B58" s="10" t="s">
        <v>27</v>
      </c>
      <c r="C58" s="11" t="s">
        <v>28</v>
      </c>
      <c r="D58" s="12"/>
      <c r="E58" s="13" t="s">
        <v>93</v>
      </c>
      <c r="F58" s="48" t="s">
        <v>486</v>
      </c>
      <c r="G58" s="6" t="str">
        <f ca="1">IFERROR(__xludf.DUMMYFUNCTION("CONCATENATE(B58,(VLOOKUP(C58,CATALOGOS!$F$2:$H$6,3,FALSE)),(VLOOKUP(T58,CATALOGOS!$J$2:$K$18,2,FALSE)),""-"",TO_TEXT(A58))"),"P05RM-0057")</f>
        <v>P05RM-0057</v>
      </c>
      <c r="H58" s="6" t="s">
        <v>487</v>
      </c>
      <c r="I58" s="6" t="s">
        <v>488</v>
      </c>
      <c r="J58" s="6" t="s">
        <v>489</v>
      </c>
      <c r="K58" s="6" t="s">
        <v>490</v>
      </c>
      <c r="L58" s="17"/>
      <c r="M58" s="17"/>
      <c r="N58" s="17" t="str">
        <f t="shared" si="1"/>
        <v>OK</v>
      </c>
      <c r="O58" s="17" t="s">
        <v>35</v>
      </c>
      <c r="P58" s="6" t="s">
        <v>35</v>
      </c>
      <c r="Q58" s="17" t="s">
        <v>36</v>
      </c>
      <c r="R58" s="177" t="s">
        <v>491</v>
      </c>
      <c r="S58" s="173" t="s">
        <v>38</v>
      </c>
      <c r="T58" s="11" t="s">
        <v>147</v>
      </c>
      <c r="U58" s="20" t="s">
        <v>493</v>
      </c>
      <c r="V58" s="20" t="s">
        <v>493</v>
      </c>
      <c r="W58" s="20"/>
      <c r="X58" s="7"/>
      <c r="Y58" s="7"/>
      <c r="Z58" s="23"/>
      <c r="AA58" s="26"/>
    </row>
    <row r="59" spans="1:27" ht="15.75" customHeight="1">
      <c r="A59" s="10" t="s">
        <v>494</v>
      </c>
      <c r="B59" s="10" t="s">
        <v>27</v>
      </c>
      <c r="C59" s="11" t="s">
        <v>28</v>
      </c>
      <c r="D59" s="12"/>
      <c r="E59" s="13" t="s">
        <v>425</v>
      </c>
      <c r="F59" s="43" t="s">
        <v>426</v>
      </c>
      <c r="G59" s="6" t="str">
        <f ca="1">IFERROR(__xludf.DUMMYFUNCTION("CONCATENATE(B59,(VLOOKUP(C59,CATALOGOS!$F$2:$H$6,3,FALSE)),(VLOOKUP(T59,CATALOGOS!$J$2:$K$18,2,FALSE)),""-"",TO_TEXT(A59))"),"P05DA-0058")</f>
        <v>P05DA-0058</v>
      </c>
      <c r="H59" s="6" t="s">
        <v>495</v>
      </c>
      <c r="I59" s="6" t="s">
        <v>496</v>
      </c>
      <c r="J59" s="6" t="s">
        <v>497</v>
      </c>
      <c r="K59" s="6" t="s">
        <v>498</v>
      </c>
      <c r="L59" s="17"/>
      <c r="M59" s="17"/>
      <c r="N59" s="17" t="str">
        <f t="shared" si="1"/>
        <v>OK</v>
      </c>
      <c r="O59" s="17" t="s">
        <v>35</v>
      </c>
      <c r="P59" s="6" t="s">
        <v>35</v>
      </c>
      <c r="Q59" s="17" t="s">
        <v>36</v>
      </c>
      <c r="R59" s="177" t="s">
        <v>499</v>
      </c>
      <c r="S59" s="173" t="s">
        <v>38</v>
      </c>
      <c r="T59" s="11" t="s">
        <v>28</v>
      </c>
      <c r="U59" s="22" t="s">
        <v>392</v>
      </c>
      <c r="V59" s="22" t="s">
        <v>392</v>
      </c>
      <c r="W59" s="22"/>
      <c r="X59" s="7"/>
      <c r="Y59" s="7"/>
      <c r="Z59" s="23"/>
      <c r="AA59" s="26"/>
    </row>
    <row r="60" spans="1:27" ht="15.75" customHeight="1">
      <c r="A60" s="10" t="s">
        <v>500</v>
      </c>
      <c r="B60" s="10" t="s">
        <v>27</v>
      </c>
      <c r="C60" s="11" t="s">
        <v>28</v>
      </c>
      <c r="D60" s="12"/>
      <c r="E60" s="13" t="s">
        <v>501</v>
      </c>
      <c r="F60" s="6" t="s">
        <v>502</v>
      </c>
      <c r="G60" s="6" t="str">
        <f ca="1">IFERROR(__xludf.DUMMYFUNCTION("CONCATENATE(B60,(VLOOKUP(C60,CATALOGOS!$F$2:$H$6,3,FALSE)),(VLOOKUP(T60,CATALOGOS!$J$2:$K$18,2,FALSE)),""-"",TO_TEXT(A60))"),"P05RM-0059")</f>
        <v>P05RM-0059</v>
      </c>
      <c r="H60" s="6" t="s">
        <v>503</v>
      </c>
      <c r="I60" s="6" t="s">
        <v>504</v>
      </c>
      <c r="J60" s="6" t="s">
        <v>505</v>
      </c>
      <c r="K60" s="6" t="s">
        <v>506</v>
      </c>
      <c r="L60" s="17"/>
      <c r="M60" s="17"/>
      <c r="N60" s="17" t="str">
        <f t="shared" si="1"/>
        <v>OK</v>
      </c>
      <c r="O60" s="17" t="s">
        <v>35</v>
      </c>
      <c r="P60" s="6" t="s">
        <v>35</v>
      </c>
      <c r="Q60" s="17" t="s">
        <v>36</v>
      </c>
      <c r="R60" s="177" t="s">
        <v>507</v>
      </c>
      <c r="S60" s="173" t="s">
        <v>38</v>
      </c>
      <c r="T60" s="11" t="s">
        <v>147</v>
      </c>
      <c r="U60" s="20" t="s">
        <v>508</v>
      </c>
      <c r="V60" s="20" t="s">
        <v>508</v>
      </c>
      <c r="W60" s="20"/>
      <c r="X60" s="6"/>
      <c r="Y60" s="6" t="s">
        <v>509</v>
      </c>
      <c r="Z60" s="23"/>
      <c r="AA60" s="26"/>
    </row>
    <row r="61" spans="1:27" ht="15.75" customHeight="1">
      <c r="A61" s="10" t="s">
        <v>510</v>
      </c>
      <c r="B61" s="10" t="s">
        <v>474</v>
      </c>
      <c r="C61" s="11" t="s">
        <v>28</v>
      </c>
      <c r="D61" s="12"/>
      <c r="E61" s="13" t="s">
        <v>378</v>
      </c>
      <c r="F61" s="43" t="s">
        <v>511</v>
      </c>
      <c r="G61" s="6" t="str">
        <f ca="1">IFERROR(__xludf.DUMMYFUNCTION("CONCATENATE(B61,(VLOOKUP(C61,CATALOGOS!$F$2:$H$6,3,FALSE)),(VLOOKUP(T61,CATALOGOS!$J$2:$K$18,2,FALSE)),""-"",TO_TEXT(A61))"),"P35DA-0060")</f>
        <v>P35DA-0060</v>
      </c>
      <c r="H61" s="6" t="s">
        <v>512</v>
      </c>
      <c r="I61" s="6" t="s">
        <v>513</v>
      </c>
      <c r="J61" s="6" t="s">
        <v>514</v>
      </c>
      <c r="K61" s="6" t="s">
        <v>515</v>
      </c>
      <c r="L61" s="17"/>
      <c r="M61" s="17"/>
      <c r="N61" s="17" t="str">
        <f t="shared" si="1"/>
        <v>OK</v>
      </c>
      <c r="O61" s="17" t="s">
        <v>35</v>
      </c>
      <c r="P61" s="6" t="s">
        <v>35</v>
      </c>
      <c r="Q61" s="17" t="s">
        <v>36</v>
      </c>
      <c r="R61" s="17" t="s">
        <v>516</v>
      </c>
      <c r="S61" s="173" t="s">
        <v>517</v>
      </c>
      <c r="T61" s="11" t="s">
        <v>28</v>
      </c>
      <c r="U61" s="22" t="s">
        <v>392</v>
      </c>
      <c r="V61" s="22" t="s">
        <v>392</v>
      </c>
      <c r="W61" s="22"/>
      <c r="X61" s="6"/>
      <c r="Y61" s="6" t="s">
        <v>518</v>
      </c>
      <c r="Z61" s="23"/>
      <c r="AA61" s="26"/>
    </row>
    <row r="62" spans="1:27" ht="15.75" customHeight="1">
      <c r="A62" s="10" t="s">
        <v>519</v>
      </c>
      <c r="B62" s="10" t="s">
        <v>27</v>
      </c>
      <c r="C62" s="11" t="s">
        <v>28</v>
      </c>
      <c r="D62" s="12"/>
      <c r="E62" s="13" t="s">
        <v>378</v>
      </c>
      <c r="F62" s="6" t="s">
        <v>520</v>
      </c>
      <c r="G62" s="6" t="str">
        <f ca="1">IFERROR(__xludf.DUMMYFUNCTION("CONCATENATE(B62,(VLOOKUP(C62,CATALOGOS!$F$2:$H$6,3,FALSE)),(VLOOKUP(T62,CATALOGOS!$J$2:$K$18,2,FALSE)),""-"",TO_TEXT(A62))"),"P05DA-0061")</f>
        <v>P05DA-0061</v>
      </c>
      <c r="H62" s="6" t="s">
        <v>521</v>
      </c>
      <c r="I62" s="6" t="s">
        <v>522</v>
      </c>
      <c r="J62" s="6" t="s">
        <v>523</v>
      </c>
      <c r="K62" s="6" t="s">
        <v>524</v>
      </c>
      <c r="L62" s="17"/>
      <c r="M62" s="17"/>
      <c r="N62" s="17" t="str">
        <f t="shared" si="1"/>
        <v>OK</v>
      </c>
      <c r="O62" s="17" t="s">
        <v>35</v>
      </c>
      <c r="P62" s="6" t="s">
        <v>35</v>
      </c>
      <c r="Q62" s="17" t="s">
        <v>36</v>
      </c>
      <c r="R62" s="17" t="s">
        <v>525</v>
      </c>
      <c r="S62" s="173" t="s">
        <v>38</v>
      </c>
      <c r="T62" s="11" t="s">
        <v>28</v>
      </c>
      <c r="U62" s="22" t="s">
        <v>392</v>
      </c>
      <c r="V62" s="22" t="s">
        <v>392</v>
      </c>
      <c r="W62" s="22"/>
      <c r="X62" s="6"/>
      <c r="Y62" s="6" t="s">
        <v>526</v>
      </c>
      <c r="Z62" s="23"/>
      <c r="AA62" s="26"/>
    </row>
    <row r="63" spans="1:27" ht="15.75" customHeight="1">
      <c r="A63" s="10" t="s">
        <v>527</v>
      </c>
      <c r="B63" s="10" t="s">
        <v>27</v>
      </c>
      <c r="C63" s="11" t="s">
        <v>28</v>
      </c>
      <c r="D63" s="12"/>
      <c r="E63" s="13" t="s">
        <v>93</v>
      </c>
      <c r="F63" s="6" t="s">
        <v>528</v>
      </c>
      <c r="G63" s="6" t="str">
        <f ca="1">IFERROR(__xludf.DUMMYFUNCTION("CONCATENATE(B63,(VLOOKUP(C63,CATALOGOS!$F$2:$H$6,3,FALSE)),(VLOOKUP(T63,CATALOGOS!$J$2:$K$18,2,FALSE)),""-"",TO_TEXT(A63))"),"P05DA-0062")</f>
        <v>P05DA-0062</v>
      </c>
      <c r="H63" s="6" t="s">
        <v>529</v>
      </c>
      <c r="I63" s="6" t="s">
        <v>530</v>
      </c>
      <c r="J63" s="6" t="s">
        <v>531</v>
      </c>
      <c r="K63" s="6" t="s">
        <v>532</v>
      </c>
      <c r="L63" s="17"/>
      <c r="M63" s="17"/>
      <c r="N63" s="17" t="str">
        <f t="shared" si="1"/>
        <v>OK</v>
      </c>
      <c r="O63" s="17" t="s">
        <v>35</v>
      </c>
      <c r="P63" s="6" t="s">
        <v>35</v>
      </c>
      <c r="Q63" s="17" t="s">
        <v>36</v>
      </c>
      <c r="R63" s="17" t="s">
        <v>533</v>
      </c>
      <c r="S63" s="173" t="s">
        <v>38</v>
      </c>
      <c r="T63" s="11" t="s">
        <v>28</v>
      </c>
      <c r="U63" s="22" t="s">
        <v>392</v>
      </c>
      <c r="V63" s="22" t="s">
        <v>392</v>
      </c>
      <c r="W63" s="22"/>
      <c r="X63" s="6"/>
      <c r="Y63" s="6"/>
      <c r="Z63" s="23"/>
      <c r="AA63" s="26"/>
    </row>
    <row r="64" spans="1:27" ht="15.75" customHeight="1">
      <c r="A64" s="10" t="s">
        <v>534</v>
      </c>
      <c r="B64" s="10" t="s">
        <v>474</v>
      </c>
      <c r="C64" s="11" t="s">
        <v>28</v>
      </c>
      <c r="D64" s="12"/>
      <c r="E64" s="13" t="s">
        <v>378</v>
      </c>
      <c r="F64" s="6" t="s">
        <v>535</v>
      </c>
      <c r="G64" s="6" t="str">
        <f ca="1">IFERROR(__xludf.DUMMYFUNCTION("CONCATENATE(B64,(VLOOKUP(C64,CATALOGOS!$F$2:$H$6,3,FALSE)),(VLOOKUP(T64,CATALOGOS!$J$2:$K$18,2,FALSE)),""-"",TO_TEXT(A64))"),"P35DA-0063")</f>
        <v>P35DA-0063</v>
      </c>
      <c r="H64" s="6" t="s">
        <v>536</v>
      </c>
      <c r="I64" s="6" t="s">
        <v>537</v>
      </c>
      <c r="J64" s="6" t="s">
        <v>538</v>
      </c>
      <c r="K64" s="6" t="s">
        <v>539</v>
      </c>
      <c r="L64" s="17"/>
      <c r="M64" s="17"/>
      <c r="N64" s="17" t="str">
        <f t="shared" si="1"/>
        <v>OK</v>
      </c>
      <c r="O64" s="17" t="s">
        <v>35</v>
      </c>
      <c r="P64" s="6" t="s">
        <v>35</v>
      </c>
      <c r="Q64" s="17" t="s">
        <v>36</v>
      </c>
      <c r="R64" s="17" t="s">
        <v>540</v>
      </c>
      <c r="S64" s="173" t="s">
        <v>38</v>
      </c>
      <c r="T64" s="11" t="s">
        <v>28</v>
      </c>
      <c r="U64" s="22" t="s">
        <v>392</v>
      </c>
      <c r="V64" s="22" t="s">
        <v>392</v>
      </c>
      <c r="W64" s="22"/>
      <c r="X64" s="6"/>
      <c r="Y64" s="6" t="s">
        <v>541</v>
      </c>
      <c r="Z64" s="23"/>
      <c r="AA64" s="26"/>
    </row>
    <row r="65" spans="1:27" ht="15.75" customHeight="1">
      <c r="A65" s="10" t="s">
        <v>542</v>
      </c>
      <c r="B65" s="10" t="s">
        <v>27</v>
      </c>
      <c r="C65" s="11" t="s">
        <v>28</v>
      </c>
      <c r="D65" s="12"/>
      <c r="E65" s="13" t="s">
        <v>93</v>
      </c>
      <c r="F65" s="6" t="s">
        <v>543</v>
      </c>
      <c r="G65" s="6" t="str">
        <f ca="1">IFERROR(__xludf.DUMMYFUNCTION("CONCATENATE(B65,(VLOOKUP(C65,CATALOGOS!$F$2:$H$6,3,FALSE)),(VLOOKUP(T65,CATALOGOS!$J$2:$K$18,2,FALSE)),""-"",TO_TEXT(A65))"),"P05DA-0064")</f>
        <v>P05DA-0064</v>
      </c>
      <c r="H65" s="6" t="s">
        <v>544</v>
      </c>
      <c r="I65" s="6" t="s">
        <v>545</v>
      </c>
      <c r="J65" s="6" t="s">
        <v>546</v>
      </c>
      <c r="K65" s="6" t="s">
        <v>547</v>
      </c>
      <c r="L65" s="17"/>
      <c r="M65" s="17"/>
      <c r="N65" s="17" t="str">
        <f t="shared" si="1"/>
        <v>OK</v>
      </c>
      <c r="O65" s="17" t="s">
        <v>35</v>
      </c>
      <c r="P65" s="6" t="s">
        <v>35</v>
      </c>
      <c r="Q65" s="17" t="s">
        <v>36</v>
      </c>
      <c r="R65" s="17" t="s">
        <v>548</v>
      </c>
      <c r="S65" s="173" t="s">
        <v>549</v>
      </c>
      <c r="T65" s="11" t="s">
        <v>28</v>
      </c>
      <c r="U65" s="22" t="s">
        <v>392</v>
      </c>
      <c r="V65" s="22" t="s">
        <v>392</v>
      </c>
      <c r="W65" s="22"/>
      <c r="X65" s="6"/>
      <c r="Y65" s="6" t="s">
        <v>541</v>
      </c>
      <c r="Z65" s="23"/>
      <c r="AA65" s="26"/>
    </row>
    <row r="66" spans="1:27" ht="15.75" customHeight="1">
      <c r="A66" s="10" t="s">
        <v>550</v>
      </c>
      <c r="B66" s="10" t="s">
        <v>27</v>
      </c>
      <c r="C66" s="11" t="s">
        <v>28</v>
      </c>
      <c r="D66" s="12"/>
      <c r="E66" s="13" t="s">
        <v>466</v>
      </c>
      <c r="F66" s="6" t="s">
        <v>551</v>
      </c>
      <c r="G66" s="6" t="str">
        <f ca="1">IFERROR(__xludf.DUMMYFUNCTION("CONCATENATE(B66,(VLOOKUP(C66,CATALOGOS!$F$2:$H$6,3,FALSE)),(VLOOKUP(T66,CATALOGOS!$J$2:$K$18,2,FALSE)),""-"",TO_TEXT(A66))"),"P05DA-0065")</f>
        <v>P05DA-0065</v>
      </c>
      <c r="H66" s="6" t="s">
        <v>552</v>
      </c>
      <c r="I66" s="6" t="s">
        <v>553</v>
      </c>
      <c r="J66" s="6" t="s">
        <v>554</v>
      </c>
      <c r="K66" s="6" t="s">
        <v>555</v>
      </c>
      <c r="L66" s="17"/>
      <c r="M66" s="17"/>
      <c r="N66" s="17" t="str">
        <f t="shared" si="1"/>
        <v>OK</v>
      </c>
      <c r="O66" s="17" t="s">
        <v>35</v>
      </c>
      <c r="P66" s="6" t="s">
        <v>35</v>
      </c>
      <c r="Q66" s="17" t="s">
        <v>36</v>
      </c>
      <c r="R66" s="17" t="s">
        <v>556</v>
      </c>
      <c r="S66" s="173" t="s">
        <v>38</v>
      </c>
      <c r="T66" s="11" t="s">
        <v>28</v>
      </c>
      <c r="U66" s="22" t="s">
        <v>392</v>
      </c>
      <c r="V66" s="22" t="s">
        <v>392</v>
      </c>
      <c r="W66" s="22"/>
      <c r="X66" s="7"/>
      <c r="Y66" s="7"/>
      <c r="Z66" s="23"/>
      <c r="AA66" s="26"/>
    </row>
    <row r="67" spans="1:27" ht="15.75" customHeight="1">
      <c r="A67" s="10" t="s">
        <v>557</v>
      </c>
      <c r="B67" s="10" t="s">
        <v>27</v>
      </c>
      <c r="C67" s="11" t="s">
        <v>28</v>
      </c>
      <c r="D67" s="12"/>
      <c r="E67" s="13" t="s">
        <v>53</v>
      </c>
      <c r="F67" s="6" t="s">
        <v>558</v>
      </c>
      <c r="G67" s="6" t="str">
        <f ca="1">IFERROR(__xludf.DUMMYFUNCTION("CONCATENATE(B67,(VLOOKUP(C67,CATALOGOS!$F$2:$H$6,3,FALSE)),(VLOOKUP(T67,CATALOGOS!$J$2:$K$18,2,FALSE)),""-"",TO_TEXT(A67))"),"P05DA-0066")</f>
        <v>P05DA-0066</v>
      </c>
      <c r="H67" s="6" t="s">
        <v>559</v>
      </c>
      <c r="I67" s="6" t="s">
        <v>560</v>
      </c>
      <c r="J67" s="6" t="s">
        <v>561</v>
      </c>
      <c r="K67" s="6" t="s">
        <v>562</v>
      </c>
      <c r="L67" s="17"/>
      <c r="M67" s="17"/>
      <c r="N67" s="17" t="str">
        <f t="shared" si="1"/>
        <v>OK</v>
      </c>
      <c r="O67" s="17" t="s">
        <v>35</v>
      </c>
      <c r="P67" s="6" t="s">
        <v>35</v>
      </c>
      <c r="Q67" s="17" t="s">
        <v>36</v>
      </c>
      <c r="R67" s="17" t="s">
        <v>563</v>
      </c>
      <c r="S67" s="173" t="s">
        <v>38</v>
      </c>
      <c r="T67" s="11" t="s">
        <v>28</v>
      </c>
      <c r="U67" s="22" t="s">
        <v>392</v>
      </c>
      <c r="V67" s="22" t="s">
        <v>392</v>
      </c>
      <c r="W67" s="22"/>
      <c r="X67" s="7"/>
      <c r="Y67" s="7"/>
      <c r="Z67" s="23"/>
      <c r="AA67" s="26"/>
    </row>
    <row r="68" spans="1:27" ht="15.75" customHeight="1">
      <c r="A68" s="10" t="s">
        <v>564</v>
      </c>
      <c r="B68" s="10" t="s">
        <v>27</v>
      </c>
      <c r="C68" s="11" t="s">
        <v>28</v>
      </c>
      <c r="D68" s="38"/>
      <c r="E68" s="13" t="s">
        <v>565</v>
      </c>
      <c r="F68" s="6" t="s">
        <v>566</v>
      </c>
      <c r="G68" s="6" t="str">
        <f ca="1">IFERROR(__xludf.DUMMYFUNCTION("CONCATENATE(B68,(VLOOKUP(C68,CATALOGOS!$F$2:$H$6,3,FALSE)),(VLOOKUP(T68,CATALOGOS!$J$2:$K$18,2,FALSE)),""-"",TO_TEXT(A68))"),"P05DA-0067")</f>
        <v>P05DA-0067</v>
      </c>
      <c r="H68" s="6" t="s">
        <v>567</v>
      </c>
      <c r="I68" s="6" t="s">
        <v>568</v>
      </c>
      <c r="J68" s="6" t="s">
        <v>569</v>
      </c>
      <c r="K68" s="6" t="s">
        <v>570</v>
      </c>
      <c r="L68" s="17"/>
      <c r="M68" s="17"/>
      <c r="N68" s="17" t="str">
        <f t="shared" si="1"/>
        <v>OK</v>
      </c>
      <c r="O68" s="17" t="s">
        <v>35</v>
      </c>
      <c r="P68" s="6" t="s">
        <v>35</v>
      </c>
      <c r="Q68" s="46" t="s">
        <v>36</v>
      </c>
      <c r="R68" s="17" t="s">
        <v>85</v>
      </c>
      <c r="S68" s="173" t="s">
        <v>38</v>
      </c>
      <c r="T68" s="11" t="s">
        <v>28</v>
      </c>
      <c r="U68" s="22" t="s">
        <v>392</v>
      </c>
      <c r="V68" s="22" t="s">
        <v>392</v>
      </c>
      <c r="W68" s="22"/>
      <c r="X68" s="7"/>
      <c r="Y68" s="7"/>
      <c r="Z68" s="26"/>
      <c r="AA68" s="26"/>
    </row>
    <row r="69" spans="1:27" ht="15.75" customHeight="1">
      <c r="A69" s="10" t="s">
        <v>571</v>
      </c>
      <c r="B69" s="10" t="s">
        <v>27</v>
      </c>
      <c r="C69" s="11" t="s">
        <v>28</v>
      </c>
      <c r="D69" s="12"/>
      <c r="E69" s="13" t="s">
        <v>501</v>
      </c>
      <c r="F69" s="6" t="s">
        <v>572</v>
      </c>
      <c r="G69" s="6" t="str">
        <f ca="1">IFERROR(__xludf.DUMMYFUNCTION("CONCATENATE(B69,(VLOOKUP(C69,CATALOGOS!$F$2:$H$6,3,FALSE)),(VLOOKUP(T69,CATALOGOS!$J$2:$K$18,2,FALSE)),""-"",TO_TEXT(A69))"),"P05RM-0068")</f>
        <v>P05RM-0068</v>
      </c>
      <c r="H69" s="6" t="s">
        <v>573</v>
      </c>
      <c r="I69" s="6" t="s">
        <v>574</v>
      </c>
      <c r="J69" s="6" t="s">
        <v>575</v>
      </c>
      <c r="K69" s="6" t="s">
        <v>576</v>
      </c>
      <c r="L69" s="17"/>
      <c r="M69" s="17"/>
      <c r="N69" s="17" t="str">
        <f t="shared" si="1"/>
        <v>OK</v>
      </c>
      <c r="O69" s="17" t="s">
        <v>35</v>
      </c>
      <c r="P69" s="6" t="s">
        <v>35</v>
      </c>
      <c r="Q69" s="17" t="s">
        <v>36</v>
      </c>
      <c r="R69" s="17" t="s">
        <v>577</v>
      </c>
      <c r="S69" s="173" t="s">
        <v>38</v>
      </c>
      <c r="T69" s="11" t="s">
        <v>147</v>
      </c>
      <c r="U69" s="22" t="s">
        <v>493</v>
      </c>
      <c r="V69" s="22" t="s">
        <v>493</v>
      </c>
      <c r="W69" s="22"/>
      <c r="X69" s="7"/>
      <c r="Y69" s="7"/>
      <c r="Z69" s="23"/>
      <c r="AA69" s="26"/>
    </row>
    <row r="70" spans="1:27" ht="15.75" customHeight="1">
      <c r="A70" s="10" t="s">
        <v>578</v>
      </c>
      <c r="B70" s="10" t="s">
        <v>27</v>
      </c>
      <c r="C70" s="11" t="s">
        <v>28</v>
      </c>
      <c r="D70" s="12"/>
      <c r="E70" s="13" t="s">
        <v>501</v>
      </c>
      <c r="F70" s="6" t="s">
        <v>579</v>
      </c>
      <c r="G70" s="6" t="str">
        <f ca="1">IFERROR(__xludf.DUMMYFUNCTION("CONCATENATE(B70,(VLOOKUP(C70,CATALOGOS!$F$2:$H$6,3,FALSE)),(VLOOKUP(T70,CATALOGOS!$J$2:$K$18,2,FALSE)),""-"",TO_TEXT(A70))"),"P05RM-0069")</f>
        <v>P05RM-0069</v>
      </c>
      <c r="H70" s="6" t="s">
        <v>580</v>
      </c>
      <c r="I70" s="6" t="s">
        <v>581</v>
      </c>
      <c r="J70" s="6" t="s">
        <v>582</v>
      </c>
      <c r="K70" s="6" t="s">
        <v>583</v>
      </c>
      <c r="L70" s="17"/>
      <c r="M70" s="17"/>
      <c r="N70" s="17" t="str">
        <f t="shared" si="1"/>
        <v>OK</v>
      </c>
      <c r="O70" s="17" t="s">
        <v>35</v>
      </c>
      <c r="P70" s="6" t="s">
        <v>35</v>
      </c>
      <c r="Q70" s="17" t="s">
        <v>36</v>
      </c>
      <c r="R70" s="17" t="s">
        <v>584</v>
      </c>
      <c r="S70" s="173" t="s">
        <v>38</v>
      </c>
      <c r="T70" s="11" t="s">
        <v>147</v>
      </c>
      <c r="U70" s="22" t="s">
        <v>493</v>
      </c>
      <c r="V70" s="22" t="s">
        <v>493</v>
      </c>
      <c r="W70" s="22"/>
      <c r="X70" s="7"/>
      <c r="Y70" s="7"/>
      <c r="Z70" s="23"/>
      <c r="AA70" s="26"/>
    </row>
    <row r="71" spans="1:27" ht="15.75" customHeight="1">
      <c r="A71" s="10" t="s">
        <v>275</v>
      </c>
      <c r="B71" s="10" t="s">
        <v>27</v>
      </c>
      <c r="C71" s="11" t="s">
        <v>28</v>
      </c>
      <c r="D71" s="12"/>
      <c r="E71" s="13" t="s">
        <v>62</v>
      </c>
      <c r="F71" s="6" t="s">
        <v>585</v>
      </c>
      <c r="G71" s="6" t="str">
        <f ca="1">IFERROR(__xludf.DUMMYFUNCTION("CONCATENATE(B71,(VLOOKUP(C71,CATALOGOS!$F$2:$H$6,3,FALSE)),(VLOOKUP(T71,CATALOGOS!$J$2:$K$18,2,FALSE)),""-"",TO_TEXT(A71))"),"P05RM-0070")</f>
        <v>P05RM-0070</v>
      </c>
      <c r="H71" s="6" t="s">
        <v>586</v>
      </c>
      <c r="I71" s="6" t="s">
        <v>587</v>
      </c>
      <c r="J71" s="6" t="s">
        <v>588</v>
      </c>
      <c r="K71" s="6" t="s">
        <v>589</v>
      </c>
      <c r="L71" s="17"/>
      <c r="M71" s="17"/>
      <c r="N71" s="17" t="str">
        <f t="shared" si="1"/>
        <v>OK</v>
      </c>
      <c r="O71" s="17" t="s">
        <v>35</v>
      </c>
      <c r="P71" s="6" t="s">
        <v>35</v>
      </c>
      <c r="Q71" s="17" t="s">
        <v>36</v>
      </c>
      <c r="R71" s="17" t="s">
        <v>590</v>
      </c>
      <c r="S71" s="173" t="s">
        <v>38</v>
      </c>
      <c r="T71" s="11" t="s">
        <v>147</v>
      </c>
      <c r="U71" s="22" t="s">
        <v>493</v>
      </c>
      <c r="V71" s="22" t="s">
        <v>493</v>
      </c>
      <c r="W71" s="22"/>
      <c r="X71" s="7"/>
      <c r="Y71" s="7"/>
      <c r="Z71" s="23"/>
      <c r="AA71" s="26"/>
    </row>
    <row r="72" spans="1:27" ht="15.75" customHeight="1">
      <c r="A72" s="10" t="s">
        <v>591</v>
      </c>
      <c r="B72" s="10" t="s">
        <v>27</v>
      </c>
      <c r="C72" s="11" t="s">
        <v>28</v>
      </c>
      <c r="D72" s="12"/>
      <c r="E72" s="13" t="s">
        <v>93</v>
      </c>
      <c r="F72" s="6" t="s">
        <v>592</v>
      </c>
      <c r="G72" s="6" t="str">
        <f ca="1">IFERROR(__xludf.DUMMYFUNCTION("CONCATENATE(B72,(VLOOKUP(C72,CATALOGOS!$F$2:$H$6,3,FALSE)),(VLOOKUP(T72,CATALOGOS!$J$2:$K$18,2,FALSE)),""-"",TO_TEXT(A72))"),"P05RM-0071")</f>
        <v>P05RM-0071</v>
      </c>
      <c r="H72" s="6" t="s">
        <v>593</v>
      </c>
      <c r="I72" s="6" t="s">
        <v>594</v>
      </c>
      <c r="J72" s="6" t="s">
        <v>595</v>
      </c>
      <c r="K72" s="6" t="s">
        <v>596</v>
      </c>
      <c r="L72" s="17"/>
      <c r="M72" s="17"/>
      <c r="N72" s="17" t="str">
        <f t="shared" si="1"/>
        <v>OK</v>
      </c>
      <c r="O72" s="17" t="s">
        <v>35</v>
      </c>
      <c r="P72" s="49" t="s">
        <v>35</v>
      </c>
      <c r="Q72" s="17" t="s">
        <v>36</v>
      </c>
      <c r="R72" s="17" t="s">
        <v>597</v>
      </c>
      <c r="S72" s="173" t="s">
        <v>38</v>
      </c>
      <c r="T72" s="11" t="s">
        <v>147</v>
      </c>
      <c r="U72" s="22" t="s">
        <v>493</v>
      </c>
      <c r="V72" s="22" t="s">
        <v>493</v>
      </c>
      <c r="W72" s="22"/>
      <c r="X72" s="7"/>
      <c r="Y72" s="7"/>
      <c r="Z72" s="23"/>
      <c r="AA72" s="26"/>
    </row>
    <row r="73" spans="1:27" ht="15.75" customHeight="1">
      <c r="A73" s="10" t="s">
        <v>598</v>
      </c>
      <c r="B73" s="10" t="s">
        <v>27</v>
      </c>
      <c r="C73" s="11" t="s">
        <v>28</v>
      </c>
      <c r="D73" s="12"/>
      <c r="E73" s="13" t="s">
        <v>116</v>
      </c>
      <c r="F73" s="6" t="s">
        <v>599</v>
      </c>
      <c r="G73" s="6" t="str">
        <f ca="1">IFERROR(__xludf.DUMMYFUNCTION("CONCATENATE(B73,(VLOOKUP(C73,CATALOGOS!$F$2:$H$6,3,FALSE)),(VLOOKUP(T73,CATALOGOS!$J$2:$K$18,2,FALSE)),""-"",TO_TEXT(A73))"),"P05RM-0072")</f>
        <v>P05RM-0072</v>
      </c>
      <c r="H73" s="6" t="s">
        <v>600</v>
      </c>
      <c r="I73" s="6" t="s">
        <v>601</v>
      </c>
      <c r="J73" s="6" t="s">
        <v>602</v>
      </c>
      <c r="K73" s="6" t="s">
        <v>603</v>
      </c>
      <c r="L73" s="17"/>
      <c r="M73" s="17"/>
      <c r="N73" s="17" t="str">
        <f t="shared" si="1"/>
        <v>OK</v>
      </c>
      <c r="O73" s="17" t="s">
        <v>35</v>
      </c>
      <c r="P73" s="6" t="s">
        <v>35</v>
      </c>
      <c r="Q73" s="17" t="s">
        <v>36</v>
      </c>
      <c r="R73" s="17" t="s">
        <v>604</v>
      </c>
      <c r="S73" s="173" t="s">
        <v>38</v>
      </c>
      <c r="T73" s="11" t="s">
        <v>147</v>
      </c>
      <c r="U73" s="22" t="s">
        <v>493</v>
      </c>
      <c r="V73" s="22" t="s">
        <v>493</v>
      </c>
      <c r="W73" s="22"/>
      <c r="X73" s="7"/>
      <c r="Y73" s="7"/>
      <c r="Z73" s="23"/>
      <c r="AA73" s="26"/>
    </row>
    <row r="74" spans="1:27" ht="15.75" customHeight="1">
      <c r="A74" s="10" t="s">
        <v>605</v>
      </c>
      <c r="B74" s="10" t="s">
        <v>27</v>
      </c>
      <c r="C74" s="11" t="s">
        <v>28</v>
      </c>
      <c r="D74" s="12"/>
      <c r="E74" s="13" t="s">
        <v>378</v>
      </c>
      <c r="F74" s="6" t="s">
        <v>606</v>
      </c>
      <c r="G74" s="6" t="str">
        <f ca="1">IFERROR(__xludf.DUMMYFUNCTION("CONCATENATE(B74,(VLOOKUP(C74,CATALOGOS!$F$2:$H$6,3,FALSE)),(VLOOKUP(T74,CATALOGOS!$J$2:$K$18,2,FALSE)),""-"",TO_TEXT(A74))"),"P05RM-0073")</f>
        <v>P05RM-0073</v>
      </c>
      <c r="H74" s="6" t="s">
        <v>607</v>
      </c>
      <c r="I74" s="6" t="s">
        <v>608</v>
      </c>
      <c r="J74" s="6" t="s">
        <v>609</v>
      </c>
      <c r="K74" s="6" t="s">
        <v>610</v>
      </c>
      <c r="L74" s="17"/>
      <c r="M74" s="17"/>
      <c r="N74" s="17" t="str">
        <f t="shared" si="1"/>
        <v>OK</v>
      </c>
      <c r="O74" s="17" t="s">
        <v>35</v>
      </c>
      <c r="P74" s="6" t="s">
        <v>35</v>
      </c>
      <c r="Q74" s="17" t="s">
        <v>36</v>
      </c>
      <c r="R74" s="17" t="s">
        <v>611</v>
      </c>
      <c r="S74" s="173" t="s">
        <v>38</v>
      </c>
      <c r="T74" s="11" t="s">
        <v>147</v>
      </c>
      <c r="U74" s="22" t="s">
        <v>493</v>
      </c>
      <c r="V74" s="22" t="s">
        <v>493</v>
      </c>
      <c r="W74" s="22"/>
      <c r="X74" s="7"/>
      <c r="Y74" s="7"/>
      <c r="Z74" s="23"/>
      <c r="AA74" s="26"/>
    </row>
    <row r="75" spans="1:27" ht="15.75" customHeight="1">
      <c r="A75" s="10" t="s">
        <v>612</v>
      </c>
      <c r="B75" s="10" t="s">
        <v>27</v>
      </c>
      <c r="C75" s="11" t="s">
        <v>28</v>
      </c>
      <c r="D75" s="12"/>
      <c r="E75" s="13" t="s">
        <v>378</v>
      </c>
      <c r="F75" s="6" t="s">
        <v>606</v>
      </c>
      <c r="G75" s="6" t="str">
        <f ca="1">IFERROR(__xludf.DUMMYFUNCTION("CONCATENATE(B75,(VLOOKUP(C75,CATALOGOS!$F$2:$H$6,3,FALSE)),(VLOOKUP(T75,CATALOGOS!$J$2:$K$18,2,FALSE)),""-"",TO_TEXT(A75))"),"P05RM-0074")</f>
        <v>P05RM-0074</v>
      </c>
      <c r="H75" s="6" t="s">
        <v>613</v>
      </c>
      <c r="I75" s="6" t="s">
        <v>614</v>
      </c>
      <c r="J75" s="6" t="s">
        <v>615</v>
      </c>
      <c r="K75" s="6" t="s">
        <v>616</v>
      </c>
      <c r="L75" s="17"/>
      <c r="M75" s="17"/>
      <c r="N75" s="17" t="str">
        <f t="shared" si="1"/>
        <v>OK</v>
      </c>
      <c r="O75" s="17" t="s">
        <v>35</v>
      </c>
      <c r="P75" s="6" t="s">
        <v>35</v>
      </c>
      <c r="Q75" s="17" t="s">
        <v>36</v>
      </c>
      <c r="R75" s="17" t="s">
        <v>617</v>
      </c>
      <c r="S75" s="173" t="s">
        <v>38</v>
      </c>
      <c r="T75" s="11" t="s">
        <v>147</v>
      </c>
      <c r="U75" s="22" t="s">
        <v>493</v>
      </c>
      <c r="V75" s="22" t="s">
        <v>493</v>
      </c>
      <c r="W75" s="22"/>
      <c r="X75" s="7"/>
      <c r="Y75" s="7"/>
      <c r="Z75" s="23"/>
      <c r="AA75" s="26"/>
    </row>
    <row r="76" spans="1:27" ht="15.75" customHeight="1">
      <c r="A76" s="10" t="s">
        <v>618</v>
      </c>
      <c r="B76" s="10" t="s">
        <v>27</v>
      </c>
      <c r="C76" s="11" t="s">
        <v>28</v>
      </c>
      <c r="D76" s="12"/>
      <c r="E76" s="13" t="s">
        <v>151</v>
      </c>
      <c r="F76" s="6" t="s">
        <v>152</v>
      </c>
      <c r="G76" s="6" t="str">
        <f ca="1">IFERROR(__xludf.DUMMYFUNCTION("CONCATENATE(B76,(VLOOKUP(C76,CATALOGOS!$F$2:$H$6,3,FALSE)),(VLOOKUP(T76,CATALOGOS!$J$2:$K$18,2,FALSE)),""-"",TO_TEXT(A76))"),"P05RM-0075")</f>
        <v>P05RM-0075</v>
      </c>
      <c r="H76" s="6" t="s">
        <v>619</v>
      </c>
      <c r="I76" s="6" t="s">
        <v>620</v>
      </c>
      <c r="J76" s="6" t="s">
        <v>621</v>
      </c>
      <c r="K76" s="6" t="s">
        <v>141</v>
      </c>
      <c r="L76" s="17"/>
      <c r="M76" s="17"/>
      <c r="N76" s="17" t="str">
        <f t="shared" si="1"/>
        <v>REPETIDO</v>
      </c>
      <c r="O76" s="17" t="s">
        <v>157</v>
      </c>
      <c r="P76" s="6" t="s">
        <v>158</v>
      </c>
      <c r="Q76" s="17" t="s">
        <v>36</v>
      </c>
      <c r="R76" s="10" t="s">
        <v>622</v>
      </c>
      <c r="S76" s="173" t="s">
        <v>38</v>
      </c>
      <c r="T76" s="11" t="s">
        <v>147</v>
      </c>
      <c r="U76" s="22" t="s">
        <v>493</v>
      </c>
      <c r="V76" s="22" t="s">
        <v>493</v>
      </c>
      <c r="W76" s="22"/>
      <c r="X76" s="7"/>
      <c r="Y76" s="7"/>
      <c r="Z76" s="23"/>
      <c r="AA76" s="26"/>
    </row>
    <row r="77" spans="1:27" ht="15.75" customHeight="1">
      <c r="A77" s="10" t="s">
        <v>623</v>
      </c>
      <c r="B77" s="10" t="s">
        <v>27</v>
      </c>
      <c r="C77" s="11" t="s">
        <v>28</v>
      </c>
      <c r="D77" s="12"/>
      <c r="E77" s="13" t="s">
        <v>199</v>
      </c>
      <c r="F77" s="6" t="s">
        <v>199</v>
      </c>
      <c r="G77" s="6" t="str">
        <f ca="1">IFERROR(__xludf.DUMMYFUNCTION("CONCATENATE(B77,(VLOOKUP(C77,CATALOGOS!$F$2:$H$6,3,FALSE)),(VLOOKUP(T77,CATALOGOS!$J$2:$K$18,2,FALSE)),""-"",TO_TEXT(A77))"),"P05RM-0076")</f>
        <v>P05RM-0076</v>
      </c>
      <c r="H77" s="6" t="s">
        <v>624</v>
      </c>
      <c r="I77" s="6" t="s">
        <v>625</v>
      </c>
      <c r="J77" s="6" t="s">
        <v>626</v>
      </c>
      <c r="K77" s="6" t="s">
        <v>627</v>
      </c>
      <c r="L77" s="17"/>
      <c r="M77" s="17"/>
      <c r="N77" s="17" t="str">
        <f t="shared" si="1"/>
        <v>OK</v>
      </c>
      <c r="O77" s="17" t="s">
        <v>157</v>
      </c>
      <c r="P77" s="6">
        <v>2378</v>
      </c>
      <c r="Q77" s="17" t="s">
        <v>628</v>
      </c>
      <c r="R77" s="17" t="s">
        <v>629</v>
      </c>
      <c r="S77" s="173" t="s">
        <v>38</v>
      </c>
      <c r="T77" s="11" t="s">
        <v>147</v>
      </c>
      <c r="U77" s="22" t="s">
        <v>493</v>
      </c>
      <c r="V77" s="22" t="s">
        <v>493</v>
      </c>
      <c r="W77" s="22"/>
      <c r="X77" s="7"/>
      <c r="Y77" s="7"/>
      <c r="Z77" s="23"/>
      <c r="AA77" s="26"/>
    </row>
    <row r="78" spans="1:27" ht="15.75" customHeight="1">
      <c r="A78" s="10" t="s">
        <v>630</v>
      </c>
      <c r="B78" s="10" t="s">
        <v>27</v>
      </c>
      <c r="C78" s="11" t="s">
        <v>28</v>
      </c>
      <c r="D78" s="12"/>
      <c r="E78" s="13" t="s">
        <v>151</v>
      </c>
      <c r="F78" s="6" t="s">
        <v>152</v>
      </c>
      <c r="G78" s="6" t="str">
        <f ca="1">IFERROR(__xludf.DUMMYFUNCTION("CONCATENATE(B78,(VLOOKUP(C78,CATALOGOS!$F$2:$H$6,3,FALSE)),(VLOOKUP(T78,CATALOGOS!$J$2:$K$18,2,FALSE)),""-"",TO_TEXT(A78))"),"P05RM-0077")</f>
        <v>P05RM-0077</v>
      </c>
      <c r="H78" s="6" t="s">
        <v>631</v>
      </c>
      <c r="I78" s="6" t="s">
        <v>632</v>
      </c>
      <c r="J78" s="6" t="s">
        <v>633</v>
      </c>
      <c r="K78" s="6" t="s">
        <v>634</v>
      </c>
      <c r="L78" s="17"/>
      <c r="M78" s="17"/>
      <c r="N78" s="17" t="str">
        <f t="shared" si="1"/>
        <v>OK</v>
      </c>
      <c r="O78" s="17" t="s">
        <v>157</v>
      </c>
      <c r="P78" s="6" t="s">
        <v>158</v>
      </c>
      <c r="Q78" s="17" t="s">
        <v>635</v>
      </c>
      <c r="R78" s="10" t="s">
        <v>636</v>
      </c>
      <c r="S78" s="173" t="s">
        <v>38</v>
      </c>
      <c r="T78" s="11" t="s">
        <v>147</v>
      </c>
      <c r="U78" s="22" t="s">
        <v>493</v>
      </c>
      <c r="V78" s="22" t="s">
        <v>493</v>
      </c>
      <c r="W78" s="22"/>
      <c r="X78" s="7"/>
      <c r="Y78" s="7"/>
      <c r="Z78" s="23"/>
      <c r="AA78" s="26"/>
    </row>
    <row r="79" spans="1:27" ht="15.75" customHeight="1">
      <c r="A79" s="10" t="s">
        <v>637</v>
      </c>
      <c r="B79" s="10" t="s">
        <v>27</v>
      </c>
      <c r="C79" s="11" t="s">
        <v>28</v>
      </c>
      <c r="D79" s="12"/>
      <c r="E79" s="13" t="s">
        <v>353</v>
      </c>
      <c r="F79" s="43" t="s">
        <v>638</v>
      </c>
      <c r="G79" s="6" t="str">
        <f ca="1">IFERROR(__xludf.DUMMYFUNCTION("CONCATENATE(B79,(VLOOKUP(C79,CATALOGOS!$F$2:$H$6,3,FALSE)),(VLOOKUP(T79,CATALOGOS!$J$2:$K$18,2,FALSE)),""-"",TO_TEXT(A79))"),"P05RM-0078")</f>
        <v>P05RM-0078</v>
      </c>
      <c r="H79" s="6" t="s">
        <v>639</v>
      </c>
      <c r="I79" s="6" t="s">
        <v>640</v>
      </c>
      <c r="J79" s="6" t="s">
        <v>641</v>
      </c>
      <c r="K79" s="6" t="s">
        <v>642</v>
      </c>
      <c r="L79" s="17"/>
      <c r="M79" s="17"/>
      <c r="N79" s="17" t="str">
        <f t="shared" si="1"/>
        <v>OK</v>
      </c>
      <c r="O79" s="17" t="s">
        <v>359</v>
      </c>
      <c r="P79" s="6" t="s">
        <v>360</v>
      </c>
      <c r="Q79" s="17" t="s">
        <v>643</v>
      </c>
      <c r="R79" s="17" t="s">
        <v>644</v>
      </c>
      <c r="S79" s="173" t="s">
        <v>38</v>
      </c>
      <c r="T79" s="11" t="s">
        <v>147</v>
      </c>
      <c r="U79" s="22" t="s">
        <v>493</v>
      </c>
      <c r="V79" s="22" t="s">
        <v>493</v>
      </c>
      <c r="W79" s="22"/>
      <c r="X79" s="7"/>
      <c r="Y79" s="7"/>
      <c r="Z79" s="23"/>
      <c r="AA79" s="26"/>
    </row>
    <row r="80" spans="1:27" ht="15.75" customHeight="1">
      <c r="A80" s="10" t="s">
        <v>645</v>
      </c>
      <c r="B80" s="10" t="s">
        <v>27</v>
      </c>
      <c r="C80" s="11" t="s">
        <v>28</v>
      </c>
      <c r="D80" s="12"/>
      <c r="E80" s="13" t="s">
        <v>93</v>
      </c>
      <c r="F80" s="6" t="s">
        <v>646</v>
      </c>
      <c r="G80" s="6" t="str">
        <f ca="1">IFERROR(__xludf.DUMMYFUNCTION("CONCATENATE(B80,(VLOOKUP(C80,CATALOGOS!$F$2:$H$6,3,FALSE)),(VLOOKUP(T80,CATALOGOS!$J$2:$K$18,2,FALSE)),""-"",TO_TEXT(A80))"),"P05RM-0079")</f>
        <v>P05RM-0079</v>
      </c>
      <c r="H80" s="6" t="s">
        <v>647</v>
      </c>
      <c r="I80" s="6" t="s">
        <v>648</v>
      </c>
      <c r="J80" s="6" t="s">
        <v>649</v>
      </c>
      <c r="K80" s="6" t="s">
        <v>650</v>
      </c>
      <c r="L80" s="17"/>
      <c r="M80" s="17"/>
      <c r="N80" s="17" t="str">
        <f t="shared" si="1"/>
        <v>OK</v>
      </c>
      <c r="O80" s="17" t="s">
        <v>35</v>
      </c>
      <c r="P80" s="6" t="s">
        <v>35</v>
      </c>
      <c r="Q80" s="17" t="s">
        <v>36</v>
      </c>
      <c r="R80" s="17" t="s">
        <v>651</v>
      </c>
      <c r="S80" s="173" t="s">
        <v>38</v>
      </c>
      <c r="T80" s="11" t="s">
        <v>147</v>
      </c>
      <c r="U80" s="22" t="s">
        <v>493</v>
      </c>
      <c r="V80" s="22" t="s">
        <v>493</v>
      </c>
      <c r="W80" s="22"/>
      <c r="X80" s="7"/>
      <c r="Y80" s="7"/>
      <c r="Z80" s="23"/>
      <c r="AA80" s="26"/>
    </row>
    <row r="81" spans="1:28" ht="15.75" customHeight="1">
      <c r="A81" s="10" t="s">
        <v>652</v>
      </c>
      <c r="B81" s="10" t="s">
        <v>27</v>
      </c>
      <c r="C81" s="11" t="s">
        <v>28</v>
      </c>
      <c r="D81" s="12"/>
      <c r="E81" s="13" t="s">
        <v>184</v>
      </c>
      <c r="F81" s="6" t="s">
        <v>653</v>
      </c>
      <c r="G81" s="6" t="str">
        <f ca="1">IFERROR(__xludf.DUMMYFUNCTION("CONCATENATE(B81,(VLOOKUP(C81,CATALOGOS!$F$2:$H$6,3,FALSE)),(VLOOKUP(T81,CATALOGOS!$J$2:$K$18,2,FALSE)),""-"",TO_TEXT(A81))"),"P05RM-0080")</f>
        <v>P05RM-0080</v>
      </c>
      <c r="H81" s="6" t="s">
        <v>654</v>
      </c>
      <c r="I81" s="6" t="s">
        <v>655</v>
      </c>
      <c r="J81" s="6" t="s">
        <v>656</v>
      </c>
      <c r="K81" s="6" t="s">
        <v>657</v>
      </c>
      <c r="L81" s="17"/>
      <c r="M81" s="17"/>
      <c r="N81" s="17" t="str">
        <f t="shared" si="1"/>
        <v>OK</v>
      </c>
      <c r="O81" s="17" t="s">
        <v>35</v>
      </c>
      <c r="P81" s="6" t="s">
        <v>35</v>
      </c>
      <c r="Q81" s="17" t="s">
        <v>36</v>
      </c>
      <c r="R81" s="17" t="s">
        <v>658</v>
      </c>
      <c r="S81" s="173" t="s">
        <v>38</v>
      </c>
      <c r="T81" s="11" t="s">
        <v>147</v>
      </c>
      <c r="U81" s="22" t="s">
        <v>493</v>
      </c>
      <c r="V81" s="22" t="s">
        <v>493</v>
      </c>
      <c r="W81" s="22"/>
      <c r="X81" s="7"/>
      <c r="Y81" s="7"/>
      <c r="Z81" s="23"/>
      <c r="AA81" s="26"/>
    </row>
    <row r="82" spans="1:28" ht="15.75" customHeight="1">
      <c r="A82" s="10" t="s">
        <v>659</v>
      </c>
      <c r="B82" s="10" t="s">
        <v>27</v>
      </c>
      <c r="C82" s="11" t="s">
        <v>28</v>
      </c>
      <c r="D82" s="12"/>
      <c r="E82" s="13" t="s">
        <v>162</v>
      </c>
      <c r="F82" s="6" t="s">
        <v>162</v>
      </c>
      <c r="G82" s="6" t="str">
        <f ca="1">IFERROR(__xludf.DUMMYFUNCTION("CONCATENATE(B82,(VLOOKUP(C82,CATALOGOS!$F$2:$H$6,3,FALSE)),(VLOOKUP(T82,CATALOGOS!$J$2:$K$18,2,FALSE)),""-"",TO_TEXT(A82))"),"P05RM-0081")</f>
        <v>P05RM-0081</v>
      </c>
      <c r="H82" s="6" t="s">
        <v>660</v>
      </c>
      <c r="I82" s="6" t="s">
        <v>661</v>
      </c>
      <c r="J82" s="6" t="s">
        <v>662</v>
      </c>
      <c r="K82" s="6" t="s">
        <v>141</v>
      </c>
      <c r="L82" s="17"/>
      <c r="M82" s="17"/>
      <c r="N82" s="17" t="str">
        <f t="shared" si="1"/>
        <v>REPETIDO</v>
      </c>
      <c r="O82" s="17" t="s">
        <v>663</v>
      </c>
      <c r="P82" s="6" t="s">
        <v>664</v>
      </c>
      <c r="Q82" s="17" t="s">
        <v>665</v>
      </c>
      <c r="R82" s="17" t="s">
        <v>85</v>
      </c>
      <c r="S82" s="173" t="s">
        <v>38</v>
      </c>
      <c r="T82" s="11" t="s">
        <v>147</v>
      </c>
      <c r="U82" s="22" t="s">
        <v>493</v>
      </c>
      <c r="V82" s="22" t="s">
        <v>493</v>
      </c>
      <c r="W82" s="22"/>
      <c r="X82" s="7"/>
      <c r="Y82" s="7"/>
      <c r="Z82" s="23"/>
      <c r="AA82" s="26"/>
    </row>
    <row r="83" spans="1:28" ht="15.75" customHeight="1">
      <c r="A83" s="10" t="s">
        <v>666</v>
      </c>
      <c r="B83" s="10" t="s">
        <v>27</v>
      </c>
      <c r="C83" s="11" t="s">
        <v>28</v>
      </c>
      <c r="D83" s="38"/>
      <c r="E83" s="13" t="s">
        <v>43</v>
      </c>
      <c r="F83" s="6" t="s">
        <v>667</v>
      </c>
      <c r="G83" s="6" t="str">
        <f ca="1">IFERROR(__xludf.DUMMYFUNCTION("CONCATENATE(B83,(VLOOKUP(C83,CATALOGOS!$F$2:$H$6,3,FALSE)),(VLOOKUP(T83,CATALOGOS!$J$2:$K$18,2,FALSE)),""-"",TO_TEXT(A83))"),"P05RM-0082")</f>
        <v>P05RM-0082</v>
      </c>
      <c r="H83" s="6" t="s">
        <v>668</v>
      </c>
      <c r="I83" s="6" t="s">
        <v>669</v>
      </c>
      <c r="J83" s="6" t="s">
        <v>670</v>
      </c>
      <c r="K83" s="6" t="s">
        <v>671</v>
      </c>
      <c r="L83" s="17"/>
      <c r="M83" s="17"/>
      <c r="N83" s="17" t="str">
        <f t="shared" si="1"/>
        <v>OK</v>
      </c>
      <c r="O83" s="17" t="s">
        <v>672</v>
      </c>
      <c r="P83" s="6" t="s">
        <v>673</v>
      </c>
      <c r="Q83" s="46" t="s">
        <v>674</v>
      </c>
      <c r="R83" s="17" t="s">
        <v>675</v>
      </c>
      <c r="S83" s="173" t="s">
        <v>38</v>
      </c>
      <c r="T83" s="11" t="s">
        <v>147</v>
      </c>
      <c r="U83" s="22" t="s">
        <v>493</v>
      </c>
      <c r="V83" s="22" t="s">
        <v>493</v>
      </c>
      <c r="W83" s="22"/>
      <c r="X83" s="7"/>
      <c r="Y83" s="7"/>
      <c r="Z83" s="38" t="s">
        <v>675</v>
      </c>
      <c r="AA83" s="38"/>
      <c r="AB83" s="8"/>
    </row>
    <row r="84" spans="1:28" ht="15.75" customHeight="1">
      <c r="A84" s="10" t="s">
        <v>676</v>
      </c>
      <c r="B84" s="10" t="s">
        <v>27</v>
      </c>
      <c r="C84" s="11" t="s">
        <v>28</v>
      </c>
      <c r="D84" s="12"/>
      <c r="E84" s="13" t="s">
        <v>199</v>
      </c>
      <c r="F84" s="6" t="s">
        <v>677</v>
      </c>
      <c r="G84" s="6" t="str">
        <f ca="1">IFERROR(__xludf.DUMMYFUNCTION("CONCATENATE(B84,(VLOOKUP(C84,CATALOGOS!$F$2:$H$6,3,FALSE)),(VLOOKUP(T84,CATALOGOS!$J$2:$K$18,2,FALSE)),""-"",TO_TEXT(A84))"),"P05RH-0083")</f>
        <v>P05RH-0083</v>
      </c>
      <c r="H84" s="6" t="s">
        <v>678</v>
      </c>
      <c r="I84" s="6" t="s">
        <v>679</v>
      </c>
      <c r="J84" s="6" t="s">
        <v>680</v>
      </c>
      <c r="K84" s="6" t="s">
        <v>681</v>
      </c>
      <c r="L84" s="17"/>
      <c r="M84" s="17"/>
      <c r="N84" s="17" t="str">
        <f t="shared" si="1"/>
        <v>OK</v>
      </c>
      <c r="O84" s="17" t="s">
        <v>682</v>
      </c>
      <c r="P84" s="6" t="s">
        <v>683</v>
      </c>
      <c r="Q84" s="6" t="s">
        <v>684</v>
      </c>
      <c r="R84" s="10" t="s">
        <v>685</v>
      </c>
      <c r="S84" s="173" t="s">
        <v>38</v>
      </c>
      <c r="T84" s="11" t="s">
        <v>723</v>
      </c>
      <c r="U84" s="20" t="s">
        <v>687</v>
      </c>
      <c r="V84" s="20" t="s">
        <v>687</v>
      </c>
      <c r="W84" s="20"/>
      <c r="X84" s="7"/>
      <c r="Y84" s="7"/>
      <c r="Z84" s="23"/>
      <c r="AA84" s="26"/>
    </row>
    <row r="85" spans="1:28" ht="15.75" customHeight="1">
      <c r="A85" s="10" t="s">
        <v>688</v>
      </c>
      <c r="B85" s="10" t="s">
        <v>27</v>
      </c>
      <c r="C85" s="11" t="s">
        <v>28</v>
      </c>
      <c r="D85" s="12"/>
      <c r="E85" s="13" t="s">
        <v>136</v>
      </c>
      <c r="F85" s="6" t="s">
        <v>689</v>
      </c>
      <c r="G85" s="6" t="str">
        <f ca="1">IFERROR(__xludf.DUMMYFUNCTION("CONCATENATE(B85,(VLOOKUP(C85,CATALOGOS!$F$2:$H$6,3,FALSE)),(VLOOKUP(T85,CATALOGOS!$J$2:$K$18,2,FALSE)),""-"",TO_TEXT(A85))"),"P05RM-0084")</f>
        <v>P05RM-0084</v>
      </c>
      <c r="H85" s="6" t="s">
        <v>690</v>
      </c>
      <c r="I85" s="6" t="s">
        <v>691</v>
      </c>
      <c r="J85" s="6" t="s">
        <v>692</v>
      </c>
      <c r="K85" s="6" t="s">
        <v>693</v>
      </c>
      <c r="L85" s="17"/>
      <c r="M85" s="17"/>
      <c r="N85" s="17" t="str">
        <f t="shared" si="1"/>
        <v>OK</v>
      </c>
      <c r="O85" s="17" t="s">
        <v>205</v>
      </c>
      <c r="P85" s="6" t="s">
        <v>694</v>
      </c>
      <c r="Q85" s="17" t="s">
        <v>695</v>
      </c>
      <c r="R85" s="17" t="s">
        <v>696</v>
      </c>
      <c r="S85" s="173" t="s">
        <v>8433</v>
      </c>
      <c r="T85" s="11" t="s">
        <v>147</v>
      </c>
      <c r="U85" s="22" t="s">
        <v>484</v>
      </c>
      <c r="V85" s="22" t="s">
        <v>484</v>
      </c>
      <c r="W85" s="22"/>
      <c r="X85" s="7"/>
      <c r="Y85" s="7"/>
      <c r="Z85" s="23"/>
      <c r="AA85" s="26"/>
    </row>
    <row r="86" spans="1:28" ht="15.75" customHeight="1">
      <c r="A86" s="10" t="s">
        <v>697</v>
      </c>
      <c r="B86" s="10" t="s">
        <v>27</v>
      </c>
      <c r="C86" s="11" t="s">
        <v>28</v>
      </c>
      <c r="D86" s="12"/>
      <c r="E86" s="13" t="s">
        <v>151</v>
      </c>
      <c r="F86" s="6" t="s">
        <v>698</v>
      </c>
      <c r="G86" s="6" t="str">
        <f ca="1">IFERROR(__xludf.DUMMYFUNCTION("CONCATENATE(B86,(VLOOKUP(C86,CATALOGOS!$F$2:$H$6,3,FALSE)),(VLOOKUP(T86,CATALOGOS!$J$2:$K$18,2,FALSE)),""-"",TO_TEXT(A86))"),"P05RM-0085")</f>
        <v>P05RM-0085</v>
      </c>
      <c r="H86" s="6" t="s">
        <v>699</v>
      </c>
      <c r="I86" s="6" t="s">
        <v>700</v>
      </c>
      <c r="J86" s="6" t="s">
        <v>701</v>
      </c>
      <c r="K86" s="43" t="s">
        <v>702</v>
      </c>
      <c r="L86" s="17"/>
      <c r="M86" s="17"/>
      <c r="N86" s="17" t="str">
        <f t="shared" si="1"/>
        <v>OK</v>
      </c>
      <c r="O86" s="17" t="s">
        <v>703</v>
      </c>
      <c r="P86" s="6" t="s">
        <v>704</v>
      </c>
      <c r="Q86" s="32" t="s">
        <v>705</v>
      </c>
      <c r="R86" s="32" t="s">
        <v>8373</v>
      </c>
      <c r="S86" s="173" t="s">
        <v>38</v>
      </c>
      <c r="T86" s="11" t="s">
        <v>147</v>
      </c>
      <c r="U86" s="22" t="s">
        <v>484</v>
      </c>
      <c r="V86" s="22" t="s">
        <v>484</v>
      </c>
      <c r="W86" s="22"/>
      <c r="X86" s="7"/>
      <c r="Y86" s="7"/>
      <c r="Z86" s="23"/>
      <c r="AA86" s="26"/>
    </row>
    <row r="87" spans="1:28" ht="15.75" customHeight="1">
      <c r="A87" s="10" t="s">
        <v>706</v>
      </c>
      <c r="B87" s="10" t="s">
        <v>27</v>
      </c>
      <c r="C87" s="11" t="s">
        <v>28</v>
      </c>
      <c r="D87" s="12"/>
      <c r="E87" s="13" t="s">
        <v>151</v>
      </c>
      <c r="F87" s="6" t="s">
        <v>698</v>
      </c>
      <c r="G87" s="6" t="str">
        <f ca="1">IFERROR(__xludf.DUMMYFUNCTION("CONCATENATE(B87,(VLOOKUP(C87,CATALOGOS!$F$2:$H$6,3,FALSE)),(VLOOKUP(T87,CATALOGOS!$J$2:$K$18,2,FALSE)),""-"",TO_TEXT(A87))"),"P05RM-0086")</f>
        <v>P05RM-0086</v>
      </c>
      <c r="H87" s="6" t="s">
        <v>707</v>
      </c>
      <c r="I87" s="6" t="s">
        <v>708</v>
      </c>
      <c r="J87" s="6" t="s">
        <v>709</v>
      </c>
      <c r="K87" s="6" t="s">
        <v>710</v>
      </c>
      <c r="L87" s="17"/>
      <c r="M87" s="17"/>
      <c r="N87" s="17" t="str">
        <f t="shared" si="1"/>
        <v>OK</v>
      </c>
      <c r="O87" s="17" t="s">
        <v>703</v>
      </c>
      <c r="P87" s="6" t="s">
        <v>704</v>
      </c>
      <c r="Q87" s="32" t="s">
        <v>711</v>
      </c>
      <c r="R87" s="32" t="s">
        <v>712</v>
      </c>
      <c r="S87" s="173" t="s">
        <v>38</v>
      </c>
      <c r="T87" s="11" t="s">
        <v>147</v>
      </c>
      <c r="U87" s="22" t="s">
        <v>484</v>
      </c>
      <c r="V87" s="22" t="s">
        <v>484</v>
      </c>
      <c r="W87" s="22"/>
      <c r="X87" s="7"/>
      <c r="Y87" s="7"/>
      <c r="Z87" s="23"/>
      <c r="AA87" s="26"/>
    </row>
    <row r="88" spans="1:28" ht="15.75" customHeight="1">
      <c r="A88" s="10" t="s">
        <v>713</v>
      </c>
      <c r="B88" s="10" t="s">
        <v>27</v>
      </c>
      <c r="C88" s="11" t="s">
        <v>28</v>
      </c>
      <c r="D88" s="12"/>
      <c r="E88" s="13" t="s">
        <v>151</v>
      </c>
      <c r="F88" s="6" t="s">
        <v>714</v>
      </c>
      <c r="G88" s="6" t="str">
        <f ca="1">IFERROR(__xludf.DUMMYFUNCTION("CONCATENATE(B88,(VLOOKUP(C88,CATALOGOS!$F$2:$H$6,3,FALSE)),(VLOOKUP(T88,CATALOGOS!$J$2:$K$18,2,FALSE)),""-"",TO_TEXT(A88))"),"P05RH-0087")</f>
        <v>P05RH-0087</v>
      </c>
      <c r="H88" s="6" t="s">
        <v>715</v>
      </c>
      <c r="I88" s="6" t="s">
        <v>716</v>
      </c>
      <c r="J88" s="6" t="s">
        <v>717</v>
      </c>
      <c r="K88" s="6" t="s">
        <v>718</v>
      </c>
      <c r="L88" s="17"/>
      <c r="M88" s="17"/>
      <c r="N88" s="17" t="str">
        <f t="shared" si="1"/>
        <v>OK</v>
      </c>
      <c r="O88" s="17" t="s">
        <v>719</v>
      </c>
      <c r="P88" s="6" t="s">
        <v>720</v>
      </c>
      <c r="Q88" s="17" t="s">
        <v>721</v>
      </c>
      <c r="R88" s="17" t="s">
        <v>722</v>
      </c>
      <c r="S88" s="173" t="s">
        <v>38</v>
      </c>
      <c r="T88" s="11" t="s">
        <v>723</v>
      </c>
      <c r="U88" s="20" t="s">
        <v>724</v>
      </c>
      <c r="V88" s="20" t="s">
        <v>724</v>
      </c>
      <c r="W88" s="20"/>
      <c r="X88" s="7"/>
      <c r="Y88" s="7"/>
      <c r="Z88" s="23"/>
      <c r="AA88" s="26"/>
    </row>
    <row r="89" spans="1:28" ht="15.75" customHeight="1">
      <c r="A89" s="10" t="s">
        <v>725</v>
      </c>
      <c r="B89" s="10" t="s">
        <v>27</v>
      </c>
      <c r="C89" s="11" t="s">
        <v>28</v>
      </c>
      <c r="D89" s="12"/>
      <c r="E89" s="13" t="s">
        <v>501</v>
      </c>
      <c r="F89" s="6" t="s">
        <v>726</v>
      </c>
      <c r="G89" s="6" t="str">
        <f ca="1">IFERROR(__xludf.DUMMYFUNCTION("CONCATENATE(B89,(VLOOKUP(C89,CATALOGOS!$F$2:$H$6,3,FALSE)),(VLOOKUP(T89,CATALOGOS!$J$2:$K$18,2,FALSE)),""-"",TO_TEXT(A89))"),"P05RM-0088")</f>
        <v>P05RM-0088</v>
      </c>
      <c r="H89" s="6" t="s">
        <v>727</v>
      </c>
      <c r="I89" s="6" t="s">
        <v>728</v>
      </c>
      <c r="J89" s="6" t="s">
        <v>729</v>
      </c>
      <c r="K89" s="6" t="s">
        <v>730</v>
      </c>
      <c r="L89" s="17"/>
      <c r="M89" s="17"/>
      <c r="N89" s="17" t="str">
        <f t="shared" si="1"/>
        <v>OK</v>
      </c>
      <c r="O89" s="17" t="s">
        <v>35</v>
      </c>
      <c r="P89" s="6" t="s">
        <v>35</v>
      </c>
      <c r="Q89" s="17" t="s">
        <v>36</v>
      </c>
      <c r="R89" s="17" t="s">
        <v>731</v>
      </c>
      <c r="S89" s="173" t="s">
        <v>38</v>
      </c>
      <c r="T89" s="11" t="s">
        <v>147</v>
      </c>
      <c r="U89" s="22" t="s">
        <v>484</v>
      </c>
      <c r="V89" s="22" t="s">
        <v>484</v>
      </c>
      <c r="W89" s="22"/>
      <c r="X89" s="7"/>
      <c r="Y89" s="7"/>
      <c r="Z89" s="23"/>
      <c r="AA89" s="26"/>
    </row>
    <row r="90" spans="1:28" ht="15.75" customHeight="1">
      <c r="A90" s="10" t="s">
        <v>732</v>
      </c>
      <c r="B90" s="10" t="s">
        <v>27</v>
      </c>
      <c r="C90" s="11" t="s">
        <v>28</v>
      </c>
      <c r="D90" s="12"/>
      <c r="E90" s="13" t="s">
        <v>210</v>
      </c>
      <c r="F90" s="6" t="s">
        <v>733</v>
      </c>
      <c r="G90" s="6" t="str">
        <f ca="1">IFERROR(__xludf.DUMMYFUNCTION("CONCATENATE(B90,(VLOOKUP(C90,CATALOGOS!$F$2:$H$6,3,FALSE)),(VLOOKUP(T90,CATALOGOS!$J$2:$K$18,2,FALSE)),""-"",TO_TEXT(A90))"),"P05RM-0089")</f>
        <v>P05RM-0089</v>
      </c>
      <c r="H90" s="6" t="s">
        <v>734</v>
      </c>
      <c r="I90" s="6" t="s">
        <v>735</v>
      </c>
      <c r="J90" s="36"/>
      <c r="K90" s="6" t="s">
        <v>736</v>
      </c>
      <c r="L90" s="17"/>
      <c r="M90" s="17"/>
      <c r="N90" s="17" t="str">
        <f t="shared" si="1"/>
        <v>OK</v>
      </c>
      <c r="O90" s="17" t="s">
        <v>216</v>
      </c>
      <c r="P90" s="6" t="s">
        <v>737</v>
      </c>
      <c r="Q90" s="6">
        <v>194708563</v>
      </c>
      <c r="R90" s="10" t="s">
        <v>85</v>
      </c>
      <c r="S90" s="173" t="s">
        <v>38</v>
      </c>
      <c r="T90" s="11" t="s">
        <v>147</v>
      </c>
      <c r="U90" s="22" t="s">
        <v>484</v>
      </c>
      <c r="V90" s="22" t="s">
        <v>484</v>
      </c>
      <c r="W90" s="22"/>
      <c r="X90" s="7"/>
      <c r="Y90" s="7"/>
      <c r="Z90" s="23"/>
      <c r="AA90" s="26"/>
    </row>
    <row r="91" spans="1:28" ht="15.75" customHeight="1">
      <c r="A91" s="10" t="s">
        <v>738</v>
      </c>
      <c r="B91" s="10" t="s">
        <v>27</v>
      </c>
      <c r="C91" s="11" t="s">
        <v>28</v>
      </c>
      <c r="D91" s="12"/>
      <c r="E91" s="13" t="s">
        <v>53</v>
      </c>
      <c r="F91" s="6" t="s">
        <v>739</v>
      </c>
      <c r="G91" s="6" t="str">
        <f ca="1">IFERROR(__xludf.DUMMYFUNCTION("CONCATENATE(B91,(VLOOKUP(C91,CATALOGOS!$F$2:$H$6,3,FALSE)),(VLOOKUP(T91,CATALOGOS!$J$2:$K$18,2,FALSE)),""-"",TO_TEXT(A91))"),"P05RM-0090")</f>
        <v>P05RM-0090</v>
      </c>
      <c r="H91" s="6" t="s">
        <v>740</v>
      </c>
      <c r="I91" s="6" t="s">
        <v>741</v>
      </c>
      <c r="J91" s="36"/>
      <c r="K91" s="6" t="s">
        <v>141</v>
      </c>
      <c r="L91" s="17"/>
      <c r="M91" s="17"/>
      <c r="N91" s="17" t="str">
        <f t="shared" si="1"/>
        <v>REPETIDO</v>
      </c>
      <c r="O91" s="35" t="s">
        <v>35</v>
      </c>
      <c r="P91" s="6" t="s">
        <v>35</v>
      </c>
      <c r="Q91" s="10" t="s">
        <v>36</v>
      </c>
      <c r="R91" s="32" t="s">
        <v>85</v>
      </c>
      <c r="S91" s="173" t="s">
        <v>38</v>
      </c>
      <c r="T91" s="11" t="s">
        <v>147</v>
      </c>
      <c r="U91" s="22" t="s">
        <v>484</v>
      </c>
      <c r="V91" s="22" t="s">
        <v>484</v>
      </c>
      <c r="W91" s="22"/>
      <c r="X91" s="7"/>
      <c r="Y91" s="7"/>
      <c r="Z91" s="23"/>
      <c r="AA91" s="26"/>
    </row>
    <row r="92" spans="1:28" ht="15.75" customHeight="1">
      <c r="A92" s="10" t="s">
        <v>742</v>
      </c>
      <c r="B92" s="10" t="s">
        <v>27</v>
      </c>
      <c r="C92" s="11" t="s">
        <v>28</v>
      </c>
      <c r="D92" s="12"/>
      <c r="E92" s="13" t="s">
        <v>93</v>
      </c>
      <c r="F92" s="6" t="s">
        <v>743</v>
      </c>
      <c r="G92" s="6" t="str">
        <f ca="1">IFERROR(__xludf.DUMMYFUNCTION("CONCATENATE(B92,(VLOOKUP(C92,CATALOGOS!$F$2:$H$6,3,FALSE)),(VLOOKUP(T92,CATALOGOS!$J$2:$K$18,2,FALSE)),""-"",TO_TEXT(A92))"),"P05RM-0091")</f>
        <v>P05RM-0091</v>
      </c>
      <c r="H92" s="6" t="s">
        <v>744</v>
      </c>
      <c r="I92" s="6" t="s">
        <v>745</v>
      </c>
      <c r="J92" s="6" t="s">
        <v>746</v>
      </c>
      <c r="K92" s="6" t="s">
        <v>747</v>
      </c>
      <c r="L92" s="17"/>
      <c r="M92" s="17"/>
      <c r="N92" s="17" t="str">
        <f t="shared" si="1"/>
        <v>OK</v>
      </c>
      <c r="O92" s="17" t="s">
        <v>35</v>
      </c>
      <c r="P92" s="6" t="s">
        <v>35</v>
      </c>
      <c r="Q92" s="17" t="s">
        <v>36</v>
      </c>
      <c r="R92" s="17" t="s">
        <v>748</v>
      </c>
      <c r="S92" s="173" t="s">
        <v>38</v>
      </c>
      <c r="T92" s="11" t="s">
        <v>147</v>
      </c>
      <c r="U92" s="22" t="s">
        <v>484</v>
      </c>
      <c r="V92" s="22" t="s">
        <v>484</v>
      </c>
      <c r="W92" s="22"/>
      <c r="X92" s="6"/>
      <c r="Y92" s="6" t="s">
        <v>749</v>
      </c>
      <c r="Z92" s="23"/>
      <c r="AA92" s="26"/>
    </row>
    <row r="93" spans="1:28" ht="15.75" customHeight="1">
      <c r="A93" s="10" t="s">
        <v>750</v>
      </c>
      <c r="B93" s="10" t="s">
        <v>27</v>
      </c>
      <c r="C93" s="11" t="s">
        <v>28</v>
      </c>
      <c r="D93" s="12"/>
      <c r="E93" s="13" t="s">
        <v>93</v>
      </c>
      <c r="F93" s="6" t="s">
        <v>751</v>
      </c>
      <c r="G93" s="6" t="str">
        <f ca="1">IFERROR(__xludf.DUMMYFUNCTION("CONCATENATE(B93,(VLOOKUP(C93,CATALOGOS!$F$2:$H$6,3,FALSE)),(VLOOKUP(T93,CATALOGOS!$J$2:$K$18,2,FALSE)),""-"",TO_TEXT(A93))"),"P05RM-0092")</f>
        <v>P05RM-0092</v>
      </c>
      <c r="H93" s="6" t="s">
        <v>752</v>
      </c>
      <c r="I93" s="6" t="s">
        <v>753</v>
      </c>
      <c r="J93" s="6" t="s">
        <v>754</v>
      </c>
      <c r="K93" s="43" t="s">
        <v>755</v>
      </c>
      <c r="L93" s="17"/>
      <c r="M93" s="17"/>
      <c r="N93" s="17" t="str">
        <f t="shared" si="1"/>
        <v>OK</v>
      </c>
      <c r="O93" s="17" t="s">
        <v>35</v>
      </c>
      <c r="P93" s="6" t="s">
        <v>35</v>
      </c>
      <c r="Q93" s="17" t="s">
        <v>36</v>
      </c>
      <c r="R93" s="17" t="s">
        <v>756</v>
      </c>
      <c r="S93" s="173" t="s">
        <v>38</v>
      </c>
      <c r="T93" s="11" t="s">
        <v>147</v>
      </c>
      <c r="U93" s="22" t="s">
        <v>484</v>
      </c>
      <c r="V93" s="22" t="s">
        <v>484</v>
      </c>
      <c r="W93" s="22"/>
      <c r="X93" s="7"/>
      <c r="Y93" s="7"/>
      <c r="Z93" s="23"/>
      <c r="AA93" s="26"/>
    </row>
    <row r="94" spans="1:28" ht="15.75" customHeight="1">
      <c r="A94" s="10" t="s">
        <v>757</v>
      </c>
      <c r="B94" s="10" t="s">
        <v>27</v>
      </c>
      <c r="C94" s="11" t="s">
        <v>28</v>
      </c>
      <c r="D94" s="12"/>
      <c r="E94" s="13" t="s">
        <v>93</v>
      </c>
      <c r="F94" s="6" t="s">
        <v>758</v>
      </c>
      <c r="G94" s="6" t="str">
        <f ca="1">IFERROR(__xludf.DUMMYFUNCTION("CONCATENATE(B94,(VLOOKUP(C94,CATALOGOS!$F$2:$H$6,3,FALSE)),(VLOOKUP(T94,CATALOGOS!$J$2:$K$18,2,FALSE)),""-"",TO_TEXT(A94))"),"P05RM-0093")</f>
        <v>P05RM-0093</v>
      </c>
      <c r="H94" s="6" t="s">
        <v>759</v>
      </c>
      <c r="I94" s="6" t="s">
        <v>760</v>
      </c>
      <c r="J94" s="6" t="s">
        <v>761</v>
      </c>
      <c r="K94" s="6" t="s">
        <v>762</v>
      </c>
      <c r="L94" s="17"/>
      <c r="M94" s="17"/>
      <c r="N94" s="17" t="str">
        <f t="shared" si="1"/>
        <v>OK</v>
      </c>
      <c r="O94" s="17" t="s">
        <v>35</v>
      </c>
      <c r="P94" s="6" t="s">
        <v>35</v>
      </c>
      <c r="Q94" s="17" t="s">
        <v>36</v>
      </c>
      <c r="R94" s="17" t="s">
        <v>763</v>
      </c>
      <c r="S94" s="173" t="s">
        <v>38</v>
      </c>
      <c r="T94" s="11" t="s">
        <v>147</v>
      </c>
      <c r="U94" s="22" t="s">
        <v>484</v>
      </c>
      <c r="V94" s="22" t="s">
        <v>484</v>
      </c>
      <c r="W94" s="22"/>
      <c r="X94" s="6"/>
      <c r="Y94" s="6" t="s">
        <v>749</v>
      </c>
      <c r="Z94" s="23"/>
      <c r="AA94" s="26"/>
    </row>
    <row r="95" spans="1:28" ht="15.75" customHeight="1">
      <c r="A95" s="10" t="s">
        <v>764</v>
      </c>
      <c r="B95" s="10" t="s">
        <v>27</v>
      </c>
      <c r="C95" s="11" t="s">
        <v>28</v>
      </c>
      <c r="D95" s="12"/>
      <c r="E95" s="13" t="s">
        <v>93</v>
      </c>
      <c r="F95" s="6" t="s">
        <v>765</v>
      </c>
      <c r="G95" s="6" t="str">
        <f ca="1">IFERROR(__xludf.DUMMYFUNCTION("CONCATENATE(B95,(VLOOKUP(C95,CATALOGOS!$F$2:$H$6,3,FALSE)),(VLOOKUP(T95,CATALOGOS!$J$2:$K$18,2,FALSE)),""-"",TO_TEXT(A95))"),"P05DA-0094")</f>
        <v>P05DA-0094</v>
      </c>
      <c r="H95" s="6" t="s">
        <v>766</v>
      </c>
      <c r="I95" s="6" t="s">
        <v>767</v>
      </c>
      <c r="J95" s="6" t="s">
        <v>768</v>
      </c>
      <c r="K95" s="6" t="s">
        <v>769</v>
      </c>
      <c r="L95" s="17"/>
      <c r="M95" s="17"/>
      <c r="N95" s="17" t="str">
        <f t="shared" si="1"/>
        <v>OK</v>
      </c>
      <c r="O95" s="17" t="s">
        <v>35</v>
      </c>
      <c r="P95" s="6" t="s">
        <v>35</v>
      </c>
      <c r="Q95" s="17" t="s">
        <v>36</v>
      </c>
      <c r="R95" s="17" t="s">
        <v>770</v>
      </c>
      <c r="S95" s="173" t="s">
        <v>38</v>
      </c>
      <c r="T95" s="11" t="s">
        <v>28</v>
      </c>
      <c r="U95" s="20" t="s">
        <v>392</v>
      </c>
      <c r="V95" s="20" t="s">
        <v>392</v>
      </c>
      <c r="W95" s="20"/>
      <c r="X95" s="6"/>
      <c r="Y95" s="6" t="s">
        <v>432</v>
      </c>
      <c r="Z95" s="23"/>
      <c r="AA95" s="26"/>
    </row>
    <row r="96" spans="1:28" ht="15.75" customHeight="1">
      <c r="A96" s="10" t="s">
        <v>771</v>
      </c>
      <c r="B96" s="10" t="s">
        <v>27</v>
      </c>
      <c r="C96" s="11" t="s">
        <v>28</v>
      </c>
      <c r="D96" s="12"/>
      <c r="E96" s="13" t="s">
        <v>93</v>
      </c>
      <c r="F96" s="6" t="s">
        <v>772</v>
      </c>
      <c r="G96" s="6" t="str">
        <f ca="1">IFERROR(__xludf.DUMMYFUNCTION("CONCATENATE(B96,(VLOOKUP(C96,CATALOGOS!$F$2:$H$6,3,FALSE)),(VLOOKUP(T96,CATALOGOS!$J$2:$K$18,2,FALSE)),""-"",TO_TEXT(A96))"),"P05RM-0095")</f>
        <v>P05RM-0095</v>
      </c>
      <c r="H96" s="6" t="s">
        <v>773</v>
      </c>
      <c r="I96" s="6" t="s">
        <v>774</v>
      </c>
      <c r="J96" s="6" t="s">
        <v>775</v>
      </c>
      <c r="K96" s="6" t="s">
        <v>776</v>
      </c>
      <c r="L96" s="17"/>
      <c r="M96" s="17"/>
      <c r="N96" s="17" t="str">
        <f t="shared" si="1"/>
        <v>OK</v>
      </c>
      <c r="O96" s="17" t="s">
        <v>35</v>
      </c>
      <c r="P96" s="6" t="s">
        <v>35</v>
      </c>
      <c r="Q96" s="17" t="s">
        <v>36</v>
      </c>
      <c r="R96" s="17" t="s">
        <v>777</v>
      </c>
      <c r="S96" s="173" t="s">
        <v>38</v>
      </c>
      <c r="T96" s="11" t="s">
        <v>147</v>
      </c>
      <c r="U96" s="22" t="s">
        <v>484</v>
      </c>
      <c r="V96" s="22" t="s">
        <v>484</v>
      </c>
      <c r="W96" s="22"/>
      <c r="X96" s="7"/>
      <c r="Y96" s="7"/>
      <c r="Z96" s="23"/>
      <c r="AA96" s="26"/>
    </row>
    <row r="97" spans="1:27" ht="15.75" customHeight="1">
      <c r="A97" s="10" t="s">
        <v>778</v>
      </c>
      <c r="B97" s="10" t="s">
        <v>27</v>
      </c>
      <c r="C97" s="11" t="s">
        <v>28</v>
      </c>
      <c r="D97" s="12"/>
      <c r="E97" s="13" t="s">
        <v>93</v>
      </c>
      <c r="F97" s="6" t="s">
        <v>779</v>
      </c>
      <c r="G97" s="6" t="str">
        <f ca="1">IFERROR(__xludf.DUMMYFUNCTION("CONCATENATE(B97,(VLOOKUP(C97,CATALOGOS!$F$2:$H$6,3,FALSE)),(VLOOKUP(T97,CATALOGOS!$J$2:$K$18,2,FALSE)),""-"",TO_TEXT(A97))"),"P05RM-0096")</f>
        <v>P05RM-0096</v>
      </c>
      <c r="H97" s="6" t="s">
        <v>780</v>
      </c>
      <c r="I97" s="6" t="s">
        <v>781</v>
      </c>
      <c r="J97" s="36"/>
      <c r="K97" s="6" t="s">
        <v>141</v>
      </c>
      <c r="L97" s="17"/>
      <c r="M97" s="17"/>
      <c r="N97" s="17" t="str">
        <f t="shared" si="1"/>
        <v>REPETIDO</v>
      </c>
      <c r="O97" s="35" t="s">
        <v>35</v>
      </c>
      <c r="P97" s="6" t="s">
        <v>35</v>
      </c>
      <c r="Q97" s="10" t="s">
        <v>36</v>
      </c>
      <c r="R97" s="32" t="s">
        <v>85</v>
      </c>
      <c r="S97" s="173" t="s">
        <v>38</v>
      </c>
      <c r="T97" s="11" t="s">
        <v>147</v>
      </c>
      <c r="U97" s="22" t="s">
        <v>484</v>
      </c>
      <c r="V97" s="22" t="s">
        <v>484</v>
      </c>
      <c r="W97" s="22"/>
      <c r="X97" s="7"/>
      <c r="Y97" s="7"/>
      <c r="Z97" s="23"/>
      <c r="AA97" s="26"/>
    </row>
    <row r="98" spans="1:27" ht="15.75" customHeight="1">
      <c r="A98" s="10" t="s">
        <v>782</v>
      </c>
      <c r="B98" s="10" t="s">
        <v>27</v>
      </c>
      <c r="C98" s="11" t="s">
        <v>28</v>
      </c>
      <c r="D98" s="12"/>
      <c r="E98" s="13" t="s">
        <v>501</v>
      </c>
      <c r="F98" s="6" t="s">
        <v>783</v>
      </c>
      <c r="G98" s="6" t="str">
        <f ca="1">IFERROR(__xludf.DUMMYFUNCTION("CONCATENATE(B98,(VLOOKUP(C98,CATALOGOS!$F$2:$H$6,3,FALSE)),(VLOOKUP(T98,CATALOGOS!$J$2:$K$18,2,FALSE)),""-"",TO_TEXT(A98))"),"P05RM-0097")</f>
        <v>P05RM-0097</v>
      </c>
      <c r="H98" s="6" t="s">
        <v>784</v>
      </c>
      <c r="I98" s="6" t="s">
        <v>785</v>
      </c>
      <c r="J98" s="6" t="s">
        <v>786</v>
      </c>
      <c r="K98" s="6" t="s">
        <v>787</v>
      </c>
      <c r="L98" s="17"/>
      <c r="M98" s="17"/>
      <c r="N98" s="17" t="str">
        <f t="shared" si="1"/>
        <v>OK</v>
      </c>
      <c r="O98" s="17" t="s">
        <v>35</v>
      </c>
      <c r="P98" s="6" t="s">
        <v>35</v>
      </c>
      <c r="Q98" s="17" t="s">
        <v>36</v>
      </c>
      <c r="R98" s="17" t="s">
        <v>788</v>
      </c>
      <c r="S98" s="173" t="s">
        <v>38</v>
      </c>
      <c r="T98" s="11" t="s">
        <v>147</v>
      </c>
      <c r="U98" s="22" t="s">
        <v>484</v>
      </c>
      <c r="V98" s="22" t="s">
        <v>484</v>
      </c>
      <c r="W98" s="22"/>
      <c r="X98" s="6"/>
      <c r="Y98" s="6" t="s">
        <v>749</v>
      </c>
      <c r="Z98" s="23"/>
      <c r="AA98" s="26"/>
    </row>
    <row r="99" spans="1:27" ht="15.75" customHeight="1">
      <c r="A99" s="10" t="s">
        <v>789</v>
      </c>
      <c r="B99" s="10" t="s">
        <v>27</v>
      </c>
      <c r="C99" s="11" t="s">
        <v>28</v>
      </c>
      <c r="D99" s="12"/>
      <c r="E99" s="13" t="s">
        <v>199</v>
      </c>
      <c r="F99" s="6" t="s">
        <v>199</v>
      </c>
      <c r="G99" s="6" t="str">
        <f ca="1">IFERROR(__xludf.DUMMYFUNCTION("CONCATENATE(B99,(VLOOKUP(C99,CATALOGOS!$F$2:$H$6,3,FALSE)),(VLOOKUP(T99,CATALOGOS!$J$2:$K$18,2,FALSE)),""-"",TO_TEXT(A99))"),"P05RM-0098")</f>
        <v>P05RM-0098</v>
      </c>
      <c r="H99" s="6" t="s">
        <v>790</v>
      </c>
      <c r="I99" s="6" t="s">
        <v>791</v>
      </c>
      <c r="J99" s="6" t="s">
        <v>792</v>
      </c>
      <c r="K99" s="6" t="s">
        <v>793</v>
      </c>
      <c r="L99" s="17"/>
      <c r="M99" s="17"/>
      <c r="N99" s="17" t="str">
        <f t="shared" si="1"/>
        <v>OK</v>
      </c>
      <c r="O99" s="17" t="s">
        <v>205</v>
      </c>
      <c r="P99" s="6" t="s">
        <v>794</v>
      </c>
      <c r="Q99" s="17" t="s">
        <v>795</v>
      </c>
      <c r="R99" s="17" t="s">
        <v>796</v>
      </c>
      <c r="S99" s="173" t="s">
        <v>38</v>
      </c>
      <c r="T99" s="11" t="s">
        <v>147</v>
      </c>
      <c r="U99" s="22" t="s">
        <v>484</v>
      </c>
      <c r="V99" s="22" t="s">
        <v>484</v>
      </c>
      <c r="W99" s="22"/>
      <c r="X99" s="7"/>
      <c r="Y99" s="7"/>
      <c r="Z99" s="23"/>
      <c r="AA99" s="26"/>
    </row>
    <row r="100" spans="1:27" ht="15.75" customHeight="1">
      <c r="A100" s="10" t="s">
        <v>797</v>
      </c>
      <c r="B100" s="10" t="s">
        <v>27</v>
      </c>
      <c r="C100" s="11" t="s">
        <v>28</v>
      </c>
      <c r="D100" s="12"/>
      <c r="E100" s="13" t="s">
        <v>199</v>
      </c>
      <c r="F100" s="6" t="s">
        <v>798</v>
      </c>
      <c r="G100" s="6" t="str">
        <f ca="1">IFERROR(__xludf.DUMMYFUNCTION("CONCATENATE(B100,(VLOOKUP(C100,CATALOGOS!$F$2:$H$6,3,FALSE)),(VLOOKUP(T100,CATALOGOS!$J$2:$K$18,2,FALSE)),""-"",TO_TEXT(A100))"),"P05RM-0099")</f>
        <v>P05RM-0099</v>
      </c>
      <c r="H100" s="6" t="s">
        <v>799</v>
      </c>
      <c r="I100" s="6" t="s">
        <v>800</v>
      </c>
      <c r="J100" s="6" t="s">
        <v>801</v>
      </c>
      <c r="K100" s="43" t="s">
        <v>141</v>
      </c>
      <c r="L100" s="17"/>
      <c r="M100" s="17"/>
      <c r="N100" s="17" t="str">
        <f t="shared" si="1"/>
        <v>REPETIDO</v>
      </c>
      <c r="O100" s="17" t="s">
        <v>205</v>
      </c>
      <c r="P100" s="6" t="s">
        <v>802</v>
      </c>
      <c r="Q100" s="17" t="s">
        <v>803</v>
      </c>
      <c r="R100" s="10" t="s">
        <v>804</v>
      </c>
      <c r="S100" s="178" t="s">
        <v>549</v>
      </c>
      <c r="T100" s="11" t="s">
        <v>147</v>
      </c>
      <c r="U100" s="22" t="s">
        <v>484</v>
      </c>
      <c r="V100" s="22" t="s">
        <v>484</v>
      </c>
      <c r="W100" s="22"/>
      <c r="X100" s="7"/>
      <c r="Y100" s="7"/>
      <c r="Z100" s="23"/>
      <c r="AA100" s="26"/>
    </row>
    <row r="101" spans="1:27" ht="15.75" customHeight="1">
      <c r="A101" s="10" t="s">
        <v>805</v>
      </c>
      <c r="B101" s="10" t="s">
        <v>27</v>
      </c>
      <c r="C101" s="11" t="s">
        <v>28</v>
      </c>
      <c r="D101" s="12"/>
      <c r="E101" s="13" t="s">
        <v>199</v>
      </c>
      <c r="F101" s="6" t="s">
        <v>199</v>
      </c>
      <c r="G101" s="6" t="str">
        <f ca="1">IFERROR(__xludf.DUMMYFUNCTION("CONCATENATE(B101,(VLOOKUP(C101,CATALOGOS!$F$2:$H$6,3,FALSE)),(VLOOKUP(T101,CATALOGOS!$J$2:$K$18,2,FALSE)),""-"",TO_TEXT(A101))"),"P05RM-0100")</f>
        <v>P05RM-0100</v>
      </c>
      <c r="H101" s="6" t="s">
        <v>806</v>
      </c>
      <c r="I101" s="6" t="s">
        <v>807</v>
      </c>
      <c r="J101" s="6" t="s">
        <v>808</v>
      </c>
      <c r="K101" s="43" t="s">
        <v>141</v>
      </c>
      <c r="L101" s="17"/>
      <c r="M101" s="17"/>
      <c r="N101" s="17" t="str">
        <f t="shared" si="1"/>
        <v>REPETIDO</v>
      </c>
      <c r="O101" s="17" t="s">
        <v>205</v>
      </c>
      <c r="P101" s="6" t="s">
        <v>794</v>
      </c>
      <c r="Q101" s="17" t="s">
        <v>809</v>
      </c>
      <c r="R101" s="17" t="s">
        <v>810</v>
      </c>
      <c r="S101" s="173" t="s">
        <v>38</v>
      </c>
      <c r="T101" s="11" t="s">
        <v>147</v>
      </c>
      <c r="U101" s="22" t="s">
        <v>484</v>
      </c>
      <c r="V101" s="22" t="s">
        <v>484</v>
      </c>
      <c r="W101" s="22"/>
      <c r="X101" s="7"/>
      <c r="Y101" s="7"/>
      <c r="Z101" s="23"/>
      <c r="AA101" s="26"/>
    </row>
    <row r="102" spans="1:27" ht="15.75" customHeight="1">
      <c r="A102" s="10" t="s">
        <v>811</v>
      </c>
      <c r="B102" s="10" t="s">
        <v>27</v>
      </c>
      <c r="C102" s="11" t="s">
        <v>28</v>
      </c>
      <c r="D102" s="12"/>
      <c r="E102" s="13" t="s">
        <v>199</v>
      </c>
      <c r="F102" s="6" t="s">
        <v>199</v>
      </c>
      <c r="G102" s="6" t="str">
        <f ca="1">IFERROR(__xludf.DUMMYFUNCTION("CONCATENATE(B102,(VLOOKUP(C102,CATALOGOS!$F$2:$H$6,3,FALSE)),(VLOOKUP(T102,CATALOGOS!$J$2:$K$18,2,FALSE)),""-"",TO_TEXT(A102))"),"P05RM-0101")</f>
        <v>P05RM-0101</v>
      </c>
      <c r="H102" s="6" t="s">
        <v>812</v>
      </c>
      <c r="I102" s="6" t="s">
        <v>813</v>
      </c>
      <c r="J102" s="36"/>
      <c r="K102" s="6" t="s">
        <v>814</v>
      </c>
      <c r="L102" s="17"/>
      <c r="M102" s="17"/>
      <c r="N102" s="17" t="str">
        <f t="shared" si="1"/>
        <v>OK</v>
      </c>
      <c r="O102" s="17" t="s">
        <v>205</v>
      </c>
      <c r="P102" s="6" t="s">
        <v>794</v>
      </c>
      <c r="Q102" s="6" t="s">
        <v>815</v>
      </c>
      <c r="R102" s="10" t="s">
        <v>816</v>
      </c>
      <c r="S102" s="178" t="s">
        <v>817</v>
      </c>
      <c r="T102" s="20" t="s">
        <v>147</v>
      </c>
      <c r="U102" s="22" t="s">
        <v>484</v>
      </c>
      <c r="V102" s="22" t="s">
        <v>484</v>
      </c>
      <c r="W102" s="22"/>
      <c r="X102" s="6"/>
      <c r="Y102" s="6" t="s">
        <v>749</v>
      </c>
      <c r="Z102" s="23"/>
      <c r="AA102" s="26"/>
    </row>
    <row r="103" spans="1:27" ht="15.75" customHeight="1">
      <c r="A103" s="10" t="s">
        <v>818</v>
      </c>
      <c r="B103" s="10" t="s">
        <v>27</v>
      </c>
      <c r="C103" s="11" t="s">
        <v>28</v>
      </c>
      <c r="D103" s="12"/>
      <c r="E103" s="13" t="s">
        <v>199</v>
      </c>
      <c r="F103" s="6" t="s">
        <v>199</v>
      </c>
      <c r="G103" s="6" t="str">
        <f ca="1">IFERROR(__xludf.DUMMYFUNCTION("CONCATENATE(B103,(VLOOKUP(C103,CATALOGOS!$F$2:$H$6,3,FALSE)),(VLOOKUP(T103,CATALOGOS!$J$2:$K$18,2,FALSE)),""-"",TO_TEXT(A103))"),"P05RM-0102")</f>
        <v>P05RM-0102</v>
      </c>
      <c r="H103" s="6" t="s">
        <v>819</v>
      </c>
      <c r="I103" s="6" t="s">
        <v>820</v>
      </c>
      <c r="J103" s="6" t="s">
        <v>821</v>
      </c>
      <c r="K103" s="43" t="s">
        <v>141</v>
      </c>
      <c r="L103" s="17"/>
      <c r="M103" s="17"/>
      <c r="N103" s="17" t="str">
        <f t="shared" si="1"/>
        <v>REPETIDO</v>
      </c>
      <c r="O103" s="17" t="s">
        <v>205</v>
      </c>
      <c r="P103" s="6" t="s">
        <v>794</v>
      </c>
      <c r="Q103" s="17" t="s">
        <v>822</v>
      </c>
      <c r="R103" s="17" t="s">
        <v>823</v>
      </c>
      <c r="S103" s="173" t="s">
        <v>38</v>
      </c>
      <c r="T103" s="11" t="s">
        <v>147</v>
      </c>
      <c r="U103" s="22" t="s">
        <v>484</v>
      </c>
      <c r="V103" s="22" t="s">
        <v>484</v>
      </c>
      <c r="W103" s="22"/>
      <c r="X103" s="7"/>
      <c r="Y103" s="7"/>
      <c r="Z103" s="23"/>
      <c r="AA103" s="26"/>
    </row>
    <row r="104" spans="1:27" ht="15.75" customHeight="1">
      <c r="A104" s="10" t="s">
        <v>824</v>
      </c>
      <c r="B104" s="10" t="s">
        <v>27</v>
      </c>
      <c r="C104" s="11" t="s">
        <v>28</v>
      </c>
      <c r="D104" s="12"/>
      <c r="E104" s="13" t="s">
        <v>353</v>
      </c>
      <c r="F104" s="6" t="s">
        <v>354</v>
      </c>
      <c r="G104" s="6" t="str">
        <f ca="1">IFERROR(__xludf.DUMMYFUNCTION("CONCATENATE(B104,(VLOOKUP(C104,CATALOGOS!$F$2:$H$6,3,FALSE)),(VLOOKUP(T104,CATALOGOS!$J$2:$K$18,2,FALSE)),""-"",TO_TEXT(A104))"),"P05RM-0103")</f>
        <v>P05RM-0103</v>
      </c>
      <c r="H104" s="6" t="s">
        <v>825</v>
      </c>
      <c r="I104" s="6" t="s">
        <v>826</v>
      </c>
      <c r="J104" s="36"/>
      <c r="K104" s="6" t="s">
        <v>141</v>
      </c>
      <c r="L104" s="17"/>
      <c r="M104" s="17"/>
      <c r="N104" s="17" t="str">
        <f t="shared" si="1"/>
        <v>REPETIDO</v>
      </c>
      <c r="O104" s="17" t="s">
        <v>827</v>
      </c>
      <c r="P104" s="6" t="s">
        <v>828</v>
      </c>
      <c r="Q104" s="6" t="s">
        <v>829</v>
      </c>
      <c r="R104" s="10" t="s">
        <v>85</v>
      </c>
      <c r="S104" s="173" t="s">
        <v>38</v>
      </c>
      <c r="T104" s="11" t="s">
        <v>147</v>
      </c>
      <c r="U104" s="22" t="s">
        <v>484</v>
      </c>
      <c r="V104" s="22" t="s">
        <v>484</v>
      </c>
      <c r="W104" s="22"/>
      <c r="X104" s="6"/>
      <c r="Y104" s="6" t="s">
        <v>749</v>
      </c>
      <c r="Z104" s="23"/>
      <c r="AA104" s="26"/>
    </row>
    <row r="105" spans="1:27" ht="15.75" customHeight="1">
      <c r="A105" s="10" t="s">
        <v>830</v>
      </c>
      <c r="B105" s="10" t="s">
        <v>27</v>
      </c>
      <c r="C105" s="11" t="s">
        <v>28</v>
      </c>
      <c r="D105" s="12"/>
      <c r="E105" s="13" t="s">
        <v>378</v>
      </c>
      <c r="F105" s="6" t="s">
        <v>831</v>
      </c>
      <c r="G105" s="6" t="str">
        <f ca="1">IFERROR(__xludf.DUMMYFUNCTION("CONCATENATE(B105,(VLOOKUP(C105,CATALOGOS!$F$2:$H$6,3,FALSE)),(VLOOKUP(T105,CATALOGOS!$J$2:$K$18,2,FALSE)),""-"",TO_TEXT(A105))"),"P05RM-0104")</f>
        <v>P05RM-0104</v>
      </c>
      <c r="H105" s="6" t="s">
        <v>832</v>
      </c>
      <c r="I105" s="6" t="s">
        <v>833</v>
      </c>
      <c r="J105" s="36"/>
      <c r="K105" s="6" t="s">
        <v>141</v>
      </c>
      <c r="L105" s="17"/>
      <c r="M105" s="17"/>
      <c r="N105" s="17" t="str">
        <f t="shared" si="1"/>
        <v>REPETIDO</v>
      </c>
      <c r="O105" s="35" t="s">
        <v>35</v>
      </c>
      <c r="P105" s="6" t="s">
        <v>35</v>
      </c>
      <c r="Q105" s="10" t="s">
        <v>36</v>
      </c>
      <c r="R105" s="32" t="s">
        <v>85</v>
      </c>
      <c r="S105" s="173" t="s">
        <v>38</v>
      </c>
      <c r="T105" s="11" t="s">
        <v>147</v>
      </c>
      <c r="U105" s="22" t="s">
        <v>484</v>
      </c>
      <c r="V105" s="22" t="s">
        <v>484</v>
      </c>
      <c r="W105" s="22"/>
      <c r="X105" s="7"/>
      <c r="Y105" s="7"/>
      <c r="Z105" s="23"/>
      <c r="AA105" s="26"/>
    </row>
    <row r="106" spans="1:27" ht="15.75" customHeight="1">
      <c r="A106" s="10" t="s">
        <v>834</v>
      </c>
      <c r="B106" s="10" t="s">
        <v>27</v>
      </c>
      <c r="C106" s="11" t="s">
        <v>28</v>
      </c>
      <c r="D106" s="38"/>
      <c r="E106" s="13" t="s">
        <v>835</v>
      </c>
      <c r="F106" s="43" t="s">
        <v>836</v>
      </c>
      <c r="G106" s="6" t="str">
        <f ca="1">IFERROR(__xludf.DUMMYFUNCTION("CONCATENATE(B106,(VLOOKUP(C106,CATALOGOS!$F$2:$H$6,3,FALSE)),(VLOOKUP(T106,CATALOGOS!$J$2:$K$18,2,FALSE)),""-"",TO_TEXT(A106))"),"P05RM-0105")</f>
        <v>P05RM-0105</v>
      </c>
      <c r="H106" s="6" t="s">
        <v>837</v>
      </c>
      <c r="I106" s="6" t="s">
        <v>838</v>
      </c>
      <c r="J106" s="6" t="s">
        <v>839</v>
      </c>
      <c r="K106" s="6" t="s">
        <v>141</v>
      </c>
      <c r="L106" s="17"/>
      <c r="M106" s="17"/>
      <c r="N106" s="17" t="str">
        <f t="shared" si="1"/>
        <v>REPETIDO</v>
      </c>
      <c r="O106" s="17" t="s">
        <v>840</v>
      </c>
      <c r="P106" s="6" t="s">
        <v>35</v>
      </c>
      <c r="Q106" s="6" t="s">
        <v>36</v>
      </c>
      <c r="R106" s="17" t="s">
        <v>841</v>
      </c>
      <c r="S106" s="173" t="s">
        <v>38</v>
      </c>
      <c r="T106" s="11" t="s">
        <v>147</v>
      </c>
      <c r="U106" s="22" t="s">
        <v>484</v>
      </c>
      <c r="V106" s="22" t="s">
        <v>484</v>
      </c>
      <c r="W106" s="22"/>
      <c r="X106" s="7"/>
      <c r="Y106" s="7"/>
      <c r="Z106" s="26"/>
      <c r="AA106" s="26"/>
    </row>
    <row r="107" spans="1:27" ht="15.75" customHeight="1">
      <c r="A107" s="10" t="s">
        <v>842</v>
      </c>
      <c r="B107" s="10" t="s">
        <v>27</v>
      </c>
      <c r="C107" s="11" t="s">
        <v>28</v>
      </c>
      <c r="D107" s="12"/>
      <c r="E107" s="13" t="s">
        <v>843</v>
      </c>
      <c r="F107" s="6" t="s">
        <v>843</v>
      </c>
      <c r="G107" s="6" t="str">
        <f ca="1">IFERROR(__xludf.DUMMYFUNCTION("CONCATENATE(B107,(VLOOKUP(C107,CATALOGOS!$F$2:$H$6,3,FALSE)),(VLOOKUP(T107,CATALOGOS!$J$2:$K$18,2,FALSE)),""-"",TO_TEXT(A107))"),"P05RM-0106")</f>
        <v>P05RM-0106</v>
      </c>
      <c r="H107" s="6" t="s">
        <v>844</v>
      </c>
      <c r="I107" s="6" t="s">
        <v>845</v>
      </c>
      <c r="J107" s="6" t="s">
        <v>846</v>
      </c>
      <c r="K107" s="43" t="s">
        <v>141</v>
      </c>
      <c r="L107" s="17"/>
      <c r="M107" s="17"/>
      <c r="N107" s="17" t="str">
        <f t="shared" si="1"/>
        <v>REPETIDO</v>
      </c>
      <c r="O107" s="51" t="s">
        <v>35</v>
      </c>
      <c r="P107" s="6" t="s">
        <v>35</v>
      </c>
      <c r="Q107" s="17" t="s">
        <v>36</v>
      </c>
      <c r="R107" s="17" t="s">
        <v>847</v>
      </c>
      <c r="S107" s="173" t="s">
        <v>38</v>
      </c>
      <c r="T107" s="11" t="s">
        <v>147</v>
      </c>
      <c r="U107" s="20" t="s">
        <v>848</v>
      </c>
      <c r="V107" s="20" t="s">
        <v>848</v>
      </c>
      <c r="W107" s="20"/>
      <c r="X107" s="7"/>
      <c r="Y107" s="7"/>
      <c r="Z107" s="23"/>
      <c r="AA107" s="26"/>
    </row>
    <row r="108" spans="1:27" ht="15.75" customHeight="1">
      <c r="A108" s="10" t="s">
        <v>849</v>
      </c>
      <c r="B108" s="10" t="s">
        <v>27</v>
      </c>
      <c r="C108" s="11" t="s">
        <v>28</v>
      </c>
      <c r="D108" s="12"/>
      <c r="E108" s="13" t="s">
        <v>850</v>
      </c>
      <c r="F108" s="43" t="s">
        <v>851</v>
      </c>
      <c r="G108" s="6" t="str">
        <f ca="1">IFERROR(__xludf.DUMMYFUNCTION("CONCATENATE(B108,(VLOOKUP(C108,CATALOGOS!$F$2:$H$6,3,FALSE)),(VLOOKUP(T108,CATALOGOS!$J$2:$K$18,2,FALSE)),""-"",TO_TEXT(A108))"),"P05RM-0107")</f>
        <v>P05RM-0107</v>
      </c>
      <c r="H108" s="6" t="s">
        <v>852</v>
      </c>
      <c r="I108" s="6" t="s">
        <v>853</v>
      </c>
      <c r="J108" s="6" t="s">
        <v>854</v>
      </c>
      <c r="K108" s="6" t="s">
        <v>855</v>
      </c>
      <c r="L108" s="17"/>
      <c r="M108" s="17"/>
      <c r="N108" s="17" t="str">
        <f t="shared" si="1"/>
        <v>OK</v>
      </c>
      <c r="O108" s="17" t="s">
        <v>856</v>
      </c>
      <c r="P108" s="6" t="s">
        <v>857</v>
      </c>
      <c r="Q108" s="6" t="s">
        <v>858</v>
      </c>
      <c r="R108" s="10" t="s">
        <v>859</v>
      </c>
      <c r="S108" s="173" t="s">
        <v>38</v>
      </c>
      <c r="T108" s="11" t="s">
        <v>147</v>
      </c>
      <c r="U108" s="20" t="s">
        <v>848</v>
      </c>
      <c r="V108" s="20" t="s">
        <v>848</v>
      </c>
      <c r="W108" s="20"/>
      <c r="X108" s="7"/>
      <c r="Y108" s="7"/>
      <c r="Z108" s="23"/>
      <c r="AA108" s="26"/>
    </row>
    <row r="109" spans="1:27" ht="15.75" customHeight="1">
      <c r="A109" s="10" t="s">
        <v>860</v>
      </c>
      <c r="B109" s="10" t="s">
        <v>27</v>
      </c>
      <c r="C109" s="11" t="s">
        <v>28</v>
      </c>
      <c r="D109" s="12"/>
      <c r="E109" s="13" t="s">
        <v>93</v>
      </c>
      <c r="F109" s="6" t="s">
        <v>861</v>
      </c>
      <c r="G109" s="6" t="str">
        <f ca="1">IFERROR(__xludf.DUMMYFUNCTION("CONCATENATE(B109,(VLOOKUP(C109,CATALOGOS!$F$2:$H$6,3,FALSE)),(VLOOKUP(T109,CATALOGOS!$J$2:$K$18,2,FALSE)),""-"",TO_TEXT(A109))"),"P05RM-0108")</f>
        <v>P05RM-0108</v>
      </c>
      <c r="H109" s="6" t="s">
        <v>862</v>
      </c>
      <c r="I109" s="6" t="s">
        <v>863</v>
      </c>
      <c r="J109" s="6" t="s">
        <v>864</v>
      </c>
      <c r="K109" s="6" t="s">
        <v>865</v>
      </c>
      <c r="L109" s="17"/>
      <c r="M109" s="17"/>
      <c r="N109" s="17" t="str">
        <f t="shared" si="1"/>
        <v>OK</v>
      </c>
      <c r="O109" s="17" t="s">
        <v>35</v>
      </c>
      <c r="P109" s="6" t="s">
        <v>35</v>
      </c>
      <c r="Q109" s="17" t="s">
        <v>36</v>
      </c>
      <c r="R109" s="17" t="s">
        <v>866</v>
      </c>
      <c r="S109" s="173" t="s">
        <v>38</v>
      </c>
      <c r="T109" s="11" t="s">
        <v>147</v>
      </c>
      <c r="U109" s="20" t="s">
        <v>848</v>
      </c>
      <c r="V109" s="20" t="s">
        <v>848</v>
      </c>
      <c r="W109" s="20"/>
      <c r="X109" s="7"/>
      <c r="Y109" s="7"/>
      <c r="Z109" s="23"/>
      <c r="AA109" s="26"/>
    </row>
    <row r="110" spans="1:27" ht="15.75" customHeight="1">
      <c r="A110" s="10" t="s">
        <v>867</v>
      </c>
      <c r="B110" s="10" t="s">
        <v>27</v>
      </c>
      <c r="C110" s="11" t="s">
        <v>28</v>
      </c>
      <c r="D110" s="12"/>
      <c r="E110" s="13" t="s">
        <v>93</v>
      </c>
      <c r="F110" s="6" t="s">
        <v>869</v>
      </c>
      <c r="G110" s="6" t="str">
        <f ca="1">IFERROR(__xludf.DUMMYFUNCTION("CONCATENATE(B110,(VLOOKUP(C110,CATALOGOS!$F$2:$H$6,3,FALSE)),(VLOOKUP(T110,CATALOGOS!$J$2:$K$18,2,FALSE)),""-"",TO_TEXT(A110))"),"P05RM-0109")</f>
        <v>P05RM-0109</v>
      </c>
      <c r="H110" s="6" t="s">
        <v>870</v>
      </c>
      <c r="I110" s="6" t="s">
        <v>871</v>
      </c>
      <c r="J110" s="6" t="s">
        <v>872</v>
      </c>
      <c r="K110" s="6" t="s">
        <v>873</v>
      </c>
      <c r="L110" s="17"/>
      <c r="M110" s="17"/>
      <c r="N110" s="17" t="str">
        <f t="shared" si="1"/>
        <v>OK</v>
      </c>
      <c r="O110" s="17" t="s">
        <v>35</v>
      </c>
      <c r="P110" s="6" t="s">
        <v>35</v>
      </c>
      <c r="Q110" s="17" t="s">
        <v>36</v>
      </c>
      <c r="R110" s="17" t="s">
        <v>874</v>
      </c>
      <c r="S110" s="173" t="s">
        <v>38</v>
      </c>
      <c r="T110" s="11" t="s">
        <v>147</v>
      </c>
      <c r="U110" s="20" t="s">
        <v>848</v>
      </c>
      <c r="V110" s="20" t="s">
        <v>848</v>
      </c>
      <c r="W110" s="20"/>
      <c r="X110" s="7"/>
      <c r="Y110" s="7"/>
      <c r="Z110" s="23"/>
      <c r="AA110" s="26"/>
    </row>
    <row r="111" spans="1:27" ht="15.75" customHeight="1">
      <c r="A111" s="10" t="s">
        <v>877</v>
      </c>
      <c r="B111" s="10" t="s">
        <v>27</v>
      </c>
      <c r="C111" s="11" t="s">
        <v>28</v>
      </c>
      <c r="D111" s="12"/>
      <c r="E111" s="13" t="s">
        <v>378</v>
      </c>
      <c r="F111" s="6" t="s">
        <v>878</v>
      </c>
      <c r="G111" s="6" t="str">
        <f ca="1">IFERROR(__xludf.DUMMYFUNCTION("CONCATENATE(B111,(VLOOKUP(C111,CATALOGOS!$F$2:$H$6,3,FALSE)),(VLOOKUP(T111,CATALOGOS!$J$2:$K$18,2,FALSE)),""-"",TO_TEXT(A111))"),"P05RM-0110")</f>
        <v>P05RM-0110</v>
      </c>
      <c r="H111" s="6" t="s">
        <v>879</v>
      </c>
      <c r="I111" s="6" t="s">
        <v>880</v>
      </c>
      <c r="J111" s="6" t="s">
        <v>881</v>
      </c>
      <c r="K111" s="6" t="s">
        <v>882</v>
      </c>
      <c r="L111" s="17"/>
      <c r="M111" s="17"/>
      <c r="N111" s="17" t="str">
        <f t="shared" si="1"/>
        <v>OK</v>
      </c>
      <c r="O111" s="17" t="s">
        <v>35</v>
      </c>
      <c r="P111" s="6" t="s">
        <v>35</v>
      </c>
      <c r="Q111" s="17" t="s">
        <v>36</v>
      </c>
      <c r="R111" s="17" t="s">
        <v>883</v>
      </c>
      <c r="S111" s="173" t="s">
        <v>38</v>
      </c>
      <c r="T111" s="11" t="s">
        <v>147</v>
      </c>
      <c r="U111" s="20" t="s">
        <v>848</v>
      </c>
      <c r="V111" s="20" t="s">
        <v>848</v>
      </c>
      <c r="W111" s="20"/>
      <c r="X111" s="7"/>
      <c r="Y111" s="7"/>
      <c r="Z111" s="23"/>
      <c r="AA111" s="26"/>
    </row>
    <row r="112" spans="1:27" ht="15.75" customHeight="1">
      <c r="A112" s="10" t="s">
        <v>884</v>
      </c>
      <c r="B112" s="10" t="s">
        <v>27</v>
      </c>
      <c r="C112" s="11" t="s">
        <v>28</v>
      </c>
      <c r="D112" s="12"/>
      <c r="E112" s="13" t="s">
        <v>43</v>
      </c>
      <c r="F112" s="6" t="s">
        <v>885</v>
      </c>
      <c r="G112" s="6" t="str">
        <f ca="1">IFERROR(__xludf.DUMMYFUNCTION("CONCATENATE(B112,(VLOOKUP(C112,CATALOGOS!$F$2:$H$6,3,FALSE)),(VLOOKUP(T112,CATALOGOS!$J$2:$K$18,2,FALSE)),""-"",TO_TEXT(A112))"),"P05RM-0111")</f>
        <v>P05RM-0111</v>
      </c>
      <c r="H112" s="6" t="s">
        <v>886</v>
      </c>
      <c r="I112" s="6" t="s">
        <v>887</v>
      </c>
      <c r="J112" s="6" t="s">
        <v>888</v>
      </c>
      <c r="K112" s="43" t="s">
        <v>889</v>
      </c>
      <c r="L112" s="17"/>
      <c r="M112" s="17"/>
      <c r="N112" s="17" t="str">
        <f t="shared" si="1"/>
        <v>OK</v>
      </c>
      <c r="O112" s="17" t="s">
        <v>890</v>
      </c>
      <c r="P112" s="6" t="s">
        <v>35</v>
      </c>
      <c r="Q112" s="17" t="s">
        <v>36</v>
      </c>
      <c r="R112" s="17" t="s">
        <v>891</v>
      </c>
      <c r="S112" s="173" t="s">
        <v>38</v>
      </c>
      <c r="T112" s="11" t="s">
        <v>147</v>
      </c>
      <c r="U112" s="20" t="s">
        <v>848</v>
      </c>
      <c r="V112" s="20" t="s">
        <v>848</v>
      </c>
      <c r="W112" s="20"/>
      <c r="X112" s="7"/>
      <c r="Y112" s="7"/>
      <c r="Z112" s="23"/>
      <c r="AA112" s="26"/>
    </row>
    <row r="113" spans="1:27" ht="15.75" customHeight="1">
      <c r="A113" s="10" t="s">
        <v>892</v>
      </c>
      <c r="B113" s="10" t="s">
        <v>27</v>
      </c>
      <c r="C113" s="11" t="s">
        <v>28</v>
      </c>
      <c r="D113" s="12"/>
      <c r="E113" s="13" t="s">
        <v>43</v>
      </c>
      <c r="F113" s="6" t="s">
        <v>893</v>
      </c>
      <c r="G113" s="6" t="str">
        <f ca="1">IFERROR(__xludf.DUMMYFUNCTION("CONCATENATE(B113,(VLOOKUP(C113,CATALOGOS!$F$2:$H$6,3,FALSE)),(VLOOKUP(T113,CATALOGOS!$J$2:$K$18,2,FALSE)),""-"",TO_TEXT(A113))"),"P05RM-0112")</f>
        <v>P05RM-0112</v>
      </c>
      <c r="H113" s="6" t="s">
        <v>894</v>
      </c>
      <c r="I113" s="6" t="s">
        <v>895</v>
      </c>
      <c r="J113" s="6" t="s">
        <v>896</v>
      </c>
      <c r="K113" s="6" t="s">
        <v>897</v>
      </c>
      <c r="L113" s="17"/>
      <c r="M113" s="17"/>
      <c r="N113" s="17" t="str">
        <f t="shared" si="1"/>
        <v>OK</v>
      </c>
      <c r="O113" s="17" t="s">
        <v>898</v>
      </c>
      <c r="P113" s="6" t="s">
        <v>899</v>
      </c>
      <c r="Q113" s="6" t="s">
        <v>36</v>
      </c>
      <c r="R113" s="17" t="s">
        <v>85</v>
      </c>
      <c r="S113" s="173" t="s">
        <v>38</v>
      </c>
      <c r="T113" s="19" t="s">
        <v>147</v>
      </c>
      <c r="U113" s="20" t="s">
        <v>848</v>
      </c>
      <c r="V113" s="20" t="s">
        <v>848</v>
      </c>
      <c r="W113" s="20"/>
      <c r="X113" s="6"/>
      <c r="Y113" s="6"/>
      <c r="Z113" s="23"/>
      <c r="AA113" s="33"/>
    </row>
    <row r="114" spans="1:27" ht="15.75" customHeight="1">
      <c r="A114" s="10" t="s">
        <v>900</v>
      </c>
      <c r="B114" s="10" t="s">
        <v>27</v>
      </c>
      <c r="C114" s="11" t="s">
        <v>28</v>
      </c>
      <c r="D114" s="12"/>
      <c r="E114" s="13" t="s">
        <v>53</v>
      </c>
      <c r="F114" s="6" t="s">
        <v>901</v>
      </c>
      <c r="G114" s="6" t="str">
        <f ca="1">IFERROR(__xludf.DUMMYFUNCTION("CONCATENATE(B114,(VLOOKUP(C114,CATALOGOS!$F$2:$H$6,3,FALSE)),(VLOOKUP(T114,CATALOGOS!$J$2:$K$18,2,FALSE)),""-"",TO_TEXT(A114))"),"P05RM-0113")</f>
        <v>P05RM-0113</v>
      </c>
      <c r="H114" s="6" t="s">
        <v>902</v>
      </c>
      <c r="I114" s="6" t="s">
        <v>903</v>
      </c>
      <c r="J114" s="36"/>
      <c r="K114" s="6" t="s">
        <v>141</v>
      </c>
      <c r="L114" s="17"/>
      <c r="M114" s="17"/>
      <c r="N114" s="17" t="str">
        <f t="shared" si="1"/>
        <v>REPETIDO</v>
      </c>
      <c r="O114" s="35" t="s">
        <v>35</v>
      </c>
      <c r="P114" s="6" t="s">
        <v>35</v>
      </c>
      <c r="Q114" s="10" t="s">
        <v>36</v>
      </c>
      <c r="R114" s="32" t="s">
        <v>85</v>
      </c>
      <c r="S114" s="173" t="s">
        <v>38</v>
      </c>
      <c r="T114" s="11" t="s">
        <v>147</v>
      </c>
      <c r="U114" s="20" t="s">
        <v>848</v>
      </c>
      <c r="V114" s="20" t="s">
        <v>848</v>
      </c>
      <c r="W114" s="20"/>
      <c r="X114" s="6"/>
      <c r="Y114" s="6"/>
      <c r="Z114" s="23"/>
      <c r="AA114" s="33"/>
    </row>
    <row r="115" spans="1:27" ht="15.75" customHeight="1">
      <c r="A115" s="10" t="s">
        <v>904</v>
      </c>
      <c r="B115" s="10" t="s">
        <v>27</v>
      </c>
      <c r="C115" s="11" t="s">
        <v>28</v>
      </c>
      <c r="D115" s="12"/>
      <c r="E115" s="13" t="s">
        <v>151</v>
      </c>
      <c r="F115" s="6" t="s">
        <v>152</v>
      </c>
      <c r="G115" s="6" t="str">
        <f ca="1">IFERROR(__xludf.DUMMYFUNCTION("CONCATENATE(B115,(VLOOKUP(C115,CATALOGOS!$F$2:$H$6,3,FALSE)),(VLOOKUP(T115,CATALOGOS!$J$2:$K$18,2,FALSE)),""-"",TO_TEXT(A115))"),"P05RM-0114")</f>
        <v>P05RM-0114</v>
      </c>
      <c r="H115" s="6" t="s">
        <v>905</v>
      </c>
      <c r="I115" s="15" t="s">
        <v>906</v>
      </c>
      <c r="J115" s="6" t="s">
        <v>907</v>
      </c>
      <c r="K115" s="6" t="s">
        <v>908</v>
      </c>
      <c r="L115" s="17"/>
      <c r="M115" s="17"/>
      <c r="N115" s="17" t="str">
        <f t="shared" si="1"/>
        <v>OK</v>
      </c>
      <c r="O115" s="17" t="s">
        <v>157</v>
      </c>
      <c r="P115" s="6" t="s">
        <v>158</v>
      </c>
      <c r="Q115" s="17" t="s">
        <v>909</v>
      </c>
      <c r="R115" s="10" t="s">
        <v>910</v>
      </c>
      <c r="S115" s="173" t="s">
        <v>38</v>
      </c>
      <c r="T115" s="11" t="s">
        <v>147</v>
      </c>
      <c r="U115" s="20" t="s">
        <v>848</v>
      </c>
      <c r="V115" s="20" t="s">
        <v>848</v>
      </c>
      <c r="W115" s="20"/>
      <c r="X115" s="7"/>
      <c r="Y115" s="7"/>
      <c r="Z115" s="23"/>
      <c r="AA115" s="26"/>
    </row>
    <row r="116" spans="1:27" ht="15.75" customHeight="1">
      <c r="A116" s="10" t="s">
        <v>911</v>
      </c>
      <c r="B116" s="10" t="s">
        <v>27</v>
      </c>
      <c r="C116" s="11" t="s">
        <v>28</v>
      </c>
      <c r="D116" s="12"/>
      <c r="E116" s="13" t="s">
        <v>151</v>
      </c>
      <c r="F116" s="6" t="s">
        <v>714</v>
      </c>
      <c r="G116" s="6" t="str">
        <f ca="1">IFERROR(__xludf.DUMMYFUNCTION("CONCATENATE(B116,(VLOOKUP(C116,CATALOGOS!$F$2:$H$6,3,FALSE)),(VLOOKUP(T116,CATALOGOS!$J$2:$K$18,2,FALSE)),""-"",TO_TEXT(A116))"),"P05RM-0115")</f>
        <v>P05RM-0115</v>
      </c>
      <c r="H116" s="6" t="s">
        <v>912</v>
      </c>
      <c r="I116" s="6" t="s">
        <v>913</v>
      </c>
      <c r="J116" s="6" t="s">
        <v>914</v>
      </c>
      <c r="K116" s="6" t="s">
        <v>915</v>
      </c>
      <c r="L116" s="17"/>
      <c r="M116" s="17"/>
      <c r="N116" s="17" t="str">
        <f t="shared" si="1"/>
        <v>OK</v>
      </c>
      <c r="O116" s="17" t="s">
        <v>205</v>
      </c>
      <c r="P116" s="6" t="s">
        <v>916</v>
      </c>
      <c r="Q116" s="17" t="s">
        <v>917</v>
      </c>
      <c r="R116" s="17" t="s">
        <v>918</v>
      </c>
      <c r="S116" s="173" t="s">
        <v>38</v>
      </c>
      <c r="T116" s="11" t="s">
        <v>147</v>
      </c>
      <c r="U116" s="20" t="s">
        <v>848</v>
      </c>
      <c r="V116" s="20" t="s">
        <v>848</v>
      </c>
      <c r="W116" s="20"/>
      <c r="X116" s="7"/>
      <c r="Y116" s="7"/>
      <c r="Z116" s="23"/>
      <c r="AA116" s="26"/>
    </row>
    <row r="117" spans="1:27" ht="15.75" customHeight="1">
      <c r="A117" s="10" t="s">
        <v>919</v>
      </c>
      <c r="B117" s="10" t="s">
        <v>27</v>
      </c>
      <c r="C117" s="11" t="s">
        <v>28</v>
      </c>
      <c r="D117" s="12"/>
      <c r="E117" s="13" t="s">
        <v>116</v>
      </c>
      <c r="F117" s="6" t="s">
        <v>920</v>
      </c>
      <c r="G117" s="6" t="str">
        <f ca="1">IFERROR(__xludf.DUMMYFUNCTION("CONCATENATE(B117,(VLOOKUP(C117,CATALOGOS!$F$2:$H$6,3,FALSE)),(VLOOKUP(T117,CATALOGOS!$J$2:$K$18,2,FALSE)),""-"",TO_TEXT(A117))"),"P05RM-0116")</f>
        <v>P05RM-0116</v>
      </c>
      <c r="H117" s="6" t="s">
        <v>921</v>
      </c>
      <c r="I117" s="6" t="s">
        <v>922</v>
      </c>
      <c r="J117" s="6" t="s">
        <v>923</v>
      </c>
      <c r="K117" s="43" t="s">
        <v>924</v>
      </c>
      <c r="L117" s="17"/>
      <c r="M117" s="17"/>
      <c r="N117" s="17" t="str">
        <f t="shared" si="1"/>
        <v>OK</v>
      </c>
      <c r="O117" s="17" t="s">
        <v>35</v>
      </c>
      <c r="P117" s="6" t="s">
        <v>35</v>
      </c>
      <c r="Q117" s="17" t="s">
        <v>36</v>
      </c>
      <c r="R117" s="17" t="s">
        <v>925</v>
      </c>
      <c r="S117" s="173" t="s">
        <v>38</v>
      </c>
      <c r="T117" s="11" t="s">
        <v>147</v>
      </c>
      <c r="U117" s="20" t="s">
        <v>848</v>
      </c>
      <c r="V117" s="20" t="s">
        <v>848</v>
      </c>
      <c r="W117" s="20"/>
      <c r="X117" s="7"/>
      <c r="Y117" s="7"/>
      <c r="Z117" s="23"/>
      <c r="AA117" s="26"/>
    </row>
    <row r="118" spans="1:27" ht="15.75" customHeight="1">
      <c r="A118" s="10" t="s">
        <v>926</v>
      </c>
      <c r="B118" s="10" t="s">
        <v>27</v>
      </c>
      <c r="C118" s="11" t="s">
        <v>28</v>
      </c>
      <c r="D118" s="12"/>
      <c r="E118" s="13" t="s">
        <v>184</v>
      </c>
      <c r="F118" s="6" t="s">
        <v>927</v>
      </c>
      <c r="G118" s="6" t="str">
        <f ca="1">IFERROR(__xludf.DUMMYFUNCTION("CONCATENATE(B118,(VLOOKUP(C118,CATALOGOS!$F$2:$H$6,3,FALSE)),(VLOOKUP(T118,CATALOGOS!$J$2:$K$18,2,FALSE)),""-"",TO_TEXT(A118))"),"P05RM-0117")</f>
        <v>P05RM-0117</v>
      </c>
      <c r="H118" s="6" t="s">
        <v>928</v>
      </c>
      <c r="I118" s="15" t="s">
        <v>929</v>
      </c>
      <c r="J118" s="6" t="s">
        <v>930</v>
      </c>
      <c r="K118" s="6" t="s">
        <v>931</v>
      </c>
      <c r="L118" s="17"/>
      <c r="M118" s="17"/>
      <c r="N118" s="17" t="str">
        <f t="shared" si="1"/>
        <v>OK</v>
      </c>
      <c r="O118" s="17" t="s">
        <v>35</v>
      </c>
      <c r="P118" s="6" t="s">
        <v>35</v>
      </c>
      <c r="Q118" s="17" t="s">
        <v>36</v>
      </c>
      <c r="R118" s="17" t="s">
        <v>932</v>
      </c>
      <c r="S118" s="173" t="s">
        <v>38</v>
      </c>
      <c r="T118" s="11" t="s">
        <v>147</v>
      </c>
      <c r="U118" s="20" t="s">
        <v>848</v>
      </c>
      <c r="V118" s="20" t="s">
        <v>848</v>
      </c>
      <c r="W118" s="20"/>
      <c r="X118" s="7"/>
      <c r="Y118" s="7"/>
      <c r="Z118" s="23"/>
      <c r="AA118" s="26"/>
    </row>
    <row r="119" spans="1:27" ht="15.75" customHeight="1">
      <c r="A119" s="10" t="s">
        <v>933</v>
      </c>
      <c r="B119" s="10" t="s">
        <v>27</v>
      </c>
      <c r="C119" s="11" t="s">
        <v>28</v>
      </c>
      <c r="D119" s="12"/>
      <c r="E119" s="13" t="s">
        <v>353</v>
      </c>
      <c r="F119" s="6" t="s">
        <v>638</v>
      </c>
      <c r="G119" s="6" t="str">
        <f ca="1">IFERROR(__xludf.DUMMYFUNCTION("CONCATENATE(B119,(VLOOKUP(C119,CATALOGOS!$F$2:$H$6,3,FALSE)),(VLOOKUP(T119,CATALOGOS!$J$2:$K$18,2,FALSE)),""-"",TO_TEXT(A119))"),"P05RM-0118")</f>
        <v>P05RM-0118</v>
      </c>
      <c r="H119" s="6" t="s">
        <v>934</v>
      </c>
      <c r="I119" s="6" t="s">
        <v>935</v>
      </c>
      <c r="J119" s="6" t="s">
        <v>936</v>
      </c>
      <c r="K119" s="6" t="s">
        <v>937</v>
      </c>
      <c r="L119" s="17"/>
      <c r="M119" s="17"/>
      <c r="N119" s="17" t="str">
        <f t="shared" si="1"/>
        <v>OK</v>
      </c>
      <c r="O119" s="17" t="s">
        <v>359</v>
      </c>
      <c r="P119" s="6" t="s">
        <v>938</v>
      </c>
      <c r="Q119" s="17" t="s">
        <v>939</v>
      </c>
      <c r="R119" s="10" t="s">
        <v>940</v>
      </c>
      <c r="S119" s="173" t="s">
        <v>38</v>
      </c>
      <c r="T119" s="11" t="s">
        <v>147</v>
      </c>
      <c r="U119" s="20" t="s">
        <v>848</v>
      </c>
      <c r="V119" s="20" t="s">
        <v>848</v>
      </c>
      <c r="W119" s="20"/>
      <c r="X119" s="7"/>
      <c r="Y119" s="7"/>
      <c r="Z119" s="23"/>
      <c r="AA119" s="26"/>
    </row>
    <row r="120" spans="1:27" ht="15.75" customHeight="1">
      <c r="A120" s="10" t="s">
        <v>941</v>
      </c>
      <c r="B120" s="10" t="s">
        <v>27</v>
      </c>
      <c r="C120" s="11" t="s">
        <v>28</v>
      </c>
      <c r="D120" s="12"/>
      <c r="E120" s="13" t="s">
        <v>199</v>
      </c>
      <c r="F120" s="6" t="s">
        <v>199</v>
      </c>
      <c r="G120" s="6" t="str">
        <f ca="1">IFERROR(__xludf.DUMMYFUNCTION("CONCATENATE(B120,(VLOOKUP(C120,CATALOGOS!$F$2:$H$6,3,FALSE)),(VLOOKUP(T120,CATALOGOS!$J$2:$K$18,2,FALSE)),""-"",TO_TEXT(A120))"),"P05RM-0119")</f>
        <v>P05RM-0119</v>
      </c>
      <c r="H120" s="6" t="s">
        <v>942</v>
      </c>
      <c r="I120" s="6" t="s">
        <v>943</v>
      </c>
      <c r="J120" s="6" t="s">
        <v>944</v>
      </c>
      <c r="K120" s="6" t="s">
        <v>945</v>
      </c>
      <c r="L120" s="17"/>
      <c r="M120" s="17"/>
      <c r="N120" s="17" t="str">
        <f t="shared" si="1"/>
        <v>OK</v>
      </c>
      <c r="O120" s="17" t="s">
        <v>157</v>
      </c>
      <c r="P120" s="6">
        <v>2378</v>
      </c>
      <c r="Q120" s="17" t="s">
        <v>946</v>
      </c>
      <c r="R120" s="17" t="s">
        <v>947</v>
      </c>
      <c r="S120" s="173" t="s">
        <v>38</v>
      </c>
      <c r="T120" s="11" t="s">
        <v>147</v>
      </c>
      <c r="U120" s="20" t="s">
        <v>848</v>
      </c>
      <c r="V120" s="20" t="s">
        <v>848</v>
      </c>
      <c r="W120" s="20"/>
      <c r="X120" s="7"/>
      <c r="Y120" s="7"/>
      <c r="Z120" s="23"/>
      <c r="AA120" s="26"/>
    </row>
    <row r="121" spans="1:27" ht="15.75" customHeight="1">
      <c r="A121" s="10" t="s">
        <v>948</v>
      </c>
      <c r="B121" s="10" t="s">
        <v>27</v>
      </c>
      <c r="C121" s="11" t="s">
        <v>28</v>
      </c>
      <c r="D121" s="12"/>
      <c r="E121" s="13" t="s">
        <v>210</v>
      </c>
      <c r="F121" s="6" t="s">
        <v>949</v>
      </c>
      <c r="G121" s="6" t="str">
        <f ca="1">IFERROR(__xludf.DUMMYFUNCTION("CONCATENATE(B121,(VLOOKUP(C121,CATALOGOS!$F$2:$H$6,3,FALSE)),(VLOOKUP(T121,CATALOGOS!$J$2:$K$18,2,FALSE)),""-"",TO_TEXT(A121))"),"P05RM-0120")</f>
        <v>P05RM-0120</v>
      </c>
      <c r="H121" s="6" t="s">
        <v>950</v>
      </c>
      <c r="I121" s="6" t="s">
        <v>951</v>
      </c>
      <c r="J121" s="6" t="s">
        <v>952</v>
      </c>
      <c r="K121" s="6" t="s">
        <v>953</v>
      </c>
      <c r="L121" s="17"/>
      <c r="M121" s="17"/>
      <c r="N121" s="17" t="str">
        <f t="shared" si="1"/>
        <v>OK</v>
      </c>
      <c r="O121" s="17" t="s">
        <v>216</v>
      </c>
      <c r="P121" s="6" t="s">
        <v>737</v>
      </c>
      <c r="Q121" s="17" t="s">
        <v>954</v>
      </c>
      <c r="R121" s="17" t="s">
        <v>85</v>
      </c>
      <c r="S121" s="173" t="s">
        <v>38</v>
      </c>
      <c r="T121" s="11" t="s">
        <v>147</v>
      </c>
      <c r="U121" s="20" t="s">
        <v>848</v>
      </c>
      <c r="V121" s="20" t="s">
        <v>848</v>
      </c>
      <c r="W121" s="20"/>
      <c r="X121" s="7"/>
      <c r="Y121" s="7"/>
      <c r="Z121" s="23"/>
      <c r="AA121" s="26"/>
    </row>
    <row r="122" spans="1:27" ht="15.75" customHeight="1">
      <c r="A122" s="10" t="s">
        <v>955</v>
      </c>
      <c r="B122" s="10" t="s">
        <v>27</v>
      </c>
      <c r="C122" s="11" t="s">
        <v>28</v>
      </c>
      <c r="D122" s="38"/>
      <c r="E122" s="13" t="s">
        <v>378</v>
      </c>
      <c r="F122" s="6" t="s">
        <v>956</v>
      </c>
      <c r="G122" s="6" t="str">
        <f ca="1">IFERROR(__xludf.DUMMYFUNCTION("CONCATENATE(B122,(VLOOKUP(C122,CATALOGOS!$F$2:$H$6,3,FALSE)),(VLOOKUP(T122,CATALOGOS!$J$2:$K$18,2,FALSE)),""-"",TO_TEXT(A122))"),"P05RM-0121")</f>
        <v>P05RM-0121</v>
      </c>
      <c r="H122" s="6" t="s">
        <v>957</v>
      </c>
      <c r="I122" s="6" t="s">
        <v>958</v>
      </c>
      <c r="J122" s="6" t="s">
        <v>959</v>
      </c>
      <c r="K122" s="6" t="s">
        <v>960</v>
      </c>
      <c r="L122" s="17"/>
      <c r="M122" s="17"/>
      <c r="N122" s="17" t="str">
        <f t="shared" si="1"/>
        <v>OK</v>
      </c>
      <c r="O122" s="17" t="s">
        <v>35</v>
      </c>
      <c r="P122" s="6" t="s">
        <v>35</v>
      </c>
      <c r="Q122" s="46" t="s">
        <v>36</v>
      </c>
      <c r="R122" s="17" t="s">
        <v>961</v>
      </c>
      <c r="S122" s="173" t="s">
        <v>38</v>
      </c>
      <c r="T122" s="11" t="s">
        <v>147</v>
      </c>
      <c r="U122" s="20" t="s">
        <v>848</v>
      </c>
      <c r="V122" s="20" t="s">
        <v>848</v>
      </c>
      <c r="W122" s="20"/>
      <c r="X122" s="7"/>
      <c r="Y122" s="7"/>
      <c r="Z122" s="26"/>
      <c r="AA122" s="26"/>
    </row>
    <row r="123" spans="1:27" ht="15.75" customHeight="1">
      <c r="A123" s="10" t="s">
        <v>962</v>
      </c>
      <c r="B123" s="10" t="s">
        <v>27</v>
      </c>
      <c r="C123" s="11" t="s">
        <v>28</v>
      </c>
      <c r="D123" s="12"/>
      <c r="E123" s="13" t="s">
        <v>151</v>
      </c>
      <c r="F123" s="6" t="s">
        <v>963</v>
      </c>
      <c r="G123" s="6" t="str">
        <f ca="1">IFERROR(__xludf.DUMMYFUNCTION("CONCATENATE(B123,(VLOOKUP(C123,CATALOGOS!$F$2:$H$6,3,FALSE)),(VLOOKUP(T123,CATALOGOS!$J$2:$K$18,2,FALSE)),""-"",TO_TEXT(A123))"),"P05RM-0122")</f>
        <v>P05RM-0122</v>
      </c>
      <c r="H123" s="6" t="s">
        <v>964</v>
      </c>
      <c r="I123" s="6" t="s">
        <v>965</v>
      </c>
      <c r="J123" s="6" t="s">
        <v>966</v>
      </c>
      <c r="K123" s="43" t="s">
        <v>967</v>
      </c>
      <c r="L123" s="17"/>
      <c r="M123" s="17"/>
      <c r="N123" s="17" t="str">
        <f t="shared" si="1"/>
        <v>OK</v>
      </c>
      <c r="O123" s="17" t="s">
        <v>703</v>
      </c>
      <c r="P123" s="6" t="s">
        <v>968</v>
      </c>
      <c r="Q123" s="17" t="s">
        <v>969</v>
      </c>
      <c r="R123" s="10" t="s">
        <v>970</v>
      </c>
      <c r="S123" s="173" t="s">
        <v>971</v>
      </c>
      <c r="T123" s="11" t="s">
        <v>147</v>
      </c>
      <c r="U123" s="22" t="s">
        <v>686</v>
      </c>
      <c r="V123" s="22" t="s">
        <v>686</v>
      </c>
      <c r="W123" s="22"/>
      <c r="X123" s="7"/>
      <c r="Y123" s="7"/>
      <c r="Z123" s="23"/>
      <c r="AA123" s="26"/>
    </row>
    <row r="124" spans="1:27" ht="15.75" customHeight="1">
      <c r="A124" s="10" t="s">
        <v>972</v>
      </c>
      <c r="B124" s="10" t="s">
        <v>27</v>
      </c>
      <c r="C124" s="11" t="s">
        <v>28</v>
      </c>
      <c r="D124" s="12"/>
      <c r="E124" s="13" t="s">
        <v>248</v>
      </c>
      <c r="F124" s="6" t="s">
        <v>973</v>
      </c>
      <c r="G124" s="6" t="str">
        <f ca="1">IFERROR(__xludf.DUMMYFUNCTION("CONCATENATE(B124,(VLOOKUP(C124,CATALOGOS!$F$2:$H$6,3,FALSE)),(VLOOKUP(T124,CATALOGOS!$J$2:$K$18,2,FALSE)),""-"",TO_TEXT(A124))"),"P05RM-0123")</f>
        <v>P05RM-0123</v>
      </c>
      <c r="H124" s="6" t="s">
        <v>974</v>
      </c>
      <c r="I124" s="6" t="s">
        <v>975</v>
      </c>
      <c r="J124" s="6" t="s">
        <v>976</v>
      </c>
      <c r="K124" s="6" t="s">
        <v>977</v>
      </c>
      <c r="L124" s="17"/>
      <c r="M124" s="17"/>
      <c r="N124" s="17" t="str">
        <f t="shared" si="1"/>
        <v>OK</v>
      </c>
      <c r="O124" s="17" t="s">
        <v>978</v>
      </c>
      <c r="P124" s="6" t="s">
        <v>979</v>
      </c>
      <c r="Q124" s="17" t="s">
        <v>980</v>
      </c>
      <c r="R124" s="17" t="s">
        <v>981</v>
      </c>
      <c r="S124" s="173" t="s">
        <v>38</v>
      </c>
      <c r="T124" s="11" t="s">
        <v>147</v>
      </c>
      <c r="U124" s="22" t="s">
        <v>686</v>
      </c>
      <c r="V124" s="22" t="s">
        <v>686</v>
      </c>
      <c r="W124" s="22"/>
      <c r="X124" s="7"/>
      <c r="Y124" s="7"/>
      <c r="Z124" s="23"/>
      <c r="AA124" s="26"/>
    </row>
    <row r="125" spans="1:27" ht="15.75" customHeight="1">
      <c r="A125" s="10" t="s">
        <v>982</v>
      </c>
      <c r="B125" s="10" t="s">
        <v>27</v>
      </c>
      <c r="C125" s="11" t="s">
        <v>28</v>
      </c>
      <c r="D125" s="12"/>
      <c r="E125" s="13" t="s">
        <v>93</v>
      </c>
      <c r="F125" s="6" t="s">
        <v>869</v>
      </c>
      <c r="G125" s="6" t="str">
        <f ca="1">IFERROR(__xludf.DUMMYFUNCTION("CONCATENATE(B125,(VLOOKUP(C125,CATALOGOS!$F$2:$H$6,3,FALSE)),(VLOOKUP(T125,CATALOGOS!$J$2:$K$18,2,FALSE)),""-"",TO_TEXT(A125))"),"P05RH-0124")</f>
        <v>P05RH-0124</v>
      </c>
      <c r="H125" s="6" t="s">
        <v>983</v>
      </c>
      <c r="I125" s="6" t="s">
        <v>984</v>
      </c>
      <c r="J125" s="6" t="s">
        <v>985</v>
      </c>
      <c r="K125" s="43" t="s">
        <v>986</v>
      </c>
      <c r="L125" s="17"/>
      <c r="M125" s="17"/>
      <c r="N125" s="17" t="str">
        <f t="shared" si="1"/>
        <v>OK</v>
      </c>
      <c r="O125" s="17" t="s">
        <v>35</v>
      </c>
      <c r="P125" s="6" t="s">
        <v>35</v>
      </c>
      <c r="Q125" s="17" t="s">
        <v>36</v>
      </c>
      <c r="R125" s="17" t="s">
        <v>987</v>
      </c>
      <c r="S125" s="173" t="s">
        <v>38</v>
      </c>
      <c r="T125" s="11" t="s">
        <v>723</v>
      </c>
      <c r="U125" s="20" t="s">
        <v>687</v>
      </c>
      <c r="V125" s="20" t="s">
        <v>687</v>
      </c>
      <c r="W125" s="20"/>
      <c r="X125" s="7"/>
      <c r="Y125" s="7"/>
      <c r="Z125" s="23"/>
      <c r="AA125" s="26"/>
    </row>
    <row r="126" spans="1:27" ht="15.75" customHeight="1">
      <c r="A126" s="10" t="s">
        <v>988</v>
      </c>
      <c r="B126" s="10" t="s">
        <v>27</v>
      </c>
      <c r="C126" s="11" t="s">
        <v>28</v>
      </c>
      <c r="D126" s="12"/>
      <c r="E126" s="13" t="s">
        <v>199</v>
      </c>
      <c r="F126" s="6" t="s">
        <v>199</v>
      </c>
      <c r="G126" s="6" t="str">
        <f ca="1">IFERROR(__xludf.DUMMYFUNCTION("CONCATENATE(B126,(VLOOKUP(C126,CATALOGOS!$F$2:$H$6,3,FALSE)),(VLOOKUP(T126,CATALOGOS!$J$2:$K$18,2,FALSE)),""-"",TO_TEXT(A126))"),"P05RM-0125")</f>
        <v>P05RM-0125</v>
      </c>
      <c r="H126" s="6" t="s">
        <v>989</v>
      </c>
      <c r="I126" s="6" t="s">
        <v>990</v>
      </c>
      <c r="J126" s="6" t="s">
        <v>991</v>
      </c>
      <c r="K126" s="6" t="s">
        <v>992</v>
      </c>
      <c r="L126" s="17"/>
      <c r="M126" s="17"/>
      <c r="N126" s="17" t="str">
        <f t="shared" si="1"/>
        <v>OK</v>
      </c>
      <c r="O126" s="17" t="s">
        <v>205</v>
      </c>
      <c r="P126" s="6" t="s">
        <v>993</v>
      </c>
      <c r="Q126" s="17" t="s">
        <v>994</v>
      </c>
      <c r="R126" s="17" t="s">
        <v>995</v>
      </c>
      <c r="S126" s="173" t="s">
        <v>38</v>
      </c>
      <c r="T126" s="11" t="s">
        <v>147</v>
      </c>
      <c r="U126" s="22" t="s">
        <v>686</v>
      </c>
      <c r="V126" s="22" t="s">
        <v>686</v>
      </c>
      <c r="W126" s="22"/>
      <c r="X126" s="7"/>
      <c r="Y126" s="7"/>
      <c r="Z126" s="23"/>
      <c r="AA126" s="26"/>
    </row>
    <row r="127" spans="1:27" ht="15.75" customHeight="1">
      <c r="A127" s="10" t="s">
        <v>996</v>
      </c>
      <c r="B127" s="10" t="s">
        <v>27</v>
      </c>
      <c r="C127" s="52" t="s">
        <v>868</v>
      </c>
      <c r="D127" s="12"/>
      <c r="E127" s="13" t="s">
        <v>151</v>
      </c>
      <c r="F127" s="6" t="s">
        <v>963</v>
      </c>
      <c r="G127" s="6" t="str">
        <f ca="1">IFERROR(__xludf.DUMMYFUNCTION("CONCATENATE(B127,(VLOOKUP(C127,CATALOGOS!$F$2:$H$6,3,FALSE)),(VLOOKUP(T127,CATALOGOS!$J$2:$K$18,2,FALSE)),""-"",TO_TEXT(A127))"),"P03CV-0126")</f>
        <v>P03CV-0126</v>
      </c>
      <c r="H127" s="6" t="s">
        <v>997</v>
      </c>
      <c r="I127" s="6" t="s">
        <v>998</v>
      </c>
      <c r="J127" s="6" t="s">
        <v>999</v>
      </c>
      <c r="K127" s="6" t="s">
        <v>1000</v>
      </c>
      <c r="L127" s="17"/>
      <c r="M127" s="17"/>
      <c r="N127" s="17" t="str">
        <f t="shared" si="1"/>
        <v>OK</v>
      </c>
      <c r="O127" s="17" t="s">
        <v>297</v>
      </c>
      <c r="P127" s="6" t="s">
        <v>1001</v>
      </c>
      <c r="Q127" s="17" t="s">
        <v>1002</v>
      </c>
      <c r="R127" s="17" t="s">
        <v>1003</v>
      </c>
      <c r="S127" s="179" t="s">
        <v>517</v>
      </c>
      <c r="T127" s="11" t="s">
        <v>875</v>
      </c>
      <c r="U127" s="20" t="s">
        <v>1004</v>
      </c>
      <c r="V127" s="20" t="s">
        <v>1004</v>
      </c>
      <c r="W127" s="20"/>
      <c r="X127" s="7"/>
      <c r="Y127" s="7"/>
      <c r="Z127" s="23"/>
      <c r="AA127" s="26"/>
    </row>
    <row r="128" spans="1:27" ht="15.75" customHeight="1">
      <c r="A128" s="10" t="s">
        <v>1005</v>
      </c>
      <c r="B128" s="10" t="s">
        <v>27</v>
      </c>
      <c r="C128" s="11" t="s">
        <v>28</v>
      </c>
      <c r="D128" s="38"/>
      <c r="E128" s="13" t="s">
        <v>378</v>
      </c>
      <c r="F128" s="6" t="s">
        <v>1006</v>
      </c>
      <c r="G128" s="6" t="str">
        <f ca="1">IFERROR(__xludf.DUMMYFUNCTION("CONCATENATE(B128,(VLOOKUP(C128,CATALOGOS!$F$2:$H$6,3,FALSE)),(VLOOKUP(T128,CATALOGOS!$J$2:$K$18,2,FALSE)),""-"",TO_TEXT(A128))"),"P05DA-0127")</f>
        <v>P05DA-0127</v>
      </c>
      <c r="H128" s="6" t="s">
        <v>1007</v>
      </c>
      <c r="I128" s="6" t="s">
        <v>1008</v>
      </c>
      <c r="J128" s="6" t="s">
        <v>1009</v>
      </c>
      <c r="K128" s="6" t="s">
        <v>1010</v>
      </c>
      <c r="L128" s="17"/>
      <c r="M128" s="17"/>
      <c r="N128" s="17" t="str">
        <f t="shared" si="1"/>
        <v>OK</v>
      </c>
      <c r="O128" s="17" t="s">
        <v>35</v>
      </c>
      <c r="P128" s="6" t="s">
        <v>35</v>
      </c>
      <c r="Q128" s="46" t="s">
        <v>36</v>
      </c>
      <c r="R128" s="17" t="s">
        <v>1011</v>
      </c>
      <c r="S128" s="173" t="s">
        <v>38</v>
      </c>
      <c r="T128" s="11" t="s">
        <v>28</v>
      </c>
      <c r="U128" s="20" t="s">
        <v>39</v>
      </c>
      <c r="V128" s="20" t="s">
        <v>39</v>
      </c>
      <c r="W128" s="20"/>
      <c r="X128" s="7"/>
      <c r="Y128" s="7"/>
      <c r="Z128" s="26"/>
      <c r="AA128" s="26"/>
    </row>
    <row r="129" spans="1:27" ht="15.75" customHeight="1">
      <c r="A129" s="10" t="s">
        <v>1012</v>
      </c>
      <c r="B129" s="10" t="s">
        <v>27</v>
      </c>
      <c r="C129" s="11" t="s">
        <v>28</v>
      </c>
      <c r="D129" s="12"/>
      <c r="E129" s="13" t="s">
        <v>116</v>
      </c>
      <c r="F129" s="6" t="s">
        <v>1013</v>
      </c>
      <c r="G129" s="6" t="str">
        <f ca="1">IFERROR(__xludf.DUMMYFUNCTION("CONCATENATE(B129,(VLOOKUP(C129,CATALOGOS!$F$2:$H$6,3,FALSE)),(VLOOKUP(T129,CATALOGOS!$J$2:$K$18,2,FALSE)),""-"",TO_TEXT(A129))"),"P05RM-0128")</f>
        <v>P05RM-0128</v>
      </c>
      <c r="H129" s="6" t="s">
        <v>1014</v>
      </c>
      <c r="I129" s="6" t="s">
        <v>1015</v>
      </c>
      <c r="J129" s="36"/>
      <c r="K129" s="6" t="s">
        <v>1016</v>
      </c>
      <c r="L129" s="17"/>
      <c r="M129" s="17"/>
      <c r="N129" s="17" t="str">
        <f t="shared" si="1"/>
        <v>OK</v>
      </c>
      <c r="O129" s="35" t="s">
        <v>35</v>
      </c>
      <c r="P129" s="6" t="s">
        <v>35</v>
      </c>
      <c r="Q129" s="10" t="s">
        <v>36</v>
      </c>
      <c r="R129" s="32" t="s">
        <v>85</v>
      </c>
      <c r="S129" s="173" t="s">
        <v>38</v>
      </c>
      <c r="T129" s="11" t="s">
        <v>147</v>
      </c>
      <c r="U129" s="22" t="s">
        <v>260</v>
      </c>
      <c r="V129" s="22" t="s">
        <v>260</v>
      </c>
      <c r="W129" s="22"/>
      <c r="X129" s="7"/>
      <c r="Y129" s="7"/>
      <c r="Z129" s="23"/>
      <c r="AA129" s="26"/>
    </row>
    <row r="130" spans="1:27" ht="15.75" customHeight="1">
      <c r="A130" s="10" t="s">
        <v>1017</v>
      </c>
      <c r="B130" s="10" t="s">
        <v>27</v>
      </c>
      <c r="C130" s="11" t="s">
        <v>28</v>
      </c>
      <c r="D130" s="12"/>
      <c r="E130" s="13" t="s">
        <v>184</v>
      </c>
      <c r="F130" s="6" t="s">
        <v>1018</v>
      </c>
      <c r="G130" s="6" t="str">
        <f ca="1">IFERROR(__xludf.DUMMYFUNCTION("CONCATENATE(B130,(VLOOKUP(C130,CATALOGOS!$F$2:$H$6,3,FALSE)),(VLOOKUP(T130,CATALOGOS!$J$2:$K$18,2,FALSE)),""-"",TO_TEXT(A130))"),"P05RH-0129")</f>
        <v>P05RH-0129</v>
      </c>
      <c r="H130" s="6" t="s">
        <v>1019</v>
      </c>
      <c r="I130" s="6" t="s">
        <v>1020</v>
      </c>
      <c r="J130" s="6" t="s">
        <v>1021</v>
      </c>
      <c r="K130" s="6" t="s">
        <v>1022</v>
      </c>
      <c r="L130" s="17"/>
      <c r="M130" s="17"/>
      <c r="N130" s="17" t="str">
        <f t="shared" si="1"/>
        <v>OK</v>
      </c>
      <c r="O130" s="17" t="s">
        <v>35</v>
      </c>
      <c r="P130" s="6" t="s">
        <v>35</v>
      </c>
      <c r="Q130" s="17" t="s">
        <v>36</v>
      </c>
      <c r="R130" s="17" t="s">
        <v>1023</v>
      </c>
      <c r="S130" s="173" t="s">
        <v>38</v>
      </c>
      <c r="T130" s="11" t="s">
        <v>723</v>
      </c>
      <c r="U130" s="20" t="s">
        <v>687</v>
      </c>
      <c r="V130" s="20" t="s">
        <v>687</v>
      </c>
      <c r="W130" s="20"/>
      <c r="X130" s="7"/>
      <c r="Y130" s="7"/>
      <c r="Z130" s="23"/>
      <c r="AA130" s="26"/>
    </row>
    <row r="131" spans="1:27" ht="15.75" customHeight="1">
      <c r="A131" s="10" t="s">
        <v>1024</v>
      </c>
      <c r="B131" s="10" t="s">
        <v>27</v>
      </c>
      <c r="C131" s="11" t="s">
        <v>28</v>
      </c>
      <c r="D131" s="12"/>
      <c r="E131" s="13" t="s">
        <v>199</v>
      </c>
      <c r="F131" s="6" t="s">
        <v>199</v>
      </c>
      <c r="G131" s="6" t="str">
        <f ca="1">IFERROR(__xludf.DUMMYFUNCTION("CONCATENATE(B131,(VLOOKUP(C131,CATALOGOS!$F$2:$H$6,3,FALSE)),(VLOOKUP(T131,CATALOGOS!$J$2:$K$18,2,FALSE)),""-"",TO_TEXT(A131))"),"P05RM-0130")</f>
        <v>P05RM-0130</v>
      </c>
      <c r="H131" s="6" t="s">
        <v>1025</v>
      </c>
      <c r="I131" s="6" t="s">
        <v>1026</v>
      </c>
      <c r="J131" s="6" t="s">
        <v>1027</v>
      </c>
      <c r="K131" s="6" t="s">
        <v>1028</v>
      </c>
      <c r="L131" s="17"/>
      <c r="M131" s="17"/>
      <c r="N131" s="17" t="str">
        <f t="shared" si="1"/>
        <v>OK</v>
      </c>
      <c r="O131" s="17" t="s">
        <v>297</v>
      </c>
      <c r="P131" s="6" t="s">
        <v>1029</v>
      </c>
      <c r="Q131" s="17" t="s">
        <v>1030</v>
      </c>
      <c r="R131" s="17" t="s">
        <v>1031</v>
      </c>
      <c r="S131" s="173" t="s">
        <v>38</v>
      </c>
      <c r="T131" s="11" t="s">
        <v>147</v>
      </c>
      <c r="U131" s="22" t="s">
        <v>260</v>
      </c>
      <c r="V131" s="22" t="s">
        <v>260</v>
      </c>
      <c r="W131" s="22"/>
      <c r="X131" s="7"/>
      <c r="Y131" s="7"/>
      <c r="Z131" s="23"/>
      <c r="AA131" s="26"/>
    </row>
    <row r="132" spans="1:27" ht="15.75" customHeight="1">
      <c r="A132" s="10" t="s">
        <v>1032</v>
      </c>
      <c r="B132" s="10" t="s">
        <v>27</v>
      </c>
      <c r="C132" s="11" t="s">
        <v>28</v>
      </c>
      <c r="D132" s="12"/>
      <c r="E132" s="13" t="s">
        <v>151</v>
      </c>
      <c r="F132" s="6" t="s">
        <v>963</v>
      </c>
      <c r="G132" s="6" t="str">
        <f ca="1">IFERROR(__xludf.DUMMYFUNCTION("CONCATENATE(B132,(VLOOKUP(C132,CATALOGOS!$F$2:$H$6,3,FALSE)),(VLOOKUP(T132,CATALOGOS!$J$2:$K$18,2,FALSE)),""-"",TO_TEXT(A132))"),"P05RM-0131")</f>
        <v>P05RM-0131</v>
      </c>
      <c r="H132" s="6" t="s">
        <v>1033</v>
      </c>
      <c r="I132" s="6" t="s">
        <v>1034</v>
      </c>
      <c r="J132" s="6" t="s">
        <v>1035</v>
      </c>
      <c r="K132" s="6" t="s">
        <v>1036</v>
      </c>
      <c r="L132" s="17"/>
      <c r="M132" s="17"/>
      <c r="N132" s="17" t="str">
        <f t="shared" si="1"/>
        <v>OK</v>
      </c>
      <c r="O132" s="17" t="s">
        <v>297</v>
      </c>
      <c r="P132" s="6" t="s">
        <v>1037</v>
      </c>
      <c r="Q132" s="17" t="s">
        <v>1038</v>
      </c>
      <c r="R132" s="17" t="s">
        <v>1039</v>
      </c>
      <c r="S132" s="173" t="s">
        <v>38</v>
      </c>
      <c r="T132" s="11" t="s">
        <v>147</v>
      </c>
      <c r="U132" s="22" t="s">
        <v>260</v>
      </c>
      <c r="V132" s="22" t="s">
        <v>260</v>
      </c>
      <c r="W132" s="22"/>
      <c r="X132" s="7"/>
      <c r="Y132" s="7"/>
      <c r="Z132" s="23"/>
      <c r="AA132" s="26"/>
    </row>
    <row r="133" spans="1:27" ht="15.75" customHeight="1">
      <c r="A133" s="10" t="s">
        <v>1040</v>
      </c>
      <c r="B133" s="10" t="s">
        <v>27</v>
      </c>
      <c r="C133" s="52" t="s">
        <v>868</v>
      </c>
      <c r="D133" s="38"/>
      <c r="E133" s="13" t="s">
        <v>353</v>
      </c>
      <c r="F133" s="43" t="s">
        <v>354</v>
      </c>
      <c r="G133" s="6" t="str">
        <f ca="1">IFERROR(__xludf.DUMMYFUNCTION("CONCATENATE(B133,(VLOOKUP(C133,CATALOGOS!$F$2:$H$6,3,FALSE)),(VLOOKUP(T133,CATALOGOS!$J$2:$K$18,2,FALSE)),""-"",TO_TEXT(A133))"),"P03CV-0132")</f>
        <v>P03CV-0132</v>
      </c>
      <c r="H133" s="6" t="s">
        <v>1041</v>
      </c>
      <c r="I133" s="6" t="s">
        <v>1042</v>
      </c>
      <c r="J133" s="6" t="s">
        <v>1043</v>
      </c>
      <c r="K133" s="6" t="s">
        <v>1044</v>
      </c>
      <c r="L133" s="17"/>
      <c r="M133" s="17"/>
      <c r="N133" s="17" t="str">
        <f t="shared" si="1"/>
        <v>OK</v>
      </c>
      <c r="O133" s="17" t="s">
        <v>359</v>
      </c>
      <c r="P133" s="6">
        <v>1350</v>
      </c>
      <c r="Q133" s="46" t="s">
        <v>1045</v>
      </c>
      <c r="R133" s="17" t="s">
        <v>1046</v>
      </c>
      <c r="S133" s="173" t="s">
        <v>38</v>
      </c>
      <c r="T133" s="11" t="s">
        <v>875</v>
      </c>
      <c r="U133" s="20" t="s">
        <v>876</v>
      </c>
      <c r="V133" s="20" t="s">
        <v>876</v>
      </c>
      <c r="W133" s="20"/>
      <c r="X133" s="7"/>
      <c r="Y133" s="7"/>
      <c r="Z133" s="26"/>
      <c r="AA133" s="26"/>
    </row>
    <row r="134" spans="1:27" ht="15.75" customHeight="1">
      <c r="A134" s="10" t="s">
        <v>1047</v>
      </c>
      <c r="B134" s="10" t="s">
        <v>27</v>
      </c>
      <c r="C134" s="11" t="s">
        <v>28</v>
      </c>
      <c r="D134" s="12"/>
      <c r="E134" s="13" t="s">
        <v>501</v>
      </c>
      <c r="F134" s="6" t="s">
        <v>1048</v>
      </c>
      <c r="G134" s="6" t="str">
        <f ca="1">IFERROR(__xludf.DUMMYFUNCTION("CONCATENATE(B134,(VLOOKUP(C134,CATALOGOS!$F$2:$H$6,3,FALSE)),(VLOOKUP(T134,CATALOGOS!$J$2:$K$18,2,FALSE)),""-"",TO_TEXT(A134))"),"P05RM-0133")</f>
        <v>P05RM-0133</v>
      </c>
      <c r="H134" s="6" t="s">
        <v>1049</v>
      </c>
      <c r="I134" s="6" t="s">
        <v>1050</v>
      </c>
      <c r="J134" s="6" t="s">
        <v>1051</v>
      </c>
      <c r="K134" s="6" t="s">
        <v>1052</v>
      </c>
      <c r="L134" s="17"/>
      <c r="M134" s="17"/>
      <c r="N134" s="17" t="str">
        <f t="shared" si="1"/>
        <v>OK</v>
      </c>
      <c r="O134" s="17" t="s">
        <v>35</v>
      </c>
      <c r="P134" s="6" t="s">
        <v>35</v>
      </c>
      <c r="Q134" s="17" t="s">
        <v>36</v>
      </c>
      <c r="R134" s="17" t="s">
        <v>1053</v>
      </c>
      <c r="S134" s="173" t="s">
        <v>38</v>
      </c>
      <c r="T134" s="11" t="s">
        <v>147</v>
      </c>
      <c r="U134" s="20" t="s">
        <v>848</v>
      </c>
      <c r="V134" s="20" t="s">
        <v>848</v>
      </c>
      <c r="W134" s="20"/>
      <c r="X134" s="7"/>
      <c r="Y134" s="7"/>
      <c r="Z134" s="23"/>
      <c r="AA134" s="26"/>
    </row>
    <row r="135" spans="1:27" ht="15.75" customHeight="1">
      <c r="A135" s="10" t="s">
        <v>1054</v>
      </c>
      <c r="B135" s="10" t="s">
        <v>27</v>
      </c>
      <c r="C135" s="11" t="s">
        <v>28</v>
      </c>
      <c r="D135" s="12"/>
      <c r="E135" s="13" t="s">
        <v>501</v>
      </c>
      <c r="F135" s="6" t="s">
        <v>1048</v>
      </c>
      <c r="G135" s="6" t="str">
        <f ca="1">IFERROR(__xludf.DUMMYFUNCTION("CONCATENATE(B135,(VLOOKUP(C135,CATALOGOS!$F$2:$H$6,3,FALSE)),(VLOOKUP(T135,CATALOGOS!$J$2:$K$18,2,FALSE)),""-"",TO_TEXT(A135))"),"P05RM-0134")</f>
        <v>P05RM-0134</v>
      </c>
      <c r="H135" s="6" t="s">
        <v>1055</v>
      </c>
      <c r="I135" s="6" t="s">
        <v>1056</v>
      </c>
      <c r="J135" s="6" t="s">
        <v>1057</v>
      </c>
      <c r="K135" s="6" t="s">
        <v>1058</v>
      </c>
      <c r="L135" s="17"/>
      <c r="M135" s="17"/>
      <c r="N135" s="17" t="str">
        <f t="shared" si="1"/>
        <v>OK</v>
      </c>
      <c r="O135" s="17" t="s">
        <v>35</v>
      </c>
      <c r="P135" s="6" t="s">
        <v>35</v>
      </c>
      <c r="Q135" s="17" t="s">
        <v>36</v>
      </c>
      <c r="R135" s="17" t="s">
        <v>1059</v>
      </c>
      <c r="S135" s="173" t="s">
        <v>38</v>
      </c>
      <c r="T135" s="11" t="s">
        <v>147</v>
      </c>
      <c r="U135" s="20" t="s">
        <v>848</v>
      </c>
      <c r="V135" s="20" t="s">
        <v>848</v>
      </c>
      <c r="W135" s="20"/>
      <c r="X135" s="7"/>
      <c r="Y135" s="7"/>
      <c r="Z135" s="23"/>
      <c r="AA135" s="26"/>
    </row>
    <row r="136" spans="1:27" ht="15.75" customHeight="1">
      <c r="A136" s="10" t="s">
        <v>1060</v>
      </c>
      <c r="B136" s="10" t="s">
        <v>27</v>
      </c>
      <c r="C136" s="11" t="s">
        <v>28</v>
      </c>
      <c r="D136" s="12"/>
      <c r="E136" s="13" t="s">
        <v>501</v>
      </c>
      <c r="F136" s="6" t="s">
        <v>1061</v>
      </c>
      <c r="G136" s="6" t="str">
        <f ca="1">IFERROR(__xludf.DUMMYFUNCTION("CONCATENATE(B136,(VLOOKUP(C136,CATALOGOS!$F$2:$H$6,3,FALSE)),(VLOOKUP(T136,CATALOGOS!$J$2:$K$18,2,FALSE)),""-"",TO_TEXT(A136))"),"P05RM-0135")</f>
        <v>P05RM-0135</v>
      </c>
      <c r="H136" s="6" t="s">
        <v>1062</v>
      </c>
      <c r="I136" s="6" t="s">
        <v>1063</v>
      </c>
      <c r="J136" s="6" t="s">
        <v>1064</v>
      </c>
      <c r="K136" s="6" t="s">
        <v>141</v>
      </c>
      <c r="L136" s="17"/>
      <c r="M136" s="17"/>
      <c r="N136" s="17" t="str">
        <f t="shared" si="1"/>
        <v>REPETIDO</v>
      </c>
      <c r="O136" s="17" t="s">
        <v>35</v>
      </c>
      <c r="P136" s="6" t="s">
        <v>35</v>
      </c>
      <c r="Q136" s="17" t="s">
        <v>36</v>
      </c>
      <c r="R136" s="17" t="s">
        <v>1065</v>
      </c>
      <c r="S136" s="173" t="s">
        <v>38</v>
      </c>
      <c r="T136" s="11" t="s">
        <v>147</v>
      </c>
      <c r="U136" s="20" t="s">
        <v>848</v>
      </c>
      <c r="V136" s="20" t="s">
        <v>848</v>
      </c>
      <c r="W136" s="20"/>
      <c r="X136" s="7"/>
      <c r="Y136" s="7"/>
      <c r="Z136" s="23"/>
      <c r="AA136" s="26"/>
    </row>
    <row r="137" spans="1:27" ht="15.75" customHeight="1">
      <c r="A137" s="10" t="s">
        <v>1066</v>
      </c>
      <c r="B137" s="10" t="s">
        <v>27</v>
      </c>
      <c r="C137" s="11" t="s">
        <v>28</v>
      </c>
      <c r="D137" s="12"/>
      <c r="E137" s="13" t="s">
        <v>501</v>
      </c>
      <c r="F137" s="6" t="s">
        <v>1048</v>
      </c>
      <c r="G137" s="6" t="str">
        <f ca="1">IFERROR(__xludf.DUMMYFUNCTION("CONCATENATE(B137,(VLOOKUP(C137,CATALOGOS!$F$2:$H$6,3,FALSE)),(VLOOKUP(T137,CATALOGOS!$J$2:$K$18,2,FALSE)),""-"",TO_TEXT(A137))"),"P05RM-0136")</f>
        <v>P05RM-0136</v>
      </c>
      <c r="H137" s="6" t="s">
        <v>1067</v>
      </c>
      <c r="I137" s="6" t="s">
        <v>1068</v>
      </c>
      <c r="J137" s="6" t="s">
        <v>1069</v>
      </c>
      <c r="K137" s="6" t="s">
        <v>1070</v>
      </c>
      <c r="L137" s="17"/>
      <c r="M137" s="17"/>
      <c r="N137" s="17" t="str">
        <f t="shared" si="1"/>
        <v>OK</v>
      </c>
      <c r="O137" s="17" t="s">
        <v>35</v>
      </c>
      <c r="P137" s="6" t="s">
        <v>35</v>
      </c>
      <c r="Q137" s="17" t="s">
        <v>36</v>
      </c>
      <c r="R137" s="17" t="s">
        <v>1071</v>
      </c>
      <c r="S137" s="173" t="s">
        <v>38</v>
      </c>
      <c r="T137" s="11" t="s">
        <v>147</v>
      </c>
      <c r="U137" s="20" t="s">
        <v>848</v>
      </c>
      <c r="V137" s="20" t="s">
        <v>848</v>
      </c>
      <c r="W137" s="20"/>
      <c r="X137" s="7"/>
      <c r="Y137" s="7"/>
      <c r="Z137" s="23"/>
      <c r="AA137" s="26"/>
    </row>
    <row r="138" spans="1:27" ht="15.75" customHeight="1">
      <c r="A138" s="10" t="s">
        <v>1072</v>
      </c>
      <c r="B138" s="10" t="s">
        <v>27</v>
      </c>
      <c r="C138" s="11" t="s">
        <v>28</v>
      </c>
      <c r="D138" s="12"/>
      <c r="E138" s="13" t="s">
        <v>501</v>
      </c>
      <c r="F138" s="6" t="s">
        <v>1048</v>
      </c>
      <c r="G138" s="6" t="str">
        <f ca="1">IFERROR(__xludf.DUMMYFUNCTION("CONCATENATE(B138,(VLOOKUP(C138,CATALOGOS!$F$2:$H$6,3,FALSE)),(VLOOKUP(T138,CATALOGOS!$J$2:$K$18,2,FALSE)),""-"",TO_TEXT(A138))"),"P05RM-0137")</f>
        <v>P05RM-0137</v>
      </c>
      <c r="H138" s="6" t="s">
        <v>1073</v>
      </c>
      <c r="I138" s="6" t="s">
        <v>1074</v>
      </c>
      <c r="J138" s="6" t="s">
        <v>1075</v>
      </c>
      <c r="K138" s="6" t="s">
        <v>1076</v>
      </c>
      <c r="L138" s="17"/>
      <c r="M138" s="17"/>
      <c r="N138" s="17" t="str">
        <f t="shared" si="1"/>
        <v>OK</v>
      </c>
      <c r="O138" s="17" t="s">
        <v>35</v>
      </c>
      <c r="P138" s="6" t="s">
        <v>35</v>
      </c>
      <c r="Q138" s="17" t="s">
        <v>36</v>
      </c>
      <c r="R138" s="17" t="s">
        <v>1077</v>
      </c>
      <c r="S138" s="173" t="s">
        <v>38</v>
      </c>
      <c r="T138" s="11" t="s">
        <v>147</v>
      </c>
      <c r="U138" s="20" t="s">
        <v>848</v>
      </c>
      <c r="V138" s="20" t="s">
        <v>848</v>
      </c>
      <c r="W138" s="20"/>
      <c r="X138" s="7"/>
      <c r="Y138" s="7"/>
      <c r="Z138" s="23"/>
      <c r="AA138" s="26"/>
    </row>
    <row r="139" spans="1:27" ht="15.75" customHeight="1">
      <c r="A139" s="10" t="s">
        <v>1078</v>
      </c>
      <c r="B139" s="10" t="s">
        <v>27</v>
      </c>
      <c r="C139" s="11" t="s">
        <v>28</v>
      </c>
      <c r="D139" s="12"/>
      <c r="E139" s="13" t="s">
        <v>501</v>
      </c>
      <c r="F139" s="6" t="s">
        <v>1048</v>
      </c>
      <c r="G139" s="6" t="str">
        <f ca="1">IFERROR(__xludf.DUMMYFUNCTION("CONCATENATE(B139,(VLOOKUP(C139,CATALOGOS!$F$2:$H$6,3,FALSE)),(VLOOKUP(T139,CATALOGOS!$J$2:$K$18,2,FALSE)),""-"",TO_TEXT(A139))"),"P05RM-0138")</f>
        <v>P05RM-0138</v>
      </c>
      <c r="H139" s="6" t="s">
        <v>1079</v>
      </c>
      <c r="I139" s="6" t="s">
        <v>1080</v>
      </c>
      <c r="J139" s="6" t="s">
        <v>1081</v>
      </c>
      <c r="K139" s="6" t="s">
        <v>1082</v>
      </c>
      <c r="L139" s="17"/>
      <c r="M139" s="17"/>
      <c r="N139" s="17" t="str">
        <f t="shared" si="1"/>
        <v>OK</v>
      </c>
      <c r="O139" s="17" t="s">
        <v>35</v>
      </c>
      <c r="P139" s="6" t="s">
        <v>35</v>
      </c>
      <c r="Q139" s="17" t="s">
        <v>36</v>
      </c>
      <c r="R139" s="17" t="s">
        <v>1083</v>
      </c>
      <c r="S139" s="173" t="s">
        <v>38</v>
      </c>
      <c r="T139" s="11" t="s">
        <v>147</v>
      </c>
      <c r="U139" s="20" t="s">
        <v>848</v>
      </c>
      <c r="V139" s="20" t="s">
        <v>848</v>
      </c>
      <c r="W139" s="20"/>
      <c r="X139" s="7"/>
      <c r="Y139" s="7"/>
      <c r="Z139" s="23"/>
      <c r="AA139" s="26"/>
    </row>
    <row r="140" spans="1:27" ht="15.75" customHeight="1">
      <c r="A140" s="10" t="s">
        <v>1084</v>
      </c>
      <c r="B140" s="10" t="s">
        <v>27</v>
      </c>
      <c r="C140" s="11" t="s">
        <v>28</v>
      </c>
      <c r="D140" s="12"/>
      <c r="E140" s="13" t="s">
        <v>501</v>
      </c>
      <c r="F140" s="6" t="s">
        <v>1048</v>
      </c>
      <c r="G140" s="6" t="str">
        <f ca="1">IFERROR(__xludf.DUMMYFUNCTION("CONCATENATE(B140,(VLOOKUP(C140,CATALOGOS!$F$2:$H$6,3,FALSE)),(VLOOKUP(T140,CATALOGOS!$J$2:$K$18,2,FALSE)),""-"",TO_TEXT(A140))"),"P05RM-0139")</f>
        <v>P05RM-0139</v>
      </c>
      <c r="H140" s="6" t="s">
        <v>1085</v>
      </c>
      <c r="I140" s="6" t="s">
        <v>1086</v>
      </c>
      <c r="J140" s="6" t="s">
        <v>1087</v>
      </c>
      <c r="K140" s="6" t="s">
        <v>1088</v>
      </c>
      <c r="L140" s="17"/>
      <c r="M140" s="17"/>
      <c r="N140" s="17" t="str">
        <f t="shared" si="1"/>
        <v>OK</v>
      </c>
      <c r="O140" s="17" t="s">
        <v>35</v>
      </c>
      <c r="P140" s="6" t="s">
        <v>35</v>
      </c>
      <c r="Q140" s="17" t="s">
        <v>36</v>
      </c>
      <c r="R140" s="17" t="s">
        <v>1089</v>
      </c>
      <c r="S140" s="173" t="s">
        <v>38</v>
      </c>
      <c r="T140" s="11" t="s">
        <v>147</v>
      </c>
      <c r="U140" s="20" t="s">
        <v>848</v>
      </c>
      <c r="V140" s="20" t="s">
        <v>848</v>
      </c>
      <c r="W140" s="20"/>
      <c r="X140" s="7"/>
      <c r="Y140" s="7"/>
      <c r="Z140" s="23"/>
      <c r="AA140" s="26"/>
    </row>
    <row r="141" spans="1:27" ht="15.75" customHeight="1">
      <c r="A141" s="10" t="s">
        <v>1090</v>
      </c>
      <c r="B141" s="10" t="s">
        <v>27</v>
      </c>
      <c r="C141" s="11" t="s">
        <v>28</v>
      </c>
      <c r="D141" s="12"/>
      <c r="E141" s="13" t="s">
        <v>501</v>
      </c>
      <c r="F141" s="6" t="s">
        <v>1091</v>
      </c>
      <c r="G141" s="6" t="str">
        <f ca="1">IFERROR(__xludf.DUMMYFUNCTION("CONCATENATE(B141,(VLOOKUP(C141,CATALOGOS!$F$2:$H$6,3,FALSE)),(VLOOKUP(T141,CATALOGOS!$J$2:$K$18,2,FALSE)),""-"",TO_TEXT(A141))"),"P05RM-0140")</f>
        <v>P05RM-0140</v>
      </c>
      <c r="H141" s="6" t="s">
        <v>1092</v>
      </c>
      <c r="I141" s="6" t="s">
        <v>1093</v>
      </c>
      <c r="J141" s="36"/>
      <c r="K141" s="6" t="s">
        <v>141</v>
      </c>
      <c r="L141" s="17"/>
      <c r="M141" s="17"/>
      <c r="N141" s="17" t="str">
        <f t="shared" si="1"/>
        <v>REPETIDO</v>
      </c>
      <c r="O141" s="17" t="s">
        <v>35</v>
      </c>
      <c r="P141" s="6" t="s">
        <v>35</v>
      </c>
      <c r="Q141" s="6" t="s">
        <v>36</v>
      </c>
      <c r="R141" s="10" t="s">
        <v>1094</v>
      </c>
      <c r="S141" s="173" t="s">
        <v>38</v>
      </c>
      <c r="T141" s="11" t="s">
        <v>147</v>
      </c>
      <c r="U141" s="20" t="s">
        <v>848</v>
      </c>
      <c r="V141" s="20" t="s">
        <v>848</v>
      </c>
      <c r="W141" s="20"/>
      <c r="X141" s="7"/>
      <c r="Y141" s="7"/>
      <c r="Z141" s="23"/>
      <c r="AA141" s="26"/>
    </row>
    <row r="142" spans="1:27" ht="15.75" customHeight="1">
      <c r="A142" s="10" t="s">
        <v>1095</v>
      </c>
      <c r="B142" s="10" t="s">
        <v>27</v>
      </c>
      <c r="C142" s="11" t="s">
        <v>28</v>
      </c>
      <c r="D142" s="12"/>
      <c r="E142" s="13" t="s">
        <v>501</v>
      </c>
      <c r="F142" s="6" t="s">
        <v>1091</v>
      </c>
      <c r="G142" s="6" t="str">
        <f ca="1">IFERROR(__xludf.DUMMYFUNCTION("CONCATENATE(B142,(VLOOKUP(C142,CATALOGOS!$F$2:$H$6,3,FALSE)),(VLOOKUP(T142,CATALOGOS!$J$2:$K$18,2,FALSE)),""-"",TO_TEXT(A142))"),"P05RM-0141")</f>
        <v>P05RM-0141</v>
      </c>
      <c r="H142" s="6" t="s">
        <v>1096</v>
      </c>
      <c r="I142" s="6" t="s">
        <v>1097</v>
      </c>
      <c r="J142" s="36"/>
      <c r="K142" s="6" t="s">
        <v>141</v>
      </c>
      <c r="L142" s="17"/>
      <c r="M142" s="17"/>
      <c r="N142" s="17" t="str">
        <f t="shared" si="1"/>
        <v>REPETIDO</v>
      </c>
      <c r="O142" s="17" t="s">
        <v>35</v>
      </c>
      <c r="P142" s="6" t="s">
        <v>35</v>
      </c>
      <c r="Q142" s="6" t="s">
        <v>36</v>
      </c>
      <c r="R142" s="10" t="s">
        <v>1098</v>
      </c>
      <c r="S142" s="173" t="s">
        <v>38</v>
      </c>
      <c r="T142" s="11" t="s">
        <v>147</v>
      </c>
      <c r="U142" s="20" t="s">
        <v>848</v>
      </c>
      <c r="V142" s="20" t="s">
        <v>848</v>
      </c>
      <c r="W142" s="20"/>
      <c r="X142" s="7"/>
      <c r="Y142" s="7"/>
      <c r="Z142" s="23"/>
      <c r="AA142" s="26"/>
    </row>
    <row r="143" spans="1:27" ht="15.75" customHeight="1">
      <c r="A143" s="10" t="s">
        <v>1099</v>
      </c>
      <c r="B143" s="10" t="s">
        <v>27</v>
      </c>
      <c r="C143" s="11" t="s">
        <v>28</v>
      </c>
      <c r="D143" s="12"/>
      <c r="E143" s="13" t="s">
        <v>501</v>
      </c>
      <c r="F143" s="6" t="s">
        <v>1091</v>
      </c>
      <c r="G143" s="6" t="str">
        <f ca="1">IFERROR(__xludf.DUMMYFUNCTION("CONCATENATE(B143,(VLOOKUP(C143,CATALOGOS!$F$2:$H$6,3,FALSE)),(VLOOKUP(T143,CATALOGOS!$J$2:$K$18,2,FALSE)),""-"",TO_TEXT(A143))"),"P05RM-0142")</f>
        <v>P05RM-0142</v>
      </c>
      <c r="H143" s="6" t="s">
        <v>1100</v>
      </c>
      <c r="I143" s="6" t="s">
        <v>1101</v>
      </c>
      <c r="J143" s="36"/>
      <c r="K143" s="6" t="s">
        <v>141</v>
      </c>
      <c r="L143" s="17"/>
      <c r="M143" s="17"/>
      <c r="N143" s="17" t="str">
        <f t="shared" si="1"/>
        <v>REPETIDO</v>
      </c>
      <c r="O143" s="17" t="s">
        <v>35</v>
      </c>
      <c r="P143" s="6" t="s">
        <v>35</v>
      </c>
      <c r="Q143" s="6" t="s">
        <v>36</v>
      </c>
      <c r="R143" s="6" t="s">
        <v>1102</v>
      </c>
      <c r="S143" s="173" t="s">
        <v>38</v>
      </c>
      <c r="T143" s="11" t="s">
        <v>147</v>
      </c>
      <c r="U143" s="20" t="s">
        <v>848</v>
      </c>
      <c r="V143" s="20" t="s">
        <v>848</v>
      </c>
      <c r="W143" s="20"/>
      <c r="X143" s="7"/>
      <c r="Y143" s="7"/>
      <c r="Z143" s="23"/>
      <c r="AA143" s="26"/>
    </row>
    <row r="144" spans="1:27" ht="15.75" customHeight="1">
      <c r="A144" s="10" t="s">
        <v>1103</v>
      </c>
      <c r="B144" s="10" t="s">
        <v>27</v>
      </c>
      <c r="C144" s="11" t="s">
        <v>28</v>
      </c>
      <c r="D144" s="12"/>
      <c r="E144" s="13" t="s">
        <v>501</v>
      </c>
      <c r="F144" s="6" t="s">
        <v>1091</v>
      </c>
      <c r="G144" s="6" t="str">
        <f ca="1">IFERROR(__xludf.DUMMYFUNCTION("CONCATENATE(B144,(VLOOKUP(C144,CATALOGOS!$F$2:$H$6,3,FALSE)),(VLOOKUP(T144,CATALOGOS!$J$2:$K$18,2,FALSE)),""-"",TO_TEXT(A144))"),"P05RM-0143")</f>
        <v>P05RM-0143</v>
      </c>
      <c r="H144" s="6" t="s">
        <v>1104</v>
      </c>
      <c r="I144" s="6" t="s">
        <v>1105</v>
      </c>
      <c r="J144" s="36"/>
      <c r="K144" s="6" t="s">
        <v>141</v>
      </c>
      <c r="L144" s="17"/>
      <c r="M144" s="17"/>
      <c r="N144" s="17" t="str">
        <f t="shared" si="1"/>
        <v>REPETIDO</v>
      </c>
      <c r="O144" s="17" t="s">
        <v>35</v>
      </c>
      <c r="P144" s="6" t="s">
        <v>35</v>
      </c>
      <c r="Q144" s="6" t="s">
        <v>36</v>
      </c>
      <c r="R144" s="6" t="s">
        <v>1106</v>
      </c>
      <c r="S144" s="173" t="s">
        <v>38</v>
      </c>
      <c r="T144" s="11" t="s">
        <v>147</v>
      </c>
      <c r="U144" s="20" t="s">
        <v>848</v>
      </c>
      <c r="V144" s="20" t="s">
        <v>848</v>
      </c>
      <c r="W144" s="20"/>
      <c r="X144" s="7"/>
      <c r="Y144" s="7"/>
      <c r="Z144" s="23"/>
      <c r="AA144" s="26"/>
    </row>
    <row r="145" spans="1:27" ht="15.75" customHeight="1">
      <c r="A145" s="10" t="s">
        <v>1107</v>
      </c>
      <c r="B145" s="10" t="s">
        <v>27</v>
      </c>
      <c r="C145" s="11" t="s">
        <v>28</v>
      </c>
      <c r="D145" s="12"/>
      <c r="E145" s="13" t="s">
        <v>501</v>
      </c>
      <c r="F145" s="6" t="s">
        <v>1091</v>
      </c>
      <c r="G145" s="6" t="str">
        <f ca="1">IFERROR(__xludf.DUMMYFUNCTION("CONCATENATE(B145,(VLOOKUP(C145,CATALOGOS!$F$2:$H$6,3,FALSE)),(VLOOKUP(T145,CATALOGOS!$J$2:$K$18,2,FALSE)),""-"",TO_TEXT(A145))"),"P05RM-0144")</f>
        <v>P05RM-0144</v>
      </c>
      <c r="H145" s="6" t="s">
        <v>1108</v>
      </c>
      <c r="I145" s="6" t="s">
        <v>1109</v>
      </c>
      <c r="J145" s="36"/>
      <c r="K145" s="6" t="s">
        <v>141</v>
      </c>
      <c r="L145" s="17"/>
      <c r="M145" s="17"/>
      <c r="N145" s="17" t="str">
        <f t="shared" si="1"/>
        <v>REPETIDO</v>
      </c>
      <c r="O145" s="17" t="s">
        <v>35</v>
      </c>
      <c r="P145" s="6" t="s">
        <v>35</v>
      </c>
      <c r="Q145" s="6" t="s">
        <v>36</v>
      </c>
      <c r="R145" s="6" t="s">
        <v>1110</v>
      </c>
      <c r="S145" s="173" t="s">
        <v>38</v>
      </c>
      <c r="T145" s="11" t="s">
        <v>147</v>
      </c>
      <c r="U145" s="20" t="s">
        <v>848</v>
      </c>
      <c r="V145" s="20" t="s">
        <v>848</v>
      </c>
      <c r="W145" s="20"/>
      <c r="X145" s="7"/>
      <c r="Y145" s="7"/>
      <c r="Z145" s="23"/>
      <c r="AA145" s="26"/>
    </row>
    <row r="146" spans="1:27" ht="15.75" customHeight="1">
      <c r="A146" s="10" t="s">
        <v>1111</v>
      </c>
      <c r="B146" s="10" t="s">
        <v>27</v>
      </c>
      <c r="C146" s="11" t="s">
        <v>28</v>
      </c>
      <c r="D146" s="12"/>
      <c r="E146" s="13" t="s">
        <v>501</v>
      </c>
      <c r="F146" s="6" t="s">
        <v>1091</v>
      </c>
      <c r="G146" s="6" t="str">
        <f ca="1">IFERROR(__xludf.DUMMYFUNCTION("CONCATENATE(B146,(VLOOKUP(C146,CATALOGOS!$F$2:$H$6,3,FALSE)),(VLOOKUP(T146,CATALOGOS!$J$2:$K$18,2,FALSE)),""-"",TO_TEXT(A146))"),"P05RM-0145")</f>
        <v>P05RM-0145</v>
      </c>
      <c r="H146" s="6" t="s">
        <v>1112</v>
      </c>
      <c r="I146" s="6" t="s">
        <v>1113</v>
      </c>
      <c r="J146" s="36"/>
      <c r="K146" s="6" t="s">
        <v>141</v>
      </c>
      <c r="L146" s="17"/>
      <c r="M146" s="17"/>
      <c r="N146" s="17" t="str">
        <f t="shared" si="1"/>
        <v>REPETIDO</v>
      </c>
      <c r="O146" s="17" t="s">
        <v>35</v>
      </c>
      <c r="P146" s="6" t="s">
        <v>35</v>
      </c>
      <c r="Q146" s="6" t="s">
        <v>36</v>
      </c>
      <c r="R146" s="6" t="s">
        <v>1114</v>
      </c>
      <c r="S146" s="173" t="s">
        <v>38</v>
      </c>
      <c r="T146" s="11" t="s">
        <v>147</v>
      </c>
      <c r="U146" s="20" t="s">
        <v>848</v>
      </c>
      <c r="V146" s="20" t="s">
        <v>848</v>
      </c>
      <c r="W146" s="20"/>
      <c r="X146" s="7"/>
      <c r="Y146" s="7"/>
      <c r="Z146" s="23"/>
      <c r="AA146" s="26"/>
    </row>
    <row r="147" spans="1:27" ht="15.75" customHeight="1">
      <c r="A147" s="10" t="s">
        <v>1115</v>
      </c>
      <c r="B147" s="10" t="s">
        <v>27</v>
      </c>
      <c r="C147" s="11" t="s">
        <v>28</v>
      </c>
      <c r="D147" s="12"/>
      <c r="E147" s="13" t="s">
        <v>501</v>
      </c>
      <c r="F147" s="6" t="s">
        <v>1091</v>
      </c>
      <c r="G147" s="6" t="str">
        <f ca="1">IFERROR(__xludf.DUMMYFUNCTION("CONCATENATE(B147,(VLOOKUP(C147,CATALOGOS!$F$2:$H$6,3,FALSE)),(VLOOKUP(T147,CATALOGOS!$J$2:$K$18,2,FALSE)),""-"",TO_TEXT(A147))"),"P05RM-0146")</f>
        <v>P05RM-0146</v>
      </c>
      <c r="H147" s="6" t="s">
        <v>1116</v>
      </c>
      <c r="I147" s="6" t="s">
        <v>1117</v>
      </c>
      <c r="J147" s="36"/>
      <c r="K147" s="6" t="s">
        <v>141</v>
      </c>
      <c r="L147" s="17"/>
      <c r="M147" s="17"/>
      <c r="N147" s="17" t="str">
        <f t="shared" si="1"/>
        <v>REPETIDO</v>
      </c>
      <c r="O147" s="35" t="s">
        <v>35</v>
      </c>
      <c r="P147" s="6" t="s">
        <v>35</v>
      </c>
      <c r="Q147" s="6" t="s">
        <v>36</v>
      </c>
      <c r="R147" s="6" t="s">
        <v>1118</v>
      </c>
      <c r="S147" s="173" t="s">
        <v>38</v>
      </c>
      <c r="T147" s="11" t="s">
        <v>147</v>
      </c>
      <c r="U147" s="20" t="s">
        <v>848</v>
      </c>
      <c r="V147" s="20" t="s">
        <v>848</v>
      </c>
      <c r="W147" s="20"/>
      <c r="X147" s="7"/>
      <c r="Y147" s="7"/>
      <c r="Z147" s="23"/>
      <c r="AA147" s="26"/>
    </row>
    <row r="148" spans="1:27" ht="15.75" customHeight="1">
      <c r="A148" s="10" t="s">
        <v>1119</v>
      </c>
      <c r="B148" s="10" t="s">
        <v>27</v>
      </c>
      <c r="C148" s="11" t="s">
        <v>28</v>
      </c>
      <c r="D148" s="12"/>
      <c r="E148" s="13" t="s">
        <v>501</v>
      </c>
      <c r="F148" s="6" t="s">
        <v>1091</v>
      </c>
      <c r="G148" s="6" t="str">
        <f ca="1">IFERROR(__xludf.DUMMYFUNCTION("CONCATENATE(B148,(VLOOKUP(C148,CATALOGOS!$F$2:$H$6,3,FALSE)),(VLOOKUP(T148,CATALOGOS!$J$2:$K$18,2,FALSE)),""-"",TO_TEXT(A148))"),"P05RM-0147")</f>
        <v>P05RM-0147</v>
      </c>
      <c r="H148" s="6" t="s">
        <v>1120</v>
      </c>
      <c r="I148" s="6" t="s">
        <v>1121</v>
      </c>
      <c r="J148" s="36"/>
      <c r="K148" s="6" t="s">
        <v>141</v>
      </c>
      <c r="L148" s="17"/>
      <c r="M148" s="17"/>
      <c r="N148" s="17" t="str">
        <f t="shared" si="1"/>
        <v>REPETIDO</v>
      </c>
      <c r="O148" s="17" t="s">
        <v>35</v>
      </c>
      <c r="P148" s="6" t="s">
        <v>35</v>
      </c>
      <c r="Q148" s="6" t="s">
        <v>36</v>
      </c>
      <c r="R148" s="6" t="s">
        <v>1122</v>
      </c>
      <c r="S148" s="173" t="s">
        <v>38</v>
      </c>
      <c r="T148" s="11" t="s">
        <v>147</v>
      </c>
      <c r="U148" s="20" t="s">
        <v>848</v>
      </c>
      <c r="V148" s="20" t="s">
        <v>848</v>
      </c>
      <c r="W148" s="20"/>
      <c r="X148" s="7"/>
      <c r="Y148" s="7"/>
      <c r="Z148" s="23"/>
      <c r="AA148" s="26"/>
    </row>
    <row r="149" spans="1:27" ht="15.75" customHeight="1">
      <c r="A149" s="10" t="s">
        <v>1123</v>
      </c>
      <c r="B149" s="10" t="s">
        <v>27</v>
      </c>
      <c r="C149" s="11" t="s">
        <v>28</v>
      </c>
      <c r="D149" s="12"/>
      <c r="E149" s="13" t="s">
        <v>501</v>
      </c>
      <c r="F149" s="6" t="s">
        <v>1091</v>
      </c>
      <c r="G149" s="6" t="str">
        <f ca="1">IFERROR(__xludf.DUMMYFUNCTION("CONCATENATE(B149,(VLOOKUP(C149,CATALOGOS!$F$2:$H$6,3,FALSE)),(VLOOKUP(T149,CATALOGOS!$J$2:$K$18,2,FALSE)),""-"",TO_TEXT(A149))"),"P05RM-0148")</f>
        <v>P05RM-0148</v>
      </c>
      <c r="H149" s="6" t="s">
        <v>1124</v>
      </c>
      <c r="I149" s="6" t="s">
        <v>1125</v>
      </c>
      <c r="J149" s="36"/>
      <c r="K149" s="6" t="s">
        <v>141</v>
      </c>
      <c r="L149" s="17"/>
      <c r="M149" s="17"/>
      <c r="N149" s="17" t="str">
        <f t="shared" si="1"/>
        <v>REPETIDO</v>
      </c>
      <c r="O149" s="17" t="s">
        <v>35</v>
      </c>
      <c r="P149" s="6" t="s">
        <v>35</v>
      </c>
      <c r="Q149" s="6" t="s">
        <v>36</v>
      </c>
      <c r="R149" s="6" t="s">
        <v>85</v>
      </c>
      <c r="S149" s="173" t="s">
        <v>38</v>
      </c>
      <c r="T149" s="11" t="s">
        <v>147</v>
      </c>
      <c r="U149" s="20" t="s">
        <v>848</v>
      </c>
      <c r="V149" s="20" t="s">
        <v>848</v>
      </c>
      <c r="W149" s="20"/>
      <c r="X149" s="7"/>
      <c r="Y149" s="7"/>
      <c r="Z149" s="23"/>
      <c r="AA149" s="26"/>
    </row>
    <row r="150" spans="1:27" ht="15.75" customHeight="1">
      <c r="A150" s="10" t="s">
        <v>1126</v>
      </c>
      <c r="B150" s="10" t="s">
        <v>27</v>
      </c>
      <c r="C150" s="11" t="s">
        <v>28</v>
      </c>
      <c r="D150" s="38"/>
      <c r="E150" s="13" t="s">
        <v>151</v>
      </c>
      <c r="F150" s="6" t="s">
        <v>698</v>
      </c>
      <c r="G150" s="6" t="str">
        <f ca="1">IFERROR(__xludf.DUMMYFUNCTION("CONCATENATE(B150,(VLOOKUP(C150,CATALOGOS!$F$2:$H$6,3,FALSE)),(VLOOKUP(T150,CATALOGOS!$J$2:$K$18,2,FALSE)),""-"",TO_TEXT(A150))"),"P05RM-0149")</f>
        <v>P05RM-0149</v>
      </c>
      <c r="H150" s="6" t="s">
        <v>1127</v>
      </c>
      <c r="I150" s="6" t="s">
        <v>1128</v>
      </c>
      <c r="J150" s="6" t="s">
        <v>1129</v>
      </c>
      <c r="K150" s="6" t="s">
        <v>1130</v>
      </c>
      <c r="L150" s="17"/>
      <c r="M150" s="17"/>
      <c r="N150" s="17" t="str">
        <f t="shared" si="1"/>
        <v>OK</v>
      </c>
      <c r="O150" s="17" t="s">
        <v>297</v>
      </c>
      <c r="P150" s="6" t="s">
        <v>1131</v>
      </c>
      <c r="Q150" s="46" t="s">
        <v>1132</v>
      </c>
      <c r="R150" s="35" t="s">
        <v>1133</v>
      </c>
      <c r="S150" s="173" t="s">
        <v>38</v>
      </c>
      <c r="T150" s="11" t="s">
        <v>147</v>
      </c>
      <c r="U150" s="32" t="s">
        <v>484</v>
      </c>
      <c r="V150" s="32" t="s">
        <v>484</v>
      </c>
      <c r="W150" s="32"/>
      <c r="X150" s="7"/>
      <c r="Y150" s="7"/>
      <c r="Z150" s="26"/>
      <c r="AA150" s="26"/>
    </row>
    <row r="151" spans="1:27" ht="15.75" customHeight="1">
      <c r="A151" s="10" t="s">
        <v>1134</v>
      </c>
      <c r="B151" s="10" t="s">
        <v>27</v>
      </c>
      <c r="C151" s="11" t="s">
        <v>28</v>
      </c>
      <c r="D151" s="38"/>
      <c r="E151" s="13" t="s">
        <v>151</v>
      </c>
      <c r="F151" s="6" t="s">
        <v>698</v>
      </c>
      <c r="G151" s="6" t="str">
        <f ca="1">IFERROR(__xludf.DUMMYFUNCTION("CONCATENATE(B151,(VLOOKUP(C151,CATALOGOS!$F$2:$H$6,3,FALSE)),(VLOOKUP(T151,CATALOGOS!$J$2:$K$18,2,FALSE)),""-"",TO_TEXT(A151))"),"P05RM-0150")</f>
        <v>P05RM-0150</v>
      </c>
      <c r="H151" s="6" t="s">
        <v>1135</v>
      </c>
      <c r="I151" s="6" t="s">
        <v>1136</v>
      </c>
      <c r="J151" s="6" t="s">
        <v>1137</v>
      </c>
      <c r="K151" s="6" t="s">
        <v>1138</v>
      </c>
      <c r="L151" s="17"/>
      <c r="M151" s="17"/>
      <c r="N151" s="17" t="str">
        <f t="shared" si="1"/>
        <v>OK</v>
      </c>
      <c r="O151" s="17" t="s">
        <v>297</v>
      </c>
      <c r="P151" s="6" t="s">
        <v>1131</v>
      </c>
      <c r="Q151" s="46" t="s">
        <v>1139</v>
      </c>
      <c r="R151" s="56" t="s">
        <v>1140</v>
      </c>
      <c r="S151" s="173" t="s">
        <v>38</v>
      </c>
      <c r="T151" s="11" t="s">
        <v>147</v>
      </c>
      <c r="U151" s="22" t="s">
        <v>484</v>
      </c>
      <c r="V151" s="22" t="s">
        <v>484</v>
      </c>
      <c r="W151" s="22"/>
      <c r="X151" s="7"/>
      <c r="Y151" s="7"/>
      <c r="Z151" s="26"/>
      <c r="AA151" s="26"/>
    </row>
    <row r="152" spans="1:27" ht="15.75" customHeight="1">
      <c r="A152" s="10" t="s">
        <v>1141</v>
      </c>
      <c r="B152" s="10" t="s">
        <v>27</v>
      </c>
      <c r="C152" s="11" t="s">
        <v>28</v>
      </c>
      <c r="D152" s="12"/>
      <c r="E152" s="13" t="s">
        <v>1142</v>
      </c>
      <c r="F152" s="6" t="s">
        <v>1143</v>
      </c>
      <c r="G152" s="6" t="str">
        <f ca="1">IFERROR(__xludf.DUMMYFUNCTION("CONCATENATE(B152,(VLOOKUP(C152,CATALOGOS!$F$2:$H$6,3,FALSE)),(VLOOKUP(T152,CATALOGOS!$J$2:$K$18,2,FALSE)),""-"",TO_TEXT(A152))"),"P05RM-0151")</f>
        <v>P05RM-0151</v>
      </c>
      <c r="H152" s="6" t="s">
        <v>1144</v>
      </c>
      <c r="I152" s="6" t="s">
        <v>1145</v>
      </c>
      <c r="J152" s="6" t="s">
        <v>1146</v>
      </c>
      <c r="K152" s="6" t="s">
        <v>1147</v>
      </c>
      <c r="L152" s="17"/>
      <c r="M152" s="17"/>
      <c r="N152" s="17" t="str">
        <f t="shared" si="1"/>
        <v>OK</v>
      </c>
      <c r="O152" s="17" t="s">
        <v>359</v>
      </c>
      <c r="P152" s="6" t="s">
        <v>1148</v>
      </c>
      <c r="Q152" s="46" t="s">
        <v>36</v>
      </c>
      <c r="R152" s="17" t="s">
        <v>1149</v>
      </c>
      <c r="S152" s="173" t="s">
        <v>38</v>
      </c>
      <c r="T152" s="11" t="s">
        <v>147</v>
      </c>
      <c r="U152" s="22" t="s">
        <v>484</v>
      </c>
      <c r="V152" s="22" t="s">
        <v>484</v>
      </c>
      <c r="W152" s="22"/>
      <c r="X152" s="7"/>
      <c r="Y152" s="7"/>
      <c r="Z152" s="26"/>
      <c r="AA152" s="26"/>
    </row>
    <row r="153" spans="1:27" ht="15.75" customHeight="1">
      <c r="A153" s="10" t="s">
        <v>1150</v>
      </c>
      <c r="B153" s="10" t="s">
        <v>27</v>
      </c>
      <c r="C153" s="11" t="s">
        <v>28</v>
      </c>
      <c r="D153" s="12"/>
      <c r="E153" s="13" t="s">
        <v>151</v>
      </c>
      <c r="F153" s="6" t="s">
        <v>963</v>
      </c>
      <c r="G153" s="6" t="str">
        <f ca="1">IFERROR(__xludf.DUMMYFUNCTION("CONCATENATE(B153,(VLOOKUP(C153,CATALOGOS!$F$2:$H$6,3,FALSE)),(VLOOKUP(T153,CATALOGOS!$J$2:$K$18,2,FALSE)),""-"",TO_TEXT(A153))"),"P05RM-0152")</f>
        <v>P05RM-0152</v>
      </c>
      <c r="H153" s="6" t="s">
        <v>1151</v>
      </c>
      <c r="I153" s="6" t="s">
        <v>1034</v>
      </c>
      <c r="J153" s="6" t="s">
        <v>1152</v>
      </c>
      <c r="K153" s="6" t="s">
        <v>1153</v>
      </c>
      <c r="L153" s="17"/>
      <c r="M153" s="17"/>
      <c r="N153" s="17" t="str">
        <f t="shared" si="1"/>
        <v>OK</v>
      </c>
      <c r="O153" s="17" t="s">
        <v>205</v>
      </c>
      <c r="P153" s="6" t="s">
        <v>1154</v>
      </c>
      <c r="Q153" s="17" t="s">
        <v>1038</v>
      </c>
      <c r="R153" s="17" t="s">
        <v>1156</v>
      </c>
      <c r="S153" s="173" t="s">
        <v>38</v>
      </c>
      <c r="T153" s="11" t="s">
        <v>147</v>
      </c>
      <c r="U153" s="22" t="s">
        <v>484</v>
      </c>
      <c r="V153" s="22" t="s">
        <v>484</v>
      </c>
      <c r="W153" s="22"/>
      <c r="X153" s="7"/>
      <c r="Y153" s="7"/>
      <c r="Z153" s="26"/>
      <c r="AA153" s="26"/>
    </row>
    <row r="154" spans="1:27" ht="15.75" customHeight="1">
      <c r="A154" s="10" t="s">
        <v>1157</v>
      </c>
      <c r="B154" s="10" t="s">
        <v>27</v>
      </c>
      <c r="C154" s="11" t="s">
        <v>28</v>
      </c>
      <c r="D154" s="38"/>
      <c r="E154" s="13" t="s">
        <v>62</v>
      </c>
      <c r="F154" s="6" t="s">
        <v>1158</v>
      </c>
      <c r="G154" s="6" t="str">
        <f ca="1">IFERROR(__xludf.DUMMYFUNCTION("CONCATENATE(B154,(VLOOKUP(C154,CATALOGOS!$F$2:$H$6,3,FALSE)),(VLOOKUP(T154,CATALOGOS!$J$2:$K$18,2,FALSE)),""-"",TO_TEXT(A154))"),"P05RH-0153")</f>
        <v>P05RH-0153</v>
      </c>
      <c r="H154" s="6" t="s">
        <v>1159</v>
      </c>
      <c r="I154" s="6" t="s">
        <v>1160</v>
      </c>
      <c r="J154" s="6" t="s">
        <v>1161</v>
      </c>
      <c r="K154" s="6" t="s">
        <v>1162</v>
      </c>
      <c r="L154" s="17"/>
      <c r="M154" s="17"/>
      <c r="N154" s="17" t="str">
        <f t="shared" si="1"/>
        <v>OK</v>
      </c>
      <c r="O154" s="17" t="s">
        <v>35</v>
      </c>
      <c r="P154" s="6" t="s">
        <v>35</v>
      </c>
      <c r="Q154" s="17" t="s">
        <v>36</v>
      </c>
      <c r="R154" s="17" t="s">
        <v>1163</v>
      </c>
      <c r="S154" s="173" t="s">
        <v>38</v>
      </c>
      <c r="T154" s="11" t="s">
        <v>723</v>
      </c>
      <c r="U154" s="22" t="s">
        <v>1164</v>
      </c>
      <c r="V154" s="22" t="s">
        <v>1164</v>
      </c>
      <c r="W154" s="22"/>
      <c r="X154" s="7"/>
      <c r="Y154" s="7"/>
      <c r="Z154" s="26"/>
      <c r="AA154" s="26"/>
    </row>
    <row r="155" spans="1:27" ht="15.75" customHeight="1">
      <c r="A155" s="10" t="s">
        <v>1165</v>
      </c>
      <c r="B155" s="10" t="s">
        <v>27</v>
      </c>
      <c r="C155" s="11" t="s">
        <v>28</v>
      </c>
      <c r="D155" s="12"/>
      <c r="E155" s="13" t="s">
        <v>29</v>
      </c>
      <c r="F155" s="43" t="s">
        <v>1166</v>
      </c>
      <c r="G155" s="6" t="str">
        <f ca="1">IFERROR(__xludf.DUMMYFUNCTION("CONCATENATE(B155,(VLOOKUP(C155,CATALOGOS!$F$2:$H$6,3,FALSE)),(VLOOKUP(T155,CATALOGOS!$J$2:$K$18,2,FALSE)),""-"",TO_TEXT(A155))"),"P05RH-0154")</f>
        <v>P05RH-0154</v>
      </c>
      <c r="H155" s="6" t="s">
        <v>1167</v>
      </c>
      <c r="I155" s="6" t="s">
        <v>1168</v>
      </c>
      <c r="J155" s="6" t="s">
        <v>1169</v>
      </c>
      <c r="K155" s="43" t="s">
        <v>1170</v>
      </c>
      <c r="L155" s="17"/>
      <c r="M155" s="17"/>
      <c r="N155" s="17" t="str">
        <f t="shared" si="1"/>
        <v>OK</v>
      </c>
      <c r="O155" s="53" t="s">
        <v>35</v>
      </c>
      <c r="P155" s="49" t="s">
        <v>35</v>
      </c>
      <c r="Q155" s="17" t="s">
        <v>36</v>
      </c>
      <c r="R155" s="17" t="s">
        <v>1171</v>
      </c>
      <c r="S155" s="173" t="s">
        <v>38</v>
      </c>
      <c r="T155" s="11" t="s">
        <v>723</v>
      </c>
      <c r="U155" s="22" t="s">
        <v>1164</v>
      </c>
      <c r="V155" s="22" t="s">
        <v>1164</v>
      </c>
      <c r="W155" s="22"/>
      <c r="X155" s="7"/>
      <c r="Y155" s="7"/>
      <c r="Z155" s="23"/>
      <c r="AA155" s="26"/>
    </row>
    <row r="156" spans="1:27" ht="15.75" customHeight="1">
      <c r="A156" s="10" t="s">
        <v>1172</v>
      </c>
      <c r="B156" s="10" t="s">
        <v>27</v>
      </c>
      <c r="C156" s="11" t="s">
        <v>28</v>
      </c>
      <c r="D156" s="12"/>
      <c r="E156" s="13" t="s">
        <v>93</v>
      </c>
      <c r="F156" s="6" t="s">
        <v>1173</v>
      </c>
      <c r="G156" s="6" t="str">
        <f ca="1">IFERROR(__xludf.DUMMYFUNCTION("CONCATENATE(B156,(VLOOKUP(C156,CATALOGOS!$F$2:$H$6,3,FALSE)),(VLOOKUP(T156,CATALOGOS!$J$2:$K$18,2,FALSE)),""-"",TO_TEXT(A156))"),"P05RH-0155")</f>
        <v>P05RH-0155</v>
      </c>
      <c r="H156" s="6" t="s">
        <v>1174</v>
      </c>
      <c r="I156" s="54"/>
      <c r="J156" s="6" t="s">
        <v>1175</v>
      </c>
      <c r="K156" s="6" t="s">
        <v>1176</v>
      </c>
      <c r="L156" s="17"/>
      <c r="M156" s="17"/>
      <c r="N156" s="17" t="str">
        <f t="shared" si="1"/>
        <v>OK</v>
      </c>
      <c r="O156" s="53" t="s">
        <v>35</v>
      </c>
      <c r="P156" s="6" t="s">
        <v>35</v>
      </c>
      <c r="Q156" s="17" t="s">
        <v>36</v>
      </c>
      <c r="R156" s="17" t="s">
        <v>1177</v>
      </c>
      <c r="S156" s="173" t="s">
        <v>38</v>
      </c>
      <c r="T156" s="11" t="s">
        <v>723</v>
      </c>
      <c r="U156" s="22" t="s">
        <v>1164</v>
      </c>
      <c r="V156" s="22" t="s">
        <v>1164</v>
      </c>
      <c r="W156" s="22"/>
      <c r="X156" s="7"/>
      <c r="Y156" s="7"/>
      <c r="Z156" s="23"/>
      <c r="AA156" s="26"/>
    </row>
    <row r="157" spans="1:27" ht="15.75" customHeight="1">
      <c r="A157" s="10" t="s">
        <v>1178</v>
      </c>
      <c r="B157" s="10" t="s">
        <v>27</v>
      </c>
      <c r="C157" s="11" t="s">
        <v>28</v>
      </c>
      <c r="D157" s="12"/>
      <c r="E157" s="13" t="s">
        <v>116</v>
      </c>
      <c r="F157" s="6" t="s">
        <v>1179</v>
      </c>
      <c r="G157" s="6" t="str">
        <f ca="1">IFERROR(__xludf.DUMMYFUNCTION("CONCATENATE(B157,(VLOOKUP(C157,CATALOGOS!$F$2:$H$6,3,FALSE)),(VLOOKUP(T157,CATALOGOS!$J$2:$K$18,2,FALSE)),""-"",TO_TEXT(A157))"),"P05RH-0156")</f>
        <v>P05RH-0156</v>
      </c>
      <c r="H157" s="6" t="s">
        <v>1180</v>
      </c>
      <c r="I157" s="6" t="s">
        <v>1181</v>
      </c>
      <c r="J157" s="6" t="s">
        <v>1182</v>
      </c>
      <c r="K157" s="6" t="s">
        <v>1183</v>
      </c>
      <c r="L157" s="17"/>
      <c r="M157" s="17"/>
      <c r="N157" s="17" t="str">
        <f t="shared" si="1"/>
        <v>OK</v>
      </c>
      <c r="O157" s="17" t="s">
        <v>35</v>
      </c>
      <c r="P157" s="6" t="s">
        <v>35</v>
      </c>
      <c r="Q157" s="17" t="s">
        <v>36</v>
      </c>
      <c r="R157" s="35" t="s">
        <v>1184</v>
      </c>
      <c r="S157" s="173" t="s">
        <v>38</v>
      </c>
      <c r="T157" s="11" t="s">
        <v>723</v>
      </c>
      <c r="U157" s="22" t="s">
        <v>1164</v>
      </c>
      <c r="V157" s="22" t="s">
        <v>1164</v>
      </c>
      <c r="W157" s="22"/>
      <c r="X157" s="7"/>
      <c r="Y157" s="7"/>
      <c r="Z157" s="23"/>
      <c r="AA157" s="26"/>
    </row>
    <row r="158" spans="1:27" ht="15.75" customHeight="1">
      <c r="A158" s="10" t="s">
        <v>1186</v>
      </c>
      <c r="B158" s="10" t="s">
        <v>27</v>
      </c>
      <c r="C158" s="11" t="s">
        <v>28</v>
      </c>
      <c r="D158" s="12"/>
      <c r="E158" s="13" t="s">
        <v>378</v>
      </c>
      <c r="F158" s="6" t="s">
        <v>878</v>
      </c>
      <c r="G158" s="6" t="str">
        <f ca="1">IFERROR(__xludf.DUMMYFUNCTION("CONCATENATE(B158,(VLOOKUP(C158,CATALOGOS!$F$2:$H$6,3,FALSE)),(VLOOKUP(T158,CATALOGOS!$J$2:$K$18,2,FALSE)),""-"",TO_TEXT(A158))"),"P05RH-0157")</f>
        <v>P05RH-0157</v>
      </c>
      <c r="H158" s="6" t="s">
        <v>1187</v>
      </c>
      <c r="I158" s="6" t="s">
        <v>1188</v>
      </c>
      <c r="J158" s="6" t="s">
        <v>1189</v>
      </c>
      <c r="K158" s="6" t="s">
        <v>1190</v>
      </c>
      <c r="L158" s="17"/>
      <c r="M158" s="17"/>
      <c r="N158" s="17" t="str">
        <f t="shared" si="1"/>
        <v>OK</v>
      </c>
      <c r="O158" s="17" t="s">
        <v>35</v>
      </c>
      <c r="P158" s="6" t="s">
        <v>35</v>
      </c>
      <c r="Q158" s="17" t="s">
        <v>36</v>
      </c>
      <c r="R158" s="17" t="s">
        <v>1191</v>
      </c>
      <c r="S158" s="173" t="s">
        <v>38</v>
      </c>
      <c r="T158" s="11" t="s">
        <v>723</v>
      </c>
      <c r="U158" s="22" t="s">
        <v>1164</v>
      </c>
      <c r="V158" s="22" t="s">
        <v>1164</v>
      </c>
      <c r="W158" s="22"/>
      <c r="X158" s="7"/>
      <c r="Y158" s="7"/>
      <c r="Z158" s="23"/>
      <c r="AA158" s="26"/>
    </row>
    <row r="159" spans="1:27" ht="15.75" customHeight="1">
      <c r="A159" s="10" t="s">
        <v>1192</v>
      </c>
      <c r="B159" s="10" t="s">
        <v>27</v>
      </c>
      <c r="C159" s="11" t="s">
        <v>28</v>
      </c>
      <c r="D159" s="12"/>
      <c r="E159" s="13" t="s">
        <v>378</v>
      </c>
      <c r="F159" s="55" t="s">
        <v>878</v>
      </c>
      <c r="G159" s="6" t="str">
        <f ca="1">IFERROR(__xludf.DUMMYFUNCTION("CONCATENATE(B159,(VLOOKUP(C159,CATALOGOS!$F$2:$H$6,3,FALSE)),(VLOOKUP(T159,CATALOGOS!$J$2:$K$18,2,FALSE)),""-"",TO_TEXT(A159))"),"P05RH-0158")</f>
        <v>P05RH-0158</v>
      </c>
      <c r="H159" s="6" t="s">
        <v>1193</v>
      </c>
      <c r="I159" s="6" t="s">
        <v>1194</v>
      </c>
      <c r="J159" s="6" t="s">
        <v>1195</v>
      </c>
      <c r="K159" s="6" t="s">
        <v>1196</v>
      </c>
      <c r="L159" s="17"/>
      <c r="M159" s="17"/>
      <c r="N159" s="17" t="str">
        <f t="shared" si="1"/>
        <v>OK</v>
      </c>
      <c r="O159" s="32" t="s">
        <v>35</v>
      </c>
      <c r="P159" s="6" t="s">
        <v>35</v>
      </c>
      <c r="Q159" s="17" t="s">
        <v>36</v>
      </c>
      <c r="R159" s="17" t="s">
        <v>1197</v>
      </c>
      <c r="S159" s="173" t="s">
        <v>38</v>
      </c>
      <c r="T159" s="11" t="s">
        <v>723</v>
      </c>
      <c r="U159" s="22" t="s">
        <v>1164</v>
      </c>
      <c r="V159" s="22" t="s">
        <v>1164</v>
      </c>
      <c r="W159" s="22"/>
      <c r="X159" s="7"/>
      <c r="Y159" s="7"/>
      <c r="Z159" s="23"/>
      <c r="AA159" s="26"/>
    </row>
    <row r="160" spans="1:27" ht="15.75" customHeight="1">
      <c r="A160" s="10" t="s">
        <v>1198</v>
      </c>
      <c r="B160" s="10" t="s">
        <v>27</v>
      </c>
      <c r="C160" s="11" t="s">
        <v>28</v>
      </c>
      <c r="D160" s="12"/>
      <c r="E160" s="13" t="s">
        <v>1199</v>
      </c>
      <c r="F160" s="6" t="s">
        <v>1200</v>
      </c>
      <c r="G160" s="6" t="str">
        <f ca="1">IFERROR(__xludf.DUMMYFUNCTION("CONCATENATE(B160,(VLOOKUP(C160,CATALOGOS!$F$2:$H$6,3,FALSE)),(VLOOKUP(T160,CATALOGOS!$J$2:$K$18,2,FALSE)),""-"",TO_TEXT(A160))"),"P05RH-0159")</f>
        <v>P05RH-0159</v>
      </c>
      <c r="H160" s="6" t="s">
        <v>1201</v>
      </c>
      <c r="I160" s="6" t="s">
        <v>1202</v>
      </c>
      <c r="J160" s="6" t="s">
        <v>1203</v>
      </c>
      <c r="K160" s="6" t="s">
        <v>1204</v>
      </c>
      <c r="L160" s="17"/>
      <c r="M160" s="17"/>
      <c r="N160" s="17" t="str">
        <f t="shared" si="1"/>
        <v>OK</v>
      </c>
      <c r="O160" s="17" t="s">
        <v>205</v>
      </c>
      <c r="P160" s="6" t="s">
        <v>1205</v>
      </c>
      <c r="Q160" s="17" t="s">
        <v>1206</v>
      </c>
      <c r="R160" s="17" t="s">
        <v>1207</v>
      </c>
      <c r="S160" s="173" t="s">
        <v>38</v>
      </c>
      <c r="T160" s="11" t="s">
        <v>723</v>
      </c>
      <c r="U160" s="22" t="s">
        <v>1164</v>
      </c>
      <c r="V160" s="22" t="s">
        <v>1164</v>
      </c>
      <c r="W160" s="22"/>
      <c r="X160" s="7"/>
      <c r="Y160" s="7"/>
      <c r="Z160" s="23"/>
      <c r="AA160" s="26"/>
    </row>
    <row r="161" spans="1:28" ht="15.75" customHeight="1">
      <c r="A161" s="10" t="s">
        <v>1208</v>
      </c>
      <c r="B161" s="10" t="s">
        <v>27</v>
      </c>
      <c r="C161" s="11" t="s">
        <v>28</v>
      </c>
      <c r="D161" s="12"/>
      <c r="E161" s="13" t="s">
        <v>162</v>
      </c>
      <c r="F161" s="6" t="s">
        <v>285</v>
      </c>
      <c r="G161" s="6" t="str">
        <f ca="1">IFERROR(__xludf.DUMMYFUNCTION("CONCATENATE(B161,(VLOOKUP(C161,CATALOGOS!$F$2:$H$6,3,FALSE)),(VLOOKUP(T161,CATALOGOS!$J$2:$K$18,2,FALSE)),""-"",TO_TEXT(A161))"),"P05RH-0160")</f>
        <v>P05RH-0160</v>
      </c>
      <c r="H161" s="6" t="s">
        <v>1209</v>
      </c>
      <c r="I161" s="6" t="s">
        <v>1210</v>
      </c>
      <c r="J161" s="6" t="s">
        <v>1211</v>
      </c>
      <c r="K161" s="6" t="s">
        <v>1212</v>
      </c>
      <c r="L161" s="17"/>
      <c r="M161" s="17"/>
      <c r="N161" s="17" t="str">
        <f t="shared" si="1"/>
        <v>OK</v>
      </c>
      <c r="O161" s="17" t="s">
        <v>663</v>
      </c>
      <c r="P161" s="6" t="s">
        <v>664</v>
      </c>
      <c r="Q161" s="56" t="s">
        <v>1213</v>
      </c>
      <c r="R161" s="17" t="s">
        <v>1214</v>
      </c>
      <c r="S161" s="173" t="s">
        <v>38</v>
      </c>
      <c r="T161" s="11" t="s">
        <v>723</v>
      </c>
      <c r="U161" s="22" t="s">
        <v>1164</v>
      </c>
      <c r="V161" s="22" t="s">
        <v>1164</v>
      </c>
      <c r="W161" s="22"/>
      <c r="X161" s="7"/>
      <c r="Y161" s="7"/>
      <c r="Z161" s="23"/>
      <c r="AA161" s="26"/>
    </row>
    <row r="162" spans="1:28" ht="15.75" customHeight="1">
      <c r="A162" s="10" t="s">
        <v>1215</v>
      </c>
      <c r="B162" s="10" t="s">
        <v>27</v>
      </c>
      <c r="C162" s="11" t="s">
        <v>28</v>
      </c>
      <c r="D162" s="12"/>
      <c r="E162" s="13" t="s">
        <v>151</v>
      </c>
      <c r="F162" s="6" t="s">
        <v>714</v>
      </c>
      <c r="G162" s="6" t="str">
        <f ca="1">IFERROR(__xludf.DUMMYFUNCTION("CONCATENATE(B162,(VLOOKUP(C162,CATALOGOS!$F$2:$H$6,3,FALSE)),(VLOOKUP(T162,CATALOGOS!$J$2:$K$18,2,FALSE)),""-"",TO_TEXT(A162))"),"P05RH-0161")</f>
        <v>P05RH-0161</v>
      </c>
      <c r="H162" s="6" t="s">
        <v>1216</v>
      </c>
      <c r="I162" s="6" t="s">
        <v>1217</v>
      </c>
      <c r="J162" s="6" t="s">
        <v>1218</v>
      </c>
      <c r="K162" s="6" t="s">
        <v>1219</v>
      </c>
      <c r="L162" s="17"/>
      <c r="M162" s="17"/>
      <c r="N162" s="17" t="str">
        <f t="shared" si="1"/>
        <v>OK</v>
      </c>
      <c r="O162" s="17" t="s">
        <v>1220</v>
      </c>
      <c r="P162" s="6" t="s">
        <v>720</v>
      </c>
      <c r="Q162" s="17" t="s">
        <v>1221</v>
      </c>
      <c r="R162" s="32" t="s">
        <v>1222</v>
      </c>
      <c r="S162" s="173" t="s">
        <v>38</v>
      </c>
      <c r="T162" s="11" t="s">
        <v>723</v>
      </c>
      <c r="U162" s="22" t="s">
        <v>1164</v>
      </c>
      <c r="V162" s="22" t="s">
        <v>1164</v>
      </c>
      <c r="W162" s="22"/>
      <c r="X162" s="7"/>
      <c r="Y162" s="7"/>
      <c r="Z162" s="23"/>
      <c r="AA162" s="26"/>
    </row>
    <row r="163" spans="1:28" ht="15.75" customHeight="1">
      <c r="A163" s="10" t="s">
        <v>1223</v>
      </c>
      <c r="B163" s="10" t="s">
        <v>27</v>
      </c>
      <c r="C163" s="11" t="s">
        <v>28</v>
      </c>
      <c r="D163" s="12"/>
      <c r="E163" s="13" t="s">
        <v>151</v>
      </c>
      <c r="F163" s="6" t="s">
        <v>293</v>
      </c>
      <c r="G163" s="6" t="str">
        <f ca="1">IFERROR(__xludf.DUMMYFUNCTION("CONCATENATE(B163,(VLOOKUP(C163,CATALOGOS!$F$2:$H$6,3,FALSE)),(VLOOKUP(T163,CATALOGOS!$J$2:$K$18,2,FALSE)),""-"",TO_TEXT(A163))"),"P05RH-0162")</f>
        <v>P05RH-0162</v>
      </c>
      <c r="H163" s="6" t="s">
        <v>1224</v>
      </c>
      <c r="I163" s="6" t="s">
        <v>1225</v>
      </c>
      <c r="J163" s="36"/>
      <c r="K163" s="6" t="s">
        <v>1226</v>
      </c>
      <c r="L163" s="17"/>
      <c r="M163" s="17"/>
      <c r="N163" s="17" t="str">
        <f t="shared" si="1"/>
        <v>OK</v>
      </c>
      <c r="O163" s="17" t="s">
        <v>297</v>
      </c>
      <c r="P163" s="6" t="s">
        <v>298</v>
      </c>
      <c r="Q163" s="6" t="s">
        <v>1227</v>
      </c>
      <c r="R163" s="10" t="s">
        <v>85</v>
      </c>
      <c r="S163" s="173" t="s">
        <v>38</v>
      </c>
      <c r="T163" s="11" t="s">
        <v>723</v>
      </c>
      <c r="U163" s="22" t="s">
        <v>1164</v>
      </c>
      <c r="V163" s="22" t="s">
        <v>1164</v>
      </c>
      <c r="W163" s="22"/>
      <c r="X163" s="6"/>
      <c r="Y163" s="6"/>
      <c r="Z163" s="41" t="s">
        <v>92</v>
      </c>
      <c r="AA163" s="42">
        <v>44348</v>
      </c>
      <c r="AB163" s="57">
        <v>0</v>
      </c>
    </row>
    <row r="164" spans="1:28" ht="15.75" customHeight="1">
      <c r="A164" s="10" t="s">
        <v>1228</v>
      </c>
      <c r="B164" s="10" t="s">
        <v>27</v>
      </c>
      <c r="C164" s="11" t="s">
        <v>28</v>
      </c>
      <c r="D164" s="12"/>
      <c r="E164" s="13" t="s">
        <v>248</v>
      </c>
      <c r="F164" s="6" t="s">
        <v>249</v>
      </c>
      <c r="G164" s="6" t="str">
        <f ca="1">IFERROR(__xludf.DUMMYFUNCTION("CONCATENATE(B164,(VLOOKUP(C164,CATALOGOS!$F$2:$H$6,3,FALSE)),(VLOOKUP(T164,CATALOGOS!$J$2:$K$18,2,FALSE)),""-"",TO_TEXT(A164))"),"P05RH-0163")</f>
        <v>P05RH-0163</v>
      </c>
      <c r="H164" s="6" t="s">
        <v>1229</v>
      </c>
      <c r="I164" s="6" t="s">
        <v>1230</v>
      </c>
      <c r="J164" s="6" t="s">
        <v>1231</v>
      </c>
      <c r="K164" s="43" t="s">
        <v>1232</v>
      </c>
      <c r="L164" s="17"/>
      <c r="M164" s="17"/>
      <c r="N164" s="17" t="str">
        <f t="shared" si="1"/>
        <v>OK</v>
      </c>
      <c r="O164" s="17" t="s">
        <v>978</v>
      </c>
      <c r="P164" s="6" t="s">
        <v>979</v>
      </c>
      <c r="Q164" s="17" t="s">
        <v>1233</v>
      </c>
      <c r="R164" s="17" t="s">
        <v>1234</v>
      </c>
      <c r="S164" s="173" t="s">
        <v>38</v>
      </c>
      <c r="T164" s="11" t="s">
        <v>723</v>
      </c>
      <c r="U164" s="22" t="s">
        <v>1164</v>
      </c>
      <c r="V164" s="22" t="s">
        <v>1164</v>
      </c>
      <c r="W164" s="22"/>
      <c r="X164" s="7"/>
      <c r="Y164" s="7"/>
      <c r="Z164" s="23"/>
      <c r="AA164" s="26"/>
    </row>
    <row r="165" spans="1:28" ht="15.75" customHeight="1">
      <c r="A165" s="10" t="s">
        <v>1235</v>
      </c>
      <c r="B165" s="10" t="s">
        <v>27</v>
      </c>
      <c r="C165" s="11" t="s">
        <v>28</v>
      </c>
      <c r="D165" s="12"/>
      <c r="E165" s="13" t="s">
        <v>199</v>
      </c>
      <c r="F165" s="6" t="s">
        <v>199</v>
      </c>
      <c r="G165" s="6" t="str">
        <f ca="1">IFERROR(__xludf.DUMMYFUNCTION("CONCATENATE(B165,(VLOOKUP(C165,CATALOGOS!$F$2:$H$6,3,FALSE)),(VLOOKUP(T165,CATALOGOS!$J$2:$K$18,2,FALSE)),""-"",TO_TEXT(A165))"),"P05RH-0164")</f>
        <v>P05RH-0164</v>
      </c>
      <c r="H165" s="6" t="s">
        <v>1236</v>
      </c>
      <c r="I165" s="6" t="s">
        <v>1237</v>
      </c>
      <c r="J165" s="36"/>
      <c r="K165" s="6" t="s">
        <v>1238</v>
      </c>
      <c r="L165" s="17"/>
      <c r="M165" s="17"/>
      <c r="N165" s="17" t="str">
        <f t="shared" si="1"/>
        <v>OK</v>
      </c>
      <c r="O165" s="17" t="s">
        <v>273</v>
      </c>
      <c r="P165" s="6" t="s">
        <v>274</v>
      </c>
      <c r="Q165" s="6">
        <v>11392903014316</v>
      </c>
      <c r="R165" s="10" t="s">
        <v>85</v>
      </c>
      <c r="S165" s="173" t="s">
        <v>38</v>
      </c>
      <c r="T165" s="11" t="s">
        <v>723</v>
      </c>
      <c r="U165" s="22" t="s">
        <v>1164</v>
      </c>
      <c r="V165" s="22" t="s">
        <v>1164</v>
      </c>
      <c r="W165" s="22"/>
      <c r="X165" s="6"/>
      <c r="Y165" s="6"/>
      <c r="Z165" s="41" t="s">
        <v>92</v>
      </c>
      <c r="AA165" s="42">
        <v>44348</v>
      </c>
      <c r="AB165" s="58" t="s">
        <v>276</v>
      </c>
    </row>
    <row r="166" spans="1:28" ht="15.75" customHeight="1">
      <c r="A166" s="10" t="s">
        <v>1239</v>
      </c>
      <c r="B166" s="10" t="s">
        <v>27</v>
      </c>
      <c r="C166" s="11" t="s">
        <v>28</v>
      </c>
      <c r="D166" s="12"/>
      <c r="E166" s="13" t="s">
        <v>1240</v>
      </c>
      <c r="F166" s="43" t="s">
        <v>278</v>
      </c>
      <c r="G166" s="6" t="str">
        <f ca="1">IFERROR(__xludf.DUMMYFUNCTION("CONCATENATE(B166,(VLOOKUP(C166,CATALOGOS!$F$2:$H$6,3,FALSE)),(VLOOKUP(T166,CATALOGOS!$J$2:$K$18,2,FALSE)),""-"",TO_TEXT(A166))"),"P05RH-0165")</f>
        <v>P05RH-0165</v>
      </c>
      <c r="H166" s="6" t="s">
        <v>1241</v>
      </c>
      <c r="I166" s="6" t="s">
        <v>1242</v>
      </c>
      <c r="J166" s="6" t="s">
        <v>1243</v>
      </c>
      <c r="K166" s="6" t="s">
        <v>1244</v>
      </c>
      <c r="L166" s="17"/>
      <c r="M166" s="17"/>
      <c r="N166" s="17" t="str">
        <f t="shared" si="1"/>
        <v>OK</v>
      </c>
      <c r="O166" s="17" t="s">
        <v>35</v>
      </c>
      <c r="P166" s="6" t="s">
        <v>35</v>
      </c>
      <c r="Q166" s="17" t="s">
        <v>36</v>
      </c>
      <c r="R166" s="17" t="s">
        <v>1245</v>
      </c>
      <c r="S166" s="173" t="s">
        <v>38</v>
      </c>
      <c r="T166" s="11" t="s">
        <v>723</v>
      </c>
      <c r="U166" s="22" t="s">
        <v>1164</v>
      </c>
      <c r="V166" s="22" t="s">
        <v>1164</v>
      </c>
      <c r="W166" s="22"/>
      <c r="X166" s="7"/>
      <c r="Y166" s="7"/>
      <c r="Z166" s="23"/>
      <c r="AA166" s="26"/>
    </row>
    <row r="167" spans="1:28" ht="15.75" customHeight="1">
      <c r="A167" s="10" t="s">
        <v>1246</v>
      </c>
      <c r="B167" s="10" t="s">
        <v>27</v>
      </c>
      <c r="C167" s="11" t="s">
        <v>28</v>
      </c>
      <c r="D167" s="12"/>
      <c r="E167" s="13" t="s">
        <v>378</v>
      </c>
      <c r="F167" s="6" t="s">
        <v>379</v>
      </c>
      <c r="G167" s="6" t="str">
        <f ca="1">IFERROR(__xludf.DUMMYFUNCTION("CONCATENATE(B167,(VLOOKUP(C167,CATALOGOS!$F$2:$H$6,3,FALSE)),(VLOOKUP(T167,CATALOGOS!$J$2:$K$18,2,FALSE)),""-"",TO_TEXT(A167))"),"P05RH-0166")</f>
        <v>P05RH-0166</v>
      </c>
      <c r="H167" s="6" t="s">
        <v>1247</v>
      </c>
      <c r="I167" s="6" t="s">
        <v>1248</v>
      </c>
      <c r="J167" s="6" t="s">
        <v>1249</v>
      </c>
      <c r="K167" s="6" t="s">
        <v>1250</v>
      </c>
      <c r="L167" s="17"/>
      <c r="M167" s="17"/>
      <c r="N167" s="17" t="str">
        <f t="shared" si="1"/>
        <v>OK</v>
      </c>
      <c r="O167" s="17" t="s">
        <v>35</v>
      </c>
      <c r="P167" s="6" t="s">
        <v>35</v>
      </c>
      <c r="Q167" s="17" t="s">
        <v>36</v>
      </c>
      <c r="R167" s="17" t="s">
        <v>1251</v>
      </c>
      <c r="S167" s="173" t="s">
        <v>38</v>
      </c>
      <c r="T167" s="11" t="s">
        <v>723</v>
      </c>
      <c r="U167" s="22" t="s">
        <v>1164</v>
      </c>
      <c r="V167" s="22" t="s">
        <v>1164</v>
      </c>
      <c r="W167" s="22"/>
      <c r="X167" s="7"/>
      <c r="Y167" s="7"/>
      <c r="Z167" s="23"/>
      <c r="AA167" s="26"/>
    </row>
    <row r="168" spans="1:28" ht="15.75" customHeight="1">
      <c r="A168" s="10" t="s">
        <v>1252</v>
      </c>
      <c r="B168" s="10" t="s">
        <v>27</v>
      </c>
      <c r="C168" s="11" t="s">
        <v>28</v>
      </c>
      <c r="D168" s="12"/>
      <c r="E168" s="13" t="s">
        <v>62</v>
      </c>
      <c r="F168" s="6" t="s">
        <v>1253</v>
      </c>
      <c r="G168" s="6" t="str">
        <f ca="1">IFERROR(__xludf.DUMMYFUNCTION("CONCATENATE(B168,(VLOOKUP(C168,CATALOGOS!$F$2:$H$6,3,FALSE)),(VLOOKUP(T168,CATALOGOS!$J$2:$K$18,2,FALSE)),""-"",TO_TEXT(A168))"),"P05RH-0167")</f>
        <v>P05RH-0167</v>
      </c>
      <c r="H168" s="6" t="s">
        <v>1254</v>
      </c>
      <c r="I168" s="6" t="s">
        <v>1255</v>
      </c>
      <c r="J168" s="6" t="s">
        <v>1256</v>
      </c>
      <c r="K168" s="6" t="s">
        <v>1257</v>
      </c>
      <c r="L168" s="17"/>
      <c r="M168" s="17"/>
      <c r="N168" s="17" t="str">
        <f t="shared" si="1"/>
        <v>OK</v>
      </c>
      <c r="O168" s="17" t="s">
        <v>35</v>
      </c>
      <c r="P168" s="6" t="s">
        <v>35</v>
      </c>
      <c r="Q168" s="17" t="s">
        <v>36</v>
      </c>
      <c r="R168" s="17" t="s">
        <v>1258</v>
      </c>
      <c r="S168" s="173" t="s">
        <v>38</v>
      </c>
      <c r="T168" s="11" t="s">
        <v>723</v>
      </c>
      <c r="U168" s="22" t="s">
        <v>1164</v>
      </c>
      <c r="V168" s="22" t="s">
        <v>1164</v>
      </c>
      <c r="W168" s="22"/>
      <c r="X168" s="7"/>
      <c r="Y168" s="7"/>
      <c r="Z168" s="23"/>
      <c r="AA168" s="26"/>
    </row>
    <row r="169" spans="1:28" ht="15.75" customHeight="1">
      <c r="A169" s="10" t="s">
        <v>1259</v>
      </c>
      <c r="B169" s="10" t="s">
        <v>27</v>
      </c>
      <c r="C169" s="11" t="s">
        <v>28</v>
      </c>
      <c r="D169" s="12"/>
      <c r="E169" s="13" t="s">
        <v>62</v>
      </c>
      <c r="F169" s="6" t="s">
        <v>1260</v>
      </c>
      <c r="G169" s="6" t="str">
        <f ca="1">IFERROR(__xludf.DUMMYFUNCTION("CONCATENATE(B169,(VLOOKUP(C169,CATALOGOS!$F$2:$H$6,3,FALSE)),(VLOOKUP(T169,CATALOGOS!$J$2:$K$18,2,FALSE)),""-"",TO_TEXT(A169))"),"P05RH-0168")</f>
        <v>P05RH-0168</v>
      </c>
      <c r="H169" s="6" t="s">
        <v>1261</v>
      </c>
      <c r="I169" s="6" t="s">
        <v>1262</v>
      </c>
      <c r="J169" s="6" t="s">
        <v>1263</v>
      </c>
      <c r="K169" s="6" t="s">
        <v>1264</v>
      </c>
      <c r="L169" s="17"/>
      <c r="M169" s="17"/>
      <c r="N169" s="17" t="str">
        <f t="shared" si="1"/>
        <v>OK</v>
      </c>
      <c r="O169" s="17" t="s">
        <v>35</v>
      </c>
      <c r="P169" s="6" t="s">
        <v>35</v>
      </c>
      <c r="Q169" s="17" t="s">
        <v>36</v>
      </c>
      <c r="R169" s="17" t="s">
        <v>1265</v>
      </c>
      <c r="S169" s="173" t="s">
        <v>38</v>
      </c>
      <c r="T169" s="11" t="s">
        <v>723</v>
      </c>
      <c r="U169" s="22" t="s">
        <v>1164</v>
      </c>
      <c r="V169" s="22" t="s">
        <v>1164</v>
      </c>
      <c r="W169" s="22"/>
      <c r="X169" s="7"/>
      <c r="Y169" s="7"/>
      <c r="Z169" s="23"/>
      <c r="AA169" s="26"/>
    </row>
    <row r="170" spans="1:28" ht="15.75" customHeight="1">
      <c r="A170" s="10" t="s">
        <v>1266</v>
      </c>
      <c r="B170" s="10" t="s">
        <v>27</v>
      </c>
      <c r="C170" s="11" t="s">
        <v>28</v>
      </c>
      <c r="D170" s="12"/>
      <c r="E170" s="13" t="s">
        <v>43</v>
      </c>
      <c r="F170" s="6" t="s">
        <v>885</v>
      </c>
      <c r="G170" s="6" t="str">
        <f ca="1">IFERROR(__xludf.DUMMYFUNCTION("CONCATENATE(B170,(VLOOKUP(C170,CATALOGOS!$F$2:$H$6,3,FALSE)),(VLOOKUP(T170,CATALOGOS!$J$2:$K$18,2,FALSE)),""-"",TO_TEXT(A170))"),"P05RH-0169")</f>
        <v>P05RH-0169</v>
      </c>
      <c r="H170" s="6" t="s">
        <v>1267</v>
      </c>
      <c r="I170" s="6" t="s">
        <v>1268</v>
      </c>
      <c r="J170" s="10" t="s">
        <v>1269</v>
      </c>
      <c r="K170" s="43" t="s">
        <v>1270</v>
      </c>
      <c r="L170" s="17"/>
      <c r="M170" s="17"/>
      <c r="N170" s="17" t="str">
        <f t="shared" si="1"/>
        <v>OK</v>
      </c>
      <c r="O170" s="17" t="s">
        <v>406</v>
      </c>
      <c r="P170" s="6" t="s">
        <v>1271</v>
      </c>
      <c r="Q170" s="17" t="s">
        <v>1272</v>
      </c>
      <c r="R170" s="17" t="s">
        <v>1273</v>
      </c>
      <c r="S170" s="173" t="s">
        <v>38</v>
      </c>
      <c r="T170" s="11" t="s">
        <v>723</v>
      </c>
      <c r="U170" s="22" t="s">
        <v>1164</v>
      </c>
      <c r="V170" s="22" t="s">
        <v>1164</v>
      </c>
      <c r="W170" s="22"/>
      <c r="X170" s="7"/>
      <c r="Y170" s="7"/>
      <c r="Z170" s="23"/>
      <c r="AA170" s="26"/>
    </row>
    <row r="171" spans="1:28" ht="15.75" customHeight="1">
      <c r="A171" s="10" t="s">
        <v>1274</v>
      </c>
      <c r="B171" s="10" t="s">
        <v>27</v>
      </c>
      <c r="C171" s="11" t="s">
        <v>28</v>
      </c>
      <c r="D171" s="38"/>
      <c r="E171" s="13" t="s">
        <v>1275</v>
      </c>
      <c r="F171" s="6" t="s">
        <v>1276</v>
      </c>
      <c r="G171" s="6" t="str">
        <f ca="1">IFERROR(__xludf.DUMMYFUNCTION("CONCATENATE(B171,(VLOOKUP(C171,CATALOGOS!$F$2:$H$6,3,FALSE)),(VLOOKUP(T171,CATALOGOS!$J$2:$K$18,2,FALSE)),""-"",TO_TEXT(A171))"),"P05RH-0170")</f>
        <v>P05RH-0170</v>
      </c>
      <c r="H171" s="6" t="s">
        <v>1277</v>
      </c>
      <c r="I171" s="6" t="s">
        <v>1278</v>
      </c>
      <c r="J171" s="10" t="s">
        <v>1279</v>
      </c>
      <c r="K171" s="6" t="s">
        <v>1280</v>
      </c>
      <c r="L171" s="17"/>
      <c r="M171" s="17"/>
      <c r="N171" s="17" t="str">
        <f t="shared" si="1"/>
        <v>OK</v>
      </c>
      <c r="O171" s="17" t="s">
        <v>682</v>
      </c>
      <c r="P171" s="6" t="s">
        <v>1281</v>
      </c>
      <c r="Q171" s="46" t="s">
        <v>1282</v>
      </c>
      <c r="R171" s="17" t="s">
        <v>1283</v>
      </c>
      <c r="S171" s="173" t="s">
        <v>38</v>
      </c>
      <c r="T171" s="11" t="s">
        <v>723</v>
      </c>
      <c r="U171" s="22" t="s">
        <v>1164</v>
      </c>
      <c r="V171" s="22" t="s">
        <v>1164</v>
      </c>
      <c r="W171" s="22"/>
      <c r="X171" s="7"/>
      <c r="Y171" s="7"/>
      <c r="Z171" s="26"/>
      <c r="AA171" s="26"/>
    </row>
    <row r="172" spans="1:28" ht="15.75" customHeight="1">
      <c r="A172" s="10" t="s">
        <v>1284</v>
      </c>
      <c r="B172" s="10" t="s">
        <v>27</v>
      </c>
      <c r="C172" s="11" t="s">
        <v>28</v>
      </c>
      <c r="D172" s="12"/>
      <c r="E172" s="13" t="s">
        <v>93</v>
      </c>
      <c r="F172" s="6" t="s">
        <v>1285</v>
      </c>
      <c r="G172" s="6" t="str">
        <f ca="1">IFERROR(__xludf.DUMMYFUNCTION("CONCATENATE(B172,(VLOOKUP(C172,CATALOGOS!$F$2:$H$6,3,FALSE)),(VLOOKUP(T172,CATALOGOS!$J$2:$K$18,2,FALSE)),""-"",TO_TEXT(A172))"),"P05RH-0171")</f>
        <v>P05RH-0171</v>
      </c>
      <c r="H172" s="6" t="s">
        <v>1286</v>
      </c>
      <c r="I172" s="6" t="s">
        <v>1287</v>
      </c>
      <c r="J172" s="6" t="s">
        <v>1288</v>
      </c>
      <c r="K172" s="6" t="s">
        <v>1289</v>
      </c>
      <c r="L172" s="17"/>
      <c r="M172" s="17"/>
      <c r="N172" s="17" t="str">
        <f t="shared" si="1"/>
        <v>OK</v>
      </c>
      <c r="O172" s="17" t="s">
        <v>35</v>
      </c>
      <c r="P172" s="6" t="s">
        <v>35</v>
      </c>
      <c r="Q172" s="17" t="s">
        <v>36</v>
      </c>
      <c r="R172" s="17" t="s">
        <v>1290</v>
      </c>
      <c r="S172" s="173" t="s">
        <v>38</v>
      </c>
      <c r="T172" s="11" t="s">
        <v>723</v>
      </c>
      <c r="U172" s="22" t="s">
        <v>724</v>
      </c>
      <c r="V172" s="22" t="s">
        <v>724</v>
      </c>
      <c r="W172" s="22"/>
      <c r="X172" s="7"/>
      <c r="Y172" s="7"/>
      <c r="Z172" s="23"/>
      <c r="AA172" s="26"/>
    </row>
    <row r="173" spans="1:28" ht="15.75" customHeight="1">
      <c r="A173" s="10" t="s">
        <v>1291</v>
      </c>
      <c r="B173" s="10" t="s">
        <v>27</v>
      </c>
      <c r="C173" s="11" t="s">
        <v>28</v>
      </c>
      <c r="D173" s="12"/>
      <c r="E173" s="13" t="s">
        <v>378</v>
      </c>
      <c r="F173" s="6" t="s">
        <v>1292</v>
      </c>
      <c r="G173" s="6" t="str">
        <f ca="1">IFERROR(__xludf.DUMMYFUNCTION("CONCATENATE(B173,(VLOOKUP(C173,CATALOGOS!$F$2:$H$6,3,FALSE)),(VLOOKUP(T173,CATALOGOS!$J$2:$K$18,2,FALSE)),""-"",TO_TEXT(A173))"),"P05RH-0172")</f>
        <v>P05RH-0172</v>
      </c>
      <c r="H173" s="6" t="s">
        <v>1293</v>
      </c>
      <c r="I173" s="6" t="s">
        <v>1294</v>
      </c>
      <c r="J173" s="36"/>
      <c r="K173" s="6" t="s">
        <v>1295</v>
      </c>
      <c r="L173" s="17"/>
      <c r="M173" s="17"/>
      <c r="N173" s="17" t="str">
        <f t="shared" si="1"/>
        <v>OK</v>
      </c>
      <c r="O173" s="35" t="s">
        <v>35</v>
      </c>
      <c r="P173" s="6" t="s">
        <v>35</v>
      </c>
      <c r="Q173" s="10" t="s">
        <v>36</v>
      </c>
      <c r="R173" s="10" t="s">
        <v>1296</v>
      </c>
      <c r="S173" s="173" t="s">
        <v>38</v>
      </c>
      <c r="T173" s="11" t="s">
        <v>723</v>
      </c>
      <c r="U173" s="22" t="s">
        <v>724</v>
      </c>
      <c r="V173" s="22" t="s">
        <v>724</v>
      </c>
      <c r="W173" s="22"/>
      <c r="X173" s="7"/>
      <c r="Y173" s="7"/>
      <c r="Z173" s="23"/>
      <c r="AA173" s="26"/>
    </row>
    <row r="174" spans="1:28" ht="15.75" customHeight="1">
      <c r="A174" s="10" t="s">
        <v>1297</v>
      </c>
      <c r="B174" s="10" t="s">
        <v>27</v>
      </c>
      <c r="C174" s="11" t="s">
        <v>28</v>
      </c>
      <c r="D174" s="12"/>
      <c r="E174" s="13" t="s">
        <v>151</v>
      </c>
      <c r="F174" s="6" t="s">
        <v>152</v>
      </c>
      <c r="G174" s="6" t="str">
        <f ca="1">IFERROR(__xludf.DUMMYFUNCTION("CONCATENATE(B174,(VLOOKUP(C174,CATALOGOS!$F$2:$H$6,3,FALSE)),(VLOOKUP(T174,CATALOGOS!$J$2:$K$18,2,FALSE)),""-"",TO_TEXT(A174))"),"P05RM-0175")</f>
        <v>P05RM-0175</v>
      </c>
      <c r="H174" s="6" t="s">
        <v>1298</v>
      </c>
      <c r="I174" s="6" t="s">
        <v>1299</v>
      </c>
      <c r="J174" s="6" t="s">
        <v>1300</v>
      </c>
      <c r="K174" s="6" t="s">
        <v>1301</v>
      </c>
      <c r="L174" s="17"/>
      <c r="M174" s="17"/>
      <c r="N174" s="17" t="str">
        <f t="shared" si="1"/>
        <v>OK</v>
      </c>
      <c r="O174" s="17" t="s">
        <v>157</v>
      </c>
      <c r="P174" s="6" t="s">
        <v>1302</v>
      </c>
      <c r="Q174" s="17" t="s">
        <v>36</v>
      </c>
      <c r="R174" s="17" t="s">
        <v>1303</v>
      </c>
      <c r="S174" s="173" t="s">
        <v>1304</v>
      </c>
      <c r="T174" s="180" t="s">
        <v>147</v>
      </c>
      <c r="U174" s="208" t="s">
        <v>484</v>
      </c>
      <c r="V174" s="190" t="s">
        <v>724</v>
      </c>
      <c r="W174" s="22"/>
      <c r="X174" s="7"/>
      <c r="Y174" s="7"/>
      <c r="Z174" s="23"/>
      <c r="AA174" s="26"/>
    </row>
    <row r="175" spans="1:28" ht="15.75" customHeight="1">
      <c r="A175" s="55" t="s">
        <v>1305</v>
      </c>
      <c r="B175" s="10" t="s">
        <v>27</v>
      </c>
      <c r="C175" s="11" t="s">
        <v>28</v>
      </c>
      <c r="D175" s="12"/>
      <c r="E175" s="13" t="s">
        <v>378</v>
      </c>
      <c r="F175" s="6" t="s">
        <v>1306</v>
      </c>
      <c r="G175" s="6" t="str">
        <f ca="1">IFERROR(__xludf.DUMMYFUNCTION("CONCATENATE(B175,(VLOOKUP(C175,CATALOGOS!$F$2:$H$6,3,FALSE)),(VLOOKUP(T175,CATALOGOS!$J$2:$K$18,2,FALSE)),""-"",TO_TEXT(A175))"),"P05RH-0173")</f>
        <v>P05RH-0173</v>
      </c>
      <c r="H175" s="6" t="s">
        <v>1307</v>
      </c>
      <c r="I175" s="6" t="s">
        <v>1308</v>
      </c>
      <c r="J175" s="6" t="s">
        <v>1309</v>
      </c>
      <c r="K175" s="43" t="s">
        <v>1310</v>
      </c>
      <c r="L175" s="17"/>
      <c r="M175" s="17"/>
      <c r="N175" s="17" t="str">
        <f t="shared" si="1"/>
        <v>OK</v>
      </c>
      <c r="O175" s="46" t="s">
        <v>35</v>
      </c>
      <c r="P175" s="6" t="s">
        <v>35</v>
      </c>
      <c r="Q175" s="17" t="s">
        <v>36</v>
      </c>
      <c r="R175" s="17" t="s">
        <v>1311</v>
      </c>
      <c r="S175" s="173" t="s">
        <v>38</v>
      </c>
      <c r="T175" s="11" t="s">
        <v>723</v>
      </c>
      <c r="U175" s="22" t="s">
        <v>724</v>
      </c>
      <c r="V175" s="22" t="s">
        <v>724</v>
      </c>
      <c r="W175" s="22"/>
      <c r="X175" s="7"/>
      <c r="Y175" s="7"/>
      <c r="Z175" s="23"/>
      <c r="AA175" s="26"/>
    </row>
    <row r="176" spans="1:28" ht="15.75" customHeight="1">
      <c r="A176" s="10" t="s">
        <v>1312</v>
      </c>
      <c r="B176" s="10" t="s">
        <v>27</v>
      </c>
      <c r="C176" s="11" t="s">
        <v>28</v>
      </c>
      <c r="D176" s="12"/>
      <c r="E176" s="13" t="s">
        <v>116</v>
      </c>
      <c r="F176" s="6" t="s">
        <v>364</v>
      </c>
      <c r="G176" s="6" t="str">
        <f ca="1">IFERROR(__xludf.DUMMYFUNCTION("CONCATENATE(B176,(VLOOKUP(C176,CATALOGOS!$F$2:$H$6,3,FALSE)),(VLOOKUP(T176,CATALOGOS!$J$2:$K$18,2,FALSE)),""-"",TO_TEXT(A176))"),"P05RH-0174")</f>
        <v>P05RH-0174</v>
      </c>
      <c r="H176" s="6" t="s">
        <v>1313</v>
      </c>
      <c r="I176" s="6" t="s">
        <v>1314</v>
      </c>
      <c r="J176" s="6" t="s">
        <v>1315</v>
      </c>
      <c r="K176" s="6" t="s">
        <v>1316</v>
      </c>
      <c r="L176" s="17"/>
      <c r="M176" s="17"/>
      <c r="N176" s="17" t="str">
        <f t="shared" si="1"/>
        <v>OK</v>
      </c>
      <c r="O176" s="17" t="s">
        <v>35</v>
      </c>
      <c r="P176" s="49" t="s">
        <v>35</v>
      </c>
      <c r="Q176" s="17" t="s">
        <v>36</v>
      </c>
      <c r="R176" s="17" t="s">
        <v>1317</v>
      </c>
      <c r="S176" s="173" t="s">
        <v>38</v>
      </c>
      <c r="T176" s="11" t="s">
        <v>723</v>
      </c>
      <c r="U176" s="22" t="s">
        <v>724</v>
      </c>
      <c r="V176" s="22" t="s">
        <v>724</v>
      </c>
      <c r="W176" s="22"/>
      <c r="X176" s="7"/>
      <c r="Y176" s="7"/>
      <c r="Z176" s="23"/>
      <c r="AA176" s="26"/>
    </row>
    <row r="177" spans="1:28" ht="15.75" customHeight="1">
      <c r="A177" s="10" t="s">
        <v>1318</v>
      </c>
      <c r="B177" s="10" t="s">
        <v>27</v>
      </c>
      <c r="C177" s="11" t="s">
        <v>28</v>
      </c>
      <c r="D177" s="12"/>
      <c r="E177" s="13" t="s">
        <v>199</v>
      </c>
      <c r="F177" s="6" t="s">
        <v>199</v>
      </c>
      <c r="G177" s="6" t="str">
        <f ca="1">IFERROR(__xludf.DUMMYFUNCTION("CONCATENATE(B177,(VLOOKUP(C177,CATALOGOS!$F$2:$H$6,3,FALSE)),(VLOOKUP(T177,CATALOGOS!$J$2:$K$18,2,FALSE)),""-"",TO_TEXT(A177))"),"P05RH-0176")</f>
        <v>P05RH-0176</v>
      </c>
      <c r="H177" s="6" t="s">
        <v>1319</v>
      </c>
      <c r="I177" s="6" t="s">
        <v>1320</v>
      </c>
      <c r="J177" s="6" t="s">
        <v>1321</v>
      </c>
      <c r="K177" s="6" t="s">
        <v>1322</v>
      </c>
      <c r="L177" s="17"/>
      <c r="M177" s="17"/>
      <c r="N177" s="17" t="str">
        <f t="shared" si="1"/>
        <v>OK</v>
      </c>
      <c r="O177" s="17" t="s">
        <v>157</v>
      </c>
      <c r="P177" s="6">
        <v>2378</v>
      </c>
      <c r="Q177" s="17" t="s">
        <v>1323</v>
      </c>
      <c r="R177" s="17" t="s">
        <v>1324</v>
      </c>
      <c r="S177" s="173" t="s">
        <v>38</v>
      </c>
      <c r="T177" s="11" t="s">
        <v>723</v>
      </c>
      <c r="U177" s="22" t="s">
        <v>724</v>
      </c>
      <c r="V177" s="22" t="s">
        <v>724</v>
      </c>
      <c r="W177" s="22"/>
      <c r="X177" s="7"/>
      <c r="Y177" s="7"/>
      <c r="Z177" s="23"/>
      <c r="AA177" s="26"/>
    </row>
    <row r="178" spans="1:28" ht="15.75" customHeight="1">
      <c r="A178" s="10" t="s">
        <v>1325</v>
      </c>
      <c r="B178" s="10" t="s">
        <v>27</v>
      </c>
      <c r="C178" s="11" t="s">
        <v>28</v>
      </c>
      <c r="D178" s="12"/>
      <c r="E178" s="13" t="s">
        <v>136</v>
      </c>
      <c r="F178" s="6" t="s">
        <v>689</v>
      </c>
      <c r="G178" s="6" t="str">
        <f ca="1">IFERROR(__xludf.DUMMYFUNCTION("CONCATENATE(B178,(VLOOKUP(C178,CATALOGOS!$F$2:$H$6,3,FALSE)),(VLOOKUP(T178,CATALOGOS!$J$2:$K$18,2,FALSE)),""-"",TO_TEXT(A178))"),"P05RH-0177")</f>
        <v>P05RH-0177</v>
      </c>
      <c r="H178" s="6" t="s">
        <v>1326</v>
      </c>
      <c r="I178" s="6" t="s">
        <v>1327</v>
      </c>
      <c r="J178" s="6" t="s">
        <v>1328</v>
      </c>
      <c r="K178" s="6" t="s">
        <v>1329</v>
      </c>
      <c r="L178" s="17"/>
      <c r="M178" s="17"/>
      <c r="N178" s="17" t="str">
        <f t="shared" si="1"/>
        <v>OK</v>
      </c>
      <c r="O178" s="17" t="s">
        <v>143</v>
      </c>
      <c r="P178" s="6" t="s">
        <v>1330</v>
      </c>
      <c r="Q178" s="32" t="s">
        <v>1331</v>
      </c>
      <c r="R178" s="17" t="s">
        <v>1332</v>
      </c>
      <c r="S178" s="173" t="s">
        <v>38</v>
      </c>
      <c r="T178" s="11" t="s">
        <v>723</v>
      </c>
      <c r="U178" s="22" t="s">
        <v>724</v>
      </c>
      <c r="V178" s="22" t="s">
        <v>724</v>
      </c>
      <c r="W178" s="22"/>
      <c r="X178" s="7"/>
      <c r="Y178" s="7"/>
      <c r="Z178" s="23"/>
      <c r="AA178" s="26"/>
    </row>
    <row r="179" spans="1:28" ht="15.75" customHeight="1">
      <c r="A179" s="10" t="s">
        <v>1333</v>
      </c>
      <c r="B179" s="10" t="s">
        <v>27</v>
      </c>
      <c r="C179" s="11" t="s">
        <v>28</v>
      </c>
      <c r="D179" s="12"/>
      <c r="E179" s="13" t="s">
        <v>353</v>
      </c>
      <c r="F179" s="43" t="s">
        <v>638</v>
      </c>
      <c r="G179" s="6" t="str">
        <f ca="1">IFERROR(__xludf.DUMMYFUNCTION("CONCATENATE(B179,(VLOOKUP(C179,CATALOGOS!$F$2:$H$6,3,FALSE)),(VLOOKUP(T179,CATALOGOS!$J$2:$K$18,2,FALSE)),""-"",TO_TEXT(A179))"),"P05RH-0178")</f>
        <v>P05RH-0178</v>
      </c>
      <c r="H179" s="6" t="s">
        <v>1334</v>
      </c>
      <c r="I179" s="6" t="s">
        <v>1335</v>
      </c>
      <c r="J179" s="6" t="s">
        <v>1336</v>
      </c>
      <c r="K179" s="6" t="s">
        <v>1337</v>
      </c>
      <c r="L179" s="17"/>
      <c r="M179" s="17"/>
      <c r="N179" s="17" t="str">
        <f t="shared" si="1"/>
        <v>OK</v>
      </c>
      <c r="O179" s="17" t="s">
        <v>359</v>
      </c>
      <c r="P179" s="6" t="s">
        <v>360</v>
      </c>
      <c r="Q179" s="17" t="s">
        <v>1338</v>
      </c>
      <c r="R179" s="17" t="s">
        <v>1339</v>
      </c>
      <c r="S179" s="173" t="s">
        <v>38</v>
      </c>
      <c r="T179" s="11" t="s">
        <v>723</v>
      </c>
      <c r="U179" s="22" t="s">
        <v>724</v>
      </c>
      <c r="V179" s="22" t="s">
        <v>724</v>
      </c>
      <c r="W179" s="22"/>
      <c r="X179" s="7"/>
      <c r="Y179" s="7"/>
      <c r="Z179" s="23"/>
      <c r="AA179" s="26"/>
    </row>
    <row r="180" spans="1:28" ht="15.75" customHeight="1">
      <c r="A180" s="10" t="s">
        <v>1340</v>
      </c>
      <c r="B180" s="10" t="s">
        <v>27</v>
      </c>
      <c r="C180" s="11" t="s">
        <v>28</v>
      </c>
      <c r="D180" s="38"/>
      <c r="E180" s="13" t="s">
        <v>1240</v>
      </c>
      <c r="F180" s="6" t="s">
        <v>278</v>
      </c>
      <c r="G180" s="6" t="str">
        <f ca="1">IFERROR(__xludf.DUMMYFUNCTION("CONCATENATE(B180,(VLOOKUP(C180,CATALOGOS!$F$2:$H$6,3,FALSE)),(VLOOKUP(T180,CATALOGOS!$J$2:$K$18,2,FALSE)),""-"",TO_TEXT(A180))"),"P05RH-0179")</f>
        <v>P05RH-0179</v>
      </c>
      <c r="H180" s="6" t="s">
        <v>1341</v>
      </c>
      <c r="I180" s="6" t="s">
        <v>1342</v>
      </c>
      <c r="J180" s="6" t="s">
        <v>1343</v>
      </c>
      <c r="K180" s="6" t="s">
        <v>1344</v>
      </c>
      <c r="L180" s="17"/>
      <c r="M180" s="17"/>
      <c r="N180" s="17" t="str">
        <f t="shared" si="1"/>
        <v>OK</v>
      </c>
      <c r="O180" s="17" t="s">
        <v>35</v>
      </c>
      <c r="P180" s="6" t="s">
        <v>35</v>
      </c>
      <c r="Q180" s="46" t="s">
        <v>36</v>
      </c>
      <c r="R180" s="17" t="s">
        <v>1345</v>
      </c>
      <c r="S180" s="173" t="s">
        <v>38</v>
      </c>
      <c r="T180" s="11" t="s">
        <v>723</v>
      </c>
      <c r="U180" s="22" t="s">
        <v>724</v>
      </c>
      <c r="V180" s="22" t="s">
        <v>724</v>
      </c>
      <c r="W180" s="22"/>
      <c r="X180" s="7"/>
      <c r="Y180" s="7"/>
      <c r="Z180" s="26"/>
      <c r="AA180" s="26"/>
    </row>
    <row r="181" spans="1:28" ht="15.75" customHeight="1">
      <c r="A181" s="10" t="s">
        <v>1346</v>
      </c>
      <c r="B181" s="10" t="s">
        <v>27</v>
      </c>
      <c r="C181" s="11" t="s">
        <v>28</v>
      </c>
      <c r="D181" s="12"/>
      <c r="E181" s="13" t="s">
        <v>116</v>
      </c>
      <c r="F181" s="6" t="s">
        <v>1347</v>
      </c>
      <c r="G181" s="6" t="str">
        <f ca="1">IFERROR(__xludf.DUMMYFUNCTION("CONCATENATE(B181,(VLOOKUP(C181,CATALOGOS!$F$2:$H$6,3,FALSE)),(VLOOKUP(T181,CATALOGOS!$J$2:$K$18,2,FALSE)),""-"",TO_TEXT(A181))"),"P05RH-0180")</f>
        <v>P05RH-0180</v>
      </c>
      <c r="H181" s="6" t="s">
        <v>1348</v>
      </c>
      <c r="I181" s="6" t="s">
        <v>1349</v>
      </c>
      <c r="J181" s="36"/>
      <c r="K181" s="6" t="s">
        <v>141</v>
      </c>
      <c r="L181" s="17"/>
      <c r="M181" s="17"/>
      <c r="N181" s="17" t="str">
        <f t="shared" si="1"/>
        <v>REPETIDO</v>
      </c>
      <c r="O181" s="17" t="s">
        <v>35</v>
      </c>
      <c r="P181" s="6" t="s">
        <v>35</v>
      </c>
      <c r="Q181" s="6" t="s">
        <v>36</v>
      </c>
      <c r="R181" s="10" t="s">
        <v>85</v>
      </c>
      <c r="S181" s="173" t="s">
        <v>38</v>
      </c>
      <c r="T181" s="11" t="s">
        <v>723</v>
      </c>
      <c r="U181" s="20" t="s">
        <v>1350</v>
      </c>
      <c r="V181" s="22" t="s">
        <v>1350</v>
      </c>
      <c r="W181" s="22"/>
      <c r="X181" s="6"/>
      <c r="Y181" s="6"/>
      <c r="Z181" s="23"/>
      <c r="AA181" s="33"/>
    </row>
    <row r="182" spans="1:28" ht="15.75" customHeight="1">
      <c r="A182" s="10" t="s">
        <v>1351</v>
      </c>
      <c r="B182" s="10" t="s">
        <v>27</v>
      </c>
      <c r="C182" s="11" t="s">
        <v>28</v>
      </c>
      <c r="D182" s="12"/>
      <c r="E182" s="13" t="s">
        <v>151</v>
      </c>
      <c r="F182" s="6" t="s">
        <v>293</v>
      </c>
      <c r="G182" s="6" t="str">
        <f ca="1">IFERROR(__xludf.DUMMYFUNCTION("CONCATENATE(B182,(VLOOKUP(C182,CATALOGOS!$F$2:$H$6,3,FALSE)),(VLOOKUP(T182,CATALOGOS!$J$2:$K$18,2,FALSE)),""-"",TO_TEXT(A182))"),"P05RH-0181")</f>
        <v>P05RH-0181</v>
      </c>
      <c r="H182" s="6" t="s">
        <v>1352</v>
      </c>
      <c r="I182" s="6" t="s">
        <v>1353</v>
      </c>
      <c r="J182" s="36"/>
      <c r="K182" s="6" t="s">
        <v>1354</v>
      </c>
      <c r="L182" s="17"/>
      <c r="M182" s="17"/>
      <c r="N182" s="17" t="str">
        <f t="shared" si="1"/>
        <v>OK</v>
      </c>
      <c r="O182" s="17" t="s">
        <v>297</v>
      </c>
      <c r="P182" s="6" t="s">
        <v>298</v>
      </c>
      <c r="Q182" s="6" t="s">
        <v>1355</v>
      </c>
      <c r="R182" s="10" t="s">
        <v>85</v>
      </c>
      <c r="S182" s="173" t="s">
        <v>38</v>
      </c>
      <c r="T182" s="11" t="s">
        <v>723</v>
      </c>
      <c r="U182" s="22" t="s">
        <v>1350</v>
      </c>
      <c r="V182" s="22" t="s">
        <v>1350</v>
      </c>
      <c r="W182" s="22"/>
      <c r="X182" s="6"/>
      <c r="Y182" s="6"/>
      <c r="Z182" s="41" t="s">
        <v>275</v>
      </c>
      <c r="AA182" s="42">
        <v>44403</v>
      </c>
      <c r="AB182" s="58" t="s">
        <v>276</v>
      </c>
    </row>
    <row r="183" spans="1:28" ht="15.75" customHeight="1">
      <c r="A183" s="10" t="s">
        <v>1356</v>
      </c>
      <c r="B183" s="10" t="s">
        <v>27</v>
      </c>
      <c r="C183" s="11" t="s">
        <v>28</v>
      </c>
      <c r="D183" s="12"/>
      <c r="E183" s="13" t="s">
        <v>199</v>
      </c>
      <c r="F183" s="6" t="s">
        <v>199</v>
      </c>
      <c r="G183" s="6" t="str">
        <f ca="1">IFERROR(__xludf.DUMMYFUNCTION("CONCATENATE(B183,(VLOOKUP(C183,CATALOGOS!$F$2:$H$6,3,FALSE)),(VLOOKUP(T183,CATALOGOS!$J$2:$K$18,2,FALSE)),""-"",TO_TEXT(A183))"),"P05RH-0182")</f>
        <v>P05RH-0182</v>
      </c>
      <c r="H183" s="6" t="s">
        <v>1357</v>
      </c>
      <c r="I183" s="6" t="s">
        <v>1358</v>
      </c>
      <c r="J183" s="36"/>
      <c r="K183" s="6" t="s">
        <v>1359</v>
      </c>
      <c r="L183" s="17"/>
      <c r="M183" s="17"/>
      <c r="N183" s="17" t="str">
        <f t="shared" si="1"/>
        <v>OK</v>
      </c>
      <c r="O183" s="17" t="s">
        <v>273</v>
      </c>
      <c r="P183" s="6" t="s">
        <v>274</v>
      </c>
      <c r="Q183" s="6">
        <v>11392903015062</v>
      </c>
      <c r="R183" s="10" t="s">
        <v>85</v>
      </c>
      <c r="S183" s="173" t="s">
        <v>38</v>
      </c>
      <c r="T183" s="11" t="s">
        <v>723</v>
      </c>
      <c r="U183" s="22" t="s">
        <v>1350</v>
      </c>
      <c r="V183" s="22" t="s">
        <v>1350</v>
      </c>
      <c r="W183" s="22"/>
      <c r="X183" s="6"/>
      <c r="Y183" s="6"/>
      <c r="Z183" s="41" t="s">
        <v>275</v>
      </c>
      <c r="AA183" s="42">
        <v>44403</v>
      </c>
      <c r="AB183" s="58">
        <v>0</v>
      </c>
    </row>
    <row r="184" spans="1:28" ht="15.75" customHeight="1">
      <c r="A184" s="10" t="s">
        <v>1360</v>
      </c>
      <c r="B184" s="10" t="s">
        <v>27</v>
      </c>
      <c r="C184" s="11" t="s">
        <v>28</v>
      </c>
      <c r="D184" s="12"/>
      <c r="E184" s="13" t="s">
        <v>378</v>
      </c>
      <c r="F184" s="6" t="s">
        <v>379</v>
      </c>
      <c r="G184" s="6" t="str">
        <f ca="1">IFERROR(__xludf.DUMMYFUNCTION("CONCATENATE(B184,(VLOOKUP(C184,CATALOGOS!$F$2:$H$6,3,FALSE)),(VLOOKUP(T184,CATALOGOS!$J$2:$K$18,2,FALSE)),""-"",TO_TEXT(A184))"),"P05RH-0183")</f>
        <v>P05RH-0183</v>
      </c>
      <c r="H184" s="6" t="s">
        <v>1361</v>
      </c>
      <c r="I184" s="6" t="s">
        <v>1362</v>
      </c>
      <c r="J184" s="6" t="s">
        <v>1363</v>
      </c>
      <c r="K184" s="6" t="s">
        <v>1364</v>
      </c>
      <c r="L184" s="17"/>
      <c r="M184" s="17"/>
      <c r="N184" s="17" t="str">
        <f t="shared" si="1"/>
        <v>OK</v>
      </c>
      <c r="O184" s="17" t="s">
        <v>35</v>
      </c>
      <c r="P184" s="6" t="s">
        <v>35</v>
      </c>
      <c r="Q184" s="17" t="s">
        <v>36</v>
      </c>
      <c r="R184" s="17" t="s">
        <v>1365</v>
      </c>
      <c r="S184" s="173" t="s">
        <v>38</v>
      </c>
      <c r="T184" s="11" t="s">
        <v>723</v>
      </c>
      <c r="U184" s="22" t="s">
        <v>1350</v>
      </c>
      <c r="V184" s="22" t="s">
        <v>1350</v>
      </c>
      <c r="W184" s="22"/>
      <c r="X184" s="7"/>
      <c r="Y184" s="7"/>
      <c r="Z184" s="23"/>
      <c r="AA184" s="26"/>
    </row>
    <row r="185" spans="1:28" ht="15.75" customHeight="1">
      <c r="A185" s="10" t="s">
        <v>1366</v>
      </c>
      <c r="B185" s="10" t="s">
        <v>27</v>
      </c>
      <c r="C185" s="11" t="s">
        <v>28</v>
      </c>
      <c r="D185" s="38"/>
      <c r="E185" s="13" t="s">
        <v>353</v>
      </c>
      <c r="F185" s="6" t="s">
        <v>354</v>
      </c>
      <c r="G185" s="6" t="str">
        <f ca="1">IFERROR(__xludf.DUMMYFUNCTION("CONCATENATE(B185,(VLOOKUP(C185,CATALOGOS!$F$2:$H$6,3,FALSE)),(VLOOKUP(T185,CATALOGOS!$J$2:$K$18,2,FALSE)),""-"",TO_TEXT(A185))"),"P05RH-0184")</f>
        <v>P05RH-0184</v>
      </c>
      <c r="H185" s="6" t="s">
        <v>1367</v>
      </c>
      <c r="I185" s="6" t="s">
        <v>1368</v>
      </c>
      <c r="J185" s="36"/>
      <c r="K185" s="6" t="s">
        <v>1369</v>
      </c>
      <c r="L185" s="17"/>
      <c r="M185" s="17"/>
      <c r="N185" s="17" t="str">
        <f t="shared" si="1"/>
        <v>OK</v>
      </c>
      <c r="O185" s="17" t="s">
        <v>1370</v>
      </c>
      <c r="P185" s="6" t="s">
        <v>304</v>
      </c>
      <c r="Q185" s="6" t="s">
        <v>1371</v>
      </c>
      <c r="R185" s="32" t="s">
        <v>1372</v>
      </c>
      <c r="S185" s="173" t="s">
        <v>38</v>
      </c>
      <c r="T185" s="11" t="s">
        <v>723</v>
      </c>
      <c r="U185" s="22" t="s">
        <v>1350</v>
      </c>
      <c r="V185" s="22" t="s">
        <v>1350</v>
      </c>
      <c r="W185" s="22"/>
      <c r="X185" s="7"/>
      <c r="Y185" s="7"/>
      <c r="Z185" s="26"/>
      <c r="AA185" s="26"/>
    </row>
    <row r="186" spans="1:28" ht="15.75" customHeight="1">
      <c r="A186" s="10" t="s">
        <v>1373</v>
      </c>
      <c r="B186" s="10" t="s">
        <v>27</v>
      </c>
      <c r="C186" s="11" t="s">
        <v>28</v>
      </c>
      <c r="D186" s="12"/>
      <c r="E186" s="13" t="s">
        <v>1240</v>
      </c>
      <c r="F186" s="43" t="s">
        <v>278</v>
      </c>
      <c r="G186" s="6" t="str">
        <f ca="1">IFERROR(__xludf.DUMMYFUNCTION("CONCATENATE(B186,(VLOOKUP(C186,CATALOGOS!$F$2:$H$6,3,FALSE)),(VLOOKUP(T186,CATALOGOS!$J$2:$K$18,2,FALSE)),""-"",TO_TEXT(A186))"),"P05RH-0185")</f>
        <v>P05RH-0185</v>
      </c>
      <c r="H186" s="6" t="s">
        <v>1374</v>
      </c>
      <c r="I186" s="6" t="s">
        <v>1375</v>
      </c>
      <c r="J186" s="6" t="s">
        <v>1376</v>
      </c>
      <c r="K186" s="6" t="s">
        <v>1377</v>
      </c>
      <c r="L186" s="17"/>
      <c r="M186" s="17"/>
      <c r="N186" s="17" t="str">
        <f t="shared" si="1"/>
        <v>OK</v>
      </c>
      <c r="O186" s="17" t="s">
        <v>35</v>
      </c>
      <c r="P186" s="6" t="s">
        <v>35</v>
      </c>
      <c r="Q186" s="17" t="s">
        <v>36</v>
      </c>
      <c r="R186" s="17" t="s">
        <v>1378</v>
      </c>
      <c r="S186" s="173" t="s">
        <v>38</v>
      </c>
      <c r="T186" s="11" t="s">
        <v>723</v>
      </c>
      <c r="U186" s="20" t="s">
        <v>1350</v>
      </c>
      <c r="V186" s="20" t="s">
        <v>1350</v>
      </c>
      <c r="W186" s="20"/>
      <c r="X186" s="7"/>
      <c r="Y186" s="7"/>
      <c r="Z186" s="23"/>
      <c r="AA186" s="26"/>
    </row>
    <row r="187" spans="1:28" ht="15.75" customHeight="1">
      <c r="A187" s="10" t="s">
        <v>1379</v>
      </c>
      <c r="B187" s="10" t="s">
        <v>27</v>
      </c>
      <c r="C187" s="11" t="s">
        <v>28</v>
      </c>
      <c r="D187" s="12"/>
      <c r="E187" s="13" t="s">
        <v>93</v>
      </c>
      <c r="F187" s="6" t="s">
        <v>1380</v>
      </c>
      <c r="G187" s="6" t="str">
        <f ca="1">IFERROR(__xludf.DUMMYFUNCTION("CONCATENATE(B187,(VLOOKUP(C187,CATALOGOS!$F$2:$H$6,3,FALSE)),(VLOOKUP(T187,CATALOGOS!$J$2:$K$18,2,FALSE)),""-"",TO_TEXT(A187))"),"P05RH-0186")</f>
        <v>P05RH-0186</v>
      </c>
      <c r="H187" s="6" t="s">
        <v>1381</v>
      </c>
      <c r="I187" s="6" t="s">
        <v>1382</v>
      </c>
      <c r="J187" s="6" t="s">
        <v>1383</v>
      </c>
      <c r="K187" s="6" t="s">
        <v>1384</v>
      </c>
      <c r="L187" s="17"/>
      <c r="M187" s="17"/>
      <c r="N187" s="17" t="str">
        <f t="shared" si="1"/>
        <v>OK</v>
      </c>
      <c r="O187" s="17" t="s">
        <v>35</v>
      </c>
      <c r="P187" s="6" t="s">
        <v>35</v>
      </c>
      <c r="Q187" s="17" t="s">
        <v>36</v>
      </c>
      <c r="R187" s="17" t="s">
        <v>1385</v>
      </c>
      <c r="S187" s="173" t="s">
        <v>38</v>
      </c>
      <c r="T187" s="11" t="s">
        <v>723</v>
      </c>
      <c r="U187" s="22" t="s">
        <v>1386</v>
      </c>
      <c r="V187" s="22" t="s">
        <v>1386</v>
      </c>
      <c r="W187" s="22"/>
      <c r="X187" s="7"/>
      <c r="Y187" s="7"/>
      <c r="Z187" s="23"/>
      <c r="AA187" s="26"/>
    </row>
    <row r="188" spans="1:28" ht="15.75" customHeight="1">
      <c r="A188" s="10" t="s">
        <v>1387</v>
      </c>
      <c r="B188" s="10" t="s">
        <v>27</v>
      </c>
      <c r="C188" s="11" t="s">
        <v>28</v>
      </c>
      <c r="D188" s="12"/>
      <c r="E188" s="13" t="s">
        <v>116</v>
      </c>
      <c r="F188" s="6" t="s">
        <v>364</v>
      </c>
      <c r="G188" s="217" t="str">
        <f ca="1">IFERROR(__xludf.DUMMYFUNCTION("CONCATENATE(B188,(VLOOKUP(C188,CATALOGOS!$F$2:$H$6,3,FALSE)),(VLOOKUP(T188,CATALOGOS!$J$2:$K$18,2,FALSE)),""-"",TO_TEXT(A188))"),"P05RH-0187")</f>
        <v>P05RH-0187</v>
      </c>
      <c r="H188" s="6" t="s">
        <v>1388</v>
      </c>
      <c r="I188" s="6" t="s">
        <v>1389</v>
      </c>
      <c r="J188" s="6" t="s">
        <v>1390</v>
      </c>
      <c r="K188" s="6" t="s">
        <v>1391</v>
      </c>
      <c r="L188" s="17"/>
      <c r="M188" s="17"/>
      <c r="N188" s="17" t="str">
        <f t="shared" si="1"/>
        <v>OK</v>
      </c>
      <c r="O188" s="17" t="s">
        <v>35</v>
      </c>
      <c r="P188" s="6" t="s">
        <v>35</v>
      </c>
      <c r="Q188" s="17" t="s">
        <v>36</v>
      </c>
      <c r="R188" s="17" t="s">
        <v>1392</v>
      </c>
      <c r="S188" s="173" t="s">
        <v>38</v>
      </c>
      <c r="T188" s="11" t="s">
        <v>723</v>
      </c>
      <c r="U188" s="22" t="s">
        <v>1386</v>
      </c>
      <c r="V188" s="22" t="s">
        <v>1386</v>
      </c>
      <c r="W188" s="22"/>
      <c r="X188" s="7"/>
      <c r="Y188" s="7"/>
      <c r="Z188" s="23"/>
      <c r="AA188" s="26"/>
    </row>
    <row r="189" spans="1:28" ht="15.75" customHeight="1">
      <c r="A189" s="10" t="s">
        <v>1393</v>
      </c>
      <c r="B189" s="10" t="s">
        <v>27</v>
      </c>
      <c r="C189" s="11" t="s">
        <v>28</v>
      </c>
      <c r="D189" s="12"/>
      <c r="E189" s="13" t="s">
        <v>199</v>
      </c>
      <c r="F189" s="43" t="s">
        <v>1394</v>
      </c>
      <c r="G189" s="6" t="str">
        <f ca="1">IFERROR(__xludf.DUMMYFUNCTION("CONCATENATE(B189,(VLOOKUP(C189,CATALOGOS!$F$2:$H$6,3,FALSE)),(VLOOKUP(T189,CATALOGOS!$J$2:$K$18,2,FALSE)),""-"",TO_TEXT(A189))"),"P05RH-0188")</f>
        <v>P05RH-0188</v>
      </c>
      <c r="H189" s="6" t="s">
        <v>1395</v>
      </c>
      <c r="I189" s="6" t="s">
        <v>1396</v>
      </c>
      <c r="J189" s="6" t="s">
        <v>1397</v>
      </c>
      <c r="K189" s="43" t="s">
        <v>1398</v>
      </c>
      <c r="L189" s="17"/>
      <c r="M189" s="17"/>
      <c r="N189" s="17" t="str">
        <f t="shared" si="1"/>
        <v>OK</v>
      </c>
      <c r="O189" s="17" t="s">
        <v>297</v>
      </c>
      <c r="P189" s="6" t="s">
        <v>1399</v>
      </c>
      <c r="Q189" s="17" t="s">
        <v>1400</v>
      </c>
      <c r="R189" s="17" t="s">
        <v>1401</v>
      </c>
      <c r="S189" s="173" t="s">
        <v>517</v>
      </c>
      <c r="T189" s="11" t="s">
        <v>723</v>
      </c>
      <c r="U189" s="22" t="s">
        <v>1386</v>
      </c>
      <c r="V189" s="22" t="s">
        <v>1386</v>
      </c>
      <c r="W189" s="22"/>
      <c r="X189" s="7"/>
      <c r="Y189" s="7"/>
      <c r="Z189" s="23"/>
      <c r="AA189" s="26"/>
    </row>
    <row r="190" spans="1:28" ht="15.75" customHeight="1">
      <c r="A190" s="10" t="s">
        <v>1402</v>
      </c>
      <c r="B190" s="10" t="s">
        <v>27</v>
      </c>
      <c r="C190" s="11" t="s">
        <v>28</v>
      </c>
      <c r="D190" s="12"/>
      <c r="E190" s="13" t="s">
        <v>151</v>
      </c>
      <c r="F190" s="6" t="s">
        <v>963</v>
      </c>
      <c r="G190" s="6" t="str">
        <f ca="1">IFERROR(__xludf.DUMMYFUNCTION("CONCATENATE(B190,(VLOOKUP(C190,CATALOGOS!$F$2:$H$6,3,FALSE)),(VLOOKUP(T190,CATALOGOS!$J$2:$K$18,2,FALSE)),""-"",TO_TEXT(A190))"),"P05RH-0189")</f>
        <v>P05RH-0189</v>
      </c>
      <c r="H190" s="6" t="s">
        <v>1403</v>
      </c>
      <c r="I190" s="6" t="s">
        <v>1404</v>
      </c>
      <c r="J190" s="6" t="s">
        <v>1405</v>
      </c>
      <c r="K190" s="6" t="s">
        <v>1406</v>
      </c>
      <c r="L190" s="17"/>
      <c r="M190" s="17"/>
      <c r="N190" s="17" t="str">
        <f t="shared" si="1"/>
        <v>OK</v>
      </c>
      <c r="O190" s="17" t="s">
        <v>297</v>
      </c>
      <c r="P190" s="6" t="s">
        <v>1407</v>
      </c>
      <c r="Q190" s="17" t="s">
        <v>1408</v>
      </c>
      <c r="R190" s="17" t="s">
        <v>1409</v>
      </c>
      <c r="S190" s="173" t="s">
        <v>517</v>
      </c>
      <c r="T190" s="11" t="s">
        <v>723</v>
      </c>
      <c r="U190" s="22" t="s">
        <v>1386</v>
      </c>
      <c r="V190" s="22" t="s">
        <v>1386</v>
      </c>
      <c r="W190" s="22"/>
      <c r="X190" s="7"/>
      <c r="Y190" s="7"/>
      <c r="Z190" s="23"/>
      <c r="AA190" s="26"/>
    </row>
    <row r="191" spans="1:28" ht="15.75" customHeight="1">
      <c r="A191" s="10" t="s">
        <v>1410</v>
      </c>
      <c r="B191" s="10" t="s">
        <v>27</v>
      </c>
      <c r="C191" s="11" t="s">
        <v>28</v>
      </c>
      <c r="D191" s="12"/>
      <c r="E191" s="13" t="s">
        <v>353</v>
      </c>
      <c r="F191" s="6" t="s">
        <v>638</v>
      </c>
      <c r="G191" s="6" t="str">
        <f ca="1">IFERROR(__xludf.DUMMYFUNCTION("CONCATENATE(B191,(VLOOKUP(C191,CATALOGOS!$F$2:$H$6,3,FALSE)),(VLOOKUP(T191,CATALOGOS!$J$2:$K$18,2,FALSE)),""-"",TO_TEXT(A191))"),"P05RH-0190")</f>
        <v>P05RH-0190</v>
      </c>
      <c r="H191" s="6" t="s">
        <v>1411</v>
      </c>
      <c r="I191" s="6" t="s">
        <v>1412</v>
      </c>
      <c r="J191" s="36"/>
      <c r="K191" s="6" t="s">
        <v>1413</v>
      </c>
      <c r="L191" s="17"/>
      <c r="M191" s="17"/>
      <c r="N191" s="17" t="str">
        <f t="shared" si="1"/>
        <v>OK</v>
      </c>
      <c r="O191" s="17" t="s">
        <v>359</v>
      </c>
      <c r="P191" s="6" t="s">
        <v>1414</v>
      </c>
      <c r="Q191" s="6">
        <v>161139013</v>
      </c>
      <c r="R191" s="10" t="s">
        <v>1415</v>
      </c>
      <c r="S191" s="173" t="s">
        <v>38</v>
      </c>
      <c r="T191" s="11" t="s">
        <v>723</v>
      </c>
      <c r="U191" s="22" t="s">
        <v>1386</v>
      </c>
      <c r="V191" s="22" t="s">
        <v>1386</v>
      </c>
      <c r="W191" s="22"/>
      <c r="X191" s="7"/>
      <c r="Y191" s="7"/>
      <c r="Z191" s="23"/>
      <c r="AA191" s="26"/>
    </row>
    <row r="192" spans="1:28" ht="15.75" customHeight="1">
      <c r="A192" s="10" t="s">
        <v>1416</v>
      </c>
      <c r="B192" s="10" t="s">
        <v>27</v>
      </c>
      <c r="C192" s="11" t="s">
        <v>28</v>
      </c>
      <c r="D192" s="38"/>
      <c r="E192" s="13" t="s">
        <v>378</v>
      </c>
      <c r="F192" s="6" t="s">
        <v>1006</v>
      </c>
      <c r="G192" s="6" t="str">
        <f ca="1">IFERROR(__xludf.DUMMYFUNCTION("CONCATENATE(B192,(VLOOKUP(C192,CATALOGOS!$F$2:$H$6,3,FALSE)),(VLOOKUP(T192,CATALOGOS!$J$2:$K$18,2,FALSE)),""-"",TO_TEXT(A192))"),"P05RH-0191")</f>
        <v>P05RH-0191</v>
      </c>
      <c r="H192" s="6" t="s">
        <v>1417</v>
      </c>
      <c r="I192" s="6" t="s">
        <v>1418</v>
      </c>
      <c r="J192" s="6" t="s">
        <v>1419</v>
      </c>
      <c r="K192" s="43" t="s">
        <v>1420</v>
      </c>
      <c r="L192" s="17"/>
      <c r="M192" s="17"/>
      <c r="N192" s="17" t="str">
        <f t="shared" si="1"/>
        <v>OK</v>
      </c>
      <c r="O192" s="17" t="s">
        <v>35</v>
      </c>
      <c r="P192" s="6" t="s">
        <v>35</v>
      </c>
      <c r="Q192" s="46" t="s">
        <v>36</v>
      </c>
      <c r="R192" s="17" t="s">
        <v>1421</v>
      </c>
      <c r="S192" s="179" t="s">
        <v>517</v>
      </c>
      <c r="T192" s="11" t="s">
        <v>723</v>
      </c>
      <c r="U192" s="22" t="s">
        <v>1386</v>
      </c>
      <c r="V192" s="22" t="s">
        <v>1386</v>
      </c>
      <c r="W192" s="22"/>
      <c r="X192" s="7"/>
      <c r="Y192" s="7"/>
      <c r="Z192" s="26"/>
      <c r="AA192" s="26"/>
    </row>
    <row r="193" spans="1:27" ht="15.75" customHeight="1">
      <c r="A193" s="10" t="s">
        <v>1422</v>
      </c>
      <c r="B193" s="10" t="s">
        <v>27</v>
      </c>
      <c r="C193" s="11" t="s">
        <v>28</v>
      </c>
      <c r="D193" s="12"/>
      <c r="E193" s="13" t="s">
        <v>116</v>
      </c>
      <c r="F193" s="6" t="s">
        <v>364</v>
      </c>
      <c r="G193" s="6" t="str">
        <f ca="1">IFERROR(__xludf.DUMMYFUNCTION("CONCATENATE(B193,(VLOOKUP(C193,CATALOGOS!$F$2:$H$6,3,FALSE)),(VLOOKUP(T193,CATALOGOS!$J$2:$K$18,2,FALSE)),""-"",TO_TEXT(A193))"),"P05RH-0192")</f>
        <v>P05RH-0192</v>
      </c>
      <c r="H193" s="6" t="s">
        <v>1423</v>
      </c>
      <c r="I193" s="6" t="s">
        <v>1424</v>
      </c>
      <c r="J193" s="6" t="s">
        <v>1425</v>
      </c>
      <c r="K193" s="6" t="s">
        <v>141</v>
      </c>
      <c r="L193" s="17"/>
      <c r="M193" s="17"/>
      <c r="N193" s="17" t="str">
        <f t="shared" si="1"/>
        <v>REPETIDO</v>
      </c>
      <c r="O193" s="17" t="s">
        <v>35</v>
      </c>
      <c r="P193" s="6" t="s">
        <v>35</v>
      </c>
      <c r="Q193" s="17" t="s">
        <v>36</v>
      </c>
      <c r="R193" s="17" t="s">
        <v>1426</v>
      </c>
      <c r="S193" s="173" t="s">
        <v>38</v>
      </c>
      <c r="T193" s="11" t="s">
        <v>723</v>
      </c>
      <c r="U193" s="20" t="s">
        <v>1427</v>
      </c>
      <c r="V193" s="20" t="s">
        <v>1427</v>
      </c>
      <c r="W193" s="20"/>
      <c r="X193" s="7"/>
      <c r="Y193" s="7"/>
      <c r="Z193" s="23"/>
      <c r="AA193" s="26"/>
    </row>
    <row r="194" spans="1:27" ht="15.75" customHeight="1">
      <c r="A194" s="10" t="s">
        <v>1428</v>
      </c>
      <c r="B194" s="10" t="s">
        <v>27</v>
      </c>
      <c r="C194" s="11" t="s">
        <v>28</v>
      </c>
      <c r="D194" s="12"/>
      <c r="E194" s="13" t="s">
        <v>199</v>
      </c>
      <c r="F194" s="6" t="s">
        <v>677</v>
      </c>
      <c r="G194" s="6" t="str">
        <f ca="1">IFERROR(__xludf.DUMMYFUNCTION("CONCATENATE(B194,(VLOOKUP(C194,CATALOGOS!$F$2:$H$6,3,FALSE)),(VLOOKUP(T194,CATALOGOS!$J$2:$K$18,2,FALSE)),""-"",TO_TEXT(A194))"),"P05RH-0193")</f>
        <v>P05RH-0193</v>
      </c>
      <c r="H194" s="6" t="s">
        <v>1429</v>
      </c>
      <c r="I194" s="6" t="s">
        <v>1430</v>
      </c>
      <c r="J194" s="6" t="s">
        <v>1431</v>
      </c>
      <c r="K194" s="6" t="s">
        <v>141</v>
      </c>
      <c r="L194" s="17"/>
      <c r="M194" s="17"/>
      <c r="N194" s="17" t="str">
        <f t="shared" si="1"/>
        <v>REPETIDO</v>
      </c>
      <c r="O194" s="17" t="s">
        <v>682</v>
      </c>
      <c r="P194" s="6" t="s">
        <v>1432</v>
      </c>
      <c r="Q194" s="17" t="s">
        <v>1433</v>
      </c>
      <c r="R194" s="10" t="s">
        <v>1434</v>
      </c>
      <c r="S194" s="173" t="s">
        <v>38</v>
      </c>
      <c r="T194" s="11" t="s">
        <v>723</v>
      </c>
      <c r="U194" s="186" t="s">
        <v>9268</v>
      </c>
      <c r="V194" s="20" t="s">
        <v>1185</v>
      </c>
      <c r="W194" s="20"/>
      <c r="X194" s="7"/>
      <c r="Y194" s="7"/>
      <c r="Z194" s="23"/>
      <c r="AA194" s="26"/>
    </row>
    <row r="195" spans="1:27" ht="15.75" customHeight="1">
      <c r="A195" s="10" t="s">
        <v>1435</v>
      </c>
      <c r="B195" s="10" t="s">
        <v>27</v>
      </c>
      <c r="C195" s="11" t="s">
        <v>28</v>
      </c>
      <c r="D195" s="12"/>
      <c r="E195" s="13" t="s">
        <v>248</v>
      </c>
      <c r="F195" s="6" t="s">
        <v>248</v>
      </c>
      <c r="G195" s="6" t="str">
        <f ca="1">IFERROR(__xludf.DUMMYFUNCTION("CONCATENATE(B195,(VLOOKUP(C195,CATALOGOS!$F$2:$H$6,3,FALSE)),(VLOOKUP(T195,CATALOGOS!$J$2:$K$18,2,FALSE)),""-"",TO_TEXT(A195))"),"P05RH-0194")</f>
        <v>P05RH-0194</v>
      </c>
      <c r="H195" s="6" t="s">
        <v>1436</v>
      </c>
      <c r="I195" s="6" t="s">
        <v>1437</v>
      </c>
      <c r="J195" s="6" t="s">
        <v>1438</v>
      </c>
      <c r="K195" s="6" t="s">
        <v>1439</v>
      </c>
      <c r="L195" s="17"/>
      <c r="M195" s="17"/>
      <c r="N195" s="17" t="str">
        <f t="shared" si="1"/>
        <v>OK</v>
      </c>
      <c r="O195" s="17" t="s">
        <v>303</v>
      </c>
      <c r="P195" s="6" t="s">
        <v>304</v>
      </c>
      <c r="Q195" s="17" t="s">
        <v>1440</v>
      </c>
      <c r="R195" s="10" t="s">
        <v>1441</v>
      </c>
      <c r="S195" s="173" t="s">
        <v>38</v>
      </c>
      <c r="T195" s="11" t="s">
        <v>723</v>
      </c>
      <c r="U195" s="20" t="s">
        <v>1185</v>
      </c>
      <c r="V195" s="20" t="s">
        <v>1185</v>
      </c>
      <c r="W195" s="20"/>
      <c r="X195" s="7"/>
      <c r="Y195" s="7"/>
      <c r="Z195" s="23"/>
      <c r="AA195" s="26"/>
    </row>
    <row r="196" spans="1:27" ht="15.75" customHeight="1">
      <c r="A196" s="10" t="s">
        <v>1442</v>
      </c>
      <c r="B196" s="10" t="s">
        <v>27</v>
      </c>
      <c r="C196" s="11" t="s">
        <v>28</v>
      </c>
      <c r="D196" s="12"/>
      <c r="E196" s="13" t="s">
        <v>116</v>
      </c>
      <c r="F196" s="6" t="s">
        <v>1443</v>
      </c>
      <c r="G196" s="6" t="str">
        <f ca="1">IFERROR(__xludf.DUMMYFUNCTION("CONCATENATE(B196,(VLOOKUP(C196,CATALOGOS!$F$2:$H$6,3,FALSE)),(VLOOKUP(T196,CATALOGOS!$J$2:$K$18,2,FALSE)),""-"",TO_TEXT(A196))"),"P05RH-0195")</f>
        <v>P05RH-0195</v>
      </c>
      <c r="H196" s="6" t="s">
        <v>1444</v>
      </c>
      <c r="I196" s="6" t="s">
        <v>1445</v>
      </c>
      <c r="J196" s="6" t="s">
        <v>1446</v>
      </c>
      <c r="K196" s="6" t="s">
        <v>1447</v>
      </c>
      <c r="L196" s="17"/>
      <c r="M196" s="17"/>
      <c r="N196" s="17" t="str">
        <f t="shared" si="1"/>
        <v>OK</v>
      </c>
      <c r="O196" s="17" t="s">
        <v>35</v>
      </c>
      <c r="P196" s="6" t="s">
        <v>35</v>
      </c>
      <c r="Q196" s="17" t="s">
        <v>36</v>
      </c>
      <c r="R196" s="17" t="s">
        <v>1448</v>
      </c>
      <c r="S196" s="173" t="s">
        <v>38</v>
      </c>
      <c r="T196" s="11" t="s">
        <v>723</v>
      </c>
      <c r="U196" s="20" t="s">
        <v>1185</v>
      </c>
      <c r="V196" s="20" t="s">
        <v>1185</v>
      </c>
      <c r="W196" s="20"/>
      <c r="X196" s="7"/>
      <c r="Y196" s="7"/>
      <c r="Z196" s="23"/>
      <c r="AA196" s="26"/>
    </row>
    <row r="197" spans="1:27" ht="15.75" customHeight="1">
      <c r="A197" s="10" t="s">
        <v>1449</v>
      </c>
      <c r="B197" s="10" t="s">
        <v>27</v>
      </c>
      <c r="C197" s="11" t="s">
        <v>28</v>
      </c>
      <c r="D197" s="12"/>
      <c r="E197" s="13" t="s">
        <v>378</v>
      </c>
      <c r="F197" s="6" t="s">
        <v>1450</v>
      </c>
      <c r="G197" s="6" t="str">
        <f ca="1">IFERROR(__xludf.DUMMYFUNCTION("CONCATENATE(B197,(VLOOKUP(C197,CATALOGOS!$F$2:$H$6,3,FALSE)),(VLOOKUP(T197,CATALOGOS!$J$2:$K$18,2,FALSE)),""-"",TO_TEXT(A197))"),"P05RH-0196")</f>
        <v>P05RH-0196</v>
      </c>
      <c r="H197" s="6" t="s">
        <v>1451</v>
      </c>
      <c r="I197" s="6" t="s">
        <v>1452</v>
      </c>
      <c r="J197" s="6" t="s">
        <v>1453</v>
      </c>
      <c r="K197" s="6" t="s">
        <v>1454</v>
      </c>
      <c r="L197" s="17"/>
      <c r="M197" s="17"/>
      <c r="N197" s="17" t="str">
        <f t="shared" si="1"/>
        <v>OK</v>
      </c>
      <c r="O197" s="17" t="s">
        <v>35</v>
      </c>
      <c r="P197" s="6" t="s">
        <v>35</v>
      </c>
      <c r="Q197" s="17" t="s">
        <v>36</v>
      </c>
      <c r="R197" s="17" t="s">
        <v>1455</v>
      </c>
      <c r="S197" s="173" t="s">
        <v>38</v>
      </c>
      <c r="T197" s="11" t="s">
        <v>723</v>
      </c>
      <c r="U197" s="20" t="s">
        <v>1185</v>
      </c>
      <c r="V197" s="20" t="s">
        <v>1185</v>
      </c>
      <c r="W197" s="20"/>
      <c r="X197" s="7"/>
      <c r="Y197" s="7"/>
      <c r="Z197" s="23"/>
      <c r="AA197" s="26"/>
    </row>
    <row r="198" spans="1:27" ht="15.75" customHeight="1">
      <c r="A198" s="10" t="s">
        <v>1456</v>
      </c>
      <c r="B198" s="10" t="s">
        <v>27</v>
      </c>
      <c r="C198" s="11" t="s">
        <v>28</v>
      </c>
      <c r="D198" s="12"/>
      <c r="E198" s="13" t="s">
        <v>378</v>
      </c>
      <c r="F198" s="6" t="s">
        <v>1306</v>
      </c>
      <c r="G198" s="6" t="str">
        <f ca="1">IFERROR(__xludf.DUMMYFUNCTION("CONCATENATE(B198,(VLOOKUP(C198,CATALOGOS!$F$2:$H$6,3,FALSE)),(VLOOKUP(T198,CATALOGOS!$J$2:$K$18,2,FALSE)),""-"",TO_TEXT(A198))"),"P05RH-0197")</f>
        <v>P05RH-0197</v>
      </c>
      <c r="H198" s="6" t="s">
        <v>1457</v>
      </c>
      <c r="I198" s="6" t="s">
        <v>1458</v>
      </c>
      <c r="J198" s="6" t="s">
        <v>1459</v>
      </c>
      <c r="K198" s="6" t="s">
        <v>1460</v>
      </c>
      <c r="L198" s="17"/>
      <c r="M198" s="17"/>
      <c r="N198" s="17" t="str">
        <f t="shared" si="1"/>
        <v>OK</v>
      </c>
      <c r="O198" s="17" t="s">
        <v>35</v>
      </c>
      <c r="P198" s="6" t="s">
        <v>35</v>
      </c>
      <c r="Q198" s="17" t="s">
        <v>36</v>
      </c>
      <c r="R198" s="17" t="s">
        <v>1461</v>
      </c>
      <c r="S198" s="173" t="s">
        <v>38</v>
      </c>
      <c r="T198" s="11" t="s">
        <v>723</v>
      </c>
      <c r="U198" s="22" t="s">
        <v>1462</v>
      </c>
      <c r="V198" s="22" t="s">
        <v>1462</v>
      </c>
      <c r="W198" s="22"/>
      <c r="X198" s="7"/>
      <c r="Y198" s="7"/>
      <c r="Z198" s="23"/>
      <c r="AA198" s="26"/>
    </row>
    <row r="199" spans="1:27" ht="15.75" customHeight="1">
      <c r="A199" s="10" t="s">
        <v>1463</v>
      </c>
      <c r="B199" s="10" t="s">
        <v>27</v>
      </c>
      <c r="C199" s="11" t="s">
        <v>28</v>
      </c>
      <c r="D199" s="38"/>
      <c r="E199" s="13" t="s">
        <v>378</v>
      </c>
      <c r="F199" s="6" t="s">
        <v>1464</v>
      </c>
      <c r="G199" s="6" t="str">
        <f ca="1">IFERROR(__xludf.DUMMYFUNCTION("CONCATENATE(B199,(VLOOKUP(C199,CATALOGOS!$F$2:$H$6,3,FALSE)),(VLOOKUP(T199,CATALOGOS!$J$2:$K$18,2,FALSE)),""-"",TO_TEXT(A199))"),"P05RM-0198")</f>
        <v>P05RM-0198</v>
      </c>
      <c r="H199" s="6" t="s">
        <v>1465</v>
      </c>
      <c r="I199" s="6" t="s">
        <v>1466</v>
      </c>
      <c r="J199" s="36"/>
      <c r="K199" s="6" t="s">
        <v>141</v>
      </c>
      <c r="L199" s="17"/>
      <c r="M199" s="17"/>
      <c r="N199" s="17" t="str">
        <f t="shared" si="1"/>
        <v>REPETIDO</v>
      </c>
      <c r="O199" s="17" t="s">
        <v>35</v>
      </c>
      <c r="P199" s="6" t="s">
        <v>35</v>
      </c>
      <c r="Q199" s="6" t="s">
        <v>36</v>
      </c>
      <c r="R199" s="32" t="s">
        <v>1467</v>
      </c>
      <c r="S199" s="173" t="s">
        <v>38</v>
      </c>
      <c r="T199" s="11" t="s">
        <v>147</v>
      </c>
      <c r="U199" s="20" t="s">
        <v>848</v>
      </c>
      <c r="V199" s="20" t="s">
        <v>848</v>
      </c>
      <c r="W199" s="20"/>
      <c r="X199" s="7"/>
      <c r="Y199" s="7"/>
      <c r="Z199" s="26"/>
      <c r="AA199" s="26"/>
    </row>
    <row r="200" spans="1:27" ht="15.75" customHeight="1">
      <c r="A200" s="10" t="s">
        <v>1468</v>
      </c>
      <c r="B200" s="10" t="s">
        <v>1469</v>
      </c>
      <c r="C200" s="60" t="s">
        <v>1470</v>
      </c>
      <c r="D200" s="38"/>
      <c r="E200" s="13" t="s">
        <v>29</v>
      </c>
      <c r="F200" s="6" t="s">
        <v>1471</v>
      </c>
      <c r="G200" s="6" t="str">
        <f ca="1">IFERROR(__xludf.DUMMYFUNCTION("CONCATENATE(B200,(VLOOKUP(C200,CATALOGOS!$F$2:$H$6,3,FALSE)),(VLOOKUP(T200,CATALOGOS!$J$2:$K$18,2,FALSE)),""-"",TO_TEXT(A200))"),"P12ST-0199")</f>
        <v>P12ST-0199</v>
      </c>
      <c r="H200" s="6" t="s">
        <v>1472</v>
      </c>
      <c r="I200" s="6" t="s">
        <v>1473</v>
      </c>
      <c r="J200" s="6" t="s">
        <v>1474</v>
      </c>
      <c r="K200" s="6" t="s">
        <v>1475</v>
      </c>
      <c r="L200" s="17"/>
      <c r="M200" s="17"/>
      <c r="N200" s="17" t="str">
        <f t="shared" si="1"/>
        <v>OK</v>
      </c>
      <c r="O200" s="17" t="s">
        <v>35</v>
      </c>
      <c r="P200" s="49" t="s">
        <v>35</v>
      </c>
      <c r="Q200" s="46" t="s">
        <v>36</v>
      </c>
      <c r="R200" s="17" t="s">
        <v>1476</v>
      </c>
      <c r="S200" s="173" t="s">
        <v>38</v>
      </c>
      <c r="T200" s="11" t="s">
        <v>1470</v>
      </c>
      <c r="U200" s="20" t="s">
        <v>1477</v>
      </c>
      <c r="V200" s="20" t="s">
        <v>1477</v>
      </c>
      <c r="W200" s="20"/>
      <c r="X200" s="6"/>
      <c r="Y200" s="6"/>
      <c r="Z200" s="26"/>
      <c r="AA200" s="24"/>
    </row>
    <row r="201" spans="1:27" ht="15.75" customHeight="1">
      <c r="A201" s="10" t="s">
        <v>1478</v>
      </c>
      <c r="B201" s="10" t="s">
        <v>1469</v>
      </c>
      <c r="C201" s="60" t="s">
        <v>1470</v>
      </c>
      <c r="D201" s="12"/>
      <c r="E201" s="13" t="s">
        <v>378</v>
      </c>
      <c r="F201" s="6" t="s">
        <v>878</v>
      </c>
      <c r="G201" s="6" t="str">
        <f ca="1">IFERROR(__xludf.DUMMYFUNCTION("CONCATENATE(B201,(VLOOKUP(C201,CATALOGOS!$F$2:$H$6,3,FALSE)),(VLOOKUP(T201,CATALOGOS!$J$2:$K$18,2,FALSE)),""-"",TO_TEXT(A201))"),"P12SI-0200")</f>
        <v>P12SI-0200</v>
      </c>
      <c r="H201" s="6" t="s">
        <v>1479</v>
      </c>
      <c r="I201" s="6" t="s">
        <v>1480</v>
      </c>
      <c r="J201" s="6" t="s">
        <v>1481</v>
      </c>
      <c r="K201" s="6" t="s">
        <v>1482</v>
      </c>
      <c r="L201" s="17"/>
      <c r="M201" s="17"/>
      <c r="N201" s="17" t="str">
        <f t="shared" si="1"/>
        <v>OK</v>
      </c>
      <c r="O201" s="17" t="s">
        <v>35</v>
      </c>
      <c r="P201" s="6" t="s">
        <v>35</v>
      </c>
      <c r="Q201" s="17" t="s">
        <v>36</v>
      </c>
      <c r="R201" s="17" t="s">
        <v>85</v>
      </c>
      <c r="S201" s="173" t="s">
        <v>38</v>
      </c>
      <c r="T201" s="181" t="s">
        <v>1483</v>
      </c>
      <c r="U201" s="20" t="s">
        <v>1484</v>
      </c>
      <c r="V201" s="20" t="s">
        <v>1484</v>
      </c>
      <c r="W201" s="20"/>
      <c r="X201" s="6"/>
      <c r="Y201" s="6"/>
      <c r="Z201" s="23"/>
      <c r="AA201" s="24"/>
    </row>
    <row r="202" spans="1:27" ht="15.75" customHeight="1">
      <c r="A202" s="10" t="s">
        <v>1485</v>
      </c>
      <c r="B202" s="10" t="s">
        <v>1469</v>
      </c>
      <c r="C202" s="60" t="s">
        <v>1470</v>
      </c>
      <c r="D202" s="12"/>
      <c r="E202" s="13" t="s">
        <v>53</v>
      </c>
      <c r="F202" s="6" t="s">
        <v>1486</v>
      </c>
      <c r="G202" s="6" t="str">
        <f ca="1">IFERROR(__xludf.DUMMYFUNCTION("CONCATENATE(B202,(VLOOKUP(C202,CATALOGOS!$F$2:$H$6,3,FALSE)),(VLOOKUP(T202,CATALOGOS!$J$2:$K$18,2,FALSE)),""-"",TO_TEXT(A202))"),"P12ST-0201")</f>
        <v>P12ST-0201</v>
      </c>
      <c r="H202" s="6" t="s">
        <v>1487</v>
      </c>
      <c r="I202" s="6" t="s">
        <v>1488</v>
      </c>
      <c r="J202" s="6" t="s">
        <v>1489</v>
      </c>
      <c r="K202" s="6" t="s">
        <v>1490</v>
      </c>
      <c r="L202" s="17"/>
      <c r="M202" s="17"/>
      <c r="N202" s="17" t="str">
        <f t="shared" si="1"/>
        <v>OK</v>
      </c>
      <c r="O202" s="17" t="s">
        <v>35</v>
      </c>
      <c r="P202" s="6" t="s">
        <v>35</v>
      </c>
      <c r="Q202" s="17" t="s">
        <v>36</v>
      </c>
      <c r="R202" s="17" t="s">
        <v>85</v>
      </c>
      <c r="S202" s="173" t="s">
        <v>38</v>
      </c>
      <c r="T202" s="11" t="s">
        <v>1470</v>
      </c>
      <c r="U202" s="20" t="s">
        <v>1477</v>
      </c>
      <c r="V202" s="20" t="s">
        <v>1477</v>
      </c>
      <c r="W202" s="20"/>
      <c r="X202" s="6"/>
      <c r="Y202" s="6"/>
      <c r="Z202" s="23"/>
      <c r="AA202" s="24"/>
    </row>
    <row r="203" spans="1:27" ht="15.75" customHeight="1">
      <c r="A203" s="10" t="s">
        <v>1491</v>
      </c>
      <c r="B203" s="10" t="s">
        <v>1469</v>
      </c>
      <c r="C203" s="60" t="s">
        <v>1470</v>
      </c>
      <c r="D203" s="12"/>
      <c r="E203" s="13" t="s">
        <v>43</v>
      </c>
      <c r="F203" s="6" t="s">
        <v>1492</v>
      </c>
      <c r="G203" s="6" t="str">
        <f ca="1">IFERROR(__xludf.DUMMYFUNCTION("CONCATENATE(B203,(VLOOKUP(C203,CATALOGOS!$F$2:$H$6,3,FALSE)),(VLOOKUP(T203,CATALOGOS!$J$2:$K$18,2,FALSE)),""-"",TO_TEXT(A203))"),"P12ST-0202")</f>
        <v>P12ST-0202</v>
      </c>
      <c r="H203" s="6" t="s">
        <v>1493</v>
      </c>
      <c r="I203" s="6" t="s">
        <v>1494</v>
      </c>
      <c r="J203" s="6" t="s">
        <v>1495</v>
      </c>
      <c r="K203" s="6" t="s">
        <v>1496</v>
      </c>
      <c r="L203" s="17"/>
      <c r="M203" s="17"/>
      <c r="N203" s="17" t="str">
        <f t="shared" si="1"/>
        <v>OK</v>
      </c>
      <c r="O203" s="17" t="s">
        <v>406</v>
      </c>
      <c r="P203" s="6" t="s">
        <v>407</v>
      </c>
      <c r="Q203" s="17" t="s">
        <v>36</v>
      </c>
      <c r="R203" s="17" t="s">
        <v>1497</v>
      </c>
      <c r="S203" s="173" t="s">
        <v>38</v>
      </c>
      <c r="T203" s="11" t="s">
        <v>1470</v>
      </c>
      <c r="U203" s="20" t="s">
        <v>1477</v>
      </c>
      <c r="V203" s="20" t="s">
        <v>1477</v>
      </c>
      <c r="W203" s="20"/>
      <c r="X203" s="7"/>
      <c r="Y203" s="7"/>
      <c r="Z203" s="23"/>
      <c r="AA203" s="26"/>
    </row>
    <row r="204" spans="1:27" ht="15.75" customHeight="1">
      <c r="A204" s="10" t="s">
        <v>1498</v>
      </c>
      <c r="B204" s="10" t="s">
        <v>1469</v>
      </c>
      <c r="C204" s="60" t="s">
        <v>1470</v>
      </c>
      <c r="D204" s="12"/>
      <c r="E204" s="13" t="s">
        <v>116</v>
      </c>
      <c r="F204" s="6" t="s">
        <v>129</v>
      </c>
      <c r="G204" s="6" t="str">
        <f ca="1">IFERROR(__xludf.DUMMYFUNCTION("CONCATENATE(B204,(VLOOKUP(C204,CATALOGOS!$F$2:$H$6,3,FALSE)),(VLOOKUP(T204,CATALOGOS!$J$2:$K$18,2,FALSE)),""-"",TO_TEXT(A204))"),"P12ST-0203")</f>
        <v>P12ST-0203</v>
      </c>
      <c r="H204" s="6" t="s">
        <v>1499</v>
      </c>
      <c r="I204" s="6" t="s">
        <v>1500</v>
      </c>
      <c r="J204" s="6" t="s">
        <v>1501</v>
      </c>
      <c r="K204" s="6" t="s">
        <v>1502</v>
      </c>
      <c r="L204" s="17"/>
      <c r="M204" s="17"/>
      <c r="N204" s="17" t="str">
        <f t="shared" si="1"/>
        <v>OK</v>
      </c>
      <c r="O204" s="17" t="s">
        <v>35</v>
      </c>
      <c r="P204" s="6" t="s">
        <v>35</v>
      </c>
      <c r="Q204" s="17" t="s">
        <v>36</v>
      </c>
      <c r="R204" s="17" t="s">
        <v>1503</v>
      </c>
      <c r="S204" s="173" t="s">
        <v>38</v>
      </c>
      <c r="T204" s="11" t="s">
        <v>1470</v>
      </c>
      <c r="U204" s="20" t="s">
        <v>1477</v>
      </c>
      <c r="V204" s="20" t="s">
        <v>1477</v>
      </c>
      <c r="W204" s="20"/>
      <c r="X204" s="7"/>
      <c r="Y204" s="7"/>
      <c r="Z204" s="23"/>
      <c r="AA204" s="26"/>
    </row>
    <row r="205" spans="1:27" ht="15.75" customHeight="1">
      <c r="A205" s="10" t="s">
        <v>1504</v>
      </c>
      <c r="B205" s="10" t="s">
        <v>1469</v>
      </c>
      <c r="C205" s="60" t="s">
        <v>1470</v>
      </c>
      <c r="D205" s="12"/>
      <c r="E205" s="13" t="s">
        <v>71</v>
      </c>
      <c r="F205" s="6" t="s">
        <v>72</v>
      </c>
      <c r="G205" s="6" t="str">
        <f ca="1">IFERROR(__xludf.DUMMYFUNCTION("CONCATENATE(B205,(VLOOKUP(C205,CATALOGOS!$F$2:$H$6,3,FALSE)),(VLOOKUP(T205,CATALOGOS!$J$2:$K$18,2,FALSE)),""-"",TO_TEXT(A205))"),"P12ST-0204")</f>
        <v>P12ST-0204</v>
      </c>
      <c r="H205" s="6" t="s">
        <v>1505</v>
      </c>
      <c r="I205" s="62"/>
      <c r="J205" s="6" t="s">
        <v>1506</v>
      </c>
      <c r="K205" s="6" t="s">
        <v>1507</v>
      </c>
      <c r="L205" s="17"/>
      <c r="M205" s="17"/>
      <c r="N205" s="17" t="str">
        <f t="shared" si="1"/>
        <v>OK</v>
      </c>
      <c r="O205" s="17" t="s">
        <v>35</v>
      </c>
      <c r="P205" s="6" t="s">
        <v>35</v>
      </c>
      <c r="Q205" s="17" t="s">
        <v>36</v>
      </c>
      <c r="R205" s="17" t="s">
        <v>1508</v>
      </c>
      <c r="S205" s="173" t="s">
        <v>38</v>
      </c>
      <c r="T205" s="11" t="s">
        <v>1470</v>
      </c>
      <c r="U205" s="20" t="s">
        <v>1477</v>
      </c>
      <c r="V205" s="20" t="s">
        <v>1477</v>
      </c>
      <c r="W205" s="20"/>
      <c r="X205" s="6"/>
      <c r="Y205" s="6"/>
      <c r="Z205" s="23"/>
      <c r="AA205" s="33"/>
    </row>
    <row r="206" spans="1:27" ht="15.75" customHeight="1">
      <c r="A206" s="10" t="s">
        <v>1509</v>
      </c>
      <c r="B206" s="10" t="s">
        <v>1469</v>
      </c>
      <c r="C206" s="60" t="s">
        <v>1470</v>
      </c>
      <c r="D206" s="12"/>
      <c r="E206" s="13" t="s">
        <v>116</v>
      </c>
      <c r="F206" s="6" t="s">
        <v>1510</v>
      </c>
      <c r="G206" s="6" t="str">
        <f ca="1">IFERROR(__xludf.DUMMYFUNCTION("CONCATENATE(B206,(VLOOKUP(C206,CATALOGOS!$F$2:$H$6,3,FALSE)),(VLOOKUP(T206,CATALOGOS!$J$2:$K$18,2,FALSE)),""-"",TO_TEXT(A206))"),"P12ST-0205")</f>
        <v>P12ST-0205</v>
      </c>
      <c r="H206" s="6" t="s">
        <v>1511</v>
      </c>
      <c r="I206" s="62"/>
      <c r="J206" s="6" t="s">
        <v>1512</v>
      </c>
      <c r="K206" s="6" t="s">
        <v>1513</v>
      </c>
      <c r="L206" s="17"/>
      <c r="M206" s="17"/>
      <c r="N206" s="17" t="str">
        <f t="shared" si="1"/>
        <v>OK</v>
      </c>
      <c r="O206" s="17" t="s">
        <v>35</v>
      </c>
      <c r="P206" s="6" t="s">
        <v>35</v>
      </c>
      <c r="Q206" s="17" t="s">
        <v>36</v>
      </c>
      <c r="R206" s="17" t="s">
        <v>1514</v>
      </c>
      <c r="S206" s="173" t="s">
        <v>38</v>
      </c>
      <c r="T206" s="11" t="s">
        <v>1470</v>
      </c>
      <c r="U206" s="20" t="s">
        <v>1477</v>
      </c>
      <c r="V206" s="20" t="s">
        <v>1477</v>
      </c>
      <c r="W206" s="20"/>
      <c r="X206" s="6"/>
      <c r="Y206" s="6"/>
      <c r="Z206" s="23"/>
      <c r="AA206" s="33"/>
    </row>
    <row r="207" spans="1:27" ht="15.75" customHeight="1">
      <c r="A207" s="10" t="s">
        <v>1515</v>
      </c>
      <c r="B207" s="10" t="s">
        <v>1469</v>
      </c>
      <c r="C207" s="60" t="s">
        <v>1470</v>
      </c>
      <c r="D207" s="12"/>
      <c r="E207" s="13" t="s">
        <v>116</v>
      </c>
      <c r="F207" s="6" t="s">
        <v>117</v>
      </c>
      <c r="G207" s="6" t="str">
        <f ca="1">IFERROR(__xludf.DUMMYFUNCTION("CONCATENATE(B207,(VLOOKUP(C207,CATALOGOS!$F$2:$H$6,3,FALSE)),(VLOOKUP(T207,CATALOGOS!$J$2:$K$18,2,FALSE)),""-"",TO_TEXT(A207))"),"P12ST-0206")</f>
        <v>P12ST-0206</v>
      </c>
      <c r="H207" s="6" t="s">
        <v>1516</v>
      </c>
      <c r="I207" s="62"/>
      <c r="J207" s="6" t="s">
        <v>1517</v>
      </c>
      <c r="K207" s="6" t="s">
        <v>1518</v>
      </c>
      <c r="L207" s="17"/>
      <c r="M207" s="17"/>
      <c r="N207" s="17" t="str">
        <f t="shared" si="1"/>
        <v>OK</v>
      </c>
      <c r="O207" s="17" t="s">
        <v>35</v>
      </c>
      <c r="P207" s="6" t="s">
        <v>35</v>
      </c>
      <c r="Q207" s="17" t="s">
        <v>36</v>
      </c>
      <c r="R207" s="17" t="s">
        <v>1519</v>
      </c>
      <c r="S207" s="173" t="s">
        <v>38</v>
      </c>
      <c r="T207" s="11" t="s">
        <v>1470</v>
      </c>
      <c r="U207" s="20" t="s">
        <v>1477</v>
      </c>
      <c r="V207" s="20" t="s">
        <v>1477</v>
      </c>
      <c r="W207" s="20"/>
      <c r="X207" s="6"/>
      <c r="Y207" s="6"/>
      <c r="Z207" s="23"/>
      <c r="AA207" s="33"/>
    </row>
    <row r="208" spans="1:27" ht="15.75" customHeight="1">
      <c r="A208" s="10" t="s">
        <v>1520</v>
      </c>
      <c r="B208" s="10" t="s">
        <v>1469</v>
      </c>
      <c r="C208" s="60" t="s">
        <v>1470</v>
      </c>
      <c r="D208" s="12"/>
      <c r="E208" s="13" t="s">
        <v>184</v>
      </c>
      <c r="F208" s="43" t="s">
        <v>1521</v>
      </c>
      <c r="G208" s="6" t="str">
        <f ca="1">IFERROR(__xludf.DUMMYFUNCTION("CONCATENATE(B208,(VLOOKUP(C208,CATALOGOS!$F$2:$H$6,3,FALSE)),(VLOOKUP(T208,CATALOGOS!$J$2:$K$18,2,FALSE)),""-"",TO_TEXT(A208))"),"P12ST-0207")</f>
        <v>P12ST-0207</v>
      </c>
      <c r="H208" s="6" t="s">
        <v>1522</v>
      </c>
      <c r="I208" s="6" t="s">
        <v>1523</v>
      </c>
      <c r="J208" s="6" t="s">
        <v>1524</v>
      </c>
      <c r="K208" s="6" t="s">
        <v>1525</v>
      </c>
      <c r="L208" s="17"/>
      <c r="M208" s="17"/>
      <c r="N208" s="17" t="str">
        <f t="shared" si="1"/>
        <v>OK</v>
      </c>
      <c r="O208" s="17" t="s">
        <v>35</v>
      </c>
      <c r="P208" s="6" t="s">
        <v>35</v>
      </c>
      <c r="Q208" s="17" t="s">
        <v>36</v>
      </c>
      <c r="R208" s="17" t="s">
        <v>1526</v>
      </c>
      <c r="S208" s="173" t="s">
        <v>38</v>
      </c>
      <c r="T208" s="11" t="s">
        <v>1470</v>
      </c>
      <c r="U208" s="20" t="s">
        <v>1477</v>
      </c>
      <c r="V208" s="20" t="s">
        <v>1477</v>
      </c>
      <c r="W208" s="20"/>
      <c r="X208" s="6"/>
      <c r="Y208" s="6"/>
      <c r="Z208" s="23"/>
      <c r="AA208" s="24"/>
    </row>
    <row r="209" spans="1:28" ht="15.75" customHeight="1">
      <c r="A209" s="10" t="s">
        <v>1527</v>
      </c>
      <c r="B209" s="10" t="s">
        <v>1469</v>
      </c>
      <c r="C209" s="60" t="s">
        <v>1470</v>
      </c>
      <c r="D209" s="12"/>
      <c r="E209" s="13" t="s">
        <v>199</v>
      </c>
      <c r="F209" s="6" t="s">
        <v>199</v>
      </c>
      <c r="G209" s="6" t="str">
        <f ca="1">IFERROR(__xludf.DUMMYFUNCTION("CONCATENATE(B209,(VLOOKUP(C209,CATALOGOS!$F$2:$H$6,3,FALSE)),(VLOOKUP(T209,CATALOGOS!$J$2:$K$18,2,FALSE)),""-"",TO_TEXT(A209))"),"P12ST-0208")</f>
        <v>P12ST-0208</v>
      </c>
      <c r="H209" s="6" t="s">
        <v>1528</v>
      </c>
      <c r="I209" s="6" t="s">
        <v>1529</v>
      </c>
      <c r="J209" s="6" t="s">
        <v>1530</v>
      </c>
      <c r="K209" s="6" t="s">
        <v>1531</v>
      </c>
      <c r="L209" s="17"/>
      <c r="M209" s="17"/>
      <c r="N209" s="17" t="str">
        <f t="shared" si="1"/>
        <v>OK</v>
      </c>
      <c r="O209" s="17" t="s">
        <v>205</v>
      </c>
      <c r="P209" s="6" t="s">
        <v>1532</v>
      </c>
      <c r="Q209" s="17" t="s">
        <v>1533</v>
      </c>
      <c r="R209" s="17" t="s">
        <v>1534</v>
      </c>
      <c r="S209" s="173" t="s">
        <v>38</v>
      </c>
      <c r="T209" s="11" t="s">
        <v>1470</v>
      </c>
      <c r="U209" s="20" t="s">
        <v>1477</v>
      </c>
      <c r="V209" s="20" t="s">
        <v>1477</v>
      </c>
      <c r="W209" s="20"/>
      <c r="X209" s="6"/>
      <c r="Y209" s="6"/>
      <c r="Z209" s="23"/>
      <c r="AA209" s="24"/>
    </row>
    <row r="210" spans="1:28" ht="15.75" customHeight="1">
      <c r="A210" s="10" t="s">
        <v>1535</v>
      </c>
      <c r="B210" s="10" t="s">
        <v>1469</v>
      </c>
      <c r="C210" s="60" t="s">
        <v>1470</v>
      </c>
      <c r="D210" s="12"/>
      <c r="E210" s="13" t="s">
        <v>151</v>
      </c>
      <c r="F210" s="6" t="s">
        <v>714</v>
      </c>
      <c r="G210" s="6" t="str">
        <f ca="1">IFERROR(__xludf.DUMMYFUNCTION("CONCATENATE(B210,(VLOOKUP(C210,CATALOGOS!$F$2:$H$6,3,FALSE)),(VLOOKUP(T210,CATALOGOS!$J$2:$K$18,2,FALSE)),""-"",TO_TEXT(A210))"),"P12ST-0209")</f>
        <v>P12ST-0209</v>
      </c>
      <c r="H210" s="6" t="s">
        <v>1536</v>
      </c>
      <c r="I210" s="6" t="s">
        <v>1537</v>
      </c>
      <c r="J210" s="6" t="s">
        <v>1538</v>
      </c>
      <c r="K210" s="6" t="s">
        <v>1539</v>
      </c>
      <c r="L210" s="17"/>
      <c r="M210" s="17"/>
      <c r="N210" s="17" t="str">
        <f t="shared" si="1"/>
        <v>OK</v>
      </c>
      <c r="O210" s="17" t="s">
        <v>719</v>
      </c>
      <c r="P210" s="6" t="s">
        <v>720</v>
      </c>
      <c r="Q210" s="17" t="s">
        <v>1540</v>
      </c>
      <c r="R210" s="17" t="s">
        <v>1541</v>
      </c>
      <c r="S210" s="173" t="s">
        <v>38</v>
      </c>
      <c r="T210" s="11" t="s">
        <v>1470</v>
      </c>
      <c r="U210" s="20" t="s">
        <v>1477</v>
      </c>
      <c r="V210" s="20" t="s">
        <v>1477</v>
      </c>
      <c r="W210" s="20"/>
      <c r="X210" s="6"/>
      <c r="Y210" s="6"/>
      <c r="Z210" s="23"/>
      <c r="AA210" s="24"/>
    </row>
    <row r="211" spans="1:28" ht="15.75" customHeight="1">
      <c r="A211" s="10" t="s">
        <v>1542</v>
      </c>
      <c r="B211" s="10" t="s">
        <v>1469</v>
      </c>
      <c r="C211" s="60" t="s">
        <v>1470</v>
      </c>
      <c r="D211" s="12"/>
      <c r="E211" s="13" t="s">
        <v>162</v>
      </c>
      <c r="F211" s="6" t="s">
        <v>285</v>
      </c>
      <c r="G211" s="6" t="str">
        <f ca="1">IFERROR(__xludf.DUMMYFUNCTION("CONCATENATE(B211,(VLOOKUP(C211,CATALOGOS!$F$2:$H$6,3,FALSE)),(VLOOKUP(T211,CATALOGOS!$J$2:$K$18,2,FALSE)),""-"",TO_TEXT(A211))"),"P12PP-0210")</f>
        <v>P12PP-0210</v>
      </c>
      <c r="H211" s="6" t="s">
        <v>1543</v>
      </c>
      <c r="I211" s="6" t="s">
        <v>1544</v>
      </c>
      <c r="J211" s="6" t="s">
        <v>1545</v>
      </c>
      <c r="K211" s="6" t="s">
        <v>141</v>
      </c>
      <c r="L211" s="17"/>
      <c r="M211" s="17"/>
      <c r="N211" s="17" t="str">
        <f t="shared" si="1"/>
        <v>REPETIDO</v>
      </c>
      <c r="O211" s="17" t="s">
        <v>663</v>
      </c>
      <c r="P211" s="6" t="s">
        <v>664</v>
      </c>
      <c r="Q211" s="17" t="s">
        <v>1546</v>
      </c>
      <c r="R211" s="17" t="s">
        <v>1547</v>
      </c>
      <c r="S211" s="173" t="s">
        <v>38</v>
      </c>
      <c r="T211" s="11" t="s">
        <v>1548</v>
      </c>
      <c r="U211" s="20" t="s">
        <v>1550</v>
      </c>
      <c r="V211" s="20" t="s">
        <v>1550</v>
      </c>
      <c r="W211" s="20"/>
      <c r="X211" s="6"/>
      <c r="Y211" s="6"/>
      <c r="Z211" s="23"/>
      <c r="AA211" s="24"/>
    </row>
    <row r="212" spans="1:28" ht="15.75" customHeight="1">
      <c r="A212" s="10" t="s">
        <v>1551</v>
      </c>
      <c r="B212" s="10" t="s">
        <v>1469</v>
      </c>
      <c r="C212" s="60" t="s">
        <v>1470</v>
      </c>
      <c r="D212" s="12"/>
      <c r="E212" s="13" t="s">
        <v>1275</v>
      </c>
      <c r="F212" s="43" t="s">
        <v>1552</v>
      </c>
      <c r="G212" s="6" t="str">
        <f ca="1">IFERROR(__xludf.DUMMYFUNCTION("CONCATENATE(B212,(VLOOKUP(C212,CATALOGOS!$F$2:$H$6,3,FALSE)),(VLOOKUP(T212,CATALOGOS!$J$2:$K$18,2,FALSE)),""-"",TO_TEXT(A212))"),"P12SI-0211")</f>
        <v>P12SI-0211</v>
      </c>
      <c r="H212" s="6" t="s">
        <v>1553</v>
      </c>
      <c r="I212" s="6" t="s">
        <v>1554</v>
      </c>
      <c r="J212" s="6" t="s">
        <v>1555</v>
      </c>
      <c r="K212" s="6" t="s">
        <v>1556</v>
      </c>
      <c r="L212" s="17"/>
      <c r="M212" s="17"/>
      <c r="N212" s="17" t="str">
        <f t="shared" si="1"/>
        <v>OK</v>
      </c>
      <c r="O212" s="17" t="s">
        <v>205</v>
      </c>
      <c r="P212" s="6" t="s">
        <v>1557</v>
      </c>
      <c r="Q212" s="17" t="s">
        <v>1558</v>
      </c>
      <c r="R212" s="17" t="s">
        <v>1559</v>
      </c>
      <c r="S212" s="173" t="s">
        <v>38</v>
      </c>
      <c r="T212" s="181" t="s">
        <v>1483</v>
      </c>
      <c r="U212" s="20" t="s">
        <v>1484</v>
      </c>
      <c r="V212" s="20" t="s">
        <v>1484</v>
      </c>
      <c r="W212" s="20"/>
      <c r="X212" s="7"/>
      <c r="Y212" s="7"/>
      <c r="Z212" s="23"/>
      <c r="AA212" s="26"/>
    </row>
    <row r="213" spans="1:28" ht="15.75" customHeight="1">
      <c r="A213" s="10" t="s">
        <v>1560</v>
      </c>
      <c r="B213" s="10" t="s">
        <v>1469</v>
      </c>
      <c r="C213" s="60" t="s">
        <v>1470</v>
      </c>
      <c r="D213" s="12"/>
      <c r="E213" s="13" t="s">
        <v>184</v>
      </c>
      <c r="F213" s="43" t="s">
        <v>1561</v>
      </c>
      <c r="G213" s="217" t="str">
        <f ca="1">IFERROR(__xludf.DUMMYFUNCTION("CONCATENATE(B213,(VLOOKUP(C213,CATALOGOS!$F$2:$H$6,3,FALSE)),(VLOOKUP(T213,CATALOGOS!$J$2:$K$18,2,FALSE)),""-"",TO_TEXT(A213))"),"P12ST-0212")</f>
        <v>P12ST-0212</v>
      </c>
      <c r="H213" s="6" t="s">
        <v>1562</v>
      </c>
      <c r="I213" s="6" t="s">
        <v>1563</v>
      </c>
      <c r="J213" s="6" t="s">
        <v>1564</v>
      </c>
      <c r="K213" s="6" t="s">
        <v>1565</v>
      </c>
      <c r="L213" s="17"/>
      <c r="M213" s="17"/>
      <c r="N213" s="17" t="str">
        <f t="shared" si="1"/>
        <v>OK</v>
      </c>
      <c r="O213" s="17" t="s">
        <v>35</v>
      </c>
      <c r="P213" s="6" t="s">
        <v>35</v>
      </c>
      <c r="Q213" s="17" t="s">
        <v>1558</v>
      </c>
      <c r="R213" s="17" t="s">
        <v>1566</v>
      </c>
      <c r="S213" s="173" t="s">
        <v>38</v>
      </c>
      <c r="T213" s="11" t="s">
        <v>1470</v>
      </c>
      <c r="U213" s="20" t="s">
        <v>1477</v>
      </c>
      <c r="V213" s="20" t="s">
        <v>1477</v>
      </c>
      <c r="W213" s="20"/>
      <c r="X213" s="7"/>
      <c r="Y213" s="7"/>
      <c r="Z213" s="23"/>
      <c r="AA213" s="26"/>
    </row>
    <row r="214" spans="1:28" ht="15.75" customHeight="1">
      <c r="A214" s="10" t="s">
        <v>1567</v>
      </c>
      <c r="B214" s="10" t="s">
        <v>1469</v>
      </c>
      <c r="C214" s="60" t="s">
        <v>1470</v>
      </c>
      <c r="D214" s="12"/>
      <c r="E214" s="13" t="s">
        <v>184</v>
      </c>
      <c r="F214" s="43" t="s">
        <v>1561</v>
      </c>
      <c r="G214" s="6" t="str">
        <f ca="1">IFERROR(__xludf.DUMMYFUNCTION("CONCATENATE(B214,(VLOOKUP(C214,CATALOGOS!$F$2:$H$6,3,FALSE)),(VLOOKUP(T214,CATALOGOS!$J$2:$K$18,2,FALSE)),""-"",TO_TEXT(A214))"),"P12ST-0213")</f>
        <v>P12ST-0213</v>
      </c>
      <c r="H214" s="6" t="s">
        <v>1568</v>
      </c>
      <c r="I214" s="6" t="s">
        <v>1569</v>
      </c>
      <c r="J214" s="6" t="s">
        <v>1570</v>
      </c>
      <c r="K214" s="6" t="s">
        <v>1571</v>
      </c>
      <c r="L214" s="17"/>
      <c r="M214" s="17"/>
      <c r="N214" s="17" t="str">
        <f t="shared" si="1"/>
        <v>OK</v>
      </c>
      <c r="O214" s="17" t="s">
        <v>35</v>
      </c>
      <c r="P214" s="6" t="s">
        <v>35</v>
      </c>
      <c r="Q214" s="17" t="s">
        <v>1558</v>
      </c>
      <c r="R214" s="17" t="s">
        <v>1572</v>
      </c>
      <c r="S214" s="173" t="s">
        <v>38</v>
      </c>
      <c r="T214" s="11" t="s">
        <v>1470</v>
      </c>
      <c r="U214" s="20" t="s">
        <v>1477</v>
      </c>
      <c r="V214" s="20" t="s">
        <v>1477</v>
      </c>
      <c r="W214" s="20"/>
      <c r="X214" s="7"/>
      <c r="Y214" s="7"/>
      <c r="Z214" s="23"/>
      <c r="AA214" s="26"/>
    </row>
    <row r="215" spans="1:28" ht="15.75" customHeight="1">
      <c r="A215" s="10" t="s">
        <v>1573</v>
      </c>
      <c r="B215" s="10" t="s">
        <v>1469</v>
      </c>
      <c r="C215" s="60" t="s">
        <v>1470</v>
      </c>
      <c r="D215" s="12"/>
      <c r="E215" s="13" t="s">
        <v>387</v>
      </c>
      <c r="F215" s="6" t="s">
        <v>387</v>
      </c>
      <c r="G215" s="6" t="str">
        <f ca="1">IFERROR(__xludf.DUMMYFUNCTION("CONCATENATE(B215,(VLOOKUP(C215,CATALOGOS!$F$2:$H$6,3,FALSE)),(VLOOKUP(T215,CATALOGOS!$J$2:$K$18,2,FALSE)),""-"",TO_TEXT(A215))"),"P12ST-0214")</f>
        <v>P12ST-0214</v>
      </c>
      <c r="H215" s="6" t="s">
        <v>1574</v>
      </c>
      <c r="I215" s="6" t="s">
        <v>1575</v>
      </c>
      <c r="J215" s="6" t="s">
        <v>1576</v>
      </c>
      <c r="K215" s="6" t="s">
        <v>141</v>
      </c>
      <c r="L215" s="17"/>
      <c r="M215" s="17"/>
      <c r="N215" s="17" t="str">
        <f t="shared" si="1"/>
        <v>REPETIDO</v>
      </c>
      <c r="O215" s="17" t="s">
        <v>390</v>
      </c>
      <c r="P215" s="6">
        <v>40514</v>
      </c>
      <c r="Q215" s="6" t="s">
        <v>1577</v>
      </c>
      <c r="R215" s="10" t="s">
        <v>85</v>
      </c>
      <c r="S215" s="173" t="s">
        <v>38</v>
      </c>
      <c r="T215" s="11" t="s">
        <v>1470</v>
      </c>
      <c r="U215" s="20" t="s">
        <v>1477</v>
      </c>
      <c r="V215" s="20" t="s">
        <v>1477</v>
      </c>
      <c r="W215" s="20"/>
      <c r="X215" s="7"/>
      <c r="Y215" s="7"/>
      <c r="Z215" s="23"/>
      <c r="AA215" s="26"/>
    </row>
    <row r="216" spans="1:28" ht="15.75" customHeight="1">
      <c r="A216" s="10" t="s">
        <v>1578</v>
      </c>
      <c r="B216" s="10" t="s">
        <v>1469</v>
      </c>
      <c r="C216" s="60" t="s">
        <v>1470</v>
      </c>
      <c r="D216" s="12"/>
      <c r="E216" s="13" t="s">
        <v>93</v>
      </c>
      <c r="F216" s="6" t="s">
        <v>1579</v>
      </c>
      <c r="G216" s="6" t="str">
        <f ca="1">IFERROR(__xludf.DUMMYFUNCTION("CONCATENATE(B216,(VLOOKUP(C216,CATALOGOS!$F$2:$H$6,3,FALSE)),(VLOOKUP(T216,CATALOGOS!$J$2:$K$18,2,FALSE)),""-"",TO_TEXT(A216))"),"P12ST-0215")</f>
        <v>P12ST-0215</v>
      </c>
      <c r="H216" s="6" t="s">
        <v>1580</v>
      </c>
      <c r="I216" s="6" t="s">
        <v>1581</v>
      </c>
      <c r="J216" s="6" t="s">
        <v>1582</v>
      </c>
      <c r="K216" s="6" t="s">
        <v>1583</v>
      </c>
      <c r="L216" s="17"/>
      <c r="M216" s="17"/>
      <c r="N216" s="17" t="str">
        <f t="shared" si="1"/>
        <v>OK</v>
      </c>
      <c r="O216" s="17" t="s">
        <v>35</v>
      </c>
      <c r="P216" s="6" t="s">
        <v>35</v>
      </c>
      <c r="Q216" s="17" t="s">
        <v>36</v>
      </c>
      <c r="R216" s="17" t="s">
        <v>85</v>
      </c>
      <c r="S216" s="173" t="s">
        <v>38</v>
      </c>
      <c r="T216" s="11" t="s">
        <v>1470</v>
      </c>
      <c r="U216" s="20" t="s">
        <v>1477</v>
      </c>
      <c r="V216" s="20" t="s">
        <v>1477</v>
      </c>
      <c r="W216" s="20"/>
      <c r="X216" s="7"/>
      <c r="Y216" s="7"/>
      <c r="Z216" s="23"/>
      <c r="AA216" s="26"/>
    </row>
    <row r="217" spans="1:28" ht="15.75" customHeight="1">
      <c r="A217" s="10" t="s">
        <v>1584</v>
      </c>
      <c r="B217" s="10" t="s">
        <v>1469</v>
      </c>
      <c r="C217" s="60" t="s">
        <v>1470</v>
      </c>
      <c r="D217" s="12"/>
      <c r="E217" s="20" t="s">
        <v>43</v>
      </c>
      <c r="F217" s="43" t="s">
        <v>1492</v>
      </c>
      <c r="G217" s="6" t="str">
        <f ca="1">IFERROR(__xludf.DUMMYFUNCTION("CONCATENATE(B217,(VLOOKUP(C217,CATALOGOS!$F$2:$H$6,3,FALSE)),(VLOOKUP(T217,CATALOGOS!$J$2:$K$18,2,FALSE)),""-"",TO_TEXT(A217))"),"P12ST-0216")</f>
        <v>P12ST-0216</v>
      </c>
      <c r="H217" s="6" t="s">
        <v>1585</v>
      </c>
      <c r="I217" s="6" t="s">
        <v>1586</v>
      </c>
      <c r="J217" s="6" t="s">
        <v>1587</v>
      </c>
      <c r="K217" s="6" t="s">
        <v>1588</v>
      </c>
      <c r="L217" s="17"/>
      <c r="M217" s="17"/>
      <c r="N217" s="17" t="str">
        <f t="shared" si="1"/>
        <v>OK</v>
      </c>
      <c r="O217" s="17" t="s">
        <v>406</v>
      </c>
      <c r="P217" s="6" t="s">
        <v>407</v>
      </c>
      <c r="Q217" s="17" t="s">
        <v>36</v>
      </c>
      <c r="R217" s="35" t="s">
        <v>1589</v>
      </c>
      <c r="S217" s="173" t="s">
        <v>38</v>
      </c>
      <c r="T217" s="11" t="s">
        <v>1470</v>
      </c>
      <c r="U217" s="20" t="s">
        <v>1477</v>
      </c>
      <c r="V217" s="20" t="s">
        <v>1477</v>
      </c>
      <c r="W217" s="20"/>
      <c r="X217" s="7"/>
      <c r="Y217" s="7"/>
      <c r="Z217" s="23"/>
      <c r="AA217" s="26"/>
    </row>
    <row r="218" spans="1:28" ht="15.75" customHeight="1">
      <c r="A218" s="10" t="s">
        <v>1590</v>
      </c>
      <c r="B218" s="10" t="s">
        <v>1469</v>
      </c>
      <c r="C218" s="60" t="s">
        <v>1470</v>
      </c>
      <c r="D218" s="38"/>
      <c r="E218" s="13" t="s">
        <v>501</v>
      </c>
      <c r="F218" s="6" t="s">
        <v>1591</v>
      </c>
      <c r="G218" s="6" t="str">
        <f ca="1">IFERROR(__xludf.DUMMYFUNCTION("CONCATENATE(B218,(VLOOKUP(C218,CATALOGOS!$F$2:$H$6,3,FALSE)),(VLOOKUP(T218,CATALOGOS!$J$2:$K$18,2,FALSE)),""-"",TO_TEXT(A218))"),"P12PP-0217")</f>
        <v>P12PP-0217</v>
      </c>
      <c r="H218" s="6" t="s">
        <v>1592</v>
      </c>
      <c r="I218" s="6" t="s">
        <v>1593</v>
      </c>
      <c r="J218" s="6" t="s">
        <v>1594</v>
      </c>
      <c r="K218" s="6" t="s">
        <v>1595</v>
      </c>
      <c r="L218" s="17"/>
      <c r="M218" s="17"/>
      <c r="N218" s="17" t="str">
        <f t="shared" si="1"/>
        <v>OK</v>
      </c>
      <c r="O218" s="17" t="s">
        <v>35</v>
      </c>
      <c r="P218" s="6" t="s">
        <v>35</v>
      </c>
      <c r="Q218" s="46" t="s">
        <v>36</v>
      </c>
      <c r="R218" s="17" t="s">
        <v>1596</v>
      </c>
      <c r="S218" s="173" t="s">
        <v>38</v>
      </c>
      <c r="T218" s="11" t="s">
        <v>1548</v>
      </c>
      <c r="U218" s="20" t="s">
        <v>1597</v>
      </c>
      <c r="V218" s="20" t="s">
        <v>1597</v>
      </c>
      <c r="W218" s="20"/>
      <c r="X218" s="7"/>
      <c r="Y218" s="7"/>
      <c r="Z218" s="20" t="s">
        <v>1598</v>
      </c>
      <c r="AA218" s="26"/>
    </row>
    <row r="219" spans="1:28" ht="15.75" customHeight="1">
      <c r="A219" s="10" t="s">
        <v>1599</v>
      </c>
      <c r="B219" s="10" t="s">
        <v>1469</v>
      </c>
      <c r="C219" s="60" t="s">
        <v>1470</v>
      </c>
      <c r="D219" s="12"/>
      <c r="E219" s="13" t="s">
        <v>136</v>
      </c>
      <c r="F219" s="6" t="s">
        <v>137</v>
      </c>
      <c r="G219" s="6" t="str">
        <f ca="1">IFERROR(__xludf.DUMMYFUNCTION("CONCATENATE(B219,(VLOOKUP(C219,CATALOGOS!$F$2:$H$6,3,FALSE)),(VLOOKUP(T219,CATALOGOS!$J$2:$K$18,2,FALSE)),""-"",TO_TEXT(A219))"),"P12PP-0218")</f>
        <v>P12PP-0218</v>
      </c>
      <c r="H219" s="6" t="s">
        <v>1600</v>
      </c>
      <c r="I219" s="6" t="s">
        <v>1601</v>
      </c>
      <c r="J219" s="6" t="s">
        <v>1602</v>
      </c>
      <c r="K219" s="6" t="s">
        <v>1603</v>
      </c>
      <c r="L219" s="17"/>
      <c r="M219" s="17"/>
      <c r="N219" s="17" t="str">
        <f t="shared" si="1"/>
        <v>OK</v>
      </c>
      <c r="O219" s="17" t="s">
        <v>1604</v>
      </c>
      <c r="P219" s="6" t="s">
        <v>1605</v>
      </c>
      <c r="Q219" s="17" t="s">
        <v>1606</v>
      </c>
      <c r="R219" s="17" t="s">
        <v>1607</v>
      </c>
      <c r="S219" s="173" t="s">
        <v>38</v>
      </c>
      <c r="T219" s="11" t="s">
        <v>1548</v>
      </c>
      <c r="U219" s="20" t="s">
        <v>1597</v>
      </c>
      <c r="V219" s="20" t="s">
        <v>1597</v>
      </c>
      <c r="W219" s="20"/>
      <c r="X219" s="6"/>
      <c r="Y219" s="6"/>
      <c r="Z219" s="23"/>
      <c r="AA219" s="24"/>
    </row>
    <row r="220" spans="1:28" ht="15.75" customHeight="1">
      <c r="A220" s="10" t="s">
        <v>1608</v>
      </c>
      <c r="B220" s="10" t="s">
        <v>1469</v>
      </c>
      <c r="C220" s="60" t="s">
        <v>1470</v>
      </c>
      <c r="D220" s="12"/>
      <c r="E220" s="13" t="s">
        <v>162</v>
      </c>
      <c r="F220" s="43" t="s">
        <v>285</v>
      </c>
      <c r="G220" s="6" t="str">
        <f ca="1">IFERROR(__xludf.DUMMYFUNCTION("CONCATENATE(B220,(VLOOKUP(C220,CATALOGOS!$F$2:$H$6,3,FALSE)),(VLOOKUP(T220,CATALOGOS!$J$2:$K$18,2,FALSE)),""-"",TO_TEXT(A220))"),"P12PP-0219")</f>
        <v>P12PP-0219</v>
      </c>
      <c r="H220" s="6" t="s">
        <v>1609</v>
      </c>
      <c r="I220" s="6" t="s">
        <v>1610</v>
      </c>
      <c r="J220" s="6" t="s">
        <v>1611</v>
      </c>
      <c r="K220" s="6" t="s">
        <v>1612</v>
      </c>
      <c r="L220" s="17"/>
      <c r="M220" s="17"/>
      <c r="N220" s="17" t="str">
        <f t="shared" si="1"/>
        <v>OK</v>
      </c>
      <c r="O220" s="17" t="s">
        <v>168</v>
      </c>
      <c r="P220" s="6" t="s">
        <v>169</v>
      </c>
      <c r="Q220" s="17" t="s">
        <v>1613</v>
      </c>
      <c r="R220" s="17" t="s">
        <v>1614</v>
      </c>
      <c r="S220" s="173" t="s">
        <v>38</v>
      </c>
      <c r="T220" s="11" t="s">
        <v>1548</v>
      </c>
      <c r="U220" s="20" t="s">
        <v>1597</v>
      </c>
      <c r="V220" s="20" t="s">
        <v>1597</v>
      </c>
      <c r="W220" s="20"/>
      <c r="X220" s="6"/>
      <c r="Y220" s="6"/>
      <c r="Z220" s="23"/>
      <c r="AA220" s="24"/>
    </row>
    <row r="221" spans="1:28" ht="15.75" customHeight="1">
      <c r="A221" s="10" t="s">
        <v>1615</v>
      </c>
      <c r="B221" s="10" t="s">
        <v>1469</v>
      </c>
      <c r="C221" s="60" t="s">
        <v>1470</v>
      </c>
      <c r="D221" s="12"/>
      <c r="E221" s="13" t="s">
        <v>151</v>
      </c>
      <c r="F221" s="6" t="s">
        <v>152</v>
      </c>
      <c r="G221" s="6" t="str">
        <f ca="1">IFERROR(__xludf.DUMMYFUNCTION("CONCATENATE(B221,(VLOOKUP(C221,CATALOGOS!$F$2:$H$6,3,FALSE)),(VLOOKUP(T221,CATALOGOS!$J$2:$K$18,2,FALSE)),""-"",TO_TEXT(A221))"),"P12PP-0220")</f>
        <v>P12PP-0220</v>
      </c>
      <c r="H221" s="6" t="s">
        <v>1616</v>
      </c>
      <c r="I221" s="6" t="s">
        <v>1617</v>
      </c>
      <c r="J221" s="6" t="s">
        <v>1618</v>
      </c>
      <c r="K221" s="6" t="s">
        <v>1619</v>
      </c>
      <c r="L221" s="17"/>
      <c r="M221" s="17"/>
      <c r="N221" s="17" t="str">
        <f t="shared" si="1"/>
        <v>OK</v>
      </c>
      <c r="O221" s="17" t="s">
        <v>297</v>
      </c>
      <c r="P221" s="6" t="s">
        <v>1620</v>
      </c>
      <c r="Q221" s="17" t="s">
        <v>1621</v>
      </c>
      <c r="R221" s="17" t="s">
        <v>1622</v>
      </c>
      <c r="S221" s="173" t="s">
        <v>38</v>
      </c>
      <c r="T221" s="11" t="s">
        <v>1548</v>
      </c>
      <c r="U221" s="20" t="s">
        <v>1597</v>
      </c>
      <c r="V221" s="20" t="s">
        <v>1597</v>
      </c>
      <c r="W221" s="20"/>
      <c r="X221" s="7"/>
      <c r="Y221" s="7"/>
      <c r="Z221" s="23"/>
      <c r="AA221" s="26"/>
    </row>
    <row r="222" spans="1:28" ht="15.75" customHeight="1">
      <c r="A222" s="10" t="s">
        <v>1623</v>
      </c>
      <c r="B222" s="10" t="s">
        <v>1469</v>
      </c>
      <c r="C222" s="60" t="s">
        <v>1470</v>
      </c>
      <c r="D222" s="12"/>
      <c r="E222" s="13" t="s">
        <v>151</v>
      </c>
      <c r="F222" s="6" t="s">
        <v>293</v>
      </c>
      <c r="G222" s="6" t="str">
        <f ca="1">IFERROR(__xludf.DUMMYFUNCTION("CONCATENATE(B222,(VLOOKUP(C222,CATALOGOS!$F$2:$H$6,3,FALSE)),(VLOOKUP(T222,CATALOGOS!$J$2:$K$18,2,FALSE)),""-"",TO_TEXT(A222))"),"P12PP-0221")</f>
        <v>P12PP-0221</v>
      </c>
      <c r="H222" s="6" t="s">
        <v>1624</v>
      </c>
      <c r="I222" s="6" t="s">
        <v>1625</v>
      </c>
      <c r="J222" s="6" t="s">
        <v>1626</v>
      </c>
      <c r="K222" s="6" t="s">
        <v>1627</v>
      </c>
      <c r="L222" s="17"/>
      <c r="M222" s="17"/>
      <c r="N222" s="17" t="str">
        <f t="shared" si="1"/>
        <v>OK</v>
      </c>
      <c r="O222" s="17" t="s">
        <v>297</v>
      </c>
      <c r="P222" s="6" t="s">
        <v>298</v>
      </c>
      <c r="Q222" s="17" t="s">
        <v>1628</v>
      </c>
      <c r="R222" s="17" t="s">
        <v>85</v>
      </c>
      <c r="S222" s="173" t="s">
        <v>38</v>
      </c>
      <c r="T222" s="11" t="s">
        <v>1548</v>
      </c>
      <c r="U222" s="20" t="s">
        <v>1597</v>
      </c>
      <c r="V222" s="20" t="s">
        <v>1597</v>
      </c>
      <c r="W222" s="20"/>
      <c r="X222" s="6"/>
      <c r="Y222" s="6"/>
      <c r="Z222" s="41" t="s">
        <v>92</v>
      </c>
      <c r="AA222" s="42">
        <v>44348</v>
      </c>
      <c r="AB222" s="45">
        <v>0</v>
      </c>
    </row>
    <row r="223" spans="1:28" ht="15.75" customHeight="1">
      <c r="A223" s="10" t="s">
        <v>1629</v>
      </c>
      <c r="B223" s="10" t="s">
        <v>1469</v>
      </c>
      <c r="C223" s="60" t="s">
        <v>1470</v>
      </c>
      <c r="D223" s="12"/>
      <c r="E223" s="13" t="s">
        <v>199</v>
      </c>
      <c r="F223" s="6" t="s">
        <v>199</v>
      </c>
      <c r="G223" s="6" t="str">
        <f ca="1">IFERROR(__xludf.DUMMYFUNCTION("CONCATENATE(B223,(VLOOKUP(C223,CATALOGOS!$F$2:$H$6,3,FALSE)),(VLOOKUP(T223,CATALOGOS!$J$2:$K$18,2,FALSE)),""-"",TO_TEXT(A223))"),"P12PP-0222")</f>
        <v>P12PP-0222</v>
      </c>
      <c r="H223" s="6" t="s">
        <v>1630</v>
      </c>
      <c r="I223" s="6" t="s">
        <v>1631</v>
      </c>
      <c r="J223" s="6" t="s">
        <v>1632</v>
      </c>
      <c r="K223" s="6" t="s">
        <v>1633</v>
      </c>
      <c r="L223" s="17"/>
      <c r="M223" s="17"/>
      <c r="N223" s="17" t="str">
        <f t="shared" si="1"/>
        <v>OK</v>
      </c>
      <c r="O223" s="17" t="s">
        <v>273</v>
      </c>
      <c r="P223" s="6" t="s">
        <v>274</v>
      </c>
      <c r="Q223" s="17" t="s">
        <v>1634</v>
      </c>
      <c r="R223" s="10" t="s">
        <v>85</v>
      </c>
      <c r="S223" s="173" t="s">
        <v>38</v>
      </c>
      <c r="T223" s="11" t="s">
        <v>1548</v>
      </c>
      <c r="U223" s="20" t="s">
        <v>1597</v>
      </c>
      <c r="V223" s="20" t="s">
        <v>1597</v>
      </c>
      <c r="W223" s="20"/>
      <c r="X223" s="6"/>
      <c r="Y223" s="6"/>
      <c r="Z223" s="41" t="s">
        <v>92</v>
      </c>
      <c r="AA223" s="42">
        <v>44348</v>
      </c>
      <c r="AB223" s="8" t="s">
        <v>276</v>
      </c>
    </row>
    <row r="224" spans="1:28" ht="15.75" customHeight="1">
      <c r="A224" s="10" t="s">
        <v>1635</v>
      </c>
      <c r="B224" s="10" t="s">
        <v>1469</v>
      </c>
      <c r="C224" s="60" t="s">
        <v>1470</v>
      </c>
      <c r="D224" s="12"/>
      <c r="E224" s="13" t="s">
        <v>1636</v>
      </c>
      <c r="F224" s="43" t="s">
        <v>278</v>
      </c>
      <c r="G224" s="6" t="str">
        <f ca="1">IFERROR(__xludf.DUMMYFUNCTION("CONCATENATE(B224,(VLOOKUP(C224,CATALOGOS!$F$2:$H$6,3,FALSE)),(VLOOKUP(T224,CATALOGOS!$J$2:$K$18,2,FALSE)),""-"",TO_TEXT(A224))"),"P12PP-0223")</f>
        <v>P12PP-0223</v>
      </c>
      <c r="H224" s="6" t="s">
        <v>1637</v>
      </c>
      <c r="I224" s="6" t="s">
        <v>1638</v>
      </c>
      <c r="J224" s="6" t="s">
        <v>1639</v>
      </c>
      <c r="K224" s="6" t="s">
        <v>1640</v>
      </c>
      <c r="L224" s="17"/>
      <c r="M224" s="17"/>
      <c r="N224" s="17" t="str">
        <f t="shared" si="1"/>
        <v>OK</v>
      </c>
      <c r="O224" s="17" t="s">
        <v>35</v>
      </c>
      <c r="P224" s="6" t="s">
        <v>35</v>
      </c>
      <c r="Q224" s="17" t="s">
        <v>36</v>
      </c>
      <c r="R224" s="17" t="s">
        <v>1641</v>
      </c>
      <c r="S224" s="173" t="s">
        <v>38</v>
      </c>
      <c r="T224" s="11" t="s">
        <v>1548</v>
      </c>
      <c r="U224" s="20" t="s">
        <v>1597</v>
      </c>
      <c r="V224" s="20" t="s">
        <v>1597</v>
      </c>
      <c r="W224" s="20"/>
      <c r="X224" s="7"/>
      <c r="Y224" s="7"/>
      <c r="Z224" s="23"/>
      <c r="AA224" s="26"/>
    </row>
    <row r="225" spans="1:27" ht="15.75" customHeight="1">
      <c r="A225" s="10" t="s">
        <v>1642</v>
      </c>
      <c r="B225" s="10" t="s">
        <v>1469</v>
      </c>
      <c r="C225" s="60" t="s">
        <v>1470</v>
      </c>
      <c r="D225" s="12"/>
      <c r="E225" s="13" t="s">
        <v>116</v>
      </c>
      <c r="F225" s="6" t="s">
        <v>129</v>
      </c>
      <c r="G225" s="6" t="str">
        <f ca="1">IFERROR(__xludf.DUMMYFUNCTION("CONCATENATE(B225,(VLOOKUP(C225,CATALOGOS!$F$2:$H$6,3,FALSE)),(VLOOKUP(T225,CATALOGOS!$J$2:$K$18,2,FALSE)),""-"",TO_TEXT(A225))"),"P12PP-0224")</f>
        <v>P12PP-0224</v>
      </c>
      <c r="H225" s="6" t="s">
        <v>1643</v>
      </c>
      <c r="I225" s="6" t="s">
        <v>1644</v>
      </c>
      <c r="J225" s="6" t="s">
        <v>1645</v>
      </c>
      <c r="K225" s="6" t="s">
        <v>1646</v>
      </c>
      <c r="L225" s="17"/>
      <c r="M225" s="17"/>
      <c r="N225" s="17" t="str">
        <f t="shared" si="1"/>
        <v>OK</v>
      </c>
      <c r="O225" s="17" t="s">
        <v>35</v>
      </c>
      <c r="P225" s="6" t="s">
        <v>35</v>
      </c>
      <c r="Q225" s="17" t="s">
        <v>36</v>
      </c>
      <c r="R225" s="17" t="s">
        <v>1647</v>
      </c>
      <c r="S225" s="173" t="s">
        <v>38</v>
      </c>
      <c r="T225" s="11" t="s">
        <v>1548</v>
      </c>
      <c r="U225" s="20" t="s">
        <v>1597</v>
      </c>
      <c r="V225" s="20" t="s">
        <v>1597</v>
      </c>
      <c r="W225" s="20"/>
      <c r="X225" s="6"/>
      <c r="Y225" s="6"/>
      <c r="Z225" s="23"/>
      <c r="AA225" s="24"/>
    </row>
    <row r="226" spans="1:27" ht="15.75" customHeight="1">
      <c r="A226" s="10" t="s">
        <v>1648</v>
      </c>
      <c r="B226" s="10" t="s">
        <v>1469</v>
      </c>
      <c r="C226" s="60" t="s">
        <v>1470</v>
      </c>
      <c r="D226" s="12"/>
      <c r="E226" s="13" t="s">
        <v>93</v>
      </c>
      <c r="F226" s="6" t="s">
        <v>1173</v>
      </c>
      <c r="G226" s="6" t="str">
        <f ca="1">IFERROR(__xludf.DUMMYFUNCTION("CONCATENATE(B226,(VLOOKUP(C226,CATALOGOS!$F$2:$H$6,3,FALSE)),(VLOOKUP(T226,CATALOGOS!$J$2:$K$18,2,FALSE)),""-"",TO_TEXT(A226))"),"P12PP-0225")</f>
        <v>P12PP-0225</v>
      </c>
      <c r="H226" s="6" t="s">
        <v>1649</v>
      </c>
      <c r="I226" s="6" t="s">
        <v>1650</v>
      </c>
      <c r="J226" s="36"/>
      <c r="K226" s="6" t="s">
        <v>1651</v>
      </c>
      <c r="L226" s="17"/>
      <c r="M226" s="17"/>
      <c r="N226" s="17" t="str">
        <f t="shared" si="1"/>
        <v>OK</v>
      </c>
      <c r="O226" s="35" t="s">
        <v>35</v>
      </c>
      <c r="P226" s="6" t="s">
        <v>35</v>
      </c>
      <c r="Q226" s="10" t="s">
        <v>36</v>
      </c>
      <c r="R226" s="32" t="s">
        <v>85</v>
      </c>
      <c r="S226" s="173" t="s">
        <v>38</v>
      </c>
      <c r="T226" s="11" t="s">
        <v>1548</v>
      </c>
      <c r="U226" s="20" t="s">
        <v>1597</v>
      </c>
      <c r="V226" s="20" t="s">
        <v>1597</v>
      </c>
      <c r="W226" s="20"/>
      <c r="X226" s="7"/>
      <c r="Y226" s="7"/>
      <c r="Z226" s="23"/>
      <c r="AA226" s="26"/>
    </row>
    <row r="227" spans="1:27" ht="15.75" customHeight="1">
      <c r="A227" s="10" t="s">
        <v>1652</v>
      </c>
      <c r="B227" s="10" t="s">
        <v>1469</v>
      </c>
      <c r="C227" s="60" t="s">
        <v>1470</v>
      </c>
      <c r="D227" s="12"/>
      <c r="E227" s="13" t="s">
        <v>29</v>
      </c>
      <c r="F227" s="43" t="s">
        <v>1166</v>
      </c>
      <c r="G227" s="6" t="str">
        <f ca="1">IFERROR(__xludf.DUMMYFUNCTION("CONCATENATE(B227,(VLOOKUP(C227,CATALOGOS!$F$2:$H$6,3,FALSE)),(VLOOKUP(T227,CATALOGOS!$J$2:$K$18,2,FALSE)),""-"",TO_TEXT(A227))"),"P12PP-0226")</f>
        <v>P12PP-0226</v>
      </c>
      <c r="H227" s="6" t="s">
        <v>1653</v>
      </c>
      <c r="I227" s="62"/>
      <c r="J227" s="6" t="s">
        <v>1654</v>
      </c>
      <c r="K227" s="6" t="s">
        <v>1655</v>
      </c>
      <c r="L227" s="17"/>
      <c r="M227" s="17"/>
      <c r="N227" s="17" t="str">
        <f t="shared" si="1"/>
        <v>OK</v>
      </c>
      <c r="O227" s="17" t="s">
        <v>35</v>
      </c>
      <c r="P227" s="6" t="s">
        <v>35</v>
      </c>
      <c r="Q227" s="17" t="s">
        <v>36</v>
      </c>
      <c r="R227" s="17" t="s">
        <v>1656</v>
      </c>
      <c r="S227" s="173" t="s">
        <v>38</v>
      </c>
      <c r="T227" s="11" t="s">
        <v>1548</v>
      </c>
      <c r="U227" s="20" t="s">
        <v>1597</v>
      </c>
      <c r="V227" s="20" t="s">
        <v>1597</v>
      </c>
      <c r="W227" s="20"/>
      <c r="X227" s="7"/>
      <c r="Y227" s="7"/>
      <c r="Z227" s="23"/>
      <c r="AA227" s="26"/>
    </row>
    <row r="228" spans="1:27" ht="15.75" customHeight="1">
      <c r="A228" s="10" t="s">
        <v>1657</v>
      </c>
      <c r="B228" s="10" t="s">
        <v>1469</v>
      </c>
      <c r="C228" s="60" t="s">
        <v>1470</v>
      </c>
      <c r="D228" s="12"/>
      <c r="E228" s="13" t="s">
        <v>116</v>
      </c>
      <c r="F228" s="6" t="s">
        <v>117</v>
      </c>
      <c r="G228" s="6" t="str">
        <f ca="1">IFERROR(__xludf.DUMMYFUNCTION("CONCATENATE(B228,(VLOOKUP(C228,CATALOGOS!$F$2:$H$6,3,FALSE)),(VLOOKUP(T228,CATALOGOS!$J$2:$K$18,2,FALSE)),""-"",TO_TEXT(A228))"),"P12PP-0227")</f>
        <v>P12PP-0227</v>
      </c>
      <c r="H228" s="6" t="s">
        <v>1658</v>
      </c>
      <c r="I228" s="62"/>
      <c r="J228" s="36"/>
      <c r="K228" s="6" t="s">
        <v>141</v>
      </c>
      <c r="L228" s="17"/>
      <c r="M228" s="17"/>
      <c r="N228" s="17" t="str">
        <f t="shared" si="1"/>
        <v>REPETIDO</v>
      </c>
      <c r="O228" s="35" t="s">
        <v>35</v>
      </c>
      <c r="P228" s="6" t="s">
        <v>35</v>
      </c>
      <c r="Q228" s="10" t="s">
        <v>36</v>
      </c>
      <c r="R228" s="32" t="s">
        <v>85</v>
      </c>
      <c r="S228" s="173" t="s">
        <v>38</v>
      </c>
      <c r="T228" s="11" t="s">
        <v>1548</v>
      </c>
      <c r="U228" s="20" t="s">
        <v>1597</v>
      </c>
      <c r="V228" s="20" t="s">
        <v>1597</v>
      </c>
      <c r="W228" s="20"/>
      <c r="X228" s="7"/>
      <c r="Y228" s="7"/>
      <c r="Z228" s="23"/>
      <c r="AA228" s="26"/>
    </row>
    <row r="229" spans="1:27" ht="15.75" customHeight="1">
      <c r="A229" s="10" t="s">
        <v>1659</v>
      </c>
      <c r="B229" s="10" t="s">
        <v>1469</v>
      </c>
      <c r="C229" s="60" t="s">
        <v>1470</v>
      </c>
      <c r="D229" s="12"/>
      <c r="E229" s="13" t="s">
        <v>184</v>
      </c>
      <c r="F229" s="43" t="s">
        <v>927</v>
      </c>
      <c r="G229" s="6" t="str">
        <f ca="1">IFERROR(__xludf.DUMMYFUNCTION("CONCATENATE(B229,(VLOOKUP(C229,CATALOGOS!$F$2:$H$6,3,FALSE)),(VLOOKUP(T229,CATALOGOS!$J$2:$K$18,2,FALSE)),""-"",TO_TEXT(A229))"),"P12SO-0228")</f>
        <v>P12SO-0228</v>
      </c>
      <c r="H229" s="6" t="s">
        <v>1660</v>
      </c>
      <c r="I229" s="6" t="s">
        <v>1661</v>
      </c>
      <c r="J229" s="6" t="s">
        <v>1662</v>
      </c>
      <c r="K229" s="6" t="s">
        <v>1663</v>
      </c>
      <c r="L229" s="17"/>
      <c r="M229" s="17"/>
      <c r="N229" s="17" t="str">
        <f t="shared" si="1"/>
        <v>OK</v>
      </c>
      <c r="O229" s="17" t="s">
        <v>35</v>
      </c>
      <c r="P229" s="6" t="s">
        <v>35</v>
      </c>
      <c r="Q229" s="17" t="s">
        <v>36</v>
      </c>
      <c r="R229" s="17" t="s">
        <v>1664</v>
      </c>
      <c r="S229" s="173" t="s">
        <v>38</v>
      </c>
      <c r="T229" s="11" t="s">
        <v>868</v>
      </c>
      <c r="U229" s="20" t="s">
        <v>1665</v>
      </c>
      <c r="V229" s="20" t="s">
        <v>1665</v>
      </c>
      <c r="W229" s="20"/>
      <c r="X229" s="7"/>
      <c r="Y229" s="7"/>
      <c r="Z229" s="23"/>
      <c r="AA229" s="26"/>
    </row>
    <row r="230" spans="1:27" ht="15.75" customHeight="1">
      <c r="A230" s="10" t="s">
        <v>1666</v>
      </c>
      <c r="B230" s="10" t="s">
        <v>1469</v>
      </c>
      <c r="C230" s="60" t="s">
        <v>1470</v>
      </c>
      <c r="D230" s="12"/>
      <c r="E230" s="13" t="s">
        <v>378</v>
      </c>
      <c r="F230" s="43" t="s">
        <v>831</v>
      </c>
      <c r="G230" s="6" t="str">
        <f ca="1">IFERROR(__xludf.DUMMYFUNCTION("CONCATENATE(B230,(VLOOKUP(C230,CATALOGOS!$F$2:$H$6,3,FALSE)),(VLOOKUP(T230,CATALOGOS!$J$2:$K$18,2,FALSE)),""-"",TO_TEXT(A230))"),"P12PP-0229")</f>
        <v>P12PP-0229</v>
      </c>
      <c r="H230" s="6" t="s">
        <v>1667</v>
      </c>
      <c r="I230" s="6" t="s">
        <v>1668</v>
      </c>
      <c r="J230" s="6" t="s">
        <v>1669</v>
      </c>
      <c r="K230" s="6" t="s">
        <v>1670</v>
      </c>
      <c r="L230" s="17"/>
      <c r="M230" s="17"/>
      <c r="N230" s="17" t="str">
        <f t="shared" si="1"/>
        <v>OK</v>
      </c>
      <c r="O230" s="17" t="s">
        <v>35</v>
      </c>
      <c r="P230" s="6" t="s">
        <v>35</v>
      </c>
      <c r="Q230" s="17" t="s">
        <v>36</v>
      </c>
      <c r="R230" s="17" t="s">
        <v>1671</v>
      </c>
      <c r="S230" s="173" t="s">
        <v>38</v>
      </c>
      <c r="T230" s="11" t="s">
        <v>1548</v>
      </c>
      <c r="U230" s="20" t="s">
        <v>1672</v>
      </c>
      <c r="V230" s="20" t="s">
        <v>1672</v>
      </c>
      <c r="W230" s="20"/>
      <c r="X230" s="7"/>
      <c r="Y230" s="7"/>
      <c r="Z230" s="23"/>
      <c r="AA230" s="26"/>
    </row>
    <row r="231" spans="1:27" ht="15.75" customHeight="1">
      <c r="A231" s="10" t="s">
        <v>1673</v>
      </c>
      <c r="B231" s="10" t="s">
        <v>1469</v>
      </c>
      <c r="C231" s="60" t="s">
        <v>1470</v>
      </c>
      <c r="D231" s="12"/>
      <c r="E231" s="13" t="s">
        <v>378</v>
      </c>
      <c r="F231" s="43" t="s">
        <v>1674</v>
      </c>
      <c r="G231" s="6" t="str">
        <f ca="1">IFERROR(__xludf.DUMMYFUNCTION("CONCATENATE(B231,(VLOOKUP(C231,CATALOGOS!$F$2:$H$6,3,FALSE)),(VLOOKUP(T231,CATALOGOS!$J$2:$K$18,2,FALSE)),""-"",TO_TEXT(A231))"),"P12PP-0230")</f>
        <v>P12PP-0230</v>
      </c>
      <c r="H231" s="6" t="s">
        <v>1675</v>
      </c>
      <c r="I231" s="6" t="s">
        <v>1676</v>
      </c>
      <c r="J231" s="6" t="s">
        <v>1677</v>
      </c>
      <c r="K231" s="6" t="s">
        <v>1678</v>
      </c>
      <c r="L231" s="17"/>
      <c r="M231" s="17"/>
      <c r="N231" s="17" t="str">
        <f t="shared" si="1"/>
        <v>OK</v>
      </c>
      <c r="O231" s="17" t="s">
        <v>35</v>
      </c>
      <c r="P231" s="6" t="s">
        <v>35</v>
      </c>
      <c r="Q231" s="17" t="s">
        <v>36</v>
      </c>
      <c r="R231" s="17" t="s">
        <v>1679</v>
      </c>
      <c r="S231" s="173" t="s">
        <v>38</v>
      </c>
      <c r="T231" s="11" t="s">
        <v>1548</v>
      </c>
      <c r="U231" s="20" t="s">
        <v>1597</v>
      </c>
      <c r="V231" s="20" t="s">
        <v>1597</v>
      </c>
      <c r="W231" s="20"/>
      <c r="X231" s="7"/>
      <c r="Y231" s="7"/>
      <c r="Z231" s="23"/>
      <c r="AA231" s="26"/>
    </row>
    <row r="232" spans="1:27" ht="15.75" customHeight="1">
      <c r="A232" s="10" t="s">
        <v>1680</v>
      </c>
      <c r="B232" s="10" t="s">
        <v>1469</v>
      </c>
      <c r="C232" s="60" t="s">
        <v>1470</v>
      </c>
      <c r="D232" s="12"/>
      <c r="E232" s="13" t="s">
        <v>53</v>
      </c>
      <c r="F232" s="6" t="s">
        <v>1681</v>
      </c>
      <c r="G232" s="6" t="str">
        <f ca="1">IFERROR(__xludf.DUMMYFUNCTION("CONCATENATE(B232,(VLOOKUP(C232,CATALOGOS!$F$2:$H$6,3,FALSE)),(VLOOKUP(T232,CATALOGOS!$J$2:$K$18,2,FALSE)),""-"",TO_TEXT(A232))"),"P12PP-0231")</f>
        <v>P12PP-0231</v>
      </c>
      <c r="H232" s="6" t="s">
        <v>1682</v>
      </c>
      <c r="I232" s="6" t="s">
        <v>1683</v>
      </c>
      <c r="J232" s="6" t="s">
        <v>1684</v>
      </c>
      <c r="K232" s="6" t="s">
        <v>1685</v>
      </c>
      <c r="L232" s="17"/>
      <c r="M232" s="17"/>
      <c r="N232" s="17" t="str">
        <f t="shared" si="1"/>
        <v>OK</v>
      </c>
      <c r="O232" s="17" t="s">
        <v>35</v>
      </c>
      <c r="P232" s="6" t="s">
        <v>35</v>
      </c>
      <c r="Q232" s="17" t="s">
        <v>36</v>
      </c>
      <c r="R232" s="17" t="s">
        <v>1686</v>
      </c>
      <c r="S232" s="173" t="s">
        <v>38</v>
      </c>
      <c r="T232" s="11" t="s">
        <v>1548</v>
      </c>
      <c r="U232" s="20" t="s">
        <v>1597</v>
      </c>
      <c r="V232" s="20" t="s">
        <v>1597</v>
      </c>
      <c r="W232" s="20"/>
      <c r="X232" s="6"/>
      <c r="Y232" s="6"/>
      <c r="Z232" s="23"/>
      <c r="AA232" s="24"/>
    </row>
    <row r="233" spans="1:27" ht="15.75" customHeight="1">
      <c r="A233" s="10" t="s">
        <v>1687</v>
      </c>
      <c r="B233" s="10" t="s">
        <v>1469</v>
      </c>
      <c r="C233" s="60" t="s">
        <v>1470</v>
      </c>
      <c r="D233" s="12"/>
      <c r="E233" s="13" t="s">
        <v>43</v>
      </c>
      <c r="F233" s="43" t="s">
        <v>1688</v>
      </c>
      <c r="G233" s="6" t="str">
        <f ca="1">IFERROR(__xludf.DUMMYFUNCTION("CONCATENATE(B233,(VLOOKUP(C233,CATALOGOS!$F$2:$H$6,3,FALSE)),(VLOOKUP(T233,CATALOGOS!$J$2:$K$18,2,FALSE)),""-"",TO_TEXT(A233))"),"P12PP-0232")</f>
        <v>P12PP-0232</v>
      </c>
      <c r="H233" s="6" t="s">
        <v>1689</v>
      </c>
      <c r="I233" s="6" t="s">
        <v>1690</v>
      </c>
      <c r="J233" s="6" t="s">
        <v>1691</v>
      </c>
      <c r="K233" s="6" t="s">
        <v>1692</v>
      </c>
      <c r="L233" s="17"/>
      <c r="M233" s="17"/>
      <c r="N233" s="17" t="str">
        <f t="shared" si="1"/>
        <v>OK</v>
      </c>
      <c r="O233" s="17" t="s">
        <v>1693</v>
      </c>
      <c r="P233" s="6">
        <v>3141</v>
      </c>
      <c r="Q233" s="17" t="s">
        <v>36</v>
      </c>
      <c r="R233" s="17" t="s">
        <v>1694</v>
      </c>
      <c r="S233" s="173" t="s">
        <v>38</v>
      </c>
      <c r="T233" s="11" t="s">
        <v>1548</v>
      </c>
      <c r="U233" s="20" t="s">
        <v>1597</v>
      </c>
      <c r="V233" s="20" t="s">
        <v>1597</v>
      </c>
      <c r="W233" s="20"/>
      <c r="X233" s="7"/>
      <c r="Y233" s="7"/>
      <c r="Z233" s="23"/>
      <c r="AA233" s="26"/>
    </row>
    <row r="234" spans="1:27" ht="15.75" customHeight="1">
      <c r="A234" s="10" t="s">
        <v>1695</v>
      </c>
      <c r="B234" s="10" t="s">
        <v>1469</v>
      </c>
      <c r="C234" s="60" t="s">
        <v>1470</v>
      </c>
      <c r="D234" s="12"/>
      <c r="E234" s="13" t="s">
        <v>93</v>
      </c>
      <c r="F234" s="43" t="s">
        <v>1696</v>
      </c>
      <c r="G234" s="6" t="str">
        <f ca="1">IFERROR(__xludf.DUMMYFUNCTION("CONCATENATE(B234,(VLOOKUP(C234,CATALOGOS!$F$2:$H$6,3,FALSE)),(VLOOKUP(T234,CATALOGOS!$J$2:$K$18,2,FALSE)),""-"",TO_TEXT(A234))"),"P12PP-0233")</f>
        <v>P12PP-0233</v>
      </c>
      <c r="H234" s="6" t="s">
        <v>1697</v>
      </c>
      <c r="I234" s="6" t="s">
        <v>1698</v>
      </c>
      <c r="J234" s="6" t="s">
        <v>1699</v>
      </c>
      <c r="K234" s="6" t="s">
        <v>1700</v>
      </c>
      <c r="L234" s="17"/>
      <c r="M234" s="17"/>
      <c r="N234" s="17" t="str">
        <f t="shared" si="1"/>
        <v>OK</v>
      </c>
      <c r="O234" s="17" t="s">
        <v>35</v>
      </c>
      <c r="P234" s="6" t="s">
        <v>35</v>
      </c>
      <c r="Q234" s="17" t="s">
        <v>36</v>
      </c>
      <c r="R234" s="17" t="s">
        <v>1701</v>
      </c>
      <c r="S234" s="173" t="s">
        <v>38</v>
      </c>
      <c r="T234" s="11" t="s">
        <v>1548</v>
      </c>
      <c r="U234" s="20" t="s">
        <v>1550</v>
      </c>
      <c r="V234" s="20" t="s">
        <v>1550</v>
      </c>
      <c r="W234" s="20"/>
      <c r="X234" s="7"/>
      <c r="Y234" s="7"/>
      <c r="Z234" s="23"/>
      <c r="AA234" s="26"/>
    </row>
    <row r="235" spans="1:27" ht="15.75" customHeight="1">
      <c r="A235" s="10" t="s">
        <v>1702</v>
      </c>
      <c r="B235" s="10" t="s">
        <v>1469</v>
      </c>
      <c r="C235" s="60" t="s">
        <v>1470</v>
      </c>
      <c r="D235" s="12"/>
      <c r="E235" s="13" t="s">
        <v>378</v>
      </c>
      <c r="F235" s="43" t="s">
        <v>1703</v>
      </c>
      <c r="G235" s="6" t="str">
        <f ca="1">IFERROR(__xludf.DUMMYFUNCTION("CONCATENATE(B235,(VLOOKUP(C235,CATALOGOS!$F$2:$H$6,3,FALSE)),(VLOOKUP(T235,CATALOGOS!$J$2:$K$18,2,FALSE)),""-"",TO_TEXT(A235))"),"P12PP-0234")</f>
        <v>P12PP-0234</v>
      </c>
      <c r="H235" s="6" t="s">
        <v>1704</v>
      </c>
      <c r="I235" s="6" t="s">
        <v>1705</v>
      </c>
      <c r="J235" s="6" t="s">
        <v>1706</v>
      </c>
      <c r="K235" s="6" t="s">
        <v>1707</v>
      </c>
      <c r="L235" s="17"/>
      <c r="M235" s="17"/>
      <c r="N235" s="17" t="str">
        <f t="shared" si="1"/>
        <v>OK</v>
      </c>
      <c r="O235" s="17" t="s">
        <v>35</v>
      </c>
      <c r="P235" s="6" t="s">
        <v>35</v>
      </c>
      <c r="Q235" s="17" t="s">
        <v>36</v>
      </c>
      <c r="R235" s="17" t="s">
        <v>1708</v>
      </c>
      <c r="S235" s="173" t="s">
        <v>38</v>
      </c>
      <c r="T235" s="11" t="s">
        <v>1548</v>
      </c>
      <c r="U235" s="20" t="s">
        <v>1597</v>
      </c>
      <c r="V235" s="20" t="s">
        <v>1597</v>
      </c>
      <c r="W235" s="20"/>
      <c r="X235" s="7"/>
      <c r="Y235" s="7"/>
      <c r="Z235" s="23"/>
      <c r="AA235" s="26"/>
    </row>
    <row r="236" spans="1:27" ht="15.75" customHeight="1">
      <c r="A236" s="10" t="s">
        <v>1709</v>
      </c>
      <c r="B236" s="10" t="s">
        <v>1469</v>
      </c>
      <c r="C236" s="60" t="s">
        <v>1470</v>
      </c>
      <c r="D236" s="12"/>
      <c r="E236" s="13" t="s">
        <v>378</v>
      </c>
      <c r="F236" s="43" t="s">
        <v>1703</v>
      </c>
      <c r="G236" s="6" t="str">
        <f ca="1">IFERROR(__xludf.DUMMYFUNCTION("CONCATENATE(B236,(VLOOKUP(C236,CATALOGOS!$F$2:$H$6,3,FALSE)),(VLOOKUP(T236,CATALOGOS!$J$2:$K$18,2,FALSE)),""-"",TO_TEXT(A236))"),"P12PP-0235")</f>
        <v>P12PP-0235</v>
      </c>
      <c r="H236" s="6" t="s">
        <v>1710</v>
      </c>
      <c r="I236" s="6" t="s">
        <v>1711</v>
      </c>
      <c r="J236" s="6" t="s">
        <v>1712</v>
      </c>
      <c r="K236" s="6" t="s">
        <v>1713</v>
      </c>
      <c r="L236" s="17"/>
      <c r="M236" s="17"/>
      <c r="N236" s="17" t="str">
        <f t="shared" si="1"/>
        <v>OK</v>
      </c>
      <c r="O236" s="17" t="s">
        <v>35</v>
      </c>
      <c r="P236" s="6" t="s">
        <v>35</v>
      </c>
      <c r="Q236" s="17" t="s">
        <v>36</v>
      </c>
      <c r="R236" s="17" t="s">
        <v>1714</v>
      </c>
      <c r="S236" s="173" t="s">
        <v>38</v>
      </c>
      <c r="T236" s="11" t="s">
        <v>1548</v>
      </c>
      <c r="U236" s="20" t="s">
        <v>1597</v>
      </c>
      <c r="V236" s="20" t="s">
        <v>1597</v>
      </c>
      <c r="W236" s="20"/>
      <c r="X236" s="7"/>
      <c r="Y236" s="7"/>
      <c r="Z236" s="23"/>
      <c r="AA236" s="26"/>
    </row>
    <row r="237" spans="1:27" ht="15.75" customHeight="1">
      <c r="A237" s="10" t="s">
        <v>1715</v>
      </c>
      <c r="B237" s="10" t="s">
        <v>1469</v>
      </c>
      <c r="C237" s="60" t="s">
        <v>1470</v>
      </c>
      <c r="D237" s="12"/>
      <c r="E237" s="13" t="s">
        <v>62</v>
      </c>
      <c r="F237" s="43" t="s">
        <v>1716</v>
      </c>
      <c r="G237" s="6" t="str">
        <f ca="1">IFERROR(__xludf.DUMMYFUNCTION("CONCATENATE(B237,(VLOOKUP(C237,CATALOGOS!$F$2:$H$6,3,FALSE)),(VLOOKUP(T237,CATALOGOS!$J$2:$K$18,2,FALSE)),""-"",TO_TEXT(A237))"),"P12PP-0236")</f>
        <v>P12PP-0236</v>
      </c>
      <c r="H237" s="6" t="s">
        <v>1717</v>
      </c>
      <c r="I237" s="6" t="s">
        <v>1718</v>
      </c>
      <c r="J237" s="6" t="s">
        <v>1719</v>
      </c>
      <c r="K237" s="6" t="s">
        <v>1720</v>
      </c>
      <c r="L237" s="17"/>
      <c r="M237" s="17"/>
      <c r="N237" s="17" t="str">
        <f t="shared" si="1"/>
        <v>OK</v>
      </c>
      <c r="O237" s="17" t="s">
        <v>35</v>
      </c>
      <c r="P237" s="6" t="s">
        <v>35</v>
      </c>
      <c r="Q237" s="17" t="s">
        <v>36</v>
      </c>
      <c r="R237" s="17" t="s">
        <v>85</v>
      </c>
      <c r="S237" s="173" t="s">
        <v>38</v>
      </c>
      <c r="T237" s="11" t="s">
        <v>1548</v>
      </c>
      <c r="U237" s="20" t="s">
        <v>1597</v>
      </c>
      <c r="V237" s="20" t="s">
        <v>1597</v>
      </c>
      <c r="W237" s="20"/>
      <c r="X237" s="6"/>
      <c r="Y237" s="6"/>
      <c r="Z237" s="23"/>
      <c r="AA237" s="24"/>
    </row>
    <row r="238" spans="1:27" ht="15.75" customHeight="1">
      <c r="A238" s="10" t="s">
        <v>1721</v>
      </c>
      <c r="B238" s="10" t="s">
        <v>1469</v>
      </c>
      <c r="C238" s="60" t="s">
        <v>1470</v>
      </c>
      <c r="D238" s="38"/>
      <c r="E238" s="13" t="s">
        <v>248</v>
      </c>
      <c r="F238" s="43" t="s">
        <v>249</v>
      </c>
      <c r="G238" s="6" t="str">
        <f ca="1">IFERROR(__xludf.DUMMYFUNCTION("CONCATENATE(B238,(VLOOKUP(C238,CATALOGOS!$F$2:$H$6,3,FALSE)),(VLOOKUP(T238,CATALOGOS!$J$2:$K$18,2,FALSE)),""-"",TO_TEXT(A238))"),"P12PP-0237")</f>
        <v>P12PP-0237</v>
      </c>
      <c r="H238" s="6" t="s">
        <v>1722</v>
      </c>
      <c r="I238" s="17" t="s">
        <v>1723</v>
      </c>
      <c r="J238" s="17" t="s">
        <v>1724</v>
      </c>
      <c r="K238" s="17" t="s">
        <v>1725</v>
      </c>
      <c r="L238" s="17"/>
      <c r="M238" s="17"/>
      <c r="N238" s="17" t="str">
        <f t="shared" si="1"/>
        <v>OK</v>
      </c>
      <c r="O238" s="17" t="s">
        <v>303</v>
      </c>
      <c r="P238" s="6" t="s">
        <v>1726</v>
      </c>
      <c r="Q238" s="46" t="s">
        <v>1727</v>
      </c>
      <c r="R238" s="17" t="s">
        <v>1728</v>
      </c>
      <c r="S238" s="173" t="s">
        <v>38</v>
      </c>
      <c r="T238" s="11" t="s">
        <v>1548</v>
      </c>
      <c r="U238" s="20" t="s">
        <v>1597</v>
      </c>
      <c r="V238" s="20" t="s">
        <v>1597</v>
      </c>
      <c r="W238" s="20"/>
      <c r="X238" s="7"/>
      <c r="Y238" s="7"/>
      <c r="Z238" s="26"/>
      <c r="AA238" s="26"/>
    </row>
    <row r="239" spans="1:27" ht="15.75" customHeight="1">
      <c r="A239" s="10" t="s">
        <v>1729</v>
      </c>
      <c r="B239" s="10" t="s">
        <v>1469</v>
      </c>
      <c r="C239" s="60" t="s">
        <v>1470</v>
      </c>
      <c r="D239" s="12"/>
      <c r="E239" s="13" t="s">
        <v>116</v>
      </c>
      <c r="F239" s="6" t="s">
        <v>1730</v>
      </c>
      <c r="G239" s="6" t="str">
        <f ca="1">IFERROR(__xludf.DUMMYFUNCTION("CONCATENATE(B239,(VLOOKUP(C239,CATALOGOS!$F$2:$H$6,3,FALSE)),(VLOOKUP(T239,CATALOGOS!$J$2:$K$18,2,FALSE)),""-"",TO_TEXT(A239))"),"P12PP-0238")</f>
        <v>P12PP-0238</v>
      </c>
      <c r="H239" s="6" t="s">
        <v>1731</v>
      </c>
      <c r="I239" s="6" t="s">
        <v>1732</v>
      </c>
      <c r="J239" s="6" t="s">
        <v>1733</v>
      </c>
      <c r="K239" s="6" t="s">
        <v>1734</v>
      </c>
      <c r="L239" s="17"/>
      <c r="M239" s="17"/>
      <c r="N239" s="17" t="str">
        <f t="shared" si="1"/>
        <v>OK</v>
      </c>
      <c r="O239" s="17" t="s">
        <v>35</v>
      </c>
      <c r="P239" s="6" t="s">
        <v>35</v>
      </c>
      <c r="Q239" s="17" t="s">
        <v>36</v>
      </c>
      <c r="R239" s="17" t="s">
        <v>1735</v>
      </c>
      <c r="S239" s="173" t="s">
        <v>38</v>
      </c>
      <c r="T239" s="11" t="s">
        <v>1548</v>
      </c>
      <c r="U239" s="20" t="s">
        <v>1737</v>
      </c>
      <c r="V239" s="20" t="s">
        <v>1737</v>
      </c>
      <c r="W239" s="20"/>
      <c r="X239" s="7"/>
      <c r="Y239" s="7"/>
      <c r="Z239" s="23"/>
      <c r="AA239" s="26"/>
    </row>
    <row r="240" spans="1:27" ht="15.75" customHeight="1">
      <c r="A240" s="10" t="s">
        <v>1738</v>
      </c>
      <c r="B240" s="10" t="s">
        <v>1469</v>
      </c>
      <c r="C240" s="60" t="s">
        <v>1470</v>
      </c>
      <c r="D240" s="12"/>
      <c r="E240" s="13" t="s">
        <v>93</v>
      </c>
      <c r="F240" s="6" t="s">
        <v>1739</v>
      </c>
      <c r="G240" s="6" t="str">
        <f ca="1">IFERROR(__xludf.DUMMYFUNCTION("CONCATENATE(B240,(VLOOKUP(C240,CATALOGOS!$F$2:$H$6,3,FALSE)),(VLOOKUP(T240,CATALOGOS!$J$2:$K$18,2,FALSE)),""-"",TO_TEXT(A240))"),"P12PP-0239")</f>
        <v>P12PP-0239</v>
      </c>
      <c r="H240" s="6" t="s">
        <v>1740</v>
      </c>
      <c r="I240" s="6" t="s">
        <v>1741</v>
      </c>
      <c r="J240" s="6" t="s">
        <v>1742</v>
      </c>
      <c r="K240" s="6" t="s">
        <v>1743</v>
      </c>
      <c r="L240" s="17"/>
      <c r="M240" s="17"/>
      <c r="N240" s="17" t="str">
        <f t="shared" si="1"/>
        <v>OK</v>
      </c>
      <c r="O240" s="17" t="s">
        <v>35</v>
      </c>
      <c r="P240" s="6" t="s">
        <v>35</v>
      </c>
      <c r="Q240" s="17" t="s">
        <v>36</v>
      </c>
      <c r="R240" s="17" t="s">
        <v>1744</v>
      </c>
      <c r="S240" s="173" t="s">
        <v>38</v>
      </c>
      <c r="T240" s="11" t="s">
        <v>1548</v>
      </c>
      <c r="U240" s="20" t="s">
        <v>1737</v>
      </c>
      <c r="V240" s="20" t="s">
        <v>1737</v>
      </c>
      <c r="W240" s="20"/>
      <c r="X240" s="7"/>
      <c r="Y240" s="7"/>
      <c r="Z240" s="23"/>
      <c r="AA240" s="26"/>
    </row>
    <row r="241" spans="1:28" ht="15.75" customHeight="1">
      <c r="A241" s="10" t="s">
        <v>1745</v>
      </c>
      <c r="B241" s="10" t="s">
        <v>1469</v>
      </c>
      <c r="C241" s="60" t="s">
        <v>1470</v>
      </c>
      <c r="D241" s="12"/>
      <c r="E241" s="13" t="s">
        <v>199</v>
      </c>
      <c r="F241" s="6" t="s">
        <v>1746</v>
      </c>
      <c r="G241" s="6" t="str">
        <f ca="1">IFERROR(__xludf.DUMMYFUNCTION("CONCATENATE(B241,(VLOOKUP(C241,CATALOGOS!$F$2:$H$6,3,FALSE)),(VLOOKUP(T241,CATALOGOS!$J$2:$K$18,2,FALSE)),""-"",TO_TEXT(A241))"),"P12PP-0240")</f>
        <v>P12PP-0240</v>
      </c>
      <c r="H241" s="6" t="s">
        <v>1747</v>
      </c>
      <c r="I241" s="6" t="s">
        <v>1748</v>
      </c>
      <c r="J241" s="6" t="s">
        <v>1749</v>
      </c>
      <c r="K241" s="6" t="s">
        <v>141</v>
      </c>
      <c r="L241" s="17"/>
      <c r="M241" s="17"/>
      <c r="N241" s="17" t="str">
        <f t="shared" si="1"/>
        <v>REPETIDO</v>
      </c>
      <c r="O241" s="17" t="s">
        <v>682</v>
      </c>
      <c r="P241" s="6" t="s">
        <v>1750</v>
      </c>
      <c r="Q241" s="17" t="s">
        <v>1751</v>
      </c>
      <c r="R241" s="17" t="s">
        <v>1752</v>
      </c>
      <c r="S241" s="173" t="s">
        <v>38</v>
      </c>
      <c r="T241" s="11" t="s">
        <v>1548</v>
      </c>
      <c r="U241" s="20" t="s">
        <v>1737</v>
      </c>
      <c r="V241" s="20" t="s">
        <v>1737</v>
      </c>
      <c r="W241" s="20"/>
      <c r="X241" s="7"/>
      <c r="Y241" s="7"/>
      <c r="Z241" s="23"/>
      <c r="AA241" s="26"/>
    </row>
    <row r="242" spans="1:28" ht="15.75" customHeight="1">
      <c r="A242" s="10" t="s">
        <v>1753</v>
      </c>
      <c r="B242" s="10" t="s">
        <v>1469</v>
      </c>
      <c r="C242" s="60" t="s">
        <v>1470</v>
      </c>
      <c r="D242" s="38"/>
      <c r="E242" s="13" t="s">
        <v>248</v>
      </c>
      <c r="F242" s="6" t="s">
        <v>249</v>
      </c>
      <c r="G242" s="6" t="str">
        <f ca="1">IFERROR(__xludf.DUMMYFUNCTION("CONCATENATE(B242,(VLOOKUP(C242,CATALOGOS!$F$2:$H$6,3,FALSE)),(VLOOKUP(T242,CATALOGOS!$J$2:$K$18,2,FALSE)),""-"",TO_TEXT(A242))"),"P12PP-0241")</f>
        <v>P12PP-0241</v>
      </c>
      <c r="H242" s="6" t="s">
        <v>1754</v>
      </c>
      <c r="I242" s="6" t="s">
        <v>1755</v>
      </c>
      <c r="J242" s="6" t="s">
        <v>1756</v>
      </c>
      <c r="K242" s="6" t="s">
        <v>1757</v>
      </c>
      <c r="L242" s="17"/>
      <c r="M242" s="17"/>
      <c r="N242" s="17" t="str">
        <f t="shared" si="1"/>
        <v>OK</v>
      </c>
      <c r="O242" s="6" t="s">
        <v>303</v>
      </c>
      <c r="P242" s="6" t="s">
        <v>304</v>
      </c>
      <c r="Q242" s="46" t="s">
        <v>1758</v>
      </c>
      <c r="R242" s="17" t="s">
        <v>1759</v>
      </c>
      <c r="S242" s="173" t="s">
        <v>38</v>
      </c>
      <c r="T242" s="11" t="s">
        <v>1548</v>
      </c>
      <c r="U242" s="20" t="s">
        <v>1672</v>
      </c>
      <c r="V242" s="20" t="s">
        <v>1672</v>
      </c>
      <c r="W242" s="20"/>
      <c r="X242" s="7"/>
      <c r="Y242" s="7"/>
      <c r="Z242" s="26"/>
      <c r="AA242" s="26"/>
    </row>
    <row r="243" spans="1:28" ht="15.75" customHeight="1">
      <c r="A243" s="10" t="s">
        <v>1760</v>
      </c>
      <c r="B243" s="10" t="s">
        <v>1469</v>
      </c>
      <c r="C243" s="60" t="s">
        <v>1470</v>
      </c>
      <c r="D243" s="12"/>
      <c r="E243" s="13" t="s">
        <v>116</v>
      </c>
      <c r="F243" s="6" t="s">
        <v>1730</v>
      </c>
      <c r="G243" s="6" t="str">
        <f ca="1">IFERROR(__xludf.DUMMYFUNCTION("CONCATENATE(B243,(VLOOKUP(C243,CATALOGOS!$F$2:$H$6,3,FALSE)),(VLOOKUP(T243,CATALOGOS!$J$2:$K$18,2,FALSE)),""-"",TO_TEXT(A243))"),"P12PP-0242")</f>
        <v>P12PP-0242</v>
      </c>
      <c r="H243" s="6" t="s">
        <v>1761</v>
      </c>
      <c r="I243" s="6" t="s">
        <v>1762</v>
      </c>
      <c r="J243" s="6" t="s">
        <v>1763</v>
      </c>
      <c r="K243" s="6" t="s">
        <v>1764</v>
      </c>
      <c r="L243" s="17"/>
      <c r="M243" s="17"/>
      <c r="N243" s="17" t="str">
        <f t="shared" si="1"/>
        <v>OK</v>
      </c>
      <c r="O243" s="17" t="s">
        <v>35</v>
      </c>
      <c r="P243" s="6" t="s">
        <v>35</v>
      </c>
      <c r="Q243" s="17" t="s">
        <v>36</v>
      </c>
      <c r="R243" s="17" t="s">
        <v>1765</v>
      </c>
      <c r="S243" s="173" t="s">
        <v>38</v>
      </c>
      <c r="T243" s="11" t="s">
        <v>1548</v>
      </c>
      <c r="U243" s="22" t="s">
        <v>1672</v>
      </c>
      <c r="V243" s="22" t="s">
        <v>1672</v>
      </c>
      <c r="W243" s="22"/>
      <c r="X243" s="36"/>
      <c r="Y243" s="36"/>
      <c r="Z243" s="23"/>
      <c r="AA243" s="33"/>
    </row>
    <row r="244" spans="1:28" ht="15.75" customHeight="1">
      <c r="A244" s="10" t="s">
        <v>1766</v>
      </c>
      <c r="B244" s="10" t="s">
        <v>1469</v>
      </c>
      <c r="C244" s="60" t="s">
        <v>1470</v>
      </c>
      <c r="D244" s="12"/>
      <c r="E244" s="13" t="s">
        <v>93</v>
      </c>
      <c r="F244" s="6" t="s">
        <v>1739</v>
      </c>
      <c r="G244" s="6" t="str">
        <f ca="1">IFERROR(__xludf.DUMMYFUNCTION("CONCATENATE(B244,(VLOOKUP(C244,CATALOGOS!$F$2:$H$6,3,FALSE)),(VLOOKUP(T244,CATALOGOS!$J$2:$K$18,2,FALSE)),""-"",TO_TEXT(A244))"),"P12PP-0243")</f>
        <v>P12PP-0243</v>
      </c>
      <c r="H244" s="6" t="s">
        <v>1767</v>
      </c>
      <c r="I244" s="6" t="s">
        <v>1768</v>
      </c>
      <c r="J244" s="6" t="s">
        <v>1769</v>
      </c>
      <c r="K244" s="6" t="s">
        <v>1770</v>
      </c>
      <c r="L244" s="17"/>
      <c r="M244" s="17"/>
      <c r="N244" s="17" t="str">
        <f t="shared" si="1"/>
        <v>OK</v>
      </c>
      <c r="O244" s="17" t="s">
        <v>35</v>
      </c>
      <c r="P244" s="6" t="s">
        <v>35</v>
      </c>
      <c r="Q244" s="17" t="s">
        <v>36</v>
      </c>
      <c r="R244" s="17" t="s">
        <v>1771</v>
      </c>
      <c r="S244" s="173" t="s">
        <v>38</v>
      </c>
      <c r="T244" s="11" t="s">
        <v>1548</v>
      </c>
      <c r="U244" s="22" t="s">
        <v>1672</v>
      </c>
      <c r="V244" s="22" t="s">
        <v>1672</v>
      </c>
      <c r="W244" s="22"/>
      <c r="X244" s="36"/>
      <c r="Y244" s="36"/>
      <c r="Z244" s="23"/>
      <c r="AA244" s="33"/>
    </row>
    <row r="245" spans="1:28" ht="15.75" customHeight="1">
      <c r="A245" s="10" t="s">
        <v>1772</v>
      </c>
      <c r="B245" s="10" t="s">
        <v>1469</v>
      </c>
      <c r="C245" s="60" t="s">
        <v>1470</v>
      </c>
      <c r="D245" s="12"/>
      <c r="E245" s="13" t="s">
        <v>1240</v>
      </c>
      <c r="F245" s="43" t="s">
        <v>278</v>
      </c>
      <c r="G245" s="6" t="str">
        <f ca="1">IFERROR(__xludf.DUMMYFUNCTION("CONCATENATE(B245,(VLOOKUP(C245,CATALOGOS!$F$2:$H$6,3,FALSE)),(VLOOKUP(T245,CATALOGOS!$J$2:$K$18,2,FALSE)),""-"",TO_TEXT(A245))"),"P12PP-0244")</f>
        <v>P12PP-0244</v>
      </c>
      <c r="H245" s="6" t="s">
        <v>1773</v>
      </c>
      <c r="I245" s="6" t="s">
        <v>1774</v>
      </c>
      <c r="J245" s="6" t="s">
        <v>1775</v>
      </c>
      <c r="K245" s="6" t="s">
        <v>1776</v>
      </c>
      <c r="L245" s="17"/>
      <c r="M245" s="17"/>
      <c r="N245" s="17" t="str">
        <f t="shared" si="1"/>
        <v>OK</v>
      </c>
      <c r="O245" s="17" t="s">
        <v>35</v>
      </c>
      <c r="P245" s="6" t="s">
        <v>35</v>
      </c>
      <c r="Q245" s="17" t="s">
        <v>36</v>
      </c>
      <c r="R245" s="17" t="s">
        <v>1777</v>
      </c>
      <c r="S245" s="173" t="s">
        <v>38</v>
      </c>
      <c r="T245" s="11" t="s">
        <v>1548</v>
      </c>
      <c r="U245" s="22" t="s">
        <v>1672</v>
      </c>
      <c r="V245" s="22" t="s">
        <v>1672</v>
      </c>
      <c r="W245" s="22"/>
      <c r="X245" s="7"/>
      <c r="Y245" s="7"/>
      <c r="Z245" s="23"/>
      <c r="AA245" s="26"/>
    </row>
    <row r="246" spans="1:28" ht="15.75" customHeight="1">
      <c r="A246" s="10" t="s">
        <v>1778</v>
      </c>
      <c r="B246" s="10" t="s">
        <v>1469</v>
      </c>
      <c r="C246" s="60" t="s">
        <v>1470</v>
      </c>
      <c r="D246" s="12"/>
      <c r="E246" s="13" t="s">
        <v>199</v>
      </c>
      <c r="F246" s="6" t="s">
        <v>199</v>
      </c>
      <c r="G246" s="6" t="str">
        <f ca="1">IFERROR(__xludf.DUMMYFUNCTION("CONCATENATE(B246,(VLOOKUP(C246,CATALOGOS!$F$2:$H$6,3,FALSE)),(VLOOKUP(T246,CATALOGOS!$J$2:$K$18,2,FALSE)),""-"",TO_TEXT(A246))"),"P12PP-0245")</f>
        <v>P12PP-0245</v>
      </c>
      <c r="H246" s="6" t="s">
        <v>1779</v>
      </c>
      <c r="I246" s="6" t="s">
        <v>1780</v>
      </c>
      <c r="J246" s="6" t="s">
        <v>1781</v>
      </c>
      <c r="K246" s="6" t="s">
        <v>1782</v>
      </c>
      <c r="L246" s="17"/>
      <c r="M246" s="17"/>
      <c r="N246" s="17" t="str">
        <f t="shared" si="1"/>
        <v>OK</v>
      </c>
      <c r="O246" s="17" t="s">
        <v>273</v>
      </c>
      <c r="P246" s="6" t="s">
        <v>274</v>
      </c>
      <c r="Q246" s="17" t="s">
        <v>1783</v>
      </c>
      <c r="R246" s="10" t="s">
        <v>85</v>
      </c>
      <c r="S246" s="173" t="s">
        <v>38</v>
      </c>
      <c r="T246" s="11" t="s">
        <v>1548</v>
      </c>
      <c r="U246" s="22" t="s">
        <v>1672</v>
      </c>
      <c r="V246" s="22" t="s">
        <v>1672</v>
      </c>
      <c r="W246" s="22"/>
      <c r="X246" s="6"/>
      <c r="Y246" s="6"/>
      <c r="Z246" s="41" t="s">
        <v>275</v>
      </c>
      <c r="AA246" s="42">
        <v>44403</v>
      </c>
      <c r="AB246" s="45" t="s">
        <v>276</v>
      </c>
    </row>
    <row r="247" spans="1:28" ht="15.75" customHeight="1">
      <c r="A247" s="10" t="s">
        <v>1784</v>
      </c>
      <c r="B247" s="10" t="s">
        <v>1469</v>
      </c>
      <c r="C247" s="60" t="s">
        <v>1470</v>
      </c>
      <c r="D247" s="12"/>
      <c r="E247" s="13" t="s">
        <v>151</v>
      </c>
      <c r="F247" s="6" t="s">
        <v>293</v>
      </c>
      <c r="G247" s="6" t="str">
        <f ca="1">IFERROR(__xludf.DUMMYFUNCTION("CONCATENATE(B247,(VLOOKUP(C247,CATALOGOS!$F$2:$H$6,3,FALSE)),(VLOOKUP(T247,CATALOGOS!$J$2:$K$18,2,FALSE)),""-"",TO_TEXT(A247))"),"P12PP-0246")</f>
        <v>P12PP-0246</v>
      </c>
      <c r="H247" s="6" t="s">
        <v>1785</v>
      </c>
      <c r="I247" s="6" t="s">
        <v>1786</v>
      </c>
      <c r="J247" s="6" t="s">
        <v>1787</v>
      </c>
      <c r="K247" s="6" t="s">
        <v>1788</v>
      </c>
      <c r="L247" s="17"/>
      <c r="M247" s="17"/>
      <c r="N247" s="17" t="str">
        <f t="shared" si="1"/>
        <v>OK</v>
      </c>
      <c r="O247" s="17" t="s">
        <v>297</v>
      </c>
      <c r="P247" s="6" t="s">
        <v>298</v>
      </c>
      <c r="Q247" s="17" t="s">
        <v>1789</v>
      </c>
      <c r="R247" s="17" t="s">
        <v>85</v>
      </c>
      <c r="S247" s="173" t="s">
        <v>38</v>
      </c>
      <c r="T247" s="11" t="s">
        <v>1548</v>
      </c>
      <c r="U247" s="22" t="s">
        <v>1672</v>
      </c>
      <c r="V247" s="22" t="s">
        <v>1672</v>
      </c>
      <c r="W247" s="22"/>
      <c r="X247" s="6"/>
      <c r="Y247" s="6"/>
      <c r="Z247" s="41" t="s">
        <v>275</v>
      </c>
      <c r="AA247" s="42">
        <v>44403</v>
      </c>
      <c r="AB247" s="45">
        <v>0</v>
      </c>
    </row>
    <row r="248" spans="1:28" ht="15.75" customHeight="1">
      <c r="A248" s="10" t="s">
        <v>1790</v>
      </c>
      <c r="B248" s="10" t="s">
        <v>1469</v>
      </c>
      <c r="C248" s="60" t="s">
        <v>1470</v>
      </c>
      <c r="D248" s="38"/>
      <c r="E248" s="13" t="s">
        <v>248</v>
      </c>
      <c r="F248" s="43" t="s">
        <v>248</v>
      </c>
      <c r="G248" s="6" t="str">
        <f ca="1">IFERROR(__xludf.DUMMYFUNCTION("CONCATENATE(B248,(VLOOKUP(C248,CATALOGOS!$F$2:$H$6,3,FALSE)),(VLOOKUP(T248,CATALOGOS!$J$2:$K$18,2,FALSE)),""-"",TO_TEXT(A248))"),"P12PP-0247")</f>
        <v>P12PP-0247</v>
      </c>
      <c r="H248" s="6" t="s">
        <v>1791</v>
      </c>
      <c r="I248" s="6" t="s">
        <v>1792</v>
      </c>
      <c r="J248" s="6" t="s">
        <v>1793</v>
      </c>
      <c r="K248" s="6" t="s">
        <v>1794</v>
      </c>
      <c r="L248" s="17"/>
      <c r="M248" s="17"/>
      <c r="N248" s="17" t="str">
        <f t="shared" si="1"/>
        <v>OK</v>
      </c>
      <c r="O248" s="17" t="s">
        <v>978</v>
      </c>
      <c r="P248" s="6" t="s">
        <v>979</v>
      </c>
      <c r="Q248" s="46" t="s">
        <v>1795</v>
      </c>
      <c r="R248" s="17" t="s">
        <v>1796</v>
      </c>
      <c r="S248" s="173" t="s">
        <v>38</v>
      </c>
      <c r="T248" s="11" t="s">
        <v>1548</v>
      </c>
      <c r="U248" s="20" t="s">
        <v>1737</v>
      </c>
      <c r="V248" s="20" t="s">
        <v>1737</v>
      </c>
      <c r="W248" s="20"/>
      <c r="X248" s="36"/>
      <c r="Y248" s="36"/>
      <c r="Z248" s="26"/>
      <c r="AA248" s="33"/>
    </row>
    <row r="249" spans="1:28" ht="15.75" customHeight="1">
      <c r="A249" s="10" t="s">
        <v>1797</v>
      </c>
      <c r="B249" s="10" t="s">
        <v>1469</v>
      </c>
      <c r="C249" s="60" t="s">
        <v>1470</v>
      </c>
      <c r="D249" s="12"/>
      <c r="E249" s="13" t="s">
        <v>378</v>
      </c>
      <c r="F249" s="6" t="s">
        <v>1450</v>
      </c>
      <c r="G249" s="6" t="str">
        <f ca="1">IFERROR(__xludf.DUMMYFUNCTION("CONCATENATE(B249,(VLOOKUP(C249,CATALOGOS!$F$2:$H$6,3,FALSE)),(VLOOKUP(T249,CATALOGOS!$J$2:$K$18,2,FALSE)),""-"",TO_TEXT(A249))"),"P12PP-0248")</f>
        <v>P12PP-0248</v>
      </c>
      <c r="H249" s="6" t="s">
        <v>1798</v>
      </c>
      <c r="I249" s="6" t="s">
        <v>1799</v>
      </c>
      <c r="J249" s="36"/>
      <c r="K249" s="6" t="s">
        <v>1800</v>
      </c>
      <c r="L249" s="17"/>
      <c r="M249" s="17"/>
      <c r="N249" s="17" t="str">
        <f t="shared" si="1"/>
        <v>OK</v>
      </c>
      <c r="O249" s="35" t="s">
        <v>35</v>
      </c>
      <c r="P249" s="6" t="s">
        <v>35</v>
      </c>
      <c r="Q249" s="10" t="s">
        <v>36</v>
      </c>
      <c r="R249" s="32" t="s">
        <v>85</v>
      </c>
      <c r="S249" s="173" t="s">
        <v>38</v>
      </c>
      <c r="T249" s="11" t="s">
        <v>1548</v>
      </c>
      <c r="U249" s="20" t="s">
        <v>1597</v>
      </c>
      <c r="V249" s="20" t="s">
        <v>1597</v>
      </c>
      <c r="W249" s="20"/>
      <c r="X249" s="6"/>
      <c r="Y249" s="6"/>
      <c r="Z249" s="23"/>
      <c r="AA249" s="33"/>
    </row>
    <row r="250" spans="1:28" ht="15.75" customHeight="1">
      <c r="A250" s="10" t="s">
        <v>1801</v>
      </c>
      <c r="B250" s="10" t="s">
        <v>1469</v>
      </c>
      <c r="C250" s="60" t="s">
        <v>1470</v>
      </c>
      <c r="D250" s="12"/>
      <c r="E250" s="13" t="s">
        <v>378</v>
      </c>
      <c r="F250" s="6" t="s">
        <v>878</v>
      </c>
      <c r="G250" s="6" t="str">
        <f ca="1">IFERROR(__xludf.DUMMYFUNCTION("CONCATENATE(B250,(VLOOKUP(C250,CATALOGOS!$F$2:$H$6,3,FALSE)),(VLOOKUP(T250,CATALOGOS!$J$2:$K$18,2,FALSE)),""-"",TO_TEXT(A250))"),"P12PP-0249")</f>
        <v>P12PP-0249</v>
      </c>
      <c r="H250" s="6" t="s">
        <v>1802</v>
      </c>
      <c r="I250" s="6" t="s">
        <v>1803</v>
      </c>
      <c r="J250" s="6" t="s">
        <v>1804</v>
      </c>
      <c r="K250" s="6" t="s">
        <v>1805</v>
      </c>
      <c r="L250" s="17"/>
      <c r="M250" s="17"/>
      <c r="N250" s="17" t="str">
        <f t="shared" si="1"/>
        <v>OK</v>
      </c>
      <c r="O250" s="17" t="s">
        <v>35</v>
      </c>
      <c r="P250" s="6" t="s">
        <v>35</v>
      </c>
      <c r="Q250" s="17" t="s">
        <v>36</v>
      </c>
      <c r="R250" s="17" t="s">
        <v>1806</v>
      </c>
      <c r="S250" s="173" t="s">
        <v>38</v>
      </c>
      <c r="T250" s="11" t="s">
        <v>1548</v>
      </c>
      <c r="U250" s="20" t="s">
        <v>1737</v>
      </c>
      <c r="V250" s="20" t="s">
        <v>1737</v>
      </c>
      <c r="W250" s="20"/>
      <c r="X250" s="7"/>
      <c r="Y250" s="7"/>
      <c r="Z250" s="23"/>
      <c r="AA250" s="26"/>
    </row>
    <row r="251" spans="1:28" ht="15.75" customHeight="1">
      <c r="A251" s="10" t="s">
        <v>1807</v>
      </c>
      <c r="B251" s="10" t="s">
        <v>1469</v>
      </c>
      <c r="C251" s="60" t="s">
        <v>1470</v>
      </c>
      <c r="D251" s="38"/>
      <c r="E251" s="13" t="s">
        <v>378</v>
      </c>
      <c r="F251" s="6" t="s">
        <v>878</v>
      </c>
      <c r="G251" s="6" t="str">
        <f ca="1">IFERROR(__xludf.DUMMYFUNCTION("CONCATENATE(B251,(VLOOKUP(C251,CATALOGOS!$F$2:$H$6,3,FALSE)),(VLOOKUP(T251,CATALOGOS!$J$2:$K$18,2,FALSE)),""-"",TO_TEXT(A251))"),"P12PP-0250")</f>
        <v>P12PP-0250</v>
      </c>
      <c r="H251" s="6" t="s">
        <v>1808</v>
      </c>
      <c r="I251" s="6" t="s">
        <v>1809</v>
      </c>
      <c r="J251" s="6" t="s">
        <v>1810</v>
      </c>
      <c r="K251" s="6" t="s">
        <v>1811</v>
      </c>
      <c r="L251" s="17"/>
      <c r="M251" s="17"/>
      <c r="N251" s="17" t="str">
        <f t="shared" si="1"/>
        <v>OK</v>
      </c>
      <c r="O251" s="17" t="s">
        <v>35</v>
      </c>
      <c r="P251" s="6" t="s">
        <v>35</v>
      </c>
      <c r="Q251" s="46" t="s">
        <v>36</v>
      </c>
      <c r="R251" s="17" t="s">
        <v>1812</v>
      </c>
      <c r="S251" s="173" t="s">
        <v>38</v>
      </c>
      <c r="T251" s="11" t="s">
        <v>1548</v>
      </c>
      <c r="U251" s="32" t="s">
        <v>1672</v>
      </c>
      <c r="V251" s="32" t="s">
        <v>1672</v>
      </c>
      <c r="W251" s="32"/>
      <c r="X251" s="7"/>
      <c r="Y251" s="7"/>
      <c r="Z251" s="26"/>
      <c r="AA251" s="26"/>
    </row>
    <row r="252" spans="1:28" ht="15.75" customHeight="1">
      <c r="A252" s="10" t="s">
        <v>1813</v>
      </c>
      <c r="B252" s="10" t="s">
        <v>1469</v>
      </c>
      <c r="C252" s="60" t="s">
        <v>1470</v>
      </c>
      <c r="D252" s="38"/>
      <c r="E252" s="13" t="s">
        <v>378</v>
      </c>
      <c r="F252" s="6" t="s">
        <v>878</v>
      </c>
      <c r="G252" s="6" t="str">
        <f ca="1">IFERROR(__xludf.DUMMYFUNCTION("CONCATENATE(B252,(VLOOKUP(C252,CATALOGOS!$F$2:$H$6,3,FALSE)),(VLOOKUP(T252,CATALOGOS!$J$2:$K$18,2,FALSE)),""-"",TO_TEXT(A252))"),"P12PP-0251")</f>
        <v>P12PP-0251</v>
      </c>
      <c r="H252" s="6" t="s">
        <v>1814</v>
      </c>
      <c r="I252" s="6" t="s">
        <v>1815</v>
      </c>
      <c r="J252" s="6" t="s">
        <v>1816</v>
      </c>
      <c r="K252" s="6" t="s">
        <v>1817</v>
      </c>
      <c r="L252" s="17"/>
      <c r="M252" s="17"/>
      <c r="N252" s="17" t="str">
        <f t="shared" si="1"/>
        <v>OK</v>
      </c>
      <c r="O252" s="17" t="s">
        <v>35</v>
      </c>
      <c r="P252" s="6" t="s">
        <v>35</v>
      </c>
      <c r="Q252" s="46" t="s">
        <v>36</v>
      </c>
      <c r="R252" s="17" t="s">
        <v>1818</v>
      </c>
      <c r="S252" s="173" t="s">
        <v>38</v>
      </c>
      <c r="T252" s="11" t="s">
        <v>1548</v>
      </c>
      <c r="U252" s="32" t="s">
        <v>1672</v>
      </c>
      <c r="V252" s="32" t="s">
        <v>1672</v>
      </c>
      <c r="W252" s="32"/>
      <c r="X252" s="7"/>
      <c r="Y252" s="7"/>
      <c r="Z252" s="26"/>
      <c r="AA252" s="26"/>
    </row>
    <row r="253" spans="1:28" ht="15.75" customHeight="1">
      <c r="A253" s="10" t="s">
        <v>1819</v>
      </c>
      <c r="B253" s="10" t="s">
        <v>1469</v>
      </c>
      <c r="C253" s="60" t="s">
        <v>1470</v>
      </c>
      <c r="D253" s="12"/>
      <c r="E253" s="13" t="s">
        <v>378</v>
      </c>
      <c r="F253" s="6" t="s">
        <v>878</v>
      </c>
      <c r="G253" s="6" t="str">
        <f ca="1">IFERROR(__xludf.DUMMYFUNCTION("CONCATENATE(B253,(VLOOKUP(C253,CATALOGOS!$F$2:$H$6,3,FALSE)),(VLOOKUP(T253,CATALOGOS!$J$2:$K$18,2,FALSE)),""-"",TO_TEXT(A253))"),"P12PP-0252")</f>
        <v>P12PP-0252</v>
      </c>
      <c r="H253" s="6" t="s">
        <v>1820</v>
      </c>
      <c r="I253" s="6" t="s">
        <v>1821</v>
      </c>
      <c r="J253" s="6" t="s">
        <v>1822</v>
      </c>
      <c r="K253" s="43" t="s">
        <v>1823</v>
      </c>
      <c r="L253" s="17"/>
      <c r="M253" s="17"/>
      <c r="N253" s="17" t="str">
        <f t="shared" si="1"/>
        <v>OK</v>
      </c>
      <c r="O253" s="17" t="s">
        <v>35</v>
      </c>
      <c r="P253" s="6" t="s">
        <v>35</v>
      </c>
      <c r="Q253" s="17" t="s">
        <v>36</v>
      </c>
      <c r="R253" s="17" t="s">
        <v>1824</v>
      </c>
      <c r="S253" s="173" t="s">
        <v>38</v>
      </c>
      <c r="T253" s="11" t="s">
        <v>1548</v>
      </c>
      <c r="U253" s="22" t="s">
        <v>1550</v>
      </c>
      <c r="V253" s="22" t="s">
        <v>1550</v>
      </c>
      <c r="W253" s="22"/>
      <c r="X253" s="7"/>
      <c r="Y253" s="7"/>
      <c r="Z253" s="23"/>
      <c r="AA253" s="26"/>
    </row>
    <row r="254" spans="1:28" ht="15.75" customHeight="1">
      <c r="A254" s="10" t="s">
        <v>1825</v>
      </c>
      <c r="B254" s="10" t="s">
        <v>1469</v>
      </c>
      <c r="C254" s="60" t="s">
        <v>1470</v>
      </c>
      <c r="D254" s="12"/>
      <c r="E254" s="13" t="s">
        <v>378</v>
      </c>
      <c r="F254" s="6" t="s">
        <v>878</v>
      </c>
      <c r="G254" s="6" t="str">
        <f ca="1">IFERROR(__xludf.DUMMYFUNCTION("CONCATENATE(B254,(VLOOKUP(C254,CATALOGOS!$F$2:$H$6,3,FALSE)),(VLOOKUP(T254,CATALOGOS!$J$2:$K$18,2,FALSE)),""-"",TO_TEXT(A254))"),"P12PP-0253")</f>
        <v>P12PP-0253</v>
      </c>
      <c r="H254" s="6" t="s">
        <v>1826</v>
      </c>
      <c r="I254" s="6" t="s">
        <v>1827</v>
      </c>
      <c r="J254" s="6" t="s">
        <v>1828</v>
      </c>
      <c r="K254" s="6" t="s">
        <v>1829</v>
      </c>
      <c r="L254" s="17"/>
      <c r="M254" s="17"/>
      <c r="N254" s="17" t="str">
        <f t="shared" si="1"/>
        <v>OK</v>
      </c>
      <c r="O254" s="17" t="s">
        <v>35</v>
      </c>
      <c r="P254" s="6" t="s">
        <v>35</v>
      </c>
      <c r="Q254" s="17" t="s">
        <v>36</v>
      </c>
      <c r="R254" s="17" t="s">
        <v>1830</v>
      </c>
      <c r="S254" s="173" t="s">
        <v>38</v>
      </c>
      <c r="T254" s="11" t="s">
        <v>1548</v>
      </c>
      <c r="U254" s="22" t="s">
        <v>1550</v>
      </c>
      <c r="V254" s="22" t="s">
        <v>1550</v>
      </c>
      <c r="W254" s="22"/>
      <c r="X254" s="7"/>
      <c r="Y254" s="7"/>
      <c r="Z254" s="23"/>
      <c r="AA254" s="26"/>
    </row>
    <row r="255" spans="1:28" ht="15.75" customHeight="1">
      <c r="A255" s="10" t="s">
        <v>1831</v>
      </c>
      <c r="B255" s="10" t="s">
        <v>1469</v>
      </c>
      <c r="C255" s="60" t="s">
        <v>1470</v>
      </c>
      <c r="D255" s="12"/>
      <c r="E255" s="13" t="s">
        <v>93</v>
      </c>
      <c r="F255" s="6" t="s">
        <v>1739</v>
      </c>
      <c r="G255" s="6" t="str">
        <f ca="1">IFERROR(__xludf.DUMMYFUNCTION("CONCATENATE(B255,(VLOOKUP(C255,CATALOGOS!$F$2:$H$6,3,FALSE)),(VLOOKUP(T255,CATALOGOS!$J$2:$K$18,2,FALSE)),""-"",TO_TEXT(A255))"),"P12PP-0254")</f>
        <v>P12PP-0254</v>
      </c>
      <c r="H255" s="6" t="s">
        <v>1832</v>
      </c>
      <c r="I255" s="6" t="s">
        <v>1833</v>
      </c>
      <c r="J255" s="6" t="s">
        <v>1834</v>
      </c>
      <c r="K255" s="6" t="s">
        <v>1835</v>
      </c>
      <c r="L255" s="17"/>
      <c r="M255" s="17"/>
      <c r="N255" s="17" t="str">
        <f t="shared" si="1"/>
        <v>OK</v>
      </c>
      <c r="O255" s="17" t="s">
        <v>35</v>
      </c>
      <c r="P255" s="6" t="s">
        <v>35</v>
      </c>
      <c r="Q255" s="17" t="s">
        <v>36</v>
      </c>
      <c r="R255" s="17" t="s">
        <v>1836</v>
      </c>
      <c r="S255" s="173" t="s">
        <v>38</v>
      </c>
      <c r="T255" s="11" t="s">
        <v>1548</v>
      </c>
      <c r="U255" s="22" t="s">
        <v>1550</v>
      </c>
      <c r="V255" s="22" t="s">
        <v>1550</v>
      </c>
      <c r="W255" s="22"/>
      <c r="X255" s="6"/>
      <c r="Y255" s="6"/>
      <c r="Z255" s="23"/>
      <c r="AA255" s="24"/>
    </row>
    <row r="256" spans="1:28" ht="15.75" customHeight="1">
      <c r="A256" s="10" t="s">
        <v>1837</v>
      </c>
      <c r="B256" s="10" t="s">
        <v>1469</v>
      </c>
      <c r="C256" s="60" t="s">
        <v>1470</v>
      </c>
      <c r="D256" s="12"/>
      <c r="E256" s="13" t="s">
        <v>116</v>
      </c>
      <c r="F256" s="6" t="s">
        <v>1730</v>
      </c>
      <c r="G256" s="6" t="str">
        <f ca="1">IFERROR(__xludf.DUMMYFUNCTION("CONCATENATE(B256,(VLOOKUP(C256,CATALOGOS!$F$2:$H$6,3,FALSE)),(VLOOKUP(T256,CATALOGOS!$J$2:$K$18,2,FALSE)),""-"",TO_TEXT(A256))"),"P12PP-0255")</f>
        <v>P12PP-0255</v>
      </c>
      <c r="H256" s="6" t="s">
        <v>1838</v>
      </c>
      <c r="I256" s="6" t="s">
        <v>1839</v>
      </c>
      <c r="J256" s="6" t="s">
        <v>1840</v>
      </c>
      <c r="K256" s="6" t="s">
        <v>1841</v>
      </c>
      <c r="L256" s="17"/>
      <c r="M256" s="17"/>
      <c r="N256" s="17" t="str">
        <f t="shared" si="1"/>
        <v>OK</v>
      </c>
      <c r="O256" s="17" t="s">
        <v>35</v>
      </c>
      <c r="P256" s="6" t="s">
        <v>35</v>
      </c>
      <c r="Q256" s="17" t="s">
        <v>36</v>
      </c>
      <c r="R256" s="17" t="s">
        <v>1842</v>
      </c>
      <c r="S256" s="173" t="s">
        <v>38</v>
      </c>
      <c r="T256" s="11" t="s">
        <v>1548</v>
      </c>
      <c r="U256" s="22" t="s">
        <v>1550</v>
      </c>
      <c r="V256" s="22" t="s">
        <v>1550</v>
      </c>
      <c r="W256" s="22"/>
      <c r="X256" s="7"/>
      <c r="Y256" s="7"/>
      <c r="Z256" s="23"/>
      <c r="AA256" s="26"/>
    </row>
    <row r="257" spans="1:27" ht="15.75" customHeight="1">
      <c r="A257" s="10" t="s">
        <v>1843</v>
      </c>
      <c r="B257" s="10" t="s">
        <v>1469</v>
      </c>
      <c r="C257" s="60" t="s">
        <v>1470</v>
      </c>
      <c r="D257" s="12"/>
      <c r="E257" s="13" t="s">
        <v>93</v>
      </c>
      <c r="F257" s="43" t="s">
        <v>528</v>
      </c>
      <c r="G257" s="6" t="str">
        <f ca="1">IFERROR(__xludf.DUMMYFUNCTION("CONCATENATE(B257,(VLOOKUP(C257,CATALOGOS!$F$2:$H$6,3,FALSE)),(VLOOKUP(T257,CATALOGOS!$J$2:$K$18,2,FALSE)),""-"",TO_TEXT(A257))"),"P12PP-0256")</f>
        <v>P12PP-0256</v>
      </c>
      <c r="H257" s="6" t="s">
        <v>1844</v>
      </c>
      <c r="I257" s="6" t="s">
        <v>1845</v>
      </c>
      <c r="J257" s="6" t="s">
        <v>1846</v>
      </c>
      <c r="K257" s="6" t="s">
        <v>1847</v>
      </c>
      <c r="L257" s="17"/>
      <c r="M257" s="17"/>
      <c r="N257" s="17" t="str">
        <f t="shared" si="1"/>
        <v>OK</v>
      </c>
      <c r="O257" s="17" t="s">
        <v>35</v>
      </c>
      <c r="P257" s="6" t="s">
        <v>35</v>
      </c>
      <c r="Q257" s="17" t="s">
        <v>36</v>
      </c>
      <c r="R257" s="17" t="s">
        <v>1848</v>
      </c>
      <c r="S257" s="173" t="s">
        <v>38</v>
      </c>
      <c r="T257" s="11" t="s">
        <v>1548</v>
      </c>
      <c r="U257" s="20" t="s">
        <v>1597</v>
      </c>
      <c r="V257" s="20" t="s">
        <v>1597</v>
      </c>
      <c r="W257" s="20"/>
      <c r="X257" s="7"/>
      <c r="Y257" s="7"/>
      <c r="Z257" s="23"/>
      <c r="AA257" s="26"/>
    </row>
    <row r="258" spans="1:27" ht="15.75" customHeight="1">
      <c r="A258" s="10" t="s">
        <v>1849</v>
      </c>
      <c r="B258" s="10" t="s">
        <v>1469</v>
      </c>
      <c r="C258" s="60" t="s">
        <v>1470</v>
      </c>
      <c r="D258" s="12"/>
      <c r="E258" s="13" t="s">
        <v>43</v>
      </c>
      <c r="F258" s="43" t="s">
        <v>1850</v>
      </c>
      <c r="G258" s="6" t="str">
        <f ca="1">IFERROR(__xludf.DUMMYFUNCTION("CONCATENATE(B258,(VLOOKUP(C258,CATALOGOS!$F$2:$H$6,3,FALSE)),(VLOOKUP(T258,CATALOGOS!$J$2:$K$18,2,FALSE)),""-"",TO_TEXT(A258))"),"P12PP-0257")</f>
        <v>P12PP-0257</v>
      </c>
      <c r="H258" s="6" t="s">
        <v>1851</v>
      </c>
      <c r="I258" s="6" t="s">
        <v>1852</v>
      </c>
      <c r="J258" s="6" t="s">
        <v>1853</v>
      </c>
      <c r="K258" s="6" t="s">
        <v>1854</v>
      </c>
      <c r="L258" s="17"/>
      <c r="M258" s="17"/>
      <c r="N258" s="17" t="str">
        <f t="shared" si="1"/>
        <v>OK</v>
      </c>
      <c r="O258" s="17" t="s">
        <v>49</v>
      </c>
      <c r="P258" s="6">
        <v>3352</v>
      </c>
      <c r="Q258" s="17" t="s">
        <v>1855</v>
      </c>
      <c r="R258" s="17" t="s">
        <v>1856</v>
      </c>
      <c r="S258" s="173" t="s">
        <v>38</v>
      </c>
      <c r="T258" s="11" t="s">
        <v>1548</v>
      </c>
      <c r="U258" s="22" t="s">
        <v>1550</v>
      </c>
      <c r="V258" s="22" t="s">
        <v>1550</v>
      </c>
      <c r="W258" s="22"/>
      <c r="X258" s="7"/>
      <c r="Y258" s="7"/>
      <c r="Z258" s="23"/>
      <c r="AA258" s="26"/>
    </row>
    <row r="259" spans="1:27" ht="15.75" customHeight="1">
      <c r="A259" s="10" t="s">
        <v>1857</v>
      </c>
      <c r="B259" s="10" t="s">
        <v>1469</v>
      </c>
      <c r="C259" s="60" t="s">
        <v>1470</v>
      </c>
      <c r="D259" s="12"/>
      <c r="E259" s="13" t="s">
        <v>353</v>
      </c>
      <c r="F259" s="43" t="s">
        <v>354</v>
      </c>
      <c r="G259" s="6" t="str">
        <f ca="1">IFERROR(__xludf.DUMMYFUNCTION("CONCATENATE(B259,(VLOOKUP(C259,CATALOGOS!$F$2:$H$6,3,FALSE)),(VLOOKUP(T259,CATALOGOS!$J$2:$K$18,2,FALSE)),""-"",TO_TEXT(A259))"),"P12PP-0258")</f>
        <v>P12PP-0258</v>
      </c>
      <c r="H259" s="6" t="s">
        <v>1858</v>
      </c>
      <c r="I259" s="6" t="s">
        <v>1859</v>
      </c>
      <c r="J259" s="6" t="s">
        <v>1860</v>
      </c>
      <c r="K259" s="6" t="s">
        <v>1861</v>
      </c>
      <c r="L259" s="17"/>
      <c r="M259" s="17"/>
      <c r="N259" s="17" t="str">
        <f t="shared" si="1"/>
        <v>OK</v>
      </c>
      <c r="O259" s="17" t="s">
        <v>359</v>
      </c>
      <c r="P259" s="6" t="s">
        <v>360</v>
      </c>
      <c r="Q259" s="17" t="s">
        <v>36</v>
      </c>
      <c r="R259" s="17" t="s">
        <v>1862</v>
      </c>
      <c r="S259" s="173" t="s">
        <v>38</v>
      </c>
      <c r="T259" s="11" t="s">
        <v>1548</v>
      </c>
      <c r="U259" s="22" t="s">
        <v>1550</v>
      </c>
      <c r="V259" s="22" t="s">
        <v>1550</v>
      </c>
      <c r="W259" s="22"/>
      <c r="X259" s="6"/>
      <c r="Y259" s="6"/>
      <c r="Z259" s="23"/>
      <c r="AA259" s="24"/>
    </row>
    <row r="260" spans="1:27" ht="15.75" customHeight="1">
      <c r="A260" s="10" t="s">
        <v>1863</v>
      </c>
      <c r="B260" s="10" t="s">
        <v>1469</v>
      </c>
      <c r="C260" s="60" t="s">
        <v>1470</v>
      </c>
      <c r="D260" s="12"/>
      <c r="E260" s="13" t="s">
        <v>199</v>
      </c>
      <c r="F260" s="6" t="s">
        <v>199</v>
      </c>
      <c r="G260" s="6" t="str">
        <f ca="1">IFERROR(__xludf.DUMMYFUNCTION("CONCATENATE(B260,(VLOOKUP(C260,CATALOGOS!$F$2:$H$6,3,FALSE)),(VLOOKUP(T260,CATALOGOS!$J$2:$K$18,2,FALSE)),""-"",TO_TEXT(A260))"),"P12PP-0259")</f>
        <v>P12PP-0259</v>
      </c>
      <c r="H260" s="6" t="s">
        <v>1864</v>
      </c>
      <c r="I260" s="6" t="s">
        <v>1865</v>
      </c>
      <c r="J260" s="6" t="s">
        <v>1866</v>
      </c>
      <c r="K260" s="6" t="s">
        <v>1867</v>
      </c>
      <c r="L260" s="17"/>
      <c r="M260" s="17"/>
      <c r="N260" s="17" t="str">
        <f t="shared" si="1"/>
        <v>OK</v>
      </c>
      <c r="O260" s="17" t="s">
        <v>157</v>
      </c>
      <c r="P260" s="6">
        <v>2378</v>
      </c>
      <c r="Q260" s="17" t="s">
        <v>1868</v>
      </c>
      <c r="R260" s="17" t="s">
        <v>1869</v>
      </c>
      <c r="S260" s="173" t="s">
        <v>38</v>
      </c>
      <c r="T260" s="11" t="s">
        <v>1548</v>
      </c>
      <c r="U260" s="22" t="s">
        <v>1550</v>
      </c>
      <c r="V260" s="22" t="s">
        <v>1550</v>
      </c>
      <c r="W260" s="22"/>
      <c r="X260" s="6"/>
      <c r="Y260" s="6"/>
      <c r="Z260" s="23"/>
      <c r="AA260" s="33"/>
    </row>
    <row r="261" spans="1:27" ht="15.75" customHeight="1">
      <c r="A261" s="10" t="s">
        <v>1870</v>
      </c>
      <c r="B261" s="10" t="s">
        <v>1469</v>
      </c>
      <c r="C261" s="60" t="s">
        <v>1470</v>
      </c>
      <c r="D261" s="12"/>
      <c r="E261" s="13" t="s">
        <v>151</v>
      </c>
      <c r="F261" s="6" t="s">
        <v>152</v>
      </c>
      <c r="G261" s="6" t="str">
        <f ca="1">IFERROR(__xludf.DUMMYFUNCTION("CONCATENATE(B261,(VLOOKUP(C261,CATALOGOS!$F$2:$H$6,3,FALSE)),(VLOOKUP(T261,CATALOGOS!$J$2:$K$18,2,FALSE)),""-"",TO_TEXT(A261))"),"P12PP-0260")</f>
        <v>P12PP-0260</v>
      </c>
      <c r="H261" s="6" t="s">
        <v>1871</v>
      </c>
      <c r="I261" s="6" t="s">
        <v>1872</v>
      </c>
      <c r="J261" s="6" t="s">
        <v>1873</v>
      </c>
      <c r="K261" s="6" t="s">
        <v>1874</v>
      </c>
      <c r="L261" s="17"/>
      <c r="M261" s="17"/>
      <c r="N261" s="17" t="str">
        <f t="shared" si="1"/>
        <v>OK</v>
      </c>
      <c r="O261" s="17" t="s">
        <v>1875</v>
      </c>
      <c r="P261" s="6" t="s">
        <v>1876</v>
      </c>
      <c r="Q261" s="17" t="s">
        <v>1877</v>
      </c>
      <c r="R261" s="17" t="s">
        <v>1878</v>
      </c>
      <c r="S261" s="173" t="s">
        <v>38</v>
      </c>
      <c r="T261" s="11" t="s">
        <v>1548</v>
      </c>
      <c r="U261" s="22" t="s">
        <v>1550</v>
      </c>
      <c r="V261" s="22" t="s">
        <v>1550</v>
      </c>
      <c r="W261" s="22"/>
      <c r="X261" s="7"/>
      <c r="Y261" s="7"/>
      <c r="Z261" s="23"/>
      <c r="AA261" s="26"/>
    </row>
    <row r="262" spans="1:27" ht="15.75" customHeight="1">
      <c r="A262" s="10" t="s">
        <v>1879</v>
      </c>
      <c r="B262" s="10" t="s">
        <v>1469</v>
      </c>
      <c r="C262" s="60" t="s">
        <v>1470</v>
      </c>
      <c r="D262" s="38"/>
      <c r="E262" s="13" t="s">
        <v>378</v>
      </c>
      <c r="F262" s="43" t="s">
        <v>379</v>
      </c>
      <c r="G262" s="6" t="str">
        <f ca="1">IFERROR(__xludf.DUMMYFUNCTION("CONCATENATE(B262,(VLOOKUP(C262,CATALOGOS!$F$2:$H$6,3,FALSE)),(VLOOKUP(T262,CATALOGOS!$J$2:$K$18,2,FALSE)),""-"",TO_TEXT(A262))"),"P12PP-0261")</f>
        <v>P12PP-0261</v>
      </c>
      <c r="H262" s="6" t="s">
        <v>1880</v>
      </c>
      <c r="I262" s="6" t="s">
        <v>1881</v>
      </c>
      <c r="J262" s="6" t="s">
        <v>1882</v>
      </c>
      <c r="K262" s="6" t="s">
        <v>1883</v>
      </c>
      <c r="L262" s="17"/>
      <c r="M262" s="17"/>
      <c r="N262" s="17" t="str">
        <f t="shared" si="1"/>
        <v>OK</v>
      </c>
      <c r="O262" s="17" t="s">
        <v>35</v>
      </c>
      <c r="P262" s="6" t="s">
        <v>35</v>
      </c>
      <c r="Q262" s="46" t="s">
        <v>36</v>
      </c>
      <c r="R262" s="17" t="s">
        <v>1884</v>
      </c>
      <c r="S262" s="173" t="s">
        <v>38</v>
      </c>
      <c r="T262" s="11" t="s">
        <v>1548</v>
      </c>
      <c r="U262" s="32" t="s">
        <v>1550</v>
      </c>
      <c r="V262" s="32" t="s">
        <v>1550</v>
      </c>
      <c r="W262" s="32"/>
      <c r="X262" s="7"/>
      <c r="Y262" s="7"/>
      <c r="Z262" s="26"/>
      <c r="AA262" s="26"/>
    </row>
    <row r="263" spans="1:27" ht="15.75" customHeight="1">
      <c r="A263" s="10" t="s">
        <v>1885</v>
      </c>
      <c r="B263" s="10" t="s">
        <v>1469</v>
      </c>
      <c r="C263" s="60" t="s">
        <v>1470</v>
      </c>
      <c r="D263" s="12"/>
      <c r="E263" s="13" t="s">
        <v>378</v>
      </c>
      <c r="F263" s="6" t="s">
        <v>878</v>
      </c>
      <c r="G263" s="6" t="str">
        <f ca="1">IFERROR(__xludf.DUMMYFUNCTION("CONCATENATE(B263,(VLOOKUP(C263,CATALOGOS!$F$2:$H$6,3,FALSE)),(VLOOKUP(T263,CATALOGOS!$J$2:$K$18,2,FALSE)),""-"",TO_TEXT(A263))"),"P12PP-0262")</f>
        <v>P12PP-0262</v>
      </c>
      <c r="H263" s="6" t="s">
        <v>1886</v>
      </c>
      <c r="I263" s="6" t="s">
        <v>1887</v>
      </c>
      <c r="J263" s="6" t="s">
        <v>1888</v>
      </c>
      <c r="K263" s="6" t="s">
        <v>1889</v>
      </c>
      <c r="L263" s="17"/>
      <c r="M263" s="17"/>
      <c r="N263" s="17" t="str">
        <f t="shared" si="1"/>
        <v>OK</v>
      </c>
      <c r="O263" s="17" t="s">
        <v>35</v>
      </c>
      <c r="P263" s="6" t="s">
        <v>35</v>
      </c>
      <c r="Q263" s="17" t="s">
        <v>36</v>
      </c>
      <c r="R263" s="17" t="s">
        <v>85</v>
      </c>
      <c r="S263" s="173" t="s">
        <v>38</v>
      </c>
      <c r="T263" s="11" t="s">
        <v>1548</v>
      </c>
      <c r="U263" s="22" t="s">
        <v>1890</v>
      </c>
      <c r="V263" s="22" t="s">
        <v>1890</v>
      </c>
      <c r="W263" s="22"/>
      <c r="X263" s="6"/>
      <c r="Y263" s="6"/>
      <c r="Z263" s="23"/>
      <c r="AA263" s="33"/>
    </row>
    <row r="264" spans="1:27" ht="15.75" customHeight="1">
      <c r="A264" s="10" t="s">
        <v>1891</v>
      </c>
      <c r="B264" s="10" t="s">
        <v>1469</v>
      </c>
      <c r="C264" s="60" t="s">
        <v>1470</v>
      </c>
      <c r="D264" s="12"/>
      <c r="E264" s="13" t="s">
        <v>378</v>
      </c>
      <c r="F264" s="6" t="s">
        <v>878</v>
      </c>
      <c r="G264" s="6" t="str">
        <f ca="1">IFERROR(__xludf.DUMMYFUNCTION("CONCATENATE(B264,(VLOOKUP(C264,CATALOGOS!$F$2:$H$6,3,FALSE)),(VLOOKUP(T264,CATALOGOS!$J$2:$K$18,2,FALSE)),""-"",TO_TEXT(A264))"),"P12PP-0263")</f>
        <v>P12PP-0263</v>
      </c>
      <c r="H264" s="6" t="s">
        <v>1892</v>
      </c>
      <c r="I264" s="6" t="s">
        <v>1893</v>
      </c>
      <c r="J264" s="6" t="s">
        <v>1894</v>
      </c>
      <c r="K264" s="6" t="s">
        <v>1895</v>
      </c>
      <c r="L264" s="17"/>
      <c r="M264" s="17"/>
      <c r="N264" s="17" t="str">
        <f t="shared" si="1"/>
        <v>OK</v>
      </c>
      <c r="O264" s="17" t="s">
        <v>35</v>
      </c>
      <c r="P264" s="6" t="s">
        <v>35</v>
      </c>
      <c r="Q264" s="17" t="s">
        <v>36</v>
      </c>
      <c r="R264" s="17" t="s">
        <v>85</v>
      </c>
      <c r="S264" s="173" t="s">
        <v>38</v>
      </c>
      <c r="T264" s="11" t="s">
        <v>1548</v>
      </c>
      <c r="U264" s="22" t="s">
        <v>1890</v>
      </c>
      <c r="V264" s="22" t="s">
        <v>1890</v>
      </c>
      <c r="W264" s="22"/>
      <c r="X264" s="6"/>
      <c r="Y264" s="6"/>
      <c r="Z264" s="23"/>
      <c r="AA264" s="33"/>
    </row>
    <row r="265" spans="1:27" ht="15.75" customHeight="1">
      <c r="A265" s="10" t="s">
        <v>1896</v>
      </c>
      <c r="B265" s="10" t="s">
        <v>1469</v>
      </c>
      <c r="C265" s="60" t="s">
        <v>1470</v>
      </c>
      <c r="D265" s="12"/>
      <c r="E265" s="13" t="s">
        <v>93</v>
      </c>
      <c r="F265" s="6" t="s">
        <v>1739</v>
      </c>
      <c r="G265" s="6" t="str">
        <f ca="1">IFERROR(__xludf.DUMMYFUNCTION("CONCATENATE(B265,(VLOOKUP(C265,CATALOGOS!$F$2:$H$6,3,FALSE)),(VLOOKUP(T265,CATALOGOS!$J$2:$K$18,2,FALSE)),""-"",TO_TEXT(A265))"),"P12PP-0264")</f>
        <v>P12PP-0264</v>
      </c>
      <c r="H265" s="6" t="s">
        <v>1897</v>
      </c>
      <c r="I265" s="6" t="s">
        <v>1898</v>
      </c>
      <c r="J265" s="6" t="s">
        <v>1899</v>
      </c>
      <c r="K265" s="6" t="s">
        <v>1900</v>
      </c>
      <c r="L265" s="17"/>
      <c r="M265" s="17"/>
      <c r="N265" s="17" t="str">
        <f t="shared" si="1"/>
        <v>OK</v>
      </c>
      <c r="O265" s="17" t="s">
        <v>35</v>
      </c>
      <c r="P265" s="6" t="s">
        <v>35</v>
      </c>
      <c r="Q265" s="17" t="s">
        <v>36</v>
      </c>
      <c r="R265" s="17" t="s">
        <v>1901</v>
      </c>
      <c r="S265" s="173" t="s">
        <v>38</v>
      </c>
      <c r="T265" s="11" t="s">
        <v>1548</v>
      </c>
      <c r="U265" s="22" t="s">
        <v>1890</v>
      </c>
      <c r="V265" s="22" t="s">
        <v>1890</v>
      </c>
      <c r="W265" s="22"/>
      <c r="X265" s="7"/>
      <c r="Y265" s="7"/>
      <c r="Z265" s="23"/>
      <c r="AA265" s="26"/>
    </row>
    <row r="266" spans="1:27" ht="15.75" customHeight="1">
      <c r="A266" s="10" t="s">
        <v>1902</v>
      </c>
      <c r="B266" s="10" t="s">
        <v>1469</v>
      </c>
      <c r="C266" s="60" t="s">
        <v>1470</v>
      </c>
      <c r="D266" s="12"/>
      <c r="E266" s="13" t="s">
        <v>116</v>
      </c>
      <c r="F266" s="6" t="s">
        <v>1730</v>
      </c>
      <c r="G266" s="6" t="str">
        <f ca="1">IFERROR(__xludf.DUMMYFUNCTION("CONCATENATE(B266,(VLOOKUP(C266,CATALOGOS!$F$2:$H$6,3,FALSE)),(VLOOKUP(T266,CATALOGOS!$J$2:$K$18,2,FALSE)),""-"",TO_TEXT(A266))"),"P12PP-0265")</f>
        <v>P12PP-0265</v>
      </c>
      <c r="H266" s="6" t="s">
        <v>1903</v>
      </c>
      <c r="I266" s="6" t="s">
        <v>1904</v>
      </c>
      <c r="J266" s="6" t="s">
        <v>1905</v>
      </c>
      <c r="K266" s="6" t="s">
        <v>1906</v>
      </c>
      <c r="L266" s="17"/>
      <c r="M266" s="17"/>
      <c r="N266" s="17" t="str">
        <f t="shared" si="1"/>
        <v>OK</v>
      </c>
      <c r="O266" s="17" t="s">
        <v>35</v>
      </c>
      <c r="P266" s="6" t="s">
        <v>35</v>
      </c>
      <c r="Q266" s="17" t="s">
        <v>36</v>
      </c>
      <c r="R266" s="17" t="s">
        <v>1907</v>
      </c>
      <c r="S266" s="173" t="s">
        <v>38</v>
      </c>
      <c r="T266" s="11" t="s">
        <v>1548</v>
      </c>
      <c r="U266" s="22" t="s">
        <v>1890</v>
      </c>
      <c r="V266" s="22" t="s">
        <v>1890</v>
      </c>
      <c r="W266" s="22"/>
      <c r="X266" s="7"/>
      <c r="Y266" s="7"/>
      <c r="Z266" s="23"/>
      <c r="AA266" s="26"/>
    </row>
    <row r="267" spans="1:27" ht="15.75" customHeight="1">
      <c r="A267" s="10" t="s">
        <v>1908</v>
      </c>
      <c r="B267" s="10" t="s">
        <v>1469</v>
      </c>
      <c r="C267" s="60" t="s">
        <v>1470</v>
      </c>
      <c r="D267" s="12"/>
      <c r="E267" s="13" t="s">
        <v>43</v>
      </c>
      <c r="F267" s="6" t="s">
        <v>885</v>
      </c>
      <c r="G267" s="6" t="str">
        <f ca="1">IFERROR(__xludf.DUMMYFUNCTION("CONCATENATE(B267,(VLOOKUP(C267,CATALOGOS!$F$2:$H$6,3,FALSE)),(VLOOKUP(T267,CATALOGOS!$J$2:$K$18,2,FALSE)),""-"",TO_TEXT(A267))"),"P12PP-0266")</f>
        <v>P12PP-0266</v>
      </c>
      <c r="H267" s="6" t="s">
        <v>1909</v>
      </c>
      <c r="I267" s="6" t="s">
        <v>1910</v>
      </c>
      <c r="J267" s="6" t="s">
        <v>1911</v>
      </c>
      <c r="K267" s="6" t="s">
        <v>1912</v>
      </c>
      <c r="L267" s="17"/>
      <c r="M267" s="17"/>
      <c r="N267" s="17" t="str">
        <f t="shared" si="1"/>
        <v>OK</v>
      </c>
      <c r="O267" s="17" t="s">
        <v>1913</v>
      </c>
      <c r="P267" s="6" t="s">
        <v>1914</v>
      </c>
      <c r="Q267" s="17" t="s">
        <v>36</v>
      </c>
      <c r="R267" s="17" t="s">
        <v>1915</v>
      </c>
      <c r="S267" s="173" t="s">
        <v>38</v>
      </c>
      <c r="T267" s="11" t="s">
        <v>1548</v>
      </c>
      <c r="U267" s="22" t="s">
        <v>1890</v>
      </c>
      <c r="V267" s="22" t="s">
        <v>1890</v>
      </c>
      <c r="W267" s="22"/>
      <c r="X267" s="7"/>
      <c r="Y267" s="7"/>
      <c r="Z267" s="23"/>
      <c r="AA267" s="26"/>
    </row>
    <row r="268" spans="1:27" ht="15.75" customHeight="1">
      <c r="A268" s="10" t="s">
        <v>1916</v>
      </c>
      <c r="B268" s="10" t="s">
        <v>1469</v>
      </c>
      <c r="C268" s="60" t="s">
        <v>1470</v>
      </c>
      <c r="D268" s="12"/>
      <c r="E268" s="13" t="s">
        <v>162</v>
      </c>
      <c r="F268" s="43" t="s">
        <v>285</v>
      </c>
      <c r="G268" s="6" t="str">
        <f ca="1">IFERROR(__xludf.DUMMYFUNCTION("CONCATENATE(B268,(VLOOKUP(C268,CATALOGOS!$F$2:$H$6,3,FALSE)),(VLOOKUP(T268,CATALOGOS!$J$2:$K$18,2,FALSE)),""-"",TO_TEXT(A268))"),"P12PP-0267")</f>
        <v>P12PP-0267</v>
      </c>
      <c r="H268" s="6" t="s">
        <v>1917</v>
      </c>
      <c r="I268" s="6" t="s">
        <v>1918</v>
      </c>
      <c r="J268" s="6" t="s">
        <v>1919</v>
      </c>
      <c r="K268" s="6" t="s">
        <v>1920</v>
      </c>
      <c r="L268" s="17"/>
      <c r="M268" s="17"/>
      <c r="N268" s="17" t="str">
        <f t="shared" si="1"/>
        <v>OK</v>
      </c>
      <c r="O268" s="17" t="s">
        <v>168</v>
      </c>
      <c r="P268" s="6" t="s">
        <v>169</v>
      </c>
      <c r="Q268" s="17" t="s">
        <v>1921</v>
      </c>
      <c r="R268" s="17" t="s">
        <v>1922</v>
      </c>
      <c r="S268" s="173" t="s">
        <v>38</v>
      </c>
      <c r="T268" s="11" t="s">
        <v>1548</v>
      </c>
      <c r="U268" s="22" t="s">
        <v>1890</v>
      </c>
      <c r="V268" s="22" t="s">
        <v>1890</v>
      </c>
      <c r="W268" s="22"/>
      <c r="X268" s="7"/>
      <c r="Y268" s="7"/>
      <c r="Z268" s="23"/>
      <c r="AA268" s="26"/>
    </row>
    <row r="269" spans="1:27" ht="15.75" customHeight="1">
      <c r="A269" s="10" t="s">
        <v>1923</v>
      </c>
      <c r="B269" s="10" t="s">
        <v>1469</v>
      </c>
      <c r="C269" s="60" t="s">
        <v>1470</v>
      </c>
      <c r="D269" s="12"/>
      <c r="E269" s="13" t="s">
        <v>151</v>
      </c>
      <c r="F269" s="6" t="s">
        <v>698</v>
      </c>
      <c r="G269" s="6" t="str">
        <f ca="1">IFERROR(__xludf.DUMMYFUNCTION("CONCATENATE(B269,(VLOOKUP(C269,CATALOGOS!$F$2:$H$6,3,FALSE)),(VLOOKUP(T269,CATALOGOS!$J$2:$K$18,2,FALSE)),""-"",TO_TEXT(A269))"),"P12PP-0268")</f>
        <v>P12PP-0268</v>
      </c>
      <c r="H269" s="6" t="s">
        <v>1924</v>
      </c>
      <c r="I269" s="6" t="s">
        <v>1925</v>
      </c>
      <c r="J269" s="6" t="s">
        <v>1926</v>
      </c>
      <c r="K269" s="6" t="s">
        <v>1927</v>
      </c>
      <c r="L269" s="17"/>
      <c r="M269" s="17"/>
      <c r="N269" s="17" t="str">
        <f t="shared" si="1"/>
        <v>OK</v>
      </c>
      <c r="O269" s="17" t="s">
        <v>297</v>
      </c>
      <c r="P269" s="6" t="s">
        <v>1131</v>
      </c>
      <c r="Q269" s="17" t="s">
        <v>1928</v>
      </c>
      <c r="R269" s="17" t="s">
        <v>1929</v>
      </c>
      <c r="S269" s="173" t="s">
        <v>38</v>
      </c>
      <c r="T269" s="11" t="s">
        <v>1548</v>
      </c>
      <c r="U269" s="22" t="s">
        <v>1890</v>
      </c>
      <c r="V269" s="22" t="s">
        <v>1890</v>
      </c>
      <c r="W269" s="22"/>
      <c r="X269" s="7"/>
      <c r="Y269" s="7"/>
      <c r="Z269" s="23"/>
      <c r="AA269" s="26"/>
    </row>
    <row r="270" spans="1:27" ht="15.75" customHeight="1">
      <c r="A270" s="10" t="s">
        <v>1930</v>
      </c>
      <c r="B270" s="10" t="s">
        <v>1469</v>
      </c>
      <c r="C270" s="60" t="s">
        <v>1470</v>
      </c>
      <c r="D270" s="12"/>
      <c r="E270" s="13" t="s">
        <v>151</v>
      </c>
      <c r="F270" s="6" t="s">
        <v>152</v>
      </c>
      <c r="G270" s="6" t="str">
        <f ca="1">IFERROR(__xludf.DUMMYFUNCTION("CONCATENATE(B270,(VLOOKUP(C270,CATALOGOS!$F$2:$H$6,3,FALSE)),(VLOOKUP(T270,CATALOGOS!$J$2:$K$18,2,FALSE)),""-"",TO_TEXT(A270))"),"P12PP-0269")</f>
        <v>P12PP-0269</v>
      </c>
      <c r="H270" s="6" t="s">
        <v>1931</v>
      </c>
      <c r="I270" s="6" t="s">
        <v>1932</v>
      </c>
      <c r="J270" s="6" t="s">
        <v>1933</v>
      </c>
      <c r="K270" s="6" t="s">
        <v>141</v>
      </c>
      <c r="L270" s="17"/>
      <c r="M270" s="17"/>
      <c r="N270" s="17" t="str">
        <f t="shared" si="1"/>
        <v>REPETIDO</v>
      </c>
      <c r="O270" s="17" t="s">
        <v>1220</v>
      </c>
      <c r="P270" s="6" t="s">
        <v>720</v>
      </c>
      <c r="Q270" s="17" t="s">
        <v>1934</v>
      </c>
      <c r="R270" s="17" t="s">
        <v>1935</v>
      </c>
      <c r="S270" s="173" t="s">
        <v>38</v>
      </c>
      <c r="T270" s="11" t="s">
        <v>1548</v>
      </c>
      <c r="U270" s="22" t="s">
        <v>1890</v>
      </c>
      <c r="V270" s="22" t="s">
        <v>1890</v>
      </c>
      <c r="W270" s="22"/>
      <c r="X270" s="7"/>
      <c r="Y270" s="7"/>
      <c r="Z270" s="23"/>
      <c r="AA270" s="26"/>
    </row>
    <row r="271" spans="1:27" ht="15.75" customHeight="1">
      <c r="A271" s="10" t="s">
        <v>1936</v>
      </c>
      <c r="B271" s="10" t="s">
        <v>1469</v>
      </c>
      <c r="C271" s="60" t="s">
        <v>1470</v>
      </c>
      <c r="D271" s="12"/>
      <c r="E271" s="13" t="s">
        <v>199</v>
      </c>
      <c r="F271" s="6" t="s">
        <v>199</v>
      </c>
      <c r="G271" s="6" t="str">
        <f ca="1">IFERROR(__xludf.DUMMYFUNCTION("CONCATENATE(B271,(VLOOKUP(C271,CATALOGOS!$F$2:$H$6,3,FALSE)),(VLOOKUP(T271,CATALOGOS!$J$2:$K$18,2,FALSE)),""-"",TO_TEXT(A271))"),"P12PP-0270")</f>
        <v>P12PP-0270</v>
      </c>
      <c r="H271" s="6" t="s">
        <v>1937</v>
      </c>
      <c r="I271" s="6" t="s">
        <v>1938</v>
      </c>
      <c r="J271" s="6" t="s">
        <v>1939</v>
      </c>
      <c r="K271" s="6" t="s">
        <v>1940</v>
      </c>
      <c r="L271" s="17"/>
      <c r="M271" s="17"/>
      <c r="N271" s="17" t="str">
        <f t="shared" si="1"/>
        <v>OK</v>
      </c>
      <c r="O271" s="17" t="s">
        <v>205</v>
      </c>
      <c r="P271" s="6" t="s">
        <v>993</v>
      </c>
      <c r="Q271" s="17" t="s">
        <v>1941</v>
      </c>
      <c r="R271" s="17" t="s">
        <v>1942</v>
      </c>
      <c r="S271" s="173" t="s">
        <v>38</v>
      </c>
      <c r="T271" s="11" t="s">
        <v>1548</v>
      </c>
      <c r="U271" s="22" t="s">
        <v>1890</v>
      </c>
      <c r="V271" s="22" t="s">
        <v>1890</v>
      </c>
      <c r="W271" s="22"/>
      <c r="X271" s="6"/>
      <c r="Y271" s="6"/>
      <c r="Z271" s="23"/>
      <c r="AA271" s="24"/>
    </row>
    <row r="272" spans="1:27" ht="15.75" customHeight="1">
      <c r="A272" s="10" t="s">
        <v>1943</v>
      </c>
      <c r="B272" s="10" t="s">
        <v>1469</v>
      </c>
      <c r="C272" s="60" t="s">
        <v>1470</v>
      </c>
      <c r="D272" s="12"/>
      <c r="E272" s="13" t="s">
        <v>1240</v>
      </c>
      <c r="F272" s="43" t="s">
        <v>278</v>
      </c>
      <c r="G272" s="6" t="str">
        <f ca="1">IFERROR(__xludf.DUMMYFUNCTION("CONCATENATE(B272,(VLOOKUP(C272,CATALOGOS!$F$2:$H$6,3,FALSE)),(VLOOKUP(T272,CATALOGOS!$J$2:$K$18,2,FALSE)),""-"",TO_TEXT(A272))"),"P12PP-0271")</f>
        <v>P12PP-0271</v>
      </c>
      <c r="H272" s="6" t="s">
        <v>1944</v>
      </c>
      <c r="I272" s="6" t="s">
        <v>1945</v>
      </c>
      <c r="J272" s="6" t="s">
        <v>1946</v>
      </c>
      <c r="K272" s="6" t="s">
        <v>1947</v>
      </c>
      <c r="L272" s="17"/>
      <c r="M272" s="17"/>
      <c r="N272" s="17" t="str">
        <f t="shared" si="1"/>
        <v>OK</v>
      </c>
      <c r="O272" s="17" t="s">
        <v>35</v>
      </c>
      <c r="P272" s="6" t="s">
        <v>35</v>
      </c>
      <c r="Q272" s="17" t="s">
        <v>36</v>
      </c>
      <c r="R272" s="17" t="s">
        <v>1948</v>
      </c>
      <c r="S272" s="173" t="s">
        <v>38</v>
      </c>
      <c r="T272" s="11" t="s">
        <v>1548</v>
      </c>
      <c r="U272" s="22" t="s">
        <v>1890</v>
      </c>
      <c r="V272" s="22" t="s">
        <v>1890</v>
      </c>
      <c r="W272" s="22"/>
      <c r="X272" s="7"/>
      <c r="Y272" s="7"/>
      <c r="Z272" s="23"/>
      <c r="AA272" s="26"/>
    </row>
    <row r="273" spans="1:27" ht="15.75" customHeight="1">
      <c r="A273" s="10" t="s">
        <v>1949</v>
      </c>
      <c r="B273" s="10" t="s">
        <v>1469</v>
      </c>
      <c r="C273" s="60" t="s">
        <v>1470</v>
      </c>
      <c r="D273" s="12"/>
      <c r="E273" s="13" t="s">
        <v>248</v>
      </c>
      <c r="F273" s="43" t="s">
        <v>249</v>
      </c>
      <c r="G273" s="6" t="str">
        <f ca="1">IFERROR(__xludf.DUMMYFUNCTION("CONCATENATE(B273,(VLOOKUP(C273,CATALOGOS!$F$2:$H$6,3,FALSE)),(VLOOKUP(T273,CATALOGOS!$J$2:$K$18,2,FALSE)),""-"",TO_TEXT(A273))"),"P12PP-0272")</f>
        <v>P12PP-0272</v>
      </c>
      <c r="H273" s="6" t="s">
        <v>1950</v>
      </c>
      <c r="I273" s="6" t="s">
        <v>1951</v>
      </c>
      <c r="J273" s="6" t="s">
        <v>1952</v>
      </c>
      <c r="K273" s="6" t="s">
        <v>1953</v>
      </c>
      <c r="L273" s="17"/>
      <c r="M273" s="17"/>
      <c r="N273" s="17" t="str">
        <f t="shared" si="1"/>
        <v>OK</v>
      </c>
      <c r="O273" s="17" t="s">
        <v>250</v>
      </c>
      <c r="P273" s="6" t="s">
        <v>1954</v>
      </c>
      <c r="Q273" s="17" t="s">
        <v>1955</v>
      </c>
      <c r="R273" s="17" t="s">
        <v>1956</v>
      </c>
      <c r="S273" s="173" t="s">
        <v>38</v>
      </c>
      <c r="T273" s="11" t="s">
        <v>1548</v>
      </c>
      <c r="U273" s="22" t="s">
        <v>1890</v>
      </c>
      <c r="V273" s="22" t="s">
        <v>1890</v>
      </c>
      <c r="W273" s="22"/>
      <c r="X273" s="7"/>
      <c r="Y273" s="7"/>
      <c r="Z273" s="23"/>
      <c r="AA273" s="26"/>
    </row>
    <row r="274" spans="1:27" ht="15.75" customHeight="1">
      <c r="A274" s="10" t="s">
        <v>1957</v>
      </c>
      <c r="B274" s="10" t="s">
        <v>1469</v>
      </c>
      <c r="C274" s="60" t="s">
        <v>1470</v>
      </c>
      <c r="D274" s="12"/>
      <c r="E274" s="13" t="s">
        <v>378</v>
      </c>
      <c r="F274" s="43" t="s">
        <v>1958</v>
      </c>
      <c r="G274" s="6" t="str">
        <f ca="1">IFERROR(__xludf.DUMMYFUNCTION("CONCATENATE(B274,(VLOOKUP(C274,CATALOGOS!$F$2:$H$6,3,FALSE)),(VLOOKUP(T274,CATALOGOS!$J$2:$K$18,2,FALSE)),""-"",TO_TEXT(A274))"),"P12CT-0273")</f>
        <v>P12CT-0273</v>
      </c>
      <c r="H274" s="6" t="s">
        <v>1959</v>
      </c>
      <c r="I274" s="6" t="s">
        <v>1960</v>
      </c>
      <c r="J274" s="6" t="s">
        <v>1961</v>
      </c>
      <c r="K274" s="6" t="s">
        <v>1962</v>
      </c>
      <c r="L274" s="17"/>
      <c r="M274" s="17"/>
      <c r="N274" s="17" t="str">
        <f t="shared" si="1"/>
        <v>OK</v>
      </c>
      <c r="O274" s="17" t="s">
        <v>35</v>
      </c>
      <c r="P274" s="6" t="s">
        <v>35</v>
      </c>
      <c r="Q274" s="17" t="s">
        <v>36</v>
      </c>
      <c r="R274" s="17" t="s">
        <v>1963</v>
      </c>
      <c r="S274" s="173" t="s">
        <v>38</v>
      </c>
      <c r="T274" s="11" t="s">
        <v>2884</v>
      </c>
      <c r="U274" s="20" t="s">
        <v>385</v>
      </c>
      <c r="V274" s="20" t="s">
        <v>385</v>
      </c>
      <c r="W274" s="20"/>
      <c r="X274" s="7"/>
      <c r="Y274" s="7"/>
      <c r="Z274" s="23"/>
      <c r="AA274" s="26"/>
    </row>
    <row r="275" spans="1:27" ht="15.75" customHeight="1">
      <c r="A275" s="10" t="s">
        <v>1964</v>
      </c>
      <c r="B275" s="10" t="s">
        <v>1469</v>
      </c>
      <c r="C275" s="60" t="s">
        <v>1470</v>
      </c>
      <c r="D275" s="38"/>
      <c r="E275" s="13" t="s">
        <v>184</v>
      </c>
      <c r="F275" s="43" t="s">
        <v>927</v>
      </c>
      <c r="G275" s="6" t="str">
        <f ca="1">IFERROR(__xludf.DUMMYFUNCTION("CONCATENATE(B275,(VLOOKUP(C275,CATALOGOS!$F$2:$H$6,3,FALSE)),(VLOOKUP(T275,CATALOGOS!$J$2:$K$18,2,FALSE)),""-"",TO_TEXT(A275))"),"P12PP-0274")</f>
        <v>P12PP-0274</v>
      </c>
      <c r="H275" s="6" t="s">
        <v>1965</v>
      </c>
      <c r="I275" s="6" t="s">
        <v>1966</v>
      </c>
      <c r="J275" s="6" t="s">
        <v>1967</v>
      </c>
      <c r="K275" s="43" t="s">
        <v>1968</v>
      </c>
      <c r="L275" s="17"/>
      <c r="M275" s="17"/>
      <c r="N275" s="17" t="str">
        <f t="shared" si="1"/>
        <v>OK</v>
      </c>
      <c r="O275" s="43" t="s">
        <v>35</v>
      </c>
      <c r="P275" s="6" t="s">
        <v>35</v>
      </c>
      <c r="Q275" s="46" t="s">
        <v>36</v>
      </c>
      <c r="R275" s="17" t="s">
        <v>1969</v>
      </c>
      <c r="S275" s="173" t="s">
        <v>38</v>
      </c>
      <c r="T275" s="11" t="s">
        <v>1548</v>
      </c>
      <c r="U275" s="32" t="s">
        <v>1672</v>
      </c>
      <c r="V275" s="32" t="s">
        <v>1672</v>
      </c>
      <c r="W275" s="32"/>
      <c r="X275" s="7"/>
      <c r="Y275" s="7"/>
      <c r="Z275" s="26"/>
      <c r="AA275" s="26"/>
    </row>
    <row r="276" spans="1:27" ht="15.75" customHeight="1">
      <c r="A276" s="10" t="s">
        <v>1970</v>
      </c>
      <c r="B276" s="10" t="s">
        <v>1469</v>
      </c>
      <c r="C276" s="60" t="s">
        <v>1470</v>
      </c>
      <c r="D276" s="12"/>
      <c r="E276" s="13" t="s">
        <v>210</v>
      </c>
      <c r="F276" s="6" t="s">
        <v>210</v>
      </c>
      <c r="G276" s="6" t="str">
        <f ca="1">IFERROR(__xludf.DUMMYFUNCTION("CONCATENATE(B276,(VLOOKUP(C276,CATALOGOS!$F$2:$H$6,3,FALSE)),(VLOOKUP(T276,CATALOGOS!$J$2:$K$18,2,FALSE)),""-"",TO_TEXT(A276))"),"P12PP-0275")</f>
        <v>P12PP-0275</v>
      </c>
      <c r="H276" s="6" t="s">
        <v>1971</v>
      </c>
      <c r="I276" s="6" t="s">
        <v>1972</v>
      </c>
      <c r="J276" s="36"/>
      <c r="K276" s="6" t="s">
        <v>1973</v>
      </c>
      <c r="L276" s="17"/>
      <c r="M276" s="17"/>
      <c r="N276" s="17" t="str">
        <f t="shared" si="1"/>
        <v>OK</v>
      </c>
      <c r="O276" s="17" t="s">
        <v>216</v>
      </c>
      <c r="P276" s="6" t="s">
        <v>1974</v>
      </c>
      <c r="Q276" s="6" t="s">
        <v>36</v>
      </c>
      <c r="R276" s="10" t="s">
        <v>1975</v>
      </c>
      <c r="S276" s="173" t="s">
        <v>38</v>
      </c>
      <c r="T276" s="11" t="s">
        <v>1548</v>
      </c>
      <c r="U276" s="20" t="s">
        <v>1597</v>
      </c>
      <c r="V276" s="20" t="s">
        <v>1597</v>
      </c>
      <c r="W276" s="20"/>
      <c r="X276" s="7"/>
      <c r="Y276" s="7"/>
      <c r="Z276" s="23"/>
      <c r="AA276" s="26"/>
    </row>
    <row r="277" spans="1:27" ht="15.75" customHeight="1">
      <c r="A277" s="10" t="s">
        <v>1976</v>
      </c>
      <c r="B277" s="10" t="s">
        <v>27</v>
      </c>
      <c r="C277" s="60" t="s">
        <v>1470</v>
      </c>
      <c r="D277" s="12"/>
      <c r="E277" s="13" t="s">
        <v>501</v>
      </c>
      <c r="F277" s="6" t="s">
        <v>1977</v>
      </c>
      <c r="G277" s="6" t="str">
        <f ca="1">IFERROR(__xludf.DUMMYFUNCTION("CONCATENATE(B277,(VLOOKUP(C277,CATALOGOS!$F$2:$H$6,3,FALSE)),(VLOOKUP(T277,CATALOGOS!$J$2:$K$18,2,FALSE)),""-"",TO_TEXT(A277))"),"P02PP-0276")</f>
        <v>P02PP-0276</v>
      </c>
      <c r="H277" s="6" t="s">
        <v>1978</v>
      </c>
      <c r="I277" s="6" t="s">
        <v>1979</v>
      </c>
      <c r="J277" s="6" t="s">
        <v>1980</v>
      </c>
      <c r="K277" s="6" t="s">
        <v>1981</v>
      </c>
      <c r="L277" s="17"/>
      <c r="M277" s="17"/>
      <c r="N277" s="17" t="str">
        <f t="shared" si="1"/>
        <v>OK</v>
      </c>
      <c r="O277" s="17" t="s">
        <v>35</v>
      </c>
      <c r="P277" s="6" t="s">
        <v>35</v>
      </c>
      <c r="Q277" s="17" t="s">
        <v>36</v>
      </c>
      <c r="R277" s="182" t="s">
        <v>1982</v>
      </c>
      <c r="S277" s="173" t="s">
        <v>38</v>
      </c>
      <c r="T277" s="11" t="s">
        <v>1548</v>
      </c>
      <c r="U277" s="22" t="s">
        <v>1983</v>
      </c>
      <c r="V277" s="22" t="s">
        <v>1983</v>
      </c>
      <c r="W277" s="22"/>
      <c r="X277" s="7"/>
      <c r="Y277" s="7"/>
      <c r="Z277" s="23"/>
      <c r="AA277" s="26"/>
    </row>
    <row r="278" spans="1:27" ht="15.75" customHeight="1">
      <c r="A278" s="10" t="s">
        <v>1984</v>
      </c>
      <c r="B278" s="10" t="s">
        <v>27</v>
      </c>
      <c r="C278" s="60" t="s">
        <v>1470</v>
      </c>
      <c r="D278" s="12"/>
      <c r="E278" s="13" t="s">
        <v>43</v>
      </c>
      <c r="F278" s="6" t="s">
        <v>1688</v>
      </c>
      <c r="G278" s="6" t="str">
        <f ca="1">IFERROR(__xludf.DUMMYFUNCTION("CONCATENATE(B278,(VLOOKUP(C278,CATALOGOS!$F$2:$H$6,3,FALSE)),(VLOOKUP(T278,CATALOGOS!$J$2:$K$18,2,FALSE)),""-"",TO_TEXT(A278))"),"P02PP-0277")</f>
        <v>P02PP-0277</v>
      </c>
      <c r="H278" s="6" t="s">
        <v>1985</v>
      </c>
      <c r="I278" s="6" t="s">
        <v>1986</v>
      </c>
      <c r="J278" s="6" t="s">
        <v>1987</v>
      </c>
      <c r="K278" s="6" t="s">
        <v>1988</v>
      </c>
      <c r="L278" s="17"/>
      <c r="M278" s="17"/>
      <c r="N278" s="17" t="str">
        <f t="shared" si="1"/>
        <v>OK</v>
      </c>
      <c r="O278" s="17" t="s">
        <v>49</v>
      </c>
      <c r="P278" s="6" t="s">
        <v>1989</v>
      </c>
      <c r="Q278" s="17" t="s">
        <v>36</v>
      </c>
      <c r="R278" s="138" t="s">
        <v>1990</v>
      </c>
      <c r="S278" s="179" t="s">
        <v>100</v>
      </c>
      <c r="T278" s="11" t="s">
        <v>1548</v>
      </c>
      <c r="U278" s="22" t="s">
        <v>1983</v>
      </c>
      <c r="V278" s="22" t="s">
        <v>1983</v>
      </c>
      <c r="W278" s="22"/>
      <c r="X278" s="7"/>
      <c r="Y278" s="7"/>
      <c r="Z278" s="23"/>
      <c r="AA278" s="26"/>
    </row>
    <row r="279" spans="1:27" ht="15.75" customHeight="1">
      <c r="A279" s="10" t="s">
        <v>1991</v>
      </c>
      <c r="B279" s="10" t="s">
        <v>27</v>
      </c>
      <c r="C279" s="60" t="s">
        <v>1470</v>
      </c>
      <c r="D279" s="12"/>
      <c r="E279" s="13" t="s">
        <v>184</v>
      </c>
      <c r="F279" s="6" t="s">
        <v>1992</v>
      </c>
      <c r="G279" s="6" t="str">
        <f ca="1">IFERROR(__xludf.DUMMYFUNCTION("CONCATENATE(B279,(VLOOKUP(C279,CATALOGOS!$F$2:$H$6,3,FALSE)),(VLOOKUP(T279,CATALOGOS!$J$2:$K$18,2,FALSE)),""-"",TO_TEXT(A279))"),"P02PP-0278")</f>
        <v>P02PP-0278</v>
      </c>
      <c r="H279" s="6" t="s">
        <v>1993</v>
      </c>
      <c r="I279" s="6" t="s">
        <v>1994</v>
      </c>
      <c r="J279" s="6" t="s">
        <v>1995</v>
      </c>
      <c r="K279" s="43" t="s">
        <v>1996</v>
      </c>
      <c r="L279" s="17"/>
      <c r="M279" s="17"/>
      <c r="N279" s="17" t="str">
        <f t="shared" si="1"/>
        <v>OK</v>
      </c>
      <c r="O279" s="17" t="s">
        <v>35</v>
      </c>
      <c r="P279" s="6" t="s">
        <v>35</v>
      </c>
      <c r="Q279" s="17" t="s">
        <v>36</v>
      </c>
      <c r="R279" s="182" t="s">
        <v>1997</v>
      </c>
      <c r="S279" s="173" t="s">
        <v>38</v>
      </c>
      <c r="T279" s="11" t="s">
        <v>1548</v>
      </c>
      <c r="U279" s="22" t="s">
        <v>1983</v>
      </c>
      <c r="V279" s="22" t="s">
        <v>1983</v>
      </c>
      <c r="W279" s="22"/>
      <c r="X279" s="7"/>
      <c r="Y279" s="7"/>
      <c r="Z279" s="23"/>
      <c r="AA279" s="26"/>
    </row>
    <row r="280" spans="1:27" ht="15.75" customHeight="1">
      <c r="A280" s="10" t="s">
        <v>1998</v>
      </c>
      <c r="B280" s="10" t="s">
        <v>27</v>
      </c>
      <c r="C280" s="60" t="s">
        <v>1470</v>
      </c>
      <c r="D280" s="12"/>
      <c r="E280" s="13" t="s">
        <v>116</v>
      </c>
      <c r="F280" s="6" t="s">
        <v>599</v>
      </c>
      <c r="G280" s="6" t="str">
        <f ca="1">IFERROR(__xludf.DUMMYFUNCTION("CONCATENATE(B280,(VLOOKUP(C280,CATALOGOS!$F$2:$H$6,3,FALSE)),(VLOOKUP(T280,CATALOGOS!$J$2:$K$18,2,FALSE)),""-"",TO_TEXT(A280))"),"P02PP-0279")</f>
        <v>P02PP-0279</v>
      </c>
      <c r="H280" s="6" t="s">
        <v>1999</v>
      </c>
      <c r="I280" s="6" t="s">
        <v>2000</v>
      </c>
      <c r="J280" s="6" t="s">
        <v>2001</v>
      </c>
      <c r="K280" s="6" t="s">
        <v>2002</v>
      </c>
      <c r="L280" s="17"/>
      <c r="M280" s="17"/>
      <c r="N280" s="17" t="str">
        <f t="shared" si="1"/>
        <v>OK</v>
      </c>
      <c r="O280" s="17" t="s">
        <v>35</v>
      </c>
      <c r="P280" s="6" t="s">
        <v>35</v>
      </c>
      <c r="Q280" s="17" t="s">
        <v>36</v>
      </c>
      <c r="R280" s="182" t="s">
        <v>2003</v>
      </c>
      <c r="S280" s="173" t="s">
        <v>38</v>
      </c>
      <c r="T280" s="11" t="s">
        <v>1548</v>
      </c>
      <c r="U280" s="22" t="s">
        <v>1983</v>
      </c>
      <c r="V280" s="22" t="s">
        <v>1983</v>
      </c>
      <c r="W280" s="22"/>
      <c r="X280" s="7"/>
      <c r="Y280" s="7"/>
      <c r="Z280" s="23"/>
      <c r="AA280" s="26"/>
    </row>
    <row r="281" spans="1:27" ht="15.75" customHeight="1">
      <c r="A281" s="10" t="s">
        <v>2004</v>
      </c>
      <c r="B281" s="10" t="s">
        <v>27</v>
      </c>
      <c r="C281" s="60" t="s">
        <v>1470</v>
      </c>
      <c r="D281" s="12"/>
      <c r="E281" s="13" t="s">
        <v>199</v>
      </c>
      <c r="F281" s="6" t="s">
        <v>199</v>
      </c>
      <c r="G281" s="6" t="str">
        <f ca="1">IFERROR(__xludf.DUMMYFUNCTION("CONCATENATE(B281,(VLOOKUP(C281,CATALOGOS!$F$2:$H$6,3,FALSE)),(VLOOKUP(T281,CATALOGOS!$J$2:$K$18,2,FALSE)),""-"",TO_TEXT(A281))"),"P02PP-0280")</f>
        <v>P02PP-0280</v>
      </c>
      <c r="H281" s="6" t="s">
        <v>2005</v>
      </c>
      <c r="I281" s="6" t="s">
        <v>2006</v>
      </c>
      <c r="J281" s="6" t="s">
        <v>2007</v>
      </c>
      <c r="K281" s="6" t="s">
        <v>2008</v>
      </c>
      <c r="L281" s="17"/>
      <c r="M281" s="17"/>
      <c r="N281" s="17" t="str">
        <f t="shared" si="1"/>
        <v>OK</v>
      </c>
      <c r="O281" s="17" t="s">
        <v>297</v>
      </c>
      <c r="P281" s="6" t="s">
        <v>2009</v>
      </c>
      <c r="Q281" s="17" t="s">
        <v>2010</v>
      </c>
      <c r="R281" s="182" t="s">
        <v>2011</v>
      </c>
      <c r="S281" s="179" t="s">
        <v>517</v>
      </c>
      <c r="T281" s="11" t="s">
        <v>1548</v>
      </c>
      <c r="U281" s="22" t="s">
        <v>1983</v>
      </c>
      <c r="V281" s="22" t="s">
        <v>1983</v>
      </c>
      <c r="W281" s="22"/>
      <c r="X281" s="7"/>
      <c r="Y281" s="7"/>
      <c r="Z281" s="23"/>
      <c r="AA281" s="26"/>
    </row>
    <row r="282" spans="1:27" ht="15.75" customHeight="1">
      <c r="A282" s="10" t="s">
        <v>2012</v>
      </c>
      <c r="B282" s="10" t="s">
        <v>27</v>
      </c>
      <c r="C282" s="60" t="s">
        <v>1470</v>
      </c>
      <c r="D282" s="12"/>
      <c r="E282" s="13" t="s">
        <v>151</v>
      </c>
      <c r="F282" s="6" t="s">
        <v>152</v>
      </c>
      <c r="G282" s="6" t="str">
        <f ca="1">IFERROR(__xludf.DUMMYFUNCTION("CONCATENATE(B282,(VLOOKUP(C282,CATALOGOS!$F$2:$H$6,3,FALSE)),(VLOOKUP(T282,CATALOGOS!$J$2:$K$18,2,FALSE)),""-"",TO_TEXT(A282))"),"P02PP-0281")</f>
        <v>P02PP-0281</v>
      </c>
      <c r="H282" s="6" t="s">
        <v>2013</v>
      </c>
      <c r="I282" s="6" t="s">
        <v>2014</v>
      </c>
      <c r="J282" s="6" t="s">
        <v>2015</v>
      </c>
      <c r="K282" s="6" t="s">
        <v>2016</v>
      </c>
      <c r="L282" s="17"/>
      <c r="M282" s="17"/>
      <c r="N282" s="17" t="str">
        <f t="shared" si="1"/>
        <v>OK</v>
      </c>
      <c r="O282" s="17" t="s">
        <v>1220</v>
      </c>
      <c r="P282" s="6" t="s">
        <v>720</v>
      </c>
      <c r="Q282" s="17" t="s">
        <v>2017</v>
      </c>
      <c r="R282" s="182" t="s">
        <v>2018</v>
      </c>
      <c r="S282" s="173" t="s">
        <v>38</v>
      </c>
      <c r="T282" s="11" t="s">
        <v>1548</v>
      </c>
      <c r="U282" s="22" t="s">
        <v>1983</v>
      </c>
      <c r="V282" s="22" t="s">
        <v>1983</v>
      </c>
      <c r="W282" s="22"/>
      <c r="X282" s="7"/>
      <c r="Y282" s="7"/>
      <c r="Z282" s="23"/>
      <c r="AA282" s="26"/>
    </row>
    <row r="283" spans="1:27" ht="15.75" customHeight="1">
      <c r="A283" s="10" t="s">
        <v>2019</v>
      </c>
      <c r="B283" s="10" t="s">
        <v>27</v>
      </c>
      <c r="C283" s="60" t="s">
        <v>1470</v>
      </c>
      <c r="D283" s="12"/>
      <c r="E283" s="13" t="s">
        <v>248</v>
      </c>
      <c r="F283" s="6" t="s">
        <v>248</v>
      </c>
      <c r="G283" s="6" t="str">
        <f ca="1">IFERROR(__xludf.DUMMYFUNCTION("CONCATENATE(B283,(VLOOKUP(C283,CATALOGOS!$F$2:$H$6,3,FALSE)),(VLOOKUP(T283,CATALOGOS!$J$2:$K$18,2,FALSE)),""-"",TO_TEXT(A283))"),"P02PP-0282")</f>
        <v>P02PP-0282</v>
      </c>
      <c r="H283" s="6" t="s">
        <v>2020</v>
      </c>
      <c r="I283" s="6" t="s">
        <v>2021</v>
      </c>
      <c r="J283" s="36"/>
      <c r="K283" s="6" t="s">
        <v>141</v>
      </c>
      <c r="L283" s="17"/>
      <c r="M283" s="17"/>
      <c r="N283" s="17" t="str">
        <f t="shared" si="1"/>
        <v>REPETIDO</v>
      </c>
      <c r="O283" s="17" t="s">
        <v>2022</v>
      </c>
      <c r="P283" s="6" t="s">
        <v>35</v>
      </c>
      <c r="Q283" s="6" t="s">
        <v>2023</v>
      </c>
      <c r="R283" s="32" t="s">
        <v>2024</v>
      </c>
      <c r="S283" s="179" t="s">
        <v>100</v>
      </c>
      <c r="T283" s="11" t="s">
        <v>1548</v>
      </c>
      <c r="U283" s="22" t="s">
        <v>1983</v>
      </c>
      <c r="V283" s="22" t="s">
        <v>1983</v>
      </c>
      <c r="W283" s="22"/>
      <c r="X283" s="6"/>
      <c r="Y283" s="6"/>
      <c r="Z283" s="23"/>
      <c r="AA283" s="33"/>
    </row>
    <row r="284" spans="1:27" ht="15.75" customHeight="1">
      <c r="A284" s="10" t="s">
        <v>2025</v>
      </c>
      <c r="B284" s="10" t="s">
        <v>27</v>
      </c>
      <c r="C284" s="60" t="s">
        <v>1470</v>
      </c>
      <c r="D284" s="12"/>
      <c r="E284" s="13" t="s">
        <v>53</v>
      </c>
      <c r="F284" s="6" t="s">
        <v>2026</v>
      </c>
      <c r="G284" s="6" t="str">
        <f ca="1">IFERROR(__xludf.DUMMYFUNCTION("CONCATENATE(B284,(VLOOKUP(C284,CATALOGOS!$F$2:$H$6,3,FALSE)),(VLOOKUP(T284,CATALOGOS!$J$2:$K$18,2,FALSE)),""-"",TO_TEXT(A284))"),"P02PP-0283")</f>
        <v>P02PP-0283</v>
      </c>
      <c r="H284" s="6" t="s">
        <v>2027</v>
      </c>
      <c r="I284" s="6" t="s">
        <v>2028</v>
      </c>
      <c r="J284" s="36"/>
      <c r="K284" s="6" t="s">
        <v>141</v>
      </c>
      <c r="L284" s="17"/>
      <c r="M284" s="17"/>
      <c r="N284" s="17" t="str">
        <f t="shared" si="1"/>
        <v>REPETIDO</v>
      </c>
      <c r="O284" s="17" t="s">
        <v>35</v>
      </c>
      <c r="P284" s="6" t="s">
        <v>35</v>
      </c>
      <c r="Q284" s="6" t="s">
        <v>36</v>
      </c>
      <c r="R284" s="10" t="s">
        <v>85</v>
      </c>
      <c r="S284" s="173" t="s">
        <v>38</v>
      </c>
      <c r="T284" s="11" t="s">
        <v>1548</v>
      </c>
      <c r="U284" s="22" t="s">
        <v>1983</v>
      </c>
      <c r="V284" s="22" t="s">
        <v>1983</v>
      </c>
      <c r="W284" s="22"/>
      <c r="X284" s="6"/>
      <c r="Y284" s="6"/>
      <c r="Z284" s="23"/>
      <c r="AA284" s="33"/>
    </row>
    <row r="285" spans="1:27" ht="15.75" customHeight="1">
      <c r="A285" s="10" t="s">
        <v>2029</v>
      </c>
      <c r="B285" s="10" t="s">
        <v>27</v>
      </c>
      <c r="C285" s="60" t="s">
        <v>1470</v>
      </c>
      <c r="D285" s="12"/>
      <c r="E285" s="13" t="s">
        <v>2030</v>
      </c>
      <c r="F285" s="6" t="s">
        <v>2030</v>
      </c>
      <c r="G285" s="6" t="str">
        <f ca="1">IFERROR(__xludf.DUMMYFUNCTION("CONCATENATE(B285,(VLOOKUP(C285,CATALOGOS!$F$2:$H$6,3,FALSE)),(VLOOKUP(T285,CATALOGOS!$J$2:$K$18,2,FALSE)),""-"",TO_TEXT(A285))"),"P02PP-0284")</f>
        <v>P02PP-0284</v>
      </c>
      <c r="H285" s="6" t="s">
        <v>2031</v>
      </c>
      <c r="I285" s="6" t="s">
        <v>2032</v>
      </c>
      <c r="J285" s="36"/>
      <c r="K285" s="6" t="s">
        <v>141</v>
      </c>
      <c r="L285" s="17"/>
      <c r="M285" s="17"/>
      <c r="N285" s="17" t="str">
        <f t="shared" si="1"/>
        <v>REPETIDO</v>
      </c>
      <c r="O285" s="17" t="s">
        <v>2033</v>
      </c>
      <c r="P285" s="6" t="s">
        <v>2034</v>
      </c>
      <c r="Q285" s="6" t="s">
        <v>36</v>
      </c>
      <c r="R285" s="10" t="s">
        <v>85</v>
      </c>
      <c r="S285" s="173" t="s">
        <v>38</v>
      </c>
      <c r="T285" s="11" t="s">
        <v>1548</v>
      </c>
      <c r="U285" s="22" t="s">
        <v>1983</v>
      </c>
      <c r="V285" s="22" t="s">
        <v>1983</v>
      </c>
      <c r="W285" s="22"/>
      <c r="X285" s="6"/>
      <c r="Y285" s="6"/>
      <c r="Z285" s="23"/>
      <c r="AA285" s="33"/>
    </row>
    <row r="286" spans="1:27" ht="15.75" customHeight="1">
      <c r="A286" s="10" t="s">
        <v>2035</v>
      </c>
      <c r="B286" s="10" t="s">
        <v>27</v>
      </c>
      <c r="C286" s="60" t="s">
        <v>1470</v>
      </c>
      <c r="D286" s="38"/>
      <c r="E286" s="13" t="s">
        <v>321</v>
      </c>
      <c r="F286" s="6" t="s">
        <v>322</v>
      </c>
      <c r="G286" s="6" t="str">
        <f ca="1">IFERROR(__xludf.DUMMYFUNCTION("CONCATENATE(B286,(VLOOKUP(C286,CATALOGOS!$F$2:$H$6,3,FALSE)),(VLOOKUP(T286,CATALOGOS!$J$2:$K$18,2,FALSE)),""-"",TO_TEXT(A286))"),"P02PP-0285")</f>
        <v>P02PP-0285</v>
      </c>
      <c r="H286" s="6" t="s">
        <v>2036</v>
      </c>
      <c r="I286" s="6" t="s">
        <v>2037</v>
      </c>
      <c r="J286" s="36"/>
      <c r="K286" s="6" t="s">
        <v>141</v>
      </c>
      <c r="L286" s="17"/>
      <c r="M286" s="17"/>
      <c r="N286" s="17" t="str">
        <f t="shared" si="1"/>
        <v>REPETIDO</v>
      </c>
      <c r="O286" s="35" t="s">
        <v>2038</v>
      </c>
      <c r="P286" s="6">
        <v>29965</v>
      </c>
      <c r="Q286" s="6" t="s">
        <v>36</v>
      </c>
      <c r="R286" s="32" t="s">
        <v>85</v>
      </c>
      <c r="S286" s="173" t="s">
        <v>38</v>
      </c>
      <c r="T286" s="11" t="s">
        <v>1548</v>
      </c>
      <c r="U286" s="32" t="s">
        <v>1983</v>
      </c>
      <c r="V286" s="32" t="s">
        <v>1983</v>
      </c>
      <c r="W286" s="32"/>
      <c r="X286" s="6"/>
      <c r="Y286" s="6"/>
      <c r="Z286" s="26"/>
      <c r="AA286" s="33"/>
    </row>
    <row r="287" spans="1:27" ht="15.75" customHeight="1">
      <c r="A287" s="10" t="s">
        <v>2039</v>
      </c>
      <c r="B287" s="10" t="s">
        <v>27</v>
      </c>
      <c r="C287" s="60" t="s">
        <v>1470</v>
      </c>
      <c r="D287" s="38"/>
      <c r="E287" s="13" t="s">
        <v>378</v>
      </c>
      <c r="F287" s="43" t="s">
        <v>2040</v>
      </c>
      <c r="G287" s="6" t="str">
        <f ca="1">IFERROR(__xludf.DUMMYFUNCTION("CONCATENATE(B287,(VLOOKUP(C287,CATALOGOS!$F$2:$H$6,3,FALSE)),(VLOOKUP(T287,CATALOGOS!$J$2:$K$18,2,FALSE)),""-"",TO_TEXT(A287))"),"P02PP-0286")</f>
        <v>P02PP-0286</v>
      </c>
      <c r="H287" s="6" t="s">
        <v>2041</v>
      </c>
      <c r="I287" s="6" t="s">
        <v>2042</v>
      </c>
      <c r="J287" s="6" t="s">
        <v>2043</v>
      </c>
      <c r="K287" s="6" t="s">
        <v>2044</v>
      </c>
      <c r="L287" s="17"/>
      <c r="M287" s="17"/>
      <c r="N287" s="17" t="str">
        <f t="shared" si="1"/>
        <v>OK</v>
      </c>
      <c r="O287" s="17" t="s">
        <v>35</v>
      </c>
      <c r="P287" s="6" t="s">
        <v>35</v>
      </c>
      <c r="Q287" s="46" t="s">
        <v>36</v>
      </c>
      <c r="R287" s="17" t="s">
        <v>85</v>
      </c>
      <c r="S287" s="173" t="s">
        <v>38</v>
      </c>
      <c r="T287" s="11" t="s">
        <v>1548</v>
      </c>
      <c r="U287" s="32" t="s">
        <v>1983</v>
      </c>
      <c r="V287" s="32" t="s">
        <v>1983</v>
      </c>
      <c r="W287" s="32"/>
      <c r="X287" s="6"/>
      <c r="Y287" s="6"/>
      <c r="Z287" s="23"/>
      <c r="AA287" s="24"/>
    </row>
    <row r="288" spans="1:27" ht="15.75" customHeight="1">
      <c r="A288" s="10" t="s">
        <v>2045</v>
      </c>
      <c r="B288" s="10" t="s">
        <v>27</v>
      </c>
      <c r="C288" s="60" t="s">
        <v>1470</v>
      </c>
      <c r="D288" s="12"/>
      <c r="E288" s="13" t="s">
        <v>501</v>
      </c>
      <c r="F288" s="6" t="s">
        <v>2046</v>
      </c>
      <c r="G288" s="6" t="str">
        <f ca="1">IFERROR(__xludf.DUMMYFUNCTION("CONCATENATE(B288,(VLOOKUP(C288,CATALOGOS!$F$2:$H$6,3,FALSE)),(VLOOKUP(T288,CATALOGOS!$J$2:$K$18,2,FALSE)),""-"",TO_TEXT(A288))"),"P02PP-0287")</f>
        <v>P02PP-0287</v>
      </c>
      <c r="H288" s="6" t="s">
        <v>2047</v>
      </c>
      <c r="I288" s="6" t="s">
        <v>2048</v>
      </c>
      <c r="J288" s="6" t="s">
        <v>2049</v>
      </c>
      <c r="K288" s="43" t="s">
        <v>2050</v>
      </c>
      <c r="L288" s="17"/>
      <c r="M288" s="17"/>
      <c r="N288" s="17" t="str">
        <f t="shared" si="1"/>
        <v>OK</v>
      </c>
      <c r="O288" s="17" t="s">
        <v>35</v>
      </c>
      <c r="P288" s="6" t="s">
        <v>35</v>
      </c>
      <c r="Q288" s="17" t="s">
        <v>36</v>
      </c>
      <c r="R288" s="17" t="s">
        <v>2051</v>
      </c>
      <c r="S288" s="173" t="s">
        <v>38</v>
      </c>
      <c r="T288" s="11" t="s">
        <v>1548</v>
      </c>
      <c r="U288" s="20" t="s">
        <v>2052</v>
      </c>
      <c r="V288" s="20" t="s">
        <v>2052</v>
      </c>
      <c r="W288" s="20"/>
      <c r="X288" s="7"/>
      <c r="Y288" s="7"/>
      <c r="Z288" s="23"/>
      <c r="AA288" s="26"/>
    </row>
    <row r="289" spans="1:27" ht="15.75" customHeight="1">
      <c r="A289" s="10" t="s">
        <v>2053</v>
      </c>
      <c r="B289" s="10" t="s">
        <v>27</v>
      </c>
      <c r="C289" s="60" t="s">
        <v>1470</v>
      </c>
      <c r="D289" s="12"/>
      <c r="E289" s="13" t="s">
        <v>501</v>
      </c>
      <c r="F289" s="6" t="s">
        <v>2046</v>
      </c>
      <c r="G289" s="6" t="str">
        <f ca="1">IFERROR(__xludf.DUMMYFUNCTION("CONCATENATE(B289,(VLOOKUP(C289,CATALOGOS!$F$2:$H$6,3,FALSE)),(VLOOKUP(T289,CATALOGOS!$J$2:$K$18,2,FALSE)),""-"",TO_TEXT(A289))"),"P02PP-0288")</f>
        <v>P02PP-0288</v>
      </c>
      <c r="H289" s="6" t="s">
        <v>2054</v>
      </c>
      <c r="I289" s="6" t="s">
        <v>2055</v>
      </c>
      <c r="J289" s="6" t="s">
        <v>2056</v>
      </c>
      <c r="K289" s="43" t="s">
        <v>2057</v>
      </c>
      <c r="L289" s="17"/>
      <c r="M289" s="17"/>
      <c r="N289" s="17" t="str">
        <f t="shared" si="1"/>
        <v>OK</v>
      </c>
      <c r="O289" s="17" t="s">
        <v>35</v>
      </c>
      <c r="P289" s="6" t="s">
        <v>35</v>
      </c>
      <c r="Q289" s="17" t="s">
        <v>36</v>
      </c>
      <c r="R289" s="17" t="s">
        <v>2058</v>
      </c>
      <c r="S289" s="173" t="s">
        <v>38</v>
      </c>
      <c r="T289" s="11" t="s">
        <v>1548</v>
      </c>
      <c r="U289" s="20" t="s">
        <v>2052</v>
      </c>
      <c r="V289" s="20" t="s">
        <v>2052</v>
      </c>
      <c r="W289" s="20"/>
      <c r="X289" s="7"/>
      <c r="Y289" s="7"/>
      <c r="Z289" s="23"/>
      <c r="AA289" s="26"/>
    </row>
    <row r="290" spans="1:27" ht="15.75" customHeight="1">
      <c r="A290" s="10" t="s">
        <v>2059</v>
      </c>
      <c r="B290" s="10" t="s">
        <v>27</v>
      </c>
      <c r="C290" s="60" t="s">
        <v>1470</v>
      </c>
      <c r="D290" s="12"/>
      <c r="E290" s="13" t="s">
        <v>2060</v>
      </c>
      <c r="F290" s="6" t="s">
        <v>2061</v>
      </c>
      <c r="G290" s="6" t="str">
        <f ca="1">IFERROR(__xludf.DUMMYFUNCTION("CONCATENATE(B290,(VLOOKUP(C290,CATALOGOS!$F$2:$H$6,3,FALSE)),(VLOOKUP(T290,CATALOGOS!$J$2:$K$18,2,FALSE)),""-"",TO_TEXT(A290))"),"P02PP-0289")</f>
        <v>P02PP-0289</v>
      </c>
      <c r="H290" s="6" t="s">
        <v>2062</v>
      </c>
      <c r="I290" s="6" t="s">
        <v>2063</v>
      </c>
      <c r="J290" s="6" t="s">
        <v>2064</v>
      </c>
      <c r="K290" s="43" t="s">
        <v>2065</v>
      </c>
      <c r="L290" s="17"/>
      <c r="M290" s="17"/>
      <c r="N290" s="17" t="str">
        <f t="shared" si="1"/>
        <v>OK</v>
      </c>
      <c r="O290" s="17" t="s">
        <v>35</v>
      </c>
      <c r="P290" s="6" t="s">
        <v>35</v>
      </c>
      <c r="Q290" s="17" t="s">
        <v>36</v>
      </c>
      <c r="R290" s="17" t="s">
        <v>2066</v>
      </c>
      <c r="S290" s="173" t="s">
        <v>38</v>
      </c>
      <c r="T290" s="11" t="s">
        <v>1548</v>
      </c>
      <c r="U290" s="20" t="s">
        <v>2052</v>
      </c>
      <c r="V290" s="20" t="s">
        <v>2052</v>
      </c>
      <c r="W290" s="20"/>
      <c r="X290" s="7"/>
      <c r="Y290" s="7"/>
      <c r="Z290" s="23"/>
      <c r="AA290" s="26"/>
    </row>
    <row r="291" spans="1:27" ht="15.75" customHeight="1">
      <c r="A291" s="10" t="s">
        <v>2067</v>
      </c>
      <c r="B291" s="10" t="s">
        <v>27</v>
      </c>
      <c r="C291" s="60" t="s">
        <v>1470</v>
      </c>
      <c r="D291" s="12"/>
      <c r="E291" s="13" t="s">
        <v>2060</v>
      </c>
      <c r="F291" s="6" t="s">
        <v>2061</v>
      </c>
      <c r="G291" s="6" t="str">
        <f ca="1">IFERROR(__xludf.DUMMYFUNCTION("CONCATENATE(B291,(VLOOKUP(C291,CATALOGOS!$F$2:$H$6,3,FALSE)),(VLOOKUP(T291,CATALOGOS!$J$2:$K$18,2,FALSE)),""-"",TO_TEXT(A291))"),"P02PP-0290")</f>
        <v>P02PP-0290</v>
      </c>
      <c r="H291" s="6" t="s">
        <v>2068</v>
      </c>
      <c r="I291" s="6" t="s">
        <v>2069</v>
      </c>
      <c r="J291" s="6" t="s">
        <v>2070</v>
      </c>
      <c r="K291" s="43" t="s">
        <v>2071</v>
      </c>
      <c r="L291" s="17"/>
      <c r="M291" s="17"/>
      <c r="N291" s="17" t="str">
        <f t="shared" si="1"/>
        <v>OK</v>
      </c>
      <c r="O291" s="17" t="s">
        <v>35</v>
      </c>
      <c r="P291" s="6" t="s">
        <v>35</v>
      </c>
      <c r="Q291" s="17" t="s">
        <v>36</v>
      </c>
      <c r="R291" s="17" t="s">
        <v>2072</v>
      </c>
      <c r="S291" s="173" t="s">
        <v>38</v>
      </c>
      <c r="T291" s="11" t="s">
        <v>1548</v>
      </c>
      <c r="U291" s="20" t="s">
        <v>2052</v>
      </c>
      <c r="V291" s="20" t="s">
        <v>2052</v>
      </c>
      <c r="W291" s="20"/>
      <c r="X291" s="7"/>
      <c r="Y291" s="7"/>
      <c r="Z291" s="23"/>
      <c r="AA291" s="26"/>
    </row>
    <row r="292" spans="1:27" ht="15.75" customHeight="1">
      <c r="A292" s="10" t="s">
        <v>2073</v>
      </c>
      <c r="B292" s="10" t="s">
        <v>27</v>
      </c>
      <c r="C292" s="60" t="s">
        <v>1470</v>
      </c>
      <c r="D292" s="12"/>
      <c r="E292" s="13" t="s">
        <v>501</v>
      </c>
      <c r="F292" s="6" t="s">
        <v>2046</v>
      </c>
      <c r="G292" s="6" t="str">
        <f ca="1">IFERROR(__xludf.DUMMYFUNCTION("CONCATENATE(B292,(VLOOKUP(C292,CATALOGOS!$F$2:$H$6,3,FALSE)),(VLOOKUP(T292,CATALOGOS!$J$2:$K$18,2,FALSE)),""-"",TO_TEXT(A292))"),"P02PP-0291")</f>
        <v>P02PP-0291</v>
      </c>
      <c r="H292" s="6" t="s">
        <v>2074</v>
      </c>
      <c r="I292" s="6" t="s">
        <v>2075</v>
      </c>
      <c r="J292" s="6" t="s">
        <v>2076</v>
      </c>
      <c r="K292" s="43" t="s">
        <v>2077</v>
      </c>
      <c r="L292" s="17"/>
      <c r="M292" s="17"/>
      <c r="N292" s="17" t="str">
        <f t="shared" si="1"/>
        <v>OK</v>
      </c>
      <c r="O292" s="17" t="s">
        <v>35</v>
      </c>
      <c r="P292" s="6" t="s">
        <v>35</v>
      </c>
      <c r="Q292" s="17" t="s">
        <v>36</v>
      </c>
      <c r="R292" s="17" t="s">
        <v>2078</v>
      </c>
      <c r="S292" s="173" t="s">
        <v>38</v>
      </c>
      <c r="T292" s="11" t="s">
        <v>1548</v>
      </c>
      <c r="U292" s="20" t="s">
        <v>2052</v>
      </c>
      <c r="V292" s="20" t="s">
        <v>2052</v>
      </c>
      <c r="W292" s="20"/>
      <c r="X292" s="7"/>
      <c r="Y292" s="7"/>
      <c r="Z292" s="23"/>
      <c r="AA292" s="26"/>
    </row>
    <row r="293" spans="1:27" ht="15.75" customHeight="1">
      <c r="A293" s="10" t="s">
        <v>2079</v>
      </c>
      <c r="B293" s="10" t="s">
        <v>27</v>
      </c>
      <c r="C293" s="60" t="s">
        <v>1470</v>
      </c>
      <c r="D293" s="12"/>
      <c r="E293" s="13" t="s">
        <v>2060</v>
      </c>
      <c r="F293" s="6" t="s">
        <v>2061</v>
      </c>
      <c r="G293" s="6" t="str">
        <f ca="1">IFERROR(__xludf.DUMMYFUNCTION("CONCATENATE(B293,(VLOOKUP(C293,CATALOGOS!$F$2:$H$6,3,FALSE)),(VLOOKUP(T293,CATALOGOS!$J$2:$K$18,2,FALSE)),""-"",TO_TEXT(A293))"),"P02PP-0292")</f>
        <v>P02PP-0292</v>
      </c>
      <c r="H293" s="6" t="s">
        <v>2080</v>
      </c>
      <c r="I293" s="6" t="s">
        <v>2081</v>
      </c>
      <c r="J293" s="6" t="s">
        <v>2082</v>
      </c>
      <c r="K293" s="6" t="s">
        <v>2083</v>
      </c>
      <c r="L293" s="17"/>
      <c r="M293" s="17"/>
      <c r="N293" s="17" t="str">
        <f t="shared" si="1"/>
        <v>OK</v>
      </c>
      <c r="O293" s="17" t="s">
        <v>35</v>
      </c>
      <c r="P293" s="6" t="s">
        <v>35</v>
      </c>
      <c r="Q293" s="17" t="s">
        <v>36</v>
      </c>
      <c r="R293" s="17" t="s">
        <v>2084</v>
      </c>
      <c r="S293" s="173" t="s">
        <v>38</v>
      </c>
      <c r="T293" s="11" t="s">
        <v>1548</v>
      </c>
      <c r="U293" s="20" t="s">
        <v>2052</v>
      </c>
      <c r="V293" s="20" t="s">
        <v>2052</v>
      </c>
      <c r="W293" s="20"/>
      <c r="X293" s="7"/>
      <c r="Y293" s="7"/>
      <c r="Z293" s="23"/>
      <c r="AA293" s="26"/>
    </row>
    <row r="294" spans="1:27" ht="15.75" customHeight="1">
      <c r="A294" s="10" t="s">
        <v>2085</v>
      </c>
      <c r="B294" s="10" t="s">
        <v>27</v>
      </c>
      <c r="C294" s="60" t="s">
        <v>1470</v>
      </c>
      <c r="D294" s="12"/>
      <c r="E294" s="13" t="s">
        <v>2060</v>
      </c>
      <c r="F294" s="6" t="s">
        <v>2061</v>
      </c>
      <c r="G294" s="6" t="str">
        <f ca="1">IFERROR(__xludf.DUMMYFUNCTION("CONCATENATE(B294,(VLOOKUP(C294,CATALOGOS!$F$2:$H$6,3,FALSE)),(VLOOKUP(T294,CATALOGOS!$J$2:$K$18,2,FALSE)),""-"",TO_TEXT(A294))"),"P02PP-0293")</f>
        <v>P02PP-0293</v>
      </c>
      <c r="H294" s="6" t="s">
        <v>2086</v>
      </c>
      <c r="I294" s="6" t="s">
        <v>2087</v>
      </c>
      <c r="J294" s="6" t="s">
        <v>2088</v>
      </c>
      <c r="K294" s="6" t="s">
        <v>2089</v>
      </c>
      <c r="L294" s="17"/>
      <c r="M294" s="17"/>
      <c r="N294" s="17" t="str">
        <f t="shared" si="1"/>
        <v>OK</v>
      </c>
      <c r="O294" s="17" t="s">
        <v>35</v>
      </c>
      <c r="P294" s="6" t="s">
        <v>35</v>
      </c>
      <c r="Q294" s="17" t="s">
        <v>36</v>
      </c>
      <c r="R294" s="17" t="s">
        <v>2090</v>
      </c>
      <c r="S294" s="173" t="s">
        <v>38</v>
      </c>
      <c r="T294" s="11" t="s">
        <v>1548</v>
      </c>
      <c r="U294" s="20" t="s">
        <v>2052</v>
      </c>
      <c r="V294" s="20" t="s">
        <v>2052</v>
      </c>
      <c r="W294" s="20"/>
      <c r="X294" s="7"/>
      <c r="Y294" s="7"/>
      <c r="Z294" s="23"/>
      <c r="AA294" s="26"/>
    </row>
    <row r="295" spans="1:27" ht="15.75" customHeight="1">
      <c r="A295" s="10" t="s">
        <v>2091</v>
      </c>
      <c r="B295" s="10" t="s">
        <v>27</v>
      </c>
      <c r="C295" s="60" t="s">
        <v>1470</v>
      </c>
      <c r="D295" s="12"/>
      <c r="E295" s="13" t="s">
        <v>501</v>
      </c>
      <c r="F295" s="6" t="s">
        <v>2092</v>
      </c>
      <c r="G295" s="6" t="str">
        <f ca="1">IFERROR(__xludf.DUMMYFUNCTION("CONCATENATE(B295,(VLOOKUP(C295,CATALOGOS!$F$2:$H$6,3,FALSE)),(VLOOKUP(T295,CATALOGOS!$J$2:$K$18,2,FALSE)),""-"",TO_TEXT(A295))"),"P02PP-0294")</f>
        <v>P02PP-0294</v>
      </c>
      <c r="H295" s="6" t="s">
        <v>2093</v>
      </c>
      <c r="I295" s="6" t="s">
        <v>2094</v>
      </c>
      <c r="J295" s="6" t="s">
        <v>2095</v>
      </c>
      <c r="K295" s="6" t="s">
        <v>2096</v>
      </c>
      <c r="L295" s="17"/>
      <c r="M295" s="17"/>
      <c r="N295" s="17" t="str">
        <f t="shared" si="1"/>
        <v>OK</v>
      </c>
      <c r="O295" s="17" t="s">
        <v>35</v>
      </c>
      <c r="P295" s="6" t="s">
        <v>35</v>
      </c>
      <c r="Q295" s="17" t="s">
        <v>36</v>
      </c>
      <c r="R295" s="17" t="s">
        <v>2097</v>
      </c>
      <c r="S295" s="173" t="s">
        <v>38</v>
      </c>
      <c r="T295" s="11" t="s">
        <v>1548</v>
      </c>
      <c r="U295" s="20" t="s">
        <v>2052</v>
      </c>
      <c r="V295" s="20" t="s">
        <v>2052</v>
      </c>
      <c r="W295" s="20"/>
      <c r="X295" s="7"/>
      <c r="Y295" s="7"/>
      <c r="Z295" s="23"/>
      <c r="AA295" s="26"/>
    </row>
    <row r="296" spans="1:27" ht="15.75" customHeight="1">
      <c r="A296" s="10" t="s">
        <v>2098</v>
      </c>
      <c r="B296" s="10" t="s">
        <v>27</v>
      </c>
      <c r="C296" s="60" t="s">
        <v>1470</v>
      </c>
      <c r="D296" s="12"/>
      <c r="E296" s="13" t="s">
        <v>501</v>
      </c>
      <c r="F296" s="6" t="s">
        <v>2046</v>
      </c>
      <c r="G296" s="6" t="str">
        <f ca="1">IFERROR(__xludf.DUMMYFUNCTION("CONCATENATE(B296,(VLOOKUP(C296,CATALOGOS!$F$2:$H$6,3,FALSE)),(VLOOKUP(T296,CATALOGOS!$J$2:$K$18,2,FALSE)),""-"",TO_TEXT(A296))"),"P02PP-0295")</f>
        <v>P02PP-0295</v>
      </c>
      <c r="H296" s="6" t="s">
        <v>2099</v>
      </c>
      <c r="I296" s="6" t="s">
        <v>2100</v>
      </c>
      <c r="J296" s="6" t="s">
        <v>2101</v>
      </c>
      <c r="K296" s="6" t="s">
        <v>2102</v>
      </c>
      <c r="L296" s="17"/>
      <c r="M296" s="17"/>
      <c r="N296" s="17" t="str">
        <f t="shared" si="1"/>
        <v>OK</v>
      </c>
      <c r="O296" s="17" t="s">
        <v>35</v>
      </c>
      <c r="P296" s="6" t="s">
        <v>35</v>
      </c>
      <c r="Q296" s="17" t="s">
        <v>36</v>
      </c>
      <c r="R296" s="17" t="s">
        <v>2103</v>
      </c>
      <c r="S296" s="173" t="s">
        <v>38</v>
      </c>
      <c r="T296" s="174" t="s">
        <v>1548</v>
      </c>
      <c r="U296" s="20" t="s">
        <v>2052</v>
      </c>
      <c r="V296" s="20" t="s">
        <v>2052</v>
      </c>
      <c r="W296" s="20"/>
      <c r="X296" s="7"/>
      <c r="Y296" s="7"/>
      <c r="Z296" s="23"/>
      <c r="AA296" s="26"/>
    </row>
    <row r="297" spans="1:27" ht="15.75" customHeight="1">
      <c r="A297" s="10" t="s">
        <v>2104</v>
      </c>
      <c r="B297" s="10" t="s">
        <v>27</v>
      </c>
      <c r="C297" s="60" t="s">
        <v>1470</v>
      </c>
      <c r="D297" s="12"/>
      <c r="E297" s="13" t="s">
        <v>2060</v>
      </c>
      <c r="F297" s="6" t="s">
        <v>2061</v>
      </c>
      <c r="G297" s="6" t="str">
        <f ca="1">IFERROR(__xludf.DUMMYFUNCTION("CONCATENATE(B297,(VLOOKUP(C297,CATALOGOS!$F$2:$H$6,3,FALSE)),(VLOOKUP(T297,CATALOGOS!$J$2:$K$18,2,FALSE)),""-"",TO_TEXT(A297))"),"P02PP-0296")</f>
        <v>P02PP-0296</v>
      </c>
      <c r="H297" s="6" t="s">
        <v>2105</v>
      </c>
      <c r="I297" s="6" t="s">
        <v>2106</v>
      </c>
      <c r="J297" s="6" t="s">
        <v>2107</v>
      </c>
      <c r="K297" s="6" t="s">
        <v>2108</v>
      </c>
      <c r="L297" s="17"/>
      <c r="M297" s="17"/>
      <c r="N297" s="17" t="str">
        <f t="shared" si="1"/>
        <v>OK</v>
      </c>
      <c r="O297" s="17" t="s">
        <v>35</v>
      </c>
      <c r="P297" s="6" t="s">
        <v>35</v>
      </c>
      <c r="Q297" s="17" t="s">
        <v>36</v>
      </c>
      <c r="R297" s="17" t="s">
        <v>2109</v>
      </c>
      <c r="S297" s="173" t="s">
        <v>38</v>
      </c>
      <c r="T297" s="11" t="s">
        <v>1548</v>
      </c>
      <c r="U297" s="20" t="s">
        <v>2052</v>
      </c>
      <c r="V297" s="20" t="s">
        <v>2052</v>
      </c>
      <c r="W297" s="20"/>
      <c r="X297" s="7"/>
      <c r="Y297" s="7"/>
      <c r="Z297" s="23"/>
      <c r="AA297" s="26"/>
    </row>
    <row r="298" spans="1:27" ht="15.75" customHeight="1">
      <c r="A298" s="10" t="s">
        <v>2110</v>
      </c>
      <c r="B298" s="10" t="s">
        <v>27</v>
      </c>
      <c r="C298" s="60" t="s">
        <v>1470</v>
      </c>
      <c r="D298" s="12"/>
      <c r="E298" s="13" t="s">
        <v>2060</v>
      </c>
      <c r="F298" s="6" t="s">
        <v>2061</v>
      </c>
      <c r="G298" s="6" t="str">
        <f ca="1">IFERROR(__xludf.DUMMYFUNCTION("CONCATENATE(B298,(VLOOKUP(C298,CATALOGOS!$F$2:$H$6,3,FALSE)),(VLOOKUP(T298,CATALOGOS!$J$2:$K$18,2,FALSE)),""-"",TO_TEXT(A298))"),"P02PP-0297")</f>
        <v>P02PP-0297</v>
      </c>
      <c r="H298" s="6" t="s">
        <v>2111</v>
      </c>
      <c r="I298" s="6" t="s">
        <v>2112</v>
      </c>
      <c r="J298" s="6" t="s">
        <v>2113</v>
      </c>
      <c r="K298" s="43" t="s">
        <v>2114</v>
      </c>
      <c r="L298" s="17"/>
      <c r="M298" s="17"/>
      <c r="N298" s="17" t="str">
        <f t="shared" si="1"/>
        <v>OK</v>
      </c>
      <c r="O298" s="17" t="s">
        <v>35</v>
      </c>
      <c r="P298" s="6" t="s">
        <v>35</v>
      </c>
      <c r="Q298" s="17" t="s">
        <v>36</v>
      </c>
      <c r="R298" s="17" t="s">
        <v>2115</v>
      </c>
      <c r="S298" s="173" t="s">
        <v>38</v>
      </c>
      <c r="T298" s="11" t="s">
        <v>1548</v>
      </c>
      <c r="U298" s="20" t="s">
        <v>2052</v>
      </c>
      <c r="V298" s="20" t="s">
        <v>2052</v>
      </c>
      <c r="W298" s="20"/>
      <c r="X298" s="7"/>
      <c r="Y298" s="7"/>
      <c r="Z298" s="23"/>
      <c r="AA298" s="26"/>
    </row>
    <row r="299" spans="1:27" ht="15.75" customHeight="1">
      <c r="A299" s="10" t="s">
        <v>2116</v>
      </c>
      <c r="B299" s="10" t="s">
        <v>27</v>
      </c>
      <c r="C299" s="60" t="s">
        <v>1470</v>
      </c>
      <c r="D299" s="12"/>
      <c r="E299" s="13" t="s">
        <v>501</v>
      </c>
      <c r="F299" s="6" t="s">
        <v>2092</v>
      </c>
      <c r="G299" s="6" t="str">
        <f ca="1">IFERROR(__xludf.DUMMYFUNCTION("CONCATENATE(B299,(VLOOKUP(C299,CATALOGOS!$F$2:$H$6,3,FALSE)),(VLOOKUP(T299,CATALOGOS!$J$2:$K$18,2,FALSE)),""-"",TO_TEXT(A299))"),"P02PP-0298")</f>
        <v>P02PP-0298</v>
      </c>
      <c r="H299" s="6" t="s">
        <v>2117</v>
      </c>
      <c r="I299" s="6" t="s">
        <v>2118</v>
      </c>
      <c r="J299" s="6" t="s">
        <v>2119</v>
      </c>
      <c r="K299" s="6" t="s">
        <v>2120</v>
      </c>
      <c r="L299" s="17"/>
      <c r="M299" s="17"/>
      <c r="N299" s="17" t="str">
        <f t="shared" si="1"/>
        <v>OK</v>
      </c>
      <c r="O299" s="17" t="s">
        <v>35</v>
      </c>
      <c r="P299" s="6" t="s">
        <v>35</v>
      </c>
      <c r="Q299" s="17" t="s">
        <v>36</v>
      </c>
      <c r="R299" s="17" t="s">
        <v>2121</v>
      </c>
      <c r="S299" s="173" t="s">
        <v>38</v>
      </c>
      <c r="T299" s="11" t="s">
        <v>1548</v>
      </c>
      <c r="U299" s="20" t="s">
        <v>2052</v>
      </c>
      <c r="V299" s="20" t="s">
        <v>2052</v>
      </c>
      <c r="W299" s="20"/>
      <c r="X299" s="7"/>
      <c r="Y299" s="7"/>
      <c r="Z299" s="23"/>
      <c r="AA299" s="26"/>
    </row>
    <row r="300" spans="1:27" ht="15.75" customHeight="1">
      <c r="A300" s="10" t="s">
        <v>2122</v>
      </c>
      <c r="B300" s="10" t="s">
        <v>27</v>
      </c>
      <c r="C300" s="60" t="s">
        <v>1470</v>
      </c>
      <c r="D300" s="12"/>
      <c r="E300" s="13" t="s">
        <v>2060</v>
      </c>
      <c r="F300" s="6" t="s">
        <v>2061</v>
      </c>
      <c r="G300" s="6" t="str">
        <f ca="1">IFERROR(__xludf.DUMMYFUNCTION("CONCATENATE(B300,(VLOOKUP(C300,CATALOGOS!$F$2:$H$6,3,FALSE)),(VLOOKUP(T300,CATALOGOS!$J$2:$K$18,2,FALSE)),""-"",TO_TEXT(A300))"),"P02PP-0299")</f>
        <v>P02PP-0299</v>
      </c>
      <c r="H300" s="6" t="s">
        <v>2123</v>
      </c>
      <c r="I300" s="6" t="s">
        <v>2124</v>
      </c>
      <c r="J300" s="6" t="s">
        <v>2125</v>
      </c>
      <c r="K300" s="6" t="s">
        <v>2126</v>
      </c>
      <c r="L300" s="17"/>
      <c r="M300" s="17"/>
      <c r="N300" s="17" t="str">
        <f t="shared" si="1"/>
        <v>OK</v>
      </c>
      <c r="O300" s="17" t="s">
        <v>35</v>
      </c>
      <c r="P300" s="6" t="s">
        <v>35</v>
      </c>
      <c r="Q300" s="17" t="s">
        <v>36</v>
      </c>
      <c r="R300" s="17" t="s">
        <v>2127</v>
      </c>
      <c r="S300" s="173" t="s">
        <v>38</v>
      </c>
      <c r="T300" s="11" t="s">
        <v>1548</v>
      </c>
      <c r="U300" s="20" t="s">
        <v>2052</v>
      </c>
      <c r="V300" s="20" t="s">
        <v>2052</v>
      </c>
      <c r="W300" s="20"/>
      <c r="X300" s="7"/>
      <c r="Y300" s="7"/>
      <c r="Z300" s="23"/>
      <c r="AA300" s="26"/>
    </row>
    <row r="301" spans="1:27" ht="15.75" customHeight="1">
      <c r="A301" s="10" t="s">
        <v>2128</v>
      </c>
      <c r="B301" s="10" t="s">
        <v>27</v>
      </c>
      <c r="C301" s="60" t="s">
        <v>1470</v>
      </c>
      <c r="D301" s="12"/>
      <c r="E301" s="13" t="s">
        <v>501</v>
      </c>
      <c r="F301" s="6" t="s">
        <v>2046</v>
      </c>
      <c r="G301" s="6" t="str">
        <f ca="1">IFERROR(__xludf.DUMMYFUNCTION("CONCATENATE(B301,(VLOOKUP(C301,CATALOGOS!$F$2:$H$6,3,FALSE)),(VLOOKUP(T301,CATALOGOS!$J$2:$K$18,2,FALSE)),""-"",TO_TEXT(A301))"),"P02PP-0300")</f>
        <v>P02PP-0300</v>
      </c>
      <c r="H301" s="6" t="s">
        <v>2129</v>
      </c>
      <c r="I301" s="6" t="s">
        <v>2130</v>
      </c>
      <c r="J301" s="6" t="s">
        <v>2131</v>
      </c>
      <c r="K301" s="6" t="s">
        <v>2132</v>
      </c>
      <c r="L301" s="17"/>
      <c r="M301" s="17"/>
      <c r="N301" s="17" t="str">
        <f t="shared" si="1"/>
        <v>OK</v>
      </c>
      <c r="O301" s="17" t="s">
        <v>35</v>
      </c>
      <c r="P301" s="6" t="s">
        <v>35</v>
      </c>
      <c r="Q301" s="17" t="s">
        <v>36</v>
      </c>
      <c r="R301" s="17" t="s">
        <v>2133</v>
      </c>
      <c r="S301" s="173" t="s">
        <v>38</v>
      </c>
      <c r="T301" s="11" t="s">
        <v>1548</v>
      </c>
      <c r="U301" s="20" t="s">
        <v>2052</v>
      </c>
      <c r="V301" s="20" t="s">
        <v>2052</v>
      </c>
      <c r="W301" s="20"/>
      <c r="X301" s="7"/>
      <c r="Y301" s="7"/>
      <c r="Z301" s="23"/>
      <c r="AA301" s="26"/>
    </row>
    <row r="302" spans="1:27" ht="15.75" customHeight="1">
      <c r="A302" s="10" t="s">
        <v>2134</v>
      </c>
      <c r="B302" s="10" t="s">
        <v>27</v>
      </c>
      <c r="C302" s="60" t="s">
        <v>1470</v>
      </c>
      <c r="D302" s="12"/>
      <c r="E302" s="13" t="s">
        <v>501</v>
      </c>
      <c r="F302" s="6" t="s">
        <v>2046</v>
      </c>
      <c r="G302" s="6" t="str">
        <f ca="1">IFERROR(__xludf.DUMMYFUNCTION("CONCATENATE(B302,(VLOOKUP(C302,CATALOGOS!$F$2:$H$6,3,FALSE)),(VLOOKUP(T302,CATALOGOS!$J$2:$K$18,2,FALSE)),""-"",TO_TEXT(A302))"),"P02PP-0301")</f>
        <v>P02PP-0301</v>
      </c>
      <c r="H302" s="6" t="s">
        <v>2135</v>
      </c>
      <c r="I302" s="6" t="s">
        <v>2136</v>
      </c>
      <c r="J302" s="6" t="s">
        <v>2137</v>
      </c>
      <c r="K302" s="6" t="s">
        <v>2138</v>
      </c>
      <c r="L302" s="17"/>
      <c r="M302" s="17"/>
      <c r="N302" s="17" t="str">
        <f t="shared" si="1"/>
        <v>OK</v>
      </c>
      <c r="O302" s="17" t="s">
        <v>35</v>
      </c>
      <c r="P302" s="6" t="s">
        <v>35</v>
      </c>
      <c r="Q302" s="17" t="s">
        <v>36</v>
      </c>
      <c r="R302" s="17" t="s">
        <v>2139</v>
      </c>
      <c r="S302" s="173" t="s">
        <v>38</v>
      </c>
      <c r="T302" s="11" t="s">
        <v>1548</v>
      </c>
      <c r="U302" s="20" t="s">
        <v>2052</v>
      </c>
      <c r="V302" s="20" t="s">
        <v>2052</v>
      </c>
      <c r="W302" s="20"/>
      <c r="X302" s="7"/>
      <c r="Y302" s="7"/>
      <c r="Z302" s="23"/>
      <c r="AA302" s="26"/>
    </row>
    <row r="303" spans="1:27" ht="15.75" customHeight="1">
      <c r="A303" s="10" t="s">
        <v>2140</v>
      </c>
      <c r="B303" s="10" t="s">
        <v>27</v>
      </c>
      <c r="C303" s="60" t="s">
        <v>1470</v>
      </c>
      <c r="D303" s="12"/>
      <c r="E303" s="13" t="s">
        <v>2060</v>
      </c>
      <c r="F303" s="6" t="s">
        <v>2061</v>
      </c>
      <c r="G303" s="6" t="str">
        <f ca="1">IFERROR(__xludf.DUMMYFUNCTION("CONCATENATE(B303,(VLOOKUP(C303,CATALOGOS!$F$2:$H$6,3,FALSE)),(VLOOKUP(T303,CATALOGOS!$J$2:$K$18,2,FALSE)),""-"",TO_TEXT(A303))"),"P02PP-0302")</f>
        <v>P02PP-0302</v>
      </c>
      <c r="H303" s="6" t="s">
        <v>2141</v>
      </c>
      <c r="I303" s="6" t="s">
        <v>2142</v>
      </c>
      <c r="J303" s="6" t="s">
        <v>2143</v>
      </c>
      <c r="K303" s="6" t="s">
        <v>2144</v>
      </c>
      <c r="L303" s="17"/>
      <c r="M303" s="17"/>
      <c r="N303" s="17" t="str">
        <f t="shared" si="1"/>
        <v>OK</v>
      </c>
      <c r="O303" s="17" t="s">
        <v>35</v>
      </c>
      <c r="P303" s="6" t="s">
        <v>35</v>
      </c>
      <c r="Q303" s="17" t="s">
        <v>36</v>
      </c>
      <c r="R303" s="17" t="s">
        <v>2145</v>
      </c>
      <c r="S303" s="173" t="s">
        <v>38</v>
      </c>
      <c r="T303" s="11" t="s">
        <v>1548</v>
      </c>
      <c r="U303" s="20" t="s">
        <v>2052</v>
      </c>
      <c r="V303" s="20" t="s">
        <v>2052</v>
      </c>
      <c r="W303" s="20"/>
      <c r="X303" s="7"/>
      <c r="Y303" s="7"/>
      <c r="Z303" s="23"/>
      <c r="AA303" s="26"/>
    </row>
    <row r="304" spans="1:27" ht="15.75" customHeight="1">
      <c r="A304" s="10" t="s">
        <v>2146</v>
      </c>
      <c r="B304" s="10" t="s">
        <v>27</v>
      </c>
      <c r="C304" s="60" t="s">
        <v>1470</v>
      </c>
      <c r="D304" s="12"/>
      <c r="E304" s="13" t="s">
        <v>2060</v>
      </c>
      <c r="F304" s="6" t="s">
        <v>2061</v>
      </c>
      <c r="G304" s="6" t="str">
        <f ca="1">IFERROR(__xludf.DUMMYFUNCTION("CONCATENATE(B304,(VLOOKUP(C304,CATALOGOS!$F$2:$H$6,3,FALSE)),(VLOOKUP(T304,CATALOGOS!$J$2:$K$18,2,FALSE)),""-"",TO_TEXT(A304))"),"P02PP-0303")</f>
        <v>P02PP-0303</v>
      </c>
      <c r="H304" s="6" t="s">
        <v>2147</v>
      </c>
      <c r="I304" s="6" t="s">
        <v>2148</v>
      </c>
      <c r="J304" s="6" t="s">
        <v>2149</v>
      </c>
      <c r="K304" s="6" t="s">
        <v>2150</v>
      </c>
      <c r="L304" s="17"/>
      <c r="M304" s="17"/>
      <c r="N304" s="17" t="str">
        <f t="shared" si="1"/>
        <v>OK</v>
      </c>
      <c r="O304" s="17" t="s">
        <v>35</v>
      </c>
      <c r="P304" s="6" t="s">
        <v>35</v>
      </c>
      <c r="Q304" s="17" t="s">
        <v>36</v>
      </c>
      <c r="R304" s="17" t="s">
        <v>2151</v>
      </c>
      <c r="S304" s="173" t="s">
        <v>38</v>
      </c>
      <c r="T304" s="11" t="s">
        <v>1548</v>
      </c>
      <c r="U304" s="20" t="s">
        <v>2052</v>
      </c>
      <c r="V304" s="20" t="s">
        <v>2052</v>
      </c>
      <c r="W304" s="20"/>
      <c r="X304" s="7"/>
      <c r="Y304" s="7"/>
      <c r="Z304" s="23"/>
      <c r="AA304" s="26"/>
    </row>
    <row r="305" spans="1:27" ht="15.75" customHeight="1">
      <c r="A305" s="10" t="s">
        <v>2152</v>
      </c>
      <c r="B305" s="10" t="s">
        <v>27</v>
      </c>
      <c r="C305" s="60" t="s">
        <v>1470</v>
      </c>
      <c r="D305" s="12"/>
      <c r="E305" s="13" t="s">
        <v>501</v>
      </c>
      <c r="F305" s="6" t="s">
        <v>2046</v>
      </c>
      <c r="G305" s="6" t="str">
        <f ca="1">IFERROR(__xludf.DUMMYFUNCTION("CONCATENATE(B305,(VLOOKUP(C305,CATALOGOS!$F$2:$H$6,3,FALSE)),(VLOOKUP(T305,CATALOGOS!$J$2:$K$18,2,FALSE)),""-"",TO_TEXT(A305))"),"P02PP-0304")</f>
        <v>P02PP-0304</v>
      </c>
      <c r="H305" s="6" t="s">
        <v>2153</v>
      </c>
      <c r="I305" s="6" t="s">
        <v>2154</v>
      </c>
      <c r="J305" s="6" t="s">
        <v>2155</v>
      </c>
      <c r="K305" s="6" t="s">
        <v>2156</v>
      </c>
      <c r="L305" s="17"/>
      <c r="M305" s="17"/>
      <c r="N305" s="17" t="str">
        <f t="shared" si="1"/>
        <v>OK</v>
      </c>
      <c r="O305" s="17" t="s">
        <v>35</v>
      </c>
      <c r="P305" s="6" t="s">
        <v>35</v>
      </c>
      <c r="Q305" s="17" t="s">
        <v>36</v>
      </c>
      <c r="R305" s="17" t="s">
        <v>2157</v>
      </c>
      <c r="S305" s="173" t="s">
        <v>38</v>
      </c>
      <c r="T305" s="11" t="s">
        <v>1548</v>
      </c>
      <c r="U305" s="20" t="s">
        <v>2052</v>
      </c>
      <c r="V305" s="20" t="s">
        <v>2052</v>
      </c>
      <c r="W305" s="20"/>
      <c r="X305" s="7"/>
      <c r="Y305" s="7"/>
      <c r="Z305" s="23"/>
      <c r="AA305" s="26"/>
    </row>
    <row r="306" spans="1:27" ht="15.75" customHeight="1">
      <c r="A306" s="10" t="s">
        <v>2158</v>
      </c>
      <c r="B306" s="10" t="s">
        <v>27</v>
      </c>
      <c r="C306" s="60" t="s">
        <v>1470</v>
      </c>
      <c r="D306" s="12"/>
      <c r="E306" s="13" t="s">
        <v>2060</v>
      </c>
      <c r="F306" s="6" t="s">
        <v>2061</v>
      </c>
      <c r="G306" s="6" t="str">
        <f ca="1">IFERROR(__xludf.DUMMYFUNCTION("CONCATENATE(B306,(VLOOKUP(C306,CATALOGOS!$F$2:$H$6,3,FALSE)),(VLOOKUP(T306,CATALOGOS!$J$2:$K$18,2,FALSE)),""-"",TO_TEXT(A306))"),"P02PP-0305")</f>
        <v>P02PP-0305</v>
      </c>
      <c r="H306" s="6" t="s">
        <v>2159</v>
      </c>
      <c r="I306" s="6" t="s">
        <v>2160</v>
      </c>
      <c r="J306" s="6" t="s">
        <v>2161</v>
      </c>
      <c r="K306" s="6" t="s">
        <v>2162</v>
      </c>
      <c r="L306" s="17"/>
      <c r="M306" s="17"/>
      <c r="N306" s="17" t="str">
        <f t="shared" si="1"/>
        <v>OK</v>
      </c>
      <c r="O306" s="17" t="s">
        <v>35</v>
      </c>
      <c r="P306" s="6" t="s">
        <v>35</v>
      </c>
      <c r="Q306" s="17" t="s">
        <v>36</v>
      </c>
      <c r="R306" s="17" t="s">
        <v>2163</v>
      </c>
      <c r="S306" s="173" t="s">
        <v>38</v>
      </c>
      <c r="T306" s="11" t="s">
        <v>1548</v>
      </c>
      <c r="U306" s="20" t="s">
        <v>2052</v>
      </c>
      <c r="V306" s="20" t="s">
        <v>2052</v>
      </c>
      <c r="W306" s="20"/>
      <c r="X306" s="7"/>
      <c r="Y306" s="7"/>
      <c r="Z306" s="23"/>
      <c r="AA306" s="26"/>
    </row>
    <row r="307" spans="1:27" ht="15.75" customHeight="1">
      <c r="A307" s="10" t="s">
        <v>2164</v>
      </c>
      <c r="B307" s="10" t="s">
        <v>27</v>
      </c>
      <c r="C307" s="60" t="s">
        <v>1470</v>
      </c>
      <c r="D307" s="12"/>
      <c r="E307" s="13" t="s">
        <v>2060</v>
      </c>
      <c r="F307" s="6" t="s">
        <v>2061</v>
      </c>
      <c r="G307" s="6" t="str">
        <f ca="1">IFERROR(__xludf.DUMMYFUNCTION("CONCATENATE(B307,(VLOOKUP(C307,CATALOGOS!$F$2:$H$6,3,FALSE)),(VLOOKUP(T307,CATALOGOS!$J$2:$K$18,2,FALSE)),""-"",TO_TEXT(A307))"),"P02PP-0306")</f>
        <v>P02PP-0306</v>
      </c>
      <c r="H307" s="6" t="s">
        <v>2165</v>
      </c>
      <c r="I307" s="6" t="s">
        <v>2166</v>
      </c>
      <c r="J307" s="6" t="s">
        <v>2167</v>
      </c>
      <c r="K307" s="6" t="s">
        <v>2168</v>
      </c>
      <c r="L307" s="17"/>
      <c r="M307" s="17"/>
      <c r="N307" s="17" t="str">
        <f t="shared" si="1"/>
        <v>OK</v>
      </c>
      <c r="O307" s="17" t="s">
        <v>35</v>
      </c>
      <c r="P307" s="6" t="s">
        <v>35</v>
      </c>
      <c r="Q307" s="17" t="s">
        <v>36</v>
      </c>
      <c r="R307" s="17" t="s">
        <v>2169</v>
      </c>
      <c r="S307" s="173" t="s">
        <v>38</v>
      </c>
      <c r="T307" s="11" t="s">
        <v>1548</v>
      </c>
      <c r="U307" s="20" t="s">
        <v>2052</v>
      </c>
      <c r="V307" s="20" t="s">
        <v>2052</v>
      </c>
      <c r="W307" s="20"/>
      <c r="X307" s="7"/>
      <c r="Y307" s="7"/>
      <c r="Z307" s="23"/>
      <c r="AA307" s="26"/>
    </row>
    <row r="308" spans="1:27" ht="15.75" customHeight="1">
      <c r="A308" s="10" t="s">
        <v>2170</v>
      </c>
      <c r="B308" s="10" t="s">
        <v>27</v>
      </c>
      <c r="C308" s="60" t="s">
        <v>1470</v>
      </c>
      <c r="D308" s="12"/>
      <c r="E308" s="13" t="s">
        <v>501</v>
      </c>
      <c r="F308" s="6" t="s">
        <v>2046</v>
      </c>
      <c r="G308" s="6" t="str">
        <f ca="1">IFERROR(__xludf.DUMMYFUNCTION("CONCATENATE(B308,(VLOOKUP(C308,CATALOGOS!$F$2:$H$6,3,FALSE)),(VLOOKUP(T308,CATALOGOS!$J$2:$K$18,2,FALSE)),""-"",TO_TEXT(A308))"),"P02PP-0307")</f>
        <v>P02PP-0307</v>
      </c>
      <c r="H308" s="6" t="s">
        <v>2171</v>
      </c>
      <c r="I308" s="6" t="s">
        <v>2172</v>
      </c>
      <c r="J308" s="6" t="s">
        <v>2173</v>
      </c>
      <c r="K308" s="6" t="s">
        <v>2174</v>
      </c>
      <c r="L308" s="17"/>
      <c r="M308" s="17"/>
      <c r="N308" s="17" t="str">
        <f t="shared" si="1"/>
        <v>OK</v>
      </c>
      <c r="O308" s="17" t="s">
        <v>35</v>
      </c>
      <c r="P308" s="6" t="s">
        <v>35</v>
      </c>
      <c r="Q308" s="17" t="s">
        <v>36</v>
      </c>
      <c r="R308" s="17" t="s">
        <v>2175</v>
      </c>
      <c r="S308" s="173" t="s">
        <v>38</v>
      </c>
      <c r="T308" s="11" t="s">
        <v>1548</v>
      </c>
      <c r="U308" s="20" t="s">
        <v>2052</v>
      </c>
      <c r="V308" s="20" t="s">
        <v>2052</v>
      </c>
      <c r="W308" s="20"/>
      <c r="X308" s="7"/>
      <c r="Y308" s="7"/>
      <c r="Z308" s="23"/>
      <c r="AA308" s="26"/>
    </row>
    <row r="309" spans="1:27" ht="15.75" customHeight="1">
      <c r="A309" s="10" t="s">
        <v>2176</v>
      </c>
      <c r="B309" s="10" t="s">
        <v>27</v>
      </c>
      <c r="C309" s="60" t="s">
        <v>1470</v>
      </c>
      <c r="D309" s="12"/>
      <c r="E309" s="13" t="s">
        <v>2060</v>
      </c>
      <c r="F309" s="6" t="s">
        <v>2061</v>
      </c>
      <c r="G309" s="6" t="str">
        <f ca="1">IFERROR(__xludf.DUMMYFUNCTION("CONCATENATE(B309,(VLOOKUP(C309,CATALOGOS!$F$2:$H$6,3,FALSE)),(VLOOKUP(T309,CATALOGOS!$J$2:$K$18,2,FALSE)),""-"",TO_TEXT(A309))"),"P02PP-0308")</f>
        <v>P02PP-0308</v>
      </c>
      <c r="H309" s="6" t="s">
        <v>2177</v>
      </c>
      <c r="I309" s="6" t="s">
        <v>2178</v>
      </c>
      <c r="J309" s="6" t="s">
        <v>2179</v>
      </c>
      <c r="K309" s="6" t="s">
        <v>2180</v>
      </c>
      <c r="L309" s="17"/>
      <c r="M309" s="17"/>
      <c r="N309" s="17" t="str">
        <f t="shared" si="1"/>
        <v>OK</v>
      </c>
      <c r="O309" s="17" t="s">
        <v>35</v>
      </c>
      <c r="P309" s="6" t="s">
        <v>35</v>
      </c>
      <c r="Q309" s="17" t="s">
        <v>36</v>
      </c>
      <c r="R309" s="17" t="s">
        <v>2181</v>
      </c>
      <c r="S309" s="173" t="s">
        <v>38</v>
      </c>
      <c r="T309" s="11" t="s">
        <v>1548</v>
      </c>
      <c r="U309" s="20" t="s">
        <v>2052</v>
      </c>
      <c r="V309" s="20" t="s">
        <v>2052</v>
      </c>
      <c r="W309" s="20"/>
      <c r="X309" s="7"/>
      <c r="Y309" s="7"/>
      <c r="Z309" s="23"/>
      <c r="AA309" s="26"/>
    </row>
    <row r="310" spans="1:27" ht="15.75" customHeight="1">
      <c r="A310" s="10" t="s">
        <v>2182</v>
      </c>
      <c r="B310" s="10" t="s">
        <v>27</v>
      </c>
      <c r="C310" s="60" t="s">
        <v>1470</v>
      </c>
      <c r="D310" s="12"/>
      <c r="E310" s="13" t="s">
        <v>2060</v>
      </c>
      <c r="F310" s="6" t="s">
        <v>2061</v>
      </c>
      <c r="G310" s="6" t="str">
        <f ca="1">IFERROR(__xludf.DUMMYFUNCTION("CONCATENATE(B310,(VLOOKUP(C310,CATALOGOS!$F$2:$H$6,3,FALSE)),(VLOOKUP(T310,CATALOGOS!$J$2:$K$18,2,FALSE)),""-"",TO_TEXT(A310))"),"P02PP-0309")</f>
        <v>P02PP-0309</v>
      </c>
      <c r="H310" s="6" t="s">
        <v>2183</v>
      </c>
      <c r="I310" s="6" t="s">
        <v>2184</v>
      </c>
      <c r="J310" s="6" t="s">
        <v>2185</v>
      </c>
      <c r="K310" s="6" t="s">
        <v>2186</v>
      </c>
      <c r="L310" s="17"/>
      <c r="M310" s="17"/>
      <c r="N310" s="17" t="str">
        <f t="shared" si="1"/>
        <v>OK</v>
      </c>
      <c r="O310" s="17" t="s">
        <v>35</v>
      </c>
      <c r="P310" s="6" t="s">
        <v>35</v>
      </c>
      <c r="Q310" s="17" t="s">
        <v>36</v>
      </c>
      <c r="R310" s="17" t="s">
        <v>2187</v>
      </c>
      <c r="S310" s="173" t="s">
        <v>38</v>
      </c>
      <c r="T310" s="11" t="s">
        <v>1548</v>
      </c>
      <c r="U310" s="20" t="s">
        <v>2052</v>
      </c>
      <c r="V310" s="20" t="s">
        <v>2052</v>
      </c>
      <c r="W310" s="20"/>
      <c r="X310" s="7"/>
      <c r="Y310" s="7"/>
      <c r="Z310" s="23"/>
      <c r="AA310" s="26"/>
    </row>
    <row r="311" spans="1:27" ht="15.75" customHeight="1">
      <c r="A311" s="10" t="s">
        <v>2188</v>
      </c>
      <c r="B311" s="10" t="s">
        <v>27</v>
      </c>
      <c r="C311" s="60" t="s">
        <v>1470</v>
      </c>
      <c r="D311" s="12"/>
      <c r="E311" s="13" t="s">
        <v>501</v>
      </c>
      <c r="F311" s="6" t="s">
        <v>2046</v>
      </c>
      <c r="G311" s="6" t="str">
        <f ca="1">IFERROR(__xludf.DUMMYFUNCTION("CONCATENATE(B311,(VLOOKUP(C311,CATALOGOS!$F$2:$H$6,3,FALSE)),(VLOOKUP(T311,CATALOGOS!$J$2:$K$18,2,FALSE)),""-"",TO_TEXT(A311))"),"P02PP-0310")</f>
        <v>P02PP-0310</v>
      </c>
      <c r="H311" s="6" t="s">
        <v>2189</v>
      </c>
      <c r="I311" s="6" t="s">
        <v>2190</v>
      </c>
      <c r="J311" s="6" t="s">
        <v>2191</v>
      </c>
      <c r="K311" s="6" t="s">
        <v>2192</v>
      </c>
      <c r="L311" s="17"/>
      <c r="M311" s="17"/>
      <c r="N311" s="17" t="str">
        <f t="shared" si="1"/>
        <v>OK</v>
      </c>
      <c r="O311" s="17" t="s">
        <v>35</v>
      </c>
      <c r="P311" s="6" t="s">
        <v>35</v>
      </c>
      <c r="Q311" s="17" t="s">
        <v>36</v>
      </c>
      <c r="R311" s="17" t="s">
        <v>2193</v>
      </c>
      <c r="S311" s="173" t="s">
        <v>38</v>
      </c>
      <c r="T311" s="11" t="s">
        <v>1548</v>
      </c>
      <c r="U311" s="20" t="s">
        <v>2052</v>
      </c>
      <c r="V311" s="20" t="s">
        <v>2052</v>
      </c>
      <c r="W311" s="20"/>
      <c r="X311" s="7"/>
      <c r="Y311" s="7"/>
      <c r="Z311" s="23"/>
      <c r="AA311" s="26"/>
    </row>
    <row r="312" spans="1:27" ht="15.75" customHeight="1">
      <c r="A312" s="10" t="s">
        <v>2194</v>
      </c>
      <c r="B312" s="10" t="s">
        <v>27</v>
      </c>
      <c r="C312" s="60" t="s">
        <v>1470</v>
      </c>
      <c r="D312" s="12"/>
      <c r="E312" s="13" t="s">
        <v>2060</v>
      </c>
      <c r="F312" s="6" t="s">
        <v>2061</v>
      </c>
      <c r="G312" s="6" t="str">
        <f ca="1">IFERROR(__xludf.DUMMYFUNCTION("CONCATENATE(B312,(VLOOKUP(C312,CATALOGOS!$F$2:$H$6,3,FALSE)),(VLOOKUP(T312,CATALOGOS!$J$2:$K$18,2,FALSE)),""-"",TO_TEXT(A312))"),"P02PP-0311")</f>
        <v>P02PP-0311</v>
      </c>
      <c r="H312" s="6" t="s">
        <v>2195</v>
      </c>
      <c r="I312" s="6" t="s">
        <v>2196</v>
      </c>
      <c r="J312" s="6" t="s">
        <v>2197</v>
      </c>
      <c r="K312" s="6" t="s">
        <v>2198</v>
      </c>
      <c r="L312" s="17"/>
      <c r="M312" s="17"/>
      <c r="N312" s="17" t="str">
        <f t="shared" si="1"/>
        <v>OK</v>
      </c>
      <c r="O312" s="17" t="s">
        <v>35</v>
      </c>
      <c r="P312" s="6" t="s">
        <v>35</v>
      </c>
      <c r="Q312" s="17" t="s">
        <v>36</v>
      </c>
      <c r="R312" s="17" t="s">
        <v>2199</v>
      </c>
      <c r="S312" s="173" t="s">
        <v>38</v>
      </c>
      <c r="T312" s="11" t="s">
        <v>1548</v>
      </c>
      <c r="U312" s="20" t="s">
        <v>2052</v>
      </c>
      <c r="V312" s="20" t="s">
        <v>2052</v>
      </c>
      <c r="W312" s="20"/>
      <c r="X312" s="7"/>
      <c r="Y312" s="7"/>
      <c r="Z312" s="23"/>
      <c r="AA312" s="26"/>
    </row>
    <row r="313" spans="1:27" ht="15.75" customHeight="1">
      <c r="A313" s="10" t="s">
        <v>2200</v>
      </c>
      <c r="B313" s="10" t="s">
        <v>27</v>
      </c>
      <c r="C313" s="60" t="s">
        <v>1470</v>
      </c>
      <c r="D313" s="12"/>
      <c r="E313" s="13" t="s">
        <v>378</v>
      </c>
      <c r="F313" s="6" t="s">
        <v>2201</v>
      </c>
      <c r="G313" s="6" t="str">
        <f ca="1">IFERROR(__xludf.DUMMYFUNCTION("CONCATENATE(B313,(VLOOKUP(C313,CATALOGOS!$F$2:$H$6,3,FALSE)),(VLOOKUP(T313,CATALOGOS!$J$2:$K$18,2,FALSE)),""-"",TO_TEXT(A313))"),"P02PP-0312")</f>
        <v>P02PP-0312</v>
      </c>
      <c r="H313" s="6" t="s">
        <v>2202</v>
      </c>
      <c r="I313" s="6" t="s">
        <v>2203</v>
      </c>
      <c r="J313" s="6" t="s">
        <v>2204</v>
      </c>
      <c r="K313" s="6" t="s">
        <v>2205</v>
      </c>
      <c r="L313" s="17"/>
      <c r="M313" s="17"/>
      <c r="N313" s="17" t="str">
        <f t="shared" si="1"/>
        <v>OK</v>
      </c>
      <c r="O313" s="17" t="s">
        <v>35</v>
      </c>
      <c r="P313" s="6" t="s">
        <v>35</v>
      </c>
      <c r="Q313" s="17" t="s">
        <v>36</v>
      </c>
      <c r="R313" s="17" t="s">
        <v>2206</v>
      </c>
      <c r="S313" s="173" t="s">
        <v>38</v>
      </c>
      <c r="T313" s="11" t="s">
        <v>1548</v>
      </c>
      <c r="U313" s="20" t="s">
        <v>2052</v>
      </c>
      <c r="V313" s="20" t="s">
        <v>2052</v>
      </c>
      <c r="W313" s="20"/>
      <c r="X313" s="7"/>
      <c r="Y313" s="7"/>
      <c r="Z313" s="23"/>
      <c r="AA313" s="26"/>
    </row>
    <row r="314" spans="1:27" ht="15.75" customHeight="1">
      <c r="A314" s="10" t="s">
        <v>2207</v>
      </c>
      <c r="B314" s="10" t="s">
        <v>27</v>
      </c>
      <c r="C314" s="60" t="s">
        <v>1470</v>
      </c>
      <c r="D314" s="12"/>
      <c r="E314" s="13" t="s">
        <v>62</v>
      </c>
      <c r="F314" s="6" t="s">
        <v>2208</v>
      </c>
      <c r="G314" s="6" t="str">
        <f ca="1">IFERROR(__xludf.DUMMYFUNCTION("CONCATENATE(B314,(VLOOKUP(C314,CATALOGOS!$F$2:$H$6,3,FALSE)),(VLOOKUP(T314,CATALOGOS!$J$2:$K$18,2,FALSE)),""-"",TO_TEXT(A314))"),"P02PP-0313")</f>
        <v>P02PP-0313</v>
      </c>
      <c r="H314" s="6" t="s">
        <v>2209</v>
      </c>
      <c r="I314" s="6" t="s">
        <v>2210</v>
      </c>
      <c r="J314" s="6" t="s">
        <v>2211</v>
      </c>
      <c r="K314" s="6" t="s">
        <v>2212</v>
      </c>
      <c r="L314" s="17"/>
      <c r="M314" s="17"/>
      <c r="N314" s="17" t="str">
        <f t="shared" si="1"/>
        <v>OK</v>
      </c>
      <c r="O314" s="17" t="s">
        <v>35</v>
      </c>
      <c r="P314" s="6" t="s">
        <v>35</v>
      </c>
      <c r="Q314" s="17" t="s">
        <v>36</v>
      </c>
      <c r="R314" s="17" t="s">
        <v>2213</v>
      </c>
      <c r="S314" s="173" t="s">
        <v>38</v>
      </c>
      <c r="T314" s="11" t="s">
        <v>1548</v>
      </c>
      <c r="U314" s="20" t="s">
        <v>2052</v>
      </c>
      <c r="V314" s="20" t="s">
        <v>2052</v>
      </c>
      <c r="W314" s="20"/>
      <c r="X314" s="7"/>
      <c r="Y314" s="7"/>
      <c r="Z314" s="23"/>
      <c r="AA314" s="26"/>
    </row>
    <row r="315" spans="1:27" ht="15.75" customHeight="1">
      <c r="A315" s="10" t="s">
        <v>2214</v>
      </c>
      <c r="B315" s="10" t="s">
        <v>27</v>
      </c>
      <c r="C315" s="60" t="s">
        <v>1470</v>
      </c>
      <c r="D315" s="12"/>
      <c r="E315" s="13" t="s">
        <v>93</v>
      </c>
      <c r="F315" s="6" t="s">
        <v>2215</v>
      </c>
      <c r="G315" s="6" t="str">
        <f ca="1">IFERROR(__xludf.DUMMYFUNCTION("CONCATENATE(B315,(VLOOKUP(C315,CATALOGOS!$F$2:$H$6,3,FALSE)),(VLOOKUP(T315,CATALOGOS!$J$2:$K$18,2,FALSE)),""-"",TO_TEXT(A315))"),"P02PP-0314")</f>
        <v>P02PP-0314</v>
      </c>
      <c r="H315" s="6" t="s">
        <v>2216</v>
      </c>
      <c r="I315" s="6" t="s">
        <v>2217</v>
      </c>
      <c r="J315" s="6" t="s">
        <v>2218</v>
      </c>
      <c r="K315" s="6" t="s">
        <v>2219</v>
      </c>
      <c r="L315" s="17"/>
      <c r="M315" s="17"/>
      <c r="N315" s="17" t="str">
        <f t="shared" si="1"/>
        <v>OK</v>
      </c>
      <c r="O315" s="17" t="s">
        <v>35</v>
      </c>
      <c r="P315" s="6" t="s">
        <v>35</v>
      </c>
      <c r="Q315" s="17" t="s">
        <v>36</v>
      </c>
      <c r="R315" s="17" t="s">
        <v>2220</v>
      </c>
      <c r="S315" s="173" t="s">
        <v>38</v>
      </c>
      <c r="T315" s="11" t="s">
        <v>1548</v>
      </c>
      <c r="U315" s="20" t="s">
        <v>2052</v>
      </c>
      <c r="V315" s="20" t="s">
        <v>2052</v>
      </c>
      <c r="W315" s="20"/>
      <c r="X315" s="7"/>
      <c r="Y315" s="7"/>
      <c r="Z315" s="23"/>
      <c r="AA315" s="26"/>
    </row>
    <row r="316" spans="1:27" ht="15.75" customHeight="1">
      <c r="A316" s="10" t="s">
        <v>2221</v>
      </c>
      <c r="B316" s="10" t="s">
        <v>27</v>
      </c>
      <c r="C316" s="60" t="s">
        <v>1470</v>
      </c>
      <c r="D316" s="12"/>
      <c r="E316" s="13" t="s">
        <v>93</v>
      </c>
      <c r="F316" s="6" t="s">
        <v>2222</v>
      </c>
      <c r="G316" s="6" t="str">
        <f ca="1">IFERROR(__xludf.DUMMYFUNCTION("CONCATENATE(B316,(VLOOKUP(C316,CATALOGOS!$F$2:$H$6,3,FALSE)),(VLOOKUP(T316,CATALOGOS!$J$2:$K$18,2,FALSE)),""-"",TO_TEXT(A316))"),"P02PP-0315")</f>
        <v>P02PP-0315</v>
      </c>
      <c r="H316" s="6" t="s">
        <v>2223</v>
      </c>
      <c r="I316" s="6" t="s">
        <v>2224</v>
      </c>
      <c r="J316" s="6" t="s">
        <v>2225</v>
      </c>
      <c r="K316" s="6" t="s">
        <v>2226</v>
      </c>
      <c r="L316" s="17"/>
      <c r="M316" s="17"/>
      <c r="N316" s="17" t="str">
        <f t="shared" si="1"/>
        <v>OK</v>
      </c>
      <c r="O316" s="17" t="s">
        <v>35</v>
      </c>
      <c r="P316" s="6" t="s">
        <v>35</v>
      </c>
      <c r="Q316" s="17" t="s">
        <v>36</v>
      </c>
      <c r="R316" s="17" t="s">
        <v>2227</v>
      </c>
      <c r="S316" s="173" t="s">
        <v>38</v>
      </c>
      <c r="T316" s="11" t="s">
        <v>1548</v>
      </c>
      <c r="U316" s="20" t="s">
        <v>2052</v>
      </c>
      <c r="V316" s="20" t="s">
        <v>2052</v>
      </c>
      <c r="W316" s="20"/>
      <c r="X316" s="7"/>
      <c r="Y316" s="7"/>
      <c r="Z316" s="23"/>
      <c r="AA316" s="26"/>
    </row>
    <row r="317" spans="1:27" ht="15.75" customHeight="1">
      <c r="A317" s="10" t="s">
        <v>2228</v>
      </c>
      <c r="B317" s="10" t="s">
        <v>27</v>
      </c>
      <c r="C317" s="60" t="s">
        <v>1470</v>
      </c>
      <c r="D317" s="12"/>
      <c r="E317" s="13" t="s">
        <v>184</v>
      </c>
      <c r="F317" s="6" t="s">
        <v>2229</v>
      </c>
      <c r="G317" s="6" t="str">
        <f ca="1">IFERROR(__xludf.DUMMYFUNCTION("CONCATENATE(B317,(VLOOKUP(C317,CATALOGOS!$F$2:$H$6,3,FALSE)),(VLOOKUP(T317,CATALOGOS!$J$2:$K$18,2,FALSE)),""-"",TO_TEXT(A317))"),"P02PP-0316")</f>
        <v>P02PP-0316</v>
      </c>
      <c r="H317" s="6" t="s">
        <v>2230</v>
      </c>
      <c r="I317" s="6" t="s">
        <v>2231</v>
      </c>
      <c r="J317" s="6" t="s">
        <v>2232</v>
      </c>
      <c r="K317" s="6" t="s">
        <v>2233</v>
      </c>
      <c r="L317" s="17"/>
      <c r="M317" s="17"/>
      <c r="N317" s="17" t="str">
        <f t="shared" si="1"/>
        <v>OK</v>
      </c>
      <c r="O317" s="17" t="s">
        <v>35</v>
      </c>
      <c r="P317" s="6" t="s">
        <v>35</v>
      </c>
      <c r="Q317" s="17" t="s">
        <v>36</v>
      </c>
      <c r="R317" s="17" t="s">
        <v>2234</v>
      </c>
      <c r="S317" s="173" t="s">
        <v>38</v>
      </c>
      <c r="T317" s="11" t="s">
        <v>1548</v>
      </c>
      <c r="U317" s="20" t="s">
        <v>2052</v>
      </c>
      <c r="V317" s="20" t="s">
        <v>2052</v>
      </c>
      <c r="W317" s="20"/>
      <c r="X317" s="7"/>
      <c r="Y317" s="7"/>
      <c r="Z317" s="23"/>
      <c r="AA317" s="26"/>
    </row>
    <row r="318" spans="1:27" ht="15.75" customHeight="1">
      <c r="A318" s="10" t="s">
        <v>2235</v>
      </c>
      <c r="B318" s="10" t="s">
        <v>27</v>
      </c>
      <c r="C318" s="60" t="s">
        <v>1470</v>
      </c>
      <c r="D318" s="12"/>
      <c r="E318" s="13" t="s">
        <v>151</v>
      </c>
      <c r="F318" s="6" t="s">
        <v>2236</v>
      </c>
      <c r="G318" s="6" t="str">
        <f ca="1">IFERROR(__xludf.DUMMYFUNCTION("CONCATENATE(B318,(VLOOKUP(C318,CATALOGOS!$F$2:$H$6,3,FALSE)),(VLOOKUP(T318,CATALOGOS!$J$2:$K$18,2,FALSE)),""-"",TO_TEXT(A318))"),"P02PP-0317")</f>
        <v>P02PP-0317</v>
      </c>
      <c r="H318" s="6" t="s">
        <v>2237</v>
      </c>
      <c r="I318" s="6" t="s">
        <v>2238</v>
      </c>
      <c r="J318" s="6" t="s">
        <v>2239</v>
      </c>
      <c r="K318" s="6" t="s">
        <v>2240</v>
      </c>
      <c r="L318" s="17"/>
      <c r="M318" s="17"/>
      <c r="N318" s="17" t="str">
        <f t="shared" si="1"/>
        <v>OK</v>
      </c>
      <c r="O318" s="17" t="s">
        <v>703</v>
      </c>
      <c r="P318" s="6" t="s">
        <v>2241</v>
      </c>
      <c r="Q318" s="17" t="s">
        <v>2242</v>
      </c>
      <c r="R318" s="10" t="s">
        <v>2243</v>
      </c>
      <c r="S318" s="18" t="s">
        <v>38</v>
      </c>
      <c r="T318" s="11" t="s">
        <v>1548</v>
      </c>
      <c r="U318" s="20" t="s">
        <v>2052</v>
      </c>
      <c r="V318" s="20" t="s">
        <v>2052</v>
      </c>
      <c r="W318" s="20"/>
      <c r="X318" s="7"/>
      <c r="Y318" s="7"/>
      <c r="Z318" s="23"/>
      <c r="AA318" s="26"/>
    </row>
    <row r="319" spans="1:27" ht="15.75" customHeight="1">
      <c r="A319" s="10" t="s">
        <v>2244</v>
      </c>
      <c r="B319" s="10" t="s">
        <v>27</v>
      </c>
      <c r="C319" s="60" t="s">
        <v>1470</v>
      </c>
      <c r="D319" s="12"/>
      <c r="E319" s="13" t="s">
        <v>199</v>
      </c>
      <c r="F319" s="6" t="s">
        <v>199</v>
      </c>
      <c r="G319" s="6" t="str">
        <f ca="1">IFERROR(__xludf.DUMMYFUNCTION("CONCATENATE(B319,(VLOOKUP(C319,CATALOGOS!$F$2:$H$6,3,FALSE)),(VLOOKUP(T319,CATALOGOS!$J$2:$K$18,2,FALSE)),""-"",TO_TEXT(A319))"),"P02PP-0318")</f>
        <v>P02PP-0318</v>
      </c>
      <c r="H319" s="6" t="s">
        <v>2245</v>
      </c>
      <c r="I319" s="6" t="s">
        <v>2246</v>
      </c>
      <c r="J319" s="6" t="s">
        <v>2247</v>
      </c>
      <c r="K319" s="6" t="s">
        <v>2248</v>
      </c>
      <c r="L319" s="17"/>
      <c r="M319" s="17"/>
      <c r="N319" s="17" t="str">
        <f t="shared" si="1"/>
        <v>OK</v>
      </c>
      <c r="O319" s="17" t="s">
        <v>205</v>
      </c>
      <c r="P319" s="6" t="s">
        <v>794</v>
      </c>
      <c r="Q319" s="17" t="s">
        <v>2249</v>
      </c>
      <c r="R319" s="17" t="s">
        <v>2250</v>
      </c>
      <c r="S319" s="179" t="s">
        <v>517</v>
      </c>
      <c r="T319" s="11" t="s">
        <v>1548</v>
      </c>
      <c r="U319" s="20" t="s">
        <v>2052</v>
      </c>
      <c r="V319" s="20" t="s">
        <v>2052</v>
      </c>
      <c r="W319" s="20"/>
      <c r="X319" s="7"/>
      <c r="Y319" s="7"/>
      <c r="Z319" s="23"/>
      <c r="AA319" s="26"/>
    </row>
    <row r="320" spans="1:27" ht="15.75" customHeight="1">
      <c r="A320" s="10" t="s">
        <v>2251</v>
      </c>
      <c r="B320" s="10" t="s">
        <v>27</v>
      </c>
      <c r="C320" s="60" t="s">
        <v>1470</v>
      </c>
      <c r="D320" s="12"/>
      <c r="E320" s="13" t="s">
        <v>43</v>
      </c>
      <c r="F320" s="6" t="s">
        <v>1688</v>
      </c>
      <c r="G320" s="6" t="str">
        <f ca="1">IFERROR(__xludf.DUMMYFUNCTION("CONCATENATE(B320,(VLOOKUP(C320,CATALOGOS!$F$2:$H$6,3,FALSE)),(VLOOKUP(T320,CATALOGOS!$J$2:$K$18,2,FALSE)),""-"",TO_TEXT(A320))"),"P02PP-0319")</f>
        <v>P02PP-0319</v>
      </c>
      <c r="H320" s="6" t="s">
        <v>2252</v>
      </c>
      <c r="I320" s="6" t="s">
        <v>2253</v>
      </c>
      <c r="J320" s="6" t="s">
        <v>2254</v>
      </c>
      <c r="K320" s="6" t="s">
        <v>2255</v>
      </c>
      <c r="L320" s="17"/>
      <c r="M320" s="17"/>
      <c r="N320" s="17" t="str">
        <f t="shared" si="1"/>
        <v>OK</v>
      </c>
      <c r="O320" s="17" t="s">
        <v>49</v>
      </c>
      <c r="P320" s="6" t="s">
        <v>1989</v>
      </c>
      <c r="Q320" s="17" t="s">
        <v>36</v>
      </c>
      <c r="R320" s="10" t="s">
        <v>2256</v>
      </c>
      <c r="S320" s="179" t="s">
        <v>517</v>
      </c>
      <c r="T320" s="11" t="s">
        <v>1548</v>
      </c>
      <c r="U320" s="20" t="s">
        <v>2052</v>
      </c>
      <c r="V320" s="20" t="s">
        <v>2052</v>
      </c>
      <c r="W320" s="20"/>
      <c r="X320" s="7"/>
      <c r="Y320" s="7"/>
      <c r="Z320" s="23"/>
      <c r="AA320" s="26"/>
    </row>
    <row r="321" spans="1:27" ht="15.75" customHeight="1">
      <c r="A321" s="10" t="s">
        <v>2257</v>
      </c>
      <c r="B321" s="10" t="s">
        <v>27</v>
      </c>
      <c r="C321" s="60" t="s">
        <v>1470</v>
      </c>
      <c r="D321" s="12"/>
      <c r="E321" s="13" t="s">
        <v>378</v>
      </c>
      <c r="F321" s="6" t="s">
        <v>2258</v>
      </c>
      <c r="G321" s="6" t="str">
        <f ca="1">IFERROR(__xludf.DUMMYFUNCTION("CONCATENATE(B321,(VLOOKUP(C321,CATALOGOS!$F$2:$H$6,3,FALSE)),(VLOOKUP(T321,CATALOGOS!$J$2:$K$18,2,FALSE)),""-"",TO_TEXT(A321))"),"P02PP-0320")</f>
        <v>P02PP-0320</v>
      </c>
      <c r="H321" s="6" t="s">
        <v>2259</v>
      </c>
      <c r="I321" s="6" t="s">
        <v>2260</v>
      </c>
      <c r="J321" s="36"/>
      <c r="K321" s="6" t="s">
        <v>141</v>
      </c>
      <c r="L321" s="17"/>
      <c r="M321" s="17"/>
      <c r="N321" s="17" t="str">
        <f t="shared" si="1"/>
        <v>REPETIDO</v>
      </c>
      <c r="O321" s="17" t="s">
        <v>35</v>
      </c>
      <c r="P321" s="6" t="s">
        <v>35</v>
      </c>
      <c r="Q321" s="6" t="s">
        <v>36</v>
      </c>
      <c r="R321" s="10" t="s">
        <v>85</v>
      </c>
      <c r="S321" s="173" t="s">
        <v>38</v>
      </c>
      <c r="T321" s="11" t="s">
        <v>1548</v>
      </c>
      <c r="U321" s="20" t="s">
        <v>2052</v>
      </c>
      <c r="V321" s="20" t="s">
        <v>2052</v>
      </c>
      <c r="W321" s="20"/>
      <c r="X321" s="6"/>
      <c r="Y321" s="6"/>
      <c r="Z321" s="23"/>
      <c r="AA321" s="33"/>
    </row>
    <row r="322" spans="1:27" ht="15.75" customHeight="1">
      <c r="A322" s="10" t="s">
        <v>2261</v>
      </c>
      <c r="B322" s="10" t="s">
        <v>27</v>
      </c>
      <c r="C322" s="60" t="s">
        <v>1470</v>
      </c>
      <c r="D322" s="12"/>
      <c r="E322" s="13" t="s">
        <v>378</v>
      </c>
      <c r="F322" s="6" t="s">
        <v>2262</v>
      </c>
      <c r="G322" s="6" t="str">
        <f ca="1">IFERROR(__xludf.DUMMYFUNCTION("CONCATENATE(B322,(VLOOKUP(C322,CATALOGOS!$F$2:$H$6,3,FALSE)),(VLOOKUP(T322,CATALOGOS!$J$2:$K$18,2,FALSE)),""-"",TO_TEXT(A322))"),"P02PP-0321")</f>
        <v>P02PP-0321</v>
      </c>
      <c r="H322" s="6" t="s">
        <v>2263</v>
      </c>
      <c r="I322" s="6" t="s">
        <v>2264</v>
      </c>
      <c r="J322" s="36"/>
      <c r="K322" s="6" t="s">
        <v>141</v>
      </c>
      <c r="L322" s="17"/>
      <c r="M322" s="17"/>
      <c r="N322" s="17" t="str">
        <f t="shared" si="1"/>
        <v>REPETIDO</v>
      </c>
      <c r="O322" s="17" t="s">
        <v>35</v>
      </c>
      <c r="P322" s="6" t="s">
        <v>35</v>
      </c>
      <c r="Q322" s="6" t="s">
        <v>36</v>
      </c>
      <c r="R322" s="10" t="s">
        <v>85</v>
      </c>
      <c r="S322" s="173" t="s">
        <v>38</v>
      </c>
      <c r="T322" s="11" t="s">
        <v>1548</v>
      </c>
      <c r="U322" s="20" t="s">
        <v>2052</v>
      </c>
      <c r="V322" s="20" t="s">
        <v>2052</v>
      </c>
      <c r="W322" s="20"/>
      <c r="X322" s="6"/>
      <c r="Y322" s="6"/>
      <c r="Z322" s="23"/>
      <c r="AA322" s="33"/>
    </row>
    <row r="323" spans="1:27" ht="15.75" customHeight="1">
      <c r="A323" s="10" t="s">
        <v>2265</v>
      </c>
      <c r="B323" s="10" t="s">
        <v>27</v>
      </c>
      <c r="C323" s="60" t="s">
        <v>1470</v>
      </c>
      <c r="D323" s="38"/>
      <c r="E323" s="13" t="s">
        <v>353</v>
      </c>
      <c r="F323" s="6" t="s">
        <v>638</v>
      </c>
      <c r="G323" s="6" t="str">
        <f ca="1">IFERROR(__xludf.DUMMYFUNCTION("CONCATENATE(B323,(VLOOKUP(C323,CATALOGOS!$F$2:$H$6,3,FALSE)),(VLOOKUP(T323,CATALOGOS!$J$2:$K$18,2,FALSE)),""-"",TO_TEXT(A323))"),"P02PP-0322")</f>
        <v>P02PP-0322</v>
      </c>
      <c r="H323" s="6" t="s">
        <v>2266</v>
      </c>
      <c r="I323" s="6" t="s">
        <v>2267</v>
      </c>
      <c r="J323" s="6" t="s">
        <v>2268</v>
      </c>
      <c r="K323" s="6" t="s">
        <v>2269</v>
      </c>
      <c r="L323" s="17"/>
      <c r="M323" s="17"/>
      <c r="N323" s="17" t="str">
        <f t="shared" si="1"/>
        <v>OK</v>
      </c>
      <c r="O323" s="17" t="s">
        <v>359</v>
      </c>
      <c r="P323" s="6" t="s">
        <v>938</v>
      </c>
      <c r="Q323" s="46" t="s">
        <v>2270</v>
      </c>
      <c r="R323" s="32" t="s">
        <v>2271</v>
      </c>
      <c r="S323" s="173" t="s">
        <v>38</v>
      </c>
      <c r="T323" s="11" t="s">
        <v>1548</v>
      </c>
      <c r="U323" s="20" t="s">
        <v>2052</v>
      </c>
      <c r="V323" s="20" t="s">
        <v>2052</v>
      </c>
      <c r="W323" s="20"/>
      <c r="X323" s="7"/>
      <c r="Y323" s="7"/>
      <c r="Z323" s="26"/>
      <c r="AA323" s="26"/>
    </row>
    <row r="324" spans="1:27" ht="15.75" customHeight="1">
      <c r="A324" s="10" t="s">
        <v>2272</v>
      </c>
      <c r="B324" s="10" t="s">
        <v>27</v>
      </c>
      <c r="C324" s="60" t="s">
        <v>1470</v>
      </c>
      <c r="D324" s="12"/>
      <c r="E324" s="13" t="s">
        <v>501</v>
      </c>
      <c r="F324" s="6" t="s">
        <v>2273</v>
      </c>
      <c r="G324" s="6" t="str">
        <f ca="1">IFERROR(__xludf.DUMMYFUNCTION("CONCATENATE(B324,(VLOOKUP(C324,CATALOGOS!$F$2:$H$6,3,FALSE)),(VLOOKUP(T324,CATALOGOS!$J$2:$K$18,2,FALSE)),""-"",TO_TEXT(A324))"),"P02PP-0323")</f>
        <v>P02PP-0323</v>
      </c>
      <c r="H324" s="6" t="s">
        <v>2274</v>
      </c>
      <c r="I324" s="6" t="s">
        <v>2275</v>
      </c>
      <c r="J324" s="36"/>
      <c r="K324" s="6" t="s">
        <v>141</v>
      </c>
      <c r="L324" s="17"/>
      <c r="M324" s="17"/>
      <c r="N324" s="17" t="str">
        <f t="shared" si="1"/>
        <v>REPETIDO</v>
      </c>
      <c r="O324" s="17" t="s">
        <v>35</v>
      </c>
      <c r="P324" s="6" t="s">
        <v>35</v>
      </c>
      <c r="Q324" s="6" t="s">
        <v>36</v>
      </c>
      <c r="R324" s="10" t="s">
        <v>85</v>
      </c>
      <c r="S324" s="173" t="s">
        <v>38</v>
      </c>
      <c r="T324" s="11" t="s">
        <v>1548</v>
      </c>
      <c r="U324" s="22" t="s">
        <v>1983</v>
      </c>
      <c r="V324" s="22" t="s">
        <v>1983</v>
      </c>
      <c r="W324" s="22"/>
      <c r="X324" s="7"/>
      <c r="Y324" s="7"/>
      <c r="Z324" s="23"/>
      <c r="AA324" s="26"/>
    </row>
    <row r="325" spans="1:27" ht="15.75" customHeight="1">
      <c r="A325" s="10" t="s">
        <v>2276</v>
      </c>
      <c r="B325" s="10" t="s">
        <v>27</v>
      </c>
      <c r="C325" s="60" t="s">
        <v>1470</v>
      </c>
      <c r="D325" s="12"/>
      <c r="E325" s="13" t="s">
        <v>501</v>
      </c>
      <c r="F325" s="6" t="s">
        <v>2277</v>
      </c>
      <c r="G325" s="6" t="str">
        <f ca="1">IFERROR(__xludf.DUMMYFUNCTION("CONCATENATE(B325,(VLOOKUP(C325,CATALOGOS!$F$2:$H$6,3,FALSE)),(VLOOKUP(T325,CATALOGOS!$J$2:$K$18,2,FALSE)),""-"",TO_TEXT(A325))"),"P02PP-0324")</f>
        <v>P02PP-0324</v>
      </c>
      <c r="H325" s="6" t="s">
        <v>2278</v>
      </c>
      <c r="I325" s="6" t="s">
        <v>2279</v>
      </c>
      <c r="J325" s="36"/>
      <c r="K325" s="6" t="s">
        <v>141</v>
      </c>
      <c r="L325" s="17"/>
      <c r="M325" s="17"/>
      <c r="N325" s="17" t="str">
        <f t="shared" si="1"/>
        <v>REPETIDO</v>
      </c>
      <c r="O325" s="17" t="s">
        <v>35</v>
      </c>
      <c r="P325" s="6" t="s">
        <v>35</v>
      </c>
      <c r="Q325" s="6" t="s">
        <v>36</v>
      </c>
      <c r="R325" s="10" t="s">
        <v>85</v>
      </c>
      <c r="S325" s="173" t="s">
        <v>38</v>
      </c>
      <c r="T325" s="11" t="s">
        <v>1548</v>
      </c>
      <c r="U325" s="22" t="s">
        <v>1983</v>
      </c>
      <c r="V325" s="22" t="s">
        <v>1983</v>
      </c>
      <c r="W325" s="22"/>
      <c r="X325" s="7"/>
      <c r="Y325" s="7"/>
      <c r="Z325" s="23"/>
      <c r="AA325" s="26"/>
    </row>
    <row r="326" spans="1:27" ht="15.75" customHeight="1">
      <c r="A326" s="10" t="s">
        <v>2280</v>
      </c>
      <c r="B326" s="10" t="s">
        <v>27</v>
      </c>
      <c r="C326" s="60" t="s">
        <v>1470</v>
      </c>
      <c r="D326" s="38"/>
      <c r="E326" s="13" t="s">
        <v>501</v>
      </c>
      <c r="F326" s="6" t="s">
        <v>2281</v>
      </c>
      <c r="G326" s="6" t="str">
        <f ca="1">IFERROR(__xludf.DUMMYFUNCTION("CONCATENATE(B326,(VLOOKUP(C326,CATALOGOS!$F$2:$H$6,3,FALSE)),(VLOOKUP(T326,CATALOGOS!$J$2:$K$18,2,FALSE)),""-"",TO_TEXT(A326))"),"P02PP-0325")</f>
        <v>P02PP-0325</v>
      </c>
      <c r="H326" s="6" t="s">
        <v>2282</v>
      </c>
      <c r="I326" s="6" t="s">
        <v>2283</v>
      </c>
      <c r="J326" s="36"/>
      <c r="K326" s="6" t="s">
        <v>141</v>
      </c>
      <c r="L326" s="17"/>
      <c r="M326" s="17"/>
      <c r="N326" s="17" t="str">
        <f t="shared" si="1"/>
        <v>REPETIDO</v>
      </c>
      <c r="O326" s="17" t="s">
        <v>35</v>
      </c>
      <c r="P326" s="6" t="s">
        <v>35</v>
      </c>
      <c r="Q326" s="6" t="s">
        <v>36</v>
      </c>
      <c r="R326" s="32" t="s">
        <v>85</v>
      </c>
      <c r="S326" s="173" t="s">
        <v>38</v>
      </c>
      <c r="T326" s="11" t="s">
        <v>1548</v>
      </c>
      <c r="U326" s="20" t="s">
        <v>2052</v>
      </c>
      <c r="V326" s="20" t="s">
        <v>2052</v>
      </c>
      <c r="W326" s="20"/>
      <c r="X326" s="7"/>
      <c r="Y326" s="7"/>
      <c r="Z326" s="26"/>
      <c r="AA326" s="26"/>
    </row>
    <row r="327" spans="1:27" ht="15.75" customHeight="1">
      <c r="A327" s="10" t="s">
        <v>2284</v>
      </c>
      <c r="B327" s="10" t="s">
        <v>1469</v>
      </c>
      <c r="C327" s="60" t="s">
        <v>1470</v>
      </c>
      <c r="D327" s="12"/>
      <c r="E327" s="13" t="s">
        <v>501</v>
      </c>
      <c r="F327" s="6" t="s">
        <v>2285</v>
      </c>
      <c r="G327" s="6" t="str">
        <f ca="1">IFERROR(__xludf.DUMMYFUNCTION("CONCATENATE(B327,(VLOOKUP(C327,CATALOGOS!$F$2:$H$6,3,FALSE)),(VLOOKUP(T327,CATALOGOS!$J$2:$K$18,2,FALSE)),""-"",TO_TEXT(A327))"),"P12SI-0326")</f>
        <v>P12SI-0326</v>
      </c>
      <c r="H327" s="6" t="s">
        <v>2286</v>
      </c>
      <c r="I327" s="6" t="s">
        <v>2287</v>
      </c>
      <c r="J327" s="6" t="s">
        <v>2288</v>
      </c>
      <c r="K327" s="6" t="s">
        <v>2289</v>
      </c>
      <c r="L327" s="17"/>
      <c r="M327" s="17"/>
      <c r="N327" s="17" t="str">
        <f t="shared" si="1"/>
        <v>OK</v>
      </c>
      <c r="O327" s="17" t="s">
        <v>35</v>
      </c>
      <c r="P327" s="6" t="s">
        <v>35</v>
      </c>
      <c r="Q327" s="17" t="s">
        <v>36</v>
      </c>
      <c r="R327" s="17" t="s">
        <v>2290</v>
      </c>
      <c r="S327" s="173" t="s">
        <v>38</v>
      </c>
      <c r="T327" s="181" t="s">
        <v>1483</v>
      </c>
      <c r="U327" s="20" t="s">
        <v>1484</v>
      </c>
      <c r="V327" s="20" t="s">
        <v>1484</v>
      </c>
      <c r="W327" s="20"/>
      <c r="X327" s="7"/>
      <c r="Y327" s="7"/>
      <c r="Z327" s="23"/>
      <c r="AA327" s="26"/>
    </row>
    <row r="328" spans="1:27" ht="15.75" customHeight="1">
      <c r="A328" s="10" t="s">
        <v>2291</v>
      </c>
      <c r="B328" s="10" t="s">
        <v>1469</v>
      </c>
      <c r="C328" s="60" t="s">
        <v>1470</v>
      </c>
      <c r="D328" s="12"/>
      <c r="E328" s="13" t="s">
        <v>116</v>
      </c>
      <c r="F328" s="43" t="s">
        <v>2292</v>
      </c>
      <c r="G328" s="6" t="str">
        <f ca="1">IFERROR(__xludf.DUMMYFUNCTION("CONCATENATE(B328,(VLOOKUP(C328,CATALOGOS!$F$2:$H$6,3,FALSE)),(VLOOKUP(T328,CATALOGOS!$J$2:$K$18,2,FALSE)),""-"",TO_TEXT(A328))"),"P12SI-0327")</f>
        <v>P12SI-0327</v>
      </c>
      <c r="H328" s="6" t="s">
        <v>2293</v>
      </c>
      <c r="I328" s="6" t="s">
        <v>2294</v>
      </c>
      <c r="J328" s="6" t="s">
        <v>2295</v>
      </c>
      <c r="K328" s="6" t="s">
        <v>2296</v>
      </c>
      <c r="L328" s="17"/>
      <c r="M328" s="17"/>
      <c r="N328" s="17" t="str">
        <f t="shared" si="1"/>
        <v>OK</v>
      </c>
      <c r="O328" s="17" t="s">
        <v>35</v>
      </c>
      <c r="P328" s="6" t="s">
        <v>35</v>
      </c>
      <c r="Q328" s="17" t="s">
        <v>36</v>
      </c>
      <c r="R328" s="17" t="s">
        <v>2297</v>
      </c>
      <c r="S328" s="173" t="s">
        <v>38</v>
      </c>
      <c r="T328" s="181" t="s">
        <v>1483</v>
      </c>
      <c r="U328" s="20" t="s">
        <v>1484</v>
      </c>
      <c r="V328" s="20" t="s">
        <v>1484</v>
      </c>
      <c r="W328" s="20"/>
      <c r="X328" s="6"/>
      <c r="Y328" s="6"/>
      <c r="Z328" s="23"/>
      <c r="AA328" s="24"/>
    </row>
    <row r="329" spans="1:27" ht="15.75" customHeight="1">
      <c r="A329" s="10" t="s">
        <v>2298</v>
      </c>
      <c r="B329" s="10" t="s">
        <v>1469</v>
      </c>
      <c r="C329" s="60" t="s">
        <v>1470</v>
      </c>
      <c r="D329" s="12"/>
      <c r="E329" s="13" t="s">
        <v>2299</v>
      </c>
      <c r="F329" s="43" t="s">
        <v>2300</v>
      </c>
      <c r="G329" s="6" t="str">
        <f ca="1">IFERROR(__xludf.DUMMYFUNCTION("CONCATENATE(B329,(VLOOKUP(C329,CATALOGOS!$F$2:$H$6,3,FALSE)),(VLOOKUP(T329,CATALOGOS!$J$2:$K$18,2,FALSE)),""-"",TO_TEXT(A329))"),"P12SI-0328")</f>
        <v>P12SI-0328</v>
      </c>
      <c r="H329" s="6" t="s">
        <v>2301</v>
      </c>
      <c r="I329" s="6" t="s">
        <v>2302</v>
      </c>
      <c r="J329" s="6" t="s">
        <v>2303</v>
      </c>
      <c r="K329" s="6" t="s">
        <v>2304</v>
      </c>
      <c r="L329" s="17"/>
      <c r="M329" s="17"/>
      <c r="N329" s="17" t="str">
        <f t="shared" si="1"/>
        <v>OK</v>
      </c>
      <c r="O329" s="17" t="s">
        <v>2305</v>
      </c>
      <c r="P329" s="6" t="s">
        <v>2306</v>
      </c>
      <c r="Q329" s="17" t="s">
        <v>2307</v>
      </c>
      <c r="R329" s="17" t="s">
        <v>2308</v>
      </c>
      <c r="S329" s="173" t="s">
        <v>38</v>
      </c>
      <c r="T329" s="181" t="s">
        <v>1483</v>
      </c>
      <c r="U329" s="20" t="s">
        <v>1484</v>
      </c>
      <c r="V329" s="20" t="s">
        <v>1484</v>
      </c>
      <c r="W329" s="20"/>
      <c r="X329" s="6"/>
      <c r="Y329" s="6"/>
      <c r="Z329" s="23"/>
      <c r="AA329" s="24"/>
    </row>
    <row r="330" spans="1:27" ht="15.75" customHeight="1">
      <c r="A330" s="10" t="s">
        <v>2310</v>
      </c>
      <c r="B330" s="10" t="s">
        <v>1469</v>
      </c>
      <c r="C330" s="60" t="s">
        <v>1470</v>
      </c>
      <c r="D330" s="12"/>
      <c r="E330" s="13" t="s">
        <v>2311</v>
      </c>
      <c r="F330" s="43" t="s">
        <v>2312</v>
      </c>
      <c r="G330" s="6" t="str">
        <f ca="1">IFERROR(__xludf.DUMMYFUNCTION("CONCATENATE(B330,(VLOOKUP(C330,CATALOGOS!$F$2:$H$6,3,FALSE)),(VLOOKUP(T330,CATALOGOS!$J$2:$K$18,2,FALSE)),""-"",TO_TEXT(A330))"),"P12SI-0329")</f>
        <v>P12SI-0329</v>
      </c>
      <c r="H330" s="6" t="s">
        <v>2313</v>
      </c>
      <c r="I330" s="6" t="s">
        <v>2314</v>
      </c>
      <c r="J330" s="6" t="s">
        <v>2315</v>
      </c>
      <c r="K330" s="6" t="s">
        <v>2316</v>
      </c>
      <c r="L330" s="17"/>
      <c r="M330" s="17"/>
      <c r="N330" s="17" t="str">
        <f t="shared" si="1"/>
        <v>OK</v>
      </c>
      <c r="O330" s="17" t="s">
        <v>2317</v>
      </c>
      <c r="P330" s="6" t="s">
        <v>2318</v>
      </c>
      <c r="Q330" s="17" t="s">
        <v>2319</v>
      </c>
      <c r="R330" s="17" t="s">
        <v>2320</v>
      </c>
      <c r="S330" s="173" t="s">
        <v>38</v>
      </c>
      <c r="T330" s="181" t="s">
        <v>1483</v>
      </c>
      <c r="U330" s="20" t="s">
        <v>1484</v>
      </c>
      <c r="V330" s="20" t="s">
        <v>1484</v>
      </c>
      <c r="W330" s="20"/>
      <c r="X330" s="6"/>
      <c r="Y330" s="6"/>
      <c r="Z330" s="23"/>
      <c r="AA330" s="24"/>
    </row>
    <row r="331" spans="1:27" ht="15.75" customHeight="1">
      <c r="A331" s="10" t="s">
        <v>2321</v>
      </c>
      <c r="B331" s="10" t="s">
        <v>1469</v>
      </c>
      <c r="C331" s="60" t="s">
        <v>1470</v>
      </c>
      <c r="D331" s="12"/>
      <c r="E331" s="13" t="s">
        <v>93</v>
      </c>
      <c r="F331" s="6" t="s">
        <v>2322</v>
      </c>
      <c r="G331" s="6" t="str">
        <f ca="1">IFERROR(__xludf.DUMMYFUNCTION("CONCATENATE(B331,(VLOOKUP(C331,CATALOGOS!$F$2:$H$6,3,FALSE)),(VLOOKUP(T331,CATALOGOS!$J$2:$K$18,2,FALSE)),""-"",TO_TEXT(A331))"),"P12SI-0330")</f>
        <v>P12SI-0330</v>
      </c>
      <c r="H331" s="6" t="s">
        <v>2323</v>
      </c>
      <c r="I331" s="6" t="s">
        <v>2324</v>
      </c>
      <c r="J331" s="6" t="s">
        <v>2325</v>
      </c>
      <c r="K331" s="6" t="s">
        <v>2326</v>
      </c>
      <c r="L331" s="17"/>
      <c r="M331" s="17"/>
      <c r="N331" s="17" t="str">
        <f t="shared" si="1"/>
        <v>OK</v>
      </c>
      <c r="O331" s="17" t="s">
        <v>35</v>
      </c>
      <c r="P331" s="6" t="s">
        <v>35</v>
      </c>
      <c r="Q331" s="17" t="s">
        <v>36</v>
      </c>
      <c r="R331" s="17" t="s">
        <v>2327</v>
      </c>
      <c r="S331" s="173" t="s">
        <v>38</v>
      </c>
      <c r="T331" s="181" t="s">
        <v>1483</v>
      </c>
      <c r="U331" s="20" t="s">
        <v>1484</v>
      </c>
      <c r="V331" s="20" t="s">
        <v>1484</v>
      </c>
      <c r="W331" s="20"/>
      <c r="X331" s="6"/>
      <c r="Y331" s="6"/>
      <c r="Z331" s="23"/>
      <c r="AA331" s="24"/>
    </row>
    <row r="332" spans="1:27" ht="15.75" customHeight="1">
      <c r="A332" s="10" t="s">
        <v>2330</v>
      </c>
      <c r="B332" s="10" t="s">
        <v>1469</v>
      </c>
      <c r="C332" s="60" t="s">
        <v>1470</v>
      </c>
      <c r="D332" s="12"/>
      <c r="E332" s="13" t="s">
        <v>93</v>
      </c>
      <c r="F332" s="6" t="s">
        <v>2331</v>
      </c>
      <c r="G332" s="6" t="str">
        <f ca="1">IFERROR(__xludf.DUMMYFUNCTION("CONCATENATE(B332,(VLOOKUP(C332,CATALOGOS!$F$2:$H$6,3,FALSE)),(VLOOKUP(T332,CATALOGOS!$J$2:$K$18,2,FALSE)),""-"",TO_TEXT(A332))"),"P12SI-0331")</f>
        <v>P12SI-0331</v>
      </c>
      <c r="H332" s="6" t="s">
        <v>2332</v>
      </c>
      <c r="I332" s="6" t="s">
        <v>2333</v>
      </c>
      <c r="J332" s="6" t="s">
        <v>2334</v>
      </c>
      <c r="K332" s="6" t="s">
        <v>2335</v>
      </c>
      <c r="L332" s="17"/>
      <c r="M332" s="17"/>
      <c r="N332" s="17" t="str">
        <f t="shared" si="1"/>
        <v>OK</v>
      </c>
      <c r="O332" s="17" t="s">
        <v>35</v>
      </c>
      <c r="P332" s="6" t="s">
        <v>35</v>
      </c>
      <c r="Q332" s="17" t="s">
        <v>36</v>
      </c>
      <c r="R332" s="17" t="s">
        <v>2336</v>
      </c>
      <c r="S332" s="173" t="s">
        <v>38</v>
      </c>
      <c r="T332" s="181" t="s">
        <v>1483</v>
      </c>
      <c r="U332" s="20" t="s">
        <v>1484</v>
      </c>
      <c r="V332" s="20" t="s">
        <v>1484</v>
      </c>
      <c r="W332" s="20"/>
      <c r="X332" s="7"/>
      <c r="Y332" s="7"/>
      <c r="Z332" s="23"/>
      <c r="AA332" s="26"/>
    </row>
    <row r="333" spans="1:27" ht="15.75" customHeight="1">
      <c r="A333" s="10" t="s">
        <v>2338</v>
      </c>
      <c r="B333" s="10" t="s">
        <v>1469</v>
      </c>
      <c r="C333" s="60" t="s">
        <v>1470</v>
      </c>
      <c r="D333" s="12"/>
      <c r="E333" s="13" t="s">
        <v>248</v>
      </c>
      <c r="F333" s="6" t="s">
        <v>249</v>
      </c>
      <c r="G333" s="6" t="str">
        <f ca="1">IFERROR(__xludf.DUMMYFUNCTION("CONCATENATE(B333,(VLOOKUP(C333,CATALOGOS!$F$2:$H$6,3,FALSE)),(VLOOKUP(T333,CATALOGOS!$J$2:$K$18,2,FALSE)),""-"",TO_TEXT(A333))"),"P12SI-0332")</f>
        <v>P12SI-0332</v>
      </c>
      <c r="H333" s="6" t="s">
        <v>2339</v>
      </c>
      <c r="I333" s="6" t="s">
        <v>2340</v>
      </c>
      <c r="J333" s="36"/>
      <c r="K333" s="6" t="s">
        <v>141</v>
      </c>
      <c r="L333" s="17"/>
      <c r="M333" s="17"/>
      <c r="N333" s="17" t="str">
        <f t="shared" si="1"/>
        <v>REPETIDO</v>
      </c>
      <c r="O333" s="17" t="s">
        <v>827</v>
      </c>
      <c r="P333" s="6" t="s">
        <v>828</v>
      </c>
      <c r="Q333" s="6" t="s">
        <v>2341</v>
      </c>
      <c r="R333" s="10" t="s">
        <v>85</v>
      </c>
      <c r="S333" s="173" t="s">
        <v>38</v>
      </c>
      <c r="T333" s="181" t="s">
        <v>1483</v>
      </c>
      <c r="U333" s="20" t="s">
        <v>1484</v>
      </c>
      <c r="V333" s="20" t="s">
        <v>1484</v>
      </c>
      <c r="W333" s="20"/>
      <c r="X333" s="6"/>
      <c r="Y333" s="6"/>
      <c r="Z333" s="23"/>
      <c r="AA333" s="33"/>
    </row>
    <row r="334" spans="1:27" ht="15.75" customHeight="1">
      <c r="A334" s="10" t="s">
        <v>2342</v>
      </c>
      <c r="B334" s="10" t="s">
        <v>1469</v>
      </c>
      <c r="C334" s="60" t="s">
        <v>1470</v>
      </c>
      <c r="D334" s="12"/>
      <c r="E334" s="13" t="s">
        <v>248</v>
      </c>
      <c r="F334" s="43" t="s">
        <v>248</v>
      </c>
      <c r="G334" s="6" t="str">
        <f ca="1">IFERROR(__xludf.DUMMYFUNCTION("CONCATENATE(B334,(VLOOKUP(C334,CATALOGOS!$F$2:$H$6,3,FALSE)),(VLOOKUP(T334,CATALOGOS!$J$2:$K$18,2,FALSE)),""-"",TO_TEXT(A334))"),"P12SI-0333")</f>
        <v>P12SI-0333</v>
      </c>
      <c r="H334" s="6" t="s">
        <v>2343</v>
      </c>
      <c r="I334" s="6" t="s">
        <v>2344</v>
      </c>
      <c r="J334" s="6" t="s">
        <v>2345</v>
      </c>
      <c r="K334" s="6" t="s">
        <v>2346</v>
      </c>
      <c r="L334" s="17"/>
      <c r="M334" s="17"/>
      <c r="N334" s="17" t="str">
        <f t="shared" si="1"/>
        <v>OK</v>
      </c>
      <c r="O334" s="17" t="s">
        <v>250</v>
      </c>
      <c r="P334" s="6" t="s">
        <v>2347</v>
      </c>
      <c r="Q334" s="17" t="s">
        <v>2348</v>
      </c>
      <c r="R334" s="17" t="s">
        <v>2349</v>
      </c>
      <c r="S334" s="173" t="s">
        <v>38</v>
      </c>
      <c r="T334" s="181" t="s">
        <v>1483</v>
      </c>
      <c r="U334" s="20" t="s">
        <v>1484</v>
      </c>
      <c r="V334" s="20" t="s">
        <v>1484</v>
      </c>
      <c r="W334" s="20"/>
      <c r="X334" s="7"/>
      <c r="Y334" s="7"/>
      <c r="Z334" s="23"/>
      <c r="AA334" s="26"/>
    </row>
    <row r="335" spans="1:27" ht="15.75" customHeight="1">
      <c r="A335" s="10" t="s">
        <v>2350</v>
      </c>
      <c r="B335" s="10" t="s">
        <v>1469</v>
      </c>
      <c r="C335" s="60" t="s">
        <v>1470</v>
      </c>
      <c r="D335" s="12"/>
      <c r="E335" s="13" t="s">
        <v>2351</v>
      </c>
      <c r="F335" s="43" t="s">
        <v>2352</v>
      </c>
      <c r="G335" s="6" t="str">
        <f ca="1">IFERROR(__xludf.DUMMYFUNCTION("CONCATENATE(B335,(VLOOKUP(C335,CATALOGOS!$F$2:$H$6,3,FALSE)),(VLOOKUP(T335,CATALOGOS!$J$2:$K$18,2,FALSE)),""-"",TO_TEXT(A335))"),"P12SI-0334")</f>
        <v>P12SI-0334</v>
      </c>
      <c r="H335" s="6" t="s">
        <v>2353</v>
      </c>
      <c r="I335" s="6" t="s">
        <v>2354</v>
      </c>
      <c r="J335" s="6" t="s">
        <v>8435</v>
      </c>
      <c r="K335" s="6" t="s">
        <v>2356</v>
      </c>
      <c r="L335" s="17"/>
      <c r="M335" s="17"/>
      <c r="N335" s="17" t="str">
        <f t="shared" si="1"/>
        <v>OK</v>
      </c>
      <c r="O335" s="17" t="s">
        <v>2357</v>
      </c>
      <c r="P335" s="6" t="s">
        <v>2358</v>
      </c>
      <c r="Q335" s="17" t="s">
        <v>2359</v>
      </c>
      <c r="R335" s="17" t="s">
        <v>2360</v>
      </c>
      <c r="S335" s="173" t="s">
        <v>38</v>
      </c>
      <c r="T335" s="181" t="s">
        <v>1483</v>
      </c>
      <c r="U335" s="20" t="s">
        <v>1484</v>
      </c>
      <c r="V335" s="20" t="s">
        <v>1484</v>
      </c>
      <c r="W335" s="20"/>
      <c r="X335" s="7"/>
      <c r="Y335" s="7"/>
      <c r="Z335" s="23"/>
      <c r="AA335" s="26"/>
    </row>
    <row r="336" spans="1:27" ht="15.75" customHeight="1">
      <c r="A336" s="10" t="s">
        <v>2361</v>
      </c>
      <c r="B336" s="10" t="s">
        <v>1469</v>
      </c>
      <c r="C336" s="60" t="s">
        <v>1470</v>
      </c>
      <c r="D336" s="12"/>
      <c r="E336" s="13" t="s">
        <v>53</v>
      </c>
      <c r="F336" s="6" t="s">
        <v>2362</v>
      </c>
      <c r="G336" s="6" t="str">
        <f ca="1">IFERROR(__xludf.DUMMYFUNCTION("CONCATENATE(B336,(VLOOKUP(C336,CATALOGOS!$F$2:$H$6,3,FALSE)),(VLOOKUP(T336,CATALOGOS!$J$2:$K$18,2,FALSE)),""-"",TO_TEXT(A336))"),"P12SI-0335")</f>
        <v>P12SI-0335</v>
      </c>
      <c r="H336" s="6" t="s">
        <v>2363</v>
      </c>
      <c r="I336" s="6" t="s">
        <v>2364</v>
      </c>
      <c r="J336" s="6" t="s">
        <v>2365</v>
      </c>
      <c r="K336" s="6" t="s">
        <v>2366</v>
      </c>
      <c r="L336" s="17"/>
      <c r="M336" s="17"/>
      <c r="N336" s="17" t="str">
        <f t="shared" si="1"/>
        <v>OK</v>
      </c>
      <c r="O336" s="17" t="s">
        <v>35</v>
      </c>
      <c r="P336" s="6" t="s">
        <v>35</v>
      </c>
      <c r="Q336" s="17" t="s">
        <v>36</v>
      </c>
      <c r="R336" s="17" t="s">
        <v>2367</v>
      </c>
      <c r="S336" s="173" t="s">
        <v>38</v>
      </c>
      <c r="T336" s="181" t="s">
        <v>1483</v>
      </c>
      <c r="U336" s="20" t="s">
        <v>1484</v>
      </c>
      <c r="V336" s="20" t="s">
        <v>1484</v>
      </c>
      <c r="W336" s="20"/>
      <c r="X336" s="7"/>
      <c r="Y336" s="7"/>
      <c r="Z336" s="23"/>
      <c r="AA336" s="26"/>
    </row>
    <row r="337" spans="1:27" ht="15.75" customHeight="1">
      <c r="A337" s="10" t="s">
        <v>2368</v>
      </c>
      <c r="B337" s="10" t="s">
        <v>1469</v>
      </c>
      <c r="C337" s="60" t="s">
        <v>1470</v>
      </c>
      <c r="D337" s="12"/>
      <c r="E337" s="13" t="s">
        <v>199</v>
      </c>
      <c r="F337" s="6" t="s">
        <v>199</v>
      </c>
      <c r="G337" s="6" t="str">
        <f ca="1">IFERROR(__xludf.DUMMYFUNCTION("CONCATENATE(B337,(VLOOKUP(C337,CATALOGOS!$F$2:$H$6,3,FALSE)),(VLOOKUP(T337,CATALOGOS!$J$2:$K$18,2,FALSE)),""-"",TO_TEXT(A337))"),"P12SI-0336")</f>
        <v>P12SI-0336</v>
      </c>
      <c r="H337" s="6" t="s">
        <v>2369</v>
      </c>
      <c r="I337" s="6" t="s">
        <v>2370</v>
      </c>
      <c r="J337" s="6" t="s">
        <v>2371</v>
      </c>
      <c r="K337" s="43" t="s">
        <v>141</v>
      </c>
      <c r="L337" s="17"/>
      <c r="M337" s="17"/>
      <c r="N337" s="17" t="str">
        <f t="shared" si="1"/>
        <v>REPETIDO</v>
      </c>
      <c r="O337" s="17" t="s">
        <v>205</v>
      </c>
      <c r="P337" s="32" t="s">
        <v>993</v>
      </c>
      <c r="Q337" s="17" t="s">
        <v>2372</v>
      </c>
      <c r="R337" s="17" t="s">
        <v>2373</v>
      </c>
      <c r="S337" s="173" t="s">
        <v>38</v>
      </c>
      <c r="T337" s="181" t="s">
        <v>1483</v>
      </c>
      <c r="U337" s="20" t="s">
        <v>1484</v>
      </c>
      <c r="V337" s="20" t="s">
        <v>1484</v>
      </c>
      <c r="W337" s="20"/>
      <c r="X337" s="7"/>
      <c r="Y337" s="7"/>
      <c r="Z337" s="23"/>
      <c r="AA337" s="26"/>
    </row>
    <row r="338" spans="1:27" ht="15.75" customHeight="1">
      <c r="A338" s="10" t="s">
        <v>2374</v>
      </c>
      <c r="B338" s="10" t="s">
        <v>1469</v>
      </c>
      <c r="C338" s="60" t="s">
        <v>1470</v>
      </c>
      <c r="D338" s="12"/>
      <c r="E338" s="13" t="s">
        <v>151</v>
      </c>
      <c r="F338" s="6" t="s">
        <v>963</v>
      </c>
      <c r="G338" s="6" t="str">
        <f ca="1">IFERROR(__xludf.DUMMYFUNCTION("CONCATENATE(B338,(VLOOKUP(C338,CATALOGOS!$F$2:$H$6,3,FALSE)),(VLOOKUP(T338,CATALOGOS!$J$2:$K$18,2,FALSE)),""-"",TO_TEXT(A338))"),"P12SI-0337")</f>
        <v>P12SI-0337</v>
      </c>
      <c r="H338" s="6" t="s">
        <v>2375</v>
      </c>
      <c r="I338" s="6" t="s">
        <v>2376</v>
      </c>
      <c r="J338" s="6" t="s">
        <v>2377</v>
      </c>
      <c r="K338" s="6" t="s">
        <v>2378</v>
      </c>
      <c r="L338" s="17"/>
      <c r="M338" s="17"/>
      <c r="N338" s="17" t="str">
        <f t="shared" si="1"/>
        <v>OK</v>
      </c>
      <c r="O338" s="17" t="s">
        <v>297</v>
      </c>
      <c r="P338" s="6" t="s">
        <v>1037</v>
      </c>
      <c r="Q338" s="17" t="s">
        <v>2379</v>
      </c>
      <c r="R338" s="17" t="s">
        <v>2380</v>
      </c>
      <c r="S338" s="173" t="s">
        <v>38</v>
      </c>
      <c r="T338" s="181" t="s">
        <v>1483</v>
      </c>
      <c r="U338" s="20" t="s">
        <v>1484</v>
      </c>
      <c r="V338" s="20" t="s">
        <v>1484</v>
      </c>
      <c r="W338" s="20"/>
      <c r="X338" s="7"/>
      <c r="Y338" s="7"/>
      <c r="Z338" s="23"/>
      <c r="AA338" s="26"/>
    </row>
    <row r="339" spans="1:27" ht="15.75" customHeight="1">
      <c r="A339" s="10" t="s">
        <v>2382</v>
      </c>
      <c r="B339" s="10" t="s">
        <v>1469</v>
      </c>
      <c r="C339" s="60" t="s">
        <v>1470</v>
      </c>
      <c r="D339" s="12"/>
      <c r="E339" s="13" t="s">
        <v>93</v>
      </c>
      <c r="F339" s="6" t="s">
        <v>2383</v>
      </c>
      <c r="G339" s="6" t="str">
        <f ca="1">IFERROR(__xludf.DUMMYFUNCTION("CONCATENATE(B339,(VLOOKUP(C339,CATALOGOS!$F$2:$H$6,3,FALSE)),(VLOOKUP(T339,CATALOGOS!$J$2:$K$18,2,FALSE)),""-"",TO_TEXT(A339))"),"P12SI-0338")</f>
        <v>P12SI-0338</v>
      </c>
      <c r="H339" s="6" t="s">
        <v>2384</v>
      </c>
      <c r="I339" s="6" t="s">
        <v>2385</v>
      </c>
      <c r="J339" s="6" t="s">
        <v>2386</v>
      </c>
      <c r="K339" s="43" t="s">
        <v>2387</v>
      </c>
      <c r="L339" s="17"/>
      <c r="M339" s="17"/>
      <c r="N339" s="17" t="str">
        <f t="shared" si="1"/>
        <v>OK</v>
      </c>
      <c r="O339" s="17" t="s">
        <v>35</v>
      </c>
      <c r="P339" s="6" t="s">
        <v>35</v>
      </c>
      <c r="Q339" s="17" t="s">
        <v>36</v>
      </c>
      <c r="R339" s="17" t="s">
        <v>2388</v>
      </c>
      <c r="S339" s="173" t="s">
        <v>38</v>
      </c>
      <c r="T339" s="181" t="s">
        <v>1483</v>
      </c>
      <c r="U339" s="20" t="s">
        <v>1484</v>
      </c>
      <c r="V339" s="20" t="s">
        <v>1484</v>
      </c>
      <c r="W339" s="20"/>
      <c r="X339" s="7"/>
      <c r="Y339" s="7"/>
      <c r="Z339" s="23"/>
      <c r="AA339" s="26"/>
    </row>
    <row r="340" spans="1:27" ht="15.75" customHeight="1">
      <c r="A340" s="10" t="s">
        <v>2389</v>
      </c>
      <c r="B340" s="10" t="s">
        <v>1469</v>
      </c>
      <c r="C340" s="60" t="s">
        <v>1470</v>
      </c>
      <c r="D340" s="12"/>
      <c r="E340" s="13" t="s">
        <v>151</v>
      </c>
      <c r="F340" s="6" t="s">
        <v>698</v>
      </c>
      <c r="G340" s="6" t="str">
        <f ca="1">IFERROR(__xludf.DUMMYFUNCTION("CONCATENATE(B340,(VLOOKUP(C340,CATALOGOS!$F$2:$H$6,3,FALSE)),(VLOOKUP(T340,CATALOGOS!$J$2:$K$18,2,FALSE)),""-"",TO_TEXT(A340))"),"P12SI-0339")</f>
        <v>P12SI-0339</v>
      </c>
      <c r="H340" s="6" t="s">
        <v>2390</v>
      </c>
      <c r="I340" s="6" t="s">
        <v>2391</v>
      </c>
      <c r="J340" s="6" t="s">
        <v>2392</v>
      </c>
      <c r="K340" s="6" t="s">
        <v>2393</v>
      </c>
      <c r="L340" s="17"/>
      <c r="M340" s="17"/>
      <c r="N340" s="17" t="str">
        <f t="shared" si="1"/>
        <v>OK</v>
      </c>
      <c r="O340" s="17" t="s">
        <v>297</v>
      </c>
      <c r="P340" s="6" t="s">
        <v>1131</v>
      </c>
      <c r="Q340" s="17" t="s">
        <v>2394</v>
      </c>
      <c r="R340" s="17" t="s">
        <v>2395</v>
      </c>
      <c r="S340" s="173" t="s">
        <v>38</v>
      </c>
      <c r="T340" s="181" t="s">
        <v>1483</v>
      </c>
      <c r="U340" s="20" t="s">
        <v>1484</v>
      </c>
      <c r="V340" s="20" t="s">
        <v>1484</v>
      </c>
      <c r="W340" s="20"/>
      <c r="X340" s="7"/>
      <c r="Y340" s="7"/>
      <c r="Z340" s="23"/>
      <c r="AA340" s="26"/>
    </row>
    <row r="341" spans="1:27" ht="15.75" customHeight="1">
      <c r="A341" s="10" t="s">
        <v>2396</v>
      </c>
      <c r="B341" s="10" t="s">
        <v>1469</v>
      </c>
      <c r="C341" s="60" t="s">
        <v>1470</v>
      </c>
      <c r="D341" s="12"/>
      <c r="E341" s="13" t="s">
        <v>2397</v>
      </c>
      <c r="F341" s="6" t="s">
        <v>2398</v>
      </c>
      <c r="G341" s="6" t="str">
        <f ca="1">IFERROR(__xludf.DUMMYFUNCTION("CONCATENATE(B341,(VLOOKUP(C341,CATALOGOS!$F$2:$H$6,3,FALSE)),(VLOOKUP(T341,CATALOGOS!$J$2:$K$18,2,FALSE)),""-"",TO_TEXT(A341))"),"P12SI-0340")</f>
        <v>P12SI-0340</v>
      </c>
      <c r="H341" s="6" t="s">
        <v>2399</v>
      </c>
      <c r="I341" s="6" t="s">
        <v>2400</v>
      </c>
      <c r="J341" s="6" t="s">
        <v>2401</v>
      </c>
      <c r="K341" s="6" t="s">
        <v>2402</v>
      </c>
      <c r="L341" s="17"/>
      <c r="M341" s="17"/>
      <c r="N341" s="17" t="str">
        <f t="shared" si="1"/>
        <v>OK</v>
      </c>
      <c r="O341" s="17" t="s">
        <v>2403</v>
      </c>
      <c r="P341" s="6" t="s">
        <v>2404</v>
      </c>
      <c r="Q341" s="17" t="s">
        <v>2405</v>
      </c>
      <c r="R341" s="17" t="s">
        <v>2406</v>
      </c>
      <c r="S341" s="173" t="s">
        <v>38</v>
      </c>
      <c r="T341" s="181" t="s">
        <v>1483</v>
      </c>
      <c r="U341" s="20" t="s">
        <v>1484</v>
      </c>
      <c r="V341" s="20" t="s">
        <v>1484</v>
      </c>
      <c r="W341" s="20"/>
      <c r="X341" s="6"/>
      <c r="Y341" s="6"/>
      <c r="Z341" s="23"/>
      <c r="AA341" s="24"/>
    </row>
    <row r="342" spans="1:27" ht="15.75" customHeight="1">
      <c r="A342" s="10" t="s">
        <v>2407</v>
      </c>
      <c r="B342" s="10" t="s">
        <v>1469</v>
      </c>
      <c r="C342" s="60" t="s">
        <v>1470</v>
      </c>
      <c r="D342" s="12"/>
      <c r="E342" s="13" t="s">
        <v>248</v>
      </c>
      <c r="F342" s="43" t="s">
        <v>248</v>
      </c>
      <c r="G342" s="6" t="str">
        <f ca="1">IFERROR(__xludf.DUMMYFUNCTION("CONCATENATE(B342,(VLOOKUP(C342,CATALOGOS!$F$2:$H$6,3,FALSE)),(VLOOKUP(T342,CATALOGOS!$J$2:$K$18,2,FALSE)),""-"",TO_TEXT(A342))"),"P12SI-0341")</f>
        <v>P12SI-0341</v>
      </c>
      <c r="H342" s="6" t="s">
        <v>2408</v>
      </c>
      <c r="I342" s="6" t="s">
        <v>2409</v>
      </c>
      <c r="J342" s="6" t="s">
        <v>2410</v>
      </c>
      <c r="K342" s="6" t="s">
        <v>2411</v>
      </c>
      <c r="L342" s="17"/>
      <c r="M342" s="17"/>
      <c r="N342" s="17" t="str">
        <f t="shared" si="1"/>
        <v>OK</v>
      </c>
      <c r="O342" s="17" t="s">
        <v>303</v>
      </c>
      <c r="P342" s="6" t="s">
        <v>1726</v>
      </c>
      <c r="Q342" s="17" t="s">
        <v>2412</v>
      </c>
      <c r="R342" s="17" t="s">
        <v>2413</v>
      </c>
      <c r="S342" s="173" t="s">
        <v>38</v>
      </c>
      <c r="T342" s="181" t="s">
        <v>1483</v>
      </c>
      <c r="U342" s="20" t="s">
        <v>1484</v>
      </c>
      <c r="V342" s="20" t="s">
        <v>1484</v>
      </c>
      <c r="W342" s="20"/>
      <c r="X342" s="7"/>
      <c r="Y342" s="7"/>
      <c r="Z342" s="23"/>
      <c r="AA342" s="26"/>
    </row>
    <row r="343" spans="1:27" ht="15.75" customHeight="1">
      <c r="A343" s="10" t="s">
        <v>2414</v>
      </c>
      <c r="B343" s="10" t="s">
        <v>1469</v>
      </c>
      <c r="C343" s="60" t="s">
        <v>1470</v>
      </c>
      <c r="D343" s="12"/>
      <c r="E343" s="13" t="s">
        <v>199</v>
      </c>
      <c r="F343" s="6" t="s">
        <v>199</v>
      </c>
      <c r="G343" s="6" t="str">
        <f ca="1">IFERROR(__xludf.DUMMYFUNCTION("CONCATENATE(B343,(VLOOKUP(C343,CATALOGOS!$F$2:$H$6,3,FALSE)),(VLOOKUP(T343,CATALOGOS!$J$2:$K$18,2,FALSE)),""-"",TO_TEXT(A343))"),"P12SI-0342")</f>
        <v>P12SI-0342</v>
      </c>
      <c r="H343" s="6" t="s">
        <v>2415</v>
      </c>
      <c r="I343" s="6" t="s">
        <v>2416</v>
      </c>
      <c r="J343" s="6" t="s">
        <v>2417</v>
      </c>
      <c r="K343" s="6" t="s">
        <v>2418</v>
      </c>
      <c r="L343" s="17"/>
      <c r="M343" s="17"/>
      <c r="N343" s="17" t="str">
        <f t="shared" si="1"/>
        <v>OK</v>
      </c>
      <c r="O343" s="17" t="s">
        <v>2419</v>
      </c>
      <c r="P343" s="6" t="s">
        <v>2420</v>
      </c>
      <c r="Q343" s="17" t="s">
        <v>2421</v>
      </c>
      <c r="R343" s="17" t="s">
        <v>2422</v>
      </c>
      <c r="S343" s="173" t="s">
        <v>38</v>
      </c>
      <c r="T343" s="181" t="s">
        <v>1483</v>
      </c>
      <c r="U343" s="20" t="s">
        <v>1484</v>
      </c>
      <c r="V343" s="20" t="s">
        <v>1484</v>
      </c>
      <c r="W343" s="20"/>
      <c r="X343" s="6"/>
      <c r="Y343" s="6"/>
      <c r="Z343" s="23"/>
      <c r="AA343" s="24"/>
    </row>
    <row r="344" spans="1:27" ht="15.75" customHeight="1">
      <c r="A344" s="10" t="s">
        <v>2423</v>
      </c>
      <c r="B344" s="10" t="s">
        <v>1469</v>
      </c>
      <c r="C344" s="60" t="s">
        <v>1470</v>
      </c>
      <c r="D344" s="12"/>
      <c r="E344" s="13" t="s">
        <v>162</v>
      </c>
      <c r="F344" s="43" t="s">
        <v>285</v>
      </c>
      <c r="G344" s="6" t="str">
        <f ca="1">IFERROR(__xludf.DUMMYFUNCTION("CONCATENATE(B344,(VLOOKUP(C344,CATALOGOS!$F$2:$H$6,3,FALSE)),(VLOOKUP(T344,CATALOGOS!$J$2:$K$18,2,FALSE)),""-"",TO_TEXT(A344))"),"P12SI-0343")</f>
        <v>P12SI-0343</v>
      </c>
      <c r="H344" s="6" t="s">
        <v>2424</v>
      </c>
      <c r="I344" s="6" t="s">
        <v>2425</v>
      </c>
      <c r="J344" s="6" t="s">
        <v>2426</v>
      </c>
      <c r="K344" s="6" t="s">
        <v>141</v>
      </c>
      <c r="L344" s="17"/>
      <c r="M344" s="17"/>
      <c r="N344" s="17" t="str">
        <f t="shared" si="1"/>
        <v>REPETIDO</v>
      </c>
      <c r="O344" s="17" t="s">
        <v>663</v>
      </c>
      <c r="P344" s="32" t="s">
        <v>664</v>
      </c>
      <c r="Q344" s="17" t="s">
        <v>2427</v>
      </c>
      <c r="R344" s="17" t="s">
        <v>2428</v>
      </c>
      <c r="S344" s="173" t="s">
        <v>38</v>
      </c>
      <c r="T344" s="181" t="s">
        <v>1483</v>
      </c>
      <c r="U344" s="20" t="s">
        <v>1484</v>
      </c>
      <c r="V344" s="20" t="s">
        <v>1484</v>
      </c>
      <c r="W344" s="20"/>
      <c r="X344" s="7"/>
      <c r="Y344" s="7"/>
      <c r="Z344" s="23"/>
      <c r="AA344" s="26"/>
    </row>
    <row r="345" spans="1:27" ht="15.75" customHeight="1">
      <c r="A345" s="10" t="s">
        <v>2429</v>
      </c>
      <c r="B345" s="10" t="s">
        <v>1469</v>
      </c>
      <c r="C345" s="60" t="s">
        <v>1470</v>
      </c>
      <c r="D345" s="12"/>
      <c r="E345" s="13" t="s">
        <v>2311</v>
      </c>
      <c r="F345" s="6" t="s">
        <v>2430</v>
      </c>
      <c r="G345" s="6" t="str">
        <f ca="1">IFERROR(__xludf.DUMMYFUNCTION("CONCATENATE(B345,(VLOOKUP(C345,CATALOGOS!$F$2:$H$6,3,FALSE)),(VLOOKUP(T345,CATALOGOS!$J$2:$K$18,2,FALSE)),""-"",TO_TEXT(A345))"),"P12SI-0344")</f>
        <v>P12SI-0344</v>
      </c>
      <c r="H345" s="6" t="s">
        <v>2431</v>
      </c>
      <c r="I345" s="6" t="s">
        <v>2432</v>
      </c>
      <c r="J345" s="6" t="s">
        <v>2433</v>
      </c>
      <c r="K345" s="6" t="s">
        <v>2434</v>
      </c>
      <c r="L345" s="17"/>
      <c r="M345" s="17"/>
      <c r="N345" s="17" t="str">
        <f t="shared" si="1"/>
        <v>OK</v>
      </c>
      <c r="O345" s="17" t="s">
        <v>2317</v>
      </c>
      <c r="P345" s="6" t="s">
        <v>2435</v>
      </c>
      <c r="Q345" s="17" t="s">
        <v>2436</v>
      </c>
      <c r="R345" s="17" t="s">
        <v>2437</v>
      </c>
      <c r="S345" s="173" t="s">
        <v>38</v>
      </c>
      <c r="T345" s="181" t="s">
        <v>1483</v>
      </c>
      <c r="U345" s="20" t="s">
        <v>1484</v>
      </c>
      <c r="V345" s="20" t="s">
        <v>1484</v>
      </c>
      <c r="W345" s="20"/>
      <c r="X345" s="7"/>
      <c r="Y345" s="7"/>
      <c r="Z345" s="23"/>
      <c r="AA345" s="26"/>
    </row>
    <row r="346" spans="1:27" ht="15.75" customHeight="1">
      <c r="A346" s="10" t="s">
        <v>2438</v>
      </c>
      <c r="B346" s="10" t="s">
        <v>1469</v>
      </c>
      <c r="C346" s="60" t="s">
        <v>1470</v>
      </c>
      <c r="D346" s="12"/>
      <c r="E346" s="13" t="s">
        <v>151</v>
      </c>
      <c r="F346" s="6" t="s">
        <v>2439</v>
      </c>
      <c r="G346" s="6" t="str">
        <f ca="1">IFERROR(__xludf.DUMMYFUNCTION("CONCATENATE(B346,(VLOOKUP(C346,CATALOGOS!$F$2:$H$6,3,FALSE)),(VLOOKUP(T346,CATALOGOS!$J$2:$K$18,2,FALSE)),""-"",TO_TEXT(A346))"),"P12SI-0345")</f>
        <v>P12SI-0345</v>
      </c>
      <c r="H346" s="6" t="s">
        <v>2440</v>
      </c>
      <c r="I346" s="6" t="s">
        <v>2441</v>
      </c>
      <c r="J346" s="6" t="s">
        <v>2442</v>
      </c>
      <c r="K346" s="6" t="s">
        <v>2443</v>
      </c>
      <c r="L346" s="17"/>
      <c r="M346" s="17"/>
      <c r="N346" s="17" t="str">
        <f t="shared" si="1"/>
        <v>OK</v>
      </c>
      <c r="O346" s="17" t="s">
        <v>703</v>
      </c>
      <c r="P346" s="6" t="s">
        <v>2444</v>
      </c>
      <c r="Q346" s="17" t="s">
        <v>8436</v>
      </c>
      <c r="R346" s="17" t="s">
        <v>2446</v>
      </c>
      <c r="S346" s="173" t="s">
        <v>38</v>
      </c>
      <c r="T346" s="181" t="s">
        <v>1483</v>
      </c>
      <c r="U346" s="20" t="s">
        <v>1484</v>
      </c>
      <c r="V346" s="20" t="s">
        <v>1484</v>
      </c>
      <c r="W346" s="20"/>
      <c r="X346" s="7"/>
      <c r="Y346" s="7"/>
      <c r="Z346" s="23"/>
      <c r="AA346" s="26"/>
    </row>
    <row r="347" spans="1:27" ht="15.75" customHeight="1">
      <c r="A347" s="10" t="s">
        <v>2447</v>
      </c>
      <c r="B347" s="10" t="s">
        <v>1469</v>
      </c>
      <c r="C347" s="60" t="s">
        <v>1470</v>
      </c>
      <c r="D347" s="12"/>
      <c r="E347" s="13" t="s">
        <v>93</v>
      </c>
      <c r="F347" s="6" t="s">
        <v>1380</v>
      </c>
      <c r="G347" s="6" t="str">
        <f ca="1">IFERROR(__xludf.DUMMYFUNCTION("CONCATENATE(B347,(VLOOKUP(C347,CATALOGOS!$F$2:$H$6,3,FALSE)),(VLOOKUP(T347,CATALOGOS!$J$2:$K$18,2,FALSE)),""-"",TO_TEXT(A347))"),"P12SI-0346")</f>
        <v>P12SI-0346</v>
      </c>
      <c r="H347" s="6" t="s">
        <v>2448</v>
      </c>
      <c r="I347" s="62"/>
      <c r="J347" s="6" t="s">
        <v>2449</v>
      </c>
      <c r="K347" s="6" t="s">
        <v>2450</v>
      </c>
      <c r="L347" s="17"/>
      <c r="M347" s="17"/>
      <c r="N347" s="17" t="str">
        <f t="shared" si="1"/>
        <v>OK</v>
      </c>
      <c r="O347" s="17" t="s">
        <v>35</v>
      </c>
      <c r="P347" s="49" t="s">
        <v>35</v>
      </c>
      <c r="Q347" s="17" t="s">
        <v>36</v>
      </c>
      <c r="R347" s="17" t="s">
        <v>2451</v>
      </c>
      <c r="S347" s="173" t="s">
        <v>38</v>
      </c>
      <c r="T347" s="181" t="s">
        <v>1483</v>
      </c>
      <c r="U347" s="20" t="s">
        <v>1484</v>
      </c>
      <c r="V347" s="20" t="s">
        <v>1484</v>
      </c>
      <c r="W347" s="20"/>
      <c r="X347" s="7"/>
      <c r="Y347" s="7"/>
      <c r="Z347" s="23"/>
      <c r="AA347" s="26"/>
    </row>
    <row r="348" spans="1:27" ht="15.75" customHeight="1">
      <c r="A348" s="10" t="s">
        <v>2452</v>
      </c>
      <c r="B348" s="10" t="s">
        <v>1469</v>
      </c>
      <c r="C348" s="60" t="s">
        <v>1470</v>
      </c>
      <c r="D348" s="12"/>
      <c r="E348" s="13" t="s">
        <v>116</v>
      </c>
      <c r="F348" s="43" t="s">
        <v>8437</v>
      </c>
      <c r="G348" s="6" t="str">
        <f ca="1">IFERROR(__xludf.DUMMYFUNCTION("CONCATENATE(B348,(VLOOKUP(C348,CATALOGOS!$F$2:$H$6,3,FALSE)),(VLOOKUP(T348,CATALOGOS!$J$2:$K$18,2,FALSE)),""-"",TO_TEXT(A348))"),"P12SI-0347")</f>
        <v>P12SI-0347</v>
      </c>
      <c r="H348" s="6" t="s">
        <v>2454</v>
      </c>
      <c r="I348" s="6" t="s">
        <v>2455</v>
      </c>
      <c r="J348" s="6" t="s">
        <v>2456</v>
      </c>
      <c r="K348" s="6" t="s">
        <v>2457</v>
      </c>
      <c r="L348" s="17"/>
      <c r="M348" s="17"/>
      <c r="N348" s="17" t="str">
        <f t="shared" si="1"/>
        <v>OK</v>
      </c>
      <c r="O348" s="17" t="s">
        <v>35</v>
      </c>
      <c r="P348" s="49" t="s">
        <v>35</v>
      </c>
      <c r="Q348" s="17" t="s">
        <v>36</v>
      </c>
      <c r="R348" s="17" t="s">
        <v>2458</v>
      </c>
      <c r="S348" s="173" t="s">
        <v>38</v>
      </c>
      <c r="T348" s="181" t="s">
        <v>1483</v>
      </c>
      <c r="U348" s="20" t="s">
        <v>1484</v>
      </c>
      <c r="V348" s="20" t="s">
        <v>1484</v>
      </c>
      <c r="W348" s="20"/>
      <c r="X348" s="7"/>
      <c r="Y348" s="7"/>
      <c r="Z348" s="23"/>
      <c r="AA348" s="26"/>
    </row>
    <row r="349" spans="1:27" ht="15.75" customHeight="1">
      <c r="A349" s="10" t="s">
        <v>2459</v>
      </c>
      <c r="B349" s="10" t="s">
        <v>1469</v>
      </c>
      <c r="C349" s="60" t="s">
        <v>1470</v>
      </c>
      <c r="D349" s="12"/>
      <c r="E349" s="13" t="s">
        <v>93</v>
      </c>
      <c r="F349" s="6" t="s">
        <v>2460</v>
      </c>
      <c r="G349" s="6" t="str">
        <f ca="1">IFERROR(__xludf.DUMMYFUNCTION("CONCATENATE(B349,(VLOOKUP(C349,CATALOGOS!$F$2:$H$6,3,FALSE)),(VLOOKUP(T349,CATALOGOS!$J$2:$K$18,2,FALSE)),""-"",TO_TEXT(A349))"),"P12SI-0348")</f>
        <v>P12SI-0348</v>
      </c>
      <c r="H349" s="6" t="s">
        <v>2461</v>
      </c>
      <c r="I349" s="6" t="s">
        <v>2462</v>
      </c>
      <c r="J349" s="6" t="s">
        <v>2463</v>
      </c>
      <c r="K349" s="6" t="s">
        <v>2464</v>
      </c>
      <c r="L349" s="17"/>
      <c r="M349" s="17"/>
      <c r="N349" s="17" t="str">
        <f t="shared" si="1"/>
        <v>OK</v>
      </c>
      <c r="O349" s="17" t="s">
        <v>35</v>
      </c>
      <c r="P349" s="6" t="s">
        <v>35</v>
      </c>
      <c r="Q349" s="17" t="s">
        <v>36</v>
      </c>
      <c r="R349" s="17" t="s">
        <v>2465</v>
      </c>
      <c r="S349" s="173" t="s">
        <v>38</v>
      </c>
      <c r="T349" s="181" t="s">
        <v>1483</v>
      </c>
      <c r="U349" s="20" t="s">
        <v>1484</v>
      </c>
      <c r="V349" s="20" t="s">
        <v>1484</v>
      </c>
      <c r="W349" s="20"/>
      <c r="X349" s="7"/>
      <c r="Y349" s="7"/>
      <c r="Z349" s="23"/>
      <c r="AA349" s="26"/>
    </row>
    <row r="350" spans="1:27" ht="15.75" customHeight="1">
      <c r="A350" s="10" t="s">
        <v>2467</v>
      </c>
      <c r="B350" s="10" t="s">
        <v>1469</v>
      </c>
      <c r="C350" s="60" t="s">
        <v>1470</v>
      </c>
      <c r="D350" s="12"/>
      <c r="E350" s="13" t="s">
        <v>378</v>
      </c>
      <c r="F350" s="6" t="s">
        <v>878</v>
      </c>
      <c r="G350" s="6" t="str">
        <f ca="1">IFERROR(__xludf.DUMMYFUNCTION("CONCATENATE(B350,(VLOOKUP(C350,CATALOGOS!$F$2:$H$6,3,FALSE)),(VLOOKUP(T350,CATALOGOS!$J$2:$K$18,2,FALSE)),""-"",TO_TEXT(A350))"),"P12SI-0349")</f>
        <v>P12SI-0349</v>
      </c>
      <c r="H350" s="6" t="s">
        <v>2468</v>
      </c>
      <c r="I350" s="6" t="s">
        <v>2469</v>
      </c>
      <c r="J350" s="6" t="s">
        <v>2470</v>
      </c>
      <c r="K350" s="6" t="s">
        <v>2471</v>
      </c>
      <c r="L350" s="17"/>
      <c r="M350" s="17"/>
      <c r="N350" s="17" t="str">
        <f t="shared" si="1"/>
        <v>OK</v>
      </c>
      <c r="O350" s="17" t="s">
        <v>35</v>
      </c>
      <c r="P350" s="6" t="s">
        <v>35</v>
      </c>
      <c r="Q350" s="17" t="s">
        <v>36</v>
      </c>
      <c r="R350" s="17" t="s">
        <v>2472</v>
      </c>
      <c r="S350" s="173" t="s">
        <v>38</v>
      </c>
      <c r="T350" s="181" t="s">
        <v>1483</v>
      </c>
      <c r="U350" s="20" t="s">
        <v>1484</v>
      </c>
      <c r="V350" s="20" t="s">
        <v>1484</v>
      </c>
      <c r="W350" s="20"/>
      <c r="X350" s="6"/>
      <c r="Y350" s="6"/>
      <c r="Z350" s="23"/>
      <c r="AA350" s="24"/>
    </row>
    <row r="351" spans="1:27" ht="15.75" customHeight="1">
      <c r="A351" s="10" t="s">
        <v>2473</v>
      </c>
      <c r="B351" s="10" t="s">
        <v>1469</v>
      </c>
      <c r="C351" s="60" t="s">
        <v>1470</v>
      </c>
      <c r="D351" s="12"/>
      <c r="E351" s="13" t="s">
        <v>378</v>
      </c>
      <c r="F351" s="6" t="s">
        <v>878</v>
      </c>
      <c r="G351" s="6" t="str">
        <f ca="1">IFERROR(__xludf.DUMMYFUNCTION("CONCATENATE(B351,(VLOOKUP(C351,CATALOGOS!$F$2:$H$6,3,FALSE)),(VLOOKUP(T351,CATALOGOS!$J$2:$K$18,2,FALSE)),""-"",TO_TEXT(A351))"),"P12SI-0350")</f>
        <v>P12SI-0350</v>
      </c>
      <c r="H351" s="6" t="s">
        <v>2474</v>
      </c>
      <c r="I351" s="6" t="s">
        <v>2475</v>
      </c>
      <c r="J351" s="6" t="s">
        <v>2476</v>
      </c>
      <c r="K351" s="6" t="s">
        <v>2477</v>
      </c>
      <c r="L351" s="17"/>
      <c r="M351" s="17"/>
      <c r="N351" s="17" t="str">
        <f t="shared" si="1"/>
        <v>OK</v>
      </c>
      <c r="O351" s="17" t="s">
        <v>35</v>
      </c>
      <c r="P351" s="6" t="s">
        <v>35</v>
      </c>
      <c r="Q351" s="17" t="s">
        <v>36</v>
      </c>
      <c r="R351" s="17" t="s">
        <v>2478</v>
      </c>
      <c r="S351" s="173" t="s">
        <v>38</v>
      </c>
      <c r="T351" s="181" t="s">
        <v>1483</v>
      </c>
      <c r="U351" s="20" t="s">
        <v>1484</v>
      </c>
      <c r="V351" s="20" t="s">
        <v>1484</v>
      </c>
      <c r="W351" s="20"/>
      <c r="X351" s="7"/>
      <c r="Y351" s="7"/>
      <c r="Z351" s="23"/>
      <c r="AA351" s="26"/>
    </row>
    <row r="352" spans="1:27" ht="15.75" customHeight="1">
      <c r="A352" s="10" t="s">
        <v>2479</v>
      </c>
      <c r="B352" s="10" t="s">
        <v>1469</v>
      </c>
      <c r="C352" s="60" t="s">
        <v>1470</v>
      </c>
      <c r="D352" s="12"/>
      <c r="E352" s="13" t="s">
        <v>378</v>
      </c>
      <c r="F352" s="43" t="s">
        <v>2480</v>
      </c>
      <c r="G352" s="6" t="str">
        <f ca="1">IFERROR(__xludf.DUMMYFUNCTION("CONCATENATE(B352,(VLOOKUP(C352,CATALOGOS!$F$2:$H$6,3,FALSE)),(VLOOKUP(T352,CATALOGOS!$J$2:$K$18,2,FALSE)),""-"",TO_TEXT(A352))"),"P12SI-0351")</f>
        <v>P12SI-0351</v>
      </c>
      <c r="H352" s="6" t="s">
        <v>2481</v>
      </c>
      <c r="I352" s="6" t="s">
        <v>2482</v>
      </c>
      <c r="J352" s="6" t="s">
        <v>2483</v>
      </c>
      <c r="K352" s="6" t="s">
        <v>2484</v>
      </c>
      <c r="L352" s="17"/>
      <c r="M352" s="17"/>
      <c r="N352" s="17" t="str">
        <f t="shared" si="1"/>
        <v>OK</v>
      </c>
      <c r="O352" s="17" t="s">
        <v>35</v>
      </c>
      <c r="P352" s="6" t="s">
        <v>35</v>
      </c>
      <c r="Q352" s="17" t="s">
        <v>36</v>
      </c>
      <c r="R352" s="17" t="s">
        <v>2485</v>
      </c>
      <c r="S352" s="173" t="s">
        <v>38</v>
      </c>
      <c r="T352" s="181" t="s">
        <v>1483</v>
      </c>
      <c r="U352" s="20" t="s">
        <v>1484</v>
      </c>
      <c r="V352" s="20" t="s">
        <v>1484</v>
      </c>
      <c r="W352" s="20"/>
      <c r="X352" s="6"/>
      <c r="Y352" s="6"/>
      <c r="Z352" s="23"/>
      <c r="AA352" s="24"/>
    </row>
    <row r="353" spans="1:27" ht="15.75" customHeight="1">
      <c r="A353" s="10" t="s">
        <v>2486</v>
      </c>
      <c r="B353" s="10" t="s">
        <v>1469</v>
      </c>
      <c r="C353" s="60" t="s">
        <v>1470</v>
      </c>
      <c r="D353" s="12"/>
      <c r="E353" s="13" t="s">
        <v>184</v>
      </c>
      <c r="F353" s="43" t="s">
        <v>2487</v>
      </c>
      <c r="G353" s="6" t="str">
        <f ca="1">IFERROR(__xludf.DUMMYFUNCTION("CONCATENATE(B353,(VLOOKUP(C353,CATALOGOS!$F$2:$H$6,3,FALSE)),(VLOOKUP(T353,CATALOGOS!$J$2:$K$18,2,FALSE)),""-"",TO_TEXT(A353))"),"P12SI-0352")</f>
        <v>P12SI-0352</v>
      </c>
      <c r="H353" s="6" t="s">
        <v>2488</v>
      </c>
      <c r="I353" s="6" t="s">
        <v>2489</v>
      </c>
      <c r="J353" s="6" t="s">
        <v>2490</v>
      </c>
      <c r="K353" s="6" t="s">
        <v>2491</v>
      </c>
      <c r="L353" s="17"/>
      <c r="M353" s="17"/>
      <c r="N353" s="17" t="str">
        <f t="shared" si="1"/>
        <v>OK</v>
      </c>
      <c r="O353" s="17" t="s">
        <v>35</v>
      </c>
      <c r="P353" s="6" t="s">
        <v>35</v>
      </c>
      <c r="Q353" s="17" t="s">
        <v>36</v>
      </c>
      <c r="R353" s="17" t="s">
        <v>2492</v>
      </c>
      <c r="S353" s="173" t="s">
        <v>549</v>
      </c>
      <c r="T353" s="181" t="s">
        <v>1483</v>
      </c>
      <c r="U353" s="20" t="s">
        <v>1484</v>
      </c>
      <c r="V353" s="20" t="s">
        <v>1484</v>
      </c>
      <c r="W353" s="20"/>
      <c r="X353" s="6"/>
      <c r="Y353" s="6" t="s">
        <v>440</v>
      </c>
      <c r="Z353" s="23"/>
      <c r="AA353" s="24"/>
    </row>
    <row r="354" spans="1:27" ht="15.75" customHeight="1">
      <c r="A354" s="10" t="s">
        <v>2493</v>
      </c>
      <c r="B354" s="10" t="s">
        <v>1469</v>
      </c>
      <c r="C354" s="60" t="s">
        <v>1470</v>
      </c>
      <c r="D354" s="12"/>
      <c r="E354" s="13" t="s">
        <v>199</v>
      </c>
      <c r="F354" s="6" t="s">
        <v>677</v>
      </c>
      <c r="G354" s="6" t="str">
        <f ca="1">IFERROR(__xludf.DUMMYFUNCTION("CONCATENATE(B354,(VLOOKUP(C354,CATALOGOS!$F$2:$H$6,3,FALSE)),(VLOOKUP(T354,CATALOGOS!$J$2:$K$18,2,FALSE)),""-"",TO_TEXT(A354))"),"P12SI-0353")</f>
        <v>P12SI-0353</v>
      </c>
      <c r="H354" s="6" t="s">
        <v>2494</v>
      </c>
      <c r="I354" s="6" t="s">
        <v>2495</v>
      </c>
      <c r="J354" s="6" t="s">
        <v>2496</v>
      </c>
      <c r="K354" s="6" t="s">
        <v>141</v>
      </c>
      <c r="L354" s="17"/>
      <c r="M354" s="17"/>
      <c r="N354" s="17" t="str">
        <f t="shared" si="1"/>
        <v>REPETIDO</v>
      </c>
      <c r="O354" s="17" t="s">
        <v>682</v>
      </c>
      <c r="P354" s="32" t="s">
        <v>2497</v>
      </c>
      <c r="Q354" s="17" t="s">
        <v>2498</v>
      </c>
      <c r="R354" s="17" t="s">
        <v>2499</v>
      </c>
      <c r="S354" s="173" t="s">
        <v>38</v>
      </c>
      <c r="T354" s="181" t="s">
        <v>1483</v>
      </c>
      <c r="U354" s="20" t="s">
        <v>1484</v>
      </c>
      <c r="V354" s="20" t="s">
        <v>1484</v>
      </c>
      <c r="W354" s="20"/>
      <c r="X354" s="36"/>
      <c r="Y354" s="36"/>
      <c r="Z354" s="23"/>
      <c r="AA354" s="33"/>
    </row>
    <row r="355" spans="1:27" ht="15.75" customHeight="1">
      <c r="A355" s="10" t="s">
        <v>2501</v>
      </c>
      <c r="B355" s="10" t="s">
        <v>1469</v>
      </c>
      <c r="C355" s="60" t="s">
        <v>1470</v>
      </c>
      <c r="D355" s="12"/>
      <c r="E355" s="13" t="s">
        <v>2502</v>
      </c>
      <c r="F355" s="43" t="s">
        <v>2503</v>
      </c>
      <c r="G355" s="6" t="str">
        <f ca="1">IFERROR(__xludf.DUMMYFUNCTION("CONCATENATE(B355,(VLOOKUP(C355,CATALOGOS!$F$2:$H$6,3,FALSE)),(VLOOKUP(T355,CATALOGOS!$J$2:$K$18,2,FALSE)),""-"",TO_TEXT(A355))"),"P12SI-0354")</f>
        <v>P12SI-0354</v>
      </c>
      <c r="H355" s="6" t="s">
        <v>2504</v>
      </c>
      <c r="I355" s="6" t="s">
        <v>2505</v>
      </c>
      <c r="J355" s="6" t="s">
        <v>2506</v>
      </c>
      <c r="K355" s="6" t="s">
        <v>2507</v>
      </c>
      <c r="L355" s="17"/>
      <c r="M355" s="17"/>
      <c r="N355" s="17" t="str">
        <f t="shared" si="1"/>
        <v>OK</v>
      </c>
      <c r="O355" s="17" t="s">
        <v>2508</v>
      </c>
      <c r="P355" s="6" t="s">
        <v>2509</v>
      </c>
      <c r="Q355" s="17" t="s">
        <v>2510</v>
      </c>
      <c r="R355" s="17" t="s">
        <v>85</v>
      </c>
      <c r="S355" s="178" t="s">
        <v>2511</v>
      </c>
      <c r="T355" s="181" t="s">
        <v>1483</v>
      </c>
      <c r="U355" s="20" t="s">
        <v>1484</v>
      </c>
      <c r="V355" s="20" t="s">
        <v>1484</v>
      </c>
      <c r="W355" s="20"/>
      <c r="X355" s="6"/>
      <c r="Y355" s="6"/>
      <c r="Z355" s="23"/>
      <c r="AA355" s="33"/>
    </row>
    <row r="356" spans="1:27" ht="15.75" customHeight="1">
      <c r="A356" s="10" t="s">
        <v>2512</v>
      </c>
      <c r="B356" s="10" t="s">
        <v>1469</v>
      </c>
      <c r="C356" s="60" t="s">
        <v>1470</v>
      </c>
      <c r="D356" s="12"/>
      <c r="E356" s="13" t="s">
        <v>151</v>
      </c>
      <c r="F356" s="6" t="s">
        <v>152</v>
      </c>
      <c r="G356" s="6" t="str">
        <f ca="1">IFERROR(__xludf.DUMMYFUNCTION("CONCATENATE(B356,(VLOOKUP(C356,CATALOGOS!$F$2:$H$6,3,FALSE)),(VLOOKUP(T356,CATALOGOS!$J$2:$K$18,2,FALSE)),""-"",TO_TEXT(A356))"),"P12SI-0355")</f>
        <v>P12SI-0355</v>
      </c>
      <c r="H356" s="6" t="s">
        <v>2513</v>
      </c>
      <c r="I356" s="6" t="s">
        <v>2514</v>
      </c>
      <c r="J356" s="6" t="s">
        <v>2515</v>
      </c>
      <c r="K356" s="6" t="s">
        <v>2516</v>
      </c>
      <c r="L356" s="17"/>
      <c r="M356" s="17"/>
      <c r="N356" s="17" t="str">
        <f t="shared" si="1"/>
        <v>OK</v>
      </c>
      <c r="O356" s="17" t="s">
        <v>297</v>
      </c>
      <c r="P356" s="6" t="s">
        <v>1620</v>
      </c>
      <c r="Q356" s="17" t="s">
        <v>2517</v>
      </c>
      <c r="R356" s="17" t="s">
        <v>85</v>
      </c>
      <c r="S356" s="173" t="s">
        <v>38</v>
      </c>
      <c r="T356" s="181" t="s">
        <v>1483</v>
      </c>
      <c r="U356" s="20" t="s">
        <v>1484</v>
      </c>
      <c r="V356" s="20" t="s">
        <v>1484</v>
      </c>
      <c r="W356" s="20"/>
      <c r="X356" s="6"/>
      <c r="Y356" s="6"/>
      <c r="Z356" s="23"/>
      <c r="AA356" s="24"/>
    </row>
    <row r="357" spans="1:27" ht="15.75" customHeight="1">
      <c r="A357" s="10" t="s">
        <v>2519</v>
      </c>
      <c r="B357" s="10" t="s">
        <v>1469</v>
      </c>
      <c r="C357" s="60" t="s">
        <v>1470</v>
      </c>
      <c r="D357" s="12"/>
      <c r="E357" s="13" t="s">
        <v>162</v>
      </c>
      <c r="F357" s="43" t="s">
        <v>285</v>
      </c>
      <c r="G357" s="6" t="str">
        <f ca="1">IFERROR(__xludf.DUMMYFUNCTION("CONCATENATE(B357,(VLOOKUP(C357,CATALOGOS!$F$2:$H$6,3,FALSE)),(VLOOKUP(T357,CATALOGOS!$J$2:$K$18,2,FALSE)),""-"",TO_TEXT(A357))"),"P12SI-0356")</f>
        <v>P12SI-0356</v>
      </c>
      <c r="H357" s="6" t="s">
        <v>2520</v>
      </c>
      <c r="I357" s="6" t="s">
        <v>2521</v>
      </c>
      <c r="J357" s="6" t="s">
        <v>2522</v>
      </c>
      <c r="K357" s="6" t="s">
        <v>2523</v>
      </c>
      <c r="L357" s="17"/>
      <c r="M357" s="17"/>
      <c r="N357" s="17" t="str">
        <f t="shared" si="1"/>
        <v>OK</v>
      </c>
      <c r="O357" s="17" t="s">
        <v>168</v>
      </c>
      <c r="P357" s="6" t="s">
        <v>169</v>
      </c>
      <c r="Q357" s="17" t="s">
        <v>2524</v>
      </c>
      <c r="R357" s="17" t="s">
        <v>2525</v>
      </c>
      <c r="S357" s="173" t="s">
        <v>38</v>
      </c>
      <c r="T357" s="181" t="s">
        <v>1483</v>
      </c>
      <c r="U357" s="20" t="s">
        <v>1484</v>
      </c>
      <c r="V357" s="20" t="s">
        <v>1484</v>
      </c>
      <c r="W357" s="20"/>
      <c r="X357" s="7"/>
      <c r="Y357" s="7"/>
      <c r="Z357" s="23"/>
      <c r="AA357" s="26"/>
    </row>
    <row r="358" spans="1:27" ht="15.75" customHeight="1">
      <c r="A358" s="10" t="s">
        <v>2526</v>
      </c>
      <c r="B358" s="10" t="s">
        <v>1469</v>
      </c>
      <c r="C358" s="60" t="s">
        <v>1470</v>
      </c>
      <c r="D358" s="12"/>
      <c r="E358" s="13" t="s">
        <v>93</v>
      </c>
      <c r="F358" s="6" t="s">
        <v>2527</v>
      </c>
      <c r="G358" s="6" t="str">
        <f ca="1">IFERROR(__xludf.DUMMYFUNCTION("CONCATENATE(B358,(VLOOKUP(C358,CATALOGOS!$F$2:$H$6,3,FALSE)),(VLOOKUP(T358,CATALOGOS!$J$2:$K$18,2,FALSE)),""-"",TO_TEXT(A358))"),"P12SI-0357")</f>
        <v>P12SI-0357</v>
      </c>
      <c r="H358" s="6" t="s">
        <v>2528</v>
      </c>
      <c r="I358" s="6" t="s">
        <v>2529</v>
      </c>
      <c r="J358" s="6" t="s">
        <v>2530</v>
      </c>
      <c r="K358" s="6" t="s">
        <v>2531</v>
      </c>
      <c r="L358" s="17"/>
      <c r="M358" s="17"/>
      <c r="N358" s="17" t="str">
        <f t="shared" si="1"/>
        <v>OK</v>
      </c>
      <c r="O358" s="17" t="s">
        <v>35</v>
      </c>
      <c r="P358" s="6" t="s">
        <v>35</v>
      </c>
      <c r="Q358" s="17" t="s">
        <v>36</v>
      </c>
      <c r="R358" s="17" t="s">
        <v>2532</v>
      </c>
      <c r="S358" s="173" t="s">
        <v>38</v>
      </c>
      <c r="T358" s="181" t="s">
        <v>1483</v>
      </c>
      <c r="U358" s="20" t="s">
        <v>2533</v>
      </c>
      <c r="V358" s="20" t="s">
        <v>2533</v>
      </c>
      <c r="W358" s="20"/>
      <c r="X358" s="7"/>
      <c r="Y358" s="7"/>
      <c r="Z358" s="23"/>
      <c r="AA358" s="26"/>
    </row>
    <row r="359" spans="1:27" ht="15.75" customHeight="1">
      <c r="A359" s="10" t="s">
        <v>2534</v>
      </c>
      <c r="B359" s="10" t="s">
        <v>1469</v>
      </c>
      <c r="C359" s="60" t="s">
        <v>1470</v>
      </c>
      <c r="D359" s="38"/>
      <c r="E359" s="13" t="s">
        <v>248</v>
      </c>
      <c r="F359" s="6" t="s">
        <v>2535</v>
      </c>
      <c r="G359" s="6" t="str">
        <f ca="1">IFERROR(__xludf.DUMMYFUNCTION("CONCATENATE(B359,(VLOOKUP(C359,CATALOGOS!$F$2:$H$6,3,FALSE)),(VLOOKUP(T359,CATALOGOS!$J$2:$K$18,2,FALSE)),""-"",TO_TEXT(A359))"),"P12SI-0358")</f>
        <v>P12SI-0358</v>
      </c>
      <c r="H359" s="6" t="s">
        <v>2536</v>
      </c>
      <c r="I359" s="6" t="s">
        <v>2537</v>
      </c>
      <c r="J359" s="6" t="s">
        <v>2538</v>
      </c>
      <c r="K359" s="6" t="s">
        <v>2539</v>
      </c>
      <c r="L359" s="17"/>
      <c r="M359" s="17"/>
      <c r="N359" s="17" t="str">
        <f t="shared" si="1"/>
        <v>OK</v>
      </c>
      <c r="O359" s="17" t="s">
        <v>2540</v>
      </c>
      <c r="P359" s="6" t="s">
        <v>2541</v>
      </c>
      <c r="Q359" s="46" t="s">
        <v>2542</v>
      </c>
      <c r="R359" s="17" t="s">
        <v>2543</v>
      </c>
      <c r="S359" s="173" t="s">
        <v>38</v>
      </c>
      <c r="T359" s="181" t="s">
        <v>1483</v>
      </c>
      <c r="U359" s="10" t="s">
        <v>2533</v>
      </c>
      <c r="V359" s="10" t="s">
        <v>2533</v>
      </c>
      <c r="W359" s="10"/>
      <c r="X359" s="7"/>
      <c r="Y359" s="7"/>
      <c r="Z359" s="26"/>
      <c r="AA359" s="26"/>
    </row>
    <row r="360" spans="1:27" ht="15.75" customHeight="1">
      <c r="A360" s="10" t="s">
        <v>2545</v>
      </c>
      <c r="B360" s="10" t="s">
        <v>1469</v>
      </c>
      <c r="C360" s="60" t="s">
        <v>1470</v>
      </c>
      <c r="D360" s="12"/>
      <c r="E360" s="13" t="s">
        <v>116</v>
      </c>
      <c r="F360" s="43" t="s">
        <v>2546</v>
      </c>
      <c r="G360" s="6" t="str">
        <f ca="1">IFERROR(__xludf.DUMMYFUNCTION("CONCATENATE(B360,(VLOOKUP(C360,CATALOGOS!$F$2:$H$6,3,FALSE)),(VLOOKUP(T360,CATALOGOS!$J$2:$K$18,2,FALSE)),""-"",TO_TEXT(A360))"),"P12SI-0359")</f>
        <v>P12SI-0359</v>
      </c>
      <c r="H360" s="6" t="s">
        <v>2547</v>
      </c>
      <c r="I360" s="6" t="s">
        <v>2548</v>
      </c>
      <c r="J360" s="6" t="s">
        <v>2549</v>
      </c>
      <c r="K360" s="6" t="s">
        <v>2550</v>
      </c>
      <c r="L360" s="17"/>
      <c r="M360" s="17"/>
      <c r="N360" s="17" t="str">
        <f t="shared" si="1"/>
        <v>OK</v>
      </c>
      <c r="O360" s="17" t="s">
        <v>35</v>
      </c>
      <c r="P360" s="49" t="s">
        <v>35</v>
      </c>
      <c r="Q360" s="17" t="s">
        <v>36</v>
      </c>
      <c r="R360" s="17" t="s">
        <v>2551</v>
      </c>
      <c r="S360" s="173" t="s">
        <v>38</v>
      </c>
      <c r="T360" s="181" t="s">
        <v>1483</v>
      </c>
      <c r="U360" s="22" t="s">
        <v>2552</v>
      </c>
      <c r="V360" s="22" t="s">
        <v>2552</v>
      </c>
      <c r="W360" s="22"/>
      <c r="X360" s="6"/>
      <c r="Y360" s="6"/>
      <c r="Z360" s="23"/>
      <c r="AA360" s="24"/>
    </row>
    <row r="361" spans="1:27" ht="15.75" customHeight="1">
      <c r="A361" s="10" t="s">
        <v>2553</v>
      </c>
      <c r="B361" s="10" t="s">
        <v>1469</v>
      </c>
      <c r="C361" s="60" t="s">
        <v>1470</v>
      </c>
      <c r="D361" s="12"/>
      <c r="E361" s="13" t="s">
        <v>151</v>
      </c>
      <c r="F361" s="6" t="s">
        <v>152</v>
      </c>
      <c r="G361" s="6" t="str">
        <f ca="1">IFERROR(__xludf.DUMMYFUNCTION("CONCATENATE(B361,(VLOOKUP(C361,CATALOGOS!$F$2:$H$6,3,FALSE)),(VLOOKUP(T361,CATALOGOS!$J$2:$K$18,2,FALSE)),""-"",TO_TEXT(A361))"),"P12SI-0360")</f>
        <v>P12SI-0360</v>
      </c>
      <c r="H361" s="6" t="s">
        <v>2554</v>
      </c>
      <c r="I361" s="6" t="s">
        <v>2555</v>
      </c>
      <c r="J361" s="6" t="s">
        <v>2556</v>
      </c>
      <c r="K361" s="6" t="s">
        <v>2557</v>
      </c>
      <c r="L361" s="17"/>
      <c r="M361" s="17"/>
      <c r="N361" s="17" t="str">
        <f t="shared" si="1"/>
        <v>OK</v>
      </c>
      <c r="O361" s="17" t="s">
        <v>205</v>
      </c>
      <c r="P361" s="6" t="s">
        <v>916</v>
      </c>
      <c r="Q361" s="17" t="s">
        <v>2558</v>
      </c>
      <c r="R361" s="17" t="s">
        <v>2559</v>
      </c>
      <c r="S361" s="173" t="s">
        <v>38</v>
      </c>
      <c r="T361" s="181" t="s">
        <v>1483</v>
      </c>
      <c r="U361" s="22" t="s">
        <v>2552</v>
      </c>
      <c r="V361" s="22" t="s">
        <v>2552</v>
      </c>
      <c r="W361" s="22"/>
      <c r="X361" s="7"/>
      <c r="Y361" s="7"/>
      <c r="Z361" s="23"/>
      <c r="AA361" s="26"/>
    </row>
    <row r="362" spans="1:27" ht="15.75" customHeight="1">
      <c r="A362" s="10" t="s">
        <v>2560</v>
      </c>
      <c r="B362" s="10" t="s">
        <v>1469</v>
      </c>
      <c r="C362" s="60" t="s">
        <v>1470</v>
      </c>
      <c r="D362" s="12"/>
      <c r="E362" s="13" t="s">
        <v>1240</v>
      </c>
      <c r="F362" s="43" t="s">
        <v>278</v>
      </c>
      <c r="G362" s="6" t="str">
        <f ca="1">IFERROR(__xludf.DUMMYFUNCTION("CONCATENATE(B362,(VLOOKUP(C362,CATALOGOS!$F$2:$H$6,3,FALSE)),(VLOOKUP(T362,CATALOGOS!$J$2:$K$18,2,FALSE)),""-"",TO_TEXT(A362))"),"P12SI-0361")</f>
        <v>P12SI-0361</v>
      </c>
      <c r="H362" s="6" t="s">
        <v>2561</v>
      </c>
      <c r="I362" s="6" t="s">
        <v>2562</v>
      </c>
      <c r="J362" s="6" t="s">
        <v>2563</v>
      </c>
      <c r="K362" s="6" t="s">
        <v>2564</v>
      </c>
      <c r="L362" s="17"/>
      <c r="M362" s="17"/>
      <c r="N362" s="17" t="str">
        <f t="shared" si="1"/>
        <v>OK</v>
      </c>
      <c r="O362" s="17" t="s">
        <v>35</v>
      </c>
      <c r="P362" s="6" t="s">
        <v>35</v>
      </c>
      <c r="Q362" s="17" t="s">
        <v>36</v>
      </c>
      <c r="R362" s="17" t="s">
        <v>2565</v>
      </c>
      <c r="S362" s="173" t="s">
        <v>38</v>
      </c>
      <c r="T362" s="181" t="s">
        <v>1483</v>
      </c>
      <c r="U362" s="22" t="s">
        <v>2552</v>
      </c>
      <c r="V362" s="22" t="s">
        <v>2552</v>
      </c>
      <c r="W362" s="22"/>
      <c r="X362" s="6"/>
      <c r="Y362" s="6"/>
      <c r="Z362" s="23"/>
      <c r="AA362" s="24"/>
    </row>
    <row r="363" spans="1:27" ht="15.75" customHeight="1">
      <c r="A363" s="10" t="s">
        <v>2566</v>
      </c>
      <c r="B363" s="10" t="s">
        <v>1469</v>
      </c>
      <c r="C363" s="60" t="s">
        <v>1470</v>
      </c>
      <c r="D363" s="12"/>
      <c r="E363" s="13" t="s">
        <v>248</v>
      </c>
      <c r="F363" s="43" t="s">
        <v>248</v>
      </c>
      <c r="G363" s="6" t="str">
        <f ca="1">IFERROR(__xludf.DUMMYFUNCTION("CONCATENATE(B363,(VLOOKUP(C363,CATALOGOS!$F$2:$H$6,3,FALSE)),(VLOOKUP(T363,CATALOGOS!$J$2:$K$18,2,FALSE)),""-"",TO_TEXT(A363))"),"P12SI-0362")</f>
        <v>P12SI-0362</v>
      </c>
      <c r="H363" s="6" t="s">
        <v>2567</v>
      </c>
      <c r="I363" s="6" t="s">
        <v>2568</v>
      </c>
      <c r="J363" s="6" t="s">
        <v>2569</v>
      </c>
      <c r="K363" s="6" t="s">
        <v>2570</v>
      </c>
      <c r="L363" s="17"/>
      <c r="M363" s="17"/>
      <c r="N363" s="17" t="str">
        <f t="shared" si="1"/>
        <v>OK</v>
      </c>
      <c r="O363" s="17" t="s">
        <v>250</v>
      </c>
      <c r="P363" s="6" t="s">
        <v>35</v>
      </c>
      <c r="Q363" s="17" t="s">
        <v>2571</v>
      </c>
      <c r="R363" s="17" t="s">
        <v>2572</v>
      </c>
      <c r="S363" s="173" t="s">
        <v>38</v>
      </c>
      <c r="T363" s="181" t="s">
        <v>1483</v>
      </c>
      <c r="U363" s="22" t="s">
        <v>2552</v>
      </c>
      <c r="V363" s="22" t="s">
        <v>2552</v>
      </c>
      <c r="W363" s="22"/>
      <c r="X363" s="7"/>
      <c r="Y363" s="7"/>
      <c r="Z363" s="23"/>
      <c r="AA363" s="26"/>
    </row>
    <row r="364" spans="1:27" ht="15.75" customHeight="1">
      <c r="A364" s="10" t="s">
        <v>2573</v>
      </c>
      <c r="B364" s="10" t="s">
        <v>1469</v>
      </c>
      <c r="C364" s="60" t="s">
        <v>1470</v>
      </c>
      <c r="D364" s="12"/>
      <c r="E364" s="13" t="s">
        <v>199</v>
      </c>
      <c r="F364" s="43" t="s">
        <v>1394</v>
      </c>
      <c r="G364" s="6" t="str">
        <f ca="1">IFERROR(__xludf.DUMMYFUNCTION("CONCATENATE(B364,(VLOOKUP(C364,CATALOGOS!$F$2:$H$6,3,FALSE)),(VLOOKUP(T364,CATALOGOS!$J$2:$K$18,2,FALSE)),""-"",TO_TEXT(A364))"),"P12SI-0363")</f>
        <v>P12SI-0363</v>
      </c>
      <c r="H364" s="6" t="s">
        <v>2574</v>
      </c>
      <c r="I364" s="6" t="s">
        <v>2575</v>
      </c>
      <c r="J364" s="6" t="s">
        <v>2576</v>
      </c>
      <c r="K364" s="6" t="s">
        <v>2577</v>
      </c>
      <c r="L364" s="17"/>
      <c r="M364" s="17"/>
      <c r="N364" s="17" t="str">
        <f t="shared" si="1"/>
        <v>OK</v>
      </c>
      <c r="O364" s="17" t="s">
        <v>297</v>
      </c>
      <c r="P364" s="6" t="s">
        <v>2009</v>
      </c>
      <c r="Q364" s="17" t="s">
        <v>2578</v>
      </c>
      <c r="R364" s="17" t="s">
        <v>2579</v>
      </c>
      <c r="S364" s="173" t="s">
        <v>38</v>
      </c>
      <c r="T364" s="181" t="s">
        <v>1483</v>
      </c>
      <c r="U364" s="22" t="s">
        <v>2552</v>
      </c>
      <c r="V364" s="22" t="s">
        <v>2552</v>
      </c>
      <c r="W364" s="22"/>
      <c r="X364" s="6"/>
      <c r="Y364" s="6"/>
      <c r="Z364" s="23"/>
      <c r="AA364" s="24"/>
    </row>
    <row r="365" spans="1:27" ht="15.75" customHeight="1">
      <c r="A365" s="10" t="s">
        <v>2580</v>
      </c>
      <c r="B365" s="10" t="s">
        <v>1469</v>
      </c>
      <c r="C365" s="60" t="s">
        <v>1470</v>
      </c>
      <c r="D365" s="12"/>
      <c r="E365" s="13" t="s">
        <v>43</v>
      </c>
      <c r="F365" s="6" t="s">
        <v>2581</v>
      </c>
      <c r="G365" s="6" t="str">
        <f ca="1">IFERROR(__xludf.DUMMYFUNCTION("CONCATENATE(B365,(VLOOKUP(C365,CATALOGOS!$F$2:$H$6,3,FALSE)),(VLOOKUP(T365,CATALOGOS!$J$2:$K$18,2,FALSE)),""-"",TO_TEXT(A365))"),"P12SI-0364")</f>
        <v>P12SI-0364</v>
      </c>
      <c r="H365" s="6" t="s">
        <v>2582</v>
      </c>
      <c r="I365" s="6" t="s">
        <v>2583</v>
      </c>
      <c r="J365" s="6" t="s">
        <v>2584</v>
      </c>
      <c r="K365" s="6" t="s">
        <v>2585</v>
      </c>
      <c r="L365" s="17"/>
      <c r="M365" s="17"/>
      <c r="N365" s="17" t="str">
        <f t="shared" si="1"/>
        <v>OK</v>
      </c>
      <c r="O365" s="17" t="s">
        <v>2586</v>
      </c>
      <c r="P365" s="6" t="s">
        <v>2587</v>
      </c>
      <c r="Q365" s="17" t="s">
        <v>36</v>
      </c>
      <c r="R365" s="10" t="s">
        <v>2588</v>
      </c>
      <c r="S365" s="173" t="s">
        <v>100</v>
      </c>
      <c r="T365" s="181" t="s">
        <v>1483</v>
      </c>
      <c r="U365" s="22" t="s">
        <v>2552</v>
      </c>
      <c r="V365" s="22" t="s">
        <v>2552</v>
      </c>
      <c r="W365" s="22"/>
      <c r="X365" s="7"/>
      <c r="Y365" s="7"/>
      <c r="Z365" s="23"/>
      <c r="AA365" s="26"/>
    </row>
    <row r="366" spans="1:27" ht="15.75" customHeight="1">
      <c r="A366" s="10" t="s">
        <v>2589</v>
      </c>
      <c r="B366" s="10" t="s">
        <v>1469</v>
      </c>
      <c r="C366" s="60" t="s">
        <v>1470</v>
      </c>
      <c r="D366" s="12"/>
      <c r="E366" s="13" t="s">
        <v>184</v>
      </c>
      <c r="F366" s="6" t="s">
        <v>927</v>
      </c>
      <c r="G366" s="6" t="str">
        <f ca="1">IFERROR(__xludf.DUMMYFUNCTION("CONCATENATE(B366,(VLOOKUP(C366,CATALOGOS!$F$2:$H$6,3,FALSE)),(VLOOKUP(T366,CATALOGOS!$J$2:$K$18,2,FALSE)),""-"",TO_TEXT(A366))"),"P12SI-0365")</f>
        <v>P12SI-0365</v>
      </c>
      <c r="H366" s="6" t="s">
        <v>2590</v>
      </c>
      <c r="I366" s="6" t="s">
        <v>2591</v>
      </c>
      <c r="J366" s="6" t="s">
        <v>2592</v>
      </c>
      <c r="K366" s="6" t="s">
        <v>2593</v>
      </c>
      <c r="L366" s="17"/>
      <c r="M366" s="17"/>
      <c r="N366" s="17" t="str">
        <f t="shared" si="1"/>
        <v>OK</v>
      </c>
      <c r="O366" s="17" t="s">
        <v>35</v>
      </c>
      <c r="P366" s="6" t="s">
        <v>35</v>
      </c>
      <c r="Q366" s="17" t="s">
        <v>36</v>
      </c>
      <c r="R366" s="17" t="s">
        <v>2594</v>
      </c>
      <c r="S366" s="173" t="s">
        <v>38</v>
      </c>
      <c r="T366" s="181" t="s">
        <v>1483</v>
      </c>
      <c r="U366" s="22" t="s">
        <v>2552</v>
      </c>
      <c r="V366" s="22" t="s">
        <v>2552</v>
      </c>
      <c r="W366" s="22"/>
      <c r="X366" s="7"/>
      <c r="Y366" s="7"/>
      <c r="Z366" s="23"/>
      <c r="AA366" s="26"/>
    </row>
    <row r="367" spans="1:27" ht="15.75" customHeight="1">
      <c r="A367" s="10" t="s">
        <v>2595</v>
      </c>
      <c r="B367" s="10" t="s">
        <v>1469</v>
      </c>
      <c r="C367" s="60" t="s">
        <v>1470</v>
      </c>
      <c r="D367" s="38"/>
      <c r="E367" s="13" t="s">
        <v>2311</v>
      </c>
      <c r="F367" s="6" t="s">
        <v>2596</v>
      </c>
      <c r="G367" s="6" t="str">
        <f ca="1">IFERROR(__xludf.DUMMYFUNCTION("CONCATENATE(B367,(VLOOKUP(C367,CATALOGOS!$F$2:$H$6,3,FALSE)),(VLOOKUP(T367,CATALOGOS!$J$2:$K$18,2,FALSE)),""-"",TO_TEXT(A367))"),"P12SI-0366")</f>
        <v>P12SI-0366</v>
      </c>
      <c r="H367" s="6" t="s">
        <v>2597</v>
      </c>
      <c r="I367" s="6" t="s">
        <v>2598</v>
      </c>
      <c r="J367" s="36"/>
      <c r="K367" s="6" t="s">
        <v>141</v>
      </c>
      <c r="L367" s="17"/>
      <c r="M367" s="17"/>
      <c r="N367" s="17" t="str">
        <f t="shared" si="1"/>
        <v>REPETIDO</v>
      </c>
      <c r="O367" s="17" t="s">
        <v>2599</v>
      </c>
      <c r="P367" s="6" t="s">
        <v>2600</v>
      </c>
      <c r="Q367" s="6" t="s">
        <v>2601</v>
      </c>
      <c r="R367" s="32" t="s">
        <v>85</v>
      </c>
      <c r="S367" s="173" t="s">
        <v>38</v>
      </c>
      <c r="T367" s="181" t="s">
        <v>1483</v>
      </c>
      <c r="U367" s="32" t="s">
        <v>2552</v>
      </c>
      <c r="V367" s="32" t="s">
        <v>2552</v>
      </c>
      <c r="W367" s="32"/>
      <c r="X367" s="6"/>
      <c r="Y367" s="6"/>
      <c r="Z367" s="26"/>
      <c r="AA367" s="33"/>
    </row>
    <row r="368" spans="1:27" ht="15.75" customHeight="1">
      <c r="A368" s="10" t="s">
        <v>2602</v>
      </c>
      <c r="B368" s="10" t="s">
        <v>1469</v>
      </c>
      <c r="C368" s="60" t="s">
        <v>1470</v>
      </c>
      <c r="D368" s="12"/>
      <c r="E368" s="13" t="s">
        <v>151</v>
      </c>
      <c r="F368" s="6" t="s">
        <v>151</v>
      </c>
      <c r="G368" s="6" t="str">
        <f ca="1">IFERROR(__xludf.DUMMYFUNCTION("CONCATENATE(B368,(VLOOKUP(C368,CATALOGOS!$F$2:$H$6,3,FALSE)),(VLOOKUP(T368,CATALOGOS!$J$2:$K$18,2,FALSE)),""-"",TO_TEXT(A368))"),"P12SI-0367")</f>
        <v>P12SI-0367</v>
      </c>
      <c r="H368" s="6" t="s">
        <v>2603</v>
      </c>
      <c r="I368" s="6" t="s">
        <v>2604</v>
      </c>
      <c r="J368" s="6" t="s">
        <v>2605</v>
      </c>
      <c r="K368" s="6" t="s">
        <v>2606</v>
      </c>
      <c r="L368" s="17"/>
      <c r="M368" s="17"/>
      <c r="N368" s="17" t="str">
        <f t="shared" si="1"/>
        <v>OK</v>
      </c>
      <c r="O368" s="17" t="s">
        <v>297</v>
      </c>
      <c r="P368" s="6" t="s">
        <v>1407</v>
      </c>
      <c r="Q368" s="17" t="s">
        <v>2607</v>
      </c>
      <c r="R368" s="10" t="s">
        <v>2608</v>
      </c>
      <c r="S368" s="173" t="s">
        <v>38</v>
      </c>
      <c r="T368" s="181" t="s">
        <v>1483</v>
      </c>
      <c r="U368" s="22" t="s">
        <v>2500</v>
      </c>
      <c r="V368" s="22" t="s">
        <v>2500</v>
      </c>
      <c r="W368" s="22"/>
      <c r="X368" s="7"/>
      <c r="Y368" s="7"/>
      <c r="Z368" s="23"/>
      <c r="AA368" s="26"/>
    </row>
    <row r="369" spans="1:27" ht="15.75" customHeight="1">
      <c r="A369" s="10" t="s">
        <v>2609</v>
      </c>
      <c r="B369" s="10" t="s">
        <v>1469</v>
      </c>
      <c r="C369" s="60" t="s">
        <v>1470</v>
      </c>
      <c r="D369" s="12"/>
      <c r="E369" s="13" t="s">
        <v>151</v>
      </c>
      <c r="F369" s="6" t="s">
        <v>151</v>
      </c>
      <c r="G369" s="6" t="str">
        <f ca="1">IFERROR(__xludf.DUMMYFUNCTION("CONCATENATE(B369,(VLOOKUP(C369,CATALOGOS!$F$2:$H$6,3,FALSE)),(VLOOKUP(T369,CATALOGOS!$J$2:$K$18,2,FALSE)),""-"",TO_TEXT(A369))"),"P12SI-0368")</f>
        <v>P12SI-0368</v>
      </c>
      <c r="H369" s="6" t="s">
        <v>2610</v>
      </c>
      <c r="I369" s="6" t="s">
        <v>2611</v>
      </c>
      <c r="J369" s="6" t="s">
        <v>2612</v>
      </c>
      <c r="K369" s="6" t="s">
        <v>2613</v>
      </c>
      <c r="L369" s="17"/>
      <c r="M369" s="17"/>
      <c r="N369" s="17" t="str">
        <f t="shared" si="1"/>
        <v>OK</v>
      </c>
      <c r="O369" s="17" t="s">
        <v>297</v>
      </c>
      <c r="P369" s="6" t="s">
        <v>1407</v>
      </c>
      <c r="Q369" s="17" t="s">
        <v>2614</v>
      </c>
      <c r="R369" s="10" t="s">
        <v>2615</v>
      </c>
      <c r="S369" s="173" t="s">
        <v>38</v>
      </c>
      <c r="T369" s="181" t="s">
        <v>1483</v>
      </c>
      <c r="U369" s="22" t="s">
        <v>2500</v>
      </c>
      <c r="V369" s="22" t="s">
        <v>2500</v>
      </c>
      <c r="W369" s="22"/>
      <c r="X369" s="6"/>
      <c r="Y369" s="6"/>
      <c r="Z369" s="23"/>
      <c r="AA369" s="24"/>
    </row>
    <row r="370" spans="1:27" ht="15.75" customHeight="1">
      <c r="A370" s="10" t="s">
        <v>2616</v>
      </c>
      <c r="B370" s="10" t="s">
        <v>1469</v>
      </c>
      <c r="C370" s="60" t="s">
        <v>1470</v>
      </c>
      <c r="D370" s="12"/>
      <c r="E370" s="13" t="s">
        <v>199</v>
      </c>
      <c r="F370" s="43" t="s">
        <v>1394</v>
      </c>
      <c r="G370" s="6" t="str">
        <f ca="1">IFERROR(__xludf.DUMMYFUNCTION("CONCATENATE(B370,(VLOOKUP(C370,CATALOGOS!$F$2:$H$6,3,FALSE)),(VLOOKUP(T370,CATALOGOS!$J$2:$K$18,2,FALSE)),""-"",TO_TEXT(A370))"),"P12SI-0369")</f>
        <v>P12SI-0369</v>
      </c>
      <c r="H370" s="6" t="s">
        <v>2617</v>
      </c>
      <c r="I370" s="6" t="s">
        <v>2618</v>
      </c>
      <c r="J370" s="6" t="s">
        <v>2619</v>
      </c>
      <c r="K370" s="6" t="s">
        <v>141</v>
      </c>
      <c r="L370" s="17"/>
      <c r="M370" s="17"/>
      <c r="N370" s="17" t="str">
        <f t="shared" si="1"/>
        <v>REPETIDO</v>
      </c>
      <c r="O370" s="17" t="s">
        <v>297</v>
      </c>
      <c r="P370" s="32" t="s">
        <v>2620</v>
      </c>
      <c r="Q370" s="17" t="s">
        <v>2621</v>
      </c>
      <c r="R370" s="17" t="s">
        <v>2622</v>
      </c>
      <c r="S370" s="173" t="s">
        <v>38</v>
      </c>
      <c r="T370" s="181" t="s">
        <v>1483</v>
      </c>
      <c r="U370" s="22" t="s">
        <v>2500</v>
      </c>
      <c r="V370" s="22" t="s">
        <v>2500</v>
      </c>
      <c r="W370" s="22"/>
      <c r="X370" s="7"/>
      <c r="Y370" s="7"/>
      <c r="Z370" s="23"/>
      <c r="AA370" s="26"/>
    </row>
    <row r="371" spans="1:27" ht="15.75" customHeight="1">
      <c r="A371" s="10" t="s">
        <v>2623</v>
      </c>
      <c r="B371" s="10" t="s">
        <v>1469</v>
      </c>
      <c r="C371" s="60" t="s">
        <v>1470</v>
      </c>
      <c r="D371" s="12"/>
      <c r="E371" s="13" t="s">
        <v>2311</v>
      </c>
      <c r="F371" s="6" t="s">
        <v>2624</v>
      </c>
      <c r="G371" s="6" t="str">
        <f ca="1">IFERROR(__xludf.DUMMYFUNCTION("CONCATENATE(B371,(VLOOKUP(C371,CATALOGOS!$F$2:$H$6,3,FALSE)),(VLOOKUP(T371,CATALOGOS!$J$2:$K$18,2,FALSE)),""-"",TO_TEXT(A371))"),"P12SI-0370")</f>
        <v>P12SI-0370</v>
      </c>
      <c r="H371" s="6" t="s">
        <v>2625</v>
      </c>
      <c r="I371" s="6" t="s">
        <v>2626</v>
      </c>
      <c r="J371" s="6" t="s">
        <v>2627</v>
      </c>
      <c r="K371" s="6" t="s">
        <v>2628</v>
      </c>
      <c r="L371" s="17"/>
      <c r="M371" s="17"/>
      <c r="N371" s="17" t="str">
        <f t="shared" si="1"/>
        <v>OK</v>
      </c>
      <c r="O371" s="17" t="s">
        <v>2629</v>
      </c>
      <c r="P371" s="6" t="s">
        <v>2630</v>
      </c>
      <c r="Q371" s="17" t="s">
        <v>2631</v>
      </c>
      <c r="R371" s="10" t="s">
        <v>2632</v>
      </c>
      <c r="S371" s="173" t="s">
        <v>38</v>
      </c>
      <c r="T371" s="181" t="s">
        <v>1483</v>
      </c>
      <c r="U371" s="22" t="s">
        <v>2500</v>
      </c>
      <c r="V371" s="22" t="s">
        <v>2500</v>
      </c>
      <c r="W371" s="22"/>
      <c r="X371" s="7"/>
      <c r="Y371" s="7"/>
      <c r="Z371" s="23"/>
      <c r="AA371" s="26"/>
    </row>
    <row r="372" spans="1:27" ht="15.75" customHeight="1">
      <c r="A372" s="10" t="s">
        <v>2633</v>
      </c>
      <c r="B372" s="10" t="s">
        <v>1469</v>
      </c>
      <c r="C372" s="60" t="s">
        <v>1470</v>
      </c>
      <c r="D372" s="12"/>
      <c r="E372" s="13" t="s">
        <v>136</v>
      </c>
      <c r="F372" s="43" t="s">
        <v>136</v>
      </c>
      <c r="G372" s="6" t="str">
        <f ca="1">IFERROR(__xludf.DUMMYFUNCTION("CONCATENATE(B372,(VLOOKUP(C372,CATALOGOS!$F$2:$H$6,3,FALSE)),(VLOOKUP(T372,CATALOGOS!$J$2:$K$18,2,FALSE)),""-"",TO_TEXT(A372))"),"P12SI-0371")</f>
        <v>P12SI-0371</v>
      </c>
      <c r="H372" s="6" t="s">
        <v>2634</v>
      </c>
      <c r="I372" s="6" t="s">
        <v>2635</v>
      </c>
      <c r="J372" s="6" t="s">
        <v>2636</v>
      </c>
      <c r="K372" s="6" t="s">
        <v>2637</v>
      </c>
      <c r="L372" s="17"/>
      <c r="M372" s="17"/>
      <c r="N372" s="17" t="str">
        <f t="shared" si="1"/>
        <v>OK</v>
      </c>
      <c r="O372" s="17" t="s">
        <v>143</v>
      </c>
      <c r="P372" s="6" t="s">
        <v>1330</v>
      </c>
      <c r="Q372" s="17" t="s">
        <v>2638</v>
      </c>
      <c r="R372" s="10" t="s">
        <v>2639</v>
      </c>
      <c r="S372" s="178" t="s">
        <v>142</v>
      </c>
      <c r="T372" s="181" t="s">
        <v>1483</v>
      </c>
      <c r="U372" s="22" t="s">
        <v>2500</v>
      </c>
      <c r="V372" s="22" t="s">
        <v>2500</v>
      </c>
      <c r="W372" s="22"/>
      <c r="X372" s="7"/>
      <c r="Y372" s="7"/>
      <c r="Z372" s="23"/>
      <c r="AA372" s="26"/>
    </row>
    <row r="373" spans="1:27" ht="15.75" customHeight="1">
      <c r="A373" s="10" t="s">
        <v>2640</v>
      </c>
      <c r="B373" s="10" t="s">
        <v>1469</v>
      </c>
      <c r="C373" s="60" t="s">
        <v>1470</v>
      </c>
      <c r="D373" s="12"/>
      <c r="E373" s="13" t="s">
        <v>43</v>
      </c>
      <c r="F373" s="6" t="s">
        <v>2641</v>
      </c>
      <c r="G373" s="6" t="str">
        <f ca="1">IFERROR(__xludf.DUMMYFUNCTION("CONCATENATE(B373,(VLOOKUP(C373,CATALOGOS!$F$2:$H$6,3,FALSE)),(VLOOKUP(T373,CATALOGOS!$J$2:$K$18,2,FALSE)),""-"",TO_TEXT(A373))"),"P12SI-0372")</f>
        <v>P12SI-0372</v>
      </c>
      <c r="H373" s="6" t="s">
        <v>2642</v>
      </c>
      <c r="I373" s="6" t="s">
        <v>2643</v>
      </c>
      <c r="J373" s="6" t="s">
        <v>2644</v>
      </c>
      <c r="K373" s="6" t="s">
        <v>2645</v>
      </c>
      <c r="L373" s="17"/>
      <c r="M373" s="17"/>
      <c r="N373" s="17" t="str">
        <f t="shared" si="1"/>
        <v>OK</v>
      </c>
      <c r="O373" s="17" t="s">
        <v>406</v>
      </c>
      <c r="P373" s="6" t="s">
        <v>1271</v>
      </c>
      <c r="Q373" s="17" t="s">
        <v>2646</v>
      </c>
      <c r="R373" s="17" t="s">
        <v>2647</v>
      </c>
      <c r="S373" s="173" t="s">
        <v>38</v>
      </c>
      <c r="T373" s="181" t="s">
        <v>1483</v>
      </c>
      <c r="U373" s="22" t="s">
        <v>2500</v>
      </c>
      <c r="V373" s="22" t="s">
        <v>2500</v>
      </c>
      <c r="W373" s="22"/>
      <c r="X373" s="6"/>
      <c r="Y373" s="6"/>
      <c r="Z373" s="23"/>
      <c r="AA373" s="24"/>
    </row>
    <row r="374" spans="1:27" ht="15.75" customHeight="1">
      <c r="A374" s="10" t="s">
        <v>2648</v>
      </c>
      <c r="B374" s="10" t="s">
        <v>1469</v>
      </c>
      <c r="C374" s="60" t="s">
        <v>1470</v>
      </c>
      <c r="D374" s="12"/>
      <c r="E374" s="13" t="s">
        <v>248</v>
      </c>
      <c r="F374" s="6" t="s">
        <v>248</v>
      </c>
      <c r="G374" s="6" t="str">
        <f ca="1">IFERROR(__xludf.DUMMYFUNCTION("CONCATENATE(B374,(VLOOKUP(C374,CATALOGOS!$F$2:$H$6,3,FALSE)),(VLOOKUP(T374,CATALOGOS!$J$2:$K$18,2,FALSE)),""-"",TO_TEXT(A374))"),"P12SI-0373")</f>
        <v>P12SI-0373</v>
      </c>
      <c r="H374" s="6" t="s">
        <v>2649</v>
      </c>
      <c r="I374" s="6" t="s">
        <v>2650</v>
      </c>
      <c r="J374" s="6" t="s">
        <v>2651</v>
      </c>
      <c r="K374" s="6" t="s">
        <v>2652</v>
      </c>
      <c r="L374" s="17"/>
      <c r="M374" s="17"/>
      <c r="N374" s="17" t="str">
        <f t="shared" si="1"/>
        <v>OK</v>
      </c>
      <c r="O374" s="17" t="s">
        <v>303</v>
      </c>
      <c r="P374" s="6" t="s">
        <v>304</v>
      </c>
      <c r="Q374" s="17" t="s">
        <v>2653</v>
      </c>
      <c r="R374" s="10" t="s">
        <v>2654</v>
      </c>
      <c r="S374" s="173" t="s">
        <v>38</v>
      </c>
      <c r="T374" s="181" t="s">
        <v>1483</v>
      </c>
      <c r="U374" s="22" t="s">
        <v>2500</v>
      </c>
      <c r="V374" s="22" t="s">
        <v>2500</v>
      </c>
      <c r="W374" s="22"/>
      <c r="X374" s="6"/>
      <c r="Y374" s="6"/>
      <c r="Z374" s="23"/>
      <c r="AA374" s="24"/>
    </row>
    <row r="375" spans="1:27" ht="15.75" customHeight="1">
      <c r="A375" s="10" t="s">
        <v>2655</v>
      </c>
      <c r="B375" s="10" t="s">
        <v>1469</v>
      </c>
      <c r="C375" s="60" t="s">
        <v>1470</v>
      </c>
      <c r="D375" s="12"/>
      <c r="E375" s="13" t="s">
        <v>184</v>
      </c>
      <c r="F375" s="6" t="s">
        <v>927</v>
      </c>
      <c r="G375" s="6" t="str">
        <f ca="1">IFERROR(__xludf.DUMMYFUNCTION("CONCATENATE(B375,(VLOOKUP(C375,CATALOGOS!$F$2:$H$6,3,FALSE)),(VLOOKUP(T375,CATALOGOS!$J$2:$K$18,2,FALSE)),""-"",TO_TEXT(A375))"),"P12SI-0374")</f>
        <v>P12SI-0374</v>
      </c>
      <c r="H375" s="6" t="s">
        <v>2656</v>
      </c>
      <c r="I375" s="6" t="s">
        <v>2657</v>
      </c>
      <c r="J375" s="6" t="s">
        <v>2658</v>
      </c>
      <c r="K375" s="6" t="s">
        <v>2659</v>
      </c>
      <c r="L375" s="17"/>
      <c r="M375" s="17"/>
      <c r="N375" s="17" t="str">
        <f t="shared" si="1"/>
        <v>OK</v>
      </c>
      <c r="O375" s="17" t="s">
        <v>35</v>
      </c>
      <c r="P375" s="6" t="s">
        <v>35</v>
      </c>
      <c r="Q375" s="17" t="s">
        <v>36</v>
      </c>
      <c r="R375" s="17" t="s">
        <v>2660</v>
      </c>
      <c r="S375" s="173" t="s">
        <v>38</v>
      </c>
      <c r="T375" s="181" t="s">
        <v>1483</v>
      </c>
      <c r="U375" s="22" t="s">
        <v>2500</v>
      </c>
      <c r="V375" s="22" t="s">
        <v>2500</v>
      </c>
      <c r="W375" s="22"/>
      <c r="X375" s="6"/>
      <c r="Y375" s="6"/>
      <c r="Z375" s="23"/>
      <c r="AA375" s="24"/>
    </row>
    <row r="376" spans="1:27" ht="15.75" customHeight="1">
      <c r="A376" s="10" t="s">
        <v>2661</v>
      </c>
      <c r="B376" s="10" t="s">
        <v>1469</v>
      </c>
      <c r="C376" s="60" t="s">
        <v>1470</v>
      </c>
      <c r="D376" s="38"/>
      <c r="E376" s="13" t="s">
        <v>116</v>
      </c>
      <c r="F376" s="6" t="s">
        <v>2662</v>
      </c>
      <c r="G376" s="6" t="str">
        <f ca="1">IFERROR(__xludf.DUMMYFUNCTION("CONCATENATE(B376,(VLOOKUP(C376,CATALOGOS!$F$2:$H$6,3,FALSE)),(VLOOKUP(T376,CATALOGOS!$J$2:$K$18,2,FALSE)),""-"",TO_TEXT(A376))"),"P12SI-0375")</f>
        <v>P12SI-0375</v>
      </c>
      <c r="H376" s="6" t="s">
        <v>2663</v>
      </c>
      <c r="I376" s="6" t="s">
        <v>2664</v>
      </c>
      <c r="J376" s="6" t="s">
        <v>2665</v>
      </c>
      <c r="K376" s="6" t="s">
        <v>2666</v>
      </c>
      <c r="L376" s="17"/>
      <c r="M376" s="17"/>
      <c r="N376" s="17" t="str">
        <f t="shared" si="1"/>
        <v>OK</v>
      </c>
      <c r="O376" s="17" t="s">
        <v>35</v>
      </c>
      <c r="P376" s="6" t="s">
        <v>35</v>
      </c>
      <c r="Q376" s="46" t="s">
        <v>36</v>
      </c>
      <c r="R376" s="17" t="s">
        <v>2667</v>
      </c>
      <c r="S376" s="173" t="s">
        <v>38</v>
      </c>
      <c r="T376" s="181" t="s">
        <v>1483</v>
      </c>
      <c r="U376" s="32" t="s">
        <v>2500</v>
      </c>
      <c r="V376" s="32" t="s">
        <v>2500</v>
      </c>
      <c r="W376" s="32"/>
      <c r="X376" s="7"/>
      <c r="Y376" s="7"/>
      <c r="Z376" s="26"/>
      <c r="AA376" s="26"/>
    </row>
    <row r="377" spans="1:27" ht="15.75" customHeight="1">
      <c r="A377" s="10" t="s">
        <v>2668</v>
      </c>
      <c r="B377" s="10" t="s">
        <v>1469</v>
      </c>
      <c r="C377" s="60" t="s">
        <v>1470</v>
      </c>
      <c r="D377" s="12"/>
      <c r="E377" s="13" t="s">
        <v>43</v>
      </c>
      <c r="F377" s="43" t="s">
        <v>2669</v>
      </c>
      <c r="G377" s="6" t="str">
        <f ca="1">IFERROR(__xludf.DUMMYFUNCTION("CONCATENATE(B377,(VLOOKUP(C377,CATALOGOS!$F$2:$H$6,3,FALSE)),(VLOOKUP(T377,CATALOGOS!$J$2:$K$18,2,FALSE)),""-"",TO_TEXT(A377))"),"P12SI-0376")</f>
        <v>P12SI-0376</v>
      </c>
      <c r="H377" s="6" t="s">
        <v>2670</v>
      </c>
      <c r="I377" s="6" t="s">
        <v>2671</v>
      </c>
      <c r="J377" s="6" t="s">
        <v>2672</v>
      </c>
      <c r="K377" s="6" t="s">
        <v>2673</v>
      </c>
      <c r="L377" s="17"/>
      <c r="M377" s="17"/>
      <c r="N377" s="17" t="str">
        <f t="shared" si="1"/>
        <v>OK</v>
      </c>
      <c r="O377" s="17" t="s">
        <v>406</v>
      </c>
      <c r="P377" s="6" t="s">
        <v>2674</v>
      </c>
      <c r="Q377" s="17" t="s">
        <v>36</v>
      </c>
      <c r="R377" s="17" t="s">
        <v>2675</v>
      </c>
      <c r="S377" s="173" t="s">
        <v>38</v>
      </c>
      <c r="T377" s="181" t="s">
        <v>1483</v>
      </c>
      <c r="U377" s="20" t="s">
        <v>1484</v>
      </c>
      <c r="V377" s="20" t="s">
        <v>1484</v>
      </c>
      <c r="W377" s="20"/>
      <c r="X377" s="7"/>
      <c r="Y377" s="7"/>
      <c r="Z377" s="23"/>
      <c r="AA377" s="26"/>
    </row>
    <row r="378" spans="1:27" ht="15.75" customHeight="1">
      <c r="A378" s="10" t="s">
        <v>2676</v>
      </c>
      <c r="B378" s="10" t="s">
        <v>1469</v>
      </c>
      <c r="C378" s="60" t="s">
        <v>1470</v>
      </c>
      <c r="D378" s="12"/>
      <c r="E378" s="13" t="s">
        <v>184</v>
      </c>
      <c r="F378" s="43" t="s">
        <v>2677</v>
      </c>
      <c r="G378" s="6" t="str">
        <f ca="1">IFERROR(__xludf.DUMMYFUNCTION("CONCATENATE(B378,(VLOOKUP(C378,CATALOGOS!$F$2:$H$6,3,FALSE)),(VLOOKUP(T378,CATALOGOS!$J$2:$K$18,2,FALSE)),""-"",TO_TEXT(A378))"),"P12SI-0377")</f>
        <v>P12SI-0377</v>
      </c>
      <c r="H378" s="6" t="s">
        <v>2678</v>
      </c>
      <c r="I378" s="6" t="s">
        <v>2679</v>
      </c>
      <c r="J378" s="51" t="s">
        <v>2680</v>
      </c>
      <c r="K378" s="6" t="s">
        <v>2681</v>
      </c>
      <c r="L378" s="17"/>
      <c r="M378" s="17"/>
      <c r="N378" s="17" t="str">
        <f t="shared" si="1"/>
        <v>OK</v>
      </c>
      <c r="O378" s="17" t="s">
        <v>35</v>
      </c>
      <c r="P378" s="6" t="s">
        <v>35</v>
      </c>
      <c r="Q378" s="17" t="s">
        <v>36</v>
      </c>
      <c r="R378" s="17" t="s">
        <v>2682</v>
      </c>
      <c r="S378" s="173" t="s">
        <v>549</v>
      </c>
      <c r="T378" s="181" t="s">
        <v>1483</v>
      </c>
      <c r="U378" s="20" t="s">
        <v>1484</v>
      </c>
      <c r="V378" s="20" t="s">
        <v>1484</v>
      </c>
      <c r="W378" s="20"/>
      <c r="X378" s="6"/>
      <c r="Y378" s="6" t="s">
        <v>440</v>
      </c>
      <c r="Z378" s="23"/>
      <c r="AA378" s="24"/>
    </row>
    <row r="379" spans="1:27" ht="15.75" customHeight="1">
      <c r="A379" s="10" t="s">
        <v>2683</v>
      </c>
      <c r="B379" s="10" t="s">
        <v>1469</v>
      </c>
      <c r="C379" s="60" t="s">
        <v>1470</v>
      </c>
      <c r="D379" s="12"/>
      <c r="E379" s="13" t="s">
        <v>2300</v>
      </c>
      <c r="F379" s="6" t="s">
        <v>2300</v>
      </c>
      <c r="G379" s="6" t="str">
        <f ca="1">IFERROR(__xludf.DUMMYFUNCTION("CONCATENATE(B379,(VLOOKUP(C379,CATALOGOS!$F$2:$H$6,3,FALSE)),(VLOOKUP(T379,CATALOGOS!$J$2:$K$18,2,FALSE)),""-"",TO_TEXT(A379))"),"P12SI-0378")</f>
        <v>P12SI-0378</v>
      </c>
      <c r="H379" s="6" t="s">
        <v>2684</v>
      </c>
      <c r="I379" s="6" t="s">
        <v>2685</v>
      </c>
      <c r="J379" s="36"/>
      <c r="K379" s="6" t="s">
        <v>141</v>
      </c>
      <c r="L379" s="17"/>
      <c r="M379" s="17"/>
      <c r="N379" s="17" t="str">
        <f t="shared" si="1"/>
        <v>REPETIDO</v>
      </c>
      <c r="O379" s="17" t="s">
        <v>2599</v>
      </c>
      <c r="P379" s="6" t="s">
        <v>2686</v>
      </c>
      <c r="Q379" s="6">
        <v>2159987001653</v>
      </c>
      <c r="R379" s="10" t="s">
        <v>85</v>
      </c>
      <c r="S379" s="173" t="s">
        <v>38</v>
      </c>
      <c r="T379" s="181" t="s">
        <v>1483</v>
      </c>
      <c r="U379" s="20" t="s">
        <v>1484</v>
      </c>
      <c r="V379" s="20" t="s">
        <v>1484</v>
      </c>
      <c r="W379" s="20"/>
      <c r="X379" s="6"/>
      <c r="Y379" s="6"/>
      <c r="Z379" s="23"/>
      <c r="AA379" s="24"/>
    </row>
    <row r="380" spans="1:27" ht="15.75" customHeight="1">
      <c r="A380" s="10" t="s">
        <v>2687</v>
      </c>
      <c r="B380" s="10" t="s">
        <v>1469</v>
      </c>
      <c r="C380" s="60" t="s">
        <v>1470</v>
      </c>
      <c r="D380" s="12"/>
      <c r="E380" s="13" t="s">
        <v>2351</v>
      </c>
      <c r="F380" s="43" t="s">
        <v>2688</v>
      </c>
      <c r="G380" s="6" t="str">
        <f ca="1">IFERROR(__xludf.DUMMYFUNCTION("CONCATENATE(B380,(VLOOKUP(C380,CATALOGOS!$F$2:$H$6,3,FALSE)),(VLOOKUP(T380,CATALOGOS!$J$2:$K$18,2,FALSE)),""-"",TO_TEXT(A380))"),"P12SI-0379")</f>
        <v>P12SI-0379</v>
      </c>
      <c r="H380" s="6" t="s">
        <v>2689</v>
      </c>
      <c r="I380" s="6" t="s">
        <v>2690</v>
      </c>
      <c r="J380" s="6" t="s">
        <v>2691</v>
      </c>
      <c r="K380" s="6" t="s">
        <v>2692</v>
      </c>
      <c r="L380" s="17"/>
      <c r="M380" s="17"/>
      <c r="N380" s="17" t="str">
        <f t="shared" si="1"/>
        <v>OK</v>
      </c>
      <c r="O380" s="17" t="s">
        <v>2357</v>
      </c>
      <c r="P380" s="6" t="s">
        <v>2693</v>
      </c>
      <c r="Q380" s="17" t="s">
        <v>2694</v>
      </c>
      <c r="R380" s="10" t="s">
        <v>2695</v>
      </c>
      <c r="S380" s="173" t="s">
        <v>38</v>
      </c>
      <c r="T380" s="183" t="s">
        <v>1483</v>
      </c>
      <c r="U380" s="20" t="s">
        <v>1484</v>
      </c>
      <c r="V380" s="20" t="s">
        <v>1484</v>
      </c>
      <c r="W380" s="20"/>
      <c r="X380" s="6"/>
      <c r="Y380" s="6"/>
      <c r="Z380" s="23"/>
      <c r="AA380" s="24"/>
    </row>
    <row r="381" spans="1:27" ht="15.75" customHeight="1">
      <c r="A381" s="10" t="s">
        <v>2696</v>
      </c>
      <c r="B381" s="10" t="s">
        <v>1469</v>
      </c>
      <c r="C381" s="60" t="s">
        <v>1470</v>
      </c>
      <c r="D381" s="12"/>
      <c r="E381" s="13" t="s">
        <v>2311</v>
      </c>
      <c r="F381" s="6" t="s">
        <v>2697</v>
      </c>
      <c r="G381" s="6" t="str">
        <f ca="1">IFERROR(__xludf.DUMMYFUNCTION("CONCATENATE(B381,(VLOOKUP(C381,CATALOGOS!$F$2:$H$6,3,FALSE)),(VLOOKUP(T381,CATALOGOS!$J$2:$K$18,2,FALSE)),""-"",TO_TEXT(A381))"),"P12SI-0380")</f>
        <v>P12SI-0380</v>
      </c>
      <c r="H381" s="6" t="s">
        <v>2698</v>
      </c>
      <c r="I381" s="6" t="s">
        <v>2699</v>
      </c>
      <c r="J381" s="36"/>
      <c r="K381" s="6" t="s">
        <v>2700</v>
      </c>
      <c r="L381" s="17"/>
      <c r="M381" s="17"/>
      <c r="N381" s="17" t="str">
        <f t="shared" si="1"/>
        <v>OK</v>
      </c>
      <c r="O381" s="17" t="s">
        <v>2701</v>
      </c>
      <c r="P381" s="6" t="s">
        <v>2702</v>
      </c>
      <c r="Q381" s="6">
        <v>60344924301373</v>
      </c>
      <c r="R381" s="10" t="s">
        <v>2703</v>
      </c>
      <c r="S381" s="173" t="s">
        <v>38</v>
      </c>
      <c r="T381" s="181" t="s">
        <v>1483</v>
      </c>
      <c r="U381" s="20" t="s">
        <v>1484</v>
      </c>
      <c r="V381" s="20" t="s">
        <v>1484</v>
      </c>
      <c r="W381" s="20"/>
      <c r="X381" s="7"/>
      <c r="Y381" s="7"/>
      <c r="Z381" s="23"/>
      <c r="AA381" s="26"/>
    </row>
    <row r="382" spans="1:27" ht="15.75" customHeight="1">
      <c r="A382" s="10" t="s">
        <v>2704</v>
      </c>
      <c r="B382" s="10" t="s">
        <v>1469</v>
      </c>
      <c r="C382" s="60" t="s">
        <v>1470</v>
      </c>
      <c r="D382" s="38"/>
      <c r="E382" s="13" t="s">
        <v>2311</v>
      </c>
      <c r="F382" s="6" t="s">
        <v>2705</v>
      </c>
      <c r="G382" s="6" t="str">
        <f ca="1">IFERROR(__xludf.DUMMYFUNCTION("CONCATENATE(B382,(VLOOKUP(C382,CATALOGOS!$F$2:$H$6,3,FALSE)),(VLOOKUP(T382,CATALOGOS!$J$2:$K$18,2,FALSE)),""-"",TO_TEXT(A382))"),"P12SI-0381")</f>
        <v>P12SI-0381</v>
      </c>
      <c r="H382" s="6" t="s">
        <v>2706</v>
      </c>
      <c r="I382" s="6" t="s">
        <v>2707</v>
      </c>
      <c r="J382" s="36"/>
      <c r="K382" s="6" t="s">
        <v>2708</v>
      </c>
      <c r="L382" s="17"/>
      <c r="M382" s="17"/>
      <c r="N382" s="17" t="str">
        <f t="shared" si="1"/>
        <v>OK</v>
      </c>
      <c r="O382" s="17" t="s">
        <v>827</v>
      </c>
      <c r="P382" s="6" t="s">
        <v>2709</v>
      </c>
      <c r="Q382" s="6">
        <v>43201404</v>
      </c>
      <c r="R382" s="32" t="s">
        <v>2710</v>
      </c>
      <c r="S382" s="173" t="s">
        <v>38</v>
      </c>
      <c r="T382" s="181" t="s">
        <v>1483</v>
      </c>
      <c r="U382" s="10" t="s">
        <v>1484</v>
      </c>
      <c r="V382" s="10" t="s">
        <v>1484</v>
      </c>
      <c r="W382" s="10"/>
      <c r="X382" s="7"/>
      <c r="Y382" s="7"/>
      <c r="Z382" s="26"/>
      <c r="AA382" s="26"/>
    </row>
    <row r="383" spans="1:27" ht="15.75" customHeight="1">
      <c r="A383" s="10" t="s">
        <v>2711</v>
      </c>
      <c r="B383" s="10" t="s">
        <v>1469</v>
      </c>
      <c r="C383" s="60" t="s">
        <v>1470</v>
      </c>
      <c r="D383" s="12"/>
      <c r="E383" s="13" t="s">
        <v>1275</v>
      </c>
      <c r="F383" s="6" t="s">
        <v>2712</v>
      </c>
      <c r="G383" s="6" t="str">
        <f ca="1">IFERROR(__xludf.DUMMYFUNCTION("CONCATENATE(B383,(VLOOKUP(C383,CATALOGOS!$F$2:$H$6,3,FALSE)),(VLOOKUP(T383,CATALOGOS!$J$2:$K$18,2,FALSE)),""-"",TO_TEXT(A383))"),"P12SI-0382")</f>
        <v>P12SI-0382</v>
      </c>
      <c r="H383" s="6" t="s">
        <v>2713</v>
      </c>
      <c r="I383" s="6" t="s">
        <v>2714</v>
      </c>
      <c r="J383" s="36"/>
      <c r="K383" s="6" t="s">
        <v>2715</v>
      </c>
      <c r="L383" s="17"/>
      <c r="M383" s="17"/>
      <c r="N383" s="17" t="str">
        <f t="shared" si="1"/>
        <v>OK</v>
      </c>
      <c r="O383" s="17" t="s">
        <v>297</v>
      </c>
      <c r="P383" s="6" t="s">
        <v>2716</v>
      </c>
      <c r="Q383" s="6" t="s">
        <v>2717</v>
      </c>
      <c r="R383" s="10" t="s">
        <v>2718</v>
      </c>
      <c r="S383" s="173" t="s">
        <v>38</v>
      </c>
      <c r="T383" s="181" t="s">
        <v>1483</v>
      </c>
      <c r="U383" s="20" t="s">
        <v>2533</v>
      </c>
      <c r="V383" s="20" t="s">
        <v>2533</v>
      </c>
      <c r="W383" s="20"/>
      <c r="X383" s="7"/>
      <c r="Y383" s="7"/>
      <c r="Z383" s="23"/>
      <c r="AA383" s="26"/>
    </row>
    <row r="384" spans="1:27" ht="15.75" customHeight="1">
      <c r="A384" s="10" t="s">
        <v>2719</v>
      </c>
      <c r="B384" s="10" t="s">
        <v>1469</v>
      </c>
      <c r="C384" s="60" t="s">
        <v>1470</v>
      </c>
      <c r="D384" s="12"/>
      <c r="E384" s="13" t="s">
        <v>210</v>
      </c>
      <c r="F384" s="6" t="s">
        <v>2720</v>
      </c>
      <c r="G384" s="6" t="str">
        <f ca="1">IFERROR(__xludf.DUMMYFUNCTION("CONCATENATE(B384,(VLOOKUP(C384,CATALOGOS!$F$2:$H$6,3,FALSE)),(VLOOKUP(T384,CATALOGOS!$J$2:$K$18,2,FALSE)),""-"",TO_TEXT(A384))"),"P12SI-0383")</f>
        <v>P12SI-0383</v>
      </c>
      <c r="H384" s="6" t="s">
        <v>2721</v>
      </c>
      <c r="I384" s="6" t="s">
        <v>2722</v>
      </c>
      <c r="J384" s="36"/>
      <c r="K384" s="6" t="s">
        <v>2723</v>
      </c>
      <c r="L384" s="17"/>
      <c r="M384" s="17"/>
      <c r="N384" s="17" t="str">
        <f t="shared" si="1"/>
        <v>OK</v>
      </c>
      <c r="O384" s="17" t="s">
        <v>216</v>
      </c>
      <c r="P384" s="6" t="s">
        <v>2724</v>
      </c>
      <c r="Q384" s="6" t="s">
        <v>2725</v>
      </c>
      <c r="R384" s="10" t="s">
        <v>2726</v>
      </c>
      <c r="S384" s="173" t="s">
        <v>38</v>
      </c>
      <c r="T384" s="181" t="s">
        <v>1483</v>
      </c>
      <c r="U384" s="20" t="s">
        <v>1484</v>
      </c>
      <c r="V384" s="20" t="s">
        <v>1484</v>
      </c>
      <c r="W384" s="20"/>
      <c r="X384" s="7"/>
      <c r="Y384" s="7"/>
      <c r="Z384" s="23"/>
      <c r="AA384" s="26"/>
    </row>
    <row r="385" spans="1:27" ht="15.75" customHeight="1">
      <c r="A385" s="10" t="s">
        <v>2727</v>
      </c>
      <c r="B385" s="10" t="s">
        <v>1469</v>
      </c>
      <c r="C385" s="60" t="s">
        <v>1470</v>
      </c>
      <c r="D385" s="12"/>
      <c r="E385" s="13" t="s">
        <v>210</v>
      </c>
      <c r="F385" s="6" t="s">
        <v>2720</v>
      </c>
      <c r="G385" s="6" t="str">
        <f ca="1">IFERROR(__xludf.DUMMYFUNCTION("CONCATENATE(B385,(VLOOKUP(C385,CATALOGOS!$F$2:$H$6,3,FALSE)),(VLOOKUP(T385,CATALOGOS!$J$2:$K$18,2,FALSE)),""-"",TO_TEXT(A385))"),"P12SI-0384")</f>
        <v>P12SI-0384</v>
      </c>
      <c r="H385" s="6" t="s">
        <v>2728</v>
      </c>
      <c r="I385" s="6" t="s">
        <v>2729</v>
      </c>
      <c r="J385" s="36"/>
      <c r="K385" s="6" t="s">
        <v>2730</v>
      </c>
      <c r="L385" s="17"/>
      <c r="M385" s="17"/>
      <c r="N385" s="17" t="str">
        <f t="shared" si="1"/>
        <v>OK</v>
      </c>
      <c r="O385" s="17" t="s">
        <v>216</v>
      </c>
      <c r="P385" s="6" t="s">
        <v>2724</v>
      </c>
      <c r="Q385" s="6" t="s">
        <v>2731</v>
      </c>
      <c r="R385" s="10" t="s">
        <v>2732</v>
      </c>
      <c r="S385" s="173" t="s">
        <v>38</v>
      </c>
      <c r="T385" s="181" t="s">
        <v>1483</v>
      </c>
      <c r="U385" s="20" t="s">
        <v>1484</v>
      </c>
      <c r="V385" s="20" t="s">
        <v>1484</v>
      </c>
      <c r="W385" s="20"/>
      <c r="X385" s="7"/>
      <c r="Y385" s="7"/>
      <c r="Z385" s="23"/>
      <c r="AA385" s="26"/>
    </row>
    <row r="386" spans="1:27" ht="15.75" customHeight="1">
      <c r="A386" s="10" t="s">
        <v>2733</v>
      </c>
      <c r="B386" s="10" t="s">
        <v>1469</v>
      </c>
      <c r="C386" s="60" t="s">
        <v>1470</v>
      </c>
      <c r="D386" s="12"/>
      <c r="E386" s="13" t="s">
        <v>2734</v>
      </c>
      <c r="F386" s="6" t="s">
        <v>2734</v>
      </c>
      <c r="G386" s="6" t="str">
        <f ca="1">IFERROR(__xludf.DUMMYFUNCTION("CONCATENATE(B386,(VLOOKUP(C386,CATALOGOS!$F$2:$H$6,3,FALSE)),(VLOOKUP(T386,CATALOGOS!$J$2:$K$18,2,FALSE)),""-"",TO_TEXT(A386))"),"P12SI-0385")</f>
        <v>P12SI-0385</v>
      </c>
      <c r="H386" s="6" t="s">
        <v>2735</v>
      </c>
      <c r="I386" s="6" t="s">
        <v>2736</v>
      </c>
      <c r="J386" s="6" t="s">
        <v>2737</v>
      </c>
      <c r="K386" s="6" t="s">
        <v>2738</v>
      </c>
      <c r="L386" s="17"/>
      <c r="M386" s="17"/>
      <c r="N386" s="17" t="str">
        <f t="shared" si="1"/>
        <v>OK</v>
      </c>
      <c r="O386" s="17" t="s">
        <v>205</v>
      </c>
      <c r="P386" s="6" t="s">
        <v>2739</v>
      </c>
      <c r="Q386" s="17" t="s">
        <v>2740</v>
      </c>
      <c r="R386" s="17" t="s">
        <v>2741</v>
      </c>
      <c r="S386" s="173" t="s">
        <v>38</v>
      </c>
      <c r="T386" s="181" t="s">
        <v>1483</v>
      </c>
      <c r="U386" s="20" t="s">
        <v>1484</v>
      </c>
      <c r="V386" s="20" t="s">
        <v>1484</v>
      </c>
      <c r="W386" s="20"/>
      <c r="X386" s="7"/>
      <c r="Y386" s="7"/>
      <c r="Z386" s="23"/>
      <c r="AA386" s="26"/>
    </row>
    <row r="387" spans="1:27" ht="15.75" customHeight="1">
      <c r="A387" s="10" t="s">
        <v>2742</v>
      </c>
      <c r="B387" s="10" t="s">
        <v>1469</v>
      </c>
      <c r="C387" s="60" t="s">
        <v>1470</v>
      </c>
      <c r="D387" s="12"/>
      <c r="E387" s="13" t="s">
        <v>2743</v>
      </c>
      <c r="F387" s="43" t="s">
        <v>2743</v>
      </c>
      <c r="G387" s="6" t="str">
        <f ca="1">IFERROR(__xludf.DUMMYFUNCTION("CONCATENATE(B387,(VLOOKUP(C387,CATALOGOS!$F$2:$H$6,3,FALSE)),(VLOOKUP(T387,CATALOGOS!$J$2:$K$18,2,FALSE)),""-"",TO_TEXT(A387))"),"P12SI-0386")</f>
        <v>P12SI-0386</v>
      </c>
      <c r="H387" s="6" t="s">
        <v>2744</v>
      </c>
      <c r="I387" s="6" t="s">
        <v>2745</v>
      </c>
      <c r="J387" s="6" t="s">
        <v>2746</v>
      </c>
      <c r="K387" s="6" t="s">
        <v>2747</v>
      </c>
      <c r="L387" s="17"/>
      <c r="M387" s="17"/>
      <c r="N387" s="17" t="str">
        <f t="shared" si="1"/>
        <v>OK</v>
      </c>
      <c r="O387" s="17" t="s">
        <v>2748</v>
      </c>
      <c r="P387" s="6" t="s">
        <v>2749</v>
      </c>
      <c r="Q387" s="17" t="s">
        <v>2750</v>
      </c>
      <c r="R387" s="17" t="s">
        <v>2751</v>
      </c>
      <c r="S387" s="173" t="s">
        <v>38</v>
      </c>
      <c r="T387" s="181" t="s">
        <v>1483</v>
      </c>
      <c r="U387" s="20" t="s">
        <v>1484</v>
      </c>
      <c r="V387" s="20" t="s">
        <v>1484</v>
      </c>
      <c r="W387" s="20"/>
      <c r="X387" s="7"/>
      <c r="Y387" s="7"/>
      <c r="Z387" s="23"/>
      <c r="AA387" s="26"/>
    </row>
    <row r="388" spans="1:27" ht="15.75" customHeight="1">
      <c r="A388" s="10" t="s">
        <v>2752</v>
      </c>
      <c r="B388" s="10" t="s">
        <v>1469</v>
      </c>
      <c r="C388" s="60" t="s">
        <v>1470</v>
      </c>
      <c r="D388" s="12"/>
      <c r="E388" s="13" t="s">
        <v>2743</v>
      </c>
      <c r="F388" s="43" t="s">
        <v>2743</v>
      </c>
      <c r="G388" s="6" t="str">
        <f ca="1">IFERROR(__xludf.DUMMYFUNCTION("CONCATENATE(B388,(VLOOKUP(C388,CATALOGOS!$F$2:$H$6,3,FALSE)),(VLOOKUP(T388,CATALOGOS!$J$2:$K$18,2,FALSE)),""-"",TO_TEXT(A388))"),"P12SI-0387")</f>
        <v>P12SI-0387</v>
      </c>
      <c r="H388" s="6" t="s">
        <v>2753</v>
      </c>
      <c r="I388" s="6" t="s">
        <v>2754</v>
      </c>
      <c r="J388" s="6" t="s">
        <v>2755</v>
      </c>
      <c r="K388" s="6" t="s">
        <v>2756</v>
      </c>
      <c r="L388" s="17"/>
      <c r="M388" s="17"/>
      <c r="N388" s="17" t="str">
        <f t="shared" si="1"/>
        <v>OK</v>
      </c>
      <c r="O388" s="17" t="s">
        <v>205</v>
      </c>
      <c r="P388" s="6" t="s">
        <v>2757</v>
      </c>
      <c r="Q388" s="17" t="s">
        <v>2758</v>
      </c>
      <c r="R388" s="17" t="s">
        <v>2759</v>
      </c>
      <c r="S388" s="173" t="s">
        <v>38</v>
      </c>
      <c r="T388" s="181" t="s">
        <v>1483</v>
      </c>
      <c r="U388" s="20" t="s">
        <v>1484</v>
      </c>
      <c r="V388" s="20" t="s">
        <v>1484</v>
      </c>
      <c r="W388" s="20"/>
      <c r="X388" s="7"/>
      <c r="Y388" s="7"/>
      <c r="Z388" s="23"/>
      <c r="AA388" s="26"/>
    </row>
    <row r="389" spans="1:27" ht="15.75" customHeight="1">
      <c r="A389" s="10" t="s">
        <v>2760</v>
      </c>
      <c r="B389" s="10" t="s">
        <v>1469</v>
      </c>
      <c r="C389" s="60" t="s">
        <v>1470</v>
      </c>
      <c r="D389" s="12"/>
      <c r="E389" s="13" t="s">
        <v>151</v>
      </c>
      <c r="F389" s="6" t="s">
        <v>698</v>
      </c>
      <c r="G389" s="6" t="str">
        <f ca="1">IFERROR(__xludf.DUMMYFUNCTION("CONCATENATE(B389,(VLOOKUP(C389,CATALOGOS!$F$2:$H$6,3,FALSE)),(VLOOKUP(T389,CATALOGOS!$J$2:$K$18,2,FALSE)),""-"",TO_TEXT(A389))"),"P12SI-0388")</f>
        <v>P12SI-0388</v>
      </c>
      <c r="H389" s="6" t="s">
        <v>2761</v>
      </c>
      <c r="I389" s="6" t="s">
        <v>2762</v>
      </c>
      <c r="J389" s="6" t="s">
        <v>2763</v>
      </c>
      <c r="K389" s="6" t="s">
        <v>2764</v>
      </c>
      <c r="L389" s="17"/>
      <c r="M389" s="17"/>
      <c r="N389" s="17" t="str">
        <f t="shared" si="1"/>
        <v>OK</v>
      </c>
      <c r="O389" s="17" t="s">
        <v>157</v>
      </c>
      <c r="P389" s="6" t="s">
        <v>2765</v>
      </c>
      <c r="Q389" s="17" t="s">
        <v>2766</v>
      </c>
      <c r="R389" s="10" t="s">
        <v>2767</v>
      </c>
      <c r="S389" s="173" t="s">
        <v>38</v>
      </c>
      <c r="T389" s="181" t="s">
        <v>1483</v>
      </c>
      <c r="U389" s="20" t="s">
        <v>1484</v>
      </c>
      <c r="V389" s="20" t="s">
        <v>1484</v>
      </c>
      <c r="W389" s="20"/>
      <c r="X389" s="7"/>
      <c r="Y389" s="7"/>
      <c r="Z389" s="23"/>
      <c r="AA389" s="26"/>
    </row>
    <row r="390" spans="1:27" ht="15.75" customHeight="1">
      <c r="A390" s="10" t="s">
        <v>2768</v>
      </c>
      <c r="B390" s="10" t="s">
        <v>1469</v>
      </c>
      <c r="C390" s="60" t="s">
        <v>1470</v>
      </c>
      <c r="D390" s="12"/>
      <c r="E390" s="13" t="s">
        <v>199</v>
      </c>
      <c r="F390" s="6" t="s">
        <v>199</v>
      </c>
      <c r="G390" s="6" t="str">
        <f ca="1">IFERROR(__xludf.DUMMYFUNCTION("CONCATENATE(B390,(VLOOKUP(C390,CATALOGOS!$F$2:$H$6,3,FALSE)),(VLOOKUP(T390,CATALOGOS!$J$2:$K$18,2,FALSE)),""-"",TO_TEXT(A390))"),"P12SI-0389")</f>
        <v>P12SI-0389</v>
      </c>
      <c r="H390" s="6" t="s">
        <v>2769</v>
      </c>
      <c r="I390" s="6" t="s">
        <v>2770</v>
      </c>
      <c r="J390" s="6" t="s">
        <v>2771</v>
      </c>
      <c r="K390" s="6" t="s">
        <v>141</v>
      </c>
      <c r="L390" s="17"/>
      <c r="M390" s="17"/>
      <c r="N390" s="17" t="str">
        <f t="shared" si="1"/>
        <v>REPETIDO</v>
      </c>
      <c r="O390" s="17" t="s">
        <v>297</v>
      </c>
      <c r="P390" s="32" t="s">
        <v>2772</v>
      </c>
      <c r="Q390" s="17" t="s">
        <v>2773</v>
      </c>
      <c r="R390" s="10" t="s">
        <v>2774</v>
      </c>
      <c r="S390" s="173" t="s">
        <v>38</v>
      </c>
      <c r="T390" s="181" t="s">
        <v>1483</v>
      </c>
      <c r="U390" s="20" t="s">
        <v>1484</v>
      </c>
      <c r="V390" s="20" t="s">
        <v>1484</v>
      </c>
      <c r="W390" s="20"/>
      <c r="X390" s="7"/>
      <c r="Y390" s="7"/>
      <c r="Z390" s="23"/>
      <c r="AA390" s="26"/>
    </row>
    <row r="391" spans="1:27" ht="15.75" customHeight="1">
      <c r="A391" s="10" t="s">
        <v>2775</v>
      </c>
      <c r="B391" s="10" t="s">
        <v>1469</v>
      </c>
      <c r="C391" s="60" t="s">
        <v>1470</v>
      </c>
      <c r="D391" s="12"/>
      <c r="E391" s="13" t="s">
        <v>2743</v>
      </c>
      <c r="F391" s="43" t="s">
        <v>2776</v>
      </c>
      <c r="G391" s="6" t="str">
        <f ca="1">IFERROR(__xludf.DUMMYFUNCTION("CONCATENATE(B391,(VLOOKUP(C391,CATALOGOS!$F$2:$H$6,3,FALSE)),(VLOOKUP(T391,CATALOGOS!$J$2:$K$18,2,FALSE)),""-"",TO_TEXT(A391))"),"P12SI-0390")</f>
        <v>P12SI-0390</v>
      </c>
      <c r="H391" s="6" t="s">
        <v>2777</v>
      </c>
      <c r="I391" s="6" t="s">
        <v>2778</v>
      </c>
      <c r="J391" s="6" t="s">
        <v>2779</v>
      </c>
      <c r="K391" s="43" t="s">
        <v>2780</v>
      </c>
      <c r="L391" s="17"/>
      <c r="M391" s="17"/>
      <c r="N391" s="17" t="str">
        <f t="shared" si="1"/>
        <v>OK</v>
      </c>
      <c r="O391" s="17" t="s">
        <v>2781</v>
      </c>
      <c r="P391" s="6" t="s">
        <v>2782</v>
      </c>
      <c r="Q391" s="17" t="s">
        <v>2783</v>
      </c>
      <c r="R391" s="10" t="s">
        <v>2784</v>
      </c>
      <c r="S391" s="173" t="s">
        <v>38</v>
      </c>
      <c r="T391" s="181" t="s">
        <v>1483</v>
      </c>
      <c r="U391" s="20" t="s">
        <v>1484</v>
      </c>
      <c r="V391" s="20" t="s">
        <v>1484</v>
      </c>
      <c r="W391" s="20"/>
      <c r="X391" s="7"/>
      <c r="Y391" s="7"/>
      <c r="Z391" s="23"/>
      <c r="AA391" s="26"/>
    </row>
    <row r="392" spans="1:27" ht="15.75" customHeight="1">
      <c r="A392" s="10" t="s">
        <v>2785</v>
      </c>
      <c r="B392" s="10" t="s">
        <v>1469</v>
      </c>
      <c r="C392" s="60" t="s">
        <v>1470</v>
      </c>
      <c r="D392" s="12"/>
      <c r="E392" s="13" t="s">
        <v>2743</v>
      </c>
      <c r="F392" s="43" t="s">
        <v>2776</v>
      </c>
      <c r="G392" s="6" t="str">
        <f ca="1">IFERROR(__xludf.DUMMYFUNCTION("CONCATENATE(B392,(VLOOKUP(C392,CATALOGOS!$F$2:$H$6,3,FALSE)),(VLOOKUP(T392,CATALOGOS!$J$2:$K$18,2,FALSE)),""-"",TO_TEXT(A392))"),"P12SI-0391")</f>
        <v>P12SI-0391</v>
      </c>
      <c r="H392" s="6" t="s">
        <v>2786</v>
      </c>
      <c r="I392" s="6" t="s">
        <v>2787</v>
      </c>
      <c r="J392" s="6" t="s">
        <v>2788</v>
      </c>
      <c r="K392" s="43" t="s">
        <v>2789</v>
      </c>
      <c r="L392" s="17"/>
      <c r="M392" s="17"/>
      <c r="N392" s="17" t="str">
        <f t="shared" si="1"/>
        <v>OK</v>
      </c>
      <c r="O392" s="17" t="s">
        <v>2781</v>
      </c>
      <c r="P392" s="6" t="s">
        <v>2782</v>
      </c>
      <c r="Q392" s="17" t="s">
        <v>2790</v>
      </c>
      <c r="R392" s="10" t="s">
        <v>2791</v>
      </c>
      <c r="S392" s="173" t="s">
        <v>38</v>
      </c>
      <c r="T392" s="181" t="s">
        <v>1483</v>
      </c>
      <c r="U392" s="20" t="s">
        <v>1484</v>
      </c>
      <c r="V392" s="20" t="s">
        <v>1484</v>
      </c>
      <c r="W392" s="20"/>
      <c r="X392" s="7"/>
      <c r="Y392" s="7"/>
      <c r="Z392" s="23"/>
      <c r="AA392" s="26"/>
    </row>
    <row r="393" spans="1:27" ht="15.75" customHeight="1">
      <c r="A393" s="10" t="s">
        <v>2792</v>
      </c>
      <c r="B393" s="10" t="s">
        <v>1469</v>
      </c>
      <c r="C393" s="60" t="s">
        <v>1470</v>
      </c>
      <c r="D393" s="12"/>
      <c r="E393" s="13" t="s">
        <v>248</v>
      </c>
      <c r="F393" s="43" t="s">
        <v>248</v>
      </c>
      <c r="G393" s="6" t="str">
        <f ca="1">IFERROR(__xludf.DUMMYFUNCTION("CONCATENATE(B393,(VLOOKUP(C393,CATALOGOS!$F$2:$H$6,3,FALSE)),(VLOOKUP(T393,CATALOGOS!$J$2:$K$18,2,FALSE)),""-"",TO_TEXT(A393))"),"P12SI-0392")</f>
        <v>P12SI-0392</v>
      </c>
      <c r="H393" s="6" t="s">
        <v>2793</v>
      </c>
      <c r="I393" s="6" t="s">
        <v>2794</v>
      </c>
      <c r="J393" s="6" t="s">
        <v>2795</v>
      </c>
      <c r="K393" s="43" t="s">
        <v>2796</v>
      </c>
      <c r="L393" s="17"/>
      <c r="M393" s="17"/>
      <c r="N393" s="17" t="str">
        <f t="shared" si="1"/>
        <v>OK</v>
      </c>
      <c r="O393" s="17" t="s">
        <v>205</v>
      </c>
      <c r="P393" s="6" t="s">
        <v>2797</v>
      </c>
      <c r="Q393" s="17" t="s">
        <v>2798</v>
      </c>
      <c r="R393" s="17" t="s">
        <v>2799</v>
      </c>
      <c r="S393" s="173" t="s">
        <v>38</v>
      </c>
      <c r="T393" s="181" t="s">
        <v>1483</v>
      </c>
      <c r="U393" s="20" t="s">
        <v>1484</v>
      </c>
      <c r="V393" s="20" t="s">
        <v>1484</v>
      </c>
      <c r="W393" s="20"/>
      <c r="X393" s="7"/>
      <c r="Y393" s="7"/>
      <c r="Z393" s="23"/>
      <c r="AA393" s="26"/>
    </row>
    <row r="394" spans="1:27" ht="15.75" customHeight="1">
      <c r="A394" s="10" t="s">
        <v>2800</v>
      </c>
      <c r="B394" s="10" t="s">
        <v>1469</v>
      </c>
      <c r="C394" s="60" t="s">
        <v>1470</v>
      </c>
      <c r="D394" s="12"/>
      <c r="E394" s="13" t="s">
        <v>2734</v>
      </c>
      <c r="F394" s="6" t="s">
        <v>2801</v>
      </c>
      <c r="G394" s="6" t="str">
        <f ca="1">IFERROR(__xludf.DUMMYFUNCTION("CONCATENATE(B394,(VLOOKUP(C394,CATALOGOS!$F$2:$H$6,3,FALSE)),(VLOOKUP(T394,CATALOGOS!$J$2:$K$18,2,FALSE)),""-"",TO_TEXT(A394))"),"P12SI-0393")</f>
        <v>P12SI-0393</v>
      </c>
      <c r="H394" s="6" t="s">
        <v>2802</v>
      </c>
      <c r="I394" s="6" t="s">
        <v>2803</v>
      </c>
      <c r="J394" s="6" t="s">
        <v>2804</v>
      </c>
      <c r="K394" s="6" t="s">
        <v>2805</v>
      </c>
      <c r="L394" s="17"/>
      <c r="M394" s="17"/>
      <c r="N394" s="17" t="str">
        <f t="shared" si="1"/>
        <v>OK</v>
      </c>
      <c r="O394" s="17" t="s">
        <v>35</v>
      </c>
      <c r="P394" s="6" t="s">
        <v>35</v>
      </c>
      <c r="Q394" s="17" t="s">
        <v>2806</v>
      </c>
      <c r="R394" s="17" t="s">
        <v>2807</v>
      </c>
      <c r="S394" s="173" t="s">
        <v>38</v>
      </c>
      <c r="T394" s="181" t="s">
        <v>1483</v>
      </c>
      <c r="U394" s="20" t="s">
        <v>1484</v>
      </c>
      <c r="V394" s="20" t="s">
        <v>1484</v>
      </c>
      <c r="W394" s="20"/>
      <c r="X394" s="7"/>
      <c r="Y394" s="7"/>
      <c r="Z394" s="23"/>
      <c r="AA394" s="26"/>
    </row>
    <row r="395" spans="1:27" ht="15.75" customHeight="1">
      <c r="A395" s="10" t="s">
        <v>2808</v>
      </c>
      <c r="B395" s="10" t="s">
        <v>1469</v>
      </c>
      <c r="C395" s="60" t="s">
        <v>1470</v>
      </c>
      <c r="D395" s="12"/>
      <c r="E395" s="13" t="s">
        <v>2351</v>
      </c>
      <c r="F395" s="43" t="s">
        <v>2352</v>
      </c>
      <c r="G395" s="6" t="str">
        <f ca="1">IFERROR(__xludf.DUMMYFUNCTION("CONCATENATE(B395,(VLOOKUP(C395,CATALOGOS!$F$2:$H$6,3,FALSE)),(VLOOKUP(T395,CATALOGOS!$J$2:$K$18,2,FALSE)),""-"",TO_TEXT(A395))"),"P12SI-0394")</f>
        <v>P12SI-0394</v>
      </c>
      <c r="H395" s="6" t="s">
        <v>2809</v>
      </c>
      <c r="I395" s="6" t="s">
        <v>2810</v>
      </c>
      <c r="J395" s="6" t="s">
        <v>2811</v>
      </c>
      <c r="K395" s="6" t="s">
        <v>2812</v>
      </c>
      <c r="L395" s="17"/>
      <c r="M395" s="17"/>
      <c r="N395" s="17" t="str">
        <f t="shared" si="1"/>
        <v>OK</v>
      </c>
      <c r="O395" s="17" t="s">
        <v>663</v>
      </c>
      <c r="P395" s="6" t="s">
        <v>2813</v>
      </c>
      <c r="Q395" s="17" t="s">
        <v>2814</v>
      </c>
      <c r="R395" s="17" t="s">
        <v>2815</v>
      </c>
      <c r="S395" s="173" t="s">
        <v>38</v>
      </c>
      <c r="T395" s="181" t="s">
        <v>1483</v>
      </c>
      <c r="U395" s="20" t="s">
        <v>1484</v>
      </c>
      <c r="V395" s="20" t="s">
        <v>1484</v>
      </c>
      <c r="W395" s="20"/>
      <c r="X395" s="7"/>
      <c r="Y395" s="7"/>
      <c r="Z395" s="23"/>
      <c r="AA395" s="26"/>
    </row>
    <row r="396" spans="1:27" ht="15.75" customHeight="1">
      <c r="A396" s="10" t="s">
        <v>2816</v>
      </c>
      <c r="B396" s="10" t="s">
        <v>1469</v>
      </c>
      <c r="C396" s="60" t="s">
        <v>1470</v>
      </c>
      <c r="D396" s="12"/>
      <c r="E396" s="13" t="s">
        <v>2817</v>
      </c>
      <c r="F396" s="43" t="s">
        <v>2817</v>
      </c>
      <c r="G396" s="6" t="str">
        <f ca="1">IFERROR(__xludf.DUMMYFUNCTION("CONCATENATE(B396,(VLOOKUP(C396,CATALOGOS!$F$2:$H$6,3,FALSE)),(VLOOKUP(T396,CATALOGOS!$J$2:$K$18,2,FALSE)),""-"",TO_TEXT(A396))"),"P12SI-0395")</f>
        <v>P12SI-0395</v>
      </c>
      <c r="H396" s="6" t="s">
        <v>2818</v>
      </c>
      <c r="I396" s="6" t="s">
        <v>2819</v>
      </c>
      <c r="J396" s="6" t="s">
        <v>2820</v>
      </c>
      <c r="K396" s="6" t="s">
        <v>2821</v>
      </c>
      <c r="L396" s="17"/>
      <c r="M396" s="17"/>
      <c r="N396" s="17" t="str">
        <f t="shared" si="1"/>
        <v>OK</v>
      </c>
      <c r="O396" s="17" t="s">
        <v>2822</v>
      </c>
      <c r="P396" s="6" t="s">
        <v>35</v>
      </c>
      <c r="Q396" s="17" t="s">
        <v>36</v>
      </c>
      <c r="R396" s="17" t="s">
        <v>2823</v>
      </c>
      <c r="S396" s="173" t="s">
        <v>38</v>
      </c>
      <c r="T396" s="181" t="s">
        <v>1483</v>
      </c>
      <c r="U396" s="20" t="s">
        <v>1484</v>
      </c>
      <c r="V396" s="20" t="s">
        <v>1484</v>
      </c>
      <c r="W396" s="20"/>
      <c r="X396" s="7"/>
      <c r="Y396" s="7"/>
      <c r="Z396" s="23"/>
      <c r="AA396" s="26"/>
    </row>
    <row r="397" spans="1:27" ht="15.75" customHeight="1">
      <c r="A397" s="10" t="s">
        <v>2824</v>
      </c>
      <c r="B397" s="10" t="s">
        <v>1469</v>
      </c>
      <c r="C397" s="60" t="s">
        <v>1470</v>
      </c>
      <c r="D397" s="12"/>
      <c r="E397" s="13" t="s">
        <v>2817</v>
      </c>
      <c r="F397" s="43" t="s">
        <v>2817</v>
      </c>
      <c r="G397" s="6" t="str">
        <f ca="1">IFERROR(__xludf.DUMMYFUNCTION("CONCATENATE(B397,(VLOOKUP(C397,CATALOGOS!$F$2:$H$6,3,FALSE)),(VLOOKUP(T397,CATALOGOS!$J$2:$K$18,2,FALSE)),""-"",TO_TEXT(A397))"),"P12SI-0396")</f>
        <v>P12SI-0396</v>
      </c>
      <c r="H397" s="6" t="s">
        <v>2825</v>
      </c>
      <c r="I397" s="6" t="s">
        <v>2826</v>
      </c>
      <c r="J397" s="6" t="s">
        <v>2827</v>
      </c>
      <c r="K397" s="6" t="s">
        <v>2828</v>
      </c>
      <c r="L397" s="17"/>
      <c r="M397" s="17"/>
      <c r="N397" s="17" t="str">
        <f t="shared" si="1"/>
        <v>OK</v>
      </c>
      <c r="O397" s="17" t="s">
        <v>2822</v>
      </c>
      <c r="P397" s="6" t="s">
        <v>35</v>
      </c>
      <c r="Q397" s="17" t="s">
        <v>36</v>
      </c>
      <c r="R397" s="17" t="s">
        <v>85</v>
      </c>
      <c r="S397" s="173" t="s">
        <v>38</v>
      </c>
      <c r="T397" s="181" t="s">
        <v>1483</v>
      </c>
      <c r="U397" s="20" t="s">
        <v>1484</v>
      </c>
      <c r="V397" s="20" t="s">
        <v>1484</v>
      </c>
      <c r="W397" s="20"/>
      <c r="X397" s="7"/>
      <c r="Y397" s="7"/>
      <c r="Z397" s="23"/>
      <c r="AA397" s="26"/>
    </row>
    <row r="398" spans="1:27" ht="15.75" customHeight="1">
      <c r="A398" s="10" t="s">
        <v>2829</v>
      </c>
      <c r="B398" s="10" t="s">
        <v>1469</v>
      </c>
      <c r="C398" s="60" t="s">
        <v>1470</v>
      </c>
      <c r="D398" s="12"/>
      <c r="E398" s="13" t="s">
        <v>2351</v>
      </c>
      <c r="F398" s="43" t="s">
        <v>2688</v>
      </c>
      <c r="G398" s="6" t="str">
        <f ca="1">IFERROR(__xludf.DUMMYFUNCTION("CONCATENATE(B398,(VLOOKUP(C398,CATALOGOS!$F$2:$H$6,3,FALSE)),(VLOOKUP(T398,CATALOGOS!$J$2:$K$18,2,FALSE)),""-"",TO_TEXT(A398))"),"P12SI-0397")</f>
        <v>P12SI-0397</v>
      </c>
      <c r="H398" s="6" t="s">
        <v>2830</v>
      </c>
      <c r="I398" s="6" t="s">
        <v>2831</v>
      </c>
      <c r="J398" s="6" t="s">
        <v>2832</v>
      </c>
      <c r="K398" s="6" t="s">
        <v>2833</v>
      </c>
      <c r="L398" s="17"/>
      <c r="M398" s="17"/>
      <c r="N398" s="17" t="str">
        <f t="shared" si="1"/>
        <v>OK</v>
      </c>
      <c r="O398" s="17" t="s">
        <v>2357</v>
      </c>
      <c r="P398" s="6" t="s">
        <v>2693</v>
      </c>
      <c r="Q398" s="17" t="s">
        <v>2834</v>
      </c>
      <c r="R398" s="17" t="s">
        <v>2835</v>
      </c>
      <c r="S398" s="173" t="s">
        <v>38</v>
      </c>
      <c r="T398" s="181" t="s">
        <v>1483</v>
      </c>
      <c r="U398" s="20" t="s">
        <v>1484</v>
      </c>
      <c r="V398" s="20" t="s">
        <v>1484</v>
      </c>
      <c r="W398" s="20"/>
      <c r="X398" s="7"/>
      <c r="Y398" s="7"/>
      <c r="Z398" s="23"/>
      <c r="AA398" s="26"/>
    </row>
    <row r="399" spans="1:27" ht="15.75" customHeight="1">
      <c r="A399" s="10" t="s">
        <v>2836</v>
      </c>
      <c r="B399" s="10" t="s">
        <v>1469</v>
      </c>
      <c r="C399" s="60" t="s">
        <v>1470</v>
      </c>
      <c r="D399" s="12"/>
      <c r="E399" s="13" t="s">
        <v>2743</v>
      </c>
      <c r="F399" s="43" t="s">
        <v>2743</v>
      </c>
      <c r="G399" s="6" t="str">
        <f ca="1">IFERROR(__xludf.DUMMYFUNCTION("CONCATENATE(B399,(VLOOKUP(C399,CATALOGOS!$F$2:$H$6,3,FALSE)),(VLOOKUP(T399,CATALOGOS!$J$2:$K$18,2,FALSE)),""-"",TO_TEXT(A399))"),"P12SI-0398")</f>
        <v>P12SI-0398</v>
      </c>
      <c r="H399" s="6" t="s">
        <v>2837</v>
      </c>
      <c r="I399" s="6" t="s">
        <v>2838</v>
      </c>
      <c r="J399" s="6" t="s">
        <v>2839</v>
      </c>
      <c r="K399" s="43" t="s">
        <v>2840</v>
      </c>
      <c r="L399" s="17"/>
      <c r="M399" s="17"/>
      <c r="N399" s="17" t="str">
        <f t="shared" si="1"/>
        <v>OK</v>
      </c>
      <c r="O399" s="17" t="s">
        <v>273</v>
      </c>
      <c r="P399" s="6" t="s">
        <v>2841</v>
      </c>
      <c r="Q399" s="17" t="s">
        <v>2842</v>
      </c>
      <c r="R399" s="17" t="s">
        <v>2843</v>
      </c>
      <c r="S399" s="173" t="s">
        <v>38</v>
      </c>
      <c r="T399" s="181" t="s">
        <v>1483</v>
      </c>
      <c r="U399" s="20" t="s">
        <v>1484</v>
      </c>
      <c r="V399" s="20" t="s">
        <v>1484</v>
      </c>
      <c r="W399" s="20"/>
      <c r="X399" s="7"/>
      <c r="Y399" s="7"/>
      <c r="Z399" s="23"/>
      <c r="AA399" s="26"/>
    </row>
    <row r="400" spans="1:27" ht="15.75" customHeight="1">
      <c r="A400" s="10" t="s">
        <v>2844</v>
      </c>
      <c r="B400" s="10" t="s">
        <v>1469</v>
      </c>
      <c r="C400" s="60" t="s">
        <v>1470</v>
      </c>
      <c r="D400" s="12"/>
      <c r="E400" s="13" t="s">
        <v>248</v>
      </c>
      <c r="F400" s="6" t="s">
        <v>249</v>
      </c>
      <c r="G400" s="6" t="str">
        <f ca="1">IFERROR(__xludf.DUMMYFUNCTION("CONCATENATE(B400,(VLOOKUP(C400,CATALOGOS!$F$2:$H$6,3,FALSE)),(VLOOKUP(T400,CATALOGOS!$J$2:$K$18,2,FALSE)),""-"",TO_TEXT(A400))"),"P12SI-0399")</f>
        <v>P12SI-0399</v>
      </c>
      <c r="H400" s="6" t="s">
        <v>2845</v>
      </c>
      <c r="I400" s="6" t="s">
        <v>2846</v>
      </c>
      <c r="J400" s="6" t="s">
        <v>2847</v>
      </c>
      <c r="K400" s="43" t="s">
        <v>2848</v>
      </c>
      <c r="L400" s="17"/>
      <c r="M400" s="17"/>
      <c r="N400" s="17" t="str">
        <f t="shared" si="1"/>
        <v>OK</v>
      </c>
      <c r="O400" s="17" t="s">
        <v>827</v>
      </c>
      <c r="P400" s="6" t="s">
        <v>2849</v>
      </c>
      <c r="Q400" s="17" t="s">
        <v>2850</v>
      </c>
      <c r="R400" s="10" t="s">
        <v>2851</v>
      </c>
      <c r="S400" s="173" t="s">
        <v>38</v>
      </c>
      <c r="T400" s="181" t="s">
        <v>1483</v>
      </c>
      <c r="U400" s="20" t="s">
        <v>1484</v>
      </c>
      <c r="V400" s="20" t="s">
        <v>1484</v>
      </c>
      <c r="W400" s="20"/>
      <c r="X400" s="7"/>
      <c r="Y400" s="7"/>
      <c r="Z400" s="23"/>
      <c r="AA400" s="26"/>
    </row>
    <row r="401" spans="1:27" ht="15.75" customHeight="1">
      <c r="A401" s="10" t="s">
        <v>2852</v>
      </c>
      <c r="B401" s="10" t="s">
        <v>1469</v>
      </c>
      <c r="C401" s="60" t="s">
        <v>1470</v>
      </c>
      <c r="D401" s="12"/>
      <c r="E401" s="13" t="s">
        <v>248</v>
      </c>
      <c r="F401" s="43" t="s">
        <v>2535</v>
      </c>
      <c r="G401" s="6" t="str">
        <f ca="1">IFERROR(__xludf.DUMMYFUNCTION("CONCATENATE(B401,(VLOOKUP(C401,CATALOGOS!$F$2:$H$6,3,FALSE)),(VLOOKUP(T401,CATALOGOS!$J$2:$K$18,2,FALSE)),""-"",TO_TEXT(A401))"),"P12SI-0400")</f>
        <v>P12SI-0400</v>
      </c>
      <c r="H401" s="6" t="s">
        <v>2853</v>
      </c>
      <c r="I401" s="6" t="s">
        <v>2854</v>
      </c>
      <c r="J401" s="6" t="s">
        <v>2855</v>
      </c>
      <c r="K401" s="6" t="s">
        <v>141</v>
      </c>
      <c r="L401" s="17"/>
      <c r="M401" s="17"/>
      <c r="N401" s="17" t="str">
        <f t="shared" si="1"/>
        <v>REPETIDO</v>
      </c>
      <c r="O401" s="17" t="s">
        <v>303</v>
      </c>
      <c r="P401" s="6" t="s">
        <v>2856</v>
      </c>
      <c r="Q401" s="17" t="s">
        <v>2857</v>
      </c>
      <c r="R401" s="10" t="s">
        <v>2858</v>
      </c>
      <c r="S401" s="173" t="s">
        <v>38</v>
      </c>
      <c r="T401" s="181" t="s">
        <v>1483</v>
      </c>
      <c r="U401" s="20" t="s">
        <v>1484</v>
      </c>
      <c r="V401" s="20" t="s">
        <v>1484</v>
      </c>
      <c r="W401" s="20"/>
      <c r="X401" s="7"/>
      <c r="Y401" s="7"/>
      <c r="Z401" s="23"/>
      <c r="AA401" s="26"/>
    </row>
    <row r="402" spans="1:27" ht="15.75" customHeight="1">
      <c r="A402" s="10" t="s">
        <v>2859</v>
      </c>
      <c r="B402" s="10" t="s">
        <v>1469</v>
      </c>
      <c r="C402" s="60" t="s">
        <v>1470</v>
      </c>
      <c r="D402" s="12"/>
      <c r="E402" s="13" t="s">
        <v>2860</v>
      </c>
      <c r="F402" s="43" t="s">
        <v>2861</v>
      </c>
      <c r="G402" s="6" t="str">
        <f ca="1">IFERROR(__xludf.DUMMYFUNCTION("CONCATENATE(B402,(VLOOKUP(C402,CATALOGOS!$F$2:$H$6,3,FALSE)),(VLOOKUP(T402,CATALOGOS!$J$2:$K$18,2,FALSE)),""-"",TO_TEXT(A402))"),"P12SI-0401")</f>
        <v>P12SI-0401</v>
      </c>
      <c r="H402" s="6" t="s">
        <v>2862</v>
      </c>
      <c r="I402" s="6" t="s">
        <v>2863</v>
      </c>
      <c r="J402" s="6" t="s">
        <v>2864</v>
      </c>
      <c r="K402" s="6" t="s">
        <v>2865</v>
      </c>
      <c r="L402" s="17"/>
      <c r="M402" s="17"/>
      <c r="N402" s="17" t="str">
        <f t="shared" si="1"/>
        <v>OK</v>
      </c>
      <c r="O402" s="17" t="s">
        <v>2866</v>
      </c>
      <c r="P402" s="6" t="s">
        <v>2867</v>
      </c>
      <c r="Q402" s="17" t="s">
        <v>2868</v>
      </c>
      <c r="R402" s="17" t="s">
        <v>85</v>
      </c>
      <c r="S402" s="173" t="s">
        <v>38</v>
      </c>
      <c r="T402" s="181" t="s">
        <v>1483</v>
      </c>
      <c r="U402" s="20" t="s">
        <v>1484</v>
      </c>
      <c r="V402" s="20" t="s">
        <v>1484</v>
      </c>
      <c r="W402" s="20"/>
      <c r="X402" s="7"/>
      <c r="Y402" s="7"/>
      <c r="Z402" s="23"/>
      <c r="AA402" s="26"/>
    </row>
    <row r="403" spans="1:27" ht="15.75" customHeight="1">
      <c r="A403" s="10" t="s">
        <v>2869</v>
      </c>
      <c r="B403" s="10" t="s">
        <v>1469</v>
      </c>
      <c r="C403" s="60" t="s">
        <v>1470</v>
      </c>
      <c r="D403" s="12"/>
      <c r="E403" s="13" t="s">
        <v>151</v>
      </c>
      <c r="F403" s="6" t="s">
        <v>698</v>
      </c>
      <c r="G403" s="6" t="str">
        <f ca="1">IFERROR(__xludf.DUMMYFUNCTION("CONCATENATE(B403,(VLOOKUP(C403,CATALOGOS!$F$2:$H$6,3,FALSE)),(VLOOKUP(T403,CATALOGOS!$J$2:$K$18,2,FALSE)),""-"",TO_TEXT(A403))"),"P12SI-0402")</f>
        <v>P12SI-0402</v>
      </c>
      <c r="H403" s="6" t="s">
        <v>2870</v>
      </c>
      <c r="I403" s="6" t="s">
        <v>2871</v>
      </c>
      <c r="J403" s="6" t="s">
        <v>2872</v>
      </c>
      <c r="K403" s="6" t="s">
        <v>2873</v>
      </c>
      <c r="L403" s="17"/>
      <c r="M403" s="17"/>
      <c r="N403" s="17" t="str">
        <f t="shared" si="1"/>
        <v>OK</v>
      </c>
      <c r="O403" s="17" t="s">
        <v>703</v>
      </c>
      <c r="P403" s="6" t="s">
        <v>2874</v>
      </c>
      <c r="Q403" s="17" t="s">
        <v>2875</v>
      </c>
      <c r="R403" s="17" t="s">
        <v>2876</v>
      </c>
      <c r="S403" s="173" t="s">
        <v>38</v>
      </c>
      <c r="T403" s="181" t="s">
        <v>1483</v>
      </c>
      <c r="U403" s="20" t="s">
        <v>1484</v>
      </c>
      <c r="V403" s="20" t="s">
        <v>1484</v>
      </c>
      <c r="W403" s="20"/>
      <c r="X403" s="6"/>
      <c r="Y403" s="6"/>
      <c r="Z403" s="23"/>
      <c r="AA403" s="33"/>
    </row>
    <row r="404" spans="1:27" ht="15.75" customHeight="1">
      <c r="A404" s="10" t="s">
        <v>2877</v>
      </c>
      <c r="B404" s="10" t="s">
        <v>1469</v>
      </c>
      <c r="C404" s="60" t="s">
        <v>1470</v>
      </c>
      <c r="D404" s="12"/>
      <c r="E404" s="13" t="s">
        <v>199</v>
      </c>
      <c r="F404" s="6" t="s">
        <v>677</v>
      </c>
      <c r="G404" s="6" t="str">
        <f ca="1">IFERROR(__xludf.DUMMYFUNCTION("CONCATENATE(B404,(VLOOKUP(C404,CATALOGOS!$F$2:$H$6,3,FALSE)),(VLOOKUP(T404,CATALOGOS!$J$2:$K$18,2,FALSE)),""-"",TO_TEXT(A404))"),"P12CT-0403")</f>
        <v>P12CT-0403</v>
      </c>
      <c r="H404" s="6" t="s">
        <v>2878</v>
      </c>
      <c r="I404" s="6" t="s">
        <v>2879</v>
      </c>
      <c r="J404" s="6" t="s">
        <v>2880</v>
      </c>
      <c r="K404" s="6" t="s">
        <v>141</v>
      </c>
      <c r="L404" s="17"/>
      <c r="M404" s="17"/>
      <c r="N404" s="17" t="str">
        <f t="shared" si="1"/>
        <v>REPETIDO</v>
      </c>
      <c r="O404" s="17" t="s">
        <v>682</v>
      </c>
      <c r="P404" s="32" t="s">
        <v>2881</v>
      </c>
      <c r="Q404" s="17" t="s">
        <v>2882</v>
      </c>
      <c r="R404" s="17" t="s">
        <v>2883</v>
      </c>
      <c r="S404" s="173" t="s">
        <v>38</v>
      </c>
      <c r="T404" s="11" t="s">
        <v>2884</v>
      </c>
      <c r="U404" s="20" t="s">
        <v>385</v>
      </c>
      <c r="V404" s="20" t="s">
        <v>385</v>
      </c>
      <c r="W404" s="20"/>
      <c r="X404" s="36"/>
      <c r="Y404" s="36"/>
      <c r="Z404" s="23"/>
      <c r="AA404" s="33"/>
    </row>
    <row r="405" spans="1:27" ht="15.75" customHeight="1">
      <c r="A405" s="10" t="s">
        <v>2886</v>
      </c>
      <c r="B405" s="10" t="s">
        <v>1469</v>
      </c>
      <c r="C405" s="60" t="s">
        <v>1470</v>
      </c>
      <c r="D405" s="12"/>
      <c r="E405" s="13" t="s">
        <v>199</v>
      </c>
      <c r="F405" s="6" t="s">
        <v>677</v>
      </c>
      <c r="G405" s="6" t="str">
        <f ca="1">IFERROR(__xludf.DUMMYFUNCTION("CONCATENATE(B405,(VLOOKUP(C405,CATALOGOS!$F$2:$H$6,3,FALSE)),(VLOOKUP(T405,CATALOGOS!$J$2:$K$18,2,FALSE)),""-"",TO_TEXT(A405))"),"P12RH-0404")</f>
        <v>P12RH-0404</v>
      </c>
      <c r="H405" s="6" t="s">
        <v>2887</v>
      </c>
      <c r="I405" s="6" t="s">
        <v>2888</v>
      </c>
      <c r="J405" s="6" t="s">
        <v>2889</v>
      </c>
      <c r="K405" s="6" t="s">
        <v>141</v>
      </c>
      <c r="L405" s="17"/>
      <c r="M405" s="17"/>
      <c r="N405" s="17" t="str">
        <f t="shared" si="1"/>
        <v>REPETIDO</v>
      </c>
      <c r="O405" s="17" t="s">
        <v>205</v>
      </c>
      <c r="P405" s="32" t="s">
        <v>2890</v>
      </c>
      <c r="Q405" s="17" t="s">
        <v>2891</v>
      </c>
      <c r="R405" s="17" t="s">
        <v>2892</v>
      </c>
      <c r="S405" s="173" t="s">
        <v>38</v>
      </c>
      <c r="T405" s="11" t="s">
        <v>723</v>
      </c>
      <c r="U405" s="20" t="s">
        <v>1185</v>
      </c>
      <c r="V405" s="20" t="s">
        <v>1185</v>
      </c>
      <c r="W405" s="20"/>
      <c r="X405" s="6"/>
      <c r="Y405" s="6"/>
      <c r="Z405" s="23"/>
      <c r="AA405" s="33"/>
    </row>
    <row r="406" spans="1:27" ht="15.75" customHeight="1">
      <c r="A406" s="10" t="s">
        <v>2893</v>
      </c>
      <c r="B406" s="10" t="s">
        <v>1469</v>
      </c>
      <c r="C406" s="60" t="s">
        <v>1470</v>
      </c>
      <c r="D406" s="12"/>
      <c r="E406" s="13" t="s">
        <v>199</v>
      </c>
      <c r="F406" s="6" t="s">
        <v>677</v>
      </c>
      <c r="G406" s="6" t="str">
        <f ca="1">IFERROR(__xludf.DUMMYFUNCTION("CONCATENATE(B406,(VLOOKUP(C406,CATALOGOS!$F$2:$H$6,3,FALSE)),(VLOOKUP(T406,CATALOGOS!$J$2:$K$18,2,FALSE)),""-"",TO_TEXT(A406))"),"P12SI-0405")</f>
        <v>P12SI-0405</v>
      </c>
      <c r="H406" s="6" t="s">
        <v>2894</v>
      </c>
      <c r="I406" s="6" t="s">
        <v>2895</v>
      </c>
      <c r="J406" s="6" t="s">
        <v>2896</v>
      </c>
      <c r="K406" s="6" t="s">
        <v>141</v>
      </c>
      <c r="L406" s="17"/>
      <c r="M406" s="17"/>
      <c r="N406" s="17" t="str">
        <f t="shared" si="1"/>
        <v>REPETIDO</v>
      </c>
      <c r="O406" s="17" t="s">
        <v>682</v>
      </c>
      <c r="P406" s="32" t="s">
        <v>2897</v>
      </c>
      <c r="Q406" s="17" t="s">
        <v>2898</v>
      </c>
      <c r="R406" s="17" t="s">
        <v>2899</v>
      </c>
      <c r="S406" s="173" t="s">
        <v>38</v>
      </c>
      <c r="T406" s="181" t="s">
        <v>1483</v>
      </c>
      <c r="U406" s="20" t="s">
        <v>1484</v>
      </c>
      <c r="V406" s="20" t="s">
        <v>1484</v>
      </c>
      <c r="W406" s="20"/>
      <c r="X406" s="7"/>
      <c r="Y406" s="7"/>
      <c r="Z406" s="23"/>
      <c r="AA406" s="26"/>
    </row>
    <row r="407" spans="1:27" ht="15.75" customHeight="1">
      <c r="A407" s="10" t="s">
        <v>2900</v>
      </c>
      <c r="B407" s="10" t="s">
        <v>1469</v>
      </c>
      <c r="C407" s="60" t="s">
        <v>1470</v>
      </c>
      <c r="D407" s="12"/>
      <c r="E407" s="13" t="s">
        <v>1142</v>
      </c>
      <c r="F407" s="43" t="s">
        <v>2901</v>
      </c>
      <c r="G407" s="6" t="str">
        <f ca="1">IFERROR(__xludf.DUMMYFUNCTION("CONCATENATE(B407,(VLOOKUP(C407,CATALOGOS!$F$2:$H$6,3,FALSE)),(VLOOKUP(T407,CATALOGOS!$J$2:$K$18,2,FALSE)),""-"",TO_TEXT(A407))"),"P12SI-0406")</f>
        <v>P12SI-0406</v>
      </c>
      <c r="H407" s="6" t="s">
        <v>2902</v>
      </c>
      <c r="I407" s="6" t="s">
        <v>2903</v>
      </c>
      <c r="J407" s="6" t="s">
        <v>2904</v>
      </c>
      <c r="K407" s="6" t="s">
        <v>2905</v>
      </c>
      <c r="L407" s="17"/>
      <c r="M407" s="17"/>
      <c r="N407" s="17" t="str">
        <f t="shared" si="1"/>
        <v>OK</v>
      </c>
      <c r="O407" s="17" t="s">
        <v>359</v>
      </c>
      <c r="P407" s="6" t="s">
        <v>2906</v>
      </c>
      <c r="Q407" s="17" t="s">
        <v>2907</v>
      </c>
      <c r="R407" s="10" t="s">
        <v>85</v>
      </c>
      <c r="S407" s="173" t="s">
        <v>38</v>
      </c>
      <c r="T407" s="181" t="s">
        <v>1483</v>
      </c>
      <c r="U407" s="20" t="s">
        <v>1484</v>
      </c>
      <c r="V407" s="20" t="s">
        <v>1484</v>
      </c>
      <c r="W407" s="20"/>
      <c r="X407" s="7"/>
      <c r="Y407" s="7"/>
      <c r="Z407" s="23"/>
      <c r="AA407" s="26"/>
    </row>
    <row r="408" spans="1:27" ht="15.75" customHeight="1">
      <c r="A408" s="10" t="s">
        <v>2908</v>
      </c>
      <c r="B408" s="10" t="s">
        <v>1469</v>
      </c>
      <c r="C408" s="60" t="s">
        <v>1470</v>
      </c>
      <c r="D408" s="12"/>
      <c r="E408" s="13" t="s">
        <v>151</v>
      </c>
      <c r="F408" s="6" t="s">
        <v>152</v>
      </c>
      <c r="G408" s="6" t="str">
        <f ca="1">IFERROR(__xludf.DUMMYFUNCTION("CONCATENATE(B408,(VLOOKUP(C408,CATALOGOS!$F$2:$H$6,3,FALSE)),(VLOOKUP(T408,CATALOGOS!$J$2:$K$18,2,FALSE)),""-"",TO_TEXT(A408))"),"P12SI-0407")</f>
        <v>P12SI-0407</v>
      </c>
      <c r="H408" s="6" t="s">
        <v>2909</v>
      </c>
      <c r="I408" s="6" t="s">
        <v>2910</v>
      </c>
      <c r="J408" s="6" t="s">
        <v>2911</v>
      </c>
      <c r="K408" s="6" t="s">
        <v>2912</v>
      </c>
      <c r="L408" s="17"/>
      <c r="M408" s="17"/>
      <c r="N408" s="17" t="str">
        <f t="shared" si="1"/>
        <v>OK</v>
      </c>
      <c r="O408" s="17" t="s">
        <v>1220</v>
      </c>
      <c r="P408" s="6" t="s">
        <v>720</v>
      </c>
      <c r="Q408" s="17" t="s">
        <v>2913</v>
      </c>
      <c r="R408" s="17" t="s">
        <v>2914</v>
      </c>
      <c r="S408" s="173" t="s">
        <v>2915</v>
      </c>
      <c r="T408" s="181" t="s">
        <v>1483</v>
      </c>
      <c r="U408" s="20" t="s">
        <v>1484</v>
      </c>
      <c r="V408" s="20" t="s">
        <v>1484</v>
      </c>
      <c r="W408" s="20"/>
      <c r="X408" s="7"/>
      <c r="Y408" s="7"/>
      <c r="Z408" s="23"/>
      <c r="AA408" s="26"/>
    </row>
    <row r="409" spans="1:27" ht="15.75" customHeight="1">
      <c r="A409" s="10" t="s">
        <v>2916</v>
      </c>
      <c r="B409" s="10" t="s">
        <v>1469</v>
      </c>
      <c r="C409" s="60" t="s">
        <v>1470</v>
      </c>
      <c r="D409" s="12"/>
      <c r="E409" s="13" t="s">
        <v>353</v>
      </c>
      <c r="F409" s="43" t="s">
        <v>638</v>
      </c>
      <c r="G409" s="6" t="str">
        <f ca="1">IFERROR(__xludf.DUMMYFUNCTION("CONCATENATE(B409,(VLOOKUP(C409,CATALOGOS!$F$2:$H$6,3,FALSE)),(VLOOKUP(T409,CATALOGOS!$J$2:$K$18,2,FALSE)),""-"",TO_TEXT(A409))"),"P12SI-0408")</f>
        <v>P12SI-0408</v>
      </c>
      <c r="H409" s="6" t="s">
        <v>2917</v>
      </c>
      <c r="I409" s="6" t="s">
        <v>2918</v>
      </c>
      <c r="J409" s="6" t="s">
        <v>2919</v>
      </c>
      <c r="K409" s="43" t="s">
        <v>2920</v>
      </c>
      <c r="L409" s="17"/>
      <c r="M409" s="17"/>
      <c r="N409" s="17" t="str">
        <f t="shared" si="1"/>
        <v>OK</v>
      </c>
      <c r="O409" s="66" t="s">
        <v>359</v>
      </c>
      <c r="P409" s="6">
        <v>1500</v>
      </c>
      <c r="Q409" s="17" t="s">
        <v>2921</v>
      </c>
      <c r="R409" s="10" t="s">
        <v>2922</v>
      </c>
      <c r="S409" s="173" t="s">
        <v>38</v>
      </c>
      <c r="T409" s="181" t="s">
        <v>1483</v>
      </c>
      <c r="U409" s="20" t="s">
        <v>1484</v>
      </c>
      <c r="V409" s="20" t="s">
        <v>1484</v>
      </c>
      <c r="W409" s="20"/>
      <c r="X409" s="7"/>
      <c r="Y409" s="7"/>
      <c r="Z409" s="23"/>
      <c r="AA409" s="26"/>
    </row>
    <row r="410" spans="1:27" ht="15.75" customHeight="1">
      <c r="A410" s="10" t="s">
        <v>2923</v>
      </c>
      <c r="B410" s="10" t="s">
        <v>1469</v>
      </c>
      <c r="C410" s="60" t="s">
        <v>1470</v>
      </c>
      <c r="D410" s="12"/>
      <c r="E410" s="13" t="s">
        <v>151</v>
      </c>
      <c r="F410" s="6" t="s">
        <v>698</v>
      </c>
      <c r="G410" s="6" t="str">
        <f ca="1">IFERROR(__xludf.DUMMYFUNCTION("CONCATENATE(B410,(VLOOKUP(C410,CATALOGOS!$F$2:$H$6,3,FALSE)),(VLOOKUP(T410,CATALOGOS!$J$2:$K$18,2,FALSE)),""-"",TO_TEXT(A410))"),"P12SI-0409")</f>
        <v>P12SI-0409</v>
      </c>
      <c r="H410" s="6" t="s">
        <v>2924</v>
      </c>
      <c r="I410" s="6" t="s">
        <v>2925</v>
      </c>
      <c r="J410" s="6" t="s">
        <v>2926</v>
      </c>
      <c r="K410" s="6" t="s">
        <v>2927</v>
      </c>
      <c r="L410" s="17"/>
      <c r="M410" s="17"/>
      <c r="N410" s="17" t="str">
        <f t="shared" si="1"/>
        <v>OK</v>
      </c>
      <c r="O410" s="17" t="s">
        <v>703</v>
      </c>
      <c r="P410" s="6" t="s">
        <v>2874</v>
      </c>
      <c r="Q410" s="17" t="s">
        <v>2928</v>
      </c>
      <c r="R410" s="10" t="s">
        <v>2929</v>
      </c>
      <c r="S410" s="173" t="s">
        <v>38</v>
      </c>
      <c r="T410" s="181" t="s">
        <v>1483</v>
      </c>
      <c r="U410" s="20" t="s">
        <v>1484</v>
      </c>
      <c r="V410" s="20" t="s">
        <v>1484</v>
      </c>
      <c r="W410" s="20"/>
      <c r="X410" s="7"/>
      <c r="Y410" s="7"/>
      <c r="Z410" s="23"/>
      <c r="AA410" s="26"/>
    </row>
    <row r="411" spans="1:27" ht="15.75" customHeight="1">
      <c r="A411" s="10" t="s">
        <v>2930</v>
      </c>
      <c r="B411" s="10" t="s">
        <v>1469</v>
      </c>
      <c r="C411" s="60" t="s">
        <v>1470</v>
      </c>
      <c r="D411" s="12"/>
      <c r="E411" s="13" t="s">
        <v>2734</v>
      </c>
      <c r="F411" s="43" t="s">
        <v>2734</v>
      </c>
      <c r="G411" s="6" t="str">
        <f ca="1">IFERROR(__xludf.DUMMYFUNCTION("CONCATENATE(B411,(VLOOKUP(C411,CATALOGOS!$F$2:$H$6,3,FALSE)),(VLOOKUP(T411,CATALOGOS!$J$2:$K$18,2,FALSE)),""-"",TO_TEXT(A411))"),"P12SI-0410")</f>
        <v>P12SI-0410</v>
      </c>
      <c r="H411" s="6" t="s">
        <v>2932</v>
      </c>
      <c r="I411" s="6" t="s">
        <v>2933</v>
      </c>
      <c r="J411" s="6" t="s">
        <v>2934</v>
      </c>
      <c r="K411" s="6" t="s">
        <v>2935</v>
      </c>
      <c r="L411" s="17"/>
      <c r="M411" s="17"/>
      <c r="N411" s="17" t="str">
        <f t="shared" si="1"/>
        <v>OK</v>
      </c>
      <c r="O411" s="17" t="s">
        <v>35</v>
      </c>
      <c r="P411" s="6" t="s">
        <v>35</v>
      </c>
      <c r="Q411" s="17" t="s">
        <v>36</v>
      </c>
      <c r="R411" s="17" t="s">
        <v>2936</v>
      </c>
      <c r="S411" s="173" t="s">
        <v>38</v>
      </c>
      <c r="T411" s="181" t="s">
        <v>1483</v>
      </c>
      <c r="U411" s="20" t="s">
        <v>2937</v>
      </c>
      <c r="V411" s="20" t="s">
        <v>2937</v>
      </c>
      <c r="W411" s="20"/>
      <c r="X411" s="7"/>
      <c r="Y411" s="7"/>
      <c r="Z411" s="23"/>
      <c r="AA411" s="26"/>
    </row>
    <row r="412" spans="1:27" ht="15.75" customHeight="1">
      <c r="A412" s="10" t="s">
        <v>2938</v>
      </c>
      <c r="B412" s="10" t="s">
        <v>1469</v>
      </c>
      <c r="C412" s="60" t="s">
        <v>1470</v>
      </c>
      <c r="D412" s="12"/>
      <c r="E412" s="13" t="s">
        <v>2817</v>
      </c>
      <c r="F412" s="43" t="s">
        <v>2817</v>
      </c>
      <c r="G412" s="6" t="str">
        <f ca="1">IFERROR(__xludf.DUMMYFUNCTION("CONCATENATE(B412,(VLOOKUP(C412,CATALOGOS!$F$2:$H$6,3,FALSE)),(VLOOKUP(T412,CATALOGOS!$J$2:$K$18,2,FALSE)),""-"",TO_TEXT(A412))"),"P12SI-0411")</f>
        <v>P12SI-0411</v>
      </c>
      <c r="H412" s="6" t="s">
        <v>2939</v>
      </c>
      <c r="I412" s="6" t="s">
        <v>2940</v>
      </c>
      <c r="J412" s="6" t="s">
        <v>2941</v>
      </c>
      <c r="K412" s="6" t="s">
        <v>2942</v>
      </c>
      <c r="L412" s="17"/>
      <c r="M412" s="17"/>
      <c r="N412" s="17" t="str">
        <f t="shared" si="1"/>
        <v>OK</v>
      </c>
      <c r="O412" s="17" t="s">
        <v>2943</v>
      </c>
      <c r="P412" s="6" t="s">
        <v>35</v>
      </c>
      <c r="Q412" s="17" t="s">
        <v>36</v>
      </c>
      <c r="R412" s="17" t="s">
        <v>2944</v>
      </c>
      <c r="S412" s="173" t="s">
        <v>38</v>
      </c>
      <c r="T412" s="181" t="s">
        <v>1483</v>
      </c>
      <c r="U412" s="68" t="s">
        <v>2937</v>
      </c>
      <c r="V412" s="68" t="s">
        <v>2937</v>
      </c>
      <c r="W412" s="68"/>
      <c r="X412" s="7"/>
      <c r="Y412" s="7"/>
      <c r="Z412" s="23"/>
      <c r="AA412" s="26"/>
    </row>
    <row r="413" spans="1:27" ht="15.75" customHeight="1">
      <c r="A413" s="10" t="s">
        <v>2945</v>
      </c>
      <c r="B413" s="10" t="s">
        <v>1469</v>
      </c>
      <c r="C413" s="60" t="s">
        <v>1470</v>
      </c>
      <c r="D413" s="12"/>
      <c r="E413" s="13" t="s">
        <v>2351</v>
      </c>
      <c r="F413" s="43" t="s">
        <v>2352</v>
      </c>
      <c r="G413" s="6" t="str">
        <f ca="1">IFERROR(__xludf.DUMMYFUNCTION("CONCATENATE(B413,(VLOOKUP(C413,CATALOGOS!$F$2:$H$6,3,FALSE)),(VLOOKUP(T413,CATALOGOS!$J$2:$K$18,2,FALSE)),""-"",TO_TEXT(A413))"),"P12SI-0412")</f>
        <v>P12SI-0412</v>
      </c>
      <c r="H413" s="6" t="s">
        <v>2946</v>
      </c>
      <c r="I413" s="6" t="s">
        <v>2947</v>
      </c>
      <c r="J413" s="6" t="s">
        <v>2948</v>
      </c>
      <c r="K413" s="6" t="s">
        <v>2949</v>
      </c>
      <c r="L413" s="17"/>
      <c r="M413" s="17"/>
      <c r="N413" s="17" t="str">
        <f t="shared" si="1"/>
        <v>OK</v>
      </c>
      <c r="O413" s="17" t="s">
        <v>2357</v>
      </c>
      <c r="P413" s="6" t="s">
        <v>35</v>
      </c>
      <c r="Q413" s="17" t="s">
        <v>2928</v>
      </c>
      <c r="R413" s="17" t="s">
        <v>2950</v>
      </c>
      <c r="S413" s="173" t="s">
        <v>38</v>
      </c>
      <c r="T413" s="181" t="s">
        <v>1483</v>
      </c>
      <c r="U413" s="20" t="s">
        <v>2937</v>
      </c>
      <c r="V413" s="20" t="s">
        <v>2937</v>
      </c>
      <c r="W413" s="20"/>
      <c r="X413" s="7"/>
      <c r="Y413" s="7"/>
      <c r="Z413" s="23"/>
      <c r="AA413" s="26"/>
    </row>
    <row r="414" spans="1:27" ht="15.75" customHeight="1">
      <c r="A414" s="10" t="s">
        <v>2951</v>
      </c>
      <c r="B414" s="10" t="s">
        <v>1469</v>
      </c>
      <c r="C414" s="60" t="s">
        <v>1470</v>
      </c>
      <c r="D414" s="12"/>
      <c r="E414" s="13" t="s">
        <v>501</v>
      </c>
      <c r="F414" s="6" t="s">
        <v>2952</v>
      </c>
      <c r="G414" s="6" t="str">
        <f ca="1">IFERROR(__xludf.DUMMYFUNCTION("CONCATENATE(B414,(VLOOKUP(C414,CATALOGOS!$F$2:$H$6,3,FALSE)),(VLOOKUP(T414,CATALOGOS!$J$2:$K$18,2,FALSE)),""-"",TO_TEXT(A414))"),"P12SI-0413")</f>
        <v>P12SI-0413</v>
      </c>
      <c r="H414" s="6" t="s">
        <v>2953</v>
      </c>
      <c r="I414" s="6" t="s">
        <v>2954</v>
      </c>
      <c r="J414" s="6" t="s">
        <v>2955</v>
      </c>
      <c r="K414" s="43" t="s">
        <v>2956</v>
      </c>
      <c r="L414" s="17"/>
      <c r="M414" s="17"/>
      <c r="N414" s="17" t="str">
        <f t="shared" si="1"/>
        <v>OK</v>
      </c>
      <c r="O414" s="17" t="s">
        <v>35</v>
      </c>
      <c r="P414" s="6" t="s">
        <v>35</v>
      </c>
      <c r="Q414" s="17" t="s">
        <v>36</v>
      </c>
      <c r="R414" s="10" t="s">
        <v>2957</v>
      </c>
      <c r="S414" s="173" t="s">
        <v>38</v>
      </c>
      <c r="T414" s="181" t="s">
        <v>1483</v>
      </c>
      <c r="U414" s="20" t="s">
        <v>1484</v>
      </c>
      <c r="V414" s="20" t="s">
        <v>1484</v>
      </c>
      <c r="W414" s="20"/>
      <c r="X414" s="7"/>
      <c r="Y414" s="7"/>
      <c r="Z414" s="23"/>
      <c r="AA414" s="26"/>
    </row>
    <row r="415" spans="1:27" ht="15.75" customHeight="1">
      <c r="A415" s="10" t="s">
        <v>2958</v>
      </c>
      <c r="B415" s="10" t="s">
        <v>1469</v>
      </c>
      <c r="C415" s="60" t="s">
        <v>1470</v>
      </c>
      <c r="D415" s="12"/>
      <c r="E415" s="13" t="s">
        <v>2734</v>
      </c>
      <c r="F415" s="43" t="s">
        <v>2734</v>
      </c>
      <c r="G415" s="6" t="str">
        <f ca="1">IFERROR(__xludf.DUMMYFUNCTION("CONCATENATE(B415,(VLOOKUP(C415,CATALOGOS!$F$2:$H$6,3,FALSE)),(VLOOKUP(T415,CATALOGOS!$J$2:$K$18,2,FALSE)),""-"",TO_TEXT(A415))"),"P12SI-0414")</f>
        <v>P12SI-0414</v>
      </c>
      <c r="H415" s="6" t="s">
        <v>2959</v>
      </c>
      <c r="I415" s="6" t="s">
        <v>2960</v>
      </c>
      <c r="J415" s="49" t="s">
        <v>2961</v>
      </c>
      <c r="K415" s="6" t="s">
        <v>2962</v>
      </c>
      <c r="L415" s="17"/>
      <c r="M415" s="17"/>
      <c r="N415" s="17" t="str">
        <f t="shared" si="1"/>
        <v>OK</v>
      </c>
      <c r="O415" s="17" t="s">
        <v>35</v>
      </c>
      <c r="P415" s="6" t="s">
        <v>35</v>
      </c>
      <c r="Q415" s="17" t="s">
        <v>36</v>
      </c>
      <c r="R415" s="17" t="s">
        <v>2963</v>
      </c>
      <c r="S415" s="173" t="s">
        <v>38</v>
      </c>
      <c r="T415" s="181" t="s">
        <v>1483</v>
      </c>
      <c r="U415" s="20" t="s">
        <v>2964</v>
      </c>
      <c r="V415" s="20" t="s">
        <v>2964</v>
      </c>
      <c r="W415" s="20"/>
      <c r="X415" s="7"/>
      <c r="Y415" s="7"/>
      <c r="Z415" s="23"/>
      <c r="AA415" s="26"/>
    </row>
    <row r="416" spans="1:27" ht="15.75" customHeight="1">
      <c r="A416" s="10" t="s">
        <v>2965</v>
      </c>
      <c r="B416" s="10" t="s">
        <v>1469</v>
      </c>
      <c r="C416" s="60" t="s">
        <v>1470</v>
      </c>
      <c r="D416" s="12"/>
      <c r="E416" s="13" t="s">
        <v>2817</v>
      </c>
      <c r="F416" s="43" t="s">
        <v>2817</v>
      </c>
      <c r="G416" s="6" t="str">
        <f ca="1">IFERROR(__xludf.DUMMYFUNCTION("CONCATENATE(B416,(VLOOKUP(C416,CATALOGOS!$F$2:$H$6,3,FALSE)),(VLOOKUP(T416,CATALOGOS!$J$2:$K$18,2,FALSE)),""-"",TO_TEXT(A416))"),"P12SI-0415")</f>
        <v>P12SI-0415</v>
      </c>
      <c r="H416" s="6" t="s">
        <v>2966</v>
      </c>
      <c r="I416" s="6" t="s">
        <v>2967</v>
      </c>
      <c r="J416" s="6" t="s">
        <v>2968</v>
      </c>
      <c r="K416" s="6" t="s">
        <v>2969</v>
      </c>
      <c r="L416" s="17"/>
      <c r="M416" s="17"/>
      <c r="N416" s="17" t="str">
        <f t="shared" si="1"/>
        <v>OK</v>
      </c>
      <c r="O416" s="17" t="s">
        <v>2822</v>
      </c>
      <c r="P416" s="6" t="s">
        <v>35</v>
      </c>
      <c r="Q416" s="6" t="s">
        <v>36</v>
      </c>
      <c r="R416" s="17" t="s">
        <v>2970</v>
      </c>
      <c r="S416" s="173" t="s">
        <v>38</v>
      </c>
      <c r="T416" s="181" t="s">
        <v>1483</v>
      </c>
      <c r="U416" s="20" t="s">
        <v>2964</v>
      </c>
      <c r="V416" s="20" t="s">
        <v>2964</v>
      </c>
      <c r="W416" s="20"/>
      <c r="X416" s="7"/>
      <c r="Y416" s="7"/>
      <c r="Z416" s="23"/>
      <c r="AA416" s="26"/>
    </row>
    <row r="417" spans="1:27" ht="15.75" customHeight="1">
      <c r="A417" s="10" t="s">
        <v>2971</v>
      </c>
      <c r="B417" s="10" t="s">
        <v>1469</v>
      </c>
      <c r="C417" s="60" t="s">
        <v>1470</v>
      </c>
      <c r="D417" s="12"/>
      <c r="E417" s="13" t="s">
        <v>2351</v>
      </c>
      <c r="F417" s="43" t="s">
        <v>2352</v>
      </c>
      <c r="G417" s="6" t="str">
        <f ca="1">IFERROR(__xludf.DUMMYFUNCTION("CONCATENATE(B417,(VLOOKUP(C417,CATALOGOS!$F$2:$H$6,3,FALSE)),(VLOOKUP(T417,CATALOGOS!$J$2:$K$18,2,FALSE)),""-"",TO_TEXT(A417))"),"P12SI-0416")</f>
        <v>P12SI-0416</v>
      </c>
      <c r="H417" s="6" t="s">
        <v>2972</v>
      </c>
      <c r="I417" s="6" t="s">
        <v>2973</v>
      </c>
      <c r="J417" s="6" t="s">
        <v>2974</v>
      </c>
      <c r="K417" s="6" t="s">
        <v>2975</v>
      </c>
      <c r="L417" s="17"/>
      <c r="M417" s="17"/>
      <c r="N417" s="17" t="str">
        <f t="shared" si="1"/>
        <v>OK</v>
      </c>
      <c r="O417" s="17" t="s">
        <v>2976</v>
      </c>
      <c r="P417" s="6" t="s">
        <v>2977</v>
      </c>
      <c r="Q417" s="6" t="s">
        <v>2978</v>
      </c>
      <c r="R417" s="10" t="s">
        <v>2979</v>
      </c>
      <c r="S417" s="173" t="s">
        <v>38</v>
      </c>
      <c r="T417" s="181" t="s">
        <v>1483</v>
      </c>
      <c r="U417" s="20" t="s">
        <v>2964</v>
      </c>
      <c r="V417" s="20" t="s">
        <v>2964</v>
      </c>
      <c r="W417" s="20"/>
      <c r="X417" s="7"/>
      <c r="Y417" s="7"/>
      <c r="Z417" s="23"/>
      <c r="AA417" s="26"/>
    </row>
    <row r="418" spans="1:27" ht="15.75" customHeight="1">
      <c r="A418" s="10" t="s">
        <v>2980</v>
      </c>
      <c r="B418" s="10" t="s">
        <v>1469</v>
      </c>
      <c r="C418" s="60" t="s">
        <v>1470</v>
      </c>
      <c r="D418" s="12"/>
      <c r="E418" s="13" t="s">
        <v>93</v>
      </c>
      <c r="F418" s="6" t="s">
        <v>2981</v>
      </c>
      <c r="G418" s="6" t="str">
        <f ca="1">IFERROR(__xludf.DUMMYFUNCTION("CONCATENATE(B418,(VLOOKUP(C418,CATALOGOS!$F$2:$H$6,3,FALSE)),(VLOOKUP(T418,CATALOGOS!$J$2:$K$18,2,FALSE)),""-"",TO_TEXT(A418))"),"P12SI-0417")</f>
        <v>P12SI-0417</v>
      </c>
      <c r="H418" s="6" t="s">
        <v>2982</v>
      </c>
      <c r="I418" s="6" t="s">
        <v>2983</v>
      </c>
      <c r="J418" s="6" t="s">
        <v>2984</v>
      </c>
      <c r="K418" s="6" t="s">
        <v>2985</v>
      </c>
      <c r="L418" s="17"/>
      <c r="M418" s="17"/>
      <c r="N418" s="17" t="str">
        <f t="shared" si="1"/>
        <v>OK</v>
      </c>
      <c r="O418" s="17" t="s">
        <v>35</v>
      </c>
      <c r="P418" s="6" t="s">
        <v>35</v>
      </c>
      <c r="Q418" s="17" t="s">
        <v>36</v>
      </c>
      <c r="R418" s="17" t="s">
        <v>2986</v>
      </c>
      <c r="S418" s="173" t="s">
        <v>38</v>
      </c>
      <c r="T418" s="181" t="s">
        <v>1483</v>
      </c>
      <c r="U418" s="20" t="s">
        <v>1484</v>
      </c>
      <c r="V418" s="20" t="s">
        <v>1484</v>
      </c>
      <c r="W418" s="20"/>
      <c r="X418" s="7"/>
      <c r="Y418" s="7"/>
      <c r="Z418" s="23"/>
      <c r="AA418" s="26"/>
    </row>
    <row r="419" spans="1:27" ht="15.75" customHeight="1">
      <c r="A419" s="10" t="s">
        <v>2987</v>
      </c>
      <c r="B419" s="10" t="s">
        <v>1469</v>
      </c>
      <c r="C419" s="60" t="s">
        <v>1470</v>
      </c>
      <c r="D419" s="12"/>
      <c r="E419" s="13" t="s">
        <v>2988</v>
      </c>
      <c r="F419" s="6" t="s">
        <v>2988</v>
      </c>
      <c r="G419" s="6" t="str">
        <f ca="1">IFERROR(__xludf.DUMMYFUNCTION("CONCATENATE(B419,(VLOOKUP(C419,CATALOGOS!$F$2:$H$6,3,FALSE)),(VLOOKUP(T419,CATALOGOS!$J$2:$K$18,2,FALSE)),""-"",TO_TEXT(A419))"),"P12SI-0418")</f>
        <v>P12SI-0418</v>
      </c>
      <c r="H419" s="6" t="s">
        <v>2989</v>
      </c>
      <c r="I419" s="6" t="s">
        <v>2990</v>
      </c>
      <c r="J419" s="6" t="s">
        <v>2991</v>
      </c>
      <c r="K419" s="6" t="s">
        <v>2992</v>
      </c>
      <c r="L419" s="17"/>
      <c r="M419" s="17"/>
      <c r="N419" s="17" t="str">
        <f t="shared" si="1"/>
        <v>OK</v>
      </c>
      <c r="O419" s="17" t="s">
        <v>2993</v>
      </c>
      <c r="P419" s="6" t="s">
        <v>2994</v>
      </c>
      <c r="Q419" s="17" t="s">
        <v>2995</v>
      </c>
      <c r="R419" s="17" t="s">
        <v>2996</v>
      </c>
      <c r="S419" s="173" t="s">
        <v>38</v>
      </c>
      <c r="T419" s="181" t="s">
        <v>1483</v>
      </c>
      <c r="U419" s="20" t="s">
        <v>1484</v>
      </c>
      <c r="V419" s="20" t="s">
        <v>1484</v>
      </c>
      <c r="W419" s="20"/>
      <c r="X419" s="6"/>
      <c r="Y419" s="6"/>
      <c r="Z419" s="23"/>
      <c r="AA419" s="33"/>
    </row>
    <row r="420" spans="1:27" ht="15.75" customHeight="1">
      <c r="A420" s="10" t="s">
        <v>2998</v>
      </c>
      <c r="B420" s="10" t="s">
        <v>1469</v>
      </c>
      <c r="C420" s="60" t="s">
        <v>1470</v>
      </c>
      <c r="D420" s="12"/>
      <c r="E420" s="13" t="s">
        <v>2988</v>
      </c>
      <c r="F420" s="6" t="s">
        <v>2988</v>
      </c>
      <c r="G420" s="6" t="str">
        <f ca="1">IFERROR(__xludf.DUMMYFUNCTION("CONCATENATE(B420,(VLOOKUP(C420,CATALOGOS!$F$2:$H$6,3,FALSE)),(VLOOKUP(T420,CATALOGOS!$J$2:$K$18,2,FALSE)),""-"",TO_TEXT(A420))"),"P12SI-0419")</f>
        <v>P12SI-0419</v>
      </c>
      <c r="H420" s="6" t="s">
        <v>2999</v>
      </c>
      <c r="I420" s="6" t="s">
        <v>3000</v>
      </c>
      <c r="J420" s="6" t="s">
        <v>3001</v>
      </c>
      <c r="K420" s="6" t="s">
        <v>3002</v>
      </c>
      <c r="L420" s="17"/>
      <c r="M420" s="17"/>
      <c r="N420" s="17" t="str">
        <f t="shared" si="1"/>
        <v>OK</v>
      </c>
      <c r="O420" s="17" t="s">
        <v>2993</v>
      </c>
      <c r="P420" s="6" t="s">
        <v>3003</v>
      </c>
      <c r="Q420" s="17" t="s">
        <v>3004</v>
      </c>
      <c r="R420" s="17" t="s">
        <v>3005</v>
      </c>
      <c r="S420" s="173" t="s">
        <v>38</v>
      </c>
      <c r="T420" s="181" t="s">
        <v>1483</v>
      </c>
      <c r="U420" s="20" t="s">
        <v>1484</v>
      </c>
      <c r="V420" s="20" t="s">
        <v>1484</v>
      </c>
      <c r="W420" s="20"/>
      <c r="X420" s="6"/>
      <c r="Y420" s="6"/>
      <c r="Z420" s="23"/>
      <c r="AA420" s="33"/>
    </row>
    <row r="421" spans="1:27" ht="15.75" customHeight="1">
      <c r="A421" s="10" t="s">
        <v>3007</v>
      </c>
      <c r="B421" s="10" t="s">
        <v>1469</v>
      </c>
      <c r="C421" s="60" t="s">
        <v>1470</v>
      </c>
      <c r="D421" s="12"/>
      <c r="E421" s="13" t="s">
        <v>2988</v>
      </c>
      <c r="F421" s="6" t="s">
        <v>2988</v>
      </c>
      <c r="G421" s="6" t="str">
        <f ca="1">IFERROR(__xludf.DUMMYFUNCTION("CONCATENATE(B421,(VLOOKUP(C421,CATALOGOS!$F$2:$H$6,3,FALSE)),(VLOOKUP(T421,CATALOGOS!$J$2:$K$18,2,FALSE)),""-"",TO_TEXT(A421))"),"P12SI-0420")</f>
        <v>P12SI-0420</v>
      </c>
      <c r="H421" s="6" t="s">
        <v>3008</v>
      </c>
      <c r="I421" s="6" t="s">
        <v>3009</v>
      </c>
      <c r="J421" s="6" t="s">
        <v>3010</v>
      </c>
      <c r="K421" s="6" t="s">
        <v>3011</v>
      </c>
      <c r="L421" s="17"/>
      <c r="M421" s="17"/>
      <c r="N421" s="17" t="str">
        <f t="shared" si="1"/>
        <v>OK</v>
      </c>
      <c r="O421" s="17" t="s">
        <v>2993</v>
      </c>
      <c r="P421" s="6" t="s">
        <v>3003</v>
      </c>
      <c r="Q421" s="17" t="s">
        <v>3013</v>
      </c>
      <c r="R421" s="17" t="s">
        <v>3014</v>
      </c>
      <c r="S421" s="173" t="s">
        <v>38</v>
      </c>
      <c r="T421" s="181" t="s">
        <v>1483</v>
      </c>
      <c r="U421" s="20" t="s">
        <v>1484</v>
      </c>
      <c r="V421" s="20" t="s">
        <v>1484</v>
      </c>
      <c r="W421" s="20"/>
      <c r="X421" s="6"/>
      <c r="Y421" s="6"/>
      <c r="Z421" s="23"/>
      <c r="AA421" s="33"/>
    </row>
    <row r="422" spans="1:27" ht="15.75" customHeight="1">
      <c r="A422" s="10" t="s">
        <v>3016</v>
      </c>
      <c r="B422" s="10" t="s">
        <v>1469</v>
      </c>
      <c r="C422" s="60" t="s">
        <v>1470</v>
      </c>
      <c r="D422" s="12"/>
      <c r="E422" s="13" t="s">
        <v>2988</v>
      </c>
      <c r="F422" s="6" t="s">
        <v>2988</v>
      </c>
      <c r="G422" s="6" t="str">
        <f ca="1">IFERROR(__xludf.DUMMYFUNCTION("CONCATENATE(B422,(VLOOKUP(C422,CATALOGOS!$F$2:$H$6,3,FALSE)),(VLOOKUP(T422,CATALOGOS!$J$2:$K$18,2,FALSE)),""-"",TO_TEXT(A422))"),"P12SI-0421")</f>
        <v>P12SI-0421</v>
      </c>
      <c r="H422" s="6" t="s">
        <v>3017</v>
      </c>
      <c r="I422" s="6" t="s">
        <v>3018</v>
      </c>
      <c r="J422" s="6" t="s">
        <v>3019</v>
      </c>
      <c r="K422" s="6" t="s">
        <v>3020</v>
      </c>
      <c r="L422" s="17"/>
      <c r="M422" s="17"/>
      <c r="N422" s="17" t="str">
        <f t="shared" si="1"/>
        <v>OK</v>
      </c>
      <c r="O422" s="17" t="s">
        <v>2993</v>
      </c>
      <c r="P422" s="6" t="s">
        <v>3003</v>
      </c>
      <c r="Q422" s="17" t="s">
        <v>3021</v>
      </c>
      <c r="R422" s="17" t="s">
        <v>3022</v>
      </c>
      <c r="S422" s="173" t="s">
        <v>38</v>
      </c>
      <c r="T422" s="181" t="s">
        <v>1483</v>
      </c>
      <c r="U422" s="20" t="s">
        <v>1484</v>
      </c>
      <c r="V422" s="20" t="s">
        <v>1484</v>
      </c>
      <c r="W422" s="20"/>
      <c r="X422" s="6"/>
      <c r="Y422" s="6"/>
      <c r="Z422" s="23"/>
      <c r="AA422" s="33"/>
    </row>
    <row r="423" spans="1:27" ht="15.75" customHeight="1">
      <c r="A423" s="10" t="s">
        <v>3024</v>
      </c>
      <c r="B423" s="10" t="s">
        <v>1469</v>
      </c>
      <c r="C423" s="60" t="s">
        <v>1470</v>
      </c>
      <c r="D423" s="12"/>
      <c r="E423" s="13" t="s">
        <v>2988</v>
      </c>
      <c r="F423" s="6" t="s">
        <v>2988</v>
      </c>
      <c r="G423" s="6" t="str">
        <f ca="1">IFERROR(__xludf.DUMMYFUNCTION("CONCATENATE(B423,(VLOOKUP(C423,CATALOGOS!$F$2:$H$6,3,FALSE)),(VLOOKUP(T423,CATALOGOS!$J$2:$K$18,2,FALSE)),""-"",TO_TEXT(A423))"),"P12SI-0422")</f>
        <v>P12SI-0422</v>
      </c>
      <c r="H423" s="6" t="s">
        <v>3025</v>
      </c>
      <c r="I423" s="6" t="s">
        <v>3026</v>
      </c>
      <c r="J423" s="6" t="s">
        <v>3027</v>
      </c>
      <c r="K423" s="6" t="s">
        <v>3028</v>
      </c>
      <c r="L423" s="17"/>
      <c r="M423" s="17"/>
      <c r="N423" s="17" t="str">
        <f t="shared" si="1"/>
        <v>OK</v>
      </c>
      <c r="O423" s="17" t="s">
        <v>2993</v>
      </c>
      <c r="P423" s="6" t="s">
        <v>3003</v>
      </c>
      <c r="Q423" s="17" t="s">
        <v>3029</v>
      </c>
      <c r="R423" s="17" t="s">
        <v>3030</v>
      </c>
      <c r="S423" s="173" t="s">
        <v>38</v>
      </c>
      <c r="T423" s="181" t="s">
        <v>1483</v>
      </c>
      <c r="U423" s="20" t="s">
        <v>1484</v>
      </c>
      <c r="V423" s="20" t="s">
        <v>1484</v>
      </c>
      <c r="W423" s="20"/>
      <c r="X423" s="6"/>
      <c r="Y423" s="6"/>
      <c r="Z423" s="23"/>
      <c r="AA423" s="33"/>
    </row>
    <row r="424" spans="1:27" ht="15.75" customHeight="1">
      <c r="A424" s="10" t="s">
        <v>3032</v>
      </c>
      <c r="B424" s="10" t="s">
        <v>1469</v>
      </c>
      <c r="C424" s="60" t="s">
        <v>1470</v>
      </c>
      <c r="D424" s="12"/>
      <c r="E424" s="13" t="s">
        <v>2988</v>
      </c>
      <c r="F424" s="6" t="s">
        <v>2988</v>
      </c>
      <c r="G424" s="6" t="str">
        <f ca="1">IFERROR(__xludf.DUMMYFUNCTION("CONCATENATE(B424,(VLOOKUP(C424,CATALOGOS!$F$2:$H$6,3,FALSE)),(VLOOKUP(T424,CATALOGOS!$J$2:$K$18,2,FALSE)),""-"",TO_TEXT(A424))"),"P12SI-0423")</f>
        <v>P12SI-0423</v>
      </c>
      <c r="H424" s="6" t="s">
        <v>3033</v>
      </c>
      <c r="I424" s="6" t="s">
        <v>3034</v>
      </c>
      <c r="J424" s="6" t="s">
        <v>3035</v>
      </c>
      <c r="K424" s="6" t="s">
        <v>3036</v>
      </c>
      <c r="L424" s="17"/>
      <c r="M424" s="17"/>
      <c r="N424" s="17" t="str">
        <f t="shared" si="1"/>
        <v>OK</v>
      </c>
      <c r="O424" s="17" t="s">
        <v>2993</v>
      </c>
      <c r="P424" s="6" t="s">
        <v>3037</v>
      </c>
      <c r="Q424" s="17" t="s">
        <v>3038</v>
      </c>
      <c r="R424" s="17" t="s">
        <v>3039</v>
      </c>
      <c r="S424" s="173" t="s">
        <v>38</v>
      </c>
      <c r="T424" s="181" t="s">
        <v>1483</v>
      </c>
      <c r="U424" s="20" t="s">
        <v>1484</v>
      </c>
      <c r="V424" s="20" t="s">
        <v>1484</v>
      </c>
      <c r="W424" s="20"/>
      <c r="X424" s="6"/>
      <c r="Y424" s="6"/>
      <c r="Z424" s="23"/>
      <c r="AA424" s="33"/>
    </row>
    <row r="425" spans="1:27" ht="15.75" customHeight="1">
      <c r="A425" s="10" t="s">
        <v>3041</v>
      </c>
      <c r="B425" s="10" t="s">
        <v>1469</v>
      </c>
      <c r="C425" s="60" t="s">
        <v>1470</v>
      </c>
      <c r="D425" s="12"/>
      <c r="E425" s="13" t="s">
        <v>2988</v>
      </c>
      <c r="F425" s="6" t="s">
        <v>2988</v>
      </c>
      <c r="G425" s="6" t="str">
        <f ca="1">IFERROR(__xludf.DUMMYFUNCTION("CONCATENATE(B425,(VLOOKUP(C425,CATALOGOS!$F$2:$H$6,3,FALSE)),(VLOOKUP(T425,CATALOGOS!$J$2:$K$18,2,FALSE)),""-"",TO_TEXT(A425))"),"P12SI-0424")</f>
        <v>P12SI-0424</v>
      </c>
      <c r="H425" s="6" t="s">
        <v>3042</v>
      </c>
      <c r="I425" s="6" t="s">
        <v>3043</v>
      </c>
      <c r="J425" s="6" t="s">
        <v>3044</v>
      </c>
      <c r="K425" s="6" t="s">
        <v>3045</v>
      </c>
      <c r="L425" s="17"/>
      <c r="M425" s="17"/>
      <c r="N425" s="17" t="str">
        <f t="shared" si="1"/>
        <v>OK</v>
      </c>
      <c r="O425" s="17" t="s">
        <v>2993</v>
      </c>
      <c r="P425" s="6" t="s">
        <v>3046</v>
      </c>
      <c r="Q425" s="17" t="s">
        <v>3047</v>
      </c>
      <c r="R425" s="17" t="s">
        <v>3048</v>
      </c>
      <c r="S425" s="173" t="s">
        <v>38</v>
      </c>
      <c r="T425" s="181" t="s">
        <v>1483</v>
      </c>
      <c r="U425" s="20" t="s">
        <v>1484</v>
      </c>
      <c r="V425" s="20" t="s">
        <v>1484</v>
      </c>
      <c r="W425" s="20"/>
      <c r="X425" s="6"/>
      <c r="Y425" s="6"/>
      <c r="Z425" s="23"/>
      <c r="AA425" s="33"/>
    </row>
    <row r="426" spans="1:27" ht="15.75" customHeight="1">
      <c r="A426" s="10" t="s">
        <v>3050</v>
      </c>
      <c r="B426" s="10" t="s">
        <v>1469</v>
      </c>
      <c r="C426" s="60" t="s">
        <v>1470</v>
      </c>
      <c r="D426" s="12"/>
      <c r="E426" s="13" t="s">
        <v>2988</v>
      </c>
      <c r="F426" s="6" t="s">
        <v>2988</v>
      </c>
      <c r="G426" s="6" t="str">
        <f ca="1">IFERROR(__xludf.DUMMYFUNCTION("CONCATENATE(B426,(VLOOKUP(C426,CATALOGOS!$F$2:$H$6,3,FALSE)),(VLOOKUP(T426,CATALOGOS!$J$2:$K$18,2,FALSE)),""-"",TO_TEXT(A426))"),"P12SI-0425")</f>
        <v>P12SI-0425</v>
      </c>
      <c r="H426" s="6" t="s">
        <v>3051</v>
      </c>
      <c r="I426" s="6" t="s">
        <v>3052</v>
      </c>
      <c r="J426" s="6" t="s">
        <v>3053</v>
      </c>
      <c r="K426" s="6" t="s">
        <v>3054</v>
      </c>
      <c r="L426" s="17"/>
      <c r="M426" s="17"/>
      <c r="N426" s="17" t="str">
        <f t="shared" si="1"/>
        <v>OK</v>
      </c>
      <c r="O426" s="17" t="s">
        <v>2993</v>
      </c>
      <c r="P426" s="6" t="s">
        <v>3037</v>
      </c>
      <c r="Q426" s="17" t="s">
        <v>36</v>
      </c>
      <c r="R426" s="17" t="s">
        <v>3058</v>
      </c>
      <c r="S426" s="173" t="s">
        <v>38</v>
      </c>
      <c r="T426" s="181" t="s">
        <v>1483</v>
      </c>
      <c r="U426" s="20" t="s">
        <v>1484</v>
      </c>
      <c r="V426" s="20" t="s">
        <v>1484</v>
      </c>
      <c r="W426" s="20"/>
      <c r="X426" s="6"/>
      <c r="Y426" s="6"/>
      <c r="Z426" s="23"/>
      <c r="AA426" s="33"/>
    </row>
    <row r="427" spans="1:27" ht="15.75" customHeight="1">
      <c r="A427" s="10" t="s">
        <v>3060</v>
      </c>
      <c r="B427" s="10" t="s">
        <v>1469</v>
      </c>
      <c r="C427" s="60" t="s">
        <v>1470</v>
      </c>
      <c r="D427" s="12"/>
      <c r="E427" s="13" t="s">
        <v>2300</v>
      </c>
      <c r="F427" s="6" t="s">
        <v>2596</v>
      </c>
      <c r="G427" s="6" t="str">
        <f ca="1">IFERROR(__xludf.DUMMYFUNCTION("CONCATENATE(B427,(VLOOKUP(C427,CATALOGOS!$F$2:$H$6,3,FALSE)),(VLOOKUP(T427,CATALOGOS!$J$2:$K$18,2,FALSE)),""-"",TO_TEXT(A427))"),"P12SI-0426")</f>
        <v>P12SI-0426</v>
      </c>
      <c r="H427" s="6" t="s">
        <v>3061</v>
      </c>
      <c r="I427" s="6" t="s">
        <v>3062</v>
      </c>
      <c r="J427" s="36"/>
      <c r="K427" s="6" t="s">
        <v>141</v>
      </c>
      <c r="L427" s="17"/>
      <c r="M427" s="17"/>
      <c r="N427" s="17" t="str">
        <f t="shared" si="1"/>
        <v>REPETIDO</v>
      </c>
      <c r="O427" s="17" t="s">
        <v>3063</v>
      </c>
      <c r="P427" s="6" t="s">
        <v>3064</v>
      </c>
      <c r="Q427" s="6" t="s">
        <v>3065</v>
      </c>
      <c r="R427" s="10" t="s">
        <v>85</v>
      </c>
      <c r="S427" s="173" t="s">
        <v>38</v>
      </c>
      <c r="T427" s="181" t="s">
        <v>1483</v>
      </c>
      <c r="U427" s="20" t="s">
        <v>1484</v>
      </c>
      <c r="V427" s="20" t="s">
        <v>1484</v>
      </c>
      <c r="W427" s="20"/>
      <c r="X427" s="6"/>
      <c r="Y427" s="6"/>
      <c r="Z427" s="23"/>
      <c r="AA427" s="33"/>
    </row>
    <row r="428" spans="1:27" ht="15.75" customHeight="1">
      <c r="A428" s="10" t="s">
        <v>3066</v>
      </c>
      <c r="B428" s="10" t="s">
        <v>1469</v>
      </c>
      <c r="C428" s="60" t="s">
        <v>1470</v>
      </c>
      <c r="D428" s="12"/>
      <c r="E428" s="13" t="s">
        <v>2300</v>
      </c>
      <c r="F428" s="6" t="s">
        <v>2596</v>
      </c>
      <c r="G428" s="6" t="str">
        <f ca="1">IFERROR(__xludf.DUMMYFUNCTION("CONCATENATE(B428,(VLOOKUP(C428,CATALOGOS!$F$2:$H$6,3,FALSE)),(VLOOKUP(T428,CATALOGOS!$J$2:$K$18,2,FALSE)),""-"",TO_TEXT(A428))"),"P12SI-0427")</f>
        <v>P12SI-0427</v>
      </c>
      <c r="H428" s="6" t="s">
        <v>3067</v>
      </c>
      <c r="I428" s="6" t="s">
        <v>3068</v>
      </c>
      <c r="J428" s="36"/>
      <c r="K428" s="6" t="s">
        <v>141</v>
      </c>
      <c r="L428" s="17"/>
      <c r="M428" s="17"/>
      <c r="N428" s="17" t="str">
        <f t="shared" si="1"/>
        <v>REPETIDO</v>
      </c>
      <c r="O428" s="17" t="s">
        <v>3069</v>
      </c>
      <c r="P428" s="6" t="s">
        <v>35</v>
      </c>
      <c r="Q428" s="6" t="s">
        <v>36</v>
      </c>
      <c r="R428" s="10" t="s">
        <v>85</v>
      </c>
      <c r="S428" s="173" t="s">
        <v>38</v>
      </c>
      <c r="T428" s="181" t="s">
        <v>1483</v>
      </c>
      <c r="U428" s="20" t="s">
        <v>1484</v>
      </c>
      <c r="V428" s="20" t="s">
        <v>1484</v>
      </c>
      <c r="W428" s="20"/>
      <c r="X428" s="6"/>
      <c r="Y428" s="6"/>
      <c r="Z428" s="23"/>
      <c r="AA428" s="33"/>
    </row>
    <row r="429" spans="1:27" ht="15.75" customHeight="1">
      <c r="A429" s="10" t="s">
        <v>3072</v>
      </c>
      <c r="B429" s="10" t="s">
        <v>1469</v>
      </c>
      <c r="C429" s="60" t="s">
        <v>1470</v>
      </c>
      <c r="D429" s="12"/>
      <c r="E429" s="13" t="s">
        <v>2300</v>
      </c>
      <c r="F429" s="6" t="s">
        <v>2596</v>
      </c>
      <c r="G429" s="6" t="str">
        <f ca="1">IFERROR(__xludf.DUMMYFUNCTION("CONCATENATE(B429,(VLOOKUP(C429,CATALOGOS!$F$2:$H$6,3,FALSE)),(VLOOKUP(T429,CATALOGOS!$J$2:$K$18,2,FALSE)),""-"",TO_TEXT(A429))"),"P12SI-0428")</f>
        <v>P12SI-0428</v>
      </c>
      <c r="H429" s="6" t="s">
        <v>3073</v>
      </c>
      <c r="I429" s="6" t="s">
        <v>3074</v>
      </c>
      <c r="J429" s="36"/>
      <c r="K429" s="6" t="s">
        <v>141</v>
      </c>
      <c r="L429" s="17"/>
      <c r="M429" s="17"/>
      <c r="N429" s="17" t="str">
        <f t="shared" si="1"/>
        <v>REPETIDO</v>
      </c>
      <c r="O429" s="17" t="s">
        <v>3063</v>
      </c>
      <c r="P429" s="6" t="s">
        <v>3064</v>
      </c>
      <c r="Q429" s="6" t="s">
        <v>3075</v>
      </c>
      <c r="R429" s="10" t="s">
        <v>85</v>
      </c>
      <c r="S429" s="173" t="s">
        <v>38</v>
      </c>
      <c r="T429" s="181" t="s">
        <v>1483</v>
      </c>
      <c r="U429" s="20" t="s">
        <v>1484</v>
      </c>
      <c r="V429" s="20" t="s">
        <v>1484</v>
      </c>
      <c r="W429" s="20"/>
      <c r="X429" s="6"/>
      <c r="Y429" s="6"/>
      <c r="Z429" s="23"/>
      <c r="AA429" s="33"/>
    </row>
    <row r="430" spans="1:27" ht="15.75" customHeight="1">
      <c r="A430" s="10" t="s">
        <v>3076</v>
      </c>
      <c r="B430" s="10" t="s">
        <v>1469</v>
      </c>
      <c r="C430" s="60" t="s">
        <v>1470</v>
      </c>
      <c r="D430" s="38"/>
      <c r="E430" s="13" t="s">
        <v>2988</v>
      </c>
      <c r="F430" s="6" t="s">
        <v>2988</v>
      </c>
      <c r="G430" s="6" t="str">
        <f ca="1">IFERROR(__xludf.DUMMYFUNCTION("CONCATENATE(B430,(VLOOKUP(C430,CATALOGOS!$F$2:$H$6,3,FALSE)),(VLOOKUP(T430,CATALOGOS!$J$2:$K$18,2,FALSE)),""-"",TO_TEXT(A430))"),"P12SI-0429")</f>
        <v>P12SI-0429</v>
      </c>
      <c r="H430" s="6" t="s">
        <v>3077</v>
      </c>
      <c r="I430" s="6" t="s">
        <v>3078</v>
      </c>
      <c r="J430" s="36"/>
      <c r="K430" s="6" t="s">
        <v>141</v>
      </c>
      <c r="L430" s="17"/>
      <c r="M430" s="17"/>
      <c r="N430" s="17" t="str">
        <f t="shared" si="1"/>
        <v>REPETIDO</v>
      </c>
      <c r="O430" s="17" t="s">
        <v>3079</v>
      </c>
      <c r="P430" s="6" t="s">
        <v>3080</v>
      </c>
      <c r="Q430" s="6">
        <v>358720</v>
      </c>
      <c r="R430" s="10" t="s">
        <v>85</v>
      </c>
      <c r="S430" s="173" t="s">
        <v>38</v>
      </c>
      <c r="T430" s="181" t="s">
        <v>1483</v>
      </c>
      <c r="U430" s="20" t="s">
        <v>1484</v>
      </c>
      <c r="V430" s="20" t="s">
        <v>1484</v>
      </c>
      <c r="W430" s="20"/>
      <c r="X430" s="6"/>
      <c r="Y430" s="6"/>
      <c r="Z430" s="26"/>
      <c r="AA430" s="33"/>
    </row>
    <row r="431" spans="1:27" ht="15.75" customHeight="1">
      <c r="A431" s="10" t="s">
        <v>3081</v>
      </c>
      <c r="B431" s="10" t="s">
        <v>1469</v>
      </c>
      <c r="C431" s="60" t="s">
        <v>1470</v>
      </c>
      <c r="D431" s="38"/>
      <c r="E431" s="13" t="s">
        <v>2300</v>
      </c>
      <c r="F431" s="6" t="s">
        <v>2300</v>
      </c>
      <c r="G431" s="6" t="str">
        <f ca="1">IFERROR(__xludf.DUMMYFUNCTION("CONCATENATE(B431,(VLOOKUP(C431,CATALOGOS!$F$2:$H$6,3,FALSE)),(VLOOKUP(T431,CATALOGOS!$J$2:$K$18,2,FALSE)),""-"",TO_TEXT(A431))"),"P12SI-0430")</f>
        <v>P12SI-0430</v>
      </c>
      <c r="H431" s="6"/>
      <c r="I431" s="6"/>
      <c r="J431" s="36"/>
      <c r="K431" s="6" t="s">
        <v>141</v>
      </c>
      <c r="L431" s="17"/>
      <c r="M431" s="17"/>
      <c r="N431" s="17"/>
      <c r="O431" s="35" t="s">
        <v>3082</v>
      </c>
      <c r="P431" s="6" t="s">
        <v>3083</v>
      </c>
      <c r="Q431" s="6">
        <v>104001694168</v>
      </c>
      <c r="R431" s="10" t="s">
        <v>3084</v>
      </c>
      <c r="S431" s="173" t="s">
        <v>38</v>
      </c>
      <c r="T431" s="181" t="s">
        <v>1483</v>
      </c>
      <c r="U431" s="10" t="s">
        <v>1484</v>
      </c>
      <c r="V431" s="10" t="s">
        <v>1484</v>
      </c>
      <c r="W431" s="10"/>
      <c r="X431" s="6"/>
      <c r="Y431" s="6"/>
      <c r="Z431" s="26"/>
      <c r="AA431" s="33"/>
    </row>
    <row r="432" spans="1:27" ht="15.75" customHeight="1">
      <c r="A432" s="10" t="s">
        <v>3085</v>
      </c>
      <c r="B432" s="10" t="s">
        <v>1469</v>
      </c>
      <c r="C432" s="60" t="s">
        <v>1470</v>
      </c>
      <c r="D432" s="12"/>
      <c r="E432" s="13" t="s">
        <v>162</v>
      </c>
      <c r="F432" s="6" t="s">
        <v>285</v>
      </c>
      <c r="G432" s="6" t="str">
        <f ca="1">IFERROR(__xludf.DUMMYFUNCTION("CONCATENATE(B432,(VLOOKUP(C432,CATALOGOS!$F$2:$H$6,3,FALSE)),(VLOOKUP(T432,CATALOGOS!$J$2:$K$18,2,FALSE)),""-"",TO_TEXT(A432))"),"P12PL-0431")</f>
        <v>P12PL-0431</v>
      </c>
      <c r="H432" s="6" t="s">
        <v>3086</v>
      </c>
      <c r="I432" s="6" t="s">
        <v>3087</v>
      </c>
      <c r="J432" s="6" t="s">
        <v>3088</v>
      </c>
      <c r="K432" s="6" t="s">
        <v>141</v>
      </c>
      <c r="L432" s="17"/>
      <c r="M432" s="17"/>
      <c r="N432" s="17" t="str">
        <f t="shared" ref="N432:N997" si="2">IF(COUNTIF($K$2:$K$997,K432)&gt;1,"REPETIDO","OK")</f>
        <v>REPETIDO</v>
      </c>
      <c r="O432" s="17" t="s">
        <v>663</v>
      </c>
      <c r="P432" s="32" t="s">
        <v>664</v>
      </c>
      <c r="Q432" s="17" t="s">
        <v>3089</v>
      </c>
      <c r="R432" s="17" t="s">
        <v>3090</v>
      </c>
      <c r="S432" s="173" t="s">
        <v>38</v>
      </c>
      <c r="T432" s="11" t="s">
        <v>3091</v>
      </c>
      <c r="U432" s="20" t="s">
        <v>3092</v>
      </c>
      <c r="V432" s="20" t="s">
        <v>3092</v>
      </c>
      <c r="W432" s="20"/>
      <c r="X432" s="7"/>
      <c r="Y432" s="7"/>
      <c r="Z432" s="23"/>
      <c r="AA432" s="26"/>
    </row>
    <row r="433" spans="1:27" ht="15.75" customHeight="1">
      <c r="A433" s="10" t="s">
        <v>3093</v>
      </c>
      <c r="B433" s="10" t="s">
        <v>1469</v>
      </c>
      <c r="C433" s="60" t="s">
        <v>1470</v>
      </c>
      <c r="D433" s="12"/>
      <c r="E433" s="13" t="s">
        <v>353</v>
      </c>
      <c r="F433" s="43" t="s">
        <v>638</v>
      </c>
      <c r="G433" s="6" t="str">
        <f ca="1">IFERROR(__xludf.DUMMYFUNCTION("CONCATENATE(B433,(VLOOKUP(C433,CATALOGOS!$F$2:$H$6,3,FALSE)),(VLOOKUP(T433,CATALOGOS!$J$2:$K$18,2,FALSE)),""-"",TO_TEXT(A433))"),"P12PL-0432")</f>
        <v>P12PL-0432</v>
      </c>
      <c r="H433" s="6" t="s">
        <v>3094</v>
      </c>
      <c r="I433" s="6" t="s">
        <v>3095</v>
      </c>
      <c r="J433" s="6" t="s">
        <v>3096</v>
      </c>
      <c r="K433" s="6" t="s">
        <v>3097</v>
      </c>
      <c r="L433" s="17"/>
      <c r="M433" s="17"/>
      <c r="N433" s="17" t="str">
        <f t="shared" si="2"/>
        <v>OK</v>
      </c>
      <c r="O433" s="17" t="s">
        <v>359</v>
      </c>
      <c r="P433" s="6" t="s">
        <v>360</v>
      </c>
      <c r="Q433" s="17" t="s">
        <v>3098</v>
      </c>
      <c r="R433" s="17" t="s">
        <v>3099</v>
      </c>
      <c r="S433" s="173" t="s">
        <v>38</v>
      </c>
      <c r="T433" s="11" t="s">
        <v>3091</v>
      </c>
      <c r="U433" s="20" t="s">
        <v>3092</v>
      </c>
      <c r="V433" s="20" t="s">
        <v>3092</v>
      </c>
      <c r="W433" s="20"/>
      <c r="X433" s="7"/>
      <c r="Y433" s="7"/>
      <c r="Z433" s="23"/>
      <c r="AA433" s="26"/>
    </row>
    <row r="434" spans="1:27" ht="15.75" customHeight="1">
      <c r="A434" s="10" t="s">
        <v>3100</v>
      </c>
      <c r="B434" s="10" t="s">
        <v>1469</v>
      </c>
      <c r="C434" s="60" t="s">
        <v>1470</v>
      </c>
      <c r="D434" s="12"/>
      <c r="E434" s="13" t="s">
        <v>116</v>
      </c>
      <c r="F434" s="6" t="s">
        <v>3101</v>
      </c>
      <c r="G434" s="6" t="str">
        <f ca="1">IFERROR(__xludf.DUMMYFUNCTION("CONCATENATE(B434,(VLOOKUP(C434,CATALOGOS!$F$2:$H$6,3,FALSE)),(VLOOKUP(T434,CATALOGOS!$J$2:$K$18,2,FALSE)),""-"",TO_TEXT(A434))"),"P12PL-0433")</f>
        <v>P12PL-0433</v>
      </c>
      <c r="H434" s="6" t="s">
        <v>3102</v>
      </c>
      <c r="I434" s="6" t="s">
        <v>3103</v>
      </c>
      <c r="J434" s="6" t="s">
        <v>3104</v>
      </c>
      <c r="K434" s="6" t="s">
        <v>3105</v>
      </c>
      <c r="L434" s="17"/>
      <c r="M434" s="17"/>
      <c r="N434" s="17" t="str">
        <f t="shared" si="2"/>
        <v>OK</v>
      </c>
      <c r="O434" s="17" t="s">
        <v>35</v>
      </c>
      <c r="P434" s="6" t="s">
        <v>35</v>
      </c>
      <c r="Q434" s="17" t="s">
        <v>36</v>
      </c>
      <c r="R434" s="17" t="s">
        <v>3106</v>
      </c>
      <c r="S434" s="173" t="s">
        <v>38</v>
      </c>
      <c r="T434" s="11" t="s">
        <v>3091</v>
      </c>
      <c r="U434" s="20" t="s">
        <v>3092</v>
      </c>
      <c r="V434" s="20" t="s">
        <v>3092</v>
      </c>
      <c r="W434" s="20"/>
      <c r="X434" s="7"/>
      <c r="Y434" s="7"/>
      <c r="Z434" s="23"/>
      <c r="AA434" s="26"/>
    </row>
    <row r="435" spans="1:27" ht="15.75" customHeight="1">
      <c r="A435" s="10" t="s">
        <v>3107</v>
      </c>
      <c r="B435" s="10" t="s">
        <v>1469</v>
      </c>
      <c r="C435" s="60" t="s">
        <v>1470</v>
      </c>
      <c r="D435" s="12"/>
      <c r="E435" s="13" t="s">
        <v>184</v>
      </c>
      <c r="F435" s="6" t="s">
        <v>927</v>
      </c>
      <c r="G435" s="6" t="str">
        <f ca="1">IFERROR(__xludf.DUMMYFUNCTION("CONCATENATE(B435,(VLOOKUP(C435,CATALOGOS!$F$2:$H$6,3,FALSE)),(VLOOKUP(T435,CATALOGOS!$J$2:$K$18,2,FALSE)),""-"",TO_TEXT(A435))"),"P12PL-0434")</f>
        <v>P12PL-0434</v>
      </c>
      <c r="H435" s="6" t="s">
        <v>3108</v>
      </c>
      <c r="I435" s="6" t="s">
        <v>3109</v>
      </c>
      <c r="J435" s="6" t="s">
        <v>3110</v>
      </c>
      <c r="K435" s="6" t="s">
        <v>3111</v>
      </c>
      <c r="L435" s="17"/>
      <c r="M435" s="17"/>
      <c r="N435" s="17" t="str">
        <f t="shared" si="2"/>
        <v>OK</v>
      </c>
      <c r="O435" s="17" t="s">
        <v>35</v>
      </c>
      <c r="P435" s="6" t="s">
        <v>35</v>
      </c>
      <c r="Q435" s="17" t="s">
        <v>36</v>
      </c>
      <c r="R435" s="17" t="s">
        <v>3112</v>
      </c>
      <c r="S435" s="173" t="s">
        <v>38</v>
      </c>
      <c r="T435" s="11" t="s">
        <v>3091</v>
      </c>
      <c r="U435" s="20" t="s">
        <v>3092</v>
      </c>
      <c r="V435" s="20" t="s">
        <v>3092</v>
      </c>
      <c r="W435" s="20"/>
      <c r="X435" s="7"/>
      <c r="Y435" s="7"/>
      <c r="Z435" s="23"/>
      <c r="AA435" s="26"/>
    </row>
    <row r="436" spans="1:27" ht="15.75" customHeight="1">
      <c r="A436" s="10" t="s">
        <v>3113</v>
      </c>
      <c r="B436" s="10" t="s">
        <v>1469</v>
      </c>
      <c r="C436" s="60" t="s">
        <v>1470</v>
      </c>
      <c r="D436" s="12"/>
      <c r="E436" s="13" t="s">
        <v>378</v>
      </c>
      <c r="F436" s="6" t="s">
        <v>1306</v>
      </c>
      <c r="G436" s="6" t="str">
        <f ca="1">IFERROR(__xludf.DUMMYFUNCTION("CONCATENATE(B436,(VLOOKUP(C436,CATALOGOS!$F$2:$H$6,3,FALSE)),(VLOOKUP(T436,CATALOGOS!$J$2:$K$18,2,FALSE)),""-"",TO_TEXT(A436))"),"P12PL-0435")</f>
        <v>P12PL-0435</v>
      </c>
      <c r="H436" s="6" t="s">
        <v>3114</v>
      </c>
      <c r="I436" s="6" t="s">
        <v>3115</v>
      </c>
      <c r="J436" s="36"/>
      <c r="K436" s="6" t="s">
        <v>3116</v>
      </c>
      <c r="L436" s="17"/>
      <c r="M436" s="17"/>
      <c r="N436" s="17" t="str">
        <f t="shared" si="2"/>
        <v>OK</v>
      </c>
      <c r="O436" s="35" t="s">
        <v>35</v>
      </c>
      <c r="P436" s="6" t="s">
        <v>35</v>
      </c>
      <c r="Q436" s="10" t="s">
        <v>36</v>
      </c>
      <c r="R436" s="32" t="s">
        <v>3117</v>
      </c>
      <c r="S436" s="173" t="s">
        <v>38</v>
      </c>
      <c r="T436" s="19" t="s">
        <v>3091</v>
      </c>
      <c r="U436" s="20" t="s">
        <v>3092</v>
      </c>
      <c r="V436" s="20" t="s">
        <v>3092</v>
      </c>
      <c r="W436" s="20"/>
      <c r="X436" s="6"/>
      <c r="Y436" s="6"/>
      <c r="Z436" s="23"/>
      <c r="AA436" s="33"/>
    </row>
    <row r="437" spans="1:27" ht="15.75" customHeight="1">
      <c r="A437" s="10" t="s">
        <v>3118</v>
      </c>
      <c r="B437" s="10" t="s">
        <v>1469</v>
      </c>
      <c r="C437" s="60" t="s">
        <v>1470</v>
      </c>
      <c r="D437" s="12"/>
      <c r="E437" s="13" t="s">
        <v>378</v>
      </c>
      <c r="F437" s="6" t="s">
        <v>1306</v>
      </c>
      <c r="G437" s="6" t="str">
        <f ca="1">IFERROR(__xludf.DUMMYFUNCTION("CONCATENATE(B437,(VLOOKUP(C437,CATALOGOS!$F$2:$H$6,3,FALSE)),(VLOOKUP(T437,CATALOGOS!$J$2:$K$18,2,FALSE)),""-"",TO_TEXT(A437))"),"P12PL-0436")</f>
        <v>P12PL-0436</v>
      </c>
      <c r="H437" s="6" t="s">
        <v>3119</v>
      </c>
      <c r="I437" s="6" t="s">
        <v>3120</v>
      </c>
      <c r="J437" s="6" t="s">
        <v>3121</v>
      </c>
      <c r="K437" s="6" t="s">
        <v>3122</v>
      </c>
      <c r="L437" s="17"/>
      <c r="M437" s="17"/>
      <c r="N437" s="17" t="str">
        <f t="shared" si="2"/>
        <v>OK</v>
      </c>
      <c r="O437" s="17" t="s">
        <v>35</v>
      </c>
      <c r="P437" s="6" t="s">
        <v>35</v>
      </c>
      <c r="Q437" s="17" t="s">
        <v>36</v>
      </c>
      <c r="R437" s="17" t="s">
        <v>3123</v>
      </c>
      <c r="S437" s="173" t="s">
        <v>38</v>
      </c>
      <c r="T437" s="11" t="s">
        <v>3091</v>
      </c>
      <c r="U437" s="20" t="s">
        <v>3092</v>
      </c>
      <c r="V437" s="20" t="s">
        <v>3092</v>
      </c>
      <c r="W437" s="20"/>
      <c r="X437" s="7"/>
      <c r="Y437" s="7"/>
      <c r="Z437" s="23"/>
      <c r="AA437" s="26"/>
    </row>
    <row r="438" spans="1:27" ht="15.75" customHeight="1">
      <c r="A438" s="10" t="s">
        <v>3124</v>
      </c>
      <c r="B438" s="10" t="s">
        <v>1469</v>
      </c>
      <c r="C438" s="60" t="s">
        <v>1470</v>
      </c>
      <c r="D438" s="12"/>
      <c r="E438" s="13" t="s">
        <v>501</v>
      </c>
      <c r="F438" s="6" t="s">
        <v>3125</v>
      </c>
      <c r="G438" s="6" t="str">
        <f ca="1">IFERROR(__xludf.DUMMYFUNCTION("CONCATENATE(B438,(VLOOKUP(C438,CATALOGOS!$F$2:$H$6,3,FALSE)),(VLOOKUP(T438,CATALOGOS!$J$2:$K$18,2,FALSE)),""-"",TO_TEXT(A438))"),"P12PL-0437")</f>
        <v>P12PL-0437</v>
      </c>
      <c r="H438" s="6" t="s">
        <v>3126</v>
      </c>
      <c r="I438" s="6" t="s">
        <v>3127</v>
      </c>
      <c r="J438" s="6" t="s">
        <v>3128</v>
      </c>
      <c r="K438" s="6" t="s">
        <v>3129</v>
      </c>
      <c r="L438" s="17"/>
      <c r="M438" s="17"/>
      <c r="N438" s="17" t="str">
        <f t="shared" si="2"/>
        <v>OK</v>
      </c>
      <c r="O438" s="17" t="s">
        <v>35</v>
      </c>
      <c r="P438" s="6" t="s">
        <v>35</v>
      </c>
      <c r="Q438" s="17" t="s">
        <v>36</v>
      </c>
      <c r="R438" s="17" t="s">
        <v>3130</v>
      </c>
      <c r="S438" s="173" t="s">
        <v>38</v>
      </c>
      <c r="T438" s="11" t="s">
        <v>3091</v>
      </c>
      <c r="U438" s="20" t="s">
        <v>3092</v>
      </c>
      <c r="V438" s="20" t="s">
        <v>3092</v>
      </c>
      <c r="W438" s="20"/>
      <c r="X438" s="7"/>
      <c r="Y438" s="7"/>
      <c r="Z438" s="23"/>
      <c r="AA438" s="26"/>
    </row>
    <row r="439" spans="1:27" ht="15.75" customHeight="1">
      <c r="A439" s="10" t="s">
        <v>3131</v>
      </c>
      <c r="B439" s="10" t="s">
        <v>1469</v>
      </c>
      <c r="C439" s="60" t="s">
        <v>1470</v>
      </c>
      <c r="D439" s="12"/>
      <c r="E439" s="13" t="s">
        <v>62</v>
      </c>
      <c r="F439" s="6" t="s">
        <v>3132</v>
      </c>
      <c r="G439" s="6" t="str">
        <f ca="1">IFERROR(__xludf.DUMMYFUNCTION("CONCATENATE(B439,(VLOOKUP(C439,CATALOGOS!$F$2:$H$6,3,FALSE)),(VLOOKUP(T439,CATALOGOS!$J$2:$K$18,2,FALSE)),""-"",TO_TEXT(A439))"),"P12PL-0438")</f>
        <v>P12PL-0438</v>
      </c>
      <c r="H439" s="6" t="s">
        <v>3133</v>
      </c>
      <c r="I439" s="6" t="s">
        <v>3134</v>
      </c>
      <c r="J439" s="6" t="s">
        <v>3135</v>
      </c>
      <c r="K439" s="43" t="s">
        <v>3136</v>
      </c>
      <c r="L439" s="17"/>
      <c r="M439" s="17"/>
      <c r="N439" s="17" t="str">
        <f t="shared" si="2"/>
        <v>OK</v>
      </c>
      <c r="O439" s="17" t="s">
        <v>35</v>
      </c>
      <c r="P439" s="6" t="s">
        <v>35</v>
      </c>
      <c r="Q439" s="17" t="s">
        <v>36</v>
      </c>
      <c r="R439" s="17" t="s">
        <v>3137</v>
      </c>
      <c r="S439" s="173" t="s">
        <v>38</v>
      </c>
      <c r="T439" s="11" t="s">
        <v>3091</v>
      </c>
      <c r="U439" s="20" t="s">
        <v>3092</v>
      </c>
      <c r="V439" s="20" t="s">
        <v>3092</v>
      </c>
      <c r="W439" s="20"/>
      <c r="X439" s="7"/>
      <c r="Y439" s="7"/>
      <c r="Z439" s="23"/>
      <c r="AA439" s="26"/>
    </row>
    <row r="440" spans="1:27" ht="15.75" customHeight="1">
      <c r="A440" s="10" t="s">
        <v>3138</v>
      </c>
      <c r="B440" s="10" t="s">
        <v>1469</v>
      </c>
      <c r="C440" s="60" t="s">
        <v>1470</v>
      </c>
      <c r="D440" s="12"/>
      <c r="E440" s="13" t="s">
        <v>43</v>
      </c>
      <c r="F440" s="6" t="s">
        <v>457</v>
      </c>
      <c r="G440" s="6" t="str">
        <f ca="1">IFERROR(__xludf.DUMMYFUNCTION("CONCATENATE(B440,(VLOOKUP(C440,CATALOGOS!$F$2:$H$6,3,FALSE)),(VLOOKUP(T440,CATALOGOS!$J$2:$K$18,2,FALSE)),""-"",TO_TEXT(A440))"),"P12PL-0439")</f>
        <v>P12PL-0439</v>
      </c>
      <c r="H440" s="6" t="s">
        <v>3139</v>
      </c>
      <c r="I440" s="6" t="s">
        <v>3140</v>
      </c>
      <c r="J440" s="6" t="s">
        <v>3141</v>
      </c>
      <c r="K440" s="6" t="s">
        <v>3142</v>
      </c>
      <c r="L440" s="17"/>
      <c r="M440" s="17"/>
      <c r="N440" s="17" t="str">
        <f t="shared" si="2"/>
        <v>OK</v>
      </c>
      <c r="O440" s="17" t="s">
        <v>406</v>
      </c>
      <c r="P440" s="6" t="s">
        <v>407</v>
      </c>
      <c r="Q440" s="17" t="s">
        <v>36</v>
      </c>
      <c r="R440" s="17" t="s">
        <v>7314</v>
      </c>
      <c r="S440" s="173" t="s">
        <v>2544</v>
      </c>
      <c r="T440" s="19" t="s">
        <v>3091</v>
      </c>
      <c r="U440" s="20" t="s">
        <v>3092</v>
      </c>
      <c r="V440" s="20" t="s">
        <v>3092</v>
      </c>
      <c r="W440" s="20"/>
      <c r="X440" s="7"/>
      <c r="Y440" s="7"/>
      <c r="Z440" s="23"/>
      <c r="AA440" s="26"/>
    </row>
    <row r="441" spans="1:27" ht="15.75" customHeight="1">
      <c r="A441" s="10" t="s">
        <v>3144</v>
      </c>
      <c r="B441" s="10" t="s">
        <v>1469</v>
      </c>
      <c r="C441" s="60" t="s">
        <v>1470</v>
      </c>
      <c r="D441" s="12"/>
      <c r="E441" s="13" t="s">
        <v>378</v>
      </c>
      <c r="F441" s="6" t="s">
        <v>3145</v>
      </c>
      <c r="G441" s="6" t="str">
        <f ca="1">IFERROR(__xludf.DUMMYFUNCTION("CONCATENATE(B441,(VLOOKUP(C441,CATALOGOS!$F$2:$H$6,3,FALSE)),(VLOOKUP(T441,CATALOGOS!$J$2:$K$18,2,FALSE)),""-"",TO_TEXT(A441))"),"P12PL-0440")</f>
        <v>P12PL-0440</v>
      </c>
      <c r="H441" s="6" t="s">
        <v>3146</v>
      </c>
      <c r="I441" s="6" t="s">
        <v>3147</v>
      </c>
      <c r="J441" s="6" t="s">
        <v>3148</v>
      </c>
      <c r="K441" s="43" t="s">
        <v>3149</v>
      </c>
      <c r="L441" s="17"/>
      <c r="M441" s="17"/>
      <c r="N441" s="17" t="str">
        <f t="shared" si="2"/>
        <v>OK</v>
      </c>
      <c r="O441" s="17" t="s">
        <v>35</v>
      </c>
      <c r="P441" s="6" t="s">
        <v>35</v>
      </c>
      <c r="Q441" s="17" t="s">
        <v>36</v>
      </c>
      <c r="R441" s="17" t="s">
        <v>3150</v>
      </c>
      <c r="S441" s="173" t="s">
        <v>38</v>
      </c>
      <c r="T441" s="11" t="s">
        <v>3091</v>
      </c>
      <c r="U441" s="20" t="s">
        <v>3092</v>
      </c>
      <c r="V441" s="20" t="s">
        <v>3092</v>
      </c>
      <c r="W441" s="20"/>
      <c r="X441" s="7"/>
      <c r="Y441" s="7"/>
      <c r="Z441" s="23"/>
      <c r="AA441" s="26"/>
    </row>
    <row r="442" spans="1:27" ht="15.75" customHeight="1">
      <c r="A442" s="10" t="s">
        <v>3152</v>
      </c>
      <c r="B442" s="10" t="s">
        <v>1469</v>
      </c>
      <c r="C442" s="60" t="s">
        <v>1470</v>
      </c>
      <c r="D442" s="12"/>
      <c r="E442" s="13" t="s">
        <v>199</v>
      </c>
      <c r="F442" s="6" t="s">
        <v>199</v>
      </c>
      <c r="G442" s="6" t="str">
        <f ca="1">IFERROR(__xludf.DUMMYFUNCTION("CONCATENATE(B442,(VLOOKUP(C442,CATALOGOS!$F$2:$H$6,3,FALSE)),(VLOOKUP(T442,CATALOGOS!$J$2:$K$18,2,FALSE)),""-"",TO_TEXT(A442))"),"P12PL-0441")</f>
        <v>P12PL-0441</v>
      </c>
      <c r="H442" s="6" t="s">
        <v>3153</v>
      </c>
      <c r="I442" s="6" t="s">
        <v>3154</v>
      </c>
      <c r="J442" s="6" t="s">
        <v>3155</v>
      </c>
      <c r="K442" s="6" t="s">
        <v>3156</v>
      </c>
      <c r="L442" s="17"/>
      <c r="M442" s="17"/>
      <c r="N442" s="17" t="str">
        <f t="shared" si="2"/>
        <v>OK</v>
      </c>
      <c r="O442" s="17" t="s">
        <v>157</v>
      </c>
      <c r="P442" s="6">
        <v>2378</v>
      </c>
      <c r="Q442" s="17" t="s">
        <v>3157</v>
      </c>
      <c r="R442" s="10" t="s">
        <v>3158</v>
      </c>
      <c r="S442" s="173" t="s">
        <v>38</v>
      </c>
      <c r="T442" s="11" t="s">
        <v>3091</v>
      </c>
      <c r="U442" s="20" t="s">
        <v>3092</v>
      </c>
      <c r="V442" s="20" t="s">
        <v>3092</v>
      </c>
      <c r="W442" s="20"/>
      <c r="X442" s="7"/>
      <c r="Y442" s="7"/>
      <c r="Z442" s="23"/>
      <c r="AA442" s="26"/>
    </row>
    <row r="443" spans="1:27" ht="15.75" customHeight="1">
      <c r="A443" s="10" t="s">
        <v>3159</v>
      </c>
      <c r="B443" s="10" t="s">
        <v>1469</v>
      </c>
      <c r="C443" s="60" t="s">
        <v>1470</v>
      </c>
      <c r="D443" s="12"/>
      <c r="E443" s="13" t="s">
        <v>151</v>
      </c>
      <c r="F443" s="6" t="s">
        <v>714</v>
      </c>
      <c r="G443" s="6" t="str">
        <f ca="1">IFERROR(__xludf.DUMMYFUNCTION("CONCATENATE(B443,(VLOOKUP(C443,CATALOGOS!$F$2:$H$6,3,FALSE)),(VLOOKUP(T443,CATALOGOS!$J$2:$K$18,2,FALSE)),""-"",TO_TEXT(A443))"),"P12PL-0442")</f>
        <v>P12PL-0442</v>
      </c>
      <c r="H443" s="6" t="s">
        <v>3160</v>
      </c>
      <c r="I443" s="6" t="s">
        <v>3161</v>
      </c>
      <c r="J443" s="6" t="s">
        <v>3162</v>
      </c>
      <c r="K443" s="6" t="s">
        <v>3163</v>
      </c>
      <c r="L443" s="17"/>
      <c r="M443" s="17"/>
      <c r="N443" s="17" t="str">
        <f t="shared" si="2"/>
        <v>OK</v>
      </c>
      <c r="O443" s="17" t="s">
        <v>157</v>
      </c>
      <c r="P443" s="6" t="s">
        <v>158</v>
      </c>
      <c r="Q443" s="17" t="s">
        <v>3164</v>
      </c>
      <c r="R443" s="10" t="s">
        <v>3165</v>
      </c>
      <c r="S443" s="173" t="s">
        <v>38</v>
      </c>
      <c r="T443" s="174" t="s">
        <v>3091</v>
      </c>
      <c r="U443" s="20" t="s">
        <v>3092</v>
      </c>
      <c r="V443" s="20" t="s">
        <v>3092</v>
      </c>
      <c r="W443" s="20"/>
      <c r="X443" s="7"/>
      <c r="Y443" s="7"/>
      <c r="Z443" s="23"/>
      <c r="AA443" s="26"/>
    </row>
    <row r="444" spans="1:27" ht="15.75" customHeight="1">
      <c r="A444" s="10" t="s">
        <v>3166</v>
      </c>
      <c r="B444" s="10" t="s">
        <v>1469</v>
      </c>
      <c r="C444" s="60" t="s">
        <v>1470</v>
      </c>
      <c r="D444" s="12"/>
      <c r="E444" s="13" t="s">
        <v>116</v>
      </c>
      <c r="F444" s="6" t="s">
        <v>3167</v>
      </c>
      <c r="G444" s="6" t="str">
        <f ca="1">IFERROR(__xludf.DUMMYFUNCTION("CONCATENATE(B444,(VLOOKUP(C444,CATALOGOS!$F$2:$H$6,3,FALSE)),(VLOOKUP(T444,CATALOGOS!$J$2:$K$18,2,FALSE)),""-"",TO_TEXT(A444))"),"P12SI-0443")</f>
        <v>P12SI-0443</v>
      </c>
      <c r="H444" s="6" t="s">
        <v>3168</v>
      </c>
      <c r="I444" s="6" t="s">
        <v>3169</v>
      </c>
      <c r="J444" s="6" t="s">
        <v>3170</v>
      </c>
      <c r="K444" s="6" t="s">
        <v>3171</v>
      </c>
      <c r="L444" s="17"/>
      <c r="M444" s="17"/>
      <c r="N444" s="17" t="str">
        <f t="shared" si="2"/>
        <v>OK</v>
      </c>
      <c r="O444" s="17" t="s">
        <v>35</v>
      </c>
      <c r="P444" s="6" t="s">
        <v>35</v>
      </c>
      <c r="Q444" s="17" t="s">
        <v>36</v>
      </c>
      <c r="R444" s="17" t="s">
        <v>3172</v>
      </c>
      <c r="S444" s="173" t="s">
        <v>38</v>
      </c>
      <c r="T444" s="181" t="s">
        <v>1483</v>
      </c>
      <c r="U444" s="20" t="s">
        <v>3173</v>
      </c>
      <c r="V444" s="20" t="s">
        <v>3173</v>
      </c>
      <c r="W444" s="20"/>
      <c r="X444" s="6"/>
      <c r="Y444" s="6"/>
      <c r="Z444" s="23"/>
      <c r="AA444" s="33"/>
    </row>
    <row r="445" spans="1:27" ht="15.75" customHeight="1">
      <c r="A445" s="10" t="s">
        <v>3174</v>
      </c>
      <c r="B445" s="10" t="s">
        <v>1469</v>
      </c>
      <c r="C445" s="60" t="s">
        <v>1470</v>
      </c>
      <c r="D445" s="12"/>
      <c r="E445" s="13" t="s">
        <v>378</v>
      </c>
      <c r="F445" s="6" t="s">
        <v>3175</v>
      </c>
      <c r="G445" s="6" t="str">
        <f ca="1">IFERROR(__xludf.DUMMYFUNCTION("CONCATENATE(B445,(VLOOKUP(C445,CATALOGOS!$F$2:$H$6,3,FALSE)),(VLOOKUP(T445,CATALOGOS!$J$2:$K$18,2,FALSE)),""-"",TO_TEXT(A445))"),"P12PL-0444")</f>
        <v>P12PL-0444</v>
      </c>
      <c r="H445" s="6" t="s">
        <v>3176</v>
      </c>
      <c r="I445" s="6" t="s">
        <v>3177</v>
      </c>
      <c r="J445" s="36"/>
      <c r="K445" s="6" t="s">
        <v>141</v>
      </c>
      <c r="L445" s="17"/>
      <c r="M445" s="17"/>
      <c r="N445" s="17" t="str">
        <f t="shared" si="2"/>
        <v>REPETIDO</v>
      </c>
      <c r="O445" s="35" t="s">
        <v>35</v>
      </c>
      <c r="P445" s="6" t="s">
        <v>35</v>
      </c>
      <c r="Q445" s="10" t="s">
        <v>36</v>
      </c>
      <c r="R445" s="32" t="s">
        <v>85</v>
      </c>
      <c r="S445" s="173" t="s">
        <v>38</v>
      </c>
      <c r="T445" s="11" t="s">
        <v>3091</v>
      </c>
      <c r="U445" s="20" t="s">
        <v>3092</v>
      </c>
      <c r="V445" s="20" t="s">
        <v>3092</v>
      </c>
      <c r="W445" s="20"/>
      <c r="X445" s="6"/>
      <c r="Y445" s="6"/>
      <c r="Z445" s="23"/>
      <c r="AA445" s="33"/>
    </row>
    <row r="446" spans="1:27" ht="15.75" customHeight="1">
      <c r="A446" s="10" t="s">
        <v>3178</v>
      </c>
      <c r="B446" s="10" t="s">
        <v>1469</v>
      </c>
      <c r="C446" s="60" t="s">
        <v>1470</v>
      </c>
      <c r="D446" s="38"/>
      <c r="E446" s="13" t="s">
        <v>353</v>
      </c>
      <c r="F446" s="6" t="s">
        <v>638</v>
      </c>
      <c r="G446" s="6" t="str">
        <f ca="1">IFERROR(__xludf.DUMMYFUNCTION("CONCATENATE(B446,(VLOOKUP(C446,CATALOGOS!$F$2:$H$6,3,FALSE)),(VLOOKUP(T446,CATALOGOS!$J$2:$K$18,2,FALSE)),""-"",TO_TEXT(A446))"),"P12PL-0445")</f>
        <v>P12PL-0445</v>
      </c>
      <c r="H446" s="6" t="s">
        <v>3179</v>
      </c>
      <c r="I446" s="6" t="s">
        <v>3180</v>
      </c>
      <c r="J446" s="6" t="s">
        <v>3181</v>
      </c>
      <c r="K446" s="6" t="s">
        <v>3182</v>
      </c>
      <c r="L446" s="17"/>
      <c r="M446" s="17"/>
      <c r="N446" s="17" t="str">
        <f t="shared" si="2"/>
        <v>OK</v>
      </c>
      <c r="O446" s="17" t="s">
        <v>359</v>
      </c>
      <c r="P446" s="6" t="s">
        <v>360</v>
      </c>
      <c r="Q446" s="6">
        <v>161039232</v>
      </c>
      <c r="R446" s="32" t="s">
        <v>3183</v>
      </c>
      <c r="S446" s="184" t="s">
        <v>971</v>
      </c>
      <c r="T446" s="11" t="s">
        <v>3091</v>
      </c>
      <c r="U446" s="20" t="s">
        <v>3092</v>
      </c>
      <c r="V446" s="20" t="s">
        <v>3092</v>
      </c>
      <c r="W446" s="20"/>
      <c r="X446" s="36"/>
      <c r="Y446" s="36"/>
      <c r="Z446" s="26"/>
      <c r="AA446" s="33"/>
    </row>
    <row r="447" spans="1:27" ht="15.75" customHeight="1">
      <c r="A447" s="10" t="s">
        <v>3184</v>
      </c>
      <c r="B447" s="10" t="s">
        <v>1469</v>
      </c>
      <c r="C447" s="60" t="s">
        <v>1470</v>
      </c>
      <c r="D447" s="12"/>
      <c r="E447" s="13" t="s">
        <v>93</v>
      </c>
      <c r="F447" s="6" t="s">
        <v>1739</v>
      </c>
      <c r="G447" s="6" t="str">
        <f ca="1">IFERROR(__xludf.DUMMYFUNCTION("CONCATENATE(B447,(VLOOKUP(C447,CATALOGOS!$F$2:$H$6,3,FALSE)),(VLOOKUP(T447,CATALOGOS!$J$2:$K$18,2,FALSE)),""-"",TO_TEXT(A447))"),"P12PL-0446")</f>
        <v>P12PL-0446</v>
      </c>
      <c r="H447" s="6" t="s">
        <v>3185</v>
      </c>
      <c r="I447" s="6" t="s">
        <v>3186</v>
      </c>
      <c r="J447" s="6" t="s">
        <v>3187</v>
      </c>
      <c r="K447" s="6" t="s">
        <v>3188</v>
      </c>
      <c r="L447" s="17"/>
      <c r="M447" s="17"/>
      <c r="N447" s="17" t="str">
        <f t="shared" si="2"/>
        <v>OK</v>
      </c>
      <c r="O447" s="17" t="s">
        <v>35</v>
      </c>
      <c r="P447" s="6" t="s">
        <v>35</v>
      </c>
      <c r="Q447" s="17" t="s">
        <v>36</v>
      </c>
      <c r="R447" s="17" t="s">
        <v>3189</v>
      </c>
      <c r="S447" s="173" t="s">
        <v>38</v>
      </c>
      <c r="T447" s="11" t="s">
        <v>3091</v>
      </c>
      <c r="U447" s="22" t="s">
        <v>3151</v>
      </c>
      <c r="V447" s="22" t="s">
        <v>3151</v>
      </c>
      <c r="W447" s="22"/>
      <c r="X447" s="7"/>
      <c r="Y447" s="7"/>
      <c r="Z447" s="23"/>
      <c r="AA447" s="26"/>
    </row>
    <row r="448" spans="1:27" ht="15.75" customHeight="1">
      <c r="A448" s="10" t="s">
        <v>3190</v>
      </c>
      <c r="B448" s="10" t="s">
        <v>1469</v>
      </c>
      <c r="C448" s="60" t="s">
        <v>1470</v>
      </c>
      <c r="D448" s="12"/>
      <c r="E448" s="13" t="s">
        <v>116</v>
      </c>
      <c r="F448" s="43" t="s">
        <v>117</v>
      </c>
      <c r="G448" s="6" t="str">
        <f ca="1">IFERROR(__xludf.DUMMYFUNCTION("CONCATENATE(B448,(VLOOKUP(C448,CATALOGOS!$F$2:$H$6,3,FALSE)),(VLOOKUP(T448,CATALOGOS!$J$2:$K$18,2,FALSE)),""-"",TO_TEXT(A448))"),"P12PL-0447")</f>
        <v>P12PL-0447</v>
      </c>
      <c r="H448" s="6" t="s">
        <v>3191</v>
      </c>
      <c r="I448" s="6" t="s">
        <v>3192</v>
      </c>
      <c r="J448" s="6" t="s">
        <v>3193</v>
      </c>
      <c r="K448" s="6" t="s">
        <v>3194</v>
      </c>
      <c r="L448" s="17"/>
      <c r="M448" s="17"/>
      <c r="N448" s="17" t="str">
        <f t="shared" si="2"/>
        <v>OK</v>
      </c>
      <c r="O448" s="17" t="s">
        <v>35</v>
      </c>
      <c r="P448" s="6" t="s">
        <v>35</v>
      </c>
      <c r="Q448" s="17" t="s">
        <v>36</v>
      </c>
      <c r="R448" s="17" t="s">
        <v>3195</v>
      </c>
      <c r="S448" s="173" t="s">
        <v>38</v>
      </c>
      <c r="T448" s="11" t="s">
        <v>3091</v>
      </c>
      <c r="U448" s="22" t="s">
        <v>3151</v>
      </c>
      <c r="V448" s="22" t="s">
        <v>3151</v>
      </c>
      <c r="W448" s="22"/>
      <c r="X448" s="7"/>
      <c r="Y448" s="7"/>
      <c r="Z448" s="23"/>
      <c r="AA448" s="26"/>
    </row>
    <row r="449" spans="1:27" ht="15.75" customHeight="1">
      <c r="A449" s="10" t="s">
        <v>3196</v>
      </c>
      <c r="B449" s="10" t="s">
        <v>1469</v>
      </c>
      <c r="C449" s="60" t="s">
        <v>1470</v>
      </c>
      <c r="D449" s="12"/>
      <c r="E449" s="13" t="s">
        <v>199</v>
      </c>
      <c r="F449" s="6" t="s">
        <v>199</v>
      </c>
      <c r="G449" s="6" t="str">
        <f ca="1">IFERROR(__xludf.DUMMYFUNCTION("CONCATENATE(B449,(VLOOKUP(C449,CATALOGOS!$F$2:$H$6,3,FALSE)),(VLOOKUP(T449,CATALOGOS!$J$2:$K$18,2,FALSE)),""-"",TO_TEXT(A449))"),"P12PL-0448")</f>
        <v>P12PL-0448</v>
      </c>
      <c r="H449" s="6" t="s">
        <v>3197</v>
      </c>
      <c r="I449" s="6" t="s">
        <v>3198</v>
      </c>
      <c r="J449" s="6" t="s">
        <v>3199</v>
      </c>
      <c r="K449" s="6" t="s">
        <v>3200</v>
      </c>
      <c r="L449" s="17"/>
      <c r="M449" s="17"/>
      <c r="N449" s="17" t="str">
        <f t="shared" si="2"/>
        <v>OK</v>
      </c>
      <c r="O449" s="17" t="s">
        <v>205</v>
      </c>
      <c r="P449" s="6" t="s">
        <v>794</v>
      </c>
      <c r="Q449" s="17" t="s">
        <v>3201</v>
      </c>
      <c r="R449" s="17" t="s">
        <v>3202</v>
      </c>
      <c r="S449" s="173" t="s">
        <v>38</v>
      </c>
      <c r="T449" s="11" t="s">
        <v>3091</v>
      </c>
      <c r="U449" s="22" t="s">
        <v>3151</v>
      </c>
      <c r="V449" s="22" t="s">
        <v>3151</v>
      </c>
      <c r="W449" s="22"/>
      <c r="X449" s="7"/>
      <c r="Y449" s="7"/>
      <c r="Z449" s="23"/>
      <c r="AA449" s="26"/>
    </row>
    <row r="450" spans="1:27" ht="15.75" customHeight="1">
      <c r="A450" s="10" t="s">
        <v>3203</v>
      </c>
      <c r="B450" s="10" t="s">
        <v>1469</v>
      </c>
      <c r="C450" s="60" t="s">
        <v>1470</v>
      </c>
      <c r="D450" s="12"/>
      <c r="E450" s="13" t="s">
        <v>248</v>
      </c>
      <c r="F450" s="43" t="s">
        <v>248</v>
      </c>
      <c r="G450" s="6" t="str">
        <f ca="1">IFERROR(__xludf.DUMMYFUNCTION("CONCATENATE(B450,(VLOOKUP(C450,CATALOGOS!$F$2:$H$6,3,FALSE)),(VLOOKUP(T450,CATALOGOS!$J$2:$K$18,2,FALSE)),""-"",TO_TEXT(A450))"),"P12PL-0449")</f>
        <v>P12PL-0449</v>
      </c>
      <c r="H450" s="6" t="s">
        <v>3204</v>
      </c>
      <c r="I450" s="6" t="s">
        <v>3205</v>
      </c>
      <c r="J450" s="6" t="s">
        <v>3206</v>
      </c>
      <c r="K450" s="6" t="s">
        <v>3207</v>
      </c>
      <c r="L450" s="17"/>
      <c r="M450" s="17"/>
      <c r="N450" s="17" t="str">
        <f t="shared" si="2"/>
        <v>OK</v>
      </c>
      <c r="O450" s="17" t="s">
        <v>978</v>
      </c>
      <c r="P450" s="6" t="s">
        <v>979</v>
      </c>
      <c r="Q450" s="17" t="s">
        <v>36</v>
      </c>
      <c r="R450" s="17" t="s">
        <v>3208</v>
      </c>
      <c r="S450" s="173" t="s">
        <v>38</v>
      </c>
      <c r="T450" s="11" t="s">
        <v>3091</v>
      </c>
      <c r="U450" s="22" t="s">
        <v>3151</v>
      </c>
      <c r="V450" s="22" t="s">
        <v>3151</v>
      </c>
      <c r="W450" s="22"/>
      <c r="X450" s="7"/>
      <c r="Y450" s="7"/>
      <c r="Z450" s="23"/>
      <c r="AA450" s="26"/>
    </row>
    <row r="451" spans="1:27" ht="15.75" customHeight="1">
      <c r="A451" s="10" t="s">
        <v>3209</v>
      </c>
      <c r="B451" s="10" t="s">
        <v>1469</v>
      </c>
      <c r="C451" s="60" t="s">
        <v>1470</v>
      </c>
      <c r="D451" s="12"/>
      <c r="E451" s="13" t="s">
        <v>1240</v>
      </c>
      <c r="F451" s="43" t="s">
        <v>278</v>
      </c>
      <c r="G451" s="6" t="str">
        <f ca="1">IFERROR(__xludf.DUMMYFUNCTION("CONCATENATE(B451,(VLOOKUP(C451,CATALOGOS!$F$2:$H$6,3,FALSE)),(VLOOKUP(T451,CATALOGOS!$J$2:$K$18,2,FALSE)),""-"",TO_TEXT(A451))"),"P12PL-0450")</f>
        <v>P12PL-0450</v>
      </c>
      <c r="H451" s="6" t="s">
        <v>3210</v>
      </c>
      <c r="I451" s="6" t="s">
        <v>3211</v>
      </c>
      <c r="J451" s="6" t="s">
        <v>3212</v>
      </c>
      <c r="K451" s="6" t="s">
        <v>3213</v>
      </c>
      <c r="L451" s="17"/>
      <c r="M451" s="17"/>
      <c r="N451" s="17" t="str">
        <f t="shared" si="2"/>
        <v>OK</v>
      </c>
      <c r="O451" s="17" t="s">
        <v>35</v>
      </c>
      <c r="P451" s="6" t="s">
        <v>35</v>
      </c>
      <c r="Q451" s="17" t="s">
        <v>36</v>
      </c>
      <c r="R451" s="17" t="s">
        <v>3214</v>
      </c>
      <c r="S451" s="173" t="s">
        <v>38</v>
      </c>
      <c r="T451" s="11" t="s">
        <v>3091</v>
      </c>
      <c r="U451" s="22" t="s">
        <v>3151</v>
      </c>
      <c r="V451" s="22" t="s">
        <v>3151</v>
      </c>
      <c r="W451" s="22"/>
      <c r="X451" s="7"/>
      <c r="Y451" s="7"/>
      <c r="Z451" s="23"/>
      <c r="AA451" s="26"/>
    </row>
    <row r="452" spans="1:27" ht="15.75" customHeight="1">
      <c r="A452" s="10" t="s">
        <v>3215</v>
      </c>
      <c r="B452" s="10" t="s">
        <v>1469</v>
      </c>
      <c r="C452" s="60" t="s">
        <v>1470</v>
      </c>
      <c r="D452" s="38"/>
      <c r="E452" s="13" t="s">
        <v>151</v>
      </c>
      <c r="F452" s="6" t="s">
        <v>152</v>
      </c>
      <c r="G452" s="6" t="str">
        <f ca="1">IFERROR(__xludf.DUMMYFUNCTION("CONCATENATE(B452,(VLOOKUP(C452,CATALOGOS!$F$2:$H$6,3,FALSE)),(VLOOKUP(T452,CATALOGOS!$J$2:$K$18,2,FALSE)),""-"",TO_TEXT(A452))"),"P12PL-0451")</f>
        <v>P12PL-0451</v>
      </c>
      <c r="H452" s="6" t="s">
        <v>3216</v>
      </c>
      <c r="I452" s="6" t="s">
        <v>3217</v>
      </c>
      <c r="J452" s="6" t="s">
        <v>3218</v>
      </c>
      <c r="K452" s="6" t="s">
        <v>3219</v>
      </c>
      <c r="L452" s="17"/>
      <c r="M452" s="17"/>
      <c r="N452" s="17" t="str">
        <f t="shared" si="2"/>
        <v>OK</v>
      </c>
      <c r="O452" s="17" t="s">
        <v>1220</v>
      </c>
      <c r="P452" s="6" t="s">
        <v>720</v>
      </c>
      <c r="Q452" s="46" t="s">
        <v>3220</v>
      </c>
      <c r="R452" s="17" t="s">
        <v>3221</v>
      </c>
      <c r="S452" s="173" t="s">
        <v>38</v>
      </c>
      <c r="T452" s="11" t="s">
        <v>3091</v>
      </c>
      <c r="U452" s="32" t="s">
        <v>3151</v>
      </c>
      <c r="V452" s="32" t="s">
        <v>3151</v>
      </c>
      <c r="W452" s="32"/>
      <c r="X452" s="7"/>
      <c r="Y452" s="7"/>
      <c r="Z452" s="26"/>
      <c r="AA452" s="26"/>
    </row>
    <row r="453" spans="1:27" ht="15.75" customHeight="1">
      <c r="A453" s="10" t="s">
        <v>3222</v>
      </c>
      <c r="B453" s="10" t="s">
        <v>1469</v>
      </c>
      <c r="C453" s="60" t="s">
        <v>1470</v>
      </c>
      <c r="D453" s="38"/>
      <c r="E453" s="13" t="s">
        <v>378</v>
      </c>
      <c r="F453" s="6" t="s">
        <v>379</v>
      </c>
      <c r="G453" s="6" t="str">
        <f ca="1">IFERROR(__xludf.DUMMYFUNCTION("CONCATENATE(B453,(VLOOKUP(C453,CATALOGOS!$F$2:$H$6,3,FALSE)),(VLOOKUP(T453,CATALOGOS!$J$2:$K$18,2,FALSE)),""-"",TO_TEXT(A453))"),"P12CV-0452")</f>
        <v>P12CV-0452</v>
      </c>
      <c r="H453" s="6" t="s">
        <v>3223</v>
      </c>
      <c r="I453" s="6" t="s">
        <v>3224</v>
      </c>
      <c r="J453" s="6" t="s">
        <v>3225</v>
      </c>
      <c r="K453" s="6" t="s">
        <v>3226</v>
      </c>
      <c r="L453" s="17"/>
      <c r="M453" s="17"/>
      <c r="N453" s="17" t="str">
        <f t="shared" si="2"/>
        <v>OK</v>
      </c>
      <c r="O453" s="17" t="s">
        <v>35</v>
      </c>
      <c r="P453" s="6" t="s">
        <v>35</v>
      </c>
      <c r="Q453" s="46" t="s">
        <v>36</v>
      </c>
      <c r="R453" s="17" t="s">
        <v>3227</v>
      </c>
      <c r="S453" s="173" t="s">
        <v>38</v>
      </c>
      <c r="T453" s="11" t="s">
        <v>875</v>
      </c>
      <c r="U453" s="10" t="s">
        <v>876</v>
      </c>
      <c r="V453" s="10" t="s">
        <v>876</v>
      </c>
      <c r="W453" s="10"/>
      <c r="X453" s="7"/>
      <c r="Y453" s="7"/>
      <c r="Z453" s="26"/>
      <c r="AA453" s="26"/>
    </row>
    <row r="454" spans="1:27" ht="15.75" customHeight="1">
      <c r="A454" s="10" t="s">
        <v>3228</v>
      </c>
      <c r="B454" s="10" t="s">
        <v>1469</v>
      </c>
      <c r="C454" s="60" t="s">
        <v>1470</v>
      </c>
      <c r="D454" s="38"/>
      <c r="E454" s="13" t="s">
        <v>184</v>
      </c>
      <c r="F454" s="6" t="s">
        <v>3229</v>
      </c>
      <c r="G454" s="6" t="str">
        <f ca="1">IFERROR(__xludf.DUMMYFUNCTION("CONCATENATE(B454,(VLOOKUP(C454,CATALOGOS!$F$2:$H$6,3,FALSE)),(VLOOKUP(T454,CATALOGOS!$J$2:$K$18,2,FALSE)),""-"",TO_TEXT(A454))"),"P12PL-0453")</f>
        <v>P12PL-0453</v>
      </c>
      <c r="H454" s="6" t="s">
        <v>3230</v>
      </c>
      <c r="I454" s="6" t="s">
        <v>3231</v>
      </c>
      <c r="J454" s="6" t="s">
        <v>3232</v>
      </c>
      <c r="K454" s="6" t="s">
        <v>3233</v>
      </c>
      <c r="L454" s="17"/>
      <c r="M454" s="17"/>
      <c r="N454" s="17" t="str">
        <f t="shared" si="2"/>
        <v>OK</v>
      </c>
      <c r="O454" s="17" t="s">
        <v>35</v>
      </c>
      <c r="P454" s="6" t="s">
        <v>35</v>
      </c>
      <c r="Q454" s="46" t="s">
        <v>36</v>
      </c>
      <c r="R454" s="17" t="s">
        <v>3234</v>
      </c>
      <c r="S454" s="173" t="s">
        <v>38</v>
      </c>
      <c r="T454" s="11" t="s">
        <v>3091</v>
      </c>
      <c r="U454" s="22" t="s">
        <v>3151</v>
      </c>
      <c r="V454" s="22" t="s">
        <v>3151</v>
      </c>
      <c r="W454" s="22"/>
      <c r="X454" s="7"/>
      <c r="Y454" s="7"/>
      <c r="Z454" s="26"/>
      <c r="AA454" s="26"/>
    </row>
    <row r="455" spans="1:27" ht="15.75" customHeight="1">
      <c r="A455" s="10" t="s">
        <v>3235</v>
      </c>
      <c r="B455" s="10" t="s">
        <v>1469</v>
      </c>
      <c r="C455" s="60" t="s">
        <v>1470</v>
      </c>
      <c r="D455" s="12"/>
      <c r="E455" s="13" t="s">
        <v>210</v>
      </c>
      <c r="F455" s="6" t="s">
        <v>210</v>
      </c>
      <c r="G455" s="6" t="str">
        <f ca="1">IFERROR(__xludf.DUMMYFUNCTION("CONCATENATE(B455,(VLOOKUP(C455,CATALOGOS!$F$2:$H$6,3,FALSE)),(VLOOKUP(T455,CATALOGOS!$J$2:$K$18,2,FALSE)),""-"",TO_TEXT(A455))"),"P12PL-0454")</f>
        <v>P12PL-0454</v>
      </c>
      <c r="H455" s="6" t="s">
        <v>3236</v>
      </c>
      <c r="I455" s="6" t="s">
        <v>3237</v>
      </c>
      <c r="J455" s="36"/>
      <c r="K455" s="6" t="s">
        <v>3238</v>
      </c>
      <c r="L455" s="17"/>
      <c r="M455" s="17"/>
      <c r="N455" s="17" t="str">
        <f t="shared" si="2"/>
        <v>OK</v>
      </c>
      <c r="O455" s="17" t="s">
        <v>216</v>
      </c>
      <c r="P455" s="6" t="s">
        <v>3239</v>
      </c>
      <c r="Q455" s="6" t="s">
        <v>3240</v>
      </c>
      <c r="R455" s="10" t="s">
        <v>85</v>
      </c>
      <c r="S455" s="173" t="s">
        <v>38</v>
      </c>
      <c r="T455" s="11" t="s">
        <v>3091</v>
      </c>
      <c r="U455" s="20" t="s">
        <v>3092</v>
      </c>
      <c r="V455" s="20" t="s">
        <v>3092</v>
      </c>
      <c r="W455" s="20"/>
      <c r="X455" s="7"/>
      <c r="Y455" s="7"/>
      <c r="Z455" s="23"/>
      <c r="AA455" s="26"/>
    </row>
    <row r="456" spans="1:27" ht="15.75" customHeight="1">
      <c r="A456" s="10" t="s">
        <v>3241</v>
      </c>
      <c r="B456" s="10" t="s">
        <v>1469</v>
      </c>
      <c r="C456" s="60" t="s">
        <v>1470</v>
      </c>
      <c r="D456" s="12"/>
      <c r="E456" s="13" t="s">
        <v>501</v>
      </c>
      <c r="F456" s="6" t="s">
        <v>2285</v>
      </c>
      <c r="G456" s="6" t="str">
        <f ca="1">IFERROR(__xludf.DUMMYFUNCTION("CONCATENATE(B456,(VLOOKUP(C456,CATALOGOS!$F$2:$H$6,3,FALSE)),(VLOOKUP(T456,CATALOGOS!$J$2:$K$18,2,FALSE)),""-"",TO_TEXT(A456))"),"P12CT-0455")</f>
        <v>P12CT-0455</v>
      </c>
      <c r="H456" s="6" t="s">
        <v>3242</v>
      </c>
      <c r="I456" s="6" t="s">
        <v>3243</v>
      </c>
      <c r="J456" s="6" t="s">
        <v>3244</v>
      </c>
      <c r="K456" s="6" t="s">
        <v>3245</v>
      </c>
      <c r="L456" s="17"/>
      <c r="M456" s="17"/>
      <c r="N456" s="17" t="str">
        <f t="shared" si="2"/>
        <v>OK</v>
      </c>
      <c r="O456" s="17" t="s">
        <v>35</v>
      </c>
      <c r="P456" s="6" t="s">
        <v>35</v>
      </c>
      <c r="Q456" s="17" t="s">
        <v>36</v>
      </c>
      <c r="R456" s="17" t="s">
        <v>3246</v>
      </c>
      <c r="S456" s="173" t="s">
        <v>38</v>
      </c>
      <c r="T456" s="19" t="s">
        <v>2884</v>
      </c>
      <c r="U456" s="22" t="s">
        <v>3247</v>
      </c>
      <c r="V456" s="22" t="s">
        <v>3247</v>
      </c>
      <c r="W456" s="22"/>
      <c r="X456" s="7"/>
      <c r="Y456" s="7"/>
      <c r="Z456" s="23"/>
      <c r="AA456" s="26"/>
    </row>
    <row r="457" spans="1:27" ht="15.75" customHeight="1">
      <c r="A457" s="10" t="s">
        <v>3248</v>
      </c>
      <c r="B457" s="10" t="s">
        <v>1469</v>
      </c>
      <c r="C457" s="60" t="s">
        <v>1470</v>
      </c>
      <c r="D457" s="12"/>
      <c r="E457" s="13" t="s">
        <v>43</v>
      </c>
      <c r="F457" s="43" t="s">
        <v>885</v>
      </c>
      <c r="G457" s="6" t="str">
        <f ca="1">IFERROR(__xludf.DUMMYFUNCTION("CONCATENATE(B457,(VLOOKUP(C457,CATALOGOS!$F$2:$H$6,3,FALSE)),(VLOOKUP(T457,CATALOGOS!$J$2:$K$18,2,FALSE)),""-"",TO_TEXT(A457))"),"P12CT-0456")</f>
        <v>P12CT-0456</v>
      </c>
      <c r="H457" s="6" t="s">
        <v>3249</v>
      </c>
      <c r="I457" s="6" t="s">
        <v>3250</v>
      </c>
      <c r="J457" s="6" t="s">
        <v>3251</v>
      </c>
      <c r="K457" s="6" t="s">
        <v>3252</v>
      </c>
      <c r="L457" s="17"/>
      <c r="M457" s="17"/>
      <c r="N457" s="17" t="str">
        <f t="shared" si="2"/>
        <v>OK</v>
      </c>
      <c r="O457" s="17" t="s">
        <v>3253</v>
      </c>
      <c r="P457" s="6" t="s">
        <v>35</v>
      </c>
      <c r="Q457" s="17" t="s">
        <v>36</v>
      </c>
      <c r="R457" s="17" t="s">
        <v>3254</v>
      </c>
      <c r="S457" s="173" t="s">
        <v>38</v>
      </c>
      <c r="T457" s="19" t="s">
        <v>2884</v>
      </c>
      <c r="U457" s="22" t="s">
        <v>3247</v>
      </c>
      <c r="V457" s="22" t="s">
        <v>3247</v>
      </c>
      <c r="W457" s="22"/>
      <c r="X457" s="7"/>
      <c r="Y457" s="7"/>
      <c r="Z457" s="23"/>
      <c r="AA457" s="26"/>
    </row>
    <row r="458" spans="1:27" ht="15.75" customHeight="1">
      <c r="A458" s="10" t="s">
        <v>3255</v>
      </c>
      <c r="B458" s="10" t="s">
        <v>1469</v>
      </c>
      <c r="C458" s="60" t="s">
        <v>1470</v>
      </c>
      <c r="D458" s="12"/>
      <c r="E458" s="13" t="s">
        <v>93</v>
      </c>
      <c r="F458" s="6" t="s">
        <v>2383</v>
      </c>
      <c r="G458" s="6" t="str">
        <f ca="1">IFERROR(__xludf.DUMMYFUNCTION("CONCATENATE(B458,(VLOOKUP(C458,CATALOGOS!$F$2:$H$6,3,FALSE)),(VLOOKUP(T458,CATALOGOS!$J$2:$K$18,2,FALSE)),""-"",TO_TEXT(A458))"),"P12CT-0457")</f>
        <v>P12CT-0457</v>
      </c>
      <c r="H458" s="6" t="s">
        <v>3256</v>
      </c>
      <c r="I458" s="6" t="s">
        <v>3257</v>
      </c>
      <c r="J458" s="6" t="s">
        <v>3258</v>
      </c>
      <c r="K458" s="6" t="s">
        <v>3259</v>
      </c>
      <c r="L458" s="17"/>
      <c r="M458" s="17"/>
      <c r="N458" s="17" t="str">
        <f t="shared" si="2"/>
        <v>OK</v>
      </c>
      <c r="O458" s="17" t="s">
        <v>35</v>
      </c>
      <c r="P458" s="6" t="s">
        <v>35</v>
      </c>
      <c r="Q458" s="17" t="s">
        <v>36</v>
      </c>
      <c r="R458" s="17" t="s">
        <v>3260</v>
      </c>
      <c r="S458" s="173" t="s">
        <v>38</v>
      </c>
      <c r="T458" s="19" t="s">
        <v>2884</v>
      </c>
      <c r="U458" s="22" t="s">
        <v>3247</v>
      </c>
      <c r="V458" s="22" t="s">
        <v>3247</v>
      </c>
      <c r="W458" s="22"/>
      <c r="X458" s="7"/>
      <c r="Y458" s="7"/>
      <c r="Z458" s="23"/>
      <c r="AA458" s="26"/>
    </row>
    <row r="459" spans="1:27" ht="15.75" customHeight="1">
      <c r="A459" s="10" t="s">
        <v>3261</v>
      </c>
      <c r="B459" s="10" t="s">
        <v>1469</v>
      </c>
      <c r="C459" s="60" t="s">
        <v>1470</v>
      </c>
      <c r="D459" s="12"/>
      <c r="E459" s="13" t="s">
        <v>62</v>
      </c>
      <c r="F459" s="43" t="s">
        <v>3262</v>
      </c>
      <c r="G459" s="6" t="str">
        <f ca="1">IFERROR(__xludf.DUMMYFUNCTION("CONCATENATE(B459,(VLOOKUP(C459,CATALOGOS!$F$2:$H$6,3,FALSE)),(VLOOKUP(T459,CATALOGOS!$J$2:$K$18,2,FALSE)),""-"",TO_TEXT(A459))"),"P12CT-0458")</f>
        <v>P12CT-0458</v>
      </c>
      <c r="H459" s="6" t="s">
        <v>3263</v>
      </c>
      <c r="I459" s="6" t="s">
        <v>3264</v>
      </c>
      <c r="J459" s="6" t="s">
        <v>3265</v>
      </c>
      <c r="K459" s="6" t="s">
        <v>3266</v>
      </c>
      <c r="L459" s="17"/>
      <c r="M459" s="17"/>
      <c r="N459" s="17" t="str">
        <f t="shared" si="2"/>
        <v>OK</v>
      </c>
      <c r="O459" s="17" t="s">
        <v>35</v>
      </c>
      <c r="P459" s="6" t="s">
        <v>35</v>
      </c>
      <c r="Q459" s="17" t="s">
        <v>36</v>
      </c>
      <c r="R459" s="17" t="s">
        <v>3267</v>
      </c>
      <c r="S459" s="173" t="s">
        <v>38</v>
      </c>
      <c r="T459" s="19" t="s">
        <v>2884</v>
      </c>
      <c r="U459" s="22" t="s">
        <v>3247</v>
      </c>
      <c r="V459" s="22" t="s">
        <v>3247</v>
      </c>
      <c r="W459" s="22"/>
      <c r="X459" s="7"/>
      <c r="Y459" s="7"/>
      <c r="Z459" s="23"/>
      <c r="AA459" s="26"/>
    </row>
    <row r="460" spans="1:27" ht="15.75" customHeight="1">
      <c r="A460" s="10" t="s">
        <v>3268</v>
      </c>
      <c r="B460" s="10" t="s">
        <v>1469</v>
      </c>
      <c r="C460" s="60" t="s">
        <v>1470</v>
      </c>
      <c r="D460" s="12"/>
      <c r="E460" s="13" t="s">
        <v>501</v>
      </c>
      <c r="F460" s="43" t="s">
        <v>3269</v>
      </c>
      <c r="G460" s="6" t="str">
        <f ca="1">IFERROR(__xludf.DUMMYFUNCTION("CONCATENATE(B460,(VLOOKUP(C460,CATALOGOS!$F$2:$H$6,3,FALSE)),(VLOOKUP(T460,CATALOGOS!$J$2:$K$18,2,FALSE)),""-"",TO_TEXT(A460))"),"P12CT-0459")</f>
        <v>P12CT-0459</v>
      </c>
      <c r="H460" s="6" t="s">
        <v>3270</v>
      </c>
      <c r="I460" s="6" t="s">
        <v>3271</v>
      </c>
      <c r="J460" s="6" t="s">
        <v>3272</v>
      </c>
      <c r="K460" s="6" t="s">
        <v>3273</v>
      </c>
      <c r="L460" s="17"/>
      <c r="M460" s="17"/>
      <c r="N460" s="17" t="str">
        <f t="shared" si="2"/>
        <v>OK</v>
      </c>
      <c r="O460" s="17" t="s">
        <v>35</v>
      </c>
      <c r="P460" s="6" t="s">
        <v>35</v>
      </c>
      <c r="Q460" s="17" t="s">
        <v>36</v>
      </c>
      <c r="R460" s="17" t="s">
        <v>3274</v>
      </c>
      <c r="S460" s="173" t="s">
        <v>38</v>
      </c>
      <c r="T460" s="19" t="s">
        <v>2884</v>
      </c>
      <c r="U460" s="22" t="s">
        <v>3247</v>
      </c>
      <c r="V460" s="22" t="s">
        <v>3247</v>
      </c>
      <c r="W460" s="22"/>
      <c r="X460" s="7"/>
      <c r="Y460" s="7"/>
      <c r="Z460" s="23"/>
      <c r="AA460" s="26"/>
    </row>
    <row r="461" spans="1:27" ht="15.75" customHeight="1">
      <c r="A461" s="10" t="s">
        <v>3275</v>
      </c>
      <c r="B461" s="10" t="s">
        <v>4410</v>
      </c>
      <c r="C461" s="63" t="s">
        <v>6054</v>
      </c>
      <c r="D461" s="12"/>
      <c r="E461" s="13" t="s">
        <v>199</v>
      </c>
      <c r="F461" s="6" t="s">
        <v>677</v>
      </c>
      <c r="G461" s="6" t="str">
        <f ca="1">IFERROR(__xludf.DUMMYFUNCTION("CONCATENATE(B461,(VLOOKUP(C461,CATALOGOS!$F$2:$H$6,3,FALSE)),(VLOOKUP(T461,CATALOGOS!$J$2:$K$18,2,FALSE)),""-"",TO_TEXT(A461))"),"P21DG-0460")</f>
        <v>P21DG-0460</v>
      </c>
      <c r="H461" s="6" t="s">
        <v>3276</v>
      </c>
      <c r="I461" s="6" t="s">
        <v>3277</v>
      </c>
      <c r="J461" s="6" t="s">
        <v>3278</v>
      </c>
      <c r="K461" s="6" t="s">
        <v>3279</v>
      </c>
      <c r="L461" s="17"/>
      <c r="M461" s="17"/>
      <c r="N461" s="17" t="str">
        <f t="shared" si="2"/>
        <v>OK</v>
      </c>
      <c r="O461" s="17" t="s">
        <v>205</v>
      </c>
      <c r="P461" s="6" t="s">
        <v>2890</v>
      </c>
      <c r="Q461" s="17" t="s">
        <v>3280</v>
      </c>
      <c r="R461" s="17" t="s">
        <v>3281</v>
      </c>
      <c r="S461" s="173" t="s">
        <v>38</v>
      </c>
      <c r="T461" s="19" t="s">
        <v>6054</v>
      </c>
      <c r="U461" s="22" t="s">
        <v>3283</v>
      </c>
      <c r="V461" s="22" t="s">
        <v>3283</v>
      </c>
      <c r="W461" s="22"/>
      <c r="X461" s="7"/>
      <c r="Y461" s="7"/>
      <c r="Z461" s="23"/>
      <c r="AA461" s="26"/>
    </row>
    <row r="462" spans="1:27" ht="15.75" customHeight="1">
      <c r="A462" s="10" t="s">
        <v>3284</v>
      </c>
      <c r="B462" s="10" t="s">
        <v>1469</v>
      </c>
      <c r="C462" s="60" t="s">
        <v>1470</v>
      </c>
      <c r="D462" s="12"/>
      <c r="E462" s="13" t="s">
        <v>501</v>
      </c>
      <c r="F462" s="6" t="s">
        <v>3269</v>
      </c>
      <c r="G462" s="6" t="str">
        <f ca="1">IFERROR(__xludf.DUMMYFUNCTION("CONCATENATE(B462,(VLOOKUP(C462,CATALOGOS!$F$2:$H$6,3,FALSE)),(VLOOKUP(T462,CATALOGOS!$J$2:$K$18,2,FALSE)),""-"",TO_TEXT(A462))"),"P12CT-0461")</f>
        <v>P12CT-0461</v>
      </c>
      <c r="H462" s="6" t="s">
        <v>3286</v>
      </c>
      <c r="I462" s="6" t="s">
        <v>3287</v>
      </c>
      <c r="J462" s="6" t="s">
        <v>3288</v>
      </c>
      <c r="K462" s="6" t="s">
        <v>3289</v>
      </c>
      <c r="L462" s="17"/>
      <c r="M462" s="17"/>
      <c r="N462" s="17" t="str">
        <f t="shared" si="2"/>
        <v>OK</v>
      </c>
      <c r="O462" s="17" t="s">
        <v>35</v>
      </c>
      <c r="P462" s="6" t="s">
        <v>35</v>
      </c>
      <c r="Q462" s="17" t="s">
        <v>36</v>
      </c>
      <c r="R462" s="17" t="s">
        <v>3290</v>
      </c>
      <c r="S462" s="173" t="s">
        <v>38</v>
      </c>
      <c r="T462" s="19" t="s">
        <v>2884</v>
      </c>
      <c r="U462" s="22" t="s">
        <v>3247</v>
      </c>
      <c r="V462" s="22" t="s">
        <v>3247</v>
      </c>
      <c r="W462" s="22"/>
      <c r="X462" s="7"/>
      <c r="Y462" s="7"/>
      <c r="Z462" s="23"/>
      <c r="AA462" s="26"/>
    </row>
    <row r="463" spans="1:27" ht="15.75" customHeight="1">
      <c r="A463" s="10" t="s">
        <v>3291</v>
      </c>
      <c r="B463" s="10" t="s">
        <v>1469</v>
      </c>
      <c r="C463" s="60" t="s">
        <v>1470</v>
      </c>
      <c r="D463" s="12"/>
      <c r="E463" s="13" t="s">
        <v>378</v>
      </c>
      <c r="F463" s="6" t="s">
        <v>2040</v>
      </c>
      <c r="G463" s="6" t="str">
        <f ca="1">IFERROR(__xludf.DUMMYFUNCTION("CONCATENATE(B463,(VLOOKUP(C463,CATALOGOS!$F$2:$H$6,3,FALSE)),(VLOOKUP(T463,CATALOGOS!$J$2:$K$18,2,FALSE)),""-"",TO_TEXT(A463))"),"P12CT-0462")</f>
        <v>P12CT-0462</v>
      </c>
      <c r="H463" s="6" t="s">
        <v>3292</v>
      </c>
      <c r="I463" s="6" t="s">
        <v>3293</v>
      </c>
      <c r="J463" s="66" t="s">
        <v>3294</v>
      </c>
      <c r="K463" s="6" t="s">
        <v>3295</v>
      </c>
      <c r="L463" s="17"/>
      <c r="M463" s="17"/>
      <c r="N463" s="17" t="str">
        <f t="shared" si="2"/>
        <v>OK</v>
      </c>
      <c r="O463" s="17" t="s">
        <v>35</v>
      </c>
      <c r="P463" s="6" t="s">
        <v>35</v>
      </c>
      <c r="Q463" s="17" t="s">
        <v>36</v>
      </c>
      <c r="R463" s="17" t="s">
        <v>3296</v>
      </c>
      <c r="S463" s="173" t="s">
        <v>38</v>
      </c>
      <c r="T463" s="19" t="s">
        <v>2884</v>
      </c>
      <c r="U463" s="22" t="s">
        <v>3247</v>
      </c>
      <c r="V463" s="22" t="s">
        <v>3247</v>
      </c>
      <c r="W463" s="22"/>
      <c r="X463" s="7"/>
      <c r="Y463" s="7"/>
      <c r="Z463" s="23"/>
      <c r="AA463" s="26"/>
    </row>
    <row r="464" spans="1:27" ht="15.75" customHeight="1">
      <c r="A464" s="10" t="s">
        <v>3297</v>
      </c>
      <c r="B464" s="10" t="s">
        <v>1469</v>
      </c>
      <c r="C464" s="60" t="s">
        <v>1470</v>
      </c>
      <c r="D464" s="12"/>
      <c r="E464" s="13" t="s">
        <v>93</v>
      </c>
      <c r="F464" s="6" t="s">
        <v>2383</v>
      </c>
      <c r="G464" s="6" t="str">
        <f ca="1">IFERROR(__xludf.DUMMYFUNCTION("CONCATENATE(B464,(VLOOKUP(C464,CATALOGOS!$F$2:$H$6,3,FALSE)),(VLOOKUP(T464,CATALOGOS!$J$2:$K$18,2,FALSE)),""-"",TO_TEXT(A464))"),"P12CT-0463")</f>
        <v>P12CT-0463</v>
      </c>
      <c r="H464" s="6" t="s">
        <v>3298</v>
      </c>
      <c r="I464" s="6" t="s">
        <v>3299</v>
      </c>
      <c r="J464" s="6" t="s">
        <v>3300</v>
      </c>
      <c r="K464" s="6" t="s">
        <v>3301</v>
      </c>
      <c r="L464" s="17"/>
      <c r="M464" s="17"/>
      <c r="N464" s="17" t="str">
        <f t="shared" si="2"/>
        <v>OK</v>
      </c>
      <c r="O464" s="17" t="s">
        <v>35</v>
      </c>
      <c r="P464" s="6" t="s">
        <v>35</v>
      </c>
      <c r="Q464" s="17" t="s">
        <v>36</v>
      </c>
      <c r="R464" s="17" t="s">
        <v>3302</v>
      </c>
      <c r="S464" s="173" t="s">
        <v>38</v>
      </c>
      <c r="T464" s="19" t="s">
        <v>2884</v>
      </c>
      <c r="U464" s="22" t="s">
        <v>3247</v>
      </c>
      <c r="V464" s="22" t="s">
        <v>3247</v>
      </c>
      <c r="W464" s="22"/>
      <c r="X464" s="7"/>
      <c r="Y464" s="7"/>
      <c r="Z464" s="23"/>
      <c r="AA464" s="26"/>
    </row>
    <row r="465" spans="1:27" ht="15.75" customHeight="1">
      <c r="A465" s="10" t="s">
        <v>3303</v>
      </c>
      <c r="B465" s="10" t="s">
        <v>1469</v>
      </c>
      <c r="C465" s="60" t="s">
        <v>1470</v>
      </c>
      <c r="D465" s="12"/>
      <c r="E465" s="13" t="s">
        <v>93</v>
      </c>
      <c r="F465" s="6" t="s">
        <v>3304</v>
      </c>
      <c r="G465" s="6" t="str">
        <f ca="1">IFERROR(__xludf.DUMMYFUNCTION("CONCATENATE(B465,(VLOOKUP(C465,CATALOGOS!$F$2:$H$6,3,FALSE)),(VLOOKUP(T465,CATALOGOS!$J$2:$K$18,2,FALSE)),""-"",TO_TEXT(A465))"),"P12CT-0464")</f>
        <v>P12CT-0464</v>
      </c>
      <c r="H465" s="6" t="s">
        <v>3305</v>
      </c>
      <c r="I465" s="6" t="s">
        <v>3306</v>
      </c>
      <c r="J465" s="6" t="s">
        <v>3307</v>
      </c>
      <c r="K465" s="6" t="s">
        <v>3308</v>
      </c>
      <c r="L465" s="17"/>
      <c r="M465" s="17"/>
      <c r="N465" s="17" t="str">
        <f t="shared" si="2"/>
        <v>OK</v>
      </c>
      <c r="O465" s="17" t="s">
        <v>35</v>
      </c>
      <c r="P465" s="6" t="s">
        <v>35</v>
      </c>
      <c r="Q465" s="17" t="s">
        <v>36</v>
      </c>
      <c r="R465" s="17" t="s">
        <v>3309</v>
      </c>
      <c r="S465" s="173" t="s">
        <v>38</v>
      </c>
      <c r="T465" s="19" t="s">
        <v>2884</v>
      </c>
      <c r="U465" s="22" t="s">
        <v>3247</v>
      </c>
      <c r="V465" s="22" t="s">
        <v>3247</v>
      </c>
      <c r="W465" s="22"/>
      <c r="X465" s="7"/>
      <c r="Y465" s="7"/>
      <c r="Z465" s="23"/>
      <c r="AA465" s="26"/>
    </row>
    <row r="466" spans="1:27" ht="15.75" customHeight="1">
      <c r="A466" s="10" t="s">
        <v>3310</v>
      </c>
      <c r="B466" s="10" t="s">
        <v>1469</v>
      </c>
      <c r="C466" s="60" t="s">
        <v>1470</v>
      </c>
      <c r="D466" s="12"/>
      <c r="E466" s="13" t="s">
        <v>184</v>
      </c>
      <c r="F466" s="6" t="s">
        <v>3311</v>
      </c>
      <c r="G466" s="6" t="str">
        <f ca="1">IFERROR(__xludf.DUMMYFUNCTION("CONCATENATE(B466,(VLOOKUP(C466,CATALOGOS!$F$2:$H$6,3,FALSE)),(VLOOKUP(T466,CATALOGOS!$J$2:$K$18,2,FALSE)),""-"",TO_TEXT(A466))"),"P12CT-0465")</f>
        <v>P12CT-0465</v>
      </c>
      <c r="H466" s="6" t="s">
        <v>3312</v>
      </c>
      <c r="I466" s="6" t="s">
        <v>3313</v>
      </c>
      <c r="J466" s="6" t="s">
        <v>3314</v>
      </c>
      <c r="K466" s="6" t="s">
        <v>3315</v>
      </c>
      <c r="L466" s="17"/>
      <c r="M466" s="17"/>
      <c r="N466" s="17" t="str">
        <f t="shared" si="2"/>
        <v>OK</v>
      </c>
      <c r="O466" s="17" t="s">
        <v>35</v>
      </c>
      <c r="P466" s="6" t="s">
        <v>35</v>
      </c>
      <c r="Q466" s="17" t="s">
        <v>36</v>
      </c>
      <c r="R466" s="17" t="s">
        <v>3316</v>
      </c>
      <c r="S466" s="173" t="s">
        <v>38</v>
      </c>
      <c r="T466" s="19" t="s">
        <v>2884</v>
      </c>
      <c r="U466" s="22" t="s">
        <v>3247</v>
      </c>
      <c r="V466" s="22" t="s">
        <v>3247</v>
      </c>
      <c r="W466" s="22"/>
      <c r="X466" s="7"/>
      <c r="Y466" s="7"/>
      <c r="Z466" s="23"/>
      <c r="AA466" s="26"/>
    </row>
    <row r="467" spans="1:27" ht="15.75" customHeight="1">
      <c r="A467" s="10" t="s">
        <v>3317</v>
      </c>
      <c r="B467" s="10" t="s">
        <v>1469</v>
      </c>
      <c r="C467" s="60" t="s">
        <v>1470</v>
      </c>
      <c r="D467" s="12"/>
      <c r="E467" s="13" t="s">
        <v>184</v>
      </c>
      <c r="F467" s="6" t="s">
        <v>3311</v>
      </c>
      <c r="G467" s="6" t="str">
        <f ca="1">IFERROR(__xludf.DUMMYFUNCTION("CONCATENATE(B467,(VLOOKUP(C467,CATALOGOS!$F$2:$H$6,3,FALSE)),(VLOOKUP(T467,CATALOGOS!$J$2:$K$18,2,FALSE)),""-"",TO_TEXT(A467))"),"P12CT-0466")</f>
        <v>P12CT-0466</v>
      </c>
      <c r="H467" s="6" t="s">
        <v>3318</v>
      </c>
      <c r="I467" s="6" t="s">
        <v>3319</v>
      </c>
      <c r="J467" s="6" t="s">
        <v>3320</v>
      </c>
      <c r="K467" s="6" t="s">
        <v>3321</v>
      </c>
      <c r="L467" s="17"/>
      <c r="M467" s="17"/>
      <c r="N467" s="17" t="str">
        <f t="shared" si="2"/>
        <v>OK</v>
      </c>
      <c r="O467" s="17" t="s">
        <v>35</v>
      </c>
      <c r="P467" s="6" t="s">
        <v>35</v>
      </c>
      <c r="Q467" s="17" t="s">
        <v>36</v>
      </c>
      <c r="R467" s="17" t="s">
        <v>3322</v>
      </c>
      <c r="S467" s="173" t="s">
        <v>38</v>
      </c>
      <c r="T467" s="19" t="s">
        <v>2884</v>
      </c>
      <c r="U467" s="22" t="s">
        <v>3247</v>
      </c>
      <c r="V467" s="22" t="s">
        <v>3247</v>
      </c>
      <c r="W467" s="22"/>
      <c r="X467" s="7"/>
      <c r="Y467" s="7"/>
      <c r="Z467" s="23"/>
      <c r="AA467" s="26"/>
    </row>
    <row r="468" spans="1:27" ht="15.75" customHeight="1">
      <c r="A468" s="10" t="s">
        <v>3323</v>
      </c>
      <c r="B468" s="10" t="s">
        <v>1469</v>
      </c>
      <c r="C468" s="60" t="s">
        <v>1470</v>
      </c>
      <c r="D468" s="12"/>
      <c r="E468" s="13" t="s">
        <v>234</v>
      </c>
      <c r="F468" s="6" t="s">
        <v>3324</v>
      </c>
      <c r="G468" s="6" t="str">
        <f ca="1">IFERROR(__xludf.DUMMYFUNCTION("CONCATENATE(B468,(VLOOKUP(C468,CATALOGOS!$F$2:$H$6,3,FALSE)),(VLOOKUP(T468,CATALOGOS!$J$2:$K$18,2,FALSE)),""-"",TO_TEXT(A468))"),"P12CT-0467")</f>
        <v>P12CT-0467</v>
      </c>
      <c r="H468" s="6" t="s">
        <v>3325</v>
      </c>
      <c r="I468" s="6" t="s">
        <v>3326</v>
      </c>
      <c r="J468" s="6" t="s">
        <v>3327</v>
      </c>
      <c r="K468" s="6" t="s">
        <v>3328</v>
      </c>
      <c r="L468" s="17"/>
      <c r="M468" s="17"/>
      <c r="N468" s="17" t="str">
        <f t="shared" si="2"/>
        <v>OK</v>
      </c>
      <c r="O468" s="17" t="s">
        <v>35</v>
      </c>
      <c r="P468" s="6" t="s">
        <v>35</v>
      </c>
      <c r="Q468" s="17" t="s">
        <v>36</v>
      </c>
      <c r="R468" s="17" t="s">
        <v>3329</v>
      </c>
      <c r="S468" s="173" t="s">
        <v>38</v>
      </c>
      <c r="T468" s="19" t="s">
        <v>2884</v>
      </c>
      <c r="U468" s="22" t="s">
        <v>3247</v>
      </c>
      <c r="V468" s="22" t="s">
        <v>3247</v>
      </c>
      <c r="W468" s="22"/>
      <c r="X468" s="7"/>
      <c r="Y468" s="7"/>
      <c r="Z468" s="23"/>
      <c r="AA468" s="26"/>
    </row>
    <row r="469" spans="1:27" ht="15.75" customHeight="1">
      <c r="A469" s="10" t="s">
        <v>3330</v>
      </c>
      <c r="B469" s="10" t="s">
        <v>1469</v>
      </c>
      <c r="C469" s="60" t="s">
        <v>1470</v>
      </c>
      <c r="D469" s="12"/>
      <c r="E469" s="13" t="s">
        <v>501</v>
      </c>
      <c r="F469" s="6" t="s">
        <v>3331</v>
      </c>
      <c r="G469" s="6" t="str">
        <f ca="1">IFERROR(__xludf.DUMMYFUNCTION("CONCATENATE(B469,(VLOOKUP(C469,CATALOGOS!$F$2:$H$6,3,FALSE)),(VLOOKUP(T469,CATALOGOS!$J$2:$K$18,2,FALSE)),""-"",TO_TEXT(A469))"),"P12CT-0468")</f>
        <v>P12CT-0468</v>
      </c>
      <c r="H469" s="6" t="s">
        <v>3332</v>
      </c>
      <c r="I469" s="6" t="s">
        <v>3333</v>
      </c>
      <c r="J469" s="6" t="s">
        <v>3334</v>
      </c>
      <c r="K469" s="6" t="s">
        <v>3335</v>
      </c>
      <c r="L469" s="17"/>
      <c r="M469" s="17"/>
      <c r="N469" s="17" t="str">
        <f t="shared" si="2"/>
        <v>OK</v>
      </c>
      <c r="O469" s="17" t="s">
        <v>35</v>
      </c>
      <c r="P469" s="6" t="s">
        <v>35</v>
      </c>
      <c r="Q469" s="17" t="s">
        <v>36</v>
      </c>
      <c r="R469" s="17" t="s">
        <v>3336</v>
      </c>
      <c r="S469" s="173" t="s">
        <v>38</v>
      </c>
      <c r="T469" s="19" t="s">
        <v>2884</v>
      </c>
      <c r="U469" s="22" t="s">
        <v>3247</v>
      </c>
      <c r="V469" s="22" t="s">
        <v>3247</v>
      </c>
      <c r="W469" s="22"/>
      <c r="X469" s="7"/>
      <c r="Y469" s="7"/>
      <c r="Z469" s="23"/>
      <c r="AA469" s="26"/>
    </row>
    <row r="470" spans="1:27" ht="15.75" customHeight="1">
      <c r="A470" s="10" t="s">
        <v>3337</v>
      </c>
      <c r="B470" s="10" t="s">
        <v>1469</v>
      </c>
      <c r="C470" s="60" t="s">
        <v>1470</v>
      </c>
      <c r="D470" s="12"/>
      <c r="E470" s="13" t="s">
        <v>93</v>
      </c>
      <c r="F470" s="43" t="s">
        <v>3338</v>
      </c>
      <c r="G470" s="6" t="str">
        <f ca="1">IFERROR(__xludf.DUMMYFUNCTION("CONCATENATE(B470,(VLOOKUP(C470,CATALOGOS!$F$2:$H$6,3,FALSE)),(VLOOKUP(T470,CATALOGOS!$J$2:$K$18,2,FALSE)),""-"",TO_TEXT(A470))"),"P12CT-0469")</f>
        <v>P12CT-0469</v>
      </c>
      <c r="H470" s="6" t="s">
        <v>3339</v>
      </c>
      <c r="I470" s="54"/>
      <c r="J470" s="6" t="s">
        <v>3340</v>
      </c>
      <c r="K470" s="6" t="s">
        <v>3341</v>
      </c>
      <c r="L470" s="17"/>
      <c r="M470" s="17"/>
      <c r="N470" s="17" t="str">
        <f t="shared" si="2"/>
        <v>OK</v>
      </c>
      <c r="O470" s="17" t="s">
        <v>35</v>
      </c>
      <c r="P470" s="6" t="s">
        <v>35</v>
      </c>
      <c r="Q470" s="17" t="s">
        <v>36</v>
      </c>
      <c r="R470" s="17" t="s">
        <v>3342</v>
      </c>
      <c r="S470" s="173" t="s">
        <v>38</v>
      </c>
      <c r="T470" s="19" t="s">
        <v>2884</v>
      </c>
      <c r="U470" s="22" t="s">
        <v>3247</v>
      </c>
      <c r="V470" s="22" t="s">
        <v>3247</v>
      </c>
      <c r="W470" s="22"/>
      <c r="X470" s="7"/>
      <c r="Y470" s="7"/>
      <c r="Z470" s="23"/>
      <c r="AA470" s="26"/>
    </row>
    <row r="471" spans="1:27" ht="15.75" customHeight="1">
      <c r="A471" s="10" t="s">
        <v>3343</v>
      </c>
      <c r="B471" s="10" t="s">
        <v>1469</v>
      </c>
      <c r="C471" s="60" t="s">
        <v>1470</v>
      </c>
      <c r="D471" s="12"/>
      <c r="E471" s="13" t="s">
        <v>116</v>
      </c>
      <c r="F471" s="6" t="s">
        <v>3344</v>
      </c>
      <c r="G471" s="6" t="str">
        <f ca="1">IFERROR(__xludf.DUMMYFUNCTION("CONCATENATE(B471,(VLOOKUP(C471,CATALOGOS!$F$2:$H$6,3,FALSE)),(VLOOKUP(T471,CATALOGOS!$J$2:$K$18,2,FALSE)),""-"",TO_TEXT(A471))"),"P12CT-0470")</f>
        <v>P12CT-0470</v>
      </c>
      <c r="H471" s="6" t="s">
        <v>3345</v>
      </c>
      <c r="I471" s="6" t="s">
        <v>3346</v>
      </c>
      <c r="J471" s="6" t="s">
        <v>3347</v>
      </c>
      <c r="K471" s="6" t="s">
        <v>3348</v>
      </c>
      <c r="L471" s="17"/>
      <c r="M471" s="17"/>
      <c r="N471" s="17" t="str">
        <f t="shared" si="2"/>
        <v>OK</v>
      </c>
      <c r="O471" s="17" t="s">
        <v>35</v>
      </c>
      <c r="P471" s="6" t="s">
        <v>35</v>
      </c>
      <c r="Q471" s="17" t="s">
        <v>36</v>
      </c>
      <c r="R471" s="17" t="s">
        <v>3349</v>
      </c>
      <c r="S471" s="173" t="s">
        <v>38</v>
      </c>
      <c r="T471" s="19" t="s">
        <v>2884</v>
      </c>
      <c r="U471" s="22" t="s">
        <v>3247</v>
      </c>
      <c r="V471" s="22" t="s">
        <v>3247</v>
      </c>
      <c r="W471" s="22"/>
      <c r="X471" s="7"/>
      <c r="Y471" s="7"/>
      <c r="Z471" s="23"/>
      <c r="AA471" s="26"/>
    </row>
    <row r="472" spans="1:27" ht="15.75" customHeight="1">
      <c r="A472" s="10" t="s">
        <v>3350</v>
      </c>
      <c r="B472" s="10" t="s">
        <v>1469</v>
      </c>
      <c r="C472" s="60" t="s">
        <v>1470</v>
      </c>
      <c r="D472" s="12"/>
      <c r="E472" s="13" t="s">
        <v>151</v>
      </c>
      <c r="F472" s="6" t="s">
        <v>963</v>
      </c>
      <c r="G472" s="6" t="str">
        <f ca="1">IFERROR(__xludf.DUMMYFUNCTION("CONCATENATE(B472,(VLOOKUP(C472,CATALOGOS!$F$2:$H$6,3,FALSE)),(VLOOKUP(T472,CATALOGOS!$J$2:$K$18,2,FALSE)),""-"",TO_TEXT(A472))"),"P12CT-0471")</f>
        <v>P12CT-0471</v>
      </c>
      <c r="H472" s="6" t="s">
        <v>3351</v>
      </c>
      <c r="I472" s="6" t="s">
        <v>3352</v>
      </c>
      <c r="J472" s="6" t="s">
        <v>3353</v>
      </c>
      <c r="K472" s="6" t="s">
        <v>3354</v>
      </c>
      <c r="L472" s="17"/>
      <c r="M472" s="17"/>
      <c r="N472" s="17" t="str">
        <f t="shared" si="2"/>
        <v>OK</v>
      </c>
      <c r="O472" s="17" t="s">
        <v>297</v>
      </c>
      <c r="P472" s="6" t="s">
        <v>1407</v>
      </c>
      <c r="Q472" s="17" t="s">
        <v>3355</v>
      </c>
      <c r="R472" s="17" t="s">
        <v>3356</v>
      </c>
      <c r="S472" s="173" t="s">
        <v>38</v>
      </c>
      <c r="T472" s="19" t="s">
        <v>2884</v>
      </c>
      <c r="U472" s="22" t="s">
        <v>3247</v>
      </c>
      <c r="V472" s="22" t="s">
        <v>3247</v>
      </c>
      <c r="W472" s="22"/>
      <c r="X472" s="7"/>
      <c r="Y472" s="7"/>
      <c r="Z472" s="23"/>
      <c r="AA472" s="26"/>
    </row>
    <row r="473" spans="1:27" ht="15.75" customHeight="1">
      <c r="A473" s="10" t="s">
        <v>3357</v>
      </c>
      <c r="B473" s="10" t="s">
        <v>1469</v>
      </c>
      <c r="C473" s="60" t="s">
        <v>1470</v>
      </c>
      <c r="D473" s="12"/>
      <c r="E473" s="13" t="s">
        <v>151</v>
      </c>
      <c r="F473" s="6" t="s">
        <v>714</v>
      </c>
      <c r="G473" s="6" t="str">
        <f ca="1">IFERROR(__xludf.DUMMYFUNCTION("CONCATENATE(B473,(VLOOKUP(C473,CATALOGOS!$F$2:$H$6,3,FALSE)),(VLOOKUP(T473,CATALOGOS!$J$2:$K$18,2,FALSE)),""-"",TO_TEXT(A473))"),"P12CT-0472")</f>
        <v>P12CT-0472</v>
      </c>
      <c r="H473" s="6" t="s">
        <v>3358</v>
      </c>
      <c r="I473" s="6" t="s">
        <v>3359</v>
      </c>
      <c r="J473" s="6" t="s">
        <v>3360</v>
      </c>
      <c r="K473" s="6" t="s">
        <v>3361</v>
      </c>
      <c r="L473" s="17"/>
      <c r="M473" s="17"/>
      <c r="N473" s="17" t="str">
        <f t="shared" si="2"/>
        <v>OK</v>
      </c>
      <c r="O473" s="17" t="s">
        <v>157</v>
      </c>
      <c r="P473" s="6" t="s">
        <v>158</v>
      </c>
      <c r="Q473" s="17" t="s">
        <v>3362</v>
      </c>
      <c r="R473" s="10" t="s">
        <v>3363</v>
      </c>
      <c r="S473" s="173" t="s">
        <v>38</v>
      </c>
      <c r="T473" s="19" t="s">
        <v>2884</v>
      </c>
      <c r="U473" s="22" t="s">
        <v>3247</v>
      </c>
      <c r="V473" s="22" t="s">
        <v>3247</v>
      </c>
      <c r="W473" s="22"/>
      <c r="X473" s="7"/>
      <c r="Y473" s="7"/>
      <c r="Z473" s="23"/>
      <c r="AA473" s="26"/>
    </row>
    <row r="474" spans="1:27" ht="15.75" customHeight="1">
      <c r="A474" s="10" t="s">
        <v>3364</v>
      </c>
      <c r="B474" s="10" t="s">
        <v>1469</v>
      </c>
      <c r="C474" s="60" t="s">
        <v>1470</v>
      </c>
      <c r="D474" s="12"/>
      <c r="E474" s="13" t="s">
        <v>162</v>
      </c>
      <c r="F474" s="6" t="s">
        <v>285</v>
      </c>
      <c r="G474" s="6" t="str">
        <f ca="1">IFERROR(__xludf.DUMMYFUNCTION("CONCATENATE(B474,(VLOOKUP(C474,CATALOGOS!$F$2:$H$6,3,FALSE)),(VLOOKUP(T474,CATALOGOS!$J$2:$K$18,2,FALSE)),""-"",TO_TEXT(A474))"),"P12CT-0473")</f>
        <v>P12CT-0473</v>
      </c>
      <c r="H474" s="6" t="s">
        <v>3365</v>
      </c>
      <c r="I474" s="6" t="s">
        <v>3366</v>
      </c>
      <c r="J474" s="6" t="s">
        <v>3367</v>
      </c>
      <c r="K474" s="6" t="s">
        <v>3368</v>
      </c>
      <c r="L474" s="17"/>
      <c r="M474" s="17"/>
      <c r="N474" s="17" t="str">
        <f t="shared" si="2"/>
        <v>OK</v>
      </c>
      <c r="O474" s="17" t="s">
        <v>168</v>
      </c>
      <c r="P474" s="6" t="s">
        <v>169</v>
      </c>
      <c r="Q474" s="17" t="s">
        <v>3369</v>
      </c>
      <c r="R474" s="17" t="s">
        <v>3370</v>
      </c>
      <c r="S474" s="173" t="s">
        <v>38</v>
      </c>
      <c r="T474" s="19" t="s">
        <v>2884</v>
      </c>
      <c r="U474" s="22" t="s">
        <v>3247</v>
      </c>
      <c r="V474" s="22" t="s">
        <v>3247</v>
      </c>
      <c r="W474" s="22"/>
      <c r="X474" s="7"/>
      <c r="Y474" s="7"/>
      <c r="Z474" s="23"/>
      <c r="AA474" s="26"/>
    </row>
    <row r="475" spans="1:27" ht="15.75" customHeight="1">
      <c r="A475" s="10" t="s">
        <v>3371</v>
      </c>
      <c r="B475" s="10" t="s">
        <v>1469</v>
      </c>
      <c r="C475" s="60" t="s">
        <v>1470</v>
      </c>
      <c r="D475" s="12"/>
      <c r="E475" s="13" t="s">
        <v>199</v>
      </c>
      <c r="F475" s="6" t="s">
        <v>199</v>
      </c>
      <c r="G475" s="6" t="str">
        <f ca="1">IFERROR(__xludf.DUMMYFUNCTION("CONCATENATE(B475,(VLOOKUP(C475,CATALOGOS!$F$2:$H$6,3,FALSE)),(VLOOKUP(T475,CATALOGOS!$J$2:$K$18,2,FALSE)),""-"",TO_TEXT(A475))"),"P12CT-0474")</f>
        <v>P12CT-0474</v>
      </c>
      <c r="H475" s="6" t="s">
        <v>3372</v>
      </c>
      <c r="I475" s="6" t="s">
        <v>3373</v>
      </c>
      <c r="J475" s="6" t="s">
        <v>3374</v>
      </c>
      <c r="K475" s="6" t="s">
        <v>3375</v>
      </c>
      <c r="L475" s="17"/>
      <c r="M475" s="17"/>
      <c r="N475" s="17" t="str">
        <f t="shared" si="2"/>
        <v>OK</v>
      </c>
      <c r="O475" s="17" t="s">
        <v>157</v>
      </c>
      <c r="P475" s="6">
        <v>2378</v>
      </c>
      <c r="Q475" s="17" t="s">
        <v>3376</v>
      </c>
      <c r="R475" s="10" t="s">
        <v>3377</v>
      </c>
      <c r="S475" s="173" t="s">
        <v>38</v>
      </c>
      <c r="T475" s="19" t="s">
        <v>2884</v>
      </c>
      <c r="U475" s="22" t="s">
        <v>3247</v>
      </c>
      <c r="V475" s="22" t="s">
        <v>3247</v>
      </c>
      <c r="W475" s="22"/>
      <c r="X475" s="7"/>
      <c r="Y475" s="7"/>
      <c r="Z475" s="23"/>
      <c r="AA475" s="26"/>
    </row>
    <row r="476" spans="1:27" ht="15.75" customHeight="1">
      <c r="A476" s="10" t="s">
        <v>3378</v>
      </c>
      <c r="B476" s="10" t="s">
        <v>1469</v>
      </c>
      <c r="C476" s="60" t="s">
        <v>1470</v>
      </c>
      <c r="D476" s="12"/>
      <c r="E476" s="13" t="s">
        <v>353</v>
      </c>
      <c r="F476" s="43" t="s">
        <v>638</v>
      </c>
      <c r="G476" s="6" t="str">
        <f ca="1">IFERROR(__xludf.DUMMYFUNCTION("CONCATENATE(B476,(VLOOKUP(C476,CATALOGOS!$F$2:$H$6,3,FALSE)),(VLOOKUP(T476,CATALOGOS!$J$2:$K$18,2,FALSE)),""-"",TO_TEXT(A476))"),"P12CT-0475")</f>
        <v>P12CT-0475</v>
      </c>
      <c r="H476" s="6" t="s">
        <v>3379</v>
      </c>
      <c r="I476" s="6" t="s">
        <v>3380</v>
      </c>
      <c r="J476" s="6" t="s">
        <v>3381</v>
      </c>
      <c r="K476" s="6" t="s">
        <v>3382</v>
      </c>
      <c r="L476" s="17"/>
      <c r="M476" s="17"/>
      <c r="N476" s="17" t="str">
        <f t="shared" si="2"/>
        <v>OK</v>
      </c>
      <c r="O476" s="17" t="s">
        <v>359</v>
      </c>
      <c r="P476" s="6" t="s">
        <v>360</v>
      </c>
      <c r="Q476" s="17" t="s">
        <v>36</v>
      </c>
      <c r="R476" s="17" t="s">
        <v>3383</v>
      </c>
      <c r="S476" s="173" t="s">
        <v>38</v>
      </c>
      <c r="T476" s="19" t="s">
        <v>2884</v>
      </c>
      <c r="U476" s="22" t="s">
        <v>3247</v>
      </c>
      <c r="V476" s="22" t="s">
        <v>3247</v>
      </c>
      <c r="W476" s="22"/>
      <c r="X476" s="7"/>
      <c r="Y476" s="7"/>
      <c r="Z476" s="23"/>
      <c r="AA476" s="26"/>
    </row>
    <row r="477" spans="1:27" ht="15.75" customHeight="1">
      <c r="A477" s="10" t="s">
        <v>3384</v>
      </c>
      <c r="B477" s="10" t="s">
        <v>1469</v>
      </c>
      <c r="C477" s="60" t="s">
        <v>1470</v>
      </c>
      <c r="D477" s="12"/>
      <c r="E477" s="13" t="s">
        <v>248</v>
      </c>
      <c r="F477" s="43" t="s">
        <v>248</v>
      </c>
      <c r="G477" s="6" t="str">
        <f ca="1">IFERROR(__xludf.DUMMYFUNCTION("CONCATENATE(B477,(VLOOKUP(C477,CATALOGOS!$F$2:$H$6,3,FALSE)),(VLOOKUP(T477,CATALOGOS!$J$2:$K$18,2,FALSE)),""-"",TO_TEXT(A477))"),"P12CT-0476")</f>
        <v>P12CT-0476</v>
      </c>
      <c r="H477" s="6" t="s">
        <v>3385</v>
      </c>
      <c r="I477" s="6" t="s">
        <v>3386</v>
      </c>
      <c r="J477" s="6" t="s">
        <v>3387</v>
      </c>
      <c r="K477" s="6" t="s">
        <v>3388</v>
      </c>
      <c r="L477" s="17"/>
      <c r="M477" s="17"/>
      <c r="N477" s="17" t="str">
        <f t="shared" si="2"/>
        <v>OK</v>
      </c>
      <c r="O477" s="17" t="s">
        <v>978</v>
      </c>
      <c r="P477" s="6" t="s">
        <v>979</v>
      </c>
      <c r="Q477" s="17" t="s">
        <v>3389</v>
      </c>
      <c r="R477" s="17" t="s">
        <v>3390</v>
      </c>
      <c r="S477" s="173" t="s">
        <v>38</v>
      </c>
      <c r="T477" s="19" t="s">
        <v>2884</v>
      </c>
      <c r="U477" s="22" t="s">
        <v>3247</v>
      </c>
      <c r="V477" s="22" t="s">
        <v>3247</v>
      </c>
      <c r="W477" s="22"/>
      <c r="X477" s="7"/>
      <c r="Y477" s="7"/>
      <c r="Z477" s="23"/>
      <c r="AA477" s="26"/>
    </row>
    <row r="478" spans="1:27" ht="15.75" customHeight="1">
      <c r="A478" s="10" t="s">
        <v>3391</v>
      </c>
      <c r="B478" s="10" t="s">
        <v>1469</v>
      </c>
      <c r="C478" s="60" t="s">
        <v>1470</v>
      </c>
      <c r="D478" s="12"/>
      <c r="E478" s="13" t="s">
        <v>1240</v>
      </c>
      <c r="F478" s="6" t="s">
        <v>1240</v>
      </c>
      <c r="G478" s="6" t="str">
        <f ca="1">IFERROR(__xludf.DUMMYFUNCTION("CONCATENATE(B478,(VLOOKUP(C478,CATALOGOS!$F$2:$H$6,3,FALSE)),(VLOOKUP(T478,CATALOGOS!$J$2:$K$18,2,FALSE)),""-"",TO_TEXT(A478))"),"P12CT-0477")</f>
        <v>P12CT-0477</v>
      </c>
      <c r="H478" s="6" t="s">
        <v>3392</v>
      </c>
      <c r="I478" s="6" t="s">
        <v>3393</v>
      </c>
      <c r="J478" s="6" t="s">
        <v>3394</v>
      </c>
      <c r="K478" s="6" t="s">
        <v>3395</v>
      </c>
      <c r="L478" s="17"/>
      <c r="M478" s="17"/>
      <c r="N478" s="17" t="str">
        <f t="shared" si="2"/>
        <v>OK</v>
      </c>
      <c r="O478" s="17" t="s">
        <v>35</v>
      </c>
      <c r="P478" s="6" t="s">
        <v>35</v>
      </c>
      <c r="Q478" s="17" t="s">
        <v>36</v>
      </c>
      <c r="R478" s="17" t="s">
        <v>3396</v>
      </c>
      <c r="S478" s="173" t="s">
        <v>38</v>
      </c>
      <c r="T478" s="19" t="s">
        <v>2884</v>
      </c>
      <c r="U478" s="20" t="s">
        <v>3247</v>
      </c>
      <c r="V478" s="20" t="s">
        <v>3247</v>
      </c>
      <c r="W478" s="20"/>
      <c r="X478" s="7"/>
      <c r="Y478" s="7"/>
      <c r="Z478" s="23"/>
      <c r="AA478" s="26"/>
    </row>
    <row r="479" spans="1:27" ht="15.75" customHeight="1">
      <c r="A479" s="10" t="s">
        <v>3397</v>
      </c>
      <c r="B479" s="10" t="s">
        <v>1469</v>
      </c>
      <c r="C479" s="60" t="s">
        <v>1470</v>
      </c>
      <c r="D479" s="12"/>
      <c r="E479" s="13" t="s">
        <v>248</v>
      </c>
      <c r="F479" s="43" t="s">
        <v>248</v>
      </c>
      <c r="G479" s="6" t="str">
        <f ca="1">IFERROR(__xludf.DUMMYFUNCTION("CONCATENATE(B479,(VLOOKUP(C479,CATALOGOS!$F$2:$H$6,3,FALSE)),(VLOOKUP(T479,CATALOGOS!$J$2:$K$18,2,FALSE)),""-"",TO_TEXT(A479))"),"P12CT-0478")</f>
        <v>P12CT-0478</v>
      </c>
      <c r="H479" s="6" t="s">
        <v>3398</v>
      </c>
      <c r="I479" s="6" t="s">
        <v>3399</v>
      </c>
      <c r="J479" s="6" t="s">
        <v>3400</v>
      </c>
      <c r="K479" s="6" t="s">
        <v>3401</v>
      </c>
      <c r="L479" s="17"/>
      <c r="M479" s="17"/>
      <c r="N479" s="17" t="str">
        <f t="shared" si="2"/>
        <v>OK</v>
      </c>
      <c r="O479" s="17" t="s">
        <v>827</v>
      </c>
      <c r="P479" s="6" t="s">
        <v>828</v>
      </c>
      <c r="Q479" s="17" t="s">
        <v>3402</v>
      </c>
      <c r="R479" s="10" t="s">
        <v>3403</v>
      </c>
      <c r="S479" s="173" t="s">
        <v>38</v>
      </c>
      <c r="T479" s="19" t="s">
        <v>2884</v>
      </c>
      <c r="U479" s="22" t="s">
        <v>3247</v>
      </c>
      <c r="V479" s="22" t="s">
        <v>3247</v>
      </c>
      <c r="W479" s="22"/>
      <c r="X479" s="7"/>
      <c r="Y479" s="7"/>
      <c r="Z479" s="23"/>
      <c r="AA479" s="26"/>
    </row>
    <row r="480" spans="1:27" ht="15.75" customHeight="1">
      <c r="A480" s="10" t="s">
        <v>3404</v>
      </c>
      <c r="B480" s="10" t="s">
        <v>1469</v>
      </c>
      <c r="C480" s="60" t="s">
        <v>1470</v>
      </c>
      <c r="D480" s="12"/>
      <c r="E480" s="13" t="s">
        <v>43</v>
      </c>
      <c r="F480" s="43" t="s">
        <v>3405</v>
      </c>
      <c r="G480" s="6" t="str">
        <f ca="1">IFERROR(__xludf.DUMMYFUNCTION("CONCATENATE(B480,(VLOOKUP(C480,CATALOGOS!$F$2:$H$6,3,FALSE)),(VLOOKUP(T480,CATALOGOS!$J$2:$K$18,2,FALSE)),""-"",TO_TEXT(A480))"),"P12CT-0479")</f>
        <v>P12CT-0479</v>
      </c>
      <c r="H480" s="6" t="s">
        <v>3406</v>
      </c>
      <c r="I480" s="6" t="s">
        <v>3407</v>
      </c>
      <c r="J480" s="6" t="s">
        <v>3408</v>
      </c>
      <c r="K480" s="6" t="s">
        <v>3409</v>
      </c>
      <c r="L480" s="17"/>
      <c r="M480" s="17"/>
      <c r="N480" s="17" t="str">
        <f t="shared" si="2"/>
        <v>OK</v>
      </c>
      <c r="O480" s="17" t="s">
        <v>49</v>
      </c>
      <c r="P480" s="6">
        <v>3352</v>
      </c>
      <c r="Q480" s="17" t="s">
        <v>36</v>
      </c>
      <c r="R480" s="10" t="s">
        <v>3410</v>
      </c>
      <c r="S480" s="173" t="s">
        <v>38</v>
      </c>
      <c r="T480" s="19" t="s">
        <v>2884</v>
      </c>
      <c r="U480" s="20" t="s">
        <v>385</v>
      </c>
      <c r="V480" s="20" t="s">
        <v>385</v>
      </c>
      <c r="W480" s="20"/>
      <c r="X480" s="7"/>
      <c r="Y480" s="7"/>
      <c r="Z480" s="23"/>
      <c r="AA480" s="26"/>
    </row>
    <row r="481" spans="1:27" ht="15.75" customHeight="1">
      <c r="A481" s="10" t="s">
        <v>3411</v>
      </c>
      <c r="B481" s="10" t="s">
        <v>1469</v>
      </c>
      <c r="C481" s="60" t="s">
        <v>1470</v>
      </c>
      <c r="D481" s="12"/>
      <c r="E481" s="13" t="s">
        <v>248</v>
      </c>
      <c r="F481" s="6" t="s">
        <v>248</v>
      </c>
      <c r="G481" s="6" t="str">
        <f ca="1">IFERROR(__xludf.DUMMYFUNCTION("CONCATENATE(B481,(VLOOKUP(C481,CATALOGOS!$F$2:$H$6,3,FALSE)),(VLOOKUP(T481,CATALOGOS!$J$2:$K$18,2,FALSE)),""-"",TO_TEXT(A481))"),"P12CT-0480")</f>
        <v>P12CT-0480</v>
      </c>
      <c r="H481" s="6" t="s">
        <v>3412</v>
      </c>
      <c r="I481" s="6" t="s">
        <v>3413</v>
      </c>
      <c r="J481" s="6" t="s">
        <v>3414</v>
      </c>
      <c r="K481" s="6" t="s">
        <v>3415</v>
      </c>
      <c r="L481" s="17"/>
      <c r="M481" s="17"/>
      <c r="N481" s="17" t="str">
        <f t="shared" si="2"/>
        <v>OK</v>
      </c>
      <c r="O481" s="17" t="s">
        <v>250</v>
      </c>
      <c r="P481" s="6" t="s">
        <v>3416</v>
      </c>
      <c r="Q481" s="17" t="s">
        <v>3417</v>
      </c>
      <c r="R481" s="10" t="s">
        <v>3418</v>
      </c>
      <c r="S481" s="173" t="s">
        <v>38</v>
      </c>
      <c r="T481" s="19" t="s">
        <v>2884</v>
      </c>
      <c r="U481" s="20" t="s">
        <v>385</v>
      </c>
      <c r="V481" s="20" t="s">
        <v>385</v>
      </c>
      <c r="W481" s="20"/>
      <c r="X481" s="7"/>
      <c r="Y481" s="7"/>
      <c r="Z481" s="23"/>
      <c r="AA481" s="26"/>
    </row>
    <row r="482" spans="1:27" ht="15.75" customHeight="1">
      <c r="A482" s="10" t="s">
        <v>3419</v>
      </c>
      <c r="B482" s="10" t="s">
        <v>1469</v>
      </c>
      <c r="C482" s="60" t="s">
        <v>1470</v>
      </c>
      <c r="D482" s="12"/>
      <c r="E482" s="13" t="s">
        <v>1240</v>
      </c>
      <c r="F482" s="6" t="s">
        <v>1240</v>
      </c>
      <c r="G482" s="6" t="str">
        <f ca="1">IFERROR(__xludf.DUMMYFUNCTION("CONCATENATE(B482,(VLOOKUP(C482,CATALOGOS!$F$2:$H$6,3,FALSE)),(VLOOKUP(T482,CATALOGOS!$J$2:$K$18,2,FALSE)),""-"",TO_TEXT(A482))"),"P12CT-0481")</f>
        <v>P12CT-0481</v>
      </c>
      <c r="H482" s="6" t="s">
        <v>3420</v>
      </c>
      <c r="I482" s="6" t="s">
        <v>3421</v>
      </c>
      <c r="J482" s="6" t="s">
        <v>3422</v>
      </c>
      <c r="K482" s="6" t="s">
        <v>3423</v>
      </c>
      <c r="L482" s="17"/>
      <c r="M482" s="17"/>
      <c r="N482" s="17" t="str">
        <f t="shared" si="2"/>
        <v>OK</v>
      </c>
      <c r="O482" s="17" t="s">
        <v>35</v>
      </c>
      <c r="P482" s="6" t="s">
        <v>35</v>
      </c>
      <c r="Q482" s="17" t="s">
        <v>36</v>
      </c>
      <c r="R482" s="17" t="s">
        <v>3424</v>
      </c>
      <c r="S482" s="173" t="s">
        <v>38</v>
      </c>
      <c r="T482" s="19" t="s">
        <v>2884</v>
      </c>
      <c r="U482" s="20" t="s">
        <v>385</v>
      </c>
      <c r="V482" s="20" t="s">
        <v>385</v>
      </c>
      <c r="W482" s="20"/>
      <c r="X482" s="7"/>
      <c r="Y482" s="7"/>
      <c r="Z482" s="23"/>
      <c r="AA482" s="26"/>
    </row>
    <row r="483" spans="1:27" ht="15.75" customHeight="1">
      <c r="A483" s="10" t="s">
        <v>3425</v>
      </c>
      <c r="B483" s="10" t="s">
        <v>1469</v>
      </c>
      <c r="C483" s="60" t="s">
        <v>1470</v>
      </c>
      <c r="D483" s="12"/>
      <c r="E483" s="13" t="s">
        <v>116</v>
      </c>
      <c r="F483" s="6" t="s">
        <v>117</v>
      </c>
      <c r="G483" s="6" t="str">
        <f ca="1">IFERROR(__xludf.DUMMYFUNCTION("CONCATENATE(B483,(VLOOKUP(C483,CATALOGOS!$F$2:$H$6,3,FALSE)),(VLOOKUP(T483,CATALOGOS!$J$2:$K$18,2,FALSE)),""-"",TO_TEXT(A483))"),"P12CT-0482")</f>
        <v>P12CT-0482</v>
      </c>
      <c r="H483" s="6" t="s">
        <v>3426</v>
      </c>
      <c r="I483" s="6" t="s">
        <v>3427</v>
      </c>
      <c r="J483" s="6" t="s">
        <v>3428</v>
      </c>
      <c r="K483" s="6" t="s">
        <v>3429</v>
      </c>
      <c r="L483" s="17"/>
      <c r="M483" s="17"/>
      <c r="N483" s="17" t="str">
        <f t="shared" si="2"/>
        <v>OK</v>
      </c>
      <c r="O483" s="17" t="s">
        <v>35</v>
      </c>
      <c r="P483" s="49" t="s">
        <v>35</v>
      </c>
      <c r="Q483" s="17" t="s">
        <v>36</v>
      </c>
      <c r="R483" s="17" t="s">
        <v>3430</v>
      </c>
      <c r="S483" s="173" t="s">
        <v>38</v>
      </c>
      <c r="T483" s="19" t="s">
        <v>2884</v>
      </c>
      <c r="U483" s="20" t="s">
        <v>385</v>
      </c>
      <c r="V483" s="20" t="s">
        <v>385</v>
      </c>
      <c r="W483" s="20"/>
      <c r="X483" s="7"/>
      <c r="Y483" s="7"/>
      <c r="Z483" s="23"/>
      <c r="AA483" s="26"/>
    </row>
    <row r="484" spans="1:27" ht="15.75" customHeight="1">
      <c r="A484" s="10" t="s">
        <v>3431</v>
      </c>
      <c r="B484" s="10" t="s">
        <v>1469</v>
      </c>
      <c r="C484" s="60" t="s">
        <v>1470</v>
      </c>
      <c r="D484" s="12"/>
      <c r="E484" s="13" t="s">
        <v>93</v>
      </c>
      <c r="F484" s="6" t="s">
        <v>3432</v>
      </c>
      <c r="G484" s="6" t="str">
        <f ca="1">IFERROR(__xludf.DUMMYFUNCTION("CONCATENATE(B484,(VLOOKUP(C484,CATALOGOS!$F$2:$H$6,3,FALSE)),(VLOOKUP(T484,CATALOGOS!$J$2:$K$18,2,FALSE)),""-"",TO_TEXT(A484))"),"P12PP-0483")</f>
        <v>P12PP-0483</v>
      </c>
      <c r="H484" s="6" t="s">
        <v>3433</v>
      </c>
      <c r="I484" s="6" t="s">
        <v>3434</v>
      </c>
      <c r="J484" s="6" t="s">
        <v>3435</v>
      </c>
      <c r="K484" s="6" t="s">
        <v>141</v>
      </c>
      <c r="L484" s="17"/>
      <c r="M484" s="17"/>
      <c r="N484" s="17" t="str">
        <f t="shared" si="2"/>
        <v>REPETIDO</v>
      </c>
      <c r="O484" s="17" t="s">
        <v>35</v>
      </c>
      <c r="P484" s="32" t="s">
        <v>35</v>
      </c>
      <c r="Q484" s="17" t="s">
        <v>36</v>
      </c>
      <c r="R484" s="17" t="s">
        <v>3436</v>
      </c>
      <c r="S484" s="173" t="s">
        <v>38</v>
      </c>
      <c r="T484" s="11" t="s">
        <v>1548</v>
      </c>
      <c r="U484" s="20" t="s">
        <v>1597</v>
      </c>
      <c r="V484" s="20" t="s">
        <v>1597</v>
      </c>
      <c r="W484" s="20"/>
      <c r="X484" s="7"/>
      <c r="Y484" s="7"/>
      <c r="Z484" s="23"/>
      <c r="AA484" s="26"/>
    </row>
    <row r="485" spans="1:27" ht="15.75" customHeight="1">
      <c r="A485" s="10" t="s">
        <v>3437</v>
      </c>
      <c r="B485" s="10" t="s">
        <v>1469</v>
      </c>
      <c r="C485" s="60" t="s">
        <v>1470</v>
      </c>
      <c r="D485" s="38"/>
      <c r="E485" s="13" t="s">
        <v>184</v>
      </c>
      <c r="F485" s="6" t="s">
        <v>2677</v>
      </c>
      <c r="G485" s="6" t="str">
        <f ca="1">IFERROR(__xludf.DUMMYFUNCTION("CONCATENATE(B485,(VLOOKUP(C485,CATALOGOS!$F$2:$H$6,3,FALSE)),(VLOOKUP(T485,CATALOGOS!$J$2:$K$18,2,FALSE)),""-"",TO_TEXT(A485))"),"P12CT-0484")</f>
        <v>P12CT-0484</v>
      </c>
      <c r="H485" s="6" t="s">
        <v>3438</v>
      </c>
      <c r="I485" s="6" t="s">
        <v>3439</v>
      </c>
      <c r="J485" s="6" t="s">
        <v>3440</v>
      </c>
      <c r="K485" s="6" t="s">
        <v>3441</v>
      </c>
      <c r="L485" s="17"/>
      <c r="M485" s="17"/>
      <c r="N485" s="17" t="str">
        <f t="shared" si="2"/>
        <v>OK</v>
      </c>
      <c r="O485" s="17" t="s">
        <v>35</v>
      </c>
      <c r="P485" s="6" t="s">
        <v>35</v>
      </c>
      <c r="Q485" s="46" t="s">
        <v>36</v>
      </c>
      <c r="R485" s="17" t="s">
        <v>3442</v>
      </c>
      <c r="S485" s="173" t="s">
        <v>38</v>
      </c>
      <c r="T485" s="11" t="s">
        <v>2884</v>
      </c>
      <c r="U485" s="32" t="s">
        <v>3247</v>
      </c>
      <c r="V485" s="32" t="s">
        <v>3247</v>
      </c>
      <c r="W485" s="32"/>
      <c r="X485" s="6"/>
      <c r="Y485" s="6" t="s">
        <v>51</v>
      </c>
      <c r="Z485" s="26"/>
      <c r="AA485" s="26"/>
    </row>
    <row r="486" spans="1:27" ht="15.75" customHeight="1">
      <c r="A486" s="10" t="s">
        <v>3443</v>
      </c>
      <c r="B486" s="10" t="s">
        <v>1469</v>
      </c>
      <c r="C486" s="52" t="s">
        <v>868</v>
      </c>
      <c r="D486" s="12"/>
      <c r="E486" s="13" t="s">
        <v>501</v>
      </c>
      <c r="F486" s="6" t="s">
        <v>3444</v>
      </c>
      <c r="G486" s="6" t="str">
        <f ca="1">IFERROR(__xludf.DUMMYFUNCTION("CONCATENATE(B486,(VLOOKUP(C486,CATALOGOS!$F$2:$H$6,3,FALSE)),(VLOOKUP(T486,CATALOGOS!$J$2:$K$18,2,FALSE)),""-"",TO_TEXT(A486))"),"P13SO-0485")</f>
        <v>P13SO-0485</v>
      </c>
      <c r="H486" s="6" t="s">
        <v>3445</v>
      </c>
      <c r="I486" s="6" t="s">
        <v>3446</v>
      </c>
      <c r="J486" s="6" t="s">
        <v>3447</v>
      </c>
      <c r="K486" s="6" t="s">
        <v>3448</v>
      </c>
      <c r="L486" s="17"/>
      <c r="M486" s="17"/>
      <c r="N486" s="17" t="str">
        <f t="shared" si="2"/>
        <v>OK</v>
      </c>
      <c r="O486" s="17" t="s">
        <v>35</v>
      </c>
      <c r="P486" s="6" t="s">
        <v>35</v>
      </c>
      <c r="Q486" s="17" t="s">
        <v>36</v>
      </c>
      <c r="R486" s="17" t="s">
        <v>3449</v>
      </c>
      <c r="S486" s="173" t="s">
        <v>38</v>
      </c>
      <c r="T486" s="11" t="s">
        <v>868</v>
      </c>
      <c r="U486" s="22" t="s">
        <v>3451</v>
      </c>
      <c r="V486" s="22" t="s">
        <v>3451</v>
      </c>
      <c r="W486" s="22"/>
      <c r="X486" s="7"/>
      <c r="Y486" s="7"/>
      <c r="Z486" s="23"/>
      <c r="AA486" s="26"/>
    </row>
    <row r="487" spans="1:27" ht="15.75" customHeight="1">
      <c r="A487" s="10" t="s">
        <v>3452</v>
      </c>
      <c r="B487" s="10" t="s">
        <v>1469</v>
      </c>
      <c r="C487" s="52" t="s">
        <v>868</v>
      </c>
      <c r="D487" s="12"/>
      <c r="E487" s="13" t="s">
        <v>248</v>
      </c>
      <c r="F487" s="6" t="s">
        <v>249</v>
      </c>
      <c r="G487" s="6" t="str">
        <f ca="1">IFERROR(__xludf.DUMMYFUNCTION("CONCATENATE(B487,(VLOOKUP(C487,CATALOGOS!$F$2:$H$6,3,FALSE)),(VLOOKUP(T487,CATALOGOS!$J$2:$K$18,2,FALSE)),""-"",TO_TEXT(A487))"),"P13SO-0486")</f>
        <v>P13SO-0486</v>
      </c>
      <c r="H487" s="6" t="s">
        <v>3453</v>
      </c>
      <c r="I487" s="6" t="s">
        <v>3454</v>
      </c>
      <c r="J487" s="6" t="s">
        <v>3455</v>
      </c>
      <c r="K487" s="6" t="s">
        <v>3456</v>
      </c>
      <c r="L487" s="17"/>
      <c r="M487" s="17"/>
      <c r="N487" s="17" t="str">
        <f t="shared" si="2"/>
        <v>OK</v>
      </c>
      <c r="O487" s="17" t="s">
        <v>303</v>
      </c>
      <c r="P487" s="6" t="s">
        <v>304</v>
      </c>
      <c r="Q487" s="17" t="s">
        <v>3457</v>
      </c>
      <c r="R487" s="10" t="s">
        <v>3458</v>
      </c>
      <c r="S487" s="173" t="s">
        <v>38</v>
      </c>
      <c r="T487" s="11" t="s">
        <v>868</v>
      </c>
      <c r="U487" s="22" t="s">
        <v>3451</v>
      </c>
      <c r="V487" s="22" t="s">
        <v>3451</v>
      </c>
      <c r="W487" s="22"/>
      <c r="X487" s="7"/>
      <c r="Y487" s="7"/>
      <c r="Z487" s="23"/>
      <c r="AA487" s="26"/>
    </row>
    <row r="488" spans="1:27" ht="15.75" customHeight="1">
      <c r="A488" s="10" t="s">
        <v>3459</v>
      </c>
      <c r="B488" s="10" t="s">
        <v>1469</v>
      </c>
      <c r="C488" s="52" t="s">
        <v>868</v>
      </c>
      <c r="D488" s="12"/>
      <c r="E488" s="13" t="s">
        <v>43</v>
      </c>
      <c r="F488" s="6" t="s">
        <v>1492</v>
      </c>
      <c r="G488" s="6" t="str">
        <f ca="1">IFERROR(__xludf.DUMMYFUNCTION("CONCATENATE(B488,(VLOOKUP(C488,CATALOGOS!$F$2:$H$6,3,FALSE)),(VLOOKUP(T488,CATALOGOS!$J$2:$K$18,2,FALSE)),""-"",TO_TEXT(A488))"),"P13SO-0487")</f>
        <v>P13SO-0487</v>
      </c>
      <c r="H488" s="6" t="s">
        <v>3460</v>
      </c>
      <c r="I488" s="6" t="s">
        <v>3461</v>
      </c>
      <c r="J488" s="6" t="s">
        <v>3462</v>
      </c>
      <c r="K488" s="6" t="s">
        <v>3463</v>
      </c>
      <c r="L488" s="17"/>
      <c r="M488" s="17"/>
      <c r="N488" s="17" t="str">
        <f t="shared" si="2"/>
        <v>OK</v>
      </c>
      <c r="O488" s="17" t="s">
        <v>406</v>
      </c>
      <c r="P488" s="6" t="s">
        <v>407</v>
      </c>
      <c r="Q488" s="17" t="s">
        <v>36</v>
      </c>
      <c r="R488" s="17" t="s">
        <v>3464</v>
      </c>
      <c r="S488" s="173" t="s">
        <v>38</v>
      </c>
      <c r="T488" s="11" t="s">
        <v>868</v>
      </c>
      <c r="U488" s="22" t="s">
        <v>3451</v>
      </c>
      <c r="V488" s="22" t="s">
        <v>3451</v>
      </c>
      <c r="W488" s="22"/>
      <c r="X488" s="7"/>
      <c r="Y488" s="7"/>
      <c r="Z488" s="23"/>
      <c r="AA488" s="26"/>
    </row>
    <row r="489" spans="1:27" ht="15.75" customHeight="1">
      <c r="A489" s="10" t="s">
        <v>3465</v>
      </c>
      <c r="B489" s="10" t="s">
        <v>1469</v>
      </c>
      <c r="C489" s="52" t="s">
        <v>868</v>
      </c>
      <c r="D489" s="12"/>
      <c r="E489" s="13" t="s">
        <v>93</v>
      </c>
      <c r="F489" s="6" t="s">
        <v>3466</v>
      </c>
      <c r="G489" s="6" t="str">
        <f ca="1">IFERROR(__xludf.DUMMYFUNCTION("CONCATENATE(B489,(VLOOKUP(C489,CATALOGOS!$F$2:$H$6,3,FALSE)),(VLOOKUP(T489,CATALOGOS!$J$2:$K$18,2,FALSE)),""-"",TO_TEXT(A489))"),"P13SO-0488")</f>
        <v>P13SO-0488</v>
      </c>
      <c r="H489" s="6" t="s">
        <v>3467</v>
      </c>
      <c r="I489" s="6" t="s">
        <v>3468</v>
      </c>
      <c r="J489" s="6" t="s">
        <v>3469</v>
      </c>
      <c r="K489" s="6" t="s">
        <v>3470</v>
      </c>
      <c r="L489" s="17"/>
      <c r="M489" s="17"/>
      <c r="N489" s="17" t="str">
        <f t="shared" si="2"/>
        <v>OK</v>
      </c>
      <c r="O489" s="17" t="s">
        <v>35</v>
      </c>
      <c r="P489" s="6" t="s">
        <v>35</v>
      </c>
      <c r="Q489" s="17" t="s">
        <v>36</v>
      </c>
      <c r="R489" s="17" t="s">
        <v>3471</v>
      </c>
      <c r="S489" s="173" t="s">
        <v>38</v>
      </c>
      <c r="T489" s="11" t="s">
        <v>868</v>
      </c>
      <c r="U489" s="22" t="s">
        <v>3451</v>
      </c>
      <c r="V489" s="22" t="s">
        <v>3451</v>
      </c>
      <c r="W489" s="22"/>
      <c r="X489" s="7"/>
      <c r="Y489" s="7"/>
      <c r="Z489" s="23"/>
      <c r="AA489" s="26"/>
    </row>
    <row r="490" spans="1:27" ht="15.75" customHeight="1">
      <c r="A490" s="10" t="s">
        <v>3472</v>
      </c>
      <c r="B490" s="10" t="s">
        <v>1469</v>
      </c>
      <c r="C490" s="52" t="s">
        <v>868</v>
      </c>
      <c r="D490" s="12"/>
      <c r="E490" s="13" t="s">
        <v>184</v>
      </c>
      <c r="F490" s="6" t="s">
        <v>3473</v>
      </c>
      <c r="G490" s="6" t="str">
        <f ca="1">IFERROR(__xludf.DUMMYFUNCTION("CONCATENATE(B490,(VLOOKUP(C490,CATALOGOS!$F$2:$H$6,3,FALSE)),(VLOOKUP(T490,CATALOGOS!$J$2:$K$18,2,FALSE)),""-"",TO_TEXT(A490))"),"P13SO-0489")</f>
        <v>P13SO-0489</v>
      </c>
      <c r="H490" s="6" t="s">
        <v>3474</v>
      </c>
      <c r="I490" s="6" t="s">
        <v>3475</v>
      </c>
      <c r="J490" s="6" t="s">
        <v>3476</v>
      </c>
      <c r="K490" s="6" t="s">
        <v>3477</v>
      </c>
      <c r="L490" s="17"/>
      <c r="M490" s="17"/>
      <c r="N490" s="17" t="str">
        <f t="shared" si="2"/>
        <v>OK</v>
      </c>
      <c r="O490" s="17" t="s">
        <v>35</v>
      </c>
      <c r="P490" s="6" t="s">
        <v>35</v>
      </c>
      <c r="Q490" s="17" t="s">
        <v>36</v>
      </c>
      <c r="R490" s="17" t="s">
        <v>3478</v>
      </c>
      <c r="S490" s="173" t="s">
        <v>38</v>
      </c>
      <c r="T490" s="11" t="s">
        <v>868</v>
      </c>
      <c r="U490" s="22" t="s">
        <v>3451</v>
      </c>
      <c r="V490" s="22" t="s">
        <v>3451</v>
      </c>
      <c r="W490" s="22"/>
      <c r="X490" s="7"/>
      <c r="Y490" s="7"/>
      <c r="Z490" s="23"/>
      <c r="AA490" s="26"/>
    </row>
    <row r="491" spans="1:27" ht="15.75" customHeight="1">
      <c r="A491" s="10" t="s">
        <v>8438</v>
      </c>
      <c r="B491" s="10" t="s">
        <v>1469</v>
      </c>
      <c r="C491" s="52" t="s">
        <v>868</v>
      </c>
      <c r="D491" s="12"/>
      <c r="E491" s="13" t="s">
        <v>378</v>
      </c>
      <c r="F491" s="6" t="s">
        <v>3480</v>
      </c>
      <c r="G491" s="6" t="str">
        <f ca="1">IFERROR(__xludf.DUMMYFUNCTION("CONCATENATE(B491,(VLOOKUP(C491,CATALOGOS!$F$2:$H$6,3,FALSE)),(VLOOKUP(T491,CATALOGOS!$J$2:$K$18,2,FALSE)),""-"",TO_TEXT(A491))"),"P13SO-0490")</f>
        <v>P13SO-0490</v>
      </c>
      <c r="H491" s="6" t="s">
        <v>3481</v>
      </c>
      <c r="I491" s="6" t="s">
        <v>3482</v>
      </c>
      <c r="J491" s="6" t="s">
        <v>3483</v>
      </c>
      <c r="K491" s="6" t="s">
        <v>3484</v>
      </c>
      <c r="L491" s="17"/>
      <c r="M491" s="17"/>
      <c r="N491" s="17" t="str">
        <f t="shared" si="2"/>
        <v>OK</v>
      </c>
      <c r="O491" s="17" t="s">
        <v>35</v>
      </c>
      <c r="P491" s="6" t="s">
        <v>35</v>
      </c>
      <c r="Q491" s="17" t="s">
        <v>36</v>
      </c>
      <c r="R491" s="17" t="s">
        <v>3485</v>
      </c>
      <c r="S491" s="173" t="s">
        <v>38</v>
      </c>
      <c r="T491" s="11" t="s">
        <v>868</v>
      </c>
      <c r="U491" s="22" t="s">
        <v>3451</v>
      </c>
      <c r="V491" s="22" t="s">
        <v>3451</v>
      </c>
      <c r="W491" s="22"/>
      <c r="X491" s="7"/>
      <c r="Y491" s="7"/>
      <c r="Z491" s="23"/>
      <c r="AA491" s="26"/>
    </row>
    <row r="492" spans="1:27" ht="15.75" customHeight="1">
      <c r="A492" s="10" t="s">
        <v>3486</v>
      </c>
      <c r="B492" s="10" t="s">
        <v>1469</v>
      </c>
      <c r="C492" s="52" t="s">
        <v>868</v>
      </c>
      <c r="D492" s="12"/>
      <c r="E492" s="13" t="s">
        <v>378</v>
      </c>
      <c r="F492" s="55" t="s">
        <v>3480</v>
      </c>
      <c r="G492" s="6" t="str">
        <f ca="1">IFERROR(__xludf.DUMMYFUNCTION("CONCATENATE(B492,(VLOOKUP(C492,CATALOGOS!$F$2:$H$6,3,FALSE)),(VLOOKUP(T492,CATALOGOS!$J$2:$K$18,2,FALSE)),""-"",TO_TEXT(A492))"),"P13SO-0491")</f>
        <v>P13SO-0491</v>
      </c>
      <c r="H492" s="6" t="s">
        <v>3487</v>
      </c>
      <c r="I492" s="6" t="s">
        <v>3488</v>
      </c>
      <c r="J492" s="6" t="s">
        <v>3489</v>
      </c>
      <c r="K492" s="6" t="s">
        <v>3490</v>
      </c>
      <c r="L492" s="17"/>
      <c r="M492" s="17"/>
      <c r="N492" s="17" t="str">
        <f t="shared" si="2"/>
        <v>OK</v>
      </c>
      <c r="O492" s="17" t="s">
        <v>35</v>
      </c>
      <c r="P492" s="6" t="s">
        <v>35</v>
      </c>
      <c r="Q492" s="17" t="s">
        <v>36</v>
      </c>
      <c r="R492" s="17" t="s">
        <v>3491</v>
      </c>
      <c r="S492" s="173" t="s">
        <v>38</v>
      </c>
      <c r="T492" s="11" t="s">
        <v>868</v>
      </c>
      <c r="U492" s="22" t="s">
        <v>3451</v>
      </c>
      <c r="V492" s="22" t="s">
        <v>3451</v>
      </c>
      <c r="W492" s="22"/>
      <c r="X492" s="7"/>
      <c r="Y492" s="7"/>
      <c r="Z492" s="23"/>
      <c r="AA492" s="26"/>
    </row>
    <row r="493" spans="1:27" ht="15.75" customHeight="1">
      <c r="A493" s="10" t="s">
        <v>3479</v>
      </c>
      <c r="B493" s="10" t="s">
        <v>1469</v>
      </c>
      <c r="C493" s="52" t="s">
        <v>868</v>
      </c>
      <c r="D493" s="12"/>
      <c r="E493" s="13" t="s">
        <v>378</v>
      </c>
      <c r="F493" s="55" t="s">
        <v>3480</v>
      </c>
      <c r="G493" s="6" t="str">
        <f ca="1">IFERROR(__xludf.DUMMYFUNCTION("CONCATENATE(B493,(VLOOKUP(C493,CATALOGOS!$F$2:$H$6,3,FALSE)),(VLOOKUP(T493,CATALOGOS!$J$2:$K$18,2,FALSE)),""-"",TO_TEXT(A493))"),"P13SO-0492")</f>
        <v>P13SO-0492</v>
      </c>
      <c r="H493" s="6" t="s">
        <v>3492</v>
      </c>
      <c r="I493" s="6" t="s">
        <v>3493</v>
      </c>
      <c r="J493" s="6" t="s">
        <v>3494</v>
      </c>
      <c r="K493" s="6" t="s">
        <v>3495</v>
      </c>
      <c r="L493" s="17"/>
      <c r="M493" s="17"/>
      <c r="N493" s="17" t="str">
        <f t="shared" si="2"/>
        <v>OK</v>
      </c>
      <c r="O493" s="17" t="s">
        <v>35</v>
      </c>
      <c r="P493" s="6" t="s">
        <v>35</v>
      </c>
      <c r="Q493" s="17" t="s">
        <v>36</v>
      </c>
      <c r="R493" s="17" t="s">
        <v>3496</v>
      </c>
      <c r="S493" s="173" t="s">
        <v>38</v>
      </c>
      <c r="T493" s="11" t="s">
        <v>868</v>
      </c>
      <c r="U493" s="22" t="s">
        <v>3451</v>
      </c>
      <c r="V493" s="22" t="s">
        <v>3451</v>
      </c>
      <c r="W493" s="22"/>
      <c r="X493" s="7"/>
      <c r="Y493" s="7"/>
      <c r="Z493" s="23"/>
      <c r="AA493" s="26"/>
    </row>
    <row r="494" spans="1:27" ht="15.75" customHeight="1">
      <c r="A494" s="10" t="s">
        <v>3497</v>
      </c>
      <c r="B494" s="10" t="s">
        <v>1469</v>
      </c>
      <c r="C494" s="52" t="s">
        <v>868</v>
      </c>
      <c r="D494" s="12"/>
      <c r="E494" s="13" t="s">
        <v>378</v>
      </c>
      <c r="F494" s="55" t="s">
        <v>3480</v>
      </c>
      <c r="G494" s="6" t="str">
        <f ca="1">IFERROR(__xludf.DUMMYFUNCTION("CONCATENATE(B494,(VLOOKUP(C494,CATALOGOS!$F$2:$H$6,3,FALSE)),(VLOOKUP(T494,CATALOGOS!$J$2:$K$18,2,FALSE)),""-"",TO_TEXT(A494))"),"P13SO-0493")</f>
        <v>P13SO-0493</v>
      </c>
      <c r="H494" s="6" t="s">
        <v>3498</v>
      </c>
      <c r="I494" s="6" t="s">
        <v>3499</v>
      </c>
      <c r="J494" s="6" t="s">
        <v>3500</v>
      </c>
      <c r="K494" s="6" t="s">
        <v>3501</v>
      </c>
      <c r="L494" s="17"/>
      <c r="M494" s="17"/>
      <c r="N494" s="17" t="str">
        <f t="shared" si="2"/>
        <v>OK</v>
      </c>
      <c r="O494" s="17" t="s">
        <v>35</v>
      </c>
      <c r="P494" s="6" t="s">
        <v>35</v>
      </c>
      <c r="Q494" s="17" t="s">
        <v>36</v>
      </c>
      <c r="R494" s="17" t="s">
        <v>3502</v>
      </c>
      <c r="S494" s="173" t="s">
        <v>38</v>
      </c>
      <c r="T494" s="11" t="s">
        <v>868</v>
      </c>
      <c r="U494" s="22" t="s">
        <v>3451</v>
      </c>
      <c r="V494" s="22" t="s">
        <v>3451</v>
      </c>
      <c r="W494" s="22"/>
      <c r="X494" s="7"/>
      <c r="Y494" s="7"/>
      <c r="Z494" s="23"/>
      <c r="AA494" s="26"/>
    </row>
    <row r="495" spans="1:27" ht="15.75" customHeight="1">
      <c r="A495" s="10" t="s">
        <v>3503</v>
      </c>
      <c r="B495" s="10" t="s">
        <v>1469</v>
      </c>
      <c r="C495" s="52" t="s">
        <v>868</v>
      </c>
      <c r="D495" s="12"/>
      <c r="E495" s="13" t="s">
        <v>378</v>
      </c>
      <c r="F495" s="55" t="s">
        <v>3480</v>
      </c>
      <c r="G495" s="6" t="str">
        <f ca="1">IFERROR(__xludf.DUMMYFUNCTION("CONCATENATE(B495,(VLOOKUP(C495,CATALOGOS!$F$2:$H$6,3,FALSE)),(VLOOKUP(T495,CATALOGOS!$J$2:$K$18,2,FALSE)),""-"",TO_TEXT(A495))"),"P13SO-0494")</f>
        <v>P13SO-0494</v>
      </c>
      <c r="H495" s="6" t="s">
        <v>3504</v>
      </c>
      <c r="I495" s="6" t="s">
        <v>3505</v>
      </c>
      <c r="J495" s="6" t="s">
        <v>3506</v>
      </c>
      <c r="K495" s="6" t="s">
        <v>3507</v>
      </c>
      <c r="L495" s="17"/>
      <c r="M495" s="17"/>
      <c r="N495" s="17" t="str">
        <f t="shared" si="2"/>
        <v>OK</v>
      </c>
      <c r="O495" s="17" t="s">
        <v>35</v>
      </c>
      <c r="P495" s="6" t="s">
        <v>35</v>
      </c>
      <c r="Q495" s="17" t="s">
        <v>36</v>
      </c>
      <c r="R495" s="17" t="s">
        <v>3508</v>
      </c>
      <c r="S495" s="173" t="s">
        <v>3509</v>
      </c>
      <c r="T495" s="11" t="s">
        <v>868</v>
      </c>
      <c r="U495" s="22" t="s">
        <v>3451</v>
      </c>
      <c r="V495" s="22" t="s">
        <v>3451</v>
      </c>
      <c r="W495" s="22"/>
      <c r="X495" s="7"/>
      <c r="Y495" s="7"/>
      <c r="Z495" s="23"/>
      <c r="AA495" s="26"/>
    </row>
    <row r="496" spans="1:27" ht="15.75" customHeight="1">
      <c r="A496" s="10" t="s">
        <v>3510</v>
      </c>
      <c r="B496" s="10" t="s">
        <v>1469</v>
      </c>
      <c r="C496" s="52" t="s">
        <v>868</v>
      </c>
      <c r="D496" s="12"/>
      <c r="E496" s="13" t="s">
        <v>93</v>
      </c>
      <c r="F496" s="6" t="s">
        <v>1173</v>
      </c>
      <c r="G496" s="6" t="str">
        <f ca="1">IFERROR(__xludf.DUMMYFUNCTION("CONCATENATE(B496,(VLOOKUP(C496,CATALOGOS!$F$2:$H$6,3,FALSE)),(VLOOKUP(T496,CATALOGOS!$J$2:$K$18,2,FALSE)),""-"",TO_TEXT(A496))"),"P13SO-0495")</f>
        <v>P13SO-0495</v>
      </c>
      <c r="H496" s="6" t="s">
        <v>3511</v>
      </c>
      <c r="I496" s="54"/>
      <c r="J496" s="6" t="s">
        <v>3512</v>
      </c>
      <c r="K496" s="6" t="s">
        <v>3513</v>
      </c>
      <c r="L496" s="17"/>
      <c r="M496" s="17"/>
      <c r="N496" s="17" t="str">
        <f t="shared" si="2"/>
        <v>OK</v>
      </c>
      <c r="O496" s="17" t="s">
        <v>35</v>
      </c>
      <c r="P496" s="6" t="s">
        <v>35</v>
      </c>
      <c r="Q496" s="17" t="s">
        <v>36</v>
      </c>
      <c r="R496" s="17" t="s">
        <v>3514</v>
      </c>
      <c r="S496" s="173" t="s">
        <v>38</v>
      </c>
      <c r="T496" s="11" t="s">
        <v>868</v>
      </c>
      <c r="U496" s="22" t="s">
        <v>3451</v>
      </c>
      <c r="V496" s="22" t="s">
        <v>3451</v>
      </c>
      <c r="W496" s="22"/>
      <c r="X496" s="7"/>
      <c r="Y496" s="7"/>
      <c r="Z496" s="23"/>
      <c r="AA496" s="26"/>
    </row>
    <row r="497" spans="1:28" ht="15.75" customHeight="1">
      <c r="A497" s="10" t="s">
        <v>3515</v>
      </c>
      <c r="B497" s="10" t="s">
        <v>1469</v>
      </c>
      <c r="C497" s="52" t="s">
        <v>868</v>
      </c>
      <c r="D497" s="12"/>
      <c r="E497" s="13" t="s">
        <v>29</v>
      </c>
      <c r="F497" s="6" t="s">
        <v>1166</v>
      </c>
      <c r="G497" s="6" t="str">
        <f ca="1">IFERROR(__xludf.DUMMYFUNCTION("CONCATENATE(B497,(VLOOKUP(C497,CATALOGOS!$F$2:$H$6,3,FALSE)),(VLOOKUP(T497,CATALOGOS!$J$2:$K$18,2,FALSE)),""-"",TO_TEXT(A497))"),"P13SO-0496")</f>
        <v>P13SO-0496</v>
      </c>
      <c r="H497" s="6" t="s">
        <v>3516</v>
      </c>
      <c r="I497" s="54"/>
      <c r="J497" s="6" t="s">
        <v>3517</v>
      </c>
      <c r="K497" s="6" t="s">
        <v>3518</v>
      </c>
      <c r="L497" s="17"/>
      <c r="M497" s="17"/>
      <c r="N497" s="17" t="str">
        <f t="shared" si="2"/>
        <v>OK</v>
      </c>
      <c r="O497" s="17" t="s">
        <v>35</v>
      </c>
      <c r="P497" s="6" t="s">
        <v>35</v>
      </c>
      <c r="Q497" s="17" t="s">
        <v>36</v>
      </c>
      <c r="R497" s="17" t="s">
        <v>3519</v>
      </c>
      <c r="S497" s="173" t="s">
        <v>38</v>
      </c>
      <c r="T497" s="11" t="s">
        <v>868</v>
      </c>
      <c r="U497" s="22" t="s">
        <v>3451</v>
      </c>
      <c r="V497" s="22" t="s">
        <v>3451</v>
      </c>
      <c r="W497" s="22"/>
      <c r="X497" s="7"/>
      <c r="Y497" s="7"/>
      <c r="Z497" s="23"/>
      <c r="AA497" s="26"/>
    </row>
    <row r="498" spans="1:28" ht="15.75" customHeight="1">
      <c r="A498" s="10" t="s">
        <v>3520</v>
      </c>
      <c r="B498" s="10" t="s">
        <v>1469</v>
      </c>
      <c r="C498" s="52" t="s">
        <v>868</v>
      </c>
      <c r="D498" s="12"/>
      <c r="E498" s="13" t="s">
        <v>3521</v>
      </c>
      <c r="F498" s="43" t="s">
        <v>3522</v>
      </c>
      <c r="G498" s="6" t="str">
        <f ca="1">IFERROR(__xludf.DUMMYFUNCTION("CONCATENATE(B498,(VLOOKUP(C498,CATALOGOS!$F$2:$H$6,3,FALSE)),(VLOOKUP(T498,CATALOGOS!$J$2:$K$18,2,FALSE)),""-"",TO_TEXT(A498))"),"P13SO-0497")</f>
        <v>P13SO-0497</v>
      </c>
      <c r="H498" s="6" t="s">
        <v>3523</v>
      </c>
      <c r="I498" s="54"/>
      <c r="J498" s="6" t="s">
        <v>3524</v>
      </c>
      <c r="K498" s="43" t="s">
        <v>3525</v>
      </c>
      <c r="L498" s="17"/>
      <c r="M498" s="17"/>
      <c r="N498" s="17" t="str">
        <f t="shared" si="2"/>
        <v>OK</v>
      </c>
      <c r="O498" s="17" t="s">
        <v>35</v>
      </c>
      <c r="P498" s="49" t="s">
        <v>35</v>
      </c>
      <c r="Q498" s="17" t="s">
        <v>36</v>
      </c>
      <c r="R498" s="17" t="s">
        <v>3526</v>
      </c>
      <c r="S498" s="173" t="s">
        <v>38</v>
      </c>
      <c r="T498" s="11" t="s">
        <v>868</v>
      </c>
      <c r="U498" s="22" t="s">
        <v>3451</v>
      </c>
      <c r="V498" s="22" t="s">
        <v>3451</v>
      </c>
      <c r="W498" s="22"/>
      <c r="X498" s="7"/>
      <c r="Y498" s="7"/>
      <c r="Z498" s="23"/>
      <c r="AA498" s="26"/>
    </row>
    <row r="499" spans="1:28" ht="15.75" customHeight="1">
      <c r="A499" s="10" t="s">
        <v>3527</v>
      </c>
      <c r="B499" s="10" t="s">
        <v>1469</v>
      </c>
      <c r="C499" s="52" t="s">
        <v>868</v>
      </c>
      <c r="D499" s="12"/>
      <c r="E499" s="13" t="s">
        <v>116</v>
      </c>
      <c r="F499" s="6" t="s">
        <v>3528</v>
      </c>
      <c r="G499" s="6" t="str">
        <f ca="1">IFERROR(__xludf.DUMMYFUNCTION("CONCATENATE(B499,(VLOOKUP(C499,CATALOGOS!$F$2:$H$6,3,FALSE)),(VLOOKUP(T499,CATALOGOS!$J$2:$K$18,2,FALSE)),""-"",TO_TEXT(A499))"),"P13SO-0498")</f>
        <v>P13SO-0498</v>
      </c>
      <c r="H499" s="6" t="s">
        <v>3529</v>
      </c>
      <c r="I499" s="6" t="s">
        <v>3530</v>
      </c>
      <c r="J499" s="6" t="s">
        <v>3531</v>
      </c>
      <c r="K499" s="6" t="s">
        <v>3532</v>
      </c>
      <c r="L499" s="17"/>
      <c r="M499" s="17"/>
      <c r="N499" s="17" t="str">
        <f t="shared" si="2"/>
        <v>OK</v>
      </c>
      <c r="O499" s="17" t="s">
        <v>35</v>
      </c>
      <c r="P499" s="6" t="s">
        <v>35</v>
      </c>
      <c r="Q499" s="17" t="s">
        <v>36</v>
      </c>
      <c r="R499" s="17" t="s">
        <v>3533</v>
      </c>
      <c r="S499" s="173" t="s">
        <v>38</v>
      </c>
      <c r="T499" s="11" t="s">
        <v>868</v>
      </c>
      <c r="U499" s="22" t="s">
        <v>3451</v>
      </c>
      <c r="V499" s="22" t="s">
        <v>3451</v>
      </c>
      <c r="W499" s="22"/>
      <c r="X499" s="7"/>
      <c r="Y499" s="7"/>
      <c r="Z499" s="23"/>
      <c r="AA499" s="26"/>
    </row>
    <row r="500" spans="1:28" ht="15.75" customHeight="1">
      <c r="A500" s="10" t="s">
        <v>3534</v>
      </c>
      <c r="B500" s="10" t="s">
        <v>1469</v>
      </c>
      <c r="C500" s="52" t="s">
        <v>868</v>
      </c>
      <c r="D500" s="12"/>
      <c r="E500" s="13" t="s">
        <v>184</v>
      </c>
      <c r="F500" s="6" t="s">
        <v>3535</v>
      </c>
      <c r="G500" s="6" t="str">
        <f ca="1">IFERROR(__xludf.DUMMYFUNCTION("CONCATENATE(B500,(VLOOKUP(C500,CATALOGOS!$F$2:$H$6,3,FALSE)),(VLOOKUP(T500,CATALOGOS!$J$2:$K$18,2,FALSE)),""-"",TO_TEXT(A500))"),"P13SO-0499")</f>
        <v>P13SO-0499</v>
      </c>
      <c r="H500" s="6" t="s">
        <v>3536</v>
      </c>
      <c r="I500" s="6" t="s">
        <v>3537</v>
      </c>
      <c r="J500" s="6" t="s">
        <v>3538</v>
      </c>
      <c r="K500" s="6" t="s">
        <v>3539</v>
      </c>
      <c r="L500" s="17"/>
      <c r="M500" s="17"/>
      <c r="N500" s="17" t="str">
        <f t="shared" si="2"/>
        <v>OK</v>
      </c>
      <c r="O500" s="17" t="s">
        <v>35</v>
      </c>
      <c r="P500" s="6" t="s">
        <v>35</v>
      </c>
      <c r="Q500" s="17" t="s">
        <v>36</v>
      </c>
      <c r="R500" s="17" t="s">
        <v>3540</v>
      </c>
      <c r="S500" s="173" t="s">
        <v>38</v>
      </c>
      <c r="T500" s="11" t="s">
        <v>868</v>
      </c>
      <c r="U500" s="22" t="s">
        <v>3451</v>
      </c>
      <c r="V500" s="22" t="s">
        <v>3451</v>
      </c>
      <c r="W500" s="22"/>
      <c r="X500" s="7"/>
      <c r="Y500" s="7"/>
      <c r="Z500" s="23"/>
      <c r="AA500" s="26"/>
    </row>
    <row r="501" spans="1:28" ht="15.75" customHeight="1">
      <c r="A501" s="10" t="s">
        <v>3541</v>
      </c>
      <c r="B501" s="10" t="s">
        <v>1469</v>
      </c>
      <c r="C501" s="52" t="s">
        <v>868</v>
      </c>
      <c r="D501" s="12"/>
      <c r="E501" s="13" t="s">
        <v>1240</v>
      </c>
      <c r="F501" s="43" t="s">
        <v>278</v>
      </c>
      <c r="G501" s="6" t="str">
        <f ca="1">IFERROR(__xludf.DUMMYFUNCTION("CONCATENATE(B501,(VLOOKUP(C501,CATALOGOS!$F$2:$H$6,3,FALSE)),(VLOOKUP(T501,CATALOGOS!$J$2:$K$18,2,FALSE)),""-"",TO_TEXT(A501))"),"P13SO-0500")</f>
        <v>P13SO-0500</v>
      </c>
      <c r="H501" s="6" t="s">
        <v>3542</v>
      </c>
      <c r="I501" s="6" t="s">
        <v>3543</v>
      </c>
      <c r="J501" s="6" t="s">
        <v>3544</v>
      </c>
      <c r="K501" s="6" t="s">
        <v>3545</v>
      </c>
      <c r="L501" s="17"/>
      <c r="M501" s="17"/>
      <c r="N501" s="17" t="str">
        <f t="shared" si="2"/>
        <v>OK</v>
      </c>
      <c r="O501" s="17" t="s">
        <v>35</v>
      </c>
      <c r="P501" s="49" t="s">
        <v>35</v>
      </c>
      <c r="Q501" s="17" t="s">
        <v>36</v>
      </c>
      <c r="R501" s="17" t="s">
        <v>3546</v>
      </c>
      <c r="S501" s="173" t="s">
        <v>38</v>
      </c>
      <c r="T501" s="11" t="s">
        <v>868</v>
      </c>
      <c r="U501" s="22" t="s">
        <v>3451</v>
      </c>
      <c r="V501" s="22" t="s">
        <v>3451</v>
      </c>
      <c r="W501" s="22"/>
      <c r="X501" s="7"/>
      <c r="Y501" s="7"/>
      <c r="Z501" s="23"/>
      <c r="AA501" s="26"/>
    </row>
    <row r="502" spans="1:28" ht="15.75" customHeight="1">
      <c r="A502" s="10" t="s">
        <v>3547</v>
      </c>
      <c r="B502" s="10" t="s">
        <v>1469</v>
      </c>
      <c r="C502" s="52" t="s">
        <v>868</v>
      </c>
      <c r="D502" s="12"/>
      <c r="E502" s="13" t="s">
        <v>248</v>
      </c>
      <c r="F502" s="43" t="s">
        <v>248</v>
      </c>
      <c r="G502" s="6" t="str">
        <f ca="1">IFERROR(__xludf.DUMMYFUNCTION("CONCATENATE(B502,(VLOOKUP(C502,CATALOGOS!$F$2:$H$6,3,FALSE)),(VLOOKUP(T502,CATALOGOS!$J$2:$K$18,2,FALSE)),""-"",TO_TEXT(A502))"),"P13SO-0501")</f>
        <v>P13SO-0501</v>
      </c>
      <c r="H502" s="6" t="s">
        <v>3549</v>
      </c>
      <c r="I502" s="6" t="s">
        <v>3550</v>
      </c>
      <c r="J502" s="6" t="s">
        <v>3551</v>
      </c>
      <c r="K502" s="6" t="s">
        <v>3552</v>
      </c>
      <c r="L502" s="17"/>
      <c r="M502" s="17"/>
      <c r="N502" s="17" t="str">
        <f t="shared" si="2"/>
        <v>OK</v>
      </c>
      <c r="O502" s="17" t="s">
        <v>978</v>
      </c>
      <c r="P502" s="6" t="s">
        <v>979</v>
      </c>
      <c r="Q502" s="17" t="s">
        <v>3553</v>
      </c>
      <c r="R502" s="10" t="s">
        <v>3554</v>
      </c>
      <c r="S502" s="173" t="s">
        <v>38</v>
      </c>
      <c r="T502" s="11" t="s">
        <v>868</v>
      </c>
      <c r="U502" s="22" t="s">
        <v>3451</v>
      </c>
      <c r="V502" s="22" t="s">
        <v>3451</v>
      </c>
      <c r="W502" s="22"/>
      <c r="X502" s="7"/>
      <c r="Y502" s="7"/>
      <c r="Z502" s="23"/>
      <c r="AA502" s="26"/>
    </row>
    <row r="503" spans="1:28" ht="15.75" customHeight="1">
      <c r="A503" s="10" t="s">
        <v>3555</v>
      </c>
      <c r="B503" s="10" t="s">
        <v>1469</v>
      </c>
      <c r="C503" s="52" t="s">
        <v>868</v>
      </c>
      <c r="D503" s="12"/>
      <c r="E503" s="13" t="s">
        <v>162</v>
      </c>
      <c r="F503" s="6" t="s">
        <v>285</v>
      </c>
      <c r="G503" s="6" t="str">
        <f ca="1">IFERROR(__xludf.DUMMYFUNCTION("CONCATENATE(B503,(VLOOKUP(C503,CATALOGOS!$F$2:$H$6,3,FALSE)),(VLOOKUP(T503,CATALOGOS!$J$2:$K$18,2,FALSE)),""-"",TO_TEXT(A503))"),"P13SO-0502")</f>
        <v>P13SO-0502</v>
      </c>
      <c r="H503" s="6" t="s">
        <v>3556</v>
      </c>
      <c r="I503" s="6" t="s">
        <v>3557</v>
      </c>
      <c r="J503" s="6" t="s">
        <v>3558</v>
      </c>
      <c r="K503" s="6" t="s">
        <v>3559</v>
      </c>
      <c r="L503" s="17"/>
      <c r="M503" s="17"/>
      <c r="N503" s="17" t="str">
        <f t="shared" si="2"/>
        <v>OK</v>
      </c>
      <c r="O503" s="17" t="s">
        <v>663</v>
      </c>
      <c r="P503" s="6" t="s">
        <v>664</v>
      </c>
      <c r="Q503" s="17" t="s">
        <v>3560</v>
      </c>
      <c r="R503" s="17" t="s">
        <v>3561</v>
      </c>
      <c r="S503" s="173" t="s">
        <v>38</v>
      </c>
      <c r="T503" s="11" t="s">
        <v>868</v>
      </c>
      <c r="U503" s="22" t="s">
        <v>3451</v>
      </c>
      <c r="V503" s="22" t="s">
        <v>3451</v>
      </c>
      <c r="W503" s="22"/>
      <c r="X503" s="7"/>
      <c r="Y503" s="7"/>
      <c r="Z503" s="23"/>
      <c r="AA503" s="26"/>
    </row>
    <row r="504" spans="1:28" ht="15.75" customHeight="1">
      <c r="A504" s="10" t="s">
        <v>3562</v>
      </c>
      <c r="B504" s="10" t="s">
        <v>1469</v>
      </c>
      <c r="C504" s="52" t="s">
        <v>868</v>
      </c>
      <c r="D504" s="12"/>
      <c r="E504" s="13" t="s">
        <v>1199</v>
      </c>
      <c r="F504" s="6" t="s">
        <v>6239</v>
      </c>
      <c r="G504" s="6" t="str">
        <f ca="1">IFERROR(__xludf.DUMMYFUNCTION("CONCATENATE(B504,(VLOOKUP(C504,CATALOGOS!$F$2:$H$6,3,FALSE)),(VLOOKUP(T504,CATALOGOS!$J$2:$K$18,2,FALSE)),""-"",TO_TEXT(A504))"),"P13SO-0503")</f>
        <v>P13SO-0503</v>
      </c>
      <c r="H504" s="6" t="s">
        <v>3564</v>
      </c>
      <c r="I504" s="6" t="s">
        <v>3565</v>
      </c>
      <c r="J504" s="6" t="s">
        <v>3566</v>
      </c>
      <c r="K504" s="6" t="s">
        <v>3567</v>
      </c>
      <c r="L504" s="17"/>
      <c r="M504" s="17"/>
      <c r="N504" s="17" t="str">
        <f t="shared" si="2"/>
        <v>OK</v>
      </c>
      <c r="O504" s="17" t="s">
        <v>205</v>
      </c>
      <c r="P504" s="6" t="s">
        <v>3568</v>
      </c>
      <c r="Q504" s="17" t="s">
        <v>36</v>
      </c>
      <c r="R504" s="17" t="s">
        <v>3570</v>
      </c>
      <c r="S504" s="173" t="s">
        <v>38</v>
      </c>
      <c r="T504" s="11" t="s">
        <v>868</v>
      </c>
      <c r="U504" s="22" t="s">
        <v>3451</v>
      </c>
      <c r="V504" s="22" t="s">
        <v>3451</v>
      </c>
      <c r="W504" s="22"/>
      <c r="X504" s="7"/>
      <c r="Y504" s="7"/>
      <c r="Z504" s="23"/>
      <c r="AA504" s="26"/>
    </row>
    <row r="505" spans="1:28" ht="15.75" customHeight="1">
      <c r="A505" s="10" t="s">
        <v>3571</v>
      </c>
      <c r="B505" s="10" t="s">
        <v>1469</v>
      </c>
      <c r="C505" s="52" t="s">
        <v>868</v>
      </c>
      <c r="D505" s="12"/>
      <c r="E505" s="13" t="s">
        <v>1240</v>
      </c>
      <c r="F505" s="43" t="s">
        <v>278</v>
      </c>
      <c r="G505" s="6" t="str">
        <f ca="1">IFERROR(__xludf.DUMMYFUNCTION("CONCATENATE(B505,(VLOOKUP(C505,CATALOGOS!$F$2:$H$6,3,FALSE)),(VLOOKUP(T505,CATALOGOS!$J$2:$K$18,2,FALSE)),""-"",TO_TEXT(A505))"),"P13SO-0504")</f>
        <v>P13SO-0504</v>
      </c>
      <c r="H505" s="6" t="s">
        <v>3572</v>
      </c>
      <c r="I505" s="6" t="s">
        <v>3573</v>
      </c>
      <c r="J505" s="6" t="s">
        <v>3574</v>
      </c>
      <c r="K505" s="6" t="s">
        <v>3575</v>
      </c>
      <c r="L505" s="17"/>
      <c r="M505" s="17"/>
      <c r="N505" s="17" t="str">
        <f t="shared" si="2"/>
        <v>OK</v>
      </c>
      <c r="O505" s="17" t="s">
        <v>35</v>
      </c>
      <c r="P505" s="6" t="s">
        <v>35</v>
      </c>
      <c r="Q505" s="17" t="s">
        <v>36</v>
      </c>
      <c r="R505" s="17" t="s">
        <v>3576</v>
      </c>
      <c r="S505" s="173" t="s">
        <v>38</v>
      </c>
      <c r="T505" s="11" t="s">
        <v>868</v>
      </c>
      <c r="U505" s="22" t="s">
        <v>3451</v>
      </c>
      <c r="V505" s="22" t="s">
        <v>3451</v>
      </c>
      <c r="W505" s="22"/>
      <c r="X505" s="7"/>
      <c r="Y505" s="7"/>
      <c r="Z505" s="23"/>
      <c r="AA505" s="26"/>
    </row>
    <row r="506" spans="1:28" ht="15.75" customHeight="1">
      <c r="A506" s="10" t="s">
        <v>3577</v>
      </c>
      <c r="B506" s="10" t="s">
        <v>1469</v>
      </c>
      <c r="C506" s="52" t="s">
        <v>868</v>
      </c>
      <c r="D506" s="12"/>
      <c r="E506" s="13" t="s">
        <v>199</v>
      </c>
      <c r="F506" s="6" t="s">
        <v>199</v>
      </c>
      <c r="G506" s="6" t="str">
        <f ca="1">IFERROR(__xludf.DUMMYFUNCTION("CONCATENATE(B506,(VLOOKUP(C506,CATALOGOS!$F$2:$H$6,3,FALSE)),(VLOOKUP(T506,CATALOGOS!$J$2:$K$18,2,FALSE)),""-"",TO_TEXT(A506))"),"P13SO-0505")</f>
        <v>P13SO-0505</v>
      </c>
      <c r="H506" s="6" t="s">
        <v>3579</v>
      </c>
      <c r="I506" s="6" t="s">
        <v>3580</v>
      </c>
      <c r="J506" s="36"/>
      <c r="K506" s="6" t="s">
        <v>3581</v>
      </c>
      <c r="L506" s="17"/>
      <c r="M506" s="17"/>
      <c r="N506" s="17" t="str">
        <f t="shared" si="2"/>
        <v>OK</v>
      </c>
      <c r="O506" s="17" t="s">
        <v>273</v>
      </c>
      <c r="P506" s="6" t="s">
        <v>274</v>
      </c>
      <c r="Q506" s="6">
        <v>11392903012354</v>
      </c>
      <c r="R506" s="10" t="s">
        <v>85</v>
      </c>
      <c r="S506" s="173" t="s">
        <v>38</v>
      </c>
      <c r="T506" s="11" t="s">
        <v>868</v>
      </c>
      <c r="U506" s="22" t="s">
        <v>3451</v>
      </c>
      <c r="V506" s="22" t="s">
        <v>3451</v>
      </c>
      <c r="W506" s="22"/>
      <c r="X506" s="6"/>
      <c r="Y506" s="6"/>
      <c r="Z506" s="41" t="s">
        <v>92</v>
      </c>
      <c r="AA506" s="42">
        <v>44348</v>
      </c>
      <c r="AB506" s="8" t="s">
        <v>276</v>
      </c>
    </row>
    <row r="507" spans="1:28" ht="15.75" customHeight="1">
      <c r="A507" s="10" t="s">
        <v>3582</v>
      </c>
      <c r="B507" s="10" t="s">
        <v>1469</v>
      </c>
      <c r="C507" s="52" t="s">
        <v>868</v>
      </c>
      <c r="D507" s="12"/>
      <c r="E507" s="13" t="s">
        <v>151</v>
      </c>
      <c r="F507" s="6" t="s">
        <v>4113</v>
      </c>
      <c r="G507" s="6" t="str">
        <f ca="1">IFERROR(__xludf.DUMMYFUNCTION("CONCATENATE(B507,(VLOOKUP(C507,CATALOGOS!$F$2:$H$6,3,FALSE)),(VLOOKUP(T507,CATALOGOS!$J$2:$K$18,2,FALSE)),""-"",TO_TEXT(A507))"),"P13SO-0506")</f>
        <v>P13SO-0506</v>
      </c>
      <c r="H507" s="6" t="s">
        <v>3584</v>
      </c>
      <c r="I507" s="6" t="s">
        <v>3585</v>
      </c>
      <c r="J507" s="37"/>
      <c r="K507" s="6" t="s">
        <v>3586</v>
      </c>
      <c r="L507" s="17"/>
      <c r="M507" s="17"/>
      <c r="N507" s="17" t="str">
        <f t="shared" si="2"/>
        <v>OK</v>
      </c>
      <c r="O507" s="17" t="s">
        <v>297</v>
      </c>
      <c r="P507" s="6" t="s">
        <v>298</v>
      </c>
      <c r="Q507" s="6" t="s">
        <v>3587</v>
      </c>
      <c r="R507" s="10" t="s">
        <v>85</v>
      </c>
      <c r="S507" s="173" t="s">
        <v>38</v>
      </c>
      <c r="T507" s="11" t="s">
        <v>868</v>
      </c>
      <c r="U507" s="22" t="s">
        <v>3451</v>
      </c>
      <c r="V507" s="22" t="s">
        <v>3451</v>
      </c>
      <c r="W507" s="22"/>
      <c r="X507" s="6"/>
      <c r="Y507" s="6"/>
      <c r="Z507" s="41" t="s">
        <v>92</v>
      </c>
      <c r="AA507" s="42">
        <v>44348</v>
      </c>
      <c r="AB507" s="8">
        <v>0</v>
      </c>
    </row>
    <row r="508" spans="1:28" ht="15.75" customHeight="1">
      <c r="A508" s="10" t="s">
        <v>3588</v>
      </c>
      <c r="B508" s="10" t="s">
        <v>1469</v>
      </c>
      <c r="C508" s="52" t="s">
        <v>868</v>
      </c>
      <c r="D508" s="12"/>
      <c r="E508" s="13" t="s">
        <v>53</v>
      </c>
      <c r="F508" s="6" t="s">
        <v>3589</v>
      </c>
      <c r="G508" s="6" t="str">
        <f ca="1">IFERROR(__xludf.DUMMYFUNCTION("CONCATENATE(B508,(VLOOKUP(C508,CATALOGOS!$F$2:$H$6,3,FALSE)),(VLOOKUP(T508,CATALOGOS!$J$2:$K$18,2,FALSE)),""-"",TO_TEXT(A508))"),"P13SO-0507")</f>
        <v>P13SO-0507</v>
      </c>
      <c r="H508" s="6" t="s">
        <v>3590</v>
      </c>
      <c r="I508" s="6" t="s">
        <v>3591</v>
      </c>
      <c r="J508" s="6" t="s">
        <v>3592</v>
      </c>
      <c r="K508" s="6" t="s">
        <v>3593</v>
      </c>
      <c r="L508" s="17"/>
      <c r="M508" s="17"/>
      <c r="N508" s="17" t="str">
        <f t="shared" si="2"/>
        <v>OK</v>
      </c>
      <c r="O508" s="17" t="s">
        <v>35</v>
      </c>
      <c r="P508" s="6" t="s">
        <v>35</v>
      </c>
      <c r="Q508" s="17" t="s">
        <v>36</v>
      </c>
      <c r="R508" s="17" t="s">
        <v>3594</v>
      </c>
      <c r="S508" s="173" t="s">
        <v>38</v>
      </c>
      <c r="T508" s="11" t="s">
        <v>868</v>
      </c>
      <c r="U508" s="22" t="s">
        <v>3451</v>
      </c>
      <c r="V508" s="22" t="s">
        <v>3451</v>
      </c>
      <c r="W508" s="22"/>
      <c r="X508" s="7"/>
      <c r="Y508" s="7"/>
      <c r="Z508" s="23"/>
      <c r="AA508" s="26"/>
    </row>
    <row r="509" spans="1:28" ht="15.75" customHeight="1">
      <c r="A509" s="10" t="s">
        <v>3595</v>
      </c>
      <c r="B509" s="10" t="s">
        <v>1469</v>
      </c>
      <c r="C509" s="52" t="s">
        <v>868</v>
      </c>
      <c r="D509" s="12"/>
      <c r="E509" s="13" t="s">
        <v>93</v>
      </c>
      <c r="F509" s="6" t="s">
        <v>3596</v>
      </c>
      <c r="G509" s="6" t="str">
        <f ca="1">IFERROR(__xludf.DUMMYFUNCTION("CONCATENATE(B509,(VLOOKUP(C509,CATALOGOS!$F$2:$H$6,3,FALSE)),(VLOOKUP(T509,CATALOGOS!$J$2:$K$18,2,FALSE)),""-"",TO_TEXT(A509))"),"P13SO-0508")</f>
        <v>P13SO-0508</v>
      </c>
      <c r="H509" s="6" t="s">
        <v>3597</v>
      </c>
      <c r="I509" s="6" t="s">
        <v>3598</v>
      </c>
      <c r="J509" s="6" t="s">
        <v>3599</v>
      </c>
      <c r="K509" s="6" t="s">
        <v>3600</v>
      </c>
      <c r="L509" s="17"/>
      <c r="M509" s="17"/>
      <c r="N509" s="17" t="str">
        <f t="shared" si="2"/>
        <v>OK</v>
      </c>
      <c r="O509" s="17" t="s">
        <v>35</v>
      </c>
      <c r="P509" s="6" t="s">
        <v>35</v>
      </c>
      <c r="Q509" s="17" t="s">
        <v>36</v>
      </c>
      <c r="R509" s="17" t="s">
        <v>3601</v>
      </c>
      <c r="S509" s="173" t="s">
        <v>38</v>
      </c>
      <c r="T509" s="11" t="s">
        <v>868</v>
      </c>
      <c r="U509" s="22" t="s">
        <v>3451</v>
      </c>
      <c r="V509" s="22" t="s">
        <v>3451</v>
      </c>
      <c r="W509" s="22"/>
      <c r="X509" s="7"/>
      <c r="Y509" s="7"/>
      <c r="Z509" s="23"/>
      <c r="AA509" s="26"/>
    </row>
    <row r="510" spans="1:28" ht="15.75" customHeight="1">
      <c r="A510" s="10" t="s">
        <v>3602</v>
      </c>
      <c r="B510" s="10" t="s">
        <v>1469</v>
      </c>
      <c r="C510" s="52" t="s">
        <v>868</v>
      </c>
      <c r="D510" s="12"/>
      <c r="E510" s="13" t="s">
        <v>29</v>
      </c>
      <c r="F510" s="6" t="s">
        <v>3603</v>
      </c>
      <c r="G510" s="6" t="str">
        <f ca="1">IFERROR(__xludf.DUMMYFUNCTION("CONCATENATE(B510,(VLOOKUP(C510,CATALOGOS!$F$2:$H$6,3,FALSE)),(VLOOKUP(T510,CATALOGOS!$J$2:$K$18,2,FALSE)),""-"",TO_TEXT(A510))"),"P13SO-0509")</f>
        <v>P13SO-0509</v>
      </c>
      <c r="H510" s="6" t="s">
        <v>3604</v>
      </c>
      <c r="I510" s="6" t="s">
        <v>3605</v>
      </c>
      <c r="J510" s="6" t="s">
        <v>3606</v>
      </c>
      <c r="K510" s="6" t="s">
        <v>3607</v>
      </c>
      <c r="L510" s="17"/>
      <c r="M510" s="17"/>
      <c r="N510" s="17" t="str">
        <f t="shared" si="2"/>
        <v>OK</v>
      </c>
      <c r="O510" s="17" t="s">
        <v>35</v>
      </c>
      <c r="P510" s="6" t="s">
        <v>35</v>
      </c>
      <c r="Q510" s="17" t="s">
        <v>36</v>
      </c>
      <c r="R510" s="17" t="s">
        <v>3608</v>
      </c>
      <c r="S510" s="173" t="s">
        <v>38</v>
      </c>
      <c r="T510" s="11" t="s">
        <v>868</v>
      </c>
      <c r="U510" s="22" t="s">
        <v>3451</v>
      </c>
      <c r="V510" s="22" t="s">
        <v>3451</v>
      </c>
      <c r="W510" s="22"/>
      <c r="X510" s="7"/>
      <c r="Y510" s="7"/>
      <c r="Z510" s="23"/>
      <c r="AA510" s="26"/>
    </row>
    <row r="511" spans="1:28" ht="15.75" customHeight="1">
      <c r="A511" s="10" t="s">
        <v>3609</v>
      </c>
      <c r="B511" s="10" t="s">
        <v>1469</v>
      </c>
      <c r="C511" s="52" t="s">
        <v>868</v>
      </c>
      <c r="D511" s="12"/>
      <c r="E511" s="13" t="s">
        <v>378</v>
      </c>
      <c r="F511" s="6" t="s">
        <v>3610</v>
      </c>
      <c r="G511" s="6" t="str">
        <f ca="1">IFERROR(__xludf.DUMMYFUNCTION("CONCATENATE(B511,(VLOOKUP(C511,CATALOGOS!$F$2:$H$6,3,FALSE)),(VLOOKUP(T511,CATALOGOS!$J$2:$K$18,2,FALSE)),""-"",TO_TEXT(A511))"),"P13SO-0510")</f>
        <v>P13SO-0510</v>
      </c>
      <c r="H511" s="6" t="s">
        <v>3611</v>
      </c>
      <c r="I511" s="6" t="s">
        <v>3612</v>
      </c>
      <c r="J511" s="6" t="s">
        <v>3613</v>
      </c>
      <c r="K511" s="6" t="s">
        <v>3614</v>
      </c>
      <c r="L511" s="17"/>
      <c r="M511" s="17"/>
      <c r="N511" s="17" t="str">
        <f t="shared" si="2"/>
        <v>OK</v>
      </c>
      <c r="O511" s="17" t="s">
        <v>35</v>
      </c>
      <c r="P511" s="6" t="s">
        <v>35</v>
      </c>
      <c r="Q511" s="17" t="s">
        <v>36</v>
      </c>
      <c r="R511" s="17" t="s">
        <v>3615</v>
      </c>
      <c r="S511" s="173" t="s">
        <v>38</v>
      </c>
      <c r="T511" s="11" t="s">
        <v>868</v>
      </c>
      <c r="U511" s="22" t="s">
        <v>3451</v>
      </c>
      <c r="V511" s="22" t="s">
        <v>3451</v>
      </c>
      <c r="W511" s="22"/>
      <c r="X511" s="7"/>
      <c r="Y511" s="7"/>
      <c r="Z511" s="23"/>
      <c r="AA511" s="26"/>
    </row>
    <row r="512" spans="1:28" ht="15.75" customHeight="1">
      <c r="A512" s="10" t="s">
        <v>3616</v>
      </c>
      <c r="B512" s="10" t="s">
        <v>1469</v>
      </c>
      <c r="C512" s="52" t="s">
        <v>868</v>
      </c>
      <c r="D512" s="38"/>
      <c r="E512" s="13" t="s">
        <v>501</v>
      </c>
      <c r="F512" s="6" t="s">
        <v>3617</v>
      </c>
      <c r="G512" s="6" t="str">
        <f ca="1">IFERROR(__xludf.DUMMYFUNCTION("CONCATENATE(B512,(VLOOKUP(C512,CATALOGOS!$F$2:$H$6,3,FALSE)),(VLOOKUP(T512,CATALOGOS!$J$2:$K$18,2,FALSE)),""-"",TO_TEXT(A512))"),"P13SO-0511")</f>
        <v>P13SO-0511</v>
      </c>
      <c r="H512" s="6" t="s">
        <v>3618</v>
      </c>
      <c r="I512" s="6" t="s">
        <v>3619</v>
      </c>
      <c r="J512" s="6" t="s">
        <v>3620</v>
      </c>
      <c r="K512" s="6" t="s">
        <v>3621</v>
      </c>
      <c r="L512" s="17"/>
      <c r="M512" s="17"/>
      <c r="N512" s="17" t="str">
        <f t="shared" si="2"/>
        <v>OK</v>
      </c>
      <c r="O512" s="17" t="s">
        <v>35</v>
      </c>
      <c r="P512" s="6" t="s">
        <v>35</v>
      </c>
      <c r="Q512" s="46" t="s">
        <v>36</v>
      </c>
      <c r="R512" s="17" t="s">
        <v>3622</v>
      </c>
      <c r="S512" s="173" t="s">
        <v>38</v>
      </c>
      <c r="T512" s="11" t="s">
        <v>868</v>
      </c>
      <c r="U512" s="32" t="s">
        <v>3451</v>
      </c>
      <c r="V512" s="32" t="s">
        <v>3451</v>
      </c>
      <c r="W512" s="32"/>
      <c r="X512" s="7"/>
      <c r="Y512" s="7"/>
      <c r="Z512" s="26"/>
      <c r="AA512" s="26"/>
    </row>
    <row r="513" spans="1:27" ht="15.75" customHeight="1">
      <c r="A513" s="10" t="s">
        <v>3623</v>
      </c>
      <c r="B513" s="10" t="s">
        <v>1469</v>
      </c>
      <c r="C513" s="52" t="s">
        <v>868</v>
      </c>
      <c r="D513" s="12"/>
      <c r="E513" s="13" t="s">
        <v>501</v>
      </c>
      <c r="F513" s="6" t="s">
        <v>3624</v>
      </c>
      <c r="G513" s="6" t="str">
        <f ca="1">IFERROR(__xludf.DUMMYFUNCTION("CONCATENATE(B513,(VLOOKUP(C513,CATALOGOS!$F$2:$H$6,3,FALSE)),(VLOOKUP(T513,CATALOGOS!$J$2:$K$18,2,FALSE)),""-"",TO_TEXT(A513))"),"P13SO-0512")</f>
        <v>P13SO-0512</v>
      </c>
      <c r="H513" s="6" t="s">
        <v>3625</v>
      </c>
      <c r="I513" s="6" t="s">
        <v>3626</v>
      </c>
      <c r="J513" s="6" t="s">
        <v>3627</v>
      </c>
      <c r="K513" s="6" t="s">
        <v>3628</v>
      </c>
      <c r="L513" s="17"/>
      <c r="M513" s="17"/>
      <c r="N513" s="17" t="str">
        <f t="shared" si="2"/>
        <v>OK</v>
      </c>
      <c r="O513" s="17" t="s">
        <v>35</v>
      </c>
      <c r="P513" s="6" t="s">
        <v>35</v>
      </c>
      <c r="Q513" s="17" t="s">
        <v>36</v>
      </c>
      <c r="R513" s="17" t="s">
        <v>3629</v>
      </c>
      <c r="S513" s="173" t="s">
        <v>38</v>
      </c>
      <c r="T513" s="11" t="s">
        <v>868</v>
      </c>
      <c r="U513" s="22" t="s">
        <v>3451</v>
      </c>
      <c r="V513" s="22" t="s">
        <v>3451</v>
      </c>
      <c r="W513" s="22"/>
      <c r="X513" s="7"/>
      <c r="Y513" s="7"/>
      <c r="Z513" s="23"/>
      <c r="AA513" s="26"/>
    </row>
    <row r="514" spans="1:27" ht="15.75" customHeight="1">
      <c r="A514" s="10" t="s">
        <v>3630</v>
      </c>
      <c r="B514" s="10" t="s">
        <v>1469</v>
      </c>
      <c r="C514" s="52" t="s">
        <v>868</v>
      </c>
      <c r="D514" s="12"/>
      <c r="E514" s="13" t="s">
        <v>2060</v>
      </c>
      <c r="F514" s="6" t="s">
        <v>3631</v>
      </c>
      <c r="G514" s="6" t="str">
        <f ca="1">IFERROR(__xludf.DUMMYFUNCTION("CONCATENATE(B514,(VLOOKUP(C514,CATALOGOS!$F$2:$H$6,3,FALSE)),(VLOOKUP(T514,CATALOGOS!$J$2:$K$18,2,FALSE)),""-"",TO_TEXT(A514))"),"P13SO-0513")</f>
        <v>P13SO-0513</v>
      </c>
      <c r="H514" s="6" t="s">
        <v>3632</v>
      </c>
      <c r="I514" s="6" t="s">
        <v>3633</v>
      </c>
      <c r="J514" s="6" t="s">
        <v>3634</v>
      </c>
      <c r="K514" s="43" t="s">
        <v>3635</v>
      </c>
      <c r="L514" s="17"/>
      <c r="M514" s="17"/>
      <c r="N514" s="17" t="str">
        <f t="shared" si="2"/>
        <v>OK</v>
      </c>
      <c r="O514" s="17" t="s">
        <v>35</v>
      </c>
      <c r="P514" s="6" t="s">
        <v>35</v>
      </c>
      <c r="Q514" s="17" t="s">
        <v>36</v>
      </c>
      <c r="R514" s="17" t="s">
        <v>3636</v>
      </c>
      <c r="S514" s="173" t="s">
        <v>38</v>
      </c>
      <c r="T514" s="11" t="s">
        <v>868</v>
      </c>
      <c r="U514" s="22" t="s">
        <v>3451</v>
      </c>
      <c r="V514" s="22" t="s">
        <v>3451</v>
      </c>
      <c r="W514" s="22"/>
      <c r="X514" s="7"/>
      <c r="Y514" s="7"/>
      <c r="Z514" s="23"/>
      <c r="AA514" s="26"/>
    </row>
    <row r="515" spans="1:27" ht="15.75" customHeight="1">
      <c r="A515" s="10" t="s">
        <v>3637</v>
      </c>
      <c r="B515" s="10" t="s">
        <v>1469</v>
      </c>
      <c r="C515" s="52" t="s">
        <v>868</v>
      </c>
      <c r="D515" s="12"/>
      <c r="E515" s="13" t="s">
        <v>501</v>
      </c>
      <c r="F515" s="43" t="s">
        <v>3269</v>
      </c>
      <c r="G515" s="6" t="str">
        <f ca="1">IFERROR(__xludf.DUMMYFUNCTION("CONCATENATE(B515,(VLOOKUP(C515,CATALOGOS!$F$2:$H$6,3,FALSE)),(VLOOKUP(T515,CATALOGOS!$J$2:$K$18,2,FALSE)),""-"",TO_TEXT(A515))"),"P13SO-0514")</f>
        <v>P13SO-0514</v>
      </c>
      <c r="H515" s="6" t="s">
        <v>3638</v>
      </c>
      <c r="I515" s="6" t="s">
        <v>3639</v>
      </c>
      <c r="J515" s="6" t="s">
        <v>3640</v>
      </c>
      <c r="K515" s="6" t="s">
        <v>3641</v>
      </c>
      <c r="L515" s="17"/>
      <c r="M515" s="17"/>
      <c r="N515" s="17" t="str">
        <f t="shared" si="2"/>
        <v>OK</v>
      </c>
      <c r="O515" s="17" t="s">
        <v>35</v>
      </c>
      <c r="P515" s="6" t="s">
        <v>35</v>
      </c>
      <c r="Q515" s="17" t="s">
        <v>36</v>
      </c>
      <c r="R515" s="17" t="s">
        <v>3642</v>
      </c>
      <c r="S515" s="173" t="s">
        <v>38</v>
      </c>
      <c r="T515" s="11" t="s">
        <v>868</v>
      </c>
      <c r="U515" s="22" t="s">
        <v>3451</v>
      </c>
      <c r="V515" s="22" t="s">
        <v>3451</v>
      </c>
      <c r="W515" s="22"/>
      <c r="X515" s="7"/>
      <c r="Y515" s="7"/>
      <c r="Z515" s="23"/>
      <c r="AA515" s="26"/>
    </row>
    <row r="516" spans="1:27" ht="15.75" customHeight="1">
      <c r="A516" s="10" t="s">
        <v>3643</v>
      </c>
      <c r="B516" s="10" t="s">
        <v>1469</v>
      </c>
      <c r="C516" s="52" t="s">
        <v>868</v>
      </c>
      <c r="D516" s="12"/>
      <c r="E516" s="13" t="s">
        <v>2060</v>
      </c>
      <c r="F516" s="6" t="s">
        <v>3631</v>
      </c>
      <c r="G516" s="6" t="str">
        <f ca="1">IFERROR(__xludf.DUMMYFUNCTION("CONCATENATE(B516,(VLOOKUP(C516,CATALOGOS!$F$2:$H$6,3,FALSE)),(VLOOKUP(T516,CATALOGOS!$J$2:$K$18,2,FALSE)),""-"",TO_TEXT(A516))"),"P13SO-0515")</f>
        <v>P13SO-0515</v>
      </c>
      <c r="H516" s="6" t="s">
        <v>3644</v>
      </c>
      <c r="I516" s="6" t="s">
        <v>3645</v>
      </c>
      <c r="J516" s="6" t="s">
        <v>3646</v>
      </c>
      <c r="K516" s="6" t="s">
        <v>3647</v>
      </c>
      <c r="L516" s="17"/>
      <c r="M516" s="17"/>
      <c r="N516" s="17" t="str">
        <f t="shared" si="2"/>
        <v>OK</v>
      </c>
      <c r="O516" s="17" t="s">
        <v>35</v>
      </c>
      <c r="P516" s="6" t="s">
        <v>35</v>
      </c>
      <c r="Q516" s="17" t="s">
        <v>36</v>
      </c>
      <c r="R516" s="17" t="s">
        <v>3648</v>
      </c>
      <c r="S516" s="173" t="s">
        <v>38</v>
      </c>
      <c r="T516" s="11" t="s">
        <v>868</v>
      </c>
      <c r="U516" s="22" t="s">
        <v>3451</v>
      </c>
      <c r="V516" s="22" t="s">
        <v>3451</v>
      </c>
      <c r="W516" s="22"/>
      <c r="X516" s="7"/>
      <c r="Y516" s="7"/>
      <c r="Z516" s="23"/>
      <c r="AA516" s="26"/>
    </row>
    <row r="517" spans="1:27" ht="15.75" customHeight="1">
      <c r="A517" s="10" t="s">
        <v>3649</v>
      </c>
      <c r="B517" s="10" t="s">
        <v>1469</v>
      </c>
      <c r="C517" s="52" t="s">
        <v>868</v>
      </c>
      <c r="D517" s="12"/>
      <c r="E517" s="13" t="s">
        <v>501</v>
      </c>
      <c r="F517" s="43" t="s">
        <v>3269</v>
      </c>
      <c r="G517" s="6" t="str">
        <f ca="1">IFERROR(__xludf.DUMMYFUNCTION("CONCATENATE(B517,(VLOOKUP(C517,CATALOGOS!$F$2:$H$6,3,FALSE)),(VLOOKUP(T517,CATALOGOS!$J$2:$K$18,2,FALSE)),""-"",TO_TEXT(A517))"),"P13SO-0516")</f>
        <v>P13SO-0516</v>
      </c>
      <c r="H517" s="6" t="s">
        <v>3650</v>
      </c>
      <c r="I517" s="6" t="s">
        <v>3651</v>
      </c>
      <c r="J517" s="6" t="s">
        <v>3652</v>
      </c>
      <c r="K517" s="6" t="s">
        <v>3653</v>
      </c>
      <c r="L517" s="17"/>
      <c r="M517" s="17"/>
      <c r="N517" s="17" t="str">
        <f t="shared" si="2"/>
        <v>OK</v>
      </c>
      <c r="O517" s="17" t="s">
        <v>35</v>
      </c>
      <c r="P517" s="6" t="s">
        <v>35</v>
      </c>
      <c r="Q517" s="17" t="s">
        <v>36</v>
      </c>
      <c r="R517" s="17" t="s">
        <v>3654</v>
      </c>
      <c r="S517" s="173" t="s">
        <v>38</v>
      </c>
      <c r="T517" s="11" t="s">
        <v>868</v>
      </c>
      <c r="U517" s="22" t="s">
        <v>3451</v>
      </c>
      <c r="V517" s="22" t="s">
        <v>3451</v>
      </c>
      <c r="W517" s="22"/>
      <c r="X517" s="7"/>
      <c r="Y517" s="7"/>
      <c r="Z517" s="23"/>
      <c r="AA517" s="26"/>
    </row>
    <row r="518" spans="1:27" ht="15.75" customHeight="1">
      <c r="A518" s="10" t="s">
        <v>3655</v>
      </c>
      <c r="B518" s="10" t="s">
        <v>1469</v>
      </c>
      <c r="C518" s="52" t="s">
        <v>868</v>
      </c>
      <c r="D518" s="12"/>
      <c r="E518" s="13" t="s">
        <v>2060</v>
      </c>
      <c r="F518" s="6" t="s">
        <v>3631</v>
      </c>
      <c r="G518" s="6" t="str">
        <f ca="1">IFERROR(__xludf.DUMMYFUNCTION("CONCATENATE(B518,(VLOOKUP(C518,CATALOGOS!$F$2:$H$6,3,FALSE)),(VLOOKUP(T518,CATALOGOS!$J$2:$K$18,2,FALSE)),""-"",TO_TEXT(A518))"),"P13SO-0517")</f>
        <v>P13SO-0517</v>
      </c>
      <c r="H518" s="6" t="s">
        <v>3656</v>
      </c>
      <c r="I518" s="6" t="s">
        <v>3657</v>
      </c>
      <c r="J518" s="6" t="s">
        <v>3658</v>
      </c>
      <c r="K518" s="6" t="s">
        <v>3659</v>
      </c>
      <c r="L518" s="17"/>
      <c r="M518" s="17"/>
      <c r="N518" s="17" t="str">
        <f t="shared" si="2"/>
        <v>OK</v>
      </c>
      <c r="O518" s="17" t="s">
        <v>35</v>
      </c>
      <c r="P518" s="6" t="s">
        <v>35</v>
      </c>
      <c r="Q518" s="6" t="s">
        <v>36</v>
      </c>
      <c r="R518" s="10" t="s">
        <v>3660</v>
      </c>
      <c r="S518" s="173" t="s">
        <v>38</v>
      </c>
      <c r="T518" s="11" t="s">
        <v>868</v>
      </c>
      <c r="U518" s="22" t="s">
        <v>3451</v>
      </c>
      <c r="V518" s="22" t="s">
        <v>3451</v>
      </c>
      <c r="W518" s="22"/>
      <c r="X518" s="7"/>
      <c r="Y518" s="7"/>
      <c r="Z518" s="23"/>
      <c r="AA518" s="26"/>
    </row>
    <row r="519" spans="1:27" ht="15.75" customHeight="1">
      <c r="A519" s="10" t="s">
        <v>3661</v>
      </c>
      <c r="B519" s="10" t="s">
        <v>1469</v>
      </c>
      <c r="C519" s="52" t="s">
        <v>868</v>
      </c>
      <c r="D519" s="12"/>
      <c r="E519" s="13" t="s">
        <v>501</v>
      </c>
      <c r="F519" s="43" t="s">
        <v>3285</v>
      </c>
      <c r="G519" s="6" t="str">
        <f ca="1">IFERROR(__xludf.DUMMYFUNCTION("CONCATENATE(B519,(VLOOKUP(C519,CATALOGOS!$F$2:$H$6,3,FALSE)),(VLOOKUP(T519,CATALOGOS!$J$2:$K$18,2,FALSE)),""-"",TO_TEXT(A519))"),"P13DG-0518")</f>
        <v>P13DG-0518</v>
      </c>
      <c r="H519" s="6" t="s">
        <v>3662</v>
      </c>
      <c r="I519" s="6" t="s">
        <v>3663</v>
      </c>
      <c r="J519" s="6" t="s">
        <v>3664</v>
      </c>
      <c r="K519" s="6" t="s">
        <v>3665</v>
      </c>
      <c r="L519" s="17"/>
      <c r="M519" s="17"/>
      <c r="N519" s="17" t="str">
        <f t="shared" si="2"/>
        <v>OK</v>
      </c>
      <c r="O519" s="17" t="s">
        <v>35</v>
      </c>
      <c r="P519" s="6" t="s">
        <v>35</v>
      </c>
      <c r="Q519" s="17" t="s">
        <v>36</v>
      </c>
      <c r="R519" s="17" t="s">
        <v>3666</v>
      </c>
      <c r="S519" s="173" t="s">
        <v>38</v>
      </c>
      <c r="T519" s="11" t="s">
        <v>6054</v>
      </c>
      <c r="U519" s="22" t="s">
        <v>3451</v>
      </c>
      <c r="V519" s="22" t="s">
        <v>3451</v>
      </c>
      <c r="W519" s="22"/>
      <c r="X519" s="7"/>
      <c r="Y519" s="7"/>
      <c r="Z519" s="23"/>
      <c r="AA519" s="26"/>
    </row>
    <row r="520" spans="1:27" ht="15.75" customHeight="1">
      <c r="A520" s="10" t="s">
        <v>3667</v>
      </c>
      <c r="B520" s="10" t="s">
        <v>1469</v>
      </c>
      <c r="C520" s="52" t="s">
        <v>868</v>
      </c>
      <c r="D520" s="12"/>
      <c r="E520" s="13" t="s">
        <v>501</v>
      </c>
      <c r="F520" s="43" t="s">
        <v>3269</v>
      </c>
      <c r="G520" s="6" t="str">
        <f ca="1">IFERROR(__xludf.DUMMYFUNCTION("CONCATENATE(B520,(VLOOKUP(C520,CATALOGOS!$F$2:$H$6,3,FALSE)),(VLOOKUP(T520,CATALOGOS!$J$2:$K$18,2,FALSE)),""-"",TO_TEXT(A520))"),"P13SO-0519")</f>
        <v>P13SO-0519</v>
      </c>
      <c r="H520" s="6" t="s">
        <v>3668</v>
      </c>
      <c r="I520" s="6" t="s">
        <v>3669</v>
      </c>
      <c r="J520" s="6" t="s">
        <v>3670</v>
      </c>
      <c r="K520" s="6" t="s">
        <v>3671</v>
      </c>
      <c r="L520" s="17"/>
      <c r="M520" s="17"/>
      <c r="N520" s="17" t="str">
        <f t="shared" si="2"/>
        <v>OK</v>
      </c>
      <c r="O520" s="17" t="s">
        <v>35</v>
      </c>
      <c r="P520" s="6" t="s">
        <v>35</v>
      </c>
      <c r="Q520" s="17" t="s">
        <v>36</v>
      </c>
      <c r="R520" s="17" t="s">
        <v>3672</v>
      </c>
      <c r="S520" s="173" t="s">
        <v>38</v>
      </c>
      <c r="T520" s="11" t="s">
        <v>868</v>
      </c>
      <c r="U520" s="22" t="s">
        <v>3451</v>
      </c>
      <c r="V520" s="22" t="s">
        <v>3451</v>
      </c>
      <c r="W520" s="22"/>
      <c r="X520" s="7"/>
      <c r="Y520" s="7"/>
      <c r="Z520" s="23"/>
      <c r="AA520" s="26"/>
    </row>
    <row r="521" spans="1:27" ht="15.75" customHeight="1">
      <c r="A521" s="10" t="s">
        <v>3673</v>
      </c>
      <c r="B521" s="10" t="s">
        <v>1469</v>
      </c>
      <c r="C521" s="52" t="s">
        <v>868</v>
      </c>
      <c r="D521" s="12"/>
      <c r="E521" s="13" t="s">
        <v>2060</v>
      </c>
      <c r="F521" s="6" t="s">
        <v>3631</v>
      </c>
      <c r="G521" s="6" t="str">
        <f ca="1">IFERROR(__xludf.DUMMYFUNCTION("CONCATENATE(B521,(VLOOKUP(C521,CATALOGOS!$F$2:$H$6,3,FALSE)),(VLOOKUP(T521,CATALOGOS!$J$2:$K$18,2,FALSE)),""-"",TO_TEXT(A521))"),"P13SO-0520")</f>
        <v>P13SO-0520</v>
      </c>
      <c r="H521" s="6" t="s">
        <v>3674</v>
      </c>
      <c r="I521" s="6" t="s">
        <v>3675</v>
      </c>
      <c r="J521" s="37"/>
      <c r="K521" s="6" t="s">
        <v>141</v>
      </c>
      <c r="L521" s="17"/>
      <c r="M521" s="17"/>
      <c r="N521" s="17" t="str">
        <f t="shared" si="2"/>
        <v>REPETIDO</v>
      </c>
      <c r="O521" s="17" t="s">
        <v>35</v>
      </c>
      <c r="P521" s="6" t="s">
        <v>35</v>
      </c>
      <c r="Q521" s="6" t="s">
        <v>36</v>
      </c>
      <c r="R521" s="10" t="s">
        <v>85</v>
      </c>
      <c r="S521" s="173" t="s">
        <v>38</v>
      </c>
      <c r="T521" s="11" t="s">
        <v>868</v>
      </c>
      <c r="U521" s="22" t="s">
        <v>3451</v>
      </c>
      <c r="V521" s="22" t="s">
        <v>3451</v>
      </c>
      <c r="W521" s="22"/>
      <c r="X521" s="7"/>
      <c r="Y521" s="7"/>
      <c r="Z521" s="23"/>
      <c r="AA521" s="26"/>
    </row>
    <row r="522" spans="1:27" ht="15.75" customHeight="1">
      <c r="A522" s="10" t="s">
        <v>3676</v>
      </c>
      <c r="B522" s="10" t="s">
        <v>1469</v>
      </c>
      <c r="C522" s="52" t="s">
        <v>868</v>
      </c>
      <c r="D522" s="12"/>
      <c r="E522" s="13" t="s">
        <v>501</v>
      </c>
      <c r="F522" s="43" t="s">
        <v>3269</v>
      </c>
      <c r="G522" s="6" t="str">
        <f ca="1">IFERROR(__xludf.DUMMYFUNCTION("CONCATENATE(B522,(VLOOKUP(C522,CATALOGOS!$F$2:$H$6,3,FALSE)),(VLOOKUP(T522,CATALOGOS!$J$2:$K$18,2,FALSE)),""-"",TO_TEXT(A522))"),"P13SO-0521")</f>
        <v>P13SO-0521</v>
      </c>
      <c r="H522" s="6" t="s">
        <v>3677</v>
      </c>
      <c r="I522" s="6" t="s">
        <v>3678</v>
      </c>
      <c r="J522" s="6" t="s">
        <v>3679</v>
      </c>
      <c r="K522" s="6" t="s">
        <v>3680</v>
      </c>
      <c r="L522" s="17"/>
      <c r="M522" s="17"/>
      <c r="N522" s="17" t="str">
        <f t="shared" si="2"/>
        <v>OK</v>
      </c>
      <c r="O522" s="17" t="s">
        <v>35</v>
      </c>
      <c r="P522" s="6" t="s">
        <v>35</v>
      </c>
      <c r="Q522" s="17" t="s">
        <v>36</v>
      </c>
      <c r="R522" s="17" t="s">
        <v>3681</v>
      </c>
      <c r="S522" s="173" t="s">
        <v>38</v>
      </c>
      <c r="T522" s="11" t="s">
        <v>868</v>
      </c>
      <c r="U522" s="22" t="s">
        <v>3451</v>
      </c>
      <c r="V522" s="22" t="s">
        <v>3451</v>
      </c>
      <c r="W522" s="22"/>
      <c r="X522" s="7"/>
      <c r="Y522" s="7"/>
      <c r="Z522" s="23"/>
      <c r="AA522" s="26"/>
    </row>
    <row r="523" spans="1:27" ht="15.75" customHeight="1">
      <c r="A523" s="10" t="s">
        <v>3682</v>
      </c>
      <c r="B523" s="10" t="s">
        <v>1469</v>
      </c>
      <c r="C523" s="52" t="s">
        <v>868</v>
      </c>
      <c r="D523" s="12"/>
      <c r="E523" s="13" t="s">
        <v>2060</v>
      </c>
      <c r="F523" s="6" t="s">
        <v>3631</v>
      </c>
      <c r="G523" s="6" t="str">
        <f ca="1">IFERROR(__xludf.DUMMYFUNCTION("CONCATENATE(B523,(VLOOKUP(C523,CATALOGOS!$F$2:$H$6,3,FALSE)),(VLOOKUP(T523,CATALOGOS!$J$2:$K$18,2,FALSE)),""-"",TO_TEXT(A523))"),"P13SO-0522")</f>
        <v>P13SO-0522</v>
      </c>
      <c r="H523" s="6" t="s">
        <v>3683</v>
      </c>
      <c r="I523" s="6" t="s">
        <v>3684</v>
      </c>
      <c r="J523" s="37"/>
      <c r="K523" s="6" t="s">
        <v>141</v>
      </c>
      <c r="L523" s="17"/>
      <c r="M523" s="17"/>
      <c r="N523" s="17" t="str">
        <f t="shared" si="2"/>
        <v>REPETIDO</v>
      </c>
      <c r="O523" s="17" t="s">
        <v>35</v>
      </c>
      <c r="P523" s="6" t="s">
        <v>35</v>
      </c>
      <c r="Q523" s="6" t="s">
        <v>36</v>
      </c>
      <c r="R523" s="10" t="s">
        <v>85</v>
      </c>
      <c r="S523" s="173" t="s">
        <v>38</v>
      </c>
      <c r="T523" s="11" t="s">
        <v>868</v>
      </c>
      <c r="U523" s="22" t="s">
        <v>3451</v>
      </c>
      <c r="V523" s="22" t="s">
        <v>3451</v>
      </c>
      <c r="W523" s="22"/>
      <c r="X523" s="7"/>
      <c r="Y523" s="7"/>
      <c r="Z523" s="23"/>
      <c r="AA523" s="26"/>
    </row>
    <row r="524" spans="1:27" ht="15.75" customHeight="1">
      <c r="A524" s="10" t="s">
        <v>3685</v>
      </c>
      <c r="B524" s="10" t="s">
        <v>1469</v>
      </c>
      <c r="C524" s="52" t="s">
        <v>868</v>
      </c>
      <c r="D524" s="12"/>
      <c r="E524" s="13" t="s">
        <v>501</v>
      </c>
      <c r="F524" s="6" t="s">
        <v>3285</v>
      </c>
      <c r="G524" s="6" t="str">
        <f ca="1">IFERROR(__xludf.DUMMYFUNCTION("CONCATENATE(B524,(VLOOKUP(C524,CATALOGOS!$F$2:$H$6,3,FALSE)),(VLOOKUP(T524,CATALOGOS!$J$2:$K$18,2,FALSE)),""-"",TO_TEXT(A524))"),"P13SO-0523")</f>
        <v>P13SO-0523</v>
      </c>
      <c r="H524" s="6" t="s">
        <v>3686</v>
      </c>
      <c r="I524" s="6" t="s">
        <v>3687</v>
      </c>
      <c r="J524" s="6" t="s">
        <v>3688</v>
      </c>
      <c r="K524" s="6" t="s">
        <v>3689</v>
      </c>
      <c r="L524" s="17"/>
      <c r="M524" s="17"/>
      <c r="N524" s="17" t="str">
        <f t="shared" si="2"/>
        <v>OK</v>
      </c>
      <c r="O524" s="17" t="s">
        <v>35</v>
      </c>
      <c r="P524" s="6" t="s">
        <v>35</v>
      </c>
      <c r="Q524" s="17" t="s">
        <v>36</v>
      </c>
      <c r="R524" s="17" t="s">
        <v>3690</v>
      </c>
      <c r="S524" s="173" t="s">
        <v>38</v>
      </c>
      <c r="T524" s="11" t="s">
        <v>868</v>
      </c>
      <c r="U524" s="22" t="s">
        <v>3451</v>
      </c>
      <c r="V524" s="22" t="s">
        <v>3451</v>
      </c>
      <c r="W524" s="22"/>
      <c r="X524" s="7"/>
      <c r="Y524" s="7"/>
      <c r="Z524" s="23"/>
      <c r="AA524" s="26"/>
    </row>
    <row r="525" spans="1:27" ht="15.75" customHeight="1">
      <c r="A525" s="10" t="s">
        <v>3691</v>
      </c>
      <c r="B525" s="10" t="s">
        <v>1469</v>
      </c>
      <c r="C525" s="52" t="s">
        <v>868</v>
      </c>
      <c r="D525" s="12"/>
      <c r="E525" s="13" t="s">
        <v>501</v>
      </c>
      <c r="F525" s="6" t="s">
        <v>2046</v>
      </c>
      <c r="G525" s="6" t="str">
        <f ca="1">IFERROR(__xludf.DUMMYFUNCTION("CONCATENATE(B525,(VLOOKUP(C525,CATALOGOS!$F$2:$H$6,3,FALSE)),(VLOOKUP(T525,CATALOGOS!$J$2:$K$18,2,FALSE)),""-"",TO_TEXT(A525))"),"P13SO-0524")</f>
        <v>P13SO-0524</v>
      </c>
      <c r="H525" s="6" t="s">
        <v>3692</v>
      </c>
      <c r="I525" s="6" t="s">
        <v>3693</v>
      </c>
      <c r="J525" s="6" t="s">
        <v>3694</v>
      </c>
      <c r="K525" s="6" t="s">
        <v>3695</v>
      </c>
      <c r="L525" s="17"/>
      <c r="M525" s="17"/>
      <c r="N525" s="17" t="str">
        <f t="shared" si="2"/>
        <v>OK</v>
      </c>
      <c r="O525" s="17" t="s">
        <v>35</v>
      </c>
      <c r="P525" s="6" t="s">
        <v>35</v>
      </c>
      <c r="Q525" s="6" t="s">
        <v>36</v>
      </c>
      <c r="R525" s="10" t="s">
        <v>3696</v>
      </c>
      <c r="S525" s="173" t="s">
        <v>38</v>
      </c>
      <c r="T525" s="11" t="s">
        <v>868</v>
      </c>
      <c r="U525" s="22" t="s">
        <v>3451</v>
      </c>
      <c r="V525" s="22" t="s">
        <v>3451</v>
      </c>
      <c r="W525" s="22"/>
      <c r="X525" s="7"/>
      <c r="Y525" s="7"/>
      <c r="Z525" s="23"/>
      <c r="AA525" s="26"/>
    </row>
    <row r="526" spans="1:27" ht="15.75" customHeight="1">
      <c r="A526" s="10" t="s">
        <v>3697</v>
      </c>
      <c r="B526" s="10" t="s">
        <v>1469</v>
      </c>
      <c r="C526" s="52" t="s">
        <v>868</v>
      </c>
      <c r="D526" s="12"/>
      <c r="E526" s="13" t="s">
        <v>501</v>
      </c>
      <c r="F526" s="43" t="s">
        <v>3269</v>
      </c>
      <c r="G526" s="6" t="str">
        <f ca="1">IFERROR(__xludf.DUMMYFUNCTION("CONCATENATE(B526,(VLOOKUP(C526,CATALOGOS!$F$2:$H$6,3,FALSE)),(VLOOKUP(T526,CATALOGOS!$J$2:$K$18,2,FALSE)),""-"",TO_TEXT(A526))"),"P13SO-0525")</f>
        <v>P13SO-0525</v>
      </c>
      <c r="H526" s="6" t="s">
        <v>3698</v>
      </c>
      <c r="I526" s="6" t="s">
        <v>3699</v>
      </c>
      <c r="J526" s="6" t="s">
        <v>3700</v>
      </c>
      <c r="K526" s="6" t="s">
        <v>3701</v>
      </c>
      <c r="L526" s="17"/>
      <c r="M526" s="17"/>
      <c r="N526" s="17" t="str">
        <f t="shared" si="2"/>
        <v>OK</v>
      </c>
      <c r="O526" s="17" t="s">
        <v>35</v>
      </c>
      <c r="P526" s="6" t="s">
        <v>35</v>
      </c>
      <c r="Q526" s="17" t="s">
        <v>36</v>
      </c>
      <c r="R526" s="17" t="s">
        <v>3702</v>
      </c>
      <c r="S526" s="173" t="s">
        <v>38</v>
      </c>
      <c r="T526" s="11" t="s">
        <v>868</v>
      </c>
      <c r="U526" s="22" t="s">
        <v>3451</v>
      </c>
      <c r="V526" s="22" t="s">
        <v>3451</v>
      </c>
      <c r="W526" s="22"/>
      <c r="X526" s="7"/>
      <c r="Y526" s="7"/>
      <c r="Z526" s="23"/>
      <c r="AA526" s="26"/>
    </row>
    <row r="527" spans="1:27" ht="15.75" customHeight="1">
      <c r="A527" s="10" t="s">
        <v>3703</v>
      </c>
      <c r="B527" s="10" t="s">
        <v>1469</v>
      </c>
      <c r="C527" s="52" t="s">
        <v>868</v>
      </c>
      <c r="D527" s="12"/>
      <c r="E527" s="13" t="s">
        <v>62</v>
      </c>
      <c r="F527" s="6" t="s">
        <v>3262</v>
      </c>
      <c r="G527" s="6" t="str">
        <f ca="1">IFERROR(__xludf.DUMMYFUNCTION("CONCATENATE(B527,(VLOOKUP(C527,CATALOGOS!$F$2:$H$6,3,FALSE)),(VLOOKUP(T527,CATALOGOS!$J$2:$K$18,2,FALSE)),""-"",TO_TEXT(A527))"),"P13SO-0526")</f>
        <v>P13SO-0526</v>
      </c>
      <c r="H527" s="6" t="s">
        <v>3704</v>
      </c>
      <c r="I527" s="6" t="s">
        <v>3705</v>
      </c>
      <c r="J527" s="6" t="s">
        <v>3706</v>
      </c>
      <c r="K527" s="6" t="s">
        <v>3707</v>
      </c>
      <c r="L527" s="17"/>
      <c r="M527" s="17"/>
      <c r="N527" s="17" t="str">
        <f t="shared" si="2"/>
        <v>OK</v>
      </c>
      <c r="O527" s="17" t="s">
        <v>35</v>
      </c>
      <c r="P527" s="6" t="s">
        <v>35</v>
      </c>
      <c r="Q527" s="17" t="s">
        <v>36</v>
      </c>
      <c r="R527" s="17" t="s">
        <v>3708</v>
      </c>
      <c r="S527" s="173" t="s">
        <v>38</v>
      </c>
      <c r="T527" s="11" t="s">
        <v>868</v>
      </c>
      <c r="U527" s="22" t="s">
        <v>3451</v>
      </c>
      <c r="V527" s="22" t="s">
        <v>3451</v>
      </c>
      <c r="W527" s="22"/>
      <c r="X527" s="71"/>
      <c r="Y527" s="71"/>
      <c r="Z527" s="23"/>
      <c r="AA527" s="26"/>
    </row>
    <row r="528" spans="1:27" ht="15.75" customHeight="1">
      <c r="A528" s="10" t="s">
        <v>3709</v>
      </c>
      <c r="B528" s="10" t="s">
        <v>1469</v>
      </c>
      <c r="C528" s="52" t="s">
        <v>868</v>
      </c>
      <c r="D528" s="38"/>
      <c r="E528" s="13" t="s">
        <v>93</v>
      </c>
      <c r="F528" s="6" t="s">
        <v>3710</v>
      </c>
      <c r="G528" s="6" t="str">
        <f ca="1">IFERROR(__xludf.DUMMYFUNCTION("CONCATENATE(B528,(VLOOKUP(C528,CATALOGOS!$F$2:$H$6,3,FALSE)),(VLOOKUP(T528,CATALOGOS!$J$2:$K$18,2,FALSE)),""-"",TO_TEXT(A528))"),"P13SO-0527")</f>
        <v>P13SO-0527</v>
      </c>
      <c r="H528" s="6" t="s">
        <v>3711</v>
      </c>
      <c r="I528" s="6" t="s">
        <v>3712</v>
      </c>
      <c r="J528" s="6" t="s">
        <v>3713</v>
      </c>
      <c r="K528" s="6" t="s">
        <v>3714</v>
      </c>
      <c r="L528" s="17"/>
      <c r="M528" s="17"/>
      <c r="N528" s="17" t="str">
        <f t="shared" si="2"/>
        <v>OK</v>
      </c>
      <c r="O528" s="17" t="s">
        <v>35</v>
      </c>
      <c r="P528" s="6" t="s">
        <v>35</v>
      </c>
      <c r="Q528" s="46" t="s">
        <v>36</v>
      </c>
      <c r="R528" s="17" t="s">
        <v>3715</v>
      </c>
      <c r="S528" s="173" t="s">
        <v>38</v>
      </c>
      <c r="T528" s="11" t="s">
        <v>868</v>
      </c>
      <c r="U528" s="32" t="s">
        <v>3451</v>
      </c>
      <c r="V528" s="32" t="s">
        <v>3451</v>
      </c>
      <c r="W528" s="32"/>
      <c r="X528" s="7"/>
      <c r="Y528" s="7"/>
      <c r="Z528" s="26"/>
      <c r="AA528" s="26"/>
    </row>
    <row r="529" spans="1:27" ht="15.75" customHeight="1">
      <c r="A529" s="10" t="s">
        <v>3717</v>
      </c>
      <c r="B529" s="10" t="s">
        <v>1469</v>
      </c>
      <c r="C529" s="52" t="s">
        <v>868</v>
      </c>
      <c r="D529" s="12"/>
      <c r="E529" s="13" t="s">
        <v>242</v>
      </c>
      <c r="F529" s="6" t="s">
        <v>3718</v>
      </c>
      <c r="G529" s="6" t="str">
        <f ca="1">IFERROR(__xludf.DUMMYFUNCTION("CONCATENATE(B529,(VLOOKUP(C529,CATALOGOS!$F$2:$H$6,3,FALSE)),(VLOOKUP(T529,CATALOGOS!$J$2:$K$18,2,FALSE)),""-"",TO_TEXT(A529))"),"P13SO-0528")</f>
        <v>P13SO-0528</v>
      </c>
      <c r="H529" s="6" t="s">
        <v>3719</v>
      </c>
      <c r="I529" s="6" t="s">
        <v>3720</v>
      </c>
      <c r="J529" s="37"/>
      <c r="K529" s="6" t="s">
        <v>141</v>
      </c>
      <c r="L529" s="17"/>
      <c r="M529" s="17"/>
      <c r="N529" s="17" t="str">
        <f t="shared" si="2"/>
        <v>REPETIDO</v>
      </c>
      <c r="O529" s="17" t="s">
        <v>856</v>
      </c>
      <c r="P529" s="6" t="s">
        <v>3721</v>
      </c>
      <c r="Q529" s="6" t="s">
        <v>36</v>
      </c>
      <c r="R529" s="185" t="s">
        <v>85</v>
      </c>
      <c r="S529" s="173" t="s">
        <v>38</v>
      </c>
      <c r="T529" s="11" t="s">
        <v>868</v>
      </c>
      <c r="U529" s="22" t="s">
        <v>1665</v>
      </c>
      <c r="V529" s="22" t="s">
        <v>1665</v>
      </c>
      <c r="W529" s="22"/>
      <c r="X529" s="7"/>
      <c r="Y529" s="7"/>
      <c r="Z529" s="23"/>
      <c r="AA529" s="26"/>
    </row>
    <row r="530" spans="1:27" ht="15.75" customHeight="1">
      <c r="A530" s="10" t="s">
        <v>3722</v>
      </c>
      <c r="B530" s="10" t="s">
        <v>1469</v>
      </c>
      <c r="C530" s="52" t="s">
        <v>868</v>
      </c>
      <c r="D530" s="12"/>
      <c r="E530" s="13" t="s">
        <v>116</v>
      </c>
      <c r="F530" s="6" t="s">
        <v>3723</v>
      </c>
      <c r="G530" s="6" t="str">
        <f ca="1">IFERROR(__xludf.DUMMYFUNCTION("CONCATENATE(B530,(VLOOKUP(C530,CATALOGOS!$F$2:$H$6,3,FALSE)),(VLOOKUP(T530,CATALOGOS!$J$2:$K$18,2,FALSE)),""-"",TO_TEXT(A530))"),"P13SO-0529")</f>
        <v>P13SO-0529</v>
      </c>
      <c r="H530" s="6" t="s">
        <v>3724</v>
      </c>
      <c r="I530" s="6" t="s">
        <v>3725</v>
      </c>
      <c r="J530" s="6" t="s">
        <v>3726</v>
      </c>
      <c r="K530" s="6" t="s">
        <v>3727</v>
      </c>
      <c r="L530" s="17"/>
      <c r="M530" s="17"/>
      <c r="N530" s="17" t="str">
        <f t="shared" si="2"/>
        <v>OK</v>
      </c>
      <c r="O530" s="17" t="s">
        <v>35</v>
      </c>
      <c r="P530" s="6" t="s">
        <v>35</v>
      </c>
      <c r="Q530" s="17" t="s">
        <v>36</v>
      </c>
      <c r="R530" s="17" t="s">
        <v>3728</v>
      </c>
      <c r="S530" s="173" t="s">
        <v>38</v>
      </c>
      <c r="T530" s="11" t="s">
        <v>868</v>
      </c>
      <c r="U530" s="22" t="s">
        <v>1665</v>
      </c>
      <c r="V530" s="22" t="s">
        <v>1665</v>
      </c>
      <c r="W530" s="22"/>
      <c r="X530" s="7"/>
      <c r="Y530" s="7"/>
      <c r="Z530" s="23"/>
      <c r="AA530" s="26"/>
    </row>
    <row r="531" spans="1:27" ht="15.75" customHeight="1">
      <c r="A531" s="10" t="s">
        <v>3729</v>
      </c>
      <c r="B531" s="10" t="s">
        <v>1469</v>
      </c>
      <c r="C531" s="52" t="s">
        <v>868</v>
      </c>
      <c r="D531" s="12"/>
      <c r="E531" s="13" t="s">
        <v>62</v>
      </c>
      <c r="F531" s="6" t="s">
        <v>3730</v>
      </c>
      <c r="G531" s="6" t="str">
        <f ca="1">IFERROR(__xludf.DUMMYFUNCTION("CONCATENATE(B531,(VLOOKUP(C531,CATALOGOS!$F$2:$H$6,3,FALSE)),(VLOOKUP(T531,CATALOGOS!$J$2:$K$18,2,FALSE)),""-"",TO_TEXT(A531))"),"P13SO-0530")</f>
        <v>P13SO-0530</v>
      </c>
      <c r="H531" s="6" t="s">
        <v>3731</v>
      </c>
      <c r="I531" s="6" t="s">
        <v>3732</v>
      </c>
      <c r="J531" s="6" t="s">
        <v>3733</v>
      </c>
      <c r="K531" s="6" t="s">
        <v>3734</v>
      </c>
      <c r="L531" s="17"/>
      <c r="M531" s="17"/>
      <c r="N531" s="17" t="str">
        <f t="shared" si="2"/>
        <v>OK</v>
      </c>
      <c r="O531" s="17" t="s">
        <v>35</v>
      </c>
      <c r="P531" s="6" t="s">
        <v>35</v>
      </c>
      <c r="Q531" s="17" t="s">
        <v>36</v>
      </c>
      <c r="R531" s="17" t="s">
        <v>3735</v>
      </c>
      <c r="S531" s="173" t="s">
        <v>38</v>
      </c>
      <c r="T531" s="11" t="s">
        <v>868</v>
      </c>
      <c r="U531" s="22" t="s">
        <v>1665</v>
      </c>
      <c r="V531" s="22" t="s">
        <v>1665</v>
      </c>
      <c r="W531" s="22"/>
      <c r="X531" s="7"/>
      <c r="Y531" s="7"/>
      <c r="Z531" s="23"/>
      <c r="AA531" s="26"/>
    </row>
    <row r="532" spans="1:27" ht="15.75" customHeight="1">
      <c r="A532" s="10" t="s">
        <v>3736</v>
      </c>
      <c r="B532" s="10" t="s">
        <v>1469</v>
      </c>
      <c r="C532" s="52" t="s">
        <v>868</v>
      </c>
      <c r="D532" s="12"/>
      <c r="E532" s="13" t="s">
        <v>62</v>
      </c>
      <c r="F532" s="6" t="s">
        <v>3737</v>
      </c>
      <c r="G532" s="6" t="str">
        <f ca="1">IFERROR(__xludf.DUMMYFUNCTION("CONCATENATE(B532,(VLOOKUP(C532,CATALOGOS!$F$2:$H$6,3,FALSE)),(VLOOKUP(T532,CATALOGOS!$J$2:$K$18,2,FALSE)),""-"",TO_TEXT(A532))"),"P13SO-0531")</f>
        <v>P13SO-0531</v>
      </c>
      <c r="H532" s="6" t="s">
        <v>3738</v>
      </c>
      <c r="I532" s="6" t="s">
        <v>3739</v>
      </c>
      <c r="J532" s="6" t="s">
        <v>3740</v>
      </c>
      <c r="K532" s="6" t="s">
        <v>3741</v>
      </c>
      <c r="L532" s="17"/>
      <c r="M532" s="17"/>
      <c r="N532" s="17" t="str">
        <f t="shared" si="2"/>
        <v>OK</v>
      </c>
      <c r="O532" s="17" t="s">
        <v>35</v>
      </c>
      <c r="P532" s="6" t="s">
        <v>35</v>
      </c>
      <c r="Q532" s="17" t="s">
        <v>36</v>
      </c>
      <c r="R532" s="17" t="s">
        <v>3742</v>
      </c>
      <c r="S532" s="173" t="s">
        <v>38</v>
      </c>
      <c r="T532" s="11" t="s">
        <v>868</v>
      </c>
      <c r="U532" s="22" t="s">
        <v>1665</v>
      </c>
      <c r="V532" s="22" t="s">
        <v>1665</v>
      </c>
      <c r="W532" s="22"/>
      <c r="X532" s="7"/>
      <c r="Y532" s="7"/>
      <c r="Z532" s="23"/>
      <c r="AA532" s="26"/>
    </row>
    <row r="533" spans="1:27" ht="15.75" customHeight="1">
      <c r="A533" s="10" t="s">
        <v>3743</v>
      </c>
      <c r="B533" s="10" t="s">
        <v>1469</v>
      </c>
      <c r="C533" s="52" t="s">
        <v>868</v>
      </c>
      <c r="D533" s="12"/>
      <c r="E533" s="13" t="s">
        <v>3521</v>
      </c>
      <c r="F533" s="6" t="s">
        <v>3744</v>
      </c>
      <c r="G533" s="6" t="str">
        <f ca="1">IFERROR(__xludf.DUMMYFUNCTION("CONCATENATE(B533,(VLOOKUP(C533,CATALOGOS!$F$2:$H$6,3,FALSE)),(VLOOKUP(T533,CATALOGOS!$J$2:$K$18,2,FALSE)),""-"",TO_TEXT(A533))"),"P13SO-0532")</f>
        <v>P13SO-0532</v>
      </c>
      <c r="H533" s="6" t="s">
        <v>3745</v>
      </c>
      <c r="I533" s="6" t="s">
        <v>3746</v>
      </c>
      <c r="J533" s="6" t="s">
        <v>3747</v>
      </c>
      <c r="K533" s="6" t="s">
        <v>3748</v>
      </c>
      <c r="L533" s="17"/>
      <c r="M533" s="17"/>
      <c r="N533" s="17" t="str">
        <f t="shared" si="2"/>
        <v>OK</v>
      </c>
      <c r="O533" s="17" t="s">
        <v>35</v>
      </c>
      <c r="P533" s="6" t="s">
        <v>35</v>
      </c>
      <c r="Q533" s="17" t="s">
        <v>36</v>
      </c>
      <c r="R533" s="17" t="s">
        <v>3749</v>
      </c>
      <c r="S533" s="173" t="s">
        <v>38</v>
      </c>
      <c r="T533" s="11" t="s">
        <v>868</v>
      </c>
      <c r="U533" s="22" t="s">
        <v>1665</v>
      </c>
      <c r="V533" s="22" t="s">
        <v>1665</v>
      </c>
      <c r="W533" s="22"/>
      <c r="X533" s="7"/>
      <c r="Y533" s="7"/>
      <c r="Z533" s="23"/>
      <c r="AA533" s="26"/>
    </row>
    <row r="534" spans="1:27" ht="15.75" customHeight="1">
      <c r="A534" s="10" t="s">
        <v>3750</v>
      </c>
      <c r="B534" s="10" t="s">
        <v>1469</v>
      </c>
      <c r="C534" s="52" t="s">
        <v>868</v>
      </c>
      <c r="D534" s="12"/>
      <c r="E534" s="13" t="s">
        <v>43</v>
      </c>
      <c r="F534" s="43" t="s">
        <v>3751</v>
      </c>
      <c r="G534" s="6" t="str">
        <f ca="1">IFERROR(__xludf.DUMMYFUNCTION("CONCATENATE(B534,(VLOOKUP(C534,CATALOGOS!$F$2:$H$6,3,FALSE)),(VLOOKUP(T534,CATALOGOS!$J$2:$K$18,2,FALSE)),""-"",TO_TEXT(A534))"),"P13SO-0533")</f>
        <v>P13SO-0533</v>
      </c>
      <c r="H534" s="6" t="s">
        <v>3752</v>
      </c>
      <c r="I534" s="6" t="s">
        <v>3753</v>
      </c>
      <c r="J534" s="6" t="s">
        <v>3754</v>
      </c>
      <c r="K534" s="6" t="s">
        <v>3755</v>
      </c>
      <c r="L534" s="17"/>
      <c r="M534" s="17"/>
      <c r="N534" s="17" t="str">
        <f t="shared" si="2"/>
        <v>OK</v>
      </c>
      <c r="O534" s="17" t="s">
        <v>406</v>
      </c>
      <c r="P534" s="6" t="s">
        <v>3756</v>
      </c>
      <c r="Q534" s="17" t="s">
        <v>3757</v>
      </c>
      <c r="R534" s="17" t="s">
        <v>3758</v>
      </c>
      <c r="S534" s="173" t="s">
        <v>38</v>
      </c>
      <c r="T534" s="11" t="s">
        <v>868</v>
      </c>
      <c r="U534" s="22" t="s">
        <v>1665</v>
      </c>
      <c r="V534" s="22" t="s">
        <v>1665</v>
      </c>
      <c r="W534" s="22"/>
      <c r="X534" s="7"/>
      <c r="Y534" s="7"/>
      <c r="Z534" s="23"/>
      <c r="AA534" s="26"/>
    </row>
    <row r="535" spans="1:27" ht="15.75" customHeight="1">
      <c r="A535" s="10" t="s">
        <v>3759</v>
      </c>
      <c r="B535" s="10" t="s">
        <v>1469</v>
      </c>
      <c r="C535" s="52" t="s">
        <v>868</v>
      </c>
      <c r="D535" s="12"/>
      <c r="E535" s="13" t="s">
        <v>116</v>
      </c>
      <c r="F535" s="6" t="s">
        <v>3760</v>
      </c>
      <c r="G535" s="6" t="str">
        <f ca="1">IFERROR(__xludf.DUMMYFUNCTION("CONCATENATE(B535,(VLOOKUP(C535,CATALOGOS!$F$2:$H$6,3,FALSE)),(VLOOKUP(T535,CATALOGOS!$J$2:$K$18,2,FALSE)),""-"",TO_TEXT(A535))"),"P13SO-0534")</f>
        <v>P13SO-0534</v>
      </c>
      <c r="H535" s="6" t="s">
        <v>3761</v>
      </c>
      <c r="I535" s="6" t="s">
        <v>3762</v>
      </c>
      <c r="J535" s="6" t="s">
        <v>3763</v>
      </c>
      <c r="K535" s="6" t="s">
        <v>3764</v>
      </c>
      <c r="L535" s="17"/>
      <c r="M535" s="17"/>
      <c r="N535" s="17" t="str">
        <f t="shared" si="2"/>
        <v>OK</v>
      </c>
      <c r="O535" s="17" t="s">
        <v>35</v>
      </c>
      <c r="P535" s="49" t="s">
        <v>35</v>
      </c>
      <c r="Q535" s="17" t="s">
        <v>36</v>
      </c>
      <c r="R535" s="17" t="s">
        <v>3765</v>
      </c>
      <c r="S535" s="173" t="s">
        <v>38</v>
      </c>
      <c r="T535" s="11" t="s">
        <v>868</v>
      </c>
      <c r="U535" s="22" t="s">
        <v>1665</v>
      </c>
      <c r="V535" s="22" t="s">
        <v>1665</v>
      </c>
      <c r="W535" s="22"/>
      <c r="X535" s="7"/>
      <c r="Y535" s="7"/>
      <c r="Z535" s="23"/>
      <c r="AA535" s="26"/>
    </row>
    <row r="536" spans="1:27" ht="15.75" customHeight="1">
      <c r="A536" s="10" t="s">
        <v>3766</v>
      </c>
      <c r="B536" s="10" t="s">
        <v>1469</v>
      </c>
      <c r="C536" s="52" t="s">
        <v>868</v>
      </c>
      <c r="D536" s="12"/>
      <c r="E536" s="13" t="s">
        <v>1240</v>
      </c>
      <c r="F536" s="43" t="s">
        <v>278</v>
      </c>
      <c r="G536" s="6" t="str">
        <f ca="1">IFERROR(__xludf.DUMMYFUNCTION("CONCATENATE(B536,(VLOOKUP(C536,CATALOGOS!$F$2:$H$6,3,FALSE)),(VLOOKUP(T536,CATALOGOS!$J$2:$K$18,2,FALSE)),""-"",TO_TEXT(A536))"),"P13SO-0535")</f>
        <v>P13SO-0535</v>
      </c>
      <c r="H536" s="6" t="s">
        <v>3767</v>
      </c>
      <c r="I536" s="6" t="s">
        <v>3768</v>
      </c>
      <c r="J536" s="6" t="s">
        <v>3769</v>
      </c>
      <c r="K536" s="6" t="s">
        <v>3770</v>
      </c>
      <c r="L536" s="17"/>
      <c r="M536" s="17"/>
      <c r="N536" s="17" t="str">
        <f t="shared" si="2"/>
        <v>OK</v>
      </c>
      <c r="O536" s="17" t="s">
        <v>35</v>
      </c>
      <c r="P536" s="6" t="s">
        <v>35</v>
      </c>
      <c r="Q536" s="17" t="s">
        <v>36</v>
      </c>
      <c r="R536" s="17" t="s">
        <v>3771</v>
      </c>
      <c r="S536" s="173" t="s">
        <v>38</v>
      </c>
      <c r="T536" s="11" t="s">
        <v>868</v>
      </c>
      <c r="U536" s="22" t="s">
        <v>1665</v>
      </c>
      <c r="V536" s="22" t="s">
        <v>1665</v>
      </c>
      <c r="W536" s="22"/>
      <c r="X536" s="7"/>
      <c r="Y536" s="7"/>
      <c r="Z536" s="23"/>
      <c r="AA536" s="26"/>
    </row>
    <row r="537" spans="1:27" ht="15.75" customHeight="1">
      <c r="A537" s="10" t="s">
        <v>3772</v>
      </c>
      <c r="B537" s="10" t="s">
        <v>1469</v>
      </c>
      <c r="C537" s="52" t="s">
        <v>868</v>
      </c>
      <c r="D537" s="12"/>
      <c r="E537" s="13" t="s">
        <v>248</v>
      </c>
      <c r="F537" s="43" t="s">
        <v>248</v>
      </c>
      <c r="G537" s="6" t="str">
        <f ca="1">IFERROR(__xludf.DUMMYFUNCTION("CONCATENATE(B537,(VLOOKUP(C537,CATALOGOS!$F$2:$H$6,3,FALSE)),(VLOOKUP(T537,CATALOGOS!$J$2:$K$18,2,FALSE)),""-"",TO_TEXT(A537))"),"P13SO-0536")</f>
        <v>P13SO-0536</v>
      </c>
      <c r="H537" s="6" t="s">
        <v>3773</v>
      </c>
      <c r="I537" s="6" t="s">
        <v>3774</v>
      </c>
      <c r="J537" s="6" t="s">
        <v>3775</v>
      </c>
      <c r="K537" s="6" t="s">
        <v>3776</v>
      </c>
      <c r="L537" s="17"/>
      <c r="M537" s="17"/>
      <c r="N537" s="17" t="str">
        <f t="shared" si="2"/>
        <v>OK</v>
      </c>
      <c r="O537" s="17" t="s">
        <v>978</v>
      </c>
      <c r="P537" s="6" t="s">
        <v>3777</v>
      </c>
      <c r="Q537" s="17" t="s">
        <v>3778</v>
      </c>
      <c r="R537" s="17" t="s">
        <v>3779</v>
      </c>
      <c r="S537" s="173" t="s">
        <v>38</v>
      </c>
      <c r="T537" s="11" t="s">
        <v>868</v>
      </c>
      <c r="U537" s="22" t="s">
        <v>1665</v>
      </c>
      <c r="V537" s="22" t="s">
        <v>1665</v>
      </c>
      <c r="W537" s="22"/>
      <c r="X537" s="7"/>
      <c r="Y537" s="7"/>
      <c r="Z537" s="23"/>
      <c r="AA537" s="26"/>
    </row>
    <row r="538" spans="1:27" ht="15.75" customHeight="1">
      <c r="A538" s="10" t="s">
        <v>3780</v>
      </c>
      <c r="B538" s="10" t="s">
        <v>1469</v>
      </c>
      <c r="C538" s="52" t="s">
        <v>868</v>
      </c>
      <c r="D538" s="12"/>
      <c r="E538" s="13" t="s">
        <v>378</v>
      </c>
      <c r="F538" s="6" t="s">
        <v>878</v>
      </c>
      <c r="G538" s="6" t="str">
        <f ca="1">IFERROR(__xludf.DUMMYFUNCTION("CONCATENATE(B538,(VLOOKUP(C538,CATALOGOS!$F$2:$H$6,3,FALSE)),(VLOOKUP(T538,CATALOGOS!$J$2:$K$18,2,FALSE)),""-"",TO_TEXT(A538))"),"P13SO-0537")</f>
        <v>P13SO-0537</v>
      </c>
      <c r="H538" s="6" t="s">
        <v>3781</v>
      </c>
      <c r="I538" s="6" t="s">
        <v>3782</v>
      </c>
      <c r="J538" s="6" t="s">
        <v>3783</v>
      </c>
      <c r="K538" s="6" t="s">
        <v>3784</v>
      </c>
      <c r="L538" s="17"/>
      <c r="M538" s="17"/>
      <c r="N538" s="17" t="str">
        <f t="shared" si="2"/>
        <v>OK</v>
      </c>
      <c r="O538" s="17" t="s">
        <v>35</v>
      </c>
      <c r="P538" s="6" t="s">
        <v>35</v>
      </c>
      <c r="Q538" s="17" t="s">
        <v>36</v>
      </c>
      <c r="R538" s="17" t="s">
        <v>3785</v>
      </c>
      <c r="S538" s="173" t="s">
        <v>38</v>
      </c>
      <c r="T538" s="11" t="s">
        <v>868</v>
      </c>
      <c r="U538" s="22" t="s">
        <v>1665</v>
      </c>
      <c r="V538" s="22" t="s">
        <v>1665</v>
      </c>
      <c r="W538" s="22"/>
      <c r="X538" s="7"/>
      <c r="Y538" s="7"/>
      <c r="Z538" s="23"/>
      <c r="AA538" s="26"/>
    </row>
    <row r="539" spans="1:27" ht="15.75" customHeight="1">
      <c r="A539" s="10" t="s">
        <v>3786</v>
      </c>
      <c r="B539" s="10" t="s">
        <v>1469</v>
      </c>
      <c r="C539" s="52" t="s">
        <v>868</v>
      </c>
      <c r="D539" s="12"/>
      <c r="E539" s="13" t="s">
        <v>378</v>
      </c>
      <c r="F539" s="6" t="s">
        <v>878</v>
      </c>
      <c r="G539" s="6" t="str">
        <f ca="1">IFERROR(__xludf.DUMMYFUNCTION("CONCATENATE(B539,(VLOOKUP(C539,CATALOGOS!$F$2:$H$6,3,FALSE)),(VLOOKUP(T539,CATALOGOS!$J$2:$K$18,2,FALSE)),""-"",TO_TEXT(A539))"),"P13SO-0538")</f>
        <v>P13SO-0538</v>
      </c>
      <c r="H539" s="6" t="s">
        <v>3787</v>
      </c>
      <c r="I539" s="6" t="s">
        <v>3788</v>
      </c>
      <c r="J539" s="6" t="s">
        <v>3789</v>
      </c>
      <c r="K539" s="6" t="s">
        <v>3790</v>
      </c>
      <c r="L539" s="17"/>
      <c r="M539" s="17"/>
      <c r="N539" s="17" t="str">
        <f t="shared" si="2"/>
        <v>OK</v>
      </c>
      <c r="O539" s="17" t="s">
        <v>35</v>
      </c>
      <c r="P539" s="6" t="s">
        <v>35</v>
      </c>
      <c r="Q539" s="17" t="s">
        <v>36</v>
      </c>
      <c r="R539" s="17" t="s">
        <v>3791</v>
      </c>
      <c r="S539" s="173" t="s">
        <v>38</v>
      </c>
      <c r="T539" s="11" t="s">
        <v>868</v>
      </c>
      <c r="U539" s="22" t="s">
        <v>1665</v>
      </c>
      <c r="V539" s="22" t="s">
        <v>1665</v>
      </c>
      <c r="W539" s="22"/>
      <c r="X539" s="7"/>
      <c r="Y539" s="7"/>
      <c r="Z539" s="23"/>
      <c r="AA539" s="26"/>
    </row>
    <row r="540" spans="1:27" ht="15.75" customHeight="1">
      <c r="A540" s="10" t="s">
        <v>3792</v>
      </c>
      <c r="B540" s="10" t="s">
        <v>1469</v>
      </c>
      <c r="C540" s="52" t="s">
        <v>868</v>
      </c>
      <c r="D540" s="12"/>
      <c r="E540" s="13" t="s">
        <v>199</v>
      </c>
      <c r="F540" s="6" t="s">
        <v>199</v>
      </c>
      <c r="G540" s="6" t="str">
        <f ca="1">IFERROR(__xludf.DUMMYFUNCTION("CONCATENATE(B540,(VLOOKUP(C540,CATALOGOS!$F$2:$H$6,3,FALSE)),(VLOOKUP(T540,CATALOGOS!$J$2:$K$18,2,FALSE)),""-"",TO_TEXT(A540))"),"P13SO-0539")</f>
        <v>P13SO-0539</v>
      </c>
      <c r="H540" s="6" t="s">
        <v>3793</v>
      </c>
      <c r="I540" s="6" t="s">
        <v>3794</v>
      </c>
      <c r="J540" s="6" t="s">
        <v>3795</v>
      </c>
      <c r="K540" s="6" t="s">
        <v>3796</v>
      </c>
      <c r="L540" s="17"/>
      <c r="M540" s="17"/>
      <c r="N540" s="17" t="str">
        <f t="shared" si="2"/>
        <v>OK</v>
      </c>
      <c r="O540" s="17" t="s">
        <v>205</v>
      </c>
      <c r="P540" s="6" t="s">
        <v>3797</v>
      </c>
      <c r="Q540" s="17" t="s">
        <v>3798</v>
      </c>
      <c r="R540" s="17" t="s">
        <v>3799</v>
      </c>
      <c r="S540" s="179" t="s">
        <v>517</v>
      </c>
      <c r="T540" s="11" t="s">
        <v>868</v>
      </c>
      <c r="U540" s="22" t="s">
        <v>1665</v>
      </c>
      <c r="V540" s="22" t="s">
        <v>1665</v>
      </c>
      <c r="W540" s="22"/>
      <c r="X540" s="7"/>
      <c r="Y540" s="7"/>
      <c r="Z540" s="23"/>
      <c r="AA540" s="26"/>
    </row>
    <row r="541" spans="1:27" ht="15.75" customHeight="1">
      <c r="A541" s="10" t="s">
        <v>3800</v>
      </c>
      <c r="B541" s="10" t="s">
        <v>1469</v>
      </c>
      <c r="C541" s="52" t="s">
        <v>868</v>
      </c>
      <c r="D541" s="12"/>
      <c r="E541" s="13" t="s">
        <v>151</v>
      </c>
      <c r="F541" s="6" t="s">
        <v>152</v>
      </c>
      <c r="G541" s="6" t="str">
        <f ca="1">IFERROR(__xludf.DUMMYFUNCTION("CONCATENATE(B541,(VLOOKUP(C541,CATALOGOS!$F$2:$H$6,3,FALSE)),(VLOOKUP(T541,CATALOGOS!$J$2:$K$18,2,FALSE)),""-"",TO_TEXT(A541))"),"P13SO-0540")</f>
        <v>P13SO-0540</v>
      </c>
      <c r="H541" s="6" t="s">
        <v>3801</v>
      </c>
      <c r="I541" s="6" t="s">
        <v>3802</v>
      </c>
      <c r="J541" s="6" t="s">
        <v>3803</v>
      </c>
      <c r="K541" s="6" t="s">
        <v>3804</v>
      </c>
      <c r="L541" s="17"/>
      <c r="M541" s="17"/>
      <c r="N541" s="17" t="str">
        <f t="shared" si="2"/>
        <v>OK</v>
      </c>
      <c r="O541" s="17" t="s">
        <v>1220</v>
      </c>
      <c r="P541" s="6" t="s">
        <v>720</v>
      </c>
      <c r="Q541" s="17" t="s">
        <v>3805</v>
      </c>
      <c r="R541" s="10" t="s">
        <v>3806</v>
      </c>
      <c r="S541" s="173" t="s">
        <v>38</v>
      </c>
      <c r="T541" s="11" t="s">
        <v>868</v>
      </c>
      <c r="U541" s="22" t="s">
        <v>1665</v>
      </c>
      <c r="V541" s="22" t="s">
        <v>1665</v>
      </c>
      <c r="W541" s="22"/>
      <c r="X541" s="7"/>
      <c r="Y541" s="7"/>
      <c r="Z541" s="23"/>
      <c r="AA541" s="26"/>
    </row>
    <row r="542" spans="1:27" ht="15.75" customHeight="1">
      <c r="A542" s="10" t="s">
        <v>3807</v>
      </c>
      <c r="B542" s="10" t="s">
        <v>1469</v>
      </c>
      <c r="C542" s="52" t="s">
        <v>868</v>
      </c>
      <c r="D542" s="38"/>
      <c r="E542" s="13" t="s">
        <v>162</v>
      </c>
      <c r="F542" s="43" t="s">
        <v>285</v>
      </c>
      <c r="G542" s="6" t="str">
        <f ca="1">IFERROR(__xludf.DUMMYFUNCTION("CONCATENATE(B542,(VLOOKUP(C542,CATALOGOS!$F$2:$H$6,3,FALSE)),(VLOOKUP(T542,CATALOGOS!$J$2:$K$18,2,FALSE)),""-"",TO_TEXT(A542))"),"P13SO-0541")</f>
        <v>P13SO-0541</v>
      </c>
      <c r="H542" s="6" t="s">
        <v>3808</v>
      </c>
      <c r="I542" s="6" t="s">
        <v>3809</v>
      </c>
      <c r="J542" s="6" t="s">
        <v>3810</v>
      </c>
      <c r="K542" s="6" t="s">
        <v>3811</v>
      </c>
      <c r="L542" s="17"/>
      <c r="M542" s="17"/>
      <c r="N542" s="17" t="str">
        <f t="shared" si="2"/>
        <v>OK</v>
      </c>
      <c r="O542" s="17" t="s">
        <v>168</v>
      </c>
      <c r="P542" s="6" t="s">
        <v>169</v>
      </c>
      <c r="Q542" s="46" t="s">
        <v>3812</v>
      </c>
      <c r="R542" s="17" t="s">
        <v>3813</v>
      </c>
      <c r="S542" s="178" t="s">
        <v>8439</v>
      </c>
      <c r="T542" s="11" t="s">
        <v>868</v>
      </c>
      <c r="U542" s="32" t="s">
        <v>1665</v>
      </c>
      <c r="V542" s="32" t="s">
        <v>1665</v>
      </c>
      <c r="W542" s="32"/>
      <c r="X542" s="7"/>
      <c r="Y542" s="7"/>
      <c r="Z542" s="26"/>
      <c r="AA542" s="26"/>
    </row>
    <row r="543" spans="1:27" ht="15.75" customHeight="1">
      <c r="A543" s="10" t="s">
        <v>3814</v>
      </c>
      <c r="B543" s="10" t="s">
        <v>1469</v>
      </c>
      <c r="C543" s="52" t="s">
        <v>868</v>
      </c>
      <c r="D543" s="12"/>
      <c r="E543" s="13" t="s">
        <v>43</v>
      </c>
      <c r="F543" s="6" t="s">
        <v>1492</v>
      </c>
      <c r="G543" s="6" t="str">
        <f ca="1">IFERROR(__xludf.DUMMYFUNCTION("CONCATENATE(B543,(VLOOKUP(C543,CATALOGOS!$F$2:$H$6,3,FALSE)),(VLOOKUP(T543,CATALOGOS!$J$2:$K$18,2,FALSE)),""-"",TO_TEXT(A543))"),"P13SO-0542")</f>
        <v>P13SO-0542</v>
      </c>
      <c r="H543" s="6" t="s">
        <v>3815</v>
      </c>
      <c r="I543" s="6" t="s">
        <v>3816</v>
      </c>
      <c r="J543" s="6" t="s">
        <v>3817</v>
      </c>
      <c r="K543" s="6" t="s">
        <v>3818</v>
      </c>
      <c r="L543" s="17"/>
      <c r="M543" s="17"/>
      <c r="N543" s="17" t="str">
        <f t="shared" si="2"/>
        <v>OK</v>
      </c>
      <c r="O543" s="17" t="s">
        <v>406</v>
      </c>
      <c r="P543" s="6" t="s">
        <v>407</v>
      </c>
      <c r="Q543" s="17" t="s">
        <v>36</v>
      </c>
      <c r="R543" s="17" t="s">
        <v>3819</v>
      </c>
      <c r="S543" s="173" t="s">
        <v>38</v>
      </c>
      <c r="T543" s="11" t="s">
        <v>868</v>
      </c>
      <c r="U543" s="22" t="s">
        <v>3451</v>
      </c>
      <c r="V543" s="22" t="s">
        <v>3451</v>
      </c>
      <c r="W543" s="22"/>
      <c r="X543" s="7"/>
      <c r="Y543" s="7"/>
      <c r="Z543" s="23"/>
      <c r="AA543" s="26"/>
    </row>
    <row r="544" spans="1:27" ht="15.75" customHeight="1">
      <c r="A544" s="10" t="s">
        <v>3820</v>
      </c>
      <c r="B544" s="10" t="s">
        <v>1469</v>
      </c>
      <c r="C544" s="52" t="s">
        <v>868</v>
      </c>
      <c r="D544" s="12"/>
      <c r="E544" s="13" t="s">
        <v>43</v>
      </c>
      <c r="F544" s="6" t="s">
        <v>1492</v>
      </c>
      <c r="G544" s="6" t="str">
        <f ca="1">IFERROR(__xludf.DUMMYFUNCTION("CONCATENATE(B544,(VLOOKUP(C544,CATALOGOS!$F$2:$H$6,3,FALSE)),(VLOOKUP(T544,CATALOGOS!$J$2:$K$18,2,FALSE)),""-"",TO_TEXT(A544))"),"P13SO-0543")</f>
        <v>P13SO-0543</v>
      </c>
      <c r="H544" s="6" t="s">
        <v>3821</v>
      </c>
      <c r="I544" s="6" t="s">
        <v>3822</v>
      </c>
      <c r="J544" s="6" t="s">
        <v>3823</v>
      </c>
      <c r="K544" s="6" t="s">
        <v>3824</v>
      </c>
      <c r="L544" s="17"/>
      <c r="M544" s="17"/>
      <c r="N544" s="17" t="str">
        <f t="shared" si="2"/>
        <v>OK</v>
      </c>
      <c r="O544" s="17" t="s">
        <v>406</v>
      </c>
      <c r="P544" s="6" t="s">
        <v>407</v>
      </c>
      <c r="Q544" s="17" t="s">
        <v>36</v>
      </c>
      <c r="R544" s="17" t="s">
        <v>3825</v>
      </c>
      <c r="S544" s="173" t="s">
        <v>38</v>
      </c>
      <c r="T544" s="11" t="s">
        <v>868</v>
      </c>
      <c r="U544" s="22" t="s">
        <v>3451</v>
      </c>
      <c r="V544" s="22" t="s">
        <v>3451</v>
      </c>
      <c r="W544" s="22"/>
      <c r="X544" s="7"/>
      <c r="Y544" s="7"/>
      <c r="Z544" s="23"/>
      <c r="AA544" s="26"/>
    </row>
    <row r="545" spans="1:27" ht="15.75" customHeight="1">
      <c r="A545" s="10" t="s">
        <v>3826</v>
      </c>
      <c r="B545" s="10" t="s">
        <v>1469</v>
      </c>
      <c r="C545" s="52" t="s">
        <v>868</v>
      </c>
      <c r="D545" s="12"/>
      <c r="E545" s="13" t="s">
        <v>93</v>
      </c>
      <c r="F545" s="6" t="s">
        <v>3827</v>
      </c>
      <c r="G545" s="6" t="str">
        <f ca="1">IFERROR(__xludf.DUMMYFUNCTION("CONCATENATE(B545,(VLOOKUP(C545,CATALOGOS!$F$2:$H$6,3,FALSE)),(VLOOKUP(T545,CATALOGOS!$J$2:$K$18,2,FALSE)),""-"",TO_TEXT(A545))"),"P13SO-0544")</f>
        <v>P13SO-0544</v>
      </c>
      <c r="H545" s="6" t="s">
        <v>3828</v>
      </c>
      <c r="I545" s="6" t="s">
        <v>3829</v>
      </c>
      <c r="J545" s="6" t="s">
        <v>3830</v>
      </c>
      <c r="K545" s="6" t="s">
        <v>3831</v>
      </c>
      <c r="L545" s="17"/>
      <c r="M545" s="17"/>
      <c r="N545" s="17" t="str">
        <f t="shared" si="2"/>
        <v>OK</v>
      </c>
      <c r="O545" s="17" t="s">
        <v>35</v>
      </c>
      <c r="P545" s="6" t="s">
        <v>35</v>
      </c>
      <c r="Q545" s="17" t="s">
        <v>36</v>
      </c>
      <c r="R545" s="17" t="s">
        <v>3832</v>
      </c>
      <c r="S545" s="173" t="s">
        <v>38</v>
      </c>
      <c r="T545" s="11" t="s">
        <v>868</v>
      </c>
      <c r="U545" s="22" t="s">
        <v>3451</v>
      </c>
      <c r="V545" s="22" t="s">
        <v>3451</v>
      </c>
      <c r="W545" s="22"/>
      <c r="X545" s="7"/>
      <c r="Y545" s="7"/>
      <c r="Z545" s="23"/>
      <c r="AA545" s="26"/>
    </row>
    <row r="546" spans="1:27" ht="15.75" customHeight="1">
      <c r="A546" s="10" t="s">
        <v>3833</v>
      </c>
      <c r="B546" s="10" t="s">
        <v>1469</v>
      </c>
      <c r="C546" s="52" t="s">
        <v>868</v>
      </c>
      <c r="D546" s="38"/>
      <c r="E546" s="13" t="s">
        <v>93</v>
      </c>
      <c r="F546" s="6" t="s">
        <v>3834</v>
      </c>
      <c r="G546" s="6" t="str">
        <f ca="1">IFERROR(__xludf.DUMMYFUNCTION("CONCATENATE(B546,(VLOOKUP(C546,CATALOGOS!$F$2:$H$6,3,FALSE)),(VLOOKUP(T546,CATALOGOS!$J$2:$K$18,2,FALSE)),""-"",TO_TEXT(A546))"),"P13SO-0545")</f>
        <v>P13SO-0545</v>
      </c>
      <c r="H546" s="6" t="s">
        <v>3835</v>
      </c>
      <c r="I546" s="6" t="s">
        <v>3836</v>
      </c>
      <c r="J546" s="6" t="s">
        <v>3837</v>
      </c>
      <c r="K546" s="6" t="s">
        <v>3838</v>
      </c>
      <c r="L546" s="17"/>
      <c r="M546" s="17"/>
      <c r="N546" s="17" t="str">
        <f t="shared" si="2"/>
        <v>OK</v>
      </c>
      <c r="O546" s="17" t="s">
        <v>35</v>
      </c>
      <c r="P546" s="6" t="s">
        <v>35</v>
      </c>
      <c r="Q546" s="46" t="s">
        <v>36</v>
      </c>
      <c r="R546" s="17" t="s">
        <v>3839</v>
      </c>
      <c r="S546" s="173" t="s">
        <v>38</v>
      </c>
      <c r="T546" s="11" t="s">
        <v>868</v>
      </c>
      <c r="U546" s="32" t="s">
        <v>3451</v>
      </c>
      <c r="V546" s="32" t="s">
        <v>3451</v>
      </c>
      <c r="W546" s="32"/>
      <c r="X546" s="7"/>
      <c r="Y546" s="7"/>
      <c r="Z546" s="26"/>
      <c r="AA546" s="26"/>
    </row>
    <row r="547" spans="1:27" ht="15.75" customHeight="1">
      <c r="A547" s="10" t="s">
        <v>3841</v>
      </c>
      <c r="B547" s="10" t="s">
        <v>1469</v>
      </c>
      <c r="C547" s="52" t="s">
        <v>868</v>
      </c>
      <c r="D547" s="38"/>
      <c r="E547" s="13" t="s">
        <v>184</v>
      </c>
      <c r="F547" s="6" t="s">
        <v>3842</v>
      </c>
      <c r="G547" s="6" t="str">
        <f ca="1">IFERROR(__xludf.DUMMYFUNCTION("CONCATENATE(B547,(VLOOKUP(C547,CATALOGOS!$F$2:$H$6,3,FALSE)),(VLOOKUP(T547,CATALOGOS!$J$2:$K$18,2,FALSE)),""-"",TO_TEXT(A547))"),"P13IR-0546")</f>
        <v>P13IR-0546</v>
      </c>
      <c r="H547" s="6" t="s">
        <v>3843</v>
      </c>
      <c r="I547" s="6" t="s">
        <v>3844</v>
      </c>
      <c r="J547" s="6" t="s">
        <v>3845</v>
      </c>
      <c r="K547" s="6" t="s">
        <v>3846</v>
      </c>
      <c r="L547" s="17"/>
      <c r="M547" s="17"/>
      <c r="N547" s="17" t="str">
        <f t="shared" si="2"/>
        <v>OK</v>
      </c>
      <c r="O547" s="17" t="s">
        <v>35</v>
      </c>
      <c r="P547" s="6" t="s">
        <v>35</v>
      </c>
      <c r="Q547" s="46" t="s">
        <v>36</v>
      </c>
      <c r="R547" s="17" t="s">
        <v>3847</v>
      </c>
      <c r="S547" s="173" t="s">
        <v>38</v>
      </c>
      <c r="T547" s="11" t="s">
        <v>2381</v>
      </c>
      <c r="U547" s="10" t="s">
        <v>3848</v>
      </c>
      <c r="V547" s="10" t="s">
        <v>3848</v>
      </c>
      <c r="W547" s="10"/>
      <c r="X547" s="7"/>
      <c r="Y547" s="7"/>
      <c r="Z547" s="26"/>
      <c r="AA547" s="26"/>
    </row>
    <row r="548" spans="1:27" ht="15.75" customHeight="1">
      <c r="A548" s="10" t="s">
        <v>3849</v>
      </c>
      <c r="B548" s="10" t="s">
        <v>1469</v>
      </c>
      <c r="C548" s="52" t="s">
        <v>868</v>
      </c>
      <c r="D548" s="12"/>
      <c r="E548" s="13" t="s">
        <v>210</v>
      </c>
      <c r="F548" s="6" t="s">
        <v>210</v>
      </c>
      <c r="G548" s="6" t="str">
        <f ca="1">IFERROR(__xludf.DUMMYFUNCTION("CONCATENATE(B548,(VLOOKUP(C548,CATALOGOS!$F$2:$H$6,3,FALSE)),(VLOOKUP(T548,CATALOGOS!$J$2:$K$18,2,FALSE)),""-"",TO_TEXT(A548))"),"P13SO-0547")</f>
        <v>P13SO-0547</v>
      </c>
      <c r="H548" s="6" t="s">
        <v>3850</v>
      </c>
      <c r="I548" s="6" t="s">
        <v>3851</v>
      </c>
      <c r="J548" s="36"/>
      <c r="K548" s="6" t="s">
        <v>3852</v>
      </c>
      <c r="L548" s="17"/>
      <c r="M548" s="17"/>
      <c r="N548" s="17" t="str">
        <f t="shared" si="2"/>
        <v>OK</v>
      </c>
      <c r="O548" s="17" t="s">
        <v>216</v>
      </c>
      <c r="P548" s="6" t="s">
        <v>217</v>
      </c>
      <c r="Q548" s="6" t="s">
        <v>36</v>
      </c>
      <c r="R548" s="10" t="s">
        <v>3853</v>
      </c>
      <c r="S548" s="173" t="s">
        <v>38</v>
      </c>
      <c r="T548" s="11" t="s">
        <v>868</v>
      </c>
      <c r="U548" s="22" t="s">
        <v>3451</v>
      </c>
      <c r="V548" s="22" t="s">
        <v>3451</v>
      </c>
      <c r="W548" s="22"/>
      <c r="X548" s="7"/>
      <c r="Y548" s="7"/>
      <c r="Z548" s="26"/>
      <c r="AA548" s="26"/>
    </row>
    <row r="549" spans="1:27" ht="15.75" customHeight="1">
      <c r="A549" s="10" t="s">
        <v>3854</v>
      </c>
      <c r="B549" s="10" t="s">
        <v>1469</v>
      </c>
      <c r="C549" s="52" t="s">
        <v>868</v>
      </c>
      <c r="D549" s="12"/>
      <c r="E549" s="13" t="s">
        <v>93</v>
      </c>
      <c r="F549" s="6" t="s">
        <v>3855</v>
      </c>
      <c r="G549" s="6" t="str">
        <f ca="1">IFERROR(__xludf.DUMMYFUNCTION("CONCATENATE(B549,(VLOOKUP(C549,CATALOGOS!$F$2:$H$6,3,FALSE)),(VLOOKUP(T549,CATALOGOS!$J$2:$K$18,2,FALSE)),""-"",TO_TEXT(A549))"),"P13LP-0548")</f>
        <v>P13LP-0548</v>
      </c>
      <c r="H549" s="6" t="s">
        <v>3856</v>
      </c>
      <c r="I549" s="6" t="s">
        <v>3857</v>
      </c>
      <c r="J549" s="6" t="s">
        <v>3858</v>
      </c>
      <c r="K549" s="6" t="s">
        <v>3859</v>
      </c>
      <c r="L549" s="17"/>
      <c r="M549" s="17"/>
      <c r="N549" s="17" t="str">
        <f t="shared" si="2"/>
        <v>OK</v>
      </c>
      <c r="O549" s="17" t="s">
        <v>35</v>
      </c>
      <c r="P549" s="6" t="s">
        <v>35</v>
      </c>
      <c r="Q549" s="17" t="s">
        <v>36</v>
      </c>
      <c r="R549" s="17" t="s">
        <v>3860</v>
      </c>
      <c r="S549" s="173" t="s">
        <v>38</v>
      </c>
      <c r="T549" s="11" t="s">
        <v>2328</v>
      </c>
      <c r="U549" s="22" t="s">
        <v>3450</v>
      </c>
      <c r="V549" s="22" t="s">
        <v>3450</v>
      </c>
      <c r="W549" s="22"/>
      <c r="X549" s="7"/>
      <c r="Y549" s="7"/>
      <c r="Z549" s="23"/>
      <c r="AA549" s="26"/>
    </row>
    <row r="550" spans="1:27" ht="15.75" customHeight="1">
      <c r="A550" s="10" t="s">
        <v>3861</v>
      </c>
      <c r="B550" s="10" t="s">
        <v>1469</v>
      </c>
      <c r="C550" s="52" t="s">
        <v>868</v>
      </c>
      <c r="D550" s="12"/>
      <c r="E550" s="13" t="s">
        <v>378</v>
      </c>
      <c r="F550" s="6" t="s">
        <v>3862</v>
      </c>
      <c r="G550" s="6" t="str">
        <f ca="1">IFERROR(__xludf.DUMMYFUNCTION("CONCATENATE(B550,(VLOOKUP(C550,CATALOGOS!$F$2:$H$6,3,FALSE)),(VLOOKUP(T550,CATALOGOS!$J$2:$K$18,2,FALSE)),""-"",TO_TEXT(A550))"),"P13LP-0549")</f>
        <v>P13LP-0549</v>
      </c>
      <c r="H550" s="6" t="s">
        <v>3863</v>
      </c>
      <c r="I550" s="6" t="s">
        <v>3864</v>
      </c>
      <c r="J550" s="36"/>
      <c r="K550" s="6" t="s">
        <v>141</v>
      </c>
      <c r="L550" s="17"/>
      <c r="M550" s="17"/>
      <c r="N550" s="17" t="str">
        <f t="shared" si="2"/>
        <v>REPETIDO</v>
      </c>
      <c r="O550" s="17" t="s">
        <v>35</v>
      </c>
      <c r="P550" s="6" t="s">
        <v>35</v>
      </c>
      <c r="Q550" s="6" t="s">
        <v>36</v>
      </c>
      <c r="R550" s="10" t="s">
        <v>3865</v>
      </c>
      <c r="S550" s="173" t="s">
        <v>38</v>
      </c>
      <c r="T550" s="11" t="s">
        <v>2328</v>
      </c>
      <c r="U550" s="22" t="s">
        <v>3450</v>
      </c>
      <c r="V550" s="22" t="s">
        <v>3450</v>
      </c>
      <c r="W550" s="22"/>
      <c r="X550" s="7"/>
      <c r="Y550" s="7"/>
      <c r="Z550" s="23"/>
      <c r="AA550" s="26"/>
    </row>
    <row r="551" spans="1:27" ht="15.75" customHeight="1">
      <c r="A551" s="10" t="s">
        <v>3866</v>
      </c>
      <c r="B551" s="10" t="s">
        <v>1469</v>
      </c>
      <c r="C551" s="52" t="s">
        <v>868</v>
      </c>
      <c r="D551" s="12"/>
      <c r="E551" s="13" t="s">
        <v>378</v>
      </c>
      <c r="F551" s="6" t="s">
        <v>3867</v>
      </c>
      <c r="G551" s="6" t="str">
        <f ca="1">IFERROR(__xludf.DUMMYFUNCTION("CONCATENATE(B551,(VLOOKUP(C551,CATALOGOS!$F$2:$H$6,3,FALSE)),(VLOOKUP(T551,CATALOGOS!$J$2:$K$18,2,FALSE)),""-"",TO_TEXT(A551))"),"P13LP-0550")</f>
        <v>P13LP-0550</v>
      </c>
      <c r="H551" s="6" t="s">
        <v>3868</v>
      </c>
      <c r="I551" s="6" t="s">
        <v>3869</v>
      </c>
      <c r="J551" s="6" t="s">
        <v>3870</v>
      </c>
      <c r="K551" s="6" t="s">
        <v>141</v>
      </c>
      <c r="L551" s="17"/>
      <c r="M551" s="17"/>
      <c r="N551" s="17" t="str">
        <f t="shared" si="2"/>
        <v>REPETIDO</v>
      </c>
      <c r="O551" s="17" t="s">
        <v>35</v>
      </c>
      <c r="P551" s="6" t="s">
        <v>35</v>
      </c>
      <c r="Q551" s="17" t="s">
        <v>36</v>
      </c>
      <c r="R551" s="17" t="s">
        <v>3871</v>
      </c>
      <c r="S551" s="173" t="s">
        <v>38</v>
      </c>
      <c r="T551" s="11" t="s">
        <v>2328</v>
      </c>
      <c r="U551" s="22" t="s">
        <v>3450</v>
      </c>
      <c r="V551" s="22" t="s">
        <v>3450</v>
      </c>
      <c r="W551" s="22"/>
      <c r="X551" s="7"/>
      <c r="Y551" s="7"/>
      <c r="Z551" s="23"/>
      <c r="AA551" s="26"/>
    </row>
    <row r="552" spans="1:27" ht="15.75" customHeight="1">
      <c r="A552" s="10" t="s">
        <v>3872</v>
      </c>
      <c r="B552" s="10" t="s">
        <v>1469</v>
      </c>
      <c r="C552" s="52" t="s">
        <v>868</v>
      </c>
      <c r="D552" s="12"/>
      <c r="E552" s="13" t="s">
        <v>378</v>
      </c>
      <c r="F552" s="6" t="s">
        <v>3867</v>
      </c>
      <c r="G552" s="6" t="str">
        <f ca="1">IFERROR(__xludf.DUMMYFUNCTION("CONCATENATE(B552,(VLOOKUP(C552,CATALOGOS!$F$2:$H$6,3,FALSE)),(VLOOKUP(T552,CATALOGOS!$J$2:$K$18,2,FALSE)),""-"",TO_TEXT(A552))"),"P13LP-0551")</f>
        <v>P13LP-0551</v>
      </c>
      <c r="H552" s="6" t="s">
        <v>3873</v>
      </c>
      <c r="I552" s="6" t="s">
        <v>3874</v>
      </c>
      <c r="J552" s="6" t="s">
        <v>3875</v>
      </c>
      <c r="K552" s="43" t="s">
        <v>3876</v>
      </c>
      <c r="L552" s="17"/>
      <c r="M552" s="17"/>
      <c r="N552" s="17" t="str">
        <f t="shared" si="2"/>
        <v>OK</v>
      </c>
      <c r="O552" s="17" t="s">
        <v>35</v>
      </c>
      <c r="P552" s="6" t="s">
        <v>35</v>
      </c>
      <c r="Q552" s="17" t="s">
        <v>36</v>
      </c>
      <c r="R552" s="17" t="s">
        <v>3877</v>
      </c>
      <c r="S552" s="173" t="s">
        <v>38</v>
      </c>
      <c r="T552" s="11" t="s">
        <v>2328</v>
      </c>
      <c r="U552" s="22" t="s">
        <v>3450</v>
      </c>
      <c r="V552" s="22" t="s">
        <v>3450</v>
      </c>
      <c r="W552" s="22"/>
      <c r="X552" s="7"/>
      <c r="Y552" s="7"/>
      <c r="Z552" s="23"/>
      <c r="AA552" s="26"/>
    </row>
    <row r="553" spans="1:27" ht="15.75" customHeight="1">
      <c r="A553" s="10" t="s">
        <v>3878</v>
      </c>
      <c r="B553" s="10" t="s">
        <v>1469</v>
      </c>
      <c r="C553" s="52" t="s">
        <v>868</v>
      </c>
      <c r="D553" s="12"/>
      <c r="E553" s="13" t="s">
        <v>184</v>
      </c>
      <c r="F553" s="6" t="s">
        <v>3879</v>
      </c>
      <c r="G553" s="6" t="str">
        <f ca="1">IFERROR(__xludf.DUMMYFUNCTION("CONCATENATE(B553,(VLOOKUP(C553,CATALOGOS!$F$2:$H$6,3,FALSE)),(VLOOKUP(T553,CATALOGOS!$J$2:$K$18,2,FALSE)),""-"",TO_TEXT(A553))"),"P13LP-0552")</f>
        <v>P13LP-0552</v>
      </c>
      <c r="H553" s="6" t="s">
        <v>3880</v>
      </c>
      <c r="I553" s="6" t="s">
        <v>3881</v>
      </c>
      <c r="J553" s="6" t="s">
        <v>3882</v>
      </c>
      <c r="K553" s="6" t="s">
        <v>3883</v>
      </c>
      <c r="L553" s="17"/>
      <c r="M553" s="17"/>
      <c r="N553" s="17" t="str">
        <f t="shared" si="2"/>
        <v>OK</v>
      </c>
      <c r="O553" s="17" t="s">
        <v>35</v>
      </c>
      <c r="P553" s="6" t="s">
        <v>35</v>
      </c>
      <c r="Q553" s="17" t="s">
        <v>36</v>
      </c>
      <c r="R553" s="17" t="s">
        <v>3884</v>
      </c>
      <c r="S553" s="173" t="s">
        <v>38</v>
      </c>
      <c r="T553" s="11" t="s">
        <v>2328</v>
      </c>
      <c r="U553" s="22" t="s">
        <v>3450</v>
      </c>
      <c r="V553" s="22" t="s">
        <v>3450</v>
      </c>
      <c r="W553" s="22"/>
      <c r="X553" s="7"/>
      <c r="Y553" s="7"/>
      <c r="Z553" s="23"/>
      <c r="AA553" s="26"/>
    </row>
    <row r="554" spans="1:27" ht="15.75" customHeight="1">
      <c r="A554" s="10" t="s">
        <v>3885</v>
      </c>
      <c r="B554" s="10" t="s">
        <v>1469</v>
      </c>
      <c r="C554" s="52" t="s">
        <v>868</v>
      </c>
      <c r="D554" s="12"/>
      <c r="E554" s="13" t="s">
        <v>93</v>
      </c>
      <c r="F554" s="6" t="s">
        <v>3886</v>
      </c>
      <c r="G554" s="6" t="str">
        <f ca="1">IFERROR(__xludf.DUMMYFUNCTION("CONCATENATE(B554,(VLOOKUP(C554,CATALOGOS!$F$2:$H$6,3,FALSE)),(VLOOKUP(T554,CATALOGOS!$J$2:$K$18,2,FALSE)),""-"",TO_TEXT(A554))"),"P13LP-0553")</f>
        <v>P13LP-0553</v>
      </c>
      <c r="H554" s="6" t="s">
        <v>3887</v>
      </c>
      <c r="I554" s="6" t="s">
        <v>3888</v>
      </c>
      <c r="J554" s="6" t="s">
        <v>3889</v>
      </c>
      <c r="K554" s="6" t="s">
        <v>3890</v>
      </c>
      <c r="L554" s="17"/>
      <c r="M554" s="17"/>
      <c r="N554" s="17" t="str">
        <f t="shared" si="2"/>
        <v>OK</v>
      </c>
      <c r="O554" s="17" t="s">
        <v>35</v>
      </c>
      <c r="P554" s="6" t="s">
        <v>35</v>
      </c>
      <c r="Q554" s="17" t="s">
        <v>36</v>
      </c>
      <c r="R554" s="17" t="s">
        <v>3891</v>
      </c>
      <c r="S554" s="173" t="s">
        <v>38</v>
      </c>
      <c r="T554" s="11" t="s">
        <v>2328</v>
      </c>
      <c r="U554" s="22" t="s">
        <v>3450</v>
      </c>
      <c r="V554" s="22" t="s">
        <v>3450</v>
      </c>
      <c r="W554" s="22"/>
      <c r="X554" s="7"/>
      <c r="Y554" s="7"/>
      <c r="Z554" s="23"/>
      <c r="AA554" s="26"/>
    </row>
    <row r="555" spans="1:27" ht="15.75" customHeight="1">
      <c r="A555" s="10" t="s">
        <v>3892</v>
      </c>
      <c r="B555" s="10" t="s">
        <v>1469</v>
      </c>
      <c r="C555" s="52" t="s">
        <v>868</v>
      </c>
      <c r="D555" s="12"/>
      <c r="E555" s="13" t="s">
        <v>93</v>
      </c>
      <c r="F555" s="6" t="s">
        <v>3893</v>
      </c>
      <c r="G555" s="6" t="str">
        <f ca="1">IFERROR(__xludf.DUMMYFUNCTION("CONCATENATE(B555,(VLOOKUP(C555,CATALOGOS!$F$2:$H$6,3,FALSE)),(VLOOKUP(T555,CATALOGOS!$J$2:$K$18,2,FALSE)),""-"",TO_TEXT(A555))"),"P13LP-0554")</f>
        <v>P13LP-0554</v>
      </c>
      <c r="H555" s="6" t="s">
        <v>3894</v>
      </c>
      <c r="I555" s="6" t="s">
        <v>3895</v>
      </c>
      <c r="J555" s="6" t="s">
        <v>3896</v>
      </c>
      <c r="K555" s="6" t="s">
        <v>3897</v>
      </c>
      <c r="L555" s="17"/>
      <c r="M555" s="17"/>
      <c r="N555" s="17" t="str">
        <f t="shared" si="2"/>
        <v>OK</v>
      </c>
      <c r="O555" s="17" t="s">
        <v>35</v>
      </c>
      <c r="P555" s="6" t="s">
        <v>35</v>
      </c>
      <c r="Q555" s="17" t="s">
        <v>36</v>
      </c>
      <c r="R555" s="17" t="s">
        <v>3898</v>
      </c>
      <c r="S555" s="173" t="s">
        <v>38</v>
      </c>
      <c r="T555" s="11" t="s">
        <v>2328</v>
      </c>
      <c r="U555" s="22" t="s">
        <v>3450</v>
      </c>
      <c r="V555" s="22" t="s">
        <v>3450</v>
      </c>
      <c r="W555" s="22"/>
      <c r="X555" s="7"/>
      <c r="Y555" s="7"/>
      <c r="Z555" s="23"/>
      <c r="AA555" s="26"/>
    </row>
    <row r="556" spans="1:27" ht="15.75" customHeight="1">
      <c r="A556" s="10" t="s">
        <v>3899</v>
      </c>
      <c r="B556" s="10" t="s">
        <v>1469</v>
      </c>
      <c r="C556" s="52" t="s">
        <v>868</v>
      </c>
      <c r="D556" s="12"/>
      <c r="E556" s="13" t="s">
        <v>43</v>
      </c>
      <c r="F556" s="6" t="s">
        <v>1850</v>
      </c>
      <c r="G556" s="6" t="str">
        <f ca="1">IFERROR(__xludf.DUMMYFUNCTION("CONCATENATE(B556,(VLOOKUP(C556,CATALOGOS!$F$2:$H$6,3,FALSE)),(VLOOKUP(T556,CATALOGOS!$J$2:$K$18,2,FALSE)),""-"",TO_TEXT(A556))"),"P13LP-0555")</f>
        <v>P13LP-0555</v>
      </c>
      <c r="H556" s="6" t="s">
        <v>3900</v>
      </c>
      <c r="I556" s="6" t="s">
        <v>3901</v>
      </c>
      <c r="J556" s="6" t="s">
        <v>3902</v>
      </c>
      <c r="K556" s="6" t="s">
        <v>3903</v>
      </c>
      <c r="L556" s="17"/>
      <c r="M556" s="17"/>
      <c r="N556" s="17" t="str">
        <f t="shared" si="2"/>
        <v>OK</v>
      </c>
      <c r="O556" s="17" t="s">
        <v>49</v>
      </c>
      <c r="P556" s="6">
        <v>3358</v>
      </c>
      <c r="Q556" s="17" t="s">
        <v>36</v>
      </c>
      <c r="R556" s="10" t="s">
        <v>3904</v>
      </c>
      <c r="S556" s="173" t="s">
        <v>38</v>
      </c>
      <c r="T556" s="11" t="s">
        <v>2328</v>
      </c>
      <c r="U556" s="22" t="s">
        <v>3450</v>
      </c>
      <c r="V556" s="22" t="s">
        <v>3450</v>
      </c>
      <c r="W556" s="22"/>
      <c r="X556" s="7"/>
      <c r="Y556" s="7"/>
      <c r="Z556" s="23"/>
      <c r="AA556" s="26"/>
    </row>
    <row r="557" spans="1:27" ht="15.75" customHeight="1">
      <c r="A557" s="10" t="s">
        <v>3905</v>
      </c>
      <c r="B557" s="10" t="s">
        <v>1469</v>
      </c>
      <c r="C557" s="52" t="s">
        <v>868</v>
      </c>
      <c r="D557" s="12"/>
      <c r="E557" s="13" t="s">
        <v>62</v>
      </c>
      <c r="F557" s="6" t="s">
        <v>3906</v>
      </c>
      <c r="G557" s="6" t="str">
        <f ca="1">IFERROR(__xludf.DUMMYFUNCTION("CONCATENATE(B557,(VLOOKUP(C557,CATALOGOS!$F$2:$H$6,3,FALSE)),(VLOOKUP(T557,CATALOGOS!$J$2:$K$18,2,FALSE)),""-"",TO_TEXT(A557))"),"P13LP-0556")</f>
        <v>P13LP-0556</v>
      </c>
      <c r="H557" s="6" t="s">
        <v>3907</v>
      </c>
      <c r="I557" s="6" t="s">
        <v>3908</v>
      </c>
      <c r="J557" s="6" t="s">
        <v>3909</v>
      </c>
      <c r="K557" s="6" t="s">
        <v>3910</v>
      </c>
      <c r="L557" s="17"/>
      <c r="M557" s="17"/>
      <c r="N557" s="17" t="str">
        <f t="shared" si="2"/>
        <v>OK</v>
      </c>
      <c r="O557" s="17" t="s">
        <v>35</v>
      </c>
      <c r="P557" s="6" t="s">
        <v>35</v>
      </c>
      <c r="Q557" s="17" t="s">
        <v>36</v>
      </c>
      <c r="R557" s="17" t="s">
        <v>3911</v>
      </c>
      <c r="S557" s="173" t="s">
        <v>38</v>
      </c>
      <c r="T557" s="11" t="s">
        <v>2328</v>
      </c>
      <c r="U557" s="22" t="s">
        <v>3450</v>
      </c>
      <c r="V557" s="22" t="s">
        <v>3450</v>
      </c>
      <c r="W557" s="22"/>
      <c r="X557" s="7"/>
      <c r="Y557" s="7"/>
      <c r="Z557" s="23"/>
      <c r="AA557" s="26"/>
    </row>
    <row r="558" spans="1:27" ht="15.75" customHeight="1">
      <c r="A558" s="10" t="s">
        <v>3912</v>
      </c>
      <c r="B558" s="10" t="s">
        <v>1469</v>
      </c>
      <c r="C558" s="52" t="s">
        <v>868</v>
      </c>
      <c r="D558" s="12"/>
      <c r="E558" s="13" t="s">
        <v>29</v>
      </c>
      <c r="F558" s="6" t="s">
        <v>29</v>
      </c>
      <c r="G558" s="6" t="str">
        <f ca="1">IFERROR(__xludf.DUMMYFUNCTION("CONCATENATE(B558,(VLOOKUP(C558,CATALOGOS!$F$2:$H$6,3,FALSE)),(VLOOKUP(T558,CATALOGOS!$J$2:$K$18,2,FALSE)),""-"",TO_TEXT(A558))"),"P13LP-0557")</f>
        <v>P13LP-0557</v>
      </c>
      <c r="H558" s="6" t="s">
        <v>3913</v>
      </c>
      <c r="I558" s="54"/>
      <c r="J558" s="6" t="s">
        <v>3914</v>
      </c>
      <c r="K558" s="6" t="s">
        <v>3915</v>
      </c>
      <c r="L558" s="17"/>
      <c r="M558" s="17"/>
      <c r="N558" s="17" t="str">
        <f t="shared" si="2"/>
        <v>OK</v>
      </c>
      <c r="O558" s="17" t="s">
        <v>35</v>
      </c>
      <c r="P558" s="6" t="s">
        <v>35</v>
      </c>
      <c r="Q558" s="17" t="s">
        <v>36</v>
      </c>
      <c r="R558" s="17" t="s">
        <v>3916</v>
      </c>
      <c r="S558" s="173" t="s">
        <v>38</v>
      </c>
      <c r="T558" s="11" t="s">
        <v>2328</v>
      </c>
      <c r="U558" s="22" t="s">
        <v>3450</v>
      </c>
      <c r="V558" s="22" t="s">
        <v>3450</v>
      </c>
      <c r="W558" s="22"/>
      <c r="X558" s="7"/>
      <c r="Y558" s="7"/>
      <c r="Z558" s="23"/>
      <c r="AA558" s="26"/>
    </row>
    <row r="559" spans="1:27" ht="15.75" customHeight="1">
      <c r="A559" s="10" t="s">
        <v>3917</v>
      </c>
      <c r="B559" s="10" t="s">
        <v>1469</v>
      </c>
      <c r="C559" s="52" t="s">
        <v>868</v>
      </c>
      <c r="D559" s="12"/>
      <c r="E559" s="13" t="s">
        <v>3521</v>
      </c>
      <c r="F559" s="6" t="s">
        <v>1510</v>
      </c>
      <c r="G559" s="6" t="str">
        <f ca="1">IFERROR(__xludf.DUMMYFUNCTION("CONCATENATE(B559,(VLOOKUP(C559,CATALOGOS!$F$2:$H$6,3,FALSE)),(VLOOKUP(T559,CATALOGOS!$J$2:$K$18,2,FALSE)),""-"",TO_TEXT(A559))"),"P13LP-0558")</f>
        <v>P13LP-0558</v>
      </c>
      <c r="H559" s="6" t="s">
        <v>3918</v>
      </c>
      <c r="I559" s="54"/>
      <c r="J559" s="6" t="s">
        <v>3919</v>
      </c>
      <c r="K559" s="6" t="s">
        <v>3920</v>
      </c>
      <c r="L559" s="17"/>
      <c r="M559" s="17"/>
      <c r="N559" s="17" t="str">
        <f t="shared" si="2"/>
        <v>OK</v>
      </c>
      <c r="O559" s="17" t="s">
        <v>35</v>
      </c>
      <c r="P559" s="6" t="s">
        <v>35</v>
      </c>
      <c r="Q559" s="17" t="s">
        <v>36</v>
      </c>
      <c r="R559" s="17" t="s">
        <v>3921</v>
      </c>
      <c r="S559" s="173" t="s">
        <v>38</v>
      </c>
      <c r="T559" s="11" t="s">
        <v>2328</v>
      </c>
      <c r="U559" s="22" t="s">
        <v>3450</v>
      </c>
      <c r="V559" s="22" t="s">
        <v>3450</v>
      </c>
      <c r="W559" s="22"/>
      <c r="X559" s="7"/>
      <c r="Y559" s="7"/>
      <c r="Z559" s="23"/>
      <c r="AA559" s="26"/>
    </row>
    <row r="560" spans="1:27" ht="15.75" customHeight="1">
      <c r="A560" s="10" t="s">
        <v>3922</v>
      </c>
      <c r="B560" s="10" t="s">
        <v>1469</v>
      </c>
      <c r="C560" s="52" t="s">
        <v>868</v>
      </c>
      <c r="D560" s="12"/>
      <c r="E560" s="13" t="s">
        <v>116</v>
      </c>
      <c r="F560" s="6" t="s">
        <v>8440</v>
      </c>
      <c r="G560" s="6" t="str">
        <f ca="1">IFERROR(__xludf.DUMMYFUNCTION("CONCATENATE(B560,(VLOOKUP(C560,CATALOGOS!$F$2:$H$6,3,FALSE)),(VLOOKUP(T560,CATALOGOS!$J$2:$K$18,2,FALSE)),""-"",TO_TEXT(A560))"),"P13LP-0559")</f>
        <v>P13LP-0559</v>
      </c>
      <c r="H560" s="6" t="s">
        <v>3924</v>
      </c>
      <c r="I560" s="6" t="s">
        <v>3925</v>
      </c>
      <c r="J560" s="6" t="s">
        <v>3926</v>
      </c>
      <c r="K560" s="6" t="s">
        <v>3927</v>
      </c>
      <c r="L560" s="17"/>
      <c r="M560" s="17"/>
      <c r="N560" s="17" t="str">
        <f t="shared" si="2"/>
        <v>OK</v>
      </c>
      <c r="O560" s="17" t="s">
        <v>35</v>
      </c>
      <c r="P560" s="6" t="s">
        <v>35</v>
      </c>
      <c r="Q560" s="17" t="s">
        <v>36</v>
      </c>
      <c r="R560" s="17" t="s">
        <v>3928</v>
      </c>
      <c r="S560" s="173" t="s">
        <v>38</v>
      </c>
      <c r="T560" s="11" t="s">
        <v>2328</v>
      </c>
      <c r="U560" s="22" t="s">
        <v>3450</v>
      </c>
      <c r="V560" s="22" t="s">
        <v>3450</v>
      </c>
      <c r="W560" s="22"/>
      <c r="X560" s="7"/>
      <c r="Y560" s="7"/>
      <c r="Z560" s="23"/>
      <c r="AA560" s="26"/>
    </row>
    <row r="561" spans="1:27" ht="15.75" customHeight="1">
      <c r="A561" s="10" t="s">
        <v>3929</v>
      </c>
      <c r="B561" s="10" t="s">
        <v>1469</v>
      </c>
      <c r="C561" s="52" t="s">
        <v>868</v>
      </c>
      <c r="D561" s="12"/>
      <c r="E561" s="13" t="s">
        <v>1240</v>
      </c>
      <c r="F561" s="43" t="s">
        <v>278</v>
      </c>
      <c r="G561" s="6" t="str">
        <f ca="1">IFERROR(__xludf.DUMMYFUNCTION("CONCATENATE(B561,(VLOOKUP(C561,CATALOGOS!$F$2:$H$6,3,FALSE)),(VLOOKUP(T561,CATALOGOS!$J$2:$K$18,2,FALSE)),""-"",TO_TEXT(A561))"),"P13LP-0560")</f>
        <v>P13LP-0560</v>
      </c>
      <c r="H561" s="6" t="s">
        <v>3931</v>
      </c>
      <c r="I561" s="6" t="s">
        <v>3932</v>
      </c>
      <c r="J561" s="6" t="s">
        <v>3933</v>
      </c>
      <c r="K561" s="6" t="s">
        <v>3934</v>
      </c>
      <c r="L561" s="17"/>
      <c r="M561" s="17"/>
      <c r="N561" s="17" t="str">
        <f t="shared" si="2"/>
        <v>OK</v>
      </c>
      <c r="O561" s="35" t="s">
        <v>35</v>
      </c>
      <c r="P561" s="6" t="s">
        <v>35</v>
      </c>
      <c r="Q561" s="17" t="s">
        <v>36</v>
      </c>
      <c r="R561" s="17" t="s">
        <v>3935</v>
      </c>
      <c r="S561" s="173" t="s">
        <v>38</v>
      </c>
      <c r="T561" s="11" t="s">
        <v>2328</v>
      </c>
      <c r="U561" s="22" t="s">
        <v>3450</v>
      </c>
      <c r="V561" s="22" t="s">
        <v>3450</v>
      </c>
      <c r="W561" s="22"/>
      <c r="X561" s="7"/>
      <c r="Y561" s="7"/>
      <c r="Z561" s="23"/>
      <c r="AA561" s="26"/>
    </row>
    <row r="562" spans="1:27" ht="15.75" customHeight="1">
      <c r="A562" s="10" t="s">
        <v>3936</v>
      </c>
      <c r="B562" s="10" t="s">
        <v>1469</v>
      </c>
      <c r="C562" s="52" t="s">
        <v>868</v>
      </c>
      <c r="D562" s="12"/>
      <c r="E562" s="13" t="s">
        <v>1240</v>
      </c>
      <c r="F562" s="43" t="s">
        <v>278</v>
      </c>
      <c r="G562" s="6" t="str">
        <f ca="1">IFERROR(__xludf.DUMMYFUNCTION("CONCATENATE(B562,(VLOOKUP(C562,CATALOGOS!$F$2:$H$6,3,FALSE)),(VLOOKUP(T562,CATALOGOS!$J$2:$K$18,2,FALSE)),""-"",TO_TEXT(A562))"),"P13LP-0561")</f>
        <v>P13LP-0561</v>
      </c>
      <c r="H562" s="6" t="s">
        <v>3937</v>
      </c>
      <c r="I562" s="6" t="s">
        <v>3938</v>
      </c>
      <c r="J562" s="6" t="s">
        <v>3939</v>
      </c>
      <c r="K562" s="6" t="s">
        <v>3940</v>
      </c>
      <c r="L562" s="17"/>
      <c r="M562" s="17"/>
      <c r="N562" s="17" t="str">
        <f t="shared" si="2"/>
        <v>OK</v>
      </c>
      <c r="O562" s="17" t="s">
        <v>35</v>
      </c>
      <c r="P562" s="6" t="s">
        <v>35</v>
      </c>
      <c r="Q562" s="17" t="s">
        <v>36</v>
      </c>
      <c r="R562" s="17" t="s">
        <v>3941</v>
      </c>
      <c r="S562" s="173" t="s">
        <v>38</v>
      </c>
      <c r="T562" s="11" t="s">
        <v>2328</v>
      </c>
      <c r="U562" s="22" t="s">
        <v>3450</v>
      </c>
      <c r="V562" s="22" t="s">
        <v>3450</v>
      </c>
      <c r="W562" s="22"/>
      <c r="X562" s="7"/>
      <c r="Y562" s="7"/>
      <c r="Z562" s="23"/>
      <c r="AA562" s="26"/>
    </row>
    <row r="563" spans="1:27" ht="15.75" customHeight="1">
      <c r="A563" s="10" t="s">
        <v>3942</v>
      </c>
      <c r="B563" s="10" t="s">
        <v>1469</v>
      </c>
      <c r="C563" s="52" t="s">
        <v>868</v>
      </c>
      <c r="D563" s="12"/>
      <c r="E563" s="13" t="s">
        <v>184</v>
      </c>
      <c r="F563" s="6" t="s">
        <v>2677</v>
      </c>
      <c r="G563" s="6" t="str">
        <f ca="1">IFERROR(__xludf.DUMMYFUNCTION("CONCATENATE(B563,(VLOOKUP(C563,CATALOGOS!$F$2:$H$6,3,FALSE)),(VLOOKUP(T563,CATALOGOS!$J$2:$K$18,2,FALSE)),""-"",TO_TEXT(A563))"),"P13LP-0562")</f>
        <v>P13LP-0562</v>
      </c>
      <c r="H563" s="6" t="s">
        <v>3943</v>
      </c>
      <c r="I563" s="6" t="s">
        <v>3944</v>
      </c>
      <c r="J563" s="6" t="s">
        <v>3945</v>
      </c>
      <c r="K563" s="6" t="s">
        <v>3946</v>
      </c>
      <c r="L563" s="17"/>
      <c r="M563" s="17"/>
      <c r="N563" s="17" t="str">
        <f t="shared" si="2"/>
        <v>OK</v>
      </c>
      <c r="O563" s="17" t="s">
        <v>35</v>
      </c>
      <c r="P563" s="6" t="s">
        <v>35</v>
      </c>
      <c r="Q563" s="17" t="s">
        <v>36</v>
      </c>
      <c r="R563" s="17" t="s">
        <v>3947</v>
      </c>
      <c r="S563" s="173" t="s">
        <v>38</v>
      </c>
      <c r="T563" s="11" t="s">
        <v>2328</v>
      </c>
      <c r="U563" s="22" t="s">
        <v>3450</v>
      </c>
      <c r="V563" s="22" t="s">
        <v>3450</v>
      </c>
      <c r="W563" s="22"/>
      <c r="X563" s="7"/>
      <c r="Y563" s="7"/>
      <c r="Z563" s="23"/>
      <c r="AA563" s="26"/>
    </row>
    <row r="564" spans="1:27" ht="15.75" customHeight="1">
      <c r="A564" s="10" t="s">
        <v>3948</v>
      </c>
      <c r="B564" s="10" t="s">
        <v>1469</v>
      </c>
      <c r="C564" s="52" t="s">
        <v>868</v>
      </c>
      <c r="D564" s="12"/>
      <c r="E564" s="13" t="s">
        <v>248</v>
      </c>
      <c r="F564" s="6" t="s">
        <v>249</v>
      </c>
      <c r="G564" s="6" t="str">
        <f ca="1">IFERROR(__xludf.DUMMYFUNCTION("CONCATENATE(B564,(VLOOKUP(C564,CATALOGOS!$F$2:$H$6,3,FALSE)),(VLOOKUP(T564,CATALOGOS!$J$2:$K$18,2,FALSE)),""-"",TO_TEXT(A564))"),"P13LP-0563")</f>
        <v>P13LP-0563</v>
      </c>
      <c r="H564" s="6" t="s">
        <v>3949</v>
      </c>
      <c r="I564" s="6" t="s">
        <v>3950</v>
      </c>
      <c r="J564" s="6" t="s">
        <v>3951</v>
      </c>
      <c r="K564" s="6" t="s">
        <v>141</v>
      </c>
      <c r="L564" s="17"/>
      <c r="M564" s="17"/>
      <c r="N564" s="17" t="str">
        <f t="shared" si="2"/>
        <v>REPETIDO</v>
      </c>
      <c r="O564" s="17" t="s">
        <v>303</v>
      </c>
      <c r="P564" s="32" t="s">
        <v>304</v>
      </c>
      <c r="Q564" s="17" t="s">
        <v>3952</v>
      </c>
      <c r="R564" s="10" t="s">
        <v>3953</v>
      </c>
      <c r="S564" s="173" t="s">
        <v>38</v>
      </c>
      <c r="T564" s="11" t="s">
        <v>2328</v>
      </c>
      <c r="U564" s="22" t="s">
        <v>3450</v>
      </c>
      <c r="V564" s="22" t="s">
        <v>3450</v>
      </c>
      <c r="W564" s="22"/>
      <c r="X564" s="7"/>
      <c r="Y564" s="7"/>
      <c r="Z564" s="23"/>
      <c r="AA564" s="26"/>
    </row>
    <row r="565" spans="1:27" ht="15.75" customHeight="1">
      <c r="A565" s="10" t="s">
        <v>3954</v>
      </c>
      <c r="B565" s="10" t="s">
        <v>1469</v>
      </c>
      <c r="C565" s="52" t="s">
        <v>868</v>
      </c>
      <c r="D565" s="12"/>
      <c r="E565" s="13" t="s">
        <v>199</v>
      </c>
      <c r="F565" s="6" t="s">
        <v>199</v>
      </c>
      <c r="G565" s="6" t="str">
        <f ca="1">IFERROR(__xludf.DUMMYFUNCTION("CONCATENATE(B565,(VLOOKUP(C565,CATALOGOS!$F$2:$H$6,3,FALSE)),(VLOOKUP(T565,CATALOGOS!$J$2:$K$18,2,FALSE)),""-"",TO_TEXT(A565))"),"P13LP-0564")</f>
        <v>P13LP-0564</v>
      </c>
      <c r="H565" s="6" t="s">
        <v>3955</v>
      </c>
      <c r="I565" s="6" t="s">
        <v>3956</v>
      </c>
      <c r="J565" s="6" t="s">
        <v>3957</v>
      </c>
      <c r="K565" s="6" t="s">
        <v>3958</v>
      </c>
      <c r="L565" s="17"/>
      <c r="M565" s="17"/>
      <c r="N565" s="17" t="str">
        <f t="shared" si="2"/>
        <v>OK</v>
      </c>
      <c r="O565" s="17" t="s">
        <v>205</v>
      </c>
      <c r="P565" s="6" t="s">
        <v>3959</v>
      </c>
      <c r="Q565" s="17" t="s">
        <v>3960</v>
      </c>
      <c r="R565" s="17" t="s">
        <v>3961</v>
      </c>
      <c r="S565" s="173" t="s">
        <v>38</v>
      </c>
      <c r="T565" s="11" t="s">
        <v>2328</v>
      </c>
      <c r="U565" s="22" t="s">
        <v>3450</v>
      </c>
      <c r="V565" s="22" t="s">
        <v>3450</v>
      </c>
      <c r="W565" s="22"/>
      <c r="X565" s="7"/>
      <c r="Y565" s="7"/>
      <c r="Z565" s="23"/>
      <c r="AA565" s="26"/>
    </row>
    <row r="566" spans="1:27" ht="15.75" customHeight="1">
      <c r="A566" s="10" t="s">
        <v>3962</v>
      </c>
      <c r="B566" s="10" t="s">
        <v>1469</v>
      </c>
      <c r="C566" s="52" t="s">
        <v>868</v>
      </c>
      <c r="D566" s="12"/>
      <c r="E566" s="13" t="s">
        <v>151</v>
      </c>
      <c r="F566" s="6" t="s">
        <v>963</v>
      </c>
      <c r="G566" s="6" t="str">
        <f ca="1">IFERROR(__xludf.DUMMYFUNCTION("CONCATENATE(B566,(VLOOKUP(C566,CATALOGOS!$F$2:$H$6,3,FALSE)),(VLOOKUP(T566,CATALOGOS!$J$2:$K$18,2,FALSE)),""-"",TO_TEXT(A566))"),"P13LP-0565")</f>
        <v>P13LP-0565</v>
      </c>
      <c r="H566" s="6" t="s">
        <v>3963</v>
      </c>
      <c r="I566" s="6" t="s">
        <v>3964</v>
      </c>
      <c r="J566" s="6" t="s">
        <v>3965</v>
      </c>
      <c r="K566" s="6" t="s">
        <v>3966</v>
      </c>
      <c r="L566" s="17"/>
      <c r="M566" s="17"/>
      <c r="N566" s="17" t="str">
        <f t="shared" si="2"/>
        <v>OK</v>
      </c>
      <c r="O566" s="17" t="s">
        <v>205</v>
      </c>
      <c r="P566" s="6" t="s">
        <v>3967</v>
      </c>
      <c r="Q566" s="17" t="s">
        <v>3968</v>
      </c>
      <c r="R566" s="17" t="s">
        <v>3969</v>
      </c>
      <c r="S566" s="173" t="s">
        <v>38</v>
      </c>
      <c r="T566" s="11" t="s">
        <v>2328</v>
      </c>
      <c r="U566" s="22" t="s">
        <v>3450</v>
      </c>
      <c r="V566" s="22" t="s">
        <v>3450</v>
      </c>
      <c r="W566" s="22"/>
      <c r="X566" s="7"/>
      <c r="Y566" s="7"/>
      <c r="Z566" s="23"/>
      <c r="AA566" s="26"/>
    </row>
    <row r="567" spans="1:27" ht="15.75" customHeight="1">
      <c r="A567" s="10" t="s">
        <v>3970</v>
      </c>
      <c r="B567" s="10" t="s">
        <v>1469</v>
      </c>
      <c r="C567" s="52" t="s">
        <v>868</v>
      </c>
      <c r="D567" s="38"/>
      <c r="E567" s="13" t="s">
        <v>162</v>
      </c>
      <c r="F567" s="6" t="s">
        <v>285</v>
      </c>
      <c r="G567" s="6" t="str">
        <f ca="1">IFERROR(__xludf.DUMMYFUNCTION("CONCATENATE(B567,(VLOOKUP(C567,CATALOGOS!$F$2:$H$6,3,FALSE)),(VLOOKUP(T567,CATALOGOS!$J$2:$K$18,2,FALSE)),""-"",TO_TEXT(A567))"),"P13LP-0566")</f>
        <v>P13LP-0566</v>
      </c>
      <c r="H567" s="6" t="s">
        <v>3971</v>
      </c>
      <c r="I567" s="6" t="s">
        <v>3972</v>
      </c>
      <c r="J567" s="6" t="s">
        <v>3973</v>
      </c>
      <c r="K567" s="6" t="s">
        <v>3974</v>
      </c>
      <c r="L567" s="17"/>
      <c r="M567" s="17"/>
      <c r="N567" s="17" t="str">
        <f t="shared" si="2"/>
        <v>OK</v>
      </c>
      <c r="O567" s="17" t="s">
        <v>168</v>
      </c>
      <c r="P567" s="6" t="s">
        <v>169</v>
      </c>
      <c r="Q567" s="46" t="s">
        <v>3975</v>
      </c>
      <c r="R567" s="17" t="s">
        <v>3976</v>
      </c>
      <c r="S567" s="173" t="s">
        <v>38</v>
      </c>
      <c r="T567" s="11" t="s">
        <v>2328</v>
      </c>
      <c r="U567" s="32" t="s">
        <v>3450</v>
      </c>
      <c r="V567" s="32" t="s">
        <v>3450</v>
      </c>
      <c r="W567" s="32"/>
      <c r="X567" s="7"/>
      <c r="Y567" s="7"/>
      <c r="Z567" s="26"/>
      <c r="AA567" s="26"/>
    </row>
    <row r="568" spans="1:27" ht="15.75" customHeight="1">
      <c r="A568" s="10" t="s">
        <v>3977</v>
      </c>
      <c r="B568" s="10" t="s">
        <v>1469</v>
      </c>
      <c r="C568" s="52" t="s">
        <v>868</v>
      </c>
      <c r="D568" s="12"/>
      <c r="E568" s="13" t="s">
        <v>93</v>
      </c>
      <c r="F568" s="6" t="s">
        <v>3978</v>
      </c>
      <c r="G568" s="6" t="str">
        <f ca="1">IFERROR(__xludf.DUMMYFUNCTION("CONCATENATE(B568,(VLOOKUP(C568,CATALOGOS!$F$2:$H$6,3,FALSE)),(VLOOKUP(T568,CATALOGOS!$J$2:$K$18,2,FALSE)),""-"",TO_TEXT(A568))"),"P13LP-0567")</f>
        <v>P13LP-0567</v>
      </c>
      <c r="H568" s="6" t="s">
        <v>3979</v>
      </c>
      <c r="I568" s="6" t="s">
        <v>3980</v>
      </c>
      <c r="J568" s="6" t="s">
        <v>3981</v>
      </c>
      <c r="K568" s="6" t="s">
        <v>3982</v>
      </c>
      <c r="L568" s="17"/>
      <c r="M568" s="17"/>
      <c r="N568" s="17" t="str">
        <f t="shared" si="2"/>
        <v>OK</v>
      </c>
      <c r="O568" s="17" t="s">
        <v>35</v>
      </c>
      <c r="P568" s="6" t="s">
        <v>35</v>
      </c>
      <c r="Q568" s="17" t="s">
        <v>36</v>
      </c>
      <c r="R568" s="17" t="s">
        <v>3983</v>
      </c>
      <c r="S568" s="173" t="s">
        <v>38</v>
      </c>
      <c r="T568" s="11" t="s">
        <v>2328</v>
      </c>
      <c r="U568" s="22" t="s">
        <v>3984</v>
      </c>
      <c r="V568" s="22" t="s">
        <v>3984</v>
      </c>
      <c r="W568" s="22"/>
      <c r="X568" s="7"/>
      <c r="Y568" s="7"/>
      <c r="Z568" s="23"/>
      <c r="AA568" s="26"/>
    </row>
    <row r="569" spans="1:27" ht="15.75" customHeight="1">
      <c r="A569" s="10" t="s">
        <v>3985</v>
      </c>
      <c r="B569" s="10" t="s">
        <v>1469</v>
      </c>
      <c r="C569" s="52" t="s">
        <v>868</v>
      </c>
      <c r="D569" s="12"/>
      <c r="E569" s="13" t="s">
        <v>116</v>
      </c>
      <c r="F569" s="6" t="s">
        <v>117</v>
      </c>
      <c r="G569" s="6" t="str">
        <f ca="1">IFERROR(__xludf.DUMMYFUNCTION("CONCATENATE(B569,(VLOOKUP(C569,CATALOGOS!$F$2:$H$6,3,FALSE)),(VLOOKUP(T569,CATALOGOS!$J$2:$K$18,2,FALSE)),""-"",TO_TEXT(A569))"),"P13LP-0568")</f>
        <v>P13LP-0568</v>
      </c>
      <c r="H569" s="6" t="s">
        <v>3986</v>
      </c>
      <c r="I569" s="6" t="s">
        <v>3987</v>
      </c>
      <c r="J569" s="6" t="s">
        <v>3988</v>
      </c>
      <c r="K569" s="6" t="s">
        <v>3989</v>
      </c>
      <c r="L569" s="17"/>
      <c r="M569" s="17"/>
      <c r="N569" s="17" t="str">
        <f t="shared" si="2"/>
        <v>OK</v>
      </c>
      <c r="O569" s="17" t="s">
        <v>35</v>
      </c>
      <c r="P569" s="6" t="s">
        <v>35</v>
      </c>
      <c r="Q569" s="17" t="s">
        <v>36</v>
      </c>
      <c r="R569" s="17" t="s">
        <v>3990</v>
      </c>
      <c r="S569" s="173" t="s">
        <v>38</v>
      </c>
      <c r="T569" s="11" t="s">
        <v>2328</v>
      </c>
      <c r="U569" s="22" t="s">
        <v>3984</v>
      </c>
      <c r="V569" s="22" t="s">
        <v>3984</v>
      </c>
      <c r="W569" s="22"/>
      <c r="X569" s="7"/>
      <c r="Y569" s="7"/>
      <c r="Z569" s="23"/>
      <c r="AA569" s="26"/>
    </row>
    <row r="570" spans="1:27" ht="15.75" customHeight="1">
      <c r="A570" s="10" t="s">
        <v>3991</v>
      </c>
      <c r="B570" s="10" t="s">
        <v>1469</v>
      </c>
      <c r="C570" s="52" t="s">
        <v>868</v>
      </c>
      <c r="D570" s="12"/>
      <c r="E570" s="13" t="s">
        <v>93</v>
      </c>
      <c r="F570" s="6" t="s">
        <v>3992</v>
      </c>
      <c r="G570" s="6" t="str">
        <f ca="1">IFERROR(__xludf.DUMMYFUNCTION("CONCATENATE(B570,(VLOOKUP(C570,CATALOGOS!$F$2:$H$6,3,FALSE)),(VLOOKUP(T570,CATALOGOS!$J$2:$K$18,2,FALSE)),""-"",TO_TEXT(A570))"),"P13LP-0569")</f>
        <v>P13LP-0569</v>
      </c>
      <c r="H570" s="6" t="s">
        <v>3993</v>
      </c>
      <c r="I570" s="6" t="s">
        <v>3994</v>
      </c>
      <c r="J570" s="6" t="s">
        <v>3995</v>
      </c>
      <c r="K570" s="6" t="s">
        <v>3996</v>
      </c>
      <c r="L570" s="17"/>
      <c r="M570" s="17"/>
      <c r="N570" s="17" t="str">
        <f t="shared" si="2"/>
        <v>OK</v>
      </c>
      <c r="O570" s="17" t="s">
        <v>35</v>
      </c>
      <c r="P570" s="6" t="s">
        <v>35</v>
      </c>
      <c r="Q570" s="17" t="s">
        <v>36</v>
      </c>
      <c r="R570" s="17" t="s">
        <v>3997</v>
      </c>
      <c r="S570" s="173" t="s">
        <v>38</v>
      </c>
      <c r="T570" s="11" t="s">
        <v>2328</v>
      </c>
      <c r="U570" s="22" t="s">
        <v>3984</v>
      </c>
      <c r="V570" s="22" t="s">
        <v>3984</v>
      </c>
      <c r="W570" s="22"/>
      <c r="X570" s="7"/>
      <c r="Y570" s="7"/>
      <c r="Z570" s="23"/>
      <c r="AA570" s="26"/>
    </row>
    <row r="571" spans="1:27" ht="15.75" customHeight="1">
      <c r="A571" s="10" t="s">
        <v>3998</v>
      </c>
      <c r="B571" s="10" t="s">
        <v>1469</v>
      </c>
      <c r="C571" s="52" t="s">
        <v>868</v>
      </c>
      <c r="D571" s="12"/>
      <c r="E571" s="13" t="s">
        <v>71</v>
      </c>
      <c r="F571" s="6" t="s">
        <v>3999</v>
      </c>
      <c r="G571" s="6" t="str">
        <f ca="1">IFERROR(__xludf.DUMMYFUNCTION("CONCATENATE(B571,(VLOOKUP(C571,CATALOGOS!$F$2:$H$6,3,FALSE)),(VLOOKUP(T571,CATALOGOS!$J$2:$K$18,2,FALSE)),""-"",TO_TEXT(A571))"),"P13LP-0570")</f>
        <v>P13LP-0570</v>
      </c>
      <c r="H571" s="6" t="s">
        <v>4000</v>
      </c>
      <c r="I571" s="6" t="s">
        <v>4001</v>
      </c>
      <c r="J571" s="6" t="s">
        <v>4002</v>
      </c>
      <c r="K571" s="6" t="s">
        <v>4003</v>
      </c>
      <c r="L571" s="17"/>
      <c r="M571" s="17"/>
      <c r="N571" s="17" t="str">
        <f t="shared" si="2"/>
        <v>OK</v>
      </c>
      <c r="O571" s="17" t="s">
        <v>35</v>
      </c>
      <c r="P571" s="6" t="s">
        <v>35</v>
      </c>
      <c r="Q571" s="17" t="s">
        <v>36</v>
      </c>
      <c r="R571" s="17" t="s">
        <v>4004</v>
      </c>
      <c r="S571" s="173" t="s">
        <v>38</v>
      </c>
      <c r="T571" s="11" t="s">
        <v>2328</v>
      </c>
      <c r="U571" s="22" t="s">
        <v>3984</v>
      </c>
      <c r="V571" s="22" t="s">
        <v>3984</v>
      </c>
      <c r="W571" s="22"/>
      <c r="X571" s="7"/>
      <c r="Y571" s="7"/>
      <c r="Z571" s="23"/>
      <c r="AA571" s="26"/>
    </row>
    <row r="572" spans="1:27" ht="15.75" customHeight="1">
      <c r="A572" s="10" t="s">
        <v>4005</v>
      </c>
      <c r="B572" s="10" t="s">
        <v>1469</v>
      </c>
      <c r="C572" s="52" t="s">
        <v>868</v>
      </c>
      <c r="D572" s="12"/>
      <c r="E572" s="13" t="s">
        <v>43</v>
      </c>
      <c r="F572" s="6" t="s">
        <v>1850</v>
      </c>
      <c r="G572" s="6" t="str">
        <f ca="1">IFERROR(__xludf.DUMMYFUNCTION("CONCATENATE(B572,(VLOOKUP(C572,CATALOGOS!$F$2:$H$6,3,FALSE)),(VLOOKUP(T572,CATALOGOS!$J$2:$K$18,2,FALSE)),""-"",TO_TEXT(A572))"),"P13LP-0571")</f>
        <v>P13LP-0571</v>
      </c>
      <c r="H572" s="6" t="s">
        <v>4006</v>
      </c>
      <c r="I572" s="6" t="s">
        <v>4007</v>
      </c>
      <c r="J572" s="6" t="s">
        <v>4008</v>
      </c>
      <c r="K572" s="6" t="s">
        <v>4009</v>
      </c>
      <c r="L572" s="17"/>
      <c r="M572" s="17"/>
      <c r="N572" s="17" t="str">
        <f t="shared" si="2"/>
        <v>OK</v>
      </c>
      <c r="O572" s="17" t="s">
        <v>1913</v>
      </c>
      <c r="P572" s="6" t="s">
        <v>1914</v>
      </c>
      <c r="Q572" s="17" t="s">
        <v>36</v>
      </c>
      <c r="R572" s="10" t="s">
        <v>4010</v>
      </c>
      <c r="S572" s="173" t="s">
        <v>38</v>
      </c>
      <c r="T572" s="11" t="s">
        <v>2328</v>
      </c>
      <c r="U572" s="22" t="s">
        <v>3984</v>
      </c>
      <c r="V572" s="22" t="s">
        <v>3984</v>
      </c>
      <c r="W572" s="22"/>
      <c r="X572" s="7"/>
      <c r="Y572" s="7"/>
      <c r="Z572" s="23"/>
      <c r="AA572" s="26"/>
    </row>
    <row r="573" spans="1:27" ht="15.75" customHeight="1">
      <c r="A573" s="10" t="s">
        <v>4011</v>
      </c>
      <c r="B573" s="10" t="s">
        <v>1469</v>
      </c>
      <c r="C573" s="52" t="s">
        <v>868</v>
      </c>
      <c r="D573" s="12"/>
      <c r="E573" s="13" t="s">
        <v>162</v>
      </c>
      <c r="F573" s="6" t="s">
        <v>285</v>
      </c>
      <c r="G573" s="6" t="str">
        <f ca="1">IFERROR(__xludf.DUMMYFUNCTION("CONCATENATE(B573,(VLOOKUP(C573,CATALOGOS!$F$2:$H$6,3,FALSE)),(VLOOKUP(T573,CATALOGOS!$J$2:$K$18,2,FALSE)),""-"",TO_TEXT(A573))"),"P13SO-0572")</f>
        <v>P13SO-0572</v>
      </c>
      <c r="H573" s="6" t="s">
        <v>4012</v>
      </c>
      <c r="I573" s="6" t="s">
        <v>4013</v>
      </c>
      <c r="J573" s="6" t="s">
        <v>4014</v>
      </c>
      <c r="K573" s="6" t="s">
        <v>4015</v>
      </c>
      <c r="L573" s="17"/>
      <c r="M573" s="17"/>
      <c r="N573" s="17" t="str">
        <f t="shared" si="2"/>
        <v>OK</v>
      </c>
      <c r="O573" s="17" t="s">
        <v>168</v>
      </c>
      <c r="P573" s="6" t="s">
        <v>169</v>
      </c>
      <c r="Q573" s="17" t="s">
        <v>4016</v>
      </c>
      <c r="R573" s="17" t="s">
        <v>4017</v>
      </c>
      <c r="S573" s="173" t="s">
        <v>38</v>
      </c>
      <c r="T573" s="11" t="s">
        <v>868</v>
      </c>
      <c r="U573" s="186" t="s">
        <v>1665</v>
      </c>
      <c r="V573" s="22" t="s">
        <v>3984</v>
      </c>
      <c r="W573" s="22"/>
      <c r="X573" s="7"/>
      <c r="Y573" s="7"/>
      <c r="Z573" s="23"/>
      <c r="AA573" s="26"/>
    </row>
    <row r="574" spans="1:27" ht="15.75" customHeight="1">
      <c r="A574" s="10" t="s">
        <v>4018</v>
      </c>
      <c r="B574" s="10" t="s">
        <v>1469</v>
      </c>
      <c r="C574" s="52" t="s">
        <v>868</v>
      </c>
      <c r="D574" s="12"/>
      <c r="E574" s="13" t="s">
        <v>248</v>
      </c>
      <c r="F574" s="6" t="s">
        <v>249</v>
      </c>
      <c r="G574" s="6" t="str">
        <f ca="1">IFERROR(__xludf.DUMMYFUNCTION("CONCATENATE(B574,(VLOOKUP(C574,CATALOGOS!$F$2:$H$6,3,FALSE)),(VLOOKUP(T574,CATALOGOS!$J$2:$K$18,2,FALSE)),""-"",TO_TEXT(A574))"),"P13LP-0573")</f>
        <v>P13LP-0573</v>
      </c>
      <c r="H574" s="6" t="s">
        <v>4019</v>
      </c>
      <c r="I574" s="6" t="s">
        <v>4020</v>
      </c>
      <c r="J574" s="6" t="s">
        <v>4021</v>
      </c>
      <c r="K574" s="6" t="s">
        <v>4022</v>
      </c>
      <c r="L574" s="17"/>
      <c r="M574" s="17"/>
      <c r="N574" s="17" t="str">
        <f t="shared" si="2"/>
        <v>OK</v>
      </c>
      <c r="O574" s="17" t="s">
        <v>978</v>
      </c>
      <c r="P574" s="6" t="s">
        <v>979</v>
      </c>
      <c r="Q574" s="17" t="s">
        <v>4023</v>
      </c>
      <c r="R574" s="17" t="s">
        <v>4024</v>
      </c>
      <c r="S574" s="173" t="s">
        <v>38</v>
      </c>
      <c r="T574" s="11" t="s">
        <v>2328</v>
      </c>
      <c r="U574" s="22" t="s">
        <v>3984</v>
      </c>
      <c r="V574" s="22" t="s">
        <v>3984</v>
      </c>
      <c r="W574" s="22"/>
      <c r="X574" s="7"/>
      <c r="Y574" s="7"/>
      <c r="Z574" s="23"/>
      <c r="AA574" s="26"/>
    </row>
    <row r="575" spans="1:27" ht="15.75" customHeight="1">
      <c r="A575" s="10" t="s">
        <v>4025</v>
      </c>
      <c r="B575" s="10" t="s">
        <v>1469</v>
      </c>
      <c r="C575" s="52" t="s">
        <v>868</v>
      </c>
      <c r="D575" s="12"/>
      <c r="E575" s="13" t="s">
        <v>1240</v>
      </c>
      <c r="F575" s="43" t="s">
        <v>278</v>
      </c>
      <c r="G575" s="6" t="str">
        <f ca="1">IFERROR(__xludf.DUMMYFUNCTION("CONCATENATE(B575,(VLOOKUP(C575,CATALOGOS!$F$2:$H$6,3,FALSE)),(VLOOKUP(T575,CATALOGOS!$J$2:$K$18,2,FALSE)),""-"",TO_TEXT(A575))"),"P13LP-0574")</f>
        <v>P13LP-0574</v>
      </c>
      <c r="H575" s="6" t="s">
        <v>4026</v>
      </c>
      <c r="I575" s="6" t="s">
        <v>4027</v>
      </c>
      <c r="J575" s="6" t="s">
        <v>4028</v>
      </c>
      <c r="K575" s="6" t="s">
        <v>4029</v>
      </c>
      <c r="L575" s="17"/>
      <c r="M575" s="17"/>
      <c r="N575" s="17" t="str">
        <f t="shared" si="2"/>
        <v>OK</v>
      </c>
      <c r="O575" s="17" t="s">
        <v>35</v>
      </c>
      <c r="P575" s="6" t="s">
        <v>35</v>
      </c>
      <c r="Q575" s="17" t="s">
        <v>36</v>
      </c>
      <c r="R575" s="17" t="s">
        <v>4030</v>
      </c>
      <c r="S575" s="173" t="s">
        <v>38</v>
      </c>
      <c r="T575" s="11" t="s">
        <v>2328</v>
      </c>
      <c r="U575" s="22" t="s">
        <v>3984</v>
      </c>
      <c r="V575" s="22" t="s">
        <v>3984</v>
      </c>
      <c r="W575" s="22"/>
      <c r="X575" s="7"/>
      <c r="Y575" s="7"/>
      <c r="Z575" s="23"/>
      <c r="AA575" s="26"/>
    </row>
    <row r="576" spans="1:27" ht="15.75" customHeight="1">
      <c r="A576" s="10" t="s">
        <v>4031</v>
      </c>
      <c r="B576" s="10" t="s">
        <v>1469</v>
      </c>
      <c r="C576" s="52" t="s">
        <v>868</v>
      </c>
      <c r="D576" s="12"/>
      <c r="E576" s="13" t="s">
        <v>321</v>
      </c>
      <c r="F576" s="6" t="s">
        <v>321</v>
      </c>
      <c r="G576" s="6" t="str">
        <f ca="1">IFERROR(__xludf.DUMMYFUNCTION("CONCATENATE(B576,(VLOOKUP(C576,CATALOGOS!$F$2:$H$6,3,FALSE)),(VLOOKUP(T576,CATALOGOS!$J$2:$K$18,2,FALSE)),""-"",TO_TEXT(A576))"),"P13LP-0575")</f>
        <v>P13LP-0575</v>
      </c>
      <c r="H576" s="6" t="s">
        <v>4032</v>
      </c>
      <c r="I576" s="6" t="s">
        <v>4033</v>
      </c>
      <c r="J576" s="6" t="s">
        <v>4034</v>
      </c>
      <c r="K576" s="6" t="s">
        <v>141</v>
      </c>
      <c r="L576" s="17"/>
      <c r="M576" s="17"/>
      <c r="N576" s="17" t="str">
        <f t="shared" si="2"/>
        <v>REPETIDO</v>
      </c>
      <c r="O576" s="17" t="s">
        <v>4035</v>
      </c>
      <c r="P576" s="6" t="s">
        <v>4036</v>
      </c>
      <c r="Q576" s="6" t="s">
        <v>36</v>
      </c>
      <c r="R576" s="10" t="s">
        <v>4037</v>
      </c>
      <c r="S576" s="179" t="s">
        <v>517</v>
      </c>
      <c r="T576" s="11" t="s">
        <v>2328</v>
      </c>
      <c r="U576" s="22" t="s">
        <v>3984</v>
      </c>
      <c r="V576" s="22" t="s">
        <v>3984</v>
      </c>
      <c r="W576" s="22"/>
      <c r="X576" s="7"/>
      <c r="Y576" s="7"/>
      <c r="Z576" s="23"/>
      <c r="AA576" s="26"/>
    </row>
    <row r="577" spans="1:28" ht="15.75" customHeight="1">
      <c r="A577" s="10" t="s">
        <v>4038</v>
      </c>
      <c r="B577" s="10" t="s">
        <v>1469</v>
      </c>
      <c r="C577" s="52" t="s">
        <v>868</v>
      </c>
      <c r="D577" s="12"/>
      <c r="E577" s="13" t="s">
        <v>378</v>
      </c>
      <c r="F577" s="43" t="s">
        <v>379</v>
      </c>
      <c r="G577" s="6" t="str">
        <f ca="1">IFERROR(__xludf.DUMMYFUNCTION("CONCATENATE(B577,(VLOOKUP(C577,CATALOGOS!$F$2:$H$6,3,FALSE)),(VLOOKUP(T577,CATALOGOS!$J$2:$K$18,2,FALSE)),""-"",TO_TEXT(A577))"),"P13LP-0576")</f>
        <v>P13LP-0576</v>
      </c>
      <c r="H577" s="6" t="s">
        <v>4039</v>
      </c>
      <c r="I577" s="6" t="s">
        <v>4040</v>
      </c>
      <c r="J577" s="6" t="s">
        <v>4041</v>
      </c>
      <c r="K577" s="6" t="s">
        <v>4042</v>
      </c>
      <c r="L577" s="17"/>
      <c r="M577" s="17"/>
      <c r="N577" s="17" t="str">
        <f t="shared" si="2"/>
        <v>OK</v>
      </c>
      <c r="O577" s="17" t="s">
        <v>35</v>
      </c>
      <c r="P577" s="6" t="s">
        <v>35</v>
      </c>
      <c r="Q577" s="17" t="s">
        <v>36</v>
      </c>
      <c r="R577" s="17" t="s">
        <v>4043</v>
      </c>
      <c r="S577" s="173" t="s">
        <v>38</v>
      </c>
      <c r="T577" s="11" t="s">
        <v>2328</v>
      </c>
      <c r="U577" s="22" t="s">
        <v>3984</v>
      </c>
      <c r="V577" s="22" t="s">
        <v>3984</v>
      </c>
      <c r="W577" s="22"/>
      <c r="X577" s="7"/>
      <c r="Y577" s="7"/>
      <c r="Z577" s="23"/>
      <c r="AA577" s="26"/>
    </row>
    <row r="578" spans="1:28" ht="15.75" customHeight="1">
      <c r="A578" s="10" t="s">
        <v>4044</v>
      </c>
      <c r="B578" s="10" t="s">
        <v>1469</v>
      </c>
      <c r="C578" s="52" t="s">
        <v>868</v>
      </c>
      <c r="D578" s="38"/>
      <c r="E578" s="13" t="s">
        <v>199</v>
      </c>
      <c r="F578" s="6" t="s">
        <v>677</v>
      </c>
      <c r="G578" s="6" t="str">
        <f ca="1">IFERROR(__xludf.DUMMYFUNCTION("CONCATENATE(B578,(VLOOKUP(C578,CATALOGOS!$F$2:$H$6,3,FALSE)),(VLOOKUP(T578,CATALOGOS!$J$2:$K$18,2,FALSE)),""-"",TO_TEXT(A578))"),"P13LP-0577")</f>
        <v>P13LP-0577</v>
      </c>
      <c r="H578" s="6" t="s">
        <v>4045</v>
      </c>
      <c r="I578" s="6" t="s">
        <v>4046</v>
      </c>
      <c r="J578" s="6" t="s">
        <v>4047</v>
      </c>
      <c r="K578" s="43" t="s">
        <v>4048</v>
      </c>
      <c r="L578" s="17"/>
      <c r="M578" s="17"/>
      <c r="N578" s="17" t="str">
        <f t="shared" si="2"/>
        <v>OK</v>
      </c>
      <c r="O578" s="17" t="s">
        <v>682</v>
      </c>
      <c r="P578" s="6" t="s">
        <v>2497</v>
      </c>
      <c r="Q578" s="46" t="s">
        <v>4049</v>
      </c>
      <c r="R578" s="17" t="s">
        <v>4050</v>
      </c>
      <c r="S578" s="173" t="s">
        <v>38</v>
      </c>
      <c r="T578" s="11" t="s">
        <v>2328</v>
      </c>
      <c r="U578" s="32" t="s">
        <v>3984</v>
      </c>
      <c r="V578" s="32" t="s">
        <v>3984</v>
      </c>
      <c r="W578" s="32"/>
      <c r="X578" s="7"/>
      <c r="Y578" s="7"/>
      <c r="Z578" s="26"/>
      <c r="AA578" s="26"/>
    </row>
    <row r="579" spans="1:28" ht="15.75" customHeight="1">
      <c r="A579" s="10" t="s">
        <v>4051</v>
      </c>
      <c r="B579" s="10" t="s">
        <v>1469</v>
      </c>
      <c r="C579" s="52" t="s">
        <v>868</v>
      </c>
      <c r="D579" s="12"/>
      <c r="E579" s="13" t="s">
        <v>71</v>
      </c>
      <c r="F579" s="6" t="s">
        <v>4052</v>
      </c>
      <c r="G579" s="6" t="str">
        <f ca="1">IFERROR(__xludf.DUMMYFUNCTION("CONCATENATE(B579,(VLOOKUP(C579,CATALOGOS!$F$2:$H$6,3,FALSE)),(VLOOKUP(T579,CATALOGOS!$J$2:$K$18,2,FALSE)),""-"",TO_TEXT(A579))"),"P13LP-0578")</f>
        <v>P13LP-0578</v>
      </c>
      <c r="H579" s="6" t="s">
        <v>4053</v>
      </c>
      <c r="I579" s="54"/>
      <c r="J579" s="6" t="s">
        <v>4054</v>
      </c>
      <c r="K579" s="6" t="s">
        <v>4055</v>
      </c>
      <c r="L579" s="17"/>
      <c r="M579" s="17"/>
      <c r="N579" s="17" t="str">
        <f t="shared" si="2"/>
        <v>OK</v>
      </c>
      <c r="O579" s="17" t="s">
        <v>35</v>
      </c>
      <c r="P579" s="6" t="s">
        <v>35</v>
      </c>
      <c r="Q579" s="17" t="s">
        <v>36</v>
      </c>
      <c r="R579" s="17" t="s">
        <v>4056</v>
      </c>
      <c r="S579" s="173" t="s">
        <v>38</v>
      </c>
      <c r="T579" s="11" t="s">
        <v>2328</v>
      </c>
      <c r="U579" s="22" t="s">
        <v>4057</v>
      </c>
      <c r="V579" s="22" t="s">
        <v>4057</v>
      </c>
      <c r="W579" s="22"/>
      <c r="X579" s="7"/>
      <c r="Y579" s="7"/>
      <c r="Z579" s="23"/>
      <c r="AA579" s="26"/>
    </row>
    <row r="580" spans="1:28" ht="15.75" customHeight="1">
      <c r="A580" s="10" t="s">
        <v>4058</v>
      </c>
      <c r="B580" s="10" t="s">
        <v>1469</v>
      </c>
      <c r="C580" s="52" t="s">
        <v>868</v>
      </c>
      <c r="D580" s="12"/>
      <c r="E580" s="13" t="s">
        <v>116</v>
      </c>
      <c r="F580" s="6" t="s">
        <v>117</v>
      </c>
      <c r="G580" s="6" t="str">
        <f ca="1">IFERROR(__xludf.DUMMYFUNCTION("CONCATENATE(B580,(VLOOKUP(C580,CATALOGOS!$F$2:$H$6,3,FALSE)),(VLOOKUP(T580,CATALOGOS!$J$2:$K$18,2,FALSE)),""-"",TO_TEXT(A580))"),"P13LP-0579")</f>
        <v>P13LP-0579</v>
      </c>
      <c r="H580" s="6" t="s">
        <v>4059</v>
      </c>
      <c r="I580" s="6" t="s">
        <v>4060</v>
      </c>
      <c r="J580" s="6" t="s">
        <v>4061</v>
      </c>
      <c r="K580" s="6" t="s">
        <v>4062</v>
      </c>
      <c r="L580" s="17"/>
      <c r="M580" s="17"/>
      <c r="N580" s="17" t="str">
        <f t="shared" si="2"/>
        <v>OK</v>
      </c>
      <c r="O580" s="17" t="s">
        <v>35</v>
      </c>
      <c r="P580" s="6" t="s">
        <v>35</v>
      </c>
      <c r="Q580" s="17" t="s">
        <v>36</v>
      </c>
      <c r="R580" s="17" t="s">
        <v>4063</v>
      </c>
      <c r="S580" s="173" t="s">
        <v>38</v>
      </c>
      <c r="T580" s="11" t="s">
        <v>2328</v>
      </c>
      <c r="U580" s="22" t="s">
        <v>4057</v>
      </c>
      <c r="V580" s="22" t="s">
        <v>4057</v>
      </c>
      <c r="W580" s="22"/>
      <c r="X580" s="7"/>
      <c r="Y580" s="7"/>
      <c r="Z580" s="23"/>
      <c r="AA580" s="26"/>
    </row>
    <row r="581" spans="1:28" ht="15.75" customHeight="1">
      <c r="A581" s="10" t="s">
        <v>4064</v>
      </c>
      <c r="B581" s="10" t="s">
        <v>1469</v>
      </c>
      <c r="C581" s="52" t="s">
        <v>868</v>
      </c>
      <c r="D581" s="12"/>
      <c r="E581" s="13" t="s">
        <v>93</v>
      </c>
      <c r="F581" s="43" t="s">
        <v>4065</v>
      </c>
      <c r="G581" s="6" t="str">
        <f ca="1">IFERROR(__xludf.DUMMYFUNCTION("CONCATENATE(B581,(VLOOKUP(C581,CATALOGOS!$F$2:$H$6,3,FALSE)),(VLOOKUP(T581,CATALOGOS!$J$2:$K$18,2,FALSE)),""-"",TO_TEXT(A581))"),"P13LP-0580")</f>
        <v>P13LP-0580</v>
      </c>
      <c r="H581" s="6" t="s">
        <v>4066</v>
      </c>
      <c r="I581" s="6" t="s">
        <v>4067</v>
      </c>
      <c r="J581" s="6" t="s">
        <v>4068</v>
      </c>
      <c r="K581" s="6" t="s">
        <v>4069</v>
      </c>
      <c r="L581" s="17"/>
      <c r="M581" s="17"/>
      <c r="N581" s="17" t="str">
        <f t="shared" si="2"/>
        <v>OK</v>
      </c>
      <c r="O581" s="17" t="s">
        <v>35</v>
      </c>
      <c r="P581" s="6" t="s">
        <v>35</v>
      </c>
      <c r="Q581" s="17" t="s">
        <v>36</v>
      </c>
      <c r="R581" s="17" t="s">
        <v>4070</v>
      </c>
      <c r="S581" s="173" t="s">
        <v>38</v>
      </c>
      <c r="T581" s="11" t="s">
        <v>2328</v>
      </c>
      <c r="U581" s="22" t="s">
        <v>4057</v>
      </c>
      <c r="V581" s="22" t="s">
        <v>4057</v>
      </c>
      <c r="W581" s="22"/>
      <c r="X581" s="7"/>
      <c r="Y581" s="7"/>
      <c r="Z581" s="23"/>
      <c r="AA581" s="26"/>
    </row>
    <row r="582" spans="1:28" ht="15.75" customHeight="1">
      <c r="A582" s="10" t="s">
        <v>4071</v>
      </c>
      <c r="B582" s="10" t="s">
        <v>1469</v>
      </c>
      <c r="C582" s="52" t="s">
        <v>868</v>
      </c>
      <c r="D582" s="12"/>
      <c r="E582" s="13" t="s">
        <v>378</v>
      </c>
      <c r="F582" s="43" t="s">
        <v>878</v>
      </c>
      <c r="G582" s="217" t="str">
        <f ca="1">IFERROR(__xludf.DUMMYFUNCTION("CONCATENATE(B582,(VLOOKUP(C582,CATALOGOS!$F$2:$H$6,3,FALSE)),(VLOOKUP(T582,CATALOGOS!$J$2:$K$18,2,FALSE)),""-"",TO_TEXT(A582))"),"P13LP-0581")</f>
        <v>P13LP-0581</v>
      </c>
      <c r="H582" s="6" t="s">
        <v>4072</v>
      </c>
      <c r="I582" s="6" t="s">
        <v>4073</v>
      </c>
      <c r="J582" s="6" t="s">
        <v>4074</v>
      </c>
      <c r="K582" s="43" t="s">
        <v>4075</v>
      </c>
      <c r="L582" s="17"/>
      <c r="M582" s="17"/>
      <c r="N582" s="17" t="str">
        <f t="shared" si="2"/>
        <v>OK</v>
      </c>
      <c r="O582" s="17" t="s">
        <v>35</v>
      </c>
      <c r="P582" s="6" t="s">
        <v>35</v>
      </c>
      <c r="Q582" s="17" t="s">
        <v>36</v>
      </c>
      <c r="R582" s="17" t="s">
        <v>4076</v>
      </c>
      <c r="S582" s="173" t="s">
        <v>38</v>
      </c>
      <c r="T582" s="11" t="s">
        <v>2328</v>
      </c>
      <c r="U582" s="22" t="s">
        <v>4057</v>
      </c>
      <c r="V582" s="22" t="s">
        <v>4057</v>
      </c>
      <c r="W582" s="22"/>
      <c r="X582" s="7"/>
      <c r="Y582" s="7"/>
      <c r="Z582" s="23"/>
      <c r="AA582" s="26"/>
    </row>
    <row r="583" spans="1:28" ht="15.75" customHeight="1">
      <c r="A583" s="10" t="s">
        <v>4077</v>
      </c>
      <c r="B583" s="10" t="s">
        <v>1469</v>
      </c>
      <c r="C583" s="52" t="s">
        <v>868</v>
      </c>
      <c r="D583" s="12"/>
      <c r="E583" s="13" t="s">
        <v>93</v>
      </c>
      <c r="F583" s="6" t="s">
        <v>869</v>
      </c>
      <c r="G583" s="6" t="str">
        <f ca="1">IFERROR(__xludf.DUMMYFUNCTION("CONCATENATE(B583,(VLOOKUP(C583,CATALOGOS!$F$2:$H$6,3,FALSE)),(VLOOKUP(T583,CATALOGOS!$J$2:$K$18,2,FALSE)),""-"",TO_TEXT(A583))"),"P13LP-0582")</f>
        <v>P13LP-0582</v>
      </c>
      <c r="H583" s="6" t="s">
        <v>4078</v>
      </c>
      <c r="I583" s="6" t="s">
        <v>4079</v>
      </c>
      <c r="J583" s="6" t="s">
        <v>4080</v>
      </c>
      <c r="K583" s="6" t="s">
        <v>4081</v>
      </c>
      <c r="L583" s="17"/>
      <c r="M583" s="17"/>
      <c r="N583" s="17" t="str">
        <f t="shared" si="2"/>
        <v>OK</v>
      </c>
      <c r="O583" s="17" t="s">
        <v>35</v>
      </c>
      <c r="P583" s="6" t="s">
        <v>35</v>
      </c>
      <c r="Q583" s="17" t="s">
        <v>36</v>
      </c>
      <c r="R583" s="17" t="s">
        <v>4082</v>
      </c>
      <c r="S583" s="173" t="s">
        <v>38</v>
      </c>
      <c r="T583" s="11" t="s">
        <v>2328</v>
      </c>
      <c r="U583" s="22" t="s">
        <v>4057</v>
      </c>
      <c r="V583" s="22" t="s">
        <v>4057</v>
      </c>
      <c r="W583" s="22"/>
      <c r="X583" s="7"/>
      <c r="Y583" s="7"/>
      <c r="Z583" s="23"/>
      <c r="AA583" s="26"/>
    </row>
    <row r="584" spans="1:28" ht="15.75" customHeight="1">
      <c r="A584" s="10" t="s">
        <v>4083</v>
      </c>
      <c r="B584" s="10" t="s">
        <v>1469</v>
      </c>
      <c r="C584" s="52" t="s">
        <v>868</v>
      </c>
      <c r="D584" s="12"/>
      <c r="E584" s="13" t="s">
        <v>378</v>
      </c>
      <c r="F584" s="6" t="s">
        <v>379</v>
      </c>
      <c r="G584" s="6" t="str">
        <f ca="1">IFERROR(__xludf.DUMMYFUNCTION("CONCATENATE(B584,(VLOOKUP(C584,CATALOGOS!$F$2:$H$6,3,FALSE)),(VLOOKUP(T584,CATALOGOS!$J$2:$K$18,2,FALSE)),""-"",TO_TEXT(A584))"),"P13LP-0583")</f>
        <v>P13LP-0583</v>
      </c>
      <c r="H584" s="6" t="s">
        <v>4084</v>
      </c>
      <c r="I584" s="6" t="s">
        <v>4085</v>
      </c>
      <c r="J584" s="6" t="s">
        <v>4086</v>
      </c>
      <c r="K584" s="43" t="s">
        <v>4087</v>
      </c>
      <c r="L584" s="17"/>
      <c r="M584" s="17"/>
      <c r="N584" s="17" t="str">
        <f t="shared" si="2"/>
        <v>OK</v>
      </c>
      <c r="O584" s="17" t="s">
        <v>35</v>
      </c>
      <c r="P584" s="6" t="s">
        <v>35</v>
      </c>
      <c r="Q584" s="17" t="s">
        <v>36</v>
      </c>
      <c r="R584" s="17" t="s">
        <v>4088</v>
      </c>
      <c r="S584" s="173" t="s">
        <v>38</v>
      </c>
      <c r="T584" s="11" t="s">
        <v>2328</v>
      </c>
      <c r="U584" s="22" t="s">
        <v>4057</v>
      </c>
      <c r="V584" s="22" t="s">
        <v>4057</v>
      </c>
      <c r="W584" s="22"/>
      <c r="X584" s="7"/>
      <c r="Y584" s="7"/>
      <c r="Z584" s="23"/>
      <c r="AA584" s="26"/>
    </row>
    <row r="585" spans="1:28" ht="15.75" customHeight="1">
      <c r="A585" s="10" t="s">
        <v>4089</v>
      </c>
      <c r="B585" s="10" t="s">
        <v>1469</v>
      </c>
      <c r="C585" s="52" t="s">
        <v>868</v>
      </c>
      <c r="D585" s="12"/>
      <c r="E585" s="13" t="s">
        <v>151</v>
      </c>
      <c r="F585" s="6" t="s">
        <v>152</v>
      </c>
      <c r="G585" s="6" t="str">
        <f ca="1">IFERROR(__xludf.DUMMYFUNCTION("CONCATENATE(B585,(VLOOKUP(C585,CATALOGOS!$F$2:$H$6,3,FALSE)),(VLOOKUP(T585,CATALOGOS!$J$2:$K$18,2,FALSE)),""-"",TO_TEXT(A585))"),"P13LP-0584")</f>
        <v>P13LP-0584</v>
      </c>
      <c r="H585" s="6" t="s">
        <v>4090</v>
      </c>
      <c r="I585" s="6" t="s">
        <v>4091</v>
      </c>
      <c r="J585" s="6" t="s">
        <v>4092</v>
      </c>
      <c r="K585" s="6" t="s">
        <v>4093</v>
      </c>
      <c r="L585" s="17"/>
      <c r="M585" s="17"/>
      <c r="N585" s="17" t="str">
        <f t="shared" si="2"/>
        <v>OK</v>
      </c>
      <c r="O585" s="17" t="s">
        <v>1220</v>
      </c>
      <c r="P585" s="6" t="s">
        <v>720</v>
      </c>
      <c r="Q585" s="17" t="s">
        <v>36</v>
      </c>
      <c r="R585" s="17" t="s">
        <v>4094</v>
      </c>
      <c r="S585" s="173" t="s">
        <v>1304</v>
      </c>
      <c r="T585" s="11" t="s">
        <v>2328</v>
      </c>
      <c r="U585" s="22" t="s">
        <v>4057</v>
      </c>
      <c r="V585" s="22" t="s">
        <v>4057</v>
      </c>
      <c r="W585" s="22"/>
      <c r="X585" s="7"/>
      <c r="Y585" s="7"/>
      <c r="Z585" s="23"/>
      <c r="AA585" s="26"/>
    </row>
    <row r="586" spans="1:28" ht="15.75" customHeight="1">
      <c r="A586" s="10" t="s">
        <v>4095</v>
      </c>
      <c r="B586" s="10" t="s">
        <v>1469</v>
      </c>
      <c r="C586" s="52" t="s">
        <v>868</v>
      </c>
      <c r="D586" s="12"/>
      <c r="E586" s="13" t="s">
        <v>248</v>
      </c>
      <c r="F586" s="43" t="s">
        <v>248</v>
      </c>
      <c r="G586" s="6" t="str">
        <f ca="1">IFERROR(__xludf.DUMMYFUNCTION("CONCATENATE(B586,(VLOOKUP(C586,CATALOGOS!$F$2:$H$6,3,FALSE)),(VLOOKUP(T586,CATALOGOS!$J$2:$K$18,2,FALSE)),""-"",TO_TEXT(A586))"),"P13LP-0585")</f>
        <v>P13LP-0585</v>
      </c>
      <c r="H586" s="6" t="s">
        <v>4096</v>
      </c>
      <c r="I586" s="6" t="s">
        <v>4097</v>
      </c>
      <c r="J586" s="6" t="s">
        <v>4098</v>
      </c>
      <c r="K586" s="6" t="s">
        <v>4099</v>
      </c>
      <c r="L586" s="17"/>
      <c r="M586" s="17"/>
      <c r="N586" s="17" t="str">
        <f t="shared" si="2"/>
        <v>OK</v>
      </c>
      <c r="O586" s="17" t="s">
        <v>978</v>
      </c>
      <c r="P586" s="6" t="s">
        <v>979</v>
      </c>
      <c r="Q586" s="17" t="s">
        <v>4100</v>
      </c>
      <c r="R586" s="17" t="s">
        <v>4101</v>
      </c>
      <c r="S586" s="173" t="s">
        <v>38</v>
      </c>
      <c r="T586" s="11" t="s">
        <v>2328</v>
      </c>
      <c r="U586" s="22" t="s">
        <v>4057</v>
      </c>
      <c r="V586" s="22" t="s">
        <v>4057</v>
      </c>
      <c r="W586" s="22"/>
      <c r="X586" s="7"/>
      <c r="Y586" s="7"/>
      <c r="Z586" s="23"/>
      <c r="AA586" s="26"/>
    </row>
    <row r="587" spans="1:28" ht="15.75" customHeight="1">
      <c r="A587" s="10" t="s">
        <v>4102</v>
      </c>
      <c r="B587" s="10" t="s">
        <v>1469</v>
      </c>
      <c r="C587" s="52" t="s">
        <v>868</v>
      </c>
      <c r="D587" s="12"/>
      <c r="E587" s="13" t="s">
        <v>199</v>
      </c>
      <c r="F587" s="6" t="s">
        <v>199</v>
      </c>
      <c r="G587" s="6" t="str">
        <f ca="1">IFERROR(__xludf.DUMMYFUNCTION("CONCATENATE(B587,(VLOOKUP(C587,CATALOGOS!$F$2:$H$6,3,FALSE)),(VLOOKUP(T587,CATALOGOS!$J$2:$K$18,2,FALSE)),""-"",TO_TEXT(A587))"),"P13LP-0586")</f>
        <v>P13LP-0586</v>
      </c>
      <c r="H587" s="6" t="s">
        <v>4103</v>
      </c>
      <c r="I587" s="6" t="s">
        <v>4104</v>
      </c>
      <c r="J587" s="36"/>
      <c r="K587" s="6" t="s">
        <v>4105</v>
      </c>
      <c r="L587" s="17"/>
      <c r="M587" s="17"/>
      <c r="N587" s="17" t="str">
        <f t="shared" si="2"/>
        <v>OK</v>
      </c>
      <c r="O587" s="17" t="s">
        <v>273</v>
      </c>
      <c r="P587" s="6" t="s">
        <v>274</v>
      </c>
      <c r="Q587" s="6">
        <v>11392903012347</v>
      </c>
      <c r="R587" s="10" t="s">
        <v>85</v>
      </c>
      <c r="S587" s="173" t="s">
        <v>38</v>
      </c>
      <c r="T587" s="11" t="s">
        <v>2328</v>
      </c>
      <c r="U587" s="22" t="s">
        <v>4057</v>
      </c>
      <c r="V587" s="22" t="s">
        <v>4057</v>
      </c>
      <c r="W587" s="22"/>
      <c r="X587" s="6"/>
      <c r="Y587" s="6"/>
      <c r="Z587" s="41" t="s">
        <v>92</v>
      </c>
      <c r="AA587" s="42">
        <v>44348</v>
      </c>
      <c r="AB587" s="8" t="s">
        <v>276</v>
      </c>
    </row>
    <row r="588" spans="1:28" ht="15.75" customHeight="1">
      <c r="A588" s="10" t="s">
        <v>4106</v>
      </c>
      <c r="B588" s="10" t="s">
        <v>1469</v>
      </c>
      <c r="C588" s="52" t="s">
        <v>868</v>
      </c>
      <c r="D588" s="12"/>
      <c r="E588" s="13" t="s">
        <v>1240</v>
      </c>
      <c r="F588" s="43" t="s">
        <v>278</v>
      </c>
      <c r="G588" s="6" t="str">
        <f ca="1">IFERROR(__xludf.DUMMYFUNCTION("CONCATENATE(B588,(VLOOKUP(C588,CATALOGOS!$F$2:$H$6,3,FALSE)),(VLOOKUP(T588,CATALOGOS!$J$2:$K$18,2,FALSE)),""-"",TO_TEXT(A588))"),"P13LP-0587")</f>
        <v>P13LP-0587</v>
      </c>
      <c r="H588" s="6" t="s">
        <v>4107</v>
      </c>
      <c r="I588" s="6" t="s">
        <v>4108</v>
      </c>
      <c r="J588" s="6" t="s">
        <v>4109</v>
      </c>
      <c r="K588" s="6" t="s">
        <v>4110</v>
      </c>
      <c r="L588" s="17"/>
      <c r="M588" s="17"/>
      <c r="N588" s="17" t="str">
        <f t="shared" si="2"/>
        <v>OK</v>
      </c>
      <c r="O588" s="17" t="s">
        <v>35</v>
      </c>
      <c r="P588" s="6" t="s">
        <v>35</v>
      </c>
      <c r="Q588" s="17" t="s">
        <v>36</v>
      </c>
      <c r="R588" s="17" t="s">
        <v>4111</v>
      </c>
      <c r="S588" s="173" t="s">
        <v>38</v>
      </c>
      <c r="T588" s="11" t="s">
        <v>2328</v>
      </c>
      <c r="U588" s="22" t="s">
        <v>4057</v>
      </c>
      <c r="V588" s="22" t="s">
        <v>4057</v>
      </c>
      <c r="W588" s="22"/>
      <c r="X588" s="7"/>
      <c r="Y588" s="7"/>
      <c r="Z588" s="23"/>
      <c r="AA588" s="26"/>
    </row>
    <row r="589" spans="1:28" ht="15.75" customHeight="1">
      <c r="A589" s="10" t="s">
        <v>4112</v>
      </c>
      <c r="B589" s="10" t="s">
        <v>1469</v>
      </c>
      <c r="C589" s="52" t="s">
        <v>868</v>
      </c>
      <c r="D589" s="38"/>
      <c r="E589" s="13" t="s">
        <v>151</v>
      </c>
      <c r="F589" s="6" t="s">
        <v>4113</v>
      </c>
      <c r="G589" s="6" t="str">
        <f ca="1">IFERROR(__xludf.DUMMYFUNCTION("CONCATENATE(B589,(VLOOKUP(C589,CATALOGOS!$F$2:$H$6,3,FALSE)),(VLOOKUP(T589,CATALOGOS!$J$2:$K$18,2,FALSE)),""-"",TO_TEXT(A589))"),"P13LP-0588")</f>
        <v>P13LP-0588</v>
      </c>
      <c r="H589" s="6" t="s">
        <v>4114</v>
      </c>
      <c r="I589" s="6" t="s">
        <v>4115</v>
      </c>
      <c r="J589" s="72"/>
      <c r="K589" s="6" t="s">
        <v>4116</v>
      </c>
      <c r="L589" s="17"/>
      <c r="M589" s="17"/>
      <c r="N589" s="17" t="str">
        <f t="shared" si="2"/>
        <v>OK</v>
      </c>
      <c r="O589" s="17" t="s">
        <v>297</v>
      </c>
      <c r="P589" s="6" t="s">
        <v>298</v>
      </c>
      <c r="Q589" s="6" t="s">
        <v>4117</v>
      </c>
      <c r="R589" s="32" t="s">
        <v>85</v>
      </c>
      <c r="S589" s="173" t="s">
        <v>38</v>
      </c>
      <c r="T589" s="11" t="s">
        <v>2328</v>
      </c>
      <c r="U589" s="32" t="s">
        <v>4057</v>
      </c>
      <c r="V589" s="32" t="s">
        <v>4057</v>
      </c>
      <c r="W589" s="32"/>
      <c r="X589" s="6"/>
      <c r="Y589" s="6"/>
      <c r="Z589" s="73" t="s">
        <v>92</v>
      </c>
      <c r="AA589" s="42">
        <v>44348</v>
      </c>
      <c r="AB589" s="8">
        <v>0</v>
      </c>
    </row>
    <row r="590" spans="1:28" ht="15.75" customHeight="1">
      <c r="A590" s="10" t="s">
        <v>4118</v>
      </c>
      <c r="B590" s="10" t="s">
        <v>1469</v>
      </c>
      <c r="C590" s="52" t="s">
        <v>868</v>
      </c>
      <c r="D590" s="12"/>
      <c r="E590" s="13" t="s">
        <v>93</v>
      </c>
      <c r="F590" s="6" t="s">
        <v>4119</v>
      </c>
      <c r="G590" s="6" t="str">
        <f ca="1">IFERROR(__xludf.DUMMYFUNCTION("CONCATENATE(B590,(VLOOKUP(C590,CATALOGOS!$F$2:$H$6,3,FALSE)),(VLOOKUP(T590,CATALOGOS!$J$2:$K$18,2,FALSE)),""-"",TO_TEXT(A590))"),"P13LP-0589")</f>
        <v>P13LP-0589</v>
      </c>
      <c r="H590" s="6" t="s">
        <v>4120</v>
      </c>
      <c r="I590" s="6" t="s">
        <v>4121</v>
      </c>
      <c r="J590" s="6" t="s">
        <v>4122</v>
      </c>
      <c r="K590" s="6" t="s">
        <v>4123</v>
      </c>
      <c r="L590" s="17"/>
      <c r="M590" s="17"/>
      <c r="N590" s="17" t="str">
        <f t="shared" si="2"/>
        <v>OK</v>
      </c>
      <c r="O590" s="17" t="s">
        <v>35</v>
      </c>
      <c r="P590" s="6" t="s">
        <v>35</v>
      </c>
      <c r="Q590" s="17" t="s">
        <v>36</v>
      </c>
      <c r="R590" s="17" t="s">
        <v>4124</v>
      </c>
      <c r="S590" s="173" t="s">
        <v>38</v>
      </c>
      <c r="T590" s="11" t="s">
        <v>2328</v>
      </c>
      <c r="U590" s="20" t="s">
        <v>4125</v>
      </c>
      <c r="V590" s="20" t="s">
        <v>4125</v>
      </c>
      <c r="W590" s="20"/>
      <c r="X590" s="7"/>
      <c r="Y590" s="7"/>
      <c r="Z590" s="23"/>
      <c r="AA590" s="26"/>
    </row>
    <row r="591" spans="1:28" ht="15.75" customHeight="1">
      <c r="A591" s="10" t="s">
        <v>4126</v>
      </c>
      <c r="B591" s="10" t="s">
        <v>1469</v>
      </c>
      <c r="C591" s="52" t="s">
        <v>868</v>
      </c>
      <c r="D591" s="12"/>
      <c r="E591" s="13" t="s">
        <v>29</v>
      </c>
      <c r="F591" s="6" t="s">
        <v>1166</v>
      </c>
      <c r="G591" s="6" t="str">
        <f ca="1">IFERROR(__xludf.DUMMYFUNCTION("CONCATENATE(B591,(VLOOKUP(C591,CATALOGOS!$F$2:$H$6,3,FALSE)),(VLOOKUP(T591,CATALOGOS!$J$2:$K$18,2,FALSE)),""-"",TO_TEXT(A591))"),"P13LP-0590")</f>
        <v>P13LP-0590</v>
      </c>
      <c r="H591" s="6" t="s">
        <v>4127</v>
      </c>
      <c r="I591" s="6" t="s">
        <v>4128</v>
      </c>
      <c r="J591" s="6" t="s">
        <v>4129</v>
      </c>
      <c r="K591" s="6" t="s">
        <v>4130</v>
      </c>
      <c r="L591" s="17"/>
      <c r="M591" s="17"/>
      <c r="N591" s="17" t="str">
        <f t="shared" si="2"/>
        <v>OK</v>
      </c>
      <c r="O591" s="17" t="s">
        <v>35</v>
      </c>
      <c r="P591" s="6" t="s">
        <v>35</v>
      </c>
      <c r="Q591" s="17" t="s">
        <v>36</v>
      </c>
      <c r="R591" s="17" t="s">
        <v>4131</v>
      </c>
      <c r="S591" s="173" t="s">
        <v>38</v>
      </c>
      <c r="T591" s="11" t="s">
        <v>2328</v>
      </c>
      <c r="U591" s="20" t="s">
        <v>4125</v>
      </c>
      <c r="V591" s="20" t="s">
        <v>4125</v>
      </c>
      <c r="W591" s="20"/>
      <c r="X591" s="7"/>
      <c r="Y591" s="7"/>
      <c r="Z591" s="23"/>
      <c r="AA591" s="26"/>
    </row>
    <row r="592" spans="1:28" ht="15.75" customHeight="1">
      <c r="A592" s="10" t="s">
        <v>4132</v>
      </c>
      <c r="B592" s="10" t="s">
        <v>1469</v>
      </c>
      <c r="C592" s="52" t="s">
        <v>868</v>
      </c>
      <c r="D592" s="12"/>
      <c r="E592" s="13" t="s">
        <v>93</v>
      </c>
      <c r="F592" s="6" t="s">
        <v>4133</v>
      </c>
      <c r="G592" s="6" t="str">
        <f ca="1">IFERROR(__xludf.DUMMYFUNCTION("CONCATENATE(B592,(VLOOKUP(C592,CATALOGOS!$F$2:$H$6,3,FALSE)),(VLOOKUP(T592,CATALOGOS!$J$2:$K$18,2,FALSE)),""-"",TO_TEXT(A592))"),"P13LP-0591")</f>
        <v>P13LP-0591</v>
      </c>
      <c r="H592" s="6" t="s">
        <v>4134</v>
      </c>
      <c r="I592" s="6" t="s">
        <v>4135</v>
      </c>
      <c r="J592" s="6" t="s">
        <v>4136</v>
      </c>
      <c r="K592" s="6" t="s">
        <v>4137</v>
      </c>
      <c r="L592" s="17"/>
      <c r="M592" s="17"/>
      <c r="N592" s="17" t="str">
        <f t="shared" si="2"/>
        <v>OK</v>
      </c>
      <c r="O592" s="17" t="s">
        <v>35</v>
      </c>
      <c r="P592" s="6" t="s">
        <v>35</v>
      </c>
      <c r="Q592" s="17" t="s">
        <v>36</v>
      </c>
      <c r="R592" s="17" t="s">
        <v>4138</v>
      </c>
      <c r="S592" s="173" t="s">
        <v>38</v>
      </c>
      <c r="T592" s="11" t="s">
        <v>2328</v>
      </c>
      <c r="U592" s="20" t="s">
        <v>4125</v>
      </c>
      <c r="V592" s="20" t="s">
        <v>4125</v>
      </c>
      <c r="W592" s="20"/>
      <c r="X592" s="7"/>
      <c r="Y592" s="7"/>
      <c r="Z592" s="23"/>
      <c r="AA592" s="26"/>
    </row>
    <row r="593" spans="1:28" ht="15.75" customHeight="1">
      <c r="A593" s="10" t="s">
        <v>4139</v>
      </c>
      <c r="B593" s="10" t="s">
        <v>1469</v>
      </c>
      <c r="C593" s="52" t="s">
        <v>868</v>
      </c>
      <c r="D593" s="12"/>
      <c r="E593" s="13" t="s">
        <v>378</v>
      </c>
      <c r="F593" s="6" t="s">
        <v>379</v>
      </c>
      <c r="G593" s="6" t="str">
        <f ca="1">IFERROR(__xludf.DUMMYFUNCTION("CONCATENATE(B593,(VLOOKUP(C593,CATALOGOS!$F$2:$H$6,3,FALSE)),(VLOOKUP(T593,CATALOGOS!$J$2:$K$18,2,FALSE)),""-"",TO_TEXT(A593))"),"P13LP-0592")</f>
        <v>P13LP-0592</v>
      </c>
      <c r="H593" s="6" t="s">
        <v>4140</v>
      </c>
      <c r="I593" s="6" t="s">
        <v>4141</v>
      </c>
      <c r="J593" s="6" t="s">
        <v>4142</v>
      </c>
      <c r="K593" s="6" t="s">
        <v>4143</v>
      </c>
      <c r="L593" s="17"/>
      <c r="M593" s="17"/>
      <c r="N593" s="17" t="str">
        <f t="shared" si="2"/>
        <v>OK</v>
      </c>
      <c r="O593" s="17" t="s">
        <v>35</v>
      </c>
      <c r="P593" s="6" t="s">
        <v>35</v>
      </c>
      <c r="Q593" s="17" t="s">
        <v>36</v>
      </c>
      <c r="R593" s="17" t="s">
        <v>4144</v>
      </c>
      <c r="S593" s="173" t="s">
        <v>38</v>
      </c>
      <c r="T593" s="11" t="s">
        <v>2328</v>
      </c>
      <c r="U593" s="20" t="s">
        <v>4125</v>
      </c>
      <c r="V593" s="20" t="s">
        <v>4125</v>
      </c>
      <c r="W593" s="20"/>
      <c r="X593" s="7"/>
      <c r="Y593" s="7"/>
      <c r="Z593" s="23"/>
      <c r="AA593" s="26"/>
    </row>
    <row r="594" spans="1:28" ht="15.75" customHeight="1">
      <c r="A594" s="10" t="s">
        <v>4145</v>
      </c>
      <c r="B594" s="10" t="s">
        <v>1469</v>
      </c>
      <c r="C594" s="52" t="s">
        <v>868</v>
      </c>
      <c r="D594" s="12"/>
      <c r="E594" s="13" t="s">
        <v>248</v>
      </c>
      <c r="F594" s="43" t="s">
        <v>248</v>
      </c>
      <c r="G594" s="6" t="str">
        <f ca="1">IFERROR(__xludf.DUMMYFUNCTION("CONCATENATE(B594,(VLOOKUP(C594,CATALOGOS!$F$2:$H$6,3,FALSE)),(VLOOKUP(T594,CATALOGOS!$J$2:$K$18,2,FALSE)),""-"",TO_TEXT(A594))"),"P13LP-0593")</f>
        <v>P13LP-0593</v>
      </c>
      <c r="H594" s="6" t="s">
        <v>4146</v>
      </c>
      <c r="I594" s="6" t="s">
        <v>4147</v>
      </c>
      <c r="J594" s="6" t="s">
        <v>4148</v>
      </c>
      <c r="K594" s="6" t="s">
        <v>4149</v>
      </c>
      <c r="L594" s="17"/>
      <c r="M594" s="17"/>
      <c r="N594" s="17" t="str">
        <f t="shared" si="2"/>
        <v>OK</v>
      </c>
      <c r="O594" s="17" t="s">
        <v>978</v>
      </c>
      <c r="P594" s="6" t="s">
        <v>979</v>
      </c>
      <c r="Q594" s="17" t="s">
        <v>4150</v>
      </c>
      <c r="R594" s="17" t="s">
        <v>4151</v>
      </c>
      <c r="S594" s="173" t="s">
        <v>38</v>
      </c>
      <c r="T594" s="11" t="s">
        <v>2328</v>
      </c>
      <c r="U594" s="20" t="s">
        <v>4125</v>
      </c>
      <c r="V594" s="20" t="s">
        <v>4125</v>
      </c>
      <c r="W594" s="20"/>
      <c r="X594" s="7"/>
      <c r="Y594" s="7"/>
      <c r="Z594" s="23"/>
      <c r="AA594" s="26"/>
    </row>
    <row r="595" spans="1:28" ht="15.75" customHeight="1">
      <c r="A595" s="10" t="s">
        <v>4152</v>
      </c>
      <c r="B595" s="10" t="s">
        <v>1469</v>
      </c>
      <c r="C595" s="52" t="s">
        <v>868</v>
      </c>
      <c r="D595" s="12"/>
      <c r="E595" s="13" t="s">
        <v>116</v>
      </c>
      <c r="F595" s="6" t="s">
        <v>4153</v>
      </c>
      <c r="G595" s="6" t="str">
        <f ca="1">IFERROR(__xludf.DUMMYFUNCTION("CONCATENATE(B595,(VLOOKUP(C595,CATALOGOS!$F$2:$H$6,3,FALSE)),(VLOOKUP(T595,CATALOGOS!$J$2:$K$18,2,FALSE)),""-"",TO_TEXT(A595))"),"P13LP-0594")</f>
        <v>P13LP-0594</v>
      </c>
      <c r="H595" s="6" t="s">
        <v>4154</v>
      </c>
      <c r="I595" s="6" t="s">
        <v>4155</v>
      </c>
      <c r="J595" s="6" t="s">
        <v>4156</v>
      </c>
      <c r="K595" s="6" t="s">
        <v>4157</v>
      </c>
      <c r="L595" s="17"/>
      <c r="M595" s="17"/>
      <c r="N595" s="17" t="str">
        <f t="shared" si="2"/>
        <v>OK</v>
      </c>
      <c r="O595" s="17" t="s">
        <v>35</v>
      </c>
      <c r="P595" s="6" t="s">
        <v>35</v>
      </c>
      <c r="Q595" s="17" t="s">
        <v>36</v>
      </c>
      <c r="R595" s="17" t="s">
        <v>4158</v>
      </c>
      <c r="S595" s="173" t="s">
        <v>38</v>
      </c>
      <c r="T595" s="11" t="s">
        <v>2328</v>
      </c>
      <c r="U595" s="20" t="s">
        <v>4125</v>
      </c>
      <c r="V595" s="20" t="s">
        <v>4125</v>
      </c>
      <c r="W595" s="20"/>
      <c r="X595" s="7"/>
      <c r="Y595" s="7"/>
      <c r="Z595" s="23"/>
      <c r="AA595" s="26"/>
    </row>
    <row r="596" spans="1:28" ht="15.75" customHeight="1">
      <c r="A596" s="10" t="s">
        <v>4159</v>
      </c>
      <c r="B596" s="10" t="s">
        <v>1469</v>
      </c>
      <c r="C596" s="52" t="s">
        <v>868</v>
      </c>
      <c r="D596" s="12"/>
      <c r="E596" s="13" t="s">
        <v>199</v>
      </c>
      <c r="F596" s="6" t="s">
        <v>199</v>
      </c>
      <c r="G596" s="6" t="str">
        <f ca="1">IFERROR(__xludf.DUMMYFUNCTION("CONCATENATE(B596,(VLOOKUP(C596,CATALOGOS!$F$2:$H$6,3,FALSE)),(VLOOKUP(T596,CATALOGOS!$J$2:$K$18,2,FALSE)),""-"",TO_TEXT(A596))"),"P13LP-0595")</f>
        <v>P13LP-0595</v>
      </c>
      <c r="H596" s="6" t="s">
        <v>4160</v>
      </c>
      <c r="I596" s="6" t="s">
        <v>4161</v>
      </c>
      <c r="J596" s="37"/>
      <c r="K596" s="6" t="s">
        <v>4162</v>
      </c>
      <c r="L596" s="17"/>
      <c r="M596" s="17"/>
      <c r="N596" s="17" t="str">
        <f t="shared" si="2"/>
        <v>OK</v>
      </c>
      <c r="O596" s="17" t="s">
        <v>273</v>
      </c>
      <c r="P596" s="6" t="s">
        <v>274</v>
      </c>
      <c r="Q596" s="6">
        <v>11392903015788</v>
      </c>
      <c r="R596" s="10" t="s">
        <v>85</v>
      </c>
      <c r="S596" s="173" t="s">
        <v>38</v>
      </c>
      <c r="T596" s="11" t="s">
        <v>2328</v>
      </c>
      <c r="U596" s="20" t="s">
        <v>4125</v>
      </c>
      <c r="V596" s="20" t="s">
        <v>4125</v>
      </c>
      <c r="W596" s="20"/>
      <c r="X596" s="6"/>
      <c r="Y596" s="6"/>
      <c r="Z596" s="41" t="s">
        <v>275</v>
      </c>
      <c r="AA596" s="42">
        <v>44403</v>
      </c>
      <c r="AB596" s="8" t="s">
        <v>276</v>
      </c>
    </row>
    <row r="597" spans="1:28" ht="15.75" customHeight="1">
      <c r="A597" s="10" t="s">
        <v>4163</v>
      </c>
      <c r="B597" s="10" t="s">
        <v>1469</v>
      </c>
      <c r="C597" s="52" t="s">
        <v>868</v>
      </c>
      <c r="D597" s="12"/>
      <c r="E597" s="13" t="s">
        <v>151</v>
      </c>
      <c r="F597" s="6" t="s">
        <v>4113</v>
      </c>
      <c r="G597" s="6" t="str">
        <f ca="1">IFERROR(__xludf.DUMMYFUNCTION("CONCATENATE(B597,(VLOOKUP(C597,CATALOGOS!$F$2:$H$6,3,FALSE)),(VLOOKUP(T597,CATALOGOS!$J$2:$K$18,2,FALSE)),""-"",TO_TEXT(A597))"),"P13LP-0596")</f>
        <v>P13LP-0596</v>
      </c>
      <c r="H597" s="6" t="s">
        <v>4164</v>
      </c>
      <c r="I597" s="6" t="s">
        <v>4165</v>
      </c>
      <c r="J597" s="37"/>
      <c r="K597" s="6" t="s">
        <v>4166</v>
      </c>
      <c r="L597" s="17"/>
      <c r="M597" s="17"/>
      <c r="N597" s="17" t="str">
        <f t="shared" si="2"/>
        <v>OK</v>
      </c>
      <c r="O597" s="17" t="s">
        <v>297</v>
      </c>
      <c r="P597" s="6" t="s">
        <v>298</v>
      </c>
      <c r="Q597" s="6" t="s">
        <v>4167</v>
      </c>
      <c r="R597" s="10" t="s">
        <v>85</v>
      </c>
      <c r="S597" s="173" t="s">
        <v>38</v>
      </c>
      <c r="T597" s="11" t="s">
        <v>2328</v>
      </c>
      <c r="U597" s="20" t="s">
        <v>4125</v>
      </c>
      <c r="V597" s="20" t="s">
        <v>4125</v>
      </c>
      <c r="W597" s="20"/>
      <c r="X597" s="6"/>
      <c r="Y597" s="6"/>
      <c r="Z597" s="41" t="s">
        <v>275</v>
      </c>
      <c r="AA597" s="42">
        <v>44403</v>
      </c>
      <c r="AB597" s="8">
        <v>0</v>
      </c>
    </row>
    <row r="598" spans="1:28" ht="15.75" customHeight="1">
      <c r="A598" s="10" t="s">
        <v>4168</v>
      </c>
      <c r="B598" s="10" t="s">
        <v>1469</v>
      </c>
      <c r="C598" s="52" t="s">
        <v>868</v>
      </c>
      <c r="D598" s="38"/>
      <c r="E598" s="13" t="s">
        <v>1240</v>
      </c>
      <c r="F598" s="43" t="s">
        <v>278</v>
      </c>
      <c r="G598" s="6" t="str">
        <f ca="1">IFERROR(__xludf.DUMMYFUNCTION("CONCATENATE(B598,(VLOOKUP(C598,CATALOGOS!$F$2:$H$6,3,FALSE)),(VLOOKUP(T598,CATALOGOS!$J$2:$K$18,2,FALSE)),""-"",TO_TEXT(A598))"),"P13LP-0597")</f>
        <v>P13LP-0597</v>
      </c>
      <c r="H598" s="6" t="s">
        <v>4169</v>
      </c>
      <c r="I598" s="6" t="s">
        <v>4170</v>
      </c>
      <c r="J598" s="6" t="s">
        <v>4171</v>
      </c>
      <c r="K598" s="6" t="s">
        <v>4172</v>
      </c>
      <c r="L598" s="17"/>
      <c r="M598" s="17"/>
      <c r="N598" s="17" t="str">
        <f t="shared" si="2"/>
        <v>OK</v>
      </c>
      <c r="O598" s="17" t="s">
        <v>35</v>
      </c>
      <c r="P598" s="6" t="s">
        <v>35</v>
      </c>
      <c r="Q598" s="46" t="s">
        <v>36</v>
      </c>
      <c r="R598" s="17" t="s">
        <v>4173</v>
      </c>
      <c r="S598" s="173" t="s">
        <v>38</v>
      </c>
      <c r="T598" s="11" t="s">
        <v>2328</v>
      </c>
      <c r="U598" s="20" t="s">
        <v>4125</v>
      </c>
      <c r="V598" s="20" t="s">
        <v>4125</v>
      </c>
      <c r="W598" s="20"/>
      <c r="X598" s="7"/>
      <c r="Y598" s="7"/>
      <c r="Z598" s="26"/>
      <c r="AA598" s="26"/>
    </row>
    <row r="599" spans="1:28" ht="15.75" customHeight="1">
      <c r="A599" s="10" t="s">
        <v>4174</v>
      </c>
      <c r="B599" s="10" t="s">
        <v>1469</v>
      </c>
      <c r="C599" s="52" t="s">
        <v>868</v>
      </c>
      <c r="D599" s="12"/>
      <c r="E599" s="13" t="s">
        <v>378</v>
      </c>
      <c r="F599" s="43" t="s">
        <v>4175</v>
      </c>
      <c r="G599" s="6" t="str">
        <f ca="1">IFERROR(__xludf.DUMMYFUNCTION("CONCATENATE(B599,(VLOOKUP(C599,CATALOGOS!$F$2:$H$6,3,FALSE)),(VLOOKUP(T599,CATALOGOS!$J$2:$K$18,2,FALSE)),""-"",TO_TEXT(A599))"),"P13IR-0598")</f>
        <v>P13IR-0598</v>
      </c>
      <c r="H599" s="6" t="s">
        <v>4176</v>
      </c>
      <c r="I599" s="6" t="s">
        <v>4177</v>
      </c>
      <c r="J599" s="6" t="s">
        <v>4178</v>
      </c>
      <c r="K599" s="6" t="s">
        <v>4179</v>
      </c>
      <c r="L599" s="17"/>
      <c r="M599" s="17"/>
      <c r="N599" s="17" t="str">
        <f t="shared" si="2"/>
        <v>OK</v>
      </c>
      <c r="O599" s="17" t="s">
        <v>35</v>
      </c>
      <c r="P599" s="6" t="s">
        <v>35</v>
      </c>
      <c r="Q599" s="17" t="s">
        <v>36</v>
      </c>
      <c r="R599" s="17" t="s">
        <v>4180</v>
      </c>
      <c r="S599" s="173" t="s">
        <v>38</v>
      </c>
      <c r="T599" s="11" t="s">
        <v>2381</v>
      </c>
      <c r="U599" s="20" t="s">
        <v>4181</v>
      </c>
      <c r="V599" s="20" t="s">
        <v>4181</v>
      </c>
      <c r="W599" s="20"/>
      <c r="X599" s="7"/>
      <c r="Y599" s="7"/>
      <c r="Z599" s="23"/>
      <c r="AA599" s="26"/>
    </row>
    <row r="600" spans="1:28" ht="15.75" customHeight="1">
      <c r="A600" s="10" t="s">
        <v>4182</v>
      </c>
      <c r="B600" s="10" t="s">
        <v>1469</v>
      </c>
      <c r="C600" s="52" t="s">
        <v>868</v>
      </c>
      <c r="D600" s="12"/>
      <c r="E600" s="13" t="s">
        <v>378</v>
      </c>
      <c r="F600" s="6" t="s">
        <v>4183</v>
      </c>
      <c r="G600" s="6" t="str">
        <f ca="1">IFERROR(__xludf.DUMMYFUNCTION("CONCATENATE(B600,(VLOOKUP(C600,CATALOGOS!$F$2:$H$6,3,FALSE)),(VLOOKUP(T600,CATALOGOS!$J$2:$K$18,2,FALSE)),""-"",TO_TEXT(A600))"),"P13SO-0599")</f>
        <v>P13SO-0599</v>
      </c>
      <c r="H600" s="6" t="s">
        <v>4184</v>
      </c>
      <c r="I600" s="6" t="s">
        <v>4185</v>
      </c>
      <c r="J600" s="6" t="s">
        <v>4186</v>
      </c>
      <c r="K600" s="6" t="s">
        <v>4187</v>
      </c>
      <c r="L600" s="17"/>
      <c r="M600" s="17"/>
      <c r="N600" s="17" t="str">
        <f t="shared" si="2"/>
        <v>OK</v>
      </c>
      <c r="O600" s="17" t="s">
        <v>35</v>
      </c>
      <c r="P600" s="6" t="s">
        <v>35</v>
      </c>
      <c r="Q600" s="17" t="s">
        <v>36</v>
      </c>
      <c r="R600" s="17" t="s">
        <v>4188</v>
      </c>
      <c r="S600" s="173" t="s">
        <v>38</v>
      </c>
      <c r="T600" s="11" t="s">
        <v>868</v>
      </c>
      <c r="U600" s="20" t="s">
        <v>3451</v>
      </c>
      <c r="V600" s="20" t="s">
        <v>3451</v>
      </c>
      <c r="W600" s="20"/>
      <c r="X600" s="6"/>
      <c r="Y600" s="6"/>
      <c r="Z600" s="23"/>
      <c r="AA600" s="24"/>
    </row>
    <row r="601" spans="1:28" ht="15.75" customHeight="1">
      <c r="A601" s="10" t="s">
        <v>4189</v>
      </c>
      <c r="B601" s="10" t="s">
        <v>1469</v>
      </c>
      <c r="C601" s="52" t="s">
        <v>868</v>
      </c>
      <c r="D601" s="12"/>
      <c r="E601" s="13" t="s">
        <v>93</v>
      </c>
      <c r="F601" s="6" t="s">
        <v>4190</v>
      </c>
      <c r="G601" s="6" t="str">
        <f ca="1">IFERROR(__xludf.DUMMYFUNCTION("CONCATENATE(B601,(VLOOKUP(C601,CATALOGOS!$F$2:$H$6,3,FALSE)),(VLOOKUP(T601,CATALOGOS!$J$2:$K$18,2,FALSE)),""-"",TO_TEXT(A601))"),"P13IR-0600")</f>
        <v>P13IR-0600</v>
      </c>
      <c r="H601" s="6" t="s">
        <v>4191</v>
      </c>
      <c r="I601" s="6" t="s">
        <v>4192</v>
      </c>
      <c r="J601" s="6" t="s">
        <v>4193</v>
      </c>
      <c r="K601" s="6" t="s">
        <v>4194</v>
      </c>
      <c r="L601" s="17"/>
      <c r="M601" s="17"/>
      <c r="N601" s="17" t="str">
        <f t="shared" si="2"/>
        <v>OK</v>
      </c>
      <c r="O601" s="17" t="s">
        <v>35</v>
      </c>
      <c r="P601" s="6" t="s">
        <v>35</v>
      </c>
      <c r="Q601" s="17" t="s">
        <v>36</v>
      </c>
      <c r="R601" s="17" t="s">
        <v>4195</v>
      </c>
      <c r="S601" s="173" t="s">
        <v>38</v>
      </c>
      <c r="T601" s="11" t="s">
        <v>2381</v>
      </c>
      <c r="U601" s="20" t="s">
        <v>4181</v>
      </c>
      <c r="V601" s="20" t="s">
        <v>4181</v>
      </c>
      <c r="W601" s="20"/>
      <c r="X601" s="7"/>
      <c r="Y601" s="7"/>
      <c r="Z601" s="23"/>
      <c r="AA601" s="26"/>
    </row>
    <row r="602" spans="1:28" ht="15.75" customHeight="1">
      <c r="A602" s="10" t="s">
        <v>4196</v>
      </c>
      <c r="B602" s="10" t="s">
        <v>1469</v>
      </c>
      <c r="C602" s="52" t="s">
        <v>868</v>
      </c>
      <c r="D602" s="12"/>
      <c r="E602" s="13" t="s">
        <v>93</v>
      </c>
      <c r="F602" s="6" t="s">
        <v>869</v>
      </c>
      <c r="G602" s="6" t="str">
        <f ca="1">IFERROR(__xludf.DUMMYFUNCTION("CONCATENATE(B602,(VLOOKUP(C602,CATALOGOS!$F$2:$H$6,3,FALSE)),(VLOOKUP(T602,CATALOGOS!$J$2:$K$18,2,FALSE)),""-"",TO_TEXT(A602))"),"P13SO-0601")</f>
        <v>P13SO-0601</v>
      </c>
      <c r="H602" s="6" t="s">
        <v>4197</v>
      </c>
      <c r="I602" s="6" t="s">
        <v>4198</v>
      </c>
      <c r="J602" s="6" t="s">
        <v>4199</v>
      </c>
      <c r="K602" s="6" t="s">
        <v>4200</v>
      </c>
      <c r="L602" s="17"/>
      <c r="M602" s="17"/>
      <c r="N602" s="17" t="str">
        <f t="shared" si="2"/>
        <v>OK</v>
      </c>
      <c r="O602" s="17" t="s">
        <v>35</v>
      </c>
      <c r="P602" s="6" t="s">
        <v>35</v>
      </c>
      <c r="Q602" s="17" t="s">
        <v>36</v>
      </c>
      <c r="R602" s="17" t="s">
        <v>4201</v>
      </c>
      <c r="S602" s="173" t="s">
        <v>38</v>
      </c>
      <c r="T602" s="11" t="s">
        <v>868</v>
      </c>
      <c r="U602" s="6" t="s">
        <v>3450</v>
      </c>
      <c r="V602" s="6" t="s">
        <v>4202</v>
      </c>
      <c r="W602" s="6"/>
      <c r="X602" s="6"/>
      <c r="Y602" s="6" t="s">
        <v>4203</v>
      </c>
      <c r="Z602" s="23"/>
      <c r="AA602" s="26"/>
    </row>
    <row r="603" spans="1:28" ht="15.75" customHeight="1">
      <c r="A603" s="10" t="s">
        <v>4204</v>
      </c>
      <c r="B603" s="10" t="s">
        <v>1469</v>
      </c>
      <c r="C603" s="52" t="s">
        <v>868</v>
      </c>
      <c r="D603" s="12"/>
      <c r="E603" s="13" t="s">
        <v>199</v>
      </c>
      <c r="F603" s="6" t="s">
        <v>199</v>
      </c>
      <c r="G603" s="6" t="str">
        <f ca="1">IFERROR(__xludf.DUMMYFUNCTION("CONCATENATE(B603,(VLOOKUP(C603,CATALOGOS!$F$2:$H$6,3,FALSE)),(VLOOKUP(T603,CATALOGOS!$J$2:$K$18,2,FALSE)),""-"",TO_TEXT(A603))"),"P13IR-0602")</f>
        <v>P13IR-0602</v>
      </c>
      <c r="H603" s="6" t="s">
        <v>4205</v>
      </c>
      <c r="I603" s="6" t="s">
        <v>4206</v>
      </c>
      <c r="J603" s="6" t="s">
        <v>4207</v>
      </c>
      <c r="K603" s="6" t="s">
        <v>141</v>
      </c>
      <c r="L603" s="17"/>
      <c r="M603" s="17"/>
      <c r="N603" s="17" t="str">
        <f t="shared" si="2"/>
        <v>REPETIDO</v>
      </c>
      <c r="O603" s="17" t="s">
        <v>157</v>
      </c>
      <c r="P603" s="32">
        <v>1592</v>
      </c>
      <c r="Q603" s="17" t="s">
        <v>4208</v>
      </c>
      <c r="R603" s="17" t="s">
        <v>4209</v>
      </c>
      <c r="S603" s="179" t="s">
        <v>517</v>
      </c>
      <c r="T603" s="11" t="s">
        <v>2381</v>
      </c>
      <c r="U603" s="20" t="s">
        <v>4181</v>
      </c>
      <c r="V603" s="20" t="s">
        <v>4181</v>
      </c>
      <c r="W603" s="20"/>
      <c r="X603" s="6"/>
      <c r="Y603" s="6"/>
      <c r="Z603" s="23"/>
      <c r="AA603" s="7"/>
    </row>
    <row r="604" spans="1:28" ht="15.75" customHeight="1">
      <c r="A604" s="10" t="s">
        <v>4210</v>
      </c>
      <c r="B604" s="10" t="s">
        <v>1469</v>
      </c>
      <c r="C604" s="52" t="s">
        <v>868</v>
      </c>
      <c r="D604" s="12"/>
      <c r="E604" s="13" t="s">
        <v>353</v>
      </c>
      <c r="F604" s="43" t="s">
        <v>354</v>
      </c>
      <c r="G604" s="6" t="str">
        <f ca="1">IFERROR(__xludf.DUMMYFUNCTION("CONCATENATE(B604,(VLOOKUP(C604,CATALOGOS!$F$2:$H$6,3,FALSE)),(VLOOKUP(T604,CATALOGOS!$J$2:$K$18,2,FALSE)),""-"",TO_TEXT(A604))"),"P13LP-0603")</f>
        <v>P13LP-0603</v>
      </c>
      <c r="H604" s="6" t="s">
        <v>4211</v>
      </c>
      <c r="I604" s="6" t="s">
        <v>4212</v>
      </c>
      <c r="J604" s="6" t="s">
        <v>4213</v>
      </c>
      <c r="K604" s="6" t="s">
        <v>4214</v>
      </c>
      <c r="L604" s="17"/>
      <c r="M604" s="17"/>
      <c r="N604" s="17" t="str">
        <f t="shared" si="2"/>
        <v>OK</v>
      </c>
      <c r="O604" s="17" t="s">
        <v>359</v>
      </c>
      <c r="P604" s="6" t="s">
        <v>360</v>
      </c>
      <c r="Q604" s="17" t="s">
        <v>36</v>
      </c>
      <c r="R604" s="17" t="s">
        <v>4215</v>
      </c>
      <c r="S604" s="173" t="s">
        <v>38</v>
      </c>
      <c r="T604" s="11" t="s">
        <v>2328</v>
      </c>
      <c r="U604" s="6" t="s">
        <v>4202</v>
      </c>
      <c r="V604" s="6" t="s">
        <v>4202</v>
      </c>
      <c r="W604" s="6"/>
      <c r="X604" s="6"/>
      <c r="Y604" s="6" t="s">
        <v>4203</v>
      </c>
      <c r="Z604" s="23"/>
      <c r="AA604" s="26"/>
    </row>
    <row r="605" spans="1:28" ht="15.75" customHeight="1">
      <c r="A605" s="10" t="s">
        <v>4216</v>
      </c>
      <c r="B605" s="10" t="s">
        <v>1469</v>
      </c>
      <c r="C605" s="52" t="s">
        <v>868</v>
      </c>
      <c r="D605" s="38"/>
      <c r="E605" s="13" t="s">
        <v>151</v>
      </c>
      <c r="F605" s="6" t="s">
        <v>152</v>
      </c>
      <c r="G605" s="6" t="str">
        <f ca="1">IFERROR(__xludf.DUMMYFUNCTION("CONCATENATE(B605,(VLOOKUP(C605,CATALOGOS!$F$2:$H$6,3,FALSE)),(VLOOKUP(T605,CATALOGOS!$J$2:$K$18,2,FALSE)),""-"",TO_TEXT(A605))"),"P13LP-0604")</f>
        <v>P13LP-0604</v>
      </c>
      <c r="H605" s="6" t="s">
        <v>4217</v>
      </c>
      <c r="I605" s="6" t="s">
        <v>4218</v>
      </c>
      <c r="J605" s="6" t="s">
        <v>4219</v>
      </c>
      <c r="K605" s="6" t="s">
        <v>4220</v>
      </c>
      <c r="L605" s="17"/>
      <c r="M605" s="17"/>
      <c r="N605" s="17" t="str">
        <f t="shared" si="2"/>
        <v>OK</v>
      </c>
      <c r="O605" s="17" t="s">
        <v>1220</v>
      </c>
      <c r="P605" s="6" t="s">
        <v>720</v>
      </c>
      <c r="Q605" s="46" t="s">
        <v>4221</v>
      </c>
      <c r="R605" s="17" t="s">
        <v>4222</v>
      </c>
      <c r="S605" s="173" t="s">
        <v>749</v>
      </c>
      <c r="T605" s="11" t="s">
        <v>2328</v>
      </c>
      <c r="U605" s="6" t="s">
        <v>4202</v>
      </c>
      <c r="V605" s="6" t="s">
        <v>4202</v>
      </c>
      <c r="W605" s="6"/>
      <c r="X605" s="6"/>
      <c r="Y605" s="6" t="s">
        <v>4203</v>
      </c>
      <c r="Z605" s="26"/>
      <c r="AA605" s="7"/>
    </row>
    <row r="606" spans="1:28" ht="15.75" customHeight="1">
      <c r="A606" s="10" t="s">
        <v>4223</v>
      </c>
      <c r="B606" s="10" t="s">
        <v>1469</v>
      </c>
      <c r="C606" s="52" t="s">
        <v>868</v>
      </c>
      <c r="D606" s="12"/>
      <c r="E606" s="13" t="s">
        <v>53</v>
      </c>
      <c r="F606" s="6" t="s">
        <v>2362</v>
      </c>
      <c r="G606" s="6" t="str">
        <f ca="1">IFERROR(__xludf.DUMMYFUNCTION("CONCATENATE(B606,(VLOOKUP(C606,CATALOGOS!$F$2:$H$6,3,FALSE)),(VLOOKUP(T606,CATALOGOS!$J$2:$K$18,2,FALSE)),""-"",TO_TEXT(A606))"),"P13IR-0605")</f>
        <v>P13IR-0605</v>
      </c>
      <c r="H606" s="6" t="s">
        <v>4224</v>
      </c>
      <c r="I606" s="6" t="s">
        <v>4225</v>
      </c>
      <c r="J606" s="6" t="s">
        <v>4226</v>
      </c>
      <c r="K606" s="6" t="s">
        <v>4227</v>
      </c>
      <c r="L606" s="17"/>
      <c r="M606" s="17"/>
      <c r="N606" s="17" t="str">
        <f t="shared" si="2"/>
        <v>OK</v>
      </c>
      <c r="O606" s="17" t="s">
        <v>35</v>
      </c>
      <c r="P606" s="6" t="s">
        <v>35</v>
      </c>
      <c r="Q606" s="17" t="s">
        <v>36</v>
      </c>
      <c r="R606" s="17" t="s">
        <v>4228</v>
      </c>
      <c r="S606" s="173" t="s">
        <v>38</v>
      </c>
      <c r="T606" s="11" t="s">
        <v>2381</v>
      </c>
      <c r="U606" s="20" t="s">
        <v>3848</v>
      </c>
      <c r="V606" s="20" t="s">
        <v>3848</v>
      </c>
      <c r="W606" s="20"/>
      <c r="X606" s="7"/>
      <c r="Y606" s="7"/>
      <c r="Z606" s="23"/>
      <c r="AA606" s="26"/>
    </row>
    <row r="607" spans="1:28" ht="15.75" customHeight="1">
      <c r="A607" s="10" t="s">
        <v>4229</v>
      </c>
      <c r="B607" s="10" t="s">
        <v>1469</v>
      </c>
      <c r="C607" s="52" t="s">
        <v>868</v>
      </c>
      <c r="D607" s="12"/>
      <c r="E607" s="13" t="s">
        <v>93</v>
      </c>
      <c r="F607" s="6" t="s">
        <v>4230</v>
      </c>
      <c r="G607" s="6" t="str">
        <f ca="1">IFERROR(__xludf.DUMMYFUNCTION("CONCATENATE(B607,(VLOOKUP(C607,CATALOGOS!$F$2:$H$6,3,FALSE)),(VLOOKUP(T607,CATALOGOS!$J$2:$K$18,2,FALSE)),""-"",TO_TEXT(A607))"),"P13IR-0606")</f>
        <v>P13IR-0606</v>
      </c>
      <c r="H607" s="6" t="s">
        <v>4231</v>
      </c>
      <c r="I607" s="6" t="s">
        <v>4232</v>
      </c>
      <c r="J607" s="6" t="s">
        <v>4233</v>
      </c>
      <c r="K607" s="6" t="s">
        <v>4234</v>
      </c>
      <c r="L607" s="17"/>
      <c r="M607" s="17"/>
      <c r="N607" s="17" t="str">
        <f t="shared" si="2"/>
        <v>OK</v>
      </c>
      <c r="O607" s="17" t="s">
        <v>35</v>
      </c>
      <c r="P607" s="6" t="s">
        <v>35</v>
      </c>
      <c r="Q607" s="17" t="s">
        <v>36</v>
      </c>
      <c r="R607" s="17" t="s">
        <v>4235</v>
      </c>
      <c r="S607" s="173" t="s">
        <v>38</v>
      </c>
      <c r="T607" s="11" t="s">
        <v>2381</v>
      </c>
      <c r="U607" s="20" t="s">
        <v>3848</v>
      </c>
      <c r="V607" s="20" t="s">
        <v>3848</v>
      </c>
      <c r="W607" s="20"/>
      <c r="X607" s="7"/>
      <c r="Y607" s="7"/>
      <c r="Z607" s="23"/>
      <c r="AA607" s="26"/>
    </row>
    <row r="608" spans="1:28" ht="15.75" customHeight="1">
      <c r="A608" s="10" t="s">
        <v>4236</v>
      </c>
      <c r="B608" s="10" t="s">
        <v>1469</v>
      </c>
      <c r="C608" s="52" t="s">
        <v>868</v>
      </c>
      <c r="D608" s="12"/>
      <c r="E608" s="13" t="s">
        <v>378</v>
      </c>
      <c r="F608" s="6" t="s">
        <v>1306</v>
      </c>
      <c r="G608" s="6" t="str">
        <f ca="1">IFERROR(__xludf.DUMMYFUNCTION("CONCATENATE(B608,(VLOOKUP(C608,CATALOGOS!$F$2:$H$6,3,FALSE)),(VLOOKUP(T608,CATALOGOS!$J$2:$K$18,2,FALSE)),""-"",TO_TEXT(A608))"),"P13IR-0607")</f>
        <v>P13IR-0607</v>
      </c>
      <c r="H608" s="6" t="s">
        <v>4237</v>
      </c>
      <c r="I608" s="6" t="s">
        <v>4238</v>
      </c>
      <c r="J608" s="6" t="s">
        <v>4239</v>
      </c>
      <c r="K608" s="6" t="s">
        <v>4240</v>
      </c>
      <c r="L608" s="17"/>
      <c r="M608" s="17"/>
      <c r="N608" s="17" t="str">
        <f t="shared" si="2"/>
        <v>OK</v>
      </c>
      <c r="O608" s="17" t="s">
        <v>35</v>
      </c>
      <c r="P608" s="6" t="s">
        <v>35</v>
      </c>
      <c r="Q608" s="17" t="s">
        <v>36</v>
      </c>
      <c r="R608" s="17" t="s">
        <v>4241</v>
      </c>
      <c r="S608" s="173" t="s">
        <v>38</v>
      </c>
      <c r="T608" s="11" t="s">
        <v>2381</v>
      </c>
      <c r="U608" s="20" t="s">
        <v>3848</v>
      </c>
      <c r="V608" s="20" t="s">
        <v>3848</v>
      </c>
      <c r="W608" s="20"/>
      <c r="X608" s="7"/>
      <c r="Y608" s="7"/>
      <c r="Z608" s="23"/>
      <c r="AA608" s="26"/>
    </row>
    <row r="609" spans="1:27" ht="15.75" customHeight="1">
      <c r="A609" s="10" t="s">
        <v>4242</v>
      </c>
      <c r="B609" s="10" t="s">
        <v>1469</v>
      </c>
      <c r="C609" s="52" t="s">
        <v>868</v>
      </c>
      <c r="D609" s="12"/>
      <c r="E609" s="13" t="s">
        <v>29</v>
      </c>
      <c r="F609" s="6" t="s">
        <v>4243</v>
      </c>
      <c r="G609" s="6" t="str">
        <f ca="1">IFERROR(__xludf.DUMMYFUNCTION("CONCATENATE(B609,(VLOOKUP(C609,CATALOGOS!$F$2:$H$6,3,FALSE)),(VLOOKUP(T609,CATALOGOS!$J$2:$K$18,2,FALSE)),""-"",TO_TEXT(A609))"),"P13IR-0608")</f>
        <v>P13IR-0608</v>
      </c>
      <c r="H609" s="6" t="s">
        <v>4244</v>
      </c>
      <c r="I609" s="6" t="s">
        <v>4245</v>
      </c>
      <c r="J609" s="6" t="s">
        <v>4246</v>
      </c>
      <c r="K609" s="6" t="s">
        <v>4247</v>
      </c>
      <c r="L609" s="17"/>
      <c r="M609" s="17"/>
      <c r="N609" s="17" t="str">
        <f t="shared" si="2"/>
        <v>OK</v>
      </c>
      <c r="O609" s="17" t="s">
        <v>35</v>
      </c>
      <c r="P609" s="6" t="s">
        <v>35</v>
      </c>
      <c r="Q609" s="17" t="s">
        <v>36</v>
      </c>
      <c r="R609" s="17" t="s">
        <v>4248</v>
      </c>
      <c r="S609" s="173" t="s">
        <v>38</v>
      </c>
      <c r="T609" s="11" t="s">
        <v>2381</v>
      </c>
      <c r="U609" s="20" t="s">
        <v>3848</v>
      </c>
      <c r="V609" s="20" t="s">
        <v>3848</v>
      </c>
      <c r="W609" s="20"/>
      <c r="X609" s="7"/>
      <c r="Y609" s="7"/>
      <c r="Z609" s="23"/>
      <c r="AA609" s="26"/>
    </row>
    <row r="610" spans="1:27" ht="15.75" customHeight="1">
      <c r="A610" s="10" t="s">
        <v>4249</v>
      </c>
      <c r="B610" s="10" t="s">
        <v>1469</v>
      </c>
      <c r="C610" s="52" t="s">
        <v>868</v>
      </c>
      <c r="D610" s="12"/>
      <c r="E610" s="13" t="s">
        <v>62</v>
      </c>
      <c r="F610" s="6" t="s">
        <v>4250</v>
      </c>
      <c r="G610" s="6" t="str">
        <f ca="1">IFERROR(__xludf.DUMMYFUNCTION("CONCATENATE(B610,(VLOOKUP(C610,CATALOGOS!$F$2:$H$6,3,FALSE)),(VLOOKUP(T610,CATALOGOS!$J$2:$K$18,2,FALSE)),""-"",TO_TEXT(A610))"),"P13IR-0609")</f>
        <v>P13IR-0609</v>
      </c>
      <c r="H610" s="6" t="s">
        <v>4251</v>
      </c>
      <c r="I610" s="6" t="s">
        <v>4252</v>
      </c>
      <c r="J610" s="6" t="s">
        <v>4253</v>
      </c>
      <c r="K610" s="6" t="s">
        <v>4254</v>
      </c>
      <c r="L610" s="17"/>
      <c r="M610" s="17"/>
      <c r="N610" s="17" t="str">
        <f t="shared" si="2"/>
        <v>OK</v>
      </c>
      <c r="O610" s="17" t="s">
        <v>35</v>
      </c>
      <c r="P610" s="6" t="s">
        <v>35</v>
      </c>
      <c r="Q610" s="17" t="s">
        <v>36</v>
      </c>
      <c r="R610" s="17" t="s">
        <v>4255</v>
      </c>
      <c r="S610" s="173" t="s">
        <v>38</v>
      </c>
      <c r="T610" s="11" t="s">
        <v>2381</v>
      </c>
      <c r="U610" s="20" t="s">
        <v>3848</v>
      </c>
      <c r="V610" s="20" t="s">
        <v>3848</v>
      </c>
      <c r="W610" s="20"/>
      <c r="X610" s="7"/>
      <c r="Y610" s="7"/>
      <c r="Z610" s="23"/>
      <c r="AA610" s="26"/>
    </row>
    <row r="611" spans="1:27" ht="15.75" customHeight="1">
      <c r="A611" s="10" t="s">
        <v>4256</v>
      </c>
      <c r="B611" s="10" t="s">
        <v>1469</v>
      </c>
      <c r="C611" s="52" t="s">
        <v>868</v>
      </c>
      <c r="D611" s="12"/>
      <c r="E611" s="13" t="s">
        <v>71</v>
      </c>
      <c r="F611" s="6" t="s">
        <v>4257</v>
      </c>
      <c r="G611" s="6" t="str">
        <f ca="1">IFERROR(__xludf.DUMMYFUNCTION("CONCATENATE(B611,(VLOOKUP(C611,CATALOGOS!$F$2:$H$6,3,FALSE)),(VLOOKUP(T611,CATALOGOS!$J$2:$K$18,2,FALSE)),""-"",TO_TEXT(A611))"),"P13IR-0610")</f>
        <v>P13IR-0610</v>
      </c>
      <c r="H611" s="6" t="s">
        <v>4258</v>
      </c>
      <c r="I611" s="6" t="s">
        <v>4259</v>
      </c>
      <c r="J611" s="6" t="s">
        <v>4260</v>
      </c>
      <c r="K611" s="6" t="s">
        <v>4261</v>
      </c>
      <c r="L611" s="17"/>
      <c r="M611" s="17"/>
      <c r="N611" s="17" t="str">
        <f t="shared" si="2"/>
        <v>OK</v>
      </c>
      <c r="O611" s="17" t="s">
        <v>35</v>
      </c>
      <c r="P611" s="6" t="s">
        <v>35</v>
      </c>
      <c r="Q611" s="17" t="s">
        <v>36</v>
      </c>
      <c r="R611" s="17" t="s">
        <v>4262</v>
      </c>
      <c r="S611" s="173" t="s">
        <v>38</v>
      </c>
      <c r="T611" s="11" t="s">
        <v>2381</v>
      </c>
      <c r="U611" s="20" t="s">
        <v>3848</v>
      </c>
      <c r="V611" s="20" t="s">
        <v>3848</v>
      </c>
      <c r="W611" s="20"/>
      <c r="X611" s="7"/>
      <c r="Y611" s="7"/>
      <c r="Z611" s="23"/>
      <c r="AA611" s="26"/>
    </row>
    <row r="612" spans="1:27" ht="15.75" customHeight="1">
      <c r="A612" s="10" t="s">
        <v>4263</v>
      </c>
      <c r="B612" s="10" t="s">
        <v>1469</v>
      </c>
      <c r="C612" s="52" t="s">
        <v>868</v>
      </c>
      <c r="D612" s="12"/>
      <c r="E612" s="13" t="s">
        <v>116</v>
      </c>
      <c r="F612" s="6" t="s">
        <v>4264</v>
      </c>
      <c r="G612" s="6" t="str">
        <f ca="1">IFERROR(__xludf.DUMMYFUNCTION("CONCATENATE(B612,(VLOOKUP(C612,CATALOGOS!$F$2:$H$6,3,FALSE)),(VLOOKUP(T612,CATALOGOS!$J$2:$K$18,2,FALSE)),""-"",TO_TEXT(A612))"),"P13IR-0611")</f>
        <v>P13IR-0611</v>
      </c>
      <c r="H612" s="6" t="s">
        <v>4265</v>
      </c>
      <c r="I612" s="6" t="s">
        <v>4266</v>
      </c>
      <c r="J612" s="6" t="s">
        <v>4267</v>
      </c>
      <c r="K612" s="6" t="s">
        <v>4268</v>
      </c>
      <c r="L612" s="17"/>
      <c r="M612" s="17"/>
      <c r="N612" s="17" t="str">
        <f t="shared" si="2"/>
        <v>OK</v>
      </c>
      <c r="O612" s="17" t="s">
        <v>35</v>
      </c>
      <c r="P612" s="6" t="s">
        <v>35</v>
      </c>
      <c r="Q612" s="17" t="s">
        <v>36</v>
      </c>
      <c r="R612" s="17" t="s">
        <v>4269</v>
      </c>
      <c r="S612" s="173" t="s">
        <v>38</v>
      </c>
      <c r="T612" s="11" t="s">
        <v>2381</v>
      </c>
      <c r="U612" s="20" t="s">
        <v>3848</v>
      </c>
      <c r="V612" s="20" t="s">
        <v>3848</v>
      </c>
      <c r="W612" s="20"/>
      <c r="X612" s="7"/>
      <c r="Y612" s="7"/>
      <c r="Z612" s="23"/>
      <c r="AA612" s="26"/>
    </row>
    <row r="613" spans="1:27" ht="15.75" customHeight="1">
      <c r="A613" s="10" t="s">
        <v>4270</v>
      </c>
      <c r="B613" s="10" t="s">
        <v>1469</v>
      </c>
      <c r="C613" s="52" t="s">
        <v>868</v>
      </c>
      <c r="D613" s="12"/>
      <c r="E613" s="13" t="s">
        <v>136</v>
      </c>
      <c r="F613" s="43" t="s">
        <v>136</v>
      </c>
      <c r="G613" s="6" t="str">
        <f ca="1">IFERROR(__xludf.DUMMYFUNCTION("CONCATENATE(B613,(VLOOKUP(C613,CATALOGOS!$F$2:$H$6,3,FALSE)),(VLOOKUP(T613,CATALOGOS!$J$2:$K$18,2,FALSE)),""-"",TO_TEXT(A613))"),"P13IR-0612")</f>
        <v>P13IR-0612</v>
      </c>
      <c r="H613" s="6" t="s">
        <v>4271</v>
      </c>
      <c r="I613" s="6" t="s">
        <v>4272</v>
      </c>
      <c r="J613" s="6" t="s">
        <v>4273</v>
      </c>
      <c r="K613" s="6" t="s">
        <v>4274</v>
      </c>
      <c r="L613" s="17"/>
      <c r="M613" s="17"/>
      <c r="N613" s="17" t="str">
        <f t="shared" si="2"/>
        <v>OK</v>
      </c>
      <c r="O613" s="17" t="s">
        <v>703</v>
      </c>
      <c r="P613" s="6" t="s">
        <v>4275</v>
      </c>
      <c r="Q613" s="17" t="s">
        <v>4276</v>
      </c>
      <c r="R613" s="10" t="s">
        <v>4277</v>
      </c>
      <c r="S613" s="173" t="s">
        <v>38</v>
      </c>
      <c r="T613" s="11" t="s">
        <v>2381</v>
      </c>
      <c r="U613" s="20" t="s">
        <v>3848</v>
      </c>
      <c r="V613" s="20" t="s">
        <v>3848</v>
      </c>
      <c r="W613" s="20"/>
      <c r="X613" s="7"/>
      <c r="Y613" s="7"/>
      <c r="Z613" s="23"/>
      <c r="AA613" s="26"/>
    </row>
    <row r="614" spans="1:27" ht="15.75" customHeight="1">
      <c r="A614" s="10" t="s">
        <v>4278</v>
      </c>
      <c r="B614" s="10" t="s">
        <v>1469</v>
      </c>
      <c r="C614" s="52" t="s">
        <v>868</v>
      </c>
      <c r="D614" s="12"/>
      <c r="E614" s="13" t="s">
        <v>151</v>
      </c>
      <c r="F614" s="6" t="s">
        <v>152</v>
      </c>
      <c r="G614" s="6" t="str">
        <f ca="1">IFERROR(__xludf.DUMMYFUNCTION("CONCATENATE(B614,(VLOOKUP(C614,CATALOGOS!$F$2:$H$6,3,FALSE)),(VLOOKUP(T614,CATALOGOS!$J$2:$K$18,2,FALSE)),""-"",TO_TEXT(A614))"),"P13IR-0613")</f>
        <v>P13IR-0613</v>
      </c>
      <c r="H614" s="6" t="s">
        <v>4279</v>
      </c>
      <c r="I614" s="6" t="s">
        <v>4280</v>
      </c>
      <c r="J614" s="6" t="s">
        <v>4281</v>
      </c>
      <c r="K614" s="6" t="s">
        <v>4282</v>
      </c>
      <c r="L614" s="17"/>
      <c r="M614" s="17"/>
      <c r="N614" s="17" t="str">
        <f t="shared" si="2"/>
        <v>OK</v>
      </c>
      <c r="O614" s="17" t="s">
        <v>1220</v>
      </c>
      <c r="P614" s="6" t="s">
        <v>720</v>
      </c>
      <c r="Q614" s="17" t="s">
        <v>4283</v>
      </c>
      <c r="R614" s="17" t="s">
        <v>4284</v>
      </c>
      <c r="S614" s="173" t="s">
        <v>38</v>
      </c>
      <c r="T614" s="11" t="s">
        <v>2381</v>
      </c>
      <c r="U614" s="20" t="s">
        <v>3848</v>
      </c>
      <c r="V614" s="20" t="s">
        <v>3848</v>
      </c>
      <c r="W614" s="20"/>
      <c r="X614" s="7"/>
      <c r="Y614" s="7"/>
      <c r="Z614" s="23"/>
      <c r="AA614" s="26"/>
    </row>
    <row r="615" spans="1:27" ht="15.75" customHeight="1">
      <c r="A615" s="10" t="s">
        <v>4285</v>
      </c>
      <c r="B615" s="10" t="s">
        <v>1469</v>
      </c>
      <c r="C615" s="52" t="s">
        <v>868</v>
      </c>
      <c r="D615" s="12"/>
      <c r="E615" s="13" t="s">
        <v>199</v>
      </c>
      <c r="F615" s="43" t="s">
        <v>1394</v>
      </c>
      <c r="G615" s="6" t="str">
        <f ca="1">IFERROR(__xludf.DUMMYFUNCTION("CONCATENATE(B615,(VLOOKUP(C615,CATALOGOS!$F$2:$H$6,3,FALSE)),(VLOOKUP(T615,CATALOGOS!$J$2:$K$18,2,FALSE)),""-"",TO_TEXT(A615))"),"P13IR-0614")</f>
        <v>P13IR-0614</v>
      </c>
      <c r="H615" s="6" t="s">
        <v>4286</v>
      </c>
      <c r="I615" s="6" t="s">
        <v>4287</v>
      </c>
      <c r="J615" s="6" t="s">
        <v>4288</v>
      </c>
      <c r="K615" s="6" t="s">
        <v>4289</v>
      </c>
      <c r="L615" s="17"/>
      <c r="M615" s="17"/>
      <c r="N615" s="17" t="str">
        <f t="shared" si="2"/>
        <v>OK</v>
      </c>
      <c r="O615" s="17" t="s">
        <v>157</v>
      </c>
      <c r="P615" s="6">
        <v>2378</v>
      </c>
      <c r="Q615" s="17" t="s">
        <v>4290</v>
      </c>
      <c r="R615" s="10" t="s">
        <v>4291</v>
      </c>
      <c r="S615" s="173" t="s">
        <v>38</v>
      </c>
      <c r="T615" s="11" t="s">
        <v>2381</v>
      </c>
      <c r="U615" s="20" t="s">
        <v>3848</v>
      </c>
      <c r="V615" s="20" t="s">
        <v>3848</v>
      </c>
      <c r="W615" s="20"/>
      <c r="X615" s="7"/>
      <c r="Y615" s="7"/>
      <c r="Z615" s="23"/>
      <c r="AA615" s="26"/>
    </row>
    <row r="616" spans="1:27" ht="15.75" customHeight="1">
      <c r="A616" s="10" t="s">
        <v>4292</v>
      </c>
      <c r="B616" s="10" t="s">
        <v>1469</v>
      </c>
      <c r="C616" s="52" t="s">
        <v>868</v>
      </c>
      <c r="D616" s="12"/>
      <c r="E616" s="13" t="s">
        <v>43</v>
      </c>
      <c r="F616" s="43" t="s">
        <v>43</v>
      </c>
      <c r="G616" s="6" t="str">
        <f ca="1">IFERROR(__xludf.DUMMYFUNCTION("CONCATENATE(B616,(VLOOKUP(C616,CATALOGOS!$F$2:$H$6,3,FALSE)),(VLOOKUP(T616,CATALOGOS!$J$2:$K$18,2,FALSE)),""-"",TO_TEXT(A616))"),"P13IR-0615")</f>
        <v>P13IR-0615</v>
      </c>
      <c r="H616" s="6" t="s">
        <v>4293</v>
      </c>
      <c r="I616" s="6" t="s">
        <v>4294</v>
      </c>
      <c r="J616" s="6" t="s">
        <v>4295</v>
      </c>
      <c r="K616" s="6" t="s">
        <v>4296</v>
      </c>
      <c r="L616" s="17"/>
      <c r="M616" s="17"/>
      <c r="N616" s="17" t="str">
        <f t="shared" si="2"/>
        <v>OK</v>
      </c>
      <c r="O616" s="17" t="s">
        <v>49</v>
      </c>
      <c r="P616" s="6" t="s">
        <v>4297</v>
      </c>
      <c r="Q616" s="17" t="s">
        <v>36</v>
      </c>
      <c r="R616" s="17" t="s">
        <v>4298</v>
      </c>
      <c r="S616" s="173" t="s">
        <v>38</v>
      </c>
      <c r="T616" s="11" t="s">
        <v>2381</v>
      </c>
      <c r="U616" s="20" t="s">
        <v>3848</v>
      </c>
      <c r="V616" s="20" t="s">
        <v>3848</v>
      </c>
      <c r="W616" s="20"/>
      <c r="X616" s="7"/>
      <c r="Y616" s="7"/>
      <c r="Z616" s="23"/>
      <c r="AA616" s="26"/>
    </row>
    <row r="617" spans="1:27" ht="15.75" customHeight="1">
      <c r="A617" s="10" t="s">
        <v>4299</v>
      </c>
      <c r="B617" s="10" t="s">
        <v>1469</v>
      </c>
      <c r="C617" s="52" t="s">
        <v>868</v>
      </c>
      <c r="D617" s="12"/>
      <c r="E617" s="13" t="s">
        <v>353</v>
      </c>
      <c r="F617" s="43" t="s">
        <v>638</v>
      </c>
      <c r="G617" s="6" t="str">
        <f ca="1">IFERROR(__xludf.DUMMYFUNCTION("CONCATENATE(B617,(VLOOKUP(C617,CATALOGOS!$F$2:$H$6,3,FALSE)),(VLOOKUP(T617,CATALOGOS!$J$2:$K$18,2,FALSE)),""-"",TO_TEXT(A617))"),"P13IR-0616")</f>
        <v>P13IR-0616</v>
      </c>
      <c r="H617" s="6" t="s">
        <v>4300</v>
      </c>
      <c r="I617" s="6" t="s">
        <v>4301</v>
      </c>
      <c r="J617" s="6" t="s">
        <v>4302</v>
      </c>
      <c r="K617" s="6" t="s">
        <v>4303</v>
      </c>
      <c r="L617" s="17"/>
      <c r="M617" s="17"/>
      <c r="N617" s="17" t="str">
        <f t="shared" si="2"/>
        <v>OK</v>
      </c>
      <c r="O617" s="17" t="s">
        <v>359</v>
      </c>
      <c r="P617" s="6">
        <v>1200</v>
      </c>
      <c r="Q617" s="17" t="s">
        <v>4304</v>
      </c>
      <c r="R617" s="17" t="s">
        <v>4305</v>
      </c>
      <c r="S617" s="173" t="s">
        <v>38</v>
      </c>
      <c r="T617" s="11" t="s">
        <v>2381</v>
      </c>
      <c r="U617" s="20" t="s">
        <v>3848</v>
      </c>
      <c r="V617" s="20" t="s">
        <v>3848</v>
      </c>
      <c r="W617" s="20"/>
      <c r="X617" s="7"/>
      <c r="Y617" s="7"/>
      <c r="Z617" s="23"/>
      <c r="AA617" s="26"/>
    </row>
    <row r="618" spans="1:27" ht="15.75" customHeight="1">
      <c r="A618" s="10" t="s">
        <v>4306</v>
      </c>
      <c r="B618" s="10" t="s">
        <v>1469</v>
      </c>
      <c r="C618" s="52" t="s">
        <v>868</v>
      </c>
      <c r="D618" s="12"/>
      <c r="E618" s="13" t="s">
        <v>378</v>
      </c>
      <c r="F618" s="43" t="s">
        <v>379</v>
      </c>
      <c r="G618" s="6" t="str">
        <f ca="1">IFERROR(__xludf.DUMMYFUNCTION("CONCATENATE(B618,(VLOOKUP(C618,CATALOGOS!$F$2:$H$6,3,FALSE)),(VLOOKUP(T618,CATALOGOS!$J$2:$K$18,2,FALSE)),""-"",TO_TEXT(A618))"),"P13LP-0617")</f>
        <v>P13LP-0617</v>
      </c>
      <c r="H618" s="6" t="s">
        <v>4307</v>
      </c>
      <c r="I618" s="6" t="s">
        <v>4308</v>
      </c>
      <c r="J618" s="6" t="s">
        <v>4309</v>
      </c>
      <c r="K618" s="6" t="s">
        <v>4310</v>
      </c>
      <c r="L618" s="17"/>
      <c r="M618" s="17"/>
      <c r="N618" s="17" t="str">
        <f t="shared" si="2"/>
        <v>OK</v>
      </c>
      <c r="O618" s="17" t="s">
        <v>35</v>
      </c>
      <c r="P618" s="6" t="s">
        <v>35</v>
      </c>
      <c r="Q618" s="17" t="s">
        <v>36</v>
      </c>
      <c r="R618" s="17" t="s">
        <v>4311</v>
      </c>
      <c r="S618" s="173" t="s">
        <v>38</v>
      </c>
      <c r="T618" s="11" t="s">
        <v>2328</v>
      </c>
      <c r="U618" s="20" t="s">
        <v>4313</v>
      </c>
      <c r="V618" s="20" t="s">
        <v>4313</v>
      </c>
      <c r="W618" s="20"/>
      <c r="X618" s="7"/>
      <c r="Y618" s="7"/>
      <c r="Z618" s="23"/>
      <c r="AA618" s="26"/>
    </row>
    <row r="619" spans="1:27" ht="15.75" customHeight="1">
      <c r="A619" s="10" t="s">
        <v>4314</v>
      </c>
      <c r="B619" s="10" t="s">
        <v>1469</v>
      </c>
      <c r="C619" s="52" t="s">
        <v>868</v>
      </c>
      <c r="D619" s="12"/>
      <c r="E619" s="13" t="s">
        <v>1240</v>
      </c>
      <c r="F619" s="43" t="s">
        <v>278</v>
      </c>
      <c r="G619" s="6" t="str">
        <f ca="1">IFERROR(__xludf.DUMMYFUNCTION("CONCATENATE(B619,(VLOOKUP(C619,CATALOGOS!$F$2:$H$6,3,FALSE)),(VLOOKUP(T619,CATALOGOS!$J$2:$K$18,2,FALSE)),""-"",TO_TEXT(A619))"),"P13IR-0618")</f>
        <v>P13IR-0618</v>
      </c>
      <c r="H619" s="6" t="s">
        <v>4315</v>
      </c>
      <c r="I619" s="6" t="s">
        <v>4316</v>
      </c>
      <c r="J619" s="6" t="s">
        <v>4317</v>
      </c>
      <c r="K619" s="6" t="s">
        <v>4318</v>
      </c>
      <c r="L619" s="17"/>
      <c r="M619" s="17"/>
      <c r="N619" s="17" t="str">
        <f t="shared" si="2"/>
        <v>OK</v>
      </c>
      <c r="O619" s="17" t="s">
        <v>35</v>
      </c>
      <c r="P619" s="6" t="s">
        <v>35</v>
      </c>
      <c r="Q619" s="17" t="s">
        <v>36</v>
      </c>
      <c r="R619" s="17" t="s">
        <v>4319</v>
      </c>
      <c r="S619" s="173" t="s">
        <v>38</v>
      </c>
      <c r="T619" s="11" t="s">
        <v>2381</v>
      </c>
      <c r="U619" s="20" t="s">
        <v>3848</v>
      </c>
      <c r="V619" s="20" t="s">
        <v>3848</v>
      </c>
      <c r="W619" s="20"/>
      <c r="X619" s="7"/>
      <c r="Y619" s="7"/>
      <c r="Z619" s="23"/>
      <c r="AA619" s="26"/>
    </row>
    <row r="620" spans="1:27" ht="15.75" customHeight="1">
      <c r="A620" s="10" t="s">
        <v>4320</v>
      </c>
      <c r="B620" s="10" t="s">
        <v>1469</v>
      </c>
      <c r="C620" s="52" t="s">
        <v>868</v>
      </c>
      <c r="D620" s="38"/>
      <c r="E620" s="13" t="s">
        <v>29</v>
      </c>
      <c r="F620" s="43" t="s">
        <v>1166</v>
      </c>
      <c r="G620" s="6" t="str">
        <f ca="1">IFERROR(__xludf.DUMMYFUNCTION("CONCATENATE(B620,(VLOOKUP(C620,CATALOGOS!$F$2:$H$6,3,FALSE)),(VLOOKUP(T620,CATALOGOS!$J$2:$K$18,2,FALSE)),""-"",TO_TEXT(A620))"),"P13IR-0619")</f>
        <v>P13IR-0619</v>
      </c>
      <c r="H620" s="6" t="s">
        <v>4321</v>
      </c>
      <c r="I620" s="54"/>
      <c r="J620" s="6" t="s">
        <v>4322</v>
      </c>
      <c r="K620" s="6" t="s">
        <v>4323</v>
      </c>
      <c r="L620" s="17"/>
      <c r="M620" s="17"/>
      <c r="N620" s="17" t="str">
        <f t="shared" si="2"/>
        <v>OK</v>
      </c>
      <c r="O620" s="17" t="s">
        <v>35</v>
      </c>
      <c r="P620" s="6" t="s">
        <v>35</v>
      </c>
      <c r="Q620" s="46" t="s">
        <v>36</v>
      </c>
      <c r="R620" s="17" t="s">
        <v>85</v>
      </c>
      <c r="S620" s="173" t="s">
        <v>38</v>
      </c>
      <c r="T620" s="11" t="s">
        <v>2381</v>
      </c>
      <c r="U620" s="32" t="s">
        <v>3840</v>
      </c>
      <c r="V620" s="32" t="s">
        <v>3840</v>
      </c>
      <c r="W620" s="32"/>
      <c r="X620" s="7"/>
      <c r="Y620" s="7"/>
      <c r="Z620" s="26"/>
      <c r="AA620" s="26"/>
    </row>
    <row r="621" spans="1:27" ht="15.75" customHeight="1">
      <c r="A621" s="10" t="s">
        <v>4324</v>
      </c>
      <c r="B621" s="10" t="s">
        <v>1469</v>
      </c>
      <c r="C621" s="52" t="s">
        <v>868</v>
      </c>
      <c r="D621" s="12"/>
      <c r="E621" s="13" t="s">
        <v>116</v>
      </c>
      <c r="F621" s="6" t="s">
        <v>117</v>
      </c>
      <c r="G621" s="6" t="str">
        <f ca="1">IFERROR(__xludf.DUMMYFUNCTION("CONCATENATE(B621,(VLOOKUP(C621,CATALOGOS!$F$2:$H$6,3,FALSE)),(VLOOKUP(T621,CATALOGOS!$J$2:$K$18,2,FALSE)),""-"",TO_TEXT(A621))"),"P13IR-0620")</f>
        <v>P13IR-0620</v>
      </c>
      <c r="H621" s="6" t="s">
        <v>4325</v>
      </c>
      <c r="I621" s="6" t="s">
        <v>4326</v>
      </c>
      <c r="J621" s="6" t="s">
        <v>4327</v>
      </c>
      <c r="K621" s="6" t="s">
        <v>4328</v>
      </c>
      <c r="L621" s="17"/>
      <c r="M621" s="17"/>
      <c r="N621" s="17" t="str">
        <f t="shared" si="2"/>
        <v>OK</v>
      </c>
      <c r="O621" s="17" t="s">
        <v>35</v>
      </c>
      <c r="P621" s="49" t="s">
        <v>35</v>
      </c>
      <c r="Q621" s="17" t="s">
        <v>36</v>
      </c>
      <c r="R621" s="17" t="s">
        <v>4329</v>
      </c>
      <c r="S621" s="173" t="s">
        <v>38</v>
      </c>
      <c r="T621" s="11" t="s">
        <v>2381</v>
      </c>
      <c r="U621" s="22" t="s">
        <v>3840</v>
      </c>
      <c r="V621" s="22" t="s">
        <v>3840</v>
      </c>
      <c r="W621" s="22"/>
      <c r="X621" s="7"/>
      <c r="Y621" s="7"/>
      <c r="Z621" s="23"/>
      <c r="AA621" s="26"/>
    </row>
    <row r="622" spans="1:27" ht="15.75" customHeight="1">
      <c r="A622" s="10" t="s">
        <v>4330</v>
      </c>
      <c r="B622" s="10" t="s">
        <v>1469</v>
      </c>
      <c r="C622" s="52" t="s">
        <v>868</v>
      </c>
      <c r="D622" s="12"/>
      <c r="E622" s="13" t="s">
        <v>116</v>
      </c>
      <c r="F622" s="6" t="s">
        <v>4153</v>
      </c>
      <c r="G622" s="6" t="str">
        <f ca="1">IFERROR(__xludf.DUMMYFUNCTION("CONCATENATE(B622,(VLOOKUP(C622,CATALOGOS!$F$2:$H$6,3,FALSE)),(VLOOKUP(T622,CATALOGOS!$J$2:$K$18,2,FALSE)),""-"",TO_TEXT(A622))"),"P13IR-0621")</f>
        <v>P13IR-0621</v>
      </c>
      <c r="H622" s="6" t="s">
        <v>4331</v>
      </c>
      <c r="I622" s="6" t="s">
        <v>4332</v>
      </c>
      <c r="J622" s="6" t="s">
        <v>4333</v>
      </c>
      <c r="K622" s="6" t="s">
        <v>4334</v>
      </c>
      <c r="L622" s="17"/>
      <c r="M622" s="17"/>
      <c r="N622" s="17" t="str">
        <f t="shared" si="2"/>
        <v>OK</v>
      </c>
      <c r="O622" s="17" t="s">
        <v>35</v>
      </c>
      <c r="P622" s="6" t="s">
        <v>35</v>
      </c>
      <c r="Q622" s="17" t="s">
        <v>36</v>
      </c>
      <c r="R622" s="17" t="s">
        <v>4335</v>
      </c>
      <c r="S622" s="173" t="s">
        <v>38</v>
      </c>
      <c r="T622" s="11" t="s">
        <v>2381</v>
      </c>
      <c r="U622" s="22" t="s">
        <v>3840</v>
      </c>
      <c r="V622" s="22" t="s">
        <v>3840</v>
      </c>
      <c r="W622" s="22"/>
      <c r="X622" s="7"/>
      <c r="Y622" s="7"/>
      <c r="Z622" s="23"/>
      <c r="AA622" s="26"/>
    </row>
    <row r="623" spans="1:27" ht="15.75" customHeight="1">
      <c r="A623" s="10" t="s">
        <v>4336</v>
      </c>
      <c r="B623" s="10" t="s">
        <v>1469</v>
      </c>
      <c r="C623" s="52" t="s">
        <v>868</v>
      </c>
      <c r="D623" s="12"/>
      <c r="E623" s="13" t="s">
        <v>1240</v>
      </c>
      <c r="F623" s="43" t="s">
        <v>278</v>
      </c>
      <c r="G623" s="6" t="str">
        <f ca="1">IFERROR(__xludf.DUMMYFUNCTION("CONCATENATE(B623,(VLOOKUP(C623,CATALOGOS!$F$2:$H$6,3,FALSE)),(VLOOKUP(T623,CATALOGOS!$J$2:$K$18,2,FALSE)),""-"",TO_TEXT(A623))"),"P13IR-0622")</f>
        <v>P13IR-0622</v>
      </c>
      <c r="H623" s="6" t="s">
        <v>4337</v>
      </c>
      <c r="I623" s="6" t="s">
        <v>4338</v>
      </c>
      <c r="J623" s="6" t="s">
        <v>4339</v>
      </c>
      <c r="K623" s="6" t="s">
        <v>4340</v>
      </c>
      <c r="L623" s="17"/>
      <c r="M623" s="17"/>
      <c r="N623" s="17" t="str">
        <f t="shared" si="2"/>
        <v>OK</v>
      </c>
      <c r="O623" s="17" t="s">
        <v>35</v>
      </c>
      <c r="P623" s="49" t="s">
        <v>35</v>
      </c>
      <c r="Q623" s="17" t="s">
        <v>36</v>
      </c>
      <c r="R623" s="17" t="s">
        <v>4341</v>
      </c>
      <c r="S623" s="173" t="s">
        <v>38</v>
      </c>
      <c r="T623" s="11" t="s">
        <v>2381</v>
      </c>
      <c r="U623" s="22" t="s">
        <v>3840</v>
      </c>
      <c r="V623" s="22" t="s">
        <v>3840</v>
      </c>
      <c r="W623" s="22"/>
      <c r="X623" s="7"/>
      <c r="Y623" s="7"/>
      <c r="Z623" s="23"/>
      <c r="AA623" s="26"/>
    </row>
    <row r="624" spans="1:27" ht="15.75" customHeight="1">
      <c r="A624" s="10" t="s">
        <v>4342</v>
      </c>
      <c r="B624" s="10" t="s">
        <v>1469</v>
      </c>
      <c r="C624" s="52" t="s">
        <v>868</v>
      </c>
      <c r="D624" s="12"/>
      <c r="E624" s="13" t="s">
        <v>248</v>
      </c>
      <c r="F624" s="43" t="s">
        <v>249</v>
      </c>
      <c r="G624" s="6" t="str">
        <f ca="1">IFERROR(__xludf.DUMMYFUNCTION("CONCATENATE(B624,(VLOOKUP(C624,CATALOGOS!$F$2:$H$6,3,FALSE)),(VLOOKUP(T624,CATALOGOS!$J$2:$K$18,2,FALSE)),""-"",TO_TEXT(A624))"),"P13IR-0623")</f>
        <v>P13IR-0623</v>
      </c>
      <c r="H624" s="6" t="s">
        <v>4343</v>
      </c>
      <c r="I624" s="6" t="s">
        <v>4344</v>
      </c>
      <c r="J624" s="6" t="s">
        <v>4345</v>
      </c>
      <c r="K624" s="6" t="s">
        <v>4346</v>
      </c>
      <c r="L624" s="17"/>
      <c r="M624" s="17"/>
      <c r="N624" s="17" t="str">
        <f t="shared" si="2"/>
        <v>OK</v>
      </c>
      <c r="O624" s="17" t="s">
        <v>978</v>
      </c>
      <c r="P624" s="6" t="s">
        <v>979</v>
      </c>
      <c r="Q624" s="17" t="s">
        <v>4347</v>
      </c>
      <c r="R624" s="17" t="s">
        <v>4348</v>
      </c>
      <c r="S624" s="173" t="s">
        <v>38</v>
      </c>
      <c r="T624" s="11" t="s">
        <v>2381</v>
      </c>
      <c r="U624" s="22" t="s">
        <v>3840</v>
      </c>
      <c r="V624" s="22" t="s">
        <v>3840</v>
      </c>
      <c r="W624" s="22"/>
      <c r="X624" s="7"/>
      <c r="Y624" s="7"/>
      <c r="Z624" s="23"/>
      <c r="AA624" s="26"/>
    </row>
    <row r="625" spans="1:28" ht="15.75" customHeight="1">
      <c r="A625" s="10" t="s">
        <v>4349</v>
      </c>
      <c r="B625" s="10" t="s">
        <v>1469</v>
      </c>
      <c r="C625" s="52" t="s">
        <v>868</v>
      </c>
      <c r="D625" s="12"/>
      <c r="E625" s="13" t="s">
        <v>199</v>
      </c>
      <c r="F625" s="6" t="s">
        <v>199</v>
      </c>
      <c r="G625" s="6" t="str">
        <f ca="1">IFERROR(__xludf.DUMMYFUNCTION("CONCATENATE(B625,(VLOOKUP(C625,CATALOGOS!$F$2:$H$6,3,FALSE)),(VLOOKUP(T625,CATALOGOS!$J$2:$K$18,2,FALSE)),""-"",TO_TEXT(A625))"),"P13IR-0624")</f>
        <v>P13IR-0624</v>
      </c>
      <c r="H625" s="6" t="s">
        <v>4350</v>
      </c>
      <c r="I625" s="6" t="s">
        <v>4351</v>
      </c>
      <c r="J625" s="37"/>
      <c r="K625" s="6" t="s">
        <v>4352</v>
      </c>
      <c r="L625" s="17"/>
      <c r="M625" s="17"/>
      <c r="N625" s="17" t="str">
        <f t="shared" si="2"/>
        <v>OK</v>
      </c>
      <c r="O625" s="17" t="s">
        <v>273</v>
      </c>
      <c r="P625" s="6" t="s">
        <v>274</v>
      </c>
      <c r="Q625" s="6">
        <v>11392903012343</v>
      </c>
      <c r="R625" s="10" t="s">
        <v>85</v>
      </c>
      <c r="S625" s="173" t="s">
        <v>38</v>
      </c>
      <c r="T625" s="11" t="s">
        <v>2381</v>
      </c>
      <c r="U625" s="22" t="s">
        <v>3840</v>
      </c>
      <c r="V625" s="22" t="s">
        <v>3840</v>
      </c>
      <c r="W625" s="22"/>
      <c r="X625" s="6"/>
      <c r="Y625" s="6"/>
      <c r="Z625" s="41" t="s">
        <v>92</v>
      </c>
      <c r="AA625" s="42">
        <v>44348</v>
      </c>
      <c r="AB625" s="8" t="s">
        <v>276</v>
      </c>
    </row>
    <row r="626" spans="1:28" ht="15.75" customHeight="1">
      <c r="A626" s="10" t="s">
        <v>4353</v>
      </c>
      <c r="B626" s="10" t="s">
        <v>1469</v>
      </c>
      <c r="C626" s="52" t="s">
        <v>868</v>
      </c>
      <c r="D626" s="12"/>
      <c r="E626" s="13" t="s">
        <v>151</v>
      </c>
      <c r="F626" s="6" t="s">
        <v>4113</v>
      </c>
      <c r="G626" s="6" t="str">
        <f ca="1">IFERROR(__xludf.DUMMYFUNCTION("CONCATENATE(B626,(VLOOKUP(C626,CATALOGOS!$F$2:$H$6,3,FALSE)),(VLOOKUP(T626,CATALOGOS!$J$2:$K$18,2,FALSE)),""-"",TO_TEXT(A626))"),"P13IR-0625")</f>
        <v>P13IR-0625</v>
      </c>
      <c r="H626" s="6" t="s">
        <v>4354</v>
      </c>
      <c r="I626" s="6" t="s">
        <v>4355</v>
      </c>
      <c r="J626" s="37"/>
      <c r="K626" s="6" t="s">
        <v>4356</v>
      </c>
      <c r="L626" s="17"/>
      <c r="M626" s="17"/>
      <c r="N626" s="17" t="str">
        <f t="shared" si="2"/>
        <v>OK</v>
      </c>
      <c r="O626" s="17" t="s">
        <v>297</v>
      </c>
      <c r="P626" s="6" t="s">
        <v>298</v>
      </c>
      <c r="Q626" s="6" t="s">
        <v>4357</v>
      </c>
      <c r="R626" s="10" t="s">
        <v>85</v>
      </c>
      <c r="S626" s="178" t="s">
        <v>971</v>
      </c>
      <c r="T626" s="11" t="s">
        <v>2381</v>
      </c>
      <c r="U626" s="22" t="s">
        <v>3840</v>
      </c>
      <c r="V626" s="22" t="s">
        <v>3840</v>
      </c>
      <c r="W626" s="22"/>
      <c r="X626" s="6"/>
      <c r="Y626" s="6"/>
      <c r="Z626" s="73" t="s">
        <v>92</v>
      </c>
      <c r="AA626" s="42">
        <v>44348</v>
      </c>
      <c r="AB626" s="8">
        <v>0</v>
      </c>
    </row>
    <row r="627" spans="1:28" ht="15.75" customHeight="1">
      <c r="A627" s="10" t="s">
        <v>4358</v>
      </c>
      <c r="B627" s="10" t="s">
        <v>1469</v>
      </c>
      <c r="C627" s="52" t="s">
        <v>868</v>
      </c>
      <c r="D627" s="38"/>
      <c r="E627" s="13" t="s">
        <v>93</v>
      </c>
      <c r="F627" s="6" t="s">
        <v>1380</v>
      </c>
      <c r="G627" s="6" t="str">
        <f ca="1">IFERROR(__xludf.DUMMYFUNCTION("CONCATENATE(B627,(VLOOKUP(C627,CATALOGOS!$F$2:$H$6,3,FALSE)),(VLOOKUP(T627,CATALOGOS!$J$2:$K$18,2,FALSE)),""-"",TO_TEXT(A627))"),"P13LP-0626")</f>
        <v>P13LP-0626</v>
      </c>
      <c r="H627" s="6" t="s">
        <v>4359</v>
      </c>
      <c r="I627" s="6" t="s">
        <v>4360</v>
      </c>
      <c r="J627" s="6" t="s">
        <v>4361</v>
      </c>
      <c r="K627" s="6" t="s">
        <v>4362</v>
      </c>
      <c r="L627" s="17"/>
      <c r="M627" s="17"/>
      <c r="N627" s="17" t="str">
        <f t="shared" si="2"/>
        <v>OK</v>
      </c>
      <c r="O627" s="17" t="s">
        <v>35</v>
      </c>
      <c r="P627" s="6" t="s">
        <v>35</v>
      </c>
      <c r="Q627" s="46" t="s">
        <v>36</v>
      </c>
      <c r="R627" s="17" t="s">
        <v>4363</v>
      </c>
      <c r="S627" s="173" t="s">
        <v>38</v>
      </c>
      <c r="T627" s="11" t="s">
        <v>2328</v>
      </c>
      <c r="U627" s="10" t="s">
        <v>4313</v>
      </c>
      <c r="V627" s="10" t="s">
        <v>4313</v>
      </c>
      <c r="W627" s="10"/>
      <c r="X627" s="7"/>
      <c r="Y627" s="7"/>
      <c r="Z627" s="23"/>
      <c r="AA627" s="26"/>
    </row>
    <row r="628" spans="1:28" ht="15.75" customHeight="1">
      <c r="A628" s="10" t="s">
        <v>4364</v>
      </c>
      <c r="B628" s="10" t="s">
        <v>1469</v>
      </c>
      <c r="C628" s="52" t="s">
        <v>868</v>
      </c>
      <c r="D628" s="12"/>
      <c r="E628" s="13" t="s">
        <v>93</v>
      </c>
      <c r="F628" s="6" t="s">
        <v>3893</v>
      </c>
      <c r="G628" s="6" t="str">
        <f ca="1">IFERROR(__xludf.DUMMYFUNCTION("CONCATENATE(B628,(VLOOKUP(C628,CATALOGOS!$F$2:$H$6,3,FALSE)),(VLOOKUP(T628,CATALOGOS!$J$2:$K$18,2,FALSE)),""-"",TO_TEXT(A628))"),"P13LP-0627")</f>
        <v>P13LP-0627</v>
      </c>
      <c r="H628" s="6" t="s">
        <v>4365</v>
      </c>
      <c r="I628" s="6" t="s">
        <v>4366</v>
      </c>
      <c r="J628" s="36"/>
      <c r="K628" s="6" t="s">
        <v>141</v>
      </c>
      <c r="L628" s="17"/>
      <c r="M628" s="17"/>
      <c r="N628" s="17" t="str">
        <f t="shared" si="2"/>
        <v>REPETIDO</v>
      </c>
      <c r="O628" s="35" t="s">
        <v>35</v>
      </c>
      <c r="P628" s="6" t="s">
        <v>35</v>
      </c>
      <c r="Q628" s="10" t="s">
        <v>36</v>
      </c>
      <c r="R628" s="32" t="s">
        <v>85</v>
      </c>
      <c r="S628" s="173" t="s">
        <v>38</v>
      </c>
      <c r="T628" s="11" t="s">
        <v>2328</v>
      </c>
      <c r="U628" s="20" t="s">
        <v>4313</v>
      </c>
      <c r="V628" s="20" t="s">
        <v>4313</v>
      </c>
      <c r="W628" s="20"/>
      <c r="X628" s="6"/>
      <c r="Y628" s="6"/>
      <c r="Z628" s="23"/>
      <c r="AA628" s="33"/>
    </row>
    <row r="629" spans="1:28" ht="15.75" customHeight="1">
      <c r="A629" s="10" t="s">
        <v>4367</v>
      </c>
      <c r="B629" s="10" t="s">
        <v>1469</v>
      </c>
      <c r="C629" s="52" t="s">
        <v>868</v>
      </c>
      <c r="D629" s="12"/>
      <c r="E629" s="13" t="s">
        <v>93</v>
      </c>
      <c r="F629" s="6" t="s">
        <v>4368</v>
      </c>
      <c r="G629" s="6" t="str">
        <f ca="1">IFERROR(__xludf.DUMMYFUNCTION("CONCATENATE(B629,(VLOOKUP(C629,CATALOGOS!$F$2:$H$6,3,FALSE)),(VLOOKUP(T629,CATALOGOS!$J$2:$K$18,2,FALSE)),""-"",TO_TEXT(A629))"),"P13IR-0628")</f>
        <v>P13IR-0628</v>
      </c>
      <c r="H629" s="6" t="s">
        <v>4369</v>
      </c>
      <c r="I629" s="6" t="s">
        <v>4370</v>
      </c>
      <c r="J629" s="6" t="s">
        <v>4371</v>
      </c>
      <c r="K629" s="6" t="s">
        <v>4372</v>
      </c>
      <c r="L629" s="17"/>
      <c r="M629" s="17"/>
      <c r="N629" s="17" t="str">
        <f t="shared" si="2"/>
        <v>OK</v>
      </c>
      <c r="O629" s="17" t="s">
        <v>35</v>
      </c>
      <c r="P629" s="6" t="s">
        <v>35</v>
      </c>
      <c r="Q629" s="17" t="s">
        <v>36</v>
      </c>
      <c r="R629" s="17" t="s">
        <v>4373</v>
      </c>
      <c r="S629" s="173" t="s">
        <v>38</v>
      </c>
      <c r="T629" s="11" t="s">
        <v>2381</v>
      </c>
      <c r="U629" s="20" t="s">
        <v>3840</v>
      </c>
      <c r="V629" s="20" t="s">
        <v>3840</v>
      </c>
      <c r="W629" s="20"/>
      <c r="X629" s="7"/>
      <c r="Y629" s="7"/>
      <c r="Z629" s="23"/>
      <c r="AA629" s="26"/>
    </row>
    <row r="630" spans="1:28" ht="15.75" customHeight="1">
      <c r="A630" s="10" t="s">
        <v>4374</v>
      </c>
      <c r="B630" s="10" t="s">
        <v>1469</v>
      </c>
      <c r="C630" s="52" t="s">
        <v>868</v>
      </c>
      <c r="D630" s="12"/>
      <c r="E630" s="13" t="s">
        <v>116</v>
      </c>
      <c r="F630" s="6" t="s">
        <v>4375</v>
      </c>
      <c r="G630" s="6" t="str">
        <f ca="1">IFERROR(__xludf.DUMMYFUNCTION("CONCATENATE(B630,(VLOOKUP(C630,CATALOGOS!$F$2:$H$6,3,FALSE)),(VLOOKUP(T630,CATALOGOS!$J$2:$K$18,2,FALSE)),""-"",TO_TEXT(A630))"),"P13LP-0629")</f>
        <v>P13LP-0629</v>
      </c>
      <c r="H630" s="6" t="s">
        <v>4376</v>
      </c>
      <c r="I630" s="6" t="s">
        <v>4377</v>
      </c>
      <c r="J630" s="6" t="s">
        <v>4378</v>
      </c>
      <c r="K630" s="6" t="s">
        <v>4379</v>
      </c>
      <c r="L630" s="17"/>
      <c r="M630" s="17"/>
      <c r="N630" s="17" t="str">
        <f t="shared" si="2"/>
        <v>OK</v>
      </c>
      <c r="O630" s="17" t="s">
        <v>35</v>
      </c>
      <c r="P630" s="49" t="s">
        <v>35</v>
      </c>
      <c r="Q630" s="17" t="s">
        <v>36</v>
      </c>
      <c r="R630" s="17" t="s">
        <v>4380</v>
      </c>
      <c r="S630" s="173" t="s">
        <v>38</v>
      </c>
      <c r="T630" s="11" t="s">
        <v>2328</v>
      </c>
      <c r="U630" s="20" t="s">
        <v>4313</v>
      </c>
      <c r="V630" s="20" t="s">
        <v>4313</v>
      </c>
      <c r="W630" s="20"/>
      <c r="X630" s="7"/>
      <c r="Y630" s="7"/>
      <c r="Z630" s="23"/>
      <c r="AA630" s="26"/>
    </row>
    <row r="631" spans="1:28" ht="15.75" customHeight="1">
      <c r="A631" s="10" t="s">
        <v>4381</v>
      </c>
      <c r="B631" s="10" t="s">
        <v>1469</v>
      </c>
      <c r="C631" s="52" t="s">
        <v>868</v>
      </c>
      <c r="D631" s="12"/>
      <c r="E631" s="13" t="s">
        <v>1240</v>
      </c>
      <c r="F631" s="43" t="s">
        <v>278</v>
      </c>
      <c r="G631" s="6" t="str">
        <f ca="1">IFERROR(__xludf.DUMMYFUNCTION("CONCATENATE(B631,(VLOOKUP(C631,CATALOGOS!$F$2:$H$6,3,FALSE)),(VLOOKUP(T631,CATALOGOS!$J$2:$K$18,2,FALSE)),""-"",TO_TEXT(A631))"),"P13LP-0630")</f>
        <v>P13LP-0630</v>
      </c>
      <c r="H631" s="6" t="s">
        <v>4382</v>
      </c>
      <c r="I631" s="6" t="s">
        <v>4383</v>
      </c>
      <c r="J631" s="6" t="s">
        <v>4384</v>
      </c>
      <c r="K631" s="6" t="s">
        <v>4385</v>
      </c>
      <c r="L631" s="17"/>
      <c r="M631" s="17"/>
      <c r="N631" s="17" t="str">
        <f t="shared" si="2"/>
        <v>OK</v>
      </c>
      <c r="O631" s="17" t="s">
        <v>35</v>
      </c>
      <c r="P631" s="6" t="s">
        <v>35</v>
      </c>
      <c r="Q631" s="17" t="s">
        <v>36</v>
      </c>
      <c r="R631" s="17" t="s">
        <v>4386</v>
      </c>
      <c r="S631" s="173" t="s">
        <v>38</v>
      </c>
      <c r="T631" s="11" t="s">
        <v>2328</v>
      </c>
      <c r="U631" s="20" t="s">
        <v>4313</v>
      </c>
      <c r="V631" s="20" t="s">
        <v>4313</v>
      </c>
      <c r="W631" s="20"/>
      <c r="X631" s="7"/>
      <c r="Y631" s="7"/>
      <c r="Z631" s="23"/>
      <c r="AA631" s="26"/>
    </row>
    <row r="632" spans="1:28" ht="15.75" customHeight="1">
      <c r="A632" s="10" t="s">
        <v>4387</v>
      </c>
      <c r="B632" s="10" t="s">
        <v>1469</v>
      </c>
      <c r="C632" s="52" t="s">
        <v>868</v>
      </c>
      <c r="D632" s="12"/>
      <c r="E632" s="13" t="s">
        <v>378</v>
      </c>
      <c r="F632" s="43" t="s">
        <v>379</v>
      </c>
      <c r="G632" s="6" t="str">
        <f ca="1">IFERROR(__xludf.DUMMYFUNCTION("CONCATENATE(B632,(VLOOKUP(C632,CATALOGOS!$F$2:$H$6,3,FALSE)),(VLOOKUP(T632,CATALOGOS!$J$2:$K$18,2,FALSE)),""-"",TO_TEXT(A632))"),"P13IR-0631")</f>
        <v>P13IR-0631</v>
      </c>
      <c r="H632" s="6" t="s">
        <v>4388</v>
      </c>
      <c r="I632" s="6" t="s">
        <v>4389</v>
      </c>
      <c r="J632" s="6" t="s">
        <v>4390</v>
      </c>
      <c r="K632" s="6" t="s">
        <v>4391</v>
      </c>
      <c r="L632" s="17"/>
      <c r="M632" s="17"/>
      <c r="N632" s="17" t="str">
        <f t="shared" si="2"/>
        <v>OK</v>
      </c>
      <c r="O632" s="17" t="s">
        <v>35</v>
      </c>
      <c r="P632" s="6" t="s">
        <v>35</v>
      </c>
      <c r="Q632" s="17" t="s">
        <v>36</v>
      </c>
      <c r="R632" s="17" t="s">
        <v>4392</v>
      </c>
      <c r="S632" s="179" t="s">
        <v>517</v>
      </c>
      <c r="T632" s="11" t="s">
        <v>2381</v>
      </c>
      <c r="U632" s="20" t="s">
        <v>4181</v>
      </c>
      <c r="V632" s="20" t="s">
        <v>4181</v>
      </c>
      <c r="W632" s="20"/>
      <c r="X632" s="7"/>
      <c r="Y632" s="7"/>
      <c r="Z632" s="23"/>
      <c r="AA632" s="26"/>
    </row>
    <row r="633" spans="1:28" ht="15.75" customHeight="1">
      <c r="A633" s="10" t="s">
        <v>4393</v>
      </c>
      <c r="B633" s="10" t="s">
        <v>1469</v>
      </c>
      <c r="C633" s="52" t="s">
        <v>868</v>
      </c>
      <c r="D633" s="12"/>
      <c r="E633" s="13" t="s">
        <v>248</v>
      </c>
      <c r="F633" s="43" t="s">
        <v>249</v>
      </c>
      <c r="G633" s="6" t="str">
        <f ca="1">IFERROR(__xludf.DUMMYFUNCTION("CONCATENATE(B633,(VLOOKUP(C633,CATALOGOS!$F$2:$H$6,3,FALSE)),(VLOOKUP(T633,CATALOGOS!$J$2:$K$18,2,FALSE)),""-"",TO_TEXT(A633))"),"P13LP-0632")</f>
        <v>P13LP-0632</v>
      </c>
      <c r="H633" s="6" t="s">
        <v>4394</v>
      </c>
      <c r="I633" s="6" t="s">
        <v>4395</v>
      </c>
      <c r="J633" s="6" t="s">
        <v>4396</v>
      </c>
      <c r="K633" s="6" t="s">
        <v>4397</v>
      </c>
      <c r="L633" s="17"/>
      <c r="M633" s="17"/>
      <c r="N633" s="17" t="str">
        <f t="shared" si="2"/>
        <v>OK</v>
      </c>
      <c r="O633" s="17" t="s">
        <v>978</v>
      </c>
      <c r="P633" s="6" t="s">
        <v>979</v>
      </c>
      <c r="Q633" s="17" t="s">
        <v>4398</v>
      </c>
      <c r="R633" s="17" t="s">
        <v>4399</v>
      </c>
      <c r="S633" s="173" t="s">
        <v>38</v>
      </c>
      <c r="T633" s="11" t="s">
        <v>2328</v>
      </c>
      <c r="U633" s="20" t="s">
        <v>4313</v>
      </c>
      <c r="V633" s="20" t="s">
        <v>4313</v>
      </c>
      <c r="W633" s="20"/>
      <c r="X633" s="7"/>
      <c r="Y633" s="7"/>
      <c r="Z633" s="23"/>
      <c r="AA633" s="26"/>
    </row>
    <row r="634" spans="1:28" ht="15.75" customHeight="1">
      <c r="A634" s="10" t="s">
        <v>4400</v>
      </c>
      <c r="B634" s="10" t="s">
        <v>1469</v>
      </c>
      <c r="C634" s="52" t="s">
        <v>868</v>
      </c>
      <c r="D634" s="12"/>
      <c r="E634" s="13" t="s">
        <v>199</v>
      </c>
      <c r="F634" s="6" t="s">
        <v>199</v>
      </c>
      <c r="G634" s="6" t="str">
        <f ca="1">IFERROR(__xludf.DUMMYFUNCTION("CONCATENATE(B634,(VLOOKUP(C634,CATALOGOS!$F$2:$H$6,3,FALSE)),(VLOOKUP(T634,CATALOGOS!$J$2:$K$18,2,FALSE)),""-"",TO_TEXT(A634))"),"P13LP-0633")</f>
        <v>P13LP-0633</v>
      </c>
      <c r="H634" s="6" t="s">
        <v>4401</v>
      </c>
      <c r="I634" s="6" t="s">
        <v>4402</v>
      </c>
      <c r="J634" s="37"/>
      <c r="K634" s="6" t="s">
        <v>4403</v>
      </c>
      <c r="L634" s="17"/>
      <c r="M634" s="17"/>
      <c r="N634" s="17" t="str">
        <f t="shared" si="2"/>
        <v>OK</v>
      </c>
      <c r="O634" s="17" t="s">
        <v>273</v>
      </c>
      <c r="P634" s="6" t="s">
        <v>274</v>
      </c>
      <c r="Q634" s="6">
        <v>11392903014920</v>
      </c>
      <c r="R634" s="10" t="s">
        <v>85</v>
      </c>
      <c r="S634" s="173" t="s">
        <v>38</v>
      </c>
      <c r="T634" s="11" t="s">
        <v>2328</v>
      </c>
      <c r="U634" s="20" t="s">
        <v>4313</v>
      </c>
      <c r="V634" s="20" t="s">
        <v>4313</v>
      </c>
      <c r="W634" s="20"/>
      <c r="X634" s="6"/>
      <c r="Y634" s="6"/>
      <c r="Z634" s="41" t="s">
        <v>275</v>
      </c>
      <c r="AA634" s="42">
        <v>44403</v>
      </c>
      <c r="AB634" s="8" t="s">
        <v>276</v>
      </c>
    </row>
    <row r="635" spans="1:28" ht="15.75" customHeight="1">
      <c r="A635" s="10" t="s">
        <v>4404</v>
      </c>
      <c r="B635" s="10" t="s">
        <v>1469</v>
      </c>
      <c r="C635" s="52" t="s">
        <v>868</v>
      </c>
      <c r="D635" s="12"/>
      <c r="E635" s="13" t="s">
        <v>151</v>
      </c>
      <c r="F635" s="6" t="s">
        <v>4113</v>
      </c>
      <c r="G635" s="6" t="str">
        <f ca="1">IFERROR(__xludf.DUMMYFUNCTION("CONCATENATE(B635,(VLOOKUP(C635,CATALOGOS!$F$2:$H$6,3,FALSE)),(VLOOKUP(T635,CATALOGOS!$J$2:$K$18,2,FALSE)),""-"",TO_TEXT(A635))"),"P13LP-0634")</f>
        <v>P13LP-0634</v>
      </c>
      <c r="H635" s="6" t="s">
        <v>4405</v>
      </c>
      <c r="I635" s="6" t="s">
        <v>4406</v>
      </c>
      <c r="J635" s="37"/>
      <c r="K635" s="6" t="s">
        <v>4407</v>
      </c>
      <c r="L635" s="17"/>
      <c r="M635" s="17"/>
      <c r="N635" s="17" t="str">
        <f t="shared" si="2"/>
        <v>OK</v>
      </c>
      <c r="O635" s="17" t="s">
        <v>297</v>
      </c>
      <c r="P635" s="6" t="s">
        <v>298</v>
      </c>
      <c r="Q635" s="6" t="s">
        <v>4408</v>
      </c>
      <c r="R635" s="10" t="s">
        <v>85</v>
      </c>
      <c r="S635" s="173" t="s">
        <v>38</v>
      </c>
      <c r="T635" s="11" t="s">
        <v>2328</v>
      </c>
      <c r="U635" s="20" t="s">
        <v>4313</v>
      </c>
      <c r="V635" s="20" t="s">
        <v>4313</v>
      </c>
      <c r="W635" s="20"/>
      <c r="X635" s="6"/>
      <c r="Y635" s="6"/>
      <c r="Z635" s="41" t="s">
        <v>275</v>
      </c>
      <c r="AA635" s="42">
        <v>44403</v>
      </c>
      <c r="AB635" s="8">
        <v>0</v>
      </c>
    </row>
    <row r="636" spans="1:28" ht="15.75" customHeight="1">
      <c r="A636" s="10" t="s">
        <v>4409</v>
      </c>
      <c r="B636" s="10" t="s">
        <v>1469</v>
      </c>
      <c r="C636" s="61" t="s">
        <v>4411</v>
      </c>
      <c r="D636" s="38"/>
      <c r="E636" s="13" t="s">
        <v>116</v>
      </c>
      <c r="F636" s="6" t="s">
        <v>3992</v>
      </c>
      <c r="G636" s="6" t="str">
        <f ca="1">IFERROR(__xludf.DUMMYFUNCTION("CONCATENATE(B636,(VLOOKUP(C636,CATALOGOS!$F$2:$H$6,3,FALSE)),(VLOOKUP(T636,CATALOGOS!$J$2:$K$18,2,FALSE)),""-"",TO_TEXT(A636))"),"P14SJ-0635")</f>
        <v>P14SJ-0635</v>
      </c>
      <c r="H636" s="6" t="s">
        <v>4412</v>
      </c>
      <c r="I636" s="6"/>
      <c r="J636" s="6" t="s">
        <v>4413</v>
      </c>
      <c r="K636" s="6" t="s">
        <v>4414</v>
      </c>
      <c r="L636" s="17"/>
      <c r="M636" s="17"/>
      <c r="N636" s="17" t="str">
        <f t="shared" si="2"/>
        <v>OK</v>
      </c>
      <c r="O636" s="17" t="s">
        <v>35</v>
      </c>
      <c r="P636" s="6" t="s">
        <v>35</v>
      </c>
      <c r="Q636" s="46" t="s">
        <v>36</v>
      </c>
      <c r="R636" s="187" t="s">
        <v>4415</v>
      </c>
      <c r="S636" s="173" t="s">
        <v>38</v>
      </c>
      <c r="T636" s="11" t="s">
        <v>4411</v>
      </c>
      <c r="U636" s="6" t="s">
        <v>4417</v>
      </c>
      <c r="V636" s="6" t="s">
        <v>4417</v>
      </c>
      <c r="W636" s="6"/>
      <c r="X636" s="6"/>
      <c r="Y636" s="6" t="s">
        <v>4203</v>
      </c>
      <c r="Z636" s="26"/>
      <c r="AA636" s="26"/>
    </row>
    <row r="637" spans="1:28" ht="15.75" customHeight="1">
      <c r="A637" s="10" t="s">
        <v>4418</v>
      </c>
      <c r="B637" s="10" t="s">
        <v>1469</v>
      </c>
      <c r="C637" s="52" t="s">
        <v>868</v>
      </c>
      <c r="D637" s="12"/>
      <c r="E637" s="13" t="s">
        <v>248</v>
      </c>
      <c r="F637" s="43" t="s">
        <v>248</v>
      </c>
      <c r="G637" s="6" t="str">
        <f ca="1">IFERROR(__xludf.DUMMYFUNCTION("CONCATENATE(B637,(VLOOKUP(C637,CATALOGOS!$F$2:$H$6,3,FALSE)),(VLOOKUP(T637,CATALOGOS!$J$2:$K$18,2,FALSE)),""-"",TO_TEXT(A637))"),"P13LP-0636")</f>
        <v>P13LP-0636</v>
      </c>
      <c r="H637" s="6" t="s">
        <v>4419</v>
      </c>
      <c r="I637" s="6" t="s">
        <v>4420</v>
      </c>
      <c r="J637" s="6" t="s">
        <v>4421</v>
      </c>
      <c r="K637" s="6" t="s">
        <v>4422</v>
      </c>
      <c r="L637" s="17"/>
      <c r="M637" s="17"/>
      <c r="N637" s="17" t="str">
        <f t="shared" si="2"/>
        <v>OK</v>
      </c>
      <c r="O637" s="17" t="s">
        <v>303</v>
      </c>
      <c r="P637" s="6" t="s">
        <v>304</v>
      </c>
      <c r="Q637" s="17" t="s">
        <v>4423</v>
      </c>
      <c r="R637" s="10" t="s">
        <v>7310</v>
      </c>
      <c r="S637" s="173" t="s">
        <v>38</v>
      </c>
      <c r="T637" s="11" t="s">
        <v>2328</v>
      </c>
      <c r="U637" s="6" t="s">
        <v>4202</v>
      </c>
      <c r="V637" s="6" t="s">
        <v>4202</v>
      </c>
      <c r="W637" s="6"/>
      <c r="X637" s="6"/>
      <c r="Y637" s="6" t="s">
        <v>4203</v>
      </c>
      <c r="Z637" s="23"/>
      <c r="AA637" s="26"/>
    </row>
    <row r="638" spans="1:28" ht="15.75" customHeight="1">
      <c r="A638" s="10" t="s">
        <v>4425</v>
      </c>
      <c r="B638" s="10" t="s">
        <v>1469</v>
      </c>
      <c r="C638" s="52" t="s">
        <v>868</v>
      </c>
      <c r="D638" s="12"/>
      <c r="E638" s="13" t="s">
        <v>199</v>
      </c>
      <c r="F638" s="43" t="s">
        <v>4426</v>
      </c>
      <c r="G638" s="6" t="str">
        <f ca="1">IFERROR(__xludf.DUMMYFUNCTION("CONCATENATE(B638,(VLOOKUP(C638,CATALOGOS!$F$2:$H$6,3,FALSE)),(VLOOKUP(T638,CATALOGOS!$J$2:$K$18,2,FALSE)),""-"",TO_TEXT(A638))"),"P13LP-0637")</f>
        <v>P13LP-0637</v>
      </c>
      <c r="H638" s="6" t="s">
        <v>4427</v>
      </c>
      <c r="I638" s="6" t="s">
        <v>4428</v>
      </c>
      <c r="J638" s="6" t="s">
        <v>4429</v>
      </c>
      <c r="K638" s="6" t="s">
        <v>4430</v>
      </c>
      <c r="L638" s="17"/>
      <c r="M638" s="17"/>
      <c r="N638" s="17" t="str">
        <f t="shared" si="2"/>
        <v>OK</v>
      </c>
      <c r="O638" s="17" t="s">
        <v>205</v>
      </c>
      <c r="P638" s="6" t="s">
        <v>794</v>
      </c>
      <c r="Q638" s="17" t="s">
        <v>4431</v>
      </c>
      <c r="R638" s="10" t="s">
        <v>4432</v>
      </c>
      <c r="S638" s="173" t="s">
        <v>38</v>
      </c>
      <c r="T638" s="11" t="s">
        <v>2328</v>
      </c>
      <c r="U638" s="6" t="s">
        <v>4202</v>
      </c>
      <c r="V638" s="6" t="s">
        <v>4202</v>
      </c>
      <c r="W638" s="6"/>
      <c r="X638" s="6"/>
      <c r="Y638" s="6" t="s">
        <v>4203</v>
      </c>
      <c r="Z638" s="23"/>
      <c r="AA638" s="26"/>
    </row>
    <row r="639" spans="1:28" ht="15.75" customHeight="1">
      <c r="A639" s="10" t="s">
        <v>4433</v>
      </c>
      <c r="B639" s="10" t="s">
        <v>1469</v>
      </c>
      <c r="C639" s="52" t="s">
        <v>868</v>
      </c>
      <c r="D639" s="38"/>
      <c r="E639" s="13" t="s">
        <v>151</v>
      </c>
      <c r="F639" s="6" t="s">
        <v>714</v>
      </c>
      <c r="G639" s="6" t="str">
        <f ca="1">IFERROR(__xludf.DUMMYFUNCTION("CONCATENATE(B639,(VLOOKUP(C639,CATALOGOS!$F$2:$H$6,3,FALSE)),(VLOOKUP(T639,CATALOGOS!$J$2:$K$18,2,FALSE)),""-"",TO_TEXT(A639))"),"P13LP-0638")</f>
        <v>P13LP-0638</v>
      </c>
      <c r="H639" s="6" t="s">
        <v>4434</v>
      </c>
      <c r="I639" s="6" t="s">
        <v>4435</v>
      </c>
      <c r="J639" s="6" t="s">
        <v>4436</v>
      </c>
      <c r="K639" s="6" t="s">
        <v>4437</v>
      </c>
      <c r="L639" s="17"/>
      <c r="M639" s="17"/>
      <c r="N639" s="17" t="str">
        <f t="shared" si="2"/>
        <v>OK</v>
      </c>
      <c r="O639" s="17" t="s">
        <v>1220</v>
      </c>
      <c r="P639" s="6" t="s">
        <v>720</v>
      </c>
      <c r="Q639" s="46" t="s">
        <v>4438</v>
      </c>
      <c r="R639" s="17" t="s">
        <v>4439</v>
      </c>
      <c r="S639" s="173" t="s">
        <v>38</v>
      </c>
      <c r="T639" s="11" t="s">
        <v>2328</v>
      </c>
      <c r="U639" s="6" t="s">
        <v>4202</v>
      </c>
      <c r="V639" s="6" t="s">
        <v>4202</v>
      </c>
      <c r="W639" s="6"/>
      <c r="X639" s="6"/>
      <c r="Y639" s="6" t="s">
        <v>4203</v>
      </c>
      <c r="Z639" s="23"/>
      <c r="AA639" s="26"/>
    </row>
    <row r="640" spans="1:28" ht="15.75" customHeight="1">
      <c r="A640" s="10" t="s">
        <v>4440</v>
      </c>
      <c r="B640" s="10" t="s">
        <v>1469</v>
      </c>
      <c r="C640" s="52" t="s">
        <v>868</v>
      </c>
      <c r="D640" s="12"/>
      <c r="E640" s="13" t="s">
        <v>93</v>
      </c>
      <c r="F640" s="6" t="s">
        <v>869</v>
      </c>
      <c r="G640" s="6" t="str">
        <f ca="1">IFERROR(__xludf.DUMMYFUNCTION("CONCATENATE(B640,(VLOOKUP(C640,CATALOGOS!$F$2:$H$6,3,FALSE)),(VLOOKUP(T640,CATALOGOS!$J$2:$K$18,2,FALSE)),""-"",TO_TEXT(A640))"),"P13IR-0639")</f>
        <v>P13IR-0639</v>
      </c>
      <c r="H640" s="6" t="s">
        <v>4441</v>
      </c>
      <c r="I640" s="6" t="s">
        <v>4442</v>
      </c>
      <c r="J640" s="6" t="s">
        <v>4443</v>
      </c>
      <c r="K640" s="6" t="s">
        <v>4444</v>
      </c>
      <c r="L640" s="17"/>
      <c r="M640" s="17"/>
      <c r="N640" s="17" t="str">
        <f t="shared" si="2"/>
        <v>OK</v>
      </c>
      <c r="O640" s="35" t="s">
        <v>35</v>
      </c>
      <c r="P640" s="6" t="s">
        <v>35</v>
      </c>
      <c r="Q640" s="17" t="s">
        <v>36</v>
      </c>
      <c r="R640" s="17" t="s">
        <v>4445</v>
      </c>
      <c r="S640" s="173" t="s">
        <v>38</v>
      </c>
      <c r="T640" s="11" t="s">
        <v>2381</v>
      </c>
      <c r="U640" s="22" t="s">
        <v>4181</v>
      </c>
      <c r="V640" s="22" t="s">
        <v>4181</v>
      </c>
      <c r="W640" s="22"/>
      <c r="X640" s="7"/>
      <c r="Y640" s="7"/>
      <c r="Z640" s="26"/>
      <c r="AA640" s="26"/>
    </row>
    <row r="641" spans="1:28" ht="15.75" customHeight="1">
      <c r="A641" s="10" t="s">
        <v>4446</v>
      </c>
      <c r="B641" s="10" t="s">
        <v>1469</v>
      </c>
      <c r="C641" s="52" t="s">
        <v>868</v>
      </c>
      <c r="D641" s="12"/>
      <c r="E641" s="13" t="s">
        <v>116</v>
      </c>
      <c r="F641" s="6" t="s">
        <v>4447</v>
      </c>
      <c r="G641" s="6" t="str">
        <f ca="1">IFERROR(__xludf.DUMMYFUNCTION("CONCATENATE(B641,(VLOOKUP(C641,CATALOGOS!$F$2:$H$6,3,FALSE)),(VLOOKUP(T641,CATALOGOS!$J$2:$K$18,2,FALSE)),""-"",TO_TEXT(A641))"),"P13IR-0640")</f>
        <v>P13IR-0640</v>
      </c>
      <c r="H641" s="6" t="s">
        <v>4448</v>
      </c>
      <c r="I641" s="6" t="s">
        <v>4449</v>
      </c>
      <c r="J641" s="6" t="s">
        <v>4450</v>
      </c>
      <c r="K641" s="6" t="s">
        <v>4451</v>
      </c>
      <c r="L641" s="17"/>
      <c r="M641" s="17"/>
      <c r="N641" s="17" t="str">
        <f t="shared" si="2"/>
        <v>OK</v>
      </c>
      <c r="O641" s="17" t="s">
        <v>35</v>
      </c>
      <c r="P641" s="6" t="s">
        <v>35</v>
      </c>
      <c r="Q641" s="17" t="s">
        <v>36</v>
      </c>
      <c r="R641" s="17" t="s">
        <v>4452</v>
      </c>
      <c r="S641" s="173" t="s">
        <v>38</v>
      </c>
      <c r="T641" s="11" t="s">
        <v>2381</v>
      </c>
      <c r="U641" s="22" t="s">
        <v>4181</v>
      </c>
      <c r="V641" s="22" t="s">
        <v>4181</v>
      </c>
      <c r="W641" s="22"/>
      <c r="X641" s="7"/>
      <c r="Y641" s="7"/>
      <c r="Z641" s="23"/>
      <c r="AA641" s="26"/>
    </row>
    <row r="642" spans="1:28" ht="15.75" customHeight="1">
      <c r="A642" s="10" t="s">
        <v>4453</v>
      </c>
      <c r="B642" s="10" t="s">
        <v>1469</v>
      </c>
      <c r="C642" s="52" t="s">
        <v>868</v>
      </c>
      <c r="D642" s="12"/>
      <c r="E642" s="13" t="s">
        <v>29</v>
      </c>
      <c r="F642" s="6" t="s">
        <v>1166</v>
      </c>
      <c r="G642" s="6" t="str">
        <f ca="1">IFERROR(__xludf.DUMMYFUNCTION("CONCATENATE(B642,(VLOOKUP(C642,CATALOGOS!$F$2:$H$6,3,FALSE)),(VLOOKUP(T642,CATALOGOS!$J$2:$K$18,2,FALSE)),""-"",TO_TEXT(A642))"),"P13IR-0641")</f>
        <v>P13IR-0641</v>
      </c>
      <c r="H642" s="6" t="s">
        <v>4454</v>
      </c>
      <c r="I642" s="6" t="s">
        <v>4455</v>
      </c>
      <c r="J642" s="6" t="s">
        <v>4456</v>
      </c>
      <c r="K642" s="6" t="s">
        <v>4457</v>
      </c>
      <c r="L642" s="17"/>
      <c r="M642" s="17"/>
      <c r="N642" s="17" t="str">
        <f t="shared" si="2"/>
        <v>OK</v>
      </c>
      <c r="O642" s="17" t="s">
        <v>35</v>
      </c>
      <c r="P642" s="6" t="s">
        <v>35</v>
      </c>
      <c r="Q642" s="17" t="s">
        <v>36</v>
      </c>
      <c r="R642" s="17" t="s">
        <v>4458</v>
      </c>
      <c r="S642" s="173" t="s">
        <v>38</v>
      </c>
      <c r="T642" s="11" t="s">
        <v>2381</v>
      </c>
      <c r="U642" s="22" t="s">
        <v>4181</v>
      </c>
      <c r="V642" s="22" t="s">
        <v>4181</v>
      </c>
      <c r="W642" s="22"/>
      <c r="X642" s="7"/>
      <c r="Y642" s="7"/>
      <c r="Z642" s="23"/>
      <c r="AA642" s="26"/>
    </row>
    <row r="643" spans="1:28" ht="15.75" customHeight="1">
      <c r="A643" s="10" t="s">
        <v>4459</v>
      </c>
      <c r="B643" s="10" t="s">
        <v>1469</v>
      </c>
      <c r="C643" s="52" t="s">
        <v>868</v>
      </c>
      <c r="D643" s="12"/>
      <c r="E643" s="13" t="s">
        <v>378</v>
      </c>
      <c r="F643" s="6" t="s">
        <v>1306</v>
      </c>
      <c r="G643" s="6" t="str">
        <f ca="1">IFERROR(__xludf.DUMMYFUNCTION("CONCATENATE(B643,(VLOOKUP(C643,CATALOGOS!$F$2:$H$6,3,FALSE)),(VLOOKUP(T643,CATALOGOS!$J$2:$K$18,2,FALSE)),""-"",TO_TEXT(A643))"),"P13IR-0642")</f>
        <v>P13IR-0642</v>
      </c>
      <c r="H643" s="6" t="s">
        <v>4460</v>
      </c>
      <c r="I643" s="6" t="s">
        <v>4461</v>
      </c>
      <c r="J643" s="6" t="s">
        <v>4462</v>
      </c>
      <c r="K643" s="6" t="s">
        <v>4463</v>
      </c>
      <c r="L643" s="17"/>
      <c r="M643" s="17"/>
      <c r="N643" s="17" t="str">
        <f t="shared" si="2"/>
        <v>OK</v>
      </c>
      <c r="O643" s="17" t="s">
        <v>35</v>
      </c>
      <c r="P643" s="6" t="s">
        <v>35</v>
      </c>
      <c r="Q643" s="17" t="s">
        <v>36</v>
      </c>
      <c r="R643" s="17" t="s">
        <v>4464</v>
      </c>
      <c r="S643" s="173" t="s">
        <v>38</v>
      </c>
      <c r="T643" s="11" t="s">
        <v>2381</v>
      </c>
      <c r="U643" s="22" t="s">
        <v>4181</v>
      </c>
      <c r="V643" s="22" t="s">
        <v>4181</v>
      </c>
      <c r="W643" s="22"/>
      <c r="X643" s="7"/>
      <c r="Y643" s="7"/>
      <c r="Z643" s="23"/>
      <c r="AA643" s="26"/>
    </row>
    <row r="644" spans="1:28" ht="15.75" customHeight="1">
      <c r="A644" s="10" t="s">
        <v>4465</v>
      </c>
      <c r="B644" s="10" t="s">
        <v>1469</v>
      </c>
      <c r="C644" s="52" t="s">
        <v>868</v>
      </c>
      <c r="D644" s="12"/>
      <c r="E644" s="13" t="s">
        <v>248</v>
      </c>
      <c r="F644" s="6" t="s">
        <v>248</v>
      </c>
      <c r="G644" s="6" t="str">
        <f ca="1">IFERROR(__xludf.DUMMYFUNCTION("CONCATENATE(B644,(VLOOKUP(C644,CATALOGOS!$F$2:$H$6,3,FALSE)),(VLOOKUP(T644,CATALOGOS!$J$2:$K$18,2,FALSE)),""-"",TO_TEXT(A644))"),"P13IR-0643")</f>
        <v>P13IR-0643</v>
      </c>
      <c r="H644" s="6"/>
      <c r="I644" s="6" t="s">
        <v>4466</v>
      </c>
      <c r="J644" s="6" t="s">
        <v>4467</v>
      </c>
      <c r="K644" s="43" t="s">
        <v>4468</v>
      </c>
      <c r="L644" s="17"/>
      <c r="M644" s="17"/>
      <c r="N644" s="17" t="str">
        <f t="shared" si="2"/>
        <v>OK</v>
      </c>
      <c r="O644" s="17" t="s">
        <v>359</v>
      </c>
      <c r="P644" s="6">
        <v>550</v>
      </c>
      <c r="Q644" s="17" t="s">
        <v>36</v>
      </c>
      <c r="R644" s="17" t="s">
        <v>4469</v>
      </c>
      <c r="S644" s="173" t="s">
        <v>38</v>
      </c>
      <c r="T644" s="11" t="s">
        <v>2381</v>
      </c>
      <c r="U644" s="22" t="s">
        <v>4181</v>
      </c>
      <c r="V644" s="22" t="s">
        <v>4181</v>
      </c>
      <c r="W644" s="22"/>
      <c r="X644" s="7"/>
      <c r="Y644" s="7"/>
      <c r="Z644" s="23"/>
      <c r="AA644" s="26"/>
    </row>
    <row r="645" spans="1:28" ht="15.75" customHeight="1">
      <c r="A645" s="10" t="s">
        <v>4470</v>
      </c>
      <c r="B645" s="10" t="s">
        <v>1469</v>
      </c>
      <c r="C645" s="52" t="s">
        <v>868</v>
      </c>
      <c r="D645" s="12"/>
      <c r="E645" s="13" t="s">
        <v>184</v>
      </c>
      <c r="F645" s="6" t="s">
        <v>927</v>
      </c>
      <c r="G645" s="6" t="str">
        <f ca="1">IFERROR(__xludf.DUMMYFUNCTION("CONCATENATE(B645,(VLOOKUP(C645,CATALOGOS!$F$2:$H$6,3,FALSE)),(VLOOKUP(T645,CATALOGOS!$J$2:$K$18,2,FALSE)),""-"",TO_TEXT(A645))"),"P13RH-0644")</f>
        <v>P13RH-0644</v>
      </c>
      <c r="H645" s="6" t="s">
        <v>4471</v>
      </c>
      <c r="I645" s="6" t="s">
        <v>4472</v>
      </c>
      <c r="J645" s="6" t="s">
        <v>4473</v>
      </c>
      <c r="K645" s="6" t="s">
        <v>4474</v>
      </c>
      <c r="L645" s="17"/>
      <c r="M645" s="17"/>
      <c r="N645" s="17" t="str">
        <f t="shared" si="2"/>
        <v>OK</v>
      </c>
      <c r="O645" s="17" t="s">
        <v>35</v>
      </c>
      <c r="P645" s="6" t="s">
        <v>35</v>
      </c>
      <c r="Q645" s="17" t="s">
        <v>36</v>
      </c>
      <c r="R645" s="17" t="s">
        <v>4475</v>
      </c>
      <c r="S645" s="173" t="s">
        <v>38</v>
      </c>
      <c r="T645" s="11" t="s">
        <v>723</v>
      </c>
      <c r="U645" s="20" t="s">
        <v>1427</v>
      </c>
      <c r="V645" s="20" t="s">
        <v>1427</v>
      </c>
      <c r="W645" s="20"/>
      <c r="X645" s="7"/>
      <c r="Y645" s="7"/>
      <c r="Z645" s="23"/>
      <c r="AA645" s="26"/>
    </row>
    <row r="646" spans="1:28" ht="15.75" customHeight="1">
      <c r="A646" s="10" t="s">
        <v>4476</v>
      </c>
      <c r="B646" s="10" t="s">
        <v>1469</v>
      </c>
      <c r="C646" s="52" t="s">
        <v>868</v>
      </c>
      <c r="D646" s="12"/>
      <c r="E646" s="13" t="s">
        <v>199</v>
      </c>
      <c r="F646" s="6" t="s">
        <v>199</v>
      </c>
      <c r="G646" s="6" t="str">
        <f ca="1">IFERROR(__xludf.DUMMYFUNCTION("CONCATENATE(B646,(VLOOKUP(C646,CATALOGOS!$F$2:$H$6,3,FALSE)),(VLOOKUP(T646,CATALOGOS!$J$2:$K$18,2,FALSE)),""-"",TO_TEXT(A646))"),"P13IR-0645")</f>
        <v>P13IR-0645</v>
      </c>
      <c r="H646" s="6" t="s">
        <v>4477</v>
      </c>
      <c r="I646" s="6" t="s">
        <v>4478</v>
      </c>
      <c r="J646" s="37"/>
      <c r="K646" s="6" t="s">
        <v>4479</v>
      </c>
      <c r="L646" s="17"/>
      <c r="M646" s="17"/>
      <c r="N646" s="17" t="str">
        <f t="shared" si="2"/>
        <v>OK</v>
      </c>
      <c r="O646" s="17" t="s">
        <v>273</v>
      </c>
      <c r="P646" s="6" t="s">
        <v>274</v>
      </c>
      <c r="Q646" s="6">
        <v>11392903015273</v>
      </c>
      <c r="R646" s="10" t="s">
        <v>85</v>
      </c>
      <c r="S646" s="173" t="s">
        <v>38</v>
      </c>
      <c r="T646" s="11" t="s">
        <v>2381</v>
      </c>
      <c r="U646" s="22" t="s">
        <v>4181</v>
      </c>
      <c r="V646" s="22" t="s">
        <v>4181</v>
      </c>
      <c r="W646" s="22"/>
      <c r="X646" s="6"/>
      <c r="Y646" s="6"/>
      <c r="Z646" s="41" t="s">
        <v>275</v>
      </c>
      <c r="AA646" s="42">
        <v>44403</v>
      </c>
      <c r="AB646" s="8" t="s">
        <v>276</v>
      </c>
    </row>
    <row r="647" spans="1:28" ht="15.75" customHeight="1">
      <c r="A647" s="10" t="s">
        <v>4480</v>
      </c>
      <c r="B647" s="10" t="s">
        <v>1469</v>
      </c>
      <c r="C647" s="52" t="s">
        <v>868</v>
      </c>
      <c r="D647" s="38"/>
      <c r="E647" s="13" t="s">
        <v>151</v>
      </c>
      <c r="F647" s="6" t="s">
        <v>4113</v>
      </c>
      <c r="G647" s="6" t="str">
        <f ca="1">IFERROR(__xludf.DUMMYFUNCTION("CONCATENATE(B647,(VLOOKUP(C647,CATALOGOS!$F$2:$H$6,3,FALSE)),(VLOOKUP(T647,CATALOGOS!$J$2:$K$18,2,FALSE)),""-"",TO_TEXT(A647))"),"P13IR-0646")</f>
        <v>P13IR-0646</v>
      </c>
      <c r="H647" s="6" t="s">
        <v>4481</v>
      </c>
      <c r="I647" s="6" t="s">
        <v>4482</v>
      </c>
      <c r="J647" s="72"/>
      <c r="K647" s="6" t="s">
        <v>4483</v>
      </c>
      <c r="L647" s="17"/>
      <c r="M647" s="17"/>
      <c r="N647" s="17" t="str">
        <f t="shared" si="2"/>
        <v>OK</v>
      </c>
      <c r="O647" s="17" t="s">
        <v>297</v>
      </c>
      <c r="P647" s="6" t="s">
        <v>298</v>
      </c>
      <c r="Q647" s="6" t="s">
        <v>4484</v>
      </c>
      <c r="R647" s="32" t="s">
        <v>85</v>
      </c>
      <c r="S647" s="173" t="s">
        <v>38</v>
      </c>
      <c r="T647" s="11" t="s">
        <v>2381</v>
      </c>
      <c r="U647" s="32" t="s">
        <v>4181</v>
      </c>
      <c r="V647" s="32" t="s">
        <v>4181</v>
      </c>
      <c r="W647" s="32"/>
      <c r="X647" s="6"/>
      <c r="Y647" s="6"/>
      <c r="Z647" s="73" t="s">
        <v>275</v>
      </c>
      <c r="AA647" s="42">
        <v>44403</v>
      </c>
      <c r="AB647" s="8">
        <v>0</v>
      </c>
    </row>
    <row r="648" spans="1:28" ht="15.75" customHeight="1">
      <c r="A648" s="10" t="s">
        <v>4485</v>
      </c>
      <c r="B648" s="10" t="s">
        <v>1469</v>
      </c>
      <c r="C648" s="52" t="s">
        <v>868</v>
      </c>
      <c r="D648" s="12"/>
      <c r="E648" s="13" t="s">
        <v>93</v>
      </c>
      <c r="F648" s="6" t="s">
        <v>4486</v>
      </c>
      <c r="G648" s="6" t="str">
        <f ca="1">IFERROR(__xludf.DUMMYFUNCTION("CONCATENATE(B648,(VLOOKUP(C648,CATALOGOS!$F$2:$H$6,3,FALSE)),(VLOOKUP(T648,CATALOGOS!$J$2:$K$18,2,FALSE)),""-"",TO_TEXT(A648))"),"P13IR-0647")</f>
        <v>P13IR-0647</v>
      </c>
      <c r="H648" s="6" t="s">
        <v>4487</v>
      </c>
      <c r="I648" s="6" t="s">
        <v>4488</v>
      </c>
      <c r="J648" s="6" t="s">
        <v>4489</v>
      </c>
      <c r="K648" s="6" t="s">
        <v>4490</v>
      </c>
      <c r="L648" s="17"/>
      <c r="M648" s="17"/>
      <c r="N648" s="17" t="str">
        <f t="shared" si="2"/>
        <v>OK</v>
      </c>
      <c r="O648" s="17" t="s">
        <v>35</v>
      </c>
      <c r="P648" s="6" t="s">
        <v>35</v>
      </c>
      <c r="Q648" s="17" t="s">
        <v>36</v>
      </c>
      <c r="R648" s="17" t="s">
        <v>4491</v>
      </c>
      <c r="S648" s="173" t="s">
        <v>38</v>
      </c>
      <c r="T648" s="11" t="s">
        <v>2381</v>
      </c>
      <c r="U648" s="22" t="s">
        <v>4492</v>
      </c>
      <c r="V648" s="22" t="s">
        <v>4492</v>
      </c>
      <c r="W648" s="22"/>
      <c r="X648" s="7"/>
      <c r="Y648" s="7"/>
      <c r="Z648" s="23"/>
      <c r="AA648" s="26"/>
    </row>
    <row r="649" spans="1:28" ht="15.75" customHeight="1">
      <c r="A649" s="10" t="s">
        <v>4493</v>
      </c>
      <c r="B649" s="10" t="s">
        <v>1469</v>
      </c>
      <c r="C649" s="52" t="s">
        <v>868</v>
      </c>
      <c r="D649" s="12"/>
      <c r="E649" s="13" t="s">
        <v>93</v>
      </c>
      <c r="F649" s="6" t="s">
        <v>4494</v>
      </c>
      <c r="G649" s="6" t="str">
        <f ca="1">IFERROR(__xludf.DUMMYFUNCTION("CONCATENATE(B649,(VLOOKUP(C649,CATALOGOS!$F$2:$H$6,3,FALSE)),(VLOOKUP(T649,CATALOGOS!$J$2:$K$18,2,FALSE)),""-"",TO_TEXT(A649))"),"P13IR-0648")</f>
        <v>P13IR-0648</v>
      </c>
      <c r="H649" s="6" t="s">
        <v>4495</v>
      </c>
      <c r="I649" s="6" t="s">
        <v>4496</v>
      </c>
      <c r="J649" s="6" t="s">
        <v>4497</v>
      </c>
      <c r="K649" s="6" t="s">
        <v>4498</v>
      </c>
      <c r="L649" s="17"/>
      <c r="M649" s="17"/>
      <c r="N649" s="17" t="str">
        <f t="shared" si="2"/>
        <v>OK</v>
      </c>
      <c r="O649" s="17" t="s">
        <v>35</v>
      </c>
      <c r="P649" s="6" t="s">
        <v>35</v>
      </c>
      <c r="Q649" s="17" t="s">
        <v>36</v>
      </c>
      <c r="R649" s="17" t="s">
        <v>4499</v>
      </c>
      <c r="S649" s="173" t="s">
        <v>38</v>
      </c>
      <c r="T649" s="11" t="s">
        <v>2381</v>
      </c>
      <c r="U649" s="22" t="s">
        <v>4492</v>
      </c>
      <c r="V649" s="22" t="s">
        <v>4492</v>
      </c>
      <c r="W649" s="22"/>
      <c r="X649" s="7"/>
      <c r="Y649" s="7"/>
      <c r="Z649" s="23"/>
      <c r="AA649" s="26"/>
    </row>
    <row r="650" spans="1:28" ht="15.75" customHeight="1">
      <c r="A650" s="10" t="s">
        <v>4500</v>
      </c>
      <c r="B650" s="10" t="s">
        <v>1469</v>
      </c>
      <c r="C650" s="52" t="s">
        <v>868</v>
      </c>
      <c r="D650" s="12"/>
      <c r="E650" s="13" t="s">
        <v>29</v>
      </c>
      <c r="F650" s="6" t="s">
        <v>1166</v>
      </c>
      <c r="G650" s="6" t="str">
        <f ca="1">IFERROR(__xludf.DUMMYFUNCTION("CONCATENATE(B650,(VLOOKUP(C650,CATALOGOS!$F$2:$H$6,3,FALSE)),(VLOOKUP(T650,CATALOGOS!$J$2:$K$18,2,FALSE)),""-"",TO_TEXT(A650))"),"P13IR-0649")</f>
        <v>P13IR-0649</v>
      </c>
      <c r="H650" s="6" t="s">
        <v>4501</v>
      </c>
      <c r="I650" s="54"/>
      <c r="J650" s="6" t="s">
        <v>4502</v>
      </c>
      <c r="K650" s="6" t="s">
        <v>4503</v>
      </c>
      <c r="L650" s="17"/>
      <c r="M650" s="17"/>
      <c r="N650" s="17" t="str">
        <f t="shared" si="2"/>
        <v>OK</v>
      </c>
      <c r="O650" s="17" t="s">
        <v>35</v>
      </c>
      <c r="P650" s="6" t="s">
        <v>35</v>
      </c>
      <c r="Q650" s="17" t="s">
        <v>36</v>
      </c>
      <c r="R650" s="17" t="s">
        <v>4504</v>
      </c>
      <c r="S650" s="173" t="s">
        <v>38</v>
      </c>
      <c r="T650" s="11" t="s">
        <v>2381</v>
      </c>
      <c r="U650" s="22" t="s">
        <v>4492</v>
      </c>
      <c r="V650" s="22" t="s">
        <v>4492</v>
      </c>
      <c r="W650" s="22"/>
      <c r="X650" s="7"/>
      <c r="Y650" s="7"/>
      <c r="Z650" s="23"/>
      <c r="AA650" s="26"/>
    </row>
    <row r="651" spans="1:28" ht="15.75" customHeight="1">
      <c r="A651" s="10" t="s">
        <v>4505</v>
      </c>
      <c r="B651" s="10" t="s">
        <v>1469</v>
      </c>
      <c r="C651" s="52" t="s">
        <v>868</v>
      </c>
      <c r="D651" s="12"/>
      <c r="E651" s="13" t="s">
        <v>116</v>
      </c>
      <c r="F651" s="6" t="s">
        <v>4506</v>
      </c>
      <c r="G651" s="6" t="str">
        <f ca="1">IFERROR(__xludf.DUMMYFUNCTION("CONCATENATE(B651,(VLOOKUP(C651,CATALOGOS!$F$2:$H$6,3,FALSE)),(VLOOKUP(T651,CATALOGOS!$J$2:$K$18,2,FALSE)),""-"",TO_TEXT(A651))"),"P13IR-0650")</f>
        <v>P13IR-0650</v>
      </c>
      <c r="H651" s="6" t="s">
        <v>4507</v>
      </c>
      <c r="I651" s="6" t="s">
        <v>4508</v>
      </c>
      <c r="J651" s="6" t="s">
        <v>4509</v>
      </c>
      <c r="K651" s="6" t="s">
        <v>4510</v>
      </c>
      <c r="L651" s="17"/>
      <c r="M651" s="17"/>
      <c r="N651" s="17" t="str">
        <f t="shared" si="2"/>
        <v>OK</v>
      </c>
      <c r="O651" s="17" t="s">
        <v>35</v>
      </c>
      <c r="P651" s="49" t="s">
        <v>35</v>
      </c>
      <c r="Q651" s="17" t="s">
        <v>36</v>
      </c>
      <c r="R651" s="17" t="s">
        <v>4511</v>
      </c>
      <c r="S651" s="173" t="s">
        <v>38</v>
      </c>
      <c r="T651" s="11" t="s">
        <v>2381</v>
      </c>
      <c r="U651" s="22" t="s">
        <v>4492</v>
      </c>
      <c r="V651" s="22" t="s">
        <v>4492</v>
      </c>
      <c r="W651" s="22"/>
      <c r="X651" s="7"/>
      <c r="Y651" s="7"/>
      <c r="Z651" s="23"/>
      <c r="AA651" s="26"/>
    </row>
    <row r="652" spans="1:28" ht="15.75" customHeight="1">
      <c r="A652" s="10" t="s">
        <v>4512</v>
      </c>
      <c r="B652" s="10" t="s">
        <v>1469</v>
      </c>
      <c r="C652" s="52" t="s">
        <v>868</v>
      </c>
      <c r="D652" s="12"/>
      <c r="E652" s="13" t="s">
        <v>378</v>
      </c>
      <c r="F652" s="6" t="s">
        <v>2040</v>
      </c>
      <c r="G652" s="6" t="str">
        <f ca="1">IFERROR(__xludf.DUMMYFUNCTION("CONCATENATE(B652,(VLOOKUP(C652,CATALOGOS!$F$2:$H$6,3,FALSE)),(VLOOKUP(T652,CATALOGOS!$J$2:$K$18,2,FALSE)),""-"",TO_TEXT(A652))"),"P13IR-0651")</f>
        <v>P13IR-0651</v>
      </c>
      <c r="H652" s="6" t="s">
        <v>4513</v>
      </c>
      <c r="I652" s="6" t="s">
        <v>4514</v>
      </c>
      <c r="J652" s="6" t="s">
        <v>4515</v>
      </c>
      <c r="K652" s="6" t="s">
        <v>4516</v>
      </c>
      <c r="L652" s="17"/>
      <c r="M652" s="17"/>
      <c r="N652" s="17" t="str">
        <f t="shared" si="2"/>
        <v>OK</v>
      </c>
      <c r="O652" s="17" t="s">
        <v>35</v>
      </c>
      <c r="P652" s="6" t="s">
        <v>35</v>
      </c>
      <c r="Q652" s="17" t="s">
        <v>36</v>
      </c>
      <c r="R652" s="17" t="s">
        <v>4517</v>
      </c>
      <c r="S652" s="173" t="s">
        <v>38</v>
      </c>
      <c r="T652" s="11" t="s">
        <v>2381</v>
      </c>
      <c r="U652" s="22" t="s">
        <v>4492</v>
      </c>
      <c r="V652" s="22" t="s">
        <v>4492</v>
      </c>
      <c r="W652" s="22"/>
      <c r="X652" s="7"/>
      <c r="Y652" s="7"/>
      <c r="Z652" s="23"/>
      <c r="AA652" s="26"/>
    </row>
    <row r="653" spans="1:28" ht="15.75" customHeight="1">
      <c r="A653" s="10" t="s">
        <v>4518</v>
      </c>
      <c r="B653" s="10" t="s">
        <v>1469</v>
      </c>
      <c r="C653" s="52" t="s">
        <v>868</v>
      </c>
      <c r="D653" s="12"/>
      <c r="E653" s="13" t="s">
        <v>1240</v>
      </c>
      <c r="F653" s="43" t="s">
        <v>278</v>
      </c>
      <c r="G653" s="6" t="str">
        <f ca="1">IFERROR(__xludf.DUMMYFUNCTION("CONCATENATE(B653,(VLOOKUP(C653,CATALOGOS!$F$2:$H$6,3,FALSE)),(VLOOKUP(T653,CATALOGOS!$J$2:$K$18,2,FALSE)),""-"",TO_TEXT(A653))"),"P13IR-0652")</f>
        <v>P13IR-0652</v>
      </c>
      <c r="H653" s="6" t="s">
        <v>4519</v>
      </c>
      <c r="I653" s="6" t="s">
        <v>4520</v>
      </c>
      <c r="J653" s="6" t="s">
        <v>4521</v>
      </c>
      <c r="K653" s="6" t="s">
        <v>4522</v>
      </c>
      <c r="L653" s="17"/>
      <c r="M653" s="17"/>
      <c r="N653" s="17" t="str">
        <f t="shared" si="2"/>
        <v>OK</v>
      </c>
      <c r="O653" s="17" t="s">
        <v>35</v>
      </c>
      <c r="P653" s="6" t="s">
        <v>35</v>
      </c>
      <c r="Q653" s="17" t="s">
        <v>36</v>
      </c>
      <c r="R653" s="17" t="s">
        <v>4523</v>
      </c>
      <c r="S653" s="173" t="s">
        <v>38</v>
      </c>
      <c r="T653" s="11" t="s">
        <v>2381</v>
      </c>
      <c r="U653" s="22" t="s">
        <v>4492</v>
      </c>
      <c r="V653" s="22" t="s">
        <v>4492</v>
      </c>
      <c r="W653" s="22"/>
      <c r="X653" s="7"/>
      <c r="Y653" s="7"/>
      <c r="Z653" s="23"/>
      <c r="AA653" s="26"/>
    </row>
    <row r="654" spans="1:28" ht="15.75" customHeight="1">
      <c r="A654" s="10" t="s">
        <v>4524</v>
      </c>
      <c r="B654" s="10" t="s">
        <v>1469</v>
      </c>
      <c r="C654" s="52" t="s">
        <v>868</v>
      </c>
      <c r="D654" s="12"/>
      <c r="E654" s="13" t="s">
        <v>248</v>
      </c>
      <c r="F654" s="43" t="s">
        <v>248</v>
      </c>
      <c r="G654" s="6" t="str">
        <f ca="1">IFERROR(__xludf.DUMMYFUNCTION("CONCATENATE(B654,(VLOOKUP(C654,CATALOGOS!$F$2:$H$6,3,FALSE)),(VLOOKUP(T654,CATALOGOS!$J$2:$K$18,2,FALSE)),""-"",TO_TEXT(A654))"),"P13IR-0653")</f>
        <v>P13IR-0653</v>
      </c>
      <c r="H654" s="6" t="s">
        <v>4525</v>
      </c>
      <c r="I654" s="6" t="s">
        <v>4526</v>
      </c>
      <c r="J654" s="6" t="s">
        <v>4527</v>
      </c>
      <c r="K654" s="6" t="s">
        <v>4528</v>
      </c>
      <c r="L654" s="17"/>
      <c r="M654" s="17"/>
      <c r="N654" s="17" t="str">
        <f t="shared" si="2"/>
        <v>OK</v>
      </c>
      <c r="O654" s="17" t="s">
        <v>978</v>
      </c>
      <c r="P654" s="6" t="s">
        <v>979</v>
      </c>
      <c r="Q654" s="17" t="s">
        <v>4529</v>
      </c>
      <c r="R654" s="17" t="s">
        <v>4530</v>
      </c>
      <c r="S654" s="173" t="s">
        <v>38</v>
      </c>
      <c r="T654" s="11" t="s">
        <v>2381</v>
      </c>
      <c r="U654" s="22" t="s">
        <v>4492</v>
      </c>
      <c r="V654" s="22" t="s">
        <v>4492</v>
      </c>
      <c r="W654" s="22"/>
      <c r="X654" s="7"/>
      <c r="Y654" s="7"/>
      <c r="Z654" s="23"/>
      <c r="AA654" s="26"/>
    </row>
    <row r="655" spans="1:28" ht="15.75" customHeight="1">
      <c r="A655" s="10" t="s">
        <v>4531</v>
      </c>
      <c r="B655" s="10" t="s">
        <v>1469</v>
      </c>
      <c r="C655" s="52" t="s">
        <v>868</v>
      </c>
      <c r="D655" s="12"/>
      <c r="E655" s="13" t="s">
        <v>199</v>
      </c>
      <c r="F655" s="6" t="s">
        <v>199</v>
      </c>
      <c r="G655" s="6" t="str">
        <f ca="1">IFERROR(__xludf.DUMMYFUNCTION("CONCATENATE(B655,(VLOOKUP(C655,CATALOGOS!$F$2:$H$6,3,FALSE)),(VLOOKUP(T655,CATALOGOS!$J$2:$K$18,2,FALSE)),""-"",TO_TEXT(A655))"),"P13IR-0654")</f>
        <v>P13IR-0654</v>
      </c>
      <c r="H655" s="6" t="s">
        <v>4532</v>
      </c>
      <c r="I655" s="6" t="s">
        <v>4533</v>
      </c>
      <c r="J655" s="37"/>
      <c r="K655" s="6" t="s">
        <v>4534</v>
      </c>
      <c r="L655" s="17"/>
      <c r="M655" s="17"/>
      <c r="N655" s="17" t="str">
        <f t="shared" si="2"/>
        <v>OK</v>
      </c>
      <c r="O655" s="17" t="s">
        <v>273</v>
      </c>
      <c r="P655" s="6" t="s">
        <v>274</v>
      </c>
      <c r="Q655" s="6">
        <v>11392903012339</v>
      </c>
      <c r="R655" s="10" t="s">
        <v>85</v>
      </c>
      <c r="S655" s="173" t="s">
        <v>38</v>
      </c>
      <c r="T655" s="11" t="s">
        <v>2381</v>
      </c>
      <c r="U655" s="22" t="s">
        <v>4492</v>
      </c>
      <c r="V655" s="22" t="s">
        <v>4492</v>
      </c>
      <c r="W655" s="22"/>
      <c r="X655" s="6"/>
      <c r="Y655" s="6"/>
      <c r="Z655" s="41" t="s">
        <v>92</v>
      </c>
      <c r="AA655" s="42">
        <v>44348</v>
      </c>
      <c r="AB655" s="8" t="s">
        <v>276</v>
      </c>
    </row>
    <row r="656" spans="1:28" ht="15.75" customHeight="1">
      <c r="A656" s="10" t="s">
        <v>4535</v>
      </c>
      <c r="B656" s="10" t="s">
        <v>1469</v>
      </c>
      <c r="C656" s="52" t="s">
        <v>868</v>
      </c>
      <c r="D656" s="12"/>
      <c r="E656" s="13" t="s">
        <v>151</v>
      </c>
      <c r="F656" s="6" t="s">
        <v>4113</v>
      </c>
      <c r="G656" s="6" t="str">
        <f ca="1">IFERROR(__xludf.DUMMYFUNCTION("CONCATENATE(B656,(VLOOKUP(C656,CATALOGOS!$F$2:$H$6,3,FALSE)),(VLOOKUP(T656,CATALOGOS!$J$2:$K$18,2,FALSE)),""-"",TO_TEXT(A656))"),"P13IR-0655")</f>
        <v>P13IR-0655</v>
      </c>
      <c r="H656" s="6" t="s">
        <v>4536</v>
      </c>
      <c r="I656" s="6" t="s">
        <v>4537</v>
      </c>
      <c r="J656" s="37"/>
      <c r="K656" s="6" t="s">
        <v>4538</v>
      </c>
      <c r="L656" s="17"/>
      <c r="M656" s="17"/>
      <c r="N656" s="17" t="str">
        <f t="shared" si="2"/>
        <v>OK</v>
      </c>
      <c r="O656" s="17" t="s">
        <v>297</v>
      </c>
      <c r="P656" s="6" t="s">
        <v>298</v>
      </c>
      <c r="Q656" s="6" t="s">
        <v>4539</v>
      </c>
      <c r="R656" s="10" t="s">
        <v>85</v>
      </c>
      <c r="S656" s="173" t="s">
        <v>38</v>
      </c>
      <c r="T656" s="11" t="s">
        <v>2381</v>
      </c>
      <c r="U656" s="22" t="s">
        <v>4492</v>
      </c>
      <c r="V656" s="22" t="s">
        <v>4492</v>
      </c>
      <c r="W656" s="22"/>
      <c r="X656" s="6"/>
      <c r="Y656" s="6"/>
      <c r="Z656" s="41" t="s">
        <v>92</v>
      </c>
      <c r="AA656" s="42">
        <v>44348</v>
      </c>
      <c r="AB656" s="8">
        <v>0</v>
      </c>
    </row>
    <row r="657" spans="1:27" ht="15.75" customHeight="1">
      <c r="A657" s="10" t="s">
        <v>4540</v>
      </c>
      <c r="B657" s="10" t="s">
        <v>1469</v>
      </c>
      <c r="C657" s="52" t="s">
        <v>868</v>
      </c>
      <c r="D657" s="38"/>
      <c r="E657" s="13" t="s">
        <v>151</v>
      </c>
      <c r="F657" s="6" t="s">
        <v>714</v>
      </c>
      <c r="G657" s="6" t="str">
        <f ca="1">IFERROR(__xludf.DUMMYFUNCTION("CONCATENATE(B657,(VLOOKUP(C657,CATALOGOS!$F$2:$H$6,3,FALSE)),(VLOOKUP(T657,CATALOGOS!$J$2:$K$18,2,FALSE)),""-"",TO_TEXT(A657))"),"P13IR-0656")</f>
        <v>P13IR-0656</v>
      </c>
      <c r="H657" s="6" t="s">
        <v>4541</v>
      </c>
      <c r="I657" s="6" t="s">
        <v>4542</v>
      </c>
      <c r="J657" s="6" t="s">
        <v>4543</v>
      </c>
      <c r="K657" s="6" t="s">
        <v>4544</v>
      </c>
      <c r="L657" s="17"/>
      <c r="M657" s="17"/>
      <c r="N657" s="17" t="str">
        <f t="shared" si="2"/>
        <v>OK</v>
      </c>
      <c r="O657" s="17" t="s">
        <v>1220</v>
      </c>
      <c r="P657" s="6" t="s">
        <v>720</v>
      </c>
      <c r="Q657" s="46" t="s">
        <v>36</v>
      </c>
      <c r="R657" s="17" t="s">
        <v>4545</v>
      </c>
      <c r="S657" s="173" t="s">
        <v>38</v>
      </c>
      <c r="T657" s="11" t="s">
        <v>2381</v>
      </c>
      <c r="U657" s="32" t="s">
        <v>3840</v>
      </c>
      <c r="V657" s="32" t="s">
        <v>3840</v>
      </c>
      <c r="W657" s="32"/>
      <c r="X657" s="6"/>
      <c r="Y657" s="6"/>
      <c r="Z657" s="26"/>
      <c r="AA657" s="33"/>
    </row>
    <row r="658" spans="1:27" ht="15.75" customHeight="1">
      <c r="A658" s="10" t="s">
        <v>4546</v>
      </c>
      <c r="B658" s="10" t="s">
        <v>1469</v>
      </c>
      <c r="C658" s="52" t="s">
        <v>868</v>
      </c>
      <c r="D658" s="38"/>
      <c r="E658" s="13" t="s">
        <v>378</v>
      </c>
      <c r="F658" s="6" t="s">
        <v>379</v>
      </c>
      <c r="G658" s="6" t="str">
        <f ca="1">IFERROR(__xludf.DUMMYFUNCTION("CONCATENATE(B658,(VLOOKUP(C658,CATALOGOS!$F$2:$H$6,3,FALSE)),(VLOOKUP(T658,CATALOGOS!$J$2:$K$18,2,FALSE)),""-"",TO_TEXT(A658))"),"P13IR-0657")</f>
        <v>P13IR-0657</v>
      </c>
      <c r="H658" s="6" t="s">
        <v>4547</v>
      </c>
      <c r="I658" s="6" t="s">
        <v>4548</v>
      </c>
      <c r="J658" s="6" t="s">
        <v>4549</v>
      </c>
      <c r="K658" s="43" t="s">
        <v>4550</v>
      </c>
      <c r="L658" s="17"/>
      <c r="M658" s="17"/>
      <c r="N658" s="17" t="str">
        <f t="shared" si="2"/>
        <v>OK</v>
      </c>
      <c r="O658" s="17" t="s">
        <v>35</v>
      </c>
      <c r="P658" s="6" t="s">
        <v>35</v>
      </c>
      <c r="Q658" s="46" t="s">
        <v>36</v>
      </c>
      <c r="R658" s="17" t="s">
        <v>4551</v>
      </c>
      <c r="S658" s="173" t="s">
        <v>38</v>
      </c>
      <c r="T658" s="11" t="s">
        <v>2381</v>
      </c>
      <c r="U658" s="32" t="s">
        <v>3840</v>
      </c>
      <c r="V658" s="32" t="s">
        <v>3840</v>
      </c>
      <c r="W658" s="32"/>
      <c r="X658" s="36"/>
      <c r="Y658" s="36"/>
      <c r="Z658" s="26"/>
      <c r="AA658" s="33"/>
    </row>
    <row r="659" spans="1:27" ht="15.75" customHeight="1">
      <c r="A659" s="10" t="s">
        <v>4552</v>
      </c>
      <c r="B659" s="10" t="s">
        <v>1469</v>
      </c>
      <c r="C659" s="52" t="s">
        <v>868</v>
      </c>
      <c r="D659" s="38"/>
      <c r="E659" s="13" t="s">
        <v>378</v>
      </c>
      <c r="F659" s="6" t="s">
        <v>4553</v>
      </c>
      <c r="G659" s="6" t="str">
        <f ca="1">IFERROR(__xludf.DUMMYFUNCTION("CONCATENATE(B659,(VLOOKUP(C659,CATALOGOS!$F$2:$H$6,3,FALSE)),(VLOOKUP(T659,CATALOGOS!$J$2:$K$18,2,FALSE)),""-"",TO_TEXT(A659))"),"P13IR-0658")</f>
        <v>P13IR-0658</v>
      </c>
      <c r="H659" s="6" t="s">
        <v>4554</v>
      </c>
      <c r="I659" s="6" t="s">
        <v>4555</v>
      </c>
      <c r="J659" s="6" t="s">
        <v>4556</v>
      </c>
      <c r="K659" s="43" t="s">
        <v>4557</v>
      </c>
      <c r="L659" s="17"/>
      <c r="M659" s="17"/>
      <c r="N659" s="17" t="str">
        <f t="shared" si="2"/>
        <v>OK</v>
      </c>
      <c r="O659" s="35" t="s">
        <v>35</v>
      </c>
      <c r="P659" s="6" t="s">
        <v>35</v>
      </c>
      <c r="Q659" s="46" t="s">
        <v>36</v>
      </c>
      <c r="R659" s="17" t="s">
        <v>4558</v>
      </c>
      <c r="S659" s="173" t="s">
        <v>38</v>
      </c>
      <c r="T659" s="11" t="s">
        <v>2381</v>
      </c>
      <c r="U659" s="32" t="s">
        <v>4492</v>
      </c>
      <c r="V659" s="32" t="s">
        <v>4492</v>
      </c>
      <c r="W659" s="32"/>
      <c r="X659" s="36"/>
      <c r="Y659" s="36"/>
      <c r="Z659" s="26"/>
      <c r="AA659" s="33"/>
    </row>
    <row r="660" spans="1:27" ht="15.75" customHeight="1">
      <c r="A660" s="10" t="s">
        <v>4559</v>
      </c>
      <c r="B660" s="10" t="s">
        <v>1469</v>
      </c>
      <c r="C660" s="52" t="s">
        <v>868</v>
      </c>
      <c r="D660" s="38"/>
      <c r="E660" s="13" t="s">
        <v>184</v>
      </c>
      <c r="F660" s="6" t="s">
        <v>4560</v>
      </c>
      <c r="G660" s="6" t="str">
        <f ca="1">IFERROR(__xludf.DUMMYFUNCTION("CONCATENATE(B660,(VLOOKUP(C660,CATALOGOS!$F$2:$H$6,3,FALSE)),(VLOOKUP(T660,CATALOGOS!$J$2:$K$18,2,FALSE)),""-"",TO_TEXT(A660))"),"P13LP-0659")</f>
        <v>P13LP-0659</v>
      </c>
      <c r="H660" s="6" t="s">
        <v>4561</v>
      </c>
      <c r="I660" s="6" t="s">
        <v>4562</v>
      </c>
      <c r="J660" s="6" t="s">
        <v>4563</v>
      </c>
      <c r="K660" s="6" t="s">
        <v>4564</v>
      </c>
      <c r="L660" s="17"/>
      <c r="M660" s="17"/>
      <c r="N660" s="17" t="str">
        <f t="shared" si="2"/>
        <v>OK</v>
      </c>
      <c r="O660" s="35" t="s">
        <v>35</v>
      </c>
      <c r="P660" s="6" t="s">
        <v>35</v>
      </c>
      <c r="Q660" s="46" t="s">
        <v>36</v>
      </c>
      <c r="R660" s="17" t="s">
        <v>4565</v>
      </c>
      <c r="S660" s="173" t="s">
        <v>38</v>
      </c>
      <c r="T660" s="11" t="s">
        <v>2328</v>
      </c>
      <c r="U660" s="6" t="s">
        <v>4202</v>
      </c>
      <c r="V660" s="6" t="s">
        <v>4202</v>
      </c>
      <c r="W660" s="6"/>
      <c r="X660" s="6"/>
      <c r="Y660" s="6" t="s">
        <v>4203</v>
      </c>
      <c r="Z660" s="26"/>
      <c r="AA660" s="33"/>
    </row>
    <row r="661" spans="1:27" ht="15.75" customHeight="1">
      <c r="A661" s="10" t="s">
        <v>4566</v>
      </c>
      <c r="B661" s="10" t="s">
        <v>27</v>
      </c>
      <c r="C661" s="52" t="s">
        <v>868</v>
      </c>
      <c r="D661" s="12"/>
      <c r="E661" s="13" t="s">
        <v>62</v>
      </c>
      <c r="F661" s="6" t="s">
        <v>4567</v>
      </c>
      <c r="G661" s="6" t="str">
        <f ca="1">IFERROR(__xludf.DUMMYFUNCTION("CONCATENATE(B661,(VLOOKUP(C661,CATALOGOS!$F$2:$H$6,3,FALSE)),(VLOOKUP(T661,CATALOGOS!$J$2:$K$18,2,FALSE)),""-"",TO_TEXT(A661))"),"P03CV-0660")</f>
        <v>P03CV-0660</v>
      </c>
      <c r="H661" s="6" t="s">
        <v>4568</v>
      </c>
      <c r="I661" s="6" t="s">
        <v>4569</v>
      </c>
      <c r="J661" s="6" t="s">
        <v>4570</v>
      </c>
      <c r="K661" s="6" t="s">
        <v>4571</v>
      </c>
      <c r="L661" s="17"/>
      <c r="M661" s="17"/>
      <c r="N661" s="17" t="str">
        <f t="shared" si="2"/>
        <v>OK</v>
      </c>
      <c r="O661" s="17" t="s">
        <v>35</v>
      </c>
      <c r="P661" s="6" t="s">
        <v>35</v>
      </c>
      <c r="Q661" s="17" t="s">
        <v>36</v>
      </c>
      <c r="R661" s="17" t="s">
        <v>7831</v>
      </c>
      <c r="S661" s="173" t="s">
        <v>38</v>
      </c>
      <c r="T661" s="11" t="s">
        <v>875</v>
      </c>
      <c r="U661" s="186" t="s">
        <v>4573</v>
      </c>
      <c r="V661" s="20" t="s">
        <v>4574</v>
      </c>
      <c r="W661" s="20"/>
      <c r="X661" s="36"/>
      <c r="Y661" s="36"/>
      <c r="Z661" s="23"/>
      <c r="AA661" s="33"/>
    </row>
    <row r="662" spans="1:27" ht="15.75" customHeight="1">
      <c r="A662" s="10" t="s">
        <v>4575</v>
      </c>
      <c r="B662" s="10" t="s">
        <v>27</v>
      </c>
      <c r="C662" s="52" t="s">
        <v>868</v>
      </c>
      <c r="D662" s="12"/>
      <c r="E662" s="13" t="s">
        <v>62</v>
      </c>
      <c r="F662" s="6" t="s">
        <v>4576</v>
      </c>
      <c r="G662" s="6" t="str">
        <f ca="1">IFERROR(__xludf.DUMMYFUNCTION("CONCATENATE(B662,(VLOOKUP(C662,CATALOGOS!$F$2:$H$6,3,FALSE)),(VLOOKUP(T662,CATALOGOS!$J$2:$K$18,2,FALSE)),""-"",TO_TEXT(A662))"),"P03CV-0661")</f>
        <v>P03CV-0661</v>
      </c>
      <c r="H662" s="6" t="s">
        <v>4577</v>
      </c>
      <c r="I662" s="6" t="s">
        <v>4578</v>
      </c>
      <c r="J662" s="6" t="s">
        <v>4579</v>
      </c>
      <c r="K662" s="6" t="s">
        <v>4580</v>
      </c>
      <c r="L662" s="17"/>
      <c r="M662" s="17"/>
      <c r="N662" s="17" t="str">
        <f t="shared" si="2"/>
        <v>OK</v>
      </c>
      <c r="O662" s="17" t="s">
        <v>35</v>
      </c>
      <c r="P662" s="6" t="s">
        <v>35</v>
      </c>
      <c r="Q662" s="17" t="s">
        <v>36</v>
      </c>
      <c r="R662" s="17" t="s">
        <v>8203</v>
      </c>
      <c r="S662" s="179" t="s">
        <v>100</v>
      </c>
      <c r="T662" s="11" t="s">
        <v>875</v>
      </c>
      <c r="U662" s="186" t="s">
        <v>4573</v>
      </c>
      <c r="V662" s="20" t="s">
        <v>4574</v>
      </c>
      <c r="W662" s="20"/>
      <c r="X662" s="36"/>
      <c r="Y662" s="36"/>
      <c r="Z662" s="23"/>
      <c r="AA662" s="33"/>
    </row>
    <row r="663" spans="1:27" ht="15.75" customHeight="1">
      <c r="A663" s="10" t="s">
        <v>4582</v>
      </c>
      <c r="B663" s="10" t="s">
        <v>27</v>
      </c>
      <c r="C663" s="52" t="s">
        <v>868</v>
      </c>
      <c r="D663" s="12"/>
      <c r="E663" s="13" t="s">
        <v>62</v>
      </c>
      <c r="F663" s="6" t="s">
        <v>4583</v>
      </c>
      <c r="G663" s="6" t="str">
        <f ca="1">IFERROR(__xludf.DUMMYFUNCTION("CONCATENATE(B663,(VLOOKUP(C663,CATALOGOS!$F$2:$H$6,3,FALSE)),(VLOOKUP(T663,CATALOGOS!$J$2:$K$18,2,FALSE)),""-"",TO_TEXT(A663))"),"P03CV-0662")</f>
        <v>P03CV-0662</v>
      </c>
      <c r="H663" s="6" t="s">
        <v>4584</v>
      </c>
      <c r="I663" s="6" t="s">
        <v>4585</v>
      </c>
      <c r="J663" s="6" t="s">
        <v>4586</v>
      </c>
      <c r="K663" s="6" t="s">
        <v>4587</v>
      </c>
      <c r="L663" s="17"/>
      <c r="M663" s="17"/>
      <c r="N663" s="17" t="str">
        <f t="shared" si="2"/>
        <v>OK</v>
      </c>
      <c r="O663" s="17" t="s">
        <v>35</v>
      </c>
      <c r="P663" s="6" t="s">
        <v>35</v>
      </c>
      <c r="Q663" s="17" t="s">
        <v>36</v>
      </c>
      <c r="R663" s="17" t="s">
        <v>4588</v>
      </c>
      <c r="S663" s="173" t="s">
        <v>38</v>
      </c>
      <c r="T663" s="11" t="s">
        <v>875</v>
      </c>
      <c r="U663" s="186" t="s">
        <v>4573</v>
      </c>
      <c r="V663" s="20" t="s">
        <v>4574</v>
      </c>
      <c r="W663" s="20"/>
      <c r="X663" s="36"/>
      <c r="Y663" s="36"/>
      <c r="Z663" s="23"/>
      <c r="AA663" s="33"/>
    </row>
    <row r="664" spans="1:27" ht="15.75" customHeight="1">
      <c r="A664" s="10" t="s">
        <v>4589</v>
      </c>
      <c r="B664" s="10" t="s">
        <v>27</v>
      </c>
      <c r="C664" s="52" t="s">
        <v>868</v>
      </c>
      <c r="D664" s="12"/>
      <c r="E664" s="13" t="s">
        <v>62</v>
      </c>
      <c r="F664" s="6" t="s">
        <v>4590</v>
      </c>
      <c r="G664" s="6" t="str">
        <f ca="1">IFERROR(__xludf.DUMMYFUNCTION("CONCATENATE(B664,(VLOOKUP(C664,CATALOGOS!$F$2:$H$6,3,FALSE)),(VLOOKUP(T664,CATALOGOS!$J$2:$K$18,2,FALSE)),""-"",TO_TEXT(A664))"),"P03CV-0663")</f>
        <v>P03CV-0663</v>
      </c>
      <c r="H664" s="6" t="s">
        <v>4591</v>
      </c>
      <c r="I664" s="6" t="s">
        <v>4592</v>
      </c>
      <c r="J664" s="6" t="s">
        <v>4593</v>
      </c>
      <c r="K664" s="6" t="s">
        <v>4594</v>
      </c>
      <c r="L664" s="17"/>
      <c r="M664" s="17"/>
      <c r="N664" s="17" t="str">
        <f t="shared" si="2"/>
        <v>OK</v>
      </c>
      <c r="O664" s="17" t="s">
        <v>35</v>
      </c>
      <c r="P664" s="6" t="s">
        <v>35</v>
      </c>
      <c r="Q664" s="17" t="s">
        <v>36</v>
      </c>
      <c r="R664" s="17" t="s">
        <v>4595</v>
      </c>
      <c r="S664" s="173" t="s">
        <v>38</v>
      </c>
      <c r="T664" s="11" t="s">
        <v>875</v>
      </c>
      <c r="U664" s="186" t="s">
        <v>4573</v>
      </c>
      <c r="V664" s="20" t="s">
        <v>4574</v>
      </c>
      <c r="W664" s="20"/>
      <c r="X664" s="36"/>
      <c r="Y664" s="36"/>
      <c r="Z664" s="23"/>
      <c r="AA664" s="33"/>
    </row>
    <row r="665" spans="1:27" ht="15.75" customHeight="1">
      <c r="A665" s="10" t="s">
        <v>4596</v>
      </c>
      <c r="B665" s="10" t="s">
        <v>27</v>
      </c>
      <c r="C665" s="52" t="s">
        <v>868</v>
      </c>
      <c r="D665" s="12"/>
      <c r="E665" s="13" t="s">
        <v>43</v>
      </c>
      <c r="F665" s="6" t="s">
        <v>4597</v>
      </c>
      <c r="G665" s="6" t="str">
        <f ca="1">IFERROR(__xludf.DUMMYFUNCTION("CONCATENATE(B665,(VLOOKUP(C665,CATALOGOS!$F$2:$H$6,3,FALSE)),(VLOOKUP(T665,CATALOGOS!$J$2:$K$18,2,FALSE)),""-"",TO_TEXT(A665))"),"P03CV-0664")</f>
        <v>P03CV-0664</v>
      </c>
      <c r="H665" s="6" t="s">
        <v>4598</v>
      </c>
      <c r="I665" s="6" t="s">
        <v>4599</v>
      </c>
      <c r="J665" s="6" t="s">
        <v>4600</v>
      </c>
      <c r="K665" s="6" t="s">
        <v>4601</v>
      </c>
      <c r="L665" s="17"/>
      <c r="M665" s="17"/>
      <c r="N665" s="17" t="str">
        <f t="shared" si="2"/>
        <v>OK</v>
      </c>
      <c r="O665" s="17" t="s">
        <v>4602</v>
      </c>
      <c r="P665" s="6">
        <v>10187</v>
      </c>
      <c r="Q665" s="17" t="s">
        <v>36</v>
      </c>
      <c r="R665" s="10" t="s">
        <v>4603</v>
      </c>
      <c r="S665" s="173" t="s">
        <v>38</v>
      </c>
      <c r="T665" s="11" t="s">
        <v>875</v>
      </c>
      <c r="U665" s="186" t="s">
        <v>4573</v>
      </c>
      <c r="V665" s="20" t="s">
        <v>4574</v>
      </c>
      <c r="W665" s="20"/>
      <c r="X665" s="36"/>
      <c r="Y665" s="36"/>
      <c r="Z665" s="23"/>
      <c r="AA665" s="33"/>
    </row>
    <row r="666" spans="1:27" ht="15.75" customHeight="1">
      <c r="A666" s="10" t="s">
        <v>4604</v>
      </c>
      <c r="B666" s="10" t="s">
        <v>27</v>
      </c>
      <c r="C666" s="52" t="s">
        <v>868</v>
      </c>
      <c r="D666" s="12"/>
      <c r="E666" s="13" t="s">
        <v>378</v>
      </c>
      <c r="F666" s="6" t="s">
        <v>4605</v>
      </c>
      <c r="G666" s="6" t="str">
        <f ca="1">IFERROR(__xludf.DUMMYFUNCTION("CONCATENATE(B666,(VLOOKUP(C666,CATALOGOS!$F$2:$H$6,3,FALSE)),(VLOOKUP(T666,CATALOGOS!$J$2:$K$18,2,FALSE)),""-"",TO_TEXT(A666))"),"P03CV-0665")</f>
        <v>P03CV-0665</v>
      </c>
      <c r="H666" s="6" t="s">
        <v>4606</v>
      </c>
      <c r="I666" s="6" t="s">
        <v>4607</v>
      </c>
      <c r="J666" s="6" t="s">
        <v>4608</v>
      </c>
      <c r="K666" s="6" t="s">
        <v>4609</v>
      </c>
      <c r="L666" s="17"/>
      <c r="M666" s="17"/>
      <c r="N666" s="17" t="str">
        <f t="shared" si="2"/>
        <v>OK</v>
      </c>
      <c r="O666" s="17" t="s">
        <v>35</v>
      </c>
      <c r="P666" s="6" t="s">
        <v>35</v>
      </c>
      <c r="Q666" s="17" t="s">
        <v>36</v>
      </c>
      <c r="R666" s="17" t="s">
        <v>4610</v>
      </c>
      <c r="S666" s="173" t="s">
        <v>38</v>
      </c>
      <c r="T666" s="11" t="s">
        <v>875</v>
      </c>
      <c r="U666" s="20" t="s">
        <v>1004</v>
      </c>
      <c r="V666" s="20" t="s">
        <v>1004</v>
      </c>
      <c r="W666" s="20"/>
      <c r="X666" s="36"/>
      <c r="Y666" s="36"/>
      <c r="Z666" s="23"/>
      <c r="AA666" s="33"/>
    </row>
    <row r="667" spans="1:27" ht="15.75" customHeight="1">
      <c r="A667" s="10" t="s">
        <v>4611</v>
      </c>
      <c r="B667" s="10" t="s">
        <v>27</v>
      </c>
      <c r="C667" s="52" t="s">
        <v>868</v>
      </c>
      <c r="D667" s="12"/>
      <c r="E667" s="13" t="s">
        <v>378</v>
      </c>
      <c r="F667" s="6" t="s">
        <v>878</v>
      </c>
      <c r="G667" s="6" t="str">
        <f ca="1">IFERROR(__xludf.DUMMYFUNCTION("CONCATENATE(B667,(VLOOKUP(C667,CATALOGOS!$F$2:$H$6,3,FALSE)),(VLOOKUP(T667,CATALOGOS!$J$2:$K$18,2,FALSE)),""-"",TO_TEXT(A667))"),"P03CV-0666")</f>
        <v>P03CV-0666</v>
      </c>
      <c r="H667" s="6" t="s">
        <v>4612</v>
      </c>
      <c r="I667" s="6" t="s">
        <v>4613</v>
      </c>
      <c r="J667" s="6" t="s">
        <v>4614</v>
      </c>
      <c r="K667" s="6" t="s">
        <v>4615</v>
      </c>
      <c r="L667" s="17"/>
      <c r="M667" s="17"/>
      <c r="N667" s="17" t="str">
        <f t="shared" si="2"/>
        <v>OK</v>
      </c>
      <c r="O667" s="17" t="s">
        <v>35</v>
      </c>
      <c r="P667" s="6" t="s">
        <v>35</v>
      </c>
      <c r="Q667" s="17" t="s">
        <v>36</v>
      </c>
      <c r="R667" s="17" t="s">
        <v>4616</v>
      </c>
      <c r="S667" s="173" t="s">
        <v>38</v>
      </c>
      <c r="T667" s="11" t="s">
        <v>875</v>
      </c>
      <c r="U667" s="186" t="s">
        <v>4573</v>
      </c>
      <c r="V667" s="20" t="s">
        <v>4574</v>
      </c>
      <c r="W667" s="20"/>
      <c r="X667" s="36"/>
      <c r="Y667" s="36"/>
      <c r="Z667" s="23"/>
      <c r="AA667" s="33"/>
    </row>
    <row r="668" spans="1:27" ht="15.75" customHeight="1">
      <c r="A668" s="10" t="s">
        <v>4617</v>
      </c>
      <c r="B668" s="10" t="s">
        <v>27</v>
      </c>
      <c r="C668" s="52" t="s">
        <v>868</v>
      </c>
      <c r="D668" s="12"/>
      <c r="E668" s="13" t="s">
        <v>378</v>
      </c>
      <c r="F668" s="6" t="s">
        <v>878</v>
      </c>
      <c r="G668" s="6" t="str">
        <f ca="1">IFERROR(__xludf.DUMMYFUNCTION("CONCATENATE(B668,(VLOOKUP(C668,CATALOGOS!$F$2:$H$6,3,FALSE)),(VLOOKUP(T668,CATALOGOS!$J$2:$K$18,2,FALSE)),""-"",TO_TEXT(A668))"),"P03CV-0667")</f>
        <v>P03CV-0667</v>
      </c>
      <c r="H668" s="6" t="s">
        <v>4618</v>
      </c>
      <c r="I668" s="6" t="s">
        <v>4619</v>
      </c>
      <c r="J668" s="6" t="s">
        <v>4620</v>
      </c>
      <c r="K668" s="6" t="s">
        <v>4621</v>
      </c>
      <c r="L668" s="17"/>
      <c r="M668" s="17"/>
      <c r="N668" s="17" t="str">
        <f t="shared" si="2"/>
        <v>OK</v>
      </c>
      <c r="O668" s="17" t="s">
        <v>35</v>
      </c>
      <c r="P668" s="6" t="s">
        <v>35</v>
      </c>
      <c r="Q668" s="17" t="s">
        <v>36</v>
      </c>
      <c r="R668" s="17" t="s">
        <v>7607</v>
      </c>
      <c r="S668" s="173" t="s">
        <v>38</v>
      </c>
      <c r="T668" s="11" t="s">
        <v>875</v>
      </c>
      <c r="U668" s="186" t="s">
        <v>4573</v>
      </c>
      <c r="V668" s="20" t="s">
        <v>4574</v>
      </c>
      <c r="W668" s="20"/>
      <c r="X668" s="36"/>
      <c r="Y668" s="36"/>
      <c r="Z668" s="23"/>
      <c r="AA668" s="33"/>
    </row>
    <row r="669" spans="1:27" ht="15.75" customHeight="1">
      <c r="A669" s="10" t="s">
        <v>4623</v>
      </c>
      <c r="B669" s="10" t="s">
        <v>27</v>
      </c>
      <c r="C669" s="52" t="s">
        <v>868</v>
      </c>
      <c r="D669" s="12"/>
      <c r="E669" s="13" t="s">
        <v>378</v>
      </c>
      <c r="F669" s="6" t="s">
        <v>878</v>
      </c>
      <c r="G669" s="6" t="str">
        <f ca="1">IFERROR(__xludf.DUMMYFUNCTION("CONCATENATE(B669,(VLOOKUP(C669,CATALOGOS!$F$2:$H$6,3,FALSE)),(VLOOKUP(T669,CATALOGOS!$J$2:$K$18,2,FALSE)),""-"",TO_TEXT(A669))"),"P03CV-0668")</f>
        <v>P03CV-0668</v>
      </c>
      <c r="H669" s="6" t="s">
        <v>4624</v>
      </c>
      <c r="I669" s="6" t="s">
        <v>4625</v>
      </c>
      <c r="J669" s="6" t="s">
        <v>4626</v>
      </c>
      <c r="K669" s="6" t="s">
        <v>4627</v>
      </c>
      <c r="L669" s="17"/>
      <c r="M669" s="17"/>
      <c r="N669" s="17" t="str">
        <f t="shared" si="2"/>
        <v>OK</v>
      </c>
      <c r="O669" s="17" t="s">
        <v>35</v>
      </c>
      <c r="P669" s="6" t="s">
        <v>35</v>
      </c>
      <c r="Q669" s="17" t="s">
        <v>36</v>
      </c>
      <c r="R669" s="17" t="s">
        <v>7609</v>
      </c>
      <c r="S669" s="173" t="s">
        <v>38</v>
      </c>
      <c r="T669" s="11" t="s">
        <v>875</v>
      </c>
      <c r="U669" s="22" t="s">
        <v>4629</v>
      </c>
      <c r="V669" s="22" t="s">
        <v>4629</v>
      </c>
      <c r="W669" s="22"/>
      <c r="X669" s="36"/>
      <c r="Y669" s="36"/>
      <c r="Z669" s="23"/>
      <c r="AA669" s="33"/>
    </row>
    <row r="670" spans="1:27" ht="15.75" customHeight="1">
      <c r="A670" s="10" t="s">
        <v>4630</v>
      </c>
      <c r="B670" s="10" t="s">
        <v>27</v>
      </c>
      <c r="C670" s="52" t="s">
        <v>868</v>
      </c>
      <c r="D670" s="12"/>
      <c r="E670" s="13" t="s">
        <v>62</v>
      </c>
      <c r="F670" s="6" t="s">
        <v>4631</v>
      </c>
      <c r="G670" s="6" t="str">
        <f ca="1">IFERROR(__xludf.DUMMYFUNCTION("CONCATENATE(B670,(VLOOKUP(C670,CATALOGOS!$F$2:$H$6,3,FALSE)),(VLOOKUP(T670,CATALOGOS!$J$2:$K$18,2,FALSE)),""-"",TO_TEXT(A670))"),"P03CV-0669")</f>
        <v>P03CV-0669</v>
      </c>
      <c r="H670" s="6" t="s">
        <v>4632</v>
      </c>
      <c r="I670" s="6" t="s">
        <v>4633</v>
      </c>
      <c r="J670" s="6" t="s">
        <v>4634</v>
      </c>
      <c r="K670" s="6" t="s">
        <v>4635</v>
      </c>
      <c r="L670" s="17"/>
      <c r="M670" s="17"/>
      <c r="N670" s="17" t="str">
        <f t="shared" si="2"/>
        <v>OK</v>
      </c>
      <c r="O670" s="17" t="s">
        <v>35</v>
      </c>
      <c r="P670" s="6" t="s">
        <v>35</v>
      </c>
      <c r="Q670" s="17" t="s">
        <v>36</v>
      </c>
      <c r="R670" s="17" t="s">
        <v>8166</v>
      </c>
      <c r="S670" s="173" t="s">
        <v>38</v>
      </c>
      <c r="T670" s="11" t="s">
        <v>875</v>
      </c>
      <c r="U670" s="186" t="s">
        <v>4573</v>
      </c>
      <c r="V670" s="20" t="s">
        <v>4574</v>
      </c>
      <c r="W670" s="20"/>
      <c r="X670" s="36"/>
      <c r="Y670" s="36"/>
      <c r="Z670" s="23"/>
      <c r="AA670" s="33"/>
    </row>
    <row r="671" spans="1:27" ht="15.75" customHeight="1">
      <c r="A671" s="10" t="s">
        <v>4637</v>
      </c>
      <c r="B671" s="10" t="s">
        <v>27</v>
      </c>
      <c r="C671" s="52" t="s">
        <v>868</v>
      </c>
      <c r="D671" s="12"/>
      <c r="E671" s="13" t="s">
        <v>116</v>
      </c>
      <c r="F671" s="6" t="s">
        <v>4638</v>
      </c>
      <c r="G671" s="6" t="str">
        <f ca="1">IFERROR(__xludf.DUMMYFUNCTION("CONCATENATE(B671,(VLOOKUP(C671,CATALOGOS!$F$2:$H$6,3,FALSE)),(VLOOKUP(T671,CATALOGOS!$J$2:$K$18,2,FALSE)),""-"",TO_TEXT(A671))"),"P03CV-0670")</f>
        <v>P03CV-0670</v>
      </c>
      <c r="H671" s="6" t="s">
        <v>4639</v>
      </c>
      <c r="I671" s="6" t="s">
        <v>4640</v>
      </c>
      <c r="J671" s="6" t="s">
        <v>4641</v>
      </c>
      <c r="K671" s="6" t="s">
        <v>4642</v>
      </c>
      <c r="L671" s="17"/>
      <c r="M671" s="17"/>
      <c r="N671" s="17" t="str">
        <f t="shared" si="2"/>
        <v>OK</v>
      </c>
      <c r="O671" s="17" t="s">
        <v>35</v>
      </c>
      <c r="P671" s="6" t="s">
        <v>35</v>
      </c>
      <c r="Q671" s="17" t="s">
        <v>36</v>
      </c>
      <c r="R671" s="17" t="s">
        <v>8144</v>
      </c>
      <c r="S671" s="173" t="s">
        <v>38</v>
      </c>
      <c r="T671" s="11" t="s">
        <v>875</v>
      </c>
      <c r="U671" s="186" t="s">
        <v>4573</v>
      </c>
      <c r="V671" s="20" t="s">
        <v>4574</v>
      </c>
      <c r="W671" s="20"/>
      <c r="X671" s="36"/>
      <c r="Y671" s="36"/>
      <c r="Z671" s="23"/>
      <c r="AA671" s="33"/>
    </row>
    <row r="672" spans="1:27" ht="15.75" customHeight="1">
      <c r="A672" s="10" t="s">
        <v>4644</v>
      </c>
      <c r="B672" s="10" t="s">
        <v>27</v>
      </c>
      <c r="C672" s="52" t="s">
        <v>868</v>
      </c>
      <c r="D672" s="12"/>
      <c r="E672" s="13" t="s">
        <v>93</v>
      </c>
      <c r="F672" s="6" t="s">
        <v>4645</v>
      </c>
      <c r="G672" s="6" t="str">
        <f ca="1">IFERROR(__xludf.DUMMYFUNCTION("CONCATENATE(B672,(VLOOKUP(C672,CATALOGOS!$F$2:$H$6,3,FALSE)),(VLOOKUP(T672,CATALOGOS!$J$2:$K$18,2,FALSE)),""-"",TO_TEXT(A672))"),"P03CV-0671")</f>
        <v>P03CV-0671</v>
      </c>
      <c r="H672" s="6" t="s">
        <v>4646</v>
      </c>
      <c r="I672" s="6" t="s">
        <v>4647</v>
      </c>
      <c r="J672" s="6" t="s">
        <v>4648</v>
      </c>
      <c r="K672" s="6" t="s">
        <v>4649</v>
      </c>
      <c r="L672" s="17"/>
      <c r="M672" s="17"/>
      <c r="N672" s="17" t="str">
        <f t="shared" si="2"/>
        <v>OK</v>
      </c>
      <c r="O672" s="17" t="s">
        <v>35</v>
      </c>
      <c r="P672" s="6" t="s">
        <v>35</v>
      </c>
      <c r="Q672" s="17" t="s">
        <v>36</v>
      </c>
      <c r="R672" s="17" t="s">
        <v>4650</v>
      </c>
      <c r="S672" s="173" t="s">
        <v>38</v>
      </c>
      <c r="T672" s="11" t="s">
        <v>875</v>
      </c>
      <c r="U672" s="186" t="s">
        <v>4573</v>
      </c>
      <c r="V672" s="20" t="s">
        <v>4574</v>
      </c>
      <c r="W672" s="20"/>
      <c r="X672" s="36"/>
      <c r="Y672" s="36"/>
      <c r="Z672" s="23"/>
      <c r="AA672" s="33"/>
    </row>
    <row r="673" spans="1:28" ht="15.75" customHeight="1">
      <c r="A673" s="10" t="s">
        <v>4651</v>
      </c>
      <c r="B673" s="10" t="s">
        <v>27</v>
      </c>
      <c r="C673" s="52" t="s">
        <v>868</v>
      </c>
      <c r="D673" s="12"/>
      <c r="E673" s="13" t="s">
        <v>151</v>
      </c>
      <c r="F673" s="6" t="s">
        <v>714</v>
      </c>
      <c r="G673" s="6" t="str">
        <f ca="1">IFERROR(__xludf.DUMMYFUNCTION("CONCATENATE(B673,(VLOOKUP(C673,CATALOGOS!$F$2:$H$6,3,FALSE)),(VLOOKUP(T673,CATALOGOS!$J$2:$K$18,2,FALSE)),""-"",TO_TEXT(A673))"),"P03CV-0672")</f>
        <v>P03CV-0672</v>
      </c>
      <c r="H673" s="6" t="s">
        <v>4652</v>
      </c>
      <c r="I673" s="6" t="s">
        <v>4653</v>
      </c>
      <c r="J673" s="6" t="s">
        <v>4654</v>
      </c>
      <c r="K673" s="6" t="s">
        <v>4655</v>
      </c>
      <c r="L673" s="17"/>
      <c r="M673" s="17"/>
      <c r="N673" s="17" t="str">
        <f t="shared" si="2"/>
        <v>OK</v>
      </c>
      <c r="O673" s="17" t="s">
        <v>157</v>
      </c>
      <c r="P673" s="6" t="s">
        <v>158</v>
      </c>
      <c r="Q673" s="17" t="s">
        <v>4656</v>
      </c>
      <c r="R673" s="10" t="s">
        <v>4657</v>
      </c>
      <c r="S673" s="173" t="s">
        <v>38</v>
      </c>
      <c r="T673" s="11" t="s">
        <v>875</v>
      </c>
      <c r="U673" s="186" t="s">
        <v>4573</v>
      </c>
      <c r="V673" s="20" t="s">
        <v>4574</v>
      </c>
      <c r="W673" s="20"/>
      <c r="X673" s="36"/>
      <c r="Y673" s="36"/>
      <c r="Z673" s="23"/>
      <c r="AA673" s="33"/>
    </row>
    <row r="674" spans="1:28" ht="15.75" customHeight="1">
      <c r="A674" s="10" t="s">
        <v>4658</v>
      </c>
      <c r="B674" s="10" t="s">
        <v>27</v>
      </c>
      <c r="C674" s="52" t="s">
        <v>868</v>
      </c>
      <c r="D674" s="12"/>
      <c r="E674" s="13" t="s">
        <v>199</v>
      </c>
      <c r="F674" s="6" t="s">
        <v>199</v>
      </c>
      <c r="G674" s="6" t="str">
        <f ca="1">IFERROR(__xludf.DUMMYFUNCTION("CONCATENATE(B674,(VLOOKUP(C674,CATALOGOS!$F$2:$H$6,3,FALSE)),(VLOOKUP(T674,CATALOGOS!$J$2:$K$18,2,FALSE)),""-"",TO_TEXT(A674))"),"P03CV-0673")</f>
        <v>P03CV-0673</v>
      </c>
      <c r="H674" s="6" t="s">
        <v>4659</v>
      </c>
      <c r="I674" s="6" t="s">
        <v>4660</v>
      </c>
      <c r="J674" s="6" t="s">
        <v>4661</v>
      </c>
      <c r="K674" s="6" t="s">
        <v>4662</v>
      </c>
      <c r="L674" s="17"/>
      <c r="M674" s="17"/>
      <c r="N674" s="17" t="str">
        <f t="shared" si="2"/>
        <v>OK</v>
      </c>
      <c r="O674" s="17" t="s">
        <v>157</v>
      </c>
      <c r="P674" s="6">
        <v>2378</v>
      </c>
      <c r="Q674" s="17" t="s">
        <v>4663</v>
      </c>
      <c r="R674" s="10" t="s">
        <v>4664</v>
      </c>
      <c r="S674" s="173" t="s">
        <v>38</v>
      </c>
      <c r="T674" s="11" t="s">
        <v>875</v>
      </c>
      <c r="U674" s="186" t="s">
        <v>4573</v>
      </c>
      <c r="V674" s="20" t="s">
        <v>4574</v>
      </c>
      <c r="W674" s="20"/>
      <c r="X674" s="6"/>
      <c r="Y674" s="6"/>
      <c r="Z674" s="23"/>
      <c r="AA674" s="33"/>
    </row>
    <row r="675" spans="1:28" ht="15.75" customHeight="1">
      <c r="A675" s="10" t="s">
        <v>4665</v>
      </c>
      <c r="B675" s="10" t="s">
        <v>27</v>
      </c>
      <c r="C675" s="52" t="s">
        <v>868</v>
      </c>
      <c r="D675" s="12"/>
      <c r="E675" s="13" t="s">
        <v>248</v>
      </c>
      <c r="F675" s="6" t="s">
        <v>248</v>
      </c>
      <c r="G675" s="6" t="str">
        <f ca="1">IFERROR(__xludf.DUMMYFUNCTION("CONCATENATE(B675,(VLOOKUP(C675,CATALOGOS!$F$2:$H$6,3,FALSE)),(VLOOKUP(T675,CATALOGOS!$J$2:$K$18,2,FALSE)),""-"",TO_TEXT(A675))"),"P03CV-0674")</f>
        <v>P03CV-0674</v>
      </c>
      <c r="H675" s="6" t="s">
        <v>4666</v>
      </c>
      <c r="I675" s="6" t="s">
        <v>4667</v>
      </c>
      <c r="J675" s="37"/>
      <c r="K675" s="6" t="s">
        <v>141</v>
      </c>
      <c r="L675" s="17"/>
      <c r="M675" s="17"/>
      <c r="N675" s="17" t="str">
        <f t="shared" si="2"/>
        <v>REPETIDO</v>
      </c>
      <c r="O675" s="17" t="s">
        <v>303</v>
      </c>
      <c r="P675" s="6" t="s">
        <v>304</v>
      </c>
      <c r="Q675" s="6" t="s">
        <v>4668</v>
      </c>
      <c r="R675" s="10" t="s">
        <v>4669</v>
      </c>
      <c r="S675" s="173" t="s">
        <v>38</v>
      </c>
      <c r="T675" s="11" t="s">
        <v>875</v>
      </c>
      <c r="U675" s="186" t="s">
        <v>4573</v>
      </c>
      <c r="V675" s="20" t="s">
        <v>4574</v>
      </c>
      <c r="W675" s="20"/>
      <c r="X675" s="6"/>
      <c r="Y675" s="6"/>
      <c r="Z675" s="23"/>
      <c r="AA675" s="24"/>
    </row>
    <row r="676" spans="1:28" ht="15.75" customHeight="1">
      <c r="A676" s="10" t="s">
        <v>4670</v>
      </c>
      <c r="B676" s="10" t="s">
        <v>27</v>
      </c>
      <c r="C676" s="52" t="s">
        <v>868</v>
      </c>
      <c r="D676" s="12"/>
      <c r="E676" s="13" t="s">
        <v>151</v>
      </c>
      <c r="F676" s="6" t="s">
        <v>714</v>
      </c>
      <c r="G676" s="6" t="str">
        <f ca="1">IFERROR(__xludf.DUMMYFUNCTION("CONCATENATE(B676,(VLOOKUP(C676,CATALOGOS!$F$2:$H$6,3,FALSE)),(VLOOKUP(T676,CATALOGOS!$J$2:$K$18,2,FALSE)),""-"",TO_TEXT(A676))"),"P03CV-0675")</f>
        <v>P03CV-0675</v>
      </c>
      <c r="H676" s="6" t="s">
        <v>4671</v>
      </c>
      <c r="I676" s="6" t="s">
        <v>4672</v>
      </c>
      <c r="J676" s="6" t="s">
        <v>4673</v>
      </c>
      <c r="K676" s="6" t="s">
        <v>4674</v>
      </c>
      <c r="L676" s="17"/>
      <c r="M676" s="17"/>
      <c r="N676" s="17" t="str">
        <f t="shared" si="2"/>
        <v>OK</v>
      </c>
      <c r="O676" s="17" t="s">
        <v>719</v>
      </c>
      <c r="P676" s="6" t="s">
        <v>720</v>
      </c>
      <c r="Q676" s="17" t="s">
        <v>4675</v>
      </c>
      <c r="R676" s="17" t="s">
        <v>4676</v>
      </c>
      <c r="S676" s="173" t="s">
        <v>4677</v>
      </c>
      <c r="T676" s="11" t="s">
        <v>875</v>
      </c>
      <c r="U676" s="186" t="s">
        <v>4573</v>
      </c>
      <c r="V676" s="20" t="s">
        <v>4574</v>
      </c>
      <c r="W676" s="20"/>
      <c r="X676" s="6"/>
      <c r="Y676" s="6"/>
      <c r="Z676" s="23"/>
      <c r="AA676" s="33"/>
    </row>
    <row r="677" spans="1:28" ht="15.75" customHeight="1">
      <c r="A677" s="10" t="s">
        <v>4678</v>
      </c>
      <c r="B677" s="10" t="s">
        <v>27</v>
      </c>
      <c r="C677" s="52" t="s">
        <v>868</v>
      </c>
      <c r="D677" s="12"/>
      <c r="E677" s="13" t="s">
        <v>184</v>
      </c>
      <c r="F677" s="6" t="s">
        <v>4679</v>
      </c>
      <c r="G677" s="6" t="str">
        <f ca="1">IFERROR(__xludf.DUMMYFUNCTION("CONCATENATE(B677,(VLOOKUP(C677,CATALOGOS!$F$2:$H$6,3,FALSE)),(VLOOKUP(T677,CATALOGOS!$J$2:$K$18,2,FALSE)),""-"",TO_TEXT(A677))"),"P03CV-0676")</f>
        <v>P03CV-0676</v>
      </c>
      <c r="H677" s="6" t="s">
        <v>4680</v>
      </c>
      <c r="I677" s="6" t="s">
        <v>4681</v>
      </c>
      <c r="J677" s="6" t="s">
        <v>4682</v>
      </c>
      <c r="K677" s="6" t="s">
        <v>4683</v>
      </c>
      <c r="L677" s="17"/>
      <c r="M677" s="17"/>
      <c r="N677" s="17" t="str">
        <f t="shared" si="2"/>
        <v>OK</v>
      </c>
      <c r="O677" s="17" t="s">
        <v>35</v>
      </c>
      <c r="P677" s="6" t="s">
        <v>35</v>
      </c>
      <c r="Q677" s="17" t="s">
        <v>36</v>
      </c>
      <c r="R677" s="17" t="s">
        <v>7442</v>
      </c>
      <c r="S677" s="179" t="s">
        <v>517</v>
      </c>
      <c r="T677" s="11" t="s">
        <v>875</v>
      </c>
      <c r="U677" s="186" t="s">
        <v>4573</v>
      </c>
      <c r="V677" s="20" t="s">
        <v>4574</v>
      </c>
      <c r="W677" s="20"/>
      <c r="X677" s="36"/>
      <c r="Y677" s="36"/>
      <c r="Z677" s="23"/>
      <c r="AA677" s="33"/>
    </row>
    <row r="678" spans="1:28" ht="15.75" customHeight="1">
      <c r="A678" s="10" t="s">
        <v>4686</v>
      </c>
      <c r="B678" s="10" t="s">
        <v>27</v>
      </c>
      <c r="C678" s="52" t="s">
        <v>868</v>
      </c>
      <c r="D678" s="12"/>
      <c r="E678" s="13" t="s">
        <v>162</v>
      </c>
      <c r="F678" s="6" t="s">
        <v>285</v>
      </c>
      <c r="G678" s="6" t="str">
        <f ca="1">IFERROR(__xludf.DUMMYFUNCTION("CONCATENATE(B678,(VLOOKUP(C678,CATALOGOS!$F$2:$H$6,3,FALSE)),(VLOOKUP(T678,CATALOGOS!$J$2:$K$18,2,FALSE)),""-"",TO_TEXT(A678))"),"P03CV-0677")</f>
        <v>P03CV-0677</v>
      </c>
      <c r="H678" s="6" t="s">
        <v>4687</v>
      </c>
      <c r="I678" s="6" t="s">
        <v>4688</v>
      </c>
      <c r="J678" s="6" t="s">
        <v>4689</v>
      </c>
      <c r="K678" s="6" t="s">
        <v>4690</v>
      </c>
      <c r="L678" s="17"/>
      <c r="M678" s="17"/>
      <c r="N678" s="17" t="str">
        <f t="shared" si="2"/>
        <v>OK</v>
      </c>
      <c r="O678" s="17" t="s">
        <v>168</v>
      </c>
      <c r="P678" s="6" t="s">
        <v>169</v>
      </c>
      <c r="Q678" s="17" t="s">
        <v>4691</v>
      </c>
      <c r="R678" s="17" t="s">
        <v>7674</v>
      </c>
      <c r="S678" s="173" t="s">
        <v>38</v>
      </c>
      <c r="T678" s="11" t="s">
        <v>875</v>
      </c>
      <c r="U678" s="186" t="s">
        <v>4573</v>
      </c>
      <c r="V678" s="20" t="s">
        <v>4574</v>
      </c>
      <c r="W678" s="20"/>
      <c r="X678" s="36"/>
      <c r="Y678" s="36"/>
      <c r="Z678" s="23"/>
      <c r="AA678" s="33"/>
    </row>
    <row r="679" spans="1:28" ht="15.75" customHeight="1">
      <c r="A679" s="10" t="s">
        <v>4693</v>
      </c>
      <c r="B679" s="10" t="s">
        <v>27</v>
      </c>
      <c r="C679" s="52" t="s">
        <v>868</v>
      </c>
      <c r="D679" s="12"/>
      <c r="E679" s="13" t="s">
        <v>151</v>
      </c>
      <c r="F679" s="6" t="s">
        <v>4113</v>
      </c>
      <c r="G679" s="6" t="str">
        <f ca="1">IFERROR(__xludf.DUMMYFUNCTION("CONCATENATE(B679,(VLOOKUP(C679,CATALOGOS!$F$2:$H$6,3,FALSE)),(VLOOKUP(T679,CATALOGOS!$J$2:$K$18,2,FALSE)),""-"",TO_TEXT(A679))"),"P03CV-0678")</f>
        <v>P03CV-0678</v>
      </c>
      <c r="H679" s="6" t="s">
        <v>4694</v>
      </c>
      <c r="I679" s="6" t="s">
        <v>4695</v>
      </c>
      <c r="J679" s="36"/>
      <c r="K679" s="6" t="s">
        <v>4696</v>
      </c>
      <c r="L679" s="17"/>
      <c r="M679" s="17"/>
      <c r="N679" s="17" t="str">
        <f t="shared" si="2"/>
        <v>OK</v>
      </c>
      <c r="O679" s="17" t="s">
        <v>297</v>
      </c>
      <c r="P679" s="6" t="s">
        <v>298</v>
      </c>
      <c r="Q679" s="6" t="s">
        <v>4697</v>
      </c>
      <c r="R679" s="10" t="s">
        <v>85</v>
      </c>
      <c r="S679" s="173" t="s">
        <v>38</v>
      </c>
      <c r="T679" s="11" t="s">
        <v>875</v>
      </c>
      <c r="U679" s="22" t="s">
        <v>4629</v>
      </c>
      <c r="V679" s="22" t="s">
        <v>4629</v>
      </c>
      <c r="W679" s="22"/>
      <c r="X679" s="6"/>
      <c r="Y679" s="6"/>
      <c r="Z679" s="41" t="s">
        <v>92</v>
      </c>
      <c r="AA679" s="42">
        <v>44348</v>
      </c>
      <c r="AB679" s="8">
        <v>0</v>
      </c>
    </row>
    <row r="680" spans="1:28" ht="15.75" customHeight="1">
      <c r="A680" s="10" t="s">
        <v>4698</v>
      </c>
      <c r="B680" s="10" t="s">
        <v>27</v>
      </c>
      <c r="C680" s="52" t="s">
        <v>868</v>
      </c>
      <c r="D680" s="12"/>
      <c r="E680" s="13" t="s">
        <v>199</v>
      </c>
      <c r="F680" s="6" t="s">
        <v>199</v>
      </c>
      <c r="G680" s="6" t="str">
        <f ca="1">IFERROR(__xludf.DUMMYFUNCTION("CONCATENATE(B680,(VLOOKUP(C680,CATALOGOS!$F$2:$H$6,3,FALSE)),(VLOOKUP(T680,CATALOGOS!$J$2:$K$18,2,FALSE)),""-"",TO_TEXT(A680))"),"P03CV-0679")</f>
        <v>P03CV-0679</v>
      </c>
      <c r="H680" s="6" t="s">
        <v>4699</v>
      </c>
      <c r="I680" s="6" t="s">
        <v>4700</v>
      </c>
      <c r="J680" s="37"/>
      <c r="K680" s="6" t="s">
        <v>4701</v>
      </c>
      <c r="L680" s="17"/>
      <c r="M680" s="17"/>
      <c r="N680" s="17" t="str">
        <f t="shared" si="2"/>
        <v>OK</v>
      </c>
      <c r="O680" s="17" t="s">
        <v>273</v>
      </c>
      <c r="P680" s="6" t="s">
        <v>274</v>
      </c>
      <c r="Q680" s="6">
        <v>11392903014603</v>
      </c>
      <c r="R680" s="10" t="s">
        <v>85</v>
      </c>
      <c r="S680" s="173" t="s">
        <v>38</v>
      </c>
      <c r="T680" s="11" t="s">
        <v>875</v>
      </c>
      <c r="U680" s="22" t="s">
        <v>4629</v>
      </c>
      <c r="V680" s="22" t="s">
        <v>4629</v>
      </c>
      <c r="W680" s="22"/>
      <c r="X680" s="6"/>
      <c r="Y680" s="6"/>
      <c r="Z680" s="41" t="s">
        <v>92</v>
      </c>
      <c r="AA680" s="42">
        <v>44348</v>
      </c>
      <c r="AB680" s="8" t="s">
        <v>276</v>
      </c>
    </row>
    <row r="681" spans="1:28" ht="15.75" customHeight="1">
      <c r="A681" s="10" t="s">
        <v>4702</v>
      </c>
      <c r="B681" s="10" t="s">
        <v>27</v>
      </c>
      <c r="C681" s="52" t="s">
        <v>868</v>
      </c>
      <c r="D681" s="12"/>
      <c r="E681" s="13" t="s">
        <v>353</v>
      </c>
      <c r="F681" s="6" t="s">
        <v>354</v>
      </c>
      <c r="G681" s="6" t="str">
        <f ca="1">IFERROR(__xludf.DUMMYFUNCTION("CONCATENATE(B681,(VLOOKUP(C681,CATALOGOS!$F$2:$H$6,3,FALSE)),(VLOOKUP(T681,CATALOGOS!$J$2:$K$18,2,FALSE)),""-"",TO_TEXT(A681))"),"P03CV-0680")</f>
        <v>P03CV-0680</v>
      </c>
      <c r="H681" s="6" t="s">
        <v>4703</v>
      </c>
      <c r="I681" s="6" t="s">
        <v>4704</v>
      </c>
      <c r="J681" s="6" t="s">
        <v>4705</v>
      </c>
      <c r="K681" s="6" t="s">
        <v>4706</v>
      </c>
      <c r="L681" s="17"/>
      <c r="M681" s="17"/>
      <c r="N681" s="17" t="str">
        <f t="shared" si="2"/>
        <v>OK</v>
      </c>
      <c r="O681" s="17" t="s">
        <v>359</v>
      </c>
      <c r="P681" s="6" t="s">
        <v>360</v>
      </c>
      <c r="Q681" s="6" t="s">
        <v>4707</v>
      </c>
      <c r="R681" s="10" t="s">
        <v>4708</v>
      </c>
      <c r="S681" s="173" t="s">
        <v>38</v>
      </c>
      <c r="T681" s="11" t="s">
        <v>875</v>
      </c>
      <c r="U681" s="22" t="s">
        <v>4629</v>
      </c>
      <c r="V681" s="22" t="s">
        <v>4629</v>
      </c>
      <c r="W681" s="22"/>
      <c r="X681" s="36"/>
      <c r="Y681" s="36"/>
      <c r="Z681" s="23"/>
      <c r="AA681" s="33"/>
    </row>
    <row r="682" spans="1:28" ht="15.75" customHeight="1">
      <c r="A682" s="10" t="s">
        <v>4709</v>
      </c>
      <c r="B682" s="10" t="s">
        <v>27</v>
      </c>
      <c r="C682" s="52" t="s">
        <v>868</v>
      </c>
      <c r="D682" s="12"/>
      <c r="E682" s="13" t="s">
        <v>62</v>
      </c>
      <c r="F682" s="6" t="s">
        <v>4710</v>
      </c>
      <c r="G682" s="6" t="str">
        <f ca="1">IFERROR(__xludf.DUMMYFUNCTION("CONCATENATE(B682,(VLOOKUP(C682,CATALOGOS!$F$2:$H$6,3,FALSE)),(VLOOKUP(T682,CATALOGOS!$J$2:$K$18,2,FALSE)),""-"",TO_TEXT(A682))"),"P03CV-0681")</f>
        <v>P03CV-0681</v>
      </c>
      <c r="H682" s="6" t="s">
        <v>4711</v>
      </c>
      <c r="I682" s="6" t="s">
        <v>4712</v>
      </c>
      <c r="J682" s="6" t="s">
        <v>4713</v>
      </c>
      <c r="K682" s="6" t="s">
        <v>4714</v>
      </c>
      <c r="L682" s="17"/>
      <c r="M682" s="17"/>
      <c r="N682" s="17" t="str">
        <f t="shared" si="2"/>
        <v>OK</v>
      </c>
      <c r="O682" s="17" t="s">
        <v>35</v>
      </c>
      <c r="P682" s="6" t="s">
        <v>35</v>
      </c>
      <c r="Q682" s="17" t="s">
        <v>36</v>
      </c>
      <c r="R682" s="17" t="s">
        <v>4715</v>
      </c>
      <c r="S682" s="179" t="s">
        <v>100</v>
      </c>
      <c r="T682" s="11" t="s">
        <v>875</v>
      </c>
      <c r="U682" s="20" t="s">
        <v>4573</v>
      </c>
      <c r="V682" s="20" t="s">
        <v>4574</v>
      </c>
      <c r="W682" s="20"/>
      <c r="X682" s="36"/>
      <c r="Y682" s="36"/>
      <c r="Z682" s="23"/>
      <c r="AA682" s="33"/>
    </row>
    <row r="683" spans="1:28" ht="15.75" customHeight="1">
      <c r="A683" s="10" t="s">
        <v>4716</v>
      </c>
      <c r="B683" s="10" t="s">
        <v>27</v>
      </c>
      <c r="C683" s="52" t="s">
        <v>868</v>
      </c>
      <c r="D683" s="12"/>
      <c r="E683" s="13" t="s">
        <v>62</v>
      </c>
      <c r="F683" s="6" t="s">
        <v>4717</v>
      </c>
      <c r="G683" s="6" t="str">
        <f ca="1">IFERROR(__xludf.DUMMYFUNCTION("CONCATENATE(B683,(VLOOKUP(C683,CATALOGOS!$F$2:$H$6,3,FALSE)),(VLOOKUP(T683,CATALOGOS!$J$2:$K$18,2,FALSE)),""-"",TO_TEXT(A683))"),"P03CV-0682")</f>
        <v>P03CV-0682</v>
      </c>
      <c r="H683" s="6" t="s">
        <v>4718</v>
      </c>
      <c r="I683" s="6" t="s">
        <v>4719</v>
      </c>
      <c r="J683" s="6" t="s">
        <v>4720</v>
      </c>
      <c r="K683" s="6" t="s">
        <v>4721</v>
      </c>
      <c r="L683" s="17"/>
      <c r="M683" s="17"/>
      <c r="N683" s="17" t="str">
        <f t="shared" si="2"/>
        <v>OK</v>
      </c>
      <c r="O683" s="17" t="s">
        <v>35</v>
      </c>
      <c r="P683" s="6" t="s">
        <v>35</v>
      </c>
      <c r="Q683" s="17" t="s">
        <v>36</v>
      </c>
      <c r="R683" s="17" t="s">
        <v>8107</v>
      </c>
      <c r="S683" s="179" t="s">
        <v>517</v>
      </c>
      <c r="T683" s="11" t="s">
        <v>875</v>
      </c>
      <c r="U683" s="20" t="s">
        <v>4573</v>
      </c>
      <c r="V683" s="20" t="s">
        <v>4574</v>
      </c>
      <c r="W683" s="20"/>
      <c r="X683" s="36"/>
      <c r="Y683" s="36"/>
      <c r="Z683" s="23"/>
      <c r="AA683" s="33"/>
    </row>
    <row r="684" spans="1:28" ht="15.75" customHeight="1">
      <c r="A684" s="10" t="s">
        <v>4723</v>
      </c>
      <c r="B684" s="10" t="s">
        <v>27</v>
      </c>
      <c r="C684" s="52" t="s">
        <v>868</v>
      </c>
      <c r="D684" s="12"/>
      <c r="E684" s="13" t="s">
        <v>62</v>
      </c>
      <c r="F684" s="6" t="s">
        <v>4724</v>
      </c>
      <c r="G684" s="6" t="str">
        <f ca="1">IFERROR(__xludf.DUMMYFUNCTION("CONCATENATE(B684,(VLOOKUP(C684,CATALOGOS!$F$2:$H$6,3,FALSE)),(VLOOKUP(T684,CATALOGOS!$J$2:$K$18,2,FALSE)),""-"",TO_TEXT(A684))"),"P03CV-0683")</f>
        <v>P03CV-0683</v>
      </c>
      <c r="H684" s="6" t="s">
        <v>4725</v>
      </c>
      <c r="I684" s="6" t="s">
        <v>4726</v>
      </c>
      <c r="J684" s="6" t="s">
        <v>4727</v>
      </c>
      <c r="K684" s="6" t="s">
        <v>4728</v>
      </c>
      <c r="L684" s="17"/>
      <c r="M684" s="17"/>
      <c r="N684" s="17" t="str">
        <f t="shared" si="2"/>
        <v>OK</v>
      </c>
      <c r="O684" s="17" t="s">
        <v>35</v>
      </c>
      <c r="P684" s="6" t="s">
        <v>35</v>
      </c>
      <c r="Q684" s="17" t="s">
        <v>36</v>
      </c>
      <c r="R684" s="17" t="s">
        <v>4729</v>
      </c>
      <c r="S684" s="173" t="s">
        <v>38</v>
      </c>
      <c r="T684" s="11" t="s">
        <v>875</v>
      </c>
      <c r="U684" s="20" t="s">
        <v>4573</v>
      </c>
      <c r="V684" s="20" t="s">
        <v>4574</v>
      </c>
      <c r="W684" s="20"/>
      <c r="X684" s="36"/>
      <c r="Y684" s="36"/>
      <c r="Z684" s="23"/>
      <c r="AA684" s="33"/>
    </row>
    <row r="685" spans="1:28" ht="15.75" customHeight="1">
      <c r="A685" s="10" t="s">
        <v>4730</v>
      </c>
      <c r="B685" s="10" t="s">
        <v>27</v>
      </c>
      <c r="C685" s="52" t="s">
        <v>868</v>
      </c>
      <c r="D685" s="12"/>
      <c r="E685" s="13" t="s">
        <v>62</v>
      </c>
      <c r="F685" s="6" t="s">
        <v>4731</v>
      </c>
      <c r="G685" s="6" t="str">
        <f ca="1">IFERROR(__xludf.DUMMYFUNCTION("CONCATENATE(B685,(VLOOKUP(C685,CATALOGOS!$F$2:$H$6,3,FALSE)),(VLOOKUP(T685,CATALOGOS!$J$2:$K$18,2,FALSE)),""-"",TO_TEXT(A685))"),"P03CV-0684")</f>
        <v>P03CV-0684</v>
      </c>
      <c r="H685" s="6" t="s">
        <v>4732</v>
      </c>
      <c r="I685" s="6" t="s">
        <v>4733</v>
      </c>
      <c r="J685" s="6" t="s">
        <v>4734</v>
      </c>
      <c r="K685" s="6" t="s">
        <v>4735</v>
      </c>
      <c r="L685" s="17"/>
      <c r="M685" s="17"/>
      <c r="N685" s="17" t="str">
        <f t="shared" si="2"/>
        <v>OK</v>
      </c>
      <c r="O685" s="17" t="s">
        <v>35</v>
      </c>
      <c r="P685" s="6" t="s">
        <v>35</v>
      </c>
      <c r="Q685" s="17" t="s">
        <v>36</v>
      </c>
      <c r="R685" s="35" t="s">
        <v>9322</v>
      </c>
      <c r="S685" s="173" t="s">
        <v>38</v>
      </c>
      <c r="T685" s="11" t="s">
        <v>875</v>
      </c>
      <c r="U685" s="20" t="s">
        <v>4737</v>
      </c>
      <c r="V685" s="20" t="s">
        <v>4737</v>
      </c>
      <c r="W685" s="20"/>
      <c r="X685" s="36"/>
      <c r="Y685" s="36"/>
      <c r="Z685" s="23"/>
      <c r="AA685" s="33"/>
    </row>
    <row r="686" spans="1:28" ht="15.75" customHeight="1">
      <c r="A686" s="10" t="s">
        <v>4738</v>
      </c>
      <c r="B686" s="10" t="s">
        <v>27</v>
      </c>
      <c r="C686" s="52" t="s">
        <v>868</v>
      </c>
      <c r="D686" s="38"/>
      <c r="E686" s="13" t="s">
        <v>62</v>
      </c>
      <c r="F686" s="6" t="s">
        <v>4739</v>
      </c>
      <c r="G686" s="6" t="str">
        <f ca="1">IFERROR(__xludf.DUMMYFUNCTION("CONCATENATE(B686,(VLOOKUP(C686,CATALOGOS!$F$2:$H$6,3,FALSE)),(VLOOKUP(T686,CATALOGOS!$J$2:$K$18,2,FALSE)),""-"",TO_TEXT(A686))"),"P03CV-0685")</f>
        <v>P03CV-0685</v>
      </c>
      <c r="H686" s="6" t="s">
        <v>4740</v>
      </c>
      <c r="I686" s="6" t="s">
        <v>4741</v>
      </c>
      <c r="J686" s="6" t="s">
        <v>4742</v>
      </c>
      <c r="K686" s="6" t="s">
        <v>4743</v>
      </c>
      <c r="L686" s="17"/>
      <c r="M686" s="17"/>
      <c r="N686" s="17" t="str">
        <f t="shared" si="2"/>
        <v>OK</v>
      </c>
      <c r="O686" s="17" t="s">
        <v>35</v>
      </c>
      <c r="P686" s="6" t="s">
        <v>35</v>
      </c>
      <c r="Q686" s="46" t="s">
        <v>36</v>
      </c>
      <c r="R686" s="17" t="s">
        <v>4744</v>
      </c>
      <c r="S686" s="173" t="s">
        <v>38</v>
      </c>
      <c r="T686" s="11" t="s">
        <v>875</v>
      </c>
      <c r="U686" s="20" t="s">
        <v>4573</v>
      </c>
      <c r="V686" s="20" t="s">
        <v>4574</v>
      </c>
      <c r="W686" s="20"/>
      <c r="X686" s="36"/>
      <c r="Y686" s="36"/>
      <c r="Z686" s="26"/>
      <c r="AA686" s="33"/>
    </row>
    <row r="687" spans="1:28" ht="15.75" customHeight="1">
      <c r="A687" s="10" t="s">
        <v>4745</v>
      </c>
      <c r="B687" s="10" t="s">
        <v>27</v>
      </c>
      <c r="C687" s="61" t="s">
        <v>28</v>
      </c>
      <c r="D687" s="12"/>
      <c r="E687" s="13" t="s">
        <v>378</v>
      </c>
      <c r="F687" s="6" t="s">
        <v>878</v>
      </c>
      <c r="G687" s="6" t="str">
        <f ca="1">IFERROR(__xludf.DUMMYFUNCTION("CONCATENATE(B687,(VLOOKUP(C687,CATALOGOS!$F$2:$H$6,3,FALSE)),(VLOOKUP(T687,CATALOGOS!$J$2:$K$18,2,FALSE)),""-"",TO_TEXT(A687))"),"P05DA-0686")</f>
        <v>P05DA-0686</v>
      </c>
      <c r="H687" s="6" t="s">
        <v>4746</v>
      </c>
      <c r="I687" s="6" t="s">
        <v>4747</v>
      </c>
      <c r="J687" s="6" t="s">
        <v>4748</v>
      </c>
      <c r="K687" s="6" t="s">
        <v>4749</v>
      </c>
      <c r="L687" s="17"/>
      <c r="M687" s="17"/>
      <c r="N687" s="17" t="str">
        <f t="shared" si="2"/>
        <v>OK</v>
      </c>
      <c r="O687" s="17" t="s">
        <v>35</v>
      </c>
      <c r="P687" s="6" t="s">
        <v>35</v>
      </c>
      <c r="Q687" s="17" t="s">
        <v>36</v>
      </c>
      <c r="R687" s="17" t="s">
        <v>4750</v>
      </c>
      <c r="S687" s="173" t="s">
        <v>38</v>
      </c>
      <c r="T687" s="11" t="s">
        <v>28</v>
      </c>
      <c r="U687" s="20" t="s">
        <v>39</v>
      </c>
      <c r="V687" s="20" t="s">
        <v>39</v>
      </c>
      <c r="W687" s="20"/>
      <c r="X687" s="6"/>
      <c r="Y687" s="6"/>
      <c r="Z687" s="23"/>
      <c r="AA687" s="33"/>
    </row>
    <row r="688" spans="1:28" ht="15.75" customHeight="1">
      <c r="A688" s="10" t="s">
        <v>4751</v>
      </c>
      <c r="B688" s="10" t="s">
        <v>27</v>
      </c>
      <c r="C688" s="52" t="s">
        <v>868</v>
      </c>
      <c r="D688" s="12"/>
      <c r="E688" s="13" t="s">
        <v>62</v>
      </c>
      <c r="F688" s="6" t="s">
        <v>4752</v>
      </c>
      <c r="G688" s="6" t="str">
        <f ca="1">IFERROR(__xludf.DUMMYFUNCTION("CONCATENATE(B688,(VLOOKUP(C688,CATALOGOS!$F$2:$H$6,3,FALSE)),(VLOOKUP(T688,CATALOGOS!$J$2:$K$18,2,FALSE)),""-"",TO_TEXT(A688))"),"P03CV-0687")</f>
        <v>P03CV-0687</v>
      </c>
      <c r="H688" s="6" t="s">
        <v>4753</v>
      </c>
      <c r="I688" s="6" t="s">
        <v>4754</v>
      </c>
      <c r="J688" s="6" t="s">
        <v>4755</v>
      </c>
      <c r="K688" s="6" t="s">
        <v>4756</v>
      </c>
      <c r="L688" s="17"/>
      <c r="M688" s="17"/>
      <c r="N688" s="17" t="str">
        <f t="shared" si="2"/>
        <v>OK</v>
      </c>
      <c r="O688" s="17" t="s">
        <v>35</v>
      </c>
      <c r="P688" s="6" t="s">
        <v>35</v>
      </c>
      <c r="Q688" s="17" t="s">
        <v>36</v>
      </c>
      <c r="R688" s="17" t="s">
        <v>4757</v>
      </c>
      <c r="S688" s="173" t="s">
        <v>38</v>
      </c>
      <c r="T688" s="11" t="s">
        <v>875</v>
      </c>
      <c r="U688" s="22" t="s">
        <v>1004</v>
      </c>
      <c r="V688" s="22" t="s">
        <v>1004</v>
      </c>
      <c r="W688" s="22"/>
      <c r="X688" s="36"/>
      <c r="Y688" s="36"/>
      <c r="Z688" s="23"/>
      <c r="AA688" s="33"/>
    </row>
    <row r="689" spans="1:27" ht="15.75" customHeight="1">
      <c r="A689" s="10" t="s">
        <v>4758</v>
      </c>
      <c r="B689" s="10" t="s">
        <v>27</v>
      </c>
      <c r="C689" s="52" t="s">
        <v>868</v>
      </c>
      <c r="D689" s="12"/>
      <c r="E689" s="13" t="s">
        <v>93</v>
      </c>
      <c r="F689" s="6" t="s">
        <v>4759</v>
      </c>
      <c r="G689" s="6" t="str">
        <f ca="1">IFERROR(__xludf.DUMMYFUNCTION("CONCATENATE(B689,(VLOOKUP(C689,CATALOGOS!$F$2:$H$6,3,FALSE)),(VLOOKUP(T689,CATALOGOS!$J$2:$K$18,2,FALSE)),""-"",TO_TEXT(A689))"),"P03CV-0688")</f>
        <v>P03CV-0688</v>
      </c>
      <c r="H689" s="6" t="s">
        <v>4760</v>
      </c>
      <c r="I689" s="6" t="s">
        <v>4761</v>
      </c>
      <c r="J689" s="6" t="s">
        <v>4762</v>
      </c>
      <c r="K689" s="6" t="s">
        <v>4763</v>
      </c>
      <c r="L689" s="17"/>
      <c r="M689" s="17"/>
      <c r="N689" s="17" t="str">
        <f t="shared" si="2"/>
        <v>OK</v>
      </c>
      <c r="O689" s="17" t="s">
        <v>35</v>
      </c>
      <c r="P689" s="6" t="s">
        <v>35</v>
      </c>
      <c r="Q689" s="17" t="s">
        <v>36</v>
      </c>
      <c r="R689" s="17" t="s">
        <v>8004</v>
      </c>
      <c r="S689" s="173" t="s">
        <v>38</v>
      </c>
      <c r="T689" s="11" t="s">
        <v>875</v>
      </c>
      <c r="U689" s="22" t="s">
        <v>1004</v>
      </c>
      <c r="V689" s="22" t="s">
        <v>1004</v>
      </c>
      <c r="W689" s="22"/>
      <c r="X689" s="36"/>
      <c r="Y689" s="36"/>
      <c r="Z689" s="23"/>
      <c r="AA689" s="33"/>
    </row>
    <row r="690" spans="1:27" ht="15.75" customHeight="1">
      <c r="A690" s="10" t="s">
        <v>4765</v>
      </c>
      <c r="B690" s="10" t="s">
        <v>27</v>
      </c>
      <c r="C690" s="52" t="s">
        <v>868</v>
      </c>
      <c r="D690" s="12"/>
      <c r="E690" s="13" t="s">
        <v>43</v>
      </c>
      <c r="F690" s="6" t="s">
        <v>4766</v>
      </c>
      <c r="G690" s="6" t="str">
        <f ca="1">IFERROR(__xludf.DUMMYFUNCTION("CONCATENATE(B690,(VLOOKUP(C690,CATALOGOS!$F$2:$H$6,3,FALSE)),(VLOOKUP(T690,CATALOGOS!$J$2:$K$18,2,FALSE)),""-"",TO_TEXT(A690))"),"P03CV-0689")</f>
        <v>P03CV-0689</v>
      </c>
      <c r="H690" s="6" t="s">
        <v>4767</v>
      </c>
      <c r="I690" s="6" t="s">
        <v>4768</v>
      </c>
      <c r="J690" s="6" t="s">
        <v>4769</v>
      </c>
      <c r="K690" s="6" t="s">
        <v>4770</v>
      </c>
      <c r="L690" s="17"/>
      <c r="M690" s="17"/>
      <c r="N690" s="17" t="str">
        <f t="shared" si="2"/>
        <v>OK</v>
      </c>
      <c r="O690" s="17" t="s">
        <v>4602</v>
      </c>
      <c r="P690" s="6">
        <v>10186</v>
      </c>
      <c r="Q690" s="6" t="s">
        <v>36</v>
      </c>
      <c r="R690" s="10" t="s">
        <v>4771</v>
      </c>
      <c r="S690" s="173" t="s">
        <v>38</v>
      </c>
      <c r="T690" s="11" t="s">
        <v>875</v>
      </c>
      <c r="U690" s="22" t="s">
        <v>1004</v>
      </c>
      <c r="V690" s="22" t="s">
        <v>1004</v>
      </c>
      <c r="W690" s="22"/>
      <c r="X690" s="36"/>
      <c r="Y690" s="36"/>
      <c r="Z690" s="23"/>
      <c r="AA690" s="33"/>
    </row>
    <row r="691" spans="1:27" ht="15.75" customHeight="1">
      <c r="A691" s="10" t="s">
        <v>4772</v>
      </c>
      <c r="B691" s="10" t="s">
        <v>27</v>
      </c>
      <c r="C691" s="52" t="s">
        <v>868</v>
      </c>
      <c r="D691" s="12"/>
      <c r="E691" s="13" t="s">
        <v>116</v>
      </c>
      <c r="F691" s="6" t="s">
        <v>4773</v>
      </c>
      <c r="G691" s="6" t="str">
        <f ca="1">IFERROR(__xludf.DUMMYFUNCTION("CONCATENATE(B691,(VLOOKUP(C691,CATALOGOS!$F$2:$H$6,3,FALSE)),(VLOOKUP(T691,CATALOGOS!$J$2:$K$18,2,FALSE)),""-"",TO_TEXT(A691))"),"P03CV-0690")</f>
        <v>P03CV-0690</v>
      </c>
      <c r="H691" s="6" t="s">
        <v>4774</v>
      </c>
      <c r="I691" s="6" t="s">
        <v>4775</v>
      </c>
      <c r="J691" s="6" t="s">
        <v>4776</v>
      </c>
      <c r="K691" s="6" t="s">
        <v>4777</v>
      </c>
      <c r="L691" s="17"/>
      <c r="M691" s="17"/>
      <c r="N691" s="17" t="str">
        <f t="shared" si="2"/>
        <v>OK</v>
      </c>
      <c r="O691" s="17" t="s">
        <v>35</v>
      </c>
      <c r="P691" s="6" t="s">
        <v>35</v>
      </c>
      <c r="Q691" s="17" t="s">
        <v>36</v>
      </c>
      <c r="R691" s="17" t="s">
        <v>4778</v>
      </c>
      <c r="S691" s="173" t="s">
        <v>38</v>
      </c>
      <c r="T691" s="11" t="s">
        <v>875</v>
      </c>
      <c r="U691" s="22" t="s">
        <v>1004</v>
      </c>
      <c r="V691" s="22" t="s">
        <v>1004</v>
      </c>
      <c r="W691" s="22"/>
      <c r="X691" s="36"/>
      <c r="Y691" s="36"/>
      <c r="Z691" s="23"/>
      <c r="AA691" s="33"/>
    </row>
    <row r="692" spans="1:27" ht="15.75" customHeight="1">
      <c r="A692" s="10" t="s">
        <v>4779</v>
      </c>
      <c r="B692" s="10" t="s">
        <v>27</v>
      </c>
      <c r="C692" s="52" t="s">
        <v>868</v>
      </c>
      <c r="D692" s="12"/>
      <c r="E692" s="13" t="s">
        <v>93</v>
      </c>
      <c r="F692" s="6" t="s">
        <v>1739</v>
      </c>
      <c r="G692" s="6" t="str">
        <f ca="1">IFERROR(__xludf.DUMMYFUNCTION("CONCATENATE(B692,(VLOOKUP(C692,CATALOGOS!$F$2:$H$6,3,FALSE)),(VLOOKUP(T692,CATALOGOS!$J$2:$K$18,2,FALSE)),""-"",TO_TEXT(A692))"),"P03CV-0691")</f>
        <v>P03CV-0691</v>
      </c>
      <c r="H692" s="6" t="s">
        <v>4780</v>
      </c>
      <c r="I692" s="6" t="s">
        <v>4781</v>
      </c>
      <c r="J692" s="6" t="s">
        <v>4782</v>
      </c>
      <c r="K692" s="6" t="s">
        <v>4783</v>
      </c>
      <c r="L692" s="17"/>
      <c r="M692" s="17"/>
      <c r="N692" s="17" t="str">
        <f t="shared" si="2"/>
        <v>OK</v>
      </c>
      <c r="O692" s="17" t="s">
        <v>35</v>
      </c>
      <c r="P692" s="6" t="s">
        <v>35</v>
      </c>
      <c r="Q692" s="17" t="s">
        <v>36</v>
      </c>
      <c r="R692" s="17" t="s">
        <v>4784</v>
      </c>
      <c r="S692" s="173" t="s">
        <v>38</v>
      </c>
      <c r="T692" s="11" t="s">
        <v>875</v>
      </c>
      <c r="U692" s="22" t="s">
        <v>1004</v>
      </c>
      <c r="V692" s="22" t="s">
        <v>1004</v>
      </c>
      <c r="W692" s="22"/>
      <c r="X692" s="36"/>
      <c r="Y692" s="36"/>
      <c r="Z692" s="23"/>
      <c r="AA692" s="33"/>
    </row>
    <row r="693" spans="1:27" ht="15.75" customHeight="1">
      <c r="A693" s="10" t="s">
        <v>4785</v>
      </c>
      <c r="B693" s="10" t="s">
        <v>27</v>
      </c>
      <c r="C693" s="52" t="s">
        <v>868</v>
      </c>
      <c r="D693" s="12"/>
      <c r="E693" s="13" t="s">
        <v>151</v>
      </c>
      <c r="F693" s="6" t="s">
        <v>714</v>
      </c>
      <c r="G693" s="6" t="str">
        <f ca="1">IFERROR(__xludf.DUMMYFUNCTION("CONCATENATE(B693,(VLOOKUP(C693,CATALOGOS!$F$2:$H$6,3,FALSE)),(VLOOKUP(T693,CATALOGOS!$J$2:$K$18,2,FALSE)),""-"",TO_TEXT(A693))"),"P03CV-0692")</f>
        <v>P03CV-0692</v>
      </c>
      <c r="H693" s="6" t="s">
        <v>4786</v>
      </c>
      <c r="I693" s="6" t="s">
        <v>4787</v>
      </c>
      <c r="J693" s="6" t="s">
        <v>4788</v>
      </c>
      <c r="K693" s="6" t="s">
        <v>4789</v>
      </c>
      <c r="L693" s="17"/>
      <c r="M693" s="17"/>
      <c r="N693" s="17" t="str">
        <f t="shared" si="2"/>
        <v>OK</v>
      </c>
      <c r="O693" s="17" t="s">
        <v>719</v>
      </c>
      <c r="P693" s="6" t="s">
        <v>720</v>
      </c>
      <c r="Q693" s="6" t="s">
        <v>4790</v>
      </c>
      <c r="R693" s="17" t="s">
        <v>4791</v>
      </c>
      <c r="S693" s="173" t="s">
        <v>38</v>
      </c>
      <c r="T693" s="11" t="s">
        <v>875</v>
      </c>
      <c r="U693" s="20" t="s">
        <v>4574</v>
      </c>
      <c r="V693" s="20" t="s">
        <v>4574</v>
      </c>
      <c r="W693" s="20"/>
      <c r="X693" s="36"/>
      <c r="Y693" s="36"/>
      <c r="Z693" s="23"/>
      <c r="AA693" s="33"/>
    </row>
    <row r="694" spans="1:27" ht="15.75" customHeight="1">
      <c r="A694" s="10" t="s">
        <v>4792</v>
      </c>
      <c r="B694" s="10" t="s">
        <v>27</v>
      </c>
      <c r="C694" s="52" t="s">
        <v>868</v>
      </c>
      <c r="D694" s="12"/>
      <c r="E694" s="13" t="s">
        <v>199</v>
      </c>
      <c r="F694" s="6" t="s">
        <v>199</v>
      </c>
      <c r="G694" s="6" t="str">
        <f ca="1">IFERROR(__xludf.DUMMYFUNCTION("CONCATENATE(B694,(VLOOKUP(C694,CATALOGOS!$F$2:$H$6,3,FALSE)),(VLOOKUP(T694,CATALOGOS!$J$2:$K$18,2,FALSE)),""-"",TO_TEXT(A694))"),"P03CV-0693")</f>
        <v>P03CV-0693</v>
      </c>
      <c r="H694" s="6" t="s">
        <v>4793</v>
      </c>
      <c r="I694" s="6" t="s">
        <v>4794</v>
      </c>
      <c r="J694" s="6" t="s">
        <v>4795</v>
      </c>
      <c r="K694" s="6" t="s">
        <v>4796</v>
      </c>
      <c r="L694" s="17"/>
      <c r="M694" s="17"/>
      <c r="N694" s="17" t="str">
        <f t="shared" si="2"/>
        <v>OK</v>
      </c>
      <c r="O694" s="17" t="s">
        <v>205</v>
      </c>
      <c r="P694" s="6" t="s">
        <v>794</v>
      </c>
      <c r="Q694" s="17" t="s">
        <v>4797</v>
      </c>
      <c r="R694" s="17" t="s">
        <v>4798</v>
      </c>
      <c r="S694" s="179" t="s">
        <v>100</v>
      </c>
      <c r="T694" s="11" t="s">
        <v>875</v>
      </c>
      <c r="U694" s="22" t="s">
        <v>1004</v>
      </c>
      <c r="V694" s="22" t="s">
        <v>1004</v>
      </c>
      <c r="W694" s="22"/>
      <c r="X694" s="36"/>
      <c r="Y694" s="36"/>
      <c r="Z694" s="23"/>
      <c r="AA694" s="33"/>
    </row>
    <row r="695" spans="1:27" ht="15.75" customHeight="1">
      <c r="A695" s="10" t="s">
        <v>4799</v>
      </c>
      <c r="B695" s="10" t="s">
        <v>27</v>
      </c>
      <c r="C695" s="52" t="s">
        <v>868</v>
      </c>
      <c r="D695" s="12"/>
      <c r="E695" s="13" t="s">
        <v>1240</v>
      </c>
      <c r="F695" s="6" t="s">
        <v>278</v>
      </c>
      <c r="G695" s="6" t="str">
        <f ca="1">IFERROR(__xludf.DUMMYFUNCTION("CONCATENATE(B695,(VLOOKUP(C695,CATALOGOS!$F$2:$H$6,3,FALSE)),(VLOOKUP(T695,CATALOGOS!$J$2:$K$18,2,FALSE)),""-"",TO_TEXT(A695))"),"P03CV-0694")</f>
        <v>P03CV-0694</v>
      </c>
      <c r="H695" s="6" t="s">
        <v>4800</v>
      </c>
      <c r="I695" s="6" t="s">
        <v>4801</v>
      </c>
      <c r="J695" s="6" t="s">
        <v>4802</v>
      </c>
      <c r="K695" s="6" t="s">
        <v>4803</v>
      </c>
      <c r="L695" s="17"/>
      <c r="M695" s="17"/>
      <c r="N695" s="17" t="str">
        <f t="shared" si="2"/>
        <v>OK</v>
      </c>
      <c r="O695" s="17" t="s">
        <v>35</v>
      </c>
      <c r="P695" s="6" t="s">
        <v>35</v>
      </c>
      <c r="Q695" s="17" t="s">
        <v>36</v>
      </c>
      <c r="R695" s="17" t="s">
        <v>4804</v>
      </c>
      <c r="S695" s="173" t="s">
        <v>38</v>
      </c>
      <c r="T695" s="11" t="s">
        <v>875</v>
      </c>
      <c r="U695" s="22" t="s">
        <v>1004</v>
      </c>
      <c r="V695" s="22" t="s">
        <v>1004</v>
      </c>
      <c r="W695" s="22"/>
      <c r="X695" s="36"/>
      <c r="Y695" s="36"/>
      <c r="Z695" s="23"/>
      <c r="AA695" s="33"/>
    </row>
    <row r="696" spans="1:27" ht="15.75" customHeight="1">
      <c r="A696" s="10" t="s">
        <v>4805</v>
      </c>
      <c r="B696" s="10" t="s">
        <v>27</v>
      </c>
      <c r="C696" s="52" t="s">
        <v>868</v>
      </c>
      <c r="D696" s="12"/>
      <c r="E696" s="13" t="s">
        <v>248</v>
      </c>
      <c r="F696" s="6" t="s">
        <v>249</v>
      </c>
      <c r="G696" s="6" t="str">
        <f ca="1">IFERROR(__xludf.DUMMYFUNCTION("CONCATENATE(B696,(VLOOKUP(C696,CATALOGOS!$F$2:$H$6,3,FALSE)),(VLOOKUP(T696,CATALOGOS!$J$2:$K$18,2,FALSE)),""-"",TO_TEXT(A696))"),"P03CV-0695")</f>
        <v>P03CV-0695</v>
      </c>
      <c r="H696" s="6" t="s">
        <v>4806</v>
      </c>
      <c r="I696" s="6" t="s">
        <v>4807</v>
      </c>
      <c r="J696" s="6" t="s">
        <v>4808</v>
      </c>
      <c r="K696" s="6" t="s">
        <v>4809</v>
      </c>
      <c r="L696" s="17"/>
      <c r="M696" s="17"/>
      <c r="N696" s="17" t="str">
        <f t="shared" si="2"/>
        <v>OK</v>
      </c>
      <c r="O696" s="17" t="s">
        <v>4810</v>
      </c>
      <c r="P696" s="6" t="s">
        <v>4811</v>
      </c>
      <c r="Q696" s="17" t="s">
        <v>4812</v>
      </c>
      <c r="R696" s="10" t="s">
        <v>4813</v>
      </c>
      <c r="S696" s="173" t="s">
        <v>38</v>
      </c>
      <c r="T696" s="11" t="s">
        <v>875</v>
      </c>
      <c r="U696" s="22" t="s">
        <v>1004</v>
      </c>
      <c r="V696" s="22" t="s">
        <v>1004</v>
      </c>
      <c r="W696" s="22"/>
      <c r="X696" s="36"/>
      <c r="Y696" s="36"/>
      <c r="Z696" s="23"/>
      <c r="AA696" s="33"/>
    </row>
    <row r="697" spans="1:27" ht="15.75" customHeight="1">
      <c r="A697" s="10" t="s">
        <v>4814</v>
      </c>
      <c r="B697" s="10" t="s">
        <v>27</v>
      </c>
      <c r="C697" s="52" t="s">
        <v>868</v>
      </c>
      <c r="D697" s="38"/>
      <c r="E697" s="13" t="s">
        <v>184</v>
      </c>
      <c r="F697" s="6" t="s">
        <v>4815</v>
      </c>
      <c r="G697" s="6" t="str">
        <f ca="1">IFERROR(__xludf.DUMMYFUNCTION("CONCATENATE(B697,(VLOOKUP(C697,CATALOGOS!$F$2:$H$6,3,FALSE)),(VLOOKUP(T697,CATALOGOS!$J$2:$K$18,2,FALSE)),""-"",TO_TEXT(A697))"),"P03CV-0696")</f>
        <v>P03CV-0696</v>
      </c>
      <c r="H697" s="6" t="s">
        <v>4816</v>
      </c>
      <c r="I697" s="6" t="s">
        <v>4817</v>
      </c>
      <c r="J697" s="6" t="s">
        <v>4818</v>
      </c>
      <c r="K697" s="43" t="s">
        <v>4819</v>
      </c>
      <c r="L697" s="17"/>
      <c r="M697" s="17"/>
      <c r="N697" s="17" t="str">
        <f t="shared" si="2"/>
        <v>OK</v>
      </c>
      <c r="O697" s="17" t="s">
        <v>35</v>
      </c>
      <c r="P697" s="6" t="s">
        <v>35</v>
      </c>
      <c r="Q697" s="46" t="s">
        <v>36</v>
      </c>
      <c r="R697" s="17" t="s">
        <v>4820</v>
      </c>
      <c r="S697" s="173" t="s">
        <v>517</v>
      </c>
      <c r="T697" s="11" t="s">
        <v>875</v>
      </c>
      <c r="U697" s="22" t="s">
        <v>1004</v>
      </c>
      <c r="V697" s="22" t="s">
        <v>1004</v>
      </c>
      <c r="W697" s="22"/>
      <c r="X697" s="36"/>
      <c r="Y697" s="36"/>
      <c r="Z697" s="26"/>
      <c r="AA697" s="33"/>
    </row>
    <row r="698" spans="1:27" ht="15.75" customHeight="1">
      <c r="A698" s="10" t="s">
        <v>4821</v>
      </c>
      <c r="B698" s="10" t="s">
        <v>27</v>
      </c>
      <c r="C698" s="52" t="s">
        <v>868</v>
      </c>
      <c r="D698" s="12"/>
      <c r="E698" s="13" t="s">
        <v>62</v>
      </c>
      <c r="F698" s="6" t="s">
        <v>4822</v>
      </c>
      <c r="G698" s="6" t="str">
        <f ca="1">IFERROR(__xludf.DUMMYFUNCTION("CONCATENATE(B698,(VLOOKUP(C698,CATALOGOS!$F$2:$H$6,3,FALSE)),(VLOOKUP(T698,CATALOGOS!$J$2:$K$18,2,FALSE)),""-"",TO_TEXT(A698))"),"P03CV-0697")</f>
        <v>P03CV-0697</v>
      </c>
      <c r="H698" s="6" t="s">
        <v>4823</v>
      </c>
      <c r="I698" s="6" t="s">
        <v>4824</v>
      </c>
      <c r="J698" s="6" t="s">
        <v>4825</v>
      </c>
      <c r="K698" s="6" t="s">
        <v>4826</v>
      </c>
      <c r="L698" s="17"/>
      <c r="M698" s="17"/>
      <c r="N698" s="17" t="str">
        <f t="shared" si="2"/>
        <v>OK</v>
      </c>
      <c r="O698" s="17" t="s">
        <v>35</v>
      </c>
      <c r="P698" s="6" t="s">
        <v>35</v>
      </c>
      <c r="Q698" s="17" t="s">
        <v>36</v>
      </c>
      <c r="R698" s="17" t="s">
        <v>4827</v>
      </c>
      <c r="S698" s="173" t="s">
        <v>38</v>
      </c>
      <c r="T698" s="11" t="s">
        <v>875</v>
      </c>
      <c r="U698" s="20" t="s">
        <v>4629</v>
      </c>
      <c r="V698" s="20" t="s">
        <v>4629</v>
      </c>
      <c r="W698" s="20"/>
      <c r="X698" s="36"/>
      <c r="Y698" s="36"/>
      <c r="Z698" s="23"/>
      <c r="AA698" s="33"/>
    </row>
    <row r="699" spans="1:27" ht="15.75" customHeight="1">
      <c r="A699" s="10" t="s">
        <v>4828</v>
      </c>
      <c r="B699" s="10" t="s">
        <v>27</v>
      </c>
      <c r="C699" s="52" t="s">
        <v>868</v>
      </c>
      <c r="D699" s="12"/>
      <c r="E699" s="13" t="s">
        <v>116</v>
      </c>
      <c r="F699" s="6" t="s">
        <v>364</v>
      </c>
      <c r="G699" s="6" t="str">
        <f ca="1">IFERROR(__xludf.DUMMYFUNCTION("CONCATENATE(B699,(VLOOKUP(C699,CATALOGOS!$F$2:$H$6,3,FALSE)),(VLOOKUP(T699,CATALOGOS!$J$2:$K$18,2,FALSE)),""-"",TO_TEXT(A699))"),"P03CV-0698")</f>
        <v>P03CV-0698</v>
      </c>
      <c r="H699" s="6" t="s">
        <v>4829</v>
      </c>
      <c r="I699" s="6" t="s">
        <v>4830</v>
      </c>
      <c r="J699" s="6" t="s">
        <v>4831</v>
      </c>
      <c r="K699" s="6" t="s">
        <v>4832</v>
      </c>
      <c r="L699" s="17"/>
      <c r="M699" s="17"/>
      <c r="N699" s="17" t="str">
        <f t="shared" si="2"/>
        <v>OK</v>
      </c>
      <c r="O699" s="17" t="s">
        <v>35</v>
      </c>
      <c r="P699" s="6" t="s">
        <v>35</v>
      </c>
      <c r="Q699" s="17" t="s">
        <v>36</v>
      </c>
      <c r="R699" s="17" t="s">
        <v>4833</v>
      </c>
      <c r="S699" s="173" t="s">
        <v>38</v>
      </c>
      <c r="T699" s="11" t="s">
        <v>875</v>
      </c>
      <c r="U699" s="20" t="s">
        <v>4629</v>
      </c>
      <c r="V699" s="20" t="s">
        <v>4629</v>
      </c>
      <c r="W699" s="20"/>
      <c r="X699" s="36"/>
      <c r="Y699" s="36"/>
      <c r="Z699" s="23"/>
      <c r="AA699" s="33"/>
    </row>
    <row r="700" spans="1:27" ht="15.75" customHeight="1">
      <c r="A700" s="10" t="s">
        <v>4834</v>
      </c>
      <c r="B700" s="10" t="s">
        <v>27</v>
      </c>
      <c r="C700" s="52" t="s">
        <v>868</v>
      </c>
      <c r="D700" s="12"/>
      <c r="E700" s="13" t="s">
        <v>93</v>
      </c>
      <c r="F700" s="6" t="s">
        <v>1739</v>
      </c>
      <c r="G700" s="6" t="str">
        <f ca="1">IFERROR(__xludf.DUMMYFUNCTION("CONCATENATE(B700,(VLOOKUP(C700,CATALOGOS!$F$2:$H$6,3,FALSE)),(VLOOKUP(T700,CATALOGOS!$J$2:$K$18,2,FALSE)),""-"",TO_TEXT(A700))"),"P03CV-0699")</f>
        <v>P03CV-0699</v>
      </c>
      <c r="H700" s="6" t="s">
        <v>4835</v>
      </c>
      <c r="I700" s="6" t="s">
        <v>4836</v>
      </c>
      <c r="J700" s="6" t="s">
        <v>4837</v>
      </c>
      <c r="K700" s="6" t="s">
        <v>4838</v>
      </c>
      <c r="L700" s="17"/>
      <c r="M700" s="17"/>
      <c r="N700" s="17" t="str">
        <f t="shared" si="2"/>
        <v>OK</v>
      </c>
      <c r="O700" s="17" t="s">
        <v>35</v>
      </c>
      <c r="P700" s="6" t="s">
        <v>35</v>
      </c>
      <c r="Q700" s="17" t="s">
        <v>36</v>
      </c>
      <c r="R700" s="17" t="s">
        <v>4839</v>
      </c>
      <c r="S700" s="173" t="s">
        <v>38</v>
      </c>
      <c r="T700" s="11" t="s">
        <v>875</v>
      </c>
      <c r="U700" s="20" t="s">
        <v>4629</v>
      </c>
      <c r="V700" s="20" t="s">
        <v>4629</v>
      </c>
      <c r="W700" s="20"/>
      <c r="X700" s="36"/>
      <c r="Y700" s="36"/>
      <c r="Z700" s="23"/>
      <c r="AA700" s="33"/>
    </row>
    <row r="701" spans="1:27" ht="15.75" customHeight="1">
      <c r="A701" s="10" t="s">
        <v>4840</v>
      </c>
      <c r="B701" s="10" t="s">
        <v>27</v>
      </c>
      <c r="C701" s="52" t="s">
        <v>868</v>
      </c>
      <c r="D701" s="12"/>
      <c r="E701" s="13" t="s">
        <v>248</v>
      </c>
      <c r="F701" s="6" t="s">
        <v>249</v>
      </c>
      <c r="G701" s="6" t="str">
        <f ca="1">IFERROR(__xludf.DUMMYFUNCTION("CONCATENATE(B701,(VLOOKUP(C701,CATALOGOS!$F$2:$H$6,3,FALSE)),(VLOOKUP(T701,CATALOGOS!$J$2:$K$18,2,FALSE)),""-"",TO_TEXT(A701))"),"P03CV-0700")</f>
        <v>P03CV-0700</v>
      </c>
      <c r="H701" s="6" t="s">
        <v>4841</v>
      </c>
      <c r="I701" s="6" t="s">
        <v>4842</v>
      </c>
      <c r="J701" s="6" t="s">
        <v>4843</v>
      </c>
      <c r="K701" s="43" t="s">
        <v>4844</v>
      </c>
      <c r="L701" s="17"/>
      <c r="M701" s="17"/>
      <c r="N701" s="17" t="str">
        <f t="shared" si="2"/>
        <v>OK</v>
      </c>
      <c r="O701" s="17" t="s">
        <v>978</v>
      </c>
      <c r="P701" s="6" t="s">
        <v>979</v>
      </c>
      <c r="Q701" s="17" t="s">
        <v>4845</v>
      </c>
      <c r="R701" s="17" t="s">
        <v>4846</v>
      </c>
      <c r="S701" s="173" t="s">
        <v>38</v>
      </c>
      <c r="T701" s="11" t="s">
        <v>875</v>
      </c>
      <c r="U701" s="20" t="s">
        <v>4629</v>
      </c>
      <c r="V701" s="20" t="s">
        <v>4629</v>
      </c>
      <c r="W701" s="20"/>
      <c r="X701" s="36"/>
      <c r="Y701" s="36"/>
      <c r="Z701" s="23"/>
      <c r="AA701" s="33"/>
    </row>
    <row r="702" spans="1:27" ht="15.75" customHeight="1">
      <c r="A702" s="10" t="s">
        <v>4847</v>
      </c>
      <c r="B702" s="10" t="s">
        <v>27</v>
      </c>
      <c r="C702" s="52" t="s">
        <v>868</v>
      </c>
      <c r="D702" s="38"/>
      <c r="E702" s="13" t="s">
        <v>162</v>
      </c>
      <c r="F702" s="6" t="s">
        <v>285</v>
      </c>
      <c r="G702" s="6" t="str">
        <f ca="1">IFERROR(__xludf.DUMMYFUNCTION("CONCATENATE(B702,(VLOOKUP(C702,CATALOGOS!$F$2:$H$6,3,FALSE)),(VLOOKUP(T702,CATALOGOS!$J$2:$K$18,2,FALSE)),""-"",TO_TEXT(A702))"),"P03CV-0701")</f>
        <v>P03CV-0701</v>
      </c>
      <c r="H702" s="6" t="s">
        <v>4848</v>
      </c>
      <c r="I702" s="6" t="s">
        <v>4849</v>
      </c>
      <c r="J702" s="6" t="s">
        <v>4850</v>
      </c>
      <c r="K702" s="6" t="s">
        <v>4851</v>
      </c>
      <c r="L702" s="17"/>
      <c r="M702" s="17"/>
      <c r="N702" s="17" t="str">
        <f t="shared" si="2"/>
        <v>OK</v>
      </c>
      <c r="O702" s="17" t="s">
        <v>168</v>
      </c>
      <c r="P702" s="6" t="s">
        <v>169</v>
      </c>
      <c r="Q702" s="46" t="s">
        <v>4852</v>
      </c>
      <c r="R702" s="17" t="s">
        <v>4853</v>
      </c>
      <c r="S702" s="173" t="s">
        <v>549</v>
      </c>
      <c r="T702" s="11" t="s">
        <v>875</v>
      </c>
      <c r="U702" s="20" t="s">
        <v>4574</v>
      </c>
      <c r="V702" s="20" t="s">
        <v>4574</v>
      </c>
      <c r="W702" s="20"/>
      <c r="X702" s="36"/>
      <c r="Y702" s="36"/>
      <c r="Z702" s="26"/>
      <c r="AA702" s="33"/>
    </row>
    <row r="703" spans="1:27" ht="15.75" customHeight="1">
      <c r="A703" s="10" t="s">
        <v>4854</v>
      </c>
      <c r="B703" s="10" t="s">
        <v>27</v>
      </c>
      <c r="C703" s="52" t="s">
        <v>868</v>
      </c>
      <c r="D703" s="12"/>
      <c r="E703" s="13" t="s">
        <v>93</v>
      </c>
      <c r="F703" s="6" t="s">
        <v>4855</v>
      </c>
      <c r="G703" s="6" t="str">
        <f ca="1">IFERROR(__xludf.DUMMYFUNCTION("CONCATENATE(B703,(VLOOKUP(C703,CATALOGOS!$F$2:$H$6,3,FALSE)),(VLOOKUP(T703,CATALOGOS!$J$2:$K$18,2,FALSE)),""-"",TO_TEXT(A703))"),"P03CV-0702")</f>
        <v>P03CV-0702</v>
      </c>
      <c r="H703" s="6" t="s">
        <v>4856</v>
      </c>
      <c r="I703" s="6" t="s">
        <v>4857</v>
      </c>
      <c r="J703" s="6" t="s">
        <v>4858</v>
      </c>
      <c r="K703" s="6" t="s">
        <v>4859</v>
      </c>
      <c r="L703" s="17"/>
      <c r="M703" s="17"/>
      <c r="N703" s="17" t="str">
        <f t="shared" si="2"/>
        <v>OK</v>
      </c>
      <c r="O703" s="17" t="s">
        <v>35</v>
      </c>
      <c r="P703" s="6" t="s">
        <v>35</v>
      </c>
      <c r="Q703" s="17" t="s">
        <v>36</v>
      </c>
      <c r="R703" s="17" t="s">
        <v>4860</v>
      </c>
      <c r="S703" s="173" t="s">
        <v>38</v>
      </c>
      <c r="T703" s="11" t="s">
        <v>875</v>
      </c>
      <c r="U703" s="22" t="s">
        <v>4737</v>
      </c>
      <c r="V703" s="22" t="s">
        <v>4737</v>
      </c>
      <c r="W703" s="22"/>
      <c r="X703" s="36"/>
      <c r="Y703" s="36"/>
      <c r="Z703" s="23"/>
      <c r="AA703" s="33"/>
    </row>
    <row r="704" spans="1:27" ht="15.75" customHeight="1">
      <c r="A704" s="10" t="s">
        <v>4861</v>
      </c>
      <c r="B704" s="10" t="s">
        <v>27</v>
      </c>
      <c r="C704" s="52" t="s">
        <v>868</v>
      </c>
      <c r="D704" s="12"/>
      <c r="E704" s="13" t="s">
        <v>116</v>
      </c>
      <c r="F704" s="6" t="s">
        <v>1443</v>
      </c>
      <c r="G704" s="6" t="str">
        <f ca="1">IFERROR(__xludf.DUMMYFUNCTION("CONCATENATE(B704,(VLOOKUP(C704,CATALOGOS!$F$2:$H$6,3,FALSE)),(VLOOKUP(T704,CATALOGOS!$J$2:$K$18,2,FALSE)),""-"",TO_TEXT(A704))"),"P03CV-0703")</f>
        <v>P03CV-0703</v>
      </c>
      <c r="H704" s="6" t="s">
        <v>4862</v>
      </c>
      <c r="I704" s="6" t="s">
        <v>4863</v>
      </c>
      <c r="J704" s="6" t="s">
        <v>4864</v>
      </c>
      <c r="K704" s="6" t="s">
        <v>4865</v>
      </c>
      <c r="L704" s="17"/>
      <c r="M704" s="17"/>
      <c r="N704" s="17" t="str">
        <f t="shared" si="2"/>
        <v>OK</v>
      </c>
      <c r="O704" s="17" t="s">
        <v>35</v>
      </c>
      <c r="P704" s="6" t="s">
        <v>35</v>
      </c>
      <c r="Q704" s="17" t="s">
        <v>36</v>
      </c>
      <c r="R704" s="17" t="s">
        <v>4866</v>
      </c>
      <c r="S704" s="173" t="s">
        <v>38</v>
      </c>
      <c r="T704" s="11" t="s">
        <v>875</v>
      </c>
      <c r="U704" s="22" t="s">
        <v>4737</v>
      </c>
      <c r="V704" s="22" t="s">
        <v>4737</v>
      </c>
      <c r="W704" s="22"/>
      <c r="X704" s="36"/>
      <c r="Y704" s="36"/>
      <c r="Z704" s="23"/>
      <c r="AA704" s="33"/>
    </row>
    <row r="705" spans="1:27" ht="15.75" customHeight="1">
      <c r="A705" s="10" t="s">
        <v>4867</v>
      </c>
      <c r="B705" s="10" t="s">
        <v>27</v>
      </c>
      <c r="C705" s="52" t="s">
        <v>868</v>
      </c>
      <c r="D705" s="12"/>
      <c r="E705" s="13" t="s">
        <v>151</v>
      </c>
      <c r="F705" s="6" t="s">
        <v>714</v>
      </c>
      <c r="G705" s="6" t="str">
        <f ca="1">IFERROR(__xludf.DUMMYFUNCTION("CONCATENATE(B705,(VLOOKUP(C705,CATALOGOS!$F$2:$H$6,3,FALSE)),(VLOOKUP(T705,CATALOGOS!$J$2:$K$18,2,FALSE)),""-"",TO_TEXT(A705))"),"P03CV-0704")</f>
        <v>P03CV-0704</v>
      </c>
      <c r="H705" s="6" t="s">
        <v>4868</v>
      </c>
      <c r="I705" s="6" t="s">
        <v>4869</v>
      </c>
      <c r="J705" s="6" t="s">
        <v>4870</v>
      </c>
      <c r="K705" s="6" t="s">
        <v>4871</v>
      </c>
      <c r="L705" s="17"/>
      <c r="M705" s="17"/>
      <c r="N705" s="17" t="str">
        <f t="shared" si="2"/>
        <v>OK</v>
      </c>
      <c r="O705" s="17" t="s">
        <v>1220</v>
      </c>
      <c r="P705" s="6" t="s">
        <v>720</v>
      </c>
      <c r="Q705" s="17" t="s">
        <v>4872</v>
      </c>
      <c r="R705" s="17" t="s">
        <v>4873</v>
      </c>
      <c r="S705" s="173" t="s">
        <v>38</v>
      </c>
      <c r="T705" s="11" t="s">
        <v>875</v>
      </c>
      <c r="U705" s="22" t="s">
        <v>4737</v>
      </c>
      <c r="V705" s="22" t="s">
        <v>4737</v>
      </c>
      <c r="W705" s="22"/>
      <c r="X705" s="36"/>
      <c r="Y705" s="36"/>
      <c r="Z705" s="23"/>
      <c r="AA705" s="33"/>
    </row>
    <row r="706" spans="1:27" ht="15.75" customHeight="1">
      <c r="A706" s="10" t="s">
        <v>4874</v>
      </c>
      <c r="B706" s="10" t="s">
        <v>27</v>
      </c>
      <c r="C706" s="52" t="s">
        <v>868</v>
      </c>
      <c r="D706" s="12"/>
      <c r="E706" s="13" t="s">
        <v>199</v>
      </c>
      <c r="F706" s="6" t="s">
        <v>199</v>
      </c>
      <c r="G706" s="6" t="str">
        <f ca="1">IFERROR(__xludf.DUMMYFUNCTION("CONCATENATE(B706,(VLOOKUP(C706,CATALOGOS!$F$2:$H$6,3,FALSE)),(VLOOKUP(T706,CATALOGOS!$J$2:$K$18,2,FALSE)),""-"",TO_TEXT(A706))"),"P03CV-0705")</f>
        <v>P03CV-0705</v>
      </c>
      <c r="H706" s="6" t="s">
        <v>4875</v>
      </c>
      <c r="I706" s="6" t="s">
        <v>4876</v>
      </c>
      <c r="J706" s="6" t="s">
        <v>4877</v>
      </c>
      <c r="K706" s="6" t="s">
        <v>4878</v>
      </c>
      <c r="L706" s="17"/>
      <c r="M706" s="17"/>
      <c r="N706" s="17" t="str">
        <f t="shared" si="2"/>
        <v>OK</v>
      </c>
      <c r="O706" s="17" t="s">
        <v>297</v>
      </c>
      <c r="P706" s="6" t="s">
        <v>1399</v>
      </c>
      <c r="Q706" s="17" t="s">
        <v>4879</v>
      </c>
      <c r="R706" s="17" t="s">
        <v>4880</v>
      </c>
      <c r="S706" s="173" t="s">
        <v>38</v>
      </c>
      <c r="T706" s="11" t="s">
        <v>875</v>
      </c>
      <c r="U706" s="22" t="s">
        <v>4737</v>
      </c>
      <c r="V706" s="22" t="s">
        <v>4737</v>
      </c>
      <c r="W706" s="22"/>
      <c r="X706" s="36"/>
      <c r="Y706" s="36"/>
      <c r="Z706" s="23"/>
      <c r="AA706" s="33"/>
    </row>
    <row r="707" spans="1:27" ht="15.75" customHeight="1">
      <c r="A707" s="10" t="s">
        <v>4881</v>
      </c>
      <c r="B707" s="10" t="s">
        <v>27</v>
      </c>
      <c r="C707" s="52" t="s">
        <v>868</v>
      </c>
      <c r="D707" s="12"/>
      <c r="E707" s="13" t="s">
        <v>162</v>
      </c>
      <c r="F707" s="43" t="s">
        <v>285</v>
      </c>
      <c r="G707" s="6" t="str">
        <f ca="1">IFERROR(__xludf.DUMMYFUNCTION("CONCATENATE(B707,(VLOOKUP(C707,CATALOGOS!$F$2:$H$6,3,FALSE)),(VLOOKUP(T707,CATALOGOS!$J$2:$K$18,2,FALSE)),""-"",TO_TEXT(A707))"),"P03CV-0706")</f>
        <v>P03CV-0706</v>
      </c>
      <c r="H707" s="6" t="s">
        <v>4882</v>
      </c>
      <c r="I707" s="6" t="s">
        <v>4883</v>
      </c>
      <c r="J707" s="6" t="s">
        <v>4884</v>
      </c>
      <c r="K707" s="6" t="s">
        <v>4885</v>
      </c>
      <c r="L707" s="17"/>
      <c r="M707" s="17"/>
      <c r="N707" s="17" t="str">
        <f t="shared" si="2"/>
        <v>OK</v>
      </c>
      <c r="O707" s="17" t="s">
        <v>663</v>
      </c>
      <c r="P707" s="6" t="s">
        <v>664</v>
      </c>
      <c r="Q707" s="17" t="s">
        <v>4886</v>
      </c>
      <c r="R707" s="10" t="s">
        <v>4887</v>
      </c>
      <c r="S707" s="173" t="s">
        <v>38</v>
      </c>
      <c r="T707" s="11" t="s">
        <v>875</v>
      </c>
      <c r="U707" s="22" t="s">
        <v>4737</v>
      </c>
      <c r="V707" s="22" t="s">
        <v>4737</v>
      </c>
      <c r="W707" s="22"/>
      <c r="X707" s="36"/>
      <c r="Y707" s="36"/>
      <c r="Z707" s="23"/>
      <c r="AA707" s="33"/>
    </row>
    <row r="708" spans="1:27" ht="15.75" customHeight="1">
      <c r="A708" s="10" t="s">
        <v>4888</v>
      </c>
      <c r="B708" s="10" t="s">
        <v>27</v>
      </c>
      <c r="C708" s="52" t="s">
        <v>868</v>
      </c>
      <c r="D708" s="12"/>
      <c r="E708" s="13" t="s">
        <v>248</v>
      </c>
      <c r="F708" s="6" t="s">
        <v>249</v>
      </c>
      <c r="G708" s="6" t="str">
        <f ca="1">IFERROR(__xludf.DUMMYFUNCTION("CONCATENATE(B708,(VLOOKUP(C708,CATALOGOS!$F$2:$H$6,3,FALSE)),(VLOOKUP(T708,CATALOGOS!$J$2:$K$18,2,FALSE)),""-"",TO_TEXT(A708))"),"P03CV-0707")</f>
        <v>P03CV-0707</v>
      </c>
      <c r="H708" s="6" t="s">
        <v>4889</v>
      </c>
      <c r="I708" s="6" t="s">
        <v>4890</v>
      </c>
      <c r="J708" s="6" t="s">
        <v>4891</v>
      </c>
      <c r="K708" s="6" t="s">
        <v>4892</v>
      </c>
      <c r="L708" s="17"/>
      <c r="M708" s="17"/>
      <c r="N708" s="17" t="str">
        <f t="shared" si="2"/>
        <v>OK</v>
      </c>
      <c r="O708" s="17" t="s">
        <v>978</v>
      </c>
      <c r="P708" s="6" t="s">
        <v>979</v>
      </c>
      <c r="Q708" s="17" t="s">
        <v>4893</v>
      </c>
      <c r="R708" s="35" t="s">
        <v>4846</v>
      </c>
      <c r="S708" s="173" t="s">
        <v>38</v>
      </c>
      <c r="T708" s="11" t="s">
        <v>875</v>
      </c>
      <c r="U708" s="22" t="s">
        <v>4737</v>
      </c>
      <c r="V708" s="22" t="s">
        <v>4737</v>
      </c>
      <c r="W708" s="22"/>
      <c r="X708" s="36"/>
      <c r="Y708" s="36"/>
      <c r="Z708" s="23"/>
      <c r="AA708" s="33"/>
    </row>
    <row r="709" spans="1:27" ht="15.75" customHeight="1">
      <c r="A709" s="10" t="s">
        <v>4895</v>
      </c>
      <c r="B709" s="10" t="s">
        <v>27</v>
      </c>
      <c r="C709" s="52" t="s">
        <v>868</v>
      </c>
      <c r="D709" s="12"/>
      <c r="E709" s="13" t="s">
        <v>378</v>
      </c>
      <c r="F709" s="6" t="s">
        <v>379</v>
      </c>
      <c r="G709" s="6" t="str">
        <f ca="1">IFERROR(__xludf.DUMMYFUNCTION("CONCATENATE(B709,(VLOOKUP(C709,CATALOGOS!$F$2:$H$6,3,FALSE)),(VLOOKUP(T709,CATALOGOS!$J$2:$K$18,2,FALSE)),""-"",TO_TEXT(A709))"),"P03CV-0708")</f>
        <v>P03CV-0708</v>
      </c>
      <c r="H709" s="6" t="s">
        <v>4896</v>
      </c>
      <c r="I709" s="6" t="s">
        <v>4897</v>
      </c>
      <c r="J709" s="6" t="s">
        <v>4898</v>
      </c>
      <c r="K709" s="6" t="s">
        <v>4899</v>
      </c>
      <c r="L709" s="17"/>
      <c r="M709" s="17"/>
      <c r="N709" s="17" t="str">
        <f t="shared" si="2"/>
        <v>OK</v>
      </c>
      <c r="O709" s="17" t="s">
        <v>35</v>
      </c>
      <c r="P709" s="6" t="s">
        <v>35</v>
      </c>
      <c r="Q709" s="17" t="s">
        <v>36</v>
      </c>
      <c r="R709" s="17" t="s">
        <v>4900</v>
      </c>
      <c r="S709" s="173" t="s">
        <v>38</v>
      </c>
      <c r="T709" s="11" t="s">
        <v>875</v>
      </c>
      <c r="U709" s="22" t="s">
        <v>4737</v>
      </c>
      <c r="V709" s="22" t="s">
        <v>4737</v>
      </c>
      <c r="W709" s="22"/>
      <c r="X709" s="36"/>
      <c r="Y709" s="36"/>
      <c r="Z709" s="23"/>
      <c r="AA709" s="33"/>
    </row>
    <row r="710" spans="1:27" ht="15.75" customHeight="1">
      <c r="A710" s="10" t="s">
        <v>4901</v>
      </c>
      <c r="B710" s="10" t="s">
        <v>27</v>
      </c>
      <c r="C710" s="52" t="s">
        <v>868</v>
      </c>
      <c r="D710" s="12"/>
      <c r="E710" s="13" t="s">
        <v>378</v>
      </c>
      <c r="F710" s="6" t="s">
        <v>4902</v>
      </c>
      <c r="G710" s="6" t="str">
        <f ca="1">IFERROR(__xludf.DUMMYFUNCTION("CONCATENATE(B710,(VLOOKUP(C710,CATALOGOS!$F$2:$H$6,3,FALSE)),(VLOOKUP(T710,CATALOGOS!$J$2:$K$18,2,FALSE)),""-"",TO_TEXT(A710))"),"P03CV-0709")</f>
        <v>P03CV-0709</v>
      </c>
      <c r="H710" s="6" t="s">
        <v>4903</v>
      </c>
      <c r="I710" s="6" t="s">
        <v>4904</v>
      </c>
      <c r="J710" s="36"/>
      <c r="K710" s="6" t="s">
        <v>141</v>
      </c>
      <c r="L710" s="17"/>
      <c r="M710" s="17"/>
      <c r="N710" s="17" t="str">
        <f t="shared" si="2"/>
        <v>REPETIDO</v>
      </c>
      <c r="O710" s="17" t="s">
        <v>35</v>
      </c>
      <c r="P710" s="6" t="s">
        <v>35</v>
      </c>
      <c r="Q710" s="6" t="s">
        <v>36</v>
      </c>
      <c r="R710" s="10" t="s">
        <v>4905</v>
      </c>
      <c r="S710" s="173" t="s">
        <v>38</v>
      </c>
      <c r="T710" s="11" t="s">
        <v>875</v>
      </c>
      <c r="U710" s="22" t="s">
        <v>4737</v>
      </c>
      <c r="V710" s="22" t="s">
        <v>4737</v>
      </c>
      <c r="W710" s="22"/>
      <c r="X710" s="36"/>
      <c r="Y710" s="36"/>
      <c r="Z710" s="23"/>
      <c r="AA710" s="33"/>
    </row>
    <row r="711" spans="1:27" ht="15.75" customHeight="1">
      <c r="A711" s="10" t="s">
        <v>4906</v>
      </c>
      <c r="B711" s="10" t="s">
        <v>27</v>
      </c>
      <c r="C711" s="52" t="s">
        <v>868</v>
      </c>
      <c r="D711" s="38"/>
      <c r="E711" s="13" t="s">
        <v>184</v>
      </c>
      <c r="F711" s="6" t="s">
        <v>4815</v>
      </c>
      <c r="G711" s="6" t="str">
        <f ca="1">IFERROR(__xludf.DUMMYFUNCTION("CONCATENATE(B711,(VLOOKUP(C711,CATALOGOS!$F$2:$H$6,3,FALSE)),(VLOOKUP(T711,CATALOGOS!$J$2:$K$18,2,FALSE)),""-"",TO_TEXT(A711))"),"P03CV-0710")</f>
        <v>P03CV-0710</v>
      </c>
      <c r="H711" s="6" t="s">
        <v>4907</v>
      </c>
      <c r="I711" s="6" t="s">
        <v>4908</v>
      </c>
      <c r="J711" s="6" t="s">
        <v>4909</v>
      </c>
      <c r="K711" s="43" t="s">
        <v>4910</v>
      </c>
      <c r="L711" s="17"/>
      <c r="M711" s="17"/>
      <c r="N711" s="17" t="str">
        <f t="shared" si="2"/>
        <v>OK</v>
      </c>
      <c r="O711" s="43" t="s">
        <v>35</v>
      </c>
      <c r="P711" s="6" t="s">
        <v>35</v>
      </c>
      <c r="Q711" s="46" t="s">
        <v>36</v>
      </c>
      <c r="R711" s="17" t="s">
        <v>4911</v>
      </c>
      <c r="S711" s="173" t="s">
        <v>38</v>
      </c>
      <c r="T711" s="11" t="s">
        <v>875</v>
      </c>
      <c r="U711" s="32" t="s">
        <v>4629</v>
      </c>
      <c r="V711" s="32" t="s">
        <v>4629</v>
      </c>
      <c r="W711" s="32"/>
      <c r="X711" s="36"/>
      <c r="Y711" s="36"/>
      <c r="Z711" s="26"/>
      <c r="AA711" s="26"/>
    </row>
    <row r="712" spans="1:27" ht="15.75" customHeight="1">
      <c r="A712" s="10" t="s">
        <v>4912</v>
      </c>
      <c r="B712" s="10" t="s">
        <v>27</v>
      </c>
      <c r="C712" s="52" t="s">
        <v>868</v>
      </c>
      <c r="D712" s="12"/>
      <c r="E712" s="13" t="s">
        <v>151</v>
      </c>
      <c r="F712" s="6" t="s">
        <v>714</v>
      </c>
      <c r="G712" s="6" t="str">
        <f ca="1">IFERROR(__xludf.DUMMYFUNCTION("CONCATENATE(B712,(VLOOKUP(C712,CATALOGOS!$F$2:$H$6,3,FALSE)),(VLOOKUP(T712,CATALOGOS!$J$2:$K$18,2,FALSE)),""-"",TO_TEXT(A712))"),"P03CV-0711")</f>
        <v>P03CV-0711</v>
      </c>
      <c r="H712" s="6" t="s">
        <v>4913</v>
      </c>
      <c r="I712" s="6" t="s">
        <v>4914</v>
      </c>
      <c r="J712" s="6" t="s">
        <v>4915</v>
      </c>
      <c r="K712" s="6" t="s">
        <v>4916</v>
      </c>
      <c r="L712" s="17"/>
      <c r="M712" s="17"/>
      <c r="N712" s="17" t="str">
        <f t="shared" si="2"/>
        <v>OK</v>
      </c>
      <c r="O712" s="17" t="s">
        <v>1220</v>
      </c>
      <c r="P712" s="6" t="s">
        <v>720</v>
      </c>
      <c r="Q712" s="17" t="s">
        <v>4917</v>
      </c>
      <c r="R712" s="17" t="s">
        <v>4918</v>
      </c>
      <c r="S712" s="173" t="s">
        <v>38</v>
      </c>
      <c r="T712" s="174" t="s">
        <v>875</v>
      </c>
      <c r="U712" s="22" t="s">
        <v>876</v>
      </c>
      <c r="V712" s="22" t="s">
        <v>876</v>
      </c>
      <c r="W712" s="22"/>
      <c r="X712" s="36"/>
      <c r="Y712" s="36"/>
      <c r="Z712" s="23"/>
      <c r="AA712" s="33"/>
    </row>
    <row r="713" spans="1:27" ht="15.75" customHeight="1">
      <c r="A713" s="10" t="s">
        <v>4919</v>
      </c>
      <c r="B713" s="10" t="s">
        <v>27</v>
      </c>
      <c r="C713" s="52" t="s">
        <v>868</v>
      </c>
      <c r="D713" s="38"/>
      <c r="E713" s="13" t="s">
        <v>199</v>
      </c>
      <c r="F713" s="6" t="s">
        <v>199</v>
      </c>
      <c r="G713" s="6" t="str">
        <f ca="1">IFERROR(__xludf.DUMMYFUNCTION("CONCATENATE(B713,(VLOOKUP(C713,CATALOGOS!$F$2:$H$6,3,FALSE)),(VLOOKUP(T713,CATALOGOS!$J$2:$K$18,2,FALSE)),""-"",TO_TEXT(A713))"),"P03CV-0712")</f>
        <v>P03CV-0712</v>
      </c>
      <c r="H713" s="6" t="s">
        <v>4920</v>
      </c>
      <c r="I713" s="6" t="s">
        <v>4921</v>
      </c>
      <c r="J713" s="6" t="s">
        <v>4922</v>
      </c>
      <c r="K713" s="6" t="s">
        <v>4923</v>
      </c>
      <c r="L713" s="17"/>
      <c r="M713" s="17"/>
      <c r="N713" s="17" t="str">
        <f t="shared" si="2"/>
        <v>OK</v>
      </c>
      <c r="O713" s="17" t="s">
        <v>205</v>
      </c>
      <c r="P713" s="6" t="s">
        <v>4924</v>
      </c>
      <c r="Q713" s="46" t="s">
        <v>4925</v>
      </c>
      <c r="R713" s="32" t="s">
        <v>4926</v>
      </c>
      <c r="S713" s="173" t="s">
        <v>38</v>
      </c>
      <c r="T713" s="11" t="s">
        <v>875</v>
      </c>
      <c r="U713" s="22" t="s">
        <v>876</v>
      </c>
      <c r="V713" s="22" t="s">
        <v>876</v>
      </c>
      <c r="W713" s="22"/>
      <c r="X713" s="36"/>
      <c r="Y713" s="36"/>
      <c r="Z713" s="26"/>
      <c r="AA713" s="33"/>
    </row>
    <row r="714" spans="1:27" ht="15.75" customHeight="1">
      <c r="A714" s="10" t="s">
        <v>4928</v>
      </c>
      <c r="B714" s="10" t="s">
        <v>474</v>
      </c>
      <c r="C714" s="19" t="s">
        <v>4411</v>
      </c>
      <c r="D714" s="12"/>
      <c r="E714" s="13" t="s">
        <v>43</v>
      </c>
      <c r="F714" s="43" t="s">
        <v>4929</v>
      </c>
      <c r="G714" s="6" t="str">
        <f ca="1">IFERROR(__xludf.DUMMYFUNCTION("CONCATENATE(B714,(VLOOKUP(C714,CATALOGOS!$F$2:$H$6,3,FALSE)),(VLOOKUP(T714,CATALOGOS!$J$2:$K$18,2,FALSE)),""-"",TO_TEXT(A714))"),"P34RM-0713")</f>
        <v>P34RM-0713</v>
      </c>
      <c r="H714" s="6" t="s">
        <v>4930</v>
      </c>
      <c r="I714" s="6" t="s">
        <v>4931</v>
      </c>
      <c r="J714" s="6" t="s">
        <v>4932</v>
      </c>
      <c r="K714" s="6" t="s">
        <v>4933</v>
      </c>
      <c r="L714" s="17"/>
      <c r="M714" s="17"/>
      <c r="N714" s="17" t="str">
        <f t="shared" si="2"/>
        <v>OK</v>
      </c>
      <c r="O714" s="17" t="s">
        <v>406</v>
      </c>
      <c r="P714" s="6" t="s">
        <v>407</v>
      </c>
      <c r="Q714" s="17" t="s">
        <v>36</v>
      </c>
      <c r="R714" s="17" t="s">
        <v>4934</v>
      </c>
      <c r="S714" s="173" t="s">
        <v>100</v>
      </c>
      <c r="T714" s="19" t="s">
        <v>147</v>
      </c>
      <c r="U714" s="22" t="s">
        <v>4935</v>
      </c>
      <c r="V714" s="22" t="s">
        <v>4935</v>
      </c>
      <c r="W714" s="186" t="s">
        <v>4927</v>
      </c>
      <c r="X714" s="6"/>
      <c r="Y714" s="6"/>
      <c r="Z714" s="23"/>
      <c r="AA714" s="33"/>
    </row>
    <row r="715" spans="1:27" ht="15.75" customHeight="1">
      <c r="A715" s="10" t="s">
        <v>4936</v>
      </c>
      <c r="B715" s="10" t="s">
        <v>4410</v>
      </c>
      <c r="C715" s="19" t="s">
        <v>4411</v>
      </c>
      <c r="D715" s="12"/>
      <c r="E715" s="13" t="s">
        <v>71</v>
      </c>
      <c r="F715" s="6" t="s">
        <v>4937</v>
      </c>
      <c r="G715" s="6" t="str">
        <f ca="1">IFERROR(__xludf.DUMMYFUNCTION("CONCATENATE(B715,(VLOOKUP(C715,CATALOGOS!$F$2:$H$6,3,FALSE)),(VLOOKUP(T715,CATALOGOS!$J$2:$K$18,2,FALSE)),""-"",TO_TEXT(A715))"),"P24SJ-0714")</f>
        <v>P24SJ-0714</v>
      </c>
      <c r="H715" s="6" t="s">
        <v>4938</v>
      </c>
      <c r="I715" s="6" t="s">
        <v>4939</v>
      </c>
      <c r="J715" s="6" t="s">
        <v>4940</v>
      </c>
      <c r="K715" s="6" t="s">
        <v>4941</v>
      </c>
      <c r="L715" s="17"/>
      <c r="M715" s="17"/>
      <c r="N715" s="17" t="str">
        <f t="shared" si="2"/>
        <v>OK</v>
      </c>
      <c r="O715" s="17" t="s">
        <v>35</v>
      </c>
      <c r="P715" s="6" t="s">
        <v>35</v>
      </c>
      <c r="Q715" s="17" t="s">
        <v>36</v>
      </c>
      <c r="R715" s="17" t="s">
        <v>4942</v>
      </c>
      <c r="S715" s="173" t="s">
        <v>38</v>
      </c>
      <c r="T715" s="11" t="s">
        <v>4411</v>
      </c>
      <c r="U715" s="22" t="s">
        <v>4935</v>
      </c>
      <c r="V715" s="22" t="s">
        <v>4935</v>
      </c>
      <c r="W715" s="22"/>
      <c r="X715" s="7"/>
      <c r="Y715" s="7"/>
      <c r="Z715" s="23"/>
      <c r="AA715" s="26"/>
    </row>
    <row r="716" spans="1:27" ht="15.75" customHeight="1">
      <c r="A716" s="10" t="s">
        <v>4943</v>
      </c>
      <c r="B716" s="10" t="s">
        <v>4410</v>
      </c>
      <c r="C716" s="19" t="s">
        <v>4411</v>
      </c>
      <c r="D716" s="12"/>
      <c r="E716" s="13" t="s">
        <v>71</v>
      </c>
      <c r="F716" s="6" t="s">
        <v>4937</v>
      </c>
      <c r="G716" s="6" t="str">
        <f ca="1">IFERROR(__xludf.DUMMYFUNCTION("CONCATENATE(B716,(VLOOKUP(C716,CATALOGOS!$F$2:$H$6,3,FALSE)),(VLOOKUP(T716,CATALOGOS!$J$2:$K$18,2,FALSE)),""-"",TO_TEXT(A716))"),"P24SJ-0715")</f>
        <v>P24SJ-0715</v>
      </c>
      <c r="H716" s="6" t="s">
        <v>4944</v>
      </c>
      <c r="I716" s="6" t="s">
        <v>4945</v>
      </c>
      <c r="J716" s="6" t="s">
        <v>4946</v>
      </c>
      <c r="K716" s="43" t="s">
        <v>4947</v>
      </c>
      <c r="L716" s="17"/>
      <c r="M716" s="17"/>
      <c r="N716" s="17" t="str">
        <f t="shared" si="2"/>
        <v>OK</v>
      </c>
      <c r="O716" s="17" t="s">
        <v>35</v>
      </c>
      <c r="P716" s="6" t="s">
        <v>35</v>
      </c>
      <c r="Q716" s="17" t="s">
        <v>36</v>
      </c>
      <c r="R716" s="17" t="s">
        <v>4948</v>
      </c>
      <c r="S716" s="173" t="s">
        <v>38</v>
      </c>
      <c r="T716" s="11" t="s">
        <v>4411</v>
      </c>
      <c r="U716" s="22" t="s">
        <v>4935</v>
      </c>
      <c r="V716" s="22" t="s">
        <v>4935</v>
      </c>
      <c r="W716" s="22"/>
      <c r="X716" s="7"/>
      <c r="Y716" s="7"/>
      <c r="Z716" s="23"/>
      <c r="AA716" s="26"/>
    </row>
    <row r="717" spans="1:27" ht="15.75" customHeight="1">
      <c r="A717" s="10" t="s">
        <v>4949</v>
      </c>
      <c r="B717" s="10" t="s">
        <v>27</v>
      </c>
      <c r="C717" s="19" t="s">
        <v>4411</v>
      </c>
      <c r="D717" s="12"/>
      <c r="E717" s="13" t="s">
        <v>43</v>
      </c>
      <c r="F717" s="6" t="s">
        <v>4950</v>
      </c>
      <c r="G717" s="6" t="str">
        <f ca="1">IFERROR(__xludf.DUMMYFUNCTION("CONCATENATE(B717,(VLOOKUP(C717,CATALOGOS!$F$2:$H$6,3,FALSE)),(VLOOKUP(T717,CATALOGOS!$J$2:$K$18,2,FALSE)),""-"",TO_TEXT(A717))"),"P04RM-0716")</f>
        <v>P04RM-0716</v>
      </c>
      <c r="H717" s="6" t="s">
        <v>4951</v>
      </c>
      <c r="I717" s="6" t="s">
        <v>4952</v>
      </c>
      <c r="J717" s="6" t="s">
        <v>4953</v>
      </c>
      <c r="K717" s="6" t="s">
        <v>4954</v>
      </c>
      <c r="L717" s="17"/>
      <c r="M717" s="17"/>
      <c r="N717" s="17" t="str">
        <f t="shared" si="2"/>
        <v>OK</v>
      </c>
      <c r="O717" s="17" t="s">
        <v>2586</v>
      </c>
      <c r="P717" s="6">
        <v>37268</v>
      </c>
      <c r="Q717" s="17" t="s">
        <v>36</v>
      </c>
      <c r="R717" s="10" t="s">
        <v>4955</v>
      </c>
      <c r="S717" s="173" t="s">
        <v>38</v>
      </c>
      <c r="T717" s="19" t="s">
        <v>147</v>
      </c>
      <c r="U717" s="20" t="s">
        <v>484</v>
      </c>
      <c r="V717" s="20" t="s">
        <v>484</v>
      </c>
      <c r="W717" s="20" t="s">
        <v>4956</v>
      </c>
      <c r="X717" s="6"/>
      <c r="Y717" s="6"/>
      <c r="Z717" s="23"/>
      <c r="AA717" s="33"/>
    </row>
    <row r="718" spans="1:27" ht="15.75" customHeight="1">
      <c r="A718" s="10" t="s">
        <v>4957</v>
      </c>
      <c r="B718" s="10" t="s">
        <v>4410</v>
      </c>
      <c r="C718" s="19" t="s">
        <v>4411</v>
      </c>
      <c r="D718" s="12"/>
      <c r="E718" s="13" t="s">
        <v>136</v>
      </c>
      <c r="F718" s="43" t="s">
        <v>689</v>
      </c>
      <c r="G718" s="6" t="str">
        <f ca="1">IFERROR(__xludf.DUMMYFUNCTION("CONCATENATE(B718,(VLOOKUP(C718,CATALOGOS!$F$2:$H$6,3,FALSE)),(VLOOKUP(T718,CATALOGOS!$J$2:$K$18,2,FALSE)),""-"",TO_TEXT(A718))"),"P24SJ-0717")</f>
        <v>P24SJ-0717</v>
      </c>
      <c r="H718" s="6" t="s">
        <v>4958</v>
      </c>
      <c r="I718" s="6" t="s">
        <v>4959</v>
      </c>
      <c r="J718" s="6" t="s">
        <v>4960</v>
      </c>
      <c r="K718" s="6" t="s">
        <v>4961</v>
      </c>
      <c r="L718" s="17"/>
      <c r="M718" s="17"/>
      <c r="N718" s="17" t="str">
        <f t="shared" si="2"/>
        <v>OK</v>
      </c>
      <c r="O718" s="17" t="s">
        <v>205</v>
      </c>
      <c r="P718" s="6" t="s">
        <v>4962</v>
      </c>
      <c r="Q718" s="17" t="s">
        <v>8441</v>
      </c>
      <c r="R718" s="10" t="s">
        <v>4964</v>
      </c>
      <c r="S718" s="173" t="s">
        <v>38</v>
      </c>
      <c r="T718" s="11" t="s">
        <v>4411</v>
      </c>
      <c r="U718" s="22" t="s">
        <v>4935</v>
      </c>
      <c r="V718" s="22" t="s">
        <v>4935</v>
      </c>
      <c r="W718" s="22"/>
      <c r="X718" s="7"/>
      <c r="Y718" s="7"/>
      <c r="Z718" s="23"/>
      <c r="AA718" s="26"/>
    </row>
    <row r="719" spans="1:27" ht="15.75" customHeight="1">
      <c r="A719" s="10" t="s">
        <v>4965</v>
      </c>
      <c r="B719" s="10" t="s">
        <v>4410</v>
      </c>
      <c r="C719" s="19" t="s">
        <v>4411</v>
      </c>
      <c r="D719" s="12"/>
      <c r="E719" s="13" t="s">
        <v>93</v>
      </c>
      <c r="F719" s="6" t="s">
        <v>4966</v>
      </c>
      <c r="G719" s="6" t="str">
        <f ca="1">IFERROR(__xludf.DUMMYFUNCTION("CONCATENATE(B719,(VLOOKUP(C719,CATALOGOS!$F$2:$H$6,3,FALSE)),(VLOOKUP(T719,CATALOGOS!$J$2:$K$18,2,FALSE)),""-"",TO_TEXT(A719))"),"P24SJ-0718")</f>
        <v>P24SJ-0718</v>
      </c>
      <c r="H719" s="6" t="s">
        <v>4967</v>
      </c>
      <c r="I719" s="6" t="s">
        <v>4968</v>
      </c>
      <c r="J719" s="6" t="s">
        <v>4969</v>
      </c>
      <c r="K719" s="43" t="s">
        <v>4970</v>
      </c>
      <c r="L719" s="17"/>
      <c r="M719" s="17"/>
      <c r="N719" s="17" t="str">
        <f t="shared" si="2"/>
        <v>OK</v>
      </c>
      <c r="O719" s="17" t="s">
        <v>35</v>
      </c>
      <c r="P719" s="6" t="s">
        <v>35</v>
      </c>
      <c r="Q719" s="17" t="s">
        <v>36</v>
      </c>
      <c r="R719" s="17" t="s">
        <v>4971</v>
      </c>
      <c r="S719" s="173" t="s">
        <v>38</v>
      </c>
      <c r="T719" s="11" t="s">
        <v>4411</v>
      </c>
      <c r="U719" s="22" t="s">
        <v>4935</v>
      </c>
      <c r="V719" s="22" t="s">
        <v>4935</v>
      </c>
      <c r="W719" s="22"/>
      <c r="X719" s="7"/>
      <c r="Y719" s="7"/>
      <c r="Z719" s="23"/>
      <c r="AA719" s="26"/>
    </row>
    <row r="720" spans="1:27" ht="15.75" customHeight="1">
      <c r="A720" s="10" t="s">
        <v>4972</v>
      </c>
      <c r="B720" s="10" t="s">
        <v>4410</v>
      </c>
      <c r="C720" s="19" t="s">
        <v>4411</v>
      </c>
      <c r="D720" s="12"/>
      <c r="E720" s="13" t="s">
        <v>378</v>
      </c>
      <c r="F720" s="6" t="s">
        <v>4973</v>
      </c>
      <c r="G720" s="6" t="str">
        <f ca="1">IFERROR(__xludf.DUMMYFUNCTION("CONCATENATE(B720,(VLOOKUP(C720,CATALOGOS!$F$2:$H$6,3,FALSE)),(VLOOKUP(T720,CATALOGOS!$J$2:$K$18,2,FALSE)),""-"",TO_TEXT(A720))"),"P24CS-0719")</f>
        <v>P24CS-0719</v>
      </c>
      <c r="H720" s="6" t="s">
        <v>4974</v>
      </c>
      <c r="I720" s="6" t="s">
        <v>4975</v>
      </c>
      <c r="J720" s="6" t="s">
        <v>4976</v>
      </c>
      <c r="K720" s="6" t="s">
        <v>4977</v>
      </c>
      <c r="L720" s="17"/>
      <c r="M720" s="17"/>
      <c r="N720" s="17" t="str">
        <f t="shared" si="2"/>
        <v>OK</v>
      </c>
      <c r="O720" s="17" t="s">
        <v>35</v>
      </c>
      <c r="P720" s="6" t="s">
        <v>35</v>
      </c>
      <c r="Q720" s="17" t="s">
        <v>36</v>
      </c>
      <c r="R720" s="17" t="s">
        <v>4978</v>
      </c>
      <c r="S720" s="173" t="s">
        <v>38</v>
      </c>
      <c r="T720" s="11" t="s">
        <v>4979</v>
      </c>
      <c r="U720" s="68" t="s">
        <v>4980</v>
      </c>
      <c r="V720" s="68" t="s">
        <v>4980</v>
      </c>
      <c r="W720" s="68"/>
      <c r="X720" s="76"/>
      <c r="Y720" s="76"/>
      <c r="Z720" s="23"/>
      <c r="AA720" s="26"/>
    </row>
    <row r="721" spans="1:27" ht="29.25" customHeight="1">
      <c r="A721" s="10" t="s">
        <v>4981</v>
      </c>
      <c r="B721" s="10" t="s">
        <v>4410</v>
      </c>
      <c r="C721" s="19" t="s">
        <v>4411</v>
      </c>
      <c r="D721" s="12"/>
      <c r="E721" s="13" t="s">
        <v>62</v>
      </c>
      <c r="F721" s="6" t="s">
        <v>4982</v>
      </c>
      <c r="G721" s="6" t="str">
        <f ca="1">IFERROR(__xludf.DUMMYFUNCTION("CONCATENATE(B721,(VLOOKUP(C721,CATALOGOS!$F$2:$H$6,3,FALSE)),(VLOOKUP(T721,CATALOGOS!$J$2:$K$18,2,FALSE)),""-"",TO_TEXT(A721))"),"P24SJ-0720")</f>
        <v>P24SJ-0720</v>
      </c>
      <c r="H721" s="6" t="s">
        <v>4983</v>
      </c>
      <c r="I721" s="6" t="s">
        <v>4984</v>
      </c>
      <c r="J721" s="6" t="s">
        <v>4985</v>
      </c>
      <c r="K721" s="6" t="s">
        <v>4986</v>
      </c>
      <c r="L721" s="17"/>
      <c r="M721" s="17"/>
      <c r="N721" s="17" t="str">
        <f t="shared" si="2"/>
        <v>OK</v>
      </c>
      <c r="O721" s="17" t="s">
        <v>35</v>
      </c>
      <c r="P721" s="6" t="s">
        <v>35</v>
      </c>
      <c r="Q721" s="17" t="s">
        <v>36</v>
      </c>
      <c r="R721" s="17" t="s">
        <v>4987</v>
      </c>
      <c r="S721" s="173" t="s">
        <v>38</v>
      </c>
      <c r="T721" s="11" t="s">
        <v>4411</v>
      </c>
      <c r="U721" s="22" t="s">
        <v>4935</v>
      </c>
      <c r="V721" s="22" t="s">
        <v>4935</v>
      </c>
      <c r="W721" s="22"/>
      <c r="X721" s="7"/>
      <c r="Y721" s="7"/>
      <c r="Z721" s="23"/>
      <c r="AA721" s="26"/>
    </row>
    <row r="722" spans="1:27" ht="15.75" customHeight="1">
      <c r="A722" s="10" t="s">
        <v>4988</v>
      </c>
      <c r="B722" s="10" t="s">
        <v>4410</v>
      </c>
      <c r="C722" s="19" t="s">
        <v>28</v>
      </c>
      <c r="D722" s="12"/>
      <c r="E722" s="13" t="s">
        <v>184</v>
      </c>
      <c r="F722" s="6" t="s">
        <v>4989</v>
      </c>
      <c r="G722" s="6" t="str">
        <f ca="1">IFERROR(__xludf.DUMMYFUNCTION("CONCATENATE(B722,(VLOOKUP(C722,CATALOGOS!$F$2:$H$6,3,FALSE)),(VLOOKUP(T722,CATALOGOS!$J$2:$K$18,2,FALSE)),""-"",TO_TEXT(A722))"),"P25RM-0721")</f>
        <v>P25RM-0721</v>
      </c>
      <c r="H722" s="6" t="s">
        <v>4990</v>
      </c>
      <c r="I722" s="6" t="s">
        <v>4991</v>
      </c>
      <c r="J722" s="6" t="s">
        <v>4992</v>
      </c>
      <c r="K722" s="43" t="s">
        <v>4993</v>
      </c>
      <c r="L722" s="17"/>
      <c r="M722" s="17"/>
      <c r="N722" s="17" t="str">
        <f t="shared" si="2"/>
        <v>OK</v>
      </c>
      <c r="O722" s="17" t="s">
        <v>35</v>
      </c>
      <c r="P722" s="6" t="s">
        <v>35</v>
      </c>
      <c r="Q722" s="17" t="s">
        <v>36</v>
      </c>
      <c r="R722" s="17" t="s">
        <v>4994</v>
      </c>
      <c r="S722" s="173" t="s">
        <v>38</v>
      </c>
      <c r="T722" s="11" t="s">
        <v>147</v>
      </c>
      <c r="U722" s="20" t="s">
        <v>484</v>
      </c>
      <c r="V722" s="20" t="s">
        <v>484</v>
      </c>
      <c r="W722" s="20"/>
      <c r="X722" s="7"/>
      <c r="Y722" s="7"/>
      <c r="Z722" s="23"/>
      <c r="AA722" s="26"/>
    </row>
    <row r="723" spans="1:27" ht="15.75" customHeight="1">
      <c r="A723" s="10" t="s">
        <v>4995</v>
      </c>
      <c r="B723" s="10" t="s">
        <v>4410</v>
      </c>
      <c r="C723" s="19" t="s">
        <v>28</v>
      </c>
      <c r="D723" s="12"/>
      <c r="E723" s="13" t="s">
        <v>184</v>
      </c>
      <c r="F723" s="6" t="s">
        <v>4989</v>
      </c>
      <c r="G723" s="6" t="str">
        <f ca="1">IFERROR(__xludf.DUMMYFUNCTION("CONCATENATE(B723,(VLOOKUP(C723,CATALOGOS!$F$2:$H$6,3,FALSE)),(VLOOKUP(T723,CATALOGOS!$J$2:$K$18,2,FALSE)),""-"",TO_TEXT(A723))"),"P25RM-0722")</f>
        <v>P25RM-0722</v>
      </c>
      <c r="H723" s="6" t="s">
        <v>4996</v>
      </c>
      <c r="I723" s="6" t="s">
        <v>4997</v>
      </c>
      <c r="J723" s="6" t="s">
        <v>4998</v>
      </c>
      <c r="K723" s="43" t="s">
        <v>4999</v>
      </c>
      <c r="L723" s="17"/>
      <c r="M723" s="17"/>
      <c r="N723" s="17" t="str">
        <f t="shared" si="2"/>
        <v>OK</v>
      </c>
      <c r="O723" s="17" t="s">
        <v>35</v>
      </c>
      <c r="P723" s="6" t="s">
        <v>35</v>
      </c>
      <c r="Q723" s="17" t="s">
        <v>36</v>
      </c>
      <c r="R723" s="17" t="s">
        <v>5000</v>
      </c>
      <c r="S723" s="173" t="s">
        <v>38</v>
      </c>
      <c r="T723" s="11" t="s">
        <v>147</v>
      </c>
      <c r="U723" s="20" t="s">
        <v>484</v>
      </c>
      <c r="V723" s="20" t="s">
        <v>484</v>
      </c>
      <c r="W723" s="20"/>
      <c r="X723" s="7"/>
      <c r="Y723" s="7"/>
      <c r="Z723" s="23"/>
      <c r="AA723" s="26"/>
    </row>
    <row r="724" spans="1:27" ht="15.75" customHeight="1">
      <c r="A724" s="10" t="s">
        <v>5001</v>
      </c>
      <c r="B724" s="10" t="s">
        <v>4410</v>
      </c>
      <c r="C724" s="19" t="s">
        <v>4411</v>
      </c>
      <c r="D724" s="12"/>
      <c r="E724" s="13" t="s">
        <v>93</v>
      </c>
      <c r="F724" s="6" t="s">
        <v>1380</v>
      </c>
      <c r="G724" s="6" t="str">
        <f ca="1">IFERROR(__xludf.DUMMYFUNCTION("CONCATENATE(B724,(VLOOKUP(C724,CATALOGOS!$F$2:$H$6,3,FALSE)),(VLOOKUP(T724,CATALOGOS!$J$2:$K$18,2,FALSE)),""-"",TO_TEXT(A724))"),"P24SJ-0723")</f>
        <v>P24SJ-0723</v>
      </c>
      <c r="H724" s="6" t="s">
        <v>5002</v>
      </c>
      <c r="I724" s="54"/>
      <c r="J724" s="6" t="s">
        <v>5003</v>
      </c>
      <c r="K724" s="6" t="s">
        <v>5004</v>
      </c>
      <c r="L724" s="17"/>
      <c r="M724" s="17"/>
      <c r="N724" s="17" t="str">
        <f t="shared" si="2"/>
        <v>OK</v>
      </c>
      <c r="O724" s="17" t="s">
        <v>35</v>
      </c>
      <c r="P724" s="6" t="s">
        <v>35</v>
      </c>
      <c r="Q724" s="17" t="s">
        <v>36</v>
      </c>
      <c r="R724" s="17" t="s">
        <v>5005</v>
      </c>
      <c r="S724" s="173" t="s">
        <v>38</v>
      </c>
      <c r="T724" s="11" t="s">
        <v>4411</v>
      </c>
      <c r="U724" s="22" t="s">
        <v>4935</v>
      </c>
      <c r="V724" s="22" t="s">
        <v>4935</v>
      </c>
      <c r="W724" s="22"/>
      <c r="X724" s="7"/>
      <c r="Y724" s="7"/>
      <c r="Z724" s="23"/>
      <c r="AA724" s="26"/>
    </row>
    <row r="725" spans="1:27" ht="15.75" customHeight="1">
      <c r="A725" s="10" t="s">
        <v>5006</v>
      </c>
      <c r="B725" s="10" t="s">
        <v>4410</v>
      </c>
      <c r="C725" s="19" t="s">
        <v>4411</v>
      </c>
      <c r="D725" s="12"/>
      <c r="E725" s="13" t="s">
        <v>29</v>
      </c>
      <c r="F725" s="43" t="s">
        <v>29</v>
      </c>
      <c r="G725" s="6" t="str">
        <f ca="1">IFERROR(__xludf.DUMMYFUNCTION("CONCATENATE(B725,(VLOOKUP(C725,CATALOGOS!$F$2:$H$6,3,FALSE)),(VLOOKUP(T725,CATALOGOS!$J$2:$K$18,2,FALSE)),""-"",TO_TEXT(A725))"),"P24SJ-0724")</f>
        <v>P24SJ-0724</v>
      </c>
      <c r="H725" s="6" t="s">
        <v>5007</v>
      </c>
      <c r="I725" s="54"/>
      <c r="J725" s="6" t="s">
        <v>5008</v>
      </c>
      <c r="K725" s="6" t="s">
        <v>5009</v>
      </c>
      <c r="L725" s="17"/>
      <c r="M725" s="17"/>
      <c r="N725" s="17" t="str">
        <f t="shared" si="2"/>
        <v>OK</v>
      </c>
      <c r="O725" s="17" t="s">
        <v>35</v>
      </c>
      <c r="P725" s="6" t="s">
        <v>35</v>
      </c>
      <c r="Q725" s="17" t="s">
        <v>36</v>
      </c>
      <c r="R725" s="17" t="s">
        <v>85</v>
      </c>
      <c r="S725" s="173" t="s">
        <v>38</v>
      </c>
      <c r="T725" s="11" t="s">
        <v>4411</v>
      </c>
      <c r="U725" s="22" t="s">
        <v>4935</v>
      </c>
      <c r="V725" s="22" t="s">
        <v>4935</v>
      </c>
      <c r="W725" s="22"/>
      <c r="X725" s="7"/>
      <c r="Y725" s="7"/>
      <c r="Z725" s="23"/>
      <c r="AA725" s="26"/>
    </row>
    <row r="726" spans="1:27" ht="29.25" customHeight="1">
      <c r="A726" s="10" t="s">
        <v>5010</v>
      </c>
      <c r="B726" s="10" t="s">
        <v>4410</v>
      </c>
      <c r="C726" s="19" t="s">
        <v>4411</v>
      </c>
      <c r="D726" s="12"/>
      <c r="E726" s="13" t="s">
        <v>116</v>
      </c>
      <c r="F726" s="6" t="s">
        <v>5011</v>
      </c>
      <c r="G726" s="6" t="str">
        <f ca="1">IFERROR(__xludf.DUMMYFUNCTION("CONCATENATE(B726,(VLOOKUP(C726,CATALOGOS!$F$2:$H$6,3,FALSE)),(VLOOKUP(T726,CATALOGOS!$J$2:$K$18,2,FALSE)),""-"",TO_TEXT(A726))"),"P24SJ-0725")</f>
        <v>P24SJ-0725</v>
      </c>
      <c r="H726" s="6" t="s">
        <v>5012</v>
      </c>
      <c r="I726" s="6" t="s">
        <v>5013</v>
      </c>
      <c r="J726" s="6" t="s">
        <v>5014</v>
      </c>
      <c r="K726" s="6" t="s">
        <v>5015</v>
      </c>
      <c r="L726" s="17"/>
      <c r="M726" s="17"/>
      <c r="N726" s="17" t="str">
        <f t="shared" si="2"/>
        <v>OK</v>
      </c>
      <c r="O726" s="17" t="s">
        <v>35</v>
      </c>
      <c r="P726" s="6" t="s">
        <v>35</v>
      </c>
      <c r="Q726" s="17" t="s">
        <v>36</v>
      </c>
      <c r="R726" s="17" t="s">
        <v>5016</v>
      </c>
      <c r="S726" s="173" t="s">
        <v>38</v>
      </c>
      <c r="T726" s="11" t="s">
        <v>4411</v>
      </c>
      <c r="U726" s="22" t="s">
        <v>4935</v>
      </c>
      <c r="V726" s="22" t="s">
        <v>4935</v>
      </c>
      <c r="W726" s="22"/>
      <c r="X726" s="7"/>
      <c r="Y726" s="7"/>
      <c r="Z726" s="23"/>
      <c r="AA726" s="26"/>
    </row>
    <row r="727" spans="1:27" ht="15.75" customHeight="1">
      <c r="A727" s="10" t="s">
        <v>5017</v>
      </c>
      <c r="B727" s="10" t="s">
        <v>4410</v>
      </c>
      <c r="C727" s="19" t="s">
        <v>4411</v>
      </c>
      <c r="D727" s="12"/>
      <c r="E727" s="13" t="s">
        <v>116</v>
      </c>
      <c r="F727" s="6" t="s">
        <v>4153</v>
      </c>
      <c r="G727" s="6" t="str">
        <f ca="1">IFERROR(__xludf.DUMMYFUNCTION("CONCATENATE(B727,(VLOOKUP(C727,CATALOGOS!$F$2:$H$6,3,FALSE)),(VLOOKUP(T727,CATALOGOS!$J$2:$K$18,2,FALSE)),""-"",TO_TEXT(A727))"),"P24SJ-0726")</f>
        <v>P24SJ-0726</v>
      </c>
      <c r="H727" s="6" t="s">
        <v>5018</v>
      </c>
      <c r="I727" s="6" t="s">
        <v>5019</v>
      </c>
      <c r="J727" s="6" t="s">
        <v>5020</v>
      </c>
      <c r="K727" s="6" t="s">
        <v>5021</v>
      </c>
      <c r="L727" s="17"/>
      <c r="M727" s="17"/>
      <c r="N727" s="17" t="str">
        <f t="shared" si="2"/>
        <v>OK</v>
      </c>
      <c r="O727" s="17" t="s">
        <v>35</v>
      </c>
      <c r="P727" s="6" t="s">
        <v>35</v>
      </c>
      <c r="Q727" s="17" t="s">
        <v>36</v>
      </c>
      <c r="R727" s="17" t="s">
        <v>5022</v>
      </c>
      <c r="S727" s="173" t="s">
        <v>38</v>
      </c>
      <c r="T727" s="11" t="s">
        <v>4411</v>
      </c>
      <c r="U727" s="22" t="s">
        <v>4935</v>
      </c>
      <c r="V727" s="22" t="s">
        <v>4935</v>
      </c>
      <c r="W727" s="22"/>
      <c r="X727" s="6"/>
      <c r="Y727" s="6"/>
      <c r="Z727" s="23"/>
      <c r="AA727" s="33"/>
    </row>
    <row r="728" spans="1:27" ht="15.75" customHeight="1">
      <c r="A728" s="10" t="s">
        <v>5023</v>
      </c>
      <c r="B728" s="10" t="s">
        <v>4410</v>
      </c>
      <c r="C728" s="19" t="s">
        <v>4411</v>
      </c>
      <c r="D728" s="12"/>
      <c r="E728" s="13" t="s">
        <v>162</v>
      </c>
      <c r="F728" s="43" t="s">
        <v>285</v>
      </c>
      <c r="G728" s="6" t="str">
        <f ca="1">IFERROR(__xludf.DUMMYFUNCTION("CONCATENATE(B728,(VLOOKUP(C728,CATALOGOS!$F$2:$H$6,3,FALSE)),(VLOOKUP(T728,CATALOGOS!$J$2:$K$18,2,FALSE)),""-"",TO_TEXT(A728))"),"P24SJ-0727")</f>
        <v>P24SJ-0727</v>
      </c>
      <c r="H728" s="6" t="s">
        <v>5024</v>
      </c>
      <c r="I728" s="6" t="s">
        <v>5025</v>
      </c>
      <c r="J728" s="6" t="s">
        <v>5026</v>
      </c>
      <c r="K728" s="6" t="s">
        <v>5027</v>
      </c>
      <c r="L728" s="17"/>
      <c r="M728" s="17"/>
      <c r="N728" s="17" t="str">
        <f t="shared" si="2"/>
        <v>OK</v>
      </c>
      <c r="O728" s="17" t="s">
        <v>663</v>
      </c>
      <c r="P728" s="6" t="s">
        <v>664</v>
      </c>
      <c r="Q728" s="17" t="s">
        <v>5028</v>
      </c>
      <c r="R728" s="17" t="s">
        <v>5029</v>
      </c>
      <c r="S728" s="173" t="s">
        <v>38</v>
      </c>
      <c r="T728" s="11" t="s">
        <v>4411</v>
      </c>
      <c r="U728" s="22" t="s">
        <v>4935</v>
      </c>
      <c r="V728" s="22" t="s">
        <v>4935</v>
      </c>
      <c r="W728" s="22"/>
      <c r="X728" s="7"/>
      <c r="Y728" s="7"/>
      <c r="Z728" s="23"/>
      <c r="AA728" s="26"/>
    </row>
    <row r="729" spans="1:27" ht="15.75" customHeight="1">
      <c r="A729" s="10" t="s">
        <v>5030</v>
      </c>
      <c r="B729" s="10" t="s">
        <v>4410</v>
      </c>
      <c r="C729" s="19" t="s">
        <v>4411</v>
      </c>
      <c r="D729" s="12"/>
      <c r="E729" s="13" t="s">
        <v>151</v>
      </c>
      <c r="F729" s="6" t="s">
        <v>5031</v>
      </c>
      <c r="G729" s="6" t="str">
        <f ca="1">IFERROR(__xludf.DUMMYFUNCTION("CONCATENATE(B729,(VLOOKUP(C729,CATALOGOS!$F$2:$H$6,3,FALSE)),(VLOOKUP(T729,CATALOGOS!$J$2:$K$18,2,FALSE)),""-"",TO_TEXT(A729))"),"P24SJ-0728")</f>
        <v>P24SJ-0728</v>
      </c>
      <c r="H729" s="6" t="s">
        <v>5032</v>
      </c>
      <c r="I729" s="6" t="s">
        <v>5033</v>
      </c>
      <c r="J729" s="6" t="s">
        <v>5034</v>
      </c>
      <c r="K729" s="6" t="s">
        <v>5035</v>
      </c>
      <c r="L729" s="17"/>
      <c r="M729" s="17"/>
      <c r="N729" s="17" t="str">
        <f t="shared" si="2"/>
        <v>OK</v>
      </c>
      <c r="O729" s="17" t="s">
        <v>5036</v>
      </c>
      <c r="P729" s="6" t="s">
        <v>5037</v>
      </c>
      <c r="Q729" s="17" t="s">
        <v>5038</v>
      </c>
      <c r="R729" s="10" t="s">
        <v>5039</v>
      </c>
      <c r="S729" s="173" t="s">
        <v>38</v>
      </c>
      <c r="T729" s="11" t="s">
        <v>4411</v>
      </c>
      <c r="U729" s="22" t="s">
        <v>4935</v>
      </c>
      <c r="V729" s="22" t="s">
        <v>4935</v>
      </c>
      <c r="W729" s="22"/>
      <c r="X729" s="7"/>
      <c r="Y729" s="7"/>
      <c r="Z729" s="23"/>
      <c r="AA729" s="26"/>
    </row>
    <row r="730" spans="1:27" ht="15.75" customHeight="1">
      <c r="A730" s="10" t="s">
        <v>5042</v>
      </c>
      <c r="B730" s="10" t="s">
        <v>4410</v>
      </c>
      <c r="C730" s="19" t="s">
        <v>4411</v>
      </c>
      <c r="D730" s="12"/>
      <c r="E730" s="13" t="s">
        <v>199</v>
      </c>
      <c r="F730" s="6" t="s">
        <v>199</v>
      </c>
      <c r="G730" s="6" t="str">
        <f ca="1">IFERROR(__xludf.DUMMYFUNCTION("CONCATENATE(B730,(VLOOKUP(C730,CATALOGOS!$F$2:$H$6,3,FALSE)),(VLOOKUP(T730,CATALOGOS!$J$2:$K$18,2,FALSE)),""-"",TO_TEXT(A730))"),"P24SJ-0729")</f>
        <v>P24SJ-0729</v>
      </c>
      <c r="H730" s="6" t="s">
        <v>5043</v>
      </c>
      <c r="I730" s="6" t="s">
        <v>5044</v>
      </c>
      <c r="J730" s="6" t="s">
        <v>5045</v>
      </c>
      <c r="K730" s="6" t="s">
        <v>5046</v>
      </c>
      <c r="L730" s="17"/>
      <c r="M730" s="17"/>
      <c r="N730" s="17" t="str">
        <f t="shared" si="2"/>
        <v>OK</v>
      </c>
      <c r="O730" s="17" t="s">
        <v>205</v>
      </c>
      <c r="P730" s="6" t="s">
        <v>5047</v>
      </c>
      <c r="Q730" s="17" t="s">
        <v>5048</v>
      </c>
      <c r="R730" s="17" t="s">
        <v>5049</v>
      </c>
      <c r="S730" s="173" t="s">
        <v>38</v>
      </c>
      <c r="T730" s="11" t="s">
        <v>4411</v>
      </c>
      <c r="U730" s="22" t="s">
        <v>4935</v>
      </c>
      <c r="V730" s="22" t="s">
        <v>4935</v>
      </c>
      <c r="W730" s="22"/>
      <c r="X730" s="7"/>
      <c r="Y730" s="7"/>
      <c r="Z730" s="23"/>
      <c r="AA730" s="26"/>
    </row>
    <row r="731" spans="1:27" ht="15.75" customHeight="1">
      <c r="A731" s="10" t="s">
        <v>5050</v>
      </c>
      <c r="B731" s="10" t="s">
        <v>4410</v>
      </c>
      <c r="C731" s="19" t="s">
        <v>4411</v>
      </c>
      <c r="D731" s="12"/>
      <c r="E731" s="13" t="s">
        <v>210</v>
      </c>
      <c r="F731" s="43" t="s">
        <v>5051</v>
      </c>
      <c r="G731" s="6" t="str">
        <f ca="1">IFERROR(__xludf.DUMMYFUNCTION("CONCATENATE(B731,(VLOOKUP(C731,CATALOGOS!$F$2:$H$6,3,FALSE)),(VLOOKUP(T731,CATALOGOS!$J$2:$K$18,2,FALSE)),""-"",TO_TEXT(A731))"),"P24SJ-0730")</f>
        <v>P24SJ-0730</v>
      </c>
      <c r="H731" s="6" t="s">
        <v>5052</v>
      </c>
      <c r="I731" s="6" t="s">
        <v>5053</v>
      </c>
      <c r="J731" s="6" t="s">
        <v>5054</v>
      </c>
      <c r="K731" s="6" t="s">
        <v>5055</v>
      </c>
      <c r="L731" s="17"/>
      <c r="M731" s="17"/>
      <c r="N731" s="17" t="str">
        <f t="shared" si="2"/>
        <v>OK</v>
      </c>
      <c r="O731" s="17" t="s">
        <v>216</v>
      </c>
      <c r="P731" s="6" t="s">
        <v>5056</v>
      </c>
      <c r="Q731" s="17" t="s">
        <v>5057</v>
      </c>
      <c r="R731" s="10" t="s">
        <v>5058</v>
      </c>
      <c r="S731" s="173" t="s">
        <v>38</v>
      </c>
      <c r="T731" s="11" t="s">
        <v>4411</v>
      </c>
      <c r="U731" s="22" t="s">
        <v>4935</v>
      </c>
      <c r="V731" s="22" t="s">
        <v>4935</v>
      </c>
      <c r="W731" s="22"/>
      <c r="X731" s="7"/>
      <c r="Y731" s="7"/>
      <c r="Z731" s="23"/>
      <c r="AA731" s="26"/>
    </row>
    <row r="732" spans="1:27" ht="15.75" customHeight="1">
      <c r="A732" s="10" t="s">
        <v>5059</v>
      </c>
      <c r="B732" s="10" t="s">
        <v>4410</v>
      </c>
      <c r="C732" s="19" t="s">
        <v>4411</v>
      </c>
      <c r="D732" s="12"/>
      <c r="E732" s="13" t="s">
        <v>248</v>
      </c>
      <c r="F732" s="43" t="s">
        <v>248</v>
      </c>
      <c r="G732" s="6" t="str">
        <f ca="1">IFERROR(__xludf.DUMMYFUNCTION("CONCATENATE(B732,(VLOOKUP(C732,CATALOGOS!$F$2:$H$6,3,FALSE)),(VLOOKUP(T732,CATALOGOS!$J$2:$K$18,2,FALSE)),""-"",TO_TEXT(A732))"),"P24SJ-0731")</f>
        <v>P24SJ-0731</v>
      </c>
      <c r="H732" s="6" t="s">
        <v>5060</v>
      </c>
      <c r="I732" s="6" t="s">
        <v>5061</v>
      </c>
      <c r="J732" s="6" t="s">
        <v>5062</v>
      </c>
      <c r="K732" s="6" t="s">
        <v>5063</v>
      </c>
      <c r="L732" s="17"/>
      <c r="M732" s="17"/>
      <c r="N732" s="17" t="str">
        <f t="shared" si="2"/>
        <v>OK</v>
      </c>
      <c r="O732" s="17" t="s">
        <v>978</v>
      </c>
      <c r="P732" s="6" t="s">
        <v>979</v>
      </c>
      <c r="Q732" s="17" t="s">
        <v>5064</v>
      </c>
      <c r="R732" s="17" t="s">
        <v>5065</v>
      </c>
      <c r="S732" s="173" t="s">
        <v>38</v>
      </c>
      <c r="T732" s="11" t="s">
        <v>4411</v>
      </c>
      <c r="U732" s="22" t="s">
        <v>4935</v>
      </c>
      <c r="V732" s="22" t="s">
        <v>4935</v>
      </c>
      <c r="W732" s="22"/>
      <c r="X732" s="7"/>
      <c r="Y732" s="7"/>
      <c r="Z732" s="23"/>
      <c r="AA732" s="26"/>
    </row>
    <row r="733" spans="1:27" ht="15.75" customHeight="1">
      <c r="A733" s="10" t="s">
        <v>5066</v>
      </c>
      <c r="B733" s="10" t="s">
        <v>4410</v>
      </c>
      <c r="C733" s="19" t="s">
        <v>4411</v>
      </c>
      <c r="D733" s="38"/>
      <c r="E733" s="13" t="s">
        <v>184</v>
      </c>
      <c r="F733" s="43" t="s">
        <v>927</v>
      </c>
      <c r="G733" s="6" t="str">
        <f ca="1">IFERROR(__xludf.DUMMYFUNCTION("CONCATENATE(B733,(VLOOKUP(C733,CATALOGOS!$F$2:$H$6,3,FALSE)),(VLOOKUP(T733,CATALOGOS!$J$2:$K$18,2,FALSE)),""-"",TO_TEXT(A733))"),"P24SJ-0732")</f>
        <v>P24SJ-0732</v>
      </c>
      <c r="H733" s="6" t="s">
        <v>5067</v>
      </c>
      <c r="I733" s="6" t="s">
        <v>5068</v>
      </c>
      <c r="J733" s="6" t="s">
        <v>5069</v>
      </c>
      <c r="K733" s="43" t="s">
        <v>5070</v>
      </c>
      <c r="L733" s="17"/>
      <c r="M733" s="17"/>
      <c r="N733" s="17" t="str">
        <f t="shared" si="2"/>
        <v>OK</v>
      </c>
      <c r="O733" s="17" t="s">
        <v>35</v>
      </c>
      <c r="P733" s="6" t="s">
        <v>35</v>
      </c>
      <c r="Q733" s="46" t="s">
        <v>36</v>
      </c>
      <c r="R733" s="17" t="s">
        <v>5071</v>
      </c>
      <c r="S733" s="173" t="s">
        <v>549</v>
      </c>
      <c r="T733" s="11" t="s">
        <v>4411</v>
      </c>
      <c r="U733" s="22" t="s">
        <v>4935</v>
      </c>
      <c r="V733" s="22" t="s">
        <v>4935</v>
      </c>
      <c r="W733" s="20" t="s">
        <v>4927</v>
      </c>
      <c r="X733" s="6"/>
      <c r="Y733" s="6" t="s">
        <v>440</v>
      </c>
      <c r="Z733" s="20" t="s">
        <v>5072</v>
      </c>
      <c r="AA733" s="26"/>
    </row>
    <row r="734" spans="1:27" ht="15.75" customHeight="1">
      <c r="A734" s="10" t="s">
        <v>5073</v>
      </c>
      <c r="B734" s="10" t="s">
        <v>4410</v>
      </c>
      <c r="C734" s="19" t="s">
        <v>4411</v>
      </c>
      <c r="D734" s="12"/>
      <c r="E734" s="13" t="s">
        <v>93</v>
      </c>
      <c r="F734" s="6" t="s">
        <v>3710</v>
      </c>
      <c r="G734" s="6" t="str">
        <f ca="1">IFERROR(__xludf.DUMMYFUNCTION("CONCATENATE(B734,(VLOOKUP(C734,CATALOGOS!$F$2:$H$6,3,FALSE)),(VLOOKUP(T734,CATALOGOS!$J$2:$K$18,2,FALSE)),""-"",TO_TEXT(A734))"),"P24SJ-0733")</f>
        <v>P24SJ-0733</v>
      </c>
      <c r="H734" s="6" t="s">
        <v>5074</v>
      </c>
      <c r="I734" s="6" t="s">
        <v>5075</v>
      </c>
      <c r="J734" s="6" t="s">
        <v>5076</v>
      </c>
      <c r="K734" s="6" t="s">
        <v>5077</v>
      </c>
      <c r="L734" s="17"/>
      <c r="M734" s="17"/>
      <c r="N734" s="17" t="str">
        <f t="shared" si="2"/>
        <v>OK</v>
      </c>
      <c r="O734" s="17" t="s">
        <v>35</v>
      </c>
      <c r="P734" s="6" t="s">
        <v>35</v>
      </c>
      <c r="Q734" s="17" t="s">
        <v>36</v>
      </c>
      <c r="R734" s="17" t="s">
        <v>5078</v>
      </c>
      <c r="S734" s="173" t="s">
        <v>38</v>
      </c>
      <c r="T734" s="11" t="s">
        <v>4411</v>
      </c>
      <c r="U734" s="22" t="s">
        <v>5079</v>
      </c>
      <c r="V734" s="22" t="s">
        <v>5079</v>
      </c>
      <c r="W734" s="20" t="s">
        <v>5080</v>
      </c>
      <c r="X734" s="6"/>
      <c r="Y734" s="6"/>
      <c r="Z734" s="23"/>
      <c r="AA734" s="33"/>
    </row>
    <row r="735" spans="1:27" ht="36.75" customHeight="1">
      <c r="A735" s="10" t="s">
        <v>5081</v>
      </c>
      <c r="B735" s="10" t="s">
        <v>4410</v>
      </c>
      <c r="C735" s="19" t="s">
        <v>4411</v>
      </c>
      <c r="D735" s="12"/>
      <c r="E735" s="13" t="s">
        <v>466</v>
      </c>
      <c r="F735" s="6" t="s">
        <v>5082</v>
      </c>
      <c r="G735" s="6" t="str">
        <f ca="1">IFERROR(__xludf.DUMMYFUNCTION("CONCATENATE(B735,(VLOOKUP(C735,CATALOGOS!$F$2:$H$6,3,FALSE)),(VLOOKUP(T735,CATALOGOS!$J$2:$K$18,2,FALSE)),""-"",TO_TEXT(A735))"),"P24SJ-0734")</f>
        <v>P24SJ-0734</v>
      </c>
      <c r="H735" s="6" t="s">
        <v>5083</v>
      </c>
      <c r="I735" s="6" t="s">
        <v>5084</v>
      </c>
      <c r="J735" s="6" t="s">
        <v>5085</v>
      </c>
      <c r="K735" s="6" t="s">
        <v>5086</v>
      </c>
      <c r="L735" s="17"/>
      <c r="M735" s="17"/>
      <c r="N735" s="17" t="str">
        <f t="shared" si="2"/>
        <v>OK</v>
      </c>
      <c r="O735" s="17" t="s">
        <v>35</v>
      </c>
      <c r="P735" s="6" t="s">
        <v>35</v>
      </c>
      <c r="Q735" s="17" t="s">
        <v>36</v>
      </c>
      <c r="R735" s="17" t="s">
        <v>5087</v>
      </c>
      <c r="S735" s="173" t="s">
        <v>38</v>
      </c>
      <c r="T735" s="11" t="s">
        <v>4411</v>
      </c>
      <c r="U735" s="22" t="s">
        <v>5079</v>
      </c>
      <c r="V735" s="22" t="s">
        <v>5079</v>
      </c>
      <c r="W735" s="22"/>
      <c r="X735" s="7"/>
      <c r="Y735" s="7"/>
      <c r="Z735" s="23"/>
      <c r="AA735" s="26"/>
    </row>
    <row r="736" spans="1:27" ht="31.5" customHeight="1">
      <c r="A736" s="10" t="s">
        <v>5088</v>
      </c>
      <c r="B736" s="10" t="s">
        <v>4410</v>
      </c>
      <c r="C736" s="19" t="s">
        <v>4411</v>
      </c>
      <c r="D736" s="12"/>
      <c r="E736" s="13" t="s">
        <v>466</v>
      </c>
      <c r="F736" s="6" t="s">
        <v>5082</v>
      </c>
      <c r="G736" s="6" t="str">
        <f ca="1">IFERROR(__xludf.DUMMYFUNCTION("CONCATENATE(B736,(VLOOKUP(C736,CATALOGOS!$F$2:$H$6,3,FALSE)),(VLOOKUP(T736,CATALOGOS!$J$2:$K$18,2,FALSE)),""-"",TO_TEXT(A736))"),"P24SJ-0735")</f>
        <v>P24SJ-0735</v>
      </c>
      <c r="H736" s="6" t="s">
        <v>5089</v>
      </c>
      <c r="I736" s="6" t="s">
        <v>5090</v>
      </c>
      <c r="J736" s="6" t="s">
        <v>5091</v>
      </c>
      <c r="K736" s="6" t="s">
        <v>5092</v>
      </c>
      <c r="L736" s="17"/>
      <c r="M736" s="17"/>
      <c r="N736" s="17" t="str">
        <f t="shared" si="2"/>
        <v>OK</v>
      </c>
      <c r="O736" s="17" t="s">
        <v>35</v>
      </c>
      <c r="P736" s="6" t="s">
        <v>35</v>
      </c>
      <c r="Q736" s="17" t="s">
        <v>36</v>
      </c>
      <c r="R736" s="17" t="s">
        <v>5093</v>
      </c>
      <c r="S736" s="173" t="s">
        <v>38</v>
      </c>
      <c r="T736" s="11" t="s">
        <v>4411</v>
      </c>
      <c r="U736" s="22" t="s">
        <v>5079</v>
      </c>
      <c r="V736" s="22" t="s">
        <v>5079</v>
      </c>
      <c r="W736" s="22"/>
      <c r="X736" s="7"/>
      <c r="Y736" s="7"/>
      <c r="Z736" s="23"/>
      <c r="AA736" s="26"/>
    </row>
    <row r="737" spans="1:28" ht="15.75" customHeight="1">
      <c r="A737" s="10" t="s">
        <v>5094</v>
      </c>
      <c r="B737" s="10" t="s">
        <v>4410</v>
      </c>
      <c r="C737" s="19" t="s">
        <v>4411</v>
      </c>
      <c r="D737" s="12"/>
      <c r="E737" s="13" t="s">
        <v>184</v>
      </c>
      <c r="F737" s="6" t="s">
        <v>4989</v>
      </c>
      <c r="G737" s="6" t="str">
        <f ca="1">IFERROR(__xludf.DUMMYFUNCTION("CONCATENATE(B737,(VLOOKUP(C737,CATALOGOS!$F$2:$H$6,3,FALSE)),(VLOOKUP(T737,CATALOGOS!$J$2:$K$18,2,FALSE)),""-"",TO_TEXT(A737))"),"P24SJ-0736")</f>
        <v>P24SJ-0736</v>
      </c>
      <c r="H737" s="6" t="s">
        <v>5095</v>
      </c>
      <c r="I737" s="6" t="s">
        <v>5096</v>
      </c>
      <c r="J737" s="6" t="s">
        <v>5097</v>
      </c>
      <c r="K737" s="43" t="s">
        <v>5098</v>
      </c>
      <c r="L737" s="17"/>
      <c r="M737" s="17"/>
      <c r="N737" s="17" t="str">
        <f t="shared" si="2"/>
        <v>OK</v>
      </c>
      <c r="O737" s="17" t="s">
        <v>35</v>
      </c>
      <c r="P737" s="6" t="s">
        <v>35</v>
      </c>
      <c r="Q737" s="17" t="s">
        <v>36</v>
      </c>
      <c r="R737" s="17" t="s">
        <v>5099</v>
      </c>
      <c r="S737" s="173" t="s">
        <v>38</v>
      </c>
      <c r="T737" s="11" t="s">
        <v>4411</v>
      </c>
      <c r="U737" s="22" t="s">
        <v>5079</v>
      </c>
      <c r="V737" s="22" t="s">
        <v>5079</v>
      </c>
      <c r="W737" s="22"/>
      <c r="X737" s="7"/>
      <c r="Y737" s="7"/>
      <c r="Z737" s="23"/>
      <c r="AA737" s="26"/>
    </row>
    <row r="738" spans="1:28" ht="15.75" customHeight="1">
      <c r="A738" s="10" t="s">
        <v>5100</v>
      </c>
      <c r="B738" s="10" t="s">
        <v>4410</v>
      </c>
      <c r="C738" s="19" t="s">
        <v>4411</v>
      </c>
      <c r="D738" s="12"/>
      <c r="E738" s="13" t="s">
        <v>184</v>
      </c>
      <c r="F738" s="6" t="s">
        <v>4989</v>
      </c>
      <c r="G738" s="6" t="str">
        <f ca="1">IFERROR(__xludf.DUMMYFUNCTION("CONCATENATE(B738,(VLOOKUP(C738,CATALOGOS!$F$2:$H$6,3,FALSE)),(VLOOKUP(T738,CATALOGOS!$J$2:$K$18,2,FALSE)),""-"",TO_TEXT(A738))"),"P24SJ-0737")</f>
        <v>P24SJ-0737</v>
      </c>
      <c r="H738" s="6" t="s">
        <v>5101</v>
      </c>
      <c r="I738" s="6" t="s">
        <v>5102</v>
      </c>
      <c r="J738" s="6" t="s">
        <v>5103</v>
      </c>
      <c r="K738" s="6" t="s">
        <v>5104</v>
      </c>
      <c r="L738" s="17"/>
      <c r="M738" s="17"/>
      <c r="N738" s="17" t="str">
        <f t="shared" si="2"/>
        <v>OK</v>
      </c>
      <c r="O738" s="17" t="s">
        <v>35</v>
      </c>
      <c r="P738" s="6" t="s">
        <v>35</v>
      </c>
      <c r="Q738" s="17" t="s">
        <v>36</v>
      </c>
      <c r="R738" s="17" t="s">
        <v>5105</v>
      </c>
      <c r="S738" s="173" t="s">
        <v>38</v>
      </c>
      <c r="T738" s="11" t="s">
        <v>4411</v>
      </c>
      <c r="U738" s="22" t="s">
        <v>5079</v>
      </c>
      <c r="V738" s="22" t="s">
        <v>5079</v>
      </c>
      <c r="W738" s="22"/>
      <c r="X738" s="6"/>
      <c r="Y738" s="6"/>
      <c r="Z738" s="23"/>
      <c r="AA738" s="33"/>
    </row>
    <row r="739" spans="1:28" ht="43.5" customHeight="1">
      <c r="A739" s="10" t="s">
        <v>5106</v>
      </c>
      <c r="B739" s="10" t="s">
        <v>4410</v>
      </c>
      <c r="C739" s="19" t="s">
        <v>4411</v>
      </c>
      <c r="D739" s="12"/>
      <c r="E739" s="13" t="s">
        <v>466</v>
      </c>
      <c r="F739" s="6" t="s">
        <v>5082</v>
      </c>
      <c r="G739" s="6" t="str">
        <f ca="1">IFERROR(__xludf.DUMMYFUNCTION("CONCATENATE(B739,(VLOOKUP(C739,CATALOGOS!$F$2:$H$6,3,FALSE)),(VLOOKUP(T739,CATALOGOS!$J$2:$K$18,2,FALSE)),""-"",TO_TEXT(A739))"),"P24SJ-0738")</f>
        <v>P24SJ-0738</v>
      </c>
      <c r="H739" s="6" t="s">
        <v>5107</v>
      </c>
      <c r="I739" s="6" t="s">
        <v>5108</v>
      </c>
      <c r="J739" s="6" t="s">
        <v>5109</v>
      </c>
      <c r="K739" s="6" t="s">
        <v>5110</v>
      </c>
      <c r="L739" s="17"/>
      <c r="M739" s="17"/>
      <c r="N739" s="17" t="str">
        <f t="shared" si="2"/>
        <v>OK</v>
      </c>
      <c r="O739" s="17" t="s">
        <v>35</v>
      </c>
      <c r="P739" s="6" t="s">
        <v>35</v>
      </c>
      <c r="Q739" s="17" t="s">
        <v>36</v>
      </c>
      <c r="R739" s="17" t="s">
        <v>5111</v>
      </c>
      <c r="S739" s="173" t="s">
        <v>38</v>
      </c>
      <c r="T739" s="11" t="s">
        <v>4411</v>
      </c>
      <c r="U739" s="22" t="s">
        <v>5079</v>
      </c>
      <c r="V739" s="22" t="s">
        <v>5079</v>
      </c>
      <c r="W739" s="22"/>
      <c r="X739" s="7"/>
      <c r="Y739" s="7"/>
      <c r="Z739" s="23"/>
      <c r="AA739" s="26"/>
    </row>
    <row r="740" spans="1:28" ht="15.75" customHeight="1">
      <c r="A740" s="10" t="s">
        <v>5112</v>
      </c>
      <c r="B740" s="10" t="s">
        <v>4410</v>
      </c>
      <c r="C740" s="19" t="s">
        <v>4411</v>
      </c>
      <c r="D740" s="12"/>
      <c r="E740" s="13" t="s">
        <v>43</v>
      </c>
      <c r="F740" s="6" t="s">
        <v>1492</v>
      </c>
      <c r="G740" s="6" t="str">
        <f ca="1">IFERROR(__xludf.DUMMYFUNCTION("CONCATENATE(B740,(VLOOKUP(C740,CATALOGOS!$F$2:$H$6,3,FALSE)),(VLOOKUP(T740,CATALOGOS!$J$2:$K$18,2,FALSE)),""-"",TO_TEXT(A740))"),"P24SJ-0739")</f>
        <v>P24SJ-0739</v>
      </c>
      <c r="H740" s="6" t="s">
        <v>5113</v>
      </c>
      <c r="I740" s="6" t="s">
        <v>5114</v>
      </c>
      <c r="J740" s="6" t="s">
        <v>5115</v>
      </c>
      <c r="K740" s="6" t="s">
        <v>5116</v>
      </c>
      <c r="L740" s="17"/>
      <c r="M740" s="17"/>
      <c r="N740" s="17" t="str">
        <f t="shared" si="2"/>
        <v>OK</v>
      </c>
      <c r="O740" s="17" t="s">
        <v>406</v>
      </c>
      <c r="P740" s="6" t="s">
        <v>407</v>
      </c>
      <c r="Q740" s="17" t="s">
        <v>36</v>
      </c>
      <c r="R740" s="17" t="s">
        <v>5117</v>
      </c>
      <c r="S740" s="173" t="s">
        <v>38</v>
      </c>
      <c r="T740" s="19" t="s">
        <v>4411</v>
      </c>
      <c r="U740" s="22" t="s">
        <v>5079</v>
      </c>
      <c r="V740" s="22" t="s">
        <v>5079</v>
      </c>
      <c r="W740" s="22"/>
      <c r="X740" s="6"/>
      <c r="Y740" s="6"/>
      <c r="Z740" s="23"/>
      <c r="AA740" s="33"/>
    </row>
    <row r="741" spans="1:28" ht="15.75" customHeight="1">
      <c r="A741" s="10" t="s">
        <v>5118</v>
      </c>
      <c r="B741" s="10" t="s">
        <v>4410</v>
      </c>
      <c r="C741" s="19" t="s">
        <v>4411</v>
      </c>
      <c r="D741" s="12"/>
      <c r="E741" s="13" t="s">
        <v>93</v>
      </c>
      <c r="F741" s="6" t="s">
        <v>5119</v>
      </c>
      <c r="G741" s="6" t="str">
        <f ca="1">IFERROR(__xludf.DUMMYFUNCTION("CONCATENATE(B741,(VLOOKUP(C741,CATALOGOS!$F$2:$H$6,3,FALSE)),(VLOOKUP(T741,CATALOGOS!$J$2:$K$18,2,FALSE)),""-"",TO_TEXT(A741))"),"P24SJ-0740")</f>
        <v>P24SJ-0740</v>
      </c>
      <c r="H741" s="6" t="s">
        <v>5120</v>
      </c>
      <c r="I741" s="6" t="s">
        <v>5121</v>
      </c>
      <c r="J741" s="6" t="s">
        <v>5122</v>
      </c>
      <c r="K741" s="6" t="s">
        <v>5123</v>
      </c>
      <c r="L741" s="17"/>
      <c r="M741" s="17"/>
      <c r="N741" s="17" t="str">
        <f t="shared" si="2"/>
        <v>OK</v>
      </c>
      <c r="O741" s="17" t="s">
        <v>35</v>
      </c>
      <c r="P741" s="6" t="s">
        <v>35</v>
      </c>
      <c r="Q741" s="17" t="s">
        <v>36</v>
      </c>
      <c r="R741" s="17" t="s">
        <v>5124</v>
      </c>
      <c r="S741" s="173" t="s">
        <v>38</v>
      </c>
      <c r="T741" s="11" t="s">
        <v>4411</v>
      </c>
      <c r="U741" s="22" t="s">
        <v>5079</v>
      </c>
      <c r="V741" s="22" t="s">
        <v>5079</v>
      </c>
      <c r="W741" s="22"/>
      <c r="X741" s="7"/>
      <c r="Y741" s="7"/>
      <c r="Z741" s="23"/>
      <c r="AA741" s="26"/>
    </row>
    <row r="742" spans="1:28" ht="26.25" customHeight="1">
      <c r="A742" s="10" t="s">
        <v>5125</v>
      </c>
      <c r="B742" s="10" t="s">
        <v>4410</v>
      </c>
      <c r="C742" s="19" t="s">
        <v>4411</v>
      </c>
      <c r="D742" s="38"/>
      <c r="E742" s="13" t="s">
        <v>62</v>
      </c>
      <c r="F742" s="6" t="s">
        <v>5126</v>
      </c>
      <c r="G742" s="6" t="str">
        <f ca="1">IFERROR(__xludf.DUMMYFUNCTION("CONCATENATE(B742,(VLOOKUP(C742,CATALOGOS!$F$2:$H$6,3,FALSE)),(VLOOKUP(T742,CATALOGOS!$J$2:$K$18,2,FALSE)),""-"",TO_TEXT(A742))"),"P24SJ-0741")</f>
        <v>P24SJ-0741</v>
      </c>
      <c r="H742" s="6" t="s">
        <v>5127</v>
      </c>
      <c r="I742" s="6" t="s">
        <v>5128</v>
      </c>
      <c r="J742" s="6" t="s">
        <v>5129</v>
      </c>
      <c r="K742" s="6" t="s">
        <v>5130</v>
      </c>
      <c r="L742" s="17"/>
      <c r="M742" s="17"/>
      <c r="N742" s="17" t="str">
        <f t="shared" si="2"/>
        <v>OK</v>
      </c>
      <c r="O742" s="17" t="s">
        <v>35</v>
      </c>
      <c r="P742" s="6" t="s">
        <v>35</v>
      </c>
      <c r="Q742" s="46" t="s">
        <v>36</v>
      </c>
      <c r="R742" s="17" t="s">
        <v>5131</v>
      </c>
      <c r="S742" s="173" t="s">
        <v>38</v>
      </c>
      <c r="T742" s="11" t="s">
        <v>4411</v>
      </c>
      <c r="U742" s="22" t="s">
        <v>5079</v>
      </c>
      <c r="V742" s="22" t="s">
        <v>5079</v>
      </c>
      <c r="W742" s="22"/>
      <c r="X742" s="7"/>
      <c r="Y742" s="7"/>
      <c r="Z742" s="26"/>
      <c r="AA742" s="26"/>
    </row>
    <row r="743" spans="1:28" ht="15.75" customHeight="1">
      <c r="A743" s="10" t="s">
        <v>5133</v>
      </c>
      <c r="B743" s="10" t="s">
        <v>4410</v>
      </c>
      <c r="C743" s="19" t="s">
        <v>4411</v>
      </c>
      <c r="D743" s="12"/>
      <c r="E743" s="13" t="s">
        <v>93</v>
      </c>
      <c r="F743" s="6" t="s">
        <v>1380</v>
      </c>
      <c r="G743" s="6" t="str">
        <f ca="1">IFERROR(__xludf.DUMMYFUNCTION("CONCATENATE(B743,(VLOOKUP(C743,CATALOGOS!$F$2:$H$6,3,FALSE)),(VLOOKUP(T743,CATALOGOS!$J$2:$K$18,2,FALSE)),""-"",TO_TEXT(A743))"),"P24SJ-0742")</f>
        <v>P24SJ-0742</v>
      </c>
      <c r="H743" s="6" t="s">
        <v>5134</v>
      </c>
      <c r="I743" s="6" t="s">
        <v>5135</v>
      </c>
      <c r="J743" s="6" t="s">
        <v>5136</v>
      </c>
      <c r="K743" s="6" t="s">
        <v>5137</v>
      </c>
      <c r="L743" s="17"/>
      <c r="M743" s="17"/>
      <c r="N743" s="17" t="str">
        <f t="shared" si="2"/>
        <v>OK</v>
      </c>
      <c r="O743" s="17" t="s">
        <v>35</v>
      </c>
      <c r="P743" s="6" t="s">
        <v>35</v>
      </c>
      <c r="Q743" s="17" t="s">
        <v>36</v>
      </c>
      <c r="R743" s="17" t="s">
        <v>85</v>
      </c>
      <c r="S743" s="173" t="s">
        <v>38</v>
      </c>
      <c r="T743" s="11" t="s">
        <v>4411</v>
      </c>
      <c r="U743" s="20" t="s">
        <v>5138</v>
      </c>
      <c r="V743" s="20" t="s">
        <v>5138</v>
      </c>
      <c r="W743" s="20"/>
      <c r="X743" s="7"/>
      <c r="Y743" s="7"/>
      <c r="Z743" s="23"/>
      <c r="AA743" s="26"/>
    </row>
    <row r="744" spans="1:28" ht="15.75" customHeight="1">
      <c r="A744" s="10" t="s">
        <v>5139</v>
      </c>
      <c r="B744" s="10" t="s">
        <v>4410</v>
      </c>
      <c r="C744" s="19" t="s">
        <v>4411</v>
      </c>
      <c r="D744" s="12"/>
      <c r="E744" s="13" t="s">
        <v>199</v>
      </c>
      <c r="F744" s="6" t="s">
        <v>677</v>
      </c>
      <c r="G744" s="6" t="str">
        <f ca="1">IFERROR(__xludf.DUMMYFUNCTION("CONCATENATE(B744,(VLOOKUP(C744,CATALOGOS!$F$2:$H$6,3,FALSE)),(VLOOKUP(T744,CATALOGOS!$J$2:$K$18,2,FALSE)),""-"",TO_TEXT(A744))"),"P24SJ-0743")</f>
        <v>P24SJ-0743</v>
      </c>
      <c r="H744" s="6" t="s">
        <v>5140</v>
      </c>
      <c r="I744" s="6" t="s">
        <v>5141</v>
      </c>
      <c r="J744" s="6" t="s">
        <v>5142</v>
      </c>
      <c r="K744" s="6" t="s">
        <v>5143</v>
      </c>
      <c r="L744" s="17"/>
      <c r="M744" s="17"/>
      <c r="N744" s="17" t="str">
        <f t="shared" si="2"/>
        <v>OK</v>
      </c>
      <c r="O744" s="17" t="s">
        <v>682</v>
      </c>
      <c r="P744" s="6" t="s">
        <v>5144</v>
      </c>
      <c r="Q744" s="17" t="s">
        <v>5145</v>
      </c>
      <c r="R744" s="17" t="s">
        <v>85</v>
      </c>
      <c r="S744" s="173" t="s">
        <v>38</v>
      </c>
      <c r="T744" s="11" t="s">
        <v>4411</v>
      </c>
      <c r="U744" s="22" t="s">
        <v>5146</v>
      </c>
      <c r="V744" s="22" t="s">
        <v>5146</v>
      </c>
      <c r="W744" s="20" t="s">
        <v>8442</v>
      </c>
      <c r="X744" s="7"/>
      <c r="Y744" s="7"/>
      <c r="Z744" s="23"/>
      <c r="AA744" s="26"/>
    </row>
    <row r="745" spans="1:28" ht="15.75" customHeight="1">
      <c r="A745" s="10" t="s">
        <v>5147</v>
      </c>
      <c r="B745" s="10" t="s">
        <v>4410</v>
      </c>
      <c r="C745" s="19" t="s">
        <v>4411</v>
      </c>
      <c r="D745" s="38"/>
      <c r="E745" s="13" t="s">
        <v>378</v>
      </c>
      <c r="F745" s="43" t="s">
        <v>379</v>
      </c>
      <c r="G745" s="6" t="str">
        <f ca="1">IFERROR(__xludf.DUMMYFUNCTION("CONCATENATE(B745,(VLOOKUP(C745,CATALOGOS!$F$2:$H$6,3,FALSE)),(VLOOKUP(T745,CATALOGOS!$J$2:$K$18,2,FALSE)),""-"",TO_TEXT(A745))"),"P24SJ-0744")</f>
        <v>P24SJ-0744</v>
      </c>
      <c r="H745" s="6" t="s">
        <v>5148</v>
      </c>
      <c r="I745" s="6" t="s">
        <v>5149</v>
      </c>
      <c r="J745" s="6" t="s">
        <v>5150</v>
      </c>
      <c r="K745" s="6" t="s">
        <v>5151</v>
      </c>
      <c r="L745" s="17"/>
      <c r="M745" s="17"/>
      <c r="N745" s="17" t="str">
        <f t="shared" si="2"/>
        <v>OK</v>
      </c>
      <c r="O745" s="17" t="s">
        <v>35</v>
      </c>
      <c r="P745" s="6" t="s">
        <v>35</v>
      </c>
      <c r="Q745" s="46" t="s">
        <v>36</v>
      </c>
      <c r="R745" s="17" t="s">
        <v>5152</v>
      </c>
      <c r="S745" s="173" t="s">
        <v>38</v>
      </c>
      <c r="T745" s="11" t="s">
        <v>4411</v>
      </c>
      <c r="U745" s="22" t="s">
        <v>5146</v>
      </c>
      <c r="V745" s="22" t="s">
        <v>5146</v>
      </c>
      <c r="W745" s="20" t="s">
        <v>8442</v>
      </c>
      <c r="X745" s="7"/>
      <c r="Y745" s="7"/>
      <c r="Z745" s="26"/>
      <c r="AA745" s="26"/>
    </row>
    <row r="746" spans="1:28" ht="15.75" customHeight="1">
      <c r="A746" s="10" t="s">
        <v>5153</v>
      </c>
      <c r="B746" s="10" t="s">
        <v>4410</v>
      </c>
      <c r="C746" s="19" t="s">
        <v>4411</v>
      </c>
      <c r="D746" s="12"/>
      <c r="E746" s="13" t="s">
        <v>93</v>
      </c>
      <c r="F746" s="6" t="s">
        <v>1380</v>
      </c>
      <c r="G746" s="6" t="str">
        <f ca="1">IFERROR(__xludf.DUMMYFUNCTION("CONCATENATE(B746,(VLOOKUP(C746,CATALOGOS!$F$2:$H$6,3,FALSE)),(VLOOKUP(T746,CATALOGOS!$J$2:$K$18,2,FALSE)),""-"",TO_TEXT(A746))"),"P24SJ-0745")</f>
        <v>P24SJ-0745</v>
      </c>
      <c r="H746" s="6" t="s">
        <v>5154</v>
      </c>
      <c r="I746" s="6" t="s">
        <v>5155</v>
      </c>
      <c r="J746" s="6" t="s">
        <v>5156</v>
      </c>
      <c r="K746" s="6" t="s">
        <v>5157</v>
      </c>
      <c r="L746" s="17"/>
      <c r="M746" s="17"/>
      <c r="N746" s="17" t="str">
        <f t="shared" si="2"/>
        <v>OK</v>
      </c>
      <c r="O746" s="17" t="s">
        <v>35</v>
      </c>
      <c r="P746" s="6" t="s">
        <v>35</v>
      </c>
      <c r="Q746" s="17" t="s">
        <v>36</v>
      </c>
      <c r="R746" s="17" t="s">
        <v>5158</v>
      </c>
      <c r="S746" s="173" t="s">
        <v>38</v>
      </c>
      <c r="T746" s="11" t="s">
        <v>4411</v>
      </c>
      <c r="U746" s="22" t="s">
        <v>5138</v>
      </c>
      <c r="V746" s="22" t="s">
        <v>5138</v>
      </c>
      <c r="W746" s="22"/>
      <c r="X746" s="6"/>
      <c r="Y746" s="6"/>
      <c r="Z746" s="23"/>
      <c r="AA746" s="33"/>
    </row>
    <row r="747" spans="1:28" ht="15.75" customHeight="1">
      <c r="A747" s="10" t="s">
        <v>5159</v>
      </c>
      <c r="B747" s="10" t="s">
        <v>4410</v>
      </c>
      <c r="C747" s="19" t="s">
        <v>4411</v>
      </c>
      <c r="D747" s="12"/>
      <c r="E747" s="13" t="s">
        <v>93</v>
      </c>
      <c r="F747" s="43" t="s">
        <v>5160</v>
      </c>
      <c r="G747" s="6" t="str">
        <f ca="1">IFERROR(__xludf.DUMMYFUNCTION("CONCATENATE(B747,(VLOOKUP(C747,CATALOGOS!$F$2:$H$6,3,FALSE)),(VLOOKUP(T747,CATALOGOS!$J$2:$K$18,2,FALSE)),""-"",TO_TEXT(A747))"),"P24SJ-0746")</f>
        <v>P24SJ-0746</v>
      </c>
      <c r="H747" s="6" t="s">
        <v>5161</v>
      </c>
      <c r="I747" s="6" t="s">
        <v>5162</v>
      </c>
      <c r="J747" s="10" t="s">
        <v>5163</v>
      </c>
      <c r="K747" s="6" t="s">
        <v>5164</v>
      </c>
      <c r="L747" s="17"/>
      <c r="M747" s="17"/>
      <c r="N747" s="17" t="str">
        <f t="shared" si="2"/>
        <v>OK</v>
      </c>
      <c r="O747" s="17" t="s">
        <v>35</v>
      </c>
      <c r="P747" s="6" t="s">
        <v>35</v>
      </c>
      <c r="Q747" s="17" t="s">
        <v>36</v>
      </c>
      <c r="R747" s="17" t="s">
        <v>5165</v>
      </c>
      <c r="S747" s="173" t="s">
        <v>38</v>
      </c>
      <c r="T747" s="11" t="s">
        <v>4411</v>
      </c>
      <c r="U747" s="22" t="s">
        <v>5138</v>
      </c>
      <c r="V747" s="22" t="s">
        <v>5138</v>
      </c>
      <c r="W747" s="22"/>
      <c r="X747" s="7"/>
      <c r="Y747" s="7"/>
      <c r="Z747" s="23"/>
      <c r="AA747" s="26"/>
    </row>
    <row r="748" spans="1:28" ht="15.75" customHeight="1">
      <c r="A748" s="10" t="s">
        <v>5166</v>
      </c>
      <c r="B748" s="10" t="s">
        <v>4410</v>
      </c>
      <c r="C748" s="19" t="s">
        <v>4411</v>
      </c>
      <c r="D748" s="12"/>
      <c r="E748" s="13" t="s">
        <v>29</v>
      </c>
      <c r="F748" s="6" t="s">
        <v>5167</v>
      </c>
      <c r="G748" s="6" t="str">
        <f ca="1">IFERROR(__xludf.DUMMYFUNCTION("CONCATENATE(B748,(VLOOKUP(C748,CATALOGOS!$F$2:$H$6,3,FALSE)),(VLOOKUP(T748,CATALOGOS!$J$2:$K$18,2,FALSE)),""-"",TO_TEXT(A748))"),"P24SJ-0747")</f>
        <v>P24SJ-0747</v>
      </c>
      <c r="H748" s="6" t="s">
        <v>5168</v>
      </c>
      <c r="I748" s="6" t="s">
        <v>5169</v>
      </c>
      <c r="J748" s="6" t="s">
        <v>5170</v>
      </c>
      <c r="K748" s="6" t="s">
        <v>5171</v>
      </c>
      <c r="L748" s="17"/>
      <c r="M748" s="17"/>
      <c r="N748" s="17" t="str">
        <f t="shared" si="2"/>
        <v>OK</v>
      </c>
      <c r="O748" s="17" t="s">
        <v>35</v>
      </c>
      <c r="P748" s="6" t="s">
        <v>35</v>
      </c>
      <c r="Q748" s="17" t="s">
        <v>36</v>
      </c>
      <c r="R748" s="17" t="s">
        <v>5172</v>
      </c>
      <c r="S748" s="173" t="s">
        <v>38</v>
      </c>
      <c r="T748" s="11" t="s">
        <v>4411</v>
      </c>
      <c r="U748" s="22" t="s">
        <v>5138</v>
      </c>
      <c r="V748" s="22" t="s">
        <v>5138</v>
      </c>
      <c r="W748" s="22"/>
      <c r="X748" s="36"/>
      <c r="Y748" s="36"/>
      <c r="Z748" s="12"/>
      <c r="AA748" s="78"/>
      <c r="AB748" s="8"/>
    </row>
    <row r="749" spans="1:28" ht="15.75" customHeight="1">
      <c r="A749" s="10" t="s">
        <v>5173</v>
      </c>
      <c r="B749" s="10" t="s">
        <v>4410</v>
      </c>
      <c r="C749" s="19" t="s">
        <v>4411</v>
      </c>
      <c r="D749" s="12"/>
      <c r="E749" s="13" t="s">
        <v>162</v>
      </c>
      <c r="F749" s="43" t="s">
        <v>285</v>
      </c>
      <c r="G749" s="6" t="str">
        <f ca="1">IFERROR(__xludf.DUMMYFUNCTION("CONCATENATE(B749,(VLOOKUP(C749,CATALOGOS!$F$2:$H$6,3,FALSE)),(VLOOKUP(T749,CATALOGOS!$J$2:$K$18,2,FALSE)),""-"",TO_TEXT(A749))"),"P24SJ-0748")</f>
        <v>P24SJ-0748</v>
      </c>
      <c r="H749" s="6" t="s">
        <v>5174</v>
      </c>
      <c r="I749" s="6" t="s">
        <v>5175</v>
      </c>
      <c r="J749" s="6" t="s">
        <v>5176</v>
      </c>
      <c r="K749" s="6" t="s">
        <v>5177</v>
      </c>
      <c r="L749" s="17"/>
      <c r="M749" s="17"/>
      <c r="N749" s="17" t="str">
        <f t="shared" si="2"/>
        <v>OK</v>
      </c>
      <c r="O749" s="17" t="s">
        <v>663</v>
      </c>
      <c r="P749" s="6" t="s">
        <v>664</v>
      </c>
      <c r="Q749" s="17" t="s">
        <v>5178</v>
      </c>
      <c r="R749" s="10" t="s">
        <v>5179</v>
      </c>
      <c r="S749" s="173" t="s">
        <v>38</v>
      </c>
      <c r="T749" s="11" t="s">
        <v>4411</v>
      </c>
      <c r="U749" s="22" t="s">
        <v>5138</v>
      </c>
      <c r="V749" s="22" t="s">
        <v>5138</v>
      </c>
      <c r="W749" s="22"/>
      <c r="X749" s="7"/>
      <c r="Y749" s="7"/>
      <c r="Z749" s="23"/>
      <c r="AA749" s="26"/>
    </row>
    <row r="750" spans="1:28" ht="15.75" customHeight="1">
      <c r="A750" s="10" t="s">
        <v>5180</v>
      </c>
      <c r="B750" s="10" t="s">
        <v>4410</v>
      </c>
      <c r="C750" s="19" t="s">
        <v>4411</v>
      </c>
      <c r="D750" s="12"/>
      <c r="E750" s="13" t="s">
        <v>248</v>
      </c>
      <c r="F750" s="43" t="s">
        <v>249</v>
      </c>
      <c r="G750" s="6" t="str">
        <f ca="1">IFERROR(__xludf.DUMMYFUNCTION("CONCATENATE(B750,(VLOOKUP(C750,CATALOGOS!$F$2:$H$6,3,FALSE)),(VLOOKUP(T750,CATALOGOS!$J$2:$K$18,2,FALSE)),""-"",TO_TEXT(A750))"),"P24SJ-0749")</f>
        <v>P24SJ-0749</v>
      </c>
      <c r="H750" s="6" t="s">
        <v>5181</v>
      </c>
      <c r="I750" s="6" t="s">
        <v>5182</v>
      </c>
      <c r="J750" s="6" t="s">
        <v>5183</v>
      </c>
      <c r="K750" s="6" t="s">
        <v>5184</v>
      </c>
      <c r="L750" s="17"/>
      <c r="M750" s="17"/>
      <c r="N750" s="17" t="str">
        <f t="shared" si="2"/>
        <v>OK</v>
      </c>
      <c r="O750" s="17" t="s">
        <v>978</v>
      </c>
      <c r="P750" s="6" t="s">
        <v>979</v>
      </c>
      <c r="Q750" s="17" t="s">
        <v>5185</v>
      </c>
      <c r="R750" s="17" t="s">
        <v>5186</v>
      </c>
      <c r="S750" s="173" t="s">
        <v>38</v>
      </c>
      <c r="T750" s="11" t="s">
        <v>4411</v>
      </c>
      <c r="U750" s="22" t="s">
        <v>5138</v>
      </c>
      <c r="V750" s="22" t="s">
        <v>5138</v>
      </c>
      <c r="W750" s="22"/>
      <c r="X750" s="7"/>
      <c r="Y750" s="7"/>
      <c r="Z750" s="23"/>
      <c r="AA750" s="26"/>
    </row>
    <row r="751" spans="1:28" ht="15.75" customHeight="1">
      <c r="A751" s="10" t="s">
        <v>5187</v>
      </c>
      <c r="B751" s="10" t="s">
        <v>4410</v>
      </c>
      <c r="C751" s="19" t="s">
        <v>4411</v>
      </c>
      <c r="D751" s="12"/>
      <c r="E751" s="13" t="s">
        <v>353</v>
      </c>
      <c r="F751" s="43" t="s">
        <v>354</v>
      </c>
      <c r="G751" s="6" t="str">
        <f ca="1">IFERROR(__xludf.DUMMYFUNCTION("CONCATENATE(B751,(VLOOKUP(C751,CATALOGOS!$F$2:$H$6,3,FALSE)),(VLOOKUP(T751,CATALOGOS!$J$2:$K$18,2,FALSE)),""-"",TO_TEXT(A751))"),"P24SJ-0750")</f>
        <v>P24SJ-0750</v>
      </c>
      <c r="H751" s="6" t="s">
        <v>5188</v>
      </c>
      <c r="I751" s="6" t="s">
        <v>5189</v>
      </c>
      <c r="J751" s="6" t="s">
        <v>5190</v>
      </c>
      <c r="K751" s="6" t="s">
        <v>5191</v>
      </c>
      <c r="L751" s="17"/>
      <c r="M751" s="17"/>
      <c r="N751" s="17" t="str">
        <f t="shared" si="2"/>
        <v>OK</v>
      </c>
      <c r="O751" s="17" t="s">
        <v>827</v>
      </c>
      <c r="P751" s="6" t="s">
        <v>828</v>
      </c>
      <c r="Q751" s="17" t="s">
        <v>5192</v>
      </c>
      <c r="R751" s="10" t="s">
        <v>5193</v>
      </c>
      <c r="S751" s="173" t="s">
        <v>38</v>
      </c>
      <c r="T751" s="11" t="s">
        <v>4411</v>
      </c>
      <c r="U751" s="22" t="s">
        <v>5138</v>
      </c>
      <c r="V751" s="22" t="s">
        <v>5138</v>
      </c>
      <c r="W751" s="22"/>
      <c r="X751" s="7"/>
      <c r="Y751" s="7"/>
      <c r="Z751" s="23"/>
      <c r="AA751" s="26"/>
    </row>
    <row r="752" spans="1:28" ht="29.25" customHeight="1">
      <c r="A752" s="10" t="s">
        <v>5195</v>
      </c>
      <c r="B752" s="10" t="s">
        <v>4410</v>
      </c>
      <c r="C752" s="19" t="s">
        <v>4411</v>
      </c>
      <c r="D752" s="12"/>
      <c r="E752" s="13" t="s">
        <v>116</v>
      </c>
      <c r="F752" s="6" t="s">
        <v>5196</v>
      </c>
      <c r="G752" s="6" t="str">
        <f ca="1">IFERROR(__xludf.DUMMYFUNCTION("CONCATENATE(B752,(VLOOKUP(C752,CATALOGOS!$F$2:$H$6,3,FALSE)),(VLOOKUP(T752,CATALOGOS!$J$2:$K$18,2,FALSE)),""-"",TO_TEXT(A752))"),"P24SJ-0751")</f>
        <v>P24SJ-0751</v>
      </c>
      <c r="H752" s="6" t="s">
        <v>5197</v>
      </c>
      <c r="I752" s="6" t="s">
        <v>5198</v>
      </c>
      <c r="J752" s="6" t="s">
        <v>5199</v>
      </c>
      <c r="K752" s="6" t="s">
        <v>5200</v>
      </c>
      <c r="L752" s="17"/>
      <c r="M752" s="17"/>
      <c r="N752" s="17" t="str">
        <f t="shared" si="2"/>
        <v>OK</v>
      </c>
      <c r="O752" s="17" t="s">
        <v>35</v>
      </c>
      <c r="P752" s="6" t="s">
        <v>35</v>
      </c>
      <c r="Q752" s="17" t="s">
        <v>36</v>
      </c>
      <c r="R752" s="17" t="s">
        <v>5201</v>
      </c>
      <c r="S752" s="179" t="s">
        <v>517</v>
      </c>
      <c r="T752" s="11" t="s">
        <v>4411</v>
      </c>
      <c r="U752" s="22" t="s">
        <v>5138</v>
      </c>
      <c r="V752" s="22" t="s">
        <v>5138</v>
      </c>
      <c r="W752" s="22"/>
      <c r="X752" s="7"/>
      <c r="Y752" s="7"/>
      <c r="Z752" s="23"/>
      <c r="AA752" s="26"/>
    </row>
    <row r="753" spans="1:27" ht="15.75" customHeight="1">
      <c r="A753" s="10" t="s">
        <v>5202</v>
      </c>
      <c r="B753" s="10" t="s">
        <v>4410</v>
      </c>
      <c r="C753" s="19" t="s">
        <v>4411</v>
      </c>
      <c r="D753" s="12"/>
      <c r="E753" s="13" t="s">
        <v>378</v>
      </c>
      <c r="F753" s="43" t="s">
        <v>5203</v>
      </c>
      <c r="G753" s="6" t="str">
        <f ca="1">IFERROR(__xludf.DUMMYFUNCTION("CONCATENATE(B753,(VLOOKUP(C753,CATALOGOS!$F$2:$H$6,3,FALSE)),(VLOOKUP(T753,CATALOGOS!$J$2:$K$18,2,FALSE)),""-"",TO_TEXT(A753))"),"P24SJ-0752")</f>
        <v>P24SJ-0752</v>
      </c>
      <c r="H753" s="6" t="s">
        <v>5204</v>
      </c>
      <c r="I753" s="6" t="s">
        <v>5205</v>
      </c>
      <c r="J753" s="6" t="s">
        <v>5206</v>
      </c>
      <c r="K753" s="6" t="s">
        <v>5207</v>
      </c>
      <c r="L753" s="17"/>
      <c r="M753" s="17"/>
      <c r="N753" s="17" t="str">
        <f t="shared" si="2"/>
        <v>OK</v>
      </c>
      <c r="O753" s="17" t="s">
        <v>35</v>
      </c>
      <c r="P753" s="6" t="s">
        <v>35</v>
      </c>
      <c r="Q753" s="17" t="s">
        <v>36</v>
      </c>
      <c r="R753" s="17" t="s">
        <v>5208</v>
      </c>
      <c r="S753" s="173" t="s">
        <v>38</v>
      </c>
      <c r="T753" s="11" t="s">
        <v>4411</v>
      </c>
      <c r="U753" s="22" t="s">
        <v>5138</v>
      </c>
      <c r="V753" s="22" t="s">
        <v>5138</v>
      </c>
      <c r="W753" s="22"/>
      <c r="X753" s="36"/>
      <c r="Y753" s="36"/>
      <c r="Z753" s="23"/>
      <c r="AA753" s="33"/>
    </row>
    <row r="754" spans="1:27" ht="15.75" customHeight="1">
      <c r="A754" s="10" t="s">
        <v>5209</v>
      </c>
      <c r="B754" s="10" t="s">
        <v>4410</v>
      </c>
      <c r="C754" s="19" t="s">
        <v>4411</v>
      </c>
      <c r="D754" s="38"/>
      <c r="E754" s="13" t="s">
        <v>199</v>
      </c>
      <c r="F754" s="6" t="s">
        <v>677</v>
      </c>
      <c r="G754" s="6" t="str">
        <f ca="1">IFERROR(__xludf.DUMMYFUNCTION("CONCATENATE(B754,(VLOOKUP(C754,CATALOGOS!$F$2:$H$6,3,FALSE)),(VLOOKUP(T754,CATALOGOS!$J$2:$K$18,2,FALSE)),""-"",TO_TEXT(A754))"),"P24SJ-0753")</f>
        <v>P24SJ-0753</v>
      </c>
      <c r="H754" s="6" t="s">
        <v>5210</v>
      </c>
      <c r="I754" s="6" t="s">
        <v>5211</v>
      </c>
      <c r="J754" s="6" t="s">
        <v>5212</v>
      </c>
      <c r="K754" s="6" t="s">
        <v>5213</v>
      </c>
      <c r="L754" s="17"/>
      <c r="M754" s="17"/>
      <c r="N754" s="17" t="str">
        <f t="shared" si="2"/>
        <v>OK</v>
      </c>
      <c r="O754" s="17" t="s">
        <v>682</v>
      </c>
      <c r="P754" s="6" t="s">
        <v>5214</v>
      </c>
      <c r="Q754" s="46" t="s">
        <v>5215</v>
      </c>
      <c r="R754" s="32" t="s">
        <v>85</v>
      </c>
      <c r="S754" s="179" t="s">
        <v>517</v>
      </c>
      <c r="T754" s="11" t="s">
        <v>4411</v>
      </c>
      <c r="U754" s="22" t="s">
        <v>5138</v>
      </c>
      <c r="V754" s="22" t="s">
        <v>5138</v>
      </c>
      <c r="W754" s="22"/>
      <c r="X754" s="6"/>
      <c r="Y754" s="6"/>
      <c r="Z754" s="26"/>
      <c r="AA754" s="33"/>
    </row>
    <row r="755" spans="1:27" ht="29.25" customHeight="1">
      <c r="A755" s="10" t="s">
        <v>5216</v>
      </c>
      <c r="B755" s="10" t="s">
        <v>4410</v>
      </c>
      <c r="C755" s="19" t="s">
        <v>4411</v>
      </c>
      <c r="D755" s="12"/>
      <c r="E755" s="13" t="s">
        <v>62</v>
      </c>
      <c r="F755" s="43" t="s">
        <v>5217</v>
      </c>
      <c r="G755" s="6" t="str">
        <f ca="1">IFERROR(__xludf.DUMMYFUNCTION("CONCATENATE(B755,(VLOOKUP(C755,CATALOGOS!$F$2:$H$6,3,FALSE)),(VLOOKUP(T755,CATALOGOS!$J$2:$K$18,2,FALSE)),""-"",TO_TEXT(A755))"),"P24SJ-0754")</f>
        <v>P24SJ-0754</v>
      </c>
      <c r="H755" s="6" t="s">
        <v>5218</v>
      </c>
      <c r="I755" s="6" t="s">
        <v>5219</v>
      </c>
      <c r="J755" s="6" t="s">
        <v>5220</v>
      </c>
      <c r="K755" s="6" t="s">
        <v>5221</v>
      </c>
      <c r="L755" s="17"/>
      <c r="M755" s="17"/>
      <c r="N755" s="17" t="str">
        <f t="shared" si="2"/>
        <v>OK</v>
      </c>
      <c r="O755" s="17" t="s">
        <v>35</v>
      </c>
      <c r="P755" s="6" t="s">
        <v>35</v>
      </c>
      <c r="Q755" s="17" t="s">
        <v>36</v>
      </c>
      <c r="R755" s="17" t="s">
        <v>85</v>
      </c>
      <c r="S755" s="173" t="s">
        <v>38</v>
      </c>
      <c r="T755" s="11" t="s">
        <v>4411</v>
      </c>
      <c r="U755" s="22" t="s">
        <v>5223</v>
      </c>
      <c r="V755" s="22" t="s">
        <v>5223</v>
      </c>
      <c r="W755" s="22"/>
      <c r="X755" s="7"/>
      <c r="Y755" s="7"/>
      <c r="Z755" s="23"/>
      <c r="AA755" s="26"/>
    </row>
    <row r="756" spans="1:27" ht="27.75" customHeight="1">
      <c r="A756" s="10" t="s">
        <v>5224</v>
      </c>
      <c r="B756" s="10" t="s">
        <v>4410</v>
      </c>
      <c r="C756" s="19" t="s">
        <v>4411</v>
      </c>
      <c r="D756" s="12"/>
      <c r="E756" s="13" t="s">
        <v>93</v>
      </c>
      <c r="F756" s="6" t="s">
        <v>5225</v>
      </c>
      <c r="G756" s="6" t="str">
        <f ca="1">IFERROR(__xludf.DUMMYFUNCTION("CONCATENATE(B756,(VLOOKUP(C756,CATALOGOS!$F$2:$H$6,3,FALSE)),(VLOOKUP(T756,CATALOGOS!$J$2:$K$18,2,FALSE)),""-"",TO_TEXT(A756))"),"P24SJ-0755")</f>
        <v>P24SJ-0755</v>
      </c>
      <c r="H756" s="6" t="s">
        <v>5226</v>
      </c>
      <c r="I756" s="6" t="s">
        <v>5227</v>
      </c>
      <c r="J756" s="6" t="s">
        <v>5228</v>
      </c>
      <c r="K756" s="6" t="s">
        <v>5229</v>
      </c>
      <c r="L756" s="17"/>
      <c r="M756" s="17"/>
      <c r="N756" s="17" t="str">
        <f t="shared" si="2"/>
        <v>OK</v>
      </c>
      <c r="O756" s="17" t="s">
        <v>35</v>
      </c>
      <c r="P756" s="6" t="s">
        <v>35</v>
      </c>
      <c r="Q756" s="17" t="s">
        <v>36</v>
      </c>
      <c r="R756" s="17" t="s">
        <v>5230</v>
      </c>
      <c r="S756" s="173" t="s">
        <v>38</v>
      </c>
      <c r="T756" s="11" t="s">
        <v>4411</v>
      </c>
      <c r="U756" s="22" t="s">
        <v>5223</v>
      </c>
      <c r="V756" s="22" t="s">
        <v>5223</v>
      </c>
      <c r="W756" s="22"/>
      <c r="X756" s="7"/>
      <c r="Y756" s="7"/>
      <c r="Z756" s="23"/>
      <c r="AA756" s="26"/>
    </row>
    <row r="757" spans="1:27" ht="15.75" customHeight="1">
      <c r="A757" s="10" t="s">
        <v>5231</v>
      </c>
      <c r="B757" s="10" t="s">
        <v>4410</v>
      </c>
      <c r="C757" s="19" t="s">
        <v>4411</v>
      </c>
      <c r="D757" s="12"/>
      <c r="E757" s="13" t="s">
        <v>43</v>
      </c>
      <c r="F757" s="6" t="s">
        <v>5232</v>
      </c>
      <c r="G757" s="6" t="str">
        <f ca="1">IFERROR(__xludf.DUMMYFUNCTION("CONCATENATE(B757,(VLOOKUP(C757,CATALOGOS!$F$2:$H$6,3,FALSE)),(VLOOKUP(T757,CATALOGOS!$J$2:$K$18,2,FALSE)),""-"",TO_TEXT(A757))"),"P24SJ-0756")</f>
        <v>P24SJ-0756</v>
      </c>
      <c r="H757" s="6" t="s">
        <v>5233</v>
      </c>
      <c r="I757" s="6" t="s">
        <v>5234</v>
      </c>
      <c r="J757" s="6" t="s">
        <v>5235</v>
      </c>
      <c r="K757" s="43" t="s">
        <v>5236</v>
      </c>
      <c r="L757" s="17"/>
      <c r="M757" s="17"/>
      <c r="N757" s="17" t="str">
        <f t="shared" si="2"/>
        <v>OK</v>
      </c>
      <c r="O757" s="17" t="s">
        <v>5237</v>
      </c>
      <c r="P757" s="6" t="s">
        <v>5238</v>
      </c>
      <c r="Q757" s="17" t="s">
        <v>36</v>
      </c>
      <c r="R757" s="10" t="s">
        <v>5239</v>
      </c>
      <c r="S757" s="173" t="s">
        <v>38</v>
      </c>
      <c r="T757" s="11" t="s">
        <v>4411</v>
      </c>
      <c r="U757" s="22" t="s">
        <v>5223</v>
      </c>
      <c r="V757" s="22" t="s">
        <v>5223</v>
      </c>
      <c r="W757" s="22"/>
      <c r="X757" s="7"/>
      <c r="Y757" s="7"/>
      <c r="Z757" s="23"/>
      <c r="AA757" s="26"/>
    </row>
    <row r="758" spans="1:27" ht="15.75" customHeight="1">
      <c r="A758" s="10" t="s">
        <v>5240</v>
      </c>
      <c r="B758" s="10" t="s">
        <v>4410</v>
      </c>
      <c r="C758" s="19" t="s">
        <v>4411</v>
      </c>
      <c r="D758" s="12"/>
      <c r="E758" s="13" t="s">
        <v>184</v>
      </c>
      <c r="F758" s="6" t="s">
        <v>2677</v>
      </c>
      <c r="G758" s="6" t="str">
        <f ca="1">IFERROR(__xludf.DUMMYFUNCTION("CONCATENATE(B758,(VLOOKUP(C758,CATALOGOS!$F$2:$H$6,3,FALSE)),(VLOOKUP(T758,CATALOGOS!$J$2:$K$18,2,FALSE)),""-"",TO_TEXT(A758))"),"P24SJ-0757")</f>
        <v>P24SJ-0757</v>
      </c>
      <c r="H758" s="6" t="s">
        <v>5241</v>
      </c>
      <c r="I758" s="6" t="s">
        <v>5242</v>
      </c>
      <c r="J758" s="6" t="s">
        <v>5243</v>
      </c>
      <c r="K758" s="6" t="s">
        <v>5244</v>
      </c>
      <c r="L758" s="17"/>
      <c r="M758" s="17"/>
      <c r="N758" s="17" t="str">
        <f t="shared" si="2"/>
        <v>OK</v>
      </c>
      <c r="O758" s="17" t="s">
        <v>35</v>
      </c>
      <c r="P758" s="6" t="s">
        <v>35</v>
      </c>
      <c r="Q758" s="17" t="s">
        <v>36</v>
      </c>
      <c r="R758" s="17" t="s">
        <v>5245</v>
      </c>
      <c r="S758" s="173" t="s">
        <v>100</v>
      </c>
      <c r="T758" s="11" t="s">
        <v>4411</v>
      </c>
      <c r="U758" s="22" t="s">
        <v>5223</v>
      </c>
      <c r="V758" s="22" t="s">
        <v>5223</v>
      </c>
      <c r="W758" s="186" t="s">
        <v>8443</v>
      </c>
      <c r="X758" s="6"/>
      <c r="Y758" s="6" t="s">
        <v>440</v>
      </c>
      <c r="Z758" s="23"/>
      <c r="AA758" s="26"/>
    </row>
    <row r="759" spans="1:27" ht="15.75" customHeight="1">
      <c r="A759" s="10" t="s">
        <v>5247</v>
      </c>
      <c r="B759" s="10" t="s">
        <v>4410</v>
      </c>
      <c r="C759" s="19" t="s">
        <v>4411</v>
      </c>
      <c r="D759" s="12"/>
      <c r="E759" s="13" t="s">
        <v>378</v>
      </c>
      <c r="F759" s="43" t="s">
        <v>5248</v>
      </c>
      <c r="G759" s="6" t="str">
        <f ca="1">IFERROR(__xludf.DUMMYFUNCTION("CONCATENATE(B759,(VLOOKUP(C759,CATALOGOS!$F$2:$H$6,3,FALSE)),(VLOOKUP(T759,CATALOGOS!$J$2:$K$18,2,FALSE)),""-"",TO_TEXT(A759))"),"P24SJ-0758")</f>
        <v>P24SJ-0758</v>
      </c>
      <c r="H759" s="6" t="s">
        <v>5249</v>
      </c>
      <c r="I759" s="6" t="s">
        <v>5250</v>
      </c>
      <c r="J759" s="6" t="s">
        <v>5251</v>
      </c>
      <c r="K759" s="6" t="s">
        <v>5252</v>
      </c>
      <c r="L759" s="17"/>
      <c r="M759" s="17"/>
      <c r="N759" s="17" t="str">
        <f t="shared" si="2"/>
        <v>OK</v>
      </c>
      <c r="O759" s="17" t="s">
        <v>35</v>
      </c>
      <c r="P759" s="6" t="s">
        <v>35</v>
      </c>
      <c r="Q759" s="17" t="s">
        <v>36</v>
      </c>
      <c r="R759" s="17" t="s">
        <v>5253</v>
      </c>
      <c r="S759" s="173" t="s">
        <v>38</v>
      </c>
      <c r="T759" s="11" t="s">
        <v>4411</v>
      </c>
      <c r="U759" s="22" t="s">
        <v>5223</v>
      </c>
      <c r="V759" s="22" t="s">
        <v>5223</v>
      </c>
      <c r="W759" s="22"/>
      <c r="X759" s="7"/>
      <c r="Y759" s="7"/>
      <c r="Z759" s="23"/>
      <c r="AA759" s="26"/>
    </row>
    <row r="760" spans="1:27" ht="30.75" customHeight="1">
      <c r="A760" s="10" t="s">
        <v>5254</v>
      </c>
      <c r="B760" s="10" t="s">
        <v>4410</v>
      </c>
      <c r="C760" s="19" t="s">
        <v>4411</v>
      </c>
      <c r="D760" s="12"/>
      <c r="E760" s="13" t="s">
        <v>93</v>
      </c>
      <c r="F760" s="6" t="s">
        <v>5255</v>
      </c>
      <c r="G760" s="6" t="str">
        <f ca="1">IFERROR(__xludf.DUMMYFUNCTION("CONCATENATE(B760,(VLOOKUP(C760,CATALOGOS!$F$2:$H$6,3,FALSE)),(VLOOKUP(T760,CATALOGOS!$J$2:$K$18,2,FALSE)),""-"",TO_TEXT(A760))"),"P24SJ-0759")</f>
        <v>P24SJ-0759</v>
      </c>
      <c r="H760" s="6" t="s">
        <v>5256</v>
      </c>
      <c r="I760" s="6" t="s">
        <v>5257</v>
      </c>
      <c r="J760" s="6" t="s">
        <v>5258</v>
      </c>
      <c r="K760" s="6" t="s">
        <v>5259</v>
      </c>
      <c r="L760" s="17"/>
      <c r="M760" s="17"/>
      <c r="N760" s="17" t="str">
        <f t="shared" si="2"/>
        <v>OK</v>
      </c>
      <c r="O760" s="17" t="s">
        <v>35</v>
      </c>
      <c r="P760" s="6" t="s">
        <v>35</v>
      </c>
      <c r="Q760" s="17" t="s">
        <v>36</v>
      </c>
      <c r="R760" s="17" t="s">
        <v>5260</v>
      </c>
      <c r="S760" s="173" t="s">
        <v>38</v>
      </c>
      <c r="T760" s="11" t="s">
        <v>4411</v>
      </c>
      <c r="U760" s="22" t="s">
        <v>5223</v>
      </c>
      <c r="V760" s="22" t="s">
        <v>5223</v>
      </c>
      <c r="W760" s="22"/>
      <c r="X760" s="7"/>
      <c r="Y760" s="7"/>
      <c r="Z760" s="23"/>
      <c r="AA760" s="26"/>
    </row>
    <row r="761" spans="1:27" ht="15.75" customHeight="1">
      <c r="A761" s="10" t="s">
        <v>5261</v>
      </c>
      <c r="B761" s="10" t="s">
        <v>4410</v>
      </c>
      <c r="C761" s="19" t="s">
        <v>4411</v>
      </c>
      <c r="D761" s="12"/>
      <c r="E761" s="13" t="s">
        <v>116</v>
      </c>
      <c r="F761" s="6" t="s">
        <v>5262</v>
      </c>
      <c r="G761" s="6" t="str">
        <f ca="1">IFERROR(__xludf.DUMMYFUNCTION("CONCATENATE(B761,(VLOOKUP(C761,CATALOGOS!$F$2:$H$6,3,FALSE)),(VLOOKUP(T761,CATALOGOS!$J$2:$K$18,2,FALSE)),""-"",TO_TEXT(A761))"),"P24SJ-0760")</f>
        <v>P24SJ-0760</v>
      </c>
      <c r="H761" s="6" t="s">
        <v>5263</v>
      </c>
      <c r="I761" s="6" t="s">
        <v>5264</v>
      </c>
      <c r="J761" s="6" t="s">
        <v>5265</v>
      </c>
      <c r="K761" s="6" t="s">
        <v>5266</v>
      </c>
      <c r="L761" s="17"/>
      <c r="M761" s="17"/>
      <c r="N761" s="17" t="str">
        <f t="shared" si="2"/>
        <v>OK</v>
      </c>
      <c r="O761" s="17" t="s">
        <v>35</v>
      </c>
      <c r="P761" s="6" t="s">
        <v>35</v>
      </c>
      <c r="Q761" s="17" t="s">
        <v>36</v>
      </c>
      <c r="R761" s="17" t="s">
        <v>5267</v>
      </c>
      <c r="S761" s="173" t="s">
        <v>38</v>
      </c>
      <c r="T761" s="11" t="s">
        <v>4411</v>
      </c>
      <c r="U761" s="22" t="s">
        <v>5223</v>
      </c>
      <c r="V761" s="22" t="s">
        <v>5223</v>
      </c>
      <c r="W761" s="22"/>
      <c r="X761" s="7"/>
      <c r="Y761" s="7"/>
      <c r="Z761" s="23"/>
      <c r="AA761" s="26"/>
    </row>
    <row r="762" spans="1:27" ht="15.75" customHeight="1">
      <c r="A762" s="10" t="s">
        <v>5268</v>
      </c>
      <c r="B762" s="10" t="s">
        <v>4410</v>
      </c>
      <c r="C762" s="19" t="s">
        <v>4411</v>
      </c>
      <c r="D762" s="12"/>
      <c r="E762" s="13" t="s">
        <v>248</v>
      </c>
      <c r="F762" s="43" t="s">
        <v>248</v>
      </c>
      <c r="G762" s="6" t="str">
        <f ca="1">IFERROR(__xludf.DUMMYFUNCTION("CONCATENATE(B762,(VLOOKUP(C762,CATALOGOS!$F$2:$H$6,3,FALSE)),(VLOOKUP(T762,CATALOGOS!$J$2:$K$18,2,FALSE)),""-"",TO_TEXT(A762))"),"P24SJ-0761")</f>
        <v>P24SJ-0761</v>
      </c>
      <c r="H762" s="6" t="s">
        <v>5269</v>
      </c>
      <c r="I762" s="6" t="s">
        <v>5270</v>
      </c>
      <c r="J762" s="6" t="s">
        <v>5271</v>
      </c>
      <c r="K762" s="6" t="s">
        <v>5272</v>
      </c>
      <c r="L762" s="17"/>
      <c r="M762" s="17"/>
      <c r="N762" s="17" t="str">
        <f t="shared" si="2"/>
        <v>OK</v>
      </c>
      <c r="O762" s="17" t="s">
        <v>978</v>
      </c>
      <c r="P762" s="6" t="s">
        <v>979</v>
      </c>
      <c r="Q762" s="17" t="s">
        <v>5273</v>
      </c>
      <c r="R762" s="17" t="s">
        <v>5274</v>
      </c>
      <c r="S762" s="173" t="s">
        <v>38</v>
      </c>
      <c r="T762" s="11" t="s">
        <v>4411</v>
      </c>
      <c r="U762" s="22" t="s">
        <v>5223</v>
      </c>
      <c r="V762" s="22" t="s">
        <v>5223</v>
      </c>
      <c r="W762" s="22"/>
      <c r="X762" s="7"/>
      <c r="Y762" s="7"/>
      <c r="Z762" s="23"/>
      <c r="AA762" s="26"/>
    </row>
    <row r="763" spans="1:27" ht="15.75" customHeight="1">
      <c r="A763" s="10" t="s">
        <v>5275</v>
      </c>
      <c r="B763" s="10" t="s">
        <v>4410</v>
      </c>
      <c r="C763" s="19" t="s">
        <v>4411</v>
      </c>
      <c r="D763" s="12"/>
      <c r="E763" s="13" t="s">
        <v>151</v>
      </c>
      <c r="F763" s="6" t="s">
        <v>2236</v>
      </c>
      <c r="G763" s="6" t="str">
        <f ca="1">IFERROR(__xludf.DUMMYFUNCTION("CONCATENATE(B763,(VLOOKUP(C763,CATALOGOS!$F$2:$H$6,3,FALSE)),(VLOOKUP(T763,CATALOGOS!$J$2:$K$18,2,FALSE)),""-"",TO_TEXT(A763))"),"P24SJ-0762")</f>
        <v>P24SJ-0762</v>
      </c>
      <c r="H763" s="6" t="s">
        <v>5276</v>
      </c>
      <c r="I763" s="6" t="s">
        <v>5277</v>
      </c>
      <c r="J763" s="6" t="s">
        <v>5278</v>
      </c>
      <c r="K763" s="6" t="s">
        <v>5279</v>
      </c>
      <c r="L763" s="17"/>
      <c r="M763" s="17"/>
      <c r="N763" s="17" t="str">
        <f t="shared" si="2"/>
        <v>OK</v>
      </c>
      <c r="O763" s="17" t="s">
        <v>1220</v>
      </c>
      <c r="P763" s="6" t="s">
        <v>720</v>
      </c>
      <c r="Q763" s="17" t="s">
        <v>5280</v>
      </c>
      <c r="R763" s="17" t="s">
        <v>5281</v>
      </c>
      <c r="S763" s="179" t="s">
        <v>100</v>
      </c>
      <c r="T763" s="11" t="s">
        <v>4411</v>
      </c>
      <c r="U763" s="22" t="s">
        <v>5223</v>
      </c>
      <c r="V763" s="22" t="s">
        <v>5223</v>
      </c>
      <c r="W763" s="22"/>
      <c r="X763" s="7"/>
      <c r="Y763" s="7"/>
      <c r="Z763" s="23"/>
      <c r="AA763" s="26"/>
    </row>
    <row r="764" spans="1:27" ht="15.75" customHeight="1">
      <c r="A764" s="10" t="s">
        <v>5282</v>
      </c>
      <c r="B764" s="10" t="s">
        <v>4410</v>
      </c>
      <c r="C764" s="19" t="s">
        <v>4411</v>
      </c>
      <c r="D764" s="38"/>
      <c r="E764" s="13" t="s">
        <v>199</v>
      </c>
      <c r="F764" s="43" t="s">
        <v>5283</v>
      </c>
      <c r="G764" s="6" t="str">
        <f ca="1">IFERROR(__xludf.DUMMYFUNCTION("CONCATENATE(B764,(VLOOKUP(C764,CATALOGOS!$F$2:$H$6,3,FALSE)),(VLOOKUP(T764,CATALOGOS!$J$2:$K$18,2,FALSE)),""-"",TO_TEXT(A764))"),"P24SJ-0763")</f>
        <v>P24SJ-0763</v>
      </c>
      <c r="H764" s="6" t="s">
        <v>5284</v>
      </c>
      <c r="I764" s="6" t="s">
        <v>5285</v>
      </c>
      <c r="J764" s="6" t="s">
        <v>5286</v>
      </c>
      <c r="K764" s="6" t="s">
        <v>5287</v>
      </c>
      <c r="L764" s="17"/>
      <c r="M764" s="17"/>
      <c r="N764" s="17" t="str">
        <f t="shared" si="2"/>
        <v>OK</v>
      </c>
      <c r="O764" s="17" t="s">
        <v>205</v>
      </c>
      <c r="P764" s="6" t="s">
        <v>794</v>
      </c>
      <c r="Q764" s="46" t="s">
        <v>5288</v>
      </c>
      <c r="R764" s="17" t="s">
        <v>5289</v>
      </c>
      <c r="S764" s="179" t="s">
        <v>100</v>
      </c>
      <c r="T764" s="11" t="s">
        <v>4411</v>
      </c>
      <c r="U764" s="22" t="s">
        <v>5223</v>
      </c>
      <c r="V764" s="22" t="s">
        <v>5223</v>
      </c>
      <c r="W764" s="22"/>
      <c r="X764" s="7"/>
      <c r="Y764" s="7"/>
      <c r="Z764" s="26"/>
      <c r="AA764" s="26"/>
    </row>
    <row r="765" spans="1:27" ht="15.75" customHeight="1">
      <c r="A765" s="10" t="s">
        <v>5290</v>
      </c>
      <c r="B765" s="10" t="s">
        <v>4410</v>
      </c>
      <c r="C765" s="19" t="s">
        <v>4411</v>
      </c>
      <c r="D765" s="12"/>
      <c r="E765" s="13" t="s">
        <v>62</v>
      </c>
      <c r="F765" s="6" t="s">
        <v>5291</v>
      </c>
      <c r="G765" s="6" t="str">
        <f ca="1">IFERROR(__xludf.DUMMYFUNCTION("CONCATENATE(B765,(VLOOKUP(C765,CATALOGOS!$F$2:$H$6,3,FALSE)),(VLOOKUP(T765,CATALOGOS!$J$2:$K$18,2,FALSE)),""-"",TO_TEXT(A765))"),"P24CS-0764")</f>
        <v>P24CS-0764</v>
      </c>
      <c r="H765" s="6" t="s">
        <v>5292</v>
      </c>
      <c r="I765" s="6" t="s">
        <v>5293</v>
      </c>
      <c r="J765" s="6" t="s">
        <v>5294</v>
      </c>
      <c r="K765" s="6" t="s">
        <v>5295</v>
      </c>
      <c r="L765" s="17"/>
      <c r="M765" s="17"/>
      <c r="N765" s="17" t="str">
        <f t="shared" si="2"/>
        <v>OK</v>
      </c>
      <c r="O765" s="17" t="s">
        <v>35</v>
      </c>
      <c r="P765" s="6" t="s">
        <v>35</v>
      </c>
      <c r="Q765" s="17" t="s">
        <v>36</v>
      </c>
      <c r="R765" s="17" t="s">
        <v>5296</v>
      </c>
      <c r="S765" s="173" t="s">
        <v>38</v>
      </c>
      <c r="T765" s="11" t="s">
        <v>4979</v>
      </c>
      <c r="U765" s="20" t="s">
        <v>4980</v>
      </c>
      <c r="V765" s="20" t="s">
        <v>4980</v>
      </c>
      <c r="W765" s="20"/>
      <c r="X765" s="7"/>
      <c r="Y765" s="7"/>
      <c r="Z765" s="23"/>
      <c r="AA765" s="26"/>
    </row>
    <row r="766" spans="1:27" ht="15.75" customHeight="1">
      <c r="A766" s="10" t="s">
        <v>5297</v>
      </c>
      <c r="B766" s="10" t="s">
        <v>4410</v>
      </c>
      <c r="C766" s="19" t="s">
        <v>4411</v>
      </c>
      <c r="D766" s="12"/>
      <c r="E766" s="13" t="s">
        <v>43</v>
      </c>
      <c r="F766" s="43" t="s">
        <v>5298</v>
      </c>
      <c r="G766" s="6" t="str">
        <f ca="1">IFERROR(__xludf.DUMMYFUNCTION("CONCATENATE(B766,(VLOOKUP(C766,CATALOGOS!$F$2:$H$6,3,FALSE)),(VLOOKUP(T766,CATALOGOS!$J$2:$K$18,2,FALSE)),""-"",TO_TEXT(A766))"),"P24CS-0765")</f>
        <v>P24CS-0765</v>
      </c>
      <c r="H766" s="6" t="s">
        <v>5299</v>
      </c>
      <c r="I766" s="6" t="s">
        <v>5300</v>
      </c>
      <c r="J766" s="6" t="s">
        <v>5301</v>
      </c>
      <c r="K766" s="6" t="s">
        <v>5302</v>
      </c>
      <c r="L766" s="17"/>
      <c r="M766" s="17"/>
      <c r="N766" s="17" t="str">
        <f t="shared" si="2"/>
        <v>OK</v>
      </c>
      <c r="O766" s="17" t="s">
        <v>406</v>
      </c>
      <c r="P766" s="6" t="s">
        <v>2674</v>
      </c>
      <c r="Q766" s="17" t="s">
        <v>36</v>
      </c>
      <c r="R766" s="10" t="s">
        <v>5303</v>
      </c>
      <c r="S766" s="173" t="s">
        <v>38</v>
      </c>
      <c r="T766" s="11" t="s">
        <v>4979</v>
      </c>
      <c r="U766" s="20" t="s">
        <v>4980</v>
      </c>
      <c r="V766" s="20" t="s">
        <v>4980</v>
      </c>
      <c r="W766" s="20"/>
      <c r="X766" s="7"/>
      <c r="Y766" s="7"/>
      <c r="Z766" s="23"/>
      <c r="AA766" s="26"/>
    </row>
    <row r="767" spans="1:27" ht="15.75" customHeight="1">
      <c r="A767" s="10" t="s">
        <v>5304</v>
      </c>
      <c r="B767" s="10" t="s">
        <v>4410</v>
      </c>
      <c r="C767" s="19" t="s">
        <v>4411</v>
      </c>
      <c r="D767" s="12"/>
      <c r="E767" s="13" t="s">
        <v>378</v>
      </c>
      <c r="F767" s="6" t="s">
        <v>1306</v>
      </c>
      <c r="G767" s="6" t="str">
        <f ca="1">IFERROR(__xludf.DUMMYFUNCTION("CONCATENATE(B767,(VLOOKUP(C767,CATALOGOS!$F$2:$H$6,3,FALSE)),(VLOOKUP(T767,CATALOGOS!$J$2:$K$18,2,FALSE)),""-"",TO_TEXT(A767))"),"P24CS-0766")</f>
        <v>P24CS-0766</v>
      </c>
      <c r="H767" s="6" t="s">
        <v>5305</v>
      </c>
      <c r="I767" s="6" t="s">
        <v>5306</v>
      </c>
      <c r="J767" s="6" t="s">
        <v>5307</v>
      </c>
      <c r="K767" s="6" t="s">
        <v>5308</v>
      </c>
      <c r="L767" s="17"/>
      <c r="M767" s="17"/>
      <c r="N767" s="17" t="str">
        <f t="shared" si="2"/>
        <v>OK</v>
      </c>
      <c r="O767" s="17" t="s">
        <v>35</v>
      </c>
      <c r="P767" s="6" t="s">
        <v>35</v>
      </c>
      <c r="Q767" s="17" t="s">
        <v>36</v>
      </c>
      <c r="R767" s="17" t="s">
        <v>5309</v>
      </c>
      <c r="S767" s="173" t="s">
        <v>38</v>
      </c>
      <c r="T767" s="11" t="s">
        <v>4979</v>
      </c>
      <c r="U767" s="20" t="s">
        <v>4980</v>
      </c>
      <c r="V767" s="20" t="s">
        <v>4980</v>
      </c>
      <c r="W767" s="20"/>
      <c r="X767" s="7"/>
      <c r="Y767" s="7"/>
      <c r="Z767" s="23"/>
      <c r="AA767" s="26"/>
    </row>
    <row r="768" spans="1:27" ht="15.75" customHeight="1">
      <c r="A768" s="10" t="s">
        <v>5311</v>
      </c>
      <c r="B768" s="10" t="s">
        <v>4410</v>
      </c>
      <c r="C768" s="19" t="s">
        <v>4411</v>
      </c>
      <c r="D768" s="12"/>
      <c r="E768" s="13" t="s">
        <v>378</v>
      </c>
      <c r="F768" s="6" t="s">
        <v>1306</v>
      </c>
      <c r="G768" s="6" t="str">
        <f ca="1">IFERROR(__xludf.DUMMYFUNCTION("CONCATENATE(B768,(VLOOKUP(C768,CATALOGOS!$F$2:$H$6,3,FALSE)),(VLOOKUP(T768,CATALOGOS!$J$2:$K$18,2,FALSE)),""-"",TO_TEXT(A768))"),"P24CS-0767")</f>
        <v>P24CS-0767</v>
      </c>
      <c r="H768" s="6" t="s">
        <v>5312</v>
      </c>
      <c r="I768" s="6" t="s">
        <v>5313</v>
      </c>
      <c r="J768" s="6" t="s">
        <v>5314</v>
      </c>
      <c r="K768" s="6" t="s">
        <v>5315</v>
      </c>
      <c r="L768" s="17"/>
      <c r="M768" s="17"/>
      <c r="N768" s="17" t="str">
        <f t="shared" si="2"/>
        <v>OK</v>
      </c>
      <c r="O768" s="17" t="s">
        <v>35</v>
      </c>
      <c r="P768" s="6" t="s">
        <v>35</v>
      </c>
      <c r="Q768" s="17" t="s">
        <v>36</v>
      </c>
      <c r="R768" s="17" t="s">
        <v>5316</v>
      </c>
      <c r="S768" s="173" t="s">
        <v>38</v>
      </c>
      <c r="T768" s="11" t="s">
        <v>4979</v>
      </c>
      <c r="U768" s="20" t="s">
        <v>5310</v>
      </c>
      <c r="V768" s="20" t="s">
        <v>5310</v>
      </c>
      <c r="W768" s="20"/>
      <c r="X768" s="7"/>
      <c r="Y768" s="7"/>
      <c r="Z768" s="23"/>
      <c r="AA768" s="26"/>
    </row>
    <row r="769" spans="1:28" ht="15.75" customHeight="1">
      <c r="A769" s="10" t="s">
        <v>5317</v>
      </c>
      <c r="B769" s="10" t="s">
        <v>1469</v>
      </c>
      <c r="C769" s="60" t="s">
        <v>1470</v>
      </c>
      <c r="D769" s="12"/>
      <c r="E769" s="13" t="s">
        <v>184</v>
      </c>
      <c r="F769" s="43" t="s">
        <v>5318</v>
      </c>
      <c r="G769" s="6" t="str">
        <f ca="1">IFERROR(__xludf.DUMMYFUNCTION("CONCATENATE(B769,(VLOOKUP(C769,CATALOGOS!$F$2:$H$6,3,FALSE)),(VLOOKUP(T769,CATALOGOS!$J$2:$K$18,2,FALSE)),""-"",TO_TEXT(A769))"),"P12CS-0768")</f>
        <v>P12CS-0768</v>
      </c>
      <c r="H769" s="6" t="s">
        <v>5319</v>
      </c>
      <c r="I769" s="6" t="s">
        <v>5320</v>
      </c>
      <c r="J769" s="6" t="s">
        <v>5321</v>
      </c>
      <c r="K769" s="6" t="s">
        <v>5322</v>
      </c>
      <c r="L769" s="17"/>
      <c r="M769" s="17"/>
      <c r="N769" s="17" t="str">
        <f t="shared" si="2"/>
        <v>OK</v>
      </c>
      <c r="O769" s="17" t="s">
        <v>35</v>
      </c>
      <c r="P769" s="6" t="s">
        <v>35</v>
      </c>
      <c r="Q769" s="17" t="s">
        <v>36</v>
      </c>
      <c r="R769" s="17" t="s">
        <v>5323</v>
      </c>
      <c r="S769" s="179" t="s">
        <v>100</v>
      </c>
      <c r="T769" s="11" t="s">
        <v>4979</v>
      </c>
      <c r="U769" s="20" t="s">
        <v>1597</v>
      </c>
      <c r="V769" s="20" t="s">
        <v>1597</v>
      </c>
      <c r="W769" s="20"/>
      <c r="X769" s="7"/>
      <c r="Y769" s="7"/>
      <c r="Z769" s="23"/>
      <c r="AA769" s="26"/>
    </row>
    <row r="770" spans="1:28" ht="15.75" customHeight="1">
      <c r="A770" s="10" t="s">
        <v>5324</v>
      </c>
      <c r="B770" s="10" t="s">
        <v>4410</v>
      </c>
      <c r="C770" s="19" t="s">
        <v>4411</v>
      </c>
      <c r="D770" s="12"/>
      <c r="E770" s="13" t="s">
        <v>248</v>
      </c>
      <c r="F770" s="43" t="s">
        <v>249</v>
      </c>
      <c r="G770" s="6" t="str">
        <f ca="1">IFERROR(__xludf.DUMMYFUNCTION("CONCATENATE(B770,(VLOOKUP(C770,CATALOGOS!$F$2:$H$6,3,FALSE)),(VLOOKUP(T770,CATALOGOS!$J$2:$K$18,2,FALSE)),""-"",TO_TEXT(A770))"),"P24CS-0769")</f>
        <v>P24CS-0769</v>
      </c>
      <c r="H770" s="6" t="s">
        <v>5325</v>
      </c>
      <c r="I770" s="6" t="s">
        <v>5326</v>
      </c>
      <c r="J770" s="6" t="s">
        <v>5327</v>
      </c>
      <c r="K770" s="43" t="s">
        <v>5328</v>
      </c>
      <c r="L770" s="17"/>
      <c r="M770" s="17"/>
      <c r="N770" s="17" t="str">
        <f t="shared" si="2"/>
        <v>OK</v>
      </c>
      <c r="O770" s="17" t="s">
        <v>978</v>
      </c>
      <c r="P770" s="6" t="s">
        <v>979</v>
      </c>
      <c r="Q770" s="17" t="s">
        <v>5329</v>
      </c>
      <c r="R770" s="17" t="s">
        <v>5330</v>
      </c>
      <c r="S770" s="173" t="s">
        <v>38</v>
      </c>
      <c r="T770" s="11" t="s">
        <v>4979</v>
      </c>
      <c r="U770" s="20" t="s">
        <v>4980</v>
      </c>
      <c r="V770" s="20" t="s">
        <v>4980</v>
      </c>
      <c r="W770" s="20"/>
      <c r="X770" s="7"/>
      <c r="Y770" s="7"/>
      <c r="Z770" s="23"/>
      <c r="AA770" s="26"/>
    </row>
    <row r="771" spans="1:28" ht="15.75" customHeight="1">
      <c r="A771" s="10" t="s">
        <v>5331</v>
      </c>
      <c r="B771" s="10" t="s">
        <v>4410</v>
      </c>
      <c r="C771" s="19" t="s">
        <v>4411</v>
      </c>
      <c r="D771" s="12"/>
      <c r="E771" s="13" t="s">
        <v>93</v>
      </c>
      <c r="F771" s="43" t="s">
        <v>5332</v>
      </c>
      <c r="G771" s="6" t="str">
        <f ca="1">IFERROR(__xludf.DUMMYFUNCTION("CONCATENATE(B771,(VLOOKUP(C771,CATALOGOS!$F$2:$H$6,3,FALSE)),(VLOOKUP(T771,CATALOGOS!$J$2:$K$18,2,FALSE)),""-"",TO_TEXT(A771))"),"P24CS-0770")</f>
        <v>P24CS-0770</v>
      </c>
      <c r="H771" s="6" t="s">
        <v>5333</v>
      </c>
      <c r="I771" s="54"/>
      <c r="J771" s="6" t="s">
        <v>5334</v>
      </c>
      <c r="K771" s="6" t="s">
        <v>141</v>
      </c>
      <c r="L771" s="17"/>
      <c r="M771" s="17"/>
      <c r="N771" s="17" t="str">
        <f t="shared" si="2"/>
        <v>REPETIDO</v>
      </c>
      <c r="O771" s="17" t="s">
        <v>35</v>
      </c>
      <c r="P771" s="32" t="s">
        <v>35</v>
      </c>
      <c r="Q771" s="17" t="s">
        <v>36</v>
      </c>
      <c r="R771" s="17" t="s">
        <v>5335</v>
      </c>
      <c r="S771" s="173" t="s">
        <v>38</v>
      </c>
      <c r="T771" s="11" t="s">
        <v>4979</v>
      </c>
      <c r="U771" s="20" t="s">
        <v>4980</v>
      </c>
      <c r="V771" s="20" t="s">
        <v>4980</v>
      </c>
      <c r="W771" s="20"/>
      <c r="X771" s="7"/>
      <c r="Y771" s="7"/>
      <c r="Z771" s="23"/>
      <c r="AA771" s="26"/>
    </row>
    <row r="772" spans="1:28" ht="15.75" customHeight="1">
      <c r="A772" s="10" t="s">
        <v>5336</v>
      </c>
      <c r="B772" s="10" t="s">
        <v>4410</v>
      </c>
      <c r="C772" s="19" t="s">
        <v>4411</v>
      </c>
      <c r="D772" s="12"/>
      <c r="E772" s="13" t="s">
        <v>29</v>
      </c>
      <c r="F772" s="6" t="s">
        <v>5337</v>
      </c>
      <c r="G772" s="6" t="str">
        <f ca="1">IFERROR(__xludf.DUMMYFUNCTION("CONCATENATE(B772,(VLOOKUP(C772,CATALOGOS!$F$2:$H$6,3,FALSE)),(VLOOKUP(T772,CATALOGOS!$J$2:$K$18,2,FALSE)),""-"",TO_TEXT(A772))"),"P24CS-0771")</f>
        <v>P24CS-0771</v>
      </c>
      <c r="H772" s="6" t="s">
        <v>5338</v>
      </c>
      <c r="I772" s="54"/>
      <c r="J772" s="36"/>
      <c r="K772" s="6" t="s">
        <v>141</v>
      </c>
      <c r="L772" s="17"/>
      <c r="M772" s="17"/>
      <c r="N772" s="17" t="str">
        <f t="shared" si="2"/>
        <v>REPETIDO</v>
      </c>
      <c r="O772" s="35" t="s">
        <v>35</v>
      </c>
      <c r="P772" s="6" t="s">
        <v>35</v>
      </c>
      <c r="Q772" s="10" t="s">
        <v>36</v>
      </c>
      <c r="R772" s="32" t="s">
        <v>85</v>
      </c>
      <c r="S772" s="173" t="s">
        <v>38</v>
      </c>
      <c r="T772" s="11" t="s">
        <v>4979</v>
      </c>
      <c r="U772" s="20" t="s">
        <v>4980</v>
      </c>
      <c r="V772" s="20" t="s">
        <v>4980</v>
      </c>
      <c r="W772" s="20"/>
      <c r="X772" s="7"/>
      <c r="Y772" s="7"/>
      <c r="Z772" s="23"/>
      <c r="AA772" s="26"/>
    </row>
    <row r="773" spans="1:28" ht="29.25">
      <c r="A773" s="10" t="s">
        <v>5339</v>
      </c>
      <c r="B773" s="10" t="s">
        <v>4410</v>
      </c>
      <c r="C773" s="19" t="s">
        <v>4411</v>
      </c>
      <c r="D773" s="12"/>
      <c r="E773" s="13" t="s">
        <v>3521</v>
      </c>
      <c r="F773" s="43" t="s">
        <v>5340</v>
      </c>
      <c r="G773" s="6" t="str">
        <f ca="1">IFERROR(__xludf.DUMMYFUNCTION("CONCATENATE(B773,(VLOOKUP(C773,CATALOGOS!$F$2:$H$6,3,FALSE)),(VLOOKUP(T773,CATALOGOS!$J$2:$K$18,2,FALSE)),""-"",TO_TEXT(A773))"),"P24CS-0772")</f>
        <v>P24CS-0772</v>
      </c>
      <c r="H773" s="6" t="s">
        <v>5341</v>
      </c>
      <c r="I773" s="10" t="s">
        <v>5342</v>
      </c>
      <c r="J773" s="6" t="s">
        <v>5343</v>
      </c>
      <c r="K773" s="6" t="s">
        <v>5344</v>
      </c>
      <c r="L773" s="17"/>
      <c r="M773" s="17"/>
      <c r="N773" s="17" t="str">
        <f t="shared" si="2"/>
        <v>OK</v>
      </c>
      <c r="O773" s="17" t="s">
        <v>35</v>
      </c>
      <c r="P773" s="6" t="s">
        <v>35</v>
      </c>
      <c r="Q773" s="17" t="s">
        <v>36</v>
      </c>
      <c r="R773" s="17" t="s">
        <v>85</v>
      </c>
      <c r="S773" s="173" t="s">
        <v>38</v>
      </c>
      <c r="T773" s="11" t="s">
        <v>4979</v>
      </c>
      <c r="U773" s="20" t="s">
        <v>4980</v>
      </c>
      <c r="V773" s="20" t="s">
        <v>4980</v>
      </c>
      <c r="W773" s="20"/>
      <c r="X773" s="7"/>
      <c r="Y773" s="7"/>
      <c r="Z773" s="23"/>
      <c r="AA773" s="26"/>
    </row>
    <row r="774" spans="1:28" ht="30" customHeight="1">
      <c r="A774" s="10" t="s">
        <v>5345</v>
      </c>
      <c r="B774" s="10" t="s">
        <v>4410</v>
      </c>
      <c r="C774" s="19" t="s">
        <v>4411</v>
      </c>
      <c r="D774" s="12"/>
      <c r="E774" s="13" t="s">
        <v>116</v>
      </c>
      <c r="F774" s="6" t="s">
        <v>4638</v>
      </c>
      <c r="G774" s="6" t="str">
        <f ca="1">IFERROR(__xludf.DUMMYFUNCTION("CONCATENATE(B774,(VLOOKUP(C774,CATALOGOS!$F$2:$H$6,3,FALSE)),(VLOOKUP(T774,CATALOGOS!$J$2:$K$18,2,FALSE)),""-"",TO_TEXT(A774))"),"P24CS-0773")</f>
        <v>P24CS-0773</v>
      </c>
      <c r="H774" s="6" t="s">
        <v>5346</v>
      </c>
      <c r="I774" s="6" t="s">
        <v>5347</v>
      </c>
      <c r="J774" s="6" t="s">
        <v>5348</v>
      </c>
      <c r="K774" s="6" t="s">
        <v>5349</v>
      </c>
      <c r="L774" s="17"/>
      <c r="M774" s="17"/>
      <c r="N774" s="17" t="str">
        <f t="shared" si="2"/>
        <v>OK</v>
      </c>
      <c r="O774" s="17" t="s">
        <v>35</v>
      </c>
      <c r="P774" s="6" t="s">
        <v>35</v>
      </c>
      <c r="Q774" s="17" t="s">
        <v>36</v>
      </c>
      <c r="R774" s="17" t="s">
        <v>5350</v>
      </c>
      <c r="S774" s="173" t="s">
        <v>38</v>
      </c>
      <c r="T774" s="11" t="s">
        <v>4979</v>
      </c>
      <c r="U774" s="20" t="s">
        <v>4980</v>
      </c>
      <c r="V774" s="20" t="s">
        <v>4980</v>
      </c>
      <c r="W774" s="20"/>
      <c r="X774" s="7"/>
      <c r="Y774" s="7"/>
      <c r="Z774" s="23"/>
      <c r="AA774" s="26"/>
    </row>
    <row r="775" spans="1:28" ht="15.75" customHeight="1">
      <c r="A775" s="10" t="s">
        <v>5351</v>
      </c>
      <c r="B775" s="10" t="s">
        <v>4410</v>
      </c>
      <c r="C775" s="19" t="s">
        <v>4411</v>
      </c>
      <c r="D775" s="12"/>
      <c r="E775" s="13" t="s">
        <v>162</v>
      </c>
      <c r="F775" s="43" t="s">
        <v>285</v>
      </c>
      <c r="G775" s="6" t="str">
        <f ca="1">IFERROR(__xludf.DUMMYFUNCTION("CONCATENATE(B775,(VLOOKUP(C775,CATALOGOS!$F$2:$H$6,3,FALSE)),(VLOOKUP(T775,CATALOGOS!$J$2:$K$18,2,FALSE)),""-"",TO_TEXT(A775))"),"P24CS-0774")</f>
        <v>P24CS-0774</v>
      </c>
      <c r="H775" s="6" t="s">
        <v>5352</v>
      </c>
      <c r="I775" s="6" t="s">
        <v>5353</v>
      </c>
      <c r="J775" s="6" t="s">
        <v>5354</v>
      </c>
      <c r="K775" s="6" t="s">
        <v>5355</v>
      </c>
      <c r="L775" s="17"/>
      <c r="M775" s="17"/>
      <c r="N775" s="17" t="str">
        <f t="shared" si="2"/>
        <v>OK</v>
      </c>
      <c r="O775" s="17" t="s">
        <v>168</v>
      </c>
      <c r="P775" s="6" t="s">
        <v>169</v>
      </c>
      <c r="Q775" s="17" t="s">
        <v>5356</v>
      </c>
      <c r="R775" s="17" t="s">
        <v>5357</v>
      </c>
      <c r="S775" s="173" t="s">
        <v>38</v>
      </c>
      <c r="T775" s="188" t="s">
        <v>4979</v>
      </c>
      <c r="U775" s="20" t="s">
        <v>4980</v>
      </c>
      <c r="V775" s="20" t="s">
        <v>4980</v>
      </c>
      <c r="W775" s="20"/>
      <c r="X775" s="7"/>
      <c r="Y775" s="7"/>
      <c r="Z775" s="23"/>
      <c r="AA775" s="26"/>
    </row>
    <row r="776" spans="1:28" ht="15.75" customHeight="1">
      <c r="A776" s="10" t="s">
        <v>5358</v>
      </c>
      <c r="B776" s="10" t="s">
        <v>4410</v>
      </c>
      <c r="C776" s="19" t="s">
        <v>4411</v>
      </c>
      <c r="D776" s="12"/>
      <c r="E776" s="13" t="s">
        <v>199</v>
      </c>
      <c r="F776" s="6" t="s">
        <v>199</v>
      </c>
      <c r="G776" s="6" t="str">
        <f ca="1">IFERROR(__xludf.DUMMYFUNCTION("CONCATENATE(B776,(VLOOKUP(C776,CATALOGOS!$F$2:$H$6,3,FALSE)),(VLOOKUP(T776,CATALOGOS!$J$2:$K$18,2,FALSE)),""-"",TO_TEXT(A776))"),"P24CS-0775")</f>
        <v>P24CS-0775</v>
      </c>
      <c r="H776" s="6" t="s">
        <v>5359</v>
      </c>
      <c r="I776" s="6" t="s">
        <v>5360</v>
      </c>
      <c r="J776" s="36"/>
      <c r="K776" s="6" t="s">
        <v>5361</v>
      </c>
      <c r="L776" s="17"/>
      <c r="M776" s="17"/>
      <c r="N776" s="17" t="str">
        <f t="shared" si="2"/>
        <v>OK</v>
      </c>
      <c r="O776" s="17" t="s">
        <v>273</v>
      </c>
      <c r="P776" s="6" t="s">
        <v>274</v>
      </c>
      <c r="Q776" s="6">
        <v>11392903015655</v>
      </c>
      <c r="R776" s="10" t="s">
        <v>85</v>
      </c>
      <c r="S776" s="173" t="s">
        <v>38</v>
      </c>
      <c r="T776" s="11" t="s">
        <v>4979</v>
      </c>
      <c r="U776" s="20" t="s">
        <v>4980</v>
      </c>
      <c r="V776" s="20" t="s">
        <v>4980</v>
      </c>
      <c r="W776" s="20"/>
      <c r="X776" s="6"/>
      <c r="Y776" s="6"/>
      <c r="Z776" s="41" t="s">
        <v>275</v>
      </c>
      <c r="AA776" s="42">
        <v>44403</v>
      </c>
      <c r="AB776" s="8">
        <v>11249</v>
      </c>
    </row>
    <row r="777" spans="1:28" ht="15.75" customHeight="1">
      <c r="A777" s="10" t="s">
        <v>5362</v>
      </c>
      <c r="B777" s="10" t="s">
        <v>4410</v>
      </c>
      <c r="C777" s="19" t="s">
        <v>4411</v>
      </c>
      <c r="D777" s="38"/>
      <c r="E777" s="13" t="s">
        <v>151</v>
      </c>
      <c r="F777" s="6" t="s">
        <v>4113</v>
      </c>
      <c r="G777" s="6" t="str">
        <f ca="1">IFERROR(__xludf.DUMMYFUNCTION("CONCATENATE(B777,(VLOOKUP(C777,CATALOGOS!$F$2:$H$6,3,FALSE)),(VLOOKUP(T777,CATALOGOS!$J$2:$K$18,2,FALSE)),""-"",TO_TEXT(A777))"),"P24CS-0776")</f>
        <v>P24CS-0776</v>
      </c>
      <c r="H777" s="6" t="s">
        <v>5363</v>
      </c>
      <c r="I777" s="6" t="s">
        <v>5364</v>
      </c>
      <c r="J777" s="36"/>
      <c r="K777" s="6" t="s">
        <v>5365</v>
      </c>
      <c r="L777" s="17"/>
      <c r="M777" s="17"/>
      <c r="N777" s="17" t="str">
        <f t="shared" si="2"/>
        <v>OK</v>
      </c>
      <c r="O777" s="17" t="s">
        <v>297</v>
      </c>
      <c r="P777" s="6" t="s">
        <v>298</v>
      </c>
      <c r="Q777" s="6" t="s">
        <v>5366</v>
      </c>
      <c r="R777" s="32" t="s">
        <v>85</v>
      </c>
      <c r="S777" s="173" t="s">
        <v>38</v>
      </c>
      <c r="T777" s="11" t="s">
        <v>4979</v>
      </c>
      <c r="U777" s="20" t="s">
        <v>4980</v>
      </c>
      <c r="V777" s="20" t="s">
        <v>4980</v>
      </c>
      <c r="W777" s="20"/>
      <c r="X777" s="6"/>
      <c r="Y777" s="6"/>
      <c r="Z777" s="73" t="s">
        <v>275</v>
      </c>
      <c r="AA777" s="42">
        <v>44403</v>
      </c>
      <c r="AB777" s="8">
        <v>0</v>
      </c>
    </row>
    <row r="778" spans="1:28" ht="15.75" customHeight="1">
      <c r="A778" s="10" t="s">
        <v>5367</v>
      </c>
      <c r="B778" s="10" t="s">
        <v>4410</v>
      </c>
      <c r="C778" s="19" t="s">
        <v>4411</v>
      </c>
      <c r="D778" s="12"/>
      <c r="E778" s="13" t="s">
        <v>62</v>
      </c>
      <c r="F778" s="6" t="s">
        <v>5368</v>
      </c>
      <c r="G778" s="6" t="str">
        <f ca="1">IFERROR(__xludf.DUMMYFUNCTION("CONCATENATE(B778,(VLOOKUP(C778,CATALOGOS!$F$2:$H$6,3,FALSE)),(VLOOKUP(T778,CATALOGOS!$J$2:$K$18,2,FALSE)),""-"",TO_TEXT(A778))"),"P24CS-0777")</f>
        <v>P24CS-0777</v>
      </c>
      <c r="H778" s="6" t="s">
        <v>5369</v>
      </c>
      <c r="I778" s="6" t="s">
        <v>5370</v>
      </c>
      <c r="J778" s="6" t="s">
        <v>5371</v>
      </c>
      <c r="K778" s="6" t="s">
        <v>5372</v>
      </c>
      <c r="L778" s="17"/>
      <c r="M778" s="17"/>
      <c r="N778" s="17" t="str">
        <f t="shared" si="2"/>
        <v>OK</v>
      </c>
      <c r="O778" s="17" t="s">
        <v>35</v>
      </c>
      <c r="P778" s="6" t="s">
        <v>35</v>
      </c>
      <c r="Q778" s="17" t="s">
        <v>36</v>
      </c>
      <c r="R778" s="17" t="s">
        <v>5373</v>
      </c>
      <c r="S778" s="173" t="s">
        <v>38</v>
      </c>
      <c r="T778" s="11" t="s">
        <v>4979</v>
      </c>
      <c r="U778" s="22" t="s">
        <v>5374</v>
      </c>
      <c r="V778" s="22" t="s">
        <v>5374</v>
      </c>
      <c r="W778" s="22"/>
      <c r="X778" s="7"/>
      <c r="Y778" s="7"/>
      <c r="Z778" s="23"/>
      <c r="AA778" s="26"/>
    </row>
    <row r="779" spans="1:28" ht="15.75" customHeight="1">
      <c r="A779" s="10" t="s">
        <v>5375</v>
      </c>
      <c r="B779" s="10" t="s">
        <v>4410</v>
      </c>
      <c r="C779" s="19" t="s">
        <v>4411</v>
      </c>
      <c r="D779" s="12"/>
      <c r="E779" s="13" t="s">
        <v>43</v>
      </c>
      <c r="F779" s="43" t="s">
        <v>885</v>
      </c>
      <c r="G779" s="6" t="str">
        <f ca="1">IFERROR(__xludf.DUMMYFUNCTION("CONCATENATE(B779,(VLOOKUP(C779,CATALOGOS!$F$2:$H$6,3,FALSE)),(VLOOKUP(T779,CATALOGOS!$J$2:$K$18,2,FALSE)),""-"",TO_TEXT(A779))"),"P24CS-0778")</f>
        <v>P24CS-0778</v>
      </c>
      <c r="H779" s="6" t="s">
        <v>5376</v>
      </c>
      <c r="I779" s="6" t="s">
        <v>5377</v>
      </c>
      <c r="J779" s="6" t="s">
        <v>5378</v>
      </c>
      <c r="K779" s="43" t="s">
        <v>5379</v>
      </c>
      <c r="L779" s="17"/>
      <c r="M779" s="17"/>
      <c r="N779" s="17" t="str">
        <f t="shared" si="2"/>
        <v>OK</v>
      </c>
      <c r="O779" s="17" t="s">
        <v>2586</v>
      </c>
      <c r="P779" s="6" t="s">
        <v>5380</v>
      </c>
      <c r="Q779" s="17" t="s">
        <v>36</v>
      </c>
      <c r="R779" s="10" t="s">
        <v>5381</v>
      </c>
      <c r="S779" s="173" t="s">
        <v>38</v>
      </c>
      <c r="T779" s="11" t="s">
        <v>4979</v>
      </c>
      <c r="U779" s="22" t="s">
        <v>5374</v>
      </c>
      <c r="V779" s="22" t="s">
        <v>5374</v>
      </c>
      <c r="W779" s="22"/>
      <c r="X779" s="7"/>
      <c r="Y779" s="7"/>
      <c r="Z779" s="23"/>
      <c r="AA779" s="26"/>
    </row>
    <row r="780" spans="1:28" ht="15.75" customHeight="1">
      <c r="A780" s="10" t="s">
        <v>5382</v>
      </c>
      <c r="B780" s="10" t="s">
        <v>4410</v>
      </c>
      <c r="C780" s="19" t="s">
        <v>4411</v>
      </c>
      <c r="D780" s="12"/>
      <c r="E780" s="13" t="s">
        <v>93</v>
      </c>
      <c r="F780" s="6" t="s">
        <v>5383</v>
      </c>
      <c r="G780" s="6" t="str">
        <f ca="1">IFERROR(__xludf.DUMMYFUNCTION("CONCATENATE(B780,(VLOOKUP(C780,CATALOGOS!$F$2:$H$6,3,FALSE)),(VLOOKUP(T780,CATALOGOS!$J$2:$K$18,2,FALSE)),""-"",TO_TEXT(A780))"),"P24CS-0779")</f>
        <v>P24CS-0779</v>
      </c>
      <c r="H780" s="6" t="s">
        <v>5384</v>
      </c>
      <c r="I780" s="6" t="s">
        <v>5385</v>
      </c>
      <c r="J780" s="6" t="s">
        <v>5386</v>
      </c>
      <c r="K780" s="6" t="s">
        <v>5387</v>
      </c>
      <c r="L780" s="17"/>
      <c r="M780" s="17"/>
      <c r="N780" s="17" t="str">
        <f t="shared" si="2"/>
        <v>OK</v>
      </c>
      <c r="O780" s="17" t="s">
        <v>35</v>
      </c>
      <c r="P780" s="6" t="s">
        <v>35</v>
      </c>
      <c r="Q780" s="17" t="s">
        <v>36</v>
      </c>
      <c r="R780" s="17" t="s">
        <v>5388</v>
      </c>
      <c r="S780" s="173" t="s">
        <v>38</v>
      </c>
      <c r="T780" s="11" t="s">
        <v>4979</v>
      </c>
      <c r="U780" s="22" t="s">
        <v>5374</v>
      </c>
      <c r="V780" s="22" t="s">
        <v>5374</v>
      </c>
      <c r="W780" s="22"/>
      <c r="X780" s="7"/>
      <c r="Y780" s="7"/>
      <c r="Z780" s="23"/>
      <c r="AA780" s="26"/>
    </row>
    <row r="781" spans="1:28" ht="15.75" customHeight="1">
      <c r="A781" s="10" t="s">
        <v>5389</v>
      </c>
      <c r="B781" s="10" t="s">
        <v>4410</v>
      </c>
      <c r="C781" s="19" t="s">
        <v>4411</v>
      </c>
      <c r="D781" s="12"/>
      <c r="E781" s="13" t="s">
        <v>62</v>
      </c>
      <c r="F781" s="6" t="s">
        <v>5368</v>
      </c>
      <c r="G781" s="6" t="str">
        <f ca="1">IFERROR(__xludf.DUMMYFUNCTION("CONCATENATE(B781,(VLOOKUP(C781,CATALOGOS!$F$2:$H$6,3,FALSE)),(VLOOKUP(T781,CATALOGOS!$J$2:$K$18,2,FALSE)),""-"",TO_TEXT(A781))"),"P24CS-0780")</f>
        <v>P24CS-0780</v>
      </c>
      <c r="H781" s="6" t="s">
        <v>5390</v>
      </c>
      <c r="I781" s="6" t="s">
        <v>5391</v>
      </c>
      <c r="J781" s="6" t="s">
        <v>5392</v>
      </c>
      <c r="K781" s="6" t="s">
        <v>5393</v>
      </c>
      <c r="L781" s="17"/>
      <c r="M781" s="17"/>
      <c r="N781" s="17" t="str">
        <f t="shared" si="2"/>
        <v>OK</v>
      </c>
      <c r="O781" s="17" t="s">
        <v>35</v>
      </c>
      <c r="P781" s="6" t="s">
        <v>35</v>
      </c>
      <c r="Q781" s="17" t="s">
        <v>36</v>
      </c>
      <c r="R781" s="17" t="s">
        <v>5394</v>
      </c>
      <c r="S781" s="173" t="s">
        <v>38</v>
      </c>
      <c r="T781" s="11" t="s">
        <v>4979</v>
      </c>
      <c r="U781" s="22" t="s">
        <v>5374</v>
      </c>
      <c r="V781" s="22" t="s">
        <v>5374</v>
      </c>
      <c r="W781" s="22"/>
      <c r="X781" s="7"/>
      <c r="Y781" s="7"/>
      <c r="Z781" s="23"/>
      <c r="AA781" s="26"/>
    </row>
    <row r="782" spans="1:28" ht="15.75" customHeight="1">
      <c r="A782" s="10" t="s">
        <v>5395</v>
      </c>
      <c r="B782" s="10" t="s">
        <v>4410</v>
      </c>
      <c r="C782" s="19" t="s">
        <v>4411</v>
      </c>
      <c r="D782" s="12"/>
      <c r="E782" s="13" t="s">
        <v>116</v>
      </c>
      <c r="F782" s="43" t="s">
        <v>5396</v>
      </c>
      <c r="G782" s="6" t="str">
        <f ca="1">IFERROR(__xludf.DUMMYFUNCTION("CONCATENATE(B782,(VLOOKUP(C782,CATALOGOS!$F$2:$H$6,3,FALSE)),(VLOOKUP(T782,CATALOGOS!$J$2:$K$18,2,FALSE)),""-"",TO_TEXT(A782))"),"P24CS-0781")</f>
        <v>P24CS-0781</v>
      </c>
      <c r="H782" s="6" t="s">
        <v>5397</v>
      </c>
      <c r="I782" s="6" t="s">
        <v>5398</v>
      </c>
      <c r="J782" s="6" t="s">
        <v>5399</v>
      </c>
      <c r="K782" s="6" t="s">
        <v>5400</v>
      </c>
      <c r="L782" s="17"/>
      <c r="M782" s="17"/>
      <c r="N782" s="17" t="str">
        <f t="shared" si="2"/>
        <v>OK</v>
      </c>
      <c r="O782" s="17" t="s">
        <v>35</v>
      </c>
      <c r="P782" s="6" t="s">
        <v>35</v>
      </c>
      <c r="Q782" s="17" t="s">
        <v>36</v>
      </c>
      <c r="R782" s="17" t="s">
        <v>5401</v>
      </c>
      <c r="S782" s="173" t="s">
        <v>38</v>
      </c>
      <c r="T782" s="11" t="s">
        <v>4979</v>
      </c>
      <c r="U782" s="22" t="s">
        <v>5374</v>
      </c>
      <c r="V782" s="22" t="s">
        <v>5374</v>
      </c>
      <c r="W782" s="22"/>
      <c r="X782" s="7"/>
      <c r="Y782" s="7"/>
      <c r="Z782" s="23"/>
      <c r="AA782" s="26"/>
    </row>
    <row r="783" spans="1:28" ht="15.75" customHeight="1">
      <c r="A783" s="10" t="s">
        <v>5402</v>
      </c>
      <c r="B783" s="10" t="s">
        <v>4410</v>
      </c>
      <c r="C783" s="19" t="s">
        <v>4411</v>
      </c>
      <c r="D783" s="12"/>
      <c r="E783" s="13" t="s">
        <v>1240</v>
      </c>
      <c r="F783" s="43" t="s">
        <v>278</v>
      </c>
      <c r="G783" s="6" t="str">
        <f ca="1">IFERROR(__xludf.DUMMYFUNCTION("CONCATENATE(B783,(VLOOKUP(C783,CATALOGOS!$F$2:$H$6,3,FALSE)),(VLOOKUP(T783,CATALOGOS!$J$2:$K$18,2,FALSE)),""-"",TO_TEXT(A783))"),"P24CS-0782")</f>
        <v>P24CS-0782</v>
      </c>
      <c r="H783" s="6" t="s">
        <v>5403</v>
      </c>
      <c r="I783" s="6" t="s">
        <v>5404</v>
      </c>
      <c r="J783" s="6" t="s">
        <v>5405</v>
      </c>
      <c r="K783" s="6" t="s">
        <v>5406</v>
      </c>
      <c r="L783" s="17"/>
      <c r="M783" s="17"/>
      <c r="N783" s="17" t="str">
        <f t="shared" si="2"/>
        <v>OK</v>
      </c>
      <c r="O783" s="17" t="s">
        <v>35</v>
      </c>
      <c r="P783" s="6" t="s">
        <v>35</v>
      </c>
      <c r="Q783" s="17" t="s">
        <v>36</v>
      </c>
      <c r="R783" s="17" t="s">
        <v>5407</v>
      </c>
      <c r="S783" s="173" t="s">
        <v>38</v>
      </c>
      <c r="T783" s="11" t="s">
        <v>4979</v>
      </c>
      <c r="U783" s="22" t="s">
        <v>5374</v>
      </c>
      <c r="V783" s="22" t="s">
        <v>5374</v>
      </c>
      <c r="W783" s="22"/>
      <c r="X783" s="7"/>
      <c r="Y783" s="7"/>
      <c r="Z783" s="23"/>
      <c r="AA783" s="26"/>
    </row>
    <row r="784" spans="1:28" ht="15.75" customHeight="1">
      <c r="A784" s="10" t="s">
        <v>5408</v>
      </c>
      <c r="B784" s="10" t="s">
        <v>4410</v>
      </c>
      <c r="C784" s="19" t="s">
        <v>4411</v>
      </c>
      <c r="D784" s="12"/>
      <c r="E784" s="13" t="s">
        <v>199</v>
      </c>
      <c r="F784" s="6" t="s">
        <v>199</v>
      </c>
      <c r="G784" s="6" t="str">
        <f ca="1">IFERROR(__xludf.DUMMYFUNCTION("CONCATENATE(B784,(VLOOKUP(C784,CATALOGOS!$F$2:$H$6,3,FALSE)),(VLOOKUP(T784,CATALOGOS!$J$2:$K$18,2,FALSE)),""-"",TO_TEXT(A784))"),"P24CS-0783")</f>
        <v>P24CS-0783</v>
      </c>
      <c r="H784" s="6" t="s">
        <v>5409</v>
      </c>
      <c r="I784" s="6" t="s">
        <v>5410</v>
      </c>
      <c r="J784" s="6" t="s">
        <v>5411</v>
      </c>
      <c r="K784" s="43" t="s">
        <v>5412</v>
      </c>
      <c r="L784" s="17"/>
      <c r="M784" s="17"/>
      <c r="N784" s="17" t="str">
        <f t="shared" si="2"/>
        <v>OK</v>
      </c>
      <c r="O784" s="17" t="s">
        <v>297</v>
      </c>
      <c r="P784" s="6" t="s">
        <v>5413</v>
      </c>
      <c r="Q784" s="35" t="s">
        <v>5414</v>
      </c>
      <c r="R784" s="10" t="s">
        <v>5415</v>
      </c>
      <c r="S784" s="178" t="s">
        <v>38</v>
      </c>
      <c r="T784" s="11" t="s">
        <v>4979</v>
      </c>
      <c r="U784" s="22" t="s">
        <v>5374</v>
      </c>
      <c r="V784" s="22" t="s">
        <v>5374</v>
      </c>
      <c r="W784" s="22"/>
      <c r="X784" s="7"/>
      <c r="Y784" s="7"/>
      <c r="Z784" s="23"/>
      <c r="AA784" s="26"/>
    </row>
    <row r="785" spans="1:27" ht="15.75" customHeight="1">
      <c r="A785" s="10" t="s">
        <v>5416</v>
      </c>
      <c r="B785" s="10" t="s">
        <v>4410</v>
      </c>
      <c r="C785" s="19" t="s">
        <v>4411</v>
      </c>
      <c r="D785" s="12"/>
      <c r="E785" s="13" t="s">
        <v>248</v>
      </c>
      <c r="F785" s="43" t="s">
        <v>249</v>
      </c>
      <c r="G785" s="6" t="str">
        <f ca="1">IFERROR(__xludf.DUMMYFUNCTION("CONCATENATE(B785,(VLOOKUP(C785,CATALOGOS!$F$2:$H$6,3,FALSE)),(VLOOKUP(T785,CATALOGOS!$J$2:$K$18,2,FALSE)),""-"",TO_TEXT(A785))"),"P24CS-0784")</f>
        <v>P24CS-0784</v>
      </c>
      <c r="H785" s="6" t="s">
        <v>5417</v>
      </c>
      <c r="I785" s="6" t="s">
        <v>5418</v>
      </c>
      <c r="J785" s="6" t="s">
        <v>5419</v>
      </c>
      <c r="K785" s="6" t="s">
        <v>5420</v>
      </c>
      <c r="L785" s="17"/>
      <c r="M785" s="17"/>
      <c r="N785" s="17" t="str">
        <f t="shared" si="2"/>
        <v>OK</v>
      </c>
      <c r="O785" s="17" t="s">
        <v>978</v>
      </c>
      <c r="P785" s="6" t="s">
        <v>979</v>
      </c>
      <c r="Q785" s="35" t="s">
        <v>5421</v>
      </c>
      <c r="R785" s="17" t="s">
        <v>5422</v>
      </c>
      <c r="S785" s="173" t="s">
        <v>38</v>
      </c>
      <c r="T785" s="11" t="s">
        <v>4979</v>
      </c>
      <c r="U785" s="22" t="s">
        <v>5374</v>
      </c>
      <c r="V785" s="22" t="s">
        <v>5374</v>
      </c>
      <c r="W785" s="22"/>
      <c r="X785" s="7"/>
      <c r="Y785" s="7"/>
      <c r="Z785" s="23"/>
      <c r="AA785" s="26"/>
    </row>
    <row r="786" spans="1:27" ht="15.75" customHeight="1">
      <c r="A786" s="10" t="s">
        <v>5423</v>
      </c>
      <c r="B786" s="10" t="s">
        <v>4410</v>
      </c>
      <c r="C786" s="19" t="s">
        <v>4411</v>
      </c>
      <c r="D786" s="12"/>
      <c r="E786" s="13" t="s">
        <v>151</v>
      </c>
      <c r="F786" s="6" t="s">
        <v>963</v>
      </c>
      <c r="G786" s="6" t="str">
        <f ca="1">IFERROR(__xludf.DUMMYFUNCTION("CONCATENATE(B786,(VLOOKUP(C786,CATALOGOS!$F$2:$H$6,3,FALSE)),(VLOOKUP(T786,CATALOGOS!$J$2:$K$18,2,FALSE)),""-"",TO_TEXT(A786))"),"P24CS-0785")</f>
        <v>P24CS-0785</v>
      </c>
      <c r="H786" s="6" t="s">
        <v>5424</v>
      </c>
      <c r="I786" s="6" t="s">
        <v>5425</v>
      </c>
      <c r="J786" s="6" t="s">
        <v>5426</v>
      </c>
      <c r="K786" s="6" t="s">
        <v>5427</v>
      </c>
      <c r="L786" s="17"/>
      <c r="M786" s="17"/>
      <c r="N786" s="17" t="str">
        <f t="shared" si="2"/>
        <v>OK</v>
      </c>
      <c r="O786" s="17" t="s">
        <v>297</v>
      </c>
      <c r="P786" s="6" t="s">
        <v>1037</v>
      </c>
      <c r="Q786" s="17" t="s">
        <v>5428</v>
      </c>
      <c r="R786" s="17" t="s">
        <v>5429</v>
      </c>
      <c r="S786" s="173" t="s">
        <v>38</v>
      </c>
      <c r="T786" s="11" t="s">
        <v>4979</v>
      </c>
      <c r="U786" s="22" t="s">
        <v>5374</v>
      </c>
      <c r="V786" s="22" t="s">
        <v>5374</v>
      </c>
      <c r="W786" s="22"/>
      <c r="X786" s="7"/>
      <c r="Y786" s="7"/>
      <c r="Z786" s="23"/>
      <c r="AA786" s="26"/>
    </row>
    <row r="787" spans="1:27" ht="15.75" customHeight="1">
      <c r="A787" s="10" t="s">
        <v>5430</v>
      </c>
      <c r="B787" s="10" t="s">
        <v>4410</v>
      </c>
      <c r="C787" s="19" t="s">
        <v>4411</v>
      </c>
      <c r="D787" s="12"/>
      <c r="E787" s="13" t="s">
        <v>378</v>
      </c>
      <c r="F787" s="6" t="s">
        <v>878</v>
      </c>
      <c r="G787" s="6" t="str">
        <f ca="1">IFERROR(__xludf.DUMMYFUNCTION("CONCATENATE(B787,(VLOOKUP(C787,CATALOGOS!$F$2:$H$6,3,FALSE)),(VLOOKUP(T787,CATALOGOS!$J$2:$K$18,2,FALSE)),""-"",TO_TEXT(A787))"),"P24CS-0786")</f>
        <v>P24CS-0786</v>
      </c>
      <c r="H787" s="6" t="s">
        <v>5431</v>
      </c>
      <c r="I787" s="6" t="s">
        <v>5432</v>
      </c>
      <c r="J787" s="36"/>
      <c r="K787" s="6" t="s">
        <v>141</v>
      </c>
      <c r="L787" s="17"/>
      <c r="M787" s="17"/>
      <c r="N787" s="17" t="str">
        <f t="shared" si="2"/>
        <v>REPETIDO</v>
      </c>
      <c r="O787" s="17" t="s">
        <v>35</v>
      </c>
      <c r="P787" s="6" t="s">
        <v>35</v>
      </c>
      <c r="Q787" s="6" t="s">
        <v>36</v>
      </c>
      <c r="R787" s="10" t="s">
        <v>5433</v>
      </c>
      <c r="S787" s="173" t="s">
        <v>38</v>
      </c>
      <c r="T787" s="11" t="s">
        <v>4979</v>
      </c>
      <c r="U787" s="22" t="s">
        <v>5374</v>
      </c>
      <c r="V787" s="22" t="s">
        <v>5374</v>
      </c>
      <c r="W787" s="22"/>
      <c r="X787" s="7"/>
      <c r="Y787" s="7"/>
      <c r="Z787" s="23"/>
      <c r="AA787" s="26"/>
    </row>
    <row r="788" spans="1:27" ht="15.75" customHeight="1">
      <c r="A788" s="10" t="s">
        <v>5434</v>
      </c>
      <c r="B788" s="10" t="s">
        <v>4410</v>
      </c>
      <c r="C788" s="19" t="s">
        <v>4411</v>
      </c>
      <c r="D788" s="38"/>
      <c r="E788" s="13" t="s">
        <v>378</v>
      </c>
      <c r="F788" s="43" t="s">
        <v>379</v>
      </c>
      <c r="G788" s="6" t="str">
        <f ca="1">IFERROR(__xludf.DUMMYFUNCTION("CONCATENATE(B788,(VLOOKUP(C788,CATALOGOS!$F$2:$H$6,3,FALSE)),(VLOOKUP(T788,CATALOGOS!$J$2:$K$18,2,FALSE)),""-"",TO_TEXT(A788))"),"P24CS-0787")</f>
        <v>P24CS-0787</v>
      </c>
      <c r="H788" s="6" t="s">
        <v>5435</v>
      </c>
      <c r="I788" s="6" t="s">
        <v>5436</v>
      </c>
      <c r="J788" s="6" t="s">
        <v>5437</v>
      </c>
      <c r="K788" s="6" t="s">
        <v>5438</v>
      </c>
      <c r="L788" s="17"/>
      <c r="M788" s="17"/>
      <c r="N788" s="17" t="str">
        <f t="shared" si="2"/>
        <v>OK</v>
      </c>
      <c r="O788" s="17" t="s">
        <v>35</v>
      </c>
      <c r="P788" s="6" t="s">
        <v>35</v>
      </c>
      <c r="Q788" s="46" t="s">
        <v>36</v>
      </c>
      <c r="R788" s="17" t="s">
        <v>5439</v>
      </c>
      <c r="S788" s="173" t="s">
        <v>38</v>
      </c>
      <c r="T788" s="11" t="s">
        <v>4979</v>
      </c>
      <c r="U788" s="22" t="s">
        <v>5374</v>
      </c>
      <c r="V788" s="22" t="s">
        <v>5374</v>
      </c>
      <c r="W788" s="22"/>
      <c r="X788" s="7"/>
      <c r="Y788" s="7"/>
      <c r="Z788" s="26"/>
      <c r="AA788" s="26"/>
    </row>
    <row r="789" spans="1:27" ht="15.75" customHeight="1">
      <c r="A789" s="10" t="s">
        <v>5440</v>
      </c>
      <c r="B789" s="10" t="s">
        <v>4410</v>
      </c>
      <c r="C789" s="19" t="s">
        <v>4411</v>
      </c>
      <c r="D789" s="12"/>
      <c r="E789" s="13" t="s">
        <v>53</v>
      </c>
      <c r="F789" s="6" t="s">
        <v>192</v>
      </c>
      <c r="G789" s="6" t="str">
        <f ca="1">IFERROR(__xludf.DUMMYFUNCTION("CONCATENATE(B789,(VLOOKUP(C789,CATALOGOS!$F$2:$H$6,3,FALSE)),(VLOOKUP(T789,CATALOGOS!$J$2:$K$18,2,FALSE)),""-"",TO_TEXT(A789))"),"P24CA-0788")</f>
        <v>P24CA-0788</v>
      </c>
      <c r="H789" s="6" t="s">
        <v>5441</v>
      </c>
      <c r="I789" s="6" t="s">
        <v>5442</v>
      </c>
      <c r="J789" s="6" t="s">
        <v>5443</v>
      </c>
      <c r="K789" s="6" t="s">
        <v>5444</v>
      </c>
      <c r="L789" s="17"/>
      <c r="M789" s="17"/>
      <c r="N789" s="17" t="str">
        <f t="shared" si="2"/>
        <v>OK</v>
      </c>
      <c r="O789" s="17" t="s">
        <v>35</v>
      </c>
      <c r="P789" s="6" t="s">
        <v>35</v>
      </c>
      <c r="Q789" s="17" t="s">
        <v>36</v>
      </c>
      <c r="R789" s="17" t="s">
        <v>5445</v>
      </c>
      <c r="S789" s="173" t="s">
        <v>38</v>
      </c>
      <c r="T789" s="11" t="s">
        <v>4416</v>
      </c>
      <c r="U789" s="22" t="s">
        <v>5310</v>
      </c>
      <c r="V789" s="22" t="s">
        <v>5310</v>
      </c>
      <c r="W789" s="22"/>
      <c r="X789" s="7"/>
      <c r="Y789" s="7"/>
      <c r="Z789" s="23"/>
      <c r="AA789" s="26"/>
    </row>
    <row r="790" spans="1:27" ht="15.75" customHeight="1">
      <c r="A790" s="10" t="s">
        <v>5446</v>
      </c>
      <c r="B790" s="10" t="s">
        <v>4410</v>
      </c>
      <c r="C790" s="19" t="s">
        <v>4411</v>
      </c>
      <c r="D790" s="12"/>
      <c r="E790" s="13" t="s">
        <v>62</v>
      </c>
      <c r="F790" s="6" t="s">
        <v>5447</v>
      </c>
      <c r="G790" s="6" t="str">
        <f ca="1">IFERROR(__xludf.DUMMYFUNCTION("CONCATENATE(B790,(VLOOKUP(C790,CATALOGOS!$F$2:$H$6,3,FALSE)),(VLOOKUP(T790,CATALOGOS!$J$2:$K$18,2,FALSE)),""-"",TO_TEXT(A790))"),"P24CA-0789")</f>
        <v>P24CA-0789</v>
      </c>
      <c r="H790" s="6" t="s">
        <v>5448</v>
      </c>
      <c r="I790" s="6" t="s">
        <v>5449</v>
      </c>
      <c r="J790" s="6" t="s">
        <v>5450</v>
      </c>
      <c r="K790" s="6" t="s">
        <v>5451</v>
      </c>
      <c r="L790" s="17"/>
      <c r="M790" s="17"/>
      <c r="N790" s="17" t="str">
        <f t="shared" si="2"/>
        <v>OK</v>
      </c>
      <c r="O790" s="17" t="s">
        <v>35</v>
      </c>
      <c r="P790" s="6" t="s">
        <v>35</v>
      </c>
      <c r="Q790" s="17" t="s">
        <v>36</v>
      </c>
      <c r="R790" s="17" t="s">
        <v>5452</v>
      </c>
      <c r="S790" s="173" t="s">
        <v>38</v>
      </c>
      <c r="T790" s="11" t="s">
        <v>4416</v>
      </c>
      <c r="U790" s="22" t="s">
        <v>5310</v>
      </c>
      <c r="V790" s="22" t="s">
        <v>5310</v>
      </c>
      <c r="W790" s="22"/>
      <c r="X790" s="7"/>
      <c r="Y790" s="7"/>
      <c r="Z790" s="23"/>
      <c r="AA790" s="26"/>
    </row>
    <row r="791" spans="1:27" ht="15.75" customHeight="1">
      <c r="A791" s="10" t="s">
        <v>5453</v>
      </c>
      <c r="B791" s="10" t="s">
        <v>4410</v>
      </c>
      <c r="C791" s="19" t="s">
        <v>4411</v>
      </c>
      <c r="D791" s="12"/>
      <c r="E791" s="13" t="s">
        <v>71</v>
      </c>
      <c r="F791" s="6" t="s">
        <v>4937</v>
      </c>
      <c r="G791" s="6" t="str">
        <f ca="1">IFERROR(__xludf.DUMMYFUNCTION("CONCATENATE(B791,(VLOOKUP(C791,CATALOGOS!$F$2:$H$6,3,FALSE)),(VLOOKUP(T791,CATALOGOS!$J$2:$K$18,2,FALSE)),""-"",TO_TEXT(A791))"),"P24CA-0790")</f>
        <v>P24CA-0790</v>
      </c>
      <c r="H791" s="6" t="s">
        <v>5454</v>
      </c>
      <c r="I791" s="6" t="s">
        <v>5455</v>
      </c>
      <c r="J791" s="6" t="s">
        <v>5456</v>
      </c>
      <c r="K791" s="6" t="s">
        <v>5457</v>
      </c>
      <c r="L791" s="17"/>
      <c r="M791" s="17"/>
      <c r="N791" s="17" t="str">
        <f t="shared" si="2"/>
        <v>OK</v>
      </c>
      <c r="O791" s="17" t="s">
        <v>35</v>
      </c>
      <c r="P791" s="6" t="s">
        <v>35</v>
      </c>
      <c r="Q791" s="17" t="s">
        <v>36</v>
      </c>
      <c r="R791" s="17" t="s">
        <v>8359</v>
      </c>
      <c r="S791" s="173" t="s">
        <v>38</v>
      </c>
      <c r="T791" s="11" t="s">
        <v>4416</v>
      </c>
      <c r="U791" s="22" t="s">
        <v>5310</v>
      </c>
      <c r="V791" s="22" t="s">
        <v>5310</v>
      </c>
      <c r="W791" s="22"/>
      <c r="X791" s="7"/>
      <c r="Y791" s="7"/>
      <c r="Z791" s="23"/>
      <c r="AA791" s="26"/>
    </row>
    <row r="792" spans="1:27" ht="15.75" customHeight="1">
      <c r="A792" s="10" t="s">
        <v>5459</v>
      </c>
      <c r="B792" s="10" t="s">
        <v>4410</v>
      </c>
      <c r="C792" s="19" t="s">
        <v>4411</v>
      </c>
      <c r="D792" s="12"/>
      <c r="E792" s="13" t="s">
        <v>93</v>
      </c>
      <c r="F792" s="6" t="s">
        <v>5460</v>
      </c>
      <c r="G792" s="6" t="str">
        <f ca="1">IFERROR(__xludf.DUMMYFUNCTION("CONCATENATE(B792,(VLOOKUP(C792,CATALOGOS!$F$2:$H$6,3,FALSE)),(VLOOKUP(T792,CATALOGOS!$J$2:$K$18,2,FALSE)),""-"",TO_TEXT(A792))"),"P24CA-0791")</f>
        <v>P24CA-0791</v>
      </c>
      <c r="H792" s="6" t="s">
        <v>5461</v>
      </c>
      <c r="I792" s="6" t="s">
        <v>5462</v>
      </c>
      <c r="J792" s="6" t="s">
        <v>5463</v>
      </c>
      <c r="K792" s="6" t="s">
        <v>5464</v>
      </c>
      <c r="L792" s="17"/>
      <c r="M792" s="17"/>
      <c r="N792" s="17" t="str">
        <f t="shared" si="2"/>
        <v>OK</v>
      </c>
      <c r="O792" s="17" t="s">
        <v>35</v>
      </c>
      <c r="P792" s="6" t="s">
        <v>35</v>
      </c>
      <c r="Q792" s="17" t="s">
        <v>36</v>
      </c>
      <c r="R792" s="17" t="s">
        <v>5465</v>
      </c>
      <c r="S792" s="173" t="s">
        <v>38</v>
      </c>
      <c r="T792" s="11" t="s">
        <v>4416</v>
      </c>
      <c r="U792" s="22" t="s">
        <v>5310</v>
      </c>
      <c r="V792" s="22" t="s">
        <v>5310</v>
      </c>
      <c r="W792" s="22"/>
      <c r="X792" s="7"/>
      <c r="Y792" s="7"/>
      <c r="Z792" s="23"/>
      <c r="AA792" s="26"/>
    </row>
    <row r="793" spans="1:27" ht="15.75" customHeight="1">
      <c r="A793" s="10" t="s">
        <v>5466</v>
      </c>
      <c r="B793" s="10" t="s">
        <v>4410</v>
      </c>
      <c r="C793" s="19" t="s">
        <v>4411</v>
      </c>
      <c r="D793" s="12"/>
      <c r="E793" s="13" t="s">
        <v>93</v>
      </c>
      <c r="F793" s="6" t="s">
        <v>5460</v>
      </c>
      <c r="G793" s="6" t="str">
        <f ca="1">IFERROR(__xludf.DUMMYFUNCTION("CONCATENATE(B793,(VLOOKUP(C793,CATALOGOS!$F$2:$H$6,3,FALSE)),(VLOOKUP(T793,CATALOGOS!$J$2:$K$18,2,FALSE)),""-"",TO_TEXT(A793))"),"P24CA-0792")</f>
        <v>P24CA-0792</v>
      </c>
      <c r="H793" s="6" t="s">
        <v>5467</v>
      </c>
      <c r="I793" s="6" t="s">
        <v>5468</v>
      </c>
      <c r="J793" s="6" t="s">
        <v>5469</v>
      </c>
      <c r="K793" s="6" t="s">
        <v>5470</v>
      </c>
      <c r="L793" s="17"/>
      <c r="M793" s="17"/>
      <c r="N793" s="17" t="str">
        <f t="shared" si="2"/>
        <v>OK</v>
      </c>
      <c r="O793" s="17" t="s">
        <v>35</v>
      </c>
      <c r="P793" s="6" t="s">
        <v>35</v>
      </c>
      <c r="Q793" s="17" t="s">
        <v>36</v>
      </c>
      <c r="R793" s="17" t="s">
        <v>5471</v>
      </c>
      <c r="S793" s="173" t="s">
        <v>38</v>
      </c>
      <c r="T793" s="11" t="s">
        <v>4416</v>
      </c>
      <c r="U793" s="22" t="s">
        <v>5310</v>
      </c>
      <c r="V793" s="22" t="s">
        <v>5310</v>
      </c>
      <c r="W793" s="22"/>
      <c r="X793" s="7"/>
      <c r="Y793" s="7"/>
      <c r="Z793" s="23"/>
      <c r="AA793" s="26"/>
    </row>
    <row r="794" spans="1:27" ht="15.75" customHeight="1">
      <c r="A794" s="10" t="s">
        <v>5472</v>
      </c>
      <c r="B794" s="10" t="s">
        <v>4410</v>
      </c>
      <c r="C794" s="19" t="s">
        <v>4411</v>
      </c>
      <c r="D794" s="12"/>
      <c r="E794" s="13" t="s">
        <v>43</v>
      </c>
      <c r="F794" s="6" t="s">
        <v>5473</v>
      </c>
      <c r="G794" s="6" t="str">
        <f ca="1">IFERROR(__xludf.DUMMYFUNCTION("CONCATENATE(B794,(VLOOKUP(C794,CATALOGOS!$F$2:$H$6,3,FALSE)),(VLOOKUP(T794,CATALOGOS!$J$2:$K$18,2,FALSE)),""-"",TO_TEXT(A794))"),"P24CA-0793")</f>
        <v>P24CA-0793</v>
      </c>
      <c r="H794" s="6" t="s">
        <v>5474</v>
      </c>
      <c r="I794" s="6" t="s">
        <v>5475</v>
      </c>
      <c r="J794" s="36"/>
      <c r="K794" s="6" t="s">
        <v>141</v>
      </c>
      <c r="L794" s="17"/>
      <c r="M794" s="17"/>
      <c r="N794" s="17" t="str">
        <f t="shared" si="2"/>
        <v>REPETIDO</v>
      </c>
      <c r="O794" s="17" t="s">
        <v>49</v>
      </c>
      <c r="P794" s="6">
        <v>3196</v>
      </c>
      <c r="Q794" s="6" t="s">
        <v>36</v>
      </c>
      <c r="R794" s="10" t="s">
        <v>85</v>
      </c>
      <c r="S794" s="173" t="s">
        <v>38</v>
      </c>
      <c r="T794" s="19" t="s">
        <v>4416</v>
      </c>
      <c r="U794" s="22" t="s">
        <v>5310</v>
      </c>
      <c r="V794" s="22" t="s">
        <v>5310</v>
      </c>
      <c r="W794" s="22"/>
      <c r="X794" s="6"/>
      <c r="Y794" s="6"/>
      <c r="Z794" s="23"/>
      <c r="AA794" s="33"/>
    </row>
    <row r="795" spans="1:27" ht="15.75" customHeight="1">
      <c r="A795" s="10" t="s">
        <v>5479</v>
      </c>
      <c r="B795" s="10" t="s">
        <v>4410</v>
      </c>
      <c r="C795" s="19" t="s">
        <v>4411</v>
      </c>
      <c r="D795" s="12"/>
      <c r="E795" s="13" t="s">
        <v>501</v>
      </c>
      <c r="F795" s="43" t="s">
        <v>5480</v>
      </c>
      <c r="G795" s="6" t="str">
        <f ca="1">IFERROR(__xludf.DUMMYFUNCTION("CONCATENATE(B795,(VLOOKUP(C795,CATALOGOS!$F$2:$H$6,3,FALSE)),(VLOOKUP(T795,CATALOGOS!$J$2:$K$18,2,FALSE)),""-"",TO_TEXT(A795))"),"P24CA-0794")</f>
        <v>P24CA-0794</v>
      </c>
      <c r="H795" s="6" t="s">
        <v>5481</v>
      </c>
      <c r="I795" s="6" t="s">
        <v>5482</v>
      </c>
      <c r="J795" s="6" t="s">
        <v>5483</v>
      </c>
      <c r="K795" s="6" t="s">
        <v>5484</v>
      </c>
      <c r="L795" s="17"/>
      <c r="M795" s="17"/>
      <c r="N795" s="17" t="str">
        <f t="shared" si="2"/>
        <v>OK</v>
      </c>
      <c r="O795" s="17" t="s">
        <v>35</v>
      </c>
      <c r="P795" s="6" t="s">
        <v>35</v>
      </c>
      <c r="Q795" s="17" t="s">
        <v>36</v>
      </c>
      <c r="R795" s="17" t="s">
        <v>5485</v>
      </c>
      <c r="S795" s="173" t="s">
        <v>38</v>
      </c>
      <c r="T795" s="11" t="s">
        <v>4416</v>
      </c>
      <c r="U795" s="22" t="s">
        <v>5310</v>
      </c>
      <c r="V795" s="22" t="s">
        <v>5310</v>
      </c>
      <c r="W795" s="22"/>
      <c r="X795" s="7"/>
      <c r="Y795" s="7"/>
      <c r="Z795" s="23"/>
      <c r="AA795" s="26"/>
    </row>
    <row r="796" spans="1:27" ht="15.75" customHeight="1">
      <c r="A796" s="10" t="s">
        <v>5486</v>
      </c>
      <c r="B796" s="10" t="s">
        <v>4410</v>
      </c>
      <c r="C796" s="19" t="s">
        <v>4411</v>
      </c>
      <c r="D796" s="12"/>
      <c r="E796" s="13" t="s">
        <v>378</v>
      </c>
      <c r="F796" s="6" t="s">
        <v>1306</v>
      </c>
      <c r="G796" s="6" t="str">
        <f ca="1">IFERROR(__xludf.DUMMYFUNCTION("CONCATENATE(B796,(VLOOKUP(C796,CATALOGOS!$F$2:$H$6,3,FALSE)),(VLOOKUP(T796,CATALOGOS!$J$2:$K$18,2,FALSE)),""-"",TO_TEXT(A796))"),"P24CA-0795")</f>
        <v>P24CA-0795</v>
      </c>
      <c r="H796" s="6" t="s">
        <v>5487</v>
      </c>
      <c r="I796" s="6" t="s">
        <v>5488</v>
      </c>
      <c r="J796" s="6" t="s">
        <v>5489</v>
      </c>
      <c r="K796" s="6" t="s">
        <v>5490</v>
      </c>
      <c r="L796" s="17"/>
      <c r="M796" s="17"/>
      <c r="N796" s="17" t="str">
        <f t="shared" si="2"/>
        <v>OK</v>
      </c>
      <c r="O796" s="17" t="s">
        <v>35</v>
      </c>
      <c r="P796" s="6" t="s">
        <v>35</v>
      </c>
      <c r="Q796" s="17" t="s">
        <v>36</v>
      </c>
      <c r="R796" s="17" t="s">
        <v>5491</v>
      </c>
      <c r="S796" s="173" t="s">
        <v>38</v>
      </c>
      <c r="T796" s="11" t="s">
        <v>4416</v>
      </c>
      <c r="U796" s="22" t="s">
        <v>5310</v>
      </c>
      <c r="V796" s="22" t="s">
        <v>5310</v>
      </c>
      <c r="W796" s="22"/>
      <c r="X796" s="7"/>
      <c r="Y796" s="7"/>
      <c r="Z796" s="23"/>
      <c r="AA796" s="26"/>
    </row>
    <row r="797" spans="1:27" ht="15.75" customHeight="1">
      <c r="A797" s="10" t="s">
        <v>5492</v>
      </c>
      <c r="B797" s="10" t="s">
        <v>4410</v>
      </c>
      <c r="C797" s="19" t="s">
        <v>4411</v>
      </c>
      <c r="D797" s="12"/>
      <c r="E797" s="13" t="s">
        <v>378</v>
      </c>
      <c r="F797" s="6" t="s">
        <v>1306</v>
      </c>
      <c r="G797" s="6" t="str">
        <f ca="1">IFERROR(__xludf.DUMMYFUNCTION("CONCATENATE(B797,(VLOOKUP(C797,CATALOGOS!$F$2:$H$6,3,FALSE)),(VLOOKUP(T797,CATALOGOS!$J$2:$K$18,2,FALSE)),""-"",TO_TEXT(A797))"),"P24CA-0796")</f>
        <v>P24CA-0796</v>
      </c>
      <c r="H797" s="6" t="s">
        <v>5493</v>
      </c>
      <c r="I797" s="6" t="s">
        <v>5494</v>
      </c>
      <c r="J797" s="6" t="s">
        <v>5495</v>
      </c>
      <c r="K797" s="6" t="s">
        <v>5496</v>
      </c>
      <c r="L797" s="17"/>
      <c r="M797" s="17"/>
      <c r="N797" s="17" t="str">
        <f t="shared" si="2"/>
        <v>OK</v>
      </c>
      <c r="O797" s="17" t="s">
        <v>35</v>
      </c>
      <c r="P797" s="6" t="s">
        <v>35</v>
      </c>
      <c r="Q797" s="17" t="s">
        <v>36</v>
      </c>
      <c r="R797" s="17" t="s">
        <v>5497</v>
      </c>
      <c r="S797" s="173" t="s">
        <v>38</v>
      </c>
      <c r="T797" s="11" t="s">
        <v>4416</v>
      </c>
      <c r="U797" s="22" t="s">
        <v>5310</v>
      </c>
      <c r="V797" s="22" t="s">
        <v>5310</v>
      </c>
      <c r="W797" s="22"/>
      <c r="X797" s="7"/>
      <c r="Y797" s="7"/>
      <c r="Z797" s="23"/>
      <c r="AA797" s="26"/>
    </row>
    <row r="798" spans="1:27" ht="15.75" customHeight="1">
      <c r="A798" s="10" t="s">
        <v>5498</v>
      </c>
      <c r="B798" s="10" t="s">
        <v>4410</v>
      </c>
      <c r="C798" s="19" t="s">
        <v>4411</v>
      </c>
      <c r="D798" s="12"/>
      <c r="E798" s="13" t="s">
        <v>378</v>
      </c>
      <c r="F798" s="6" t="s">
        <v>5499</v>
      </c>
      <c r="G798" s="6" t="str">
        <f ca="1">IFERROR(__xludf.DUMMYFUNCTION("CONCATENATE(B798,(VLOOKUP(C798,CATALOGOS!$F$2:$H$6,3,FALSE)),(VLOOKUP(T798,CATALOGOS!$J$2:$K$18,2,FALSE)),""-"",TO_TEXT(A798))"),"P24CA-0797")</f>
        <v>P24CA-0797</v>
      </c>
      <c r="H798" s="6" t="s">
        <v>5500</v>
      </c>
      <c r="I798" s="6" t="s">
        <v>5501</v>
      </c>
      <c r="J798" s="6" t="s">
        <v>5502</v>
      </c>
      <c r="K798" s="6" t="s">
        <v>5503</v>
      </c>
      <c r="L798" s="17"/>
      <c r="M798" s="17"/>
      <c r="N798" s="17" t="str">
        <f t="shared" si="2"/>
        <v>OK</v>
      </c>
      <c r="O798" s="17" t="s">
        <v>35</v>
      </c>
      <c r="P798" s="6" t="s">
        <v>35</v>
      </c>
      <c r="Q798" s="17" t="s">
        <v>36</v>
      </c>
      <c r="R798" s="17" t="s">
        <v>5504</v>
      </c>
      <c r="S798" s="173" t="s">
        <v>38</v>
      </c>
      <c r="T798" s="11" t="s">
        <v>4416</v>
      </c>
      <c r="U798" s="22" t="s">
        <v>5310</v>
      </c>
      <c r="V798" s="22" t="s">
        <v>5310</v>
      </c>
      <c r="W798" s="22"/>
      <c r="X798" s="7"/>
      <c r="Y798" s="7"/>
      <c r="Z798" s="23"/>
      <c r="AA798" s="26"/>
    </row>
    <row r="799" spans="1:27" ht="15.75" customHeight="1">
      <c r="A799" s="10" t="s">
        <v>5505</v>
      </c>
      <c r="B799" s="10" t="s">
        <v>4410</v>
      </c>
      <c r="C799" s="19" t="s">
        <v>4411</v>
      </c>
      <c r="D799" s="12"/>
      <c r="E799" s="13" t="s">
        <v>116</v>
      </c>
      <c r="F799" s="43" t="s">
        <v>5506</v>
      </c>
      <c r="G799" s="6" t="str">
        <f ca="1">IFERROR(__xludf.DUMMYFUNCTION("CONCATENATE(B799,(VLOOKUP(C799,CATALOGOS!$F$2:$H$6,3,FALSE)),(VLOOKUP(T799,CATALOGOS!$J$2:$K$18,2,FALSE)),""-"",TO_TEXT(A799))"),"P24CA-0798")</f>
        <v>P24CA-0798</v>
      </c>
      <c r="H799" s="6" t="s">
        <v>5507</v>
      </c>
      <c r="I799" s="6" t="s">
        <v>5508</v>
      </c>
      <c r="J799" s="6" t="s">
        <v>5509</v>
      </c>
      <c r="K799" s="6" t="s">
        <v>5510</v>
      </c>
      <c r="L799" s="17"/>
      <c r="M799" s="17"/>
      <c r="N799" s="17" t="str">
        <f t="shared" si="2"/>
        <v>OK</v>
      </c>
      <c r="O799" s="17" t="s">
        <v>35</v>
      </c>
      <c r="P799" s="6" t="s">
        <v>35</v>
      </c>
      <c r="Q799" s="17" t="s">
        <v>36</v>
      </c>
      <c r="R799" s="17" t="s">
        <v>5511</v>
      </c>
      <c r="S799" s="173" t="s">
        <v>38</v>
      </c>
      <c r="T799" s="11" t="s">
        <v>4416</v>
      </c>
      <c r="U799" s="22" t="s">
        <v>5310</v>
      </c>
      <c r="V799" s="22" t="s">
        <v>5310</v>
      </c>
      <c r="W799" s="22"/>
      <c r="X799" s="7"/>
      <c r="Y799" s="7"/>
      <c r="Z799" s="23"/>
      <c r="AA799" s="26"/>
    </row>
    <row r="800" spans="1:27" ht="15.75" customHeight="1">
      <c r="A800" s="10" t="s">
        <v>5512</v>
      </c>
      <c r="B800" s="10" t="s">
        <v>4410</v>
      </c>
      <c r="C800" s="19" t="s">
        <v>4411</v>
      </c>
      <c r="D800" s="12"/>
      <c r="E800" s="13" t="s">
        <v>29</v>
      </c>
      <c r="F800" s="43" t="s">
        <v>29</v>
      </c>
      <c r="G800" s="6" t="str">
        <f ca="1">IFERROR(__xludf.DUMMYFUNCTION("CONCATENATE(B800,(VLOOKUP(C800,CATALOGOS!$F$2:$H$6,3,FALSE)),(VLOOKUP(T800,CATALOGOS!$J$2:$K$18,2,FALSE)),""-"",TO_TEXT(A800))"),"P24CA-0799")</f>
        <v>P24CA-0799</v>
      </c>
      <c r="H800" s="6" t="s">
        <v>5513</v>
      </c>
      <c r="I800" s="6" t="s">
        <v>5514</v>
      </c>
      <c r="J800" s="6" t="s">
        <v>5515</v>
      </c>
      <c r="K800" s="6" t="s">
        <v>5516</v>
      </c>
      <c r="L800" s="17"/>
      <c r="M800" s="17"/>
      <c r="N800" s="17" t="str">
        <f t="shared" si="2"/>
        <v>OK</v>
      </c>
      <c r="O800" s="17" t="s">
        <v>35</v>
      </c>
      <c r="P800" s="6" t="s">
        <v>35</v>
      </c>
      <c r="Q800" s="17" t="s">
        <v>5517</v>
      </c>
      <c r="R800" s="17" t="s">
        <v>5518</v>
      </c>
      <c r="S800" s="173" t="s">
        <v>38</v>
      </c>
      <c r="T800" s="11" t="s">
        <v>4416</v>
      </c>
      <c r="U800" s="22" t="s">
        <v>5310</v>
      </c>
      <c r="V800" s="22" t="s">
        <v>5310</v>
      </c>
      <c r="W800" s="22"/>
      <c r="X800" s="7"/>
      <c r="Y800" s="7"/>
      <c r="Z800" s="23"/>
      <c r="AA800" s="26"/>
    </row>
    <row r="801" spans="1:28" ht="15.75" customHeight="1">
      <c r="A801" s="10" t="s">
        <v>5519</v>
      </c>
      <c r="B801" s="10" t="s">
        <v>4410</v>
      </c>
      <c r="C801" s="19" t="s">
        <v>4411</v>
      </c>
      <c r="D801" s="12"/>
      <c r="E801" s="13" t="s">
        <v>3521</v>
      </c>
      <c r="F801" s="43" t="s">
        <v>5520</v>
      </c>
      <c r="G801" s="6" t="str">
        <f ca="1">IFERROR(__xludf.DUMMYFUNCTION("CONCATENATE(B801,(VLOOKUP(C801,CATALOGOS!$F$2:$H$6,3,FALSE)),(VLOOKUP(T801,CATALOGOS!$J$2:$K$18,2,FALSE)),""-"",TO_TEXT(A801))"),"P24CA-0800")</f>
        <v>P24CA-0800</v>
      </c>
      <c r="H801" s="6" t="s">
        <v>5521</v>
      </c>
      <c r="I801" s="6" t="s">
        <v>5522</v>
      </c>
      <c r="J801" s="6" t="s">
        <v>5523</v>
      </c>
      <c r="K801" s="6" t="s">
        <v>5524</v>
      </c>
      <c r="L801" s="17"/>
      <c r="M801" s="17"/>
      <c r="N801" s="17" t="str">
        <f t="shared" si="2"/>
        <v>OK</v>
      </c>
      <c r="O801" s="17" t="s">
        <v>35</v>
      </c>
      <c r="P801" s="6" t="s">
        <v>35</v>
      </c>
      <c r="Q801" s="17" t="s">
        <v>36</v>
      </c>
      <c r="R801" s="17" t="s">
        <v>5525</v>
      </c>
      <c r="S801" s="173" t="s">
        <v>38</v>
      </c>
      <c r="T801" s="11" t="s">
        <v>4416</v>
      </c>
      <c r="U801" s="22" t="s">
        <v>5310</v>
      </c>
      <c r="V801" s="22" t="s">
        <v>5310</v>
      </c>
      <c r="W801" s="22"/>
      <c r="X801" s="7"/>
      <c r="Y801" s="7"/>
      <c r="Z801" s="23"/>
      <c r="AA801" s="26"/>
    </row>
    <row r="802" spans="1:28" ht="15.75" customHeight="1">
      <c r="A802" s="10" t="s">
        <v>5526</v>
      </c>
      <c r="B802" s="10" t="s">
        <v>4410</v>
      </c>
      <c r="C802" s="19" t="s">
        <v>4411</v>
      </c>
      <c r="D802" s="12"/>
      <c r="E802" s="13" t="s">
        <v>116</v>
      </c>
      <c r="F802" s="43" t="s">
        <v>5527</v>
      </c>
      <c r="G802" s="6" t="str">
        <f ca="1">IFERROR(__xludf.DUMMYFUNCTION("CONCATENATE(B802,(VLOOKUP(C802,CATALOGOS!$F$2:$H$6,3,FALSE)),(VLOOKUP(T802,CATALOGOS!$J$2:$K$18,2,FALSE)),""-"",TO_TEXT(A802))"),"P24CA-0801")</f>
        <v>P24CA-0801</v>
      </c>
      <c r="H802" s="6" t="s">
        <v>5528</v>
      </c>
      <c r="I802" s="6" t="s">
        <v>5529</v>
      </c>
      <c r="J802" s="6" t="s">
        <v>5530</v>
      </c>
      <c r="K802" s="6" t="s">
        <v>5531</v>
      </c>
      <c r="L802" s="17"/>
      <c r="M802" s="17"/>
      <c r="N802" s="17" t="str">
        <f t="shared" si="2"/>
        <v>OK</v>
      </c>
      <c r="O802" s="17" t="s">
        <v>35</v>
      </c>
      <c r="P802" s="6" t="s">
        <v>35</v>
      </c>
      <c r="Q802" s="17" t="s">
        <v>36</v>
      </c>
      <c r="R802" s="17" t="s">
        <v>5532</v>
      </c>
      <c r="S802" s="173" t="s">
        <v>38</v>
      </c>
      <c r="T802" s="11" t="s">
        <v>4416</v>
      </c>
      <c r="U802" s="22" t="s">
        <v>5310</v>
      </c>
      <c r="V802" s="22" t="s">
        <v>5310</v>
      </c>
      <c r="W802" s="22"/>
      <c r="X802" s="7"/>
      <c r="Y802" s="7"/>
      <c r="Z802" s="23"/>
      <c r="AA802" s="26"/>
    </row>
    <row r="803" spans="1:28" ht="15.75" customHeight="1">
      <c r="A803" s="10" t="s">
        <v>5533</v>
      </c>
      <c r="B803" s="10" t="s">
        <v>4410</v>
      </c>
      <c r="C803" s="19" t="s">
        <v>4411</v>
      </c>
      <c r="D803" s="12"/>
      <c r="E803" s="13" t="s">
        <v>43</v>
      </c>
      <c r="F803" s="43" t="s">
        <v>5232</v>
      </c>
      <c r="G803" s="6" t="str">
        <f ca="1">IFERROR(__xludf.DUMMYFUNCTION("CONCATENATE(B803,(VLOOKUP(C803,CATALOGOS!$F$2:$H$6,3,FALSE)),(VLOOKUP(T803,CATALOGOS!$J$2:$K$18,2,FALSE)),""-"",TO_TEXT(A803))"),"P24CA-0802")</f>
        <v>P24CA-0802</v>
      </c>
      <c r="H803" s="6" t="s">
        <v>5534</v>
      </c>
      <c r="I803" s="6" t="s">
        <v>5535</v>
      </c>
      <c r="J803" s="6" t="s">
        <v>5536</v>
      </c>
      <c r="K803" s="43" t="s">
        <v>5537</v>
      </c>
      <c r="L803" s="17"/>
      <c r="M803" s="17"/>
      <c r="N803" s="17" t="str">
        <f t="shared" si="2"/>
        <v>OK</v>
      </c>
      <c r="O803" s="17" t="s">
        <v>5538</v>
      </c>
      <c r="P803" s="6" t="s">
        <v>5539</v>
      </c>
      <c r="Q803" s="6" t="s">
        <v>36</v>
      </c>
      <c r="R803" s="10" t="s">
        <v>5540</v>
      </c>
      <c r="S803" s="173" t="s">
        <v>38</v>
      </c>
      <c r="T803" s="11" t="s">
        <v>4416</v>
      </c>
      <c r="U803" s="22" t="s">
        <v>5310</v>
      </c>
      <c r="V803" s="22" t="s">
        <v>5310</v>
      </c>
      <c r="W803" s="22"/>
      <c r="X803" s="7"/>
      <c r="Y803" s="7"/>
      <c r="Z803" s="23"/>
      <c r="AA803" s="26"/>
    </row>
    <row r="804" spans="1:28" ht="15.75" customHeight="1">
      <c r="A804" s="10" t="s">
        <v>5541</v>
      </c>
      <c r="B804" s="10" t="s">
        <v>4410</v>
      </c>
      <c r="C804" s="19" t="s">
        <v>4411</v>
      </c>
      <c r="D804" s="12"/>
      <c r="E804" s="13" t="s">
        <v>162</v>
      </c>
      <c r="F804" s="43" t="s">
        <v>285</v>
      </c>
      <c r="G804" s="6" t="str">
        <f ca="1">IFERROR(__xludf.DUMMYFUNCTION("CONCATENATE(B804,(VLOOKUP(C804,CATALOGOS!$F$2:$H$6,3,FALSE)),(VLOOKUP(T804,CATALOGOS!$J$2:$K$18,2,FALSE)),""-"",TO_TEXT(A804))"),"P24CA-0803")</f>
        <v>P24CA-0803</v>
      </c>
      <c r="H804" s="6" t="s">
        <v>5542</v>
      </c>
      <c r="I804" s="6" t="s">
        <v>5543</v>
      </c>
      <c r="J804" s="6" t="s">
        <v>5544</v>
      </c>
      <c r="K804" s="6" t="s">
        <v>5545</v>
      </c>
      <c r="L804" s="17"/>
      <c r="M804" s="17"/>
      <c r="N804" s="17" t="str">
        <f t="shared" si="2"/>
        <v>OK</v>
      </c>
      <c r="O804" s="17" t="s">
        <v>168</v>
      </c>
      <c r="P804" s="6" t="s">
        <v>169</v>
      </c>
      <c r="Q804" s="17" t="s">
        <v>5546</v>
      </c>
      <c r="R804" s="17" t="s">
        <v>5547</v>
      </c>
      <c r="S804" s="173" t="s">
        <v>38</v>
      </c>
      <c r="T804" s="11" t="s">
        <v>4416</v>
      </c>
      <c r="U804" s="22" t="s">
        <v>5310</v>
      </c>
      <c r="V804" s="22" t="s">
        <v>5310</v>
      </c>
      <c r="W804" s="22"/>
      <c r="X804" s="7"/>
      <c r="Y804" s="7"/>
      <c r="Z804" s="23"/>
      <c r="AA804" s="26"/>
    </row>
    <row r="805" spans="1:28" ht="15.75" customHeight="1">
      <c r="A805" s="10" t="s">
        <v>5548</v>
      </c>
      <c r="B805" s="10" t="s">
        <v>4410</v>
      </c>
      <c r="C805" s="19" t="s">
        <v>4411</v>
      </c>
      <c r="D805" s="12"/>
      <c r="E805" s="13" t="s">
        <v>248</v>
      </c>
      <c r="F805" s="43" t="s">
        <v>249</v>
      </c>
      <c r="G805" s="6" t="str">
        <f ca="1">IFERROR(__xludf.DUMMYFUNCTION("CONCATENATE(B805,(VLOOKUP(C805,CATALOGOS!$F$2:$H$6,3,FALSE)),(VLOOKUP(T805,CATALOGOS!$J$2:$K$18,2,FALSE)),""-"",TO_TEXT(A805))"),"P24CA-0804")</f>
        <v>P24CA-0804</v>
      </c>
      <c r="H805" s="6" t="s">
        <v>5549</v>
      </c>
      <c r="I805" s="6" t="s">
        <v>5550</v>
      </c>
      <c r="J805" s="6" t="s">
        <v>5551</v>
      </c>
      <c r="K805" s="6" t="s">
        <v>5552</v>
      </c>
      <c r="L805" s="17"/>
      <c r="M805" s="17"/>
      <c r="N805" s="17" t="str">
        <f t="shared" si="2"/>
        <v>OK</v>
      </c>
      <c r="O805" s="17" t="s">
        <v>978</v>
      </c>
      <c r="P805" s="6" t="s">
        <v>979</v>
      </c>
      <c r="Q805" s="17" t="s">
        <v>5553</v>
      </c>
      <c r="R805" s="17" t="s">
        <v>5554</v>
      </c>
      <c r="S805" s="173" t="s">
        <v>38</v>
      </c>
      <c r="T805" s="11" t="s">
        <v>4416</v>
      </c>
      <c r="U805" s="22" t="s">
        <v>5310</v>
      </c>
      <c r="V805" s="22" t="s">
        <v>5310</v>
      </c>
      <c r="W805" s="22"/>
      <c r="X805" s="7"/>
      <c r="Y805" s="7"/>
      <c r="Z805" s="23"/>
      <c r="AA805" s="26"/>
    </row>
    <row r="806" spans="1:28" ht="15.75" customHeight="1">
      <c r="A806" s="10" t="s">
        <v>5555</v>
      </c>
      <c r="B806" s="10" t="s">
        <v>4410</v>
      </c>
      <c r="C806" s="19" t="s">
        <v>4411</v>
      </c>
      <c r="D806" s="12"/>
      <c r="E806" s="13" t="s">
        <v>199</v>
      </c>
      <c r="F806" s="6" t="s">
        <v>199</v>
      </c>
      <c r="G806" s="6" t="str">
        <f ca="1">IFERROR(__xludf.DUMMYFUNCTION("CONCATENATE(B806,(VLOOKUP(C806,CATALOGOS!$F$2:$H$6,3,FALSE)),(VLOOKUP(T806,CATALOGOS!$J$2:$K$18,2,FALSE)),""-"",TO_TEXT(A806))"),"P24CA-0805")</f>
        <v>P24CA-0805</v>
      </c>
      <c r="H806" s="6" t="s">
        <v>5556</v>
      </c>
      <c r="I806" s="6" t="s">
        <v>5557</v>
      </c>
      <c r="J806" s="36"/>
      <c r="K806" s="6" t="s">
        <v>5558</v>
      </c>
      <c r="L806" s="17"/>
      <c r="M806" s="17"/>
      <c r="N806" s="17" t="str">
        <f t="shared" si="2"/>
        <v>OK</v>
      </c>
      <c r="O806" s="17" t="s">
        <v>273</v>
      </c>
      <c r="P806" s="6" t="s">
        <v>274</v>
      </c>
      <c r="Q806" s="6">
        <v>11392903014323</v>
      </c>
      <c r="R806" s="10" t="s">
        <v>85</v>
      </c>
      <c r="S806" s="173" t="s">
        <v>38</v>
      </c>
      <c r="T806" s="11" t="s">
        <v>4416</v>
      </c>
      <c r="U806" s="22" t="s">
        <v>5310</v>
      </c>
      <c r="V806" s="22" t="s">
        <v>5310</v>
      </c>
      <c r="W806" s="22"/>
      <c r="X806" s="6"/>
      <c r="Y806" s="6"/>
      <c r="Z806" s="41" t="s">
        <v>92</v>
      </c>
      <c r="AA806" s="42">
        <v>44348</v>
      </c>
      <c r="AB806" s="8" t="s">
        <v>276</v>
      </c>
    </row>
    <row r="807" spans="1:28" ht="15.75" customHeight="1">
      <c r="A807" s="10" t="s">
        <v>5560</v>
      </c>
      <c r="B807" s="10" t="s">
        <v>4410</v>
      </c>
      <c r="C807" s="19" t="s">
        <v>4411</v>
      </c>
      <c r="D807" s="12"/>
      <c r="E807" s="13" t="s">
        <v>151</v>
      </c>
      <c r="F807" s="6" t="s">
        <v>4113</v>
      </c>
      <c r="G807" s="6" t="str">
        <f ca="1">IFERROR(__xludf.DUMMYFUNCTION("CONCATENATE(B807,(VLOOKUP(C807,CATALOGOS!$F$2:$H$6,3,FALSE)),(VLOOKUP(T807,CATALOGOS!$J$2:$K$18,2,FALSE)),""-"",TO_TEXT(A807))"),"P24CA-0806")</f>
        <v>P24CA-0806</v>
      </c>
      <c r="H807" s="6" t="s">
        <v>5561</v>
      </c>
      <c r="I807" s="6" t="s">
        <v>5562</v>
      </c>
      <c r="J807" s="36"/>
      <c r="K807" s="6" t="s">
        <v>5563</v>
      </c>
      <c r="L807" s="17"/>
      <c r="M807" s="17"/>
      <c r="N807" s="17" t="str">
        <f t="shared" si="2"/>
        <v>OK</v>
      </c>
      <c r="O807" s="17" t="s">
        <v>297</v>
      </c>
      <c r="P807" s="6" t="s">
        <v>298</v>
      </c>
      <c r="Q807" s="6" t="s">
        <v>5564</v>
      </c>
      <c r="R807" s="10" t="s">
        <v>85</v>
      </c>
      <c r="S807" s="173" t="s">
        <v>38</v>
      </c>
      <c r="T807" s="11" t="s">
        <v>4416</v>
      </c>
      <c r="U807" s="22" t="s">
        <v>5310</v>
      </c>
      <c r="V807" s="22" t="s">
        <v>5310</v>
      </c>
      <c r="W807" s="22"/>
      <c r="X807" s="6"/>
      <c r="Y807" s="6"/>
      <c r="Z807" s="41" t="s">
        <v>92</v>
      </c>
      <c r="AA807" s="42">
        <v>44348</v>
      </c>
      <c r="AB807" s="8">
        <v>0</v>
      </c>
    </row>
    <row r="808" spans="1:28" ht="15.75" customHeight="1">
      <c r="A808" s="10" t="s">
        <v>5566</v>
      </c>
      <c r="B808" s="10" t="s">
        <v>4410</v>
      </c>
      <c r="C808" s="19" t="s">
        <v>4411</v>
      </c>
      <c r="D808" s="12"/>
      <c r="E808" s="13" t="s">
        <v>184</v>
      </c>
      <c r="F808" s="43" t="s">
        <v>5318</v>
      </c>
      <c r="G808" s="6" t="str">
        <f ca="1">IFERROR(__xludf.DUMMYFUNCTION("CONCATENATE(B808,(VLOOKUP(C808,CATALOGOS!$F$2:$H$6,3,FALSE)),(VLOOKUP(T808,CATALOGOS!$J$2:$K$18,2,FALSE)),""-"",TO_TEXT(A808))"),"P24CA-0807")</f>
        <v>P24CA-0807</v>
      </c>
      <c r="H808" s="6" t="s">
        <v>5567</v>
      </c>
      <c r="I808" s="6" t="s">
        <v>5568</v>
      </c>
      <c r="J808" s="6" t="s">
        <v>5569</v>
      </c>
      <c r="K808" s="6" t="s">
        <v>5570</v>
      </c>
      <c r="L808" s="17"/>
      <c r="M808" s="17"/>
      <c r="N808" s="17" t="str">
        <f t="shared" si="2"/>
        <v>OK</v>
      </c>
      <c r="O808" s="17" t="s">
        <v>35</v>
      </c>
      <c r="P808" s="6" t="s">
        <v>35</v>
      </c>
      <c r="Q808" s="17" t="s">
        <v>36</v>
      </c>
      <c r="R808" s="17" t="s">
        <v>5565</v>
      </c>
      <c r="S808" s="173" t="s">
        <v>38</v>
      </c>
      <c r="T808" s="11" t="s">
        <v>4416</v>
      </c>
      <c r="U808" s="22" t="s">
        <v>5310</v>
      </c>
      <c r="V808" s="22" t="s">
        <v>5310</v>
      </c>
      <c r="W808" s="22"/>
      <c r="X808" s="7"/>
      <c r="Y808" s="7"/>
      <c r="Z808" s="23"/>
      <c r="AA808" s="26"/>
    </row>
    <row r="809" spans="1:28" ht="15.75" customHeight="1">
      <c r="A809" s="10" t="s">
        <v>5571</v>
      </c>
      <c r="B809" s="10" t="s">
        <v>4410</v>
      </c>
      <c r="C809" s="19" t="s">
        <v>4411</v>
      </c>
      <c r="D809" s="38"/>
      <c r="E809" s="13" t="s">
        <v>1275</v>
      </c>
      <c r="F809" s="43" t="s">
        <v>1275</v>
      </c>
      <c r="G809" s="6" t="str">
        <f ca="1">IFERROR(__xludf.DUMMYFUNCTION("CONCATENATE(B809,(VLOOKUP(C809,CATALOGOS!$F$2:$H$6,3,FALSE)),(VLOOKUP(T809,CATALOGOS!$J$2:$K$18,2,FALSE)),""-"",TO_TEXT(A809))"),"P24CA-0808")</f>
        <v>P24CA-0808</v>
      </c>
      <c r="H809" s="6" t="s">
        <v>5572</v>
      </c>
      <c r="I809" s="6" t="s">
        <v>5573</v>
      </c>
      <c r="J809" s="6" t="s">
        <v>5574</v>
      </c>
      <c r="K809" s="43" t="s">
        <v>141</v>
      </c>
      <c r="L809" s="17"/>
      <c r="M809" s="17"/>
      <c r="N809" s="17" t="str">
        <f t="shared" si="2"/>
        <v>REPETIDO</v>
      </c>
      <c r="O809" s="17" t="s">
        <v>205</v>
      </c>
      <c r="P809" s="49" t="s">
        <v>5575</v>
      </c>
      <c r="Q809" s="46" t="s">
        <v>5576</v>
      </c>
      <c r="R809" s="32" t="s">
        <v>5577</v>
      </c>
      <c r="S809" s="173" t="s">
        <v>38</v>
      </c>
      <c r="T809" s="188" t="s">
        <v>4416</v>
      </c>
      <c r="U809" s="22" t="s">
        <v>5310</v>
      </c>
      <c r="V809" s="22" t="s">
        <v>5310</v>
      </c>
      <c r="W809" s="22"/>
      <c r="X809" s="7"/>
      <c r="Y809" s="7"/>
      <c r="Z809" s="26"/>
      <c r="AA809" s="26"/>
    </row>
    <row r="810" spans="1:28" ht="31.5" customHeight="1">
      <c r="A810" s="10" t="s">
        <v>5578</v>
      </c>
      <c r="B810" s="10" t="s">
        <v>4410</v>
      </c>
      <c r="C810" s="19" t="s">
        <v>4411</v>
      </c>
      <c r="D810" s="12"/>
      <c r="E810" s="13" t="s">
        <v>62</v>
      </c>
      <c r="F810" s="6" t="s">
        <v>4982</v>
      </c>
      <c r="G810" s="6" t="str">
        <f ca="1">IFERROR(__xludf.DUMMYFUNCTION("CONCATENATE(B810,(VLOOKUP(C810,CATALOGOS!$F$2:$H$6,3,FALSE)),(VLOOKUP(T810,CATALOGOS!$J$2:$K$18,2,FALSE)),""-"",TO_TEXT(A810))"),"P24CA-0809")</f>
        <v>P24CA-0809</v>
      </c>
      <c r="H810" s="6" t="s">
        <v>5579</v>
      </c>
      <c r="I810" s="6" t="s">
        <v>5580</v>
      </c>
      <c r="J810" s="6" t="s">
        <v>5581</v>
      </c>
      <c r="K810" s="6" t="s">
        <v>5582</v>
      </c>
      <c r="L810" s="17"/>
      <c r="M810" s="17"/>
      <c r="N810" s="17" t="str">
        <f t="shared" si="2"/>
        <v>OK</v>
      </c>
      <c r="O810" s="17" t="s">
        <v>35</v>
      </c>
      <c r="P810" s="6" t="s">
        <v>35</v>
      </c>
      <c r="Q810" s="17" t="s">
        <v>36</v>
      </c>
      <c r="R810" s="17" t="s">
        <v>5583</v>
      </c>
      <c r="S810" s="173" t="s">
        <v>38</v>
      </c>
      <c r="T810" s="11" t="s">
        <v>4416</v>
      </c>
      <c r="U810" s="22" t="s">
        <v>5584</v>
      </c>
      <c r="V810" s="22" t="s">
        <v>5584</v>
      </c>
      <c r="W810" s="22"/>
      <c r="X810" s="7"/>
      <c r="Y810" s="7"/>
      <c r="Z810" s="23"/>
      <c r="AA810" s="26"/>
    </row>
    <row r="811" spans="1:28" ht="27.75" customHeight="1">
      <c r="A811" s="10" t="s">
        <v>5585</v>
      </c>
      <c r="B811" s="10" t="s">
        <v>4410</v>
      </c>
      <c r="C811" s="19" t="s">
        <v>4411</v>
      </c>
      <c r="D811" s="12"/>
      <c r="E811" s="13" t="s">
        <v>29</v>
      </c>
      <c r="F811" s="6" t="s">
        <v>5586</v>
      </c>
      <c r="G811" s="6" t="str">
        <f ca="1">IFERROR(__xludf.DUMMYFUNCTION("CONCATENATE(B811,(VLOOKUP(C811,CATALOGOS!$F$2:$H$6,3,FALSE)),(VLOOKUP(T811,CATALOGOS!$J$2:$K$18,2,FALSE)),""-"",TO_TEXT(A811))"),"P24CA-0810")</f>
        <v>P24CA-0810</v>
      </c>
      <c r="H811" s="6" t="s">
        <v>5587</v>
      </c>
      <c r="I811" s="6" t="s">
        <v>5588</v>
      </c>
      <c r="J811" s="6" t="s">
        <v>5589</v>
      </c>
      <c r="K811" s="6" t="s">
        <v>5590</v>
      </c>
      <c r="L811" s="17"/>
      <c r="M811" s="17"/>
      <c r="N811" s="17" t="str">
        <f t="shared" si="2"/>
        <v>OK</v>
      </c>
      <c r="O811" s="17" t="s">
        <v>35</v>
      </c>
      <c r="P811" s="6" t="s">
        <v>35</v>
      </c>
      <c r="Q811" s="17" t="s">
        <v>36</v>
      </c>
      <c r="R811" s="17" t="s">
        <v>5591</v>
      </c>
      <c r="S811" s="179" t="s">
        <v>517</v>
      </c>
      <c r="T811" s="11" t="s">
        <v>4416</v>
      </c>
      <c r="U811" s="22" t="s">
        <v>5584</v>
      </c>
      <c r="V811" s="22" t="s">
        <v>5584</v>
      </c>
      <c r="W811" s="22"/>
      <c r="X811" s="7"/>
      <c r="Y811" s="7"/>
      <c r="Z811" s="23"/>
      <c r="AA811" s="26"/>
    </row>
    <row r="812" spans="1:28" ht="15.75" customHeight="1">
      <c r="A812" s="10" t="s">
        <v>5592</v>
      </c>
      <c r="B812" s="10" t="s">
        <v>4410</v>
      </c>
      <c r="C812" s="19" t="s">
        <v>4411</v>
      </c>
      <c r="D812" s="12"/>
      <c r="E812" s="13" t="s">
        <v>387</v>
      </c>
      <c r="F812" s="43" t="s">
        <v>387</v>
      </c>
      <c r="G812" s="6" t="str">
        <f ca="1">IFERROR(__xludf.DUMMYFUNCTION("CONCATENATE(B812,(VLOOKUP(C812,CATALOGOS!$F$2:$H$6,3,FALSE)),(VLOOKUP(T812,CATALOGOS!$J$2:$K$18,2,FALSE)),""-"",TO_TEXT(A812))"),"P24CA-0811")</f>
        <v>P24CA-0811</v>
      </c>
      <c r="H812" s="6" t="s">
        <v>5593</v>
      </c>
      <c r="I812" s="6" t="s">
        <v>5594</v>
      </c>
      <c r="J812" s="6" t="s">
        <v>5595</v>
      </c>
      <c r="K812" s="43" t="s">
        <v>5596</v>
      </c>
      <c r="L812" s="17"/>
      <c r="M812" s="17"/>
      <c r="N812" s="17" t="str">
        <f t="shared" si="2"/>
        <v>OK</v>
      </c>
      <c r="O812" s="17" t="s">
        <v>5597</v>
      </c>
      <c r="P812" s="6" t="s">
        <v>5598</v>
      </c>
      <c r="Q812" s="17" t="s">
        <v>36</v>
      </c>
      <c r="R812" s="17" t="s">
        <v>5599</v>
      </c>
      <c r="S812" s="173" t="s">
        <v>38</v>
      </c>
      <c r="T812" s="11" t="s">
        <v>4416</v>
      </c>
      <c r="U812" s="22" t="s">
        <v>5584</v>
      </c>
      <c r="V812" s="22" t="s">
        <v>5584</v>
      </c>
      <c r="W812" s="22"/>
      <c r="X812" s="7"/>
      <c r="Y812" s="7"/>
      <c r="Z812" s="23"/>
      <c r="AA812" s="26"/>
    </row>
    <row r="813" spans="1:28" ht="15.75" customHeight="1">
      <c r="A813" s="10" t="s">
        <v>5600</v>
      </c>
      <c r="B813" s="10" t="s">
        <v>4410</v>
      </c>
      <c r="C813" s="19" t="s">
        <v>4411</v>
      </c>
      <c r="D813" s="12"/>
      <c r="E813" s="13" t="s">
        <v>850</v>
      </c>
      <c r="F813" s="43" t="s">
        <v>851</v>
      </c>
      <c r="G813" s="6" t="str">
        <f ca="1">IFERROR(__xludf.DUMMYFUNCTION("CONCATENATE(B813,(VLOOKUP(C813,CATALOGOS!$F$2:$H$6,3,FALSE)),(VLOOKUP(T813,CATALOGOS!$J$2:$K$18,2,FALSE)),""-"",TO_TEXT(A813))"),"P24CA-0812")</f>
        <v>P24CA-0812</v>
      </c>
      <c r="H813" s="6" t="s">
        <v>5601</v>
      </c>
      <c r="I813" s="6" t="s">
        <v>5602</v>
      </c>
      <c r="J813" s="6" t="s">
        <v>5603</v>
      </c>
      <c r="K813" s="6" t="s">
        <v>5604</v>
      </c>
      <c r="L813" s="17"/>
      <c r="M813" s="17"/>
      <c r="N813" s="17" t="str">
        <f t="shared" si="2"/>
        <v>OK</v>
      </c>
      <c r="O813" s="17" t="s">
        <v>856</v>
      </c>
      <c r="P813" s="6" t="s">
        <v>5605</v>
      </c>
      <c r="Q813" s="6" t="s">
        <v>36</v>
      </c>
      <c r="R813" s="10" t="s">
        <v>5606</v>
      </c>
      <c r="S813" s="173" t="s">
        <v>38</v>
      </c>
      <c r="T813" s="11" t="s">
        <v>4416</v>
      </c>
      <c r="U813" s="22" t="s">
        <v>5584</v>
      </c>
      <c r="V813" s="22" t="s">
        <v>5584</v>
      </c>
      <c r="W813" s="22"/>
      <c r="X813" s="7"/>
      <c r="Y813" s="7"/>
      <c r="Z813" s="23"/>
      <c r="AA813" s="26"/>
    </row>
    <row r="814" spans="1:28" ht="15.75" customHeight="1">
      <c r="A814" s="10" t="s">
        <v>5607</v>
      </c>
      <c r="B814" s="10" t="s">
        <v>4410</v>
      </c>
      <c r="C814" s="19" t="s">
        <v>4411</v>
      </c>
      <c r="D814" s="12"/>
      <c r="E814" s="13" t="s">
        <v>3521</v>
      </c>
      <c r="F814" s="6" t="s">
        <v>5608</v>
      </c>
      <c r="G814" s="6" t="str">
        <f ca="1">IFERROR(__xludf.DUMMYFUNCTION("CONCATENATE(B814,(VLOOKUP(C814,CATALOGOS!$F$2:$H$6,3,FALSE)),(VLOOKUP(T814,CATALOGOS!$J$2:$K$18,2,FALSE)),""-"",TO_TEXT(A814))"),"P24CA-0813")</f>
        <v>P24CA-0813</v>
      </c>
      <c r="H814" s="6" t="s">
        <v>5609</v>
      </c>
      <c r="I814" s="6" t="s">
        <v>5610</v>
      </c>
      <c r="J814" s="6" t="s">
        <v>5611</v>
      </c>
      <c r="K814" s="6" t="s">
        <v>5612</v>
      </c>
      <c r="L814" s="17"/>
      <c r="M814" s="17"/>
      <c r="N814" s="17" t="str">
        <f t="shared" si="2"/>
        <v>OK</v>
      </c>
      <c r="O814" s="17" t="s">
        <v>35</v>
      </c>
      <c r="P814" s="6" t="s">
        <v>35</v>
      </c>
      <c r="Q814" s="17" t="s">
        <v>36</v>
      </c>
      <c r="R814" s="17" t="s">
        <v>5613</v>
      </c>
      <c r="S814" s="173" t="s">
        <v>38</v>
      </c>
      <c r="T814" s="11" t="s">
        <v>4416</v>
      </c>
      <c r="U814" s="22" t="s">
        <v>5584</v>
      </c>
      <c r="V814" s="22" t="s">
        <v>5584</v>
      </c>
      <c r="W814" s="22"/>
      <c r="X814" s="7"/>
      <c r="Y814" s="7"/>
      <c r="Z814" s="23"/>
      <c r="AA814" s="26"/>
    </row>
    <row r="815" spans="1:28" ht="15.75" customHeight="1">
      <c r="A815" s="10" t="s">
        <v>5614</v>
      </c>
      <c r="B815" s="10" t="s">
        <v>4410</v>
      </c>
      <c r="C815" s="19" t="s">
        <v>4411</v>
      </c>
      <c r="D815" s="12"/>
      <c r="E815" s="13" t="s">
        <v>116</v>
      </c>
      <c r="F815" s="6" t="s">
        <v>5615</v>
      </c>
      <c r="G815" s="6" t="str">
        <f ca="1">IFERROR(__xludf.DUMMYFUNCTION("CONCATENATE(B815,(VLOOKUP(C815,CATALOGOS!$F$2:$H$6,3,FALSE)),(VLOOKUP(T815,CATALOGOS!$J$2:$K$18,2,FALSE)),""-"",TO_TEXT(A815))"),"P24CA-0814")</f>
        <v>P24CA-0814</v>
      </c>
      <c r="H815" s="6" t="s">
        <v>5616</v>
      </c>
      <c r="I815" s="6" t="s">
        <v>5617</v>
      </c>
      <c r="J815" s="6" t="s">
        <v>5618</v>
      </c>
      <c r="K815" s="6" t="s">
        <v>5619</v>
      </c>
      <c r="L815" s="17"/>
      <c r="M815" s="17"/>
      <c r="N815" s="17" t="str">
        <f t="shared" si="2"/>
        <v>OK</v>
      </c>
      <c r="O815" s="17" t="s">
        <v>35</v>
      </c>
      <c r="P815" s="6" t="s">
        <v>35</v>
      </c>
      <c r="Q815" s="17" t="s">
        <v>36</v>
      </c>
      <c r="R815" s="17" t="s">
        <v>5620</v>
      </c>
      <c r="S815" s="179" t="s">
        <v>100</v>
      </c>
      <c r="T815" s="11" t="s">
        <v>4416</v>
      </c>
      <c r="U815" s="22" t="s">
        <v>5584</v>
      </c>
      <c r="V815" s="22" t="s">
        <v>5584</v>
      </c>
      <c r="W815" s="22"/>
      <c r="X815" s="7"/>
      <c r="Y815" s="7"/>
      <c r="Z815" s="23"/>
      <c r="AA815" s="26"/>
    </row>
    <row r="816" spans="1:28" ht="15.75" customHeight="1">
      <c r="A816" s="10" t="s">
        <v>5621</v>
      </c>
      <c r="B816" s="10" t="s">
        <v>4410</v>
      </c>
      <c r="C816" s="19" t="s">
        <v>4411</v>
      </c>
      <c r="D816" s="12"/>
      <c r="E816" s="13" t="s">
        <v>378</v>
      </c>
      <c r="F816" s="6" t="s">
        <v>1306</v>
      </c>
      <c r="G816" s="6" t="str">
        <f ca="1">IFERROR(__xludf.DUMMYFUNCTION("CONCATENATE(B816,(VLOOKUP(C816,CATALOGOS!$F$2:$H$6,3,FALSE)),(VLOOKUP(T816,CATALOGOS!$J$2:$K$18,2,FALSE)),""-"",TO_TEXT(A816))"),"P24CA-0815")</f>
        <v>P24CA-0815</v>
      </c>
      <c r="H816" s="6" t="s">
        <v>5622</v>
      </c>
      <c r="I816" s="6" t="s">
        <v>5623</v>
      </c>
      <c r="J816" s="6" t="s">
        <v>5624</v>
      </c>
      <c r="K816" s="6" t="s">
        <v>5625</v>
      </c>
      <c r="L816" s="17"/>
      <c r="M816" s="17"/>
      <c r="N816" s="17" t="str">
        <f t="shared" si="2"/>
        <v>OK</v>
      </c>
      <c r="O816" s="17" t="s">
        <v>35</v>
      </c>
      <c r="P816" s="6" t="s">
        <v>35</v>
      </c>
      <c r="Q816" s="17" t="s">
        <v>36</v>
      </c>
      <c r="R816" s="17" t="s">
        <v>5626</v>
      </c>
      <c r="S816" s="173" t="s">
        <v>38</v>
      </c>
      <c r="T816" s="11" t="s">
        <v>4416</v>
      </c>
      <c r="U816" s="22" t="s">
        <v>5584</v>
      </c>
      <c r="V816" s="22" t="s">
        <v>5584</v>
      </c>
      <c r="W816" s="22"/>
      <c r="X816" s="7"/>
      <c r="Y816" s="7"/>
      <c r="Z816" s="23"/>
      <c r="AA816" s="26"/>
    </row>
    <row r="817" spans="1:28" ht="15.75" customHeight="1">
      <c r="A817" s="10" t="s">
        <v>5627</v>
      </c>
      <c r="B817" s="10" t="s">
        <v>4410</v>
      </c>
      <c r="C817" s="19" t="s">
        <v>4411</v>
      </c>
      <c r="D817" s="12"/>
      <c r="E817" s="13" t="s">
        <v>378</v>
      </c>
      <c r="F817" s="6" t="s">
        <v>1306</v>
      </c>
      <c r="G817" s="6" t="str">
        <f ca="1">IFERROR(__xludf.DUMMYFUNCTION("CONCATENATE(B817,(VLOOKUP(C817,CATALOGOS!$F$2:$H$6,3,FALSE)),(VLOOKUP(T817,CATALOGOS!$J$2:$K$18,2,FALSE)),""-"",TO_TEXT(A817))"),"P24CA-0816")</f>
        <v>P24CA-0816</v>
      </c>
      <c r="H817" s="6" t="s">
        <v>5628</v>
      </c>
      <c r="I817" s="6" t="s">
        <v>5629</v>
      </c>
      <c r="J817" s="6" t="s">
        <v>5630</v>
      </c>
      <c r="K817" s="6" t="s">
        <v>5631</v>
      </c>
      <c r="L817" s="17"/>
      <c r="M817" s="17"/>
      <c r="N817" s="17" t="str">
        <f t="shared" si="2"/>
        <v>OK</v>
      </c>
      <c r="O817" s="17" t="s">
        <v>35</v>
      </c>
      <c r="P817" s="6" t="s">
        <v>35</v>
      </c>
      <c r="Q817" s="17" t="s">
        <v>36</v>
      </c>
      <c r="R817" s="17" t="s">
        <v>5632</v>
      </c>
      <c r="S817" s="173" t="s">
        <v>38</v>
      </c>
      <c r="T817" s="11" t="s">
        <v>4416</v>
      </c>
      <c r="U817" s="22" t="s">
        <v>5584</v>
      </c>
      <c r="V817" s="22" t="s">
        <v>5584</v>
      </c>
      <c r="W817" s="22"/>
      <c r="X817" s="7"/>
      <c r="Y817" s="7"/>
      <c r="Z817" s="23"/>
      <c r="AA817" s="26"/>
    </row>
    <row r="818" spans="1:28" ht="15.75" customHeight="1">
      <c r="A818" s="10" t="s">
        <v>5633</v>
      </c>
      <c r="B818" s="10" t="s">
        <v>4410</v>
      </c>
      <c r="C818" s="19" t="s">
        <v>4411</v>
      </c>
      <c r="D818" s="12"/>
      <c r="E818" s="13" t="s">
        <v>378</v>
      </c>
      <c r="F818" s="6" t="s">
        <v>1306</v>
      </c>
      <c r="G818" s="6" t="str">
        <f ca="1">IFERROR(__xludf.DUMMYFUNCTION("CONCATENATE(B818,(VLOOKUP(C818,CATALOGOS!$F$2:$H$6,3,FALSE)),(VLOOKUP(T818,CATALOGOS!$J$2:$K$18,2,FALSE)),""-"",TO_TEXT(A818))"),"P24CA-0817")</f>
        <v>P24CA-0817</v>
      </c>
      <c r="H818" s="6" t="s">
        <v>5634</v>
      </c>
      <c r="I818" s="6" t="s">
        <v>5635</v>
      </c>
      <c r="J818" s="6" t="s">
        <v>5636</v>
      </c>
      <c r="K818" s="43" t="s">
        <v>5637</v>
      </c>
      <c r="L818" s="17"/>
      <c r="M818" s="17"/>
      <c r="N818" s="17" t="str">
        <f t="shared" si="2"/>
        <v>OK</v>
      </c>
      <c r="O818" s="17" t="s">
        <v>35</v>
      </c>
      <c r="P818" s="6" t="s">
        <v>35</v>
      </c>
      <c r="Q818" s="17" t="s">
        <v>36</v>
      </c>
      <c r="R818" s="17" t="s">
        <v>5638</v>
      </c>
      <c r="S818" s="173" t="s">
        <v>38</v>
      </c>
      <c r="T818" s="11" t="s">
        <v>4416</v>
      </c>
      <c r="U818" s="22" t="s">
        <v>5584</v>
      </c>
      <c r="V818" s="22" t="s">
        <v>5584</v>
      </c>
      <c r="W818" s="22"/>
      <c r="X818" s="7"/>
      <c r="Y818" s="7"/>
      <c r="Z818" s="23"/>
      <c r="AA818" s="26"/>
    </row>
    <row r="819" spans="1:28" ht="15.75" customHeight="1">
      <c r="A819" s="10" t="s">
        <v>5639</v>
      </c>
      <c r="B819" s="10" t="s">
        <v>4410</v>
      </c>
      <c r="C819" s="19" t="s">
        <v>4411</v>
      </c>
      <c r="D819" s="12"/>
      <c r="E819" s="13" t="s">
        <v>184</v>
      </c>
      <c r="F819" s="6" t="s">
        <v>2677</v>
      </c>
      <c r="G819" s="6" t="str">
        <f ca="1">IFERROR(__xludf.DUMMYFUNCTION("CONCATENATE(B819,(VLOOKUP(C819,CATALOGOS!$F$2:$H$6,3,FALSE)),(VLOOKUP(T819,CATALOGOS!$J$2:$K$18,2,FALSE)),""-"",TO_TEXT(A819))"),"P24CA-0818")</f>
        <v>P24CA-0818</v>
      </c>
      <c r="H819" s="6" t="s">
        <v>5640</v>
      </c>
      <c r="I819" s="6" t="s">
        <v>5641</v>
      </c>
      <c r="J819" s="6" t="s">
        <v>5642</v>
      </c>
      <c r="K819" s="6" t="s">
        <v>5643</v>
      </c>
      <c r="L819" s="17"/>
      <c r="M819" s="17"/>
      <c r="N819" s="17" t="str">
        <f t="shared" si="2"/>
        <v>OK</v>
      </c>
      <c r="O819" s="17" t="s">
        <v>35</v>
      </c>
      <c r="P819" s="6" t="s">
        <v>35</v>
      </c>
      <c r="Q819" s="17" t="s">
        <v>36</v>
      </c>
      <c r="R819" s="17" t="s">
        <v>5644</v>
      </c>
      <c r="S819" s="179" t="s">
        <v>100</v>
      </c>
      <c r="T819" s="11" t="s">
        <v>4416</v>
      </c>
      <c r="U819" s="22" t="s">
        <v>5584</v>
      </c>
      <c r="V819" s="22" t="s">
        <v>5584</v>
      </c>
      <c r="W819" s="22"/>
      <c r="X819" s="7"/>
      <c r="Y819" s="7"/>
      <c r="Z819" s="23"/>
      <c r="AA819" s="26"/>
    </row>
    <row r="820" spans="1:28" ht="15.75" customHeight="1">
      <c r="A820" s="10" t="s">
        <v>5645</v>
      </c>
      <c r="B820" s="10" t="s">
        <v>4410</v>
      </c>
      <c r="C820" s="19" t="s">
        <v>4411</v>
      </c>
      <c r="D820" s="12"/>
      <c r="E820" s="13" t="s">
        <v>43</v>
      </c>
      <c r="F820" s="6" t="s">
        <v>5232</v>
      </c>
      <c r="G820" s="6" t="str">
        <f ca="1">IFERROR(__xludf.DUMMYFUNCTION("CONCATENATE(B820,(VLOOKUP(C820,CATALOGOS!$F$2:$H$6,3,FALSE)),(VLOOKUP(T820,CATALOGOS!$J$2:$K$18,2,FALSE)),""-"",TO_TEXT(A820))"),"P24CA-0819")</f>
        <v>P24CA-0819</v>
      </c>
      <c r="H820" s="6" t="s">
        <v>5646</v>
      </c>
      <c r="I820" s="6" t="s">
        <v>5647</v>
      </c>
      <c r="J820" s="6" t="s">
        <v>5648</v>
      </c>
      <c r="K820" s="6" t="s">
        <v>5649</v>
      </c>
      <c r="L820" s="17"/>
      <c r="M820" s="17"/>
      <c r="N820" s="17" t="str">
        <f t="shared" si="2"/>
        <v>OK</v>
      </c>
      <c r="O820" s="17" t="s">
        <v>5538</v>
      </c>
      <c r="P820" s="6" t="s">
        <v>5539</v>
      </c>
      <c r="Q820" s="6" t="s">
        <v>36</v>
      </c>
      <c r="R820" s="10" t="s">
        <v>5650</v>
      </c>
      <c r="S820" s="179" t="s">
        <v>517</v>
      </c>
      <c r="T820" s="11" t="s">
        <v>4416</v>
      </c>
      <c r="U820" s="22" t="s">
        <v>5584</v>
      </c>
      <c r="V820" s="22" t="s">
        <v>5584</v>
      </c>
      <c r="W820" s="22"/>
      <c r="X820" s="7"/>
      <c r="Y820" s="7"/>
      <c r="Z820" s="23"/>
      <c r="AA820" s="26"/>
    </row>
    <row r="821" spans="1:28" ht="15.75" customHeight="1">
      <c r="A821" s="10" t="s">
        <v>5651</v>
      </c>
      <c r="B821" s="10" t="s">
        <v>4410</v>
      </c>
      <c r="C821" s="19" t="s">
        <v>4411</v>
      </c>
      <c r="D821" s="12"/>
      <c r="E821" s="13" t="s">
        <v>93</v>
      </c>
      <c r="F821" s="6" t="s">
        <v>5652</v>
      </c>
      <c r="G821" s="6" t="str">
        <f ca="1">IFERROR(__xludf.DUMMYFUNCTION("CONCATENATE(B821,(VLOOKUP(C821,CATALOGOS!$F$2:$H$6,3,FALSE)),(VLOOKUP(T821,CATALOGOS!$J$2:$K$18,2,FALSE)),""-"",TO_TEXT(A821))"),"P24CA-0820")</f>
        <v>P24CA-0820</v>
      </c>
      <c r="H821" s="6" t="s">
        <v>5653</v>
      </c>
      <c r="I821" s="6" t="s">
        <v>5654</v>
      </c>
      <c r="J821" s="6" t="s">
        <v>5655</v>
      </c>
      <c r="K821" s="6" t="s">
        <v>5656</v>
      </c>
      <c r="L821" s="17"/>
      <c r="M821" s="17"/>
      <c r="N821" s="17" t="str">
        <f t="shared" si="2"/>
        <v>OK</v>
      </c>
      <c r="O821" s="17" t="s">
        <v>35</v>
      </c>
      <c r="P821" s="6" t="s">
        <v>35</v>
      </c>
      <c r="Q821" s="17" t="s">
        <v>36</v>
      </c>
      <c r="R821" s="17" t="s">
        <v>5657</v>
      </c>
      <c r="S821" s="173" t="s">
        <v>38</v>
      </c>
      <c r="T821" s="11" t="s">
        <v>4416</v>
      </c>
      <c r="U821" s="22" t="s">
        <v>5584</v>
      </c>
      <c r="V821" s="22" t="s">
        <v>5584</v>
      </c>
      <c r="W821" s="22"/>
      <c r="X821" s="7"/>
      <c r="Y821" s="7"/>
      <c r="Z821" s="23"/>
      <c r="AA821" s="26"/>
    </row>
    <row r="822" spans="1:28" ht="15.75" customHeight="1">
      <c r="A822" s="10" t="s">
        <v>5658</v>
      </c>
      <c r="B822" s="10" t="s">
        <v>4410</v>
      </c>
      <c r="C822" s="19" t="s">
        <v>4411</v>
      </c>
      <c r="D822" s="12"/>
      <c r="E822" s="13" t="s">
        <v>162</v>
      </c>
      <c r="F822" s="43" t="s">
        <v>285</v>
      </c>
      <c r="G822" s="6" t="str">
        <f ca="1">IFERROR(__xludf.DUMMYFUNCTION("CONCATENATE(B822,(VLOOKUP(C822,CATALOGOS!$F$2:$H$6,3,FALSE)),(VLOOKUP(T822,CATALOGOS!$J$2:$K$18,2,FALSE)),""-"",TO_TEXT(A822))"),"P24CA-0821")</f>
        <v>P24CA-0821</v>
      </c>
      <c r="H822" s="6" t="s">
        <v>5659</v>
      </c>
      <c r="I822" s="6" t="s">
        <v>5660</v>
      </c>
      <c r="J822" s="6" t="s">
        <v>5661</v>
      </c>
      <c r="K822" s="6" t="s">
        <v>5662</v>
      </c>
      <c r="L822" s="17"/>
      <c r="M822" s="17"/>
      <c r="N822" s="17" t="str">
        <f t="shared" si="2"/>
        <v>OK</v>
      </c>
      <c r="O822" s="17" t="s">
        <v>168</v>
      </c>
      <c r="P822" s="6" t="s">
        <v>169</v>
      </c>
      <c r="Q822" s="17" t="s">
        <v>5663</v>
      </c>
      <c r="R822" s="17" t="s">
        <v>5664</v>
      </c>
      <c r="S822" s="179" t="s">
        <v>100</v>
      </c>
      <c r="T822" s="11" t="s">
        <v>4416</v>
      </c>
      <c r="U822" s="22" t="s">
        <v>5584</v>
      </c>
      <c r="V822" s="22" t="s">
        <v>5584</v>
      </c>
      <c r="W822" s="22"/>
      <c r="X822" s="7"/>
      <c r="Y822" s="7"/>
      <c r="Z822" s="23"/>
      <c r="AA822" s="26"/>
    </row>
    <row r="823" spans="1:28" ht="15.75" customHeight="1">
      <c r="A823" s="10" t="s">
        <v>5665</v>
      </c>
      <c r="B823" s="10" t="s">
        <v>4410</v>
      </c>
      <c r="C823" s="19" t="s">
        <v>4411</v>
      </c>
      <c r="D823" s="12"/>
      <c r="E823" s="13" t="s">
        <v>248</v>
      </c>
      <c r="F823" s="43" t="s">
        <v>248</v>
      </c>
      <c r="G823" s="6" t="str">
        <f ca="1">IFERROR(__xludf.DUMMYFUNCTION("CONCATENATE(B823,(VLOOKUP(C823,CATALOGOS!$F$2:$H$6,3,FALSE)),(VLOOKUP(T823,CATALOGOS!$J$2:$K$18,2,FALSE)),""-"",TO_TEXT(A823))"),"P24CA-0822")</f>
        <v>P24CA-0822</v>
      </c>
      <c r="H823" s="6" t="s">
        <v>5666</v>
      </c>
      <c r="I823" s="6" t="s">
        <v>5667</v>
      </c>
      <c r="J823" s="6" t="s">
        <v>5668</v>
      </c>
      <c r="K823" s="6" t="s">
        <v>5669</v>
      </c>
      <c r="L823" s="17"/>
      <c r="M823" s="17"/>
      <c r="N823" s="17" t="str">
        <f t="shared" si="2"/>
        <v>OK</v>
      </c>
      <c r="O823" s="17" t="s">
        <v>978</v>
      </c>
      <c r="P823" s="6" t="s">
        <v>979</v>
      </c>
      <c r="Q823" s="17" t="s">
        <v>5670</v>
      </c>
      <c r="R823" s="17" t="s">
        <v>5671</v>
      </c>
      <c r="S823" s="173" t="s">
        <v>38</v>
      </c>
      <c r="T823" s="11" t="s">
        <v>4416</v>
      </c>
      <c r="U823" s="22" t="s">
        <v>5584</v>
      </c>
      <c r="V823" s="22" t="s">
        <v>5584</v>
      </c>
      <c r="W823" s="22"/>
      <c r="X823" s="7"/>
      <c r="Y823" s="7"/>
      <c r="Z823" s="23"/>
      <c r="AA823" s="26"/>
    </row>
    <row r="824" spans="1:28" ht="15.75" customHeight="1">
      <c r="A824" s="10" t="s">
        <v>5672</v>
      </c>
      <c r="B824" s="10" t="s">
        <v>4410</v>
      </c>
      <c r="C824" s="19" t="s">
        <v>4411</v>
      </c>
      <c r="D824" s="12"/>
      <c r="E824" s="13" t="s">
        <v>199</v>
      </c>
      <c r="F824" s="6" t="s">
        <v>199</v>
      </c>
      <c r="G824" s="6" t="str">
        <f ca="1">IFERROR(__xludf.DUMMYFUNCTION("CONCATENATE(B824,(VLOOKUP(C824,CATALOGOS!$F$2:$H$6,3,FALSE)),(VLOOKUP(T824,CATALOGOS!$J$2:$K$18,2,FALSE)),""-"",TO_TEXT(A824))"),"P24CA-0823")</f>
        <v>P24CA-0823</v>
      </c>
      <c r="H824" s="6" t="s">
        <v>5673</v>
      </c>
      <c r="I824" s="6" t="s">
        <v>5674</v>
      </c>
      <c r="J824" s="36"/>
      <c r="K824" s="6" t="s">
        <v>5675</v>
      </c>
      <c r="L824" s="17"/>
      <c r="M824" s="17"/>
      <c r="N824" s="17" t="str">
        <f t="shared" si="2"/>
        <v>OK</v>
      </c>
      <c r="O824" s="17" t="s">
        <v>273</v>
      </c>
      <c r="P824" s="6" t="s">
        <v>274</v>
      </c>
      <c r="Q824" s="6">
        <v>11392903012333</v>
      </c>
      <c r="R824" s="10" t="s">
        <v>85</v>
      </c>
      <c r="S824" s="173" t="s">
        <v>38</v>
      </c>
      <c r="T824" s="11" t="s">
        <v>4416</v>
      </c>
      <c r="U824" s="22" t="s">
        <v>5584</v>
      </c>
      <c r="V824" s="22" t="s">
        <v>5584</v>
      </c>
      <c r="W824" s="22"/>
      <c r="X824" s="6"/>
      <c r="Y824" s="6"/>
      <c r="Z824" s="41" t="s">
        <v>92</v>
      </c>
      <c r="AA824" s="42">
        <v>44348</v>
      </c>
      <c r="AB824" s="8" t="s">
        <v>276</v>
      </c>
    </row>
    <row r="825" spans="1:28" ht="15.75" customHeight="1">
      <c r="A825" s="10" t="s">
        <v>5676</v>
      </c>
      <c r="B825" s="10" t="s">
        <v>4410</v>
      </c>
      <c r="C825" s="19" t="s">
        <v>4411</v>
      </c>
      <c r="D825" s="12"/>
      <c r="E825" s="13" t="s">
        <v>151</v>
      </c>
      <c r="F825" s="6" t="s">
        <v>2236</v>
      </c>
      <c r="G825" s="6" t="str">
        <f ca="1">IFERROR(__xludf.DUMMYFUNCTION("CONCATENATE(B825,(VLOOKUP(C825,CATALOGOS!$F$2:$H$6,3,FALSE)),(VLOOKUP(T825,CATALOGOS!$J$2:$K$18,2,FALSE)),""-"",TO_TEXT(A825))"),"P24CA-0824")</f>
        <v>P24CA-0824</v>
      </c>
      <c r="H825" s="6" t="s">
        <v>5677</v>
      </c>
      <c r="I825" s="6" t="s">
        <v>5678</v>
      </c>
      <c r="J825" s="6" t="s">
        <v>5679</v>
      </c>
      <c r="K825" s="6" t="s">
        <v>5680</v>
      </c>
      <c r="L825" s="17"/>
      <c r="M825" s="17"/>
      <c r="N825" s="17" t="str">
        <f t="shared" si="2"/>
        <v>OK</v>
      </c>
      <c r="O825" s="17" t="s">
        <v>1220</v>
      </c>
      <c r="P825" s="6" t="s">
        <v>720</v>
      </c>
      <c r="Q825" s="17" t="s">
        <v>5681</v>
      </c>
      <c r="R825" s="17" t="s">
        <v>5682</v>
      </c>
      <c r="S825" s="173" t="s">
        <v>38</v>
      </c>
      <c r="T825" s="11" t="s">
        <v>4416</v>
      </c>
      <c r="U825" s="22" t="s">
        <v>5584</v>
      </c>
      <c r="V825" s="22" t="s">
        <v>5584</v>
      </c>
      <c r="W825" s="22"/>
      <c r="X825" s="7"/>
      <c r="Y825" s="7"/>
      <c r="Z825" s="23"/>
      <c r="AA825" s="26"/>
    </row>
    <row r="826" spans="1:28" ht="15.75" customHeight="1">
      <c r="A826" s="10" t="s">
        <v>5683</v>
      </c>
      <c r="B826" s="10" t="s">
        <v>4410</v>
      </c>
      <c r="C826" s="19" t="s">
        <v>4411</v>
      </c>
      <c r="D826" s="38"/>
      <c r="E826" s="13" t="s">
        <v>151</v>
      </c>
      <c r="F826" s="6" t="s">
        <v>4113</v>
      </c>
      <c r="G826" s="6" t="str">
        <f ca="1">IFERROR(__xludf.DUMMYFUNCTION("CONCATENATE(B826,(VLOOKUP(C826,CATALOGOS!$F$2:$H$6,3,FALSE)),(VLOOKUP(T826,CATALOGOS!$J$2:$K$18,2,FALSE)),""-"",TO_TEXT(A826))"),"P24CA-0825")</f>
        <v>P24CA-0825</v>
      </c>
      <c r="H826" s="6" t="s">
        <v>5684</v>
      </c>
      <c r="I826" s="6" t="s">
        <v>5685</v>
      </c>
      <c r="J826" s="36"/>
      <c r="K826" s="6" t="s">
        <v>5686</v>
      </c>
      <c r="L826" s="17"/>
      <c r="M826" s="17"/>
      <c r="N826" s="17" t="str">
        <f t="shared" si="2"/>
        <v>OK</v>
      </c>
      <c r="O826" s="17" t="s">
        <v>297</v>
      </c>
      <c r="P826" s="6" t="s">
        <v>298</v>
      </c>
      <c r="Q826" s="6" t="s">
        <v>5687</v>
      </c>
      <c r="R826" s="32" t="s">
        <v>85</v>
      </c>
      <c r="S826" s="173" t="s">
        <v>38</v>
      </c>
      <c r="T826" s="11" t="s">
        <v>4416</v>
      </c>
      <c r="U826" s="22" t="s">
        <v>5584</v>
      </c>
      <c r="V826" s="22" t="s">
        <v>5584</v>
      </c>
      <c r="W826" s="22"/>
      <c r="X826" s="6"/>
      <c r="Y826" s="6"/>
      <c r="Z826" s="73" t="s">
        <v>92</v>
      </c>
      <c r="AA826" s="42">
        <v>44348</v>
      </c>
      <c r="AB826" s="8">
        <v>0</v>
      </c>
    </row>
    <row r="827" spans="1:28" ht="29.25">
      <c r="A827" s="10" t="s">
        <v>5688</v>
      </c>
      <c r="B827" s="10" t="s">
        <v>4410</v>
      </c>
      <c r="C827" s="19" t="s">
        <v>4411</v>
      </c>
      <c r="D827" s="12"/>
      <c r="E827" s="13" t="s">
        <v>501</v>
      </c>
      <c r="F827" s="6" t="s">
        <v>5689</v>
      </c>
      <c r="G827" s="6" t="str">
        <f ca="1">IFERROR(__xludf.DUMMYFUNCTION("CONCATENATE(B827,(VLOOKUP(C827,CATALOGOS!$F$2:$H$6,3,FALSE)),(VLOOKUP(T827,CATALOGOS!$J$2:$K$18,2,FALSE)),""-"",TO_TEXT(A827))"),"P24NV-0826")</f>
        <v>P24NV-0826</v>
      </c>
      <c r="H827" s="6" t="s">
        <v>5690</v>
      </c>
      <c r="I827" s="6" t="s">
        <v>5691</v>
      </c>
      <c r="J827" s="6" t="s">
        <v>5692</v>
      </c>
      <c r="K827" s="80" t="s">
        <v>5693</v>
      </c>
      <c r="L827" s="17"/>
      <c r="M827" s="17"/>
      <c r="N827" s="17" t="str">
        <f t="shared" si="2"/>
        <v>OK</v>
      </c>
      <c r="O827" s="17" t="s">
        <v>35</v>
      </c>
      <c r="P827" s="6" t="s">
        <v>35</v>
      </c>
      <c r="Q827" s="17" t="s">
        <v>36</v>
      </c>
      <c r="R827" s="17" t="s">
        <v>5694</v>
      </c>
      <c r="S827" s="173" t="s">
        <v>38</v>
      </c>
      <c r="T827" s="181" t="s">
        <v>5695</v>
      </c>
      <c r="U827" s="22" t="s">
        <v>5696</v>
      </c>
      <c r="V827" s="22" t="s">
        <v>5696</v>
      </c>
      <c r="W827" s="22"/>
      <c r="X827" s="7"/>
      <c r="Y827" s="7"/>
      <c r="Z827" s="23"/>
      <c r="AA827" s="26"/>
    </row>
    <row r="828" spans="1:28" ht="15.75" customHeight="1">
      <c r="A828" s="10" t="s">
        <v>5697</v>
      </c>
      <c r="B828" s="10" t="s">
        <v>4410</v>
      </c>
      <c r="C828" s="19" t="s">
        <v>4411</v>
      </c>
      <c r="D828" s="12"/>
      <c r="E828" s="13" t="s">
        <v>378</v>
      </c>
      <c r="F828" s="43" t="s">
        <v>1450</v>
      </c>
      <c r="G828" s="6" t="str">
        <f ca="1">IFERROR(__xludf.DUMMYFUNCTION("CONCATENATE(B828,(VLOOKUP(C828,CATALOGOS!$F$2:$H$6,3,FALSE)),(VLOOKUP(T828,CATALOGOS!$J$2:$K$18,2,FALSE)),""-"",TO_TEXT(A828))"),"P24NV-0827")</f>
        <v>P24NV-0827</v>
      </c>
      <c r="H828" s="6" t="s">
        <v>5698</v>
      </c>
      <c r="I828" s="6" t="s">
        <v>5699</v>
      </c>
      <c r="J828" s="6" t="s">
        <v>5700</v>
      </c>
      <c r="K828" s="6" t="s">
        <v>5701</v>
      </c>
      <c r="L828" s="17"/>
      <c r="M828" s="17"/>
      <c r="N828" s="17" t="str">
        <f t="shared" si="2"/>
        <v>OK</v>
      </c>
      <c r="O828" s="17" t="s">
        <v>35</v>
      </c>
      <c r="P828" s="6" t="s">
        <v>35</v>
      </c>
      <c r="Q828" s="17" t="s">
        <v>36</v>
      </c>
      <c r="R828" s="17" t="s">
        <v>5702</v>
      </c>
      <c r="S828" s="173" t="s">
        <v>38</v>
      </c>
      <c r="T828" s="181" t="s">
        <v>5695</v>
      </c>
      <c r="U828" s="22" t="s">
        <v>5696</v>
      </c>
      <c r="V828" s="22" t="s">
        <v>5696</v>
      </c>
      <c r="W828" s="22"/>
      <c r="X828" s="7"/>
      <c r="Y828" s="7"/>
      <c r="Z828" s="23"/>
      <c r="AA828" s="26"/>
    </row>
    <row r="829" spans="1:28" ht="15.75" customHeight="1">
      <c r="A829" s="10" t="s">
        <v>5703</v>
      </c>
      <c r="B829" s="10" t="s">
        <v>4410</v>
      </c>
      <c r="C829" s="19" t="s">
        <v>4411</v>
      </c>
      <c r="D829" s="12"/>
      <c r="E829" s="13" t="s">
        <v>116</v>
      </c>
      <c r="F829" s="6" t="s">
        <v>364</v>
      </c>
      <c r="G829" s="6" t="str">
        <f ca="1">IFERROR(__xludf.DUMMYFUNCTION("CONCATENATE(B829,(VLOOKUP(C829,CATALOGOS!$F$2:$H$6,3,FALSE)),(VLOOKUP(T829,CATALOGOS!$J$2:$K$18,2,FALSE)),""-"",TO_TEXT(A829))"),"P24NV-0828")</f>
        <v>P24NV-0828</v>
      </c>
      <c r="H829" s="6" t="s">
        <v>5704</v>
      </c>
      <c r="I829" s="6" t="s">
        <v>5705</v>
      </c>
      <c r="J829" s="6" t="s">
        <v>5706</v>
      </c>
      <c r="K829" s="6" t="s">
        <v>5707</v>
      </c>
      <c r="L829" s="17"/>
      <c r="M829" s="17"/>
      <c r="N829" s="17" t="str">
        <f t="shared" si="2"/>
        <v>OK</v>
      </c>
      <c r="O829" s="17" t="s">
        <v>35</v>
      </c>
      <c r="P829" s="6" t="s">
        <v>35</v>
      </c>
      <c r="Q829" s="17" t="s">
        <v>36</v>
      </c>
      <c r="R829" s="17" t="s">
        <v>5708</v>
      </c>
      <c r="S829" s="173" t="s">
        <v>38</v>
      </c>
      <c r="T829" s="181" t="s">
        <v>5695</v>
      </c>
      <c r="U829" s="22" t="s">
        <v>5696</v>
      </c>
      <c r="V829" s="22" t="s">
        <v>5696</v>
      </c>
      <c r="W829" s="22"/>
      <c r="X829" s="7"/>
      <c r="Y829" s="7"/>
      <c r="Z829" s="23"/>
      <c r="AA829" s="26"/>
    </row>
    <row r="830" spans="1:28" ht="15.75" customHeight="1">
      <c r="A830" s="10" t="s">
        <v>5709</v>
      </c>
      <c r="B830" s="10" t="s">
        <v>4410</v>
      </c>
      <c r="C830" s="19" t="s">
        <v>4411</v>
      </c>
      <c r="D830" s="12"/>
      <c r="E830" s="13" t="s">
        <v>248</v>
      </c>
      <c r="F830" s="43" t="s">
        <v>248</v>
      </c>
      <c r="G830" s="6" t="str">
        <f ca="1">IFERROR(__xludf.DUMMYFUNCTION("CONCATENATE(B830,(VLOOKUP(C830,CATALOGOS!$F$2:$H$6,3,FALSE)),(VLOOKUP(T830,CATALOGOS!$J$2:$K$18,2,FALSE)),""-"",TO_TEXT(A830))"),"P24NV-0829")</f>
        <v>P24NV-0829</v>
      </c>
      <c r="H830" s="6" t="s">
        <v>5710</v>
      </c>
      <c r="I830" s="6" t="s">
        <v>5711</v>
      </c>
      <c r="J830" s="6" t="s">
        <v>5712</v>
      </c>
      <c r="K830" s="6" t="s">
        <v>5713</v>
      </c>
      <c r="L830" s="17"/>
      <c r="M830" s="17"/>
      <c r="N830" s="17" t="str">
        <f t="shared" si="2"/>
        <v>OK</v>
      </c>
      <c r="O830" s="17" t="s">
        <v>978</v>
      </c>
      <c r="P830" s="6" t="s">
        <v>979</v>
      </c>
      <c r="Q830" s="17" t="s">
        <v>5714</v>
      </c>
      <c r="R830" s="17" t="s">
        <v>5715</v>
      </c>
      <c r="S830" s="173" t="s">
        <v>38</v>
      </c>
      <c r="T830" s="181" t="s">
        <v>5695</v>
      </c>
      <c r="U830" s="22" t="s">
        <v>5696</v>
      </c>
      <c r="V830" s="22" t="s">
        <v>5696</v>
      </c>
      <c r="W830" s="22"/>
      <c r="X830" s="7"/>
      <c r="Y830" s="7"/>
      <c r="Z830" s="23"/>
      <c r="AA830" s="26"/>
    </row>
    <row r="831" spans="1:28" ht="15.75" customHeight="1">
      <c r="A831" s="10" t="s">
        <v>5716</v>
      </c>
      <c r="B831" s="10" t="s">
        <v>4410</v>
      </c>
      <c r="C831" s="19" t="s">
        <v>4411</v>
      </c>
      <c r="D831" s="12"/>
      <c r="E831" s="13" t="s">
        <v>199</v>
      </c>
      <c r="F831" s="6" t="s">
        <v>199</v>
      </c>
      <c r="G831" s="6" t="str">
        <f ca="1">IFERROR(__xludf.DUMMYFUNCTION("CONCATENATE(B831,(VLOOKUP(C831,CATALOGOS!$F$2:$H$6,3,FALSE)),(VLOOKUP(T831,CATALOGOS!$J$2:$K$18,2,FALSE)),""-"",TO_TEXT(A831))"),"P24NV-0830")</f>
        <v>P24NV-0830</v>
      </c>
      <c r="H831" s="6" t="s">
        <v>5717</v>
      </c>
      <c r="I831" s="6" t="s">
        <v>5718</v>
      </c>
      <c r="J831" s="37"/>
      <c r="K831" s="6" t="s">
        <v>5719</v>
      </c>
      <c r="L831" s="17"/>
      <c r="M831" s="17"/>
      <c r="N831" s="17" t="str">
        <f t="shared" si="2"/>
        <v>OK</v>
      </c>
      <c r="O831" s="17" t="s">
        <v>273</v>
      </c>
      <c r="P831" s="6" t="s">
        <v>274</v>
      </c>
      <c r="Q831" s="6">
        <v>11392903012346</v>
      </c>
      <c r="R831" s="10" t="s">
        <v>85</v>
      </c>
      <c r="S831" s="173" t="s">
        <v>38</v>
      </c>
      <c r="T831" s="181" t="s">
        <v>5695</v>
      </c>
      <c r="U831" s="22" t="s">
        <v>5696</v>
      </c>
      <c r="V831" s="22" t="s">
        <v>5696</v>
      </c>
      <c r="W831" s="22"/>
      <c r="X831" s="6"/>
      <c r="Y831" s="6"/>
      <c r="Z831" s="41" t="s">
        <v>92</v>
      </c>
      <c r="AA831" s="42">
        <v>44348</v>
      </c>
      <c r="AB831" s="8" t="s">
        <v>276</v>
      </c>
    </row>
    <row r="832" spans="1:28" ht="15.75" customHeight="1">
      <c r="A832" s="10" t="s">
        <v>5720</v>
      </c>
      <c r="B832" s="10" t="s">
        <v>4410</v>
      </c>
      <c r="C832" s="19" t="s">
        <v>4411</v>
      </c>
      <c r="D832" s="12"/>
      <c r="E832" s="13" t="s">
        <v>151</v>
      </c>
      <c r="F832" s="6" t="s">
        <v>714</v>
      </c>
      <c r="G832" s="6" t="str">
        <f ca="1">IFERROR(__xludf.DUMMYFUNCTION("CONCATENATE(B832,(VLOOKUP(C832,CATALOGOS!$F$2:$H$6,3,FALSE)),(VLOOKUP(T832,CATALOGOS!$J$2:$K$18,2,FALSE)),""-"",TO_TEXT(A832))"),"P24NV-0831")</f>
        <v>P24NV-0831</v>
      </c>
      <c r="H832" s="6" t="s">
        <v>5721</v>
      </c>
      <c r="I832" s="6" t="s">
        <v>5722</v>
      </c>
      <c r="J832" s="37"/>
      <c r="K832" s="6" t="s">
        <v>5723</v>
      </c>
      <c r="L832" s="17"/>
      <c r="M832" s="17"/>
      <c r="N832" s="17" t="str">
        <f t="shared" si="2"/>
        <v>OK</v>
      </c>
      <c r="O832" s="17" t="s">
        <v>297</v>
      </c>
      <c r="P832" s="6" t="s">
        <v>298</v>
      </c>
      <c r="Q832" s="6" t="s">
        <v>5724</v>
      </c>
      <c r="R832" s="10" t="s">
        <v>85</v>
      </c>
      <c r="S832" s="173" t="s">
        <v>38</v>
      </c>
      <c r="T832" s="181" t="s">
        <v>5695</v>
      </c>
      <c r="U832" s="22" t="s">
        <v>5696</v>
      </c>
      <c r="V832" s="22" t="s">
        <v>5696</v>
      </c>
      <c r="W832" s="22"/>
      <c r="X832" s="6"/>
      <c r="Y832" s="6"/>
      <c r="Z832" s="41" t="s">
        <v>92</v>
      </c>
      <c r="AA832" s="42">
        <v>44348</v>
      </c>
      <c r="AB832" s="8">
        <v>0</v>
      </c>
    </row>
    <row r="833" spans="1:27" ht="15.75" customHeight="1">
      <c r="A833" s="10" t="s">
        <v>5725</v>
      </c>
      <c r="B833" s="10" t="s">
        <v>4410</v>
      </c>
      <c r="C833" s="19" t="s">
        <v>4411</v>
      </c>
      <c r="D833" s="38"/>
      <c r="E833" s="13" t="s">
        <v>43</v>
      </c>
      <c r="F833" s="43" t="s">
        <v>315</v>
      </c>
      <c r="G833" s="6" t="str">
        <f ca="1">IFERROR(__xludf.DUMMYFUNCTION("CONCATENATE(B833,(VLOOKUP(C833,CATALOGOS!$F$2:$H$6,3,FALSE)),(VLOOKUP(T833,CATALOGOS!$J$2:$K$18,2,FALSE)),""-"",TO_TEXT(A833))"),"P24NV-0832")</f>
        <v>P24NV-0832</v>
      </c>
      <c r="H833" s="6" t="s">
        <v>5726</v>
      </c>
      <c r="I833" s="6" t="s">
        <v>5727</v>
      </c>
      <c r="J833" s="6" t="s">
        <v>5728</v>
      </c>
      <c r="K833" s="6" t="s">
        <v>5729</v>
      </c>
      <c r="L833" s="17"/>
      <c r="M833" s="17"/>
      <c r="N833" s="17" t="str">
        <f t="shared" si="2"/>
        <v>OK</v>
      </c>
      <c r="O833" s="17" t="s">
        <v>2586</v>
      </c>
      <c r="P833" s="6" t="s">
        <v>5730</v>
      </c>
      <c r="Q833" s="46" t="s">
        <v>36</v>
      </c>
      <c r="R833" s="17" t="s">
        <v>5731</v>
      </c>
      <c r="S833" s="179" t="s">
        <v>100</v>
      </c>
      <c r="T833" s="181" t="s">
        <v>5695</v>
      </c>
      <c r="U833" s="22" t="s">
        <v>5696</v>
      </c>
      <c r="V833" s="22" t="s">
        <v>5696</v>
      </c>
      <c r="W833" s="22"/>
      <c r="X833" s="7"/>
      <c r="Y833" s="7"/>
      <c r="Z833" s="26"/>
      <c r="AA833" s="26"/>
    </row>
    <row r="834" spans="1:27" ht="15.75" customHeight="1">
      <c r="A834" s="10" t="s">
        <v>5732</v>
      </c>
      <c r="B834" s="10" t="s">
        <v>474</v>
      </c>
      <c r="C834" s="11" t="s">
        <v>28</v>
      </c>
      <c r="D834" s="12"/>
      <c r="E834" s="13" t="s">
        <v>93</v>
      </c>
      <c r="F834" s="6" t="s">
        <v>5733</v>
      </c>
      <c r="G834" s="6" t="str">
        <f ca="1">IFERROR(__xludf.DUMMYFUNCTION("CONCATENATE(B834,(VLOOKUP(C834,CATALOGOS!$F$2:$H$6,3,FALSE)),(VLOOKUP(T834,CATALOGOS!$J$2:$K$18,2,FALSE)),""-"",TO_TEXT(A834))"),"P35DA-0833")</f>
        <v>P35DA-0833</v>
      </c>
      <c r="H834" s="6" t="s">
        <v>5734</v>
      </c>
      <c r="I834" s="6" t="s">
        <v>5735</v>
      </c>
      <c r="J834" s="6" t="s">
        <v>5736</v>
      </c>
      <c r="K834" s="6" t="s">
        <v>5737</v>
      </c>
      <c r="L834" s="17"/>
      <c r="M834" s="17"/>
      <c r="N834" s="17" t="str">
        <f t="shared" si="2"/>
        <v>OK</v>
      </c>
      <c r="O834" s="17" t="s">
        <v>35</v>
      </c>
      <c r="P834" s="6" t="s">
        <v>35</v>
      </c>
      <c r="Q834" s="17" t="s">
        <v>36</v>
      </c>
      <c r="R834" s="17" t="s">
        <v>5738</v>
      </c>
      <c r="S834" s="173" t="s">
        <v>38</v>
      </c>
      <c r="T834" s="11" t="s">
        <v>28</v>
      </c>
      <c r="U834" s="22" t="s">
        <v>40</v>
      </c>
      <c r="V834" s="22" t="s">
        <v>40</v>
      </c>
      <c r="W834" s="22"/>
      <c r="X834" s="7"/>
      <c r="Y834" s="7"/>
      <c r="Z834" s="23"/>
      <c r="AA834" s="26"/>
    </row>
    <row r="835" spans="1:27" ht="15.75" customHeight="1">
      <c r="A835" s="10" t="s">
        <v>5739</v>
      </c>
      <c r="B835" s="10" t="s">
        <v>474</v>
      </c>
      <c r="C835" s="11" t="s">
        <v>28</v>
      </c>
      <c r="D835" s="12"/>
      <c r="E835" s="13" t="s">
        <v>93</v>
      </c>
      <c r="F835" s="6" t="s">
        <v>5740</v>
      </c>
      <c r="G835" s="6" t="str">
        <f ca="1">IFERROR(__xludf.DUMMYFUNCTION("CONCATENATE(B835,(VLOOKUP(C835,CATALOGOS!$F$2:$H$6,3,FALSE)),(VLOOKUP(T835,CATALOGOS!$J$2:$K$18,2,FALSE)),""-"",TO_TEXT(A835))"),"P35DA-0834")</f>
        <v>P35DA-0834</v>
      </c>
      <c r="H835" s="6" t="s">
        <v>5741</v>
      </c>
      <c r="I835" s="6" t="s">
        <v>5742</v>
      </c>
      <c r="J835" s="36"/>
      <c r="K835" s="6" t="s">
        <v>141</v>
      </c>
      <c r="L835" s="17"/>
      <c r="M835" s="17"/>
      <c r="N835" s="17" t="str">
        <f t="shared" si="2"/>
        <v>REPETIDO</v>
      </c>
      <c r="O835" s="35" t="s">
        <v>35</v>
      </c>
      <c r="P835" s="6" t="s">
        <v>35</v>
      </c>
      <c r="Q835" s="10" t="s">
        <v>36</v>
      </c>
      <c r="R835" s="32" t="s">
        <v>85</v>
      </c>
      <c r="S835" s="173" t="s">
        <v>38</v>
      </c>
      <c r="T835" s="11" t="s">
        <v>28</v>
      </c>
      <c r="U835" s="22" t="s">
        <v>40</v>
      </c>
      <c r="V835" s="22" t="s">
        <v>40</v>
      </c>
      <c r="W835" s="22"/>
      <c r="X835" s="7"/>
      <c r="Y835" s="7"/>
      <c r="Z835" s="23"/>
      <c r="AA835" s="26"/>
    </row>
    <row r="836" spans="1:27" ht="15.75" customHeight="1">
      <c r="A836" s="10" t="s">
        <v>5743</v>
      </c>
      <c r="B836" s="10" t="s">
        <v>474</v>
      </c>
      <c r="C836" s="11" t="s">
        <v>28</v>
      </c>
      <c r="D836" s="12"/>
      <c r="E836" s="13" t="s">
        <v>93</v>
      </c>
      <c r="F836" s="6" t="s">
        <v>5740</v>
      </c>
      <c r="G836" s="6" t="str">
        <f ca="1">IFERROR(__xludf.DUMMYFUNCTION("CONCATENATE(B836,(VLOOKUP(C836,CATALOGOS!$F$2:$H$6,3,FALSE)),(VLOOKUP(T836,CATALOGOS!$J$2:$K$18,2,FALSE)),""-"",TO_TEXT(A836))"),"P35DA-0835")</f>
        <v>P35DA-0835</v>
      </c>
      <c r="H836" s="6" t="s">
        <v>5744</v>
      </c>
      <c r="I836" s="6" t="s">
        <v>5745</v>
      </c>
      <c r="J836" s="36"/>
      <c r="K836" s="6" t="s">
        <v>141</v>
      </c>
      <c r="L836" s="17"/>
      <c r="M836" s="17"/>
      <c r="N836" s="17" t="str">
        <f t="shared" si="2"/>
        <v>REPETIDO</v>
      </c>
      <c r="O836" s="35" t="s">
        <v>35</v>
      </c>
      <c r="P836" s="6" t="s">
        <v>35</v>
      </c>
      <c r="Q836" s="10" t="s">
        <v>36</v>
      </c>
      <c r="R836" s="32" t="s">
        <v>85</v>
      </c>
      <c r="S836" s="173" t="s">
        <v>38</v>
      </c>
      <c r="T836" s="11" t="s">
        <v>28</v>
      </c>
      <c r="U836" s="22" t="s">
        <v>40</v>
      </c>
      <c r="V836" s="22" t="s">
        <v>40</v>
      </c>
      <c r="W836" s="22"/>
      <c r="X836" s="7"/>
      <c r="Y836" s="7"/>
      <c r="Z836" s="23"/>
      <c r="AA836" s="26"/>
    </row>
    <row r="837" spans="1:27" ht="15.75" customHeight="1">
      <c r="A837" s="10" t="s">
        <v>5746</v>
      </c>
      <c r="B837" s="10" t="s">
        <v>474</v>
      </c>
      <c r="C837" s="11" t="s">
        <v>28</v>
      </c>
      <c r="D837" s="12"/>
      <c r="E837" s="13" t="s">
        <v>93</v>
      </c>
      <c r="F837" s="6" t="s">
        <v>5740</v>
      </c>
      <c r="G837" s="6" t="str">
        <f ca="1">IFERROR(__xludf.DUMMYFUNCTION("CONCATENATE(B837,(VLOOKUP(C837,CATALOGOS!$F$2:$H$6,3,FALSE)),(VLOOKUP(T837,CATALOGOS!$J$2:$K$18,2,FALSE)),""-"",TO_TEXT(A837))"),"P35DA-0836")</f>
        <v>P35DA-0836</v>
      </c>
      <c r="H837" s="6" t="s">
        <v>5747</v>
      </c>
      <c r="I837" s="6" t="s">
        <v>5748</v>
      </c>
      <c r="J837" s="6" t="s">
        <v>5749</v>
      </c>
      <c r="K837" s="6" t="s">
        <v>5750</v>
      </c>
      <c r="L837" s="17"/>
      <c r="M837" s="17"/>
      <c r="N837" s="17" t="str">
        <f t="shared" si="2"/>
        <v>OK</v>
      </c>
      <c r="O837" s="17" t="s">
        <v>35</v>
      </c>
      <c r="P837" s="6" t="s">
        <v>35</v>
      </c>
      <c r="Q837" s="17" t="s">
        <v>36</v>
      </c>
      <c r="R837" s="17" t="s">
        <v>5751</v>
      </c>
      <c r="S837" s="173" t="s">
        <v>38</v>
      </c>
      <c r="T837" s="11" t="s">
        <v>28</v>
      </c>
      <c r="U837" s="22" t="s">
        <v>40</v>
      </c>
      <c r="V837" s="22" t="s">
        <v>40</v>
      </c>
      <c r="W837" s="22"/>
      <c r="X837" s="7"/>
      <c r="Y837" s="7"/>
      <c r="Z837" s="23"/>
      <c r="AA837" s="26"/>
    </row>
    <row r="838" spans="1:27" ht="15.75" customHeight="1">
      <c r="A838" s="10" t="s">
        <v>5752</v>
      </c>
      <c r="B838" s="10" t="s">
        <v>474</v>
      </c>
      <c r="C838" s="11" t="s">
        <v>28</v>
      </c>
      <c r="D838" s="12"/>
      <c r="E838" s="13" t="s">
        <v>378</v>
      </c>
      <c r="F838" s="43" t="s">
        <v>511</v>
      </c>
      <c r="G838" s="6" t="str">
        <f ca="1">IFERROR(__xludf.DUMMYFUNCTION("CONCATENATE(B838,(VLOOKUP(C838,CATALOGOS!$F$2:$H$6,3,FALSE)),(VLOOKUP(T838,CATALOGOS!$J$2:$K$18,2,FALSE)),""-"",TO_TEXT(A838))"),"P35DA-0837")</f>
        <v>P35DA-0837</v>
      </c>
      <c r="H838" s="6" t="s">
        <v>5753</v>
      </c>
      <c r="I838" s="6" t="s">
        <v>5754</v>
      </c>
      <c r="J838" s="6" t="s">
        <v>5755</v>
      </c>
      <c r="K838" s="6" t="s">
        <v>5756</v>
      </c>
      <c r="L838" s="17"/>
      <c r="M838" s="17"/>
      <c r="N838" s="17" t="str">
        <f t="shared" si="2"/>
        <v>OK</v>
      </c>
      <c r="O838" s="17" t="s">
        <v>35</v>
      </c>
      <c r="P838" s="6" t="s">
        <v>35</v>
      </c>
      <c r="Q838" s="17" t="s">
        <v>36</v>
      </c>
      <c r="R838" s="17" t="s">
        <v>5757</v>
      </c>
      <c r="S838" s="173" t="s">
        <v>517</v>
      </c>
      <c r="T838" s="11" t="s">
        <v>28</v>
      </c>
      <c r="U838" s="22" t="s">
        <v>40</v>
      </c>
      <c r="V838" s="22" t="s">
        <v>40</v>
      </c>
      <c r="W838" s="22"/>
      <c r="X838" s="7"/>
      <c r="Y838" s="7"/>
      <c r="Z838" s="23"/>
      <c r="AA838" s="26"/>
    </row>
    <row r="839" spans="1:27" ht="15.75" customHeight="1">
      <c r="A839" s="10" t="s">
        <v>5758</v>
      </c>
      <c r="B839" s="10" t="s">
        <v>474</v>
      </c>
      <c r="C839" s="11" t="s">
        <v>28</v>
      </c>
      <c r="D839" s="12"/>
      <c r="E839" s="13" t="s">
        <v>378</v>
      </c>
      <c r="F839" s="6" t="s">
        <v>511</v>
      </c>
      <c r="G839" s="6" t="str">
        <f ca="1">IFERROR(__xludf.DUMMYFUNCTION("CONCATENATE(B839,(VLOOKUP(C839,CATALOGOS!$F$2:$H$6,3,FALSE)),(VLOOKUP(T839,CATALOGOS!$J$2:$K$18,2,FALSE)),""-"",TO_TEXT(A839))"),"P35DA-0838")</f>
        <v>P35DA-0838</v>
      </c>
      <c r="H839" s="6" t="s">
        <v>5759</v>
      </c>
      <c r="I839" s="6" t="s">
        <v>5760</v>
      </c>
      <c r="J839" s="6" t="s">
        <v>5761</v>
      </c>
      <c r="K839" s="6" t="s">
        <v>5762</v>
      </c>
      <c r="L839" s="17"/>
      <c r="M839" s="17"/>
      <c r="N839" s="17" t="str">
        <f t="shared" si="2"/>
        <v>OK</v>
      </c>
      <c r="O839" s="17" t="s">
        <v>35</v>
      </c>
      <c r="P839" s="6" t="s">
        <v>35</v>
      </c>
      <c r="Q839" s="17" t="s">
        <v>36</v>
      </c>
      <c r="R839" s="17" t="s">
        <v>5763</v>
      </c>
      <c r="S839" s="173" t="s">
        <v>100</v>
      </c>
      <c r="T839" s="11" t="s">
        <v>28</v>
      </c>
      <c r="U839" s="22" t="s">
        <v>40</v>
      </c>
      <c r="V839" s="22" t="s">
        <v>40</v>
      </c>
      <c r="W839" s="22"/>
      <c r="X839" s="81"/>
      <c r="Y839" s="81"/>
      <c r="Z839" s="23"/>
      <c r="AA839" s="26"/>
    </row>
    <row r="840" spans="1:27" ht="15.75" customHeight="1">
      <c r="A840" s="10" t="s">
        <v>5764</v>
      </c>
      <c r="B840" s="10" t="s">
        <v>474</v>
      </c>
      <c r="C840" s="11" t="s">
        <v>28</v>
      </c>
      <c r="D840" s="12"/>
      <c r="E840" s="13" t="s">
        <v>80</v>
      </c>
      <c r="F840" s="6" t="s">
        <v>5765</v>
      </c>
      <c r="G840" s="6" t="str">
        <f ca="1">IFERROR(__xludf.DUMMYFUNCTION("CONCATENATE(B840,(VLOOKUP(C840,CATALOGOS!$F$2:$H$6,3,FALSE)),(VLOOKUP(T840,CATALOGOS!$J$2:$K$18,2,FALSE)),""-"",TO_TEXT(A840))"),"P35DA-0839")</f>
        <v>P35DA-0839</v>
      </c>
      <c r="H840" s="6" t="s">
        <v>5766</v>
      </c>
      <c r="I840" s="6" t="s">
        <v>5767</v>
      </c>
      <c r="J840" s="6" t="s">
        <v>5768</v>
      </c>
      <c r="K840" s="6" t="s">
        <v>5769</v>
      </c>
      <c r="L840" s="17"/>
      <c r="M840" s="17"/>
      <c r="N840" s="17" t="str">
        <f t="shared" si="2"/>
        <v>OK</v>
      </c>
      <c r="O840" s="17" t="s">
        <v>35</v>
      </c>
      <c r="P840" s="6" t="s">
        <v>35</v>
      </c>
      <c r="Q840" s="17" t="s">
        <v>36</v>
      </c>
      <c r="R840" s="17" t="s">
        <v>85</v>
      </c>
      <c r="S840" s="173" t="s">
        <v>38</v>
      </c>
      <c r="T840" s="11" t="s">
        <v>28</v>
      </c>
      <c r="U840" s="22" t="s">
        <v>40</v>
      </c>
      <c r="V840" s="22" t="s">
        <v>40</v>
      </c>
      <c r="W840" s="22"/>
      <c r="X840" s="6"/>
      <c r="Y840" s="6"/>
      <c r="Z840" s="23"/>
      <c r="AA840" s="7"/>
    </row>
    <row r="841" spans="1:27" ht="15.75" customHeight="1">
      <c r="A841" s="10" t="s">
        <v>5770</v>
      </c>
      <c r="B841" s="10" t="s">
        <v>474</v>
      </c>
      <c r="C841" s="11" t="s">
        <v>28</v>
      </c>
      <c r="D841" s="12"/>
      <c r="E841" s="13" t="s">
        <v>93</v>
      </c>
      <c r="F841" s="6" t="s">
        <v>5771</v>
      </c>
      <c r="G841" s="6" t="str">
        <f ca="1">IFERROR(__xludf.DUMMYFUNCTION("CONCATENATE(B841,(VLOOKUP(C841,CATALOGOS!$F$2:$H$6,3,FALSE)),(VLOOKUP(T841,CATALOGOS!$J$2:$K$18,2,FALSE)),""-"",TO_TEXT(A841))"),"P35DA-0840")</f>
        <v>P35DA-0840</v>
      </c>
      <c r="H841" s="6" t="s">
        <v>5772</v>
      </c>
      <c r="I841" s="6" t="s">
        <v>5773</v>
      </c>
      <c r="J841" s="6" t="s">
        <v>5774</v>
      </c>
      <c r="K841" s="6" t="s">
        <v>5775</v>
      </c>
      <c r="L841" s="17"/>
      <c r="M841" s="17"/>
      <c r="N841" s="17" t="str">
        <f t="shared" si="2"/>
        <v>OK</v>
      </c>
      <c r="O841" s="17" t="s">
        <v>35</v>
      </c>
      <c r="P841" s="6" t="s">
        <v>35</v>
      </c>
      <c r="Q841" s="17" t="s">
        <v>36</v>
      </c>
      <c r="R841" s="17" t="s">
        <v>5776</v>
      </c>
      <c r="S841" s="173" t="s">
        <v>38</v>
      </c>
      <c r="T841" s="11" t="s">
        <v>28</v>
      </c>
      <c r="U841" s="22" t="s">
        <v>40</v>
      </c>
      <c r="V841" s="22" t="s">
        <v>40</v>
      </c>
      <c r="W841" s="22"/>
      <c r="X841" s="6"/>
      <c r="Y841" s="6"/>
      <c r="Z841" s="23"/>
      <c r="AA841" s="7"/>
    </row>
    <row r="842" spans="1:27" ht="15.75" customHeight="1">
      <c r="A842" s="10" t="s">
        <v>5777</v>
      </c>
      <c r="B842" s="10" t="s">
        <v>474</v>
      </c>
      <c r="C842" s="11" t="s">
        <v>28</v>
      </c>
      <c r="D842" s="12"/>
      <c r="E842" s="13" t="s">
        <v>5778</v>
      </c>
      <c r="F842" s="43" t="s">
        <v>5779</v>
      </c>
      <c r="G842" s="6" t="str">
        <f ca="1">IFERROR(__xludf.DUMMYFUNCTION("CONCATENATE(B842,(VLOOKUP(C842,CATALOGOS!$F$2:$H$6,3,FALSE)),(VLOOKUP(T842,CATALOGOS!$J$2:$K$18,2,FALSE)),""-"",TO_TEXT(A842))"),"P35DA-0841")</f>
        <v>P35DA-0841</v>
      </c>
      <c r="H842" s="6" t="s">
        <v>5780</v>
      </c>
      <c r="I842" s="6" t="s">
        <v>5781</v>
      </c>
      <c r="J842" s="6" t="s">
        <v>5782</v>
      </c>
      <c r="K842" s="6" t="s">
        <v>5783</v>
      </c>
      <c r="L842" s="17"/>
      <c r="M842" s="17"/>
      <c r="N842" s="17" t="str">
        <f t="shared" si="2"/>
        <v>OK</v>
      </c>
      <c r="O842" s="17" t="s">
        <v>5784</v>
      </c>
      <c r="P842" s="6" t="s">
        <v>5785</v>
      </c>
      <c r="Q842" s="6" t="s">
        <v>36</v>
      </c>
      <c r="R842" s="10" t="s">
        <v>85</v>
      </c>
      <c r="S842" s="173" t="s">
        <v>38</v>
      </c>
      <c r="T842" s="11" t="s">
        <v>28</v>
      </c>
      <c r="U842" s="22" t="s">
        <v>40</v>
      </c>
      <c r="V842" s="22" t="s">
        <v>40</v>
      </c>
      <c r="W842" s="22"/>
      <c r="X842" s="81"/>
      <c r="Y842" s="81"/>
      <c r="Z842" s="23"/>
      <c r="AA842" s="26"/>
    </row>
    <row r="843" spans="1:27" ht="15.75" customHeight="1">
      <c r="A843" s="10" t="s">
        <v>5786</v>
      </c>
      <c r="B843" s="10" t="s">
        <v>474</v>
      </c>
      <c r="C843" s="11" t="s">
        <v>28</v>
      </c>
      <c r="D843" s="12"/>
      <c r="E843" s="13" t="s">
        <v>378</v>
      </c>
      <c r="F843" s="43" t="s">
        <v>511</v>
      </c>
      <c r="G843" s="6" t="str">
        <f ca="1">IFERROR(__xludf.DUMMYFUNCTION("CONCATENATE(B843,(VLOOKUP(C843,CATALOGOS!$F$2:$H$6,3,FALSE)),(VLOOKUP(T843,CATALOGOS!$J$2:$K$18,2,FALSE)),""-"",TO_TEXT(A843))"),"P35DA-0842")</f>
        <v>P35DA-0842</v>
      </c>
      <c r="H843" s="6" t="s">
        <v>5787</v>
      </c>
      <c r="I843" s="6" t="s">
        <v>5788</v>
      </c>
      <c r="J843" s="6" t="s">
        <v>5789</v>
      </c>
      <c r="K843" s="6" t="s">
        <v>5790</v>
      </c>
      <c r="L843" s="17"/>
      <c r="M843" s="17"/>
      <c r="N843" s="17" t="str">
        <f t="shared" si="2"/>
        <v>OK</v>
      </c>
      <c r="O843" s="17" t="s">
        <v>35</v>
      </c>
      <c r="P843" s="6" t="s">
        <v>35</v>
      </c>
      <c r="Q843" s="17" t="s">
        <v>36</v>
      </c>
      <c r="R843" s="17" t="s">
        <v>5791</v>
      </c>
      <c r="S843" s="173" t="s">
        <v>517</v>
      </c>
      <c r="T843" s="11" t="s">
        <v>28</v>
      </c>
      <c r="U843" s="22" t="s">
        <v>40</v>
      </c>
      <c r="V843" s="22" t="s">
        <v>40</v>
      </c>
      <c r="W843" s="22"/>
      <c r="X843" s="6"/>
      <c r="Y843" s="6"/>
      <c r="Z843" s="23"/>
      <c r="AA843" s="7"/>
    </row>
    <row r="844" spans="1:27" ht="15.75" customHeight="1">
      <c r="A844" s="10" t="s">
        <v>5792</v>
      </c>
      <c r="B844" s="10" t="s">
        <v>474</v>
      </c>
      <c r="C844" s="11" t="s">
        <v>28</v>
      </c>
      <c r="D844" s="12"/>
      <c r="E844" s="13" t="s">
        <v>378</v>
      </c>
      <c r="F844" s="43" t="s">
        <v>511</v>
      </c>
      <c r="G844" s="6" t="str">
        <f ca="1">IFERROR(__xludf.DUMMYFUNCTION("CONCATENATE(B844,(VLOOKUP(C844,CATALOGOS!$F$2:$H$6,3,FALSE)),(VLOOKUP(T844,CATALOGOS!$J$2:$K$18,2,FALSE)),""-"",TO_TEXT(A844))"),"P35DA-0843")</f>
        <v>P35DA-0843</v>
      </c>
      <c r="H844" s="6" t="s">
        <v>5794</v>
      </c>
      <c r="I844" s="6" t="s">
        <v>5795</v>
      </c>
      <c r="J844" s="6" t="s">
        <v>5796</v>
      </c>
      <c r="K844" s="6" t="s">
        <v>5797</v>
      </c>
      <c r="L844" s="17"/>
      <c r="M844" s="17"/>
      <c r="N844" s="17" t="str">
        <f t="shared" si="2"/>
        <v>OK</v>
      </c>
      <c r="O844" s="17" t="s">
        <v>35</v>
      </c>
      <c r="P844" s="6" t="s">
        <v>35</v>
      </c>
      <c r="Q844" s="17" t="s">
        <v>36</v>
      </c>
      <c r="R844" s="17" t="s">
        <v>5798</v>
      </c>
      <c r="S844" s="173" t="s">
        <v>100</v>
      </c>
      <c r="T844" s="11" t="s">
        <v>28</v>
      </c>
      <c r="U844" s="22" t="s">
        <v>40</v>
      </c>
      <c r="V844" s="22" t="s">
        <v>40</v>
      </c>
      <c r="W844" s="22"/>
      <c r="X844" s="6"/>
      <c r="Y844" s="6" t="s">
        <v>440</v>
      </c>
      <c r="Z844" s="23"/>
      <c r="AA844" s="7"/>
    </row>
    <row r="845" spans="1:27" ht="15.75" customHeight="1">
      <c r="A845" s="10" t="s">
        <v>5799</v>
      </c>
      <c r="B845" s="10" t="s">
        <v>474</v>
      </c>
      <c r="C845" s="11" t="s">
        <v>28</v>
      </c>
      <c r="D845" s="12"/>
      <c r="E845" s="13" t="s">
        <v>93</v>
      </c>
      <c r="F845" s="6" t="s">
        <v>5800</v>
      </c>
      <c r="G845" s="6" t="str">
        <f ca="1">IFERROR(__xludf.DUMMYFUNCTION("CONCATENATE(B845,(VLOOKUP(C845,CATALOGOS!$F$2:$H$6,3,FALSE)),(VLOOKUP(T845,CATALOGOS!$J$2:$K$18,2,FALSE)),""-"",TO_TEXT(A845))"),"P35DA-0844")</f>
        <v>P35DA-0844</v>
      </c>
      <c r="H845" s="6" t="s">
        <v>5801</v>
      </c>
      <c r="I845" s="6" t="s">
        <v>5802</v>
      </c>
      <c r="J845" s="6" t="s">
        <v>5803</v>
      </c>
      <c r="K845" s="6" t="s">
        <v>5804</v>
      </c>
      <c r="L845" s="17"/>
      <c r="M845" s="17"/>
      <c r="N845" s="17" t="str">
        <f t="shared" si="2"/>
        <v>OK</v>
      </c>
      <c r="O845" s="17" t="s">
        <v>35</v>
      </c>
      <c r="P845" s="6" t="s">
        <v>35</v>
      </c>
      <c r="Q845" s="17" t="s">
        <v>36</v>
      </c>
      <c r="R845" s="17" t="s">
        <v>5805</v>
      </c>
      <c r="S845" s="173" t="s">
        <v>38</v>
      </c>
      <c r="T845" s="11" t="s">
        <v>28</v>
      </c>
      <c r="U845" s="22" t="s">
        <v>40</v>
      </c>
      <c r="V845" s="22" t="s">
        <v>40</v>
      </c>
      <c r="W845" s="22"/>
      <c r="X845" s="6"/>
      <c r="Y845" s="6"/>
      <c r="Z845" s="23"/>
      <c r="AA845" s="7"/>
    </row>
    <row r="846" spans="1:27" ht="15.75" customHeight="1">
      <c r="A846" s="10" t="s">
        <v>5806</v>
      </c>
      <c r="B846" s="10" t="s">
        <v>474</v>
      </c>
      <c r="C846" s="11" t="s">
        <v>28</v>
      </c>
      <c r="D846" s="12"/>
      <c r="E846" s="13" t="s">
        <v>93</v>
      </c>
      <c r="F846" s="6" t="s">
        <v>772</v>
      </c>
      <c r="G846" s="6" t="str">
        <f ca="1">IFERROR(__xludf.DUMMYFUNCTION("CONCATENATE(B846,(VLOOKUP(C846,CATALOGOS!$F$2:$H$6,3,FALSE)),(VLOOKUP(T846,CATALOGOS!$J$2:$K$18,2,FALSE)),""-"",TO_TEXT(A846))"),"P35DA-0845")</f>
        <v>P35DA-0845</v>
      </c>
      <c r="H846" s="6" t="s">
        <v>5807</v>
      </c>
      <c r="I846" s="6" t="s">
        <v>5808</v>
      </c>
      <c r="J846" s="6" t="s">
        <v>5809</v>
      </c>
      <c r="K846" s="6" t="s">
        <v>5810</v>
      </c>
      <c r="L846" s="17"/>
      <c r="M846" s="17"/>
      <c r="N846" s="17" t="str">
        <f t="shared" si="2"/>
        <v>OK</v>
      </c>
      <c r="O846" s="17" t="s">
        <v>35</v>
      </c>
      <c r="P846" s="6" t="s">
        <v>35</v>
      </c>
      <c r="Q846" s="17" t="s">
        <v>36</v>
      </c>
      <c r="R846" s="17" t="s">
        <v>5811</v>
      </c>
      <c r="S846" s="173" t="s">
        <v>38</v>
      </c>
      <c r="T846" s="11" t="s">
        <v>28</v>
      </c>
      <c r="U846" s="22" t="s">
        <v>40</v>
      </c>
      <c r="V846" s="22" t="s">
        <v>40</v>
      </c>
      <c r="W846" s="22"/>
      <c r="X846" s="6"/>
      <c r="Y846" s="6"/>
      <c r="Z846" s="23"/>
      <c r="AA846" s="7"/>
    </row>
    <row r="847" spans="1:27" ht="15.75" customHeight="1">
      <c r="A847" s="10" t="s">
        <v>5812</v>
      </c>
      <c r="B847" s="10" t="s">
        <v>474</v>
      </c>
      <c r="C847" s="11" t="s">
        <v>28</v>
      </c>
      <c r="D847" s="12"/>
      <c r="E847" s="13" t="s">
        <v>93</v>
      </c>
      <c r="F847" s="6" t="s">
        <v>5813</v>
      </c>
      <c r="G847" s="6" t="str">
        <f ca="1">IFERROR(__xludf.DUMMYFUNCTION("CONCATENATE(B847,(VLOOKUP(C847,CATALOGOS!$F$2:$H$6,3,FALSE)),(VLOOKUP(T847,CATALOGOS!$J$2:$K$18,2,FALSE)),""-"",TO_TEXT(A847))"),"P35DA-0846")</f>
        <v>P35DA-0846</v>
      </c>
      <c r="H847" s="6" t="s">
        <v>5814</v>
      </c>
      <c r="I847" s="6" t="s">
        <v>5815</v>
      </c>
      <c r="J847" s="6" t="s">
        <v>5816</v>
      </c>
      <c r="K847" s="6" t="s">
        <v>5817</v>
      </c>
      <c r="L847" s="17"/>
      <c r="M847" s="17"/>
      <c r="N847" s="17" t="str">
        <f t="shared" si="2"/>
        <v>OK</v>
      </c>
      <c r="O847" s="17" t="s">
        <v>35</v>
      </c>
      <c r="P847" s="6" t="s">
        <v>35</v>
      </c>
      <c r="Q847" s="17" t="s">
        <v>36</v>
      </c>
      <c r="R847" s="17" t="s">
        <v>5818</v>
      </c>
      <c r="S847" s="173" t="s">
        <v>38</v>
      </c>
      <c r="T847" s="11" t="s">
        <v>28</v>
      </c>
      <c r="U847" s="22" t="s">
        <v>40</v>
      </c>
      <c r="V847" s="22" t="s">
        <v>40</v>
      </c>
      <c r="W847" s="22"/>
      <c r="X847" s="6"/>
      <c r="Y847" s="6"/>
      <c r="Z847" s="23"/>
      <c r="AA847" s="7"/>
    </row>
    <row r="848" spans="1:27" ht="15.75" customHeight="1">
      <c r="A848" s="10" t="s">
        <v>5819</v>
      </c>
      <c r="B848" s="10" t="s">
        <v>474</v>
      </c>
      <c r="C848" s="11" t="s">
        <v>28</v>
      </c>
      <c r="D848" s="12"/>
      <c r="E848" s="13" t="s">
        <v>378</v>
      </c>
      <c r="F848" s="43" t="s">
        <v>511</v>
      </c>
      <c r="G848" s="6" t="str">
        <f ca="1">IFERROR(__xludf.DUMMYFUNCTION("CONCATENATE(B848,(VLOOKUP(C848,CATALOGOS!$F$2:$H$6,3,FALSE)),(VLOOKUP(T848,CATALOGOS!$J$2:$K$18,2,FALSE)),""-"",TO_TEXT(A848))"),"P35DA-0847")</f>
        <v>P35DA-0847</v>
      </c>
      <c r="H848" s="6" t="s">
        <v>5820</v>
      </c>
      <c r="I848" s="6" t="s">
        <v>5821</v>
      </c>
      <c r="J848" s="6" t="s">
        <v>5822</v>
      </c>
      <c r="K848" s="6" t="s">
        <v>5823</v>
      </c>
      <c r="L848" s="17"/>
      <c r="M848" s="17"/>
      <c r="N848" s="17" t="str">
        <f t="shared" si="2"/>
        <v>OK</v>
      </c>
      <c r="O848" s="17" t="s">
        <v>35</v>
      </c>
      <c r="P848" s="6" t="s">
        <v>35</v>
      </c>
      <c r="Q848" s="17" t="s">
        <v>36</v>
      </c>
      <c r="R848" s="17" t="s">
        <v>5824</v>
      </c>
      <c r="S848" s="173" t="s">
        <v>517</v>
      </c>
      <c r="T848" s="11" t="s">
        <v>28</v>
      </c>
      <c r="U848" s="22" t="s">
        <v>40</v>
      </c>
      <c r="V848" s="22" t="s">
        <v>40</v>
      </c>
      <c r="W848" s="22"/>
      <c r="X848" s="81"/>
      <c r="Y848" s="81"/>
      <c r="Z848" s="23"/>
      <c r="AA848" s="26"/>
    </row>
    <row r="849" spans="1:27" ht="15.75" customHeight="1">
      <c r="A849" s="10" t="s">
        <v>5825</v>
      </c>
      <c r="B849" s="10" t="s">
        <v>474</v>
      </c>
      <c r="C849" s="11" t="s">
        <v>28</v>
      </c>
      <c r="D849" s="12"/>
      <c r="E849" s="13" t="s">
        <v>378</v>
      </c>
      <c r="F849" s="43" t="s">
        <v>511</v>
      </c>
      <c r="G849" s="6" t="str">
        <f ca="1">IFERROR(__xludf.DUMMYFUNCTION("CONCATENATE(B849,(VLOOKUP(C849,CATALOGOS!$F$2:$H$6,3,FALSE)),(VLOOKUP(T849,CATALOGOS!$J$2:$K$18,2,FALSE)),""-"",TO_TEXT(A849))"),"P35DA-0848")</f>
        <v>P35DA-0848</v>
      </c>
      <c r="H849" s="6" t="s">
        <v>5826</v>
      </c>
      <c r="I849" s="6" t="s">
        <v>5827</v>
      </c>
      <c r="J849" s="6" t="s">
        <v>5828</v>
      </c>
      <c r="K849" s="6" t="s">
        <v>5829</v>
      </c>
      <c r="L849" s="17"/>
      <c r="M849" s="17"/>
      <c r="N849" s="17" t="str">
        <f t="shared" si="2"/>
        <v>OK</v>
      </c>
      <c r="O849" s="17" t="s">
        <v>35</v>
      </c>
      <c r="P849" s="6" t="s">
        <v>35</v>
      </c>
      <c r="Q849" s="17" t="s">
        <v>36</v>
      </c>
      <c r="R849" s="17" t="s">
        <v>5830</v>
      </c>
      <c r="S849" s="173" t="s">
        <v>517</v>
      </c>
      <c r="T849" s="11" t="s">
        <v>28</v>
      </c>
      <c r="U849" s="22" t="s">
        <v>40</v>
      </c>
      <c r="V849" s="22" t="s">
        <v>40</v>
      </c>
      <c r="W849" s="22"/>
      <c r="X849" s="81"/>
      <c r="Y849" s="81"/>
      <c r="Z849" s="23"/>
      <c r="AA849" s="26"/>
    </row>
    <row r="850" spans="1:27" ht="15.75" customHeight="1">
      <c r="A850" s="10" t="s">
        <v>5831</v>
      </c>
      <c r="B850" s="10" t="s">
        <v>474</v>
      </c>
      <c r="C850" s="11" t="s">
        <v>28</v>
      </c>
      <c r="D850" s="12"/>
      <c r="E850" s="13" t="s">
        <v>378</v>
      </c>
      <c r="F850" s="43" t="s">
        <v>511</v>
      </c>
      <c r="G850" s="6" t="str">
        <f ca="1">IFERROR(__xludf.DUMMYFUNCTION("CONCATENATE(B850,(VLOOKUP(C850,CATALOGOS!$F$2:$H$6,3,FALSE)),(VLOOKUP(T850,CATALOGOS!$J$2:$K$18,2,FALSE)),""-"",TO_TEXT(A850))"),"P35DA-0849")</f>
        <v>P35DA-0849</v>
      </c>
      <c r="H850" s="6" t="s">
        <v>5832</v>
      </c>
      <c r="I850" s="6" t="s">
        <v>5833</v>
      </c>
      <c r="J850" s="6" t="s">
        <v>5834</v>
      </c>
      <c r="K850" s="6" t="s">
        <v>5835</v>
      </c>
      <c r="L850" s="17"/>
      <c r="M850" s="17"/>
      <c r="N850" s="17" t="str">
        <f t="shared" si="2"/>
        <v>OK</v>
      </c>
      <c r="O850" s="17" t="s">
        <v>35</v>
      </c>
      <c r="P850" s="6" t="s">
        <v>35</v>
      </c>
      <c r="Q850" s="17" t="s">
        <v>36</v>
      </c>
      <c r="R850" s="17" t="s">
        <v>5836</v>
      </c>
      <c r="S850" s="173" t="s">
        <v>517</v>
      </c>
      <c r="T850" s="11" t="s">
        <v>28</v>
      </c>
      <c r="U850" s="22" t="s">
        <v>40</v>
      </c>
      <c r="V850" s="22" t="s">
        <v>40</v>
      </c>
      <c r="W850" s="22"/>
      <c r="X850" s="81"/>
      <c r="Y850" s="81"/>
      <c r="Z850" s="23"/>
      <c r="AA850" s="26"/>
    </row>
    <row r="851" spans="1:27" ht="15.75" customHeight="1">
      <c r="A851" s="10" t="s">
        <v>5837</v>
      </c>
      <c r="B851" s="10" t="s">
        <v>474</v>
      </c>
      <c r="C851" s="11" t="s">
        <v>28</v>
      </c>
      <c r="D851" s="12"/>
      <c r="E851" s="13" t="s">
        <v>378</v>
      </c>
      <c r="F851" s="6" t="s">
        <v>535</v>
      </c>
      <c r="G851" s="6" t="str">
        <f ca="1">IFERROR(__xludf.DUMMYFUNCTION("CONCATENATE(B851,(VLOOKUP(C851,CATALOGOS!$F$2:$H$6,3,FALSE)),(VLOOKUP(T851,CATALOGOS!$J$2:$K$18,2,FALSE)),""-"",TO_TEXT(A851))"),"P35DA-0850")</f>
        <v>P35DA-0850</v>
      </c>
      <c r="H851" s="6" t="s">
        <v>5838</v>
      </c>
      <c r="I851" s="6" t="s">
        <v>5839</v>
      </c>
      <c r="J851" s="6" t="s">
        <v>5840</v>
      </c>
      <c r="K851" s="6" t="s">
        <v>5841</v>
      </c>
      <c r="L851" s="17"/>
      <c r="M851" s="17"/>
      <c r="N851" s="17" t="str">
        <f t="shared" si="2"/>
        <v>OK</v>
      </c>
      <c r="O851" s="17" t="s">
        <v>35</v>
      </c>
      <c r="P851" s="6" t="s">
        <v>35</v>
      </c>
      <c r="Q851" s="17" t="s">
        <v>36</v>
      </c>
      <c r="R851" s="17" t="s">
        <v>5842</v>
      </c>
      <c r="S851" s="173" t="s">
        <v>517</v>
      </c>
      <c r="T851" s="11" t="s">
        <v>28</v>
      </c>
      <c r="U851" s="22" t="s">
        <v>40</v>
      </c>
      <c r="V851" s="22" t="s">
        <v>40</v>
      </c>
      <c r="W851" s="22"/>
      <c r="X851" s="81"/>
      <c r="Y851" s="81"/>
      <c r="Z851" s="23"/>
      <c r="AA851" s="26"/>
    </row>
    <row r="852" spans="1:27" ht="15.75" customHeight="1">
      <c r="A852" s="10" t="s">
        <v>5843</v>
      </c>
      <c r="B852" s="10" t="s">
        <v>474</v>
      </c>
      <c r="C852" s="11" t="s">
        <v>28</v>
      </c>
      <c r="D852" s="12"/>
      <c r="E852" s="13" t="s">
        <v>378</v>
      </c>
      <c r="F852" s="43" t="s">
        <v>511</v>
      </c>
      <c r="G852" s="6" t="str">
        <f ca="1">IFERROR(__xludf.DUMMYFUNCTION("CONCATENATE(B852,(VLOOKUP(C852,CATALOGOS!$F$2:$H$6,3,FALSE)),(VLOOKUP(T852,CATALOGOS!$J$2:$K$18,2,FALSE)),""-"",TO_TEXT(A852))"),"P35DA-0851")</f>
        <v>P35DA-0851</v>
      </c>
      <c r="H852" s="6" t="s">
        <v>5844</v>
      </c>
      <c r="I852" s="6" t="s">
        <v>5845</v>
      </c>
      <c r="J852" s="6" t="s">
        <v>5846</v>
      </c>
      <c r="K852" s="6" t="s">
        <v>5847</v>
      </c>
      <c r="L852" s="17"/>
      <c r="M852" s="17"/>
      <c r="N852" s="17" t="str">
        <f t="shared" si="2"/>
        <v>OK</v>
      </c>
      <c r="O852" s="17" t="s">
        <v>35</v>
      </c>
      <c r="P852" s="6" t="s">
        <v>35</v>
      </c>
      <c r="Q852" s="17" t="s">
        <v>36</v>
      </c>
      <c r="R852" s="17" t="s">
        <v>5848</v>
      </c>
      <c r="S852" s="173" t="s">
        <v>517</v>
      </c>
      <c r="T852" s="11" t="s">
        <v>28</v>
      </c>
      <c r="U852" s="22" t="s">
        <v>40</v>
      </c>
      <c r="V852" s="22" t="s">
        <v>40</v>
      </c>
      <c r="W852" s="22"/>
      <c r="X852" s="81"/>
      <c r="Y852" s="81"/>
      <c r="Z852" s="23"/>
      <c r="AA852" s="26"/>
    </row>
    <row r="853" spans="1:27" ht="15.75" customHeight="1">
      <c r="A853" s="10" t="s">
        <v>5849</v>
      </c>
      <c r="B853" s="10" t="s">
        <v>474</v>
      </c>
      <c r="C853" s="11" t="s">
        <v>28</v>
      </c>
      <c r="D853" s="12"/>
      <c r="E853" s="13" t="s">
        <v>378</v>
      </c>
      <c r="F853" s="6" t="s">
        <v>511</v>
      </c>
      <c r="G853" s="6" t="str">
        <f ca="1">IFERROR(__xludf.DUMMYFUNCTION("CONCATENATE(B853,(VLOOKUP(C853,CATALOGOS!$F$2:$H$6,3,FALSE)),(VLOOKUP(T853,CATALOGOS!$J$2:$K$18,2,FALSE)),""-"",TO_TEXT(A853))"),"P35DA-0852")</f>
        <v>P35DA-0852</v>
      </c>
      <c r="H853" s="6" t="s">
        <v>5851</v>
      </c>
      <c r="I853" s="6" t="s">
        <v>5852</v>
      </c>
      <c r="J853" s="6" t="s">
        <v>5853</v>
      </c>
      <c r="K853" s="6" t="s">
        <v>5854</v>
      </c>
      <c r="L853" s="17"/>
      <c r="M853" s="17"/>
      <c r="N853" s="17" t="str">
        <f t="shared" si="2"/>
        <v>OK</v>
      </c>
      <c r="O853" s="17" t="s">
        <v>35</v>
      </c>
      <c r="P853" s="6" t="s">
        <v>35</v>
      </c>
      <c r="Q853" s="17" t="s">
        <v>36</v>
      </c>
      <c r="R853" s="17" t="s">
        <v>5855</v>
      </c>
      <c r="S853" s="173" t="s">
        <v>517</v>
      </c>
      <c r="T853" s="11" t="s">
        <v>28</v>
      </c>
      <c r="U853" s="22" t="s">
        <v>40</v>
      </c>
      <c r="V853" s="22" t="s">
        <v>40</v>
      </c>
      <c r="W853" s="22"/>
      <c r="X853" s="81"/>
      <c r="Y853" s="81"/>
      <c r="Z853" s="23"/>
      <c r="AA853" s="26"/>
    </row>
    <row r="854" spans="1:27" ht="15.75" customHeight="1">
      <c r="A854" s="10" t="s">
        <v>5856</v>
      </c>
      <c r="B854" s="10" t="s">
        <v>474</v>
      </c>
      <c r="C854" s="11" t="s">
        <v>28</v>
      </c>
      <c r="D854" s="12"/>
      <c r="E854" s="13" t="s">
        <v>378</v>
      </c>
      <c r="F854" s="6" t="s">
        <v>5857</v>
      </c>
      <c r="G854" s="6" t="str">
        <f ca="1">IFERROR(__xludf.DUMMYFUNCTION("CONCATENATE(B854,(VLOOKUP(C854,CATALOGOS!$F$2:$H$6,3,FALSE)),(VLOOKUP(T854,CATALOGOS!$J$2:$K$18,2,FALSE)),""-"",TO_TEXT(A854))"),"P35DA-0853")</f>
        <v>P35DA-0853</v>
      </c>
      <c r="H854" s="6" t="s">
        <v>5858</v>
      </c>
      <c r="I854" s="6" t="s">
        <v>5859</v>
      </c>
      <c r="J854" s="6" t="s">
        <v>5860</v>
      </c>
      <c r="K854" s="6" t="s">
        <v>5861</v>
      </c>
      <c r="L854" s="17"/>
      <c r="M854" s="17"/>
      <c r="N854" s="17" t="str">
        <f t="shared" si="2"/>
        <v>OK</v>
      </c>
      <c r="O854" s="17" t="s">
        <v>35</v>
      </c>
      <c r="P854" s="6" t="s">
        <v>35</v>
      </c>
      <c r="Q854" s="17" t="s">
        <v>36</v>
      </c>
      <c r="R854" s="17" t="s">
        <v>5862</v>
      </c>
      <c r="S854" s="173" t="s">
        <v>517</v>
      </c>
      <c r="T854" s="11" t="s">
        <v>28</v>
      </c>
      <c r="U854" s="22" t="s">
        <v>40</v>
      </c>
      <c r="V854" s="22" t="s">
        <v>40</v>
      </c>
      <c r="W854" s="22"/>
      <c r="X854" s="81"/>
      <c r="Y854" s="81"/>
      <c r="Z854" s="23"/>
      <c r="AA854" s="26"/>
    </row>
    <row r="855" spans="1:27" ht="15.75" customHeight="1">
      <c r="A855" s="10" t="s">
        <v>5863</v>
      </c>
      <c r="B855" s="10" t="s">
        <v>474</v>
      </c>
      <c r="C855" s="11" t="s">
        <v>28</v>
      </c>
      <c r="D855" s="12"/>
      <c r="E855" s="13" t="s">
        <v>93</v>
      </c>
      <c r="F855" s="6" t="s">
        <v>5771</v>
      </c>
      <c r="G855" s="6" t="str">
        <f ca="1">IFERROR(__xludf.DUMMYFUNCTION("CONCATENATE(B855,(VLOOKUP(C855,CATALOGOS!$F$2:$H$6,3,FALSE)),(VLOOKUP(T855,CATALOGOS!$J$2:$K$18,2,FALSE)),""-"",TO_TEXT(A855))"),"P35DA-0854")</f>
        <v>P35DA-0854</v>
      </c>
      <c r="H855" s="6" t="s">
        <v>5864</v>
      </c>
      <c r="I855" s="6" t="s">
        <v>5865</v>
      </c>
      <c r="J855" s="6" t="s">
        <v>5866</v>
      </c>
      <c r="K855" s="6" t="s">
        <v>5867</v>
      </c>
      <c r="L855" s="17"/>
      <c r="M855" s="17"/>
      <c r="N855" s="17" t="str">
        <f t="shared" si="2"/>
        <v>OK</v>
      </c>
      <c r="O855" s="17" t="s">
        <v>35</v>
      </c>
      <c r="P855" s="6" t="s">
        <v>35</v>
      </c>
      <c r="Q855" s="17" t="s">
        <v>36</v>
      </c>
      <c r="R855" s="17" t="s">
        <v>5868</v>
      </c>
      <c r="S855" s="173" t="s">
        <v>38</v>
      </c>
      <c r="T855" s="11" t="s">
        <v>28</v>
      </c>
      <c r="U855" s="22" t="s">
        <v>40</v>
      </c>
      <c r="V855" s="22" t="s">
        <v>40</v>
      </c>
      <c r="W855" s="22"/>
      <c r="X855" s="81"/>
      <c r="Y855" s="81"/>
      <c r="Z855" s="23"/>
      <c r="AA855" s="26"/>
    </row>
    <row r="856" spans="1:27" ht="15.75" customHeight="1">
      <c r="A856" s="10" t="s">
        <v>5869</v>
      </c>
      <c r="B856" s="10" t="s">
        <v>474</v>
      </c>
      <c r="C856" s="11" t="s">
        <v>28</v>
      </c>
      <c r="D856" s="12"/>
      <c r="E856" s="13" t="s">
        <v>5778</v>
      </c>
      <c r="F856" s="43" t="s">
        <v>5870</v>
      </c>
      <c r="G856" s="6" t="str">
        <f ca="1">IFERROR(__xludf.DUMMYFUNCTION("CONCATENATE(B856,(VLOOKUP(C856,CATALOGOS!$F$2:$H$6,3,FALSE)),(VLOOKUP(T856,CATALOGOS!$J$2:$K$18,2,FALSE)),""-"",TO_TEXT(A856))"),"P35DA-0855")</f>
        <v>P35DA-0855</v>
      </c>
      <c r="H856" s="6" t="s">
        <v>5871</v>
      </c>
      <c r="I856" s="6" t="s">
        <v>5872</v>
      </c>
      <c r="J856" s="6" t="s">
        <v>5873</v>
      </c>
      <c r="K856" s="6" t="s">
        <v>5874</v>
      </c>
      <c r="L856" s="17"/>
      <c r="M856" s="17"/>
      <c r="N856" s="17" t="str">
        <f t="shared" si="2"/>
        <v>OK</v>
      </c>
      <c r="O856" s="17" t="s">
        <v>5875</v>
      </c>
      <c r="P856" s="6" t="s">
        <v>5876</v>
      </c>
      <c r="Q856" s="17" t="s">
        <v>5877</v>
      </c>
      <c r="R856" s="17" t="s">
        <v>5878</v>
      </c>
      <c r="S856" s="173" t="s">
        <v>38</v>
      </c>
      <c r="T856" s="11" t="s">
        <v>28</v>
      </c>
      <c r="U856" s="22" t="s">
        <v>40</v>
      </c>
      <c r="V856" s="22" t="s">
        <v>40</v>
      </c>
      <c r="W856" s="22"/>
      <c r="X856" s="81"/>
      <c r="Y856" s="81"/>
      <c r="Z856" s="23"/>
      <c r="AA856" s="26"/>
    </row>
    <row r="857" spans="1:27" ht="15.75" customHeight="1">
      <c r="A857" s="10" t="s">
        <v>5879</v>
      </c>
      <c r="B857" s="10" t="s">
        <v>474</v>
      </c>
      <c r="C857" s="11" t="s">
        <v>28</v>
      </c>
      <c r="D857" s="12"/>
      <c r="E857" s="13" t="s">
        <v>5778</v>
      </c>
      <c r="F857" s="43" t="s">
        <v>5880</v>
      </c>
      <c r="G857" s="6" t="str">
        <f ca="1">IFERROR(__xludf.DUMMYFUNCTION("CONCATENATE(B857,(VLOOKUP(C857,CATALOGOS!$F$2:$H$6,3,FALSE)),(VLOOKUP(T857,CATALOGOS!$J$2:$K$18,2,FALSE)),""-"",TO_TEXT(A857))"),"P35DA-0856")</f>
        <v>P35DA-0856</v>
      </c>
      <c r="H857" s="6" t="s">
        <v>5881</v>
      </c>
      <c r="I857" s="6" t="s">
        <v>5882</v>
      </c>
      <c r="J857" s="6" t="s">
        <v>5883</v>
      </c>
      <c r="K857" s="6" t="s">
        <v>5884</v>
      </c>
      <c r="L857" s="17"/>
      <c r="M857" s="17"/>
      <c r="N857" s="17" t="str">
        <f t="shared" si="2"/>
        <v>OK</v>
      </c>
      <c r="O857" s="17" t="s">
        <v>5597</v>
      </c>
      <c r="P857" s="6" t="s">
        <v>5885</v>
      </c>
      <c r="Q857" s="17" t="s">
        <v>5886</v>
      </c>
      <c r="R857" s="17" t="s">
        <v>5887</v>
      </c>
      <c r="S857" s="173" t="s">
        <v>38</v>
      </c>
      <c r="T857" s="11" t="s">
        <v>28</v>
      </c>
      <c r="U857" s="22" t="s">
        <v>40</v>
      </c>
      <c r="V857" s="22" t="s">
        <v>40</v>
      </c>
      <c r="W857" s="22"/>
      <c r="X857" s="81"/>
      <c r="Y857" s="81"/>
      <c r="Z857" s="23"/>
      <c r="AA857" s="26"/>
    </row>
    <row r="858" spans="1:27" ht="15.75" customHeight="1">
      <c r="A858" s="10" t="s">
        <v>5888</v>
      </c>
      <c r="B858" s="10" t="s">
        <v>474</v>
      </c>
      <c r="C858" s="11" t="s">
        <v>28</v>
      </c>
      <c r="D858" s="12"/>
      <c r="E858" s="13" t="s">
        <v>5889</v>
      </c>
      <c r="F858" s="43" t="s">
        <v>5889</v>
      </c>
      <c r="G858" s="6" t="str">
        <f ca="1">IFERROR(__xludf.DUMMYFUNCTION("CONCATENATE(B858,(VLOOKUP(C858,CATALOGOS!$F$2:$H$6,3,FALSE)),(VLOOKUP(T858,CATALOGOS!$J$2:$K$18,2,FALSE)),""-"",TO_TEXT(A858))"),"P35DA-0857")</f>
        <v>P35DA-0857</v>
      </c>
      <c r="H858" s="6" t="s">
        <v>5890</v>
      </c>
      <c r="I858" s="6" t="s">
        <v>5891</v>
      </c>
      <c r="J858" s="6" t="s">
        <v>5892</v>
      </c>
      <c r="K858" s="6" t="s">
        <v>141</v>
      </c>
      <c r="L858" s="17"/>
      <c r="M858" s="17"/>
      <c r="N858" s="17" t="str">
        <f t="shared" si="2"/>
        <v>REPETIDO</v>
      </c>
      <c r="O858" s="17" t="s">
        <v>5893</v>
      </c>
      <c r="P858" s="32" t="s">
        <v>5894</v>
      </c>
      <c r="Q858" s="17" t="s">
        <v>5895</v>
      </c>
      <c r="R858" s="10" t="s">
        <v>85</v>
      </c>
      <c r="S858" s="173" t="s">
        <v>38</v>
      </c>
      <c r="T858" s="11" t="s">
        <v>28</v>
      </c>
      <c r="U858" s="22" t="s">
        <v>40</v>
      </c>
      <c r="V858" s="22" t="s">
        <v>40</v>
      </c>
      <c r="W858" s="22"/>
      <c r="X858" s="6"/>
      <c r="Y858" s="6"/>
      <c r="Z858" s="23"/>
      <c r="AA858" s="7"/>
    </row>
    <row r="859" spans="1:27" ht="15.75" customHeight="1">
      <c r="A859" s="10" t="s">
        <v>5896</v>
      </c>
      <c r="B859" s="10" t="s">
        <v>474</v>
      </c>
      <c r="C859" s="11" t="s">
        <v>28</v>
      </c>
      <c r="D859" s="12"/>
      <c r="E859" s="13" t="s">
        <v>5897</v>
      </c>
      <c r="F859" s="43" t="s">
        <v>5897</v>
      </c>
      <c r="G859" s="6" t="str">
        <f ca="1">IFERROR(__xludf.DUMMYFUNCTION("CONCATENATE(B859,(VLOOKUP(C859,CATALOGOS!$F$2:$H$6,3,FALSE)),(VLOOKUP(T859,CATALOGOS!$J$2:$K$18,2,FALSE)),""-"",TO_TEXT(A859))"),"P35DA-0858")</f>
        <v>P35DA-0858</v>
      </c>
      <c r="H859" s="6" t="s">
        <v>5898</v>
      </c>
      <c r="I859" s="6" t="s">
        <v>5899</v>
      </c>
      <c r="J859" s="6" t="s">
        <v>5900</v>
      </c>
      <c r="K859" s="6" t="s">
        <v>141</v>
      </c>
      <c r="L859" s="17"/>
      <c r="M859" s="17"/>
      <c r="N859" s="17" t="str">
        <f t="shared" si="2"/>
        <v>REPETIDO</v>
      </c>
      <c r="O859" s="17" t="s">
        <v>5901</v>
      </c>
      <c r="P859" s="6">
        <v>106782</v>
      </c>
      <c r="Q859" s="6" t="s">
        <v>5902</v>
      </c>
      <c r="R859" s="10" t="s">
        <v>85</v>
      </c>
      <c r="S859" s="173" t="s">
        <v>38</v>
      </c>
      <c r="T859" s="11" t="s">
        <v>28</v>
      </c>
      <c r="U859" s="22" t="s">
        <v>40</v>
      </c>
      <c r="V859" s="22" t="s">
        <v>40</v>
      </c>
      <c r="W859" s="22"/>
      <c r="X859" s="6"/>
      <c r="Y859" s="6"/>
      <c r="Z859" s="23"/>
      <c r="AA859" s="7"/>
    </row>
    <row r="860" spans="1:27" ht="15.75" customHeight="1">
      <c r="A860" s="10" t="s">
        <v>5903</v>
      </c>
      <c r="B860" s="10" t="s">
        <v>474</v>
      </c>
      <c r="C860" s="11" t="s">
        <v>28</v>
      </c>
      <c r="D860" s="12"/>
      <c r="E860" s="13" t="s">
        <v>5904</v>
      </c>
      <c r="F860" s="43" t="s">
        <v>5905</v>
      </c>
      <c r="G860" s="6" t="str">
        <f ca="1">IFERROR(__xludf.DUMMYFUNCTION("CONCATENATE(B860,(VLOOKUP(C860,CATALOGOS!$F$2:$H$6,3,FALSE)),(VLOOKUP(T860,CATALOGOS!$J$2:$K$18,2,FALSE)),""-"",TO_TEXT(A860))"),"P35DA-0859")</f>
        <v>P35DA-0859</v>
      </c>
      <c r="H860" s="6" t="s">
        <v>5906</v>
      </c>
      <c r="I860" s="6" t="s">
        <v>5907</v>
      </c>
      <c r="J860" s="6" t="s">
        <v>5908</v>
      </c>
      <c r="K860" s="6" t="s">
        <v>5909</v>
      </c>
      <c r="L860" s="17"/>
      <c r="M860" s="17"/>
      <c r="N860" s="17" t="str">
        <f t="shared" si="2"/>
        <v>OK</v>
      </c>
      <c r="O860" s="17" t="s">
        <v>5910</v>
      </c>
      <c r="P860" s="6" t="s">
        <v>35</v>
      </c>
      <c r="Q860" s="17" t="s">
        <v>36</v>
      </c>
      <c r="R860" s="17" t="s">
        <v>5911</v>
      </c>
      <c r="S860" s="173" t="s">
        <v>38</v>
      </c>
      <c r="T860" s="11" t="s">
        <v>28</v>
      </c>
      <c r="U860" s="22" t="s">
        <v>40</v>
      </c>
      <c r="V860" s="22" t="s">
        <v>40</v>
      </c>
      <c r="W860" s="22"/>
      <c r="X860" s="81"/>
      <c r="Y860" s="81"/>
      <c r="Z860" s="23"/>
      <c r="AA860" s="26"/>
    </row>
    <row r="861" spans="1:27" ht="15.75" customHeight="1">
      <c r="A861" s="10" t="s">
        <v>5912</v>
      </c>
      <c r="B861" s="10" t="s">
        <v>474</v>
      </c>
      <c r="C861" s="11" t="s">
        <v>28</v>
      </c>
      <c r="D861" s="12"/>
      <c r="E861" s="13" t="s">
        <v>5913</v>
      </c>
      <c r="F861" s="6" t="s">
        <v>5913</v>
      </c>
      <c r="G861" s="6" t="str">
        <f ca="1">IFERROR(__xludf.DUMMYFUNCTION("CONCATENATE(B861,(VLOOKUP(C861,CATALOGOS!$F$2:$H$6,3,FALSE)),(VLOOKUP(T861,CATALOGOS!$J$2:$K$18,2,FALSE)),""-"",TO_TEXT(A861))"),"P35DA-0860")</f>
        <v>P35DA-0860</v>
      </c>
      <c r="H861" s="6" t="s">
        <v>5914</v>
      </c>
      <c r="I861" s="6" t="s">
        <v>5915</v>
      </c>
      <c r="J861" s="6" t="s">
        <v>5916</v>
      </c>
      <c r="K861" s="6" t="s">
        <v>5917</v>
      </c>
      <c r="L861" s="17"/>
      <c r="M861" s="17"/>
      <c r="N861" s="17" t="str">
        <f t="shared" si="2"/>
        <v>OK</v>
      </c>
      <c r="O861" s="17" t="s">
        <v>5918</v>
      </c>
      <c r="P861" s="6" t="s">
        <v>5919</v>
      </c>
      <c r="Q861" s="17" t="s">
        <v>36</v>
      </c>
      <c r="R861" s="17" t="s">
        <v>5920</v>
      </c>
      <c r="S861" s="173" t="s">
        <v>38</v>
      </c>
      <c r="T861" s="11" t="s">
        <v>28</v>
      </c>
      <c r="U861" s="22" t="s">
        <v>40</v>
      </c>
      <c r="V861" s="22" t="s">
        <v>40</v>
      </c>
      <c r="W861" s="22"/>
      <c r="X861" s="81"/>
      <c r="Y861" s="81"/>
      <c r="Z861" s="23"/>
      <c r="AA861" s="26"/>
    </row>
    <row r="862" spans="1:27" ht="15.75" customHeight="1">
      <c r="A862" s="10" t="s">
        <v>5921</v>
      </c>
      <c r="B862" s="10" t="s">
        <v>474</v>
      </c>
      <c r="C862" s="11" t="s">
        <v>28</v>
      </c>
      <c r="D862" s="12"/>
      <c r="E862" s="13" t="s">
        <v>565</v>
      </c>
      <c r="F862" s="43" t="s">
        <v>5922</v>
      </c>
      <c r="G862" s="6" t="str">
        <f ca="1">IFERROR(__xludf.DUMMYFUNCTION("CONCATENATE(B862,(VLOOKUP(C862,CATALOGOS!$F$2:$H$6,3,FALSE)),(VLOOKUP(T862,CATALOGOS!$J$2:$K$18,2,FALSE)),""-"",TO_TEXT(A862))"),"P35DA-0861")</f>
        <v>P35DA-0861</v>
      </c>
      <c r="H862" s="6" t="s">
        <v>5923</v>
      </c>
      <c r="I862" s="6" t="s">
        <v>5924</v>
      </c>
      <c r="J862" s="6" t="s">
        <v>5925</v>
      </c>
      <c r="K862" s="6" t="s">
        <v>5926</v>
      </c>
      <c r="L862" s="17"/>
      <c r="M862" s="17"/>
      <c r="N862" s="17" t="str">
        <f t="shared" si="2"/>
        <v>OK</v>
      </c>
      <c r="O862" s="17" t="s">
        <v>35</v>
      </c>
      <c r="P862" s="6" t="s">
        <v>35</v>
      </c>
      <c r="Q862" s="17" t="s">
        <v>36</v>
      </c>
      <c r="R862" s="17" t="s">
        <v>5927</v>
      </c>
      <c r="S862" s="173" t="s">
        <v>38</v>
      </c>
      <c r="T862" s="11" t="s">
        <v>28</v>
      </c>
      <c r="U862" s="22" t="s">
        <v>40</v>
      </c>
      <c r="V862" s="22" t="s">
        <v>40</v>
      </c>
      <c r="W862" s="22"/>
      <c r="X862" s="81"/>
      <c r="Y862" s="81"/>
      <c r="Z862" s="23"/>
      <c r="AA862" s="26"/>
    </row>
    <row r="863" spans="1:27" ht="15.75" customHeight="1">
      <c r="A863" s="10" t="s">
        <v>5928</v>
      </c>
      <c r="B863" s="10" t="s">
        <v>474</v>
      </c>
      <c r="C863" s="11" t="s">
        <v>28</v>
      </c>
      <c r="D863" s="12"/>
      <c r="E863" s="13" t="s">
        <v>5929</v>
      </c>
      <c r="F863" s="43" t="s">
        <v>5930</v>
      </c>
      <c r="G863" s="6" t="str">
        <f ca="1">IFERROR(__xludf.DUMMYFUNCTION("CONCATENATE(B863,(VLOOKUP(C863,CATALOGOS!$F$2:$H$6,3,FALSE)),(VLOOKUP(T863,CATALOGOS!$J$2:$K$18,2,FALSE)),""-"",TO_TEXT(A863))"),"P35DA-0862")</f>
        <v>P35DA-0862</v>
      </c>
      <c r="H863" s="6" t="s">
        <v>5931</v>
      </c>
      <c r="I863" s="6" t="s">
        <v>5932</v>
      </c>
      <c r="J863" s="6" t="s">
        <v>5933</v>
      </c>
      <c r="K863" s="6" t="s">
        <v>5934</v>
      </c>
      <c r="L863" s="17"/>
      <c r="M863" s="17"/>
      <c r="N863" s="17" t="str">
        <f t="shared" si="2"/>
        <v>OK</v>
      </c>
      <c r="O863" s="17" t="s">
        <v>5918</v>
      </c>
      <c r="P863" s="6" t="s">
        <v>35</v>
      </c>
      <c r="Q863" s="17" t="s">
        <v>5935</v>
      </c>
      <c r="R863" s="17" t="s">
        <v>5936</v>
      </c>
      <c r="S863" s="173" t="s">
        <v>38</v>
      </c>
      <c r="T863" s="11" t="s">
        <v>28</v>
      </c>
      <c r="U863" s="22" t="s">
        <v>40</v>
      </c>
      <c r="V863" s="22" t="s">
        <v>40</v>
      </c>
      <c r="W863" s="22"/>
      <c r="X863" s="7"/>
      <c r="Y863" s="7"/>
      <c r="Z863" s="23"/>
      <c r="AA863" s="26"/>
    </row>
    <row r="864" spans="1:27" ht="15.75" customHeight="1">
      <c r="A864" s="10" t="s">
        <v>5937</v>
      </c>
      <c r="B864" s="10" t="s">
        <v>474</v>
      </c>
      <c r="C864" s="11" t="s">
        <v>28</v>
      </c>
      <c r="D864" s="12"/>
      <c r="E864" s="13" t="s">
        <v>565</v>
      </c>
      <c r="F864" s="43" t="s">
        <v>5938</v>
      </c>
      <c r="G864" s="6" t="str">
        <f ca="1">IFERROR(__xludf.DUMMYFUNCTION("CONCATENATE(B864,(VLOOKUP(C864,CATALOGOS!$F$2:$H$6,3,FALSE)),(VLOOKUP(T864,CATALOGOS!$J$2:$K$18,2,FALSE)),""-"",TO_TEXT(A864))"),"P35DA-0863")</f>
        <v>P35DA-0863</v>
      </c>
      <c r="H864" s="6" t="s">
        <v>5939</v>
      </c>
      <c r="I864" s="6" t="s">
        <v>5940</v>
      </c>
      <c r="J864" s="6" t="s">
        <v>5941</v>
      </c>
      <c r="K864" s="6" t="s">
        <v>5942</v>
      </c>
      <c r="L864" s="17"/>
      <c r="M864" s="17"/>
      <c r="N864" s="17" t="str">
        <f t="shared" si="2"/>
        <v>OK</v>
      </c>
      <c r="O864" s="17" t="s">
        <v>35</v>
      </c>
      <c r="P864" s="6" t="s">
        <v>35</v>
      </c>
      <c r="Q864" s="17" t="s">
        <v>36</v>
      </c>
      <c r="R864" s="17" t="s">
        <v>5943</v>
      </c>
      <c r="S864" s="173" t="s">
        <v>38</v>
      </c>
      <c r="T864" s="11" t="s">
        <v>28</v>
      </c>
      <c r="U864" s="22" t="s">
        <v>40</v>
      </c>
      <c r="V864" s="22" t="s">
        <v>40</v>
      </c>
      <c r="W864" s="22"/>
      <c r="X864" s="7"/>
      <c r="Y864" s="7"/>
      <c r="Z864" s="23"/>
      <c r="AA864" s="26"/>
    </row>
    <row r="865" spans="1:27" ht="15.75" customHeight="1">
      <c r="A865" s="10" t="s">
        <v>5944</v>
      </c>
      <c r="B865" s="10" t="s">
        <v>474</v>
      </c>
      <c r="C865" s="11" t="s">
        <v>28</v>
      </c>
      <c r="D865" s="12"/>
      <c r="E865" s="13" t="s">
        <v>378</v>
      </c>
      <c r="F865" s="6" t="s">
        <v>5945</v>
      </c>
      <c r="G865" s="6" t="str">
        <f ca="1">IFERROR(__xludf.DUMMYFUNCTION("CONCATENATE(B865,(VLOOKUP(C865,CATALOGOS!$F$2:$H$6,3,FALSE)),(VLOOKUP(T865,CATALOGOS!$J$2:$K$18,2,FALSE)),""-"",TO_TEXT(A865))"),"P35DA-0864")</f>
        <v>P35DA-0864</v>
      </c>
      <c r="H865" s="6" t="s">
        <v>5946</v>
      </c>
      <c r="I865" s="6" t="s">
        <v>5947</v>
      </c>
      <c r="J865" s="6" t="s">
        <v>5948</v>
      </c>
      <c r="K865" s="6" t="s">
        <v>5949</v>
      </c>
      <c r="L865" s="17"/>
      <c r="M865" s="17"/>
      <c r="N865" s="17" t="str">
        <f t="shared" si="2"/>
        <v>OK</v>
      </c>
      <c r="O865" s="17" t="s">
        <v>35</v>
      </c>
      <c r="P865" s="6" t="s">
        <v>35</v>
      </c>
      <c r="Q865" s="17" t="s">
        <v>36</v>
      </c>
      <c r="R865" s="17" t="s">
        <v>5950</v>
      </c>
      <c r="S865" s="173" t="s">
        <v>38</v>
      </c>
      <c r="T865" s="11" t="s">
        <v>28</v>
      </c>
      <c r="U865" s="22" t="s">
        <v>40</v>
      </c>
      <c r="V865" s="22" t="s">
        <v>40</v>
      </c>
      <c r="W865" s="22"/>
      <c r="X865" s="7"/>
      <c r="Y865" s="7"/>
      <c r="Z865" s="23"/>
      <c r="AA865" s="26"/>
    </row>
    <row r="866" spans="1:27" ht="15.75" customHeight="1">
      <c r="A866" s="10" t="s">
        <v>5951</v>
      </c>
      <c r="B866" s="10" t="s">
        <v>474</v>
      </c>
      <c r="C866" s="11" t="s">
        <v>28</v>
      </c>
      <c r="D866" s="12"/>
      <c r="E866" s="68" t="s">
        <v>378</v>
      </c>
      <c r="F866" s="6" t="s">
        <v>5945</v>
      </c>
      <c r="G866" s="6" t="str">
        <f ca="1">IFERROR(__xludf.DUMMYFUNCTION("CONCATENATE(B866,(VLOOKUP(C866,CATALOGOS!$F$2:$H$6,3,FALSE)),(VLOOKUP(T866,CATALOGOS!$J$2:$K$18,2,FALSE)),""-"",TO_TEXT(A866))"),"P35DA-0865")</f>
        <v>P35DA-0865</v>
      </c>
      <c r="H866" s="6" t="s">
        <v>5952</v>
      </c>
      <c r="I866" s="6" t="s">
        <v>5953</v>
      </c>
      <c r="J866" s="6" t="s">
        <v>5954</v>
      </c>
      <c r="K866" s="6" t="s">
        <v>5955</v>
      </c>
      <c r="L866" s="17"/>
      <c r="M866" s="17"/>
      <c r="N866" s="17" t="str">
        <f t="shared" si="2"/>
        <v>OK</v>
      </c>
      <c r="O866" s="17" t="s">
        <v>35</v>
      </c>
      <c r="P866" s="6" t="s">
        <v>35</v>
      </c>
      <c r="Q866" s="17" t="s">
        <v>36</v>
      </c>
      <c r="R866" s="17" t="s">
        <v>5956</v>
      </c>
      <c r="S866" s="173" t="s">
        <v>38</v>
      </c>
      <c r="T866" s="11" t="s">
        <v>28</v>
      </c>
      <c r="U866" s="22" t="s">
        <v>40</v>
      </c>
      <c r="V866" s="22" t="s">
        <v>40</v>
      </c>
      <c r="W866" s="22"/>
      <c r="X866" s="7"/>
      <c r="Y866" s="7"/>
      <c r="Z866" s="23"/>
      <c r="AA866" s="26"/>
    </row>
    <row r="867" spans="1:27" ht="15.75" customHeight="1">
      <c r="A867" s="10" t="s">
        <v>5957</v>
      </c>
      <c r="B867" s="10" t="s">
        <v>474</v>
      </c>
      <c r="C867" s="11" t="s">
        <v>28</v>
      </c>
      <c r="D867" s="12"/>
      <c r="E867" s="68" t="s">
        <v>378</v>
      </c>
      <c r="F867" s="43" t="s">
        <v>5945</v>
      </c>
      <c r="G867" s="6" t="str">
        <f ca="1">IFERROR(__xludf.DUMMYFUNCTION("CONCATENATE(B867,(VLOOKUP(C867,CATALOGOS!$F$2:$H$6,3,FALSE)),(VLOOKUP(T867,CATALOGOS!$J$2:$K$18,2,FALSE)),""-"",TO_TEXT(A867))"),"P35DA-0866")</f>
        <v>P35DA-0866</v>
      </c>
      <c r="H867" s="6" t="s">
        <v>5958</v>
      </c>
      <c r="I867" s="6" t="s">
        <v>5959</v>
      </c>
      <c r="J867" s="6" t="s">
        <v>5960</v>
      </c>
      <c r="K867" s="43" t="s">
        <v>5961</v>
      </c>
      <c r="L867" s="17"/>
      <c r="M867" s="17"/>
      <c r="N867" s="17" t="str">
        <f t="shared" si="2"/>
        <v>OK</v>
      </c>
      <c r="O867" s="17" t="s">
        <v>35</v>
      </c>
      <c r="P867" s="6" t="s">
        <v>35</v>
      </c>
      <c r="Q867" s="17" t="s">
        <v>36</v>
      </c>
      <c r="R867" s="17" t="s">
        <v>5962</v>
      </c>
      <c r="S867" s="173" t="s">
        <v>38</v>
      </c>
      <c r="T867" s="11" t="s">
        <v>28</v>
      </c>
      <c r="U867" s="22" t="s">
        <v>40</v>
      </c>
      <c r="V867" s="22" t="s">
        <v>40</v>
      </c>
      <c r="W867" s="22"/>
      <c r="X867" s="7"/>
      <c r="Y867" s="7"/>
      <c r="Z867" s="23"/>
      <c r="AA867" s="26"/>
    </row>
    <row r="868" spans="1:27" ht="15.75" customHeight="1">
      <c r="A868" s="10" t="s">
        <v>5963</v>
      </c>
      <c r="B868" s="10" t="s">
        <v>474</v>
      </c>
      <c r="C868" s="11" t="s">
        <v>28</v>
      </c>
      <c r="D868" s="12"/>
      <c r="E868" s="68" t="s">
        <v>378</v>
      </c>
      <c r="F868" s="43" t="s">
        <v>5945</v>
      </c>
      <c r="G868" s="6" t="str">
        <f ca="1">IFERROR(__xludf.DUMMYFUNCTION("CONCATENATE(B868,(VLOOKUP(C868,CATALOGOS!$F$2:$H$6,3,FALSE)),(VLOOKUP(T868,CATALOGOS!$J$2:$K$18,2,FALSE)),""-"",TO_TEXT(A868))"),"P35DA-0867")</f>
        <v>P35DA-0867</v>
      </c>
      <c r="H868" s="6" t="s">
        <v>5964</v>
      </c>
      <c r="I868" s="6" t="s">
        <v>5965</v>
      </c>
      <c r="J868" s="6" t="s">
        <v>5966</v>
      </c>
      <c r="K868" s="43" t="s">
        <v>5967</v>
      </c>
      <c r="L868" s="17"/>
      <c r="M868" s="17"/>
      <c r="N868" s="17" t="str">
        <f t="shared" si="2"/>
        <v>OK</v>
      </c>
      <c r="O868" s="17" t="s">
        <v>35</v>
      </c>
      <c r="P868" s="6" t="s">
        <v>35</v>
      </c>
      <c r="Q868" s="17" t="s">
        <v>36</v>
      </c>
      <c r="R868" s="17" t="s">
        <v>5968</v>
      </c>
      <c r="S868" s="173" t="s">
        <v>38</v>
      </c>
      <c r="T868" s="11" t="s">
        <v>28</v>
      </c>
      <c r="U868" s="22" t="s">
        <v>40</v>
      </c>
      <c r="V868" s="22" t="s">
        <v>40</v>
      </c>
      <c r="W868" s="22"/>
      <c r="X868" s="7"/>
      <c r="Y868" s="7"/>
      <c r="Z868" s="23"/>
      <c r="AA868" s="26"/>
    </row>
    <row r="869" spans="1:27" ht="15.75" customHeight="1">
      <c r="A869" s="10" t="s">
        <v>5969</v>
      </c>
      <c r="B869" s="10" t="s">
        <v>474</v>
      </c>
      <c r="C869" s="11" t="s">
        <v>28</v>
      </c>
      <c r="D869" s="12"/>
      <c r="E869" s="68" t="s">
        <v>378</v>
      </c>
      <c r="F869" s="43" t="s">
        <v>5945</v>
      </c>
      <c r="G869" s="6" t="str">
        <f ca="1">IFERROR(__xludf.DUMMYFUNCTION("CONCATENATE(B869,(VLOOKUP(C869,CATALOGOS!$F$2:$H$6,3,FALSE)),(VLOOKUP(T869,CATALOGOS!$J$2:$K$18,2,FALSE)),""-"",TO_TEXT(A869))"),"P35DA-0868")</f>
        <v>P35DA-0868</v>
      </c>
      <c r="H869" s="6" t="s">
        <v>5970</v>
      </c>
      <c r="I869" s="6" t="s">
        <v>5971</v>
      </c>
      <c r="J869" s="6" t="s">
        <v>5972</v>
      </c>
      <c r="K869" s="43" t="s">
        <v>5973</v>
      </c>
      <c r="L869" s="17"/>
      <c r="M869" s="17"/>
      <c r="N869" s="17" t="str">
        <f t="shared" si="2"/>
        <v>OK</v>
      </c>
      <c r="O869" s="17" t="s">
        <v>35</v>
      </c>
      <c r="P869" s="6" t="s">
        <v>35</v>
      </c>
      <c r="Q869" s="17" t="s">
        <v>36</v>
      </c>
      <c r="R869" s="17" t="s">
        <v>5974</v>
      </c>
      <c r="S869" s="173" t="s">
        <v>38</v>
      </c>
      <c r="T869" s="11" t="s">
        <v>28</v>
      </c>
      <c r="U869" s="22" t="s">
        <v>40</v>
      </c>
      <c r="V869" s="22" t="s">
        <v>40</v>
      </c>
      <c r="W869" s="22"/>
      <c r="X869" s="7"/>
      <c r="Y869" s="7"/>
      <c r="Z869" s="23"/>
      <c r="AA869" s="26"/>
    </row>
    <row r="870" spans="1:27" ht="15.75" customHeight="1">
      <c r="A870" s="10" t="s">
        <v>5975</v>
      </c>
      <c r="B870" s="10" t="s">
        <v>474</v>
      </c>
      <c r="C870" s="11" t="s">
        <v>28</v>
      </c>
      <c r="D870" s="12"/>
      <c r="E870" s="68" t="s">
        <v>378</v>
      </c>
      <c r="F870" s="43" t="s">
        <v>5945</v>
      </c>
      <c r="G870" s="6" t="str">
        <f ca="1">IFERROR(__xludf.DUMMYFUNCTION("CONCATENATE(B870,(VLOOKUP(C870,CATALOGOS!$F$2:$H$6,3,FALSE)),(VLOOKUP(T870,CATALOGOS!$J$2:$K$18,2,FALSE)),""-"",TO_TEXT(A870))"),"P35DA-0869")</f>
        <v>P35DA-0869</v>
      </c>
      <c r="H870" s="6" t="s">
        <v>5976</v>
      </c>
      <c r="I870" s="6" t="s">
        <v>5977</v>
      </c>
      <c r="J870" s="6" t="s">
        <v>5978</v>
      </c>
      <c r="K870" s="43" t="s">
        <v>5979</v>
      </c>
      <c r="L870" s="17"/>
      <c r="M870" s="17"/>
      <c r="N870" s="17" t="str">
        <f t="shared" si="2"/>
        <v>OK</v>
      </c>
      <c r="O870" s="17" t="s">
        <v>35</v>
      </c>
      <c r="P870" s="6" t="s">
        <v>35</v>
      </c>
      <c r="Q870" s="17" t="s">
        <v>36</v>
      </c>
      <c r="R870" s="17" t="s">
        <v>5980</v>
      </c>
      <c r="S870" s="173" t="s">
        <v>38</v>
      </c>
      <c r="T870" s="11" t="s">
        <v>28</v>
      </c>
      <c r="U870" s="22" t="s">
        <v>40</v>
      </c>
      <c r="V870" s="22" t="s">
        <v>40</v>
      </c>
      <c r="W870" s="22"/>
      <c r="X870" s="7"/>
      <c r="Y870" s="7"/>
      <c r="Z870" s="23"/>
      <c r="AA870" s="26"/>
    </row>
    <row r="871" spans="1:27" ht="15.75" customHeight="1">
      <c r="A871" s="10" t="s">
        <v>5981</v>
      </c>
      <c r="B871" s="10" t="s">
        <v>474</v>
      </c>
      <c r="C871" s="11" t="s">
        <v>28</v>
      </c>
      <c r="D871" s="12"/>
      <c r="E871" s="68" t="s">
        <v>378</v>
      </c>
      <c r="F871" s="43" t="s">
        <v>5945</v>
      </c>
      <c r="G871" s="6" t="str">
        <f ca="1">IFERROR(__xludf.DUMMYFUNCTION("CONCATENATE(B871,(VLOOKUP(C871,CATALOGOS!$F$2:$H$6,3,FALSE)),(VLOOKUP(T871,CATALOGOS!$J$2:$K$18,2,FALSE)),""-"",TO_TEXT(A871))"),"P35DA-0870")</f>
        <v>P35DA-0870</v>
      </c>
      <c r="H871" s="6" t="s">
        <v>5982</v>
      </c>
      <c r="I871" s="6" t="s">
        <v>5983</v>
      </c>
      <c r="J871" s="6" t="s">
        <v>5984</v>
      </c>
      <c r="K871" s="43" t="s">
        <v>5985</v>
      </c>
      <c r="L871" s="17"/>
      <c r="M871" s="17"/>
      <c r="N871" s="17" t="str">
        <f t="shared" si="2"/>
        <v>OK</v>
      </c>
      <c r="O871" s="17" t="s">
        <v>35</v>
      </c>
      <c r="P871" s="6" t="s">
        <v>35</v>
      </c>
      <c r="Q871" s="17" t="s">
        <v>36</v>
      </c>
      <c r="R871" s="17" t="s">
        <v>5986</v>
      </c>
      <c r="S871" s="173" t="s">
        <v>38</v>
      </c>
      <c r="T871" s="11" t="s">
        <v>28</v>
      </c>
      <c r="U871" s="22" t="s">
        <v>40</v>
      </c>
      <c r="V871" s="22" t="s">
        <v>40</v>
      </c>
      <c r="W871" s="22"/>
      <c r="X871" s="7"/>
      <c r="Y871" s="7"/>
      <c r="Z871" s="23"/>
      <c r="AA871" s="26"/>
    </row>
    <row r="872" spans="1:27" ht="15.75" customHeight="1">
      <c r="A872" s="10" t="s">
        <v>5987</v>
      </c>
      <c r="B872" s="10" t="s">
        <v>474</v>
      </c>
      <c r="C872" s="11" t="s">
        <v>28</v>
      </c>
      <c r="D872" s="12"/>
      <c r="E872" s="68" t="s">
        <v>378</v>
      </c>
      <c r="F872" s="43" t="s">
        <v>5945</v>
      </c>
      <c r="G872" s="6" t="str">
        <f ca="1">IFERROR(__xludf.DUMMYFUNCTION("CONCATENATE(B872,(VLOOKUP(C872,CATALOGOS!$F$2:$H$6,3,FALSE)),(VLOOKUP(T872,CATALOGOS!$J$2:$K$18,2,FALSE)),""-"",TO_TEXT(A872))"),"P35DA-0871")</f>
        <v>P35DA-0871</v>
      </c>
      <c r="H872" s="6" t="s">
        <v>5988</v>
      </c>
      <c r="I872" s="6" t="s">
        <v>5989</v>
      </c>
      <c r="J872" s="6" t="s">
        <v>5990</v>
      </c>
      <c r="K872" s="43" t="s">
        <v>5991</v>
      </c>
      <c r="L872" s="17"/>
      <c r="M872" s="17"/>
      <c r="N872" s="17" t="str">
        <f t="shared" si="2"/>
        <v>OK</v>
      </c>
      <c r="O872" s="17" t="s">
        <v>35</v>
      </c>
      <c r="P872" s="6" t="s">
        <v>35</v>
      </c>
      <c r="Q872" s="17" t="s">
        <v>36</v>
      </c>
      <c r="R872" s="17" t="s">
        <v>5992</v>
      </c>
      <c r="S872" s="173" t="s">
        <v>38</v>
      </c>
      <c r="T872" s="11" t="s">
        <v>28</v>
      </c>
      <c r="U872" s="22" t="s">
        <v>40</v>
      </c>
      <c r="V872" s="22" t="s">
        <v>40</v>
      </c>
      <c r="W872" s="22"/>
      <c r="X872" s="7"/>
      <c r="Y872" s="7"/>
      <c r="Z872" s="23"/>
      <c r="AA872" s="26"/>
    </row>
    <row r="873" spans="1:27" ht="15.75" customHeight="1">
      <c r="A873" s="10" t="s">
        <v>5993</v>
      </c>
      <c r="B873" s="10" t="s">
        <v>474</v>
      </c>
      <c r="C873" s="11" t="s">
        <v>28</v>
      </c>
      <c r="D873" s="12"/>
      <c r="E873" s="68" t="s">
        <v>378</v>
      </c>
      <c r="F873" s="43" t="s">
        <v>5945</v>
      </c>
      <c r="G873" s="6" t="str">
        <f ca="1">IFERROR(__xludf.DUMMYFUNCTION("CONCATENATE(B873,(VLOOKUP(C873,CATALOGOS!$F$2:$H$6,3,FALSE)),(VLOOKUP(T873,CATALOGOS!$J$2:$K$18,2,FALSE)),""-"",TO_TEXT(A873))"),"P35DA-0872")</f>
        <v>P35DA-0872</v>
      </c>
      <c r="H873" s="6" t="s">
        <v>5994</v>
      </c>
      <c r="I873" s="6" t="s">
        <v>5995</v>
      </c>
      <c r="J873" s="6" t="s">
        <v>5996</v>
      </c>
      <c r="K873" s="43" t="s">
        <v>5997</v>
      </c>
      <c r="L873" s="17"/>
      <c r="M873" s="17"/>
      <c r="N873" s="17" t="str">
        <f t="shared" si="2"/>
        <v>OK</v>
      </c>
      <c r="O873" s="17" t="s">
        <v>35</v>
      </c>
      <c r="P873" s="6" t="s">
        <v>35</v>
      </c>
      <c r="Q873" s="17" t="s">
        <v>36</v>
      </c>
      <c r="R873" s="17" t="s">
        <v>5998</v>
      </c>
      <c r="S873" s="173" t="s">
        <v>38</v>
      </c>
      <c r="T873" s="11" t="s">
        <v>28</v>
      </c>
      <c r="U873" s="22" t="s">
        <v>40</v>
      </c>
      <c r="V873" s="22" t="s">
        <v>40</v>
      </c>
      <c r="W873" s="22"/>
      <c r="X873" s="7"/>
      <c r="Y873" s="7"/>
      <c r="Z873" s="23"/>
      <c r="AA873" s="26"/>
    </row>
    <row r="874" spans="1:27" ht="15.75" customHeight="1">
      <c r="A874" s="10" t="s">
        <v>5999</v>
      </c>
      <c r="B874" s="10" t="s">
        <v>474</v>
      </c>
      <c r="C874" s="11" t="s">
        <v>28</v>
      </c>
      <c r="D874" s="12"/>
      <c r="E874" s="68" t="s">
        <v>378</v>
      </c>
      <c r="F874" s="43" t="s">
        <v>5945</v>
      </c>
      <c r="G874" s="6" t="str">
        <f ca="1">IFERROR(__xludf.DUMMYFUNCTION("CONCATENATE(B874,(VLOOKUP(C874,CATALOGOS!$F$2:$H$6,3,FALSE)),(VLOOKUP(T874,CATALOGOS!$J$2:$K$18,2,FALSE)),""-"",TO_TEXT(A874))"),"P35DA-0873")</f>
        <v>P35DA-0873</v>
      </c>
      <c r="H874" s="6" t="s">
        <v>6000</v>
      </c>
      <c r="I874" s="6" t="s">
        <v>6001</v>
      </c>
      <c r="J874" s="6" t="s">
        <v>6002</v>
      </c>
      <c r="K874" s="43" t="s">
        <v>6003</v>
      </c>
      <c r="L874" s="17"/>
      <c r="M874" s="17"/>
      <c r="N874" s="17" t="str">
        <f t="shared" si="2"/>
        <v>OK</v>
      </c>
      <c r="O874" s="17" t="s">
        <v>35</v>
      </c>
      <c r="P874" s="6" t="s">
        <v>35</v>
      </c>
      <c r="Q874" s="17" t="s">
        <v>36</v>
      </c>
      <c r="R874" s="17" t="s">
        <v>6004</v>
      </c>
      <c r="S874" s="173" t="s">
        <v>38</v>
      </c>
      <c r="T874" s="11" t="s">
        <v>28</v>
      </c>
      <c r="U874" s="22" t="s">
        <v>40</v>
      </c>
      <c r="V874" s="22" t="s">
        <v>40</v>
      </c>
      <c r="W874" s="22"/>
      <c r="X874" s="7"/>
      <c r="Y874" s="7"/>
      <c r="Z874" s="23"/>
      <c r="AA874" s="26"/>
    </row>
    <row r="875" spans="1:27" ht="15.75" customHeight="1">
      <c r="A875" s="10" t="s">
        <v>6005</v>
      </c>
      <c r="B875" s="10" t="s">
        <v>474</v>
      </c>
      <c r="C875" s="11" t="s">
        <v>28</v>
      </c>
      <c r="D875" s="12"/>
      <c r="E875" s="68" t="s">
        <v>378</v>
      </c>
      <c r="F875" s="43" t="s">
        <v>5945</v>
      </c>
      <c r="G875" s="6" t="str">
        <f ca="1">IFERROR(__xludf.DUMMYFUNCTION("CONCATENATE(B875,(VLOOKUP(C875,CATALOGOS!$F$2:$H$6,3,FALSE)),(VLOOKUP(T875,CATALOGOS!$J$2:$K$18,2,FALSE)),""-"",TO_TEXT(A875))"),"P35DA-0874")</f>
        <v>P35DA-0874</v>
      </c>
      <c r="H875" s="6" t="s">
        <v>6006</v>
      </c>
      <c r="I875" s="6" t="s">
        <v>6007</v>
      </c>
      <c r="J875" s="6" t="s">
        <v>6008</v>
      </c>
      <c r="K875" s="43" t="s">
        <v>6009</v>
      </c>
      <c r="L875" s="17"/>
      <c r="M875" s="17"/>
      <c r="N875" s="17" t="str">
        <f t="shared" si="2"/>
        <v>OK</v>
      </c>
      <c r="O875" s="17" t="s">
        <v>35</v>
      </c>
      <c r="P875" s="6" t="s">
        <v>35</v>
      </c>
      <c r="Q875" s="17" t="s">
        <v>36</v>
      </c>
      <c r="R875" s="17" t="s">
        <v>6010</v>
      </c>
      <c r="S875" s="173" t="s">
        <v>38</v>
      </c>
      <c r="T875" s="11" t="s">
        <v>28</v>
      </c>
      <c r="U875" s="22" t="s">
        <v>40</v>
      </c>
      <c r="V875" s="22" t="s">
        <v>40</v>
      </c>
      <c r="W875" s="22"/>
      <c r="X875" s="7"/>
      <c r="Y875" s="7"/>
      <c r="Z875" s="23"/>
      <c r="AA875" s="26"/>
    </row>
    <row r="876" spans="1:27" ht="15.75" customHeight="1">
      <c r="A876" s="10" t="s">
        <v>6011</v>
      </c>
      <c r="B876" s="10" t="s">
        <v>474</v>
      </c>
      <c r="C876" s="11" t="s">
        <v>28</v>
      </c>
      <c r="D876" s="12"/>
      <c r="E876" s="68" t="s">
        <v>378</v>
      </c>
      <c r="F876" s="43" t="s">
        <v>5945</v>
      </c>
      <c r="G876" s="6" t="str">
        <f ca="1">IFERROR(__xludf.DUMMYFUNCTION("CONCATENATE(B876,(VLOOKUP(C876,CATALOGOS!$F$2:$H$6,3,FALSE)),(VLOOKUP(T876,CATALOGOS!$J$2:$K$18,2,FALSE)),""-"",TO_TEXT(A876))"),"P35DA-0875")</f>
        <v>P35DA-0875</v>
      </c>
      <c r="H876" s="6" t="s">
        <v>6012</v>
      </c>
      <c r="I876" s="6" t="s">
        <v>6013</v>
      </c>
      <c r="J876" s="6" t="s">
        <v>6014</v>
      </c>
      <c r="K876" s="43" t="s">
        <v>6015</v>
      </c>
      <c r="L876" s="17"/>
      <c r="M876" s="17"/>
      <c r="N876" s="17" t="str">
        <f t="shared" si="2"/>
        <v>OK</v>
      </c>
      <c r="O876" s="17" t="s">
        <v>35</v>
      </c>
      <c r="P876" s="6" t="s">
        <v>35</v>
      </c>
      <c r="Q876" s="17" t="s">
        <v>36</v>
      </c>
      <c r="R876" s="17" t="s">
        <v>6016</v>
      </c>
      <c r="S876" s="173" t="s">
        <v>38</v>
      </c>
      <c r="T876" s="11" t="s">
        <v>28</v>
      </c>
      <c r="U876" s="22" t="s">
        <v>40</v>
      </c>
      <c r="V876" s="22" t="s">
        <v>40</v>
      </c>
      <c r="W876" s="22"/>
      <c r="X876" s="7"/>
      <c r="Y876" s="7"/>
      <c r="Z876" s="23"/>
      <c r="AA876" s="26"/>
    </row>
    <row r="877" spans="1:27" ht="15.75" customHeight="1">
      <c r="A877" s="10" t="s">
        <v>6017</v>
      </c>
      <c r="B877" s="10" t="s">
        <v>474</v>
      </c>
      <c r="C877" s="11" t="s">
        <v>28</v>
      </c>
      <c r="D877" s="12"/>
      <c r="E877" s="68" t="s">
        <v>378</v>
      </c>
      <c r="F877" s="43" t="s">
        <v>5945</v>
      </c>
      <c r="G877" s="6" t="str">
        <f ca="1">IFERROR(__xludf.DUMMYFUNCTION("CONCATENATE(B877,(VLOOKUP(C877,CATALOGOS!$F$2:$H$6,3,FALSE)),(VLOOKUP(T877,CATALOGOS!$J$2:$K$18,2,FALSE)),""-"",TO_TEXT(A877))"),"P35DA-0876")</f>
        <v>P35DA-0876</v>
      </c>
      <c r="H877" s="6" t="s">
        <v>6018</v>
      </c>
      <c r="I877" s="6" t="s">
        <v>6019</v>
      </c>
      <c r="J877" s="6" t="s">
        <v>6020</v>
      </c>
      <c r="K877" s="43" t="s">
        <v>6021</v>
      </c>
      <c r="L877" s="17"/>
      <c r="M877" s="17"/>
      <c r="N877" s="17" t="str">
        <f t="shared" si="2"/>
        <v>OK</v>
      </c>
      <c r="O877" s="17" t="s">
        <v>35</v>
      </c>
      <c r="P877" s="6" t="s">
        <v>35</v>
      </c>
      <c r="Q877" s="17" t="s">
        <v>36</v>
      </c>
      <c r="R877" s="17" t="s">
        <v>6022</v>
      </c>
      <c r="S877" s="173" t="s">
        <v>38</v>
      </c>
      <c r="T877" s="11" t="s">
        <v>28</v>
      </c>
      <c r="U877" s="22" t="s">
        <v>40</v>
      </c>
      <c r="V877" s="22" t="s">
        <v>40</v>
      </c>
      <c r="W877" s="22"/>
      <c r="X877" s="7"/>
      <c r="Y877" s="7"/>
      <c r="Z877" s="23"/>
      <c r="AA877" s="26"/>
    </row>
    <row r="878" spans="1:27" ht="15.75" customHeight="1">
      <c r="A878" s="10" t="s">
        <v>6023</v>
      </c>
      <c r="B878" s="10" t="s">
        <v>474</v>
      </c>
      <c r="C878" s="11" t="s">
        <v>28</v>
      </c>
      <c r="D878" s="12"/>
      <c r="E878" s="68" t="s">
        <v>378</v>
      </c>
      <c r="F878" s="6" t="s">
        <v>5945</v>
      </c>
      <c r="G878" s="6" t="str">
        <f ca="1">IFERROR(__xludf.DUMMYFUNCTION("CONCATENATE(B878,(VLOOKUP(C878,CATALOGOS!$F$2:$H$6,3,FALSE)),(VLOOKUP(T878,CATALOGOS!$J$2:$K$18,2,FALSE)),""-"",TO_TEXT(A878))"),"P35DA-0877")</f>
        <v>P35DA-0877</v>
      </c>
      <c r="H878" s="6" t="s">
        <v>6024</v>
      </c>
      <c r="I878" s="6" t="s">
        <v>6025</v>
      </c>
      <c r="J878" s="6" t="s">
        <v>6026</v>
      </c>
      <c r="K878" s="6" t="s">
        <v>6027</v>
      </c>
      <c r="L878" s="17"/>
      <c r="M878" s="17"/>
      <c r="N878" s="17" t="str">
        <f t="shared" si="2"/>
        <v>OK</v>
      </c>
      <c r="O878" s="17" t="s">
        <v>35</v>
      </c>
      <c r="P878" s="6" t="s">
        <v>35</v>
      </c>
      <c r="Q878" s="6" t="s">
        <v>36</v>
      </c>
      <c r="R878" s="10" t="s">
        <v>6028</v>
      </c>
      <c r="S878" s="173" t="s">
        <v>38</v>
      </c>
      <c r="T878" s="11" t="s">
        <v>28</v>
      </c>
      <c r="U878" s="22" t="s">
        <v>40</v>
      </c>
      <c r="V878" s="22" t="s">
        <v>40</v>
      </c>
      <c r="W878" s="22"/>
      <c r="X878" s="7"/>
      <c r="Y878" s="7"/>
      <c r="Z878" s="23"/>
      <c r="AA878" s="26"/>
    </row>
    <row r="879" spans="1:27" ht="15.75" customHeight="1">
      <c r="A879" s="10" t="s">
        <v>6029</v>
      </c>
      <c r="B879" s="10" t="s">
        <v>474</v>
      </c>
      <c r="C879" s="11" t="s">
        <v>28</v>
      </c>
      <c r="D879" s="12"/>
      <c r="E879" s="68" t="s">
        <v>378</v>
      </c>
      <c r="F879" s="43" t="s">
        <v>5945</v>
      </c>
      <c r="G879" s="6" t="str">
        <f ca="1">IFERROR(__xludf.DUMMYFUNCTION("CONCATENATE(B879,(VLOOKUP(C879,CATALOGOS!$F$2:$H$6,3,FALSE)),(VLOOKUP(T879,CATALOGOS!$J$2:$K$18,2,FALSE)),""-"",TO_TEXT(A879))"),"P35DA-0878")</f>
        <v>P35DA-0878</v>
      </c>
      <c r="H879" s="6" t="s">
        <v>6030</v>
      </c>
      <c r="I879" s="6" t="s">
        <v>6031</v>
      </c>
      <c r="J879" s="6" t="s">
        <v>6032</v>
      </c>
      <c r="K879" s="43" t="s">
        <v>6033</v>
      </c>
      <c r="L879" s="17"/>
      <c r="M879" s="17"/>
      <c r="N879" s="17" t="str">
        <f t="shared" si="2"/>
        <v>OK</v>
      </c>
      <c r="O879" s="17" t="s">
        <v>35</v>
      </c>
      <c r="P879" s="6" t="s">
        <v>35</v>
      </c>
      <c r="Q879" s="17" t="s">
        <v>36</v>
      </c>
      <c r="R879" s="17" t="s">
        <v>6034</v>
      </c>
      <c r="S879" s="173" t="s">
        <v>38</v>
      </c>
      <c r="T879" s="11" t="s">
        <v>28</v>
      </c>
      <c r="U879" s="22" t="s">
        <v>40</v>
      </c>
      <c r="V879" s="22" t="s">
        <v>40</v>
      </c>
      <c r="W879" s="22"/>
      <c r="X879" s="7"/>
      <c r="Y879" s="7"/>
      <c r="Z879" s="23"/>
      <c r="AA879" s="26"/>
    </row>
    <row r="880" spans="1:27" ht="15.75" customHeight="1">
      <c r="A880" s="10" t="s">
        <v>6035</v>
      </c>
      <c r="B880" s="10" t="s">
        <v>474</v>
      </c>
      <c r="C880" s="11" t="s">
        <v>28</v>
      </c>
      <c r="D880" s="12"/>
      <c r="E880" s="68" t="s">
        <v>378</v>
      </c>
      <c r="F880" s="43" t="s">
        <v>511</v>
      </c>
      <c r="G880" s="6" t="str">
        <f ca="1">IFERROR(__xludf.DUMMYFUNCTION("CONCATENATE(B880,(VLOOKUP(C880,CATALOGOS!$F$2:$H$6,3,FALSE)),(VLOOKUP(T880,CATALOGOS!$J$2:$K$18,2,FALSE)),""-"",TO_TEXT(A880))"),"P35DA-0879")</f>
        <v>P35DA-0879</v>
      </c>
      <c r="H880" s="6" t="s">
        <v>6036</v>
      </c>
      <c r="I880" s="6" t="s">
        <v>6037</v>
      </c>
      <c r="J880" s="6" t="s">
        <v>6038</v>
      </c>
      <c r="K880" s="43" t="s">
        <v>6039</v>
      </c>
      <c r="L880" s="17"/>
      <c r="M880" s="17"/>
      <c r="N880" s="17" t="str">
        <f t="shared" si="2"/>
        <v>OK</v>
      </c>
      <c r="O880" s="17" t="s">
        <v>35</v>
      </c>
      <c r="P880" s="6" t="s">
        <v>35</v>
      </c>
      <c r="Q880" s="17" t="s">
        <v>36</v>
      </c>
      <c r="R880" s="17" t="s">
        <v>6040</v>
      </c>
      <c r="S880" s="173" t="s">
        <v>38</v>
      </c>
      <c r="T880" s="11" t="s">
        <v>28</v>
      </c>
      <c r="U880" s="22" t="s">
        <v>40</v>
      </c>
      <c r="V880" s="22" t="s">
        <v>40</v>
      </c>
      <c r="W880" s="22"/>
      <c r="X880" s="6"/>
      <c r="Y880" s="6" t="s">
        <v>440</v>
      </c>
      <c r="Z880" s="23"/>
      <c r="AA880" s="26"/>
    </row>
    <row r="881" spans="1:27" ht="15.75" customHeight="1">
      <c r="A881" s="10" t="s">
        <v>6041</v>
      </c>
      <c r="B881" s="10" t="s">
        <v>474</v>
      </c>
      <c r="C881" s="11" t="s">
        <v>28</v>
      </c>
      <c r="D881" s="12"/>
      <c r="E881" s="68" t="s">
        <v>378</v>
      </c>
      <c r="F881" s="43" t="s">
        <v>511</v>
      </c>
      <c r="G881" s="6" t="str">
        <f ca="1">IFERROR(__xludf.DUMMYFUNCTION("CONCATENATE(B881,(VLOOKUP(C881,CATALOGOS!$F$2:$H$6,3,FALSE)),(VLOOKUP(T881,CATALOGOS!$J$2:$K$18,2,FALSE)),""-"",TO_TEXT(A881))"),"P35DA-0880")</f>
        <v>P35DA-0880</v>
      </c>
      <c r="H881" s="6" t="s">
        <v>6042</v>
      </c>
      <c r="I881" s="6" t="s">
        <v>6043</v>
      </c>
      <c r="J881" s="6" t="s">
        <v>6044</v>
      </c>
      <c r="K881" s="6" t="s">
        <v>6045</v>
      </c>
      <c r="L881" s="17"/>
      <c r="M881" s="17"/>
      <c r="N881" s="17" t="str">
        <f t="shared" si="2"/>
        <v>OK</v>
      </c>
      <c r="O881" s="17" t="s">
        <v>35</v>
      </c>
      <c r="P881" s="6" t="s">
        <v>35</v>
      </c>
      <c r="Q881" s="17" t="s">
        <v>36</v>
      </c>
      <c r="R881" s="17" t="s">
        <v>6046</v>
      </c>
      <c r="S881" s="173" t="s">
        <v>517</v>
      </c>
      <c r="T881" s="11" t="s">
        <v>28</v>
      </c>
      <c r="U881" s="22" t="s">
        <v>40</v>
      </c>
      <c r="V881" s="22" t="s">
        <v>40</v>
      </c>
      <c r="W881" s="22"/>
      <c r="X881" s="7"/>
      <c r="Y881" s="7"/>
      <c r="Z881" s="23"/>
      <c r="AA881" s="26"/>
    </row>
    <row r="882" spans="1:27" ht="15.75" customHeight="1">
      <c r="A882" s="10" t="s">
        <v>6047</v>
      </c>
      <c r="B882" s="10" t="s">
        <v>474</v>
      </c>
      <c r="C882" s="11" t="s">
        <v>28</v>
      </c>
      <c r="D882" s="38"/>
      <c r="E882" s="68" t="s">
        <v>565</v>
      </c>
      <c r="F882" s="6" t="s">
        <v>6048</v>
      </c>
      <c r="G882" s="6" t="str">
        <f ca="1">IFERROR(__xludf.DUMMYFUNCTION("CONCATENATE(B882,(VLOOKUP(C882,CATALOGOS!$F$2:$H$6,3,FALSE)),(VLOOKUP(T882,CATALOGOS!$J$2:$K$18,2,FALSE)),""-"",TO_TEXT(A882))"),"P35DA-0881")</f>
        <v>P35DA-0881</v>
      </c>
      <c r="H882" s="6" t="s">
        <v>6049</v>
      </c>
      <c r="I882" s="6" t="s">
        <v>6050</v>
      </c>
      <c r="J882" s="36"/>
      <c r="K882" s="6" t="s">
        <v>6051</v>
      </c>
      <c r="L882" s="17"/>
      <c r="M882" s="17"/>
      <c r="N882" s="17" t="str">
        <f t="shared" si="2"/>
        <v>OK</v>
      </c>
      <c r="O882" s="17" t="s">
        <v>35</v>
      </c>
      <c r="P882" s="6" t="s">
        <v>35</v>
      </c>
      <c r="Q882" s="6" t="s">
        <v>36</v>
      </c>
      <c r="R882" s="32" t="s">
        <v>6052</v>
      </c>
      <c r="S882" s="173" t="s">
        <v>38</v>
      </c>
      <c r="T882" s="11" t="s">
        <v>28</v>
      </c>
      <c r="U882" s="22" t="s">
        <v>40</v>
      </c>
      <c r="V882" s="22" t="s">
        <v>40</v>
      </c>
      <c r="W882" s="22"/>
      <c r="X882" s="7"/>
      <c r="Y882" s="7"/>
      <c r="Z882" s="26"/>
      <c r="AA882" s="26"/>
    </row>
    <row r="883" spans="1:27" ht="15.75" customHeight="1">
      <c r="A883" s="10" t="s">
        <v>6053</v>
      </c>
      <c r="B883" s="10" t="s">
        <v>4410</v>
      </c>
      <c r="C883" s="11" t="s">
        <v>6054</v>
      </c>
      <c r="D883" s="12"/>
      <c r="E883" s="13" t="s">
        <v>6055</v>
      </c>
      <c r="F883" s="6" t="s">
        <v>6056</v>
      </c>
      <c r="G883" s="6" t="str">
        <f ca="1">IFERROR(__xludf.DUMMYFUNCTION("CONCATENATE(B883,(VLOOKUP(C883,CATALOGOS!$F$2:$H$6,3,FALSE)),(VLOOKUP(T883,CATALOGOS!$J$2:$K$18,2,FALSE)),""-"",TO_TEXT(A883))"),"P21DG-0882")</f>
        <v>P21DG-0882</v>
      </c>
      <c r="H883" s="6" t="s">
        <v>6057</v>
      </c>
      <c r="I883" s="6" t="s">
        <v>6058</v>
      </c>
      <c r="J883" s="6" t="s">
        <v>6059</v>
      </c>
      <c r="K883" s="6" t="s">
        <v>6060</v>
      </c>
      <c r="L883" s="17"/>
      <c r="M883" s="17"/>
      <c r="N883" s="17" t="str">
        <f t="shared" si="2"/>
        <v>OK</v>
      </c>
      <c r="O883" s="17" t="s">
        <v>35</v>
      </c>
      <c r="P883" s="6" t="s">
        <v>35</v>
      </c>
      <c r="Q883" s="17" t="s">
        <v>36</v>
      </c>
      <c r="R883" s="17" t="s">
        <v>6061</v>
      </c>
      <c r="S883" s="173" t="s">
        <v>38</v>
      </c>
      <c r="T883" s="11" t="s">
        <v>6054</v>
      </c>
      <c r="U883" s="22" t="s">
        <v>6062</v>
      </c>
      <c r="V883" s="22" t="s">
        <v>6062</v>
      </c>
      <c r="W883" s="22"/>
      <c r="X883" s="7"/>
      <c r="Y883" s="7"/>
      <c r="Z883" s="23"/>
      <c r="AA883" s="26"/>
    </row>
    <row r="884" spans="1:27" ht="15.75" customHeight="1">
      <c r="A884" s="10" t="s">
        <v>6063</v>
      </c>
      <c r="B884" s="10" t="s">
        <v>4410</v>
      </c>
      <c r="C884" s="11" t="s">
        <v>6054</v>
      </c>
      <c r="D884" s="12"/>
      <c r="E884" s="13" t="s">
        <v>378</v>
      </c>
      <c r="F884" s="43" t="s">
        <v>6064</v>
      </c>
      <c r="G884" s="6" t="str">
        <f ca="1">IFERROR(__xludf.DUMMYFUNCTION("CONCATENATE(B884,(VLOOKUP(C884,CATALOGOS!$F$2:$H$6,3,FALSE)),(VLOOKUP(T884,CATALOGOS!$J$2:$K$18,2,FALSE)),""-"",TO_TEXT(A884))"),"P21DG-0883")</f>
        <v>P21DG-0883</v>
      </c>
      <c r="H884" s="6" t="s">
        <v>6065</v>
      </c>
      <c r="I884" s="6" t="s">
        <v>6066</v>
      </c>
      <c r="J884" s="6" t="s">
        <v>6067</v>
      </c>
      <c r="K884" s="6" t="s">
        <v>6068</v>
      </c>
      <c r="L884" s="17"/>
      <c r="M884" s="17"/>
      <c r="N884" s="17" t="str">
        <f t="shared" si="2"/>
        <v>OK</v>
      </c>
      <c r="O884" s="17" t="s">
        <v>35</v>
      </c>
      <c r="P884" s="6" t="s">
        <v>35</v>
      </c>
      <c r="Q884" s="17" t="s">
        <v>36</v>
      </c>
      <c r="R884" s="17" t="s">
        <v>6069</v>
      </c>
      <c r="S884" s="173" t="s">
        <v>38</v>
      </c>
      <c r="T884" s="11" t="s">
        <v>6054</v>
      </c>
      <c r="U884" s="22" t="s">
        <v>6062</v>
      </c>
      <c r="V884" s="22" t="s">
        <v>6062</v>
      </c>
      <c r="W884" s="22"/>
      <c r="X884" s="7"/>
      <c r="Y884" s="7"/>
      <c r="Z884" s="23"/>
      <c r="AA884" s="26"/>
    </row>
    <row r="885" spans="1:27" ht="15.75" customHeight="1">
      <c r="A885" s="10" t="s">
        <v>6070</v>
      </c>
      <c r="B885" s="10" t="s">
        <v>4410</v>
      </c>
      <c r="C885" s="11" t="s">
        <v>6054</v>
      </c>
      <c r="D885" s="12"/>
      <c r="E885" s="13" t="s">
        <v>116</v>
      </c>
      <c r="F885" s="6" t="s">
        <v>6071</v>
      </c>
      <c r="G885" s="6" t="str">
        <f ca="1">IFERROR(__xludf.DUMMYFUNCTION("CONCATENATE(B885,(VLOOKUP(C885,CATALOGOS!$F$2:$H$6,3,FALSE)),(VLOOKUP(T885,CATALOGOS!$J$2:$K$18,2,FALSE)),""-"",TO_TEXT(A885))"),"P21DG-0884")</f>
        <v>P21DG-0884</v>
      </c>
      <c r="H885" s="6" t="s">
        <v>6072</v>
      </c>
      <c r="I885" s="6" t="s">
        <v>6073</v>
      </c>
      <c r="J885" s="6" t="s">
        <v>6074</v>
      </c>
      <c r="K885" s="6" t="s">
        <v>6075</v>
      </c>
      <c r="L885" s="17"/>
      <c r="M885" s="17"/>
      <c r="N885" s="17" t="str">
        <f t="shared" si="2"/>
        <v>OK</v>
      </c>
      <c r="O885" s="17" t="s">
        <v>35</v>
      </c>
      <c r="P885" s="6" t="s">
        <v>35</v>
      </c>
      <c r="Q885" s="17" t="s">
        <v>36</v>
      </c>
      <c r="R885" s="17" t="s">
        <v>6076</v>
      </c>
      <c r="S885" s="173" t="s">
        <v>38</v>
      </c>
      <c r="T885" s="11" t="s">
        <v>6054</v>
      </c>
      <c r="U885" s="22" t="s">
        <v>6062</v>
      </c>
      <c r="V885" s="22" t="s">
        <v>6062</v>
      </c>
      <c r="W885" s="22"/>
      <c r="X885" s="7"/>
      <c r="Y885" s="7"/>
      <c r="Z885" s="23"/>
      <c r="AA885" s="26"/>
    </row>
    <row r="886" spans="1:27" ht="15.75" customHeight="1">
      <c r="A886" s="10" t="s">
        <v>6077</v>
      </c>
      <c r="B886" s="10" t="s">
        <v>4410</v>
      </c>
      <c r="C886" s="11" t="s">
        <v>6054</v>
      </c>
      <c r="D886" s="12"/>
      <c r="E886" s="13" t="s">
        <v>53</v>
      </c>
      <c r="F886" s="6" t="s">
        <v>6078</v>
      </c>
      <c r="G886" s="6" t="str">
        <f ca="1">IFERROR(__xludf.DUMMYFUNCTION("CONCATENATE(B886,(VLOOKUP(C886,CATALOGOS!$F$2:$H$6,3,FALSE)),(VLOOKUP(T886,CATALOGOS!$J$2:$K$18,2,FALSE)),""-"",TO_TEXT(A886))"),"P21DG-0885")</f>
        <v>P21DG-0885</v>
      </c>
      <c r="H886" s="6" t="s">
        <v>6079</v>
      </c>
      <c r="I886" s="6" t="s">
        <v>6080</v>
      </c>
      <c r="J886" s="6" t="s">
        <v>6081</v>
      </c>
      <c r="K886" s="6" t="s">
        <v>6082</v>
      </c>
      <c r="L886" s="17"/>
      <c r="M886" s="17"/>
      <c r="N886" s="17" t="str">
        <f t="shared" si="2"/>
        <v>OK</v>
      </c>
      <c r="O886" s="17" t="s">
        <v>35</v>
      </c>
      <c r="P886" s="6" t="s">
        <v>35</v>
      </c>
      <c r="Q886" s="17" t="s">
        <v>36</v>
      </c>
      <c r="R886" s="17" t="s">
        <v>6083</v>
      </c>
      <c r="S886" s="173" t="s">
        <v>38</v>
      </c>
      <c r="T886" s="11" t="s">
        <v>6054</v>
      </c>
      <c r="U886" s="22" t="s">
        <v>6062</v>
      </c>
      <c r="V886" s="22" t="s">
        <v>6062</v>
      </c>
      <c r="W886" s="22"/>
      <c r="X886" s="7"/>
      <c r="Y886" s="7"/>
      <c r="Z886" s="23"/>
      <c r="AA886" s="26"/>
    </row>
    <row r="887" spans="1:27" ht="15.75" customHeight="1">
      <c r="A887" s="10" t="s">
        <v>6084</v>
      </c>
      <c r="B887" s="10" t="s">
        <v>4410</v>
      </c>
      <c r="C887" s="11" t="s">
        <v>6054</v>
      </c>
      <c r="D887" s="12"/>
      <c r="E887" s="13" t="s">
        <v>2860</v>
      </c>
      <c r="F887" s="43" t="s">
        <v>2861</v>
      </c>
      <c r="G887" s="6" t="str">
        <f ca="1">IFERROR(__xludf.DUMMYFUNCTION("CONCATENATE(B887,(VLOOKUP(C887,CATALOGOS!$F$2:$H$6,3,FALSE)),(VLOOKUP(T887,CATALOGOS!$J$2:$K$18,2,FALSE)),""-"",TO_TEXT(A887))"),"P21DG-0886")</f>
        <v>P21DG-0886</v>
      </c>
      <c r="H887" s="6" t="s">
        <v>6085</v>
      </c>
      <c r="I887" s="6" t="s">
        <v>6086</v>
      </c>
      <c r="J887" s="6" t="s">
        <v>6087</v>
      </c>
      <c r="K887" s="6" t="s">
        <v>6088</v>
      </c>
      <c r="L887" s="17"/>
      <c r="M887" s="17"/>
      <c r="N887" s="17" t="str">
        <f t="shared" si="2"/>
        <v>OK</v>
      </c>
      <c r="O887" s="17" t="s">
        <v>6089</v>
      </c>
      <c r="P887" s="6" t="s">
        <v>35</v>
      </c>
      <c r="Q887" s="6" t="s">
        <v>36</v>
      </c>
      <c r="R887" s="17" t="s">
        <v>6090</v>
      </c>
      <c r="S887" s="173" t="s">
        <v>38</v>
      </c>
      <c r="T887" s="11" t="s">
        <v>6054</v>
      </c>
      <c r="U887" s="22" t="s">
        <v>6062</v>
      </c>
      <c r="V887" s="22" t="s">
        <v>6062</v>
      </c>
      <c r="W887" s="22"/>
      <c r="X887" s="7"/>
      <c r="Y887" s="7"/>
      <c r="Z887" s="23"/>
      <c r="AA887" s="26"/>
    </row>
    <row r="888" spans="1:27" ht="15.75" customHeight="1">
      <c r="A888" s="10" t="s">
        <v>6091</v>
      </c>
      <c r="B888" s="10" t="s">
        <v>4410</v>
      </c>
      <c r="C888" s="11" t="s">
        <v>6054</v>
      </c>
      <c r="D888" s="12"/>
      <c r="E888" s="13" t="s">
        <v>6092</v>
      </c>
      <c r="F888" s="43" t="s">
        <v>6093</v>
      </c>
      <c r="G888" s="6" t="str">
        <f ca="1">IFERROR(__xludf.DUMMYFUNCTION("CONCATENATE(B888,(VLOOKUP(C888,CATALOGOS!$F$2:$H$6,3,FALSE)),(VLOOKUP(T888,CATALOGOS!$J$2:$K$18,2,FALSE)),""-"",TO_TEXT(A888))"),"P21DG-0887")</f>
        <v>P21DG-0887</v>
      </c>
      <c r="H888" s="6" t="s">
        <v>6094</v>
      </c>
      <c r="I888" s="6" t="s">
        <v>6095</v>
      </c>
      <c r="J888" s="6" t="s">
        <v>6096</v>
      </c>
      <c r="K888" s="6" t="s">
        <v>6097</v>
      </c>
      <c r="L888" s="17"/>
      <c r="M888" s="17"/>
      <c r="N888" s="17" t="str">
        <f t="shared" si="2"/>
        <v>OK</v>
      </c>
      <c r="O888" s="17" t="s">
        <v>35</v>
      </c>
      <c r="P888" s="49" t="s">
        <v>35</v>
      </c>
      <c r="Q888" s="17" t="s">
        <v>36</v>
      </c>
      <c r="R888" s="17" t="s">
        <v>6098</v>
      </c>
      <c r="S888" s="173" t="s">
        <v>38</v>
      </c>
      <c r="T888" s="11" t="s">
        <v>6054</v>
      </c>
      <c r="U888" s="22" t="s">
        <v>6062</v>
      </c>
      <c r="V888" s="22" t="s">
        <v>6062</v>
      </c>
      <c r="W888" s="22"/>
      <c r="X888" s="7"/>
      <c r="Y888" s="7"/>
      <c r="Z888" s="23"/>
      <c r="AA888" s="26"/>
    </row>
    <row r="889" spans="1:27" ht="15.75" customHeight="1">
      <c r="A889" s="10" t="s">
        <v>6099</v>
      </c>
      <c r="B889" s="10" t="s">
        <v>4410</v>
      </c>
      <c r="C889" s="11" t="s">
        <v>6054</v>
      </c>
      <c r="D889" s="12"/>
      <c r="E889" s="13" t="s">
        <v>6100</v>
      </c>
      <c r="F889" s="6" t="s">
        <v>6101</v>
      </c>
      <c r="G889" s="6" t="str">
        <f ca="1">IFERROR(__xludf.DUMMYFUNCTION("CONCATENATE(B889,(VLOOKUP(C889,CATALOGOS!$F$2:$H$6,3,FALSE)),(VLOOKUP(T889,CATALOGOS!$J$2:$K$18,2,FALSE)),""-"",TO_TEXT(A889))"),"P21DG-0888")</f>
        <v>P21DG-0888</v>
      </c>
      <c r="H889" s="6" t="s">
        <v>6102</v>
      </c>
      <c r="I889" s="6" t="s">
        <v>6103</v>
      </c>
      <c r="J889" s="6" t="s">
        <v>6104</v>
      </c>
      <c r="K889" s="43" t="s">
        <v>6105</v>
      </c>
      <c r="L889" s="17"/>
      <c r="M889" s="17"/>
      <c r="N889" s="17" t="str">
        <f t="shared" si="2"/>
        <v>OK</v>
      </c>
      <c r="O889" s="17" t="s">
        <v>35</v>
      </c>
      <c r="P889" s="6" t="s">
        <v>35</v>
      </c>
      <c r="Q889" s="17" t="s">
        <v>36</v>
      </c>
      <c r="R889" s="17" t="s">
        <v>6106</v>
      </c>
      <c r="S889" s="173" t="s">
        <v>38</v>
      </c>
      <c r="T889" s="11" t="s">
        <v>6054</v>
      </c>
      <c r="U889" s="22" t="s">
        <v>6062</v>
      </c>
      <c r="V889" s="22" t="s">
        <v>6062</v>
      </c>
      <c r="W889" s="22"/>
      <c r="X889" s="7"/>
      <c r="Y889" s="7"/>
      <c r="Z889" s="23"/>
      <c r="AA889" s="26"/>
    </row>
    <row r="890" spans="1:27" ht="15.75" customHeight="1">
      <c r="A890" s="10" t="s">
        <v>6107</v>
      </c>
      <c r="B890" s="10" t="s">
        <v>4410</v>
      </c>
      <c r="C890" s="11" t="s">
        <v>6054</v>
      </c>
      <c r="D890" s="12"/>
      <c r="E890" s="13" t="s">
        <v>93</v>
      </c>
      <c r="F890" s="6" t="s">
        <v>6108</v>
      </c>
      <c r="G890" s="6" t="str">
        <f ca="1">IFERROR(__xludf.DUMMYFUNCTION("CONCATENATE(B890,(VLOOKUP(C890,CATALOGOS!$F$2:$H$6,3,FALSE)),(VLOOKUP(T890,CATALOGOS!$J$2:$K$18,2,FALSE)),""-"",TO_TEXT(A890))"),"P21DG-0889")</f>
        <v>P21DG-0889</v>
      </c>
      <c r="H890" s="6" t="s">
        <v>6109</v>
      </c>
      <c r="I890" s="6" t="s">
        <v>6110</v>
      </c>
      <c r="J890" s="6" t="s">
        <v>6111</v>
      </c>
      <c r="K890" s="6" t="s">
        <v>6112</v>
      </c>
      <c r="L890" s="17"/>
      <c r="M890" s="17"/>
      <c r="N890" s="17" t="str">
        <f t="shared" si="2"/>
        <v>OK</v>
      </c>
      <c r="O890" s="17" t="s">
        <v>35</v>
      </c>
      <c r="P890" s="6" t="s">
        <v>35</v>
      </c>
      <c r="Q890" s="17" t="s">
        <v>36</v>
      </c>
      <c r="R890" s="17" t="s">
        <v>6113</v>
      </c>
      <c r="S890" s="173" t="s">
        <v>38</v>
      </c>
      <c r="T890" s="11" t="s">
        <v>6054</v>
      </c>
      <c r="U890" s="22" t="s">
        <v>6062</v>
      </c>
      <c r="V890" s="22" t="s">
        <v>6062</v>
      </c>
      <c r="W890" s="22"/>
      <c r="X890" s="7"/>
      <c r="Y890" s="7"/>
      <c r="Z890" s="23"/>
      <c r="AA890" s="26"/>
    </row>
    <row r="891" spans="1:27" ht="15.75" customHeight="1">
      <c r="A891" s="10" t="s">
        <v>6114</v>
      </c>
      <c r="B891" s="10" t="s">
        <v>4410</v>
      </c>
      <c r="C891" s="11" t="s">
        <v>6054</v>
      </c>
      <c r="D891" s="12"/>
      <c r="E891" s="13" t="s">
        <v>71</v>
      </c>
      <c r="F891" s="6" t="s">
        <v>6115</v>
      </c>
      <c r="G891" s="6" t="str">
        <f ca="1">IFERROR(__xludf.DUMMYFUNCTION("CONCATENATE(B891,(VLOOKUP(C891,CATALOGOS!$F$2:$H$6,3,FALSE)),(VLOOKUP(T891,CATALOGOS!$J$2:$K$18,2,FALSE)),""-"",TO_TEXT(A891))"),"P21DG-0890")</f>
        <v>P21DG-0890</v>
      </c>
      <c r="H891" s="6" t="s">
        <v>6116</v>
      </c>
      <c r="I891" s="6" t="s">
        <v>6117</v>
      </c>
      <c r="J891" s="6" t="s">
        <v>6118</v>
      </c>
      <c r="K891" s="6" t="s">
        <v>6119</v>
      </c>
      <c r="L891" s="17"/>
      <c r="M891" s="17"/>
      <c r="N891" s="17" t="str">
        <f t="shared" si="2"/>
        <v>OK</v>
      </c>
      <c r="O891" s="17" t="s">
        <v>35</v>
      </c>
      <c r="P891" s="49" t="s">
        <v>35</v>
      </c>
      <c r="Q891" s="17" t="s">
        <v>36</v>
      </c>
      <c r="R891" s="17" t="s">
        <v>6120</v>
      </c>
      <c r="S891" s="173" t="s">
        <v>38</v>
      </c>
      <c r="T891" s="11" t="s">
        <v>6054</v>
      </c>
      <c r="U891" s="22" t="s">
        <v>6062</v>
      </c>
      <c r="V891" s="22" t="s">
        <v>6062</v>
      </c>
      <c r="W891" s="22"/>
      <c r="X891" s="7"/>
      <c r="Y891" s="7"/>
      <c r="Z891" s="23"/>
      <c r="AA891" s="26"/>
    </row>
    <row r="892" spans="1:27" ht="15.75" customHeight="1">
      <c r="A892" s="10" t="s">
        <v>6121</v>
      </c>
      <c r="B892" s="10" t="s">
        <v>4410</v>
      </c>
      <c r="C892" s="11" t="s">
        <v>6054</v>
      </c>
      <c r="D892" s="12"/>
      <c r="E892" s="13" t="s">
        <v>93</v>
      </c>
      <c r="F892" s="6" t="s">
        <v>6122</v>
      </c>
      <c r="G892" s="6" t="str">
        <f ca="1">IFERROR(__xludf.DUMMYFUNCTION("CONCATENATE(B892,(VLOOKUP(C892,CATALOGOS!$F$2:$H$6,3,FALSE)),(VLOOKUP(T892,CATALOGOS!$J$2:$K$18,2,FALSE)),""-"",TO_TEXT(A892))"),"P21DG-0891")</f>
        <v>P21DG-0891</v>
      </c>
      <c r="H892" s="6" t="s">
        <v>6123</v>
      </c>
      <c r="I892" s="6" t="s">
        <v>6124</v>
      </c>
      <c r="J892" s="6" t="s">
        <v>6125</v>
      </c>
      <c r="K892" s="6" t="s">
        <v>6126</v>
      </c>
      <c r="L892" s="17"/>
      <c r="M892" s="17"/>
      <c r="N892" s="17" t="str">
        <f t="shared" si="2"/>
        <v>OK</v>
      </c>
      <c r="O892" s="17" t="s">
        <v>35</v>
      </c>
      <c r="P892" s="6" t="s">
        <v>35</v>
      </c>
      <c r="Q892" s="17" t="s">
        <v>36</v>
      </c>
      <c r="R892" s="17" t="s">
        <v>6127</v>
      </c>
      <c r="S892" s="173" t="s">
        <v>38</v>
      </c>
      <c r="T892" s="11" t="s">
        <v>6054</v>
      </c>
      <c r="U892" s="22" t="s">
        <v>6062</v>
      </c>
      <c r="V892" s="22" t="s">
        <v>6062</v>
      </c>
      <c r="W892" s="22"/>
      <c r="X892" s="7"/>
      <c r="Y892" s="7"/>
      <c r="Z892" s="23"/>
      <c r="AA892" s="26"/>
    </row>
    <row r="893" spans="1:27" ht="15.75" customHeight="1">
      <c r="A893" s="10" t="s">
        <v>6128</v>
      </c>
      <c r="B893" s="10" t="s">
        <v>4410</v>
      </c>
      <c r="C893" s="11" t="s">
        <v>6054</v>
      </c>
      <c r="D893" s="12"/>
      <c r="E893" s="13" t="s">
        <v>6129</v>
      </c>
      <c r="F893" s="6" t="s">
        <v>6130</v>
      </c>
      <c r="G893" s="6" t="str">
        <f ca="1">IFERROR(__xludf.DUMMYFUNCTION("CONCATENATE(B893,(VLOOKUP(C893,CATALOGOS!$F$2:$H$6,3,FALSE)),(VLOOKUP(T893,CATALOGOS!$J$2:$K$18,2,FALSE)),""-"",TO_TEXT(A893))"),"P21DG-0892")</f>
        <v>P21DG-0892</v>
      </c>
      <c r="H893" s="6" t="s">
        <v>6131</v>
      </c>
      <c r="I893" s="6" t="s">
        <v>6132</v>
      </c>
      <c r="J893" s="6" t="s">
        <v>6133</v>
      </c>
      <c r="K893" s="43" t="s">
        <v>6134</v>
      </c>
      <c r="L893" s="17"/>
      <c r="M893" s="17"/>
      <c r="N893" s="17" t="str">
        <f t="shared" si="2"/>
        <v>OK</v>
      </c>
      <c r="O893" s="17" t="s">
        <v>6135</v>
      </c>
      <c r="P893" s="6" t="s">
        <v>6136</v>
      </c>
      <c r="Q893" s="17" t="s">
        <v>6137</v>
      </c>
      <c r="R893" s="10" t="s">
        <v>6138</v>
      </c>
      <c r="S893" s="173" t="s">
        <v>38</v>
      </c>
      <c r="T893" s="11" t="s">
        <v>6054</v>
      </c>
      <c r="U893" s="22" t="s">
        <v>6062</v>
      </c>
      <c r="V893" s="22" t="s">
        <v>6062</v>
      </c>
      <c r="W893" s="22"/>
      <c r="X893" s="7"/>
      <c r="Y893" s="7"/>
      <c r="Z893" s="23"/>
      <c r="AA893" s="26"/>
    </row>
    <row r="894" spans="1:27" ht="15.75" customHeight="1">
      <c r="A894" s="10" t="s">
        <v>6139</v>
      </c>
      <c r="B894" s="10" t="s">
        <v>4410</v>
      </c>
      <c r="C894" s="11" t="s">
        <v>6054</v>
      </c>
      <c r="D894" s="12"/>
      <c r="E894" s="13" t="s">
        <v>71</v>
      </c>
      <c r="F894" s="6" t="s">
        <v>6115</v>
      </c>
      <c r="G894" s="6" t="str">
        <f ca="1">IFERROR(__xludf.DUMMYFUNCTION("CONCATENATE(B894,(VLOOKUP(C894,CATALOGOS!$F$2:$H$6,3,FALSE)),(VLOOKUP(T894,CATALOGOS!$J$2:$K$18,2,FALSE)),""-"",TO_TEXT(A894))"),"P21DG-0893")</f>
        <v>P21DG-0893</v>
      </c>
      <c r="H894" s="6" t="s">
        <v>6140</v>
      </c>
      <c r="I894" s="6" t="s">
        <v>6141</v>
      </c>
      <c r="J894" s="6" t="s">
        <v>6142</v>
      </c>
      <c r="K894" s="6" t="s">
        <v>6143</v>
      </c>
      <c r="L894" s="17"/>
      <c r="M894" s="17"/>
      <c r="N894" s="17" t="str">
        <f t="shared" si="2"/>
        <v>OK</v>
      </c>
      <c r="O894" s="17" t="s">
        <v>35</v>
      </c>
      <c r="P894" s="6" t="s">
        <v>35</v>
      </c>
      <c r="Q894" s="17" t="s">
        <v>36</v>
      </c>
      <c r="R894" s="17" t="s">
        <v>6144</v>
      </c>
      <c r="S894" s="173" t="s">
        <v>38</v>
      </c>
      <c r="T894" s="11" t="s">
        <v>6054</v>
      </c>
      <c r="U894" s="22" t="s">
        <v>6062</v>
      </c>
      <c r="V894" s="22" t="s">
        <v>6062</v>
      </c>
      <c r="W894" s="22"/>
      <c r="X894" s="7"/>
      <c r="Y894" s="7"/>
      <c r="Z894" s="23"/>
      <c r="AA894" s="26"/>
    </row>
    <row r="895" spans="1:27" ht="15.75" customHeight="1">
      <c r="A895" s="10" t="s">
        <v>6145</v>
      </c>
      <c r="B895" s="10" t="s">
        <v>4410</v>
      </c>
      <c r="C895" s="11" t="s">
        <v>6054</v>
      </c>
      <c r="D895" s="12"/>
      <c r="E895" s="13" t="s">
        <v>93</v>
      </c>
      <c r="F895" s="6" t="s">
        <v>6146</v>
      </c>
      <c r="G895" s="6" t="str">
        <f ca="1">IFERROR(__xludf.DUMMYFUNCTION("CONCATENATE(B895,(VLOOKUP(C895,CATALOGOS!$F$2:$H$6,3,FALSE)),(VLOOKUP(T895,CATALOGOS!$J$2:$K$18,2,FALSE)),""-"",TO_TEXT(A895))"),"P21DG-0894")</f>
        <v>P21DG-0894</v>
      </c>
      <c r="H895" s="6" t="s">
        <v>6147</v>
      </c>
      <c r="I895" s="6" t="s">
        <v>6148</v>
      </c>
      <c r="J895" s="6" t="s">
        <v>6149</v>
      </c>
      <c r="K895" s="6" t="s">
        <v>6150</v>
      </c>
      <c r="L895" s="17"/>
      <c r="M895" s="17"/>
      <c r="N895" s="17" t="str">
        <f t="shared" si="2"/>
        <v>OK</v>
      </c>
      <c r="O895" s="17" t="s">
        <v>35</v>
      </c>
      <c r="P895" s="6" t="s">
        <v>35</v>
      </c>
      <c r="Q895" s="17" t="s">
        <v>36</v>
      </c>
      <c r="R895" s="17" t="s">
        <v>6151</v>
      </c>
      <c r="S895" s="173" t="s">
        <v>38</v>
      </c>
      <c r="T895" s="11" t="s">
        <v>6054</v>
      </c>
      <c r="U895" s="22" t="s">
        <v>6062</v>
      </c>
      <c r="V895" s="22" t="s">
        <v>6062</v>
      </c>
      <c r="W895" s="22"/>
      <c r="X895" s="7"/>
      <c r="Y895" s="7"/>
      <c r="Z895" s="23"/>
      <c r="AA895" s="26"/>
    </row>
    <row r="896" spans="1:27" ht="15.75" customHeight="1">
      <c r="A896" s="10" t="s">
        <v>6152</v>
      </c>
      <c r="B896" s="10" t="s">
        <v>4410</v>
      </c>
      <c r="C896" s="11" t="s">
        <v>6054</v>
      </c>
      <c r="D896" s="12"/>
      <c r="E896" s="13" t="s">
        <v>29</v>
      </c>
      <c r="F896" s="6" t="s">
        <v>6153</v>
      </c>
      <c r="G896" s="6" t="str">
        <f ca="1">IFERROR(__xludf.DUMMYFUNCTION("CONCATENATE(B896,(VLOOKUP(C896,CATALOGOS!$F$2:$H$6,3,FALSE)),(VLOOKUP(T896,CATALOGOS!$J$2:$K$18,2,FALSE)),""-"",TO_TEXT(A896))"),"P21DG-0895")</f>
        <v>P21DG-0895</v>
      </c>
      <c r="H896" s="6" t="s">
        <v>6154</v>
      </c>
      <c r="I896" s="6" t="s">
        <v>6155</v>
      </c>
      <c r="J896" s="6" t="s">
        <v>6156</v>
      </c>
      <c r="K896" s="6" t="s">
        <v>6157</v>
      </c>
      <c r="L896" s="17"/>
      <c r="M896" s="17"/>
      <c r="N896" s="17" t="str">
        <f t="shared" si="2"/>
        <v>OK</v>
      </c>
      <c r="O896" s="17" t="s">
        <v>35</v>
      </c>
      <c r="P896" s="6" t="s">
        <v>35</v>
      </c>
      <c r="Q896" s="17" t="s">
        <v>36</v>
      </c>
      <c r="R896" s="17" t="s">
        <v>6158</v>
      </c>
      <c r="S896" s="173" t="s">
        <v>38</v>
      </c>
      <c r="T896" s="11" t="s">
        <v>6054</v>
      </c>
      <c r="U896" s="22" t="s">
        <v>6062</v>
      </c>
      <c r="V896" s="22" t="s">
        <v>6062</v>
      </c>
      <c r="W896" s="22"/>
      <c r="X896" s="7"/>
      <c r="Y896" s="7"/>
      <c r="Z896" s="23"/>
      <c r="AA896" s="26"/>
    </row>
    <row r="897" spans="1:27" ht="15.75" customHeight="1">
      <c r="A897" s="10" t="s">
        <v>6159</v>
      </c>
      <c r="B897" s="10" t="s">
        <v>4410</v>
      </c>
      <c r="C897" s="11" t="s">
        <v>6054</v>
      </c>
      <c r="D897" s="12"/>
      <c r="E897" s="13" t="s">
        <v>93</v>
      </c>
      <c r="F897" s="6" t="s">
        <v>6160</v>
      </c>
      <c r="G897" s="6" t="str">
        <f ca="1">IFERROR(__xludf.DUMMYFUNCTION("CONCATENATE(B897,(VLOOKUP(C897,CATALOGOS!$F$2:$H$6,3,FALSE)),(VLOOKUP(T897,CATALOGOS!$J$2:$K$18,2,FALSE)),""-"",TO_TEXT(A897))"),"P21DG-0896")</f>
        <v>P21DG-0896</v>
      </c>
      <c r="H897" s="6" t="s">
        <v>6161</v>
      </c>
      <c r="I897" s="6" t="s">
        <v>6162</v>
      </c>
      <c r="J897" s="6" t="s">
        <v>6163</v>
      </c>
      <c r="K897" s="6" t="s">
        <v>6164</v>
      </c>
      <c r="L897" s="17"/>
      <c r="M897" s="17"/>
      <c r="N897" s="17" t="str">
        <f t="shared" si="2"/>
        <v>OK</v>
      </c>
      <c r="O897" s="17" t="s">
        <v>35</v>
      </c>
      <c r="P897" s="49" t="s">
        <v>35</v>
      </c>
      <c r="Q897" s="17" t="s">
        <v>36</v>
      </c>
      <c r="R897" s="17" t="s">
        <v>6165</v>
      </c>
      <c r="S897" s="173" t="s">
        <v>38</v>
      </c>
      <c r="T897" s="11" t="s">
        <v>6054</v>
      </c>
      <c r="U897" s="22" t="s">
        <v>6062</v>
      </c>
      <c r="V897" s="22" t="s">
        <v>6062</v>
      </c>
      <c r="W897" s="22"/>
      <c r="X897" s="7"/>
      <c r="Y897" s="7"/>
      <c r="Z897" s="23"/>
      <c r="AA897" s="26"/>
    </row>
    <row r="898" spans="1:27" ht="15.75" customHeight="1">
      <c r="A898" s="10" t="s">
        <v>6166</v>
      </c>
      <c r="B898" s="10" t="s">
        <v>4410</v>
      </c>
      <c r="C898" s="11" t="s">
        <v>6054</v>
      </c>
      <c r="D898" s="12"/>
      <c r="E898" s="13" t="s">
        <v>93</v>
      </c>
      <c r="F898" s="6" t="s">
        <v>6146</v>
      </c>
      <c r="G898" s="6" t="str">
        <f ca="1">IFERROR(__xludf.DUMMYFUNCTION("CONCATENATE(B898,(VLOOKUP(C898,CATALOGOS!$F$2:$H$6,3,FALSE)),(VLOOKUP(T898,CATALOGOS!$J$2:$K$18,2,FALSE)),""-"",TO_TEXT(A898))"),"P21DG-0897")</f>
        <v>P21DG-0897</v>
      </c>
      <c r="H898" s="6" t="s">
        <v>6167</v>
      </c>
      <c r="I898" s="6" t="s">
        <v>6168</v>
      </c>
      <c r="J898" s="6" t="s">
        <v>6169</v>
      </c>
      <c r="K898" s="6" t="s">
        <v>6170</v>
      </c>
      <c r="L898" s="17"/>
      <c r="M898" s="17"/>
      <c r="N898" s="17" t="str">
        <f t="shared" si="2"/>
        <v>OK</v>
      </c>
      <c r="O898" s="17" t="s">
        <v>35</v>
      </c>
      <c r="P898" s="6" t="s">
        <v>35</v>
      </c>
      <c r="Q898" s="17" t="s">
        <v>36</v>
      </c>
      <c r="R898" s="17" t="s">
        <v>6171</v>
      </c>
      <c r="S898" s="173" t="s">
        <v>38</v>
      </c>
      <c r="T898" s="11" t="s">
        <v>6054</v>
      </c>
      <c r="U898" s="22" t="s">
        <v>6062</v>
      </c>
      <c r="V898" s="22" t="s">
        <v>6062</v>
      </c>
      <c r="W898" s="22"/>
      <c r="X898" s="7"/>
      <c r="Y898" s="7"/>
      <c r="Z898" s="23"/>
      <c r="AA898" s="26"/>
    </row>
    <row r="899" spans="1:27" ht="15.75" customHeight="1">
      <c r="A899" s="10" t="s">
        <v>6172</v>
      </c>
      <c r="B899" s="10" t="s">
        <v>4410</v>
      </c>
      <c r="C899" s="11" t="s">
        <v>6054</v>
      </c>
      <c r="D899" s="12"/>
      <c r="E899" s="13" t="s">
        <v>234</v>
      </c>
      <c r="F899" s="43" t="s">
        <v>6173</v>
      </c>
      <c r="G899" s="6" t="str">
        <f ca="1">IFERROR(__xludf.DUMMYFUNCTION("CONCATENATE(B899,(VLOOKUP(C899,CATALOGOS!$F$2:$H$6,3,FALSE)),(VLOOKUP(T899,CATALOGOS!$J$2:$K$18,2,FALSE)),""-"",TO_TEXT(A899))"),"P21DG-0898")</f>
        <v>P21DG-0898</v>
      </c>
      <c r="H899" s="6" t="s">
        <v>6174</v>
      </c>
      <c r="I899" s="6" t="s">
        <v>6175</v>
      </c>
      <c r="J899" s="6" t="s">
        <v>6176</v>
      </c>
      <c r="K899" s="6" t="s">
        <v>6177</v>
      </c>
      <c r="L899" s="17"/>
      <c r="M899" s="17"/>
      <c r="N899" s="17" t="str">
        <f t="shared" si="2"/>
        <v>OK</v>
      </c>
      <c r="O899" s="17" t="s">
        <v>35</v>
      </c>
      <c r="P899" s="6" t="s">
        <v>35</v>
      </c>
      <c r="Q899" s="17" t="s">
        <v>36</v>
      </c>
      <c r="R899" s="17" t="s">
        <v>6178</v>
      </c>
      <c r="S899" s="173" t="s">
        <v>38</v>
      </c>
      <c r="T899" s="11" t="s">
        <v>6054</v>
      </c>
      <c r="U899" s="22" t="s">
        <v>6062</v>
      </c>
      <c r="V899" s="22" t="s">
        <v>6062</v>
      </c>
      <c r="W899" s="22"/>
      <c r="X899" s="7"/>
      <c r="Y899" s="7"/>
      <c r="Z899" s="23"/>
      <c r="AA899" s="26"/>
    </row>
    <row r="900" spans="1:27" ht="15.75" customHeight="1">
      <c r="A900" s="10" t="s">
        <v>6179</v>
      </c>
      <c r="B900" s="10" t="s">
        <v>4410</v>
      </c>
      <c r="C900" s="11" t="s">
        <v>6054</v>
      </c>
      <c r="D900" s="12"/>
      <c r="E900" s="13" t="s">
        <v>6180</v>
      </c>
      <c r="F900" s="43" t="s">
        <v>6181</v>
      </c>
      <c r="G900" s="6" t="str">
        <f ca="1">IFERROR(__xludf.DUMMYFUNCTION("CONCATENATE(B900,(VLOOKUP(C900,CATALOGOS!$F$2:$H$6,3,FALSE)),(VLOOKUP(T900,CATALOGOS!$J$2:$K$18,2,FALSE)),""-"",TO_TEXT(A900))"),"P21DG-0899")</f>
        <v>P21DG-0899</v>
      </c>
      <c r="H900" s="6" t="s">
        <v>6182</v>
      </c>
      <c r="I900" s="6" t="s">
        <v>6183</v>
      </c>
      <c r="J900" s="6" t="s">
        <v>6184</v>
      </c>
      <c r="K900" s="6" t="s">
        <v>6185</v>
      </c>
      <c r="L900" s="17"/>
      <c r="M900" s="17"/>
      <c r="N900" s="17" t="str">
        <f t="shared" si="2"/>
        <v>OK</v>
      </c>
      <c r="O900" s="17" t="s">
        <v>35</v>
      </c>
      <c r="P900" s="6" t="s">
        <v>35</v>
      </c>
      <c r="Q900" s="17" t="s">
        <v>36</v>
      </c>
      <c r="R900" s="17" t="s">
        <v>85</v>
      </c>
      <c r="S900" s="173" t="s">
        <v>38</v>
      </c>
      <c r="T900" s="11" t="s">
        <v>6054</v>
      </c>
      <c r="U900" s="22" t="s">
        <v>6062</v>
      </c>
      <c r="V900" s="22" t="s">
        <v>6062</v>
      </c>
      <c r="W900" s="22"/>
      <c r="X900" s="7"/>
      <c r="Y900" s="7"/>
      <c r="Z900" s="23"/>
      <c r="AA900" s="26"/>
    </row>
    <row r="901" spans="1:27" ht="15.75" customHeight="1">
      <c r="A901" s="10" t="s">
        <v>6186</v>
      </c>
      <c r="B901" s="10" t="s">
        <v>4410</v>
      </c>
      <c r="C901" s="11" t="s">
        <v>6054</v>
      </c>
      <c r="D901" s="12"/>
      <c r="E901" s="13" t="s">
        <v>6187</v>
      </c>
      <c r="F901" s="6" t="s">
        <v>6188</v>
      </c>
      <c r="G901" s="6" t="str">
        <f ca="1">IFERROR(__xludf.DUMMYFUNCTION("CONCATENATE(B901,(VLOOKUP(C901,CATALOGOS!$F$2:$H$6,3,FALSE)),(VLOOKUP(T901,CATALOGOS!$J$2:$K$18,2,FALSE)),""-"",TO_TEXT(A901))"),"P21DG-0900")</f>
        <v>P21DG-0900</v>
      </c>
      <c r="H901" s="6" t="s">
        <v>6189</v>
      </c>
      <c r="I901" s="36"/>
      <c r="J901" s="36"/>
      <c r="K901" s="6" t="s">
        <v>141</v>
      </c>
      <c r="L901" s="17"/>
      <c r="M901" s="17"/>
      <c r="N901" s="17" t="str">
        <f t="shared" si="2"/>
        <v>REPETIDO</v>
      </c>
      <c r="O901" s="35" t="s">
        <v>35</v>
      </c>
      <c r="P901" s="6" t="s">
        <v>35</v>
      </c>
      <c r="Q901" s="10" t="s">
        <v>36</v>
      </c>
      <c r="R901" s="32" t="s">
        <v>85</v>
      </c>
      <c r="S901" s="173" t="s">
        <v>38</v>
      </c>
      <c r="T901" s="11" t="s">
        <v>6054</v>
      </c>
      <c r="U901" s="22" t="s">
        <v>6062</v>
      </c>
      <c r="V901" s="22" t="s">
        <v>6062</v>
      </c>
      <c r="W901" s="22"/>
      <c r="X901" s="36"/>
      <c r="Y901" s="36"/>
      <c r="Z901" s="23"/>
      <c r="AA901" s="33"/>
    </row>
    <row r="902" spans="1:27" ht="15.75" customHeight="1">
      <c r="A902" s="10" t="s">
        <v>6190</v>
      </c>
      <c r="B902" s="10" t="s">
        <v>4410</v>
      </c>
      <c r="C902" s="11" t="s">
        <v>6054</v>
      </c>
      <c r="D902" s="12"/>
      <c r="E902" s="13" t="s">
        <v>93</v>
      </c>
      <c r="F902" s="6" t="s">
        <v>6191</v>
      </c>
      <c r="G902" s="6" t="str">
        <f ca="1">IFERROR(__xludf.DUMMYFUNCTION("CONCATENATE(B902,(VLOOKUP(C902,CATALOGOS!$F$2:$H$6,3,FALSE)),(VLOOKUP(T902,CATALOGOS!$J$2:$K$18,2,FALSE)),""-"",TO_TEXT(A902))"),"P21DG-0901")</f>
        <v>P21DG-0901</v>
      </c>
      <c r="H902" s="6" t="s">
        <v>6192</v>
      </c>
      <c r="I902" s="36"/>
      <c r="J902" s="36"/>
      <c r="K902" s="6" t="s">
        <v>141</v>
      </c>
      <c r="L902" s="17"/>
      <c r="M902" s="17"/>
      <c r="N902" s="17" t="str">
        <f t="shared" si="2"/>
        <v>REPETIDO</v>
      </c>
      <c r="O902" s="35" t="s">
        <v>35</v>
      </c>
      <c r="P902" s="6" t="s">
        <v>35</v>
      </c>
      <c r="Q902" s="10" t="s">
        <v>36</v>
      </c>
      <c r="R902" s="32" t="s">
        <v>85</v>
      </c>
      <c r="S902" s="173" t="s">
        <v>38</v>
      </c>
      <c r="T902" s="11" t="s">
        <v>6054</v>
      </c>
      <c r="U902" s="22" t="s">
        <v>6062</v>
      </c>
      <c r="V902" s="22" t="s">
        <v>6062</v>
      </c>
      <c r="W902" s="22"/>
      <c r="X902" s="36"/>
      <c r="Y902" s="36"/>
      <c r="Z902" s="23"/>
      <c r="AA902" s="33"/>
    </row>
    <row r="903" spans="1:27" ht="15.75" customHeight="1">
      <c r="A903" s="10" t="s">
        <v>6193</v>
      </c>
      <c r="B903" s="10" t="s">
        <v>4410</v>
      </c>
      <c r="C903" s="11" t="s">
        <v>6054</v>
      </c>
      <c r="D903" s="12"/>
      <c r="E903" s="13" t="s">
        <v>116</v>
      </c>
      <c r="F903" s="6" t="s">
        <v>6194</v>
      </c>
      <c r="G903" s="6" t="str">
        <f ca="1">IFERROR(__xludf.DUMMYFUNCTION("CONCATENATE(B903,(VLOOKUP(C903,CATALOGOS!$F$2:$H$6,3,FALSE)),(VLOOKUP(T903,CATALOGOS!$J$2:$K$18,2,FALSE)),""-"",TO_TEXT(A903))"),"P21DG-0902")</f>
        <v>P21DG-0902</v>
      </c>
      <c r="H903" s="6" t="s">
        <v>6195</v>
      </c>
      <c r="I903" s="6" t="s">
        <v>6196</v>
      </c>
      <c r="J903" s="6" t="s">
        <v>6197</v>
      </c>
      <c r="K903" s="6" t="s">
        <v>6198</v>
      </c>
      <c r="L903" s="17"/>
      <c r="M903" s="17"/>
      <c r="N903" s="17" t="str">
        <f t="shared" si="2"/>
        <v>OK</v>
      </c>
      <c r="O903" s="17" t="s">
        <v>35</v>
      </c>
      <c r="P903" s="49" t="s">
        <v>35</v>
      </c>
      <c r="Q903" s="17" t="s">
        <v>36</v>
      </c>
      <c r="R903" s="17" t="s">
        <v>6199</v>
      </c>
      <c r="S903" s="173" t="s">
        <v>38</v>
      </c>
      <c r="T903" s="11" t="s">
        <v>6054</v>
      </c>
      <c r="U903" s="22" t="s">
        <v>6062</v>
      </c>
      <c r="V903" s="22" t="s">
        <v>6062</v>
      </c>
      <c r="W903" s="22"/>
      <c r="X903" s="6"/>
      <c r="Y903" s="6"/>
      <c r="Z903" s="23"/>
      <c r="AA903" s="33"/>
    </row>
    <row r="904" spans="1:27" ht="15.75" customHeight="1">
      <c r="A904" s="10" t="s">
        <v>6200</v>
      </c>
      <c r="B904" s="10" t="s">
        <v>4410</v>
      </c>
      <c r="C904" s="11" t="s">
        <v>6054</v>
      </c>
      <c r="D904" s="12"/>
      <c r="E904" s="13" t="s">
        <v>184</v>
      </c>
      <c r="F904" s="6" t="s">
        <v>6201</v>
      </c>
      <c r="G904" s="6" t="str">
        <f ca="1">IFERROR(__xludf.DUMMYFUNCTION("CONCATENATE(B904,(VLOOKUP(C904,CATALOGOS!$F$2:$H$6,3,FALSE)),(VLOOKUP(T904,CATALOGOS!$J$2:$K$18,2,FALSE)),""-"",TO_TEXT(A904))"),"P21DG-0903")</f>
        <v>P21DG-0903</v>
      </c>
      <c r="H904" s="6" t="s">
        <v>6202</v>
      </c>
      <c r="I904" s="6" t="s">
        <v>6203</v>
      </c>
      <c r="J904" s="6" t="s">
        <v>6204</v>
      </c>
      <c r="K904" s="43" t="s">
        <v>6205</v>
      </c>
      <c r="L904" s="17"/>
      <c r="M904" s="17"/>
      <c r="N904" s="17" t="str">
        <f t="shared" si="2"/>
        <v>OK</v>
      </c>
      <c r="O904" s="17" t="s">
        <v>35</v>
      </c>
      <c r="P904" s="6" t="s">
        <v>35</v>
      </c>
      <c r="Q904" s="17" t="s">
        <v>36</v>
      </c>
      <c r="R904" s="17" t="s">
        <v>6206</v>
      </c>
      <c r="S904" s="173" t="s">
        <v>38</v>
      </c>
      <c r="T904" s="11" t="s">
        <v>6054</v>
      </c>
      <c r="U904" s="22" t="s">
        <v>6062</v>
      </c>
      <c r="V904" s="22" t="s">
        <v>6062</v>
      </c>
      <c r="W904" s="22"/>
      <c r="X904" s="7"/>
      <c r="Y904" s="7"/>
      <c r="Z904" s="23"/>
      <c r="AA904" s="26"/>
    </row>
    <row r="905" spans="1:27" ht="15.75" customHeight="1">
      <c r="A905" s="10" t="s">
        <v>6207</v>
      </c>
      <c r="B905" s="10" t="s">
        <v>4410</v>
      </c>
      <c r="C905" s="11" t="s">
        <v>6054</v>
      </c>
      <c r="D905" s="12"/>
      <c r="E905" s="13" t="s">
        <v>184</v>
      </c>
      <c r="F905" s="6" t="s">
        <v>6201</v>
      </c>
      <c r="G905" s="6" t="str">
        <f ca="1">IFERROR(__xludf.DUMMYFUNCTION("CONCATENATE(B905,(VLOOKUP(C905,CATALOGOS!$F$2:$H$6,3,FALSE)),(VLOOKUP(T905,CATALOGOS!$J$2:$K$18,2,FALSE)),""-"",TO_TEXT(A905))"),"P21DG-0904")</f>
        <v>P21DG-0904</v>
      </c>
      <c r="H905" s="6" t="s">
        <v>6208</v>
      </c>
      <c r="I905" s="6" t="s">
        <v>6209</v>
      </c>
      <c r="J905" s="6" t="s">
        <v>6210</v>
      </c>
      <c r="K905" s="43" t="s">
        <v>6211</v>
      </c>
      <c r="L905" s="17"/>
      <c r="M905" s="17"/>
      <c r="N905" s="17" t="str">
        <f t="shared" si="2"/>
        <v>OK</v>
      </c>
      <c r="O905" s="17" t="s">
        <v>35</v>
      </c>
      <c r="P905" s="6" t="s">
        <v>35</v>
      </c>
      <c r="Q905" s="17" t="s">
        <v>36</v>
      </c>
      <c r="R905" s="17" t="s">
        <v>6212</v>
      </c>
      <c r="S905" s="173" t="s">
        <v>38</v>
      </c>
      <c r="T905" s="11" t="s">
        <v>6054</v>
      </c>
      <c r="U905" s="22" t="s">
        <v>6062</v>
      </c>
      <c r="V905" s="22" t="s">
        <v>6062</v>
      </c>
      <c r="W905" s="22"/>
      <c r="X905" s="7"/>
      <c r="Y905" s="7"/>
      <c r="Z905" s="23"/>
      <c r="AA905" s="26"/>
    </row>
    <row r="906" spans="1:27" ht="15.75" customHeight="1">
      <c r="A906" s="10" t="s">
        <v>6213</v>
      </c>
      <c r="B906" s="10" t="s">
        <v>4410</v>
      </c>
      <c r="C906" s="11" t="s">
        <v>6054</v>
      </c>
      <c r="D906" s="12"/>
      <c r="E906" s="13" t="s">
        <v>184</v>
      </c>
      <c r="F906" s="6" t="s">
        <v>6201</v>
      </c>
      <c r="G906" s="6" t="str">
        <f ca="1">IFERROR(__xludf.DUMMYFUNCTION("CONCATENATE(B906,(VLOOKUP(C906,CATALOGOS!$F$2:$H$6,3,FALSE)),(VLOOKUP(T906,CATALOGOS!$J$2:$K$18,2,FALSE)),""-"",TO_TEXT(A906))"),"P21DG-0905")</f>
        <v>P21DG-0905</v>
      </c>
      <c r="H906" s="6" t="s">
        <v>6214</v>
      </c>
      <c r="I906" s="6" t="s">
        <v>6215</v>
      </c>
      <c r="J906" s="6" t="s">
        <v>6216</v>
      </c>
      <c r="K906" s="6" t="s">
        <v>6217</v>
      </c>
      <c r="L906" s="17"/>
      <c r="M906" s="17"/>
      <c r="N906" s="17" t="str">
        <f t="shared" si="2"/>
        <v>OK</v>
      </c>
      <c r="O906" s="17" t="s">
        <v>35</v>
      </c>
      <c r="P906" s="6" t="s">
        <v>35</v>
      </c>
      <c r="Q906" s="17" t="s">
        <v>36</v>
      </c>
      <c r="R906" s="17" t="s">
        <v>6218</v>
      </c>
      <c r="S906" s="173" t="s">
        <v>38</v>
      </c>
      <c r="T906" s="11" t="s">
        <v>6054</v>
      </c>
      <c r="U906" s="22" t="s">
        <v>6062</v>
      </c>
      <c r="V906" s="22" t="s">
        <v>6062</v>
      </c>
      <c r="W906" s="22"/>
      <c r="X906" s="7"/>
      <c r="Y906" s="7"/>
      <c r="Z906" s="23"/>
      <c r="AA906" s="26"/>
    </row>
    <row r="907" spans="1:27" ht="15.75" customHeight="1">
      <c r="A907" s="10" t="s">
        <v>6219</v>
      </c>
      <c r="B907" s="10" t="s">
        <v>4410</v>
      </c>
      <c r="C907" s="11" t="s">
        <v>6054</v>
      </c>
      <c r="D907" s="12"/>
      <c r="E907" s="13" t="s">
        <v>378</v>
      </c>
      <c r="F907" s="6" t="s">
        <v>379</v>
      </c>
      <c r="G907" s="6" t="str">
        <f ca="1">IFERROR(__xludf.DUMMYFUNCTION("CONCATENATE(B907,(VLOOKUP(C907,CATALOGOS!$F$2:$H$6,3,FALSE)),(VLOOKUP(T907,CATALOGOS!$J$2:$K$18,2,FALSE)),""-"",TO_TEXT(A907))"),"P21DG-0906")</f>
        <v>P21DG-0906</v>
      </c>
      <c r="H907" s="6" t="s">
        <v>6220</v>
      </c>
      <c r="I907" s="6" t="s">
        <v>6221</v>
      </c>
      <c r="J907" s="66" t="s">
        <v>6222</v>
      </c>
      <c r="K907" s="6" t="s">
        <v>6223</v>
      </c>
      <c r="L907" s="17"/>
      <c r="M907" s="17"/>
      <c r="N907" s="17" t="str">
        <f t="shared" si="2"/>
        <v>OK</v>
      </c>
      <c r="O907" s="17" t="s">
        <v>35</v>
      </c>
      <c r="P907" s="6" t="s">
        <v>35</v>
      </c>
      <c r="Q907" s="17" t="s">
        <v>36</v>
      </c>
      <c r="R907" s="17" t="s">
        <v>6224</v>
      </c>
      <c r="S907" s="173" t="s">
        <v>38</v>
      </c>
      <c r="T907" s="11" t="s">
        <v>6054</v>
      </c>
      <c r="U907" s="22" t="s">
        <v>6062</v>
      </c>
      <c r="V907" s="22" t="s">
        <v>6062</v>
      </c>
      <c r="W907" s="22"/>
      <c r="X907" s="7"/>
      <c r="Y907" s="7"/>
      <c r="Z907" s="23"/>
      <c r="AA907" s="26"/>
    </row>
    <row r="908" spans="1:27" ht="15.75" customHeight="1">
      <c r="A908" s="10" t="s">
        <v>6225</v>
      </c>
      <c r="B908" s="10" t="s">
        <v>4410</v>
      </c>
      <c r="C908" s="11" t="s">
        <v>6054</v>
      </c>
      <c r="D908" s="12"/>
      <c r="E908" s="13" t="s">
        <v>6226</v>
      </c>
      <c r="F908" s="43" t="s">
        <v>278</v>
      </c>
      <c r="G908" s="6" t="str">
        <f ca="1">IFERROR(__xludf.DUMMYFUNCTION("CONCATENATE(B908,(VLOOKUP(C908,CATALOGOS!$F$2:$H$6,3,FALSE)),(VLOOKUP(T908,CATALOGOS!$J$2:$K$18,2,FALSE)),""-"",TO_TEXT(A908))"),"P21DG-0907")</f>
        <v>P21DG-0907</v>
      </c>
      <c r="H908" s="6" t="s">
        <v>6227</v>
      </c>
      <c r="I908" s="6" t="s">
        <v>6228</v>
      </c>
      <c r="J908" s="6" t="s">
        <v>6229</v>
      </c>
      <c r="K908" s="6" t="s">
        <v>6230</v>
      </c>
      <c r="L908" s="17"/>
      <c r="M908" s="17"/>
      <c r="N908" s="17" t="str">
        <f t="shared" si="2"/>
        <v>OK</v>
      </c>
      <c r="O908" s="17" t="s">
        <v>35</v>
      </c>
      <c r="P908" s="6" t="s">
        <v>35</v>
      </c>
      <c r="Q908" s="17" t="s">
        <v>36</v>
      </c>
      <c r="R908" s="17" t="s">
        <v>6231</v>
      </c>
      <c r="S908" s="173" t="s">
        <v>38</v>
      </c>
      <c r="T908" s="11" t="s">
        <v>6054</v>
      </c>
      <c r="U908" s="22" t="s">
        <v>6062</v>
      </c>
      <c r="V908" s="22" t="s">
        <v>6062</v>
      </c>
      <c r="W908" s="22"/>
      <c r="X908" s="7"/>
      <c r="Y908" s="7"/>
      <c r="Z908" s="23"/>
      <c r="AA908" s="26"/>
    </row>
    <row r="909" spans="1:27" ht="15.75" customHeight="1">
      <c r="A909" s="10" t="s">
        <v>6232</v>
      </c>
      <c r="B909" s="10" t="s">
        <v>4410</v>
      </c>
      <c r="C909" s="11" t="s">
        <v>6054</v>
      </c>
      <c r="D909" s="12"/>
      <c r="E909" s="13" t="s">
        <v>93</v>
      </c>
      <c r="F909" s="6" t="s">
        <v>6233</v>
      </c>
      <c r="G909" s="6" t="str">
        <f ca="1">IFERROR(__xludf.DUMMYFUNCTION("CONCATENATE(B909,(VLOOKUP(C909,CATALOGOS!$F$2:$H$6,3,FALSE)),(VLOOKUP(T909,CATALOGOS!$J$2:$K$18,2,FALSE)),""-"",TO_TEXT(A909))"),"P21DG-0908")</f>
        <v>P21DG-0908</v>
      </c>
      <c r="H909" s="6" t="s">
        <v>6234</v>
      </c>
      <c r="I909" s="6" t="s">
        <v>6235</v>
      </c>
      <c r="J909" s="37"/>
      <c r="K909" s="6" t="s">
        <v>6236</v>
      </c>
      <c r="L909" s="17"/>
      <c r="M909" s="17"/>
      <c r="N909" s="17" t="str">
        <f t="shared" si="2"/>
        <v>OK</v>
      </c>
      <c r="O909" s="35" t="s">
        <v>35</v>
      </c>
      <c r="P909" s="6" t="s">
        <v>35</v>
      </c>
      <c r="Q909" s="10" t="s">
        <v>36</v>
      </c>
      <c r="R909" s="32" t="s">
        <v>6237</v>
      </c>
      <c r="S909" s="173" t="s">
        <v>38</v>
      </c>
      <c r="T909" s="11" t="s">
        <v>6054</v>
      </c>
      <c r="U909" s="22" t="s">
        <v>6062</v>
      </c>
      <c r="V909" s="22" t="s">
        <v>6062</v>
      </c>
      <c r="W909" s="22"/>
      <c r="X909" s="7"/>
      <c r="Y909" s="7"/>
      <c r="Z909" s="23"/>
      <c r="AA909" s="26"/>
    </row>
    <row r="910" spans="1:27" ht="15.75" customHeight="1">
      <c r="A910" s="10" t="s">
        <v>6238</v>
      </c>
      <c r="B910" s="10" t="s">
        <v>4410</v>
      </c>
      <c r="C910" s="11" t="s">
        <v>6054</v>
      </c>
      <c r="D910" s="12"/>
      <c r="E910" s="13" t="s">
        <v>1199</v>
      </c>
      <c r="F910" s="43" t="s">
        <v>6239</v>
      </c>
      <c r="G910" s="6" t="str">
        <f ca="1">IFERROR(__xludf.DUMMYFUNCTION("CONCATENATE(B910,(VLOOKUP(C910,CATALOGOS!$F$2:$H$6,3,FALSE)),(VLOOKUP(T910,CATALOGOS!$J$2:$K$18,2,FALSE)),""-"",TO_TEXT(A910))"),"P21DG-0909")</f>
        <v>P21DG-0909</v>
      </c>
      <c r="H910" s="6" t="s">
        <v>6240</v>
      </c>
      <c r="I910" s="6" t="s">
        <v>6241</v>
      </c>
      <c r="J910" s="6" t="s">
        <v>6242</v>
      </c>
      <c r="K910" s="6" t="s">
        <v>6243</v>
      </c>
      <c r="L910" s="17"/>
      <c r="M910" s="17"/>
      <c r="N910" s="17" t="str">
        <f t="shared" si="2"/>
        <v>OK</v>
      </c>
      <c r="O910" s="17" t="s">
        <v>205</v>
      </c>
      <c r="P910" s="6" t="s">
        <v>6244</v>
      </c>
      <c r="Q910" s="17" t="s">
        <v>6245</v>
      </c>
      <c r="R910" s="10" t="s">
        <v>6246</v>
      </c>
      <c r="S910" s="173" t="s">
        <v>38</v>
      </c>
      <c r="T910" s="11" t="s">
        <v>6054</v>
      </c>
      <c r="U910" s="22" t="s">
        <v>6062</v>
      </c>
      <c r="V910" s="22" t="s">
        <v>6062</v>
      </c>
      <c r="W910" s="22"/>
      <c r="X910" s="7"/>
      <c r="Y910" s="7"/>
      <c r="Z910" s="23"/>
      <c r="AA910" s="26"/>
    </row>
    <row r="911" spans="1:27" ht="15.75" customHeight="1">
      <c r="A911" s="10" t="s">
        <v>6247</v>
      </c>
      <c r="B911" s="10" t="s">
        <v>4410</v>
      </c>
      <c r="C911" s="11" t="s">
        <v>6054</v>
      </c>
      <c r="D911" s="12"/>
      <c r="E911" s="13" t="s">
        <v>248</v>
      </c>
      <c r="F911" s="43" t="s">
        <v>248</v>
      </c>
      <c r="G911" s="6" t="str">
        <f ca="1">IFERROR(__xludf.DUMMYFUNCTION("CONCATENATE(B911,(VLOOKUP(C911,CATALOGOS!$F$2:$H$6,3,FALSE)),(VLOOKUP(T911,CATALOGOS!$J$2:$K$18,2,FALSE)),""-"",TO_TEXT(A911))"),"P21DG-0910")</f>
        <v>P21DG-0910</v>
      </c>
      <c r="H911" s="6" t="s">
        <v>6248</v>
      </c>
      <c r="I911" s="6" t="s">
        <v>6249</v>
      </c>
      <c r="J911" s="6" t="s">
        <v>6250</v>
      </c>
      <c r="K911" s="6" t="s">
        <v>6251</v>
      </c>
      <c r="L911" s="17"/>
      <c r="M911" s="17"/>
      <c r="N911" s="17" t="str">
        <f t="shared" si="2"/>
        <v>OK</v>
      </c>
      <c r="O911" s="17" t="s">
        <v>978</v>
      </c>
      <c r="P911" s="6" t="s">
        <v>979</v>
      </c>
      <c r="Q911" s="17" t="s">
        <v>6252</v>
      </c>
      <c r="R911" s="17" t="s">
        <v>6253</v>
      </c>
      <c r="S911" s="173" t="s">
        <v>38</v>
      </c>
      <c r="T911" s="11" t="s">
        <v>6054</v>
      </c>
      <c r="U911" s="22" t="s">
        <v>6062</v>
      </c>
      <c r="V911" s="22" t="s">
        <v>6062</v>
      </c>
      <c r="W911" s="22"/>
      <c r="X911" s="7"/>
      <c r="Y911" s="7"/>
      <c r="Z911" s="23"/>
      <c r="AA911" s="26"/>
    </row>
    <row r="912" spans="1:27" ht="15.75" customHeight="1">
      <c r="A912" s="10" t="s">
        <v>6254</v>
      </c>
      <c r="B912" s="10" t="s">
        <v>4410</v>
      </c>
      <c r="C912" s="11" t="s">
        <v>6054</v>
      </c>
      <c r="D912" s="12"/>
      <c r="E912" s="13" t="s">
        <v>162</v>
      </c>
      <c r="F912" s="43" t="s">
        <v>6255</v>
      </c>
      <c r="G912" s="6" t="str">
        <f ca="1">IFERROR(__xludf.DUMMYFUNCTION("CONCATENATE(B912,(VLOOKUP(C912,CATALOGOS!$F$2:$H$6,3,FALSE)),(VLOOKUP(T912,CATALOGOS!$J$2:$K$18,2,FALSE)),""-"",TO_TEXT(A912))"),"P21DG-0911")</f>
        <v>P21DG-0911</v>
      </c>
      <c r="H912" s="6" t="s">
        <v>6256</v>
      </c>
      <c r="I912" s="6" t="s">
        <v>6257</v>
      </c>
      <c r="J912" s="6" t="s">
        <v>6258</v>
      </c>
      <c r="K912" s="6" t="s">
        <v>6259</v>
      </c>
      <c r="L912" s="17"/>
      <c r="M912" s="17"/>
      <c r="N912" s="17" t="str">
        <f t="shared" si="2"/>
        <v>OK</v>
      </c>
      <c r="O912" s="17" t="s">
        <v>168</v>
      </c>
      <c r="P912" s="6" t="s">
        <v>169</v>
      </c>
      <c r="Q912" s="17" t="s">
        <v>6260</v>
      </c>
      <c r="R912" s="17" t="s">
        <v>6261</v>
      </c>
      <c r="S912" s="173" t="s">
        <v>38</v>
      </c>
      <c r="T912" s="11" t="s">
        <v>6054</v>
      </c>
      <c r="U912" s="22" t="s">
        <v>6062</v>
      </c>
      <c r="V912" s="22" t="s">
        <v>6062</v>
      </c>
      <c r="W912" s="22"/>
      <c r="X912" s="7"/>
      <c r="Y912" s="7"/>
      <c r="Z912" s="23"/>
      <c r="AA912" s="26"/>
    </row>
    <row r="913" spans="1:27" ht="15.75" customHeight="1">
      <c r="A913" s="10" t="s">
        <v>6262</v>
      </c>
      <c r="B913" s="10" t="s">
        <v>4410</v>
      </c>
      <c r="C913" s="60" t="s">
        <v>1470</v>
      </c>
      <c r="D913" s="38"/>
      <c r="E913" s="13" t="s">
        <v>199</v>
      </c>
      <c r="F913" s="6" t="s">
        <v>677</v>
      </c>
      <c r="G913" s="6" t="str">
        <f ca="1">IFERROR(__xludf.DUMMYFUNCTION("CONCATENATE(B913,(VLOOKUP(C913,CATALOGOS!$F$2:$H$6,3,FALSE)),(VLOOKUP(T913,CATALOGOS!$J$2:$K$18,2,FALSE)),""-"",TO_TEXT(A913))"),"P22SI-0912")</f>
        <v>P22SI-0912</v>
      </c>
      <c r="H913" s="6" t="s">
        <v>6263</v>
      </c>
      <c r="I913" s="6" t="s">
        <v>6264</v>
      </c>
      <c r="J913" s="6" t="s">
        <v>6265</v>
      </c>
      <c r="K913" s="6" t="s">
        <v>6266</v>
      </c>
      <c r="L913" s="17"/>
      <c r="M913" s="17"/>
      <c r="N913" s="17" t="str">
        <f t="shared" si="2"/>
        <v>OK</v>
      </c>
      <c r="O913" s="17" t="s">
        <v>682</v>
      </c>
      <c r="P913" s="6" t="s">
        <v>6267</v>
      </c>
      <c r="Q913" s="46" t="s">
        <v>6268</v>
      </c>
      <c r="R913" s="32" t="s">
        <v>6269</v>
      </c>
      <c r="S913" s="173" t="s">
        <v>38</v>
      </c>
      <c r="T913" s="181" t="s">
        <v>1483</v>
      </c>
      <c r="U913" s="20" t="s">
        <v>1484</v>
      </c>
      <c r="V913" s="20" t="s">
        <v>1484</v>
      </c>
      <c r="W913" s="20"/>
      <c r="X913" s="7"/>
      <c r="Y913" s="7"/>
      <c r="Z913" s="26"/>
      <c r="AA913" s="26"/>
    </row>
    <row r="914" spans="1:27" ht="15.75" customHeight="1">
      <c r="A914" s="10" t="s">
        <v>6270</v>
      </c>
      <c r="B914" s="10" t="s">
        <v>4410</v>
      </c>
      <c r="C914" s="11" t="s">
        <v>6054</v>
      </c>
      <c r="D914" s="12"/>
      <c r="E914" s="13" t="s">
        <v>93</v>
      </c>
      <c r="F914" s="6" t="s">
        <v>6271</v>
      </c>
      <c r="G914" s="6" t="str">
        <f ca="1">IFERROR(__xludf.DUMMYFUNCTION("CONCATENATE(B914,(VLOOKUP(C914,CATALOGOS!$F$2:$H$6,3,FALSE)),(VLOOKUP(T914,CATALOGOS!$J$2:$K$18,2,FALSE)),""-"",TO_TEXT(A914))"),"P21DG-0913")</f>
        <v>P21DG-0913</v>
      </c>
      <c r="H914" s="6" t="s">
        <v>6272</v>
      </c>
      <c r="I914" s="6" t="s">
        <v>6273</v>
      </c>
      <c r="J914" s="6" t="s">
        <v>6274</v>
      </c>
      <c r="K914" s="6" t="s">
        <v>6275</v>
      </c>
      <c r="L914" s="17"/>
      <c r="M914" s="17"/>
      <c r="N914" s="17" t="str">
        <f t="shared" si="2"/>
        <v>OK</v>
      </c>
      <c r="O914" s="17" t="s">
        <v>35</v>
      </c>
      <c r="P914" s="6" t="s">
        <v>35</v>
      </c>
      <c r="Q914" s="17" t="s">
        <v>36</v>
      </c>
      <c r="R914" s="17" t="s">
        <v>6276</v>
      </c>
      <c r="S914" s="173" t="s">
        <v>38</v>
      </c>
      <c r="T914" s="11" t="s">
        <v>6054</v>
      </c>
      <c r="U914" s="22" t="s">
        <v>6277</v>
      </c>
      <c r="V914" s="22" t="s">
        <v>6277</v>
      </c>
      <c r="W914" s="22"/>
      <c r="X914" s="7"/>
      <c r="Y914" s="7"/>
      <c r="Z914" s="23"/>
      <c r="AA914" s="26"/>
    </row>
    <row r="915" spans="1:27" ht="15.75" customHeight="1">
      <c r="A915" s="10" t="s">
        <v>6278</v>
      </c>
      <c r="B915" s="10" t="s">
        <v>4410</v>
      </c>
      <c r="C915" s="11" t="s">
        <v>6054</v>
      </c>
      <c r="D915" s="12"/>
      <c r="E915" s="13" t="s">
        <v>378</v>
      </c>
      <c r="F915" s="6" t="s">
        <v>6279</v>
      </c>
      <c r="G915" s="6" t="str">
        <f ca="1">IFERROR(__xludf.DUMMYFUNCTION("CONCATENATE(B915,(VLOOKUP(C915,CATALOGOS!$F$2:$H$6,3,FALSE)),(VLOOKUP(T915,CATALOGOS!$J$2:$K$18,2,FALSE)),""-"",TO_TEXT(A915))"),"P21DG-0914")</f>
        <v>P21DG-0914</v>
      </c>
      <c r="H915" s="6" t="s">
        <v>6280</v>
      </c>
      <c r="I915" s="6" t="s">
        <v>6281</v>
      </c>
      <c r="J915" s="6" t="s">
        <v>6282</v>
      </c>
      <c r="K915" s="6" t="s">
        <v>6283</v>
      </c>
      <c r="L915" s="17"/>
      <c r="M915" s="17"/>
      <c r="N915" s="17" t="str">
        <f t="shared" si="2"/>
        <v>OK</v>
      </c>
      <c r="O915" s="17" t="s">
        <v>35</v>
      </c>
      <c r="P915" s="6" t="s">
        <v>35</v>
      </c>
      <c r="Q915" s="17" t="s">
        <v>36</v>
      </c>
      <c r="R915" s="17" t="s">
        <v>6284</v>
      </c>
      <c r="S915" s="173" t="s">
        <v>517</v>
      </c>
      <c r="T915" s="11" t="s">
        <v>6054</v>
      </c>
      <c r="U915" s="22" t="s">
        <v>6277</v>
      </c>
      <c r="V915" s="22" t="s">
        <v>6277</v>
      </c>
      <c r="W915" s="22"/>
      <c r="X915" s="6"/>
      <c r="Y915" s="6" t="s">
        <v>440</v>
      </c>
      <c r="Z915" s="23"/>
      <c r="AA915" s="26"/>
    </row>
    <row r="916" spans="1:27" ht="15.75" customHeight="1">
      <c r="A916" s="10" t="s">
        <v>6285</v>
      </c>
      <c r="B916" s="10" t="s">
        <v>27</v>
      </c>
      <c r="C916" s="63" t="s">
        <v>28</v>
      </c>
      <c r="D916" s="12"/>
      <c r="E916" s="13" t="s">
        <v>378</v>
      </c>
      <c r="F916" s="6" t="s">
        <v>6279</v>
      </c>
      <c r="G916" s="6" t="str">
        <f ca="1">IFERROR(__xludf.DUMMYFUNCTION("CONCATENATE(B916,(VLOOKUP(C916,CATALOGOS!$F$2:$H$6,3,FALSE)),(VLOOKUP(T916,CATALOGOS!$J$2:$K$18,2,FALSE)),""-"",TO_TEXT(A916))"),"P05DA-0915")</f>
        <v>P05DA-0915</v>
      </c>
      <c r="H916" s="6" t="s">
        <v>6286</v>
      </c>
      <c r="I916" s="6" t="s">
        <v>6287</v>
      </c>
      <c r="J916" s="6" t="s">
        <v>6288</v>
      </c>
      <c r="K916" s="43" t="s">
        <v>6289</v>
      </c>
      <c r="L916" s="17"/>
      <c r="M916" s="17"/>
      <c r="N916" s="17" t="str">
        <f t="shared" si="2"/>
        <v>OK</v>
      </c>
      <c r="O916" s="17" t="s">
        <v>35</v>
      </c>
      <c r="P916" s="6" t="s">
        <v>35</v>
      </c>
      <c r="Q916" s="17" t="s">
        <v>36</v>
      </c>
      <c r="R916" s="17" t="s">
        <v>6290</v>
      </c>
      <c r="S916" s="173" t="s">
        <v>38</v>
      </c>
      <c r="T916" s="11" t="s">
        <v>28</v>
      </c>
      <c r="U916" s="20" t="s">
        <v>40</v>
      </c>
      <c r="V916" s="20" t="s">
        <v>40</v>
      </c>
      <c r="W916" s="20"/>
      <c r="X916" s="6"/>
      <c r="Y916" s="6" t="s">
        <v>6291</v>
      </c>
      <c r="Z916" s="23"/>
      <c r="AA916" s="26"/>
    </row>
    <row r="917" spans="1:27" ht="15.75" customHeight="1">
      <c r="A917" s="10" t="s">
        <v>6292</v>
      </c>
      <c r="B917" s="10" t="s">
        <v>4410</v>
      </c>
      <c r="C917" s="11" t="s">
        <v>6054</v>
      </c>
      <c r="D917" s="12"/>
      <c r="E917" s="13" t="s">
        <v>93</v>
      </c>
      <c r="F917" s="6" t="s">
        <v>6293</v>
      </c>
      <c r="G917" s="6" t="str">
        <f ca="1">IFERROR(__xludf.DUMMYFUNCTION("CONCATENATE(B917,(VLOOKUP(C917,CATALOGOS!$F$2:$H$6,3,FALSE)),(VLOOKUP(T917,CATALOGOS!$J$2:$K$18,2,FALSE)),""-"",TO_TEXT(A917))"),"P21DG-0916")</f>
        <v>P21DG-0916</v>
      </c>
      <c r="H917" s="6" t="s">
        <v>6294</v>
      </c>
      <c r="I917" s="6" t="s">
        <v>6295</v>
      </c>
      <c r="J917" s="6" t="s">
        <v>6296</v>
      </c>
      <c r="K917" s="6" t="s">
        <v>6297</v>
      </c>
      <c r="L917" s="17"/>
      <c r="M917" s="17"/>
      <c r="N917" s="17" t="str">
        <f t="shared" si="2"/>
        <v>OK</v>
      </c>
      <c r="O917" s="17" t="s">
        <v>35</v>
      </c>
      <c r="P917" s="6" t="s">
        <v>35</v>
      </c>
      <c r="Q917" s="17" t="s">
        <v>36</v>
      </c>
      <c r="R917" s="17" t="s">
        <v>6298</v>
      </c>
      <c r="S917" s="173" t="s">
        <v>38</v>
      </c>
      <c r="T917" s="11" t="s">
        <v>6054</v>
      </c>
      <c r="U917" s="22" t="s">
        <v>6277</v>
      </c>
      <c r="V917" s="22" t="s">
        <v>6277</v>
      </c>
      <c r="W917" s="22"/>
      <c r="X917" s="7"/>
      <c r="Y917" s="7"/>
      <c r="Z917" s="23"/>
      <c r="AA917" s="26"/>
    </row>
    <row r="918" spans="1:27" ht="15.75" customHeight="1">
      <c r="A918" s="10" t="s">
        <v>6299</v>
      </c>
      <c r="B918" s="10" t="s">
        <v>4410</v>
      </c>
      <c r="C918" s="11" t="s">
        <v>6054</v>
      </c>
      <c r="D918" s="12"/>
      <c r="E918" s="13" t="s">
        <v>353</v>
      </c>
      <c r="F918" s="43" t="s">
        <v>6300</v>
      </c>
      <c r="G918" s="6" t="str">
        <f ca="1">IFERROR(__xludf.DUMMYFUNCTION("CONCATENATE(B918,(VLOOKUP(C918,CATALOGOS!$F$2:$H$6,3,FALSE)),(VLOOKUP(T918,CATALOGOS!$J$2:$K$18,2,FALSE)),""-"",TO_TEXT(A918))"),"P21DG-0917")</f>
        <v>P21DG-0917</v>
      </c>
      <c r="H918" s="6" t="s">
        <v>6301</v>
      </c>
      <c r="I918" s="6" t="s">
        <v>6302</v>
      </c>
      <c r="J918" s="6" t="s">
        <v>6303</v>
      </c>
      <c r="K918" s="6" t="s">
        <v>6304</v>
      </c>
      <c r="L918" s="17"/>
      <c r="M918" s="17"/>
      <c r="N918" s="17" t="str">
        <f t="shared" si="2"/>
        <v>OK</v>
      </c>
      <c r="O918" s="17" t="s">
        <v>6305</v>
      </c>
      <c r="P918" s="6" t="s">
        <v>6306</v>
      </c>
      <c r="Q918" s="17" t="s">
        <v>6307</v>
      </c>
      <c r="R918" s="10" t="s">
        <v>6308</v>
      </c>
      <c r="S918" s="173" t="s">
        <v>38</v>
      </c>
      <c r="T918" s="11" t="s">
        <v>6054</v>
      </c>
      <c r="U918" s="22" t="s">
        <v>6277</v>
      </c>
      <c r="V918" s="22" t="s">
        <v>6277</v>
      </c>
      <c r="W918" s="22"/>
      <c r="X918" s="7"/>
      <c r="Y918" s="7"/>
      <c r="Z918" s="23"/>
      <c r="AA918" s="26"/>
    </row>
    <row r="919" spans="1:27" ht="15.75" customHeight="1">
      <c r="A919" s="10" t="s">
        <v>6309</v>
      </c>
      <c r="B919" s="10" t="s">
        <v>4410</v>
      </c>
      <c r="C919" s="11" t="s">
        <v>6054</v>
      </c>
      <c r="D919" s="12"/>
      <c r="E919" s="13" t="s">
        <v>3521</v>
      </c>
      <c r="F919" s="6" t="s">
        <v>6310</v>
      </c>
      <c r="G919" s="6" t="str">
        <f ca="1">IFERROR(__xludf.DUMMYFUNCTION("CONCATENATE(B919,(VLOOKUP(C919,CATALOGOS!$F$2:$H$6,3,FALSE)),(VLOOKUP(T919,CATALOGOS!$J$2:$K$18,2,FALSE)),""-"",TO_TEXT(A919))"),"P21DG-0918")</f>
        <v>P21DG-0918</v>
      </c>
      <c r="H919" s="6" t="s">
        <v>6311</v>
      </c>
      <c r="I919" s="6" t="s">
        <v>6312</v>
      </c>
      <c r="J919" s="6" t="s">
        <v>6313</v>
      </c>
      <c r="K919" s="6" t="s">
        <v>6314</v>
      </c>
      <c r="L919" s="17"/>
      <c r="M919" s="17"/>
      <c r="N919" s="17" t="str">
        <f t="shared" si="2"/>
        <v>OK</v>
      </c>
      <c r="O919" s="17" t="s">
        <v>35</v>
      </c>
      <c r="P919" s="6" t="s">
        <v>35</v>
      </c>
      <c r="Q919" s="17" t="s">
        <v>36</v>
      </c>
      <c r="R919" s="17" t="s">
        <v>6315</v>
      </c>
      <c r="S919" s="173" t="s">
        <v>38</v>
      </c>
      <c r="T919" s="11" t="s">
        <v>6054</v>
      </c>
      <c r="U919" s="22" t="s">
        <v>6277</v>
      </c>
      <c r="V919" s="22" t="s">
        <v>6277</v>
      </c>
      <c r="W919" s="22"/>
      <c r="X919" s="7"/>
      <c r="Y919" s="7"/>
      <c r="Z919" s="23"/>
      <c r="AA919" s="26"/>
    </row>
    <row r="920" spans="1:27" ht="15.75" customHeight="1">
      <c r="A920" s="10" t="s">
        <v>6316</v>
      </c>
      <c r="B920" s="10" t="s">
        <v>4410</v>
      </c>
      <c r="C920" s="11" t="s">
        <v>6054</v>
      </c>
      <c r="D920" s="12"/>
      <c r="E920" s="13" t="s">
        <v>71</v>
      </c>
      <c r="F920" s="6" t="s">
        <v>6317</v>
      </c>
      <c r="G920" s="6" t="str">
        <f ca="1">IFERROR(__xludf.DUMMYFUNCTION("CONCATENATE(B920,(VLOOKUP(C920,CATALOGOS!$F$2:$H$6,3,FALSE)),(VLOOKUP(T920,CATALOGOS!$J$2:$K$18,2,FALSE)),""-"",TO_TEXT(A920))"),"P21DG-0919")</f>
        <v>P21DG-0919</v>
      </c>
      <c r="H920" s="6" t="s">
        <v>6318</v>
      </c>
      <c r="I920" s="6" t="s">
        <v>6319</v>
      </c>
      <c r="J920" s="6" t="s">
        <v>6320</v>
      </c>
      <c r="K920" s="6" t="s">
        <v>6321</v>
      </c>
      <c r="L920" s="17"/>
      <c r="M920" s="17"/>
      <c r="N920" s="17" t="str">
        <f t="shared" si="2"/>
        <v>OK</v>
      </c>
      <c r="O920" s="17" t="s">
        <v>35</v>
      </c>
      <c r="P920" s="49" t="s">
        <v>35</v>
      </c>
      <c r="Q920" s="17" t="s">
        <v>36</v>
      </c>
      <c r="R920" s="17" t="s">
        <v>6322</v>
      </c>
      <c r="S920" s="173" t="s">
        <v>38</v>
      </c>
      <c r="T920" s="11" t="s">
        <v>6054</v>
      </c>
      <c r="U920" s="22" t="s">
        <v>6277</v>
      </c>
      <c r="V920" s="22" t="s">
        <v>6277</v>
      </c>
      <c r="W920" s="22"/>
      <c r="X920" s="7"/>
      <c r="Y920" s="7"/>
      <c r="Z920" s="23"/>
      <c r="AA920" s="26"/>
    </row>
    <row r="921" spans="1:27" ht="15.75" customHeight="1">
      <c r="A921" s="10" t="s">
        <v>6323</v>
      </c>
      <c r="B921" s="10" t="s">
        <v>4410</v>
      </c>
      <c r="C921" s="11" t="s">
        <v>6054</v>
      </c>
      <c r="D921" s="12"/>
      <c r="E921" s="13" t="s">
        <v>93</v>
      </c>
      <c r="F921" s="6" t="s">
        <v>6324</v>
      </c>
      <c r="G921" s="6" t="str">
        <f ca="1">IFERROR(__xludf.DUMMYFUNCTION("CONCATENATE(B921,(VLOOKUP(C921,CATALOGOS!$F$2:$H$6,3,FALSE)),(VLOOKUP(T921,CATALOGOS!$J$2:$K$18,2,FALSE)),""-"",TO_TEXT(A921))"),"P21DG-0920")</f>
        <v>P21DG-0920</v>
      </c>
      <c r="H921" s="6" t="s">
        <v>6325</v>
      </c>
      <c r="I921" s="6" t="s">
        <v>6326</v>
      </c>
      <c r="J921" s="6" t="s">
        <v>6327</v>
      </c>
      <c r="K921" s="6" t="s">
        <v>6328</v>
      </c>
      <c r="L921" s="17"/>
      <c r="M921" s="17"/>
      <c r="N921" s="17" t="str">
        <f t="shared" si="2"/>
        <v>OK</v>
      </c>
      <c r="O921" s="17" t="s">
        <v>35</v>
      </c>
      <c r="P921" s="6" t="s">
        <v>35</v>
      </c>
      <c r="Q921" s="17" t="s">
        <v>36</v>
      </c>
      <c r="R921" s="17" t="s">
        <v>6329</v>
      </c>
      <c r="S921" s="173" t="s">
        <v>38</v>
      </c>
      <c r="T921" s="11" t="s">
        <v>6054</v>
      </c>
      <c r="U921" s="22" t="s">
        <v>6277</v>
      </c>
      <c r="V921" s="22" t="s">
        <v>6277</v>
      </c>
      <c r="W921" s="22"/>
      <c r="X921" s="7"/>
      <c r="Y921" s="7"/>
      <c r="Z921" s="23"/>
      <c r="AA921" s="26"/>
    </row>
    <row r="922" spans="1:27" ht="15.75" customHeight="1">
      <c r="A922" s="10" t="s">
        <v>6330</v>
      </c>
      <c r="B922" s="10" t="s">
        <v>4410</v>
      </c>
      <c r="C922" s="11" t="s">
        <v>6054</v>
      </c>
      <c r="D922" s="12"/>
      <c r="E922" s="13" t="s">
        <v>93</v>
      </c>
      <c r="F922" s="6" t="s">
        <v>6331</v>
      </c>
      <c r="G922" s="6" t="str">
        <f ca="1">IFERROR(__xludf.DUMMYFUNCTION("CONCATENATE(B922,(VLOOKUP(C922,CATALOGOS!$F$2:$H$6,3,FALSE)),(VLOOKUP(T922,CATALOGOS!$J$2:$K$18,2,FALSE)),""-"",TO_TEXT(A922))"),"P21DG-0921")</f>
        <v>P21DG-0921</v>
      </c>
      <c r="H922" s="6" t="s">
        <v>6332</v>
      </c>
      <c r="I922" s="6" t="s">
        <v>6333</v>
      </c>
      <c r="J922" s="6" t="s">
        <v>6334</v>
      </c>
      <c r="K922" s="6" t="s">
        <v>6335</v>
      </c>
      <c r="L922" s="17"/>
      <c r="M922" s="17"/>
      <c r="N922" s="17" t="str">
        <f t="shared" si="2"/>
        <v>OK</v>
      </c>
      <c r="O922" s="17" t="s">
        <v>35</v>
      </c>
      <c r="P922" s="6" t="s">
        <v>35</v>
      </c>
      <c r="Q922" s="17" t="s">
        <v>36</v>
      </c>
      <c r="R922" s="17" t="s">
        <v>6336</v>
      </c>
      <c r="S922" s="173" t="s">
        <v>38</v>
      </c>
      <c r="T922" s="11" t="s">
        <v>6054</v>
      </c>
      <c r="U922" s="22" t="s">
        <v>6277</v>
      </c>
      <c r="V922" s="22" t="s">
        <v>6277</v>
      </c>
      <c r="W922" s="22"/>
      <c r="X922" s="7"/>
      <c r="Y922" s="7"/>
      <c r="Z922" s="23"/>
      <c r="AA922" s="26"/>
    </row>
    <row r="923" spans="1:27" ht="15.75" customHeight="1">
      <c r="A923" s="10" t="s">
        <v>6337</v>
      </c>
      <c r="B923" s="10" t="s">
        <v>4410</v>
      </c>
      <c r="C923" s="11" t="s">
        <v>6054</v>
      </c>
      <c r="D923" s="12"/>
      <c r="E923" s="13" t="s">
        <v>6338</v>
      </c>
      <c r="F923" s="6" t="s">
        <v>6339</v>
      </c>
      <c r="G923" s="6" t="str">
        <f ca="1">IFERROR(__xludf.DUMMYFUNCTION("CONCATENATE(B923,(VLOOKUP(C923,CATALOGOS!$F$2:$H$6,3,FALSE)),(VLOOKUP(T923,CATALOGOS!$J$2:$K$18,2,FALSE)),""-"",TO_TEXT(A923))"),"P21DG-0922")</f>
        <v>P21DG-0922</v>
      </c>
      <c r="H923" s="6" t="s">
        <v>6340</v>
      </c>
      <c r="I923" s="6" t="s">
        <v>6341</v>
      </c>
      <c r="J923" s="6" t="s">
        <v>6342</v>
      </c>
      <c r="K923" s="6" t="s">
        <v>6343</v>
      </c>
      <c r="L923" s="17"/>
      <c r="M923" s="17"/>
      <c r="N923" s="17" t="str">
        <f t="shared" si="2"/>
        <v>OK</v>
      </c>
      <c r="O923" s="17" t="s">
        <v>35</v>
      </c>
      <c r="P923" s="6" t="s">
        <v>35</v>
      </c>
      <c r="Q923" s="17" t="s">
        <v>36</v>
      </c>
      <c r="R923" s="17" t="s">
        <v>85</v>
      </c>
      <c r="S923" s="173" t="s">
        <v>38</v>
      </c>
      <c r="T923" s="11" t="s">
        <v>6054</v>
      </c>
      <c r="U923" s="22" t="s">
        <v>6277</v>
      </c>
      <c r="V923" s="22" t="s">
        <v>6277</v>
      </c>
      <c r="W923" s="22"/>
      <c r="X923" s="7"/>
      <c r="Y923" s="7"/>
      <c r="Z923" s="23"/>
      <c r="AA923" s="26"/>
    </row>
    <row r="924" spans="1:27" ht="15.75" customHeight="1">
      <c r="A924" s="10" t="s">
        <v>6344</v>
      </c>
      <c r="B924" s="10" t="s">
        <v>4410</v>
      </c>
      <c r="C924" s="11" t="s">
        <v>6054</v>
      </c>
      <c r="D924" s="12"/>
      <c r="E924" s="13" t="s">
        <v>6345</v>
      </c>
      <c r="F924" s="6" t="s">
        <v>6346</v>
      </c>
      <c r="G924" s="6" t="str">
        <f ca="1">IFERROR(__xludf.DUMMYFUNCTION("CONCATENATE(B924,(VLOOKUP(C924,CATALOGOS!$F$2:$H$6,3,FALSE)),(VLOOKUP(T924,CATALOGOS!$J$2:$K$18,2,FALSE)),""-"",TO_TEXT(A924))"),"P21DG-0923")</f>
        <v>P21DG-0923</v>
      </c>
      <c r="H924" s="6" t="s">
        <v>6347</v>
      </c>
      <c r="I924" s="6" t="s">
        <v>6348</v>
      </c>
      <c r="J924" s="6" t="s">
        <v>6349</v>
      </c>
      <c r="K924" s="6" t="s">
        <v>6350</v>
      </c>
      <c r="L924" s="17"/>
      <c r="M924" s="17"/>
      <c r="N924" s="17" t="str">
        <f t="shared" si="2"/>
        <v>OK</v>
      </c>
      <c r="O924" s="17" t="s">
        <v>35</v>
      </c>
      <c r="P924" s="6" t="s">
        <v>35</v>
      </c>
      <c r="Q924" s="17" t="s">
        <v>36</v>
      </c>
      <c r="R924" s="17" t="s">
        <v>6351</v>
      </c>
      <c r="S924" s="173" t="s">
        <v>38</v>
      </c>
      <c r="T924" s="11" t="s">
        <v>6054</v>
      </c>
      <c r="U924" s="22" t="s">
        <v>6277</v>
      </c>
      <c r="V924" s="22" t="s">
        <v>6277</v>
      </c>
      <c r="W924" s="22"/>
      <c r="X924" s="7"/>
      <c r="Y924" s="7"/>
      <c r="Z924" s="23"/>
      <c r="AA924" s="26"/>
    </row>
    <row r="925" spans="1:27" ht="15.75" customHeight="1">
      <c r="A925" s="10" t="s">
        <v>6352</v>
      </c>
      <c r="B925" s="10" t="s">
        <v>4410</v>
      </c>
      <c r="C925" s="11" t="s">
        <v>6054</v>
      </c>
      <c r="D925" s="12"/>
      <c r="E925" s="13" t="s">
        <v>6353</v>
      </c>
      <c r="F925" s="43" t="s">
        <v>6354</v>
      </c>
      <c r="G925" s="6" t="str">
        <f ca="1">IFERROR(__xludf.DUMMYFUNCTION("CONCATENATE(B925,(VLOOKUP(C925,CATALOGOS!$F$2:$H$6,3,FALSE)),(VLOOKUP(T925,CATALOGOS!$J$2:$K$18,2,FALSE)),""-"",TO_TEXT(A925))"),"P21DG-0924")</f>
        <v>P21DG-0924</v>
      </c>
      <c r="H925" s="6" t="s">
        <v>6355</v>
      </c>
      <c r="I925" s="6" t="s">
        <v>6356</v>
      </c>
      <c r="J925" s="6" t="s">
        <v>6357</v>
      </c>
      <c r="K925" s="6" t="s">
        <v>6358</v>
      </c>
      <c r="L925" s="17"/>
      <c r="M925" s="17"/>
      <c r="N925" s="17" t="str">
        <f t="shared" si="2"/>
        <v>OK</v>
      </c>
      <c r="O925" s="17" t="s">
        <v>6359</v>
      </c>
      <c r="P925" s="6" t="s">
        <v>6360</v>
      </c>
      <c r="Q925" s="17" t="s">
        <v>6361</v>
      </c>
      <c r="R925" s="10" t="s">
        <v>6362</v>
      </c>
      <c r="S925" s="173" t="s">
        <v>38</v>
      </c>
      <c r="T925" s="11" t="s">
        <v>6054</v>
      </c>
      <c r="U925" s="22" t="s">
        <v>6277</v>
      </c>
      <c r="V925" s="22" t="s">
        <v>6277</v>
      </c>
      <c r="W925" s="22"/>
      <c r="X925" s="7"/>
      <c r="Y925" s="7"/>
      <c r="Z925" s="23"/>
      <c r="AA925" s="26"/>
    </row>
    <row r="926" spans="1:27" ht="15.75" customHeight="1">
      <c r="A926" s="10" t="s">
        <v>6363</v>
      </c>
      <c r="B926" s="10" t="s">
        <v>4410</v>
      </c>
      <c r="C926" s="11" t="s">
        <v>6054</v>
      </c>
      <c r="D926" s="12"/>
      <c r="E926" s="13" t="s">
        <v>2860</v>
      </c>
      <c r="F926" s="43" t="s">
        <v>2861</v>
      </c>
      <c r="G926" s="6" t="str">
        <f ca="1">IFERROR(__xludf.DUMMYFUNCTION("CONCATENATE(B926,(VLOOKUP(C926,CATALOGOS!$F$2:$H$6,3,FALSE)),(VLOOKUP(T926,CATALOGOS!$J$2:$K$18,2,FALSE)),""-"",TO_TEXT(A926))"),"P21DG-0925")</f>
        <v>P21DG-0925</v>
      </c>
      <c r="H926" s="6" t="s">
        <v>6364</v>
      </c>
      <c r="I926" s="6" t="s">
        <v>6365</v>
      </c>
      <c r="J926" s="6" t="s">
        <v>6366</v>
      </c>
      <c r="K926" s="6" t="s">
        <v>6367</v>
      </c>
      <c r="L926" s="17"/>
      <c r="M926" s="17"/>
      <c r="N926" s="17" t="str">
        <f t="shared" si="2"/>
        <v>OK</v>
      </c>
      <c r="O926" s="17" t="s">
        <v>2866</v>
      </c>
      <c r="P926" s="6" t="s">
        <v>35</v>
      </c>
      <c r="Q926" s="17" t="s">
        <v>36</v>
      </c>
      <c r="R926" s="17" t="s">
        <v>6368</v>
      </c>
      <c r="S926" s="173" t="s">
        <v>38</v>
      </c>
      <c r="T926" s="11" t="s">
        <v>6054</v>
      </c>
      <c r="U926" s="22" t="s">
        <v>6277</v>
      </c>
      <c r="V926" s="22" t="s">
        <v>6277</v>
      </c>
      <c r="W926" s="22"/>
      <c r="X926" s="7"/>
      <c r="Y926" s="7"/>
      <c r="Z926" s="23"/>
      <c r="AA926" s="26"/>
    </row>
    <row r="927" spans="1:27" ht="15.75" customHeight="1">
      <c r="A927" s="10" t="s">
        <v>6369</v>
      </c>
      <c r="B927" s="10" t="s">
        <v>4410</v>
      </c>
      <c r="C927" s="11" t="s">
        <v>6054</v>
      </c>
      <c r="D927" s="12"/>
      <c r="E927" s="13" t="s">
        <v>184</v>
      </c>
      <c r="F927" s="6" t="s">
        <v>6370</v>
      </c>
      <c r="G927" s="6" t="str">
        <f ca="1">IFERROR(__xludf.DUMMYFUNCTION("CONCATENATE(B927,(VLOOKUP(C927,CATALOGOS!$F$2:$H$6,3,FALSE)),(VLOOKUP(T927,CATALOGOS!$J$2:$K$18,2,FALSE)),""-"",TO_TEXT(A927))"),"P21DG-0926")</f>
        <v>P21DG-0926</v>
      </c>
      <c r="H927" s="6" t="s">
        <v>6371</v>
      </c>
      <c r="I927" s="6" t="s">
        <v>6372</v>
      </c>
      <c r="J927" s="6" t="s">
        <v>6373</v>
      </c>
      <c r="K927" s="6" t="s">
        <v>6374</v>
      </c>
      <c r="L927" s="17"/>
      <c r="M927" s="17"/>
      <c r="N927" s="17" t="str">
        <f t="shared" si="2"/>
        <v>OK</v>
      </c>
      <c r="O927" s="17" t="s">
        <v>35</v>
      </c>
      <c r="P927" s="6" t="s">
        <v>35</v>
      </c>
      <c r="Q927" s="17" t="s">
        <v>36</v>
      </c>
      <c r="R927" s="17" t="s">
        <v>6375</v>
      </c>
      <c r="S927" s="173" t="s">
        <v>38</v>
      </c>
      <c r="T927" s="11" t="s">
        <v>6054</v>
      </c>
      <c r="U927" s="22" t="s">
        <v>6277</v>
      </c>
      <c r="V927" s="22" t="s">
        <v>6277</v>
      </c>
      <c r="W927" s="22"/>
      <c r="X927" s="7"/>
      <c r="Y927" s="7"/>
      <c r="Z927" s="23"/>
      <c r="AA927" s="26"/>
    </row>
    <row r="928" spans="1:27" ht="15.75" customHeight="1">
      <c r="A928" s="10" t="s">
        <v>6376</v>
      </c>
      <c r="B928" s="10" t="s">
        <v>4410</v>
      </c>
      <c r="C928" s="11" t="s">
        <v>6054</v>
      </c>
      <c r="D928" s="12"/>
      <c r="E928" s="13" t="s">
        <v>184</v>
      </c>
      <c r="F928" s="6" t="s">
        <v>6370</v>
      </c>
      <c r="G928" s="6" t="str">
        <f ca="1">IFERROR(__xludf.DUMMYFUNCTION("CONCATENATE(B928,(VLOOKUP(C928,CATALOGOS!$F$2:$H$6,3,FALSE)),(VLOOKUP(T928,CATALOGOS!$J$2:$K$18,2,FALSE)),""-"",TO_TEXT(A928))"),"P21DG-0927")</f>
        <v>P21DG-0927</v>
      </c>
      <c r="H928" s="6" t="s">
        <v>6377</v>
      </c>
      <c r="I928" s="6" t="s">
        <v>6378</v>
      </c>
      <c r="J928" s="6" t="s">
        <v>6379</v>
      </c>
      <c r="K928" s="6" t="s">
        <v>6380</v>
      </c>
      <c r="L928" s="17"/>
      <c r="M928" s="17"/>
      <c r="N928" s="17" t="str">
        <f t="shared" si="2"/>
        <v>OK</v>
      </c>
      <c r="O928" s="17" t="s">
        <v>35</v>
      </c>
      <c r="P928" s="6" t="s">
        <v>35</v>
      </c>
      <c r="Q928" s="17" t="s">
        <v>36</v>
      </c>
      <c r="R928" s="17" t="s">
        <v>6381</v>
      </c>
      <c r="S928" s="173" t="s">
        <v>38</v>
      </c>
      <c r="T928" s="11" t="s">
        <v>6054</v>
      </c>
      <c r="U928" s="22" t="s">
        <v>6277</v>
      </c>
      <c r="V928" s="22" t="s">
        <v>6277</v>
      </c>
      <c r="W928" s="22"/>
      <c r="X928" s="7"/>
      <c r="Y928" s="7"/>
      <c r="Z928" s="23"/>
      <c r="AA928" s="26"/>
    </row>
    <row r="929" spans="1:27" ht="15.75" customHeight="1">
      <c r="A929" s="10" t="s">
        <v>6382</v>
      </c>
      <c r="B929" s="10" t="s">
        <v>4410</v>
      </c>
      <c r="C929" s="11" t="s">
        <v>6054</v>
      </c>
      <c r="D929" s="12"/>
      <c r="E929" s="13" t="s">
        <v>184</v>
      </c>
      <c r="F929" s="6" t="s">
        <v>6370</v>
      </c>
      <c r="G929" s="6" t="str">
        <f ca="1">IFERROR(__xludf.DUMMYFUNCTION("CONCATENATE(B929,(VLOOKUP(C929,CATALOGOS!$F$2:$H$6,3,FALSE)),(VLOOKUP(T929,CATALOGOS!$J$2:$K$18,2,FALSE)),""-"",TO_TEXT(A929))"),"P21DG-0928")</f>
        <v>P21DG-0928</v>
      </c>
      <c r="H929" s="6" t="s">
        <v>6383</v>
      </c>
      <c r="I929" s="6" t="s">
        <v>6384</v>
      </c>
      <c r="J929" s="6" t="s">
        <v>6385</v>
      </c>
      <c r="K929" s="6" t="s">
        <v>6386</v>
      </c>
      <c r="L929" s="17"/>
      <c r="M929" s="17"/>
      <c r="N929" s="17" t="str">
        <f t="shared" si="2"/>
        <v>OK</v>
      </c>
      <c r="O929" s="17" t="s">
        <v>35</v>
      </c>
      <c r="P929" s="6" t="s">
        <v>35</v>
      </c>
      <c r="Q929" s="17" t="s">
        <v>36</v>
      </c>
      <c r="R929" s="17" t="s">
        <v>6387</v>
      </c>
      <c r="S929" s="173" t="s">
        <v>38</v>
      </c>
      <c r="T929" s="11" t="s">
        <v>6054</v>
      </c>
      <c r="U929" s="22" t="s">
        <v>6277</v>
      </c>
      <c r="V929" s="22" t="s">
        <v>6277</v>
      </c>
      <c r="W929" s="22"/>
      <c r="X929" s="7"/>
      <c r="Y929" s="7"/>
      <c r="Z929" s="23"/>
      <c r="AA929" s="26"/>
    </row>
    <row r="930" spans="1:27" ht="15.75" customHeight="1">
      <c r="A930" s="10" t="s">
        <v>6388</v>
      </c>
      <c r="B930" s="10" t="s">
        <v>4410</v>
      </c>
      <c r="C930" s="11" t="s">
        <v>6054</v>
      </c>
      <c r="D930" s="12"/>
      <c r="E930" s="13" t="s">
        <v>184</v>
      </c>
      <c r="F930" s="6" t="s">
        <v>6370</v>
      </c>
      <c r="G930" s="6" t="str">
        <f ca="1">IFERROR(__xludf.DUMMYFUNCTION("CONCATENATE(B930,(VLOOKUP(C930,CATALOGOS!$F$2:$H$6,3,FALSE)),(VLOOKUP(T930,CATALOGOS!$J$2:$K$18,2,FALSE)),""-"",TO_TEXT(A930))"),"P21DG-0929")</f>
        <v>P21DG-0929</v>
      </c>
      <c r="H930" s="6" t="s">
        <v>6389</v>
      </c>
      <c r="I930" s="6" t="s">
        <v>6390</v>
      </c>
      <c r="J930" s="6" t="s">
        <v>6391</v>
      </c>
      <c r="K930" s="6" t="s">
        <v>6392</v>
      </c>
      <c r="L930" s="17"/>
      <c r="M930" s="17"/>
      <c r="N930" s="17" t="str">
        <f t="shared" si="2"/>
        <v>OK</v>
      </c>
      <c r="O930" s="17" t="s">
        <v>35</v>
      </c>
      <c r="P930" s="6" t="s">
        <v>35</v>
      </c>
      <c r="Q930" s="17" t="s">
        <v>36</v>
      </c>
      <c r="R930" s="17" t="s">
        <v>6393</v>
      </c>
      <c r="S930" s="173" t="s">
        <v>38</v>
      </c>
      <c r="T930" s="11" t="s">
        <v>6054</v>
      </c>
      <c r="U930" s="22" t="s">
        <v>6277</v>
      </c>
      <c r="V930" s="22" t="s">
        <v>6277</v>
      </c>
      <c r="W930" s="22"/>
      <c r="X930" s="7"/>
      <c r="Y930" s="7"/>
      <c r="Z930" s="23"/>
      <c r="AA930" s="26"/>
    </row>
    <row r="931" spans="1:27" ht="15.75" customHeight="1">
      <c r="A931" s="10" t="s">
        <v>6394</v>
      </c>
      <c r="B931" s="10" t="s">
        <v>4410</v>
      </c>
      <c r="C931" s="60" t="s">
        <v>4411</v>
      </c>
      <c r="D931" s="12"/>
      <c r="E931" s="13" t="s">
        <v>184</v>
      </c>
      <c r="F931" s="6" t="s">
        <v>6370</v>
      </c>
      <c r="G931" s="6" t="str">
        <f ca="1">IFERROR(__xludf.DUMMYFUNCTION("CONCATENATE(B931,(VLOOKUP(C931,CATALOGOS!$F$2:$H$6,3,FALSE)),(VLOOKUP(T931,CATALOGOS!$J$2:$K$18,2,FALSE)),""-"",TO_TEXT(A931))"),"P24SJ-0930")</f>
        <v>P24SJ-0930</v>
      </c>
      <c r="H931" s="6" t="s">
        <v>6395</v>
      </c>
      <c r="I931" s="6" t="s">
        <v>6396</v>
      </c>
      <c r="J931" s="6" t="s">
        <v>6397</v>
      </c>
      <c r="K931" s="6" t="s">
        <v>6398</v>
      </c>
      <c r="L931" s="17"/>
      <c r="M931" s="17"/>
      <c r="N931" s="17" t="str">
        <f t="shared" si="2"/>
        <v>OK</v>
      </c>
      <c r="O931" s="17" t="s">
        <v>35</v>
      </c>
      <c r="P931" s="6" t="s">
        <v>35</v>
      </c>
      <c r="Q931" s="17" t="s">
        <v>36</v>
      </c>
      <c r="R931" s="17" t="s">
        <v>6399</v>
      </c>
      <c r="S931" s="173" t="s">
        <v>38</v>
      </c>
      <c r="T931" s="11" t="s">
        <v>4411</v>
      </c>
      <c r="U931" s="20" t="s">
        <v>4935</v>
      </c>
      <c r="V931" s="20" t="s">
        <v>4935</v>
      </c>
      <c r="W931" s="20"/>
      <c r="X931" s="7"/>
      <c r="Y931" s="7"/>
      <c r="Z931" s="23"/>
      <c r="AA931" s="26"/>
    </row>
    <row r="932" spans="1:27" ht="15.75" customHeight="1">
      <c r="A932" s="10" t="s">
        <v>6400</v>
      </c>
      <c r="B932" s="10" t="s">
        <v>4410</v>
      </c>
      <c r="C932" s="11" t="s">
        <v>6054</v>
      </c>
      <c r="D932" s="12"/>
      <c r="E932" s="13" t="s">
        <v>184</v>
      </c>
      <c r="F932" s="6" t="s">
        <v>6370</v>
      </c>
      <c r="G932" s="6" t="str">
        <f ca="1">IFERROR(__xludf.DUMMYFUNCTION("CONCATENATE(B932,(VLOOKUP(C932,CATALOGOS!$F$2:$H$6,3,FALSE)),(VLOOKUP(T932,CATALOGOS!$J$2:$K$18,2,FALSE)),""-"",TO_TEXT(A932))"),"P21DG-0931")</f>
        <v>P21DG-0931</v>
      </c>
      <c r="H932" s="6" t="s">
        <v>6401</v>
      </c>
      <c r="I932" s="6" t="s">
        <v>6402</v>
      </c>
      <c r="J932" s="6" t="s">
        <v>6403</v>
      </c>
      <c r="K932" s="6" t="s">
        <v>6404</v>
      </c>
      <c r="L932" s="17"/>
      <c r="M932" s="17"/>
      <c r="N932" s="17" t="str">
        <f t="shared" si="2"/>
        <v>OK</v>
      </c>
      <c r="O932" s="17" t="s">
        <v>35</v>
      </c>
      <c r="P932" s="6" t="s">
        <v>35</v>
      </c>
      <c r="Q932" s="17" t="s">
        <v>36</v>
      </c>
      <c r="R932" s="17" t="s">
        <v>6405</v>
      </c>
      <c r="S932" s="173" t="s">
        <v>38</v>
      </c>
      <c r="T932" s="11" t="s">
        <v>6054</v>
      </c>
      <c r="U932" s="22" t="s">
        <v>6277</v>
      </c>
      <c r="V932" s="22" t="s">
        <v>6277</v>
      </c>
      <c r="W932" s="22"/>
      <c r="X932" s="7"/>
      <c r="Y932" s="7"/>
      <c r="Z932" s="23"/>
      <c r="AA932" s="26"/>
    </row>
    <row r="933" spans="1:27" ht="15.75" customHeight="1">
      <c r="A933" s="10" t="s">
        <v>6406</v>
      </c>
      <c r="B933" s="10" t="s">
        <v>4410</v>
      </c>
      <c r="C933" s="11" t="s">
        <v>6054</v>
      </c>
      <c r="D933" s="12"/>
      <c r="E933" s="13" t="s">
        <v>184</v>
      </c>
      <c r="F933" s="6" t="s">
        <v>6370</v>
      </c>
      <c r="G933" s="6" t="str">
        <f ca="1">IFERROR(__xludf.DUMMYFUNCTION("CONCATENATE(B933,(VLOOKUP(C933,CATALOGOS!$F$2:$H$6,3,FALSE)),(VLOOKUP(T933,CATALOGOS!$J$2:$K$18,2,FALSE)),""-"",TO_TEXT(A933))"),"P21DG-0932")</f>
        <v>P21DG-0932</v>
      </c>
      <c r="H933" s="6" t="s">
        <v>6407</v>
      </c>
      <c r="I933" s="6" t="s">
        <v>6408</v>
      </c>
      <c r="J933" s="6" t="s">
        <v>6409</v>
      </c>
      <c r="K933" s="6" t="s">
        <v>6410</v>
      </c>
      <c r="L933" s="17"/>
      <c r="M933" s="17"/>
      <c r="N933" s="17" t="str">
        <f t="shared" si="2"/>
        <v>OK</v>
      </c>
      <c r="O933" s="17" t="s">
        <v>35</v>
      </c>
      <c r="P933" s="6" t="s">
        <v>35</v>
      </c>
      <c r="Q933" s="17" t="s">
        <v>36</v>
      </c>
      <c r="R933" s="17" t="s">
        <v>6411</v>
      </c>
      <c r="S933" s="173" t="s">
        <v>38</v>
      </c>
      <c r="T933" s="11" t="s">
        <v>6054</v>
      </c>
      <c r="U933" s="22" t="s">
        <v>6277</v>
      </c>
      <c r="V933" s="22" t="s">
        <v>6277</v>
      </c>
      <c r="W933" s="22"/>
      <c r="X933" s="7"/>
      <c r="Y933" s="7"/>
      <c r="Z933" s="23"/>
      <c r="AA933" s="26"/>
    </row>
    <row r="934" spans="1:27" ht="15.75" customHeight="1">
      <c r="A934" s="10" t="s">
        <v>6412</v>
      </c>
      <c r="B934" s="10" t="s">
        <v>4410</v>
      </c>
      <c r="C934" s="11" t="s">
        <v>6054</v>
      </c>
      <c r="D934" s="12"/>
      <c r="E934" s="13" t="s">
        <v>184</v>
      </c>
      <c r="F934" s="6" t="s">
        <v>6370</v>
      </c>
      <c r="G934" s="6" t="str">
        <f ca="1">IFERROR(__xludf.DUMMYFUNCTION("CONCATENATE(B934,(VLOOKUP(C934,CATALOGOS!$F$2:$H$6,3,FALSE)),(VLOOKUP(T934,CATALOGOS!$J$2:$K$18,2,FALSE)),""-"",TO_TEXT(A934))"),"P21DG-0933")</f>
        <v>P21DG-0933</v>
      </c>
      <c r="H934" s="6" t="s">
        <v>6413</v>
      </c>
      <c r="I934" s="6" t="s">
        <v>6414</v>
      </c>
      <c r="J934" s="6" t="s">
        <v>6415</v>
      </c>
      <c r="K934" s="6" t="s">
        <v>6416</v>
      </c>
      <c r="L934" s="17"/>
      <c r="M934" s="17"/>
      <c r="N934" s="17" t="str">
        <f t="shared" si="2"/>
        <v>OK</v>
      </c>
      <c r="O934" s="17" t="s">
        <v>35</v>
      </c>
      <c r="P934" s="6" t="s">
        <v>35</v>
      </c>
      <c r="Q934" s="17" t="s">
        <v>36</v>
      </c>
      <c r="R934" s="17" t="s">
        <v>6417</v>
      </c>
      <c r="S934" s="173" t="s">
        <v>38</v>
      </c>
      <c r="T934" s="11" t="s">
        <v>6054</v>
      </c>
      <c r="U934" s="22" t="s">
        <v>6277</v>
      </c>
      <c r="V934" s="22" t="s">
        <v>6277</v>
      </c>
      <c r="W934" s="22"/>
      <c r="X934" s="7"/>
      <c r="Y934" s="7"/>
      <c r="Z934" s="23"/>
      <c r="AA934" s="26"/>
    </row>
    <row r="935" spans="1:27" ht="15.75" customHeight="1">
      <c r="A935" s="10" t="s">
        <v>6418</v>
      </c>
      <c r="B935" s="10" t="s">
        <v>4410</v>
      </c>
      <c r="C935" s="11" t="s">
        <v>6054</v>
      </c>
      <c r="D935" s="12"/>
      <c r="E935" s="13" t="s">
        <v>184</v>
      </c>
      <c r="F935" s="6" t="s">
        <v>6370</v>
      </c>
      <c r="G935" s="6" t="str">
        <f ca="1">IFERROR(__xludf.DUMMYFUNCTION("CONCATENATE(B935,(VLOOKUP(C935,CATALOGOS!$F$2:$H$6,3,FALSE)),(VLOOKUP(T935,CATALOGOS!$J$2:$K$18,2,FALSE)),""-"",TO_TEXT(A935))"),"P21DG-0934")</f>
        <v>P21DG-0934</v>
      </c>
      <c r="H935" s="6" t="s">
        <v>6419</v>
      </c>
      <c r="I935" s="6" t="s">
        <v>6420</v>
      </c>
      <c r="J935" s="6" t="s">
        <v>6421</v>
      </c>
      <c r="K935" s="6" t="s">
        <v>6422</v>
      </c>
      <c r="L935" s="17"/>
      <c r="M935" s="17"/>
      <c r="N935" s="17" t="str">
        <f t="shared" si="2"/>
        <v>OK</v>
      </c>
      <c r="O935" s="17" t="s">
        <v>35</v>
      </c>
      <c r="P935" s="6" t="s">
        <v>35</v>
      </c>
      <c r="Q935" s="17" t="s">
        <v>36</v>
      </c>
      <c r="R935" s="17" t="s">
        <v>6423</v>
      </c>
      <c r="S935" s="173" t="s">
        <v>38</v>
      </c>
      <c r="T935" s="11" t="s">
        <v>6054</v>
      </c>
      <c r="U935" s="22" t="s">
        <v>6277</v>
      </c>
      <c r="V935" s="22" t="s">
        <v>6277</v>
      </c>
      <c r="W935" s="22"/>
      <c r="X935" s="7"/>
      <c r="Y935" s="7"/>
      <c r="Z935" s="23"/>
      <c r="AA935" s="26"/>
    </row>
    <row r="936" spans="1:27" ht="15.75" customHeight="1">
      <c r="A936" s="10" t="s">
        <v>6424</v>
      </c>
      <c r="B936" s="10" t="s">
        <v>4410</v>
      </c>
      <c r="C936" s="11" t="s">
        <v>6054</v>
      </c>
      <c r="D936" s="12"/>
      <c r="E936" s="13" t="s">
        <v>184</v>
      </c>
      <c r="F936" s="6" t="s">
        <v>6370</v>
      </c>
      <c r="G936" s="6" t="str">
        <f ca="1">IFERROR(__xludf.DUMMYFUNCTION("CONCATENATE(B936,(VLOOKUP(C936,CATALOGOS!$F$2:$H$6,3,FALSE)),(VLOOKUP(T936,CATALOGOS!$J$2:$K$18,2,FALSE)),""-"",TO_TEXT(A936))"),"P21DG-0935")</f>
        <v>P21DG-0935</v>
      </c>
      <c r="H936" s="6" t="s">
        <v>6425</v>
      </c>
      <c r="I936" s="6" t="s">
        <v>6426</v>
      </c>
      <c r="J936" s="6" t="s">
        <v>6427</v>
      </c>
      <c r="K936" s="6" t="s">
        <v>6428</v>
      </c>
      <c r="L936" s="17"/>
      <c r="M936" s="17"/>
      <c r="N936" s="17" t="str">
        <f t="shared" si="2"/>
        <v>OK</v>
      </c>
      <c r="O936" s="17" t="s">
        <v>35</v>
      </c>
      <c r="P936" s="6" t="s">
        <v>35</v>
      </c>
      <c r="Q936" s="17" t="s">
        <v>36</v>
      </c>
      <c r="R936" s="17" t="s">
        <v>6429</v>
      </c>
      <c r="S936" s="173" t="s">
        <v>38</v>
      </c>
      <c r="T936" s="11" t="s">
        <v>6054</v>
      </c>
      <c r="U936" s="22" t="s">
        <v>6277</v>
      </c>
      <c r="V936" s="22" t="s">
        <v>6277</v>
      </c>
      <c r="W936" s="22"/>
      <c r="X936" s="7"/>
      <c r="Y936" s="7"/>
      <c r="Z936" s="23"/>
      <c r="AA936" s="26"/>
    </row>
    <row r="937" spans="1:27" ht="15.75" customHeight="1">
      <c r="A937" s="10" t="s">
        <v>6430</v>
      </c>
      <c r="B937" s="10" t="s">
        <v>4410</v>
      </c>
      <c r="C937" s="11" t="s">
        <v>6054</v>
      </c>
      <c r="D937" s="12"/>
      <c r="E937" s="13" t="s">
        <v>184</v>
      </c>
      <c r="F937" s="6" t="s">
        <v>6370</v>
      </c>
      <c r="G937" s="6" t="str">
        <f ca="1">IFERROR(__xludf.DUMMYFUNCTION("CONCATENATE(B937,(VLOOKUP(C937,CATALOGOS!$F$2:$H$6,3,FALSE)),(VLOOKUP(T937,CATALOGOS!$J$2:$K$18,2,FALSE)),""-"",TO_TEXT(A937))"),"P21DG-0936")</f>
        <v>P21DG-0936</v>
      </c>
      <c r="H937" s="6" t="s">
        <v>6431</v>
      </c>
      <c r="I937" s="6" t="s">
        <v>6432</v>
      </c>
      <c r="J937" s="6" t="s">
        <v>6433</v>
      </c>
      <c r="K937" s="6" t="s">
        <v>6434</v>
      </c>
      <c r="L937" s="17"/>
      <c r="M937" s="17"/>
      <c r="N937" s="17" t="str">
        <f t="shared" si="2"/>
        <v>OK</v>
      </c>
      <c r="O937" s="17" t="s">
        <v>35</v>
      </c>
      <c r="P937" s="6" t="s">
        <v>35</v>
      </c>
      <c r="Q937" s="17" t="s">
        <v>36</v>
      </c>
      <c r="R937" s="17" t="s">
        <v>6435</v>
      </c>
      <c r="S937" s="173" t="s">
        <v>38</v>
      </c>
      <c r="T937" s="11" t="s">
        <v>6054</v>
      </c>
      <c r="U937" s="22" t="s">
        <v>6277</v>
      </c>
      <c r="V937" s="22" t="s">
        <v>6277</v>
      </c>
      <c r="W937" s="22"/>
      <c r="X937" s="7"/>
      <c r="Y937" s="7"/>
      <c r="Z937" s="23"/>
      <c r="AA937" s="26"/>
    </row>
    <row r="938" spans="1:27" ht="15.75" customHeight="1">
      <c r="A938" s="10" t="s">
        <v>6436</v>
      </c>
      <c r="B938" s="10" t="s">
        <v>4410</v>
      </c>
      <c r="C938" s="11" t="s">
        <v>6054</v>
      </c>
      <c r="D938" s="12"/>
      <c r="E938" s="13" t="s">
        <v>184</v>
      </c>
      <c r="F938" s="6" t="s">
        <v>6370</v>
      </c>
      <c r="G938" s="6" t="str">
        <f ca="1">IFERROR(__xludf.DUMMYFUNCTION("CONCATENATE(B938,(VLOOKUP(C938,CATALOGOS!$F$2:$H$6,3,FALSE)),(VLOOKUP(T938,CATALOGOS!$J$2:$K$18,2,FALSE)),""-"",TO_TEXT(A938))"),"P21DG-0937")</f>
        <v>P21DG-0937</v>
      </c>
      <c r="H938" s="6" t="s">
        <v>6437</v>
      </c>
      <c r="I938" s="6" t="s">
        <v>6438</v>
      </c>
      <c r="J938" s="6" t="s">
        <v>6439</v>
      </c>
      <c r="K938" s="43" t="s">
        <v>6440</v>
      </c>
      <c r="L938" s="17"/>
      <c r="M938" s="17"/>
      <c r="N938" s="17" t="str">
        <f t="shared" si="2"/>
        <v>OK</v>
      </c>
      <c r="O938" s="17" t="s">
        <v>35</v>
      </c>
      <c r="P938" s="6" t="s">
        <v>35</v>
      </c>
      <c r="Q938" s="17" t="s">
        <v>36</v>
      </c>
      <c r="R938" s="17" t="s">
        <v>6441</v>
      </c>
      <c r="S938" s="173" t="s">
        <v>38</v>
      </c>
      <c r="T938" s="11" t="s">
        <v>6054</v>
      </c>
      <c r="U938" s="22" t="s">
        <v>6277</v>
      </c>
      <c r="V938" s="22" t="s">
        <v>6277</v>
      </c>
      <c r="W938" s="22"/>
      <c r="X938" s="7"/>
      <c r="Y938" s="7"/>
      <c r="Z938" s="23"/>
      <c r="AA938" s="26"/>
    </row>
    <row r="939" spans="1:27" ht="15.75" customHeight="1">
      <c r="A939" s="10" t="s">
        <v>6442</v>
      </c>
      <c r="B939" s="10" t="s">
        <v>4410</v>
      </c>
      <c r="C939" s="11" t="s">
        <v>6054</v>
      </c>
      <c r="D939" s="12"/>
      <c r="E939" s="13" t="s">
        <v>93</v>
      </c>
      <c r="F939" s="6" t="s">
        <v>6443</v>
      </c>
      <c r="G939" s="6" t="str">
        <f ca="1">IFERROR(__xludf.DUMMYFUNCTION("CONCATENATE(B939,(VLOOKUP(C939,CATALOGOS!$F$2:$H$6,3,FALSE)),(VLOOKUP(T939,CATALOGOS!$J$2:$K$18,2,FALSE)),""-"",TO_TEXT(A939))"),"P21DG-0938")</f>
        <v>P21DG-0938</v>
      </c>
      <c r="H939" s="6" t="s">
        <v>6444</v>
      </c>
      <c r="I939" s="6" t="s">
        <v>6445</v>
      </c>
      <c r="J939" s="6" t="s">
        <v>6446</v>
      </c>
      <c r="K939" s="6" t="s">
        <v>6447</v>
      </c>
      <c r="L939" s="17"/>
      <c r="M939" s="17"/>
      <c r="N939" s="17" t="str">
        <f t="shared" si="2"/>
        <v>OK</v>
      </c>
      <c r="O939" s="17" t="s">
        <v>35</v>
      </c>
      <c r="P939" s="6" t="s">
        <v>35</v>
      </c>
      <c r="Q939" s="17" t="s">
        <v>36</v>
      </c>
      <c r="R939" s="17" t="s">
        <v>6448</v>
      </c>
      <c r="S939" s="173" t="s">
        <v>38</v>
      </c>
      <c r="T939" s="11" t="s">
        <v>6054</v>
      </c>
      <c r="U939" s="22" t="s">
        <v>6277</v>
      </c>
      <c r="V939" s="22" t="s">
        <v>6277</v>
      </c>
      <c r="W939" s="22"/>
      <c r="X939" s="7"/>
      <c r="Y939" s="7"/>
      <c r="Z939" s="23"/>
      <c r="AA939" s="26"/>
    </row>
    <row r="940" spans="1:27" ht="15.75" customHeight="1">
      <c r="A940" s="10" t="s">
        <v>6449</v>
      </c>
      <c r="B940" s="10" t="s">
        <v>4410</v>
      </c>
      <c r="C940" s="11" t="s">
        <v>6054</v>
      </c>
      <c r="D940" s="12"/>
      <c r="E940" s="13" t="s">
        <v>93</v>
      </c>
      <c r="F940" s="6" t="s">
        <v>6450</v>
      </c>
      <c r="G940" s="6" t="str">
        <f ca="1">IFERROR(__xludf.DUMMYFUNCTION("CONCATENATE(B940,(VLOOKUP(C940,CATALOGOS!$F$2:$H$6,3,FALSE)),(VLOOKUP(T940,CATALOGOS!$J$2:$K$18,2,FALSE)),""-"",TO_TEXT(A940))"),"P21DG-0939")</f>
        <v>P21DG-0939</v>
      </c>
      <c r="H940" s="6" t="s">
        <v>6451</v>
      </c>
      <c r="I940" s="6" t="s">
        <v>6452</v>
      </c>
      <c r="J940" s="6" t="s">
        <v>6453</v>
      </c>
      <c r="K940" s="6" t="s">
        <v>6454</v>
      </c>
      <c r="L940" s="17"/>
      <c r="M940" s="17"/>
      <c r="N940" s="17" t="str">
        <f t="shared" si="2"/>
        <v>OK</v>
      </c>
      <c r="O940" s="17" t="s">
        <v>35</v>
      </c>
      <c r="P940" s="6" t="s">
        <v>35</v>
      </c>
      <c r="Q940" s="17" t="s">
        <v>36</v>
      </c>
      <c r="R940" s="17" t="s">
        <v>6455</v>
      </c>
      <c r="S940" s="173" t="s">
        <v>38</v>
      </c>
      <c r="T940" s="11" t="s">
        <v>6054</v>
      </c>
      <c r="U940" s="22" t="s">
        <v>6277</v>
      </c>
      <c r="V940" s="22" t="s">
        <v>6277</v>
      </c>
      <c r="W940" s="22"/>
      <c r="X940" s="7"/>
      <c r="Y940" s="7"/>
      <c r="Z940" s="23"/>
      <c r="AA940" s="26"/>
    </row>
    <row r="941" spans="1:27" ht="15.75" customHeight="1">
      <c r="A941" s="10" t="s">
        <v>6456</v>
      </c>
      <c r="B941" s="10" t="s">
        <v>4410</v>
      </c>
      <c r="C941" s="11" t="s">
        <v>6054</v>
      </c>
      <c r="D941" s="12"/>
      <c r="E941" s="13" t="s">
        <v>93</v>
      </c>
      <c r="F941" s="6" t="s">
        <v>6450</v>
      </c>
      <c r="G941" s="6" t="str">
        <f ca="1">IFERROR(__xludf.DUMMYFUNCTION("CONCATENATE(B941,(VLOOKUP(C941,CATALOGOS!$F$2:$H$6,3,FALSE)),(VLOOKUP(T941,CATALOGOS!$J$2:$K$18,2,FALSE)),""-"",TO_TEXT(A941))"),"P21DG-0940")</f>
        <v>P21DG-0940</v>
      </c>
      <c r="H941" s="6" t="s">
        <v>6457</v>
      </c>
      <c r="I941" s="6" t="s">
        <v>6458</v>
      </c>
      <c r="J941" s="6" t="s">
        <v>6459</v>
      </c>
      <c r="K941" s="6" t="s">
        <v>6460</v>
      </c>
      <c r="L941" s="17"/>
      <c r="M941" s="17"/>
      <c r="N941" s="17" t="str">
        <f t="shared" si="2"/>
        <v>OK</v>
      </c>
      <c r="O941" s="17" t="s">
        <v>35</v>
      </c>
      <c r="P941" s="6" t="s">
        <v>35</v>
      </c>
      <c r="Q941" s="17" t="s">
        <v>36</v>
      </c>
      <c r="R941" s="17" t="s">
        <v>6461</v>
      </c>
      <c r="S941" s="173" t="s">
        <v>38</v>
      </c>
      <c r="T941" s="11" t="s">
        <v>6054</v>
      </c>
      <c r="U941" s="22" t="s">
        <v>6277</v>
      </c>
      <c r="V941" s="22" t="s">
        <v>6277</v>
      </c>
      <c r="W941" s="22"/>
      <c r="X941" s="7"/>
      <c r="Y941" s="7"/>
      <c r="Z941" s="23"/>
      <c r="AA941" s="26"/>
    </row>
    <row r="942" spans="1:27" ht="15.75" customHeight="1">
      <c r="A942" s="10" t="s">
        <v>6462</v>
      </c>
      <c r="B942" s="10" t="s">
        <v>4410</v>
      </c>
      <c r="C942" s="11" t="s">
        <v>6054</v>
      </c>
      <c r="D942" s="12"/>
      <c r="E942" s="13" t="s">
        <v>93</v>
      </c>
      <c r="F942" s="6" t="s">
        <v>6443</v>
      </c>
      <c r="G942" s="6" t="str">
        <f ca="1">IFERROR(__xludf.DUMMYFUNCTION("CONCATENATE(B942,(VLOOKUP(C942,CATALOGOS!$F$2:$H$6,3,FALSE)),(VLOOKUP(T942,CATALOGOS!$J$2:$K$18,2,FALSE)),""-"",TO_TEXT(A942))"),"P21DG-0941")</f>
        <v>P21DG-0941</v>
      </c>
      <c r="H942" s="6" t="s">
        <v>6463</v>
      </c>
      <c r="I942" s="6" t="s">
        <v>6464</v>
      </c>
      <c r="J942" s="6" t="s">
        <v>6465</v>
      </c>
      <c r="K942" s="6" t="s">
        <v>6466</v>
      </c>
      <c r="L942" s="17"/>
      <c r="M942" s="17"/>
      <c r="N942" s="17" t="str">
        <f t="shared" si="2"/>
        <v>OK</v>
      </c>
      <c r="O942" s="17" t="s">
        <v>35</v>
      </c>
      <c r="P942" s="6" t="s">
        <v>35</v>
      </c>
      <c r="Q942" s="17" t="s">
        <v>36</v>
      </c>
      <c r="R942" s="17" t="s">
        <v>6467</v>
      </c>
      <c r="S942" s="173" t="s">
        <v>38</v>
      </c>
      <c r="T942" s="11" t="s">
        <v>6054</v>
      </c>
      <c r="U942" s="22" t="s">
        <v>6277</v>
      </c>
      <c r="V942" s="22" t="s">
        <v>6277</v>
      </c>
      <c r="W942" s="22"/>
      <c r="X942" s="7"/>
      <c r="Y942" s="7"/>
      <c r="Z942" s="23"/>
      <c r="AA942" s="26"/>
    </row>
    <row r="943" spans="1:27" ht="15.75" customHeight="1">
      <c r="A943" s="10" t="s">
        <v>6468</v>
      </c>
      <c r="B943" s="10" t="s">
        <v>4410</v>
      </c>
      <c r="C943" s="11" t="s">
        <v>6054</v>
      </c>
      <c r="D943" s="12"/>
      <c r="E943" s="13" t="s">
        <v>93</v>
      </c>
      <c r="F943" s="6" t="s">
        <v>6450</v>
      </c>
      <c r="G943" s="6" t="str">
        <f ca="1">IFERROR(__xludf.DUMMYFUNCTION("CONCATENATE(B943,(VLOOKUP(C943,CATALOGOS!$F$2:$H$6,3,FALSE)),(VLOOKUP(T943,CATALOGOS!$J$2:$K$18,2,FALSE)),""-"",TO_TEXT(A943))"),"P21DG-0942")</f>
        <v>P21DG-0942</v>
      </c>
      <c r="H943" s="6" t="s">
        <v>6469</v>
      </c>
      <c r="I943" s="6" t="s">
        <v>6470</v>
      </c>
      <c r="J943" s="6" t="s">
        <v>6471</v>
      </c>
      <c r="K943" s="6" t="s">
        <v>6472</v>
      </c>
      <c r="L943" s="17"/>
      <c r="M943" s="17"/>
      <c r="N943" s="17" t="str">
        <f t="shared" si="2"/>
        <v>OK</v>
      </c>
      <c r="O943" s="17" t="s">
        <v>35</v>
      </c>
      <c r="P943" s="6" t="s">
        <v>35</v>
      </c>
      <c r="Q943" s="17" t="s">
        <v>36</v>
      </c>
      <c r="R943" s="17" t="s">
        <v>6473</v>
      </c>
      <c r="S943" s="173" t="s">
        <v>38</v>
      </c>
      <c r="T943" s="11" t="s">
        <v>6054</v>
      </c>
      <c r="U943" s="22" t="s">
        <v>6277</v>
      </c>
      <c r="V943" s="22" t="s">
        <v>6277</v>
      </c>
      <c r="W943" s="22"/>
      <c r="X943" s="7"/>
      <c r="Y943" s="7"/>
      <c r="Z943" s="23"/>
      <c r="AA943" s="26"/>
    </row>
    <row r="944" spans="1:27" ht="15.75" customHeight="1">
      <c r="A944" s="10" t="s">
        <v>6474</v>
      </c>
      <c r="B944" s="10" t="s">
        <v>4410</v>
      </c>
      <c r="C944" s="11" t="s">
        <v>6054</v>
      </c>
      <c r="D944" s="12"/>
      <c r="E944" s="13" t="s">
        <v>93</v>
      </c>
      <c r="F944" s="6" t="s">
        <v>6450</v>
      </c>
      <c r="G944" s="6" t="str">
        <f ca="1">IFERROR(__xludf.DUMMYFUNCTION("CONCATENATE(B944,(VLOOKUP(C944,CATALOGOS!$F$2:$H$6,3,FALSE)),(VLOOKUP(T944,CATALOGOS!$J$2:$K$18,2,FALSE)),""-"",TO_TEXT(A944))"),"P21DG-0943")</f>
        <v>P21DG-0943</v>
      </c>
      <c r="H944" s="6" t="s">
        <v>6475</v>
      </c>
      <c r="I944" s="6" t="s">
        <v>6476</v>
      </c>
      <c r="J944" s="6" t="s">
        <v>6477</v>
      </c>
      <c r="K944" s="6" t="s">
        <v>6478</v>
      </c>
      <c r="L944" s="17"/>
      <c r="M944" s="17"/>
      <c r="N944" s="17" t="str">
        <f t="shared" si="2"/>
        <v>OK</v>
      </c>
      <c r="O944" s="17" t="s">
        <v>35</v>
      </c>
      <c r="P944" s="6" t="s">
        <v>35</v>
      </c>
      <c r="Q944" s="17" t="s">
        <v>36</v>
      </c>
      <c r="R944" s="17" t="s">
        <v>6479</v>
      </c>
      <c r="S944" s="173" t="s">
        <v>38</v>
      </c>
      <c r="T944" s="11" t="s">
        <v>6054</v>
      </c>
      <c r="U944" s="22" t="s">
        <v>6277</v>
      </c>
      <c r="V944" s="22" t="s">
        <v>6277</v>
      </c>
      <c r="W944" s="22"/>
      <c r="X944" s="7"/>
      <c r="Y944" s="7"/>
      <c r="Z944" s="23"/>
      <c r="AA944" s="26"/>
    </row>
    <row r="945" spans="1:27" ht="15.75" customHeight="1">
      <c r="A945" s="10" t="s">
        <v>6480</v>
      </c>
      <c r="B945" s="10" t="s">
        <v>27</v>
      </c>
      <c r="C945" s="60" t="s">
        <v>868</v>
      </c>
      <c r="D945" s="12"/>
      <c r="E945" s="13" t="s">
        <v>116</v>
      </c>
      <c r="F945" s="6" t="s">
        <v>920</v>
      </c>
      <c r="G945" s="6" t="str">
        <f ca="1">IFERROR(__xludf.DUMMYFUNCTION("CONCATENATE(B945,(VLOOKUP(C945,CATALOGOS!$F$2:$H$6,3,FALSE)),(VLOOKUP(T945,CATALOGOS!$J$2:$K$18,2,FALSE)),""-"",TO_TEXT(A945))"),"P03CV-0944")</f>
        <v>P03CV-0944</v>
      </c>
      <c r="H945" s="6" t="s">
        <v>6481</v>
      </c>
      <c r="I945" s="6" t="s">
        <v>6482</v>
      </c>
      <c r="J945" s="6" t="s">
        <v>6483</v>
      </c>
      <c r="K945" s="6" t="s">
        <v>6484</v>
      </c>
      <c r="L945" s="17"/>
      <c r="M945" s="17"/>
      <c r="N945" s="17" t="str">
        <f t="shared" si="2"/>
        <v>OK</v>
      </c>
      <c r="O945" s="17" t="s">
        <v>35</v>
      </c>
      <c r="P945" s="6" t="s">
        <v>35</v>
      </c>
      <c r="Q945" s="17" t="s">
        <v>36</v>
      </c>
      <c r="R945" s="17" t="s">
        <v>6485</v>
      </c>
      <c r="S945" s="173" t="s">
        <v>38</v>
      </c>
      <c r="T945" s="11" t="s">
        <v>875</v>
      </c>
      <c r="U945" s="20" t="s">
        <v>876</v>
      </c>
      <c r="V945" s="20" t="s">
        <v>876</v>
      </c>
      <c r="W945" s="20"/>
      <c r="X945" s="7"/>
      <c r="Y945" s="7"/>
      <c r="Z945" s="23"/>
      <c r="AA945" s="26"/>
    </row>
    <row r="946" spans="1:27" ht="15.75" customHeight="1">
      <c r="A946" s="10" t="s">
        <v>6486</v>
      </c>
      <c r="B946" s="10" t="s">
        <v>4410</v>
      </c>
      <c r="C946" s="11" t="s">
        <v>6054</v>
      </c>
      <c r="D946" s="12"/>
      <c r="E946" s="13" t="s">
        <v>93</v>
      </c>
      <c r="F946" s="6" t="s">
        <v>6487</v>
      </c>
      <c r="G946" s="6" t="str">
        <f ca="1">IFERROR(__xludf.DUMMYFUNCTION("CONCATENATE(B946,(VLOOKUP(C946,CATALOGOS!$F$2:$H$6,3,FALSE)),(VLOOKUP(T946,CATALOGOS!$J$2:$K$18,2,FALSE)),""-"",TO_TEXT(A946))"),"P21DG-0945")</f>
        <v>P21DG-0945</v>
      </c>
      <c r="H946" s="6" t="s">
        <v>6488</v>
      </c>
      <c r="I946" s="6" t="s">
        <v>6489</v>
      </c>
      <c r="J946" s="6" t="s">
        <v>6490</v>
      </c>
      <c r="K946" s="6" t="s">
        <v>6491</v>
      </c>
      <c r="L946" s="17"/>
      <c r="M946" s="17"/>
      <c r="N946" s="17" t="str">
        <f t="shared" si="2"/>
        <v>OK</v>
      </c>
      <c r="O946" s="17" t="s">
        <v>35</v>
      </c>
      <c r="P946" s="6" t="s">
        <v>35</v>
      </c>
      <c r="Q946" s="17" t="s">
        <v>36</v>
      </c>
      <c r="R946" s="17" t="s">
        <v>6492</v>
      </c>
      <c r="S946" s="173" t="s">
        <v>38</v>
      </c>
      <c r="T946" s="11" t="s">
        <v>6054</v>
      </c>
      <c r="U946" s="22" t="s">
        <v>6277</v>
      </c>
      <c r="V946" s="22" t="s">
        <v>6277</v>
      </c>
      <c r="W946" s="22"/>
      <c r="X946" s="7"/>
      <c r="Y946" s="7"/>
      <c r="Z946" s="23"/>
      <c r="AA946" s="26"/>
    </row>
    <row r="947" spans="1:27" ht="15.75" customHeight="1">
      <c r="A947" s="10" t="s">
        <v>6493</v>
      </c>
      <c r="B947" s="10" t="s">
        <v>4410</v>
      </c>
      <c r="C947" s="11" t="s">
        <v>6054</v>
      </c>
      <c r="D947" s="12"/>
      <c r="E947" s="13" t="s">
        <v>1199</v>
      </c>
      <c r="F947" s="43" t="s">
        <v>1199</v>
      </c>
      <c r="G947" s="6" t="str">
        <f ca="1">IFERROR(__xludf.DUMMYFUNCTION("CONCATENATE(B947,(VLOOKUP(C947,CATALOGOS!$F$2:$H$6,3,FALSE)),(VLOOKUP(T947,CATALOGOS!$J$2:$K$18,2,FALSE)),""-"",TO_TEXT(A947))"),"P21DG-0946")</f>
        <v>P21DG-0946</v>
      </c>
      <c r="H947" s="6" t="s">
        <v>6494</v>
      </c>
      <c r="I947" s="6" t="s">
        <v>6495</v>
      </c>
      <c r="J947" s="6" t="s">
        <v>6496</v>
      </c>
      <c r="K947" s="6" t="s">
        <v>6497</v>
      </c>
      <c r="L947" s="17"/>
      <c r="M947" s="17"/>
      <c r="N947" s="17" t="str">
        <f t="shared" si="2"/>
        <v>OK</v>
      </c>
      <c r="O947" s="17" t="s">
        <v>205</v>
      </c>
      <c r="P947" s="6" t="s">
        <v>6498</v>
      </c>
      <c r="Q947" s="17" t="s">
        <v>6499</v>
      </c>
      <c r="R947" s="17" t="s">
        <v>6500</v>
      </c>
      <c r="S947" s="173" t="s">
        <v>38</v>
      </c>
      <c r="T947" s="11" t="s">
        <v>6054</v>
      </c>
      <c r="U947" s="22" t="s">
        <v>6277</v>
      </c>
      <c r="V947" s="22" t="s">
        <v>6277</v>
      </c>
      <c r="W947" s="22"/>
      <c r="X947" s="7"/>
      <c r="Y947" s="7"/>
      <c r="Z947" s="23"/>
      <c r="AA947" s="26"/>
    </row>
    <row r="948" spans="1:27" ht="15.75" customHeight="1">
      <c r="A948" s="10" t="s">
        <v>6501</v>
      </c>
      <c r="B948" s="10" t="s">
        <v>1469</v>
      </c>
      <c r="C948" s="61" t="s">
        <v>1470</v>
      </c>
      <c r="D948" s="12"/>
      <c r="E948" s="13" t="s">
        <v>248</v>
      </c>
      <c r="F948" s="6" t="s">
        <v>248</v>
      </c>
      <c r="G948" s="6" t="str">
        <f ca="1">IFERROR(__xludf.DUMMYFUNCTION("CONCATENATE(B948,(VLOOKUP(C948,CATALOGOS!$F$2:$H$6,3,FALSE)),(VLOOKUP(T948,CATALOGOS!$J$2:$K$18,2,FALSE)),""-"",TO_TEXT(A948))"),"P12SI-0947")</f>
        <v>P12SI-0947</v>
      </c>
      <c r="H948" s="6" t="s">
        <v>6502</v>
      </c>
      <c r="I948" s="6" t="s">
        <v>6503</v>
      </c>
      <c r="J948" s="6" t="s">
        <v>6504</v>
      </c>
      <c r="K948" s="6" t="s">
        <v>6505</v>
      </c>
      <c r="L948" s="17"/>
      <c r="M948" s="17"/>
      <c r="N948" s="17" t="str">
        <f t="shared" si="2"/>
        <v>OK</v>
      </c>
      <c r="O948" s="17" t="s">
        <v>6506</v>
      </c>
      <c r="P948" s="6" t="s">
        <v>6507</v>
      </c>
      <c r="Q948" s="6" t="s">
        <v>6508</v>
      </c>
      <c r="R948" s="10" t="s">
        <v>6509</v>
      </c>
      <c r="S948" s="173" t="s">
        <v>38</v>
      </c>
      <c r="T948" s="181" t="s">
        <v>1483</v>
      </c>
      <c r="U948" s="20" t="s">
        <v>1484</v>
      </c>
      <c r="V948" s="20" t="s">
        <v>1484</v>
      </c>
      <c r="W948" s="20"/>
      <c r="X948" s="7"/>
      <c r="Y948" s="7"/>
      <c r="Z948" s="23"/>
      <c r="AA948" s="26"/>
    </row>
    <row r="949" spans="1:27" ht="15.75" customHeight="1">
      <c r="A949" s="10" t="s">
        <v>6510</v>
      </c>
      <c r="B949" s="10" t="s">
        <v>4410</v>
      </c>
      <c r="C949" s="61" t="s">
        <v>6054</v>
      </c>
      <c r="D949" s="12"/>
      <c r="E949" s="13" t="s">
        <v>162</v>
      </c>
      <c r="F949" s="6" t="s">
        <v>285</v>
      </c>
      <c r="G949" s="6" t="str">
        <f ca="1">IFERROR(__xludf.DUMMYFUNCTION("CONCATENATE(B949,(VLOOKUP(C949,CATALOGOS!$F$2:$H$6,3,FALSE)),(VLOOKUP(T949,CATALOGOS!$J$2:$K$18,2,FALSE)),""-"",TO_TEXT(A949))"),"P21DG-0948")</f>
        <v>P21DG-0948</v>
      </c>
      <c r="H949" s="6" t="s">
        <v>6511</v>
      </c>
      <c r="I949" s="6" t="s">
        <v>6512</v>
      </c>
      <c r="J949" s="6" t="s">
        <v>6513</v>
      </c>
      <c r="K949" s="6" t="s">
        <v>6514</v>
      </c>
      <c r="L949" s="17"/>
      <c r="M949" s="17"/>
      <c r="N949" s="17" t="str">
        <f t="shared" si="2"/>
        <v>OK</v>
      </c>
      <c r="O949" s="17" t="s">
        <v>168</v>
      </c>
      <c r="P949" s="6" t="s">
        <v>169</v>
      </c>
      <c r="Q949" s="17" t="s">
        <v>6515</v>
      </c>
      <c r="R949" s="10" t="s">
        <v>6516</v>
      </c>
      <c r="S949" s="173" t="s">
        <v>38</v>
      </c>
      <c r="T949" s="11" t="s">
        <v>6054</v>
      </c>
      <c r="U949" s="22" t="s">
        <v>6277</v>
      </c>
      <c r="V949" s="22" t="s">
        <v>6277</v>
      </c>
      <c r="W949" s="22"/>
      <c r="X949" s="7"/>
      <c r="Y949" s="7"/>
      <c r="Z949" s="23"/>
      <c r="AA949" s="26"/>
    </row>
    <row r="950" spans="1:27" ht="15.75" customHeight="1">
      <c r="A950" s="10" t="s">
        <v>6517</v>
      </c>
      <c r="B950" s="10" t="s">
        <v>4410</v>
      </c>
      <c r="C950" s="61" t="s">
        <v>6054</v>
      </c>
      <c r="D950" s="12"/>
      <c r="E950" s="13" t="s">
        <v>378</v>
      </c>
      <c r="F950" s="6" t="s">
        <v>379</v>
      </c>
      <c r="G950" s="6" t="str">
        <f ca="1">IFERROR(__xludf.DUMMYFUNCTION("CONCATENATE(B950,(VLOOKUP(C950,CATALOGOS!$F$2:$H$6,3,FALSE)),(VLOOKUP(T950,CATALOGOS!$J$2:$K$18,2,FALSE)),""-"",TO_TEXT(A950))"),"P21DG-0949")</f>
        <v>P21DG-0949</v>
      </c>
      <c r="H950" s="6" t="s">
        <v>6518</v>
      </c>
      <c r="I950" s="6" t="s">
        <v>6519</v>
      </c>
      <c r="J950" s="49" t="s">
        <v>6520</v>
      </c>
      <c r="K950" s="6" t="s">
        <v>6521</v>
      </c>
      <c r="L950" s="17"/>
      <c r="M950" s="17"/>
      <c r="N950" s="17" t="str">
        <f t="shared" si="2"/>
        <v>OK</v>
      </c>
      <c r="O950" s="17" t="s">
        <v>35</v>
      </c>
      <c r="P950" s="6" t="s">
        <v>35</v>
      </c>
      <c r="Q950" s="6" t="s">
        <v>36</v>
      </c>
      <c r="R950" s="17" t="s">
        <v>6522</v>
      </c>
      <c r="S950" s="173" t="s">
        <v>38</v>
      </c>
      <c r="T950" s="11" t="s">
        <v>6054</v>
      </c>
      <c r="U950" s="22" t="s">
        <v>6277</v>
      </c>
      <c r="V950" s="22" t="s">
        <v>6277</v>
      </c>
      <c r="W950" s="22"/>
      <c r="X950" s="36"/>
      <c r="Y950" s="36"/>
      <c r="Z950" s="23"/>
      <c r="AA950" s="33"/>
    </row>
    <row r="951" spans="1:27" ht="15.75" customHeight="1">
      <c r="A951" s="10" t="s">
        <v>6523</v>
      </c>
      <c r="B951" s="10" t="s">
        <v>4410</v>
      </c>
      <c r="C951" s="61" t="s">
        <v>6054</v>
      </c>
      <c r="D951" s="12"/>
      <c r="E951" s="13" t="s">
        <v>199</v>
      </c>
      <c r="F951" s="43" t="s">
        <v>1394</v>
      </c>
      <c r="G951" s="6" t="str">
        <f ca="1">IFERROR(__xludf.DUMMYFUNCTION("CONCATENATE(B951,(VLOOKUP(C951,CATALOGOS!$F$2:$H$6,3,FALSE)),(VLOOKUP(T951,CATALOGOS!$J$2:$K$18,2,FALSE)),""-"",TO_TEXT(A951))"),"P21DG-0950")</f>
        <v>P21DG-0950</v>
      </c>
      <c r="H951" s="6" t="s">
        <v>6524</v>
      </c>
      <c r="I951" s="6" t="s">
        <v>6525</v>
      </c>
      <c r="J951" s="6" t="s">
        <v>6526</v>
      </c>
      <c r="K951" s="6" t="s">
        <v>6527</v>
      </c>
      <c r="L951" s="17"/>
      <c r="M951" s="17"/>
      <c r="N951" s="17" t="str">
        <f t="shared" si="2"/>
        <v>OK</v>
      </c>
      <c r="O951" s="17" t="s">
        <v>157</v>
      </c>
      <c r="P951" s="6" t="s">
        <v>6528</v>
      </c>
      <c r="Q951" s="17" t="s">
        <v>6529</v>
      </c>
      <c r="R951" s="10" t="s">
        <v>6530</v>
      </c>
      <c r="S951" s="173" t="s">
        <v>38</v>
      </c>
      <c r="T951" s="11" t="s">
        <v>6054</v>
      </c>
      <c r="U951" s="22" t="s">
        <v>6277</v>
      </c>
      <c r="V951" s="22" t="s">
        <v>6277</v>
      </c>
      <c r="W951" s="22"/>
      <c r="X951" s="7"/>
      <c r="Y951" s="7"/>
      <c r="Z951" s="23"/>
      <c r="AA951" s="26"/>
    </row>
    <row r="952" spans="1:27" ht="15.75" customHeight="1">
      <c r="A952" s="10" t="s">
        <v>6531</v>
      </c>
      <c r="B952" s="10" t="s">
        <v>4410</v>
      </c>
      <c r="C952" s="61" t="s">
        <v>6054</v>
      </c>
      <c r="D952" s="38"/>
      <c r="E952" s="13" t="s">
        <v>151</v>
      </c>
      <c r="F952" s="6" t="s">
        <v>963</v>
      </c>
      <c r="G952" s="6" t="str">
        <f ca="1">IFERROR(__xludf.DUMMYFUNCTION("CONCATENATE(B952,(VLOOKUP(C952,CATALOGOS!$F$2:$H$6,3,FALSE)),(VLOOKUP(T952,CATALOGOS!$J$2:$K$18,2,FALSE)),""-"",TO_TEXT(A952))"),"P21DG-0951")</f>
        <v>P21DG-0951</v>
      </c>
      <c r="H952" s="6" t="s">
        <v>6532</v>
      </c>
      <c r="I952" s="6" t="s">
        <v>6533</v>
      </c>
      <c r="J952" s="6" t="s">
        <v>6534</v>
      </c>
      <c r="K952" s="6" t="s">
        <v>6535</v>
      </c>
      <c r="L952" s="17"/>
      <c r="M952" s="17"/>
      <c r="N952" s="17" t="str">
        <f t="shared" si="2"/>
        <v>OK</v>
      </c>
      <c r="O952" s="17" t="s">
        <v>703</v>
      </c>
      <c r="P952" s="6" t="s">
        <v>6536</v>
      </c>
      <c r="Q952" s="46" t="s">
        <v>6537</v>
      </c>
      <c r="R952" s="17" t="s">
        <v>6538</v>
      </c>
      <c r="S952" s="173" t="s">
        <v>38</v>
      </c>
      <c r="T952" s="11" t="s">
        <v>6054</v>
      </c>
      <c r="U952" s="22" t="s">
        <v>6277</v>
      </c>
      <c r="V952" s="22" t="s">
        <v>6277</v>
      </c>
      <c r="W952" s="22"/>
      <c r="X952" s="7"/>
      <c r="Y952" s="7"/>
      <c r="Z952" s="26"/>
      <c r="AA952" s="26"/>
    </row>
    <row r="953" spans="1:27" ht="15.75" customHeight="1">
      <c r="A953" s="10" t="s">
        <v>6539</v>
      </c>
      <c r="B953" s="10" t="s">
        <v>4410</v>
      </c>
      <c r="C953" s="61" t="s">
        <v>6054</v>
      </c>
      <c r="D953" s="12"/>
      <c r="E953" s="13" t="s">
        <v>116</v>
      </c>
      <c r="F953" s="6" t="s">
        <v>6540</v>
      </c>
      <c r="G953" s="6" t="str">
        <f ca="1">IFERROR(__xludf.DUMMYFUNCTION("CONCATENATE(B953,(VLOOKUP(C953,CATALOGOS!$F$2:$H$6,3,FALSE)),(VLOOKUP(T953,CATALOGOS!$J$2:$K$18,2,FALSE)),""-"",TO_TEXT(A953))"),"P21DG-0952")</f>
        <v>P21DG-0952</v>
      </c>
      <c r="H953" s="6" t="s">
        <v>6541</v>
      </c>
      <c r="I953" s="6" t="s">
        <v>6542</v>
      </c>
      <c r="J953" s="6" t="s">
        <v>6543</v>
      </c>
      <c r="K953" s="6" t="s">
        <v>6544</v>
      </c>
      <c r="L953" s="17"/>
      <c r="M953" s="17"/>
      <c r="N953" s="17" t="str">
        <f t="shared" si="2"/>
        <v>OK</v>
      </c>
      <c r="O953" s="17" t="s">
        <v>35</v>
      </c>
      <c r="P953" s="6" t="s">
        <v>35</v>
      </c>
      <c r="Q953" s="17" t="s">
        <v>36</v>
      </c>
      <c r="R953" s="17" t="s">
        <v>85</v>
      </c>
      <c r="S953" s="173" t="s">
        <v>38</v>
      </c>
      <c r="T953" s="11" t="s">
        <v>6054</v>
      </c>
      <c r="U953" s="20" t="s">
        <v>6546</v>
      </c>
      <c r="V953" s="20" t="s">
        <v>6546</v>
      </c>
      <c r="W953" s="20"/>
      <c r="X953" s="7"/>
      <c r="Y953" s="7"/>
      <c r="Z953" s="23"/>
      <c r="AA953" s="26"/>
    </row>
    <row r="954" spans="1:27" ht="15.75" customHeight="1">
      <c r="A954" s="10" t="s">
        <v>6547</v>
      </c>
      <c r="B954" s="10" t="s">
        <v>4410</v>
      </c>
      <c r="C954" s="61" t="s">
        <v>6054</v>
      </c>
      <c r="D954" s="12"/>
      <c r="E954" s="13" t="s">
        <v>43</v>
      </c>
      <c r="F954" s="43" t="s">
        <v>2581</v>
      </c>
      <c r="G954" s="6" t="str">
        <f ca="1">IFERROR(__xludf.DUMMYFUNCTION("CONCATENATE(B954,(VLOOKUP(C954,CATALOGOS!$F$2:$H$6,3,FALSE)),(VLOOKUP(T954,CATALOGOS!$J$2:$K$18,2,FALSE)),""-"",TO_TEXT(A954))"),"P21DG-0953")</f>
        <v>P21DG-0953</v>
      </c>
      <c r="H954" s="6" t="s">
        <v>6548</v>
      </c>
      <c r="I954" s="6" t="s">
        <v>6549</v>
      </c>
      <c r="J954" s="6" t="s">
        <v>6550</v>
      </c>
      <c r="K954" s="6" t="s">
        <v>6551</v>
      </c>
      <c r="L954" s="17"/>
      <c r="M954" s="17"/>
      <c r="N954" s="17" t="str">
        <f t="shared" si="2"/>
        <v>OK</v>
      </c>
      <c r="O954" s="17" t="s">
        <v>49</v>
      </c>
      <c r="P954" s="6" t="s">
        <v>35</v>
      </c>
      <c r="Q954" s="17" t="s">
        <v>36</v>
      </c>
      <c r="R954" s="17" t="s">
        <v>6552</v>
      </c>
      <c r="S954" s="173" t="s">
        <v>38</v>
      </c>
      <c r="T954" s="11" t="s">
        <v>6054</v>
      </c>
      <c r="U954" s="20" t="s">
        <v>6546</v>
      </c>
      <c r="V954" s="20" t="s">
        <v>6546</v>
      </c>
      <c r="W954" s="20"/>
      <c r="X954" s="7"/>
      <c r="Y954" s="7"/>
      <c r="Z954" s="23"/>
      <c r="AA954" s="26"/>
    </row>
    <row r="955" spans="1:27" ht="15.75" customHeight="1">
      <c r="A955" s="10" t="s">
        <v>6553</v>
      </c>
      <c r="B955" s="10" t="s">
        <v>4410</v>
      </c>
      <c r="C955" s="61" t="s">
        <v>6054</v>
      </c>
      <c r="D955" s="12"/>
      <c r="E955" s="13" t="s">
        <v>378</v>
      </c>
      <c r="F955" s="6" t="s">
        <v>6554</v>
      </c>
      <c r="G955" s="6" t="str">
        <f ca="1">IFERROR(__xludf.DUMMYFUNCTION("CONCATENATE(B955,(VLOOKUP(C955,CATALOGOS!$F$2:$H$6,3,FALSE)),(VLOOKUP(T955,CATALOGOS!$J$2:$K$18,2,FALSE)),""-"",TO_TEXT(A955))"),"P21DG-0954")</f>
        <v>P21DG-0954</v>
      </c>
      <c r="H955" s="6" t="s">
        <v>6555</v>
      </c>
      <c r="I955" s="6" t="s">
        <v>6556</v>
      </c>
      <c r="J955" s="6" t="s">
        <v>6557</v>
      </c>
      <c r="K955" s="6" t="s">
        <v>6558</v>
      </c>
      <c r="L955" s="17"/>
      <c r="M955" s="17"/>
      <c r="N955" s="17" t="str">
        <f t="shared" si="2"/>
        <v>OK</v>
      </c>
      <c r="O955" s="17" t="s">
        <v>35</v>
      </c>
      <c r="P955" s="6" t="s">
        <v>35</v>
      </c>
      <c r="Q955" s="17" t="s">
        <v>36</v>
      </c>
      <c r="R955" s="17" t="s">
        <v>6559</v>
      </c>
      <c r="S955" s="173" t="s">
        <v>38</v>
      </c>
      <c r="T955" s="11" t="s">
        <v>6054</v>
      </c>
      <c r="U955" s="20" t="s">
        <v>6546</v>
      </c>
      <c r="V955" s="20" t="s">
        <v>6546</v>
      </c>
      <c r="W955" s="20"/>
      <c r="X955" s="7"/>
      <c r="Y955" s="7"/>
      <c r="Z955" s="23"/>
      <c r="AA955" s="26"/>
    </row>
    <row r="956" spans="1:27" ht="15.75" customHeight="1">
      <c r="A956" s="10" t="s">
        <v>6560</v>
      </c>
      <c r="B956" s="10" t="s">
        <v>4410</v>
      </c>
      <c r="C956" s="61" t="s">
        <v>6054</v>
      </c>
      <c r="D956" s="12"/>
      <c r="E956" s="13" t="s">
        <v>353</v>
      </c>
      <c r="F956" s="43" t="s">
        <v>638</v>
      </c>
      <c r="G956" s="6" t="str">
        <f ca="1">IFERROR(__xludf.DUMMYFUNCTION("CONCATENATE(B956,(VLOOKUP(C956,CATALOGOS!$F$2:$H$6,3,FALSE)),(VLOOKUP(T956,CATALOGOS!$J$2:$K$18,2,FALSE)),""-"",TO_TEXT(A956))"),"P21DG-0955")</f>
        <v>P21DG-0955</v>
      </c>
      <c r="H956" s="6" t="s">
        <v>6561</v>
      </c>
      <c r="I956" s="6" t="s">
        <v>6562</v>
      </c>
      <c r="J956" s="6" t="s">
        <v>6563</v>
      </c>
      <c r="K956" s="6" t="s">
        <v>6564</v>
      </c>
      <c r="L956" s="17"/>
      <c r="M956" s="17"/>
      <c r="N956" s="17" t="str">
        <f t="shared" si="2"/>
        <v>OK</v>
      </c>
      <c r="O956" s="17" t="s">
        <v>6565</v>
      </c>
      <c r="P956" s="6" t="s">
        <v>6566</v>
      </c>
      <c r="Q956" s="6" t="s">
        <v>6567</v>
      </c>
      <c r="R956" s="10" t="s">
        <v>6568</v>
      </c>
      <c r="S956" s="173" t="s">
        <v>38</v>
      </c>
      <c r="T956" s="11" t="s">
        <v>6054</v>
      </c>
      <c r="U956" s="20" t="s">
        <v>6546</v>
      </c>
      <c r="V956" s="20" t="s">
        <v>6546</v>
      </c>
      <c r="W956" s="20"/>
      <c r="X956" s="6"/>
      <c r="Y956" s="6"/>
      <c r="Z956" s="23"/>
      <c r="AA956" s="33"/>
    </row>
    <row r="957" spans="1:27" ht="15.75" customHeight="1">
      <c r="A957" s="10" t="s">
        <v>6569</v>
      </c>
      <c r="B957" s="10" t="s">
        <v>4410</v>
      </c>
      <c r="C957" s="61" t="s">
        <v>6054</v>
      </c>
      <c r="D957" s="12"/>
      <c r="E957" s="13" t="s">
        <v>151</v>
      </c>
      <c r="F957" s="6" t="s">
        <v>6570</v>
      </c>
      <c r="G957" s="6" t="str">
        <f ca="1">IFERROR(__xludf.DUMMYFUNCTION("CONCATENATE(B957,(VLOOKUP(C957,CATALOGOS!$F$2:$H$6,3,FALSE)),(VLOOKUP(T957,CATALOGOS!$J$2:$K$18,2,FALSE)),""-"",TO_TEXT(A957))"),"P21DG-0956")</f>
        <v>P21DG-0956</v>
      </c>
      <c r="H957" s="6" t="s">
        <v>6571</v>
      </c>
      <c r="I957" s="6" t="s">
        <v>6572</v>
      </c>
      <c r="J957" s="6" t="s">
        <v>6573</v>
      </c>
      <c r="K957" s="6" t="s">
        <v>6574</v>
      </c>
      <c r="L957" s="17"/>
      <c r="M957" s="17"/>
      <c r="N957" s="17" t="str">
        <f t="shared" si="2"/>
        <v>OK</v>
      </c>
      <c r="O957" s="17" t="s">
        <v>6575</v>
      </c>
      <c r="P957" s="6" t="s">
        <v>6576</v>
      </c>
      <c r="Q957" s="17" t="s">
        <v>6577</v>
      </c>
      <c r="R957" s="10" t="s">
        <v>6578</v>
      </c>
      <c r="S957" s="173" t="s">
        <v>38</v>
      </c>
      <c r="T957" s="11" t="s">
        <v>6054</v>
      </c>
      <c r="U957" s="20" t="s">
        <v>6546</v>
      </c>
      <c r="V957" s="20" t="s">
        <v>6546</v>
      </c>
      <c r="W957" s="20"/>
      <c r="X957" s="7"/>
      <c r="Y957" s="7"/>
      <c r="Z957" s="23"/>
      <c r="AA957" s="26"/>
    </row>
    <row r="958" spans="1:27" ht="15.75" customHeight="1">
      <c r="A958" s="10" t="s">
        <v>6579</v>
      </c>
      <c r="B958" s="10" t="s">
        <v>4410</v>
      </c>
      <c r="C958" s="61" t="s">
        <v>6054</v>
      </c>
      <c r="D958" s="38"/>
      <c r="E958" s="13" t="s">
        <v>199</v>
      </c>
      <c r="F958" s="6" t="s">
        <v>199</v>
      </c>
      <c r="G958" s="6" t="str">
        <f ca="1">IFERROR(__xludf.DUMMYFUNCTION("CONCATENATE(B958,(VLOOKUP(C958,CATALOGOS!$F$2:$H$6,3,FALSE)),(VLOOKUP(T958,CATALOGOS!$J$2:$K$18,2,FALSE)),""-"",TO_TEXT(A958))"),"P21DG-0957")</f>
        <v>P21DG-0957</v>
      </c>
      <c r="H958" s="6" t="s">
        <v>6580</v>
      </c>
      <c r="I958" s="6" t="s">
        <v>6581</v>
      </c>
      <c r="J958" s="6" t="s">
        <v>6582</v>
      </c>
      <c r="K958" s="6" t="s">
        <v>6583</v>
      </c>
      <c r="L958" s="17"/>
      <c r="M958" s="17"/>
      <c r="N958" s="17" t="str">
        <f t="shared" si="2"/>
        <v>OK</v>
      </c>
      <c r="O958" s="17" t="s">
        <v>205</v>
      </c>
      <c r="P958" s="6" t="s">
        <v>794</v>
      </c>
      <c r="Q958" s="46" t="s">
        <v>6584</v>
      </c>
      <c r="R958" s="17" t="s">
        <v>6585</v>
      </c>
      <c r="S958" s="173" t="s">
        <v>38</v>
      </c>
      <c r="T958" s="11" t="s">
        <v>6054</v>
      </c>
      <c r="U958" s="20" t="s">
        <v>6546</v>
      </c>
      <c r="V958" s="20" t="s">
        <v>6546</v>
      </c>
      <c r="W958" s="20"/>
      <c r="X958" s="7"/>
      <c r="Y958" s="7"/>
      <c r="Z958" s="26"/>
      <c r="AA958" s="26"/>
    </row>
    <row r="959" spans="1:27" ht="15.75" customHeight="1">
      <c r="A959" s="10" t="s">
        <v>6586</v>
      </c>
      <c r="B959" s="10" t="s">
        <v>4410</v>
      </c>
      <c r="C959" s="61" t="s">
        <v>6054</v>
      </c>
      <c r="D959" s="12"/>
      <c r="E959" s="13" t="s">
        <v>5904</v>
      </c>
      <c r="F959" s="6" t="s">
        <v>6587</v>
      </c>
      <c r="G959" s="6" t="str">
        <f ca="1">IFERROR(__xludf.DUMMYFUNCTION("CONCATENATE(B959,(VLOOKUP(C959,CATALOGOS!$F$2:$H$6,3,FALSE)),(VLOOKUP(T959,CATALOGOS!$J$2:$K$18,2,FALSE)),""-"",TO_TEXT(A959))"),"P21DG-0958")</f>
        <v>P21DG-0958</v>
      </c>
      <c r="H959" s="6" t="s">
        <v>6588</v>
      </c>
      <c r="I959" s="6" t="s">
        <v>6589</v>
      </c>
      <c r="J959" s="6" t="s">
        <v>6590</v>
      </c>
      <c r="K959" s="6" t="s">
        <v>6591</v>
      </c>
      <c r="L959" s="17"/>
      <c r="M959" s="17"/>
      <c r="N959" s="17" t="str">
        <f t="shared" si="2"/>
        <v>OK</v>
      </c>
      <c r="O959" s="17" t="s">
        <v>5918</v>
      </c>
      <c r="P959" s="6" t="s">
        <v>6592</v>
      </c>
      <c r="Q959" s="17" t="s">
        <v>36</v>
      </c>
      <c r="R959" s="10" t="s">
        <v>6593</v>
      </c>
      <c r="S959" s="173" t="s">
        <v>38</v>
      </c>
      <c r="T959" s="11" t="s">
        <v>6054</v>
      </c>
      <c r="U959" s="22" t="s">
        <v>6594</v>
      </c>
      <c r="V959" s="22" t="s">
        <v>6594</v>
      </c>
      <c r="W959" s="22"/>
      <c r="X959" s="7"/>
      <c r="Y959" s="7"/>
      <c r="Z959" s="23"/>
      <c r="AA959" s="26"/>
    </row>
    <row r="960" spans="1:27" ht="15.75" customHeight="1">
      <c r="A960" s="10" t="s">
        <v>6595</v>
      </c>
      <c r="B960" s="10" t="s">
        <v>4410</v>
      </c>
      <c r="C960" s="61" t="s">
        <v>6054</v>
      </c>
      <c r="D960" s="12"/>
      <c r="E960" s="13" t="s">
        <v>501</v>
      </c>
      <c r="F960" s="6" t="s">
        <v>6596</v>
      </c>
      <c r="G960" s="6" t="str">
        <f ca="1">IFERROR(__xludf.DUMMYFUNCTION("CONCATENATE(B960,(VLOOKUP(C960,CATALOGOS!$F$2:$H$6,3,FALSE)),(VLOOKUP(T960,CATALOGOS!$J$2:$K$18,2,FALSE)),""-"",TO_TEXT(A960))"),"P21DG-0959")</f>
        <v>P21DG-0959</v>
      </c>
      <c r="H960" s="6" t="s">
        <v>6597</v>
      </c>
      <c r="I960" s="6" t="s">
        <v>6598</v>
      </c>
      <c r="J960" s="6" t="s">
        <v>6599</v>
      </c>
      <c r="K960" s="6" t="s">
        <v>6600</v>
      </c>
      <c r="L960" s="17"/>
      <c r="M960" s="17"/>
      <c r="N960" s="17" t="str">
        <f t="shared" si="2"/>
        <v>OK</v>
      </c>
      <c r="O960" s="17" t="s">
        <v>35</v>
      </c>
      <c r="P960" s="6" t="s">
        <v>35</v>
      </c>
      <c r="Q960" s="17" t="s">
        <v>36</v>
      </c>
      <c r="R960" s="17" t="s">
        <v>6601</v>
      </c>
      <c r="S960" s="173" t="s">
        <v>38</v>
      </c>
      <c r="T960" s="11" t="s">
        <v>6054</v>
      </c>
      <c r="U960" s="22" t="s">
        <v>6594</v>
      </c>
      <c r="V960" s="22" t="s">
        <v>6594</v>
      </c>
      <c r="W960" s="22"/>
      <c r="X960" s="7"/>
      <c r="Y960" s="7"/>
      <c r="Z960" s="23"/>
      <c r="AA960" s="26"/>
    </row>
    <row r="961" spans="1:27" ht="15.75" customHeight="1">
      <c r="A961" s="10" t="s">
        <v>6602</v>
      </c>
      <c r="B961" s="10" t="s">
        <v>4410</v>
      </c>
      <c r="C961" s="61" t="s">
        <v>6054</v>
      </c>
      <c r="D961" s="12"/>
      <c r="E961" s="13" t="s">
        <v>378</v>
      </c>
      <c r="F961" s="6" t="s">
        <v>878</v>
      </c>
      <c r="G961" s="6" t="str">
        <f ca="1">IFERROR(__xludf.DUMMYFUNCTION("CONCATENATE(B961,(VLOOKUP(C961,CATALOGOS!$F$2:$H$6,3,FALSE)),(VLOOKUP(T961,CATALOGOS!$J$2:$K$18,2,FALSE)),""-"",TO_TEXT(A961))"),"P21DG-0960")</f>
        <v>P21DG-0960</v>
      </c>
      <c r="H961" s="6" t="s">
        <v>6603</v>
      </c>
      <c r="I961" s="6" t="s">
        <v>6604</v>
      </c>
      <c r="J961" s="6" t="s">
        <v>6605</v>
      </c>
      <c r="K961" s="6" t="s">
        <v>141</v>
      </c>
      <c r="L961" s="17"/>
      <c r="M961" s="17"/>
      <c r="N961" s="17" t="str">
        <f t="shared" si="2"/>
        <v>REPETIDO</v>
      </c>
      <c r="O961" s="17" t="s">
        <v>35</v>
      </c>
      <c r="P961" s="32" t="s">
        <v>35</v>
      </c>
      <c r="Q961" s="17" t="s">
        <v>36</v>
      </c>
      <c r="R961" s="17" t="s">
        <v>6606</v>
      </c>
      <c r="S961" s="173" t="s">
        <v>38</v>
      </c>
      <c r="T961" s="11" t="s">
        <v>6054</v>
      </c>
      <c r="U961" s="22" t="s">
        <v>6594</v>
      </c>
      <c r="V961" s="22" t="s">
        <v>6594</v>
      </c>
      <c r="W961" s="22"/>
      <c r="X961" s="7"/>
      <c r="Y961" s="7"/>
      <c r="Z961" s="23"/>
      <c r="AA961" s="26"/>
    </row>
    <row r="962" spans="1:27" ht="15.75" customHeight="1">
      <c r="A962" s="10" t="s">
        <v>6607</v>
      </c>
      <c r="B962" s="10" t="s">
        <v>4410</v>
      </c>
      <c r="C962" s="61" t="s">
        <v>6054</v>
      </c>
      <c r="D962" s="12"/>
      <c r="E962" s="13" t="s">
        <v>5778</v>
      </c>
      <c r="F962" s="43" t="s">
        <v>6608</v>
      </c>
      <c r="G962" s="6" t="str">
        <f ca="1">IFERROR(__xludf.DUMMYFUNCTION("CONCATENATE(B962,(VLOOKUP(C962,CATALOGOS!$F$2:$H$6,3,FALSE)),(VLOOKUP(T962,CATALOGOS!$J$2:$K$18,2,FALSE)),""-"",TO_TEXT(A962))"),"P21DG-0961")</f>
        <v>P21DG-0961</v>
      </c>
      <c r="H962" s="6" t="s">
        <v>6609</v>
      </c>
      <c r="I962" s="6" t="s">
        <v>6610</v>
      </c>
      <c r="J962" s="6" t="s">
        <v>6611</v>
      </c>
      <c r="K962" s="6" t="s">
        <v>6612</v>
      </c>
      <c r="L962" s="17"/>
      <c r="M962" s="17"/>
      <c r="N962" s="17" t="str">
        <f t="shared" si="2"/>
        <v>OK</v>
      </c>
      <c r="O962" s="17" t="s">
        <v>4035</v>
      </c>
      <c r="P962" s="6" t="s">
        <v>6613</v>
      </c>
      <c r="Q962" s="17" t="s">
        <v>6614</v>
      </c>
      <c r="R962" s="10" t="s">
        <v>6615</v>
      </c>
      <c r="S962" s="173" t="s">
        <v>38</v>
      </c>
      <c r="T962" s="11" t="s">
        <v>6054</v>
      </c>
      <c r="U962" s="22" t="s">
        <v>6594</v>
      </c>
      <c r="V962" s="22" t="s">
        <v>6594</v>
      </c>
      <c r="W962" s="22"/>
      <c r="X962" s="7"/>
      <c r="Y962" s="7"/>
      <c r="Z962" s="23"/>
      <c r="AA962" s="26"/>
    </row>
    <row r="963" spans="1:27" ht="15.75" customHeight="1">
      <c r="A963" s="10" t="s">
        <v>6616</v>
      </c>
      <c r="B963" s="10" t="s">
        <v>4410</v>
      </c>
      <c r="C963" s="61" t="s">
        <v>6054</v>
      </c>
      <c r="D963" s="12"/>
      <c r="E963" s="13" t="s">
        <v>93</v>
      </c>
      <c r="F963" s="6" t="s">
        <v>6617</v>
      </c>
      <c r="G963" s="6" t="str">
        <f ca="1">IFERROR(__xludf.DUMMYFUNCTION("CONCATENATE(B963,(VLOOKUP(C963,CATALOGOS!$F$2:$H$6,3,FALSE)),(VLOOKUP(T963,CATALOGOS!$J$2:$K$18,2,FALSE)),""-"",TO_TEXT(A963))"),"P21DG-0962")</f>
        <v>P21DG-0962</v>
      </c>
      <c r="H963" s="6" t="s">
        <v>6618</v>
      </c>
      <c r="I963" s="6" t="s">
        <v>6619</v>
      </c>
      <c r="J963" s="6" t="s">
        <v>6620</v>
      </c>
      <c r="K963" s="6" t="s">
        <v>6621</v>
      </c>
      <c r="L963" s="17"/>
      <c r="M963" s="17"/>
      <c r="N963" s="17" t="str">
        <f t="shared" si="2"/>
        <v>OK</v>
      </c>
      <c r="O963" s="17" t="s">
        <v>35</v>
      </c>
      <c r="P963" s="6" t="s">
        <v>35</v>
      </c>
      <c r="Q963" s="17" t="s">
        <v>36</v>
      </c>
      <c r="R963" s="17" t="s">
        <v>6622</v>
      </c>
      <c r="S963" s="173" t="s">
        <v>38</v>
      </c>
      <c r="T963" s="11" t="s">
        <v>6054</v>
      </c>
      <c r="U963" s="22" t="s">
        <v>6594</v>
      </c>
      <c r="V963" s="22" t="s">
        <v>6594</v>
      </c>
      <c r="W963" s="22"/>
      <c r="X963" s="7"/>
      <c r="Y963" s="7"/>
      <c r="Z963" s="23"/>
      <c r="AA963" s="26"/>
    </row>
    <row r="964" spans="1:27" ht="15.75" customHeight="1">
      <c r="A964" s="10" t="s">
        <v>6623</v>
      </c>
      <c r="B964" s="10" t="s">
        <v>4410</v>
      </c>
      <c r="C964" s="61" t="s">
        <v>6054</v>
      </c>
      <c r="D964" s="12"/>
      <c r="E964" s="13" t="s">
        <v>93</v>
      </c>
      <c r="F964" s="6" t="s">
        <v>6617</v>
      </c>
      <c r="G964" s="6" t="str">
        <f ca="1">IFERROR(__xludf.DUMMYFUNCTION("CONCATENATE(B964,(VLOOKUP(C964,CATALOGOS!$F$2:$H$6,3,FALSE)),(VLOOKUP(T964,CATALOGOS!$J$2:$K$18,2,FALSE)),""-"",TO_TEXT(A964))"),"P21DG-0963")</f>
        <v>P21DG-0963</v>
      </c>
      <c r="H964" s="6" t="s">
        <v>6624</v>
      </c>
      <c r="I964" s="6" t="s">
        <v>6625</v>
      </c>
      <c r="J964" s="6" t="s">
        <v>6626</v>
      </c>
      <c r="K964" s="6" t="s">
        <v>6627</v>
      </c>
      <c r="L964" s="17"/>
      <c r="M964" s="17"/>
      <c r="N964" s="17" t="str">
        <f t="shared" si="2"/>
        <v>OK</v>
      </c>
      <c r="O964" s="17" t="s">
        <v>35</v>
      </c>
      <c r="P964" s="6" t="s">
        <v>35</v>
      </c>
      <c r="Q964" s="17" t="s">
        <v>36</v>
      </c>
      <c r="R964" s="17" t="s">
        <v>6628</v>
      </c>
      <c r="S964" s="173" t="s">
        <v>38</v>
      </c>
      <c r="T964" s="11" t="s">
        <v>6054</v>
      </c>
      <c r="U964" s="22" t="s">
        <v>6594</v>
      </c>
      <c r="V964" s="22" t="s">
        <v>6594</v>
      </c>
      <c r="W964" s="22"/>
      <c r="X964" s="7"/>
      <c r="Y964" s="7"/>
      <c r="Z964" s="23"/>
      <c r="AA964" s="26"/>
    </row>
    <row r="965" spans="1:27" ht="15.75" customHeight="1">
      <c r="A965" s="10" t="s">
        <v>6629</v>
      </c>
      <c r="B965" s="10" t="s">
        <v>4410</v>
      </c>
      <c r="C965" s="61" t="s">
        <v>6054</v>
      </c>
      <c r="D965" s="12"/>
      <c r="E965" s="13" t="s">
        <v>93</v>
      </c>
      <c r="F965" s="6" t="s">
        <v>6630</v>
      </c>
      <c r="G965" s="6" t="str">
        <f ca="1">IFERROR(__xludf.DUMMYFUNCTION("CONCATENATE(B965,(VLOOKUP(C965,CATALOGOS!$F$2:$H$6,3,FALSE)),(VLOOKUP(T965,CATALOGOS!$J$2:$K$18,2,FALSE)),""-"",TO_TEXT(A965))"),"P21DG-0964")</f>
        <v>P21DG-0964</v>
      </c>
      <c r="H965" s="6" t="s">
        <v>6631</v>
      </c>
      <c r="I965" s="6" t="s">
        <v>6632</v>
      </c>
      <c r="J965" s="6" t="s">
        <v>6633</v>
      </c>
      <c r="K965" s="6" t="s">
        <v>6634</v>
      </c>
      <c r="L965" s="17"/>
      <c r="M965" s="17"/>
      <c r="N965" s="17" t="str">
        <f t="shared" si="2"/>
        <v>OK</v>
      </c>
      <c r="O965" s="17" t="s">
        <v>35</v>
      </c>
      <c r="P965" s="6" t="s">
        <v>35</v>
      </c>
      <c r="Q965" s="17" t="s">
        <v>36</v>
      </c>
      <c r="R965" s="17" t="s">
        <v>85</v>
      </c>
      <c r="S965" s="173" t="s">
        <v>38</v>
      </c>
      <c r="T965" s="11" t="s">
        <v>6054</v>
      </c>
      <c r="U965" s="22" t="s">
        <v>6594</v>
      </c>
      <c r="V965" s="22" t="s">
        <v>6594</v>
      </c>
      <c r="W965" s="22"/>
      <c r="X965" s="7"/>
      <c r="Y965" s="7"/>
      <c r="Z965" s="23"/>
      <c r="AA965" s="26"/>
    </row>
    <row r="966" spans="1:27" ht="15.75" customHeight="1">
      <c r="A966" s="10" t="s">
        <v>6635</v>
      </c>
      <c r="B966" s="10" t="s">
        <v>4410</v>
      </c>
      <c r="C966" s="61" t="s">
        <v>6054</v>
      </c>
      <c r="D966" s="38"/>
      <c r="E966" s="13" t="s">
        <v>387</v>
      </c>
      <c r="F966" s="43" t="s">
        <v>387</v>
      </c>
      <c r="G966" s="6" t="str">
        <f ca="1">IFERROR(__xludf.DUMMYFUNCTION("CONCATENATE(B966,(VLOOKUP(C966,CATALOGOS!$F$2:$H$6,3,FALSE)),(VLOOKUP(T966,CATALOGOS!$J$2:$K$18,2,FALSE)),""-"",TO_TEXT(A966))"),"P21DG-0965")</f>
        <v>P21DG-0965</v>
      </c>
      <c r="H966" s="6" t="s">
        <v>6636</v>
      </c>
      <c r="I966" s="6" t="s">
        <v>6637</v>
      </c>
      <c r="J966" s="6" t="s">
        <v>6638</v>
      </c>
      <c r="K966" s="43" t="s">
        <v>6639</v>
      </c>
      <c r="L966" s="17"/>
      <c r="M966" s="17"/>
      <c r="N966" s="17" t="str">
        <f t="shared" si="2"/>
        <v>OK</v>
      </c>
      <c r="O966" s="17" t="s">
        <v>5597</v>
      </c>
      <c r="P966" s="6" t="s">
        <v>5598</v>
      </c>
      <c r="Q966" s="46" t="s">
        <v>6640</v>
      </c>
      <c r="R966" s="17" t="s">
        <v>6641</v>
      </c>
      <c r="S966" s="173" t="s">
        <v>38</v>
      </c>
      <c r="T966" s="11" t="s">
        <v>6054</v>
      </c>
      <c r="U966" s="22" t="s">
        <v>6594</v>
      </c>
      <c r="V966" s="22" t="s">
        <v>6594</v>
      </c>
      <c r="W966" s="22"/>
      <c r="X966" s="7"/>
      <c r="Y966" s="7"/>
      <c r="Z966" s="26"/>
      <c r="AA966" s="26"/>
    </row>
    <row r="967" spans="1:27" ht="15.75" customHeight="1">
      <c r="A967" s="10" t="s">
        <v>6642</v>
      </c>
      <c r="B967" s="10" t="s">
        <v>4410</v>
      </c>
      <c r="C967" s="61" t="s">
        <v>6054</v>
      </c>
      <c r="D967" s="12"/>
      <c r="E967" s="13" t="s">
        <v>93</v>
      </c>
      <c r="F967" s="6" t="s">
        <v>6146</v>
      </c>
      <c r="G967" s="6" t="str">
        <f ca="1">IFERROR(__xludf.DUMMYFUNCTION("CONCATENATE(B967,(VLOOKUP(C967,CATALOGOS!$F$2:$H$6,3,FALSE)),(VLOOKUP(T967,CATALOGOS!$J$2:$K$18,2,FALSE)),""-"",TO_TEXT(A967))"),"P21DG-0966")</f>
        <v>P21DG-0966</v>
      </c>
      <c r="H967" s="6" t="s">
        <v>6643</v>
      </c>
      <c r="I967" s="6" t="s">
        <v>6644</v>
      </c>
      <c r="J967" s="6" t="s">
        <v>6645</v>
      </c>
      <c r="K967" s="6" t="s">
        <v>6646</v>
      </c>
      <c r="L967" s="17"/>
      <c r="M967" s="17"/>
      <c r="N967" s="17" t="str">
        <f t="shared" si="2"/>
        <v>OK</v>
      </c>
      <c r="O967" s="17" t="s">
        <v>35</v>
      </c>
      <c r="P967" s="6" t="s">
        <v>35</v>
      </c>
      <c r="Q967" s="17" t="s">
        <v>36</v>
      </c>
      <c r="R967" s="17" t="s">
        <v>6647</v>
      </c>
      <c r="S967" s="173" t="s">
        <v>38</v>
      </c>
      <c r="T967" s="11" t="s">
        <v>6054</v>
      </c>
      <c r="U967" s="22" t="s">
        <v>6648</v>
      </c>
      <c r="V967" s="22" t="s">
        <v>6648</v>
      </c>
      <c r="W967" s="22"/>
      <c r="X967" s="7"/>
      <c r="Y967" s="7"/>
      <c r="Z967" s="23"/>
      <c r="AA967" s="26"/>
    </row>
    <row r="968" spans="1:27" ht="15.75" customHeight="1">
      <c r="A968" s="10" t="s">
        <v>6649</v>
      </c>
      <c r="B968" s="10" t="s">
        <v>4410</v>
      </c>
      <c r="C968" s="61" t="s">
        <v>6054</v>
      </c>
      <c r="D968" s="12"/>
      <c r="E968" s="13" t="s">
        <v>93</v>
      </c>
      <c r="F968" s="6" t="s">
        <v>6146</v>
      </c>
      <c r="G968" s="6" t="str">
        <f ca="1">IFERROR(__xludf.DUMMYFUNCTION("CONCATENATE(B968,(VLOOKUP(C968,CATALOGOS!$F$2:$H$6,3,FALSE)),(VLOOKUP(T968,CATALOGOS!$J$2:$K$18,2,FALSE)),""-"",TO_TEXT(A968))"),"P21DG-0967")</f>
        <v>P21DG-0967</v>
      </c>
      <c r="H968" s="6" t="s">
        <v>6650</v>
      </c>
      <c r="I968" s="6" t="s">
        <v>6651</v>
      </c>
      <c r="J968" s="6" t="s">
        <v>6652</v>
      </c>
      <c r="K968" s="6" t="s">
        <v>6653</v>
      </c>
      <c r="L968" s="17"/>
      <c r="M968" s="17"/>
      <c r="N968" s="17" t="str">
        <f t="shared" si="2"/>
        <v>OK</v>
      </c>
      <c r="O968" s="17" t="s">
        <v>35</v>
      </c>
      <c r="P968" s="6" t="s">
        <v>35</v>
      </c>
      <c r="Q968" s="17" t="s">
        <v>36</v>
      </c>
      <c r="R968" s="17" t="s">
        <v>6654</v>
      </c>
      <c r="S968" s="173" t="s">
        <v>38</v>
      </c>
      <c r="T968" s="11" t="s">
        <v>6054</v>
      </c>
      <c r="U968" s="22" t="s">
        <v>6648</v>
      </c>
      <c r="V968" s="22" t="s">
        <v>6648</v>
      </c>
      <c r="W968" s="22"/>
      <c r="X968" s="36"/>
      <c r="Y968" s="36"/>
      <c r="Z968" s="23"/>
      <c r="AA968" s="33"/>
    </row>
    <row r="969" spans="1:27" ht="15.75" customHeight="1">
      <c r="A969" s="10" t="s">
        <v>6655</v>
      </c>
      <c r="B969" s="10" t="s">
        <v>4410</v>
      </c>
      <c r="C969" s="61" t="s">
        <v>6054</v>
      </c>
      <c r="D969" s="12"/>
      <c r="E969" s="13" t="s">
        <v>93</v>
      </c>
      <c r="F969" s="6" t="s">
        <v>6656</v>
      </c>
      <c r="G969" s="6" t="str">
        <f ca="1">IFERROR(__xludf.DUMMYFUNCTION("CONCATENATE(B969,(VLOOKUP(C969,CATALOGOS!$F$2:$H$6,3,FALSE)),(VLOOKUP(T969,CATALOGOS!$J$2:$K$18,2,FALSE)),""-"",TO_TEXT(A969))"),"P21DG-0968")</f>
        <v>P21DG-0968</v>
      </c>
      <c r="H969" s="6" t="s">
        <v>6657</v>
      </c>
      <c r="I969" s="6" t="s">
        <v>6658</v>
      </c>
      <c r="J969" s="6" t="s">
        <v>6659</v>
      </c>
      <c r="K969" s="6" t="s">
        <v>6660</v>
      </c>
      <c r="L969" s="17"/>
      <c r="M969" s="17"/>
      <c r="N969" s="17" t="str">
        <f t="shared" si="2"/>
        <v>OK</v>
      </c>
      <c r="O969" s="17" t="s">
        <v>35</v>
      </c>
      <c r="P969" s="6" t="s">
        <v>35</v>
      </c>
      <c r="Q969" s="17" t="s">
        <v>36</v>
      </c>
      <c r="R969" s="17" t="s">
        <v>6661</v>
      </c>
      <c r="S969" s="173" t="s">
        <v>38</v>
      </c>
      <c r="T969" s="11" t="s">
        <v>6054</v>
      </c>
      <c r="U969" s="22" t="s">
        <v>6648</v>
      </c>
      <c r="V969" s="22" t="s">
        <v>6648</v>
      </c>
      <c r="W969" s="22"/>
      <c r="X969" s="7"/>
      <c r="Y969" s="7"/>
      <c r="Z969" s="23"/>
      <c r="AA969" s="26"/>
    </row>
    <row r="970" spans="1:27" ht="15.75" customHeight="1">
      <c r="A970" s="10" t="s">
        <v>6662</v>
      </c>
      <c r="B970" s="10" t="s">
        <v>4410</v>
      </c>
      <c r="C970" s="61" t="s">
        <v>6054</v>
      </c>
      <c r="D970" s="12"/>
      <c r="E970" s="13" t="s">
        <v>93</v>
      </c>
      <c r="F970" s="6" t="s">
        <v>6663</v>
      </c>
      <c r="G970" s="6" t="str">
        <f ca="1">IFERROR(__xludf.DUMMYFUNCTION("CONCATENATE(B970,(VLOOKUP(C970,CATALOGOS!$F$2:$H$6,3,FALSE)),(VLOOKUP(T970,CATALOGOS!$J$2:$K$18,2,FALSE)),""-"",TO_TEXT(A970))"),"P21DG-0969")</f>
        <v>P21DG-0969</v>
      </c>
      <c r="H970" s="6" t="s">
        <v>6664</v>
      </c>
      <c r="I970" s="6" t="s">
        <v>6665</v>
      </c>
      <c r="J970" s="6" t="s">
        <v>6666</v>
      </c>
      <c r="K970" s="6" t="s">
        <v>6667</v>
      </c>
      <c r="L970" s="17"/>
      <c r="M970" s="17"/>
      <c r="N970" s="17" t="str">
        <f t="shared" si="2"/>
        <v>OK</v>
      </c>
      <c r="O970" s="17" t="s">
        <v>35</v>
      </c>
      <c r="P970" s="6" t="s">
        <v>35</v>
      </c>
      <c r="Q970" s="17" t="s">
        <v>36</v>
      </c>
      <c r="R970" s="17" t="s">
        <v>6668</v>
      </c>
      <c r="S970" s="173" t="s">
        <v>38</v>
      </c>
      <c r="T970" s="11" t="s">
        <v>6054</v>
      </c>
      <c r="U970" s="22" t="s">
        <v>6648</v>
      </c>
      <c r="V970" s="22" t="s">
        <v>6648</v>
      </c>
      <c r="W970" s="22"/>
      <c r="X970" s="36"/>
      <c r="Y970" s="36"/>
      <c r="Z970" s="23"/>
      <c r="AA970" s="33"/>
    </row>
    <row r="971" spans="1:27" ht="15.75" customHeight="1">
      <c r="A971" s="10" t="s">
        <v>6669</v>
      </c>
      <c r="B971" s="10" t="s">
        <v>4410</v>
      </c>
      <c r="C971" s="61" t="s">
        <v>6054</v>
      </c>
      <c r="D971" s="12"/>
      <c r="E971" s="13" t="s">
        <v>6092</v>
      </c>
      <c r="F971" s="43" t="s">
        <v>6670</v>
      </c>
      <c r="G971" s="6" t="str">
        <f ca="1">IFERROR(__xludf.DUMMYFUNCTION("CONCATENATE(B971,(VLOOKUP(C971,CATALOGOS!$F$2:$H$6,3,FALSE)),(VLOOKUP(T971,CATALOGOS!$J$2:$K$18,2,FALSE)),""-"",TO_TEXT(A971))"),"P21DG-0970")</f>
        <v>P21DG-0970</v>
      </c>
      <c r="H971" s="6" t="s">
        <v>6671</v>
      </c>
      <c r="I971" s="6" t="s">
        <v>6672</v>
      </c>
      <c r="J971" s="6" t="s">
        <v>6673</v>
      </c>
      <c r="K971" s="6" t="s">
        <v>6674</v>
      </c>
      <c r="L971" s="17"/>
      <c r="M971" s="17"/>
      <c r="N971" s="17" t="str">
        <f t="shared" si="2"/>
        <v>OK</v>
      </c>
      <c r="O971" s="17" t="s">
        <v>35</v>
      </c>
      <c r="P971" s="6" t="s">
        <v>35</v>
      </c>
      <c r="Q971" s="17" t="s">
        <v>36</v>
      </c>
      <c r="R971" s="17" t="s">
        <v>6675</v>
      </c>
      <c r="S971" s="173" t="s">
        <v>38</v>
      </c>
      <c r="T971" s="11" t="s">
        <v>6054</v>
      </c>
      <c r="U971" s="22" t="s">
        <v>6648</v>
      </c>
      <c r="V971" s="22" t="s">
        <v>6648</v>
      </c>
      <c r="W971" s="22"/>
      <c r="X971" s="7"/>
      <c r="Y971" s="7"/>
      <c r="Z971" s="23"/>
      <c r="AA971" s="26"/>
    </row>
    <row r="972" spans="1:27" ht="15.75" customHeight="1">
      <c r="A972" s="10" t="s">
        <v>6676</v>
      </c>
      <c r="B972" s="10" t="s">
        <v>4410</v>
      </c>
      <c r="C972" s="61" t="s">
        <v>6054</v>
      </c>
      <c r="D972" s="38"/>
      <c r="E972" s="13" t="s">
        <v>43</v>
      </c>
      <c r="F972" s="43" t="s">
        <v>4929</v>
      </c>
      <c r="G972" s="6" t="str">
        <f ca="1">IFERROR(__xludf.DUMMYFUNCTION("CONCATENATE(B972,(VLOOKUP(C972,CATALOGOS!$F$2:$H$6,3,FALSE)),(VLOOKUP(T972,CATALOGOS!$J$2:$K$18,2,FALSE)),""-"",TO_TEXT(A972))"),"P21DG-0971")</f>
        <v>P21DG-0971</v>
      </c>
      <c r="H972" s="6" t="s">
        <v>6677</v>
      </c>
      <c r="I972" s="6" t="s">
        <v>6678</v>
      </c>
      <c r="J972" s="6" t="s">
        <v>6679</v>
      </c>
      <c r="K972" s="6" t="s">
        <v>6680</v>
      </c>
      <c r="L972" s="17"/>
      <c r="M972" s="17"/>
      <c r="N972" s="17" t="str">
        <f t="shared" si="2"/>
        <v>OK</v>
      </c>
      <c r="O972" s="17" t="s">
        <v>406</v>
      </c>
      <c r="P972" s="6" t="s">
        <v>6681</v>
      </c>
      <c r="Q972" s="46" t="s">
        <v>6682</v>
      </c>
      <c r="R972" s="17" t="s">
        <v>6683</v>
      </c>
      <c r="S972" s="173" t="s">
        <v>38</v>
      </c>
      <c r="T972" s="11" t="s">
        <v>6054</v>
      </c>
      <c r="U972" s="20" t="s">
        <v>6684</v>
      </c>
      <c r="V972" s="22" t="s">
        <v>6648</v>
      </c>
      <c r="W972" s="22"/>
      <c r="X972" s="7"/>
      <c r="Y972" s="7"/>
      <c r="Z972" s="26"/>
      <c r="AA972" s="26"/>
    </row>
    <row r="973" spans="1:27" ht="15.75" customHeight="1">
      <c r="A973" s="10" t="s">
        <v>6685</v>
      </c>
      <c r="B973" s="10" t="s">
        <v>4410</v>
      </c>
      <c r="C973" s="61" t="s">
        <v>6054</v>
      </c>
      <c r="D973" s="12"/>
      <c r="E973" s="13" t="s">
        <v>93</v>
      </c>
      <c r="F973" s="6" t="s">
        <v>6686</v>
      </c>
      <c r="G973" s="6" t="str">
        <f ca="1">IFERROR(__xludf.DUMMYFUNCTION("CONCATENATE(B973,(VLOOKUP(C973,CATALOGOS!$F$2:$H$6,3,FALSE)),(VLOOKUP(T973,CATALOGOS!$J$2:$K$18,2,FALSE)),""-"",TO_TEXT(A973))"),"P21DG-0972")</f>
        <v>P21DG-0972</v>
      </c>
      <c r="H973" s="6" t="s">
        <v>6687</v>
      </c>
      <c r="I973" s="6" t="s">
        <v>6688</v>
      </c>
      <c r="J973" s="6" t="s">
        <v>6689</v>
      </c>
      <c r="K973" s="6" t="s">
        <v>6690</v>
      </c>
      <c r="L973" s="17"/>
      <c r="M973" s="17"/>
      <c r="N973" s="17" t="str">
        <f t="shared" si="2"/>
        <v>OK</v>
      </c>
      <c r="O973" s="17" t="s">
        <v>35</v>
      </c>
      <c r="P973" s="6" t="s">
        <v>35</v>
      </c>
      <c r="Q973" s="17" t="s">
        <v>36</v>
      </c>
      <c r="R973" s="17" t="s">
        <v>6691</v>
      </c>
      <c r="S973" s="173" t="s">
        <v>38</v>
      </c>
      <c r="T973" s="11" t="s">
        <v>6054</v>
      </c>
      <c r="U973" s="20" t="s">
        <v>6684</v>
      </c>
      <c r="V973" s="20" t="s">
        <v>6684</v>
      </c>
      <c r="W973" s="20"/>
      <c r="X973" s="7"/>
      <c r="Y973" s="7"/>
      <c r="Z973" s="23"/>
      <c r="AA973" s="26"/>
    </row>
    <row r="974" spans="1:27" ht="15.75" customHeight="1">
      <c r="A974" s="10" t="s">
        <v>6692</v>
      </c>
      <c r="B974" s="10" t="s">
        <v>4410</v>
      </c>
      <c r="C974" s="61" t="s">
        <v>6054</v>
      </c>
      <c r="D974" s="12"/>
      <c r="E974" s="13" t="s">
        <v>93</v>
      </c>
      <c r="F974" s="6" t="s">
        <v>6686</v>
      </c>
      <c r="G974" s="6" t="str">
        <f ca="1">IFERROR(__xludf.DUMMYFUNCTION("CONCATENATE(B974,(VLOOKUP(C974,CATALOGOS!$F$2:$H$6,3,FALSE)),(VLOOKUP(T974,CATALOGOS!$J$2:$K$18,2,FALSE)),""-"",TO_TEXT(A974))"),"P21DG-0973")</f>
        <v>P21DG-0973</v>
      </c>
      <c r="H974" s="6" t="s">
        <v>6693</v>
      </c>
      <c r="I974" s="6" t="s">
        <v>6694</v>
      </c>
      <c r="J974" s="6" t="s">
        <v>6695</v>
      </c>
      <c r="K974" s="6" t="s">
        <v>6696</v>
      </c>
      <c r="L974" s="17"/>
      <c r="M974" s="17"/>
      <c r="N974" s="17" t="str">
        <f t="shared" si="2"/>
        <v>OK</v>
      </c>
      <c r="O974" s="17" t="s">
        <v>35</v>
      </c>
      <c r="P974" s="6" t="s">
        <v>35</v>
      </c>
      <c r="Q974" s="17" t="s">
        <v>36</v>
      </c>
      <c r="R974" s="17" t="s">
        <v>6697</v>
      </c>
      <c r="S974" s="173" t="s">
        <v>38</v>
      </c>
      <c r="T974" s="11" t="s">
        <v>6054</v>
      </c>
      <c r="U974" s="20" t="s">
        <v>6684</v>
      </c>
      <c r="V974" s="20" t="s">
        <v>6684</v>
      </c>
      <c r="W974" s="20"/>
      <c r="X974" s="7"/>
      <c r="Y974" s="7"/>
      <c r="Z974" s="23"/>
      <c r="AA974" s="26"/>
    </row>
    <row r="975" spans="1:27" ht="15.75" customHeight="1">
      <c r="A975" s="10" t="s">
        <v>6698</v>
      </c>
      <c r="B975" s="10" t="s">
        <v>4410</v>
      </c>
      <c r="C975" s="61" t="s">
        <v>6054</v>
      </c>
      <c r="D975" s="12"/>
      <c r="E975" s="13" t="s">
        <v>116</v>
      </c>
      <c r="F975" s="6" t="s">
        <v>6699</v>
      </c>
      <c r="G975" s="6" t="str">
        <f ca="1">IFERROR(__xludf.DUMMYFUNCTION("CONCATENATE(B975,(VLOOKUP(C975,CATALOGOS!$F$2:$H$6,3,FALSE)),(VLOOKUP(T975,CATALOGOS!$J$2:$K$18,2,FALSE)),""-"",TO_TEXT(A975))"),"P21DG-0974")</f>
        <v>P21DG-0974</v>
      </c>
      <c r="H975" s="6" t="s">
        <v>6700</v>
      </c>
      <c r="I975" s="6" t="s">
        <v>6701</v>
      </c>
      <c r="J975" s="6" t="s">
        <v>6702</v>
      </c>
      <c r="K975" s="6" t="s">
        <v>6703</v>
      </c>
      <c r="L975" s="17"/>
      <c r="M975" s="17"/>
      <c r="N975" s="17" t="str">
        <f t="shared" si="2"/>
        <v>OK</v>
      </c>
      <c r="O975" s="17" t="s">
        <v>35</v>
      </c>
      <c r="P975" s="6" t="s">
        <v>35</v>
      </c>
      <c r="Q975" s="17" t="s">
        <v>36</v>
      </c>
      <c r="R975" s="17" t="s">
        <v>6704</v>
      </c>
      <c r="S975" s="173" t="s">
        <v>38</v>
      </c>
      <c r="T975" s="11" t="s">
        <v>6054</v>
      </c>
      <c r="U975" s="20" t="s">
        <v>6684</v>
      </c>
      <c r="V975" s="20" t="s">
        <v>6684</v>
      </c>
      <c r="W975" s="20"/>
      <c r="X975" s="7"/>
      <c r="Y975" s="7"/>
      <c r="Z975" s="23"/>
      <c r="AA975" s="26"/>
    </row>
    <row r="976" spans="1:27" ht="15.75" customHeight="1">
      <c r="A976" s="10" t="s">
        <v>6705</v>
      </c>
      <c r="B976" s="10" t="s">
        <v>4410</v>
      </c>
      <c r="C976" s="61" t="s">
        <v>6054</v>
      </c>
      <c r="D976" s="12"/>
      <c r="E976" s="13" t="s">
        <v>62</v>
      </c>
      <c r="F976" s="6" t="s">
        <v>6706</v>
      </c>
      <c r="G976" s="6" t="str">
        <f ca="1">IFERROR(__xludf.DUMMYFUNCTION("CONCATENATE(B976,(VLOOKUP(C976,CATALOGOS!$F$2:$H$6,3,FALSE)),(VLOOKUP(T976,CATALOGOS!$J$2:$K$18,2,FALSE)),""-"",TO_TEXT(A976))"),"P21DG-0975")</f>
        <v>P21DG-0975</v>
      </c>
      <c r="H976" s="6" t="s">
        <v>6707</v>
      </c>
      <c r="I976" s="6" t="s">
        <v>6708</v>
      </c>
      <c r="J976" s="6" t="s">
        <v>6709</v>
      </c>
      <c r="K976" s="6" t="s">
        <v>6710</v>
      </c>
      <c r="L976" s="17"/>
      <c r="M976" s="17"/>
      <c r="N976" s="17" t="str">
        <f t="shared" si="2"/>
        <v>OK</v>
      </c>
      <c r="O976" s="17" t="s">
        <v>35</v>
      </c>
      <c r="P976" s="6" t="s">
        <v>35</v>
      </c>
      <c r="Q976" s="17" t="s">
        <v>36</v>
      </c>
      <c r="R976" s="17" t="s">
        <v>6711</v>
      </c>
      <c r="S976" s="173" t="s">
        <v>38</v>
      </c>
      <c r="T976" s="11" t="s">
        <v>6054</v>
      </c>
      <c r="U976" s="20" t="s">
        <v>6684</v>
      </c>
      <c r="V976" s="20" t="s">
        <v>6684</v>
      </c>
      <c r="W976" s="20"/>
      <c r="X976" s="7"/>
      <c r="Y976" s="7"/>
      <c r="Z976" s="23"/>
      <c r="AA976" s="26"/>
    </row>
    <row r="977" spans="1:27" ht="15.75" customHeight="1">
      <c r="A977" s="10" t="s">
        <v>6712</v>
      </c>
      <c r="B977" s="10" t="s">
        <v>4410</v>
      </c>
      <c r="C977" s="61" t="s">
        <v>6054</v>
      </c>
      <c r="D977" s="12"/>
      <c r="E977" s="13" t="s">
        <v>43</v>
      </c>
      <c r="F977" s="43" t="s">
        <v>457</v>
      </c>
      <c r="G977" s="6" t="str">
        <f ca="1">IFERROR(__xludf.DUMMYFUNCTION("CONCATENATE(B977,(VLOOKUP(C977,CATALOGOS!$F$2:$H$6,3,FALSE)),(VLOOKUP(T977,CATALOGOS!$J$2:$K$18,2,FALSE)),""-"",TO_TEXT(A977))"),"P21DG-0976")</f>
        <v>P21DG-0976</v>
      </c>
      <c r="H977" s="6" t="s">
        <v>6713</v>
      </c>
      <c r="I977" s="6" t="s">
        <v>6714</v>
      </c>
      <c r="J977" s="6" t="s">
        <v>6715</v>
      </c>
      <c r="K977" s="6" t="s">
        <v>6716</v>
      </c>
      <c r="L977" s="17"/>
      <c r="M977" s="17"/>
      <c r="N977" s="17" t="str">
        <f t="shared" si="2"/>
        <v>OK</v>
      </c>
      <c r="O977" s="17" t="s">
        <v>406</v>
      </c>
      <c r="P977" s="6" t="s">
        <v>6717</v>
      </c>
      <c r="Q977" s="17" t="s">
        <v>6682</v>
      </c>
      <c r="R977" s="10" t="s">
        <v>6718</v>
      </c>
      <c r="S977" s="184" t="s">
        <v>1304</v>
      </c>
      <c r="T977" s="11" t="s">
        <v>6054</v>
      </c>
      <c r="U977" s="20" t="s">
        <v>6684</v>
      </c>
      <c r="V977" s="20" t="s">
        <v>6684</v>
      </c>
      <c r="W977" s="20"/>
      <c r="X977" s="7"/>
      <c r="Y977" s="7"/>
      <c r="Z977" s="23"/>
      <c r="AA977" s="26"/>
    </row>
    <row r="978" spans="1:27" ht="15.75" customHeight="1">
      <c r="A978" s="10" t="s">
        <v>6719</v>
      </c>
      <c r="B978" s="10" t="s">
        <v>4410</v>
      </c>
      <c r="C978" s="61" t="s">
        <v>6054</v>
      </c>
      <c r="D978" s="12"/>
      <c r="E978" s="13" t="s">
        <v>353</v>
      </c>
      <c r="F978" s="43" t="s">
        <v>354</v>
      </c>
      <c r="G978" s="6" t="str">
        <f ca="1">IFERROR(__xludf.DUMMYFUNCTION("CONCATENATE(B978,(VLOOKUP(C978,CATALOGOS!$F$2:$H$6,3,FALSE)),(VLOOKUP(T978,CATALOGOS!$J$2:$K$18,2,FALSE)),""-"",TO_TEXT(A978))"),"P21DG-0977")</f>
        <v>P21DG-0977</v>
      </c>
      <c r="H978" s="6" t="s">
        <v>6720</v>
      </c>
      <c r="I978" s="6" t="s">
        <v>6721</v>
      </c>
      <c r="J978" s="6" t="s">
        <v>6722</v>
      </c>
      <c r="K978" s="6" t="s">
        <v>6723</v>
      </c>
      <c r="L978" s="17"/>
      <c r="M978" s="17"/>
      <c r="N978" s="17" t="str">
        <f t="shared" si="2"/>
        <v>OK</v>
      </c>
      <c r="O978" s="17" t="s">
        <v>359</v>
      </c>
      <c r="P978" s="6" t="s">
        <v>6724</v>
      </c>
      <c r="Q978" s="17" t="s">
        <v>6725</v>
      </c>
      <c r="R978" s="10" t="s">
        <v>6726</v>
      </c>
      <c r="S978" s="173" t="s">
        <v>38</v>
      </c>
      <c r="T978" s="11" t="s">
        <v>6054</v>
      </c>
      <c r="U978" s="20" t="s">
        <v>6684</v>
      </c>
      <c r="V978" s="20" t="s">
        <v>6684</v>
      </c>
      <c r="W978" s="20"/>
      <c r="X978" s="7"/>
      <c r="Y978" s="7"/>
      <c r="Z978" s="23"/>
      <c r="AA978" s="26"/>
    </row>
    <row r="979" spans="1:27" ht="15.75" customHeight="1">
      <c r="A979" s="10" t="s">
        <v>6727</v>
      </c>
      <c r="B979" s="10" t="s">
        <v>4410</v>
      </c>
      <c r="C979" s="61" t="s">
        <v>6054</v>
      </c>
      <c r="D979" s="12"/>
      <c r="E979" s="13" t="s">
        <v>199</v>
      </c>
      <c r="F979" s="6" t="s">
        <v>199</v>
      </c>
      <c r="G979" s="6" t="str">
        <f ca="1">IFERROR(__xludf.DUMMYFUNCTION("CONCATENATE(B979,(VLOOKUP(C979,CATALOGOS!$F$2:$H$6,3,FALSE)),(VLOOKUP(T979,CATALOGOS!$J$2:$K$18,2,FALSE)),""-"",TO_TEXT(A979))"),"P21DG-0978")</f>
        <v>P21DG-0978</v>
      </c>
      <c r="H979" s="6" t="s">
        <v>6728</v>
      </c>
      <c r="I979" s="6" t="s">
        <v>6729</v>
      </c>
      <c r="J979" s="6" t="s">
        <v>6730</v>
      </c>
      <c r="K979" s="6" t="s">
        <v>141</v>
      </c>
      <c r="L979" s="17"/>
      <c r="M979" s="17"/>
      <c r="N979" s="17" t="str">
        <f t="shared" si="2"/>
        <v>REPETIDO</v>
      </c>
      <c r="O979" s="17" t="s">
        <v>205</v>
      </c>
      <c r="P979" s="32" t="s">
        <v>794</v>
      </c>
      <c r="Q979" s="17" t="s">
        <v>6731</v>
      </c>
      <c r="R979" s="17" t="s">
        <v>6732</v>
      </c>
      <c r="S979" s="173" t="s">
        <v>38</v>
      </c>
      <c r="T979" s="11" t="s">
        <v>6054</v>
      </c>
      <c r="U979" s="20" t="s">
        <v>6684</v>
      </c>
      <c r="V979" s="20" t="s">
        <v>6684</v>
      </c>
      <c r="W979" s="20"/>
      <c r="X979" s="7"/>
      <c r="Y979" s="7"/>
      <c r="Z979" s="23"/>
      <c r="AA979" s="26"/>
    </row>
    <row r="980" spans="1:27" ht="15.75" customHeight="1">
      <c r="A980" s="10" t="s">
        <v>6733</v>
      </c>
      <c r="B980" s="10" t="s">
        <v>4410</v>
      </c>
      <c r="C980" s="61" t="s">
        <v>6054</v>
      </c>
      <c r="D980" s="12"/>
      <c r="E980" s="13" t="s">
        <v>151</v>
      </c>
      <c r="F980" s="6" t="s">
        <v>714</v>
      </c>
      <c r="G980" s="6" t="str">
        <f ca="1">IFERROR(__xludf.DUMMYFUNCTION("CONCATENATE(B980,(VLOOKUP(C980,CATALOGOS!$F$2:$H$6,3,FALSE)),(VLOOKUP(T980,CATALOGOS!$J$2:$K$18,2,FALSE)),""-"",TO_TEXT(A980))"),"P21DG-0979")</f>
        <v>P21DG-0979</v>
      </c>
      <c r="H980" s="6" t="s">
        <v>6734</v>
      </c>
      <c r="I980" s="6" t="s">
        <v>6735</v>
      </c>
      <c r="J980" s="6" t="s">
        <v>6736</v>
      </c>
      <c r="K980" s="6" t="s">
        <v>6737</v>
      </c>
      <c r="L980" s="17"/>
      <c r="M980" s="17"/>
      <c r="N980" s="17" t="str">
        <f t="shared" si="2"/>
        <v>OK</v>
      </c>
      <c r="O980" s="17" t="s">
        <v>1220</v>
      </c>
      <c r="P980" s="6" t="s">
        <v>720</v>
      </c>
      <c r="Q980" s="17" t="s">
        <v>6738</v>
      </c>
      <c r="R980" s="17" t="s">
        <v>6739</v>
      </c>
      <c r="S980" s="173" t="s">
        <v>38</v>
      </c>
      <c r="T980" s="19" t="s">
        <v>6054</v>
      </c>
      <c r="U980" s="20" t="s">
        <v>6684</v>
      </c>
      <c r="V980" s="20" t="s">
        <v>6684</v>
      </c>
      <c r="W980" s="20"/>
      <c r="X980" s="7"/>
      <c r="Y980" s="7"/>
      <c r="Z980" s="23"/>
      <c r="AA980" s="26"/>
    </row>
    <row r="981" spans="1:27" ht="15.75" customHeight="1">
      <c r="A981" s="10" t="s">
        <v>6740</v>
      </c>
      <c r="B981" s="10" t="s">
        <v>4410</v>
      </c>
      <c r="C981" s="61" t="s">
        <v>6054</v>
      </c>
      <c r="D981" s="12"/>
      <c r="E981" s="13" t="s">
        <v>162</v>
      </c>
      <c r="F981" s="43" t="s">
        <v>285</v>
      </c>
      <c r="G981" s="6" t="str">
        <f ca="1">IFERROR(__xludf.DUMMYFUNCTION("CONCATENATE(B981,(VLOOKUP(C981,CATALOGOS!$F$2:$H$6,3,FALSE)),(VLOOKUP(T981,CATALOGOS!$J$2:$K$18,2,FALSE)),""-"",TO_TEXT(A981))"),"P21DG-0980")</f>
        <v>P21DG-0980</v>
      </c>
      <c r="H981" s="6" t="s">
        <v>6741</v>
      </c>
      <c r="I981" s="6" t="s">
        <v>6742</v>
      </c>
      <c r="J981" s="6" t="s">
        <v>6743</v>
      </c>
      <c r="K981" s="6" t="s">
        <v>6744</v>
      </c>
      <c r="L981" s="17"/>
      <c r="M981" s="17"/>
      <c r="N981" s="17" t="str">
        <f t="shared" si="2"/>
        <v>OK</v>
      </c>
      <c r="O981" s="17" t="s">
        <v>663</v>
      </c>
      <c r="P981" s="6" t="s">
        <v>664</v>
      </c>
      <c r="Q981" s="17" t="s">
        <v>6745</v>
      </c>
      <c r="R981" s="17" t="s">
        <v>6746</v>
      </c>
      <c r="S981" s="173" t="s">
        <v>38</v>
      </c>
      <c r="T981" s="11" t="s">
        <v>6054</v>
      </c>
      <c r="U981" s="20" t="s">
        <v>6684</v>
      </c>
      <c r="V981" s="20" t="s">
        <v>6684</v>
      </c>
      <c r="W981" s="20"/>
      <c r="X981" s="7"/>
      <c r="Y981" s="7"/>
      <c r="Z981" s="23"/>
      <c r="AA981" s="26"/>
    </row>
    <row r="982" spans="1:27" ht="15.75" customHeight="1">
      <c r="A982" s="10" t="s">
        <v>6747</v>
      </c>
      <c r="B982" s="10" t="s">
        <v>4410</v>
      </c>
      <c r="C982" s="61" t="s">
        <v>6054</v>
      </c>
      <c r="D982" s="12"/>
      <c r="E982" s="13" t="s">
        <v>62</v>
      </c>
      <c r="F982" s="6" t="s">
        <v>6748</v>
      </c>
      <c r="G982" s="6" t="str">
        <f ca="1">IFERROR(__xludf.DUMMYFUNCTION("CONCATENATE(B982,(VLOOKUP(C982,CATALOGOS!$F$2:$H$6,3,FALSE)),(VLOOKUP(T982,CATALOGOS!$J$2:$K$18,2,FALSE)),""-"",TO_TEXT(A982))"),"P21DG-0981")</f>
        <v>P21DG-0981</v>
      </c>
      <c r="H982" s="6" t="s">
        <v>6749</v>
      </c>
      <c r="I982" s="6" t="s">
        <v>6750</v>
      </c>
      <c r="J982" s="6" t="s">
        <v>6751</v>
      </c>
      <c r="K982" s="6" t="s">
        <v>6752</v>
      </c>
      <c r="L982" s="17"/>
      <c r="M982" s="35" t="s">
        <v>6753</v>
      </c>
      <c r="N982" s="17" t="str">
        <f t="shared" si="2"/>
        <v>OK</v>
      </c>
      <c r="O982" s="17" t="s">
        <v>35</v>
      </c>
      <c r="P982" s="32" t="s">
        <v>35</v>
      </c>
      <c r="Q982" s="17" t="s">
        <v>36</v>
      </c>
      <c r="R982" s="17" t="s">
        <v>6754</v>
      </c>
      <c r="S982" s="173" t="s">
        <v>38</v>
      </c>
      <c r="T982" s="11" t="s">
        <v>6054</v>
      </c>
      <c r="U982" s="20" t="s">
        <v>6684</v>
      </c>
      <c r="V982" s="20" t="s">
        <v>6684</v>
      </c>
      <c r="W982" s="20"/>
      <c r="X982" s="7"/>
      <c r="Y982" s="7"/>
      <c r="Z982" s="23"/>
      <c r="AA982" s="26"/>
    </row>
    <row r="983" spans="1:27" ht="15.75" customHeight="1">
      <c r="A983" s="10" t="s">
        <v>6755</v>
      </c>
      <c r="B983" s="10" t="s">
        <v>4410</v>
      </c>
      <c r="C983" s="61" t="s">
        <v>6054</v>
      </c>
      <c r="D983" s="12"/>
      <c r="E983" s="13" t="s">
        <v>501</v>
      </c>
      <c r="F983" s="6" t="s">
        <v>6756</v>
      </c>
      <c r="G983" s="6" t="str">
        <f ca="1">IFERROR(__xludf.DUMMYFUNCTION("CONCATENATE(B983,(VLOOKUP(C983,CATALOGOS!$F$2:$H$6,3,FALSE)),(VLOOKUP(T983,CATALOGOS!$J$2:$K$18,2,FALSE)),""-"",TO_TEXT(A983))"),"P21DG-0982")</f>
        <v>P21DG-0982</v>
      </c>
      <c r="H983" s="6" t="s">
        <v>6757</v>
      </c>
      <c r="I983" s="6" t="s">
        <v>6758</v>
      </c>
      <c r="J983" s="6" t="s">
        <v>6759</v>
      </c>
      <c r="K983" s="6" t="s">
        <v>6760</v>
      </c>
      <c r="L983" s="17"/>
      <c r="M983" s="17"/>
      <c r="N983" s="17" t="str">
        <f t="shared" si="2"/>
        <v>OK</v>
      </c>
      <c r="O983" s="17" t="s">
        <v>35</v>
      </c>
      <c r="P983" s="6" t="s">
        <v>35</v>
      </c>
      <c r="Q983" s="17" t="s">
        <v>36</v>
      </c>
      <c r="R983" s="17" t="s">
        <v>6761</v>
      </c>
      <c r="S983" s="173" t="s">
        <v>38</v>
      </c>
      <c r="T983" s="11" t="s">
        <v>6054</v>
      </c>
      <c r="U983" s="20" t="s">
        <v>6684</v>
      </c>
      <c r="V983" s="20" t="s">
        <v>6684</v>
      </c>
      <c r="W983" s="20"/>
      <c r="X983" s="7"/>
      <c r="Y983" s="7"/>
      <c r="Z983" s="23"/>
      <c r="AA983" s="26"/>
    </row>
    <row r="984" spans="1:27" ht="15.75" customHeight="1">
      <c r="A984" s="10" t="s">
        <v>6762</v>
      </c>
      <c r="B984" s="10" t="s">
        <v>4410</v>
      </c>
      <c r="C984" s="61" t="s">
        <v>6054</v>
      </c>
      <c r="D984" s="12"/>
      <c r="E984" s="13" t="s">
        <v>378</v>
      </c>
      <c r="F984" s="43" t="s">
        <v>6763</v>
      </c>
      <c r="G984" s="6" t="str">
        <f ca="1">IFERROR(__xludf.DUMMYFUNCTION("CONCATENATE(B984,(VLOOKUP(C984,CATALOGOS!$F$2:$H$6,3,FALSE)),(VLOOKUP(T984,CATALOGOS!$J$2:$K$18,2,FALSE)),""-"",TO_TEXT(A984))"),"P21DG-0983")</f>
        <v>P21DG-0983</v>
      </c>
      <c r="H984" s="6" t="s">
        <v>6764</v>
      </c>
      <c r="I984" s="6" t="s">
        <v>6765</v>
      </c>
      <c r="J984" s="6" t="s">
        <v>6766</v>
      </c>
      <c r="K984" s="6" t="s">
        <v>6767</v>
      </c>
      <c r="L984" s="17"/>
      <c r="M984" s="17"/>
      <c r="N984" s="17" t="str">
        <f t="shared" si="2"/>
        <v>OK</v>
      </c>
      <c r="O984" s="17" t="s">
        <v>35</v>
      </c>
      <c r="P984" s="6" t="s">
        <v>35</v>
      </c>
      <c r="Q984" s="17" t="s">
        <v>36</v>
      </c>
      <c r="R984" s="17" t="s">
        <v>6768</v>
      </c>
      <c r="S984" s="173" t="s">
        <v>38</v>
      </c>
      <c r="T984" s="11" t="s">
        <v>6054</v>
      </c>
      <c r="U984" s="20" t="s">
        <v>6684</v>
      </c>
      <c r="V984" s="20" t="s">
        <v>6684</v>
      </c>
      <c r="W984" s="20"/>
      <c r="X984" s="7"/>
      <c r="Y984" s="7"/>
      <c r="Z984" s="23"/>
      <c r="AA984" s="26"/>
    </row>
    <row r="985" spans="1:27" ht="15.75" customHeight="1">
      <c r="A985" s="10" t="s">
        <v>6769</v>
      </c>
      <c r="B985" s="10" t="s">
        <v>4410</v>
      </c>
      <c r="C985" s="61" t="s">
        <v>6054</v>
      </c>
      <c r="D985" s="38"/>
      <c r="E985" s="13" t="s">
        <v>378</v>
      </c>
      <c r="F985" s="6" t="s">
        <v>1306</v>
      </c>
      <c r="G985" s="6" t="str">
        <f ca="1">IFERROR(__xludf.DUMMYFUNCTION("CONCATENATE(B985,(VLOOKUP(C985,CATALOGOS!$F$2:$H$6,3,FALSE)),(VLOOKUP(T985,CATALOGOS!$J$2:$K$18,2,FALSE)),""-"",TO_TEXT(A985))"),"P21DG-0984")</f>
        <v>P21DG-0984</v>
      </c>
      <c r="H985" s="6" t="s">
        <v>6770</v>
      </c>
      <c r="I985" s="6" t="s">
        <v>6771</v>
      </c>
      <c r="J985" s="6" t="s">
        <v>6772</v>
      </c>
      <c r="K985" s="6" t="s">
        <v>6773</v>
      </c>
      <c r="L985" s="17"/>
      <c r="M985" s="17"/>
      <c r="N985" s="17" t="str">
        <f t="shared" si="2"/>
        <v>OK</v>
      </c>
      <c r="O985" s="17" t="s">
        <v>35</v>
      </c>
      <c r="P985" s="6" t="s">
        <v>35</v>
      </c>
      <c r="Q985" s="46" t="s">
        <v>36</v>
      </c>
      <c r="R985" s="17" t="s">
        <v>6774</v>
      </c>
      <c r="S985" s="173" t="s">
        <v>38</v>
      </c>
      <c r="T985" s="11" t="s">
        <v>6054</v>
      </c>
      <c r="U985" s="20" t="s">
        <v>6684</v>
      </c>
      <c r="V985" s="20" t="s">
        <v>6684</v>
      </c>
      <c r="W985" s="20"/>
      <c r="X985" s="7"/>
      <c r="Y985" s="7"/>
      <c r="Z985" s="26"/>
      <c r="AA985" s="26"/>
    </row>
    <row r="986" spans="1:27" ht="15.75" customHeight="1">
      <c r="A986" s="10" t="s">
        <v>6775</v>
      </c>
      <c r="B986" s="10" t="s">
        <v>1469</v>
      </c>
      <c r="C986" s="61" t="s">
        <v>1470</v>
      </c>
      <c r="D986" s="12"/>
      <c r="E986" s="13" t="s">
        <v>162</v>
      </c>
      <c r="F986" s="6" t="s">
        <v>162</v>
      </c>
      <c r="G986" s="6" t="str">
        <f ca="1">IFERROR(__xludf.DUMMYFUNCTION("CONCATENATE(B986,(VLOOKUP(C986,CATALOGOS!$F$2:$H$6,3,FALSE)),(VLOOKUP(T986,CATALOGOS!$J$2:$K$18,2,FALSE)),""-"",TO_TEXT(A986))"),"P12DG-0985")</f>
        <v>P12DG-0985</v>
      </c>
      <c r="H986" s="6" t="s">
        <v>6776</v>
      </c>
      <c r="I986" s="6" t="s">
        <v>6777</v>
      </c>
      <c r="J986" s="37"/>
      <c r="K986" s="6" t="s">
        <v>6778</v>
      </c>
      <c r="L986" s="17"/>
      <c r="M986" s="17"/>
      <c r="N986" s="17" t="str">
        <f t="shared" si="2"/>
        <v>OK</v>
      </c>
      <c r="O986" s="17" t="s">
        <v>663</v>
      </c>
      <c r="P986" s="6" t="s">
        <v>6779</v>
      </c>
      <c r="Q986" s="6" t="s">
        <v>6780</v>
      </c>
      <c r="R986" s="10" t="s">
        <v>85</v>
      </c>
      <c r="S986" s="173" t="s">
        <v>38</v>
      </c>
      <c r="T986" s="11" t="s">
        <v>6054</v>
      </c>
      <c r="U986" s="20" t="s">
        <v>1484</v>
      </c>
      <c r="V986" s="20" t="s">
        <v>1484</v>
      </c>
      <c r="W986" s="20"/>
      <c r="X986" s="26"/>
      <c r="Y986" s="26"/>
      <c r="Z986" s="26"/>
      <c r="AA986" s="26"/>
    </row>
    <row r="987" spans="1:27" ht="15.75" customHeight="1">
      <c r="A987" s="10" t="s">
        <v>6781</v>
      </c>
      <c r="B987" s="10" t="s">
        <v>1469</v>
      </c>
      <c r="C987" s="61" t="s">
        <v>1470</v>
      </c>
      <c r="D987" s="12"/>
      <c r="E987" s="13" t="s">
        <v>162</v>
      </c>
      <c r="F987" s="6" t="s">
        <v>162</v>
      </c>
      <c r="G987" s="6" t="str">
        <f ca="1">IFERROR(__xludf.DUMMYFUNCTION("CONCATENATE(B987,(VLOOKUP(C987,CATALOGOS!$F$2:$H$6,3,FALSE)),(VLOOKUP(T987,CATALOGOS!$J$2:$K$18,2,FALSE)),""-"",TO_TEXT(A987))"),"P12DG-0986")</f>
        <v>P12DG-0986</v>
      </c>
      <c r="H987" s="6" t="s">
        <v>6782</v>
      </c>
      <c r="I987" s="6" t="s">
        <v>6783</v>
      </c>
      <c r="J987" s="54"/>
      <c r="K987" s="32" t="s">
        <v>6784</v>
      </c>
      <c r="L987" s="17"/>
      <c r="M987" s="17"/>
      <c r="N987" s="17" t="str">
        <f t="shared" si="2"/>
        <v>OK</v>
      </c>
      <c r="O987" s="32" t="s">
        <v>663</v>
      </c>
      <c r="P987" s="6" t="s">
        <v>6785</v>
      </c>
      <c r="Q987" s="17" t="s">
        <v>6786</v>
      </c>
      <c r="R987" s="6" t="s">
        <v>85</v>
      </c>
      <c r="S987" s="173" t="s">
        <v>38</v>
      </c>
      <c r="T987" s="11" t="s">
        <v>6054</v>
      </c>
      <c r="U987" s="20" t="s">
        <v>1484</v>
      </c>
      <c r="V987" s="20" t="s">
        <v>1484</v>
      </c>
      <c r="W987" s="20"/>
      <c r="X987" s="26"/>
      <c r="Y987" s="26"/>
      <c r="Z987" s="26"/>
      <c r="AA987" s="26"/>
    </row>
    <row r="988" spans="1:27" ht="15.75" customHeight="1">
      <c r="A988" s="10" t="s">
        <v>6787</v>
      </c>
      <c r="B988" s="10" t="s">
        <v>1469</v>
      </c>
      <c r="C988" s="61" t="s">
        <v>1470</v>
      </c>
      <c r="D988" s="12"/>
      <c r="E988" s="13" t="s">
        <v>162</v>
      </c>
      <c r="F988" s="6" t="s">
        <v>162</v>
      </c>
      <c r="G988" s="6" t="str">
        <f ca="1">IFERROR(__xludf.DUMMYFUNCTION("CONCATENATE(B988,(VLOOKUP(C988,CATALOGOS!$F$2:$H$6,3,FALSE)),(VLOOKUP(T988,CATALOGOS!$J$2:$K$18,2,FALSE)),""-"",TO_TEXT(A988))"),"P12DG-0987")</f>
        <v>P12DG-0987</v>
      </c>
      <c r="H988" s="6" t="s">
        <v>6788</v>
      </c>
      <c r="I988" s="6" t="s">
        <v>6789</v>
      </c>
      <c r="J988" s="54"/>
      <c r="K988" s="32" t="s">
        <v>6790</v>
      </c>
      <c r="L988" s="17"/>
      <c r="M988" s="17"/>
      <c r="N988" s="17" t="str">
        <f t="shared" si="2"/>
        <v>OK</v>
      </c>
      <c r="O988" s="32" t="s">
        <v>663</v>
      </c>
      <c r="P988" s="6" t="s">
        <v>6779</v>
      </c>
      <c r="Q988" s="17" t="s">
        <v>6791</v>
      </c>
      <c r="R988" s="6" t="s">
        <v>85</v>
      </c>
      <c r="S988" s="173" t="s">
        <v>38</v>
      </c>
      <c r="T988" s="11" t="s">
        <v>6054</v>
      </c>
      <c r="U988" s="20" t="s">
        <v>1484</v>
      </c>
      <c r="V988" s="20" t="s">
        <v>1484</v>
      </c>
      <c r="W988" s="20"/>
      <c r="X988" s="26"/>
      <c r="Y988" s="26"/>
      <c r="Z988" s="26"/>
      <c r="AA988" s="26"/>
    </row>
    <row r="989" spans="1:27" ht="15.75" customHeight="1">
      <c r="A989" s="10" t="s">
        <v>6792</v>
      </c>
      <c r="B989" s="10" t="s">
        <v>1469</v>
      </c>
      <c r="C989" s="61" t="s">
        <v>1470</v>
      </c>
      <c r="D989" s="12"/>
      <c r="E989" s="13" t="s">
        <v>162</v>
      </c>
      <c r="F989" s="6" t="s">
        <v>162</v>
      </c>
      <c r="G989" s="6" t="str">
        <f ca="1">IFERROR(__xludf.DUMMYFUNCTION("CONCATENATE(B989,(VLOOKUP(C989,CATALOGOS!$F$2:$H$6,3,FALSE)),(VLOOKUP(T989,CATALOGOS!$J$2:$K$18,2,FALSE)),""-"",TO_TEXT(A989))"),"P12DG-0988")</f>
        <v>P12DG-0988</v>
      </c>
      <c r="H989" s="6" t="s">
        <v>6793</v>
      </c>
      <c r="I989" s="6" t="s">
        <v>6794</v>
      </c>
      <c r="J989" s="54"/>
      <c r="K989" s="32" t="s">
        <v>6795</v>
      </c>
      <c r="L989" s="17"/>
      <c r="M989" s="17"/>
      <c r="N989" s="17" t="str">
        <f t="shared" si="2"/>
        <v>OK</v>
      </c>
      <c r="O989" s="32" t="s">
        <v>663</v>
      </c>
      <c r="P989" s="6" t="s">
        <v>6779</v>
      </c>
      <c r="Q989" s="17" t="s">
        <v>6796</v>
      </c>
      <c r="R989" s="6" t="s">
        <v>85</v>
      </c>
      <c r="S989" s="173" t="s">
        <v>38</v>
      </c>
      <c r="T989" s="11" t="s">
        <v>6054</v>
      </c>
      <c r="U989" s="20" t="s">
        <v>1484</v>
      </c>
      <c r="V989" s="20" t="s">
        <v>1484</v>
      </c>
      <c r="W989" s="20"/>
      <c r="X989" s="26"/>
      <c r="Y989" s="26"/>
      <c r="Z989" s="26"/>
      <c r="AA989" s="26"/>
    </row>
    <row r="990" spans="1:27" ht="15.75" customHeight="1">
      <c r="A990" s="10" t="s">
        <v>6797</v>
      </c>
      <c r="B990" s="20" t="s">
        <v>1469</v>
      </c>
      <c r="C990" s="61" t="s">
        <v>1470</v>
      </c>
      <c r="D990" s="38"/>
      <c r="E990" s="13" t="s">
        <v>162</v>
      </c>
      <c r="F990" s="6" t="s">
        <v>162</v>
      </c>
      <c r="G990" s="6" t="str">
        <f ca="1">IFERROR(__xludf.DUMMYFUNCTION("CONCATENATE(B990,(VLOOKUP(C990,CATALOGOS!$F$2:$H$6,3,FALSE)),(VLOOKUP(T990,CATALOGOS!$J$2:$K$18,2,FALSE)),""-"",TO_TEXT(A990))"),"P12DG-0989")</f>
        <v>P12DG-0989</v>
      </c>
      <c r="H990" s="6" t="s">
        <v>6798</v>
      </c>
      <c r="I990" s="6" t="s">
        <v>6799</v>
      </c>
      <c r="J990" s="72"/>
      <c r="K990" s="6" t="s">
        <v>6800</v>
      </c>
      <c r="L990" s="17"/>
      <c r="M990" s="17"/>
      <c r="N990" s="17" t="str">
        <f t="shared" si="2"/>
        <v>OK</v>
      </c>
      <c r="O990" s="17" t="s">
        <v>663</v>
      </c>
      <c r="P990" s="6" t="s">
        <v>35</v>
      </c>
      <c r="Q990" s="6" t="s">
        <v>36</v>
      </c>
      <c r="R990" s="32" t="s">
        <v>85</v>
      </c>
      <c r="S990" s="173" t="s">
        <v>38</v>
      </c>
      <c r="T990" s="11" t="s">
        <v>6054</v>
      </c>
      <c r="U990" s="20" t="s">
        <v>1484</v>
      </c>
      <c r="V990" s="20" t="s">
        <v>1484</v>
      </c>
      <c r="W990" s="20"/>
      <c r="X990" s="84"/>
      <c r="Y990" s="84"/>
      <c r="Z990" s="54"/>
      <c r="AA990" s="26"/>
    </row>
    <row r="991" spans="1:27" ht="15.75" customHeight="1">
      <c r="A991" s="10" t="s">
        <v>6801</v>
      </c>
      <c r="B991" s="10" t="s">
        <v>4410</v>
      </c>
      <c r="C991" s="61" t="s">
        <v>4411</v>
      </c>
      <c r="D991" s="12"/>
      <c r="E991" s="13" t="s">
        <v>43</v>
      </c>
      <c r="F991" s="43" t="s">
        <v>2581</v>
      </c>
      <c r="G991" s="6" t="str">
        <f ca="1">IFERROR(__xludf.DUMMYFUNCTION("CONCATENATE(B991,(VLOOKUP(C991,CATALOGOS!$F$2:$H$6,3,FALSE)),(VLOOKUP(T991,CATALOGOS!$J$2:$K$18,2,FALSE)),""-"",TO_TEXT(A991))"),"P24SJ-0990")</f>
        <v>P24SJ-0990</v>
      </c>
      <c r="H991" s="6" t="s">
        <v>6802</v>
      </c>
      <c r="I991" s="6" t="s">
        <v>5285</v>
      </c>
      <c r="J991" s="32" t="s">
        <v>5235</v>
      </c>
      <c r="K991" s="6" t="s">
        <v>141</v>
      </c>
      <c r="L991" s="17"/>
      <c r="M991" s="17"/>
      <c r="N991" s="17" t="str">
        <f t="shared" si="2"/>
        <v>REPETIDO</v>
      </c>
      <c r="O991" s="17" t="s">
        <v>5237</v>
      </c>
      <c r="P991" s="32" t="s">
        <v>35</v>
      </c>
      <c r="Q991" s="17" t="s">
        <v>36</v>
      </c>
      <c r="R991" s="17" t="s">
        <v>5239</v>
      </c>
      <c r="S991" s="173" t="s">
        <v>38</v>
      </c>
      <c r="T991" s="11" t="s">
        <v>4411</v>
      </c>
      <c r="U991" s="22" t="s">
        <v>4417</v>
      </c>
      <c r="V991" s="22" t="s">
        <v>4417</v>
      </c>
      <c r="W991" s="22"/>
      <c r="X991" s="7"/>
      <c r="Y991" s="7"/>
      <c r="Z991" s="23"/>
      <c r="AA991" s="26"/>
    </row>
    <row r="992" spans="1:27" ht="15.75" customHeight="1">
      <c r="A992" s="10" t="s">
        <v>6803</v>
      </c>
      <c r="B992" s="10" t="s">
        <v>4410</v>
      </c>
      <c r="C992" s="61" t="s">
        <v>4411</v>
      </c>
      <c r="D992" s="12"/>
      <c r="E992" s="13" t="s">
        <v>184</v>
      </c>
      <c r="F992" s="43" t="s">
        <v>6804</v>
      </c>
      <c r="G992" s="6" t="str">
        <f ca="1">IFERROR(__xludf.DUMMYFUNCTION("CONCATENATE(B992,(VLOOKUP(C992,CATALOGOS!$F$2:$H$6,3,FALSE)),(VLOOKUP(T992,CATALOGOS!$J$2:$K$18,2,FALSE)),""-"",TO_TEXT(A992))"),"P24SJ-0991")</f>
        <v>P24SJ-0991</v>
      </c>
      <c r="H992" s="6" t="s">
        <v>6805</v>
      </c>
      <c r="I992" s="6" t="s">
        <v>6806</v>
      </c>
      <c r="J992" s="32" t="s">
        <v>6807</v>
      </c>
      <c r="K992" s="6" t="s">
        <v>6808</v>
      </c>
      <c r="L992" s="17"/>
      <c r="M992" s="17"/>
      <c r="N992" s="17" t="str">
        <f t="shared" si="2"/>
        <v>OK</v>
      </c>
      <c r="O992" s="17" t="s">
        <v>35</v>
      </c>
      <c r="P992" s="6" t="s">
        <v>35</v>
      </c>
      <c r="Q992" s="17" t="s">
        <v>36</v>
      </c>
      <c r="R992" s="17" t="s">
        <v>6809</v>
      </c>
      <c r="S992" s="173" t="s">
        <v>38</v>
      </c>
      <c r="T992" s="11" t="s">
        <v>4411</v>
      </c>
      <c r="U992" s="22" t="s">
        <v>4417</v>
      </c>
      <c r="V992" s="22" t="s">
        <v>4417</v>
      </c>
      <c r="W992" s="22"/>
      <c r="X992" s="7"/>
      <c r="Y992" s="7"/>
      <c r="Z992" s="23"/>
      <c r="AA992" s="26"/>
    </row>
    <row r="993" spans="1:27" ht="15.75" customHeight="1">
      <c r="A993" s="10" t="s">
        <v>6810</v>
      </c>
      <c r="B993" s="10" t="s">
        <v>4410</v>
      </c>
      <c r="C993" s="61" t="s">
        <v>4411</v>
      </c>
      <c r="D993" s="12"/>
      <c r="E993" s="13" t="s">
        <v>116</v>
      </c>
      <c r="F993" s="43" t="s">
        <v>6811</v>
      </c>
      <c r="G993" s="6" t="str">
        <f ca="1">IFERROR(__xludf.DUMMYFUNCTION("CONCATENATE(B993,(VLOOKUP(C993,CATALOGOS!$F$2:$H$6,3,FALSE)),(VLOOKUP(T993,CATALOGOS!$J$2:$K$18,2,FALSE)),""-"",TO_TEXT(A993))"),"P24SJ-0992")</f>
        <v>P24SJ-0992</v>
      </c>
      <c r="H993" s="6" t="s">
        <v>6812</v>
      </c>
      <c r="I993" s="6" t="s">
        <v>6813</v>
      </c>
      <c r="J993" s="32" t="s">
        <v>4413</v>
      </c>
      <c r="K993" s="6" t="s">
        <v>6814</v>
      </c>
      <c r="L993" s="17"/>
      <c r="M993" s="17"/>
      <c r="N993" s="17" t="str">
        <f t="shared" si="2"/>
        <v>OK</v>
      </c>
      <c r="O993" s="17" t="s">
        <v>35</v>
      </c>
      <c r="P993" s="6" t="s">
        <v>35</v>
      </c>
      <c r="Q993" s="17" t="s">
        <v>36</v>
      </c>
      <c r="R993" s="17" t="s">
        <v>6815</v>
      </c>
      <c r="S993" s="173" t="s">
        <v>38</v>
      </c>
      <c r="T993" s="11" t="s">
        <v>4411</v>
      </c>
      <c r="U993" s="22" t="s">
        <v>4417</v>
      </c>
      <c r="V993" s="22" t="s">
        <v>4417</v>
      </c>
      <c r="W993" s="20" t="s">
        <v>8444</v>
      </c>
      <c r="X993" s="7"/>
      <c r="Y993" s="7"/>
      <c r="Z993" s="23"/>
      <c r="AA993" s="26"/>
    </row>
    <row r="994" spans="1:27" ht="15.75" customHeight="1">
      <c r="A994" s="10" t="s">
        <v>6816</v>
      </c>
      <c r="B994" s="10" t="s">
        <v>4410</v>
      </c>
      <c r="C994" s="61" t="s">
        <v>4411</v>
      </c>
      <c r="D994" s="12"/>
      <c r="E994" s="13" t="s">
        <v>248</v>
      </c>
      <c r="F994" s="43" t="s">
        <v>249</v>
      </c>
      <c r="G994" s="6" t="str">
        <f ca="1">IFERROR(__xludf.DUMMYFUNCTION("CONCATENATE(B994,(VLOOKUP(C994,CATALOGOS!$F$2:$H$6,3,FALSE)),(VLOOKUP(T994,CATALOGOS!$J$2:$K$18,2,FALSE)),""-"",TO_TEXT(A994))"),"P24SJ-0993")</f>
        <v>P24SJ-0993</v>
      </c>
      <c r="H994" s="6" t="s">
        <v>6817</v>
      </c>
      <c r="I994" s="6" t="s">
        <v>6818</v>
      </c>
      <c r="J994" s="32" t="s">
        <v>6819</v>
      </c>
      <c r="K994" s="6" t="s">
        <v>6820</v>
      </c>
      <c r="L994" s="17"/>
      <c r="M994" s="17"/>
      <c r="N994" s="17" t="str">
        <f t="shared" si="2"/>
        <v>OK</v>
      </c>
      <c r="O994" s="17" t="s">
        <v>978</v>
      </c>
      <c r="P994" s="6" t="s">
        <v>979</v>
      </c>
      <c r="Q994" s="17" t="s">
        <v>36</v>
      </c>
      <c r="R994" s="17" t="s">
        <v>6821</v>
      </c>
      <c r="S994" s="173" t="s">
        <v>38</v>
      </c>
      <c r="T994" s="11" t="s">
        <v>4411</v>
      </c>
      <c r="U994" s="22" t="s">
        <v>4417</v>
      </c>
      <c r="V994" s="22" t="s">
        <v>4417</v>
      </c>
      <c r="W994" s="20" t="s">
        <v>8444</v>
      </c>
      <c r="X994" s="7"/>
      <c r="Y994" s="7"/>
      <c r="Z994" s="23"/>
      <c r="AA994" s="26"/>
    </row>
    <row r="995" spans="1:27" ht="15.75" customHeight="1">
      <c r="A995" s="10" t="s">
        <v>6822</v>
      </c>
      <c r="B995" s="10" t="s">
        <v>4410</v>
      </c>
      <c r="C995" s="61" t="s">
        <v>4411</v>
      </c>
      <c r="D995" s="12"/>
      <c r="E995" s="13" t="s">
        <v>278</v>
      </c>
      <c r="F995" s="43" t="s">
        <v>278</v>
      </c>
      <c r="G995" s="6" t="str">
        <f ca="1">IFERROR(__xludf.DUMMYFUNCTION("CONCATENATE(B995,(VLOOKUP(C995,CATALOGOS!$F$2:$H$6,3,FALSE)),(VLOOKUP(T995,CATALOGOS!$J$2:$K$18,2,FALSE)),""-"",TO_TEXT(A995))"),"P24SJ-0994")</f>
        <v>P24SJ-0994</v>
      </c>
      <c r="H995" s="6" t="s">
        <v>6823</v>
      </c>
      <c r="I995" s="6" t="s">
        <v>6824</v>
      </c>
      <c r="J995" s="32" t="s">
        <v>6825</v>
      </c>
      <c r="K995" s="6" t="s">
        <v>6826</v>
      </c>
      <c r="L995" s="17"/>
      <c r="M995" s="17"/>
      <c r="N995" s="17" t="str">
        <f t="shared" si="2"/>
        <v>OK</v>
      </c>
      <c r="O995" s="17" t="s">
        <v>35</v>
      </c>
      <c r="P995" s="6" t="s">
        <v>35</v>
      </c>
      <c r="Q995" s="17" t="s">
        <v>36</v>
      </c>
      <c r="R995" s="17" t="s">
        <v>6827</v>
      </c>
      <c r="S995" s="173" t="s">
        <v>38</v>
      </c>
      <c r="T995" s="11" t="s">
        <v>4411</v>
      </c>
      <c r="U995" s="22" t="s">
        <v>4417</v>
      </c>
      <c r="V995" s="22" t="s">
        <v>4417</v>
      </c>
      <c r="W995" s="22"/>
      <c r="X995" s="7"/>
      <c r="Y995" s="7"/>
      <c r="Z995" s="23"/>
      <c r="AA995" s="26"/>
    </row>
    <row r="996" spans="1:27" ht="15.75" customHeight="1">
      <c r="A996" s="10" t="s">
        <v>6828</v>
      </c>
      <c r="B996" s="10" t="s">
        <v>4410</v>
      </c>
      <c r="C996" s="61" t="s">
        <v>4411</v>
      </c>
      <c r="D996" s="12"/>
      <c r="E996" s="13" t="s">
        <v>43</v>
      </c>
      <c r="F996" s="43" t="s">
        <v>2581</v>
      </c>
      <c r="G996" s="6" t="str">
        <f ca="1">IFERROR(__xludf.DUMMYFUNCTION("CONCATENATE(B996,(VLOOKUP(C996,CATALOGOS!$F$2:$H$6,3,FALSE)),(VLOOKUP(T996,CATALOGOS!$J$2:$K$18,2,FALSE)),""-"",TO_TEXT(A996))"),"P24SJ-0995")</f>
        <v>P24SJ-0995</v>
      </c>
      <c r="H996" s="6" t="s">
        <v>6829</v>
      </c>
      <c r="I996" s="6" t="s">
        <v>6830</v>
      </c>
      <c r="J996" s="32" t="s">
        <v>6831</v>
      </c>
      <c r="K996" s="6" t="s">
        <v>6832</v>
      </c>
      <c r="L996" s="17"/>
      <c r="M996" s="17"/>
      <c r="N996" s="17" t="str">
        <f t="shared" si="2"/>
        <v>OK</v>
      </c>
      <c r="O996" s="17" t="s">
        <v>5237</v>
      </c>
      <c r="P996" s="6" t="s">
        <v>35</v>
      </c>
      <c r="Q996" s="17" t="s">
        <v>36</v>
      </c>
      <c r="R996" s="35" t="s">
        <v>6833</v>
      </c>
      <c r="S996" s="173" t="s">
        <v>38</v>
      </c>
      <c r="T996" s="11" t="s">
        <v>4411</v>
      </c>
      <c r="U996" s="22" t="s">
        <v>4417</v>
      </c>
      <c r="V996" s="22" t="s">
        <v>4417</v>
      </c>
      <c r="W996" s="22"/>
      <c r="X996" s="7"/>
      <c r="Y996" s="7"/>
      <c r="Z996" s="23"/>
      <c r="AA996" s="26"/>
    </row>
    <row r="997" spans="1:27" ht="15.75" customHeight="1">
      <c r="A997" s="10" t="s">
        <v>6835</v>
      </c>
      <c r="B997" s="20" t="s">
        <v>4410</v>
      </c>
      <c r="C997" s="61" t="s">
        <v>4411</v>
      </c>
      <c r="D997" s="38"/>
      <c r="E997" s="13" t="s">
        <v>199</v>
      </c>
      <c r="F997" s="43" t="s">
        <v>6836</v>
      </c>
      <c r="G997" s="6" t="str">
        <f ca="1">IFERROR(__xludf.DUMMYFUNCTION("CONCATENATE(B997,(VLOOKUP(C997,CATALOGOS!$F$2:$H$6,3,FALSE)),(VLOOKUP(T997,CATALOGOS!$J$2:$K$18,2,FALSE)),""-"",TO_TEXT(A997))"),"P24SJ-0996")</f>
        <v>P24SJ-0996</v>
      </c>
      <c r="H997" s="6" t="s">
        <v>6837</v>
      </c>
      <c r="I997" s="6" t="s">
        <v>6838</v>
      </c>
      <c r="J997" s="49" t="s">
        <v>6839</v>
      </c>
      <c r="K997" s="6" t="s">
        <v>6840</v>
      </c>
      <c r="L997" s="17"/>
      <c r="M997" s="17"/>
      <c r="N997" s="17" t="str">
        <f t="shared" si="2"/>
        <v>OK</v>
      </c>
      <c r="O997" s="17" t="s">
        <v>682</v>
      </c>
      <c r="P997" s="6" t="s">
        <v>35</v>
      </c>
      <c r="Q997" s="46" t="s">
        <v>8445</v>
      </c>
      <c r="R997" s="35" t="s">
        <v>85</v>
      </c>
      <c r="S997" s="173" t="s">
        <v>38</v>
      </c>
      <c r="T997" s="11" t="s">
        <v>4411</v>
      </c>
      <c r="U997" s="22" t="s">
        <v>4417</v>
      </c>
      <c r="V997" s="22" t="s">
        <v>4417</v>
      </c>
      <c r="W997" s="22"/>
      <c r="X997" s="7"/>
      <c r="Y997" s="7"/>
      <c r="Z997" s="26"/>
      <c r="AA997" s="26"/>
    </row>
    <row r="998" spans="1:27" ht="15.75" customHeight="1">
      <c r="A998" s="10" t="s">
        <v>6842</v>
      </c>
      <c r="B998" s="10" t="s">
        <v>1469</v>
      </c>
      <c r="C998" s="61" t="s">
        <v>1470</v>
      </c>
      <c r="D998" s="12"/>
      <c r="E998" s="13" t="s">
        <v>378</v>
      </c>
      <c r="F998" s="6" t="s">
        <v>379</v>
      </c>
      <c r="G998" s="6" t="str">
        <f ca="1">IFERROR(__xludf.DUMMYFUNCTION("CONCATENATE(B998,(VLOOKUP(C998,CATALOGOS!$F$2:$H$6,3,FALSE)),(VLOOKUP(T998,CATALOGOS!$J$2:$K$18,2,FALSE)),""-"",TO_TEXT(A998))"),"P12PP-0997")</f>
        <v>P12PP-0997</v>
      </c>
      <c r="H998" s="6" t="s">
        <v>6843</v>
      </c>
      <c r="I998" s="37"/>
      <c r="J998" s="37"/>
      <c r="K998" s="6" t="s">
        <v>141</v>
      </c>
      <c r="L998" s="17"/>
      <c r="M998" s="17"/>
      <c r="N998" s="17"/>
      <c r="O998" s="35" t="s">
        <v>6844</v>
      </c>
      <c r="P998" s="10" t="s">
        <v>6845</v>
      </c>
      <c r="Q998" s="10" t="s">
        <v>36</v>
      </c>
      <c r="R998" s="10" t="s">
        <v>6846</v>
      </c>
      <c r="S998" s="173" t="s">
        <v>38</v>
      </c>
      <c r="T998" s="11" t="s">
        <v>1548</v>
      </c>
      <c r="U998" s="20" t="s">
        <v>1737</v>
      </c>
      <c r="V998" s="20" t="s">
        <v>1737</v>
      </c>
      <c r="W998" s="20"/>
      <c r="X998" s="26"/>
      <c r="Y998" s="26"/>
      <c r="Z998" s="26"/>
      <c r="AA998" s="26"/>
    </row>
    <row r="999" spans="1:27" ht="15.75" customHeight="1">
      <c r="A999" s="10" t="s">
        <v>6847</v>
      </c>
      <c r="B999" s="10" t="s">
        <v>1469</v>
      </c>
      <c r="C999" s="61" t="s">
        <v>1470</v>
      </c>
      <c r="D999" s="12"/>
      <c r="E999" s="13" t="s">
        <v>43</v>
      </c>
      <c r="F999" s="6" t="s">
        <v>6848</v>
      </c>
      <c r="G999" s="6" t="str">
        <f ca="1">IFERROR(__xludf.DUMMYFUNCTION("CONCATENATE(B999,(VLOOKUP(C999,CATALOGOS!$F$2:$H$6,3,FALSE)),(VLOOKUP(T999,CATALOGOS!$J$2:$K$18,2,FALSE)),""-"",TO_TEXT(A999))"),"P12PL-0998")</f>
        <v>P12PL-0998</v>
      </c>
      <c r="H999" s="6" t="s">
        <v>6849</v>
      </c>
      <c r="I999" s="37"/>
      <c r="J999" s="37"/>
      <c r="K999" s="6" t="s">
        <v>141</v>
      </c>
      <c r="L999" s="17"/>
      <c r="M999" s="17"/>
      <c r="N999" s="17"/>
      <c r="O999" s="35" t="s">
        <v>1913</v>
      </c>
      <c r="P999" s="10" t="s">
        <v>6850</v>
      </c>
      <c r="Q999" s="10" t="s">
        <v>36</v>
      </c>
      <c r="R999" s="10" t="s">
        <v>85</v>
      </c>
      <c r="S999" s="173" t="s">
        <v>38</v>
      </c>
      <c r="T999" s="11" t="s">
        <v>3091</v>
      </c>
      <c r="U999" s="20" t="s">
        <v>3092</v>
      </c>
      <c r="V999" s="20" t="s">
        <v>3092</v>
      </c>
      <c r="W999" s="20"/>
      <c r="X999" s="26"/>
      <c r="Y999" s="26"/>
      <c r="Z999" s="26"/>
      <c r="AA999" s="26"/>
    </row>
    <row r="1000" spans="1:27" ht="15.75" customHeight="1">
      <c r="A1000" s="10" t="s">
        <v>6851</v>
      </c>
      <c r="B1000" s="10" t="s">
        <v>1469</v>
      </c>
      <c r="C1000" s="61" t="s">
        <v>1470</v>
      </c>
      <c r="D1000" s="12"/>
      <c r="E1000" s="13" t="s">
        <v>378</v>
      </c>
      <c r="F1000" s="6" t="s">
        <v>379</v>
      </c>
      <c r="G1000" s="6" t="str">
        <f ca="1">IFERROR(__xludf.DUMMYFUNCTION("CONCATENATE(B1000,(VLOOKUP(C1000,CATALOGOS!$F$2:$H$6,3,FALSE)),(VLOOKUP(T1000,CATALOGOS!$J$2:$K$18,2,FALSE)),""-"",TO_TEXT(A1000))"),"P12SI-0999")</f>
        <v>P12SI-0999</v>
      </c>
      <c r="H1000" s="6" t="s">
        <v>6852</v>
      </c>
      <c r="I1000" s="37"/>
      <c r="J1000" s="37"/>
      <c r="K1000" s="6" t="s">
        <v>141</v>
      </c>
      <c r="L1000" s="17"/>
      <c r="M1000" s="17"/>
      <c r="N1000" s="17"/>
      <c r="O1000" s="35" t="s">
        <v>35</v>
      </c>
      <c r="P1000" s="10" t="s">
        <v>35</v>
      </c>
      <c r="Q1000" s="10" t="s">
        <v>36</v>
      </c>
      <c r="R1000" s="10" t="s">
        <v>6853</v>
      </c>
      <c r="S1000" s="173" t="s">
        <v>38</v>
      </c>
      <c r="T1000" s="181" t="s">
        <v>1483</v>
      </c>
      <c r="U1000" s="20" t="s">
        <v>2533</v>
      </c>
      <c r="V1000" s="20" t="s">
        <v>2533</v>
      </c>
      <c r="W1000" s="20"/>
      <c r="X1000" s="26"/>
      <c r="Y1000" s="26"/>
      <c r="Z1000" s="26"/>
      <c r="AA1000" s="26"/>
    </row>
    <row r="1001" spans="1:27" ht="15.75" customHeight="1">
      <c r="A1001" s="10" t="s">
        <v>6854</v>
      </c>
      <c r="B1001" s="10" t="s">
        <v>1469</v>
      </c>
      <c r="C1001" s="61" t="s">
        <v>1470</v>
      </c>
      <c r="D1001" s="12"/>
      <c r="E1001" s="13" t="s">
        <v>378</v>
      </c>
      <c r="F1001" s="6" t="s">
        <v>379</v>
      </c>
      <c r="G1001" s="6" t="str">
        <f ca="1">IFERROR(__xludf.DUMMYFUNCTION("CONCATENATE(B1001,(VLOOKUP(C1001,CATALOGOS!$F$2:$H$6,3,FALSE)),(VLOOKUP(T1001,CATALOGOS!$J$2:$K$18,2,FALSE)),""-"",TO_TEXT(A1001))"),"P12SI-1000")</f>
        <v>P12SI-1000</v>
      </c>
      <c r="H1001" s="6" t="s">
        <v>6855</v>
      </c>
      <c r="I1001" s="37"/>
      <c r="J1001" s="37"/>
      <c r="K1001" s="6" t="s">
        <v>141</v>
      </c>
      <c r="L1001" s="17"/>
      <c r="M1001" s="17"/>
      <c r="N1001" s="17"/>
      <c r="O1001" s="35" t="s">
        <v>35</v>
      </c>
      <c r="P1001" s="10" t="s">
        <v>35</v>
      </c>
      <c r="Q1001" s="10" t="s">
        <v>36</v>
      </c>
      <c r="R1001" s="10" t="s">
        <v>6856</v>
      </c>
      <c r="S1001" s="173" t="s">
        <v>38</v>
      </c>
      <c r="T1001" s="181" t="s">
        <v>1483</v>
      </c>
      <c r="U1001" s="20" t="s">
        <v>1484</v>
      </c>
      <c r="V1001" s="20" t="s">
        <v>1484</v>
      </c>
      <c r="W1001" s="20"/>
      <c r="X1001" s="26"/>
      <c r="Y1001" s="26"/>
      <c r="Z1001" s="26"/>
      <c r="AA1001" s="26"/>
    </row>
    <row r="1002" spans="1:27" ht="15.75" customHeight="1">
      <c r="A1002" s="10" t="s">
        <v>6857</v>
      </c>
      <c r="B1002" s="10" t="s">
        <v>1469</v>
      </c>
      <c r="C1002" s="61" t="s">
        <v>1470</v>
      </c>
      <c r="D1002" s="12"/>
      <c r="E1002" s="13" t="s">
        <v>151</v>
      </c>
      <c r="F1002" s="6" t="s">
        <v>6858</v>
      </c>
      <c r="G1002" s="6" t="str">
        <f ca="1">IFERROR(__xludf.DUMMYFUNCTION("CONCATENATE(B1002,(VLOOKUP(C1002,CATALOGOS!$F$2:$H$6,3,FALSE)),(VLOOKUP(T1002,CATALOGOS!$J$2:$K$18,2,FALSE)),""-"",TO_TEXT(A1002))"),"P12SI-1001")</f>
        <v>P12SI-1001</v>
      </c>
      <c r="H1002" s="6" t="s">
        <v>6859</v>
      </c>
      <c r="I1002" s="37"/>
      <c r="J1002" s="37"/>
      <c r="K1002" s="6" t="s">
        <v>141</v>
      </c>
      <c r="L1002" s="17"/>
      <c r="M1002" s="17"/>
      <c r="N1002" s="17"/>
      <c r="O1002" s="35" t="s">
        <v>35</v>
      </c>
      <c r="P1002" s="10" t="s">
        <v>6860</v>
      </c>
      <c r="Q1002" s="10" t="s">
        <v>6861</v>
      </c>
      <c r="R1002" s="10" t="s">
        <v>85</v>
      </c>
      <c r="S1002" s="173" t="s">
        <v>38</v>
      </c>
      <c r="T1002" s="181" t="s">
        <v>1483</v>
      </c>
      <c r="U1002" s="20" t="s">
        <v>2533</v>
      </c>
      <c r="V1002" s="20" t="s">
        <v>2533</v>
      </c>
      <c r="W1002" s="20"/>
      <c r="X1002" s="26"/>
      <c r="Y1002" s="26"/>
      <c r="Z1002" s="26"/>
      <c r="AA1002" s="26"/>
    </row>
    <row r="1003" spans="1:27" ht="15.75" customHeight="1">
      <c r="A1003" s="10" t="s">
        <v>6863</v>
      </c>
      <c r="B1003" s="10" t="s">
        <v>1469</v>
      </c>
      <c r="C1003" s="61" t="s">
        <v>1470</v>
      </c>
      <c r="D1003" s="12"/>
      <c r="E1003" s="13" t="s">
        <v>151</v>
      </c>
      <c r="F1003" s="6" t="s">
        <v>6858</v>
      </c>
      <c r="G1003" s="6" t="str">
        <f ca="1">IFERROR(__xludf.DUMMYFUNCTION("CONCATENATE(B1003,(VLOOKUP(C1003,CATALOGOS!$F$2:$H$6,3,FALSE)),(VLOOKUP(T1003,CATALOGOS!$J$2:$K$18,2,FALSE)),""-"",TO_TEXT(A1003))"),"P12SI-1002")</f>
        <v>P12SI-1002</v>
      </c>
      <c r="H1003" s="6" t="s">
        <v>6864</v>
      </c>
      <c r="I1003" s="37"/>
      <c r="J1003" s="37"/>
      <c r="K1003" s="6" t="s">
        <v>141</v>
      </c>
      <c r="L1003" s="17"/>
      <c r="M1003" s="17"/>
      <c r="N1003" s="17"/>
      <c r="O1003" s="35" t="s">
        <v>2317</v>
      </c>
      <c r="P1003" s="10" t="s">
        <v>6860</v>
      </c>
      <c r="Q1003" s="10" t="s">
        <v>6865</v>
      </c>
      <c r="R1003" s="10" t="s">
        <v>85</v>
      </c>
      <c r="S1003" s="173" t="s">
        <v>38</v>
      </c>
      <c r="T1003" s="181" t="s">
        <v>1483</v>
      </c>
      <c r="U1003" s="20" t="s">
        <v>3173</v>
      </c>
      <c r="V1003" s="20" t="s">
        <v>3173</v>
      </c>
      <c r="W1003" s="20"/>
      <c r="X1003" s="26"/>
      <c r="Y1003" s="26"/>
      <c r="Z1003" s="26"/>
      <c r="AA1003" s="26"/>
    </row>
    <row r="1004" spans="1:27" ht="15.75" customHeight="1">
      <c r="A1004" s="10" t="s">
        <v>6867</v>
      </c>
      <c r="B1004" s="10" t="s">
        <v>1469</v>
      </c>
      <c r="C1004" s="61" t="s">
        <v>1470</v>
      </c>
      <c r="D1004" s="12"/>
      <c r="E1004" s="13" t="s">
        <v>378</v>
      </c>
      <c r="F1004" s="6" t="s">
        <v>379</v>
      </c>
      <c r="G1004" s="6" t="str">
        <f ca="1">IFERROR(__xludf.DUMMYFUNCTION("CONCATENATE(B1004,(VLOOKUP(C1004,CATALOGOS!$F$2:$H$6,3,FALSE)),(VLOOKUP(T1004,CATALOGOS!$J$2:$K$18,2,FALSE)),""-"",TO_TEXT(A1004))"),"P12SI-1003")</f>
        <v>P12SI-1003</v>
      </c>
      <c r="H1004" s="6" t="s">
        <v>6868</v>
      </c>
      <c r="I1004" s="37"/>
      <c r="J1004" s="37"/>
      <c r="K1004" s="6" t="s">
        <v>141</v>
      </c>
      <c r="L1004" s="17"/>
      <c r="M1004" s="17"/>
      <c r="N1004" s="17"/>
      <c r="O1004" s="35" t="s">
        <v>35</v>
      </c>
      <c r="P1004" s="10" t="s">
        <v>35</v>
      </c>
      <c r="Q1004" s="10" t="s">
        <v>36</v>
      </c>
      <c r="R1004" s="10" t="s">
        <v>6869</v>
      </c>
      <c r="S1004" s="173" t="s">
        <v>38</v>
      </c>
      <c r="T1004" s="181" t="s">
        <v>1483</v>
      </c>
      <c r="U1004" s="20" t="s">
        <v>3173</v>
      </c>
      <c r="V1004" s="20" t="s">
        <v>3173</v>
      </c>
      <c r="W1004" s="20"/>
      <c r="X1004" s="26"/>
      <c r="Y1004" s="26"/>
      <c r="Z1004" s="26"/>
      <c r="AA1004" s="26"/>
    </row>
    <row r="1005" spans="1:27" ht="15.75" customHeight="1">
      <c r="A1005" s="10" t="s">
        <v>6870</v>
      </c>
      <c r="B1005" s="10" t="s">
        <v>4410</v>
      </c>
      <c r="C1005" s="61" t="s">
        <v>4411</v>
      </c>
      <c r="D1005" s="12"/>
      <c r="E1005" s="13" t="s">
        <v>184</v>
      </c>
      <c r="F1005" s="6" t="s">
        <v>6871</v>
      </c>
      <c r="G1005" s="6" t="str">
        <f ca="1">IFERROR(__xludf.DUMMYFUNCTION("CONCATENATE(B1005,(VLOOKUP(C1005,CATALOGOS!$F$2:$H$6,3,FALSE)),(VLOOKUP(T1005,CATALOGOS!$J$2:$K$18,2,FALSE)),""-"",TO_TEXT(A1005))"),"P24SJ-1004")</f>
        <v>P24SJ-1004</v>
      </c>
      <c r="H1005" s="6" t="s">
        <v>6872</v>
      </c>
      <c r="I1005" s="37"/>
      <c r="J1005" s="37"/>
      <c r="K1005" s="6" t="s">
        <v>141</v>
      </c>
      <c r="L1005" s="17"/>
      <c r="M1005" s="17"/>
      <c r="N1005" s="17"/>
      <c r="O1005" s="35" t="s">
        <v>35</v>
      </c>
      <c r="P1005" s="10" t="s">
        <v>35</v>
      </c>
      <c r="Q1005" s="10" t="s">
        <v>36</v>
      </c>
      <c r="R1005" s="10" t="s">
        <v>6873</v>
      </c>
      <c r="S1005" s="173" t="s">
        <v>38</v>
      </c>
      <c r="T1005" s="189" t="s">
        <v>4411</v>
      </c>
      <c r="U1005" s="20" t="s">
        <v>4935</v>
      </c>
      <c r="V1005" s="20" t="s">
        <v>4935</v>
      </c>
      <c r="W1005" s="20"/>
      <c r="X1005" s="26"/>
      <c r="Y1005" s="26"/>
      <c r="Z1005" s="26"/>
      <c r="AA1005" s="26"/>
    </row>
    <row r="1006" spans="1:27" ht="15.75" customHeight="1">
      <c r="A1006" s="10" t="s">
        <v>6874</v>
      </c>
      <c r="B1006" s="10" t="s">
        <v>4410</v>
      </c>
      <c r="C1006" s="61" t="s">
        <v>4411</v>
      </c>
      <c r="D1006" s="12"/>
      <c r="E1006" s="13" t="s">
        <v>184</v>
      </c>
      <c r="F1006" s="6" t="s">
        <v>6871</v>
      </c>
      <c r="G1006" s="6" t="str">
        <f ca="1">IFERROR(__xludf.DUMMYFUNCTION("CONCATENATE(B1006,(VLOOKUP(C1006,CATALOGOS!$F$2:$H$6,3,FALSE)),(VLOOKUP(T1006,CATALOGOS!$J$2:$K$18,2,FALSE)),""-"",TO_TEXT(A1006))"),"P24SJ-1005")</f>
        <v>P24SJ-1005</v>
      </c>
      <c r="H1006" s="6" t="s">
        <v>6875</v>
      </c>
      <c r="I1006" s="37"/>
      <c r="J1006" s="37"/>
      <c r="K1006" s="6" t="s">
        <v>141</v>
      </c>
      <c r="L1006" s="17"/>
      <c r="M1006" s="17"/>
      <c r="N1006" s="17"/>
      <c r="O1006" s="35" t="s">
        <v>35</v>
      </c>
      <c r="P1006" s="10" t="s">
        <v>35</v>
      </c>
      <c r="Q1006" s="10" t="s">
        <v>36</v>
      </c>
      <c r="R1006" s="10" t="s">
        <v>6876</v>
      </c>
      <c r="S1006" s="173" t="s">
        <v>38</v>
      </c>
      <c r="T1006" s="189" t="s">
        <v>4411</v>
      </c>
      <c r="U1006" s="20" t="s">
        <v>4935</v>
      </c>
      <c r="V1006" s="20" t="s">
        <v>4935</v>
      </c>
      <c r="W1006" s="20"/>
      <c r="X1006" s="26"/>
      <c r="Y1006" s="26"/>
      <c r="Z1006" s="26"/>
      <c r="AA1006" s="26"/>
    </row>
    <row r="1007" spans="1:27" ht="15.75" customHeight="1">
      <c r="A1007" s="10" t="s">
        <v>6877</v>
      </c>
      <c r="B1007" s="10" t="s">
        <v>4410</v>
      </c>
      <c r="C1007" s="61" t="s">
        <v>4411</v>
      </c>
      <c r="D1007" s="12"/>
      <c r="E1007" s="13" t="s">
        <v>43</v>
      </c>
      <c r="F1007" s="6" t="s">
        <v>6878</v>
      </c>
      <c r="G1007" s="6" t="str">
        <f ca="1">IFERROR(__xludf.DUMMYFUNCTION("CONCATENATE(B1007,(VLOOKUP(C1007,CATALOGOS!$F$2:$H$6,3,FALSE)),(VLOOKUP(T1007,CATALOGOS!$J$2:$K$18,2,FALSE)),""-"",TO_TEXT(A1007))"),"P24SJ-1006")</f>
        <v>P24SJ-1006</v>
      </c>
      <c r="H1007" s="6" t="s">
        <v>6879</v>
      </c>
      <c r="I1007" s="37"/>
      <c r="J1007" s="37"/>
      <c r="K1007" s="6" t="s">
        <v>141</v>
      </c>
      <c r="L1007" s="17"/>
      <c r="M1007" s="17"/>
      <c r="N1007" s="17"/>
      <c r="O1007" s="35" t="s">
        <v>49</v>
      </c>
      <c r="P1007" s="10">
        <v>3196</v>
      </c>
      <c r="Q1007" s="10" t="s">
        <v>36</v>
      </c>
      <c r="R1007" s="190">
        <v>705581</v>
      </c>
      <c r="S1007" s="173" t="s">
        <v>38</v>
      </c>
      <c r="T1007" s="189" t="s">
        <v>4411</v>
      </c>
      <c r="U1007" s="20" t="s">
        <v>4935</v>
      </c>
      <c r="V1007" s="20" t="s">
        <v>4935</v>
      </c>
      <c r="W1007" s="20"/>
      <c r="X1007" s="26"/>
      <c r="Y1007" s="26"/>
      <c r="Z1007" s="26"/>
      <c r="AA1007" s="26"/>
    </row>
    <row r="1008" spans="1:27" ht="15.75" customHeight="1">
      <c r="A1008" s="10" t="s">
        <v>6881</v>
      </c>
      <c r="B1008" s="10" t="s">
        <v>4410</v>
      </c>
      <c r="C1008" s="61" t="s">
        <v>4411</v>
      </c>
      <c r="D1008" s="12"/>
      <c r="E1008" s="13" t="s">
        <v>321</v>
      </c>
      <c r="F1008" s="6" t="s">
        <v>6882</v>
      </c>
      <c r="G1008" s="6" t="str">
        <f ca="1">IFERROR(__xludf.DUMMYFUNCTION("CONCATENATE(B1008,(VLOOKUP(C1008,CATALOGOS!$F$2:$H$6,3,FALSE)),(VLOOKUP(T1008,CATALOGOS!$J$2:$K$18,2,FALSE)),""-"",TO_TEXT(A1008))"),"P24SJ-1007")</f>
        <v>P24SJ-1007</v>
      </c>
      <c r="H1008" s="6" t="s">
        <v>6883</v>
      </c>
      <c r="I1008" s="37"/>
      <c r="J1008" s="37"/>
      <c r="K1008" s="6" t="s">
        <v>141</v>
      </c>
      <c r="L1008" s="17"/>
      <c r="M1008" s="17"/>
      <c r="N1008" s="17"/>
      <c r="O1008" s="35" t="s">
        <v>6884</v>
      </c>
      <c r="P1008" s="10" t="s">
        <v>6885</v>
      </c>
      <c r="Q1008" s="10" t="s">
        <v>36</v>
      </c>
      <c r="R1008" s="10" t="s">
        <v>85</v>
      </c>
      <c r="S1008" s="179" t="s">
        <v>517</v>
      </c>
      <c r="T1008" s="189" t="s">
        <v>4411</v>
      </c>
      <c r="U1008" s="20" t="s">
        <v>5138</v>
      </c>
      <c r="V1008" s="20" t="s">
        <v>5138</v>
      </c>
      <c r="W1008" s="20"/>
      <c r="X1008" s="26"/>
      <c r="Y1008" s="26"/>
      <c r="Z1008" s="26"/>
      <c r="AA1008" s="26"/>
    </row>
    <row r="1009" spans="1:27" ht="15.75" customHeight="1">
      <c r="A1009" s="10" t="s">
        <v>6886</v>
      </c>
      <c r="B1009" s="10" t="s">
        <v>4410</v>
      </c>
      <c r="C1009" s="61" t="s">
        <v>4411</v>
      </c>
      <c r="D1009" s="12"/>
      <c r="E1009" s="13" t="s">
        <v>184</v>
      </c>
      <c r="F1009" s="6" t="s">
        <v>927</v>
      </c>
      <c r="G1009" s="6" t="str">
        <f ca="1">IFERROR(__xludf.DUMMYFUNCTION("CONCATENATE(B1009,(VLOOKUP(C1009,CATALOGOS!$F$2:$H$6,3,FALSE)),(VLOOKUP(T1009,CATALOGOS!$J$2:$K$18,2,FALSE)),""-"",TO_TEXT(A1009))"),"P24SJ-1008")</f>
        <v>P24SJ-1008</v>
      </c>
      <c r="H1009" s="6" t="s">
        <v>6887</v>
      </c>
      <c r="I1009" s="37"/>
      <c r="J1009" s="37"/>
      <c r="K1009" s="6" t="s">
        <v>141</v>
      </c>
      <c r="L1009" s="17"/>
      <c r="M1009" s="17"/>
      <c r="N1009" s="17"/>
      <c r="O1009" s="35" t="s">
        <v>35</v>
      </c>
      <c r="P1009" s="10" t="s">
        <v>35</v>
      </c>
      <c r="Q1009" s="10" t="s">
        <v>36</v>
      </c>
      <c r="R1009" s="10" t="s">
        <v>6888</v>
      </c>
      <c r="S1009" s="173" t="s">
        <v>38</v>
      </c>
      <c r="T1009" s="189" t="s">
        <v>4411</v>
      </c>
      <c r="U1009" s="20" t="s">
        <v>5223</v>
      </c>
      <c r="V1009" s="20" t="s">
        <v>5223</v>
      </c>
      <c r="W1009" s="20"/>
      <c r="X1009" s="26"/>
      <c r="Y1009" s="26"/>
      <c r="Z1009" s="26"/>
      <c r="AA1009" s="26"/>
    </row>
    <row r="1010" spans="1:27" ht="15.75" customHeight="1">
      <c r="A1010" s="10" t="s">
        <v>6889</v>
      </c>
      <c r="B1010" s="10" t="s">
        <v>4410</v>
      </c>
      <c r="C1010" s="61" t="s">
        <v>4411</v>
      </c>
      <c r="D1010" s="12"/>
      <c r="E1010" s="13" t="s">
        <v>210</v>
      </c>
      <c r="F1010" s="6" t="s">
        <v>210</v>
      </c>
      <c r="G1010" s="6" t="str">
        <f ca="1">IFERROR(__xludf.DUMMYFUNCTION("CONCATENATE(B1010,(VLOOKUP(C1010,CATALOGOS!$F$2:$H$6,3,FALSE)),(VLOOKUP(T1010,CATALOGOS!$J$2:$K$18,2,FALSE)),""-"",TO_TEXT(A1010))"),"P24NV-1009")</f>
        <v>P24NV-1009</v>
      </c>
      <c r="H1010" s="6" t="s">
        <v>6890</v>
      </c>
      <c r="I1010" s="37"/>
      <c r="J1010" s="37"/>
      <c r="K1010" s="6" t="s">
        <v>141</v>
      </c>
      <c r="L1010" s="17"/>
      <c r="M1010" s="17"/>
      <c r="N1010" s="17"/>
      <c r="O1010" s="35" t="s">
        <v>216</v>
      </c>
      <c r="P1010" s="10" t="s">
        <v>6891</v>
      </c>
      <c r="Q1010" s="10" t="s">
        <v>6892</v>
      </c>
      <c r="R1010" s="10" t="s">
        <v>6893</v>
      </c>
      <c r="S1010" s="173" t="s">
        <v>38</v>
      </c>
      <c r="T1010" s="181" t="s">
        <v>5695</v>
      </c>
      <c r="U1010" s="20" t="s">
        <v>5696</v>
      </c>
      <c r="V1010" s="20" t="s">
        <v>5696</v>
      </c>
      <c r="W1010" s="20"/>
      <c r="X1010" s="26"/>
      <c r="Y1010" s="26"/>
      <c r="Z1010" s="26"/>
      <c r="AA1010" s="26"/>
    </row>
    <row r="1011" spans="1:27" ht="15.75" customHeight="1">
      <c r="A1011" s="10" t="s">
        <v>6894</v>
      </c>
      <c r="B1011" s="10" t="s">
        <v>4410</v>
      </c>
      <c r="C1011" s="61" t="s">
        <v>4411</v>
      </c>
      <c r="D1011" s="12"/>
      <c r="E1011" s="13" t="s">
        <v>2311</v>
      </c>
      <c r="F1011" s="6" t="s">
        <v>6895</v>
      </c>
      <c r="G1011" s="6" t="str">
        <f ca="1">IFERROR(__xludf.DUMMYFUNCTION("CONCATENATE(B1011,(VLOOKUP(C1011,CATALOGOS!$F$2:$H$6,3,FALSE)),(VLOOKUP(T1011,CATALOGOS!$J$2:$K$18,2,FALSE)),""-"",TO_TEXT(A1011))"),"P24NV-1010")</f>
        <v>P24NV-1010</v>
      </c>
      <c r="H1011" s="6" t="s">
        <v>6896</v>
      </c>
      <c r="I1011" s="37"/>
      <c r="J1011" s="37"/>
      <c r="K1011" s="6" t="s">
        <v>141</v>
      </c>
      <c r="L1011" s="17"/>
      <c r="M1011" s="17"/>
      <c r="N1011" s="17"/>
      <c r="O1011" s="35" t="s">
        <v>682</v>
      </c>
      <c r="P1011" s="10" t="s">
        <v>6897</v>
      </c>
      <c r="Q1011" s="10" t="s">
        <v>6898</v>
      </c>
      <c r="R1011" s="10" t="s">
        <v>6899</v>
      </c>
      <c r="S1011" s="173" t="s">
        <v>38</v>
      </c>
      <c r="T1011" s="181" t="s">
        <v>5695</v>
      </c>
      <c r="U1011" s="20" t="s">
        <v>5696</v>
      </c>
      <c r="V1011" s="20" t="s">
        <v>5696</v>
      </c>
      <c r="W1011" s="20"/>
      <c r="X1011" s="26"/>
      <c r="Y1011" s="26"/>
      <c r="Z1011" s="26"/>
      <c r="AA1011" s="26"/>
    </row>
    <row r="1012" spans="1:27" ht="15.75" customHeight="1">
      <c r="A1012" s="10" t="s">
        <v>6900</v>
      </c>
      <c r="B1012" s="10" t="s">
        <v>4410</v>
      </c>
      <c r="C1012" s="61" t="s">
        <v>4411</v>
      </c>
      <c r="D1012" s="12"/>
      <c r="E1012" s="13" t="s">
        <v>184</v>
      </c>
      <c r="F1012" s="6" t="s">
        <v>6901</v>
      </c>
      <c r="G1012" s="6" t="str">
        <f ca="1">IFERROR(__xludf.DUMMYFUNCTION("CONCATENATE(B1012,(VLOOKUP(C1012,CATALOGOS!$F$2:$H$6,3,FALSE)),(VLOOKUP(T1012,CATALOGOS!$J$2:$K$18,2,FALSE)),""-"",TO_TEXT(A1012))"),"P24CS-1011")</f>
        <v>P24CS-1011</v>
      </c>
      <c r="H1012" s="6" t="s">
        <v>6902</v>
      </c>
      <c r="I1012" s="37"/>
      <c r="J1012" s="37"/>
      <c r="K1012" s="6" t="s">
        <v>141</v>
      </c>
      <c r="L1012" s="17"/>
      <c r="M1012" s="17"/>
      <c r="N1012" s="17"/>
      <c r="O1012" s="35" t="s">
        <v>35</v>
      </c>
      <c r="P1012" s="10" t="s">
        <v>35</v>
      </c>
      <c r="Q1012" s="10" t="s">
        <v>36</v>
      </c>
      <c r="R1012" s="10" t="s">
        <v>6903</v>
      </c>
      <c r="S1012" s="173" t="s">
        <v>38</v>
      </c>
      <c r="T1012" s="189" t="s">
        <v>4979</v>
      </c>
      <c r="U1012" s="20" t="s">
        <v>4980</v>
      </c>
      <c r="V1012" s="20" t="s">
        <v>4980</v>
      </c>
      <c r="W1012" s="20"/>
      <c r="X1012" s="26"/>
      <c r="Y1012" s="26"/>
      <c r="Z1012" s="26"/>
      <c r="AA1012" s="26"/>
    </row>
    <row r="1013" spans="1:27" ht="15.75" customHeight="1">
      <c r="A1013" s="10" t="s">
        <v>6904</v>
      </c>
      <c r="B1013" s="10" t="s">
        <v>1469</v>
      </c>
      <c r="C1013" s="61" t="s">
        <v>1470</v>
      </c>
      <c r="D1013" s="12"/>
      <c r="E1013" s="13" t="s">
        <v>2502</v>
      </c>
      <c r="F1013" s="6" t="s">
        <v>6905</v>
      </c>
      <c r="G1013" s="6" t="str">
        <f ca="1">IFERROR(__xludf.DUMMYFUNCTION("CONCATENATE(B1013,(VLOOKUP(C1013,CATALOGOS!$F$2:$H$6,3,FALSE)),(VLOOKUP(T1013,CATALOGOS!$J$2:$K$18,2,FALSE)),""-"",TO_TEXT(A1013))"),"P12SI-1012")</f>
        <v>P12SI-1012</v>
      </c>
      <c r="H1013" s="6" t="s">
        <v>6906</v>
      </c>
      <c r="I1013" s="37"/>
      <c r="J1013" s="37"/>
      <c r="K1013" s="6" t="s">
        <v>141</v>
      </c>
      <c r="L1013" s="17"/>
      <c r="M1013" s="17"/>
      <c r="N1013" s="17"/>
      <c r="O1013" s="35" t="s">
        <v>179</v>
      </c>
      <c r="P1013" s="10" t="s">
        <v>6907</v>
      </c>
      <c r="Q1013" s="10" t="s">
        <v>6908</v>
      </c>
      <c r="R1013" s="10" t="s">
        <v>85</v>
      </c>
      <c r="S1013" s="173" t="s">
        <v>38</v>
      </c>
      <c r="T1013" s="181" t="s">
        <v>1483</v>
      </c>
      <c r="U1013" s="20" t="s">
        <v>1484</v>
      </c>
      <c r="V1013" s="20" t="s">
        <v>1484</v>
      </c>
      <c r="W1013" s="20"/>
      <c r="X1013" s="26"/>
      <c r="Y1013" s="26"/>
      <c r="Z1013" s="26"/>
      <c r="AA1013" s="26"/>
    </row>
    <row r="1014" spans="1:27" ht="15.75" customHeight="1">
      <c r="A1014" s="10" t="s">
        <v>6910</v>
      </c>
      <c r="B1014" s="86" t="s">
        <v>474</v>
      </c>
      <c r="C1014" s="86" t="s">
        <v>28</v>
      </c>
      <c r="E1014" s="86" t="s">
        <v>378</v>
      </c>
      <c r="F1014" s="86" t="s">
        <v>535</v>
      </c>
      <c r="G1014" s="6" t="str">
        <f ca="1">IFERROR(__xludf.DUMMYFUNCTION("CONCATENATE(B1014,(VLOOKUP(C1014,CATALOGOS!$F$2:$H$6,3,FALSE)),(VLOOKUP(T1014,CATALOGOS!$J$2:$K$18,2,FALSE)),""-"",TO_TEXT(A1014))"),"P35DA-1013")</f>
        <v>P35DA-1013</v>
      </c>
      <c r="H1014" s="6" t="s">
        <v>6911</v>
      </c>
      <c r="K1014" s="86" t="s">
        <v>141</v>
      </c>
      <c r="O1014" s="86" t="s">
        <v>35</v>
      </c>
      <c r="P1014" s="86" t="s">
        <v>35</v>
      </c>
      <c r="Q1014" s="86" t="s">
        <v>36</v>
      </c>
      <c r="R1014" s="86" t="s">
        <v>85</v>
      </c>
      <c r="S1014" s="86" t="s">
        <v>517</v>
      </c>
      <c r="T1014" s="86" t="s">
        <v>28</v>
      </c>
      <c r="U1014" s="86" t="s">
        <v>40</v>
      </c>
      <c r="V1014" s="86" t="s">
        <v>40</v>
      </c>
      <c r="W1014" s="86"/>
      <c r="X1014" s="26"/>
      <c r="Y1014" s="26"/>
      <c r="Z1014" s="26"/>
      <c r="AA1014" s="26"/>
    </row>
    <row r="1015" spans="1:27" ht="15.75" customHeight="1">
      <c r="A1015" s="10" t="s">
        <v>6912</v>
      </c>
      <c r="B1015" s="10" t="s">
        <v>27</v>
      </c>
      <c r="C1015" s="10" t="s">
        <v>28</v>
      </c>
      <c r="D1015" s="12"/>
      <c r="E1015" s="13" t="s">
        <v>62</v>
      </c>
      <c r="F1015" s="6" t="s">
        <v>6913</v>
      </c>
      <c r="G1015" s="6" t="str">
        <f ca="1">IFERROR(__xludf.DUMMYFUNCTION("CONCATENATE(B1015,(VLOOKUP(C1015,CATALOGOS!$F$2:$H$6,3,FALSE)),(VLOOKUP(T1015,CATALOGOS!$J$2:$K$18,2,FALSE)),""-"",TO_TEXT(A1015))"),"P05RM-1014")</f>
        <v>P05RM-1014</v>
      </c>
      <c r="H1015" s="6" t="s">
        <v>6914</v>
      </c>
      <c r="I1015" s="37"/>
      <c r="J1015" s="37"/>
      <c r="K1015" s="6" t="s">
        <v>141</v>
      </c>
      <c r="L1015" s="17"/>
      <c r="M1015" s="17"/>
      <c r="N1015" s="17"/>
      <c r="O1015" s="35" t="s">
        <v>35</v>
      </c>
      <c r="P1015" s="10" t="s">
        <v>35</v>
      </c>
      <c r="Q1015" s="10" t="s">
        <v>36</v>
      </c>
      <c r="R1015" s="10" t="s">
        <v>85</v>
      </c>
      <c r="S1015" s="173" t="s">
        <v>38</v>
      </c>
      <c r="T1015" s="189" t="s">
        <v>147</v>
      </c>
      <c r="U1015" s="20" t="s">
        <v>493</v>
      </c>
      <c r="V1015" s="20" t="s">
        <v>493</v>
      </c>
      <c r="W1015" s="20"/>
      <c r="X1015" s="26"/>
      <c r="Y1015" s="26"/>
      <c r="Z1015" s="26"/>
      <c r="AA1015" s="26"/>
    </row>
    <row r="1016" spans="1:27" ht="15.75" customHeight="1">
      <c r="A1016" s="10" t="s">
        <v>6915</v>
      </c>
      <c r="B1016" s="10" t="s">
        <v>27</v>
      </c>
      <c r="C1016" s="10" t="s">
        <v>1470</v>
      </c>
      <c r="D1016" s="12"/>
      <c r="E1016" s="13" t="s">
        <v>6916</v>
      </c>
      <c r="F1016" s="6" t="s">
        <v>6917</v>
      </c>
      <c r="G1016" s="6" t="str">
        <f ca="1">IFERROR(__xludf.DUMMYFUNCTION("CONCATENATE(B1016,(VLOOKUP(C1016,CATALOGOS!$F$2:$H$6,3,FALSE)),(VLOOKUP(T1016,CATALOGOS!$J$2:$K$18,2,FALSE)),""-"",TO_TEXT(A1016))"),"P02PP-1015")</f>
        <v>P02PP-1015</v>
      </c>
      <c r="H1016" s="6"/>
      <c r="I1016" s="37"/>
      <c r="J1016" s="37"/>
      <c r="K1016" s="6" t="s">
        <v>141</v>
      </c>
      <c r="L1016" s="17"/>
      <c r="M1016" s="17"/>
      <c r="N1016" s="17"/>
      <c r="O1016" s="35" t="s">
        <v>6918</v>
      </c>
      <c r="P1016" s="10" t="s">
        <v>6919</v>
      </c>
      <c r="Q1016" s="10">
        <v>41480</v>
      </c>
      <c r="R1016" s="10" t="s">
        <v>85</v>
      </c>
      <c r="S1016" s="191" t="s">
        <v>38</v>
      </c>
      <c r="T1016" s="189" t="s">
        <v>1548</v>
      </c>
      <c r="U1016" s="20" t="s">
        <v>1983</v>
      </c>
      <c r="V1016" s="20"/>
      <c r="W1016" s="90"/>
      <c r="X1016" s="26"/>
      <c r="Y1016" s="26"/>
      <c r="Z1016" s="26"/>
      <c r="AA1016" s="26"/>
    </row>
    <row r="1017" spans="1:27" ht="15.75" customHeight="1">
      <c r="A1017" s="10" t="s">
        <v>6921</v>
      </c>
      <c r="B1017" s="10" t="s">
        <v>27</v>
      </c>
      <c r="C1017" s="10" t="s">
        <v>1470</v>
      </c>
      <c r="D1017" s="12"/>
      <c r="E1017" s="13" t="s">
        <v>6916</v>
      </c>
      <c r="F1017" s="6" t="s">
        <v>6922</v>
      </c>
      <c r="G1017" s="6" t="str">
        <f ca="1">IFERROR(__xludf.DUMMYFUNCTION("CONCATENATE(B1017,(VLOOKUP(C1017,CATALOGOS!$F$2:$H$6,3,FALSE)),(VLOOKUP(T1017,CATALOGOS!$J$2:$K$18,2,FALSE)),""-"",TO_TEXT(A1017))"),"P02PP-1016")</f>
        <v>P02PP-1016</v>
      </c>
      <c r="H1017" s="6"/>
      <c r="I1017" s="37"/>
      <c r="J1017" s="37"/>
      <c r="K1017" s="6" t="s">
        <v>141</v>
      </c>
      <c r="L1017" s="17"/>
      <c r="M1017" s="17"/>
      <c r="N1017" s="17"/>
      <c r="O1017" s="35" t="s">
        <v>6923</v>
      </c>
      <c r="P1017" s="10" t="s">
        <v>6924</v>
      </c>
      <c r="Q1017" s="10" t="s">
        <v>6925</v>
      </c>
      <c r="R1017" s="10" t="s">
        <v>85</v>
      </c>
      <c r="S1017" s="191" t="s">
        <v>38</v>
      </c>
      <c r="T1017" s="189" t="s">
        <v>1548</v>
      </c>
      <c r="U1017" s="20" t="s">
        <v>1983</v>
      </c>
      <c r="V1017" s="20"/>
      <c r="W1017" s="90"/>
      <c r="X1017" s="26"/>
      <c r="Y1017" s="26"/>
      <c r="Z1017" s="26"/>
      <c r="AA1017" s="26"/>
    </row>
    <row r="1018" spans="1:27" ht="15.75" customHeight="1">
      <c r="A1018" s="10" t="s">
        <v>6927</v>
      </c>
      <c r="B1018" s="10" t="s">
        <v>27</v>
      </c>
      <c r="C1018" s="10" t="s">
        <v>1470</v>
      </c>
      <c r="D1018" s="12"/>
      <c r="E1018" s="13" t="s">
        <v>6928</v>
      </c>
      <c r="F1018" s="6" t="s">
        <v>6929</v>
      </c>
      <c r="G1018" s="6" t="str">
        <f ca="1">IFERROR(__xludf.DUMMYFUNCTION("CONCATENATE(B1018,(VLOOKUP(C1018,CATALOGOS!$F$2:$H$6,3,FALSE)),(VLOOKUP(T1018,CATALOGOS!$J$2:$K$18,2,FALSE)),""-"",TO_TEXT(A1018))"),"P02PP-1017")</f>
        <v>P02PP-1017</v>
      </c>
      <c r="H1018" s="6"/>
      <c r="I1018" s="37"/>
      <c r="J1018" s="37"/>
      <c r="K1018" s="6" t="s">
        <v>141</v>
      </c>
      <c r="L1018" s="17"/>
      <c r="M1018" s="17"/>
      <c r="N1018" s="17"/>
      <c r="O1018" s="35" t="s">
        <v>6930</v>
      </c>
      <c r="P1018" s="10" t="s">
        <v>6931</v>
      </c>
      <c r="Q1018" s="10">
        <v>264105</v>
      </c>
      <c r="R1018" s="10" t="s">
        <v>85</v>
      </c>
      <c r="S1018" s="191" t="s">
        <v>38</v>
      </c>
      <c r="T1018" s="189" t="s">
        <v>1548</v>
      </c>
      <c r="U1018" s="20" t="s">
        <v>1983</v>
      </c>
      <c r="V1018" s="20"/>
      <c r="W1018" s="90"/>
      <c r="X1018" s="26"/>
      <c r="Y1018" s="26"/>
      <c r="Z1018" s="26"/>
      <c r="AA1018" s="26"/>
    </row>
    <row r="1019" spans="1:27" ht="15.75" customHeight="1">
      <c r="A1019" s="10" t="s">
        <v>6933</v>
      </c>
      <c r="B1019" s="10" t="s">
        <v>27</v>
      </c>
      <c r="C1019" s="10" t="s">
        <v>868</v>
      </c>
      <c r="D1019" s="12"/>
      <c r="E1019" s="13" t="s">
        <v>199</v>
      </c>
      <c r="F1019" s="6" t="s">
        <v>199</v>
      </c>
      <c r="G1019" s="6" t="str">
        <f ca="1">IFERROR(__xludf.DUMMYFUNCTION("CONCATENATE(B1019,(VLOOKUP(C1019,CATALOGOS!$F$2:$H$6,3,FALSE)),(VLOOKUP(T1019,CATALOGOS!$J$2:$K$18,2,FALSE)),""-"",TO_TEXT(A1019))"),"P03CV-1018")</f>
        <v>P03CV-1018</v>
      </c>
      <c r="H1019" s="6"/>
      <c r="I1019" s="37"/>
      <c r="J1019" s="37"/>
      <c r="K1019" s="81"/>
      <c r="L1019" s="17"/>
      <c r="M1019" s="17"/>
      <c r="N1019" s="17"/>
      <c r="O1019" s="35" t="s">
        <v>2748</v>
      </c>
      <c r="P1019" s="10" t="s">
        <v>6934</v>
      </c>
      <c r="Q1019" s="10" t="s">
        <v>6935</v>
      </c>
      <c r="R1019" s="10" t="s">
        <v>85</v>
      </c>
      <c r="S1019" s="191" t="s">
        <v>38</v>
      </c>
      <c r="T1019" s="189" t="s">
        <v>875</v>
      </c>
      <c r="U1019" s="20" t="s">
        <v>1004</v>
      </c>
      <c r="V1019" s="90"/>
      <c r="W1019" s="90"/>
      <c r="X1019" s="26"/>
      <c r="Y1019" s="26"/>
      <c r="Z1019" s="26"/>
      <c r="AA1019" s="26"/>
    </row>
    <row r="1020" spans="1:27" ht="15.75" customHeight="1">
      <c r="A1020" s="10" t="s">
        <v>6937</v>
      </c>
      <c r="B1020" s="10" t="s">
        <v>27</v>
      </c>
      <c r="C1020" s="10" t="s">
        <v>868</v>
      </c>
      <c r="D1020" s="12"/>
      <c r="E1020" s="13" t="s">
        <v>151</v>
      </c>
      <c r="F1020" s="6" t="s">
        <v>6938</v>
      </c>
      <c r="G1020" s="6" t="str">
        <f ca="1">IFERROR(__xludf.DUMMYFUNCTION("CONCATENATE(B1020,(VLOOKUP(C1020,CATALOGOS!$F$2:$H$6,3,FALSE)),(VLOOKUP(T1020,CATALOGOS!$J$2:$K$18,2,FALSE)),""-"",TO_TEXT(A1020))"),"P03CV-1019")</f>
        <v>P03CV-1019</v>
      </c>
      <c r="H1020" s="6"/>
      <c r="I1020" s="37"/>
      <c r="J1020" s="37"/>
      <c r="K1020" s="81"/>
      <c r="L1020" s="17"/>
      <c r="M1020" s="17"/>
      <c r="N1020" s="17"/>
      <c r="O1020" s="35" t="s">
        <v>2748</v>
      </c>
      <c r="P1020" s="10" t="s">
        <v>6939</v>
      </c>
      <c r="Q1020" s="10" t="s">
        <v>8446</v>
      </c>
      <c r="R1020" s="10" t="s">
        <v>85</v>
      </c>
      <c r="S1020" s="191" t="s">
        <v>38</v>
      </c>
      <c r="T1020" s="189" t="s">
        <v>875</v>
      </c>
      <c r="U1020" s="20" t="s">
        <v>1004</v>
      </c>
      <c r="V1020" s="90"/>
      <c r="W1020" s="90"/>
      <c r="X1020" s="26"/>
      <c r="Y1020" s="26"/>
      <c r="Z1020" s="26"/>
      <c r="AA1020" s="26"/>
    </row>
    <row r="1021" spans="1:27" ht="15.75" customHeight="1">
      <c r="A1021" s="10" t="s">
        <v>6942</v>
      </c>
      <c r="B1021" s="10" t="s">
        <v>27</v>
      </c>
      <c r="C1021" s="10" t="s">
        <v>868</v>
      </c>
      <c r="D1021" s="12"/>
      <c r="E1021" s="13" t="s">
        <v>199</v>
      </c>
      <c r="F1021" s="6" t="s">
        <v>199</v>
      </c>
      <c r="G1021" s="6" t="str">
        <f ca="1">IFERROR(__xludf.DUMMYFUNCTION("CONCATENATE(B1021,(VLOOKUP(C1021,CATALOGOS!$F$2:$H$6,3,FALSE)),(VLOOKUP(T1021,CATALOGOS!$J$2:$K$18,2,FALSE)),""-"",TO_TEXT(A1021))"),"P03CV-1020")</f>
        <v>P03CV-1020</v>
      </c>
      <c r="H1021" s="6"/>
      <c r="I1021" s="37"/>
      <c r="J1021" s="37"/>
      <c r="K1021" s="81"/>
      <c r="L1021" s="17"/>
      <c r="M1021" s="17"/>
      <c r="N1021" s="17"/>
      <c r="O1021" s="35" t="s">
        <v>2748</v>
      </c>
      <c r="P1021" s="10" t="s">
        <v>6934</v>
      </c>
      <c r="Q1021" s="10" t="s">
        <v>6943</v>
      </c>
      <c r="R1021" s="10" t="s">
        <v>85</v>
      </c>
      <c r="S1021" s="191" t="s">
        <v>38</v>
      </c>
      <c r="T1021" s="189" t="s">
        <v>875</v>
      </c>
      <c r="U1021" s="20" t="s">
        <v>876</v>
      </c>
      <c r="V1021" s="90"/>
      <c r="W1021" s="90"/>
      <c r="X1021" s="26"/>
      <c r="Y1021" s="26"/>
      <c r="Z1021" s="26"/>
      <c r="AA1021" s="26"/>
    </row>
    <row r="1022" spans="1:27" ht="15.75" customHeight="1">
      <c r="A1022" s="10" t="s">
        <v>6945</v>
      </c>
      <c r="B1022" s="10" t="s">
        <v>27</v>
      </c>
      <c r="C1022" s="10" t="s">
        <v>868</v>
      </c>
      <c r="D1022" s="12"/>
      <c r="E1022" s="13" t="s">
        <v>151</v>
      </c>
      <c r="F1022" s="6" t="s">
        <v>6938</v>
      </c>
      <c r="G1022" s="6" t="str">
        <f ca="1">IFERROR(__xludf.DUMMYFUNCTION("CONCATENATE(B1022,(VLOOKUP(C1022,CATALOGOS!$F$2:$H$6,3,FALSE)),(VLOOKUP(T1022,CATALOGOS!$J$2:$K$18,2,FALSE)),""-"",TO_TEXT(A1022))"),"P03CV-1021")</f>
        <v>P03CV-1021</v>
      </c>
      <c r="H1022" s="6"/>
      <c r="I1022" s="37"/>
      <c r="J1022" s="37"/>
      <c r="K1022" s="81"/>
      <c r="L1022" s="17"/>
      <c r="M1022" s="17"/>
      <c r="N1022" s="17"/>
      <c r="O1022" s="35" t="s">
        <v>2748</v>
      </c>
      <c r="P1022" s="10" t="s">
        <v>6939</v>
      </c>
      <c r="Q1022" s="10" t="s">
        <v>8447</v>
      </c>
      <c r="R1022" s="10" t="s">
        <v>85</v>
      </c>
      <c r="S1022" s="191" t="s">
        <v>38</v>
      </c>
      <c r="T1022" s="189" t="s">
        <v>875</v>
      </c>
      <c r="U1022" s="20" t="s">
        <v>876</v>
      </c>
      <c r="V1022" s="90"/>
      <c r="W1022" s="90"/>
      <c r="X1022" s="26"/>
      <c r="Y1022" s="26"/>
      <c r="Z1022" s="26"/>
      <c r="AA1022" s="26"/>
    </row>
    <row r="1023" spans="1:27" ht="15.75" customHeight="1">
      <c r="A1023" s="10" t="s">
        <v>6948</v>
      </c>
      <c r="B1023" s="10" t="s">
        <v>1469</v>
      </c>
      <c r="C1023" s="10" t="s">
        <v>868</v>
      </c>
      <c r="D1023" s="12"/>
      <c r="E1023" s="13" t="s">
        <v>199</v>
      </c>
      <c r="F1023" s="6" t="s">
        <v>199</v>
      </c>
      <c r="G1023" s="6" t="str">
        <f ca="1">IFERROR(__xludf.DUMMYFUNCTION("CONCATENATE(B1023,(VLOOKUP(C1023,CATALOGOS!$F$2:$H$6,3,FALSE)),(VLOOKUP(T1023,CATALOGOS!$J$2:$K$18,2,FALSE)),""-"",TO_TEXT(A1023))"),"P13LP-1022")</f>
        <v>P13LP-1022</v>
      </c>
      <c r="H1023" s="6"/>
      <c r="I1023" s="37"/>
      <c r="J1023" s="37"/>
      <c r="K1023" s="81"/>
      <c r="L1023" s="17"/>
      <c r="M1023" s="17"/>
      <c r="N1023" s="17"/>
      <c r="O1023" s="35" t="s">
        <v>2748</v>
      </c>
      <c r="P1023" s="10" t="s">
        <v>6934</v>
      </c>
      <c r="Q1023" s="10" t="s">
        <v>6949</v>
      </c>
      <c r="R1023" s="10" t="s">
        <v>85</v>
      </c>
      <c r="S1023" s="191" t="s">
        <v>38</v>
      </c>
      <c r="T1023" s="189" t="s">
        <v>2328</v>
      </c>
      <c r="U1023" s="20" t="s">
        <v>3984</v>
      </c>
      <c r="V1023" s="90"/>
      <c r="W1023" s="90"/>
      <c r="X1023" s="26"/>
      <c r="Y1023" s="26"/>
      <c r="Z1023" s="26"/>
      <c r="AA1023" s="26"/>
    </row>
    <row r="1024" spans="1:27" ht="15.75" customHeight="1">
      <c r="A1024" s="10" t="s">
        <v>6951</v>
      </c>
      <c r="B1024" s="10" t="s">
        <v>1469</v>
      </c>
      <c r="C1024" s="10" t="s">
        <v>868</v>
      </c>
      <c r="D1024" s="12"/>
      <c r="E1024" s="13" t="s">
        <v>151</v>
      </c>
      <c r="F1024" s="6" t="s">
        <v>6938</v>
      </c>
      <c r="G1024" s="6" t="str">
        <f ca="1">IFERROR(__xludf.DUMMYFUNCTION("CONCATENATE(B1024,(VLOOKUP(C1024,CATALOGOS!$F$2:$H$6,3,FALSE)),(VLOOKUP(T1024,CATALOGOS!$J$2:$K$18,2,FALSE)),""-"",TO_TEXT(A1024))"),"P13LP-1023")</f>
        <v>P13LP-1023</v>
      </c>
      <c r="H1024" s="6"/>
      <c r="I1024" s="37"/>
      <c r="J1024" s="37"/>
      <c r="K1024" s="81"/>
      <c r="L1024" s="17"/>
      <c r="M1024" s="17"/>
      <c r="N1024" s="17"/>
      <c r="O1024" s="35" t="s">
        <v>2748</v>
      </c>
      <c r="P1024" s="10" t="s">
        <v>6939</v>
      </c>
      <c r="Q1024" s="10" t="s">
        <v>6952</v>
      </c>
      <c r="R1024" s="10" t="s">
        <v>85</v>
      </c>
      <c r="S1024" s="191" t="s">
        <v>38</v>
      </c>
      <c r="T1024" s="189" t="s">
        <v>2328</v>
      </c>
      <c r="U1024" s="20" t="s">
        <v>3984</v>
      </c>
      <c r="V1024" s="90"/>
      <c r="W1024" s="90"/>
      <c r="X1024" s="26"/>
      <c r="Y1024" s="26"/>
      <c r="Z1024" s="26"/>
      <c r="AA1024" s="26"/>
    </row>
    <row r="1025" spans="1:27" ht="15.75" customHeight="1">
      <c r="A1025" s="10" t="s">
        <v>6954</v>
      </c>
      <c r="B1025" s="10" t="s">
        <v>4410</v>
      </c>
      <c r="C1025" s="10" t="s">
        <v>4411</v>
      </c>
      <c r="D1025" s="12"/>
      <c r="E1025" s="13" t="s">
        <v>199</v>
      </c>
      <c r="F1025" s="6" t="s">
        <v>199</v>
      </c>
      <c r="G1025" s="6" t="str">
        <f ca="1">IFERROR(__xludf.DUMMYFUNCTION("CONCATENATE(B1025,(VLOOKUP(C1025,CATALOGOS!$F$2:$H$6,3,FALSE)),(VLOOKUP(T1025,CATALOGOS!$J$2:$K$18,2,FALSE)),""-"",TO_TEXT(A1025))"),"P24SJ-1024")</f>
        <v>P24SJ-1024</v>
      </c>
      <c r="H1025" s="6"/>
      <c r="I1025" s="37"/>
      <c r="J1025" s="37"/>
      <c r="K1025" s="81"/>
      <c r="L1025" s="17"/>
      <c r="M1025" s="17"/>
      <c r="N1025" s="17"/>
      <c r="O1025" s="35" t="s">
        <v>2748</v>
      </c>
      <c r="P1025" s="10" t="s">
        <v>6934</v>
      </c>
      <c r="Q1025" s="10" t="s">
        <v>8448</v>
      </c>
      <c r="R1025" s="10" t="s">
        <v>85</v>
      </c>
      <c r="S1025" s="191" t="s">
        <v>38</v>
      </c>
      <c r="T1025" s="189" t="s">
        <v>4411</v>
      </c>
      <c r="U1025" s="20" t="s">
        <v>5223</v>
      </c>
      <c r="V1025" s="90"/>
      <c r="W1025" s="90"/>
      <c r="X1025" s="26"/>
      <c r="Y1025" s="26"/>
      <c r="Z1025" s="26"/>
      <c r="AA1025" s="26"/>
    </row>
    <row r="1026" spans="1:27" ht="15.75" customHeight="1">
      <c r="A1026" s="10">
        <v>1025</v>
      </c>
      <c r="B1026" s="10" t="s">
        <v>4410</v>
      </c>
      <c r="C1026" s="10" t="s">
        <v>4411</v>
      </c>
      <c r="D1026" s="12"/>
      <c r="E1026" s="13" t="s">
        <v>151</v>
      </c>
      <c r="F1026" s="6" t="s">
        <v>6938</v>
      </c>
      <c r="G1026" s="6" t="str">
        <f ca="1">IFERROR(__xludf.DUMMYFUNCTION("CONCATENATE(B1026,(VLOOKUP(C1026,CATALOGOS!$F$2:$H$6,3,FALSE)),(VLOOKUP(T1026,CATALOGOS!$J$2:$K$18,2,FALSE)),""-"",TO_TEXT(A1026))"),"P24SJ-1025")</f>
        <v>P24SJ-1025</v>
      </c>
      <c r="H1026" s="6"/>
      <c r="I1026" s="37"/>
      <c r="J1026" s="37"/>
      <c r="K1026" s="81"/>
      <c r="L1026" s="17"/>
      <c r="M1026" s="17"/>
      <c r="N1026" s="17"/>
      <c r="O1026" s="35" t="s">
        <v>2748</v>
      </c>
      <c r="P1026" s="10" t="s">
        <v>6939</v>
      </c>
      <c r="Q1026" s="10" t="s">
        <v>6958</v>
      </c>
      <c r="R1026" s="10" t="s">
        <v>85</v>
      </c>
      <c r="S1026" s="191" t="s">
        <v>38</v>
      </c>
      <c r="T1026" s="189" t="s">
        <v>4411</v>
      </c>
      <c r="U1026" s="20" t="s">
        <v>5223</v>
      </c>
      <c r="V1026" s="90"/>
      <c r="W1026" s="90"/>
      <c r="X1026" s="26"/>
      <c r="Y1026" s="26"/>
      <c r="Z1026" s="26"/>
      <c r="AA1026" s="26"/>
    </row>
    <row r="1027" spans="1:27" ht="15.75" hidden="1" customHeight="1">
      <c r="A1027" s="10">
        <v>1026</v>
      </c>
      <c r="B1027" s="10" t="s">
        <v>1469</v>
      </c>
      <c r="C1027" s="10" t="s">
        <v>1470</v>
      </c>
      <c r="D1027" s="12"/>
      <c r="E1027" s="13" t="s">
        <v>2743</v>
      </c>
      <c r="F1027" s="6" t="s">
        <v>2743</v>
      </c>
      <c r="G1027" s="6" t="str">
        <f ca="1">IFERROR(__xludf.DUMMYFUNCTION("CONCATENATE(B1027,(VLOOKUP(C1027,CATALOGOS!$F$2:$H$6,3,FALSE)),(VLOOKUP(T1027,CATALOGOS!$J$2:$K$18,2,FALSE)),""-"",TO_TEXT(A1027))"),"#N/A")</f>
        <v>#N/A</v>
      </c>
      <c r="H1027" s="6"/>
      <c r="I1027" s="37"/>
      <c r="J1027" s="37"/>
      <c r="K1027" s="81"/>
      <c r="L1027" s="17"/>
      <c r="M1027" s="17"/>
      <c r="N1027" s="17"/>
      <c r="O1027" s="35" t="s">
        <v>205</v>
      </c>
      <c r="P1027" s="10" t="s">
        <v>6961</v>
      </c>
      <c r="Q1027" s="10" t="s">
        <v>6962</v>
      </c>
      <c r="R1027" s="10" t="s">
        <v>85</v>
      </c>
      <c r="S1027" s="191" t="s">
        <v>38</v>
      </c>
      <c r="T1027" s="192"/>
      <c r="U1027" s="90"/>
      <c r="V1027" s="90"/>
      <c r="W1027" s="90"/>
      <c r="X1027" s="26"/>
      <c r="Y1027" s="26"/>
      <c r="Z1027" s="26"/>
      <c r="AA1027" s="26"/>
    </row>
    <row r="1028" spans="1:27" ht="15.75" customHeight="1">
      <c r="A1028" s="10"/>
      <c r="B1028" s="12"/>
      <c r="C1028" s="12"/>
      <c r="D1028" s="12"/>
      <c r="E1028" s="205"/>
      <c r="F1028" s="6"/>
      <c r="G1028" s="6" t="str">
        <f ca="1">IFERROR(__xludf.DUMMYFUNCTION("CONCATENATE(B1028,(VLOOKUP(C1028,CATALOGOS!$F$2:$H$6,3,FALSE)),(VLOOKUP(T1028,CATALOGOS!$J$2:$K$18,2,FALSE)),""-"",TO_TEXT(A1028))"),"#N/A")</f>
        <v>#N/A</v>
      </c>
      <c r="H1028" s="6"/>
      <c r="I1028" s="37"/>
      <c r="J1028" s="37"/>
      <c r="K1028" s="81"/>
      <c r="L1028" s="17"/>
      <c r="M1028" s="17"/>
      <c r="N1028" s="17"/>
      <c r="O1028" s="17"/>
      <c r="P1028" s="32"/>
      <c r="Q1028" s="32"/>
      <c r="R1028" s="32"/>
      <c r="S1028" s="218"/>
      <c r="T1028" s="192"/>
      <c r="U1028" s="90"/>
      <c r="V1028" s="90"/>
      <c r="W1028" s="90"/>
      <c r="X1028" s="26"/>
      <c r="Y1028" s="26"/>
      <c r="Z1028" s="26"/>
      <c r="AA1028" s="26"/>
    </row>
    <row r="1029" spans="1:27" ht="15.75" customHeight="1">
      <c r="A1029" s="10"/>
      <c r="B1029" s="12"/>
      <c r="C1029" s="12"/>
      <c r="D1029" s="12"/>
      <c r="E1029" s="205"/>
      <c r="F1029" s="6"/>
      <c r="G1029" s="6" t="str">
        <f ca="1">IFERROR(__xludf.DUMMYFUNCTION("CONCATENATE(B1029,(VLOOKUP(C1029,CATALOGOS!$F$2:$H$6,3,FALSE)),(VLOOKUP(T1029,CATALOGOS!$J$2:$K$18,2,FALSE)),""-"",TO_TEXT(A1029))"),"#N/A")</f>
        <v>#N/A</v>
      </c>
      <c r="H1029" s="6"/>
      <c r="I1029" s="37"/>
      <c r="J1029" s="37"/>
      <c r="K1029" s="81"/>
      <c r="L1029" s="17"/>
      <c r="M1029" s="17"/>
      <c r="N1029" s="17"/>
      <c r="O1029" s="17"/>
      <c r="P1029" s="32"/>
      <c r="Q1029" s="32"/>
      <c r="R1029" s="32"/>
      <c r="S1029" s="218"/>
      <c r="T1029" s="192"/>
      <c r="U1029" s="90"/>
      <c r="V1029" s="90"/>
      <c r="W1029" s="90"/>
      <c r="X1029" s="26"/>
      <c r="Y1029" s="26"/>
      <c r="Z1029" s="26"/>
      <c r="AA1029" s="26"/>
    </row>
    <row r="1030" spans="1:27" ht="15.75" customHeight="1">
      <c r="A1030" s="10"/>
      <c r="B1030" s="12"/>
      <c r="C1030" s="12"/>
      <c r="D1030" s="12"/>
      <c r="E1030" s="205"/>
      <c r="F1030" s="6"/>
      <c r="G1030" s="6" t="str">
        <f ca="1">IFERROR(__xludf.DUMMYFUNCTION("CONCATENATE(B1030,(VLOOKUP(C1030,CATALOGOS!$F$2:$H$6,3,FALSE)),(VLOOKUP(T1030,CATALOGOS!$J$2:$K$18,2,FALSE)),""-"",TO_TEXT(A1030))"),"#N/A")</f>
        <v>#N/A</v>
      </c>
      <c r="H1030" s="6"/>
      <c r="I1030" s="37"/>
      <c r="J1030" s="37"/>
      <c r="K1030" s="81"/>
      <c r="L1030" s="17"/>
      <c r="M1030" s="17"/>
      <c r="N1030" s="17"/>
      <c r="O1030" s="17"/>
      <c r="P1030" s="32"/>
      <c r="Q1030" s="32"/>
      <c r="R1030" s="32"/>
      <c r="S1030" s="218"/>
      <c r="T1030" s="192"/>
      <c r="U1030" s="90"/>
      <c r="V1030" s="90"/>
      <c r="W1030" s="90"/>
      <c r="X1030" s="26"/>
      <c r="Y1030" s="26"/>
      <c r="Z1030" s="26"/>
      <c r="AA1030" s="26"/>
    </row>
    <row r="1031" spans="1:27" ht="15.75" customHeight="1">
      <c r="A1031" s="10"/>
      <c r="B1031" s="12"/>
      <c r="C1031" s="12"/>
      <c r="D1031" s="12"/>
      <c r="E1031" s="205"/>
      <c r="F1031" s="6"/>
      <c r="G1031" s="6" t="str">
        <f ca="1">IFERROR(__xludf.DUMMYFUNCTION("CONCATENATE(B1031,(VLOOKUP(C1031,CATALOGOS!$F$2:$H$6,3,FALSE)),(VLOOKUP(T1031,CATALOGOS!$J$2:$K$18,2,FALSE)),""-"",TO_TEXT(A1031))"),"#N/A")</f>
        <v>#N/A</v>
      </c>
      <c r="H1031" s="6"/>
      <c r="I1031" s="37"/>
      <c r="J1031" s="37"/>
      <c r="K1031" s="81"/>
      <c r="L1031" s="17"/>
      <c r="M1031" s="17"/>
      <c r="N1031" s="17"/>
      <c r="O1031" s="17"/>
      <c r="P1031" s="32"/>
      <c r="Q1031" s="32"/>
      <c r="R1031" s="32"/>
      <c r="S1031" s="218"/>
      <c r="T1031" s="192"/>
      <c r="U1031" s="90"/>
      <c r="V1031" s="90"/>
      <c r="W1031" s="90"/>
      <c r="X1031" s="26"/>
      <c r="Y1031" s="26"/>
      <c r="Z1031" s="26"/>
      <c r="AA1031" s="26"/>
    </row>
    <row r="1032" spans="1:27" ht="15.75" customHeight="1">
      <c r="A1032" s="10"/>
      <c r="B1032" s="12"/>
      <c r="C1032" s="12"/>
      <c r="D1032" s="12"/>
      <c r="E1032" s="205"/>
      <c r="F1032" s="6"/>
      <c r="G1032" s="6" t="str">
        <f ca="1">IFERROR(__xludf.DUMMYFUNCTION("CONCATENATE(B1032,(VLOOKUP(C1032,CATALOGOS!$F$2:$H$6,3,FALSE)),(VLOOKUP(T1032,CATALOGOS!$J$2:$K$18,2,FALSE)),""-"",TO_TEXT(A1032))"),"#N/A")</f>
        <v>#N/A</v>
      </c>
      <c r="H1032" s="6"/>
      <c r="I1032" s="37"/>
      <c r="J1032" s="37"/>
      <c r="K1032" s="81"/>
      <c r="L1032" s="17"/>
      <c r="M1032" s="17"/>
      <c r="N1032" s="17"/>
      <c r="O1032" s="17"/>
      <c r="P1032" s="32"/>
      <c r="Q1032" s="32"/>
      <c r="R1032" s="32"/>
      <c r="S1032" s="218"/>
      <c r="T1032" s="192"/>
      <c r="U1032" s="90"/>
      <c r="V1032" s="90"/>
      <c r="W1032" s="90"/>
      <c r="X1032" s="26"/>
      <c r="Y1032" s="26"/>
      <c r="Z1032" s="26"/>
      <c r="AA1032" s="26"/>
    </row>
    <row r="1033" spans="1:27" ht="15.75" customHeight="1">
      <c r="A1033" s="10"/>
      <c r="B1033" s="12"/>
      <c r="C1033" s="12"/>
      <c r="D1033" s="12"/>
      <c r="E1033" s="205"/>
      <c r="F1033" s="6"/>
      <c r="G1033" s="6" t="str">
        <f ca="1">IFERROR(__xludf.DUMMYFUNCTION("CONCATENATE(B1033,(VLOOKUP(C1033,CATALOGOS!$F$2:$H$6,3,FALSE)),(VLOOKUP(T1033,CATALOGOS!$J$2:$K$18,2,FALSE)),""-"",TO_TEXT(A1033))"),"#N/A")</f>
        <v>#N/A</v>
      </c>
      <c r="H1033" s="6"/>
      <c r="I1033" s="37"/>
      <c r="J1033" s="37"/>
      <c r="K1033" s="81"/>
      <c r="L1033" s="17"/>
      <c r="M1033" s="17"/>
      <c r="N1033" s="17"/>
      <c r="O1033" s="17"/>
      <c r="P1033" s="32"/>
      <c r="Q1033" s="32"/>
      <c r="R1033" s="32"/>
      <c r="S1033" s="218"/>
      <c r="T1033" s="192"/>
      <c r="U1033" s="90"/>
      <c r="V1033" s="90"/>
      <c r="W1033" s="90"/>
      <c r="X1033" s="26"/>
      <c r="Y1033" s="26"/>
      <c r="Z1033" s="26"/>
      <c r="AA1033" s="26"/>
    </row>
    <row r="1034" spans="1:27" ht="15.75" customHeight="1">
      <c r="A1034" s="10"/>
      <c r="B1034" s="12"/>
      <c r="C1034" s="12"/>
      <c r="D1034" s="12"/>
      <c r="E1034" s="205"/>
      <c r="F1034" s="6"/>
      <c r="G1034" s="6" t="str">
        <f ca="1">IFERROR(__xludf.DUMMYFUNCTION("CONCATENATE(B1034,(VLOOKUP(C1034,CATALOGOS!$F$2:$H$6,3,FALSE)),(VLOOKUP(T1034,CATALOGOS!$J$2:$K$18,2,FALSE)),""-"",TO_TEXT(A1034))"),"#N/A")</f>
        <v>#N/A</v>
      </c>
      <c r="H1034" s="6"/>
      <c r="I1034" s="37"/>
      <c r="J1034" s="37"/>
      <c r="K1034" s="81"/>
      <c r="L1034" s="17"/>
      <c r="M1034" s="17"/>
      <c r="N1034" s="17"/>
      <c r="O1034" s="17"/>
      <c r="P1034" s="32"/>
      <c r="Q1034" s="32"/>
      <c r="R1034" s="32"/>
      <c r="S1034" s="218"/>
      <c r="T1034" s="192"/>
      <c r="U1034" s="90"/>
      <c r="V1034" s="90"/>
      <c r="W1034" s="90"/>
      <c r="X1034" s="26"/>
      <c r="Y1034" s="26"/>
      <c r="Z1034" s="26"/>
      <c r="AA1034" s="26"/>
    </row>
    <row r="1035" spans="1:27" ht="15.75" customHeight="1">
      <c r="A1035" s="10"/>
      <c r="B1035" s="12"/>
      <c r="C1035" s="12"/>
      <c r="D1035" s="12"/>
      <c r="E1035" s="205"/>
      <c r="F1035" s="6"/>
      <c r="G1035" s="6" t="str">
        <f ca="1">IFERROR(__xludf.DUMMYFUNCTION("CONCATENATE(B1035,(VLOOKUP(C1035,CATALOGOS!$F$2:$H$6,3,FALSE)),(VLOOKUP(T1035,CATALOGOS!$J$2:$K$18,2,FALSE)),""-"",TO_TEXT(A1035))"),"#N/A")</f>
        <v>#N/A</v>
      </c>
      <c r="H1035" s="6"/>
      <c r="I1035" s="37"/>
      <c r="J1035" s="37"/>
      <c r="K1035" s="81"/>
      <c r="L1035" s="17"/>
      <c r="M1035" s="17"/>
      <c r="N1035" s="17"/>
      <c r="O1035" s="17"/>
      <c r="P1035" s="32"/>
      <c r="Q1035" s="32"/>
      <c r="R1035" s="32"/>
      <c r="S1035" s="218"/>
      <c r="T1035" s="192"/>
      <c r="U1035" s="90"/>
      <c r="V1035" s="90"/>
      <c r="W1035" s="90"/>
      <c r="X1035" s="26"/>
      <c r="Y1035" s="26"/>
      <c r="Z1035" s="26"/>
      <c r="AA1035" s="26"/>
    </row>
    <row r="1036" spans="1:27" ht="15.75" customHeight="1">
      <c r="A1036" s="10"/>
      <c r="B1036" s="12"/>
      <c r="C1036" s="12"/>
      <c r="D1036" s="12"/>
      <c r="E1036" s="205"/>
      <c r="F1036" s="6"/>
      <c r="G1036" s="6" t="str">
        <f ca="1">IFERROR(__xludf.DUMMYFUNCTION("CONCATENATE(B1036,(VLOOKUP(C1036,CATALOGOS!$F$2:$H$6,3,FALSE)),(VLOOKUP(T1036,CATALOGOS!$J$2:$K$18,2,FALSE)),""-"",TO_TEXT(A1036))"),"#N/A")</f>
        <v>#N/A</v>
      </c>
      <c r="H1036" s="6"/>
      <c r="I1036" s="37"/>
      <c r="J1036" s="37"/>
      <c r="K1036" s="81"/>
      <c r="L1036" s="17"/>
      <c r="M1036" s="17"/>
      <c r="N1036" s="17"/>
      <c r="O1036" s="17"/>
      <c r="P1036" s="32"/>
      <c r="Q1036" s="32"/>
      <c r="R1036" s="32"/>
      <c r="S1036" s="218"/>
      <c r="T1036" s="192"/>
      <c r="U1036" s="90"/>
      <c r="V1036" s="90"/>
      <c r="W1036" s="90"/>
      <c r="X1036" s="26"/>
      <c r="Y1036" s="26"/>
      <c r="Z1036" s="26"/>
      <c r="AA1036" s="26"/>
    </row>
    <row r="1037" spans="1:27" ht="15.75" customHeight="1">
      <c r="A1037" s="10"/>
      <c r="B1037" s="12"/>
      <c r="C1037" s="12"/>
      <c r="D1037" s="12"/>
      <c r="E1037" s="205"/>
      <c r="F1037" s="6"/>
      <c r="G1037" s="6" t="str">
        <f ca="1">IFERROR(__xludf.DUMMYFUNCTION("CONCATENATE(B1037,(VLOOKUP(C1037,CATALOGOS!$F$2:$H$6,3,FALSE)),(VLOOKUP(T1037,CATALOGOS!$J$2:$K$18,2,FALSE)),""-"",TO_TEXT(A1037))"),"#N/A")</f>
        <v>#N/A</v>
      </c>
      <c r="H1037" s="6"/>
      <c r="I1037" s="37"/>
      <c r="J1037" s="37"/>
      <c r="K1037" s="81"/>
      <c r="L1037" s="17"/>
      <c r="M1037" s="17"/>
      <c r="N1037" s="17"/>
      <c r="O1037" s="17"/>
      <c r="P1037" s="32"/>
      <c r="Q1037" s="32"/>
      <c r="R1037" s="32"/>
      <c r="S1037" s="218"/>
      <c r="T1037" s="192"/>
      <c r="U1037" s="90"/>
      <c r="V1037" s="90"/>
      <c r="W1037" s="90"/>
      <c r="X1037" s="26"/>
      <c r="Y1037" s="26"/>
      <c r="Z1037" s="26"/>
      <c r="AA1037" s="26"/>
    </row>
    <row r="1038" spans="1:27" ht="15.75" customHeight="1">
      <c r="A1038" s="10"/>
      <c r="B1038" s="12"/>
      <c r="C1038" s="12"/>
      <c r="D1038" s="12"/>
      <c r="E1038" s="205"/>
      <c r="F1038" s="6"/>
      <c r="G1038" s="6" t="str">
        <f ca="1">IFERROR(__xludf.DUMMYFUNCTION("CONCATENATE(B1038,(VLOOKUP(C1038,CATALOGOS!$F$2:$H$6,3,FALSE)),(VLOOKUP(T1038,CATALOGOS!$J$2:$K$18,2,FALSE)),""-"",TO_TEXT(A1038))"),"#N/A")</f>
        <v>#N/A</v>
      </c>
      <c r="H1038" s="6"/>
      <c r="I1038" s="37"/>
      <c r="J1038" s="37"/>
      <c r="K1038" s="81"/>
      <c r="L1038" s="17"/>
      <c r="M1038" s="17"/>
      <c r="N1038" s="17"/>
      <c r="O1038" s="17"/>
      <c r="P1038" s="32"/>
      <c r="Q1038" s="32"/>
      <c r="R1038" s="32"/>
      <c r="S1038" s="218"/>
      <c r="T1038" s="192"/>
      <c r="U1038" s="90"/>
      <c r="V1038" s="90"/>
      <c r="W1038" s="90"/>
      <c r="X1038" s="26"/>
      <c r="Y1038" s="26"/>
      <c r="Z1038" s="26"/>
      <c r="AA1038" s="26"/>
    </row>
    <row r="1039" spans="1:27" ht="15.75" customHeight="1">
      <c r="A1039" s="10"/>
      <c r="B1039" s="12"/>
      <c r="C1039" s="12"/>
      <c r="D1039" s="12"/>
      <c r="E1039" s="205"/>
      <c r="F1039" s="6"/>
      <c r="G1039" s="6" t="str">
        <f ca="1">IFERROR(__xludf.DUMMYFUNCTION("CONCATENATE(B1039,(VLOOKUP(C1039,CATALOGOS!$F$2:$H$6,3,FALSE)),(VLOOKUP(T1039,CATALOGOS!$J$2:$K$18,2,FALSE)),""-"",TO_TEXT(A1039))"),"#N/A")</f>
        <v>#N/A</v>
      </c>
      <c r="H1039" s="6"/>
      <c r="I1039" s="37"/>
      <c r="J1039" s="37"/>
      <c r="K1039" s="81"/>
      <c r="L1039" s="17"/>
      <c r="M1039" s="17"/>
      <c r="N1039" s="17"/>
      <c r="O1039" s="17"/>
      <c r="P1039" s="32"/>
      <c r="Q1039" s="32"/>
      <c r="R1039" s="32"/>
      <c r="S1039" s="218"/>
      <c r="T1039" s="192"/>
      <c r="U1039" s="90"/>
      <c r="V1039" s="90"/>
      <c r="W1039" s="90"/>
      <c r="X1039" s="26"/>
      <c r="Y1039" s="26"/>
      <c r="Z1039" s="26"/>
      <c r="AA1039" s="26"/>
    </row>
    <row r="1040" spans="1:27" ht="15.75" customHeight="1">
      <c r="A1040" s="10"/>
      <c r="B1040" s="12"/>
      <c r="C1040" s="12"/>
      <c r="D1040" s="12"/>
      <c r="E1040" s="205"/>
      <c r="F1040" s="6"/>
      <c r="G1040" s="6" t="str">
        <f ca="1">IFERROR(__xludf.DUMMYFUNCTION("CONCATENATE(B1040,(VLOOKUP(C1040,CATALOGOS!$F$2:$H$6,3,FALSE)),(VLOOKUP(T1040,CATALOGOS!$J$2:$K$18,2,FALSE)),""-"",TO_TEXT(A1040))"),"#N/A")</f>
        <v>#N/A</v>
      </c>
      <c r="H1040" s="6"/>
      <c r="I1040" s="37"/>
      <c r="J1040" s="37"/>
      <c r="K1040" s="81"/>
      <c r="L1040" s="17"/>
      <c r="M1040" s="17"/>
      <c r="N1040" s="17"/>
      <c r="O1040" s="17"/>
      <c r="P1040" s="32"/>
      <c r="Q1040" s="32"/>
      <c r="R1040" s="32"/>
      <c r="S1040" s="218"/>
      <c r="T1040" s="192"/>
      <c r="U1040" s="90"/>
      <c r="V1040" s="90"/>
      <c r="W1040" s="90"/>
      <c r="X1040" s="26"/>
      <c r="Y1040" s="26"/>
      <c r="Z1040" s="26"/>
      <c r="AA1040" s="26"/>
    </row>
    <row r="1041" spans="1:27" ht="15.75" customHeight="1">
      <c r="A1041" s="10"/>
      <c r="B1041" s="12"/>
      <c r="C1041" s="12"/>
      <c r="D1041" s="12"/>
      <c r="E1041" s="205"/>
      <c r="F1041" s="6"/>
      <c r="G1041" s="6" t="str">
        <f ca="1">IFERROR(__xludf.DUMMYFUNCTION("CONCATENATE(B1041,(VLOOKUP(C1041,CATALOGOS!$F$2:$H$6,3,FALSE)),(VLOOKUP(T1041,CATALOGOS!$J$2:$K$18,2,FALSE)),""-"",TO_TEXT(A1041))"),"#N/A")</f>
        <v>#N/A</v>
      </c>
      <c r="H1041" s="6"/>
      <c r="I1041" s="37"/>
      <c r="J1041" s="37"/>
      <c r="K1041" s="81"/>
      <c r="L1041" s="17"/>
      <c r="M1041" s="17"/>
      <c r="N1041" s="17"/>
      <c r="O1041" s="17"/>
      <c r="P1041" s="32"/>
      <c r="Q1041" s="32"/>
      <c r="R1041" s="32"/>
      <c r="S1041" s="218"/>
      <c r="T1041" s="192"/>
      <c r="U1041" s="90"/>
      <c r="V1041" s="90"/>
      <c r="W1041" s="90"/>
      <c r="X1041" s="26"/>
      <c r="Y1041" s="26"/>
      <c r="Z1041" s="26"/>
      <c r="AA1041" s="26"/>
    </row>
    <row r="1042" spans="1:27" ht="15.75" customHeight="1">
      <c r="A1042" s="10"/>
      <c r="B1042" s="12"/>
      <c r="C1042" s="12"/>
      <c r="D1042" s="12"/>
      <c r="E1042" s="205"/>
      <c r="F1042" s="6"/>
      <c r="G1042" s="6" t="str">
        <f ca="1">IFERROR(__xludf.DUMMYFUNCTION("CONCATENATE(B1042,(VLOOKUP(C1042,CATALOGOS!$F$2:$H$6,3,FALSE)),(VLOOKUP(T1042,CATALOGOS!$J$2:$K$18,2,FALSE)),""-"",TO_TEXT(A1042))"),"#N/A")</f>
        <v>#N/A</v>
      </c>
      <c r="H1042" s="6"/>
      <c r="I1042" s="37"/>
      <c r="J1042" s="37"/>
      <c r="K1042" s="81"/>
      <c r="L1042" s="17"/>
      <c r="M1042" s="17"/>
      <c r="N1042" s="17"/>
      <c r="O1042" s="17"/>
      <c r="P1042" s="32"/>
      <c r="Q1042" s="32"/>
      <c r="R1042" s="32"/>
      <c r="S1042" s="218"/>
      <c r="T1042" s="192"/>
      <c r="U1042" s="90"/>
      <c r="V1042" s="90"/>
      <c r="W1042" s="90"/>
      <c r="X1042" s="26"/>
      <c r="Y1042" s="26"/>
      <c r="Z1042" s="26"/>
      <c r="AA1042" s="26"/>
    </row>
    <row r="1043" spans="1:27" ht="15.75" customHeight="1">
      <c r="A1043" s="10"/>
      <c r="B1043" s="12"/>
      <c r="C1043" s="12"/>
      <c r="D1043" s="12"/>
      <c r="E1043" s="205"/>
      <c r="F1043" s="36"/>
      <c r="G1043" s="6" t="str">
        <f ca="1">IFERROR(__xludf.DUMMYFUNCTION("CONCATENATE(B1043,(VLOOKUP(C1043,CATALOGOS!$F$2:$H$6,3,FALSE)),(VLOOKUP(T1043,CATALOGOS!$J$2:$K$18,2,FALSE)),""-"",TO_TEXT(A1043))"),"#N/A")</f>
        <v>#N/A</v>
      </c>
      <c r="H1043" s="36"/>
      <c r="I1043" s="37"/>
      <c r="J1043" s="37"/>
      <c r="K1043" s="81"/>
      <c r="L1043" s="108"/>
      <c r="M1043" s="108"/>
      <c r="N1043" s="108"/>
      <c r="O1043" s="108"/>
      <c r="P1043" s="37"/>
      <c r="Q1043" s="37"/>
      <c r="R1043" s="62"/>
      <c r="S1043" s="90"/>
      <c r="T1043" s="136"/>
      <c r="U1043" s="90"/>
      <c r="V1043" s="90"/>
      <c r="W1043" s="90"/>
      <c r="X1043" s="26"/>
      <c r="Y1043" s="26"/>
      <c r="Z1043" s="26"/>
      <c r="AA1043" s="26"/>
    </row>
    <row r="1044" spans="1:27" ht="15.75" customHeight="1">
      <c r="A1044" s="10"/>
      <c r="B1044" s="12"/>
      <c r="C1044" s="12"/>
      <c r="D1044" s="12"/>
      <c r="E1044" s="205"/>
      <c r="F1044" s="36"/>
      <c r="G1044" s="36"/>
      <c r="H1044" s="36"/>
      <c r="I1044" s="37"/>
      <c r="J1044" s="37"/>
      <c r="K1044" s="81"/>
      <c r="L1044" s="108"/>
      <c r="M1044" s="108"/>
      <c r="N1044" s="108"/>
      <c r="O1044" s="108"/>
      <c r="P1044" s="37"/>
      <c r="Q1044" s="37"/>
      <c r="R1044" s="62"/>
      <c r="S1044" s="90"/>
      <c r="T1044" s="136"/>
      <c r="U1044" s="90"/>
      <c r="V1044" s="90"/>
      <c r="W1044" s="90"/>
      <c r="X1044" s="26"/>
      <c r="Y1044" s="26"/>
      <c r="Z1044" s="26"/>
      <c r="AA1044" s="26"/>
    </row>
    <row r="1045" spans="1:27" ht="15.75" customHeight="1">
      <c r="A1045" s="10"/>
      <c r="B1045" s="12"/>
      <c r="C1045" s="12"/>
      <c r="D1045" s="12"/>
      <c r="E1045" s="205"/>
      <c r="F1045" s="36"/>
      <c r="G1045" s="36"/>
      <c r="H1045" s="36"/>
      <c r="I1045" s="37"/>
      <c r="J1045" s="37"/>
      <c r="K1045" s="81"/>
      <c r="L1045" s="108"/>
      <c r="M1045" s="108"/>
      <c r="N1045" s="108"/>
      <c r="O1045" s="108"/>
      <c r="P1045" s="37"/>
      <c r="Q1045" s="37"/>
      <c r="R1045" s="62"/>
      <c r="S1045" s="90"/>
      <c r="T1045" s="136"/>
      <c r="U1045" s="90"/>
      <c r="V1045" s="90"/>
      <c r="W1045" s="90"/>
      <c r="X1045" s="26"/>
      <c r="Y1045" s="26"/>
      <c r="Z1045" s="26"/>
      <c r="AA1045" s="26"/>
    </row>
    <row r="1046" spans="1:27" ht="15.75" customHeight="1">
      <c r="A1046" s="10"/>
      <c r="B1046" s="12"/>
      <c r="C1046" s="12"/>
      <c r="D1046" s="12"/>
      <c r="E1046" s="205"/>
      <c r="F1046" s="36"/>
      <c r="G1046" s="36"/>
      <c r="H1046" s="36"/>
      <c r="I1046" s="37"/>
      <c r="J1046" s="37"/>
      <c r="K1046" s="81"/>
      <c r="L1046" s="108"/>
      <c r="M1046" s="108"/>
      <c r="N1046" s="108"/>
      <c r="O1046" s="108"/>
      <c r="P1046" s="37"/>
      <c r="Q1046" s="37"/>
      <c r="R1046" s="62"/>
      <c r="S1046" s="90"/>
      <c r="T1046" s="136"/>
      <c r="U1046" s="90"/>
      <c r="V1046" s="90"/>
      <c r="W1046" s="90"/>
      <c r="X1046" s="26"/>
      <c r="Y1046" s="26"/>
      <c r="Z1046" s="26"/>
      <c r="AA1046" s="26"/>
    </row>
    <row r="1047" spans="1:27" ht="15.75" customHeight="1">
      <c r="A1047" s="10"/>
      <c r="B1047" s="12"/>
      <c r="C1047" s="12"/>
      <c r="D1047" s="12"/>
      <c r="E1047" s="205"/>
      <c r="F1047" s="36"/>
      <c r="G1047" s="36"/>
      <c r="H1047" s="36"/>
      <c r="I1047" s="37"/>
      <c r="J1047" s="37"/>
      <c r="K1047" s="81"/>
      <c r="L1047" s="108"/>
      <c r="M1047" s="108"/>
      <c r="N1047" s="108"/>
      <c r="O1047" s="108"/>
      <c r="P1047" s="37"/>
      <c r="Q1047" s="37"/>
      <c r="R1047" s="62"/>
      <c r="S1047" s="90"/>
      <c r="T1047" s="136"/>
      <c r="U1047" s="90"/>
      <c r="V1047" s="90"/>
      <c r="W1047" s="90"/>
      <c r="X1047" s="26"/>
      <c r="Y1047" s="26"/>
      <c r="Z1047" s="26"/>
      <c r="AA1047" s="26"/>
    </row>
    <row r="1048" spans="1:27" ht="15.75" customHeight="1">
      <c r="A1048" s="10"/>
      <c r="B1048" s="12"/>
      <c r="C1048" s="12"/>
      <c r="D1048" s="12"/>
      <c r="E1048" s="205"/>
      <c r="F1048" s="36"/>
      <c r="G1048" s="36"/>
      <c r="H1048" s="36"/>
      <c r="I1048" s="37"/>
      <c r="J1048" s="37"/>
      <c r="K1048" s="81"/>
      <c r="L1048" s="108"/>
      <c r="M1048" s="108"/>
      <c r="N1048" s="108"/>
      <c r="O1048" s="108"/>
      <c r="P1048" s="37"/>
      <c r="Q1048" s="37"/>
      <c r="R1048" s="62"/>
      <c r="S1048" s="90"/>
      <c r="T1048" s="136"/>
      <c r="U1048" s="90"/>
      <c r="V1048" s="90"/>
      <c r="W1048" s="90"/>
      <c r="X1048" s="26"/>
      <c r="Y1048" s="26"/>
      <c r="Z1048" s="26"/>
      <c r="AA1048" s="26"/>
    </row>
    <row r="1049" spans="1:27" ht="15.75" customHeight="1">
      <c r="A1049" s="10"/>
      <c r="B1049" s="12"/>
      <c r="C1049" s="12"/>
      <c r="D1049" s="12"/>
      <c r="E1049" s="205"/>
      <c r="F1049" s="36"/>
      <c r="G1049" s="36"/>
      <c r="H1049" s="36"/>
      <c r="I1049" s="37"/>
      <c r="J1049" s="37"/>
      <c r="K1049" s="81"/>
      <c r="L1049" s="108"/>
      <c r="M1049" s="108"/>
      <c r="N1049" s="108"/>
      <c r="O1049" s="108"/>
      <c r="P1049" s="37"/>
      <c r="Q1049" s="37"/>
      <c r="R1049" s="62"/>
      <c r="S1049" s="90"/>
      <c r="T1049" s="136"/>
      <c r="U1049" s="90"/>
      <c r="V1049" s="90"/>
      <c r="W1049" s="90"/>
      <c r="X1049" s="26"/>
      <c r="Y1049" s="26"/>
      <c r="Z1049" s="26"/>
      <c r="AA1049" s="26"/>
    </row>
    <row r="1050" spans="1:27" ht="15.75" customHeight="1">
      <c r="A1050" s="10"/>
      <c r="B1050" s="12"/>
      <c r="C1050" s="12"/>
      <c r="D1050" s="12"/>
      <c r="E1050" s="205"/>
      <c r="F1050" s="36"/>
      <c r="G1050" s="36"/>
      <c r="H1050" s="36"/>
      <c r="I1050" s="37"/>
      <c r="J1050" s="37"/>
      <c r="K1050" s="81"/>
      <c r="L1050" s="108"/>
      <c r="M1050" s="108"/>
      <c r="N1050" s="108"/>
      <c r="O1050" s="108"/>
      <c r="P1050" s="37"/>
      <c r="Q1050" s="37"/>
      <c r="R1050" s="62"/>
      <c r="S1050" s="90"/>
      <c r="T1050" s="136"/>
      <c r="U1050" s="90"/>
      <c r="V1050" s="90"/>
      <c r="W1050" s="90"/>
      <c r="X1050" s="26"/>
      <c r="Y1050" s="26"/>
      <c r="Z1050" s="26"/>
      <c r="AA1050" s="26"/>
    </row>
    <row r="1051" spans="1:27" ht="15.75" customHeight="1">
      <c r="A1051" s="10"/>
      <c r="B1051" s="12"/>
      <c r="C1051" s="12"/>
      <c r="D1051" s="12"/>
      <c r="E1051" s="205"/>
      <c r="F1051" s="36"/>
      <c r="G1051" s="36"/>
      <c r="H1051" s="36"/>
      <c r="I1051" s="37"/>
      <c r="J1051" s="37"/>
      <c r="K1051" s="81"/>
      <c r="L1051" s="108"/>
      <c r="M1051" s="108"/>
      <c r="N1051" s="108"/>
      <c r="O1051" s="108"/>
      <c r="P1051" s="37"/>
      <c r="Q1051" s="37"/>
      <c r="R1051" s="62"/>
      <c r="S1051" s="90"/>
      <c r="T1051" s="136"/>
      <c r="U1051" s="90"/>
      <c r="V1051" s="90"/>
      <c r="W1051" s="90"/>
      <c r="X1051" s="26"/>
      <c r="Y1051" s="26"/>
      <c r="Z1051" s="26"/>
      <c r="AA1051" s="26"/>
    </row>
    <row r="1052" spans="1:27" ht="15.75" customHeight="1">
      <c r="A1052" s="10"/>
      <c r="B1052" s="12"/>
      <c r="C1052" s="12"/>
      <c r="D1052" s="12"/>
      <c r="E1052" s="205"/>
      <c r="F1052" s="36"/>
      <c r="G1052" s="36"/>
      <c r="H1052" s="36"/>
      <c r="I1052" s="37"/>
      <c r="J1052" s="37"/>
      <c r="K1052" s="81"/>
      <c r="L1052" s="108"/>
      <c r="M1052" s="108"/>
      <c r="N1052" s="108"/>
      <c r="O1052" s="108"/>
      <c r="P1052" s="37"/>
      <c r="Q1052" s="37"/>
      <c r="R1052" s="62"/>
      <c r="S1052" s="90"/>
      <c r="T1052" s="136"/>
      <c r="U1052" s="90"/>
      <c r="V1052" s="90"/>
      <c r="W1052" s="90"/>
      <c r="X1052" s="26"/>
      <c r="Y1052" s="26"/>
      <c r="Z1052" s="26"/>
      <c r="AA1052" s="26"/>
    </row>
    <row r="1053" spans="1:27" ht="15.75" customHeight="1">
      <c r="A1053" s="10"/>
      <c r="B1053" s="12"/>
      <c r="C1053" s="12"/>
      <c r="D1053" s="12"/>
      <c r="E1053" s="205"/>
      <c r="F1053" s="36"/>
      <c r="G1053" s="36"/>
      <c r="H1053" s="36"/>
      <c r="I1053" s="37"/>
      <c r="J1053" s="37"/>
      <c r="K1053" s="81"/>
      <c r="L1053" s="108"/>
      <c r="M1053" s="108"/>
      <c r="N1053" s="108"/>
      <c r="O1053" s="108"/>
      <c r="P1053" s="37"/>
      <c r="Q1053" s="37"/>
      <c r="R1053" s="62"/>
      <c r="S1053" s="90"/>
      <c r="T1053" s="136"/>
      <c r="U1053" s="90"/>
      <c r="V1053" s="90"/>
      <c r="W1053" s="90"/>
      <c r="X1053" s="26"/>
      <c r="Y1053" s="26"/>
      <c r="Z1053" s="26"/>
      <c r="AA1053" s="26"/>
    </row>
    <row r="1054" spans="1:27" ht="15.75" customHeight="1">
      <c r="A1054" s="10"/>
      <c r="B1054" s="12"/>
      <c r="C1054" s="12"/>
      <c r="D1054" s="12"/>
      <c r="E1054" s="205"/>
      <c r="F1054" s="36"/>
      <c r="G1054" s="36"/>
      <c r="H1054" s="36"/>
      <c r="I1054" s="37"/>
      <c r="J1054" s="37"/>
      <c r="K1054" s="81"/>
      <c r="L1054" s="108"/>
      <c r="M1054" s="108"/>
      <c r="N1054" s="108"/>
      <c r="O1054" s="108"/>
      <c r="P1054" s="37"/>
      <c r="Q1054" s="37"/>
      <c r="R1054" s="62"/>
      <c r="S1054" s="90"/>
      <c r="T1054" s="136"/>
      <c r="U1054" s="90"/>
      <c r="V1054" s="90"/>
      <c r="W1054" s="90"/>
      <c r="X1054" s="26"/>
      <c r="Y1054" s="26"/>
      <c r="Z1054" s="26"/>
      <c r="AA1054" s="26"/>
    </row>
    <row r="1055" spans="1:27" ht="15.75" customHeight="1">
      <c r="A1055" s="10"/>
      <c r="B1055" s="12"/>
      <c r="C1055" s="12"/>
      <c r="D1055" s="12"/>
      <c r="E1055" s="205"/>
      <c r="F1055" s="36"/>
      <c r="G1055" s="36"/>
      <c r="H1055" s="36"/>
      <c r="I1055" s="37"/>
      <c r="J1055" s="37"/>
      <c r="K1055" s="81"/>
      <c r="L1055" s="108"/>
      <c r="M1055" s="108"/>
      <c r="N1055" s="108"/>
      <c r="O1055" s="108"/>
      <c r="P1055" s="37"/>
      <c r="Q1055" s="37"/>
      <c r="R1055" s="62"/>
      <c r="S1055" s="90"/>
      <c r="T1055" s="136"/>
      <c r="U1055" s="90"/>
      <c r="V1055" s="90"/>
      <c r="W1055" s="90"/>
      <c r="X1055" s="26"/>
      <c r="Y1055" s="26"/>
      <c r="Z1055" s="26"/>
      <c r="AA1055" s="26"/>
    </row>
    <row r="1056" spans="1:27" ht="15.75" customHeight="1">
      <c r="A1056" s="10"/>
      <c r="B1056" s="12"/>
      <c r="C1056" s="12"/>
      <c r="D1056" s="12"/>
      <c r="E1056" s="205"/>
      <c r="F1056" s="36"/>
      <c r="G1056" s="36"/>
      <c r="H1056" s="36"/>
      <c r="I1056" s="37"/>
      <c r="J1056" s="37"/>
      <c r="K1056" s="81"/>
      <c r="L1056" s="108"/>
      <c r="M1056" s="108"/>
      <c r="N1056" s="108"/>
      <c r="O1056" s="108"/>
      <c r="P1056" s="37"/>
      <c r="Q1056" s="37"/>
      <c r="R1056" s="62"/>
      <c r="S1056" s="90"/>
      <c r="T1056" s="136"/>
      <c r="U1056" s="90"/>
      <c r="V1056" s="90"/>
      <c r="W1056" s="90"/>
      <c r="X1056" s="26"/>
      <c r="Y1056" s="26"/>
      <c r="Z1056" s="26"/>
      <c r="AA1056" s="26"/>
    </row>
    <row r="1057" spans="1:27" ht="15.75" customHeight="1">
      <c r="A1057" s="10"/>
      <c r="B1057" s="12"/>
      <c r="C1057" s="12"/>
      <c r="D1057" s="12"/>
      <c r="E1057" s="205"/>
      <c r="F1057" s="36"/>
      <c r="G1057" s="36"/>
      <c r="H1057" s="36"/>
      <c r="I1057" s="37"/>
      <c r="J1057" s="37"/>
      <c r="K1057" s="81"/>
      <c r="L1057" s="108"/>
      <c r="M1057" s="108"/>
      <c r="N1057" s="108"/>
      <c r="O1057" s="108"/>
      <c r="P1057" s="37"/>
      <c r="Q1057" s="37"/>
      <c r="R1057" s="62"/>
      <c r="S1057" s="90"/>
      <c r="T1057" s="136"/>
      <c r="U1057" s="90"/>
      <c r="V1057" s="90"/>
      <c r="W1057" s="90"/>
      <c r="X1057" s="26"/>
      <c r="Y1057" s="26"/>
      <c r="Z1057" s="26"/>
      <c r="AA1057" s="26"/>
    </row>
    <row r="1058" spans="1:27" ht="15.75" customHeight="1">
      <c r="A1058" s="10"/>
      <c r="B1058" s="12"/>
      <c r="C1058" s="12"/>
      <c r="D1058" s="12"/>
      <c r="E1058" s="205"/>
      <c r="F1058" s="36"/>
      <c r="G1058" s="36"/>
      <c r="H1058" s="36"/>
      <c r="I1058" s="37"/>
      <c r="J1058" s="37"/>
      <c r="K1058" s="81"/>
      <c r="L1058" s="108"/>
      <c r="M1058" s="108"/>
      <c r="N1058" s="108"/>
      <c r="O1058" s="108"/>
      <c r="P1058" s="37"/>
      <c r="Q1058" s="37"/>
      <c r="R1058" s="62"/>
      <c r="S1058" s="90"/>
      <c r="T1058" s="136"/>
      <c r="U1058" s="90"/>
      <c r="V1058" s="90"/>
      <c r="W1058" s="90"/>
      <c r="X1058" s="26"/>
      <c r="Y1058" s="26"/>
      <c r="Z1058" s="26"/>
      <c r="AA1058" s="26"/>
    </row>
    <row r="1059" spans="1:27" ht="15.75" customHeight="1">
      <c r="A1059" s="10"/>
      <c r="B1059" s="12"/>
      <c r="C1059" s="12"/>
      <c r="D1059" s="12"/>
      <c r="E1059" s="205"/>
      <c r="F1059" s="36"/>
      <c r="G1059" s="36"/>
      <c r="H1059" s="36"/>
      <c r="I1059" s="37"/>
      <c r="J1059" s="37"/>
      <c r="K1059" s="81"/>
      <c r="L1059" s="108"/>
      <c r="M1059" s="108"/>
      <c r="N1059" s="108"/>
      <c r="O1059" s="108"/>
      <c r="P1059" s="37"/>
      <c r="Q1059" s="37"/>
      <c r="R1059" s="62"/>
      <c r="S1059" s="90"/>
      <c r="T1059" s="136"/>
      <c r="U1059" s="90"/>
      <c r="V1059" s="90"/>
      <c r="W1059" s="90"/>
      <c r="X1059" s="26"/>
      <c r="Y1059" s="26"/>
      <c r="Z1059" s="26"/>
      <c r="AA1059" s="26"/>
    </row>
    <row r="1060" spans="1:27" ht="15.75" customHeight="1">
      <c r="A1060" s="10"/>
      <c r="B1060" s="12"/>
      <c r="C1060" s="12"/>
      <c r="D1060" s="12"/>
      <c r="E1060" s="205"/>
      <c r="F1060" s="36"/>
      <c r="G1060" s="36"/>
      <c r="H1060" s="36"/>
      <c r="I1060" s="37"/>
      <c r="J1060" s="37"/>
      <c r="K1060" s="81"/>
      <c r="L1060" s="108"/>
      <c r="M1060" s="108"/>
      <c r="N1060" s="108"/>
      <c r="O1060" s="108"/>
      <c r="P1060" s="37"/>
      <c r="Q1060" s="37"/>
      <c r="R1060" s="62"/>
      <c r="S1060" s="90"/>
      <c r="T1060" s="136"/>
      <c r="U1060" s="90"/>
      <c r="V1060" s="90"/>
      <c r="W1060" s="90"/>
      <c r="X1060" s="26"/>
      <c r="Y1060" s="26"/>
      <c r="Z1060" s="26"/>
      <c r="AA1060" s="26"/>
    </row>
    <row r="1061" spans="1:27" ht="15.75" customHeight="1">
      <c r="A1061" s="10"/>
      <c r="B1061" s="12"/>
      <c r="C1061" s="12"/>
      <c r="D1061" s="12"/>
      <c r="E1061" s="205"/>
      <c r="F1061" s="36"/>
      <c r="G1061" s="36"/>
      <c r="H1061" s="36"/>
      <c r="I1061" s="37"/>
      <c r="J1061" s="37"/>
      <c r="K1061" s="81"/>
      <c r="L1061" s="108"/>
      <c r="M1061" s="108"/>
      <c r="N1061" s="108"/>
      <c r="O1061" s="108"/>
      <c r="P1061" s="37"/>
      <c r="Q1061" s="37"/>
      <c r="R1061" s="62"/>
      <c r="S1061" s="90"/>
      <c r="T1061" s="136"/>
      <c r="U1061" s="90"/>
      <c r="V1061" s="90"/>
      <c r="W1061" s="90"/>
      <c r="X1061" s="26"/>
      <c r="Y1061" s="26"/>
      <c r="Z1061" s="26"/>
      <c r="AA1061" s="26"/>
    </row>
    <row r="1062" spans="1:27" ht="15.75" customHeight="1">
      <c r="A1062" s="10"/>
      <c r="B1062" s="12"/>
      <c r="C1062" s="12"/>
      <c r="D1062" s="12"/>
      <c r="E1062" s="205"/>
      <c r="F1062" s="36"/>
      <c r="G1062" s="36"/>
      <c r="H1062" s="36"/>
      <c r="I1062" s="37"/>
      <c r="J1062" s="37"/>
      <c r="K1062" s="81"/>
      <c r="L1062" s="108"/>
      <c r="M1062" s="108"/>
      <c r="N1062" s="108"/>
      <c r="O1062" s="108"/>
      <c r="P1062" s="37"/>
      <c r="Q1062" s="37"/>
      <c r="R1062" s="62"/>
      <c r="S1062" s="90"/>
      <c r="T1062" s="136"/>
      <c r="U1062" s="90"/>
      <c r="V1062" s="90"/>
      <c r="W1062" s="90"/>
      <c r="X1062" s="26"/>
      <c r="Y1062" s="26"/>
      <c r="Z1062" s="26"/>
      <c r="AA1062" s="26"/>
    </row>
    <row r="1063" spans="1:27" ht="15.75" customHeight="1">
      <c r="A1063" s="10"/>
      <c r="B1063" s="12"/>
      <c r="C1063" s="12"/>
      <c r="D1063" s="12"/>
      <c r="E1063" s="205"/>
      <c r="F1063" s="36"/>
      <c r="G1063" s="36"/>
      <c r="H1063" s="36"/>
      <c r="I1063" s="37"/>
      <c r="J1063" s="37"/>
      <c r="K1063" s="81"/>
      <c r="L1063" s="108"/>
      <c r="M1063" s="108"/>
      <c r="N1063" s="108"/>
      <c r="O1063" s="108"/>
      <c r="P1063" s="37"/>
      <c r="Q1063" s="37"/>
      <c r="R1063" s="62"/>
      <c r="S1063" s="90"/>
      <c r="T1063" s="136"/>
      <c r="U1063" s="90"/>
      <c r="V1063" s="90"/>
      <c r="W1063" s="90"/>
      <c r="X1063" s="26"/>
      <c r="Y1063" s="26"/>
      <c r="Z1063" s="26"/>
      <c r="AA1063" s="26"/>
    </row>
    <row r="1064" spans="1:27" ht="15.75" customHeight="1">
      <c r="A1064" s="10"/>
      <c r="B1064" s="12"/>
      <c r="C1064" s="12"/>
      <c r="D1064" s="12"/>
      <c r="E1064" s="205"/>
      <c r="F1064" s="36"/>
      <c r="G1064" s="36"/>
      <c r="H1064" s="36"/>
      <c r="I1064" s="37"/>
      <c r="J1064" s="37"/>
      <c r="K1064" s="81"/>
      <c r="L1064" s="108"/>
      <c r="M1064" s="108"/>
      <c r="N1064" s="108"/>
      <c r="O1064" s="108"/>
      <c r="P1064" s="37"/>
      <c r="Q1064" s="37"/>
      <c r="R1064" s="62"/>
      <c r="S1064" s="90"/>
      <c r="T1064" s="136"/>
      <c r="U1064" s="90"/>
      <c r="V1064" s="90"/>
      <c r="W1064" s="90"/>
      <c r="X1064" s="26"/>
      <c r="Y1064" s="26"/>
      <c r="Z1064" s="26"/>
      <c r="AA1064" s="26"/>
    </row>
    <row r="1065" spans="1:27" ht="15.75" customHeight="1">
      <c r="A1065" s="10"/>
      <c r="B1065" s="12"/>
      <c r="C1065" s="12"/>
      <c r="D1065" s="12"/>
      <c r="E1065" s="205"/>
      <c r="F1065" s="36"/>
      <c r="G1065" s="36"/>
      <c r="H1065" s="36"/>
      <c r="I1065" s="37"/>
      <c r="J1065" s="37"/>
      <c r="K1065" s="81"/>
      <c r="L1065" s="108"/>
      <c r="M1065" s="108"/>
      <c r="N1065" s="108"/>
      <c r="O1065" s="108"/>
      <c r="P1065" s="37"/>
      <c r="Q1065" s="37"/>
      <c r="R1065" s="62"/>
      <c r="S1065" s="90"/>
      <c r="T1065" s="136"/>
      <c r="U1065" s="90"/>
      <c r="V1065" s="90"/>
      <c r="W1065" s="90"/>
      <c r="X1065" s="26"/>
      <c r="Y1065" s="26"/>
      <c r="Z1065" s="26"/>
      <c r="AA1065" s="26"/>
    </row>
    <row r="1066" spans="1:27" ht="15.75" customHeight="1">
      <c r="A1066" s="10"/>
      <c r="B1066" s="12"/>
      <c r="C1066" s="12"/>
      <c r="D1066" s="12"/>
      <c r="E1066" s="205"/>
      <c r="F1066" s="36"/>
      <c r="G1066" s="36"/>
      <c r="H1066" s="36"/>
      <c r="I1066" s="37"/>
      <c r="J1066" s="37"/>
      <c r="K1066" s="81"/>
      <c r="L1066" s="108"/>
      <c r="M1066" s="108"/>
      <c r="N1066" s="108"/>
      <c r="O1066" s="108"/>
      <c r="P1066" s="37"/>
      <c r="Q1066" s="37"/>
      <c r="R1066" s="62"/>
      <c r="S1066" s="90"/>
      <c r="T1066" s="136"/>
      <c r="U1066" s="90"/>
      <c r="V1066" s="90"/>
      <c r="W1066" s="90"/>
      <c r="X1066" s="26"/>
      <c r="Y1066" s="26"/>
      <c r="Z1066" s="26"/>
      <c r="AA1066" s="26"/>
    </row>
    <row r="1067" spans="1:27" ht="15.75" customHeight="1">
      <c r="A1067" s="10"/>
      <c r="B1067" s="12"/>
      <c r="C1067" s="12"/>
      <c r="D1067" s="12"/>
      <c r="E1067" s="205"/>
      <c r="F1067" s="36"/>
      <c r="G1067" s="36"/>
      <c r="H1067" s="36"/>
      <c r="I1067" s="37"/>
      <c r="J1067" s="37"/>
      <c r="K1067" s="81"/>
      <c r="L1067" s="108"/>
      <c r="M1067" s="108"/>
      <c r="N1067" s="108"/>
      <c r="O1067" s="108"/>
      <c r="P1067" s="37"/>
      <c r="Q1067" s="37"/>
      <c r="R1067" s="62"/>
      <c r="S1067" s="90"/>
      <c r="T1067" s="136"/>
      <c r="U1067" s="90"/>
      <c r="V1067" s="90"/>
      <c r="W1067" s="90"/>
      <c r="X1067" s="26"/>
      <c r="Y1067" s="26"/>
      <c r="Z1067" s="26"/>
      <c r="AA1067" s="26"/>
    </row>
    <row r="1068" spans="1:27" ht="15.75" customHeight="1">
      <c r="A1068" s="10"/>
      <c r="B1068" s="12"/>
      <c r="C1068" s="12"/>
      <c r="D1068" s="12"/>
      <c r="E1068" s="205"/>
      <c r="F1068" s="36"/>
      <c r="G1068" s="36"/>
      <c r="H1068" s="36"/>
      <c r="I1068" s="37"/>
      <c r="J1068" s="37"/>
      <c r="K1068" s="81"/>
      <c r="L1068" s="108"/>
      <c r="M1068" s="108"/>
      <c r="N1068" s="108"/>
      <c r="O1068" s="108"/>
      <c r="P1068" s="37"/>
      <c r="Q1068" s="37"/>
      <c r="R1068" s="62"/>
      <c r="S1068" s="90"/>
      <c r="T1068" s="136"/>
      <c r="U1068" s="90"/>
      <c r="V1068" s="90"/>
      <c r="W1068" s="90"/>
      <c r="X1068" s="26"/>
      <c r="Y1068" s="26"/>
      <c r="Z1068" s="26"/>
      <c r="AA1068" s="26"/>
    </row>
    <row r="1069" spans="1:27" ht="15.75" customHeight="1">
      <c r="A1069" s="10"/>
      <c r="B1069" s="12"/>
      <c r="C1069" s="12"/>
      <c r="D1069" s="12"/>
      <c r="E1069" s="205"/>
      <c r="F1069" s="36"/>
      <c r="G1069" s="36"/>
      <c r="H1069" s="36"/>
      <c r="I1069" s="37"/>
      <c r="J1069" s="37"/>
      <c r="K1069" s="81"/>
      <c r="L1069" s="108"/>
      <c r="M1069" s="108"/>
      <c r="N1069" s="108"/>
      <c r="O1069" s="108"/>
      <c r="P1069" s="37"/>
      <c r="Q1069" s="37"/>
      <c r="R1069" s="62"/>
      <c r="S1069" s="90"/>
      <c r="T1069" s="136"/>
      <c r="U1069" s="90"/>
      <c r="V1069" s="90"/>
      <c r="W1069" s="90"/>
      <c r="X1069" s="26"/>
      <c r="Y1069" s="26"/>
      <c r="Z1069" s="26"/>
      <c r="AA1069" s="26"/>
    </row>
    <row r="1070" spans="1:27" ht="15.75" customHeight="1">
      <c r="A1070" s="10"/>
      <c r="B1070" s="12"/>
      <c r="C1070" s="12"/>
      <c r="D1070" s="12"/>
      <c r="E1070" s="205"/>
      <c r="F1070" s="36"/>
      <c r="G1070" s="36"/>
      <c r="H1070" s="36"/>
      <c r="I1070" s="37"/>
      <c r="J1070" s="37"/>
      <c r="K1070" s="81"/>
      <c r="L1070" s="108"/>
      <c r="M1070" s="108"/>
      <c r="N1070" s="108"/>
      <c r="O1070" s="108"/>
      <c r="P1070" s="37"/>
      <c r="Q1070" s="37"/>
      <c r="R1070" s="62"/>
      <c r="S1070" s="90"/>
      <c r="T1070" s="136"/>
      <c r="U1070" s="90"/>
      <c r="V1070" s="90"/>
      <c r="W1070" s="90"/>
      <c r="X1070" s="26"/>
      <c r="Y1070" s="26"/>
      <c r="Z1070" s="26"/>
      <c r="AA1070" s="26"/>
    </row>
    <row r="1071" spans="1:27" ht="15.75" customHeight="1">
      <c r="A1071" s="10"/>
      <c r="B1071" s="12"/>
      <c r="C1071" s="12"/>
      <c r="D1071" s="12"/>
      <c r="E1071" s="205"/>
      <c r="F1071" s="36"/>
      <c r="G1071" s="36"/>
      <c r="H1071" s="36"/>
      <c r="I1071" s="37"/>
      <c r="J1071" s="37"/>
      <c r="K1071" s="81"/>
      <c r="L1071" s="108"/>
      <c r="M1071" s="108"/>
      <c r="N1071" s="108"/>
      <c r="O1071" s="108"/>
      <c r="P1071" s="37"/>
      <c r="Q1071" s="37"/>
      <c r="R1071" s="62"/>
      <c r="S1071" s="90"/>
      <c r="T1071" s="136"/>
      <c r="U1071" s="90"/>
      <c r="V1071" s="90"/>
      <c r="W1071" s="90"/>
      <c r="X1071" s="26"/>
      <c r="Y1071" s="26"/>
      <c r="Z1071" s="26"/>
      <c r="AA1071" s="26"/>
    </row>
    <row r="1072" spans="1:27" ht="15.75" customHeight="1">
      <c r="A1072" s="10"/>
      <c r="B1072" s="12"/>
      <c r="C1072" s="12"/>
      <c r="D1072" s="12"/>
      <c r="E1072" s="205"/>
      <c r="F1072" s="36"/>
      <c r="G1072" s="36"/>
      <c r="H1072" s="36"/>
      <c r="I1072" s="37"/>
      <c r="J1072" s="37"/>
      <c r="K1072" s="81"/>
      <c r="L1072" s="108"/>
      <c r="M1072" s="108"/>
      <c r="N1072" s="108"/>
      <c r="O1072" s="108"/>
      <c r="P1072" s="37"/>
      <c r="Q1072" s="37"/>
      <c r="R1072" s="62"/>
      <c r="S1072" s="90"/>
      <c r="T1072" s="136"/>
      <c r="U1072" s="90"/>
      <c r="V1072" s="90"/>
      <c r="W1072" s="90"/>
      <c r="X1072" s="26"/>
      <c r="Y1072" s="26"/>
      <c r="Z1072" s="26"/>
      <c r="AA1072" s="26"/>
    </row>
    <row r="1073" spans="1:27" ht="15.75" customHeight="1">
      <c r="A1073" s="10"/>
      <c r="B1073" s="12"/>
      <c r="C1073" s="12"/>
      <c r="D1073" s="12"/>
      <c r="E1073" s="205"/>
      <c r="F1073" s="36"/>
      <c r="G1073" s="36"/>
      <c r="H1073" s="36"/>
      <c r="I1073" s="37"/>
      <c r="J1073" s="37"/>
      <c r="K1073" s="81"/>
      <c r="L1073" s="108"/>
      <c r="M1073" s="108"/>
      <c r="N1073" s="108"/>
      <c r="O1073" s="108"/>
      <c r="P1073" s="37"/>
      <c r="Q1073" s="37"/>
      <c r="R1073" s="62"/>
      <c r="S1073" s="90"/>
      <c r="T1073" s="136"/>
      <c r="U1073" s="90"/>
      <c r="V1073" s="90"/>
      <c r="W1073" s="90"/>
      <c r="X1073" s="26"/>
      <c r="Y1073" s="26"/>
      <c r="Z1073" s="26"/>
      <c r="AA1073" s="26"/>
    </row>
    <row r="1074" spans="1:27" ht="15.75" customHeight="1">
      <c r="A1074" s="10"/>
      <c r="B1074" s="12"/>
      <c r="C1074" s="12"/>
      <c r="D1074" s="12"/>
      <c r="E1074" s="205"/>
      <c r="F1074" s="36"/>
      <c r="G1074" s="36"/>
      <c r="H1074" s="36"/>
      <c r="I1074" s="37"/>
      <c r="J1074" s="37"/>
      <c r="K1074" s="81"/>
      <c r="L1074" s="108"/>
      <c r="M1074" s="108"/>
      <c r="N1074" s="108"/>
      <c r="O1074" s="108"/>
      <c r="P1074" s="37"/>
      <c r="Q1074" s="37"/>
      <c r="R1074" s="62"/>
      <c r="S1074" s="90"/>
      <c r="T1074" s="136"/>
      <c r="U1074" s="90"/>
      <c r="V1074" s="90"/>
      <c r="W1074" s="90"/>
      <c r="X1074" s="26"/>
      <c r="Y1074" s="26"/>
      <c r="Z1074" s="26"/>
      <c r="AA1074" s="26"/>
    </row>
    <row r="1075" spans="1:27" ht="15.75" customHeight="1">
      <c r="A1075" s="10"/>
      <c r="B1075" s="12"/>
      <c r="C1075" s="12"/>
      <c r="D1075" s="12"/>
      <c r="E1075" s="205"/>
      <c r="F1075" s="36"/>
      <c r="G1075" s="36"/>
      <c r="H1075" s="36"/>
      <c r="I1075" s="37"/>
      <c r="J1075" s="37"/>
      <c r="K1075" s="81"/>
      <c r="L1075" s="108"/>
      <c r="M1075" s="108"/>
      <c r="N1075" s="108"/>
      <c r="O1075" s="108"/>
      <c r="P1075" s="37"/>
      <c r="Q1075" s="37"/>
      <c r="R1075" s="62"/>
      <c r="S1075" s="90"/>
      <c r="T1075" s="136"/>
      <c r="U1075" s="90"/>
      <c r="V1075" s="90"/>
      <c r="W1075" s="90"/>
      <c r="X1075" s="26"/>
      <c r="Y1075" s="26"/>
      <c r="Z1075" s="26"/>
      <c r="AA1075" s="26"/>
    </row>
    <row r="1076" spans="1:27" ht="15.75" customHeight="1">
      <c r="A1076" s="10"/>
      <c r="B1076" s="12"/>
      <c r="C1076" s="12"/>
      <c r="D1076" s="12"/>
      <c r="E1076" s="205"/>
      <c r="F1076" s="36"/>
      <c r="G1076" s="36"/>
      <c r="H1076" s="36"/>
      <c r="I1076" s="37"/>
      <c r="J1076" s="37"/>
      <c r="K1076" s="81"/>
      <c r="L1076" s="108"/>
      <c r="M1076" s="108"/>
      <c r="N1076" s="108"/>
      <c r="O1076" s="108"/>
      <c r="P1076" s="37"/>
      <c r="Q1076" s="37"/>
      <c r="R1076" s="62"/>
      <c r="S1076" s="90"/>
      <c r="T1076" s="136"/>
      <c r="U1076" s="90"/>
      <c r="V1076" s="90"/>
      <c r="W1076" s="90"/>
      <c r="X1076" s="26"/>
      <c r="Y1076" s="26"/>
      <c r="Z1076" s="26"/>
      <c r="AA1076" s="26"/>
    </row>
    <row r="1077" spans="1:27" ht="15.75" customHeight="1">
      <c r="A1077" s="10"/>
      <c r="B1077" s="12"/>
      <c r="C1077" s="12"/>
      <c r="D1077" s="12"/>
      <c r="E1077" s="205"/>
      <c r="F1077" s="36"/>
      <c r="G1077" s="36"/>
      <c r="H1077" s="36"/>
      <c r="I1077" s="37"/>
      <c r="J1077" s="37"/>
      <c r="K1077" s="81"/>
      <c r="L1077" s="108"/>
      <c r="M1077" s="108"/>
      <c r="N1077" s="108"/>
      <c r="O1077" s="108"/>
      <c r="P1077" s="37"/>
      <c r="Q1077" s="37"/>
      <c r="R1077" s="62"/>
      <c r="S1077" s="90"/>
      <c r="T1077" s="136"/>
      <c r="U1077" s="90"/>
      <c r="V1077" s="90"/>
      <c r="W1077" s="90"/>
      <c r="X1077" s="26"/>
      <c r="Y1077" s="26"/>
      <c r="Z1077" s="26"/>
      <c r="AA1077" s="26"/>
    </row>
    <row r="1078" spans="1:27" ht="15.75" customHeight="1">
      <c r="A1078" s="10"/>
      <c r="B1078" s="12"/>
      <c r="C1078" s="12"/>
      <c r="D1078" s="12"/>
      <c r="E1078" s="205"/>
      <c r="F1078" s="36"/>
      <c r="G1078" s="36"/>
      <c r="H1078" s="36"/>
      <c r="I1078" s="37"/>
      <c r="J1078" s="37"/>
      <c r="K1078" s="81"/>
      <c r="L1078" s="108"/>
      <c r="M1078" s="108"/>
      <c r="N1078" s="108"/>
      <c r="O1078" s="108"/>
      <c r="P1078" s="37"/>
      <c r="Q1078" s="37"/>
      <c r="R1078" s="62"/>
      <c r="S1078" s="90"/>
      <c r="T1078" s="136"/>
      <c r="U1078" s="90"/>
      <c r="V1078" s="90"/>
      <c r="W1078" s="90"/>
      <c r="X1078" s="26"/>
      <c r="Y1078" s="26"/>
      <c r="Z1078" s="26"/>
      <c r="AA1078" s="26"/>
    </row>
    <row r="1079" spans="1:27" ht="15.75" customHeight="1">
      <c r="A1079" s="10"/>
      <c r="B1079" s="12"/>
      <c r="C1079" s="12"/>
      <c r="D1079" s="12"/>
      <c r="E1079" s="205"/>
      <c r="F1079" s="36"/>
      <c r="G1079" s="36"/>
      <c r="H1079" s="36"/>
      <c r="I1079" s="37"/>
      <c r="J1079" s="37"/>
      <c r="K1079" s="81"/>
      <c r="L1079" s="108"/>
      <c r="M1079" s="108"/>
      <c r="N1079" s="108"/>
      <c r="O1079" s="108"/>
      <c r="P1079" s="37"/>
      <c r="Q1079" s="37"/>
      <c r="R1079" s="62"/>
      <c r="S1079" s="90"/>
      <c r="T1079" s="136"/>
      <c r="U1079" s="90"/>
      <c r="V1079" s="90"/>
      <c r="W1079" s="90"/>
      <c r="X1079" s="26"/>
      <c r="Y1079" s="26"/>
      <c r="Z1079" s="26"/>
      <c r="AA1079" s="26"/>
    </row>
    <row r="1080" spans="1:27" ht="15.75" customHeight="1">
      <c r="A1080" s="10"/>
      <c r="B1080" s="12"/>
      <c r="C1080" s="12"/>
      <c r="D1080" s="12"/>
      <c r="E1080" s="205"/>
      <c r="F1080" s="36"/>
      <c r="G1080" s="36"/>
      <c r="H1080" s="36"/>
      <c r="I1080" s="37"/>
      <c r="J1080" s="37"/>
      <c r="K1080" s="81"/>
      <c r="L1080" s="108"/>
      <c r="M1080" s="108"/>
      <c r="N1080" s="108"/>
      <c r="O1080" s="108"/>
      <c r="P1080" s="37"/>
      <c r="Q1080" s="37"/>
      <c r="R1080" s="62"/>
      <c r="S1080" s="90"/>
      <c r="T1080" s="136"/>
      <c r="U1080" s="90"/>
      <c r="V1080" s="90"/>
      <c r="W1080" s="90"/>
      <c r="X1080" s="26"/>
      <c r="Y1080" s="26"/>
      <c r="Z1080" s="26"/>
      <c r="AA1080" s="26"/>
    </row>
    <row r="1081" spans="1:27" ht="15.75" customHeight="1">
      <c r="A1081" s="10"/>
      <c r="B1081" s="12"/>
      <c r="C1081" s="12"/>
      <c r="D1081" s="12"/>
      <c r="E1081" s="205"/>
      <c r="F1081" s="36"/>
      <c r="G1081" s="36"/>
      <c r="H1081" s="36"/>
      <c r="I1081" s="37"/>
      <c r="J1081" s="37"/>
      <c r="K1081" s="81"/>
      <c r="L1081" s="108"/>
      <c r="M1081" s="108"/>
      <c r="N1081" s="108"/>
      <c r="O1081" s="108"/>
      <c r="P1081" s="37"/>
      <c r="Q1081" s="37"/>
      <c r="R1081" s="62"/>
      <c r="S1081" s="90"/>
      <c r="T1081" s="136"/>
      <c r="U1081" s="90"/>
      <c r="V1081" s="90"/>
      <c r="W1081" s="90"/>
      <c r="X1081" s="26"/>
      <c r="Y1081" s="26"/>
      <c r="Z1081" s="26"/>
      <c r="AA1081" s="26"/>
    </row>
    <row r="1082" spans="1:27" ht="15.75" customHeight="1">
      <c r="A1082" s="10"/>
      <c r="B1082" s="12"/>
      <c r="C1082" s="12"/>
      <c r="D1082" s="12"/>
      <c r="E1082" s="205"/>
      <c r="F1082" s="36"/>
      <c r="G1082" s="36"/>
      <c r="H1082" s="36"/>
      <c r="I1082" s="37"/>
      <c r="J1082" s="37"/>
      <c r="K1082" s="81"/>
      <c r="L1082" s="108"/>
      <c r="M1082" s="108"/>
      <c r="N1082" s="108"/>
      <c r="O1082" s="108"/>
      <c r="P1082" s="37"/>
      <c r="Q1082" s="37"/>
      <c r="R1082" s="62"/>
      <c r="S1082" s="90"/>
      <c r="T1082" s="136"/>
      <c r="U1082" s="90"/>
      <c r="V1082" s="90"/>
      <c r="W1082" s="90"/>
      <c r="X1082" s="26"/>
      <c r="Y1082" s="26"/>
      <c r="Z1082" s="26"/>
      <c r="AA1082" s="26"/>
    </row>
    <row r="1083" spans="1:27" ht="15.75" customHeight="1">
      <c r="A1083" s="10"/>
      <c r="B1083" s="12"/>
      <c r="C1083" s="12"/>
      <c r="D1083" s="12"/>
      <c r="E1083" s="205"/>
      <c r="F1083" s="36"/>
      <c r="G1083" s="36"/>
      <c r="H1083" s="36"/>
      <c r="I1083" s="37"/>
      <c r="J1083" s="37"/>
      <c r="K1083" s="81"/>
      <c r="L1083" s="108"/>
      <c r="M1083" s="108"/>
      <c r="N1083" s="108"/>
      <c r="O1083" s="108"/>
      <c r="P1083" s="37"/>
      <c r="Q1083" s="37"/>
      <c r="R1083" s="62"/>
      <c r="S1083" s="90"/>
      <c r="T1083" s="136"/>
      <c r="U1083" s="90"/>
      <c r="V1083" s="90"/>
      <c r="W1083" s="90"/>
      <c r="X1083" s="26"/>
      <c r="Y1083" s="26"/>
      <c r="Z1083" s="26"/>
      <c r="AA1083" s="26"/>
    </row>
    <row r="1084" spans="1:27" ht="15.75" customHeight="1">
      <c r="A1084" s="125"/>
      <c r="B1084" s="125"/>
      <c r="C1084" s="125"/>
      <c r="D1084" s="125"/>
      <c r="E1084" s="126"/>
      <c r="F1084" s="128"/>
      <c r="G1084" s="128"/>
      <c r="H1084" s="128"/>
      <c r="I1084" s="129"/>
      <c r="J1084" s="129"/>
      <c r="K1084" s="129"/>
      <c r="L1084" s="129"/>
      <c r="M1084" s="129"/>
      <c r="N1084" s="129"/>
      <c r="O1084" s="129"/>
      <c r="P1084" s="132"/>
      <c r="Q1084" s="132"/>
      <c r="R1084" s="135"/>
      <c r="S1084" s="132"/>
      <c r="T1084" s="129"/>
      <c r="U1084" s="132"/>
      <c r="V1084" s="132"/>
      <c r="W1084" s="132"/>
      <c r="X1084" s="26"/>
      <c r="Y1084" s="26"/>
    </row>
    <row r="1085" spans="1:27" ht="15.75" customHeight="1">
      <c r="A1085" s="125"/>
      <c r="B1085" s="125"/>
      <c r="C1085" s="125"/>
      <c r="D1085" s="125"/>
      <c r="E1085" s="126"/>
      <c r="F1085" s="128"/>
      <c r="G1085" s="128"/>
      <c r="H1085" s="128"/>
      <c r="I1085" s="129"/>
      <c r="J1085" s="129"/>
      <c r="K1085" s="129"/>
      <c r="L1085" s="129"/>
      <c r="M1085" s="129"/>
      <c r="N1085" s="129"/>
      <c r="O1085" s="129"/>
      <c r="P1085" s="132"/>
      <c r="Q1085" s="132"/>
      <c r="R1085" s="135"/>
      <c r="S1085" s="132"/>
      <c r="T1085" s="129"/>
      <c r="U1085" s="132"/>
      <c r="V1085" s="132"/>
      <c r="W1085" s="132"/>
      <c r="X1085" s="26"/>
      <c r="Y1085" s="26"/>
    </row>
    <row r="1086" spans="1:27" ht="15.75" customHeight="1">
      <c r="A1086" s="125"/>
      <c r="B1086" s="125"/>
      <c r="C1086" s="125"/>
      <c r="D1086" s="125"/>
      <c r="E1086" s="126"/>
      <c r="F1086" s="128"/>
      <c r="G1086" s="128"/>
      <c r="H1086" s="128"/>
      <c r="I1086" s="129"/>
      <c r="J1086" s="129"/>
      <c r="K1086" s="129"/>
      <c r="L1086" s="129"/>
      <c r="M1086" s="129"/>
      <c r="N1086" s="129"/>
      <c r="O1086" s="129"/>
      <c r="P1086" s="132"/>
      <c r="Q1086" s="132"/>
      <c r="R1086" s="135"/>
      <c r="S1086" s="132"/>
      <c r="T1086" s="129"/>
      <c r="U1086" s="132"/>
      <c r="V1086" s="132"/>
      <c r="W1086" s="132"/>
      <c r="X1086" s="26"/>
      <c r="Y1086" s="26"/>
    </row>
    <row r="1087" spans="1:27" ht="15.75" customHeight="1">
      <c r="A1087" s="125"/>
      <c r="B1087" s="125"/>
      <c r="C1087" s="125"/>
      <c r="D1087" s="125"/>
      <c r="E1087" s="126"/>
      <c r="F1087" s="128"/>
      <c r="G1087" s="128"/>
      <c r="H1087" s="128"/>
      <c r="I1087" s="129"/>
      <c r="J1087" s="129"/>
      <c r="K1087" s="129"/>
      <c r="L1087" s="129"/>
      <c r="M1087" s="129"/>
      <c r="N1087" s="129"/>
      <c r="O1087" s="129"/>
      <c r="P1087" s="132"/>
      <c r="Q1087" s="132"/>
      <c r="R1087" s="135"/>
      <c r="S1087" s="132"/>
      <c r="T1087" s="129"/>
      <c r="U1087" s="132"/>
      <c r="V1087" s="132"/>
      <c r="W1087" s="132"/>
      <c r="X1087" s="26"/>
      <c r="Y1087" s="26"/>
    </row>
    <row r="1088" spans="1:27" ht="15.75" customHeight="1">
      <c r="A1088" s="125"/>
      <c r="B1088" s="125"/>
      <c r="C1088" s="125"/>
      <c r="D1088" s="125"/>
      <c r="E1088" s="126"/>
      <c r="F1088" s="128"/>
      <c r="G1088" s="128"/>
      <c r="H1088" s="128"/>
      <c r="I1088" s="129"/>
      <c r="J1088" s="129"/>
      <c r="K1088" s="129"/>
      <c r="L1088" s="129"/>
      <c r="M1088" s="129"/>
      <c r="N1088" s="129"/>
      <c r="O1088" s="129"/>
      <c r="P1088" s="132"/>
      <c r="Q1088" s="132"/>
      <c r="R1088" s="135"/>
      <c r="S1088" s="132"/>
      <c r="T1088" s="129"/>
      <c r="U1088" s="132"/>
      <c r="V1088" s="132"/>
      <c r="W1088" s="132"/>
      <c r="X1088" s="26"/>
      <c r="Y1088" s="26"/>
    </row>
    <row r="1089" spans="1:25" ht="15.75" customHeight="1">
      <c r="A1089" s="125"/>
      <c r="B1089" s="125"/>
      <c r="C1089" s="125"/>
      <c r="D1089" s="125"/>
      <c r="E1089" s="126"/>
      <c r="F1089" s="128"/>
      <c r="G1089" s="128"/>
      <c r="H1089" s="128"/>
      <c r="I1089" s="129"/>
      <c r="J1089" s="129"/>
      <c r="K1089" s="129"/>
      <c r="L1089" s="129"/>
      <c r="M1089" s="129"/>
      <c r="N1089" s="129"/>
      <c r="O1089" s="129"/>
      <c r="P1089" s="132"/>
      <c r="Q1089" s="132"/>
      <c r="R1089" s="135"/>
      <c r="S1089" s="132"/>
      <c r="T1089" s="129"/>
      <c r="U1089" s="132"/>
      <c r="V1089" s="132"/>
      <c r="W1089" s="132"/>
      <c r="X1089" s="26"/>
      <c r="Y1089" s="26"/>
    </row>
    <row r="1090" spans="1:25" ht="15.75" customHeight="1">
      <c r="A1090" s="125"/>
      <c r="B1090" s="125"/>
      <c r="C1090" s="125"/>
      <c r="D1090" s="125"/>
      <c r="E1090" s="126"/>
      <c r="F1090" s="128"/>
      <c r="G1090" s="128"/>
      <c r="H1090" s="128"/>
      <c r="I1090" s="129"/>
      <c r="J1090" s="129"/>
      <c r="K1090" s="129"/>
      <c r="L1090" s="129"/>
      <c r="M1090" s="129"/>
      <c r="N1090" s="129"/>
      <c r="O1090" s="129"/>
      <c r="P1090" s="132"/>
      <c r="Q1090" s="132"/>
      <c r="R1090" s="135"/>
      <c r="S1090" s="132"/>
      <c r="T1090" s="129"/>
      <c r="U1090" s="132"/>
      <c r="V1090" s="132"/>
      <c r="W1090" s="132"/>
      <c r="X1090" s="26"/>
      <c r="Y1090" s="26"/>
    </row>
    <row r="1091" spans="1:25" ht="15.75" customHeight="1">
      <c r="A1091" s="125"/>
      <c r="B1091" s="125"/>
      <c r="C1091" s="125"/>
      <c r="D1091" s="125"/>
      <c r="E1091" s="126"/>
      <c r="F1091" s="128"/>
      <c r="G1091" s="128"/>
      <c r="H1091" s="128"/>
      <c r="I1091" s="129"/>
      <c r="J1091" s="129"/>
      <c r="K1091" s="129"/>
      <c r="L1091" s="129"/>
      <c r="M1091" s="129"/>
      <c r="N1091" s="129"/>
      <c r="O1091" s="129"/>
      <c r="P1091" s="132"/>
      <c r="Q1091" s="132"/>
      <c r="R1091" s="135"/>
      <c r="S1091" s="132"/>
      <c r="T1091" s="129"/>
      <c r="U1091" s="132"/>
      <c r="V1091" s="132"/>
      <c r="W1091" s="132"/>
      <c r="X1091" s="26"/>
      <c r="Y1091" s="26"/>
    </row>
    <row r="1092" spans="1:25" ht="15.75" customHeight="1">
      <c r="A1092" s="125"/>
      <c r="B1092" s="125"/>
      <c r="C1092" s="125"/>
      <c r="D1092" s="125"/>
      <c r="E1092" s="126"/>
      <c r="F1092" s="128"/>
      <c r="G1092" s="128"/>
      <c r="H1092" s="128"/>
      <c r="I1092" s="129"/>
      <c r="J1092" s="129"/>
      <c r="K1092" s="129"/>
      <c r="L1092" s="129"/>
      <c r="M1092" s="129"/>
      <c r="N1092" s="129"/>
      <c r="O1092" s="129"/>
      <c r="P1092" s="132"/>
      <c r="Q1092" s="132"/>
      <c r="R1092" s="135"/>
      <c r="S1092" s="132"/>
      <c r="T1092" s="129"/>
      <c r="U1092" s="132"/>
      <c r="V1092" s="132"/>
      <c r="W1092" s="132"/>
      <c r="X1092" s="26"/>
      <c r="Y1092" s="26"/>
    </row>
    <row r="1093" spans="1:25" ht="15.75" customHeight="1">
      <c r="A1093" s="125"/>
      <c r="B1093" s="125"/>
      <c r="C1093" s="125"/>
      <c r="D1093" s="125"/>
      <c r="E1093" s="126"/>
      <c r="F1093" s="128"/>
      <c r="G1093" s="128"/>
      <c r="H1093" s="128"/>
      <c r="I1093" s="129"/>
      <c r="J1093" s="129"/>
      <c r="K1093" s="129"/>
      <c r="L1093" s="129"/>
      <c r="M1093" s="129"/>
      <c r="N1093" s="129"/>
      <c r="O1093" s="129"/>
      <c r="P1093" s="132"/>
      <c r="Q1093" s="132"/>
      <c r="R1093" s="135"/>
      <c r="S1093" s="132"/>
      <c r="T1093" s="129"/>
      <c r="U1093" s="132"/>
      <c r="V1093" s="132"/>
      <c r="W1093" s="132"/>
      <c r="X1093" s="26"/>
      <c r="Y1093" s="26"/>
    </row>
    <row r="1094" spans="1:25" ht="15.75" customHeight="1">
      <c r="A1094" s="125"/>
      <c r="B1094" s="125"/>
      <c r="C1094" s="125"/>
      <c r="D1094" s="125"/>
      <c r="E1094" s="126"/>
      <c r="F1094" s="128"/>
      <c r="G1094" s="128"/>
      <c r="H1094" s="128"/>
      <c r="I1094" s="129"/>
      <c r="J1094" s="129"/>
      <c r="K1094" s="129"/>
      <c r="L1094" s="129"/>
      <c r="M1094" s="129"/>
      <c r="N1094" s="129"/>
      <c r="O1094" s="129"/>
      <c r="P1094" s="132"/>
      <c r="Q1094" s="132"/>
      <c r="R1094" s="135"/>
      <c r="S1094" s="132"/>
      <c r="T1094" s="129"/>
      <c r="U1094" s="132"/>
      <c r="V1094" s="132"/>
      <c r="W1094" s="132"/>
    </row>
    <row r="1095" spans="1:25" ht="15.75" customHeight="1">
      <c r="A1095" s="125"/>
      <c r="B1095" s="125"/>
      <c r="C1095" s="125"/>
      <c r="D1095" s="125"/>
      <c r="E1095" s="126"/>
      <c r="F1095" s="128"/>
      <c r="G1095" s="128"/>
      <c r="H1095" s="128"/>
      <c r="I1095" s="129"/>
      <c r="J1095" s="129"/>
      <c r="K1095" s="129"/>
      <c r="L1095" s="129"/>
      <c r="M1095" s="129"/>
      <c r="N1095" s="129"/>
      <c r="O1095" s="129"/>
      <c r="P1095" s="132"/>
      <c r="Q1095" s="132"/>
      <c r="R1095" s="135"/>
      <c r="S1095" s="132"/>
      <c r="T1095" s="129"/>
      <c r="U1095" s="132"/>
      <c r="V1095" s="132"/>
      <c r="W1095" s="132"/>
    </row>
    <row r="1096" spans="1:25" ht="15.75" customHeight="1">
      <c r="A1096" s="125"/>
      <c r="B1096" s="125"/>
      <c r="C1096" s="125"/>
      <c r="D1096" s="125"/>
      <c r="E1096" s="126"/>
      <c r="F1096" s="128"/>
      <c r="G1096" s="128"/>
      <c r="H1096" s="128"/>
      <c r="I1096" s="129"/>
      <c r="J1096" s="129"/>
      <c r="K1096" s="129"/>
      <c r="L1096" s="129"/>
      <c r="M1096" s="129"/>
      <c r="N1096" s="129"/>
      <c r="O1096" s="129"/>
      <c r="P1096" s="132"/>
      <c r="Q1096" s="132"/>
      <c r="R1096" s="135"/>
      <c r="S1096" s="132"/>
      <c r="T1096" s="129"/>
      <c r="U1096" s="132"/>
      <c r="V1096" s="132"/>
      <c r="W1096" s="132"/>
    </row>
    <row r="1097" spans="1:25" ht="15.75" customHeight="1">
      <c r="A1097" s="125"/>
      <c r="B1097" s="125"/>
      <c r="C1097" s="125"/>
      <c r="D1097" s="125"/>
      <c r="E1097" s="126"/>
      <c r="F1097" s="128"/>
      <c r="G1097" s="128"/>
      <c r="H1097" s="128"/>
      <c r="I1097" s="129"/>
      <c r="J1097" s="129"/>
      <c r="K1097" s="129"/>
      <c r="L1097" s="129"/>
      <c r="M1097" s="129"/>
      <c r="N1097" s="129"/>
      <c r="O1097" s="129"/>
      <c r="P1097" s="132"/>
      <c r="Q1097" s="132"/>
      <c r="R1097" s="135"/>
      <c r="S1097" s="132"/>
      <c r="T1097" s="129"/>
      <c r="U1097" s="132"/>
      <c r="V1097" s="132"/>
      <c r="W1097" s="132"/>
    </row>
    <row r="1098" spans="1:25" ht="15.75" customHeight="1">
      <c r="A1098" s="125"/>
      <c r="B1098" s="125"/>
      <c r="C1098" s="125"/>
      <c r="D1098" s="125"/>
      <c r="E1098" s="126"/>
      <c r="F1098" s="128"/>
      <c r="G1098" s="128"/>
      <c r="H1098" s="128"/>
      <c r="I1098" s="129"/>
      <c r="J1098" s="129"/>
      <c r="K1098" s="129"/>
      <c r="L1098" s="129"/>
      <c r="M1098" s="129"/>
      <c r="N1098" s="129"/>
      <c r="O1098" s="129"/>
      <c r="P1098" s="132"/>
      <c r="Q1098" s="132"/>
      <c r="R1098" s="135"/>
      <c r="S1098" s="132"/>
      <c r="T1098" s="129"/>
      <c r="U1098" s="132"/>
      <c r="V1098" s="132"/>
      <c r="W1098" s="132"/>
    </row>
    <row r="1099" spans="1:25" ht="15.75" customHeight="1">
      <c r="A1099" s="125"/>
      <c r="B1099" s="125"/>
      <c r="C1099" s="125"/>
      <c r="D1099" s="125"/>
      <c r="E1099" s="126"/>
      <c r="F1099" s="128"/>
      <c r="G1099" s="128"/>
      <c r="H1099" s="128"/>
      <c r="I1099" s="129"/>
      <c r="J1099" s="129"/>
      <c r="K1099" s="129"/>
      <c r="L1099" s="129"/>
      <c r="M1099" s="129"/>
      <c r="N1099" s="129"/>
      <c r="O1099" s="129"/>
      <c r="P1099" s="132"/>
      <c r="Q1099" s="132"/>
      <c r="R1099" s="135"/>
      <c r="S1099" s="132"/>
      <c r="T1099" s="129"/>
      <c r="U1099" s="132"/>
      <c r="V1099" s="132"/>
      <c r="W1099" s="132"/>
    </row>
    <row r="1100" spans="1:25" ht="15.75" customHeight="1">
      <c r="A1100" s="125"/>
      <c r="B1100" s="125"/>
      <c r="C1100" s="125"/>
      <c r="D1100" s="125"/>
      <c r="E1100" s="126"/>
      <c r="F1100" s="128"/>
      <c r="G1100" s="128"/>
      <c r="H1100" s="128"/>
      <c r="I1100" s="129"/>
      <c r="J1100" s="129"/>
      <c r="K1100" s="129"/>
      <c r="L1100" s="129"/>
      <c r="M1100" s="129"/>
      <c r="N1100" s="129"/>
      <c r="O1100" s="129"/>
      <c r="P1100" s="132"/>
      <c r="Q1100" s="132"/>
      <c r="R1100" s="135"/>
      <c r="S1100" s="132"/>
      <c r="T1100" s="129"/>
      <c r="U1100" s="132"/>
      <c r="V1100" s="132"/>
      <c r="W1100" s="132"/>
    </row>
    <row r="1101" spans="1:25" ht="15.75" customHeight="1">
      <c r="A1101" s="125"/>
      <c r="B1101" s="125"/>
      <c r="C1101" s="125"/>
      <c r="D1101" s="125"/>
      <c r="E1101" s="126"/>
      <c r="F1101" s="128"/>
      <c r="G1101" s="128"/>
      <c r="H1101" s="128"/>
      <c r="I1101" s="129"/>
      <c r="J1101" s="129"/>
      <c r="K1101" s="129"/>
      <c r="L1101" s="129"/>
      <c r="M1101" s="129"/>
      <c r="N1101" s="129"/>
      <c r="O1101" s="129"/>
      <c r="P1101" s="132"/>
      <c r="Q1101" s="132"/>
      <c r="R1101" s="135"/>
      <c r="S1101" s="132"/>
      <c r="T1101" s="129"/>
      <c r="U1101" s="132"/>
      <c r="V1101" s="132"/>
      <c r="W1101" s="132"/>
    </row>
    <row r="1102" spans="1:25" ht="15.75" customHeight="1">
      <c r="A1102" s="125"/>
      <c r="B1102" s="125"/>
      <c r="C1102" s="125"/>
      <c r="D1102" s="125"/>
      <c r="E1102" s="126"/>
      <c r="F1102" s="128"/>
      <c r="G1102" s="128"/>
      <c r="H1102" s="128"/>
      <c r="I1102" s="129"/>
      <c r="J1102" s="129"/>
      <c r="K1102" s="129"/>
      <c r="L1102" s="129"/>
      <c r="M1102" s="129"/>
      <c r="N1102" s="129"/>
      <c r="O1102" s="129"/>
      <c r="P1102" s="132"/>
      <c r="Q1102" s="132"/>
      <c r="R1102" s="135"/>
      <c r="S1102" s="132"/>
      <c r="T1102" s="129"/>
      <c r="U1102" s="132"/>
      <c r="V1102" s="132"/>
      <c r="W1102" s="132"/>
    </row>
    <row r="1103" spans="1:25" ht="15.75" customHeight="1">
      <c r="A1103" s="125"/>
      <c r="B1103" s="125"/>
      <c r="C1103" s="125"/>
      <c r="D1103" s="125"/>
      <c r="E1103" s="126"/>
      <c r="F1103" s="128"/>
      <c r="G1103" s="128"/>
      <c r="H1103" s="128"/>
      <c r="I1103" s="129"/>
      <c r="J1103" s="129"/>
      <c r="K1103" s="129"/>
      <c r="L1103" s="129"/>
      <c r="M1103" s="129"/>
      <c r="N1103" s="129"/>
      <c r="O1103" s="129"/>
      <c r="P1103" s="132"/>
      <c r="Q1103" s="132"/>
      <c r="R1103" s="135"/>
      <c r="S1103" s="132"/>
      <c r="T1103" s="129"/>
      <c r="U1103" s="132"/>
      <c r="V1103" s="132"/>
      <c r="W1103" s="132"/>
    </row>
    <row r="1104" spans="1:25" ht="15.75" customHeight="1">
      <c r="A1104" s="125"/>
      <c r="B1104" s="125"/>
      <c r="C1104" s="125"/>
      <c r="D1104" s="125"/>
      <c r="E1104" s="126"/>
      <c r="F1104" s="128"/>
      <c r="G1104" s="128"/>
      <c r="H1104" s="128"/>
      <c r="I1104" s="129"/>
      <c r="J1104" s="129"/>
      <c r="K1104" s="129"/>
      <c r="L1104" s="129"/>
      <c r="M1104" s="129"/>
      <c r="N1104" s="129"/>
      <c r="O1104" s="129"/>
      <c r="P1104" s="132"/>
      <c r="Q1104" s="132"/>
      <c r="R1104" s="135"/>
      <c r="S1104" s="132"/>
      <c r="T1104" s="129"/>
      <c r="U1104" s="132"/>
      <c r="V1104" s="132"/>
      <c r="W1104" s="132"/>
    </row>
    <row r="1105" spans="1:23" ht="15.75" customHeight="1">
      <c r="A1105" s="125"/>
      <c r="B1105" s="125"/>
      <c r="C1105" s="125"/>
      <c r="D1105" s="125"/>
      <c r="E1105" s="126"/>
      <c r="F1105" s="128"/>
      <c r="G1105" s="128"/>
      <c r="H1105" s="128"/>
      <c r="I1105" s="129"/>
      <c r="J1105" s="129"/>
      <c r="K1105" s="129"/>
      <c r="L1105" s="129"/>
      <c r="M1105" s="129"/>
      <c r="N1105" s="129"/>
      <c r="O1105" s="129"/>
      <c r="P1105" s="132"/>
      <c r="Q1105" s="132"/>
      <c r="R1105" s="135"/>
      <c r="S1105" s="132"/>
      <c r="T1105" s="129"/>
      <c r="U1105" s="132"/>
      <c r="V1105" s="132"/>
      <c r="W1105" s="132"/>
    </row>
    <row r="1106" spans="1:23" ht="15.75" customHeight="1">
      <c r="A1106" s="125"/>
      <c r="B1106" s="125"/>
      <c r="C1106" s="125"/>
      <c r="D1106" s="125"/>
      <c r="E1106" s="126"/>
      <c r="F1106" s="128"/>
      <c r="G1106" s="128"/>
      <c r="H1106" s="128"/>
      <c r="I1106" s="129"/>
      <c r="J1106" s="129"/>
      <c r="K1106" s="129"/>
      <c r="L1106" s="129"/>
      <c r="M1106" s="129"/>
      <c r="N1106" s="129"/>
      <c r="O1106" s="129"/>
      <c r="P1106" s="132"/>
      <c r="Q1106" s="132"/>
      <c r="R1106" s="135"/>
      <c r="S1106" s="132"/>
      <c r="T1106" s="129"/>
      <c r="U1106" s="132"/>
      <c r="V1106" s="132"/>
      <c r="W1106" s="132"/>
    </row>
    <row r="1107" spans="1:23" ht="15.75" customHeight="1">
      <c r="A1107" s="125"/>
      <c r="B1107" s="125"/>
      <c r="C1107" s="125"/>
      <c r="D1107" s="125"/>
      <c r="E1107" s="126"/>
      <c r="F1107" s="128"/>
      <c r="G1107" s="128"/>
      <c r="H1107" s="128"/>
      <c r="I1107" s="129"/>
      <c r="J1107" s="129"/>
      <c r="K1107" s="129"/>
      <c r="L1107" s="129"/>
      <c r="M1107" s="129"/>
      <c r="N1107" s="129"/>
      <c r="O1107" s="129"/>
      <c r="P1107" s="132"/>
      <c r="Q1107" s="132"/>
      <c r="R1107" s="135"/>
      <c r="S1107" s="132"/>
      <c r="T1107" s="129"/>
      <c r="U1107" s="132"/>
      <c r="V1107" s="132"/>
      <c r="W1107" s="132"/>
    </row>
    <row r="1108" spans="1:23" ht="15.75" customHeight="1">
      <c r="A1108" s="125"/>
      <c r="B1108" s="125"/>
      <c r="C1108" s="125"/>
      <c r="D1108" s="125"/>
      <c r="E1108" s="126"/>
      <c r="F1108" s="128"/>
      <c r="G1108" s="128"/>
      <c r="H1108" s="128"/>
      <c r="I1108" s="129"/>
      <c r="J1108" s="129"/>
      <c r="K1108" s="129"/>
      <c r="L1108" s="129"/>
      <c r="M1108" s="129"/>
      <c r="N1108" s="129"/>
      <c r="O1108" s="129"/>
      <c r="P1108" s="132"/>
      <c r="Q1108" s="132"/>
      <c r="R1108" s="135"/>
      <c r="S1108" s="132"/>
      <c r="T1108" s="129"/>
      <c r="U1108" s="132"/>
      <c r="V1108" s="132"/>
      <c r="W1108" s="132"/>
    </row>
    <row r="1109" spans="1:23" ht="15.75" customHeight="1">
      <c r="A1109" s="125"/>
      <c r="B1109" s="125"/>
      <c r="C1109" s="125"/>
      <c r="D1109" s="125"/>
      <c r="E1109" s="126"/>
      <c r="F1109" s="128"/>
      <c r="G1109" s="128"/>
      <c r="H1109" s="128"/>
      <c r="I1109" s="129"/>
      <c r="J1109" s="129"/>
      <c r="K1109" s="129"/>
      <c r="L1109" s="129"/>
      <c r="M1109" s="129"/>
      <c r="N1109" s="129"/>
      <c r="O1109" s="129"/>
      <c r="P1109" s="132"/>
      <c r="Q1109" s="132"/>
      <c r="R1109" s="135"/>
      <c r="S1109" s="132"/>
      <c r="T1109" s="129"/>
      <c r="U1109" s="132"/>
      <c r="V1109" s="132"/>
      <c r="W1109" s="132"/>
    </row>
    <row r="1110" spans="1:23" ht="15.75" customHeight="1">
      <c r="A1110" s="125"/>
      <c r="B1110" s="125"/>
      <c r="C1110" s="125"/>
      <c r="D1110" s="125"/>
      <c r="E1110" s="126"/>
      <c r="F1110" s="128"/>
      <c r="G1110" s="128"/>
      <c r="H1110" s="128"/>
      <c r="I1110" s="129"/>
      <c r="J1110" s="129"/>
      <c r="K1110" s="129"/>
      <c r="L1110" s="129"/>
      <c r="M1110" s="129"/>
      <c r="N1110" s="129"/>
      <c r="O1110" s="129"/>
      <c r="P1110" s="132"/>
      <c r="Q1110" s="132"/>
      <c r="R1110" s="135"/>
      <c r="S1110" s="132"/>
      <c r="T1110" s="129"/>
      <c r="U1110" s="132"/>
      <c r="V1110" s="132"/>
      <c r="W1110" s="132"/>
    </row>
    <row r="1111" spans="1:23" ht="15.75" customHeight="1">
      <c r="A1111" s="125"/>
      <c r="B1111" s="125"/>
      <c r="C1111" s="125"/>
      <c r="D1111" s="125"/>
      <c r="E1111" s="126"/>
      <c r="F1111" s="128"/>
      <c r="G1111" s="128"/>
      <c r="H1111" s="128"/>
      <c r="I1111" s="129"/>
      <c r="J1111" s="129"/>
      <c r="K1111" s="129"/>
      <c r="L1111" s="129"/>
      <c r="M1111" s="129"/>
      <c r="N1111" s="129"/>
      <c r="O1111" s="129"/>
      <c r="P1111" s="132"/>
      <c r="Q1111" s="132"/>
      <c r="R1111" s="135"/>
      <c r="S1111" s="132"/>
      <c r="T1111" s="129"/>
      <c r="U1111" s="132"/>
      <c r="V1111" s="132"/>
      <c r="W1111" s="132"/>
    </row>
    <row r="1112" spans="1:23" ht="15.75" customHeight="1">
      <c r="A1112" s="125"/>
      <c r="B1112" s="125"/>
      <c r="C1112" s="125"/>
      <c r="D1112" s="125"/>
      <c r="E1112" s="126"/>
      <c r="F1112" s="128"/>
      <c r="G1112" s="128"/>
      <c r="H1112" s="128"/>
      <c r="I1112" s="129"/>
      <c r="J1112" s="129"/>
      <c r="K1112" s="129"/>
      <c r="L1112" s="129"/>
      <c r="M1112" s="129"/>
      <c r="N1112" s="129"/>
      <c r="O1112" s="129"/>
      <c r="P1112" s="132"/>
      <c r="Q1112" s="132"/>
      <c r="R1112" s="135"/>
      <c r="S1112" s="132"/>
      <c r="T1112" s="129"/>
      <c r="U1112" s="132"/>
      <c r="V1112" s="132"/>
      <c r="W1112" s="132"/>
    </row>
    <row r="1113" spans="1:23" ht="15.75" customHeight="1">
      <c r="A1113" s="125"/>
      <c r="B1113" s="125"/>
      <c r="C1113" s="125"/>
      <c r="D1113" s="125"/>
      <c r="E1113" s="126"/>
      <c r="F1113" s="128"/>
      <c r="G1113" s="128"/>
      <c r="H1113" s="128"/>
      <c r="I1113" s="129"/>
      <c r="J1113" s="129"/>
      <c r="K1113" s="129"/>
      <c r="L1113" s="129"/>
      <c r="M1113" s="129"/>
      <c r="N1113" s="129"/>
      <c r="O1113" s="129"/>
      <c r="P1113" s="132"/>
      <c r="Q1113" s="132"/>
      <c r="R1113" s="135"/>
      <c r="S1113" s="132"/>
      <c r="T1113" s="129"/>
      <c r="U1113" s="132"/>
      <c r="V1113" s="132"/>
      <c r="W1113" s="132"/>
    </row>
    <row r="1114" spans="1:23" ht="15.75" customHeight="1">
      <c r="A1114" s="125"/>
      <c r="B1114" s="125"/>
      <c r="C1114" s="125"/>
      <c r="D1114" s="125"/>
      <c r="E1114" s="126"/>
      <c r="F1114" s="128"/>
      <c r="G1114" s="128"/>
      <c r="H1114" s="128"/>
      <c r="I1114" s="129"/>
      <c r="J1114" s="129"/>
      <c r="K1114" s="129"/>
      <c r="L1114" s="129"/>
      <c r="M1114" s="129"/>
      <c r="N1114" s="129"/>
      <c r="O1114" s="129"/>
      <c r="P1114" s="132"/>
      <c r="Q1114" s="132"/>
      <c r="R1114" s="135"/>
      <c r="S1114" s="132"/>
      <c r="T1114" s="129"/>
      <c r="U1114" s="132"/>
      <c r="V1114" s="132"/>
      <c r="W1114" s="132"/>
    </row>
    <row r="1115" spans="1:23" ht="15.75" customHeight="1">
      <c r="A1115" s="125"/>
      <c r="B1115" s="125"/>
      <c r="C1115" s="125"/>
      <c r="D1115" s="125"/>
      <c r="E1115" s="126"/>
      <c r="F1115" s="128"/>
      <c r="G1115" s="128"/>
      <c r="H1115" s="128"/>
      <c r="I1115" s="129"/>
      <c r="J1115" s="129"/>
      <c r="K1115" s="129"/>
      <c r="L1115" s="129"/>
      <c r="M1115" s="129"/>
      <c r="N1115" s="129"/>
      <c r="O1115" s="129"/>
      <c r="P1115" s="132"/>
      <c r="Q1115" s="132"/>
      <c r="R1115" s="135"/>
      <c r="S1115" s="132"/>
      <c r="T1115" s="129"/>
      <c r="U1115" s="132"/>
      <c r="V1115" s="132"/>
      <c r="W1115" s="132"/>
    </row>
    <row r="1116" spans="1:23" ht="15.75" customHeight="1">
      <c r="A1116" s="125"/>
      <c r="B1116" s="125"/>
      <c r="C1116" s="125"/>
      <c r="D1116" s="125"/>
      <c r="E1116" s="126"/>
      <c r="F1116" s="128"/>
      <c r="G1116" s="128"/>
      <c r="H1116" s="128"/>
      <c r="I1116" s="129"/>
      <c r="J1116" s="129"/>
      <c r="K1116" s="129"/>
      <c r="L1116" s="129"/>
      <c r="M1116" s="129"/>
      <c r="N1116" s="129"/>
      <c r="O1116" s="129"/>
      <c r="P1116" s="132"/>
      <c r="Q1116" s="132"/>
      <c r="R1116" s="135"/>
      <c r="S1116" s="132"/>
      <c r="T1116" s="129"/>
      <c r="U1116" s="132"/>
      <c r="V1116" s="132"/>
      <c r="W1116" s="132"/>
    </row>
    <row r="1117" spans="1:23" ht="15.75" customHeight="1">
      <c r="A1117" s="125"/>
      <c r="B1117" s="125"/>
      <c r="C1117" s="125"/>
      <c r="D1117" s="125"/>
      <c r="E1117" s="126"/>
      <c r="F1117" s="128"/>
      <c r="G1117" s="128"/>
      <c r="H1117" s="128"/>
      <c r="I1117" s="129"/>
      <c r="J1117" s="129"/>
      <c r="K1117" s="129"/>
      <c r="L1117" s="129"/>
      <c r="M1117" s="129"/>
      <c r="N1117" s="129"/>
      <c r="O1117" s="129"/>
      <c r="P1117" s="132"/>
      <c r="Q1117" s="132"/>
      <c r="R1117" s="135"/>
      <c r="S1117" s="132"/>
      <c r="T1117" s="129"/>
      <c r="U1117" s="132"/>
      <c r="V1117" s="132"/>
      <c r="W1117" s="132"/>
    </row>
    <row r="1118" spans="1:23" ht="15.75" customHeight="1">
      <c r="A1118" s="125"/>
      <c r="B1118" s="125"/>
      <c r="C1118" s="125"/>
      <c r="D1118" s="125"/>
      <c r="E1118" s="126"/>
      <c r="F1118" s="128"/>
      <c r="G1118" s="128"/>
      <c r="H1118" s="128"/>
      <c r="I1118" s="129"/>
      <c r="J1118" s="129"/>
      <c r="K1118" s="129"/>
      <c r="L1118" s="129"/>
      <c r="M1118" s="129"/>
      <c r="N1118" s="129"/>
      <c r="O1118" s="129"/>
      <c r="P1118" s="132"/>
      <c r="Q1118" s="132"/>
      <c r="R1118" s="135"/>
      <c r="S1118" s="132"/>
      <c r="T1118" s="129"/>
      <c r="U1118" s="132"/>
      <c r="V1118" s="132"/>
      <c r="W1118" s="132"/>
    </row>
    <row r="1119" spans="1:23" ht="15.75" customHeight="1">
      <c r="A1119" s="125"/>
      <c r="B1119" s="125"/>
      <c r="C1119" s="125"/>
      <c r="D1119" s="125"/>
      <c r="E1119" s="126"/>
      <c r="F1119" s="128"/>
      <c r="G1119" s="128"/>
      <c r="H1119" s="128"/>
      <c r="I1119" s="129"/>
      <c r="J1119" s="129"/>
      <c r="K1119" s="129"/>
      <c r="L1119" s="129"/>
      <c r="M1119" s="129"/>
      <c r="N1119" s="129"/>
      <c r="O1119" s="129"/>
      <c r="P1119" s="132"/>
      <c r="Q1119" s="132"/>
      <c r="R1119" s="135"/>
      <c r="S1119" s="132"/>
      <c r="T1119" s="129"/>
      <c r="U1119" s="132"/>
      <c r="V1119" s="132"/>
      <c r="W1119" s="132"/>
    </row>
    <row r="1120" spans="1:23" ht="15.75" customHeight="1">
      <c r="A1120" s="125"/>
      <c r="B1120" s="125"/>
      <c r="C1120" s="125"/>
      <c r="D1120" s="125"/>
      <c r="E1120" s="126"/>
      <c r="F1120" s="128"/>
      <c r="G1120" s="128"/>
      <c r="H1120" s="128"/>
      <c r="I1120" s="129"/>
      <c r="J1120" s="129"/>
      <c r="K1120" s="129"/>
      <c r="L1120" s="129"/>
      <c r="M1120" s="129"/>
      <c r="N1120" s="129"/>
      <c r="O1120" s="129"/>
      <c r="P1120" s="132"/>
      <c r="Q1120" s="132"/>
      <c r="R1120" s="135"/>
      <c r="S1120" s="132"/>
      <c r="T1120" s="129"/>
      <c r="U1120" s="132"/>
      <c r="V1120" s="132"/>
      <c r="W1120" s="132"/>
    </row>
    <row r="1121" spans="1:23" ht="15.75" customHeight="1">
      <c r="A1121" s="125"/>
      <c r="B1121" s="125"/>
      <c r="C1121" s="125"/>
      <c r="D1121" s="125"/>
      <c r="E1121" s="126"/>
      <c r="F1121" s="128"/>
      <c r="G1121" s="128"/>
      <c r="H1121" s="128"/>
      <c r="I1121" s="129"/>
      <c r="J1121" s="129"/>
      <c r="K1121" s="129"/>
      <c r="L1121" s="129"/>
      <c r="M1121" s="129"/>
      <c r="N1121" s="129"/>
      <c r="O1121" s="129"/>
      <c r="P1121" s="132"/>
      <c r="Q1121" s="132"/>
      <c r="R1121" s="135"/>
      <c r="S1121" s="132"/>
      <c r="T1121" s="129"/>
      <c r="U1121" s="132"/>
      <c r="V1121" s="132"/>
      <c r="W1121" s="132"/>
    </row>
    <row r="1122" spans="1:23" ht="15.75" customHeight="1">
      <c r="A1122" s="125"/>
      <c r="B1122" s="125"/>
      <c r="C1122" s="125"/>
      <c r="D1122" s="125"/>
      <c r="E1122" s="126"/>
      <c r="F1122" s="128"/>
      <c r="G1122" s="128"/>
      <c r="H1122" s="128"/>
      <c r="I1122" s="129"/>
      <c r="J1122" s="129"/>
      <c r="K1122" s="129"/>
      <c r="L1122" s="129"/>
      <c r="M1122" s="129"/>
      <c r="N1122" s="129"/>
      <c r="O1122" s="129"/>
      <c r="P1122" s="132"/>
      <c r="Q1122" s="132"/>
      <c r="R1122" s="135"/>
      <c r="S1122" s="132"/>
      <c r="T1122" s="129"/>
      <c r="U1122" s="132"/>
      <c r="V1122" s="132"/>
      <c r="W1122" s="132"/>
    </row>
    <row r="1123" spans="1:23" ht="15.75" customHeight="1">
      <c r="A1123" s="125"/>
      <c r="B1123" s="125"/>
      <c r="C1123" s="125"/>
      <c r="D1123" s="125"/>
      <c r="E1123" s="126"/>
      <c r="F1123" s="128"/>
      <c r="G1123" s="128"/>
      <c r="H1123" s="128"/>
      <c r="I1123" s="129"/>
      <c r="J1123" s="129"/>
      <c r="K1123" s="129"/>
      <c r="L1123" s="129"/>
      <c r="M1123" s="129"/>
      <c r="N1123" s="129"/>
      <c r="O1123" s="129"/>
      <c r="P1123" s="132"/>
      <c r="Q1123" s="132"/>
      <c r="R1123" s="135"/>
      <c r="S1123" s="132"/>
      <c r="T1123" s="129"/>
      <c r="U1123" s="132"/>
      <c r="V1123" s="132"/>
      <c r="W1123" s="132"/>
    </row>
    <row r="1124" spans="1:23" ht="15.75" customHeight="1">
      <c r="A1124" s="125"/>
      <c r="B1124" s="125"/>
      <c r="C1124" s="125"/>
      <c r="D1124" s="125"/>
      <c r="E1124" s="126"/>
      <c r="F1124" s="128"/>
      <c r="G1124" s="128"/>
      <c r="H1124" s="128"/>
      <c r="I1124" s="129"/>
      <c r="J1124" s="129"/>
      <c r="K1124" s="129"/>
      <c r="L1124" s="129"/>
      <c r="M1124" s="129"/>
      <c r="N1124" s="129"/>
      <c r="O1124" s="129"/>
      <c r="P1124" s="132"/>
      <c r="Q1124" s="132"/>
      <c r="R1124" s="135"/>
      <c r="S1124" s="132"/>
      <c r="T1124" s="129"/>
      <c r="U1124" s="132"/>
      <c r="V1124" s="132"/>
      <c r="W1124" s="132"/>
    </row>
    <row r="1125" spans="1:23" ht="15.75" customHeight="1">
      <c r="A1125" s="125"/>
      <c r="B1125" s="125"/>
      <c r="C1125" s="125"/>
      <c r="D1125" s="125"/>
      <c r="E1125" s="126"/>
      <c r="F1125" s="128"/>
      <c r="G1125" s="128"/>
      <c r="H1125" s="128"/>
      <c r="I1125" s="129"/>
      <c r="J1125" s="129"/>
      <c r="K1125" s="129"/>
      <c r="L1125" s="129"/>
      <c r="M1125" s="129"/>
      <c r="N1125" s="129"/>
      <c r="O1125" s="129"/>
      <c r="P1125" s="132"/>
      <c r="Q1125" s="132"/>
      <c r="R1125" s="135"/>
      <c r="S1125" s="132"/>
      <c r="T1125" s="129"/>
      <c r="U1125" s="132"/>
      <c r="V1125" s="132"/>
      <c r="W1125" s="132"/>
    </row>
    <row r="1126" spans="1:23" ht="15.75" customHeight="1">
      <c r="A1126" s="125"/>
      <c r="B1126" s="125"/>
      <c r="C1126" s="125"/>
      <c r="D1126" s="125"/>
      <c r="E1126" s="126"/>
      <c r="F1126" s="128"/>
      <c r="G1126" s="128"/>
      <c r="H1126" s="128"/>
      <c r="I1126" s="129"/>
      <c r="J1126" s="129"/>
      <c r="K1126" s="129"/>
      <c r="L1126" s="129"/>
      <c r="M1126" s="129"/>
      <c r="N1126" s="129"/>
      <c r="O1126" s="129"/>
      <c r="P1126" s="132"/>
      <c r="Q1126" s="132"/>
      <c r="R1126" s="135"/>
      <c r="S1126" s="132"/>
      <c r="T1126" s="129"/>
      <c r="U1126" s="132"/>
      <c r="V1126" s="132"/>
      <c r="W1126" s="132"/>
    </row>
    <row r="1127" spans="1:23" ht="15.75" customHeight="1">
      <c r="A1127" s="125"/>
      <c r="B1127" s="125"/>
      <c r="C1127" s="125"/>
      <c r="D1127" s="125"/>
      <c r="E1127" s="126"/>
      <c r="F1127" s="128"/>
      <c r="G1127" s="128"/>
      <c r="H1127" s="128"/>
      <c r="I1127" s="129"/>
      <c r="J1127" s="129"/>
      <c r="K1127" s="129"/>
      <c r="L1127" s="129"/>
      <c r="M1127" s="129"/>
      <c r="N1127" s="129"/>
      <c r="O1127" s="129"/>
      <c r="P1127" s="132"/>
      <c r="Q1127" s="132"/>
      <c r="R1127" s="135"/>
      <c r="S1127" s="132"/>
      <c r="T1127" s="129"/>
      <c r="U1127" s="132"/>
      <c r="V1127" s="132"/>
      <c r="W1127" s="132"/>
    </row>
    <row r="1128" spans="1:23" ht="15.75" customHeight="1">
      <c r="A1128" s="125"/>
      <c r="B1128" s="125"/>
      <c r="C1128" s="125"/>
      <c r="D1128" s="125"/>
      <c r="E1128" s="126"/>
      <c r="F1128" s="128"/>
      <c r="G1128" s="128"/>
      <c r="H1128" s="128"/>
      <c r="I1128" s="129"/>
      <c r="J1128" s="129"/>
      <c r="K1128" s="129"/>
      <c r="L1128" s="129"/>
      <c r="M1128" s="129"/>
      <c r="N1128" s="129"/>
      <c r="O1128" s="129"/>
      <c r="P1128" s="132"/>
      <c r="Q1128" s="132"/>
      <c r="R1128" s="135"/>
      <c r="S1128" s="132"/>
      <c r="T1128" s="129"/>
      <c r="U1128" s="132"/>
      <c r="V1128" s="132"/>
      <c r="W1128" s="132"/>
    </row>
    <row r="1129" spans="1:23" ht="15.75" customHeight="1">
      <c r="A1129" s="125"/>
      <c r="B1129" s="125"/>
      <c r="C1129" s="125"/>
      <c r="D1129" s="125"/>
      <c r="E1129" s="126"/>
      <c r="F1129" s="128"/>
      <c r="G1129" s="128"/>
      <c r="H1129" s="128"/>
      <c r="I1129" s="129"/>
      <c r="J1129" s="129"/>
      <c r="K1129" s="129"/>
      <c r="L1129" s="129"/>
      <c r="M1129" s="129"/>
      <c r="N1129" s="129"/>
      <c r="O1129" s="129"/>
      <c r="P1129" s="132"/>
      <c r="Q1129" s="132"/>
      <c r="R1129" s="135"/>
      <c r="S1129" s="132"/>
      <c r="T1129" s="129"/>
      <c r="U1129" s="132"/>
      <c r="V1129" s="132"/>
      <c r="W1129" s="132"/>
    </row>
    <row r="1130" spans="1:23" ht="15.75" customHeight="1">
      <c r="A1130" s="125"/>
      <c r="B1130" s="125"/>
      <c r="C1130" s="125"/>
      <c r="D1130" s="125"/>
      <c r="E1130" s="126"/>
      <c r="F1130" s="128"/>
      <c r="G1130" s="128"/>
      <c r="H1130" s="128"/>
      <c r="I1130" s="129"/>
      <c r="J1130" s="129"/>
      <c r="K1130" s="129"/>
      <c r="L1130" s="129"/>
      <c r="M1130" s="129"/>
      <c r="N1130" s="129"/>
      <c r="O1130" s="129"/>
      <c r="P1130" s="132"/>
      <c r="Q1130" s="132"/>
      <c r="R1130" s="135"/>
      <c r="S1130" s="132"/>
      <c r="T1130" s="129"/>
      <c r="U1130" s="132"/>
      <c r="V1130" s="132"/>
      <c r="W1130" s="132"/>
    </row>
    <row r="1131" spans="1:23" ht="15.75" customHeight="1">
      <c r="A1131" s="125"/>
      <c r="B1131" s="125"/>
      <c r="C1131" s="125"/>
      <c r="D1131" s="125"/>
      <c r="E1131" s="126"/>
      <c r="F1131" s="128"/>
      <c r="G1131" s="128"/>
      <c r="H1131" s="128"/>
      <c r="I1131" s="129"/>
      <c r="J1131" s="129"/>
      <c r="K1131" s="129"/>
      <c r="L1131" s="129"/>
      <c r="M1131" s="129"/>
      <c r="N1131" s="129"/>
      <c r="O1131" s="129"/>
      <c r="P1131" s="132"/>
      <c r="Q1131" s="132"/>
      <c r="R1131" s="135"/>
      <c r="S1131" s="132"/>
      <c r="T1131" s="129"/>
      <c r="U1131" s="132"/>
      <c r="V1131" s="132"/>
      <c r="W1131" s="132"/>
    </row>
    <row r="1132" spans="1:23" ht="15.75" customHeight="1">
      <c r="A1132" s="125"/>
      <c r="B1132" s="125"/>
      <c r="C1132" s="125"/>
      <c r="D1132" s="125"/>
      <c r="E1132" s="126"/>
      <c r="F1132" s="128"/>
      <c r="G1132" s="128"/>
      <c r="H1132" s="128"/>
      <c r="I1132" s="129"/>
      <c r="J1132" s="129"/>
      <c r="K1132" s="129"/>
      <c r="L1132" s="129"/>
      <c r="M1132" s="129"/>
      <c r="N1132" s="129"/>
      <c r="O1132" s="129"/>
      <c r="P1132" s="132"/>
      <c r="Q1132" s="132"/>
      <c r="R1132" s="135"/>
      <c r="S1132" s="132"/>
      <c r="T1132" s="129"/>
      <c r="U1132" s="132"/>
      <c r="V1132" s="132"/>
      <c r="W1132" s="132"/>
    </row>
    <row r="1133" spans="1:23" ht="15.75" customHeight="1">
      <c r="A1133" s="125"/>
      <c r="B1133" s="125"/>
      <c r="C1133" s="125"/>
      <c r="D1133" s="125"/>
      <c r="E1133" s="126"/>
      <c r="F1133" s="128"/>
      <c r="G1133" s="128"/>
      <c r="H1133" s="128"/>
      <c r="I1133" s="129"/>
      <c r="J1133" s="129"/>
      <c r="K1133" s="129"/>
      <c r="L1133" s="129"/>
      <c r="M1133" s="129"/>
      <c r="N1133" s="129"/>
      <c r="O1133" s="129"/>
      <c r="P1133" s="132"/>
      <c r="Q1133" s="132"/>
      <c r="R1133" s="135"/>
      <c r="S1133" s="132"/>
      <c r="T1133" s="129"/>
      <c r="U1133" s="132"/>
      <c r="V1133" s="132"/>
      <c r="W1133" s="132"/>
    </row>
    <row r="1134" spans="1:23" ht="15.75" customHeight="1">
      <c r="A1134" s="125"/>
      <c r="B1134" s="125"/>
      <c r="C1134" s="125"/>
      <c r="D1134" s="125"/>
      <c r="E1134" s="126"/>
      <c r="F1134" s="128"/>
      <c r="G1134" s="128"/>
      <c r="H1134" s="128"/>
      <c r="I1134" s="129"/>
      <c r="J1134" s="129"/>
      <c r="K1134" s="129"/>
      <c r="L1134" s="129"/>
      <c r="M1134" s="129"/>
      <c r="N1134" s="129"/>
      <c r="O1134" s="129"/>
      <c r="P1134" s="132"/>
      <c r="Q1134" s="132"/>
      <c r="R1134" s="135"/>
      <c r="S1134" s="132"/>
      <c r="T1134" s="129"/>
      <c r="U1134" s="132"/>
      <c r="V1134" s="132"/>
      <c r="W1134" s="132"/>
    </row>
    <row r="1135" spans="1:23" ht="15.75" customHeight="1">
      <c r="A1135" s="125"/>
      <c r="B1135" s="125"/>
      <c r="C1135" s="125"/>
      <c r="D1135" s="125"/>
      <c r="E1135" s="126"/>
      <c r="F1135" s="128"/>
      <c r="G1135" s="128"/>
      <c r="H1135" s="128"/>
      <c r="I1135" s="129"/>
      <c r="J1135" s="129"/>
      <c r="K1135" s="129"/>
      <c r="L1135" s="129"/>
      <c r="M1135" s="129"/>
      <c r="N1135" s="129"/>
      <c r="O1135" s="129"/>
      <c r="P1135" s="132"/>
      <c r="Q1135" s="132"/>
      <c r="R1135" s="135"/>
      <c r="S1135" s="132"/>
      <c r="T1135" s="129"/>
      <c r="U1135" s="132"/>
      <c r="V1135" s="132"/>
      <c r="W1135" s="132"/>
    </row>
    <row r="1136" spans="1:23" ht="15.75" customHeight="1">
      <c r="A1136" s="125"/>
      <c r="B1136" s="125"/>
      <c r="C1136" s="125"/>
      <c r="D1136" s="125"/>
      <c r="E1136" s="126"/>
      <c r="F1136" s="128"/>
      <c r="G1136" s="128"/>
      <c r="H1136" s="128"/>
      <c r="I1136" s="129"/>
      <c r="J1136" s="129"/>
      <c r="K1136" s="129"/>
      <c r="L1136" s="129"/>
      <c r="M1136" s="129"/>
      <c r="N1136" s="129"/>
      <c r="O1136" s="129"/>
      <c r="P1136" s="132"/>
      <c r="Q1136" s="132"/>
      <c r="R1136" s="135"/>
      <c r="S1136" s="132"/>
      <c r="T1136" s="129"/>
      <c r="U1136" s="132"/>
      <c r="V1136" s="132"/>
      <c r="W1136" s="132"/>
    </row>
    <row r="1137" spans="1:23" ht="15.75" customHeight="1">
      <c r="A1137" s="125"/>
      <c r="B1137" s="125"/>
      <c r="C1137" s="125"/>
      <c r="D1137" s="125"/>
      <c r="E1137" s="126"/>
      <c r="F1137" s="128"/>
      <c r="G1137" s="128"/>
      <c r="H1137" s="128"/>
      <c r="I1137" s="129"/>
      <c r="J1137" s="129"/>
      <c r="K1137" s="129"/>
      <c r="L1137" s="129"/>
      <c r="M1137" s="129"/>
      <c r="N1137" s="129"/>
      <c r="O1137" s="129"/>
      <c r="P1137" s="132"/>
      <c r="Q1137" s="132"/>
      <c r="R1137" s="135"/>
      <c r="S1137" s="132"/>
      <c r="T1137" s="129"/>
      <c r="U1137" s="132"/>
      <c r="V1137" s="132"/>
      <c r="W1137" s="132"/>
    </row>
    <row r="1138" spans="1:23" ht="15.75" customHeight="1">
      <c r="A1138" s="125"/>
      <c r="B1138" s="125"/>
      <c r="C1138" s="125"/>
      <c r="D1138" s="125"/>
      <c r="E1138" s="126"/>
      <c r="F1138" s="128"/>
      <c r="G1138" s="128"/>
      <c r="H1138" s="128"/>
      <c r="I1138" s="129"/>
      <c r="J1138" s="129"/>
      <c r="K1138" s="129"/>
      <c r="L1138" s="129"/>
      <c r="M1138" s="129"/>
      <c r="N1138" s="129"/>
      <c r="O1138" s="129"/>
      <c r="P1138" s="132"/>
      <c r="Q1138" s="132"/>
      <c r="R1138" s="135"/>
      <c r="S1138" s="132"/>
      <c r="T1138" s="129"/>
      <c r="U1138" s="132"/>
      <c r="V1138" s="132"/>
      <c r="W1138" s="132"/>
    </row>
    <row r="1139" spans="1:23" ht="15.75" customHeight="1">
      <c r="A1139" s="125"/>
      <c r="B1139" s="125"/>
      <c r="C1139" s="125"/>
      <c r="D1139" s="125"/>
      <c r="E1139" s="126"/>
      <c r="F1139" s="128"/>
      <c r="G1139" s="128"/>
      <c r="H1139" s="128"/>
      <c r="I1139" s="129"/>
      <c r="J1139" s="129"/>
      <c r="K1139" s="129"/>
      <c r="L1139" s="129"/>
      <c r="M1139" s="129"/>
      <c r="N1139" s="129"/>
      <c r="O1139" s="129"/>
      <c r="P1139" s="132"/>
      <c r="Q1139" s="132"/>
      <c r="R1139" s="135"/>
      <c r="S1139" s="132"/>
      <c r="T1139" s="129"/>
      <c r="U1139" s="132"/>
      <c r="V1139" s="132"/>
      <c r="W1139" s="132"/>
    </row>
    <row r="1140" spans="1:23" ht="15.75" customHeight="1">
      <c r="A1140" s="125"/>
      <c r="B1140" s="125"/>
      <c r="C1140" s="125"/>
      <c r="D1140" s="125"/>
      <c r="E1140" s="126"/>
      <c r="F1140" s="128"/>
      <c r="G1140" s="128"/>
      <c r="H1140" s="128"/>
      <c r="I1140" s="129"/>
      <c r="J1140" s="129"/>
      <c r="K1140" s="129"/>
      <c r="L1140" s="129"/>
      <c r="M1140" s="129"/>
      <c r="N1140" s="129"/>
      <c r="O1140" s="129"/>
      <c r="P1140" s="132"/>
      <c r="Q1140" s="132"/>
      <c r="R1140" s="135"/>
      <c r="S1140" s="132"/>
      <c r="T1140" s="129"/>
      <c r="U1140" s="132"/>
      <c r="V1140" s="132"/>
      <c r="W1140" s="132"/>
    </row>
    <row r="1141" spans="1:23" ht="15.75" customHeight="1">
      <c r="A1141" s="125"/>
      <c r="B1141" s="125"/>
      <c r="C1141" s="125"/>
      <c r="D1141" s="125"/>
      <c r="E1141" s="126"/>
      <c r="F1141" s="128"/>
      <c r="G1141" s="128"/>
      <c r="H1141" s="128"/>
      <c r="I1141" s="129"/>
      <c r="J1141" s="129"/>
      <c r="K1141" s="129"/>
      <c r="L1141" s="129"/>
      <c r="M1141" s="129"/>
      <c r="N1141" s="129"/>
      <c r="O1141" s="129"/>
      <c r="P1141" s="132"/>
      <c r="Q1141" s="132"/>
      <c r="R1141" s="135"/>
      <c r="S1141" s="132"/>
      <c r="T1141" s="129"/>
      <c r="U1141" s="132"/>
      <c r="V1141" s="132"/>
      <c r="W1141" s="132"/>
    </row>
    <row r="1142" spans="1:23" ht="15.75" customHeight="1">
      <c r="A1142" s="125"/>
      <c r="B1142" s="125"/>
      <c r="C1142" s="125"/>
      <c r="D1142" s="125"/>
      <c r="E1142" s="126"/>
      <c r="F1142" s="128"/>
      <c r="G1142" s="128"/>
      <c r="H1142" s="128"/>
      <c r="I1142" s="129"/>
      <c r="J1142" s="129"/>
      <c r="K1142" s="129"/>
      <c r="L1142" s="129"/>
      <c r="M1142" s="129"/>
      <c r="N1142" s="129"/>
      <c r="O1142" s="129"/>
      <c r="P1142" s="132"/>
      <c r="Q1142" s="132"/>
      <c r="R1142" s="135"/>
      <c r="S1142" s="132"/>
      <c r="T1142" s="129"/>
      <c r="U1142" s="132"/>
      <c r="V1142" s="132"/>
      <c r="W1142" s="132"/>
    </row>
    <row r="1143" spans="1:23" ht="15.75" customHeight="1">
      <c r="A1143" s="125"/>
      <c r="B1143" s="125"/>
      <c r="C1143" s="125"/>
      <c r="D1143" s="125"/>
      <c r="E1143" s="126"/>
      <c r="F1143" s="128"/>
      <c r="G1143" s="128"/>
      <c r="H1143" s="128"/>
      <c r="I1143" s="129"/>
      <c r="J1143" s="129"/>
      <c r="K1143" s="129"/>
      <c r="L1143" s="129"/>
      <c r="M1143" s="129"/>
      <c r="N1143" s="129"/>
      <c r="O1143" s="129"/>
      <c r="P1143" s="132"/>
      <c r="Q1143" s="132"/>
      <c r="R1143" s="135"/>
      <c r="S1143" s="132"/>
      <c r="T1143" s="129"/>
      <c r="U1143" s="132"/>
      <c r="V1143" s="132"/>
      <c r="W1143" s="132"/>
    </row>
    <row r="1144" spans="1:23" ht="15.75" customHeight="1">
      <c r="A1144" s="125"/>
      <c r="B1144" s="125"/>
      <c r="C1144" s="125"/>
      <c r="D1144" s="125"/>
      <c r="E1144" s="126"/>
      <c r="F1144" s="128"/>
      <c r="G1144" s="128"/>
      <c r="H1144" s="128"/>
      <c r="I1144" s="129"/>
      <c r="J1144" s="129"/>
      <c r="K1144" s="129"/>
      <c r="L1144" s="129"/>
      <c r="M1144" s="129"/>
      <c r="N1144" s="129"/>
      <c r="O1144" s="129"/>
      <c r="P1144" s="132"/>
      <c r="Q1144" s="132"/>
      <c r="R1144" s="135"/>
      <c r="S1144" s="132"/>
      <c r="T1144" s="129"/>
      <c r="U1144" s="132"/>
      <c r="V1144" s="132"/>
      <c r="W1144" s="132"/>
    </row>
    <row r="1145" spans="1:23" ht="15.75" customHeight="1">
      <c r="A1145" s="125"/>
      <c r="B1145" s="125"/>
      <c r="C1145" s="125"/>
      <c r="D1145" s="125"/>
      <c r="E1145" s="126"/>
      <c r="F1145" s="128"/>
      <c r="G1145" s="128"/>
      <c r="H1145" s="128"/>
      <c r="I1145" s="129"/>
      <c r="J1145" s="129"/>
      <c r="K1145" s="129"/>
      <c r="L1145" s="129"/>
      <c r="M1145" s="129"/>
      <c r="N1145" s="129"/>
      <c r="O1145" s="129"/>
      <c r="P1145" s="132"/>
      <c r="Q1145" s="132"/>
      <c r="R1145" s="135"/>
      <c r="S1145" s="132"/>
      <c r="T1145" s="129"/>
      <c r="U1145" s="132"/>
      <c r="V1145" s="132"/>
      <c r="W1145" s="132"/>
    </row>
    <row r="1146" spans="1:23" ht="15.75" customHeight="1">
      <c r="A1146" s="125"/>
      <c r="B1146" s="125"/>
      <c r="C1146" s="125"/>
      <c r="D1146" s="125"/>
      <c r="E1146" s="126"/>
      <c r="F1146" s="128"/>
      <c r="G1146" s="128"/>
      <c r="H1146" s="128"/>
      <c r="I1146" s="129"/>
      <c r="J1146" s="129"/>
      <c r="K1146" s="129"/>
      <c r="L1146" s="129"/>
      <c r="M1146" s="129"/>
      <c r="N1146" s="129"/>
      <c r="O1146" s="129"/>
      <c r="P1146" s="132"/>
      <c r="Q1146" s="132"/>
      <c r="R1146" s="135"/>
      <c r="S1146" s="132"/>
      <c r="T1146" s="129"/>
      <c r="U1146" s="132"/>
      <c r="V1146" s="132"/>
      <c r="W1146" s="132"/>
    </row>
    <row r="1147" spans="1:23" ht="15.75" customHeight="1">
      <c r="A1147" s="125"/>
      <c r="B1147" s="125"/>
      <c r="C1147" s="125"/>
      <c r="D1147" s="125"/>
      <c r="E1147" s="126"/>
      <c r="F1147" s="128"/>
      <c r="G1147" s="128"/>
      <c r="H1147" s="128"/>
      <c r="I1147" s="129"/>
      <c r="J1147" s="129"/>
      <c r="K1147" s="129"/>
      <c r="L1147" s="129"/>
      <c r="M1147" s="129"/>
      <c r="N1147" s="129"/>
      <c r="O1147" s="129"/>
      <c r="P1147" s="132"/>
      <c r="Q1147" s="132"/>
      <c r="R1147" s="135"/>
      <c r="S1147" s="132"/>
      <c r="T1147" s="129"/>
      <c r="U1147" s="132"/>
      <c r="V1147" s="132"/>
      <c r="W1147" s="132"/>
    </row>
    <row r="1148" spans="1:23" ht="15.75" customHeight="1">
      <c r="A1148" s="125"/>
      <c r="B1148" s="125"/>
      <c r="C1148" s="125"/>
      <c r="D1148" s="125"/>
      <c r="E1148" s="126"/>
      <c r="F1148" s="128"/>
      <c r="G1148" s="128"/>
      <c r="H1148" s="128"/>
      <c r="I1148" s="129"/>
      <c r="J1148" s="129"/>
      <c r="K1148" s="129"/>
      <c r="L1148" s="129"/>
      <c r="M1148" s="129"/>
      <c r="N1148" s="129"/>
      <c r="O1148" s="129"/>
      <c r="P1148" s="132"/>
      <c r="Q1148" s="132"/>
      <c r="R1148" s="135"/>
      <c r="S1148" s="132"/>
      <c r="T1148" s="129"/>
      <c r="U1148" s="132"/>
      <c r="V1148" s="132"/>
      <c r="W1148" s="132"/>
    </row>
    <row r="1149" spans="1:23" ht="15.75" customHeight="1">
      <c r="A1149" s="125"/>
      <c r="B1149" s="125"/>
      <c r="C1149" s="125"/>
      <c r="D1149" s="125"/>
      <c r="E1149" s="126"/>
      <c r="F1149" s="128"/>
      <c r="G1149" s="128"/>
      <c r="H1149" s="128"/>
      <c r="I1149" s="129"/>
      <c r="J1149" s="129"/>
      <c r="K1149" s="129"/>
      <c r="L1149" s="129"/>
      <c r="M1149" s="129"/>
      <c r="N1149" s="129"/>
      <c r="O1149" s="129"/>
      <c r="P1149" s="132"/>
      <c r="Q1149" s="132"/>
      <c r="R1149" s="135"/>
      <c r="S1149" s="132"/>
      <c r="T1149" s="129"/>
      <c r="U1149" s="132"/>
      <c r="V1149" s="132"/>
      <c r="W1149" s="132"/>
    </row>
    <row r="1150" spans="1:23" ht="15.75" customHeight="1">
      <c r="A1150" s="125"/>
      <c r="B1150" s="125"/>
      <c r="C1150" s="125"/>
      <c r="D1150" s="125"/>
      <c r="E1150" s="126"/>
      <c r="F1150" s="128"/>
      <c r="G1150" s="128"/>
      <c r="H1150" s="128"/>
      <c r="I1150" s="129"/>
      <c r="J1150" s="129"/>
      <c r="K1150" s="129"/>
      <c r="L1150" s="129"/>
      <c r="M1150" s="129"/>
      <c r="N1150" s="129"/>
      <c r="O1150" s="129"/>
      <c r="P1150" s="132"/>
      <c r="Q1150" s="132"/>
      <c r="R1150" s="135"/>
      <c r="S1150" s="132"/>
      <c r="T1150" s="129"/>
      <c r="U1150" s="132"/>
      <c r="V1150" s="132"/>
      <c r="W1150" s="132"/>
    </row>
    <row r="1151" spans="1:23" ht="15.75" customHeight="1">
      <c r="A1151" s="125"/>
      <c r="B1151" s="125"/>
      <c r="C1151" s="125"/>
      <c r="D1151" s="125"/>
      <c r="E1151" s="126"/>
      <c r="F1151" s="128"/>
      <c r="G1151" s="128"/>
      <c r="H1151" s="128"/>
      <c r="I1151" s="129"/>
      <c r="J1151" s="129"/>
      <c r="K1151" s="129"/>
      <c r="L1151" s="129"/>
      <c r="M1151" s="129"/>
      <c r="N1151" s="129"/>
      <c r="O1151" s="129"/>
      <c r="P1151" s="132"/>
      <c r="Q1151" s="132"/>
      <c r="R1151" s="135"/>
      <c r="S1151" s="132"/>
      <c r="T1151" s="129"/>
      <c r="U1151" s="132"/>
      <c r="V1151" s="132"/>
      <c r="W1151" s="132"/>
    </row>
    <row r="1152" spans="1:23" ht="15.75" customHeight="1">
      <c r="A1152" s="125"/>
      <c r="B1152" s="125"/>
      <c r="C1152" s="125"/>
      <c r="D1152" s="125"/>
      <c r="E1152" s="126"/>
      <c r="F1152" s="128"/>
      <c r="G1152" s="128"/>
      <c r="H1152" s="128"/>
      <c r="I1152" s="129"/>
      <c r="J1152" s="129"/>
      <c r="K1152" s="129"/>
      <c r="L1152" s="129"/>
      <c r="M1152" s="129"/>
      <c r="N1152" s="129"/>
      <c r="O1152" s="129"/>
      <c r="P1152" s="132"/>
      <c r="Q1152" s="132"/>
      <c r="R1152" s="135"/>
      <c r="S1152" s="132"/>
      <c r="T1152" s="129"/>
      <c r="U1152" s="132"/>
      <c r="V1152" s="132"/>
      <c r="W1152" s="132"/>
    </row>
    <row r="1153" spans="1:23" ht="15.75" customHeight="1">
      <c r="A1153" s="125"/>
      <c r="B1153" s="125"/>
      <c r="C1153" s="125"/>
      <c r="D1153" s="125"/>
      <c r="E1153" s="126"/>
      <c r="F1153" s="128"/>
      <c r="G1153" s="128"/>
      <c r="H1153" s="128"/>
      <c r="I1153" s="129"/>
      <c r="J1153" s="129"/>
      <c r="K1153" s="129"/>
      <c r="L1153" s="129"/>
      <c r="M1153" s="129"/>
      <c r="N1153" s="129"/>
      <c r="O1153" s="129"/>
      <c r="P1153" s="132"/>
      <c r="Q1153" s="132"/>
      <c r="R1153" s="135"/>
      <c r="S1153" s="132"/>
      <c r="T1153" s="129"/>
      <c r="U1153" s="132"/>
      <c r="V1153" s="132"/>
      <c r="W1153" s="132"/>
    </row>
    <row r="1154" spans="1:23" ht="15.75" customHeight="1">
      <c r="A1154" s="125"/>
      <c r="B1154" s="125"/>
      <c r="C1154" s="125"/>
      <c r="D1154" s="125"/>
      <c r="E1154" s="126"/>
      <c r="F1154" s="128"/>
      <c r="G1154" s="128"/>
      <c r="H1154" s="128"/>
      <c r="I1154" s="129"/>
      <c r="J1154" s="129"/>
      <c r="K1154" s="129"/>
      <c r="L1154" s="129"/>
      <c r="M1154" s="129"/>
      <c r="N1154" s="129"/>
      <c r="O1154" s="129"/>
      <c r="P1154" s="132"/>
      <c r="Q1154" s="132"/>
      <c r="R1154" s="135"/>
      <c r="S1154" s="132"/>
      <c r="T1154" s="129"/>
      <c r="U1154" s="132"/>
      <c r="V1154" s="132"/>
      <c r="W1154" s="132"/>
    </row>
    <row r="1155" spans="1:23" ht="15.75" customHeight="1">
      <c r="A1155" s="125"/>
      <c r="B1155" s="125"/>
      <c r="C1155" s="125"/>
      <c r="D1155" s="125"/>
      <c r="E1155" s="126"/>
      <c r="F1155" s="128"/>
      <c r="G1155" s="128"/>
      <c r="H1155" s="128"/>
      <c r="I1155" s="129"/>
      <c r="J1155" s="129"/>
      <c r="K1155" s="129"/>
      <c r="L1155" s="129"/>
      <c r="M1155" s="129"/>
      <c r="N1155" s="129"/>
      <c r="O1155" s="129"/>
      <c r="P1155" s="132"/>
      <c r="Q1155" s="132"/>
      <c r="R1155" s="135"/>
      <c r="S1155" s="132"/>
      <c r="T1155" s="129"/>
      <c r="U1155" s="132"/>
      <c r="V1155" s="132"/>
      <c r="W1155" s="132"/>
    </row>
    <row r="1156" spans="1:23" ht="15.75" customHeight="1">
      <c r="A1156" s="125"/>
      <c r="B1156" s="125"/>
      <c r="C1156" s="125"/>
      <c r="D1156" s="125"/>
      <c r="E1156" s="126"/>
      <c r="F1156" s="128"/>
      <c r="G1156" s="128"/>
      <c r="H1156" s="128"/>
      <c r="I1156" s="129"/>
      <c r="J1156" s="129"/>
      <c r="K1156" s="129"/>
      <c r="L1156" s="129"/>
      <c r="M1156" s="129"/>
      <c r="N1156" s="129"/>
      <c r="O1156" s="129"/>
      <c r="P1156" s="132"/>
      <c r="Q1156" s="132"/>
      <c r="R1156" s="135"/>
      <c r="S1156" s="132"/>
      <c r="T1156" s="129"/>
      <c r="U1156" s="132"/>
      <c r="V1156" s="132"/>
      <c r="W1156" s="132"/>
    </row>
    <row r="1157" spans="1:23" ht="15.75" customHeight="1">
      <c r="A1157" s="125"/>
      <c r="B1157" s="125"/>
      <c r="C1157" s="125"/>
      <c r="D1157" s="125"/>
      <c r="E1157" s="126"/>
      <c r="F1157" s="128"/>
      <c r="G1157" s="128"/>
      <c r="H1157" s="128"/>
      <c r="I1157" s="129"/>
      <c r="J1157" s="129"/>
      <c r="K1157" s="129"/>
      <c r="L1157" s="129"/>
      <c r="M1157" s="129"/>
      <c r="N1157" s="129"/>
      <c r="O1157" s="129"/>
      <c r="P1157" s="132"/>
      <c r="Q1157" s="132"/>
      <c r="R1157" s="135"/>
      <c r="S1157" s="132"/>
      <c r="T1157" s="129"/>
      <c r="U1157" s="132"/>
      <c r="V1157" s="132"/>
      <c r="W1157" s="132"/>
    </row>
    <row r="1158" spans="1:23" ht="15.75" customHeight="1">
      <c r="A1158" s="125"/>
      <c r="B1158" s="125"/>
      <c r="C1158" s="125"/>
      <c r="D1158" s="125"/>
      <c r="E1158" s="126"/>
      <c r="F1158" s="128"/>
      <c r="G1158" s="128"/>
      <c r="H1158" s="128"/>
      <c r="I1158" s="129"/>
      <c r="J1158" s="129"/>
      <c r="K1158" s="129"/>
      <c r="L1158" s="129"/>
      <c r="M1158" s="129"/>
      <c r="N1158" s="129"/>
      <c r="O1158" s="129"/>
      <c r="P1158" s="132"/>
      <c r="Q1158" s="132"/>
      <c r="R1158" s="135"/>
      <c r="S1158" s="132"/>
      <c r="T1158" s="129"/>
      <c r="U1158" s="132"/>
      <c r="V1158" s="132"/>
      <c r="W1158" s="132"/>
    </row>
    <row r="1159" spans="1:23" ht="15.75" customHeight="1">
      <c r="A1159" s="125"/>
      <c r="B1159" s="125"/>
      <c r="C1159" s="125"/>
      <c r="D1159" s="125"/>
      <c r="E1159" s="126"/>
      <c r="F1159" s="128"/>
      <c r="G1159" s="128"/>
      <c r="H1159" s="128"/>
      <c r="I1159" s="129"/>
      <c r="J1159" s="129"/>
      <c r="K1159" s="129"/>
      <c r="L1159" s="129"/>
      <c r="M1159" s="129"/>
      <c r="N1159" s="129"/>
      <c r="O1159" s="129"/>
      <c r="P1159" s="132"/>
      <c r="Q1159" s="132"/>
      <c r="R1159" s="135"/>
      <c r="S1159" s="132"/>
      <c r="T1159" s="129"/>
      <c r="U1159" s="132"/>
      <c r="V1159" s="132"/>
      <c r="W1159" s="132"/>
    </row>
    <row r="1160" spans="1:23" ht="15.75" customHeight="1">
      <c r="A1160" s="125"/>
      <c r="B1160" s="125"/>
      <c r="C1160" s="125"/>
      <c r="D1160" s="125"/>
      <c r="E1160" s="126"/>
      <c r="F1160" s="128"/>
      <c r="G1160" s="128"/>
      <c r="H1160" s="128"/>
      <c r="I1160" s="129"/>
      <c r="J1160" s="129"/>
      <c r="K1160" s="129"/>
      <c r="L1160" s="129"/>
      <c r="M1160" s="129"/>
      <c r="N1160" s="129"/>
      <c r="O1160" s="129"/>
      <c r="P1160" s="132"/>
      <c r="Q1160" s="132"/>
      <c r="R1160" s="135"/>
      <c r="S1160" s="132"/>
      <c r="T1160" s="129"/>
      <c r="U1160" s="132"/>
      <c r="V1160" s="132"/>
      <c r="W1160" s="132"/>
    </row>
    <row r="1161" spans="1:23" ht="15.75" customHeight="1">
      <c r="A1161" s="125"/>
      <c r="B1161" s="125"/>
      <c r="C1161" s="125"/>
      <c r="D1161" s="125"/>
      <c r="E1161" s="126"/>
      <c r="F1161" s="128"/>
      <c r="G1161" s="128"/>
      <c r="H1161" s="128"/>
      <c r="I1161" s="129"/>
      <c r="J1161" s="129"/>
      <c r="K1161" s="129"/>
      <c r="L1161" s="129"/>
      <c r="M1161" s="129"/>
      <c r="N1161" s="129"/>
      <c r="O1161" s="129"/>
      <c r="P1161" s="132"/>
      <c r="Q1161" s="132"/>
      <c r="R1161" s="135"/>
      <c r="S1161" s="132"/>
      <c r="T1161" s="129"/>
      <c r="U1161" s="132"/>
      <c r="V1161" s="132"/>
      <c r="W1161" s="132"/>
    </row>
    <row r="1162" spans="1:23" ht="15.75" customHeight="1">
      <c r="A1162" s="125"/>
      <c r="B1162" s="125"/>
      <c r="C1162" s="125"/>
      <c r="D1162" s="125"/>
      <c r="E1162" s="126"/>
      <c r="F1162" s="128"/>
      <c r="G1162" s="128"/>
      <c r="H1162" s="128"/>
      <c r="I1162" s="129"/>
      <c r="J1162" s="129"/>
      <c r="K1162" s="129"/>
      <c r="L1162" s="129"/>
      <c r="M1162" s="129"/>
      <c r="N1162" s="129"/>
      <c r="O1162" s="129"/>
      <c r="P1162" s="132"/>
      <c r="Q1162" s="132"/>
      <c r="R1162" s="135"/>
      <c r="S1162" s="132"/>
      <c r="T1162" s="129"/>
      <c r="U1162" s="132"/>
      <c r="V1162" s="132"/>
      <c r="W1162" s="132"/>
    </row>
    <row r="1163" spans="1:23" ht="15.75" customHeight="1">
      <c r="A1163" s="125"/>
      <c r="B1163" s="125"/>
      <c r="C1163" s="125"/>
      <c r="D1163" s="125"/>
      <c r="E1163" s="126"/>
      <c r="F1163" s="128"/>
      <c r="G1163" s="128"/>
      <c r="H1163" s="128"/>
      <c r="I1163" s="129"/>
      <c r="J1163" s="129"/>
      <c r="K1163" s="129"/>
      <c r="L1163" s="129"/>
      <c r="M1163" s="129"/>
      <c r="N1163" s="129"/>
      <c r="O1163" s="129"/>
      <c r="P1163" s="132"/>
      <c r="Q1163" s="132"/>
      <c r="R1163" s="135"/>
      <c r="S1163" s="132"/>
      <c r="T1163" s="129"/>
      <c r="U1163" s="132"/>
      <c r="V1163" s="132"/>
      <c r="W1163" s="132"/>
    </row>
    <row r="1164" spans="1:23" ht="15.75" customHeight="1">
      <c r="A1164" s="125"/>
      <c r="B1164" s="125"/>
      <c r="C1164" s="125"/>
      <c r="D1164" s="125"/>
      <c r="E1164" s="126"/>
      <c r="F1164" s="128"/>
      <c r="G1164" s="128"/>
      <c r="H1164" s="128"/>
      <c r="I1164" s="129"/>
      <c r="J1164" s="129"/>
      <c r="K1164" s="129"/>
      <c r="L1164" s="129"/>
      <c r="M1164" s="129"/>
      <c r="N1164" s="129"/>
      <c r="O1164" s="129"/>
      <c r="P1164" s="132"/>
      <c r="Q1164" s="132"/>
      <c r="R1164" s="135"/>
      <c r="S1164" s="132"/>
      <c r="T1164" s="129"/>
      <c r="U1164" s="132"/>
      <c r="V1164" s="132"/>
      <c r="W1164" s="132"/>
    </row>
    <row r="1165" spans="1:23" ht="15.75" customHeight="1">
      <c r="A1165" s="125"/>
      <c r="B1165" s="125"/>
      <c r="C1165" s="125"/>
      <c r="D1165" s="125"/>
      <c r="E1165" s="126"/>
      <c r="F1165" s="128"/>
      <c r="G1165" s="128"/>
      <c r="H1165" s="128"/>
      <c r="I1165" s="129"/>
      <c r="J1165" s="129"/>
      <c r="K1165" s="129"/>
      <c r="L1165" s="129"/>
      <c r="M1165" s="129"/>
      <c r="N1165" s="129"/>
      <c r="O1165" s="129"/>
      <c r="P1165" s="132"/>
      <c r="Q1165" s="132"/>
      <c r="R1165" s="135"/>
      <c r="S1165" s="132"/>
      <c r="T1165" s="129"/>
      <c r="U1165" s="132"/>
      <c r="V1165" s="132"/>
      <c r="W1165" s="132"/>
    </row>
    <row r="1166" spans="1:23" ht="15.75" customHeight="1">
      <c r="A1166" s="125"/>
      <c r="B1166" s="125"/>
      <c r="C1166" s="125"/>
      <c r="D1166" s="125"/>
      <c r="E1166" s="126"/>
      <c r="F1166" s="128"/>
      <c r="G1166" s="128"/>
      <c r="H1166" s="128"/>
      <c r="I1166" s="129"/>
      <c r="J1166" s="129"/>
      <c r="K1166" s="129"/>
      <c r="L1166" s="129"/>
      <c r="M1166" s="129"/>
      <c r="N1166" s="129"/>
      <c r="O1166" s="129"/>
      <c r="P1166" s="132"/>
      <c r="Q1166" s="132"/>
      <c r="R1166" s="135"/>
      <c r="S1166" s="132"/>
      <c r="T1166" s="129"/>
      <c r="U1166" s="132"/>
      <c r="V1166" s="132"/>
      <c r="W1166" s="132"/>
    </row>
    <row r="1167" spans="1:23" ht="15.75" customHeight="1">
      <c r="A1167" s="125"/>
      <c r="B1167" s="125"/>
      <c r="C1167" s="125"/>
      <c r="D1167" s="125"/>
      <c r="E1167" s="126"/>
      <c r="F1167" s="128"/>
      <c r="G1167" s="128"/>
      <c r="H1167" s="128"/>
      <c r="I1167" s="129"/>
      <c r="J1167" s="129"/>
      <c r="K1167" s="129"/>
      <c r="L1167" s="129"/>
      <c r="M1167" s="129"/>
      <c r="N1167" s="129"/>
      <c r="O1167" s="129"/>
      <c r="P1167" s="132"/>
      <c r="Q1167" s="132"/>
      <c r="R1167" s="135"/>
      <c r="S1167" s="132"/>
      <c r="T1167" s="129"/>
      <c r="U1167" s="132"/>
      <c r="V1167" s="132"/>
      <c r="W1167" s="132"/>
    </row>
    <row r="1168" spans="1:23" ht="15.75" customHeight="1">
      <c r="A1168" s="125"/>
      <c r="B1168" s="125"/>
      <c r="C1168" s="125"/>
      <c r="D1168" s="125"/>
      <c r="E1168" s="126"/>
      <c r="F1168" s="128"/>
      <c r="G1168" s="128"/>
      <c r="H1168" s="128"/>
      <c r="I1168" s="129"/>
      <c r="J1168" s="129"/>
      <c r="K1168" s="129"/>
      <c r="L1168" s="129"/>
      <c r="M1168" s="129"/>
      <c r="N1168" s="129"/>
      <c r="O1168" s="129"/>
      <c r="P1168" s="132"/>
      <c r="Q1168" s="132"/>
      <c r="R1168" s="135"/>
      <c r="S1168" s="132"/>
      <c r="T1168" s="129"/>
      <c r="U1168" s="132"/>
      <c r="V1168" s="132"/>
      <c r="W1168" s="132"/>
    </row>
    <row r="1169" spans="1:23" ht="15.75" customHeight="1">
      <c r="A1169" s="125"/>
      <c r="B1169" s="125"/>
      <c r="C1169" s="125"/>
      <c r="D1169" s="125"/>
      <c r="E1169" s="126"/>
      <c r="F1169" s="128"/>
      <c r="G1169" s="128"/>
      <c r="H1169" s="128"/>
      <c r="I1169" s="129"/>
      <c r="J1169" s="129"/>
      <c r="K1169" s="129"/>
      <c r="L1169" s="129"/>
      <c r="M1169" s="129"/>
      <c r="N1169" s="129"/>
      <c r="O1169" s="129"/>
      <c r="P1169" s="132"/>
      <c r="Q1169" s="132"/>
      <c r="R1169" s="135"/>
      <c r="S1169" s="132"/>
      <c r="T1169" s="129"/>
      <c r="U1169" s="132"/>
      <c r="V1169" s="132"/>
      <c r="W1169" s="132"/>
    </row>
    <row r="1170" spans="1:23" ht="15.75" customHeight="1">
      <c r="A1170" s="125"/>
      <c r="B1170" s="125"/>
      <c r="C1170" s="125"/>
      <c r="D1170" s="125"/>
      <c r="E1170" s="126"/>
      <c r="F1170" s="128"/>
      <c r="G1170" s="128"/>
      <c r="H1170" s="128"/>
      <c r="I1170" s="129"/>
      <c r="J1170" s="129"/>
      <c r="K1170" s="129"/>
      <c r="L1170" s="129"/>
      <c r="M1170" s="129"/>
      <c r="N1170" s="129"/>
      <c r="O1170" s="129"/>
      <c r="P1170" s="132"/>
      <c r="Q1170" s="132"/>
      <c r="R1170" s="135"/>
      <c r="S1170" s="132"/>
      <c r="T1170" s="129"/>
      <c r="U1170" s="132"/>
      <c r="V1170" s="132"/>
      <c r="W1170" s="132"/>
    </row>
    <row r="1171" spans="1:23" ht="15.75" customHeight="1">
      <c r="A1171" s="125"/>
      <c r="B1171" s="125"/>
      <c r="C1171" s="125"/>
      <c r="D1171" s="125"/>
      <c r="E1171" s="126"/>
      <c r="F1171" s="128"/>
      <c r="G1171" s="128"/>
      <c r="H1171" s="128"/>
      <c r="I1171" s="129"/>
      <c r="J1171" s="129"/>
      <c r="K1171" s="129"/>
      <c r="L1171" s="129"/>
      <c r="M1171" s="129"/>
      <c r="N1171" s="129"/>
      <c r="O1171" s="129"/>
      <c r="P1171" s="132"/>
      <c r="Q1171" s="132"/>
      <c r="R1171" s="135"/>
      <c r="S1171" s="132"/>
      <c r="T1171" s="129"/>
      <c r="U1171" s="132"/>
      <c r="V1171" s="132"/>
      <c r="W1171" s="132"/>
    </row>
    <row r="1172" spans="1:23" ht="15.75" customHeight="1">
      <c r="A1172" s="125"/>
      <c r="B1172" s="125"/>
      <c r="C1172" s="125"/>
      <c r="D1172" s="125"/>
      <c r="E1172" s="126"/>
      <c r="F1172" s="128"/>
      <c r="G1172" s="128"/>
      <c r="H1172" s="128"/>
      <c r="I1172" s="129"/>
      <c r="J1172" s="129"/>
      <c r="K1172" s="129"/>
      <c r="L1172" s="129"/>
      <c r="M1172" s="129"/>
      <c r="N1172" s="129"/>
      <c r="O1172" s="129"/>
      <c r="P1172" s="132"/>
      <c r="Q1172" s="132"/>
      <c r="R1172" s="135"/>
      <c r="S1172" s="132"/>
      <c r="T1172" s="129"/>
      <c r="U1172" s="132"/>
      <c r="V1172" s="132"/>
      <c r="W1172" s="132"/>
    </row>
    <row r="1173" spans="1:23" ht="15.75" customHeight="1">
      <c r="A1173" s="125"/>
      <c r="B1173" s="125"/>
      <c r="C1173" s="125"/>
      <c r="D1173" s="125"/>
      <c r="E1173" s="126"/>
      <c r="F1173" s="128"/>
      <c r="G1173" s="128"/>
      <c r="H1173" s="128"/>
      <c r="I1173" s="129"/>
      <c r="J1173" s="129"/>
      <c r="K1173" s="129"/>
      <c r="L1173" s="129"/>
      <c r="M1173" s="129"/>
      <c r="N1173" s="129"/>
      <c r="O1173" s="129"/>
      <c r="P1173" s="132"/>
      <c r="Q1173" s="132"/>
      <c r="R1173" s="135"/>
      <c r="S1173" s="132"/>
      <c r="T1173" s="129"/>
      <c r="U1173" s="132"/>
      <c r="V1173" s="132"/>
      <c r="W1173" s="132"/>
    </row>
    <row r="1174" spans="1:23" ht="15.75" customHeight="1">
      <c r="A1174" s="125"/>
      <c r="B1174" s="125"/>
      <c r="C1174" s="125"/>
      <c r="D1174" s="125"/>
      <c r="E1174" s="126"/>
      <c r="F1174" s="128"/>
      <c r="G1174" s="128"/>
      <c r="H1174" s="128"/>
      <c r="I1174" s="129"/>
      <c r="J1174" s="129"/>
      <c r="K1174" s="129"/>
      <c r="L1174" s="129"/>
      <c r="M1174" s="129"/>
      <c r="N1174" s="129"/>
      <c r="O1174" s="129"/>
      <c r="P1174" s="132"/>
      <c r="Q1174" s="132"/>
      <c r="R1174" s="135"/>
      <c r="S1174" s="132"/>
      <c r="T1174" s="129"/>
      <c r="U1174" s="132"/>
      <c r="V1174" s="132"/>
      <c r="W1174" s="132"/>
    </row>
    <row r="1175" spans="1:23" ht="15.75" customHeight="1">
      <c r="A1175" s="125"/>
      <c r="B1175" s="125"/>
      <c r="C1175" s="125"/>
      <c r="D1175" s="125"/>
      <c r="E1175" s="126"/>
      <c r="F1175" s="128"/>
      <c r="G1175" s="128"/>
      <c r="H1175" s="128"/>
      <c r="I1175" s="129"/>
      <c r="J1175" s="129"/>
      <c r="K1175" s="129"/>
      <c r="L1175" s="129"/>
      <c r="M1175" s="129"/>
      <c r="N1175" s="129"/>
      <c r="O1175" s="129"/>
      <c r="P1175" s="132"/>
      <c r="Q1175" s="132"/>
      <c r="R1175" s="135"/>
      <c r="S1175" s="132"/>
      <c r="T1175" s="129"/>
      <c r="U1175" s="132"/>
      <c r="V1175" s="132"/>
      <c r="W1175" s="132"/>
    </row>
    <row r="1176" spans="1:23" ht="15.75" customHeight="1">
      <c r="A1176" s="125"/>
      <c r="B1176" s="125"/>
      <c r="C1176" s="125"/>
      <c r="D1176" s="125"/>
      <c r="E1176" s="126"/>
      <c r="F1176" s="128"/>
      <c r="G1176" s="128"/>
      <c r="H1176" s="128"/>
      <c r="I1176" s="129"/>
      <c r="J1176" s="129"/>
      <c r="K1176" s="129"/>
      <c r="L1176" s="129"/>
      <c r="M1176" s="129"/>
      <c r="N1176" s="129"/>
      <c r="O1176" s="129"/>
      <c r="P1176" s="132"/>
      <c r="Q1176" s="132"/>
      <c r="R1176" s="135"/>
      <c r="S1176" s="132"/>
      <c r="T1176" s="129"/>
      <c r="U1176" s="132"/>
      <c r="V1176" s="132"/>
      <c r="W1176" s="132"/>
    </row>
    <row r="1177" spans="1:23" ht="15.75" customHeight="1">
      <c r="A1177" s="125"/>
      <c r="B1177" s="125"/>
      <c r="C1177" s="125"/>
      <c r="D1177" s="125"/>
      <c r="E1177" s="126"/>
      <c r="F1177" s="128"/>
      <c r="G1177" s="128"/>
      <c r="H1177" s="128"/>
      <c r="I1177" s="129"/>
      <c r="J1177" s="129"/>
      <c r="K1177" s="129"/>
      <c r="L1177" s="129"/>
      <c r="M1177" s="129"/>
      <c r="N1177" s="129"/>
      <c r="O1177" s="129"/>
      <c r="P1177" s="132"/>
      <c r="Q1177" s="132"/>
      <c r="R1177" s="135"/>
      <c r="S1177" s="132"/>
      <c r="T1177" s="129"/>
      <c r="U1177" s="132"/>
      <c r="V1177" s="132"/>
      <c r="W1177" s="132"/>
    </row>
    <row r="1178" spans="1:23" ht="15.75" customHeight="1">
      <c r="A1178" s="125"/>
      <c r="B1178" s="125"/>
      <c r="C1178" s="125"/>
      <c r="D1178" s="125"/>
      <c r="E1178" s="126"/>
      <c r="F1178" s="128"/>
      <c r="G1178" s="128"/>
      <c r="H1178" s="128"/>
      <c r="I1178" s="129"/>
      <c r="J1178" s="129"/>
      <c r="K1178" s="129"/>
      <c r="L1178" s="129"/>
      <c r="M1178" s="129"/>
      <c r="N1178" s="129"/>
      <c r="O1178" s="129"/>
      <c r="P1178" s="132"/>
      <c r="Q1178" s="132"/>
      <c r="R1178" s="135"/>
      <c r="S1178" s="132"/>
      <c r="T1178" s="129"/>
      <c r="U1178" s="132"/>
      <c r="V1178" s="132"/>
      <c r="W1178" s="132"/>
    </row>
    <row r="1179" spans="1:23" ht="15.75" customHeight="1">
      <c r="A1179" s="125"/>
      <c r="B1179" s="125"/>
      <c r="C1179" s="125"/>
      <c r="D1179" s="125"/>
      <c r="E1179" s="126"/>
      <c r="F1179" s="128"/>
      <c r="G1179" s="128"/>
      <c r="H1179" s="128"/>
      <c r="I1179" s="129"/>
      <c r="J1179" s="129"/>
      <c r="K1179" s="129"/>
      <c r="L1179" s="129"/>
      <c r="M1179" s="129"/>
      <c r="N1179" s="129"/>
      <c r="O1179" s="129"/>
      <c r="P1179" s="132"/>
      <c r="Q1179" s="132"/>
      <c r="R1179" s="135"/>
      <c r="S1179" s="132"/>
      <c r="T1179" s="129"/>
      <c r="U1179" s="132"/>
      <c r="V1179" s="132"/>
      <c r="W1179" s="132"/>
    </row>
    <row r="1180" spans="1:23" ht="15.75" customHeight="1">
      <c r="A1180" s="125"/>
      <c r="B1180" s="125"/>
      <c r="C1180" s="125"/>
      <c r="D1180" s="125"/>
      <c r="E1180" s="126"/>
      <c r="F1180" s="128"/>
      <c r="G1180" s="128"/>
      <c r="H1180" s="128"/>
      <c r="I1180" s="129"/>
      <c r="J1180" s="129"/>
      <c r="K1180" s="129"/>
      <c r="L1180" s="129"/>
      <c r="M1180" s="129"/>
      <c r="N1180" s="129"/>
      <c r="O1180" s="129"/>
      <c r="P1180" s="132"/>
      <c r="Q1180" s="132"/>
      <c r="R1180" s="135"/>
      <c r="S1180" s="132"/>
      <c r="T1180" s="129"/>
      <c r="U1180" s="132"/>
      <c r="V1180" s="132"/>
      <c r="W1180" s="132"/>
    </row>
    <row r="1181" spans="1:23" ht="15.75" customHeight="1">
      <c r="A1181" s="125"/>
      <c r="B1181" s="125"/>
      <c r="C1181" s="125"/>
      <c r="D1181" s="125"/>
      <c r="E1181" s="126"/>
      <c r="F1181" s="128"/>
      <c r="G1181" s="128"/>
      <c r="H1181" s="128"/>
      <c r="I1181" s="129"/>
      <c r="J1181" s="129"/>
      <c r="K1181" s="129"/>
      <c r="L1181" s="129"/>
      <c r="M1181" s="129"/>
      <c r="N1181" s="129"/>
      <c r="O1181" s="129"/>
      <c r="P1181" s="132"/>
      <c r="Q1181" s="132"/>
      <c r="R1181" s="135"/>
      <c r="S1181" s="132"/>
      <c r="T1181" s="129"/>
      <c r="U1181" s="132"/>
      <c r="V1181" s="132"/>
      <c r="W1181" s="132"/>
    </row>
    <row r="1182" spans="1:23" ht="15.75" customHeight="1">
      <c r="A1182" s="125"/>
      <c r="B1182" s="125"/>
      <c r="C1182" s="125"/>
      <c r="D1182" s="125"/>
      <c r="E1182" s="126"/>
      <c r="F1182" s="128"/>
      <c r="G1182" s="128"/>
      <c r="H1182" s="128"/>
      <c r="I1182" s="129"/>
      <c r="J1182" s="129"/>
      <c r="K1182" s="129"/>
      <c r="L1182" s="129"/>
      <c r="M1182" s="129"/>
      <c r="N1182" s="129"/>
      <c r="O1182" s="129"/>
      <c r="P1182" s="132"/>
      <c r="Q1182" s="132"/>
      <c r="R1182" s="135"/>
      <c r="S1182" s="132"/>
      <c r="T1182" s="129"/>
      <c r="U1182" s="132"/>
      <c r="V1182" s="132"/>
      <c r="W1182" s="132"/>
    </row>
    <row r="1183" spans="1:23" ht="15.75" customHeight="1">
      <c r="A1183" s="125"/>
      <c r="B1183" s="125"/>
      <c r="C1183" s="125"/>
      <c r="D1183" s="125"/>
      <c r="E1183" s="126"/>
      <c r="F1183" s="128"/>
      <c r="G1183" s="128"/>
      <c r="H1183" s="128"/>
      <c r="I1183" s="129"/>
      <c r="J1183" s="129"/>
      <c r="K1183" s="129"/>
      <c r="L1183" s="129"/>
      <c r="M1183" s="129"/>
      <c r="N1183" s="129"/>
      <c r="O1183" s="129"/>
      <c r="P1183" s="132"/>
      <c r="Q1183" s="132"/>
      <c r="R1183" s="135"/>
      <c r="S1183" s="132"/>
      <c r="T1183" s="129"/>
      <c r="U1183" s="132"/>
      <c r="V1183" s="132"/>
      <c r="W1183" s="132"/>
    </row>
    <row r="1184" spans="1:23" ht="15.75" customHeight="1">
      <c r="A1184" s="125"/>
      <c r="B1184" s="125"/>
      <c r="C1184" s="125"/>
      <c r="D1184" s="125"/>
      <c r="E1184" s="126"/>
      <c r="F1184" s="128"/>
      <c r="G1184" s="128"/>
      <c r="H1184" s="128"/>
      <c r="I1184" s="129"/>
      <c r="J1184" s="129"/>
      <c r="K1184" s="129"/>
      <c r="L1184" s="129"/>
      <c r="M1184" s="129"/>
      <c r="N1184" s="129"/>
      <c r="O1184" s="129"/>
      <c r="P1184" s="132"/>
      <c r="Q1184" s="132"/>
      <c r="R1184" s="135"/>
      <c r="S1184" s="132"/>
      <c r="T1184" s="129"/>
      <c r="U1184" s="132"/>
      <c r="V1184" s="132"/>
      <c r="W1184" s="132"/>
    </row>
    <row r="1185" spans="1:23" ht="15.75" customHeight="1">
      <c r="A1185" s="125"/>
      <c r="B1185" s="125"/>
      <c r="C1185" s="125"/>
      <c r="D1185" s="125"/>
      <c r="E1185" s="126"/>
      <c r="F1185" s="128"/>
      <c r="G1185" s="128"/>
      <c r="H1185" s="128"/>
      <c r="I1185" s="129"/>
      <c r="J1185" s="129"/>
      <c r="K1185" s="129"/>
      <c r="L1185" s="129"/>
      <c r="M1185" s="129"/>
      <c r="N1185" s="129"/>
      <c r="O1185" s="129"/>
      <c r="P1185" s="132"/>
      <c r="Q1185" s="132"/>
      <c r="R1185" s="135"/>
      <c r="S1185" s="132"/>
      <c r="T1185" s="129"/>
      <c r="U1185" s="132"/>
      <c r="V1185" s="132"/>
      <c r="W1185" s="132"/>
    </row>
    <row r="1186" spans="1:23" ht="15.75" customHeight="1">
      <c r="A1186" s="125"/>
      <c r="B1186" s="125"/>
      <c r="C1186" s="125"/>
      <c r="D1186" s="125"/>
      <c r="E1186" s="126"/>
      <c r="F1186" s="128"/>
      <c r="G1186" s="128"/>
      <c r="H1186" s="128"/>
      <c r="I1186" s="129"/>
      <c r="J1186" s="129"/>
      <c r="K1186" s="129"/>
      <c r="L1186" s="129"/>
      <c r="M1186" s="129"/>
      <c r="N1186" s="129"/>
      <c r="O1186" s="129"/>
      <c r="P1186" s="132"/>
      <c r="Q1186" s="132"/>
      <c r="R1186" s="135"/>
      <c r="S1186" s="132"/>
      <c r="T1186" s="129"/>
      <c r="U1186" s="132"/>
      <c r="V1186" s="132"/>
      <c r="W1186" s="132"/>
    </row>
    <row r="1187" spans="1:23" ht="15.75" customHeight="1">
      <c r="A1187" s="125"/>
      <c r="B1187" s="125"/>
      <c r="C1187" s="125"/>
      <c r="D1187" s="125"/>
      <c r="E1187" s="126"/>
      <c r="F1187" s="128"/>
      <c r="G1187" s="128"/>
      <c r="H1187" s="128"/>
      <c r="I1187" s="129"/>
      <c r="J1187" s="129"/>
      <c r="K1187" s="129"/>
      <c r="L1187" s="129"/>
      <c r="M1187" s="129"/>
      <c r="N1187" s="129"/>
      <c r="O1187" s="129"/>
      <c r="P1187" s="132"/>
      <c r="Q1187" s="132"/>
      <c r="R1187" s="135"/>
      <c r="S1187" s="132"/>
      <c r="T1187" s="129"/>
      <c r="U1187" s="132"/>
      <c r="V1187" s="132"/>
      <c r="W1187" s="132"/>
    </row>
    <row r="1188" spans="1:23" ht="15.75" customHeight="1">
      <c r="A1188" s="125"/>
      <c r="B1188" s="125"/>
      <c r="C1188" s="125"/>
      <c r="D1188" s="125"/>
      <c r="E1188" s="126"/>
      <c r="F1188" s="128"/>
      <c r="G1188" s="128"/>
      <c r="H1188" s="128"/>
      <c r="I1188" s="129"/>
      <c r="J1188" s="129"/>
      <c r="K1188" s="129"/>
      <c r="L1188" s="129"/>
      <c r="M1188" s="129"/>
      <c r="N1188" s="129"/>
      <c r="O1188" s="129"/>
      <c r="P1188" s="132"/>
      <c r="Q1188" s="132"/>
      <c r="R1188" s="135"/>
      <c r="S1188" s="132"/>
      <c r="T1188" s="129"/>
      <c r="U1188" s="132"/>
      <c r="V1188" s="132"/>
      <c r="W1188" s="132"/>
    </row>
    <row r="1189" spans="1:23" ht="15.75" customHeight="1">
      <c r="A1189" s="125"/>
      <c r="B1189" s="125"/>
      <c r="C1189" s="125"/>
      <c r="D1189" s="125"/>
      <c r="E1189" s="126"/>
      <c r="F1189" s="128"/>
      <c r="G1189" s="128"/>
      <c r="H1189" s="128"/>
      <c r="I1189" s="129"/>
      <c r="J1189" s="129"/>
      <c r="K1189" s="129"/>
      <c r="L1189" s="129"/>
      <c r="M1189" s="129"/>
      <c r="N1189" s="129"/>
      <c r="O1189" s="129"/>
      <c r="P1189" s="132"/>
      <c r="Q1189" s="132"/>
      <c r="R1189" s="135"/>
      <c r="S1189" s="132"/>
      <c r="T1189" s="129"/>
      <c r="U1189" s="132"/>
      <c r="V1189" s="132"/>
      <c r="W1189" s="132"/>
    </row>
    <row r="1190" spans="1:23" ht="15.75" customHeight="1">
      <c r="A1190" s="125"/>
      <c r="B1190" s="125"/>
      <c r="C1190" s="125"/>
      <c r="D1190" s="125"/>
      <c r="E1190" s="126"/>
      <c r="F1190" s="128"/>
      <c r="G1190" s="128"/>
      <c r="H1190" s="128"/>
      <c r="I1190" s="129"/>
      <c r="J1190" s="129"/>
      <c r="K1190" s="129"/>
      <c r="L1190" s="129"/>
      <c r="M1190" s="129"/>
      <c r="N1190" s="129"/>
      <c r="O1190" s="129"/>
      <c r="P1190" s="132"/>
      <c r="Q1190" s="132"/>
      <c r="R1190" s="135"/>
      <c r="S1190" s="132"/>
      <c r="T1190" s="129"/>
      <c r="U1190" s="132"/>
      <c r="V1190" s="132"/>
      <c r="W1190" s="132"/>
    </row>
    <row r="1191" spans="1:23" ht="15.75" customHeight="1">
      <c r="A1191" s="125"/>
      <c r="B1191" s="125"/>
      <c r="C1191" s="125"/>
      <c r="D1191" s="125"/>
      <c r="E1191" s="126"/>
      <c r="F1191" s="128"/>
      <c r="G1191" s="128"/>
      <c r="H1191" s="128"/>
      <c r="I1191" s="129"/>
      <c r="J1191" s="129"/>
      <c r="K1191" s="129"/>
      <c r="L1191" s="129"/>
      <c r="M1191" s="129"/>
      <c r="N1191" s="129"/>
      <c r="O1191" s="129"/>
      <c r="P1191" s="132"/>
      <c r="Q1191" s="132"/>
      <c r="R1191" s="135"/>
      <c r="S1191" s="132"/>
      <c r="T1191" s="129"/>
      <c r="U1191" s="132"/>
      <c r="V1191" s="132"/>
      <c r="W1191" s="132"/>
    </row>
    <row r="1192" spans="1:23" ht="15.75" customHeight="1">
      <c r="A1192" s="125"/>
      <c r="B1192" s="125"/>
      <c r="C1192" s="125"/>
      <c r="D1192" s="125"/>
      <c r="E1192" s="126"/>
      <c r="F1192" s="128"/>
      <c r="G1192" s="128"/>
      <c r="H1192" s="128"/>
      <c r="I1192" s="129"/>
      <c r="J1192" s="129"/>
      <c r="K1192" s="129"/>
      <c r="L1192" s="129"/>
      <c r="M1192" s="129"/>
      <c r="N1192" s="129"/>
      <c r="O1192" s="129"/>
      <c r="P1192" s="132"/>
      <c r="Q1192" s="132"/>
      <c r="R1192" s="135"/>
      <c r="S1192" s="132"/>
      <c r="T1192" s="129"/>
      <c r="U1192" s="132"/>
      <c r="V1192" s="132"/>
      <c r="W1192" s="132"/>
    </row>
    <row r="1193" spans="1:23" ht="15.75" customHeight="1">
      <c r="A1193" s="125"/>
      <c r="B1193" s="125"/>
      <c r="C1193" s="125"/>
      <c r="D1193" s="125"/>
      <c r="E1193" s="126"/>
      <c r="F1193" s="128"/>
      <c r="G1193" s="128"/>
      <c r="H1193" s="128"/>
      <c r="I1193" s="129"/>
      <c r="J1193" s="129"/>
      <c r="K1193" s="129"/>
      <c r="L1193" s="129"/>
      <c r="M1193" s="129"/>
      <c r="N1193" s="129"/>
      <c r="O1193" s="129"/>
      <c r="P1193" s="132"/>
      <c r="Q1193" s="132"/>
      <c r="R1193" s="135"/>
      <c r="S1193" s="132"/>
      <c r="T1193" s="129"/>
      <c r="U1193" s="132"/>
      <c r="V1193" s="132"/>
      <c r="W1193" s="132"/>
    </row>
    <row r="1194" spans="1:23" ht="15.75" customHeight="1">
      <c r="A1194" s="125"/>
      <c r="B1194" s="125"/>
      <c r="C1194" s="125"/>
      <c r="D1194" s="125"/>
      <c r="E1194" s="126"/>
      <c r="F1194" s="128"/>
      <c r="G1194" s="128"/>
      <c r="H1194" s="128"/>
      <c r="I1194" s="129"/>
      <c r="J1194" s="129"/>
      <c r="K1194" s="129"/>
      <c r="L1194" s="129"/>
      <c r="M1194" s="129"/>
      <c r="N1194" s="129"/>
      <c r="O1194" s="129"/>
      <c r="P1194" s="132"/>
      <c r="Q1194" s="132"/>
      <c r="R1194" s="135"/>
      <c r="S1194" s="132"/>
      <c r="T1194" s="129"/>
      <c r="U1194" s="132"/>
      <c r="V1194" s="132"/>
      <c r="W1194" s="132"/>
    </row>
    <row r="1195" spans="1:23" ht="15.75" customHeight="1">
      <c r="A1195" s="125"/>
      <c r="B1195" s="125"/>
      <c r="C1195" s="125"/>
      <c r="D1195" s="125"/>
      <c r="E1195" s="126"/>
      <c r="F1195" s="128"/>
      <c r="G1195" s="128"/>
      <c r="H1195" s="128"/>
      <c r="I1195" s="129"/>
      <c r="J1195" s="129"/>
      <c r="K1195" s="129"/>
      <c r="L1195" s="129"/>
      <c r="M1195" s="129"/>
      <c r="N1195" s="129"/>
      <c r="O1195" s="129"/>
      <c r="P1195" s="132"/>
      <c r="Q1195" s="132"/>
      <c r="R1195" s="135"/>
      <c r="S1195" s="132"/>
      <c r="T1195" s="129"/>
      <c r="U1195" s="132"/>
      <c r="V1195" s="132"/>
      <c r="W1195" s="132"/>
    </row>
    <row r="1196" spans="1:23" ht="15.75" customHeight="1">
      <c r="A1196" s="125"/>
      <c r="B1196" s="125"/>
      <c r="C1196" s="125"/>
      <c r="D1196" s="125"/>
      <c r="E1196" s="126"/>
      <c r="F1196" s="128"/>
      <c r="G1196" s="128"/>
      <c r="H1196" s="128"/>
      <c r="I1196" s="129"/>
      <c r="J1196" s="129"/>
      <c r="K1196" s="129"/>
      <c r="L1196" s="129"/>
      <c r="M1196" s="129"/>
      <c r="N1196" s="129"/>
      <c r="O1196" s="129"/>
      <c r="P1196" s="132"/>
      <c r="Q1196" s="132"/>
      <c r="R1196" s="135"/>
      <c r="S1196" s="132"/>
      <c r="T1196" s="129"/>
      <c r="U1196" s="132"/>
      <c r="V1196" s="132"/>
      <c r="W1196" s="132"/>
    </row>
    <row r="1197" spans="1:23" ht="15.75" customHeight="1">
      <c r="A1197" s="125"/>
      <c r="B1197" s="125"/>
      <c r="C1197" s="125"/>
      <c r="D1197" s="125"/>
      <c r="E1197" s="126"/>
      <c r="F1197" s="128"/>
      <c r="G1197" s="128"/>
      <c r="H1197" s="128"/>
      <c r="I1197" s="129"/>
      <c r="J1197" s="129"/>
      <c r="K1197" s="129"/>
      <c r="L1197" s="129"/>
      <c r="M1197" s="129"/>
      <c r="N1197" s="129"/>
      <c r="O1197" s="129"/>
      <c r="P1197" s="132"/>
      <c r="Q1197" s="132"/>
      <c r="R1197" s="135"/>
      <c r="S1197" s="132"/>
      <c r="T1197" s="129"/>
      <c r="U1197" s="132"/>
      <c r="V1197" s="132"/>
      <c r="W1197" s="132"/>
    </row>
    <row r="1198" spans="1:23" ht="15.75" customHeight="1">
      <c r="A1198" s="125"/>
      <c r="B1198" s="125"/>
      <c r="C1198" s="125"/>
      <c r="D1198" s="125"/>
      <c r="E1198" s="126"/>
      <c r="F1198" s="128"/>
      <c r="G1198" s="128"/>
      <c r="H1198" s="128"/>
      <c r="I1198" s="129"/>
      <c r="J1198" s="129"/>
      <c r="K1198" s="129"/>
      <c r="L1198" s="129"/>
      <c r="M1198" s="129"/>
      <c r="N1198" s="129"/>
      <c r="O1198" s="129"/>
      <c r="P1198" s="132"/>
      <c r="Q1198" s="132"/>
      <c r="R1198" s="135"/>
      <c r="S1198" s="132"/>
      <c r="T1198" s="129"/>
      <c r="U1198" s="132"/>
      <c r="V1198" s="132"/>
      <c r="W1198" s="132"/>
    </row>
    <row r="1199" spans="1:23" ht="15.75" customHeight="1">
      <c r="A1199" s="125"/>
      <c r="B1199" s="125"/>
      <c r="C1199" s="125"/>
      <c r="D1199" s="125"/>
      <c r="E1199" s="126"/>
      <c r="F1199" s="128"/>
      <c r="G1199" s="128"/>
      <c r="H1199" s="128"/>
      <c r="I1199" s="129"/>
      <c r="J1199" s="129"/>
      <c r="K1199" s="129"/>
      <c r="L1199" s="129"/>
      <c r="M1199" s="129"/>
      <c r="N1199" s="129"/>
      <c r="O1199" s="129"/>
      <c r="P1199" s="132"/>
      <c r="Q1199" s="132"/>
      <c r="R1199" s="135"/>
      <c r="S1199" s="132"/>
      <c r="T1199" s="129"/>
      <c r="U1199" s="132"/>
      <c r="V1199" s="132"/>
      <c r="W1199" s="132"/>
    </row>
    <row r="1200" spans="1:23" ht="15.75" customHeight="1">
      <c r="A1200" s="125"/>
      <c r="B1200" s="125"/>
      <c r="C1200" s="125"/>
      <c r="D1200" s="125"/>
      <c r="E1200" s="126"/>
      <c r="F1200" s="128"/>
      <c r="G1200" s="128"/>
      <c r="H1200" s="128"/>
      <c r="I1200" s="129"/>
      <c r="J1200" s="129"/>
      <c r="K1200" s="129"/>
      <c r="L1200" s="129"/>
      <c r="M1200" s="129"/>
      <c r="N1200" s="129"/>
      <c r="O1200" s="129"/>
      <c r="P1200" s="132"/>
      <c r="Q1200" s="132"/>
      <c r="R1200" s="135"/>
      <c r="S1200" s="132"/>
      <c r="T1200" s="129"/>
      <c r="U1200" s="132"/>
      <c r="V1200" s="132"/>
      <c r="W1200" s="132"/>
    </row>
    <row r="1201" spans="1:23" ht="15.75" customHeight="1">
      <c r="A1201" s="125"/>
      <c r="B1201" s="125"/>
      <c r="C1201" s="125"/>
      <c r="D1201" s="125"/>
      <c r="E1201" s="126"/>
      <c r="F1201" s="128"/>
      <c r="G1201" s="128"/>
      <c r="H1201" s="128"/>
      <c r="I1201" s="129"/>
      <c r="J1201" s="129"/>
      <c r="K1201" s="129"/>
      <c r="L1201" s="129"/>
      <c r="M1201" s="129"/>
      <c r="N1201" s="129"/>
      <c r="O1201" s="129"/>
      <c r="P1201" s="132"/>
      <c r="Q1201" s="132"/>
      <c r="R1201" s="135"/>
      <c r="S1201" s="132"/>
      <c r="T1201" s="129"/>
      <c r="U1201" s="132"/>
      <c r="V1201" s="132"/>
      <c r="W1201" s="132"/>
    </row>
    <row r="1202" spans="1:23" ht="15.75" customHeight="1">
      <c r="A1202" s="125"/>
      <c r="B1202" s="125"/>
      <c r="C1202" s="125"/>
      <c r="D1202" s="125"/>
      <c r="E1202" s="126"/>
      <c r="F1202" s="128"/>
      <c r="G1202" s="128"/>
      <c r="H1202" s="128"/>
      <c r="I1202" s="129"/>
      <c r="J1202" s="129"/>
      <c r="K1202" s="129"/>
      <c r="L1202" s="129"/>
      <c r="M1202" s="129"/>
      <c r="N1202" s="129"/>
      <c r="O1202" s="129"/>
      <c r="P1202" s="132"/>
      <c r="Q1202" s="132"/>
      <c r="R1202" s="135"/>
      <c r="S1202" s="132"/>
      <c r="T1202" s="129"/>
      <c r="U1202" s="132"/>
      <c r="V1202" s="132"/>
      <c r="W1202" s="132"/>
    </row>
    <row r="1203" spans="1:23" ht="15.75" customHeight="1">
      <c r="A1203" s="125"/>
      <c r="B1203" s="125"/>
      <c r="C1203" s="125"/>
      <c r="D1203" s="125"/>
      <c r="E1203" s="126"/>
      <c r="F1203" s="128"/>
      <c r="G1203" s="128"/>
      <c r="H1203" s="128"/>
      <c r="I1203" s="129"/>
      <c r="J1203" s="129"/>
      <c r="K1203" s="129"/>
      <c r="L1203" s="129"/>
      <c r="M1203" s="129"/>
      <c r="N1203" s="129"/>
      <c r="O1203" s="129"/>
      <c r="P1203" s="132"/>
      <c r="Q1203" s="132"/>
      <c r="R1203" s="135"/>
      <c r="S1203" s="132"/>
      <c r="T1203" s="129"/>
      <c r="U1203" s="132"/>
      <c r="V1203" s="132"/>
      <c r="W1203" s="132"/>
    </row>
    <row r="1204" spans="1:23" ht="15.75" customHeight="1">
      <c r="A1204" s="125"/>
      <c r="B1204" s="125"/>
      <c r="C1204" s="125"/>
      <c r="D1204" s="125"/>
      <c r="E1204" s="126"/>
      <c r="F1204" s="128"/>
      <c r="G1204" s="128"/>
      <c r="H1204" s="128"/>
      <c r="I1204" s="129"/>
      <c r="J1204" s="129"/>
      <c r="K1204" s="129"/>
      <c r="L1204" s="129"/>
      <c r="M1204" s="129"/>
      <c r="N1204" s="129"/>
      <c r="O1204" s="129"/>
      <c r="P1204" s="132"/>
      <c r="Q1204" s="132"/>
      <c r="R1204" s="135"/>
      <c r="S1204" s="132"/>
      <c r="T1204" s="129"/>
      <c r="U1204" s="132"/>
      <c r="V1204" s="132"/>
      <c r="W1204" s="132"/>
    </row>
    <row r="1205" spans="1:23" ht="15.75" customHeight="1">
      <c r="A1205" s="125"/>
      <c r="B1205" s="125"/>
      <c r="C1205" s="125"/>
      <c r="D1205" s="125"/>
      <c r="E1205" s="126"/>
      <c r="F1205" s="128"/>
      <c r="G1205" s="128"/>
      <c r="H1205" s="128"/>
      <c r="I1205" s="129"/>
      <c r="J1205" s="129"/>
      <c r="K1205" s="129"/>
      <c r="L1205" s="129"/>
      <c r="M1205" s="129"/>
      <c r="N1205" s="129"/>
      <c r="O1205" s="129"/>
      <c r="P1205" s="132"/>
      <c r="Q1205" s="132"/>
      <c r="R1205" s="135"/>
      <c r="S1205" s="132"/>
      <c r="T1205" s="129"/>
      <c r="U1205" s="132"/>
      <c r="V1205" s="132"/>
      <c r="W1205" s="132"/>
    </row>
    <row r="1206" spans="1:23" ht="15.75" customHeight="1">
      <c r="A1206" s="125"/>
      <c r="B1206" s="125"/>
      <c r="C1206" s="125"/>
      <c r="D1206" s="125"/>
      <c r="E1206" s="126"/>
      <c r="F1206" s="128"/>
      <c r="G1206" s="128"/>
      <c r="H1206" s="128"/>
      <c r="I1206" s="129"/>
      <c r="J1206" s="129"/>
      <c r="K1206" s="129"/>
      <c r="L1206" s="129"/>
      <c r="M1206" s="129"/>
      <c r="N1206" s="129"/>
      <c r="O1206" s="129"/>
      <c r="P1206" s="132"/>
      <c r="Q1206" s="132"/>
      <c r="R1206" s="135"/>
      <c r="S1206" s="132"/>
      <c r="T1206" s="129"/>
      <c r="U1206" s="132"/>
      <c r="V1206" s="132"/>
      <c r="W1206" s="132"/>
    </row>
    <row r="1207" spans="1:23" ht="15.75" customHeight="1">
      <c r="A1207" s="125"/>
      <c r="B1207" s="125"/>
      <c r="C1207" s="125"/>
      <c r="D1207" s="125"/>
      <c r="E1207" s="126"/>
      <c r="F1207" s="128"/>
      <c r="G1207" s="128"/>
      <c r="H1207" s="128"/>
      <c r="I1207" s="129"/>
      <c r="J1207" s="129"/>
      <c r="K1207" s="129"/>
      <c r="L1207" s="129"/>
      <c r="M1207" s="129"/>
      <c r="N1207" s="129"/>
      <c r="O1207" s="129"/>
      <c r="P1207" s="132"/>
      <c r="Q1207" s="132"/>
      <c r="R1207" s="135"/>
      <c r="S1207" s="132"/>
      <c r="T1207" s="129"/>
      <c r="U1207" s="132"/>
      <c r="V1207" s="132"/>
      <c r="W1207" s="132"/>
    </row>
    <row r="1208" spans="1:23" ht="15.75" customHeight="1">
      <c r="A1208" s="125"/>
      <c r="B1208" s="125"/>
      <c r="C1208" s="125"/>
      <c r="D1208" s="125"/>
      <c r="E1208" s="126"/>
      <c r="F1208" s="128"/>
      <c r="G1208" s="128"/>
      <c r="H1208" s="128"/>
      <c r="I1208" s="129"/>
      <c r="J1208" s="129"/>
      <c r="K1208" s="129"/>
      <c r="L1208" s="129"/>
      <c r="M1208" s="129"/>
      <c r="N1208" s="129"/>
      <c r="O1208" s="129"/>
      <c r="P1208" s="132"/>
      <c r="Q1208" s="132"/>
      <c r="R1208" s="135"/>
      <c r="S1208" s="132"/>
      <c r="T1208" s="129"/>
      <c r="U1208" s="132"/>
      <c r="V1208" s="132"/>
      <c r="W1208" s="132"/>
    </row>
    <row r="1209" spans="1:23" ht="15.75" customHeight="1">
      <c r="A1209" s="125"/>
      <c r="B1209" s="125"/>
      <c r="C1209" s="125"/>
      <c r="D1209" s="125"/>
      <c r="E1209" s="126"/>
      <c r="F1209" s="128"/>
      <c r="G1209" s="128"/>
      <c r="H1209" s="128"/>
      <c r="I1209" s="129"/>
      <c r="J1209" s="129"/>
      <c r="K1209" s="129"/>
      <c r="L1209" s="129"/>
      <c r="M1209" s="129"/>
      <c r="N1209" s="129"/>
      <c r="O1209" s="129"/>
      <c r="P1209" s="132"/>
      <c r="Q1209" s="132"/>
      <c r="R1209" s="135"/>
      <c r="S1209" s="132"/>
      <c r="T1209" s="129"/>
      <c r="U1209" s="132"/>
      <c r="V1209" s="132"/>
      <c r="W1209" s="132"/>
    </row>
    <row r="1210" spans="1:23" ht="15.75" customHeight="1">
      <c r="A1210" s="125"/>
      <c r="B1210" s="125"/>
      <c r="C1210" s="125"/>
      <c r="D1210" s="125"/>
      <c r="E1210" s="126"/>
      <c r="F1210" s="128"/>
      <c r="G1210" s="128"/>
      <c r="H1210" s="128"/>
      <c r="I1210" s="129"/>
      <c r="J1210" s="129"/>
      <c r="K1210" s="129"/>
      <c r="L1210" s="129"/>
      <c r="M1210" s="129"/>
      <c r="N1210" s="129"/>
      <c r="O1210" s="129"/>
      <c r="P1210" s="132"/>
      <c r="Q1210" s="132"/>
      <c r="R1210" s="135"/>
      <c r="S1210" s="132"/>
      <c r="T1210" s="129"/>
      <c r="U1210" s="132"/>
      <c r="V1210" s="132"/>
      <c r="W1210" s="132"/>
    </row>
    <row r="1211" spans="1:23" ht="15.75" customHeight="1">
      <c r="A1211" s="125"/>
      <c r="B1211" s="125"/>
      <c r="C1211" s="125"/>
      <c r="D1211" s="125"/>
      <c r="E1211" s="126"/>
      <c r="F1211" s="128"/>
      <c r="G1211" s="128"/>
      <c r="H1211" s="128"/>
      <c r="I1211" s="129"/>
      <c r="J1211" s="129"/>
      <c r="K1211" s="129"/>
      <c r="L1211" s="129"/>
      <c r="M1211" s="129"/>
      <c r="N1211" s="129"/>
      <c r="O1211" s="129"/>
      <c r="P1211" s="132"/>
      <c r="Q1211" s="132"/>
      <c r="R1211" s="135"/>
      <c r="S1211" s="132"/>
      <c r="T1211" s="129"/>
      <c r="U1211" s="132"/>
      <c r="V1211" s="132"/>
      <c r="W1211" s="132"/>
    </row>
    <row r="1212" spans="1:23" ht="15.75" customHeight="1">
      <c r="A1212" s="125"/>
      <c r="B1212" s="125"/>
      <c r="C1212" s="125"/>
      <c r="D1212" s="125"/>
      <c r="E1212" s="126"/>
      <c r="F1212" s="128"/>
      <c r="G1212" s="128"/>
      <c r="H1212" s="128"/>
      <c r="I1212" s="129"/>
      <c r="J1212" s="129"/>
      <c r="K1212" s="129"/>
      <c r="L1212" s="129"/>
      <c r="M1212" s="129"/>
      <c r="N1212" s="129"/>
      <c r="O1212" s="129"/>
      <c r="P1212" s="132"/>
      <c r="Q1212" s="132"/>
      <c r="R1212" s="135"/>
      <c r="S1212" s="132"/>
      <c r="T1212" s="129"/>
      <c r="U1212" s="132"/>
      <c r="V1212" s="132"/>
      <c r="W1212" s="132"/>
    </row>
    <row r="1213" spans="1:23" ht="15.75" customHeight="1">
      <c r="A1213" s="125"/>
      <c r="B1213" s="125"/>
      <c r="C1213" s="125"/>
      <c r="D1213" s="125"/>
      <c r="E1213" s="126"/>
      <c r="F1213" s="128"/>
      <c r="G1213" s="128"/>
      <c r="H1213" s="128"/>
      <c r="I1213" s="129"/>
      <c r="J1213" s="129"/>
      <c r="K1213" s="129"/>
      <c r="L1213" s="129"/>
      <c r="M1213" s="129"/>
      <c r="N1213" s="129"/>
      <c r="O1213" s="129"/>
      <c r="P1213" s="132"/>
      <c r="Q1213" s="132"/>
      <c r="R1213" s="135"/>
      <c r="S1213" s="132"/>
      <c r="T1213" s="129"/>
      <c r="U1213" s="132"/>
      <c r="V1213" s="132"/>
      <c r="W1213" s="132"/>
    </row>
    <row r="1214" spans="1:23" ht="15.75" customHeight="1">
      <c r="A1214" s="125"/>
      <c r="B1214" s="125"/>
      <c r="C1214" s="125"/>
      <c r="D1214" s="125"/>
      <c r="E1214" s="126"/>
      <c r="F1214" s="128"/>
      <c r="G1214" s="128"/>
      <c r="H1214" s="128"/>
      <c r="I1214" s="129"/>
      <c r="J1214" s="129"/>
      <c r="K1214" s="129"/>
      <c r="L1214" s="129"/>
      <c r="M1214" s="129"/>
      <c r="N1214" s="129"/>
      <c r="O1214" s="129"/>
      <c r="P1214" s="132"/>
      <c r="Q1214" s="132"/>
      <c r="R1214" s="135"/>
      <c r="S1214" s="132"/>
      <c r="T1214" s="129"/>
      <c r="U1214" s="132"/>
      <c r="V1214" s="132"/>
      <c r="W1214" s="132"/>
    </row>
    <row r="1215" spans="1:23" ht="15.75" customHeight="1">
      <c r="A1215" s="125"/>
      <c r="B1215" s="125"/>
      <c r="C1215" s="125"/>
      <c r="D1215" s="125"/>
      <c r="E1215" s="126"/>
      <c r="F1215" s="128"/>
      <c r="G1215" s="128"/>
      <c r="H1215" s="128"/>
      <c r="I1215" s="129"/>
      <c r="J1215" s="129"/>
      <c r="K1215" s="129"/>
      <c r="L1215" s="129"/>
      <c r="M1215" s="129"/>
      <c r="N1215" s="129"/>
      <c r="O1215" s="129"/>
      <c r="P1215" s="132"/>
      <c r="Q1215" s="132"/>
      <c r="R1215" s="135"/>
      <c r="S1215" s="132"/>
      <c r="T1215" s="129"/>
      <c r="U1215" s="132"/>
      <c r="V1215" s="132"/>
      <c r="W1215" s="132"/>
    </row>
    <row r="1216" spans="1:23" ht="15.75" customHeight="1">
      <c r="A1216" s="125"/>
      <c r="B1216" s="125"/>
      <c r="C1216" s="125"/>
      <c r="D1216" s="125"/>
      <c r="E1216" s="126"/>
      <c r="F1216" s="128"/>
      <c r="G1216" s="128"/>
      <c r="H1216" s="128"/>
      <c r="I1216" s="129"/>
      <c r="J1216" s="129"/>
      <c r="K1216" s="129"/>
      <c r="L1216" s="129"/>
      <c r="M1216" s="129"/>
      <c r="N1216" s="129"/>
      <c r="O1216" s="129"/>
      <c r="P1216" s="132"/>
      <c r="Q1216" s="132"/>
      <c r="R1216" s="135"/>
      <c r="S1216" s="132"/>
      <c r="T1216" s="129"/>
      <c r="U1216" s="132"/>
      <c r="V1216" s="132"/>
      <c r="W1216" s="132"/>
    </row>
    <row r="1217" spans="1:23" ht="15.75" customHeight="1">
      <c r="A1217" s="125"/>
      <c r="B1217" s="125"/>
      <c r="C1217" s="125"/>
      <c r="D1217" s="125"/>
      <c r="E1217" s="126"/>
      <c r="F1217" s="128"/>
      <c r="G1217" s="128"/>
      <c r="H1217" s="128"/>
      <c r="I1217" s="129"/>
      <c r="J1217" s="129"/>
      <c r="K1217" s="129"/>
      <c r="L1217" s="129"/>
      <c r="M1217" s="129"/>
      <c r="N1217" s="129"/>
      <c r="O1217" s="129"/>
      <c r="P1217" s="132"/>
      <c r="Q1217" s="132"/>
      <c r="R1217" s="135"/>
      <c r="S1217" s="132"/>
      <c r="T1217" s="129"/>
      <c r="U1217" s="132"/>
      <c r="V1217" s="132"/>
      <c r="W1217" s="132"/>
    </row>
    <row r="1218" spans="1:23" ht="15.75" customHeight="1">
      <c r="A1218" s="125"/>
      <c r="B1218" s="125"/>
      <c r="C1218" s="125"/>
      <c r="D1218" s="125"/>
      <c r="E1218" s="126"/>
      <c r="F1218" s="128"/>
      <c r="G1218" s="128"/>
      <c r="H1218" s="128"/>
      <c r="I1218" s="129"/>
      <c r="J1218" s="129"/>
      <c r="K1218" s="129"/>
      <c r="L1218" s="129"/>
      <c r="M1218" s="129"/>
      <c r="N1218" s="129"/>
      <c r="O1218" s="129"/>
      <c r="P1218" s="132"/>
      <c r="Q1218" s="132"/>
      <c r="R1218" s="135"/>
      <c r="S1218" s="132"/>
      <c r="T1218" s="129"/>
      <c r="U1218" s="132"/>
      <c r="V1218" s="132"/>
      <c r="W1218" s="132"/>
    </row>
    <row r="1219" spans="1:23" ht="15.75" customHeight="1">
      <c r="A1219" s="125"/>
      <c r="B1219" s="125"/>
      <c r="C1219" s="125"/>
      <c r="D1219" s="125"/>
      <c r="E1219" s="126"/>
      <c r="F1219" s="128"/>
      <c r="G1219" s="128"/>
      <c r="H1219" s="128"/>
      <c r="I1219" s="129"/>
      <c r="J1219" s="129"/>
      <c r="K1219" s="129"/>
      <c r="L1219" s="129"/>
      <c r="M1219" s="129"/>
      <c r="N1219" s="129"/>
      <c r="O1219" s="129"/>
      <c r="P1219" s="132"/>
      <c r="Q1219" s="132"/>
      <c r="R1219" s="135"/>
      <c r="S1219" s="132"/>
      <c r="T1219" s="129"/>
      <c r="U1219" s="132"/>
      <c r="V1219" s="132"/>
      <c r="W1219" s="132"/>
    </row>
    <row r="1220" spans="1:23" ht="15.75" customHeight="1">
      <c r="A1220" s="125"/>
      <c r="B1220" s="125"/>
      <c r="C1220" s="125"/>
      <c r="D1220" s="125"/>
      <c r="E1220" s="126"/>
      <c r="F1220" s="128"/>
      <c r="G1220" s="128"/>
      <c r="H1220" s="128"/>
      <c r="I1220" s="129"/>
      <c r="J1220" s="129"/>
      <c r="K1220" s="129"/>
      <c r="L1220" s="129"/>
      <c r="M1220" s="129"/>
      <c r="N1220" s="129"/>
      <c r="O1220" s="129"/>
      <c r="P1220" s="132"/>
      <c r="Q1220" s="132"/>
      <c r="R1220" s="135"/>
      <c r="S1220" s="132"/>
      <c r="T1220" s="129"/>
      <c r="U1220" s="132"/>
      <c r="V1220" s="132"/>
      <c r="W1220" s="132"/>
    </row>
    <row r="1221" spans="1:23" ht="15.75" customHeight="1">
      <c r="A1221" s="125"/>
      <c r="B1221" s="125"/>
      <c r="C1221" s="125"/>
      <c r="D1221" s="125"/>
      <c r="E1221" s="126"/>
      <c r="F1221" s="128"/>
      <c r="G1221" s="128"/>
      <c r="H1221" s="128"/>
      <c r="I1221" s="129"/>
      <c r="J1221" s="129"/>
      <c r="K1221" s="129"/>
      <c r="L1221" s="129"/>
      <c r="M1221" s="129"/>
      <c r="N1221" s="129"/>
      <c r="O1221" s="129"/>
      <c r="P1221" s="132"/>
      <c r="Q1221" s="132"/>
      <c r="R1221" s="135"/>
      <c r="S1221" s="132"/>
      <c r="T1221" s="129"/>
      <c r="U1221" s="132"/>
      <c r="V1221" s="132"/>
      <c r="W1221" s="132"/>
    </row>
    <row r="1222" spans="1:23" ht="15.75" customHeight="1">
      <c r="A1222" s="125"/>
      <c r="B1222" s="125"/>
      <c r="C1222" s="125"/>
      <c r="D1222" s="125"/>
      <c r="E1222" s="126"/>
      <c r="F1222" s="128"/>
      <c r="G1222" s="128"/>
      <c r="H1222" s="128"/>
      <c r="I1222" s="129"/>
      <c r="J1222" s="129"/>
      <c r="K1222" s="129"/>
      <c r="L1222" s="129"/>
      <c r="M1222" s="129"/>
      <c r="N1222" s="129"/>
      <c r="O1222" s="129"/>
      <c r="P1222" s="132"/>
      <c r="Q1222" s="132"/>
      <c r="R1222" s="135"/>
      <c r="S1222" s="132"/>
      <c r="T1222" s="129"/>
      <c r="U1222" s="132"/>
      <c r="V1222" s="132"/>
      <c r="W1222" s="132"/>
    </row>
    <row r="1223" spans="1:23" ht="15.75" customHeight="1">
      <c r="A1223" s="125"/>
      <c r="B1223" s="125"/>
      <c r="C1223" s="125"/>
      <c r="D1223" s="125"/>
      <c r="E1223" s="126"/>
      <c r="F1223" s="128"/>
      <c r="G1223" s="128"/>
      <c r="H1223" s="128"/>
      <c r="I1223" s="129"/>
      <c r="J1223" s="129"/>
      <c r="K1223" s="129"/>
      <c r="L1223" s="129"/>
      <c r="M1223" s="129"/>
      <c r="N1223" s="129"/>
      <c r="O1223" s="129"/>
      <c r="P1223" s="132"/>
      <c r="Q1223" s="132"/>
      <c r="R1223" s="135"/>
      <c r="S1223" s="132"/>
      <c r="T1223" s="129"/>
      <c r="U1223" s="132"/>
      <c r="V1223" s="132"/>
      <c r="W1223" s="132"/>
    </row>
    <row r="1224" spans="1:23" ht="15.75" customHeight="1">
      <c r="A1224" s="125"/>
      <c r="B1224" s="125"/>
      <c r="C1224" s="125"/>
      <c r="D1224" s="125"/>
      <c r="E1224" s="126"/>
      <c r="F1224" s="128"/>
      <c r="G1224" s="128"/>
      <c r="H1224" s="128"/>
      <c r="I1224" s="129"/>
      <c r="J1224" s="129"/>
      <c r="K1224" s="129"/>
      <c r="L1224" s="129"/>
      <c r="M1224" s="129"/>
      <c r="N1224" s="129"/>
      <c r="O1224" s="129"/>
      <c r="P1224" s="132"/>
      <c r="Q1224" s="132"/>
      <c r="R1224" s="135"/>
      <c r="S1224" s="132"/>
      <c r="T1224" s="129"/>
      <c r="U1224" s="132"/>
      <c r="V1224" s="132"/>
      <c r="W1224" s="132"/>
    </row>
    <row r="1225" spans="1:23" ht="15.75" customHeight="1">
      <c r="A1225" s="125"/>
      <c r="B1225" s="125"/>
      <c r="C1225" s="125"/>
      <c r="D1225" s="125"/>
      <c r="E1225" s="126"/>
      <c r="F1225" s="128"/>
      <c r="G1225" s="128"/>
      <c r="H1225" s="128"/>
      <c r="I1225" s="129"/>
      <c r="J1225" s="129"/>
      <c r="K1225" s="129"/>
      <c r="L1225" s="129"/>
      <c r="M1225" s="129"/>
      <c r="N1225" s="129"/>
      <c r="O1225" s="129"/>
      <c r="P1225" s="132"/>
      <c r="Q1225" s="132"/>
      <c r="R1225" s="135"/>
      <c r="S1225" s="132"/>
      <c r="T1225" s="129"/>
      <c r="U1225" s="132"/>
      <c r="V1225" s="132"/>
      <c r="W1225" s="132"/>
    </row>
    <row r="1226" spans="1:23" ht="15.75" customHeight="1">
      <c r="A1226" s="125"/>
      <c r="B1226" s="125"/>
      <c r="C1226" s="125"/>
      <c r="D1226" s="125"/>
      <c r="E1226" s="126"/>
      <c r="F1226" s="128"/>
      <c r="G1226" s="128"/>
      <c r="H1226" s="128"/>
      <c r="I1226" s="129"/>
      <c r="J1226" s="129"/>
      <c r="K1226" s="129"/>
      <c r="L1226" s="129"/>
      <c r="M1226" s="129"/>
      <c r="N1226" s="129"/>
      <c r="O1226" s="129"/>
      <c r="P1226" s="132"/>
      <c r="Q1226" s="132"/>
      <c r="R1226" s="135"/>
      <c r="S1226" s="132"/>
      <c r="T1226" s="129"/>
      <c r="U1226" s="132"/>
      <c r="V1226" s="132"/>
      <c r="W1226" s="132"/>
    </row>
    <row r="1227" spans="1:23" ht="15.75" customHeight="1">
      <c r="A1227" s="125"/>
      <c r="B1227" s="125"/>
      <c r="C1227" s="125"/>
      <c r="D1227" s="125"/>
      <c r="E1227" s="126"/>
      <c r="F1227" s="128"/>
      <c r="G1227" s="128"/>
      <c r="H1227" s="128"/>
      <c r="I1227" s="129"/>
      <c r="J1227" s="129"/>
      <c r="K1227" s="129"/>
      <c r="L1227" s="129"/>
      <c r="M1227" s="129"/>
      <c r="N1227" s="129"/>
      <c r="O1227" s="129"/>
      <c r="P1227" s="132"/>
      <c r="Q1227" s="132"/>
      <c r="R1227" s="135"/>
      <c r="S1227" s="132"/>
      <c r="T1227" s="129"/>
      <c r="U1227" s="132"/>
      <c r="V1227" s="132"/>
      <c r="W1227" s="132"/>
    </row>
    <row r="1228" spans="1:23" ht="15.75" customHeight="1">
      <c r="A1228" s="125"/>
      <c r="B1228" s="125"/>
      <c r="C1228" s="125"/>
      <c r="D1228" s="125"/>
      <c r="E1228" s="126"/>
      <c r="F1228" s="128"/>
      <c r="G1228" s="128"/>
      <c r="H1228" s="128"/>
      <c r="I1228" s="129"/>
      <c r="J1228" s="129"/>
      <c r="K1228" s="129"/>
      <c r="L1228" s="129"/>
      <c r="M1228" s="129"/>
      <c r="N1228" s="129"/>
      <c r="O1228" s="129"/>
      <c r="P1228" s="132"/>
      <c r="Q1228" s="132"/>
      <c r="R1228" s="135"/>
      <c r="S1228" s="132"/>
      <c r="T1228" s="129"/>
      <c r="U1228" s="132"/>
      <c r="V1228" s="132"/>
      <c r="W1228" s="132"/>
    </row>
    <row r="1229" spans="1:23" ht="15.75" customHeight="1">
      <c r="A1229" s="125"/>
      <c r="B1229" s="125"/>
      <c r="C1229" s="125"/>
      <c r="D1229" s="125"/>
      <c r="E1229" s="126"/>
      <c r="F1229" s="128"/>
      <c r="G1229" s="128"/>
      <c r="H1229" s="128"/>
      <c r="I1229" s="129"/>
      <c r="J1229" s="129"/>
      <c r="K1229" s="129"/>
      <c r="L1229" s="129"/>
      <c r="M1229" s="129"/>
      <c r="N1229" s="129"/>
      <c r="O1229" s="129"/>
      <c r="P1229" s="132"/>
      <c r="Q1229" s="132"/>
      <c r="R1229" s="135"/>
      <c r="S1229" s="132"/>
      <c r="T1229" s="129"/>
      <c r="U1229" s="132"/>
      <c r="V1229" s="132"/>
      <c r="W1229" s="132"/>
    </row>
    <row r="1230" spans="1:23" ht="15.75" customHeight="1">
      <c r="A1230" s="125"/>
      <c r="B1230" s="125"/>
      <c r="C1230" s="125"/>
      <c r="D1230" s="125"/>
      <c r="E1230" s="126"/>
      <c r="F1230" s="128"/>
      <c r="G1230" s="128"/>
      <c r="H1230" s="128"/>
      <c r="I1230" s="129"/>
      <c r="J1230" s="129"/>
      <c r="K1230" s="129"/>
      <c r="L1230" s="129"/>
      <c r="M1230" s="129"/>
      <c r="N1230" s="129"/>
      <c r="O1230" s="129"/>
      <c r="P1230" s="132"/>
      <c r="Q1230" s="132"/>
      <c r="R1230" s="135"/>
      <c r="S1230" s="132"/>
      <c r="T1230" s="129"/>
      <c r="U1230" s="132"/>
      <c r="V1230" s="132"/>
      <c r="W1230" s="132"/>
    </row>
    <row r="1231" spans="1:23" ht="15.75" customHeight="1">
      <c r="A1231" s="125"/>
      <c r="B1231" s="125"/>
      <c r="C1231" s="125"/>
      <c r="D1231" s="125"/>
      <c r="E1231" s="126"/>
      <c r="F1231" s="128"/>
      <c r="G1231" s="128"/>
      <c r="H1231" s="128"/>
      <c r="I1231" s="129"/>
      <c r="J1231" s="129"/>
      <c r="K1231" s="129"/>
      <c r="L1231" s="129"/>
      <c r="M1231" s="129"/>
      <c r="N1231" s="129"/>
      <c r="O1231" s="129"/>
      <c r="P1231" s="132"/>
      <c r="Q1231" s="132"/>
      <c r="R1231" s="135"/>
      <c r="S1231" s="132"/>
      <c r="T1231" s="129"/>
      <c r="U1231" s="132"/>
      <c r="V1231" s="132"/>
      <c r="W1231" s="132"/>
    </row>
    <row r="1232" spans="1:23" ht="15.75" customHeight="1">
      <c r="A1232" s="125"/>
      <c r="B1232" s="125"/>
      <c r="C1232" s="125"/>
      <c r="D1232" s="125"/>
      <c r="E1232" s="126"/>
      <c r="F1232" s="128"/>
      <c r="G1232" s="128"/>
      <c r="H1232" s="128"/>
      <c r="I1232" s="129"/>
      <c r="J1232" s="129"/>
      <c r="K1232" s="129"/>
      <c r="L1232" s="129"/>
      <c r="M1232" s="129"/>
      <c r="N1232" s="129"/>
      <c r="O1232" s="129"/>
      <c r="P1232" s="132"/>
      <c r="Q1232" s="132"/>
      <c r="R1232" s="135"/>
      <c r="S1232" s="132"/>
      <c r="T1232" s="129"/>
      <c r="U1232" s="132"/>
      <c r="V1232" s="132"/>
      <c r="W1232" s="132"/>
    </row>
    <row r="1233" spans="1:23" ht="15.75" customHeight="1">
      <c r="A1233" s="125"/>
      <c r="B1233" s="125"/>
      <c r="C1233" s="125"/>
      <c r="D1233" s="125"/>
      <c r="E1233" s="126"/>
      <c r="F1233" s="128"/>
      <c r="G1233" s="128"/>
      <c r="H1233" s="128"/>
      <c r="I1233" s="129"/>
      <c r="J1233" s="129"/>
      <c r="K1233" s="129"/>
      <c r="L1233" s="129"/>
      <c r="M1233" s="129"/>
      <c r="N1233" s="129"/>
      <c r="O1233" s="129"/>
      <c r="P1233" s="132"/>
      <c r="Q1233" s="132"/>
      <c r="R1233" s="135"/>
      <c r="S1233" s="132"/>
      <c r="T1233" s="129"/>
      <c r="U1233" s="132"/>
      <c r="V1233" s="132"/>
      <c r="W1233" s="132"/>
    </row>
    <row r="1234" spans="1:23" ht="15.75" customHeight="1">
      <c r="A1234" s="125"/>
      <c r="B1234" s="125"/>
      <c r="C1234" s="125"/>
      <c r="D1234" s="125"/>
      <c r="E1234" s="126"/>
      <c r="F1234" s="128"/>
      <c r="G1234" s="128"/>
      <c r="H1234" s="128"/>
      <c r="I1234" s="129"/>
      <c r="J1234" s="129"/>
      <c r="K1234" s="129"/>
      <c r="L1234" s="129"/>
      <c r="M1234" s="129"/>
      <c r="N1234" s="129"/>
      <c r="O1234" s="129"/>
      <c r="P1234" s="132"/>
      <c r="Q1234" s="132"/>
      <c r="R1234" s="135"/>
      <c r="S1234" s="132"/>
      <c r="T1234" s="129"/>
      <c r="U1234" s="132"/>
      <c r="V1234" s="132"/>
      <c r="W1234" s="132"/>
    </row>
    <row r="1235" spans="1:23" ht="15.75" customHeight="1">
      <c r="A1235" s="125"/>
      <c r="B1235" s="125"/>
      <c r="C1235" s="125"/>
      <c r="D1235" s="125"/>
      <c r="E1235" s="126"/>
      <c r="F1235" s="128"/>
      <c r="G1235" s="128"/>
      <c r="H1235" s="128"/>
      <c r="I1235" s="129"/>
      <c r="J1235" s="129"/>
      <c r="K1235" s="129"/>
      <c r="L1235" s="129"/>
      <c r="M1235" s="129"/>
      <c r="N1235" s="129"/>
      <c r="O1235" s="129"/>
      <c r="P1235" s="132"/>
      <c r="Q1235" s="132"/>
      <c r="R1235" s="135"/>
      <c r="S1235" s="132"/>
      <c r="T1235" s="129"/>
      <c r="U1235" s="132"/>
      <c r="V1235" s="132"/>
      <c r="W1235" s="132"/>
    </row>
    <row r="1236" spans="1:23" ht="15.75" customHeight="1">
      <c r="A1236" s="125"/>
      <c r="B1236" s="125"/>
      <c r="C1236" s="125"/>
      <c r="D1236" s="125"/>
      <c r="E1236" s="126"/>
      <c r="F1236" s="128"/>
      <c r="G1236" s="128"/>
      <c r="H1236" s="128"/>
      <c r="I1236" s="129"/>
      <c r="J1236" s="129"/>
      <c r="K1236" s="129"/>
      <c r="L1236" s="129"/>
      <c r="M1236" s="129"/>
      <c r="N1236" s="129"/>
      <c r="O1236" s="129"/>
      <c r="P1236" s="132"/>
      <c r="Q1236" s="132"/>
      <c r="R1236" s="135"/>
      <c r="S1236" s="132"/>
      <c r="T1236" s="129"/>
      <c r="U1236" s="132"/>
      <c r="V1236" s="132"/>
      <c r="W1236" s="132"/>
    </row>
    <row r="1237" spans="1:23" ht="15.75" customHeight="1">
      <c r="A1237" s="125"/>
      <c r="B1237" s="125"/>
      <c r="C1237" s="125"/>
      <c r="D1237" s="125"/>
      <c r="E1237" s="126"/>
      <c r="F1237" s="128"/>
      <c r="G1237" s="128"/>
      <c r="H1237" s="128"/>
      <c r="I1237" s="129"/>
      <c r="J1237" s="129"/>
      <c r="K1237" s="129"/>
      <c r="L1237" s="129"/>
      <c r="M1237" s="129"/>
      <c r="N1237" s="129"/>
      <c r="O1237" s="129"/>
      <c r="P1237" s="132"/>
      <c r="Q1237" s="132"/>
      <c r="R1237" s="135"/>
      <c r="S1237" s="132"/>
      <c r="T1237" s="129"/>
      <c r="U1237" s="132"/>
      <c r="V1237" s="132"/>
      <c r="W1237" s="132"/>
    </row>
    <row r="1238" spans="1:23" ht="15.75" customHeight="1">
      <c r="A1238" s="125"/>
      <c r="B1238" s="125"/>
      <c r="C1238" s="125"/>
      <c r="D1238" s="125"/>
      <c r="E1238" s="126"/>
      <c r="F1238" s="128"/>
      <c r="G1238" s="128"/>
      <c r="H1238" s="128"/>
      <c r="I1238" s="129"/>
      <c r="J1238" s="129"/>
      <c r="K1238" s="129"/>
      <c r="L1238" s="129"/>
      <c r="M1238" s="129"/>
      <c r="N1238" s="129"/>
      <c r="O1238" s="129"/>
      <c r="P1238" s="132"/>
      <c r="Q1238" s="132"/>
      <c r="R1238" s="135"/>
      <c r="S1238" s="132"/>
      <c r="T1238" s="129"/>
      <c r="U1238" s="132"/>
      <c r="V1238" s="132"/>
      <c r="W1238" s="132"/>
    </row>
    <row r="1239" spans="1:23" ht="15.75" customHeight="1">
      <c r="A1239" s="125"/>
      <c r="B1239" s="125"/>
      <c r="C1239" s="125"/>
      <c r="D1239" s="125"/>
      <c r="E1239" s="126"/>
      <c r="F1239" s="128"/>
      <c r="G1239" s="128"/>
      <c r="H1239" s="128"/>
      <c r="I1239" s="129"/>
      <c r="J1239" s="129"/>
      <c r="K1239" s="129"/>
      <c r="L1239" s="129"/>
      <c r="M1239" s="129"/>
      <c r="N1239" s="129"/>
      <c r="O1239" s="129"/>
      <c r="P1239" s="132"/>
      <c r="Q1239" s="132"/>
      <c r="R1239" s="135"/>
      <c r="S1239" s="132"/>
      <c r="T1239" s="129"/>
      <c r="U1239" s="132"/>
      <c r="V1239" s="132"/>
      <c r="W1239" s="132"/>
    </row>
    <row r="1240" spans="1:23" ht="15.75" customHeight="1">
      <c r="A1240" s="125"/>
      <c r="B1240" s="125"/>
      <c r="C1240" s="125"/>
      <c r="D1240" s="125"/>
      <c r="E1240" s="126"/>
      <c r="F1240" s="128"/>
      <c r="G1240" s="128"/>
      <c r="H1240" s="128"/>
      <c r="I1240" s="129"/>
      <c r="J1240" s="129"/>
      <c r="K1240" s="129"/>
      <c r="L1240" s="129"/>
      <c r="M1240" s="129"/>
      <c r="N1240" s="129"/>
      <c r="O1240" s="129"/>
      <c r="P1240" s="132"/>
      <c r="Q1240" s="132"/>
      <c r="R1240" s="135"/>
      <c r="S1240" s="132"/>
      <c r="T1240" s="129"/>
      <c r="U1240" s="132"/>
      <c r="V1240" s="132"/>
      <c r="W1240" s="132"/>
    </row>
    <row r="1241" spans="1:23" ht="15.75" customHeight="1">
      <c r="A1241" s="125"/>
      <c r="B1241" s="125"/>
      <c r="C1241" s="125"/>
      <c r="D1241" s="125"/>
      <c r="E1241" s="126"/>
      <c r="F1241" s="128"/>
      <c r="G1241" s="128"/>
      <c r="H1241" s="128"/>
      <c r="I1241" s="129"/>
      <c r="J1241" s="129"/>
      <c r="K1241" s="129"/>
      <c r="L1241" s="129"/>
      <c r="M1241" s="129"/>
      <c r="N1241" s="129"/>
      <c r="O1241" s="129"/>
      <c r="P1241" s="132"/>
      <c r="Q1241" s="132"/>
      <c r="R1241" s="135"/>
      <c r="S1241" s="132"/>
      <c r="T1241" s="129"/>
      <c r="U1241" s="132"/>
      <c r="V1241" s="132"/>
      <c r="W1241" s="132"/>
    </row>
    <row r="1242" spans="1:23" ht="15.75" customHeight="1">
      <c r="A1242" s="125"/>
      <c r="B1242" s="125"/>
      <c r="C1242" s="125"/>
      <c r="D1242" s="125"/>
      <c r="E1242" s="126"/>
      <c r="F1242" s="128"/>
      <c r="G1242" s="128"/>
      <c r="H1242" s="128"/>
      <c r="I1242" s="129"/>
      <c r="J1242" s="129"/>
      <c r="K1242" s="129"/>
      <c r="L1242" s="129"/>
      <c r="M1242" s="129"/>
      <c r="N1242" s="129"/>
      <c r="O1242" s="129"/>
      <c r="P1242" s="132"/>
      <c r="Q1242" s="132"/>
      <c r="R1242" s="135"/>
      <c r="S1242" s="132"/>
      <c r="T1242" s="129"/>
      <c r="U1242" s="132"/>
      <c r="V1242" s="132"/>
      <c r="W1242" s="132"/>
    </row>
    <row r="1243" spans="1:23" ht="15.75" customHeight="1">
      <c r="A1243" s="125"/>
      <c r="B1243" s="125"/>
      <c r="C1243" s="125"/>
      <c r="D1243" s="125"/>
      <c r="E1243" s="126"/>
      <c r="F1243" s="128"/>
      <c r="G1243" s="128"/>
      <c r="H1243" s="128"/>
      <c r="I1243" s="129"/>
      <c r="J1243" s="129"/>
      <c r="K1243" s="129"/>
      <c r="L1243" s="129"/>
      <c r="M1243" s="129"/>
      <c r="N1243" s="129"/>
      <c r="O1243" s="129"/>
      <c r="P1243" s="132"/>
      <c r="Q1243" s="132"/>
      <c r="R1243" s="135"/>
      <c r="S1243" s="132"/>
      <c r="T1243" s="129"/>
      <c r="U1243" s="132"/>
      <c r="V1243" s="132"/>
      <c r="W1243" s="132"/>
    </row>
    <row r="1244" spans="1:23" ht="15.75" customHeight="1">
      <c r="A1244" s="125"/>
      <c r="B1244" s="125"/>
      <c r="C1244" s="125"/>
      <c r="D1244" s="125"/>
      <c r="E1244" s="126"/>
      <c r="F1244" s="128"/>
      <c r="G1244" s="128"/>
      <c r="H1244" s="128"/>
      <c r="I1244" s="129"/>
      <c r="J1244" s="129"/>
      <c r="K1244" s="129"/>
      <c r="L1244" s="129"/>
      <c r="M1244" s="129"/>
      <c r="N1244" s="129"/>
      <c r="O1244" s="129"/>
      <c r="P1244" s="132"/>
      <c r="Q1244" s="132"/>
      <c r="R1244" s="135"/>
      <c r="S1244" s="132"/>
      <c r="T1244" s="129"/>
      <c r="U1244" s="132"/>
      <c r="V1244" s="132"/>
      <c r="W1244" s="132"/>
    </row>
    <row r="1245" spans="1:23" ht="15.75" customHeight="1">
      <c r="A1245" s="125"/>
      <c r="B1245" s="125"/>
      <c r="C1245" s="125"/>
      <c r="D1245" s="125"/>
      <c r="E1245" s="126"/>
      <c r="F1245" s="128"/>
      <c r="G1245" s="128"/>
      <c r="H1245" s="128"/>
      <c r="I1245" s="129"/>
      <c r="J1245" s="129"/>
      <c r="K1245" s="129"/>
      <c r="L1245" s="129"/>
      <c r="M1245" s="129"/>
      <c r="N1245" s="129"/>
      <c r="O1245" s="129"/>
      <c r="P1245" s="132"/>
      <c r="Q1245" s="132"/>
      <c r="R1245" s="135"/>
      <c r="S1245" s="132"/>
      <c r="T1245" s="129"/>
      <c r="U1245" s="132"/>
      <c r="V1245" s="132"/>
      <c r="W1245" s="132"/>
    </row>
    <row r="1246" spans="1:23" ht="15.75" customHeight="1">
      <c r="A1246" s="125"/>
      <c r="B1246" s="125"/>
      <c r="C1246" s="125"/>
      <c r="D1246" s="125"/>
      <c r="E1246" s="126"/>
      <c r="F1246" s="128"/>
      <c r="G1246" s="128"/>
      <c r="H1246" s="128"/>
      <c r="I1246" s="129"/>
      <c r="J1246" s="129"/>
      <c r="K1246" s="129"/>
      <c r="L1246" s="129"/>
      <c r="M1246" s="129"/>
      <c r="N1246" s="129"/>
      <c r="O1246" s="129"/>
      <c r="P1246" s="132"/>
      <c r="Q1246" s="132"/>
      <c r="R1246" s="135"/>
      <c r="S1246" s="132"/>
      <c r="T1246" s="129"/>
      <c r="U1246" s="132"/>
      <c r="V1246" s="132"/>
      <c r="W1246" s="132"/>
    </row>
    <row r="1247" spans="1:23" ht="15.75" customHeight="1">
      <c r="A1247" s="125"/>
      <c r="B1247" s="125"/>
      <c r="C1247" s="125"/>
      <c r="D1247" s="125"/>
      <c r="E1247" s="126"/>
      <c r="F1247" s="128"/>
      <c r="G1247" s="128"/>
      <c r="H1247" s="128"/>
      <c r="I1247" s="129"/>
      <c r="J1247" s="129"/>
      <c r="K1247" s="129"/>
      <c r="L1247" s="129"/>
      <c r="M1247" s="129"/>
      <c r="N1247" s="129"/>
      <c r="O1247" s="129"/>
      <c r="P1247" s="132"/>
      <c r="Q1247" s="132"/>
      <c r="R1247" s="135"/>
      <c r="S1247" s="132"/>
      <c r="T1247" s="129"/>
      <c r="U1247" s="132"/>
      <c r="V1247" s="132"/>
      <c r="W1247" s="132"/>
    </row>
    <row r="1248" spans="1:23" ht="15.75" customHeight="1">
      <c r="A1248" s="125"/>
      <c r="B1248" s="125"/>
      <c r="C1248" s="125"/>
      <c r="D1248" s="125"/>
      <c r="E1248" s="126"/>
      <c r="F1248" s="128"/>
      <c r="G1248" s="128"/>
      <c r="H1248" s="128"/>
      <c r="I1248" s="129"/>
      <c r="J1248" s="129"/>
      <c r="K1248" s="129"/>
      <c r="L1248" s="129"/>
      <c r="M1248" s="129"/>
      <c r="N1248" s="129"/>
      <c r="O1248" s="129"/>
      <c r="P1248" s="132"/>
      <c r="Q1248" s="132"/>
      <c r="R1248" s="135"/>
      <c r="S1248" s="132"/>
      <c r="T1248" s="129"/>
      <c r="U1248" s="132"/>
      <c r="V1248" s="132"/>
      <c r="W1248" s="132"/>
    </row>
    <row r="1249" spans="1:23" ht="15.75" customHeight="1">
      <c r="A1249" s="125"/>
      <c r="B1249" s="125"/>
      <c r="C1249" s="125"/>
      <c r="D1249" s="125"/>
      <c r="E1249" s="126"/>
      <c r="F1249" s="128"/>
      <c r="G1249" s="128"/>
      <c r="H1249" s="128"/>
      <c r="I1249" s="129"/>
      <c r="J1249" s="129"/>
      <c r="K1249" s="129"/>
      <c r="L1249" s="129"/>
      <c r="M1249" s="129"/>
      <c r="N1249" s="129"/>
      <c r="O1249" s="129"/>
      <c r="P1249" s="132"/>
      <c r="Q1249" s="132"/>
      <c r="R1249" s="135"/>
      <c r="S1249" s="132"/>
      <c r="T1249" s="129"/>
      <c r="U1249" s="132"/>
      <c r="V1249" s="132"/>
      <c r="W1249" s="132"/>
    </row>
    <row r="1250" spans="1:23" ht="15.75" customHeight="1">
      <c r="A1250" s="125"/>
      <c r="B1250" s="125"/>
      <c r="C1250" s="125"/>
      <c r="D1250" s="125"/>
      <c r="E1250" s="126"/>
      <c r="F1250" s="128"/>
      <c r="G1250" s="128"/>
      <c r="H1250" s="128"/>
      <c r="I1250" s="129"/>
      <c r="J1250" s="129"/>
      <c r="K1250" s="129"/>
      <c r="L1250" s="129"/>
      <c r="M1250" s="129"/>
      <c r="N1250" s="129"/>
      <c r="O1250" s="129"/>
      <c r="P1250" s="132"/>
      <c r="Q1250" s="132"/>
      <c r="R1250" s="135"/>
      <c r="S1250" s="132"/>
      <c r="T1250" s="129"/>
      <c r="U1250" s="132"/>
      <c r="V1250" s="132"/>
      <c r="W1250" s="132"/>
    </row>
    <row r="1251" spans="1:23" ht="15.75" customHeight="1">
      <c r="A1251" s="125"/>
      <c r="B1251" s="125"/>
      <c r="C1251" s="125"/>
      <c r="D1251" s="125"/>
      <c r="E1251" s="126"/>
      <c r="F1251" s="128"/>
      <c r="G1251" s="128"/>
      <c r="H1251" s="128"/>
      <c r="I1251" s="129"/>
      <c r="J1251" s="129"/>
      <c r="K1251" s="129"/>
      <c r="L1251" s="129"/>
      <c r="M1251" s="129"/>
      <c r="N1251" s="129"/>
      <c r="O1251" s="129"/>
      <c r="P1251" s="132"/>
      <c r="Q1251" s="132"/>
      <c r="R1251" s="135"/>
      <c r="S1251" s="132"/>
      <c r="T1251" s="129"/>
      <c r="U1251" s="132"/>
      <c r="V1251" s="132"/>
      <c r="W1251" s="132"/>
    </row>
    <row r="1252" spans="1:23" ht="15.75" customHeight="1">
      <c r="A1252" s="125"/>
      <c r="B1252" s="125"/>
      <c r="C1252" s="125"/>
      <c r="D1252" s="125"/>
      <c r="E1252" s="126"/>
      <c r="F1252" s="128"/>
      <c r="G1252" s="128"/>
      <c r="H1252" s="128"/>
      <c r="I1252" s="129"/>
      <c r="J1252" s="129"/>
      <c r="K1252" s="129"/>
      <c r="L1252" s="129"/>
      <c r="M1252" s="129"/>
      <c r="N1252" s="129"/>
      <c r="O1252" s="129"/>
      <c r="P1252" s="132"/>
      <c r="Q1252" s="132"/>
      <c r="R1252" s="135"/>
      <c r="S1252" s="132"/>
      <c r="T1252" s="129"/>
      <c r="U1252" s="132"/>
      <c r="V1252" s="132"/>
      <c r="W1252" s="132"/>
    </row>
    <row r="1253" spans="1:23" ht="15.75" customHeight="1">
      <c r="A1253" s="125"/>
      <c r="B1253" s="125"/>
      <c r="C1253" s="125"/>
      <c r="D1253" s="125"/>
      <c r="E1253" s="126"/>
      <c r="F1253" s="128"/>
      <c r="G1253" s="128"/>
      <c r="H1253" s="128"/>
      <c r="I1253" s="129"/>
      <c r="J1253" s="129"/>
      <c r="K1253" s="129"/>
      <c r="L1253" s="129"/>
      <c r="M1253" s="129"/>
      <c r="N1253" s="129"/>
      <c r="O1253" s="129"/>
      <c r="P1253" s="132"/>
      <c r="Q1253" s="132"/>
      <c r="R1253" s="135"/>
      <c r="S1253" s="132"/>
      <c r="T1253" s="129"/>
      <c r="U1253" s="132"/>
      <c r="V1253" s="132"/>
      <c r="W1253" s="132"/>
    </row>
    <row r="1254" spans="1:23" ht="15.75" customHeight="1">
      <c r="A1254" s="125"/>
      <c r="B1254" s="125"/>
      <c r="C1254" s="125"/>
      <c r="D1254" s="125"/>
      <c r="E1254" s="126"/>
      <c r="F1254" s="128"/>
      <c r="G1254" s="128"/>
      <c r="H1254" s="128"/>
      <c r="I1254" s="129"/>
      <c r="J1254" s="129"/>
      <c r="K1254" s="129"/>
      <c r="L1254" s="129"/>
      <c r="M1254" s="129"/>
      <c r="N1254" s="129"/>
      <c r="O1254" s="129"/>
      <c r="P1254" s="132"/>
      <c r="Q1254" s="132"/>
      <c r="R1254" s="135"/>
      <c r="S1254" s="132"/>
      <c r="T1254" s="129"/>
      <c r="U1254" s="132"/>
      <c r="V1254" s="132"/>
      <c r="W1254" s="132"/>
    </row>
    <row r="1255" spans="1:23" ht="15.75" customHeight="1">
      <c r="A1255" s="125"/>
      <c r="B1255" s="125"/>
      <c r="C1255" s="125"/>
      <c r="D1255" s="125"/>
      <c r="E1255" s="126"/>
      <c r="F1255" s="128"/>
      <c r="G1255" s="128"/>
      <c r="H1255" s="128"/>
      <c r="I1255" s="129"/>
      <c r="J1255" s="129"/>
      <c r="K1255" s="129"/>
      <c r="L1255" s="129"/>
      <c r="M1255" s="129"/>
      <c r="N1255" s="129"/>
      <c r="O1255" s="129"/>
      <c r="P1255" s="132"/>
      <c r="Q1255" s="132"/>
      <c r="R1255" s="135"/>
      <c r="S1255" s="132"/>
      <c r="T1255" s="129"/>
      <c r="U1255" s="132"/>
      <c r="V1255" s="132"/>
      <c r="W1255" s="132"/>
    </row>
    <row r="1256" spans="1:23" ht="15.75" customHeight="1">
      <c r="A1256" s="125"/>
      <c r="B1256" s="125"/>
      <c r="C1256" s="125"/>
      <c r="D1256" s="125"/>
      <c r="E1256" s="126"/>
      <c r="F1256" s="128"/>
      <c r="G1256" s="128"/>
      <c r="H1256" s="128"/>
      <c r="I1256" s="129"/>
      <c r="J1256" s="129"/>
      <c r="K1256" s="129"/>
      <c r="L1256" s="129"/>
      <c r="M1256" s="129"/>
      <c r="N1256" s="129"/>
      <c r="O1256" s="129"/>
      <c r="P1256" s="132"/>
      <c r="Q1256" s="132"/>
      <c r="R1256" s="135"/>
      <c r="S1256" s="132"/>
      <c r="T1256" s="129"/>
      <c r="U1256" s="132"/>
      <c r="V1256" s="132"/>
      <c r="W1256" s="132"/>
    </row>
    <row r="1257" spans="1:23" ht="15.75" customHeight="1">
      <c r="A1257" s="125"/>
      <c r="B1257" s="125"/>
      <c r="C1257" s="125"/>
      <c r="D1257" s="125"/>
      <c r="E1257" s="126"/>
      <c r="F1257" s="128"/>
      <c r="G1257" s="128"/>
      <c r="H1257" s="128"/>
      <c r="I1257" s="129"/>
      <c r="J1257" s="129"/>
      <c r="K1257" s="129"/>
      <c r="L1257" s="129"/>
      <c r="M1257" s="129"/>
      <c r="N1257" s="129"/>
      <c r="O1257" s="129"/>
      <c r="P1257" s="132"/>
      <c r="Q1257" s="132"/>
      <c r="R1257" s="135"/>
      <c r="S1257" s="132"/>
      <c r="T1257" s="129"/>
      <c r="U1257" s="132"/>
      <c r="V1257" s="132"/>
      <c r="W1257" s="132"/>
    </row>
    <row r="1258" spans="1:23" ht="15.75" customHeight="1">
      <c r="A1258" s="125"/>
      <c r="B1258" s="125"/>
      <c r="C1258" s="125"/>
      <c r="D1258" s="125"/>
      <c r="E1258" s="126"/>
      <c r="F1258" s="128"/>
      <c r="G1258" s="128"/>
      <c r="H1258" s="128"/>
      <c r="I1258" s="129"/>
      <c r="J1258" s="129"/>
      <c r="K1258" s="129"/>
      <c r="L1258" s="129"/>
      <c r="M1258" s="129"/>
      <c r="N1258" s="129"/>
      <c r="O1258" s="129"/>
      <c r="P1258" s="132"/>
      <c r="Q1258" s="132"/>
      <c r="R1258" s="135"/>
      <c r="S1258" s="132"/>
      <c r="T1258" s="129"/>
      <c r="U1258" s="132"/>
      <c r="V1258" s="132"/>
      <c r="W1258" s="132"/>
    </row>
    <row r="1259" spans="1:23" ht="15.75" customHeight="1">
      <c r="A1259" s="125"/>
      <c r="B1259" s="125"/>
      <c r="C1259" s="125"/>
      <c r="D1259" s="125"/>
      <c r="E1259" s="126"/>
      <c r="F1259" s="128"/>
      <c r="G1259" s="128"/>
      <c r="H1259" s="128"/>
      <c r="I1259" s="129"/>
      <c r="J1259" s="129"/>
      <c r="K1259" s="129"/>
      <c r="L1259" s="129"/>
      <c r="M1259" s="129"/>
      <c r="N1259" s="129"/>
      <c r="O1259" s="129"/>
      <c r="P1259" s="132"/>
      <c r="Q1259" s="132"/>
      <c r="R1259" s="135"/>
      <c r="S1259" s="132"/>
      <c r="T1259" s="129"/>
      <c r="U1259" s="132"/>
      <c r="V1259" s="132"/>
      <c r="W1259" s="132"/>
    </row>
    <row r="1260" spans="1:23" ht="15.75" customHeight="1">
      <c r="A1260" s="125"/>
      <c r="B1260" s="125"/>
      <c r="C1260" s="125"/>
      <c r="D1260" s="125"/>
      <c r="E1260" s="126"/>
      <c r="F1260" s="128"/>
      <c r="G1260" s="128"/>
      <c r="H1260" s="128"/>
      <c r="I1260" s="129"/>
      <c r="J1260" s="129"/>
      <c r="K1260" s="129"/>
      <c r="L1260" s="129"/>
      <c r="M1260" s="129"/>
      <c r="N1260" s="129"/>
      <c r="O1260" s="129"/>
      <c r="P1260" s="132"/>
      <c r="Q1260" s="132"/>
      <c r="R1260" s="135"/>
      <c r="S1260" s="132"/>
      <c r="T1260" s="129"/>
      <c r="U1260" s="132"/>
      <c r="V1260" s="132"/>
      <c r="W1260" s="132"/>
    </row>
    <row r="1261" spans="1:23" ht="15.75" customHeight="1">
      <c r="A1261" s="125"/>
      <c r="B1261" s="125"/>
      <c r="C1261" s="125"/>
      <c r="D1261" s="125"/>
      <c r="E1261" s="126"/>
      <c r="F1261" s="128"/>
      <c r="G1261" s="128"/>
      <c r="H1261" s="128"/>
      <c r="I1261" s="129"/>
      <c r="J1261" s="129"/>
      <c r="K1261" s="129"/>
      <c r="L1261" s="129"/>
      <c r="M1261" s="129"/>
      <c r="N1261" s="129"/>
      <c r="O1261" s="129"/>
      <c r="P1261" s="132"/>
      <c r="Q1261" s="132"/>
      <c r="R1261" s="135"/>
      <c r="S1261" s="132"/>
      <c r="T1261" s="129"/>
      <c r="U1261" s="132"/>
      <c r="V1261" s="132"/>
      <c r="W1261" s="132"/>
    </row>
    <row r="1262" spans="1:23" ht="15.75" customHeight="1">
      <c r="A1262" s="125"/>
      <c r="B1262" s="125"/>
      <c r="C1262" s="125"/>
      <c r="D1262" s="125"/>
      <c r="E1262" s="126"/>
      <c r="F1262" s="128"/>
      <c r="G1262" s="128"/>
      <c r="H1262" s="128"/>
      <c r="I1262" s="129"/>
      <c r="J1262" s="129"/>
      <c r="K1262" s="129"/>
      <c r="L1262" s="129"/>
      <c r="M1262" s="129"/>
      <c r="N1262" s="129"/>
      <c r="O1262" s="129"/>
      <c r="P1262" s="132"/>
      <c r="Q1262" s="132"/>
      <c r="R1262" s="135"/>
      <c r="S1262" s="132"/>
      <c r="T1262" s="129"/>
      <c r="U1262" s="132"/>
      <c r="V1262" s="132"/>
      <c r="W1262" s="132"/>
    </row>
    <row r="1263" spans="1:23" ht="15.75" customHeight="1">
      <c r="A1263" s="125"/>
      <c r="B1263" s="125"/>
      <c r="C1263" s="125"/>
      <c r="D1263" s="125"/>
      <c r="E1263" s="126"/>
      <c r="F1263" s="128"/>
      <c r="G1263" s="128"/>
      <c r="H1263" s="128"/>
      <c r="I1263" s="129"/>
      <c r="J1263" s="129"/>
      <c r="K1263" s="129"/>
      <c r="L1263" s="129"/>
      <c r="M1263" s="129"/>
      <c r="N1263" s="129"/>
      <c r="O1263" s="129"/>
      <c r="P1263" s="132"/>
      <c r="Q1263" s="132"/>
      <c r="R1263" s="135"/>
      <c r="S1263" s="132"/>
      <c r="T1263" s="129"/>
      <c r="U1263" s="132"/>
      <c r="V1263" s="132"/>
      <c r="W1263" s="132"/>
    </row>
    <row r="1264" spans="1:23" ht="15.75" customHeight="1">
      <c r="A1264" s="125"/>
      <c r="B1264" s="125"/>
      <c r="C1264" s="125"/>
      <c r="D1264" s="125"/>
      <c r="E1264" s="126"/>
      <c r="F1264" s="128"/>
      <c r="G1264" s="128"/>
      <c r="H1264" s="128"/>
      <c r="I1264" s="129"/>
      <c r="J1264" s="129"/>
      <c r="K1264" s="129"/>
      <c r="L1264" s="129"/>
      <c r="M1264" s="129"/>
      <c r="N1264" s="129"/>
      <c r="O1264" s="129"/>
      <c r="P1264" s="132"/>
      <c r="Q1264" s="132"/>
      <c r="R1264" s="135"/>
      <c r="S1264" s="132"/>
      <c r="T1264" s="129"/>
      <c r="U1264" s="132"/>
      <c r="V1264" s="132"/>
      <c r="W1264" s="132"/>
    </row>
    <row r="1265" spans="1:23" ht="15.75" customHeight="1">
      <c r="A1265" s="125"/>
      <c r="B1265" s="125"/>
      <c r="C1265" s="125"/>
      <c r="D1265" s="125"/>
      <c r="E1265" s="126"/>
      <c r="F1265" s="128"/>
      <c r="G1265" s="128"/>
      <c r="H1265" s="128"/>
      <c r="I1265" s="129"/>
      <c r="J1265" s="129"/>
      <c r="K1265" s="129"/>
      <c r="L1265" s="129"/>
      <c r="M1265" s="129"/>
      <c r="N1265" s="129"/>
      <c r="O1265" s="129"/>
      <c r="P1265" s="132"/>
      <c r="Q1265" s="132"/>
      <c r="R1265" s="135"/>
      <c r="S1265" s="132"/>
      <c r="T1265" s="129"/>
      <c r="U1265" s="132"/>
      <c r="V1265" s="132"/>
      <c r="W1265" s="132"/>
    </row>
    <row r="1266" spans="1:23" ht="15.75" customHeight="1">
      <c r="A1266" s="125"/>
      <c r="B1266" s="125"/>
      <c r="C1266" s="125"/>
      <c r="D1266" s="125"/>
      <c r="E1266" s="126"/>
      <c r="F1266" s="128"/>
      <c r="G1266" s="128"/>
      <c r="H1266" s="128"/>
      <c r="I1266" s="129"/>
      <c r="J1266" s="129"/>
      <c r="K1266" s="129"/>
      <c r="L1266" s="129"/>
      <c r="M1266" s="129"/>
      <c r="N1266" s="129"/>
      <c r="O1266" s="129"/>
      <c r="P1266" s="132"/>
      <c r="Q1266" s="132"/>
      <c r="R1266" s="135"/>
      <c r="S1266" s="132"/>
      <c r="T1266" s="129"/>
      <c r="U1266" s="132"/>
      <c r="V1266" s="132"/>
      <c r="W1266" s="132"/>
    </row>
    <row r="1267" spans="1:23" ht="15.75" customHeight="1">
      <c r="A1267" s="125"/>
      <c r="B1267" s="125"/>
      <c r="C1267" s="125"/>
      <c r="D1267" s="125"/>
      <c r="E1267" s="126"/>
      <c r="F1267" s="128"/>
      <c r="G1267" s="128"/>
      <c r="H1267" s="128"/>
      <c r="I1267" s="129"/>
      <c r="J1267" s="129"/>
      <c r="K1267" s="129"/>
      <c r="L1267" s="129"/>
      <c r="M1267" s="129"/>
      <c r="N1267" s="129"/>
      <c r="O1267" s="129"/>
      <c r="P1267" s="132"/>
      <c r="Q1267" s="132"/>
      <c r="R1267" s="135"/>
      <c r="S1267" s="132"/>
      <c r="T1267" s="129"/>
      <c r="U1267" s="132"/>
      <c r="V1267" s="132"/>
      <c r="W1267" s="132"/>
    </row>
    <row r="1268" spans="1:23" ht="15.75" customHeight="1">
      <c r="A1268" s="125"/>
      <c r="B1268" s="125"/>
      <c r="C1268" s="125"/>
      <c r="D1268" s="125"/>
      <c r="E1268" s="126"/>
      <c r="F1268" s="128"/>
      <c r="G1268" s="128"/>
      <c r="H1268" s="128"/>
      <c r="I1268" s="129"/>
      <c r="J1268" s="129"/>
      <c r="K1268" s="129"/>
      <c r="L1268" s="129"/>
      <c r="M1268" s="129"/>
      <c r="N1268" s="129"/>
      <c r="O1268" s="129"/>
      <c r="P1268" s="132"/>
      <c r="Q1268" s="132"/>
      <c r="R1268" s="135"/>
      <c r="S1268" s="132"/>
      <c r="T1268" s="129"/>
      <c r="U1268" s="132"/>
      <c r="V1268" s="132"/>
      <c r="W1268" s="132"/>
    </row>
    <row r="1269" spans="1:23" ht="15.75" customHeight="1">
      <c r="A1269" s="125"/>
      <c r="B1269" s="125"/>
      <c r="C1269" s="125"/>
      <c r="D1269" s="125"/>
      <c r="E1269" s="126"/>
      <c r="F1269" s="128"/>
      <c r="G1269" s="128"/>
      <c r="H1269" s="128"/>
      <c r="I1269" s="129"/>
      <c r="J1269" s="129"/>
      <c r="K1269" s="129"/>
      <c r="L1269" s="129"/>
      <c r="M1269" s="129"/>
      <c r="N1269" s="129"/>
      <c r="O1269" s="129"/>
      <c r="P1269" s="132"/>
      <c r="Q1269" s="132"/>
      <c r="R1269" s="135"/>
      <c r="S1269" s="132"/>
      <c r="T1269" s="129"/>
      <c r="U1269" s="132"/>
      <c r="V1269" s="132"/>
      <c r="W1269" s="132"/>
    </row>
    <row r="1270" spans="1:23" ht="15.75" customHeight="1">
      <c r="A1270" s="125"/>
      <c r="B1270" s="125"/>
      <c r="C1270" s="125"/>
      <c r="D1270" s="125"/>
      <c r="E1270" s="126"/>
      <c r="F1270" s="128"/>
      <c r="G1270" s="128"/>
      <c r="H1270" s="128"/>
      <c r="I1270" s="129"/>
      <c r="J1270" s="129"/>
      <c r="K1270" s="129"/>
      <c r="L1270" s="129"/>
      <c r="M1270" s="129"/>
      <c r="N1270" s="129"/>
      <c r="O1270" s="129"/>
      <c r="P1270" s="132"/>
      <c r="Q1270" s="132"/>
      <c r="R1270" s="135"/>
      <c r="S1270" s="132"/>
      <c r="T1270" s="129"/>
      <c r="U1270" s="132"/>
      <c r="V1270" s="132"/>
      <c r="W1270" s="132"/>
    </row>
    <row r="1271" spans="1:23" ht="15.75" customHeight="1">
      <c r="A1271" s="125"/>
      <c r="B1271" s="125"/>
      <c r="C1271" s="125"/>
      <c r="D1271" s="125"/>
      <c r="E1271" s="126"/>
      <c r="F1271" s="128"/>
      <c r="G1271" s="128"/>
      <c r="H1271" s="128"/>
      <c r="I1271" s="129"/>
      <c r="J1271" s="129"/>
      <c r="K1271" s="129"/>
      <c r="L1271" s="129"/>
      <c r="M1271" s="129"/>
      <c r="N1271" s="129"/>
      <c r="O1271" s="129"/>
      <c r="P1271" s="132"/>
      <c r="Q1271" s="132"/>
      <c r="R1271" s="135"/>
      <c r="S1271" s="132"/>
      <c r="T1271" s="129"/>
      <c r="U1271" s="132"/>
      <c r="V1271" s="132"/>
      <c r="W1271" s="132"/>
    </row>
    <row r="1272" spans="1:23" ht="15.75" customHeight="1">
      <c r="A1272" s="125"/>
      <c r="B1272" s="125"/>
      <c r="C1272" s="125"/>
      <c r="D1272" s="125"/>
      <c r="E1272" s="126"/>
      <c r="F1272" s="128"/>
      <c r="G1272" s="128"/>
      <c r="H1272" s="128"/>
      <c r="I1272" s="129"/>
      <c r="J1272" s="129"/>
      <c r="K1272" s="129"/>
      <c r="L1272" s="129"/>
      <c r="M1272" s="129"/>
      <c r="N1272" s="129"/>
      <c r="O1272" s="129"/>
      <c r="P1272" s="132"/>
      <c r="Q1272" s="132"/>
      <c r="R1272" s="135"/>
      <c r="S1272" s="132"/>
      <c r="T1272" s="129"/>
      <c r="U1272" s="132"/>
      <c r="V1272" s="132"/>
      <c r="W1272" s="132"/>
    </row>
    <row r="1273" spans="1:23" ht="15.75" customHeight="1">
      <c r="A1273" s="125"/>
      <c r="B1273" s="125"/>
      <c r="C1273" s="125"/>
      <c r="D1273" s="125"/>
      <c r="E1273" s="126"/>
      <c r="F1273" s="128"/>
      <c r="G1273" s="128"/>
      <c r="H1273" s="128"/>
      <c r="I1273" s="129"/>
      <c r="J1273" s="129"/>
      <c r="K1273" s="129"/>
      <c r="L1273" s="129"/>
      <c r="M1273" s="129"/>
      <c r="N1273" s="129"/>
      <c r="O1273" s="129"/>
      <c r="P1273" s="132"/>
      <c r="Q1273" s="132"/>
      <c r="R1273" s="135"/>
      <c r="S1273" s="132"/>
      <c r="T1273" s="129"/>
      <c r="U1273" s="132"/>
      <c r="V1273" s="132"/>
      <c r="W1273" s="132"/>
    </row>
    <row r="1274" spans="1:23" ht="15.75" customHeight="1">
      <c r="A1274" s="125"/>
      <c r="B1274" s="125"/>
      <c r="C1274" s="125"/>
      <c r="D1274" s="125"/>
      <c r="E1274" s="126"/>
      <c r="F1274" s="128"/>
      <c r="G1274" s="128"/>
      <c r="H1274" s="128"/>
      <c r="I1274" s="129"/>
      <c r="J1274" s="129"/>
      <c r="K1274" s="129"/>
      <c r="L1274" s="129"/>
      <c r="M1274" s="129"/>
      <c r="N1274" s="129"/>
      <c r="O1274" s="129"/>
      <c r="P1274" s="132"/>
      <c r="Q1274" s="132"/>
      <c r="R1274" s="135"/>
      <c r="S1274" s="132"/>
      <c r="T1274" s="129"/>
      <c r="U1274" s="132"/>
      <c r="V1274" s="132"/>
      <c r="W1274" s="132"/>
    </row>
    <row r="1275" spans="1:23" ht="15.75" customHeight="1">
      <c r="A1275" s="125"/>
      <c r="B1275" s="125"/>
      <c r="C1275" s="125"/>
      <c r="D1275" s="125"/>
      <c r="E1275" s="126"/>
      <c r="F1275" s="128"/>
      <c r="G1275" s="128"/>
      <c r="H1275" s="128"/>
      <c r="I1275" s="129"/>
      <c r="J1275" s="129"/>
      <c r="K1275" s="129"/>
      <c r="L1275" s="129"/>
      <c r="M1275" s="129"/>
      <c r="N1275" s="129"/>
      <c r="O1275" s="129"/>
      <c r="P1275" s="132"/>
      <c r="Q1275" s="132"/>
      <c r="R1275" s="135"/>
      <c r="S1275" s="132"/>
      <c r="T1275" s="129"/>
      <c r="U1275" s="132"/>
      <c r="V1275" s="132"/>
      <c r="W1275" s="132"/>
    </row>
    <row r="1276" spans="1:23" ht="15.75" customHeight="1">
      <c r="A1276" s="125"/>
      <c r="B1276" s="125"/>
      <c r="C1276" s="125"/>
      <c r="D1276" s="125"/>
      <c r="E1276" s="126"/>
      <c r="F1276" s="128"/>
      <c r="G1276" s="128"/>
      <c r="H1276" s="128"/>
      <c r="I1276" s="129"/>
      <c r="J1276" s="129"/>
      <c r="K1276" s="129"/>
      <c r="L1276" s="129"/>
      <c r="M1276" s="129"/>
      <c r="N1276" s="129"/>
      <c r="O1276" s="129"/>
      <c r="P1276" s="132"/>
      <c r="Q1276" s="132"/>
      <c r="R1276" s="135"/>
      <c r="S1276" s="132"/>
      <c r="T1276" s="129"/>
      <c r="U1276" s="132"/>
      <c r="V1276" s="132"/>
      <c r="W1276" s="132"/>
    </row>
    <row r="1277" spans="1:23" ht="15.75" customHeight="1">
      <c r="A1277" s="125"/>
      <c r="B1277" s="125"/>
      <c r="C1277" s="125"/>
      <c r="D1277" s="125"/>
      <c r="E1277" s="126"/>
      <c r="F1277" s="128"/>
      <c r="G1277" s="128"/>
      <c r="H1277" s="128"/>
      <c r="I1277" s="129"/>
      <c r="J1277" s="129"/>
      <c r="K1277" s="129"/>
      <c r="L1277" s="129"/>
      <c r="M1277" s="129"/>
      <c r="N1277" s="129"/>
      <c r="O1277" s="129"/>
      <c r="P1277" s="132"/>
      <c r="Q1277" s="132"/>
      <c r="R1277" s="135"/>
      <c r="S1277" s="132"/>
      <c r="T1277" s="129"/>
      <c r="U1277" s="132"/>
      <c r="V1277" s="132"/>
      <c r="W1277" s="132"/>
    </row>
    <row r="1278" spans="1:23" ht="15.75" customHeight="1">
      <c r="A1278" s="125"/>
      <c r="B1278" s="125"/>
      <c r="C1278" s="125"/>
      <c r="D1278" s="125"/>
      <c r="E1278" s="126"/>
      <c r="F1278" s="128"/>
      <c r="G1278" s="128"/>
      <c r="H1278" s="128"/>
      <c r="I1278" s="129"/>
      <c r="J1278" s="129"/>
      <c r="K1278" s="129"/>
      <c r="L1278" s="129"/>
      <c r="M1278" s="129"/>
      <c r="N1278" s="129"/>
      <c r="O1278" s="129"/>
      <c r="P1278" s="132"/>
      <c r="Q1278" s="132"/>
      <c r="R1278" s="135"/>
      <c r="S1278" s="132"/>
      <c r="T1278" s="129"/>
      <c r="U1278" s="132"/>
      <c r="V1278" s="132"/>
      <c r="W1278" s="132"/>
    </row>
    <row r="1279" spans="1:23" ht="15.75" customHeight="1">
      <c r="A1279" s="125"/>
      <c r="B1279" s="125"/>
      <c r="C1279" s="125"/>
      <c r="D1279" s="125"/>
      <c r="E1279" s="126"/>
      <c r="F1279" s="128"/>
      <c r="G1279" s="128"/>
      <c r="H1279" s="128"/>
      <c r="I1279" s="129"/>
      <c r="J1279" s="129"/>
      <c r="K1279" s="129"/>
      <c r="L1279" s="129"/>
      <c r="M1279" s="129"/>
      <c r="N1279" s="129"/>
      <c r="O1279" s="129"/>
      <c r="P1279" s="132"/>
      <c r="Q1279" s="132"/>
      <c r="R1279" s="135"/>
      <c r="S1279" s="132"/>
      <c r="T1279" s="129"/>
      <c r="U1279" s="132"/>
      <c r="V1279" s="132"/>
      <c r="W1279" s="132"/>
    </row>
    <row r="1280" spans="1:23" ht="15.75" customHeight="1">
      <c r="A1280" s="125"/>
      <c r="B1280" s="125"/>
      <c r="C1280" s="125"/>
      <c r="D1280" s="125"/>
      <c r="E1280" s="126"/>
      <c r="F1280" s="128"/>
      <c r="G1280" s="128"/>
      <c r="H1280" s="128"/>
      <c r="I1280" s="129"/>
      <c r="J1280" s="129"/>
      <c r="K1280" s="129"/>
      <c r="L1280" s="129"/>
      <c r="M1280" s="129"/>
      <c r="N1280" s="129"/>
      <c r="O1280" s="129"/>
      <c r="P1280" s="132"/>
      <c r="Q1280" s="132"/>
      <c r="R1280" s="135"/>
      <c r="S1280" s="132"/>
      <c r="T1280" s="129"/>
      <c r="U1280" s="132"/>
      <c r="V1280" s="132"/>
      <c r="W1280" s="132"/>
    </row>
    <row r="1281" spans="1:23" ht="15.75" customHeight="1">
      <c r="A1281" s="125"/>
      <c r="B1281" s="125"/>
      <c r="C1281" s="125"/>
      <c r="D1281" s="125"/>
      <c r="E1281" s="126"/>
      <c r="F1281" s="128"/>
      <c r="G1281" s="128"/>
      <c r="H1281" s="128"/>
      <c r="I1281" s="129"/>
      <c r="J1281" s="129"/>
      <c r="K1281" s="129"/>
      <c r="L1281" s="129"/>
      <c r="M1281" s="129"/>
      <c r="N1281" s="129"/>
      <c r="O1281" s="129"/>
      <c r="P1281" s="132"/>
      <c r="Q1281" s="132"/>
      <c r="R1281" s="135"/>
      <c r="S1281" s="132"/>
      <c r="T1281" s="129"/>
      <c r="U1281" s="132"/>
      <c r="V1281" s="132"/>
      <c r="W1281" s="132"/>
    </row>
    <row r="1282" spans="1:23" ht="15.75" customHeight="1">
      <c r="A1282" s="125"/>
      <c r="B1282" s="125"/>
      <c r="C1282" s="125"/>
      <c r="D1282" s="125"/>
      <c r="E1282" s="126"/>
      <c r="F1282" s="128"/>
      <c r="G1282" s="128"/>
      <c r="H1282" s="128"/>
      <c r="I1282" s="129"/>
      <c r="J1282" s="129"/>
      <c r="K1282" s="129"/>
      <c r="L1282" s="129"/>
      <c r="M1282" s="129"/>
      <c r="N1282" s="129"/>
      <c r="O1282" s="129"/>
      <c r="P1282" s="132"/>
      <c r="Q1282" s="132"/>
      <c r="R1282" s="135"/>
      <c r="S1282" s="132"/>
      <c r="T1282" s="129"/>
      <c r="U1282" s="132"/>
      <c r="V1282" s="132"/>
      <c r="W1282" s="132"/>
    </row>
    <row r="1283" spans="1:23" ht="15.75" customHeight="1">
      <c r="A1283" s="125"/>
      <c r="B1283" s="125"/>
      <c r="C1283" s="125"/>
      <c r="D1283" s="125"/>
      <c r="E1283" s="126"/>
      <c r="F1283" s="128"/>
      <c r="G1283" s="128"/>
      <c r="H1283" s="128"/>
      <c r="I1283" s="129"/>
      <c r="J1283" s="129"/>
      <c r="K1283" s="129"/>
      <c r="L1283" s="129"/>
      <c r="M1283" s="129"/>
      <c r="N1283" s="129"/>
      <c r="O1283" s="129"/>
      <c r="P1283" s="132"/>
      <c r="Q1283" s="132"/>
      <c r="R1283" s="135"/>
      <c r="S1283" s="132"/>
      <c r="T1283" s="129"/>
      <c r="U1283" s="132"/>
      <c r="V1283" s="132"/>
      <c r="W1283" s="132"/>
    </row>
    <row r="1284" spans="1:23" ht="15.75" customHeight="1">
      <c r="A1284" s="125"/>
      <c r="B1284" s="125"/>
      <c r="C1284" s="125"/>
      <c r="D1284" s="125"/>
      <c r="E1284" s="126"/>
      <c r="F1284" s="128"/>
      <c r="G1284" s="128"/>
      <c r="H1284" s="128"/>
      <c r="I1284" s="129"/>
      <c r="J1284" s="129"/>
      <c r="K1284" s="129"/>
      <c r="L1284" s="129"/>
      <c r="M1284" s="129"/>
      <c r="N1284" s="129"/>
      <c r="O1284" s="129"/>
      <c r="P1284" s="132"/>
      <c r="Q1284" s="132"/>
      <c r="R1284" s="135"/>
      <c r="S1284" s="132"/>
      <c r="T1284" s="129"/>
      <c r="U1284" s="132"/>
      <c r="V1284" s="132"/>
      <c r="W1284" s="132"/>
    </row>
    <row r="1285" spans="1:23" ht="15.75" customHeight="1">
      <c r="A1285" s="125"/>
      <c r="B1285" s="125"/>
      <c r="C1285" s="125"/>
      <c r="D1285" s="125"/>
      <c r="E1285" s="126"/>
      <c r="F1285" s="128"/>
      <c r="G1285" s="128"/>
      <c r="H1285" s="128"/>
      <c r="I1285" s="129"/>
      <c r="J1285" s="129"/>
      <c r="K1285" s="129"/>
      <c r="L1285" s="129"/>
      <c r="M1285" s="129"/>
      <c r="N1285" s="129"/>
      <c r="O1285" s="129"/>
      <c r="P1285" s="132"/>
      <c r="Q1285" s="132"/>
      <c r="R1285" s="135"/>
      <c r="S1285" s="132"/>
      <c r="T1285" s="129"/>
      <c r="U1285" s="132"/>
      <c r="V1285" s="132"/>
      <c r="W1285" s="132"/>
    </row>
    <row r="1286" spans="1:23" ht="15.75" customHeight="1">
      <c r="A1286" s="125"/>
      <c r="B1286" s="125"/>
      <c r="C1286" s="125"/>
      <c r="D1286" s="125"/>
      <c r="E1286" s="126"/>
      <c r="F1286" s="128"/>
      <c r="G1286" s="128"/>
      <c r="H1286" s="128"/>
      <c r="I1286" s="129"/>
      <c r="J1286" s="129"/>
      <c r="K1286" s="129"/>
      <c r="L1286" s="129"/>
      <c r="M1286" s="129"/>
      <c r="N1286" s="129"/>
      <c r="O1286" s="129"/>
      <c r="P1286" s="132"/>
      <c r="Q1286" s="132"/>
      <c r="R1286" s="135"/>
      <c r="S1286" s="132"/>
      <c r="T1286" s="129"/>
      <c r="U1286" s="132"/>
      <c r="V1286" s="132"/>
      <c r="W1286" s="132"/>
    </row>
    <row r="1287" spans="1:23" ht="15.75" customHeight="1">
      <c r="A1287" s="125"/>
      <c r="B1287" s="125"/>
      <c r="C1287" s="125"/>
      <c r="D1287" s="125"/>
      <c r="E1287" s="126"/>
      <c r="F1287" s="128"/>
      <c r="G1287" s="128"/>
      <c r="H1287" s="128"/>
      <c r="I1287" s="129"/>
      <c r="J1287" s="129"/>
      <c r="K1287" s="129"/>
      <c r="L1287" s="129"/>
      <c r="M1287" s="129"/>
      <c r="N1287" s="129"/>
      <c r="O1287" s="129"/>
      <c r="P1287" s="132"/>
      <c r="Q1287" s="132"/>
      <c r="R1287" s="135"/>
      <c r="S1287" s="132"/>
      <c r="T1287" s="129"/>
      <c r="U1287" s="132"/>
      <c r="V1287" s="132"/>
      <c r="W1287" s="132"/>
    </row>
    <row r="1288" spans="1:23" ht="15.75" customHeight="1">
      <c r="A1288" s="125"/>
      <c r="B1288" s="125"/>
      <c r="C1288" s="125"/>
      <c r="D1288" s="125"/>
      <c r="E1288" s="126"/>
      <c r="F1288" s="128"/>
      <c r="G1288" s="128"/>
      <c r="H1288" s="128"/>
      <c r="I1288" s="129"/>
      <c r="J1288" s="129"/>
      <c r="K1288" s="129"/>
      <c r="L1288" s="129"/>
      <c r="M1288" s="129"/>
      <c r="N1288" s="129"/>
      <c r="O1288" s="129"/>
      <c r="P1288" s="132"/>
      <c r="Q1288" s="132"/>
      <c r="R1288" s="135"/>
      <c r="S1288" s="132"/>
      <c r="T1288" s="129"/>
      <c r="U1288" s="132"/>
      <c r="V1288" s="132"/>
      <c r="W1288" s="132"/>
    </row>
    <row r="1289" spans="1:23" ht="15.75" customHeight="1">
      <c r="A1289" s="125"/>
      <c r="B1289" s="125"/>
      <c r="C1289" s="125"/>
      <c r="D1289" s="125"/>
      <c r="E1289" s="126"/>
      <c r="F1289" s="128"/>
      <c r="G1289" s="128"/>
      <c r="H1289" s="128"/>
      <c r="I1289" s="129"/>
      <c r="J1289" s="129"/>
      <c r="K1289" s="129"/>
      <c r="L1289" s="129"/>
      <c r="M1289" s="129"/>
      <c r="N1289" s="129"/>
      <c r="O1289" s="129"/>
      <c r="P1289" s="132"/>
      <c r="Q1289" s="132"/>
      <c r="R1289" s="135"/>
      <c r="S1289" s="132"/>
      <c r="T1289" s="129"/>
      <c r="U1289" s="132"/>
      <c r="V1289" s="132"/>
      <c r="W1289" s="132"/>
    </row>
    <row r="1290" spans="1:23" ht="15.75" customHeight="1">
      <c r="A1290" s="125"/>
      <c r="B1290" s="125"/>
      <c r="C1290" s="125"/>
      <c r="D1290" s="125"/>
      <c r="E1290" s="126"/>
      <c r="F1290" s="128"/>
      <c r="G1290" s="128"/>
      <c r="H1290" s="128"/>
      <c r="I1290" s="129"/>
      <c r="J1290" s="129"/>
      <c r="K1290" s="129"/>
      <c r="L1290" s="129"/>
      <c r="M1290" s="129"/>
      <c r="N1290" s="129"/>
      <c r="O1290" s="129"/>
      <c r="P1290" s="132"/>
      <c r="Q1290" s="132"/>
      <c r="R1290" s="135"/>
      <c r="S1290" s="132"/>
      <c r="T1290" s="129"/>
      <c r="U1290" s="132"/>
      <c r="V1290" s="132"/>
      <c r="W1290" s="132"/>
    </row>
    <row r="1291" spans="1:23" ht="15.75" customHeight="1">
      <c r="A1291" s="125"/>
      <c r="B1291" s="125"/>
      <c r="C1291" s="125"/>
      <c r="D1291" s="125"/>
      <c r="E1291" s="126"/>
      <c r="F1291" s="128"/>
      <c r="G1291" s="128"/>
      <c r="H1291" s="128"/>
      <c r="I1291" s="129"/>
      <c r="J1291" s="129"/>
      <c r="K1291" s="129"/>
      <c r="L1291" s="129"/>
      <c r="M1291" s="129"/>
      <c r="N1291" s="129"/>
      <c r="O1291" s="129"/>
      <c r="P1291" s="132"/>
      <c r="Q1291" s="132"/>
      <c r="R1291" s="135"/>
      <c r="S1291" s="132"/>
      <c r="T1291" s="129"/>
      <c r="U1291" s="132"/>
      <c r="V1291" s="132"/>
      <c r="W1291" s="132"/>
    </row>
    <row r="1292" spans="1:23" ht="15.75" customHeight="1">
      <c r="A1292" s="125"/>
      <c r="B1292" s="125"/>
      <c r="C1292" s="125"/>
      <c r="D1292" s="125"/>
      <c r="E1292" s="126"/>
      <c r="F1292" s="128"/>
      <c r="G1292" s="128"/>
      <c r="H1292" s="128"/>
      <c r="I1292" s="129"/>
      <c r="J1292" s="129"/>
      <c r="K1292" s="129"/>
      <c r="L1292" s="129"/>
      <c r="M1292" s="129"/>
      <c r="N1292" s="129"/>
      <c r="O1292" s="129"/>
      <c r="P1292" s="132"/>
      <c r="Q1292" s="132"/>
      <c r="R1292" s="135"/>
      <c r="S1292" s="132"/>
      <c r="T1292" s="129"/>
      <c r="U1292" s="132"/>
      <c r="V1292" s="132"/>
      <c r="W1292" s="132"/>
    </row>
    <row r="1293" spans="1:23" ht="15.75" customHeight="1">
      <c r="A1293" s="125"/>
      <c r="B1293" s="125"/>
      <c r="C1293" s="125"/>
      <c r="D1293" s="125"/>
      <c r="E1293" s="126"/>
      <c r="F1293" s="128"/>
      <c r="G1293" s="128"/>
      <c r="H1293" s="128"/>
      <c r="I1293" s="129"/>
      <c r="J1293" s="129"/>
      <c r="K1293" s="129"/>
      <c r="L1293" s="129"/>
      <c r="M1293" s="129"/>
      <c r="N1293" s="129"/>
      <c r="O1293" s="129"/>
      <c r="P1293" s="132"/>
      <c r="Q1293" s="132"/>
      <c r="R1293" s="135"/>
      <c r="S1293" s="132"/>
      <c r="T1293" s="129"/>
      <c r="U1293" s="132"/>
      <c r="V1293" s="132"/>
      <c r="W1293" s="132"/>
    </row>
    <row r="1294" spans="1:23" ht="15.75" customHeight="1">
      <c r="A1294" s="125"/>
      <c r="B1294" s="125"/>
      <c r="C1294" s="125"/>
      <c r="D1294" s="125"/>
      <c r="E1294" s="126"/>
      <c r="F1294" s="128"/>
      <c r="G1294" s="128"/>
      <c r="H1294" s="128"/>
      <c r="I1294" s="129"/>
      <c r="J1294" s="129"/>
      <c r="K1294" s="129"/>
      <c r="L1294" s="129"/>
      <c r="M1294" s="129"/>
      <c r="N1294" s="129"/>
      <c r="O1294" s="129"/>
      <c r="P1294" s="132"/>
      <c r="Q1294" s="132"/>
      <c r="R1294" s="135"/>
      <c r="S1294" s="132"/>
      <c r="T1294" s="129"/>
      <c r="U1294" s="132"/>
      <c r="V1294" s="132"/>
      <c r="W1294" s="132"/>
    </row>
    <row r="1295" spans="1:23" ht="15.75" customHeight="1">
      <c r="A1295" s="125"/>
      <c r="B1295" s="125"/>
      <c r="C1295" s="125"/>
      <c r="D1295" s="125"/>
      <c r="E1295" s="126"/>
      <c r="F1295" s="128"/>
      <c r="G1295" s="128"/>
      <c r="H1295" s="128"/>
      <c r="I1295" s="129"/>
      <c r="J1295" s="129"/>
      <c r="K1295" s="129"/>
      <c r="L1295" s="129"/>
      <c r="M1295" s="129"/>
      <c r="N1295" s="129"/>
      <c r="O1295" s="129"/>
      <c r="P1295" s="132"/>
      <c r="Q1295" s="132"/>
      <c r="R1295" s="135"/>
      <c r="S1295" s="132"/>
      <c r="T1295" s="129"/>
      <c r="U1295" s="132"/>
      <c r="V1295" s="132"/>
      <c r="W1295" s="132"/>
    </row>
    <row r="1296" spans="1:23" ht="15.75" customHeight="1">
      <c r="A1296" s="125"/>
      <c r="B1296" s="125"/>
      <c r="C1296" s="125"/>
      <c r="D1296" s="125"/>
      <c r="E1296" s="126"/>
      <c r="F1296" s="128"/>
      <c r="G1296" s="128"/>
      <c r="H1296" s="128"/>
      <c r="I1296" s="129"/>
      <c r="J1296" s="129"/>
      <c r="K1296" s="129"/>
      <c r="L1296" s="129"/>
      <c r="M1296" s="129"/>
      <c r="N1296" s="129"/>
      <c r="O1296" s="129"/>
      <c r="P1296" s="132"/>
      <c r="Q1296" s="132"/>
      <c r="R1296" s="135"/>
      <c r="S1296" s="132"/>
      <c r="T1296" s="129"/>
      <c r="U1296" s="132"/>
      <c r="V1296" s="132"/>
      <c r="W1296" s="132"/>
    </row>
    <row r="1297" spans="1:23" ht="15.75" customHeight="1">
      <c r="A1297" s="125"/>
      <c r="B1297" s="125"/>
      <c r="C1297" s="125"/>
      <c r="D1297" s="125"/>
      <c r="E1297" s="126"/>
      <c r="F1297" s="128"/>
      <c r="G1297" s="128"/>
      <c r="H1297" s="128"/>
      <c r="I1297" s="129"/>
      <c r="J1297" s="129"/>
      <c r="K1297" s="129"/>
      <c r="L1297" s="129"/>
      <c r="M1297" s="129"/>
      <c r="N1297" s="129"/>
      <c r="O1297" s="129"/>
      <c r="P1297" s="132"/>
      <c r="Q1297" s="132"/>
      <c r="R1297" s="135"/>
      <c r="S1297" s="132"/>
      <c r="T1297" s="129"/>
      <c r="U1297" s="132"/>
      <c r="V1297" s="132"/>
      <c r="W1297" s="132"/>
    </row>
    <row r="1298" spans="1:23" ht="15.75" customHeight="1">
      <c r="A1298" s="125"/>
      <c r="B1298" s="125"/>
      <c r="C1298" s="125"/>
      <c r="D1298" s="125"/>
      <c r="E1298" s="126"/>
      <c r="F1298" s="128"/>
      <c r="G1298" s="128"/>
      <c r="H1298" s="128"/>
      <c r="I1298" s="129"/>
      <c r="J1298" s="129"/>
      <c r="K1298" s="129"/>
      <c r="L1298" s="129"/>
      <c r="M1298" s="129"/>
      <c r="N1298" s="129"/>
      <c r="O1298" s="129"/>
      <c r="P1298" s="132"/>
      <c r="Q1298" s="132"/>
      <c r="R1298" s="135"/>
      <c r="S1298" s="132"/>
      <c r="T1298" s="129"/>
      <c r="U1298" s="132"/>
      <c r="V1298" s="132"/>
      <c r="W1298" s="132"/>
    </row>
    <row r="1299" spans="1:23" ht="15.75" customHeight="1">
      <c r="A1299" s="125"/>
      <c r="B1299" s="125"/>
      <c r="C1299" s="125"/>
      <c r="D1299" s="125"/>
      <c r="E1299" s="126"/>
      <c r="F1299" s="128"/>
      <c r="G1299" s="128"/>
      <c r="H1299" s="128"/>
      <c r="I1299" s="129"/>
      <c r="J1299" s="129"/>
      <c r="K1299" s="129"/>
      <c r="L1299" s="129"/>
      <c r="M1299" s="129"/>
      <c r="N1299" s="129"/>
      <c r="O1299" s="129"/>
      <c r="P1299" s="132"/>
      <c r="Q1299" s="132"/>
      <c r="R1299" s="135"/>
      <c r="S1299" s="132"/>
      <c r="T1299" s="129"/>
      <c r="U1299" s="132"/>
      <c r="V1299" s="132"/>
      <c r="W1299" s="132"/>
    </row>
    <row r="1300" spans="1:23" ht="15.75" customHeight="1">
      <c r="A1300" s="125"/>
      <c r="B1300" s="125"/>
      <c r="C1300" s="125"/>
      <c r="D1300" s="125"/>
      <c r="E1300" s="126"/>
      <c r="F1300" s="128"/>
      <c r="G1300" s="128"/>
      <c r="H1300" s="128"/>
      <c r="I1300" s="129"/>
      <c r="J1300" s="129"/>
      <c r="K1300" s="129"/>
      <c r="L1300" s="129"/>
      <c r="M1300" s="129"/>
      <c r="N1300" s="129"/>
      <c r="O1300" s="129"/>
      <c r="P1300" s="132"/>
      <c r="Q1300" s="132"/>
      <c r="R1300" s="135"/>
      <c r="S1300" s="132"/>
      <c r="T1300" s="129"/>
      <c r="U1300" s="132"/>
      <c r="V1300" s="132"/>
      <c r="W1300" s="132"/>
    </row>
    <row r="1301" spans="1:23" ht="15.75" customHeight="1">
      <c r="A1301" s="125"/>
      <c r="B1301" s="125"/>
      <c r="C1301" s="125"/>
      <c r="D1301" s="125"/>
      <c r="E1301" s="126"/>
      <c r="F1301" s="128"/>
      <c r="G1301" s="128"/>
      <c r="H1301" s="128"/>
      <c r="I1301" s="129"/>
      <c r="J1301" s="129"/>
      <c r="K1301" s="129"/>
      <c r="L1301" s="129"/>
      <c r="M1301" s="129"/>
      <c r="N1301" s="129"/>
      <c r="O1301" s="129"/>
      <c r="P1301" s="132"/>
      <c r="Q1301" s="132"/>
      <c r="R1301" s="135"/>
      <c r="S1301" s="132"/>
      <c r="T1301" s="129"/>
      <c r="U1301" s="132"/>
      <c r="V1301" s="132"/>
      <c r="W1301" s="132"/>
    </row>
    <row r="1302" spans="1:23" ht="15.75" customHeight="1">
      <c r="A1302" s="125"/>
      <c r="B1302" s="125"/>
      <c r="C1302" s="125"/>
      <c r="D1302" s="125"/>
      <c r="E1302" s="126"/>
      <c r="F1302" s="128"/>
      <c r="G1302" s="128"/>
      <c r="H1302" s="128"/>
      <c r="I1302" s="129"/>
      <c r="J1302" s="129"/>
      <c r="K1302" s="129"/>
      <c r="L1302" s="129"/>
      <c r="M1302" s="129"/>
      <c r="N1302" s="129"/>
      <c r="O1302" s="129"/>
      <c r="P1302" s="132"/>
      <c r="Q1302" s="132"/>
      <c r="R1302" s="135"/>
      <c r="S1302" s="132"/>
      <c r="T1302" s="129"/>
      <c r="U1302" s="132"/>
      <c r="V1302" s="132"/>
      <c r="W1302" s="132"/>
    </row>
    <row r="1303" spans="1:23" ht="15.75" customHeight="1">
      <c r="A1303" s="125"/>
      <c r="B1303" s="125"/>
      <c r="C1303" s="125"/>
      <c r="D1303" s="125"/>
      <c r="E1303" s="126"/>
      <c r="F1303" s="128"/>
      <c r="G1303" s="128"/>
      <c r="H1303" s="128"/>
      <c r="I1303" s="129"/>
      <c r="J1303" s="129"/>
      <c r="K1303" s="129"/>
      <c r="L1303" s="129"/>
      <c r="M1303" s="129"/>
      <c r="N1303" s="129"/>
      <c r="O1303" s="129"/>
      <c r="P1303" s="132"/>
      <c r="Q1303" s="132"/>
      <c r="R1303" s="135"/>
      <c r="S1303" s="132"/>
      <c r="T1303" s="129"/>
      <c r="U1303" s="132"/>
      <c r="V1303" s="132"/>
      <c r="W1303" s="132"/>
    </row>
    <row r="1304" spans="1:23" ht="15.75" customHeight="1">
      <c r="A1304" s="125"/>
      <c r="B1304" s="125"/>
      <c r="C1304" s="125"/>
      <c r="D1304" s="125"/>
      <c r="E1304" s="126"/>
      <c r="F1304" s="128"/>
      <c r="G1304" s="128"/>
      <c r="H1304" s="128"/>
      <c r="I1304" s="129"/>
      <c r="J1304" s="129"/>
      <c r="K1304" s="129"/>
      <c r="L1304" s="129"/>
      <c r="M1304" s="129"/>
      <c r="N1304" s="129"/>
      <c r="O1304" s="129"/>
      <c r="P1304" s="132"/>
      <c r="Q1304" s="132"/>
      <c r="R1304" s="135"/>
      <c r="S1304" s="132"/>
      <c r="T1304" s="129"/>
      <c r="U1304" s="132"/>
      <c r="V1304" s="132"/>
      <c r="W1304" s="132"/>
    </row>
    <row r="1305" spans="1:23" ht="15.75" customHeight="1">
      <c r="A1305" s="125"/>
      <c r="B1305" s="125"/>
      <c r="C1305" s="125"/>
      <c r="D1305" s="125"/>
      <c r="E1305" s="126"/>
      <c r="F1305" s="128"/>
      <c r="G1305" s="128"/>
      <c r="H1305" s="128"/>
      <c r="I1305" s="129"/>
      <c r="J1305" s="129"/>
      <c r="K1305" s="129"/>
      <c r="L1305" s="129"/>
      <c r="M1305" s="129"/>
      <c r="N1305" s="129"/>
      <c r="O1305" s="129"/>
      <c r="P1305" s="132"/>
      <c r="Q1305" s="132"/>
      <c r="R1305" s="135"/>
      <c r="S1305" s="132"/>
      <c r="T1305" s="129"/>
      <c r="U1305" s="132"/>
      <c r="V1305" s="132"/>
      <c r="W1305" s="132"/>
    </row>
    <row r="1306" spans="1:23" ht="15.75" customHeight="1">
      <c r="A1306" s="125"/>
      <c r="B1306" s="125"/>
      <c r="C1306" s="125"/>
      <c r="D1306" s="125"/>
      <c r="E1306" s="126"/>
      <c r="F1306" s="128"/>
      <c r="G1306" s="128"/>
      <c r="H1306" s="128"/>
      <c r="I1306" s="129"/>
      <c r="J1306" s="129"/>
      <c r="K1306" s="129"/>
      <c r="L1306" s="129"/>
      <c r="M1306" s="129"/>
      <c r="N1306" s="129"/>
      <c r="O1306" s="129"/>
      <c r="P1306" s="132"/>
      <c r="Q1306" s="132"/>
      <c r="R1306" s="135"/>
      <c r="S1306" s="132"/>
      <c r="T1306" s="129"/>
      <c r="U1306" s="132"/>
      <c r="V1306" s="132"/>
      <c r="W1306" s="132"/>
    </row>
    <row r="1307" spans="1:23" ht="15.75" customHeight="1">
      <c r="A1307" s="125"/>
      <c r="B1307" s="125"/>
      <c r="C1307" s="125"/>
      <c r="D1307" s="125"/>
      <c r="E1307" s="126"/>
      <c r="F1307" s="128"/>
      <c r="G1307" s="128"/>
      <c r="H1307" s="128"/>
      <c r="I1307" s="129"/>
      <c r="J1307" s="129"/>
      <c r="K1307" s="129"/>
      <c r="L1307" s="129"/>
      <c r="M1307" s="129"/>
      <c r="N1307" s="129"/>
      <c r="O1307" s="129"/>
      <c r="P1307" s="132"/>
      <c r="Q1307" s="132"/>
      <c r="R1307" s="135"/>
      <c r="S1307" s="132"/>
      <c r="T1307" s="129"/>
      <c r="U1307" s="132"/>
      <c r="V1307" s="132"/>
      <c r="W1307" s="132"/>
    </row>
    <row r="1308" spans="1:23" ht="15.75" customHeight="1">
      <c r="A1308" s="125"/>
      <c r="B1308" s="125"/>
      <c r="C1308" s="125"/>
      <c r="D1308" s="125"/>
      <c r="E1308" s="126"/>
      <c r="F1308" s="128"/>
      <c r="G1308" s="128"/>
      <c r="H1308" s="128"/>
      <c r="I1308" s="129"/>
      <c r="J1308" s="129"/>
      <c r="K1308" s="129"/>
      <c r="L1308" s="129"/>
      <c r="M1308" s="129"/>
      <c r="N1308" s="129"/>
      <c r="O1308" s="129"/>
      <c r="P1308" s="132"/>
      <c r="Q1308" s="132"/>
      <c r="R1308" s="135"/>
      <c r="S1308" s="132"/>
      <c r="T1308" s="129"/>
      <c r="U1308" s="132"/>
      <c r="V1308" s="132"/>
      <c r="W1308" s="132"/>
    </row>
    <row r="1309" spans="1:23" ht="15.75" customHeight="1">
      <c r="A1309" s="125"/>
      <c r="B1309" s="125"/>
      <c r="C1309" s="125"/>
      <c r="D1309" s="125"/>
      <c r="E1309" s="126"/>
      <c r="F1309" s="128"/>
      <c r="G1309" s="128"/>
      <c r="H1309" s="128"/>
      <c r="I1309" s="129"/>
      <c r="J1309" s="129"/>
      <c r="K1309" s="129"/>
      <c r="L1309" s="129"/>
      <c r="M1309" s="129"/>
      <c r="N1309" s="129"/>
      <c r="O1309" s="129"/>
      <c r="P1309" s="132"/>
      <c r="Q1309" s="132"/>
      <c r="R1309" s="135"/>
      <c r="S1309" s="132"/>
      <c r="T1309" s="129"/>
      <c r="U1309" s="132"/>
      <c r="V1309" s="132"/>
      <c r="W1309" s="132"/>
    </row>
    <row r="1310" spans="1:23" ht="15.75" customHeight="1">
      <c r="A1310" s="125"/>
      <c r="B1310" s="125"/>
      <c r="C1310" s="125"/>
      <c r="D1310" s="125"/>
      <c r="E1310" s="126"/>
      <c r="F1310" s="128"/>
      <c r="G1310" s="128"/>
      <c r="H1310" s="128"/>
      <c r="I1310" s="129"/>
      <c r="J1310" s="129"/>
      <c r="K1310" s="129"/>
      <c r="L1310" s="129"/>
      <c r="M1310" s="129"/>
      <c r="N1310" s="129"/>
      <c r="O1310" s="129"/>
      <c r="P1310" s="132"/>
      <c r="Q1310" s="132"/>
      <c r="R1310" s="135"/>
      <c r="S1310" s="132"/>
      <c r="T1310" s="129"/>
      <c r="U1310" s="132"/>
      <c r="V1310" s="132"/>
      <c r="W1310" s="132"/>
    </row>
    <row r="1311" spans="1:23" ht="15.75" customHeight="1">
      <c r="A1311" s="125"/>
      <c r="B1311" s="125"/>
      <c r="C1311" s="125"/>
      <c r="D1311" s="125"/>
      <c r="E1311" s="126"/>
      <c r="F1311" s="128"/>
      <c r="G1311" s="128"/>
      <c r="H1311" s="128"/>
      <c r="I1311" s="129"/>
      <c r="J1311" s="129"/>
      <c r="K1311" s="129"/>
      <c r="L1311" s="129"/>
      <c r="M1311" s="129"/>
      <c r="N1311" s="129"/>
      <c r="O1311" s="129"/>
      <c r="P1311" s="132"/>
      <c r="Q1311" s="132"/>
      <c r="R1311" s="135"/>
      <c r="S1311" s="132"/>
      <c r="T1311" s="129"/>
      <c r="U1311" s="132"/>
      <c r="V1311" s="132"/>
      <c r="W1311" s="132"/>
    </row>
    <row r="1312" spans="1:23" ht="15.75" customHeight="1">
      <c r="A1312" s="125"/>
      <c r="B1312" s="125"/>
      <c r="C1312" s="125"/>
      <c r="D1312" s="125"/>
      <c r="E1312" s="126"/>
      <c r="F1312" s="128"/>
      <c r="G1312" s="128"/>
      <c r="H1312" s="128"/>
      <c r="I1312" s="129"/>
      <c r="J1312" s="129"/>
      <c r="K1312" s="129"/>
      <c r="L1312" s="129"/>
      <c r="M1312" s="129"/>
      <c r="N1312" s="129"/>
      <c r="O1312" s="129"/>
      <c r="P1312" s="132"/>
      <c r="Q1312" s="132"/>
      <c r="R1312" s="135"/>
      <c r="S1312" s="132"/>
      <c r="T1312" s="129"/>
      <c r="U1312" s="132"/>
      <c r="V1312" s="132"/>
      <c r="W1312" s="132"/>
    </row>
    <row r="1313" spans="1:23" ht="15.75" customHeight="1">
      <c r="A1313" s="125"/>
      <c r="B1313" s="125"/>
      <c r="C1313" s="125"/>
      <c r="D1313" s="125"/>
      <c r="E1313" s="126"/>
      <c r="F1313" s="128"/>
      <c r="G1313" s="128"/>
      <c r="H1313" s="128"/>
      <c r="I1313" s="129"/>
      <c r="J1313" s="129"/>
      <c r="K1313" s="129"/>
      <c r="L1313" s="129"/>
      <c r="M1313" s="129"/>
      <c r="N1313" s="129"/>
      <c r="O1313" s="129"/>
      <c r="P1313" s="132"/>
      <c r="Q1313" s="132"/>
      <c r="R1313" s="135"/>
      <c r="S1313" s="132"/>
      <c r="T1313" s="129"/>
      <c r="U1313" s="132"/>
      <c r="V1313" s="132"/>
      <c r="W1313" s="132"/>
    </row>
    <row r="1314" spans="1:23" ht="15.75" customHeight="1">
      <c r="A1314" s="125"/>
      <c r="B1314" s="125"/>
      <c r="C1314" s="125"/>
      <c r="D1314" s="125"/>
      <c r="E1314" s="126"/>
      <c r="F1314" s="128"/>
      <c r="G1314" s="128"/>
      <c r="H1314" s="128"/>
      <c r="I1314" s="129"/>
      <c r="J1314" s="129"/>
      <c r="K1314" s="129"/>
      <c r="L1314" s="129"/>
      <c r="M1314" s="129"/>
      <c r="N1314" s="129"/>
      <c r="O1314" s="129"/>
      <c r="P1314" s="132"/>
      <c r="Q1314" s="132"/>
      <c r="R1314" s="135"/>
      <c r="S1314" s="132"/>
      <c r="T1314" s="129"/>
      <c r="U1314" s="132"/>
      <c r="V1314" s="132"/>
      <c r="W1314" s="132"/>
    </row>
    <row r="1315" spans="1:23" ht="15.75" customHeight="1">
      <c r="A1315" s="125"/>
      <c r="B1315" s="125"/>
      <c r="C1315" s="125"/>
      <c r="D1315" s="125"/>
      <c r="E1315" s="126"/>
      <c r="F1315" s="128"/>
      <c r="G1315" s="128"/>
      <c r="H1315" s="128"/>
      <c r="I1315" s="129"/>
      <c r="J1315" s="129"/>
      <c r="K1315" s="129"/>
      <c r="L1315" s="129"/>
      <c r="M1315" s="129"/>
      <c r="N1315" s="129"/>
      <c r="O1315" s="129"/>
      <c r="P1315" s="132"/>
      <c r="Q1315" s="132"/>
      <c r="R1315" s="135"/>
      <c r="S1315" s="132"/>
      <c r="T1315" s="129"/>
      <c r="U1315" s="132"/>
      <c r="V1315" s="132"/>
      <c r="W1315" s="132"/>
    </row>
    <row r="1316" spans="1:23" ht="15.75" customHeight="1">
      <c r="A1316" s="125"/>
      <c r="B1316" s="125"/>
      <c r="C1316" s="125"/>
      <c r="D1316" s="125"/>
      <c r="E1316" s="126"/>
      <c r="F1316" s="128"/>
      <c r="G1316" s="128"/>
      <c r="H1316" s="128"/>
      <c r="I1316" s="129"/>
      <c r="J1316" s="129"/>
      <c r="K1316" s="129"/>
      <c r="L1316" s="129"/>
      <c r="M1316" s="129"/>
      <c r="N1316" s="129"/>
      <c r="O1316" s="129"/>
      <c r="P1316" s="132"/>
      <c r="Q1316" s="132"/>
      <c r="R1316" s="135"/>
      <c r="S1316" s="132"/>
      <c r="T1316" s="129"/>
      <c r="U1316" s="132"/>
      <c r="V1316" s="132"/>
      <c r="W1316" s="132"/>
    </row>
    <row r="1317" spans="1:23" ht="15.75" customHeight="1">
      <c r="A1317" s="125"/>
      <c r="B1317" s="125"/>
      <c r="C1317" s="125"/>
      <c r="D1317" s="125"/>
      <c r="E1317" s="126"/>
      <c r="F1317" s="128"/>
      <c r="G1317" s="128"/>
      <c r="H1317" s="128"/>
      <c r="I1317" s="129"/>
      <c r="J1317" s="129"/>
      <c r="K1317" s="129"/>
      <c r="L1317" s="129"/>
      <c r="M1317" s="129"/>
      <c r="N1317" s="129"/>
      <c r="O1317" s="129"/>
      <c r="P1317" s="132"/>
      <c r="Q1317" s="132"/>
      <c r="R1317" s="135"/>
      <c r="S1317" s="132"/>
      <c r="T1317" s="129"/>
      <c r="U1317" s="132"/>
      <c r="V1317" s="132"/>
      <c r="W1317" s="132"/>
    </row>
    <row r="1318" spans="1:23" ht="15.75" customHeight="1">
      <c r="A1318" s="125"/>
      <c r="B1318" s="125"/>
      <c r="C1318" s="125"/>
      <c r="D1318" s="125"/>
      <c r="E1318" s="126"/>
      <c r="F1318" s="128"/>
      <c r="G1318" s="128"/>
      <c r="H1318" s="128"/>
      <c r="I1318" s="129"/>
      <c r="J1318" s="129"/>
      <c r="K1318" s="129"/>
      <c r="L1318" s="129"/>
      <c r="M1318" s="129"/>
      <c r="N1318" s="129"/>
      <c r="O1318" s="129"/>
      <c r="P1318" s="132"/>
      <c r="Q1318" s="132"/>
      <c r="R1318" s="135"/>
      <c r="S1318" s="132"/>
      <c r="T1318" s="129"/>
      <c r="U1318" s="132"/>
      <c r="V1318" s="132"/>
      <c r="W1318" s="132"/>
    </row>
    <row r="1319" spans="1:23" ht="15.75" customHeight="1">
      <c r="A1319" s="125"/>
      <c r="B1319" s="125"/>
      <c r="C1319" s="125"/>
      <c r="D1319" s="125"/>
      <c r="E1319" s="126"/>
      <c r="F1319" s="128"/>
      <c r="G1319" s="128"/>
      <c r="H1319" s="128"/>
      <c r="I1319" s="129"/>
      <c r="J1319" s="129"/>
      <c r="K1319" s="129"/>
      <c r="L1319" s="129"/>
      <c r="M1319" s="129"/>
      <c r="N1319" s="129"/>
      <c r="O1319" s="129"/>
      <c r="P1319" s="132"/>
      <c r="Q1319" s="132"/>
      <c r="R1319" s="135"/>
      <c r="S1319" s="132"/>
      <c r="T1319" s="129"/>
      <c r="U1319" s="132"/>
      <c r="V1319" s="132"/>
      <c r="W1319" s="132"/>
    </row>
    <row r="1320" spans="1:23" ht="15.75" customHeight="1">
      <c r="A1320" s="125"/>
      <c r="B1320" s="125"/>
      <c r="C1320" s="125"/>
      <c r="D1320" s="125"/>
      <c r="E1320" s="126"/>
      <c r="F1320" s="128"/>
      <c r="G1320" s="128"/>
      <c r="H1320" s="128"/>
      <c r="I1320" s="129"/>
      <c r="J1320" s="129"/>
      <c r="K1320" s="129"/>
      <c r="L1320" s="129"/>
      <c r="M1320" s="129"/>
      <c r="N1320" s="129"/>
      <c r="O1320" s="129"/>
      <c r="P1320" s="132"/>
      <c r="Q1320" s="132"/>
      <c r="R1320" s="135"/>
      <c r="S1320" s="132"/>
      <c r="T1320" s="129"/>
      <c r="U1320" s="132"/>
      <c r="V1320" s="132"/>
      <c r="W1320" s="132"/>
    </row>
    <row r="1321" spans="1:23" ht="15.75" customHeight="1">
      <c r="A1321" s="125"/>
      <c r="B1321" s="125"/>
      <c r="C1321" s="125"/>
      <c r="D1321" s="125"/>
      <c r="E1321" s="126"/>
      <c r="F1321" s="128"/>
      <c r="G1321" s="128"/>
      <c r="H1321" s="128"/>
      <c r="I1321" s="129"/>
      <c r="J1321" s="129"/>
      <c r="K1321" s="129"/>
      <c r="L1321" s="129"/>
      <c r="M1321" s="129"/>
      <c r="N1321" s="129"/>
      <c r="O1321" s="129"/>
      <c r="P1321" s="132"/>
      <c r="Q1321" s="132"/>
      <c r="R1321" s="135"/>
      <c r="S1321" s="132"/>
      <c r="T1321" s="129"/>
      <c r="U1321" s="132"/>
      <c r="V1321" s="132"/>
      <c r="W1321" s="132"/>
    </row>
    <row r="1322" spans="1:23" ht="15.75" customHeight="1">
      <c r="A1322" s="125"/>
      <c r="B1322" s="125"/>
      <c r="C1322" s="125"/>
      <c r="D1322" s="125"/>
      <c r="E1322" s="126"/>
      <c r="F1322" s="128"/>
      <c r="G1322" s="128"/>
      <c r="H1322" s="128"/>
      <c r="I1322" s="129"/>
      <c r="J1322" s="129"/>
      <c r="K1322" s="129"/>
      <c r="L1322" s="129"/>
      <c r="M1322" s="129"/>
      <c r="N1322" s="129"/>
      <c r="O1322" s="129"/>
      <c r="P1322" s="132"/>
      <c r="Q1322" s="132"/>
      <c r="R1322" s="135"/>
      <c r="S1322" s="132"/>
      <c r="T1322" s="129"/>
      <c r="U1322" s="132"/>
      <c r="V1322" s="132"/>
      <c r="W1322" s="132"/>
    </row>
    <row r="1323" spans="1:23" ht="15.75" customHeight="1">
      <c r="A1323" s="125"/>
      <c r="B1323" s="125"/>
      <c r="C1323" s="125"/>
      <c r="D1323" s="125"/>
      <c r="E1323" s="126"/>
      <c r="F1323" s="128"/>
      <c r="G1323" s="128"/>
      <c r="H1323" s="128"/>
      <c r="I1323" s="129"/>
      <c r="J1323" s="129"/>
      <c r="K1323" s="129"/>
      <c r="L1323" s="129"/>
      <c r="M1323" s="129"/>
      <c r="N1323" s="129"/>
      <c r="O1323" s="129"/>
      <c r="P1323" s="132"/>
      <c r="Q1323" s="132"/>
      <c r="R1323" s="135"/>
      <c r="S1323" s="132"/>
      <c r="T1323" s="129"/>
      <c r="U1323" s="132"/>
      <c r="V1323" s="132"/>
      <c r="W1323" s="132"/>
    </row>
    <row r="1324" spans="1:23" ht="15.75" customHeight="1">
      <c r="A1324" s="125"/>
      <c r="B1324" s="125"/>
      <c r="C1324" s="125"/>
      <c r="D1324" s="125"/>
      <c r="E1324" s="126"/>
      <c r="F1324" s="128"/>
      <c r="G1324" s="128"/>
      <c r="H1324" s="128"/>
      <c r="I1324" s="129"/>
      <c r="J1324" s="129"/>
      <c r="K1324" s="129"/>
      <c r="L1324" s="129"/>
      <c r="M1324" s="129"/>
      <c r="N1324" s="129"/>
      <c r="O1324" s="129"/>
      <c r="P1324" s="132"/>
      <c r="Q1324" s="132"/>
      <c r="R1324" s="135"/>
      <c r="S1324" s="132"/>
      <c r="T1324" s="129"/>
      <c r="U1324" s="132"/>
      <c r="V1324" s="132"/>
      <c r="W1324" s="132"/>
    </row>
    <row r="1325" spans="1:23" ht="15.75" customHeight="1">
      <c r="A1325" s="125"/>
      <c r="B1325" s="125"/>
      <c r="C1325" s="125"/>
      <c r="D1325" s="125"/>
      <c r="E1325" s="126"/>
      <c r="F1325" s="128"/>
      <c r="G1325" s="128"/>
      <c r="H1325" s="128"/>
      <c r="I1325" s="129"/>
      <c r="J1325" s="129"/>
      <c r="K1325" s="129"/>
      <c r="L1325" s="129"/>
      <c r="M1325" s="129"/>
      <c r="N1325" s="129"/>
      <c r="O1325" s="129"/>
      <c r="P1325" s="132"/>
      <c r="Q1325" s="132"/>
      <c r="R1325" s="135"/>
      <c r="S1325" s="132"/>
      <c r="T1325" s="129"/>
      <c r="U1325" s="132"/>
      <c r="V1325" s="132"/>
      <c r="W1325" s="132"/>
    </row>
    <row r="1326" spans="1:23" ht="15.75" customHeight="1">
      <c r="A1326" s="125"/>
      <c r="B1326" s="125"/>
      <c r="C1326" s="125"/>
      <c r="D1326" s="125"/>
      <c r="E1326" s="126"/>
      <c r="F1326" s="128"/>
      <c r="G1326" s="128"/>
      <c r="H1326" s="128"/>
      <c r="I1326" s="129"/>
      <c r="J1326" s="129"/>
      <c r="K1326" s="129"/>
      <c r="L1326" s="129"/>
      <c r="M1326" s="129"/>
      <c r="N1326" s="129"/>
      <c r="O1326" s="129"/>
      <c r="P1326" s="132"/>
      <c r="Q1326" s="132"/>
      <c r="R1326" s="135"/>
      <c r="S1326" s="132"/>
      <c r="T1326" s="129"/>
      <c r="U1326" s="132"/>
      <c r="V1326" s="132"/>
      <c r="W1326" s="132"/>
    </row>
    <row r="1327" spans="1:23" ht="15.75" customHeight="1">
      <c r="A1327" s="125"/>
      <c r="B1327" s="125"/>
      <c r="C1327" s="125"/>
      <c r="D1327" s="125"/>
      <c r="E1327" s="126"/>
      <c r="F1327" s="128"/>
      <c r="G1327" s="128"/>
      <c r="H1327" s="128"/>
      <c r="I1327" s="129"/>
      <c r="J1327" s="129"/>
      <c r="K1327" s="129"/>
      <c r="L1327" s="129"/>
      <c r="M1327" s="129"/>
      <c r="N1327" s="129"/>
      <c r="O1327" s="129"/>
      <c r="P1327" s="132"/>
      <c r="Q1327" s="132"/>
      <c r="R1327" s="135"/>
      <c r="S1327" s="132"/>
      <c r="T1327" s="129"/>
      <c r="U1327" s="132"/>
      <c r="V1327" s="132"/>
      <c r="W1327" s="132"/>
    </row>
    <row r="1328" spans="1:23" ht="15.75" customHeight="1">
      <c r="A1328" s="125"/>
      <c r="B1328" s="125"/>
      <c r="C1328" s="125"/>
      <c r="D1328" s="125"/>
      <c r="E1328" s="126"/>
      <c r="F1328" s="128"/>
      <c r="G1328" s="128"/>
      <c r="H1328" s="128"/>
      <c r="I1328" s="129"/>
      <c r="J1328" s="129"/>
      <c r="K1328" s="129"/>
      <c r="L1328" s="129"/>
      <c r="M1328" s="129"/>
      <c r="N1328" s="129"/>
      <c r="O1328" s="129"/>
      <c r="P1328" s="132"/>
      <c r="Q1328" s="132"/>
      <c r="R1328" s="135"/>
      <c r="S1328" s="132"/>
      <c r="T1328" s="129"/>
      <c r="U1328" s="132"/>
      <c r="V1328" s="132"/>
      <c r="W1328" s="132"/>
    </row>
    <row r="1329" spans="1:23" ht="15.75" customHeight="1">
      <c r="A1329" s="125"/>
      <c r="B1329" s="125"/>
      <c r="C1329" s="125"/>
      <c r="D1329" s="125"/>
      <c r="E1329" s="126"/>
      <c r="F1329" s="128"/>
      <c r="G1329" s="128"/>
      <c r="H1329" s="128"/>
      <c r="I1329" s="129"/>
      <c r="J1329" s="129"/>
      <c r="K1329" s="129"/>
      <c r="L1329" s="129"/>
      <c r="M1329" s="129"/>
      <c r="N1329" s="129"/>
      <c r="O1329" s="129"/>
      <c r="P1329" s="132"/>
      <c r="Q1329" s="132"/>
      <c r="R1329" s="135"/>
      <c r="S1329" s="132"/>
      <c r="T1329" s="129"/>
      <c r="U1329" s="132"/>
      <c r="V1329" s="132"/>
      <c r="W1329" s="132"/>
    </row>
    <row r="1330" spans="1:23" ht="15.75" customHeight="1">
      <c r="A1330" s="125"/>
      <c r="B1330" s="125"/>
      <c r="C1330" s="125"/>
      <c r="D1330" s="125"/>
      <c r="E1330" s="126"/>
      <c r="F1330" s="128"/>
      <c r="G1330" s="128"/>
      <c r="H1330" s="128"/>
      <c r="I1330" s="129"/>
      <c r="J1330" s="129"/>
      <c r="K1330" s="129"/>
      <c r="L1330" s="129"/>
      <c r="M1330" s="129"/>
      <c r="N1330" s="129"/>
      <c r="O1330" s="129"/>
      <c r="P1330" s="132"/>
      <c r="Q1330" s="132"/>
      <c r="R1330" s="135"/>
      <c r="S1330" s="132"/>
      <c r="T1330" s="129"/>
      <c r="U1330" s="132"/>
      <c r="V1330" s="132"/>
      <c r="W1330" s="132"/>
    </row>
    <row r="1331" spans="1:23" ht="15.75" customHeight="1">
      <c r="A1331" s="125"/>
      <c r="B1331" s="125"/>
      <c r="C1331" s="125"/>
      <c r="D1331" s="125"/>
      <c r="E1331" s="126"/>
      <c r="F1331" s="128"/>
      <c r="G1331" s="128"/>
      <c r="H1331" s="128"/>
      <c r="I1331" s="129"/>
      <c r="J1331" s="129"/>
      <c r="K1331" s="129"/>
      <c r="L1331" s="129"/>
      <c r="M1331" s="129"/>
      <c r="N1331" s="129"/>
      <c r="O1331" s="129"/>
      <c r="P1331" s="132"/>
      <c r="Q1331" s="132"/>
      <c r="R1331" s="135"/>
      <c r="S1331" s="132"/>
      <c r="T1331" s="129"/>
      <c r="U1331" s="132"/>
      <c r="V1331" s="132"/>
      <c r="W1331" s="132"/>
    </row>
    <row r="1332" spans="1:23" ht="15.75" customHeight="1">
      <c r="A1332" s="125"/>
      <c r="B1332" s="125"/>
      <c r="C1332" s="125"/>
      <c r="D1332" s="125"/>
      <c r="E1332" s="126"/>
      <c r="F1332" s="128"/>
      <c r="G1332" s="128"/>
      <c r="H1332" s="128"/>
      <c r="I1332" s="129"/>
      <c r="J1332" s="129"/>
      <c r="K1332" s="129"/>
      <c r="L1332" s="129"/>
      <c r="M1332" s="129"/>
      <c r="N1332" s="129"/>
      <c r="O1332" s="129"/>
      <c r="P1332" s="132"/>
      <c r="Q1332" s="132"/>
      <c r="R1332" s="135"/>
      <c r="S1332" s="132"/>
      <c r="T1332" s="129"/>
      <c r="U1332" s="132"/>
      <c r="V1332" s="132"/>
      <c r="W1332" s="132"/>
    </row>
    <row r="1333" spans="1:23" ht="15.75" customHeight="1">
      <c r="A1333" s="125"/>
      <c r="B1333" s="125"/>
      <c r="C1333" s="125"/>
      <c r="D1333" s="125"/>
      <c r="E1333" s="126"/>
      <c r="F1333" s="128"/>
      <c r="G1333" s="128"/>
      <c r="H1333" s="128"/>
      <c r="I1333" s="129"/>
      <c r="J1333" s="129"/>
      <c r="K1333" s="129"/>
      <c r="L1333" s="129"/>
      <c r="M1333" s="129"/>
      <c r="N1333" s="129"/>
      <c r="O1333" s="129"/>
      <c r="P1333" s="132"/>
      <c r="Q1333" s="132"/>
      <c r="R1333" s="135"/>
      <c r="S1333" s="132"/>
      <c r="T1333" s="129"/>
      <c r="U1333" s="132"/>
      <c r="V1333" s="132"/>
      <c r="W1333" s="132"/>
    </row>
    <row r="1334" spans="1:23" ht="15.75" customHeight="1">
      <c r="A1334" s="125"/>
      <c r="B1334" s="125"/>
      <c r="C1334" s="125"/>
      <c r="D1334" s="125"/>
      <c r="E1334" s="126"/>
      <c r="F1334" s="128"/>
      <c r="G1334" s="128"/>
      <c r="H1334" s="128"/>
      <c r="I1334" s="129"/>
      <c r="J1334" s="129"/>
      <c r="K1334" s="129"/>
      <c r="L1334" s="129"/>
      <c r="M1334" s="129"/>
      <c r="N1334" s="129"/>
      <c r="O1334" s="129"/>
      <c r="P1334" s="132"/>
      <c r="Q1334" s="132"/>
      <c r="R1334" s="135"/>
      <c r="S1334" s="132"/>
      <c r="T1334" s="129"/>
      <c r="U1334" s="132"/>
      <c r="V1334" s="132"/>
      <c r="W1334" s="132"/>
    </row>
    <row r="1335" spans="1:23" ht="15.75" customHeight="1">
      <c r="A1335" s="125"/>
      <c r="B1335" s="125"/>
      <c r="C1335" s="125"/>
      <c r="D1335" s="125"/>
      <c r="E1335" s="126"/>
      <c r="F1335" s="128"/>
      <c r="G1335" s="128"/>
      <c r="H1335" s="128"/>
      <c r="I1335" s="129"/>
      <c r="J1335" s="129"/>
      <c r="K1335" s="129"/>
      <c r="L1335" s="129"/>
      <c r="M1335" s="129"/>
      <c r="N1335" s="129"/>
      <c r="O1335" s="129"/>
      <c r="P1335" s="132"/>
      <c r="Q1335" s="132"/>
      <c r="R1335" s="135"/>
      <c r="S1335" s="132"/>
      <c r="T1335" s="129"/>
      <c r="U1335" s="132"/>
      <c r="V1335" s="132"/>
      <c r="W1335" s="132"/>
    </row>
    <row r="1336" spans="1:23" ht="15.75" customHeight="1">
      <c r="A1336" s="125"/>
      <c r="B1336" s="125"/>
      <c r="C1336" s="125"/>
      <c r="D1336" s="125"/>
      <c r="E1336" s="126"/>
      <c r="F1336" s="128"/>
      <c r="G1336" s="128"/>
      <c r="H1336" s="128"/>
      <c r="I1336" s="129"/>
      <c r="J1336" s="129"/>
      <c r="K1336" s="129"/>
      <c r="L1336" s="129"/>
      <c r="M1336" s="129"/>
      <c r="N1336" s="129"/>
      <c r="O1336" s="129"/>
      <c r="P1336" s="132"/>
      <c r="Q1336" s="132"/>
      <c r="R1336" s="135"/>
      <c r="S1336" s="132"/>
      <c r="T1336" s="129"/>
      <c r="U1336" s="132"/>
      <c r="V1336" s="132"/>
      <c r="W1336" s="132"/>
    </row>
    <row r="1337" spans="1:23" ht="15.75" customHeight="1">
      <c r="A1337" s="125"/>
      <c r="B1337" s="125"/>
      <c r="C1337" s="125"/>
      <c r="D1337" s="125"/>
      <c r="E1337" s="126"/>
      <c r="F1337" s="128"/>
      <c r="G1337" s="128"/>
      <c r="H1337" s="128"/>
      <c r="I1337" s="129"/>
      <c r="J1337" s="129"/>
      <c r="K1337" s="129"/>
      <c r="L1337" s="129"/>
      <c r="M1337" s="129"/>
      <c r="N1337" s="129"/>
      <c r="O1337" s="129"/>
      <c r="P1337" s="132"/>
      <c r="Q1337" s="132"/>
      <c r="R1337" s="135"/>
      <c r="S1337" s="132"/>
      <c r="T1337" s="129"/>
      <c r="U1337" s="132"/>
      <c r="V1337" s="132"/>
      <c r="W1337" s="132"/>
    </row>
    <row r="1338" spans="1:23" ht="15.75" customHeight="1">
      <c r="A1338" s="125"/>
      <c r="B1338" s="125"/>
      <c r="C1338" s="125"/>
      <c r="D1338" s="125"/>
      <c r="E1338" s="126"/>
      <c r="F1338" s="128"/>
      <c r="G1338" s="128"/>
      <c r="H1338" s="128"/>
      <c r="I1338" s="129"/>
      <c r="J1338" s="129"/>
      <c r="K1338" s="129"/>
      <c r="L1338" s="129"/>
      <c r="M1338" s="129"/>
      <c r="N1338" s="129"/>
      <c r="O1338" s="129"/>
      <c r="P1338" s="132"/>
      <c r="Q1338" s="132"/>
      <c r="R1338" s="135"/>
      <c r="S1338" s="132"/>
      <c r="T1338" s="129"/>
      <c r="U1338" s="132"/>
      <c r="V1338" s="132"/>
      <c r="W1338" s="132"/>
    </row>
    <row r="1339" spans="1:23" ht="15.75" customHeight="1">
      <c r="A1339" s="125"/>
      <c r="B1339" s="125"/>
      <c r="C1339" s="125"/>
      <c r="D1339" s="125"/>
      <c r="E1339" s="126"/>
      <c r="F1339" s="128"/>
      <c r="G1339" s="128"/>
      <c r="H1339" s="128"/>
      <c r="I1339" s="129"/>
      <c r="J1339" s="129"/>
      <c r="K1339" s="129"/>
      <c r="L1339" s="129"/>
      <c r="M1339" s="129"/>
      <c r="N1339" s="129"/>
      <c r="O1339" s="129"/>
      <c r="P1339" s="132"/>
      <c r="Q1339" s="132"/>
      <c r="R1339" s="135"/>
      <c r="S1339" s="132"/>
      <c r="T1339" s="129"/>
      <c r="U1339" s="132"/>
      <c r="V1339" s="132"/>
      <c r="W1339" s="132"/>
    </row>
    <row r="1340" spans="1:23" ht="15.75" customHeight="1">
      <c r="A1340" s="125"/>
      <c r="B1340" s="125"/>
      <c r="C1340" s="125"/>
      <c r="D1340" s="125"/>
      <c r="E1340" s="126"/>
      <c r="F1340" s="128"/>
      <c r="G1340" s="128"/>
      <c r="H1340" s="128"/>
      <c r="I1340" s="129"/>
      <c r="J1340" s="129"/>
      <c r="K1340" s="129"/>
      <c r="L1340" s="129"/>
      <c r="M1340" s="129"/>
      <c r="N1340" s="129"/>
      <c r="O1340" s="129"/>
      <c r="P1340" s="132"/>
      <c r="Q1340" s="132"/>
      <c r="R1340" s="135"/>
      <c r="S1340" s="132"/>
      <c r="T1340" s="129"/>
      <c r="U1340" s="132"/>
      <c r="V1340" s="132"/>
      <c r="W1340" s="132"/>
    </row>
    <row r="1341" spans="1:23" ht="15.75" customHeight="1">
      <c r="A1341" s="125"/>
      <c r="B1341" s="125"/>
      <c r="C1341" s="125"/>
      <c r="D1341" s="125"/>
      <c r="E1341" s="126"/>
      <c r="F1341" s="128"/>
      <c r="G1341" s="128"/>
      <c r="H1341" s="128"/>
      <c r="I1341" s="129"/>
      <c r="J1341" s="129"/>
      <c r="K1341" s="129"/>
      <c r="L1341" s="129"/>
      <c r="M1341" s="129"/>
      <c r="N1341" s="129"/>
      <c r="O1341" s="129"/>
      <c r="P1341" s="132"/>
      <c r="Q1341" s="132"/>
      <c r="R1341" s="135"/>
      <c r="S1341" s="132"/>
      <c r="T1341" s="129"/>
      <c r="U1341" s="132"/>
      <c r="V1341" s="132"/>
      <c r="W1341" s="132"/>
    </row>
    <row r="1342" spans="1:23" ht="15.75" customHeight="1">
      <c r="A1342" s="125"/>
      <c r="B1342" s="125"/>
      <c r="C1342" s="125"/>
      <c r="D1342" s="125"/>
      <c r="E1342" s="126"/>
      <c r="F1342" s="128"/>
      <c r="G1342" s="128"/>
      <c r="H1342" s="128"/>
      <c r="I1342" s="129"/>
      <c r="J1342" s="129"/>
      <c r="K1342" s="129"/>
      <c r="L1342" s="129"/>
      <c r="M1342" s="129"/>
      <c r="N1342" s="129"/>
      <c r="O1342" s="129"/>
      <c r="P1342" s="132"/>
      <c r="Q1342" s="132"/>
      <c r="R1342" s="135"/>
      <c r="S1342" s="132"/>
      <c r="T1342" s="129"/>
      <c r="U1342" s="132"/>
      <c r="V1342" s="132"/>
      <c r="W1342" s="132"/>
    </row>
    <row r="1343" spans="1:23" ht="15.75" customHeight="1">
      <c r="A1343" s="125"/>
      <c r="B1343" s="125"/>
      <c r="C1343" s="125"/>
      <c r="D1343" s="125"/>
      <c r="E1343" s="126"/>
      <c r="F1343" s="128"/>
      <c r="G1343" s="128"/>
      <c r="H1343" s="128"/>
      <c r="I1343" s="129"/>
      <c r="J1343" s="129"/>
      <c r="K1343" s="129"/>
      <c r="L1343" s="129"/>
      <c r="M1343" s="129"/>
      <c r="N1343" s="129"/>
      <c r="O1343" s="129"/>
      <c r="P1343" s="132"/>
      <c r="Q1343" s="132"/>
      <c r="R1343" s="135"/>
      <c r="S1343" s="132"/>
      <c r="T1343" s="129"/>
      <c r="U1343" s="132"/>
      <c r="V1343" s="132"/>
      <c r="W1343" s="132"/>
    </row>
    <row r="1344" spans="1:23" ht="15.75" customHeight="1">
      <c r="A1344" s="125"/>
      <c r="B1344" s="125"/>
      <c r="C1344" s="125"/>
      <c r="D1344" s="125"/>
      <c r="E1344" s="126"/>
      <c r="F1344" s="128"/>
      <c r="G1344" s="128"/>
      <c r="H1344" s="128"/>
      <c r="I1344" s="129"/>
      <c r="J1344" s="129"/>
      <c r="K1344" s="129"/>
      <c r="L1344" s="129"/>
      <c r="M1344" s="129"/>
      <c r="N1344" s="129"/>
      <c r="O1344" s="129"/>
      <c r="P1344" s="132"/>
      <c r="Q1344" s="132"/>
      <c r="R1344" s="135"/>
      <c r="S1344" s="132"/>
      <c r="T1344" s="129"/>
      <c r="U1344" s="132"/>
      <c r="V1344" s="132"/>
      <c r="W1344" s="132"/>
    </row>
    <row r="1345" spans="1:23" ht="15.75" customHeight="1">
      <c r="A1345" s="125"/>
      <c r="B1345" s="125"/>
      <c r="C1345" s="125"/>
      <c r="D1345" s="125"/>
      <c r="E1345" s="126"/>
      <c r="F1345" s="128"/>
      <c r="G1345" s="128"/>
      <c r="H1345" s="128"/>
      <c r="I1345" s="129"/>
      <c r="J1345" s="129"/>
      <c r="K1345" s="129"/>
      <c r="L1345" s="129"/>
      <c r="M1345" s="129"/>
      <c r="N1345" s="129"/>
      <c r="O1345" s="129"/>
      <c r="P1345" s="132"/>
      <c r="Q1345" s="132"/>
      <c r="R1345" s="135"/>
      <c r="S1345" s="132"/>
      <c r="T1345" s="129"/>
      <c r="U1345" s="132"/>
      <c r="V1345" s="132"/>
      <c r="W1345" s="132"/>
    </row>
    <row r="1346" spans="1:23" ht="15.75" customHeight="1">
      <c r="A1346" s="125"/>
      <c r="B1346" s="125"/>
      <c r="C1346" s="125"/>
      <c r="D1346" s="125"/>
      <c r="E1346" s="126"/>
      <c r="F1346" s="128"/>
      <c r="G1346" s="128"/>
      <c r="H1346" s="128"/>
      <c r="I1346" s="129"/>
      <c r="J1346" s="129"/>
      <c r="K1346" s="129"/>
      <c r="L1346" s="129"/>
      <c r="M1346" s="129"/>
      <c r="N1346" s="129"/>
      <c r="O1346" s="129"/>
      <c r="P1346" s="132"/>
      <c r="Q1346" s="132"/>
      <c r="R1346" s="135"/>
      <c r="S1346" s="132"/>
      <c r="T1346" s="129"/>
      <c r="U1346" s="132"/>
      <c r="V1346" s="132"/>
      <c r="W1346" s="132"/>
    </row>
    <row r="1347" spans="1:23" ht="15.75" customHeight="1">
      <c r="A1347" s="125"/>
      <c r="B1347" s="125"/>
      <c r="C1347" s="125"/>
      <c r="D1347" s="125"/>
      <c r="E1347" s="126"/>
      <c r="F1347" s="128"/>
      <c r="G1347" s="128"/>
      <c r="H1347" s="128"/>
      <c r="I1347" s="129"/>
      <c r="J1347" s="129"/>
      <c r="K1347" s="129"/>
      <c r="L1347" s="129"/>
      <c r="M1347" s="129"/>
      <c r="N1347" s="129"/>
      <c r="O1347" s="129"/>
      <c r="P1347" s="132"/>
      <c r="Q1347" s="132"/>
      <c r="R1347" s="135"/>
      <c r="S1347" s="132"/>
      <c r="T1347" s="129"/>
      <c r="U1347" s="132"/>
      <c r="V1347" s="132"/>
      <c r="W1347" s="132"/>
    </row>
    <row r="1348" spans="1:23" ht="15.75" customHeight="1">
      <c r="A1348" s="125"/>
      <c r="B1348" s="125"/>
      <c r="C1348" s="125"/>
      <c r="D1348" s="125"/>
      <c r="E1348" s="126"/>
      <c r="F1348" s="128"/>
      <c r="G1348" s="128"/>
      <c r="H1348" s="128"/>
      <c r="I1348" s="129"/>
      <c r="J1348" s="129"/>
      <c r="K1348" s="129"/>
      <c r="L1348" s="129"/>
      <c r="M1348" s="129"/>
      <c r="N1348" s="129"/>
      <c r="O1348" s="129"/>
      <c r="P1348" s="132"/>
      <c r="Q1348" s="132"/>
      <c r="R1348" s="135"/>
      <c r="S1348" s="132"/>
      <c r="T1348" s="129"/>
      <c r="U1348" s="132"/>
      <c r="V1348" s="132"/>
      <c r="W1348" s="132"/>
    </row>
    <row r="1349" spans="1:23" ht="15.75" customHeight="1">
      <c r="A1349" s="125"/>
      <c r="B1349" s="125"/>
      <c r="C1349" s="125"/>
      <c r="D1349" s="125"/>
      <c r="E1349" s="126"/>
      <c r="F1349" s="128"/>
      <c r="G1349" s="128"/>
      <c r="H1349" s="128"/>
      <c r="I1349" s="129"/>
      <c r="J1349" s="129"/>
      <c r="K1349" s="129"/>
      <c r="L1349" s="129"/>
      <c r="M1349" s="129"/>
      <c r="N1349" s="129"/>
      <c r="O1349" s="129"/>
      <c r="P1349" s="132"/>
      <c r="Q1349" s="132"/>
      <c r="R1349" s="135"/>
      <c r="S1349" s="132"/>
      <c r="T1349" s="129"/>
      <c r="U1349" s="132"/>
      <c r="V1349" s="132"/>
      <c r="W1349" s="132"/>
    </row>
    <row r="1350" spans="1:23" ht="15.75" customHeight="1">
      <c r="A1350" s="125"/>
      <c r="B1350" s="125"/>
      <c r="C1350" s="125"/>
      <c r="D1350" s="125"/>
      <c r="E1350" s="126"/>
      <c r="F1350" s="128"/>
      <c r="G1350" s="128"/>
      <c r="H1350" s="128"/>
      <c r="I1350" s="129"/>
      <c r="J1350" s="129"/>
      <c r="K1350" s="129"/>
      <c r="L1350" s="129"/>
      <c r="M1350" s="129"/>
      <c r="N1350" s="129"/>
      <c r="O1350" s="129"/>
      <c r="P1350" s="132"/>
      <c r="Q1350" s="132"/>
      <c r="R1350" s="135"/>
      <c r="S1350" s="132"/>
      <c r="T1350" s="129"/>
      <c r="U1350" s="132"/>
      <c r="V1350" s="132"/>
      <c r="W1350" s="132"/>
    </row>
    <row r="1351" spans="1:23" ht="15.75" customHeight="1">
      <c r="A1351" s="125"/>
      <c r="B1351" s="125"/>
      <c r="C1351" s="125"/>
      <c r="D1351" s="125"/>
      <c r="E1351" s="126"/>
      <c r="F1351" s="128"/>
      <c r="G1351" s="128"/>
      <c r="H1351" s="128"/>
      <c r="I1351" s="129"/>
      <c r="J1351" s="129"/>
      <c r="K1351" s="129"/>
      <c r="L1351" s="129"/>
      <c r="M1351" s="129"/>
      <c r="N1351" s="129"/>
      <c r="O1351" s="129"/>
      <c r="P1351" s="132"/>
      <c r="Q1351" s="132"/>
      <c r="R1351" s="135"/>
      <c r="S1351" s="132"/>
      <c r="T1351" s="129"/>
      <c r="U1351" s="132"/>
      <c r="V1351" s="132"/>
      <c r="W1351" s="132"/>
    </row>
    <row r="1352" spans="1:23" ht="15.75" customHeight="1">
      <c r="A1352" s="125"/>
      <c r="B1352" s="125"/>
      <c r="C1352" s="125"/>
      <c r="D1352" s="125"/>
      <c r="E1352" s="126"/>
      <c r="F1352" s="128"/>
      <c r="G1352" s="128"/>
      <c r="H1352" s="128"/>
      <c r="I1352" s="129"/>
      <c r="J1352" s="129"/>
      <c r="K1352" s="129"/>
      <c r="L1352" s="129"/>
      <c r="M1352" s="129"/>
      <c r="N1352" s="129"/>
      <c r="O1352" s="129"/>
      <c r="P1352" s="132"/>
      <c r="Q1352" s="132"/>
      <c r="R1352" s="135"/>
      <c r="S1352" s="132"/>
      <c r="T1352" s="129"/>
      <c r="U1352" s="132"/>
      <c r="V1352" s="132"/>
      <c r="W1352" s="132"/>
    </row>
    <row r="1353" spans="1:23" ht="15.75" customHeight="1">
      <c r="A1353" s="125"/>
      <c r="B1353" s="125"/>
      <c r="C1353" s="125"/>
      <c r="D1353" s="125"/>
      <c r="E1353" s="126"/>
      <c r="F1353" s="128"/>
      <c r="G1353" s="128"/>
      <c r="H1353" s="128"/>
      <c r="I1353" s="129"/>
      <c r="J1353" s="129"/>
      <c r="K1353" s="129"/>
      <c r="L1353" s="129"/>
      <c r="M1353" s="129"/>
      <c r="N1353" s="129"/>
      <c r="O1353" s="129"/>
      <c r="P1353" s="132"/>
      <c r="Q1353" s="132"/>
      <c r="R1353" s="135"/>
      <c r="S1353" s="132"/>
      <c r="T1353" s="129"/>
      <c r="U1353" s="132"/>
      <c r="V1353" s="132"/>
      <c r="W1353" s="132"/>
    </row>
    <row r="1354" spans="1:23" ht="15.75" customHeight="1">
      <c r="A1354" s="125"/>
      <c r="B1354" s="125"/>
      <c r="C1354" s="125"/>
      <c r="D1354" s="125"/>
      <c r="E1354" s="126"/>
      <c r="F1354" s="128"/>
      <c r="G1354" s="128"/>
      <c r="H1354" s="128"/>
      <c r="I1354" s="129"/>
      <c r="J1354" s="129"/>
      <c r="K1354" s="129"/>
      <c r="L1354" s="129"/>
      <c r="M1354" s="129"/>
      <c r="N1354" s="129"/>
      <c r="O1354" s="129"/>
      <c r="P1354" s="132"/>
      <c r="Q1354" s="132"/>
      <c r="R1354" s="135"/>
      <c r="S1354" s="132"/>
      <c r="T1354" s="129"/>
      <c r="U1354" s="132"/>
      <c r="V1354" s="132"/>
      <c r="W1354" s="132"/>
    </row>
    <row r="1355" spans="1:23" ht="15.75" customHeight="1">
      <c r="A1355" s="125"/>
      <c r="B1355" s="125"/>
      <c r="C1355" s="125"/>
      <c r="D1355" s="125"/>
      <c r="E1355" s="126"/>
      <c r="F1355" s="128"/>
      <c r="G1355" s="128"/>
      <c r="H1355" s="128"/>
      <c r="I1355" s="129"/>
      <c r="J1355" s="129"/>
      <c r="K1355" s="129"/>
      <c r="L1355" s="129"/>
      <c r="M1355" s="129"/>
      <c r="N1355" s="129"/>
      <c r="O1355" s="129"/>
      <c r="P1355" s="132"/>
      <c r="Q1355" s="132"/>
      <c r="R1355" s="135"/>
      <c r="S1355" s="132"/>
      <c r="T1355" s="129"/>
      <c r="U1355" s="132"/>
      <c r="V1355" s="132"/>
      <c r="W1355" s="132"/>
    </row>
    <row r="1356" spans="1:23" ht="15.75" customHeight="1">
      <c r="A1356" s="125"/>
      <c r="B1356" s="125"/>
      <c r="C1356" s="125"/>
      <c r="D1356" s="125"/>
      <c r="E1356" s="126"/>
      <c r="F1356" s="128"/>
      <c r="G1356" s="128"/>
      <c r="H1356" s="128"/>
      <c r="I1356" s="129"/>
      <c r="J1356" s="129"/>
      <c r="K1356" s="129"/>
      <c r="L1356" s="129"/>
      <c r="M1356" s="129"/>
      <c r="N1356" s="129"/>
      <c r="O1356" s="129"/>
      <c r="P1356" s="132"/>
      <c r="Q1356" s="132"/>
      <c r="R1356" s="135"/>
      <c r="S1356" s="132"/>
      <c r="T1356" s="129"/>
      <c r="U1356" s="132"/>
      <c r="V1356" s="132"/>
      <c r="W1356" s="132"/>
    </row>
    <row r="1357" spans="1:23" ht="15.75" customHeight="1">
      <c r="A1357" s="125"/>
      <c r="B1357" s="125"/>
      <c r="C1357" s="125"/>
      <c r="D1357" s="125"/>
      <c r="E1357" s="126"/>
      <c r="F1357" s="128"/>
      <c r="G1357" s="128"/>
      <c r="H1357" s="128"/>
      <c r="I1357" s="129"/>
      <c r="J1357" s="129"/>
      <c r="K1357" s="129"/>
      <c r="L1357" s="129"/>
      <c r="M1357" s="129"/>
      <c r="N1357" s="129"/>
      <c r="O1357" s="129"/>
      <c r="P1357" s="132"/>
      <c r="Q1357" s="132"/>
      <c r="R1357" s="135"/>
      <c r="S1357" s="132"/>
      <c r="T1357" s="129"/>
      <c r="U1357" s="132"/>
      <c r="V1357" s="132"/>
      <c r="W1357" s="132"/>
    </row>
    <row r="1358" spans="1:23" ht="15.75" customHeight="1">
      <c r="A1358" s="125"/>
      <c r="B1358" s="125"/>
      <c r="C1358" s="125"/>
      <c r="D1358" s="125"/>
      <c r="E1358" s="126"/>
      <c r="F1358" s="128"/>
      <c r="G1358" s="128"/>
      <c r="H1358" s="128"/>
      <c r="I1358" s="129"/>
      <c r="J1358" s="129"/>
      <c r="K1358" s="129"/>
      <c r="L1358" s="129"/>
      <c r="M1358" s="129"/>
      <c r="N1358" s="129"/>
      <c r="O1358" s="129"/>
      <c r="P1358" s="132"/>
      <c r="Q1358" s="132"/>
      <c r="R1358" s="135"/>
      <c r="S1358" s="132"/>
      <c r="T1358" s="129"/>
      <c r="U1358" s="132"/>
      <c r="V1358" s="132"/>
      <c r="W1358" s="132"/>
    </row>
    <row r="1359" spans="1:23" ht="15.75" customHeight="1">
      <c r="A1359" s="125"/>
      <c r="B1359" s="125"/>
      <c r="C1359" s="125"/>
      <c r="D1359" s="125"/>
      <c r="E1359" s="126"/>
      <c r="F1359" s="128"/>
      <c r="G1359" s="128"/>
      <c r="H1359" s="128"/>
      <c r="I1359" s="129"/>
      <c r="J1359" s="129"/>
      <c r="K1359" s="129"/>
      <c r="L1359" s="129"/>
      <c r="M1359" s="129"/>
      <c r="N1359" s="129"/>
      <c r="O1359" s="129"/>
      <c r="P1359" s="132"/>
      <c r="Q1359" s="132"/>
      <c r="R1359" s="135"/>
      <c r="S1359" s="132"/>
      <c r="T1359" s="129"/>
      <c r="U1359" s="132"/>
      <c r="V1359" s="132"/>
      <c r="W1359" s="132"/>
    </row>
    <row r="1360" spans="1:23" ht="15.75" customHeight="1">
      <c r="A1360" s="125"/>
      <c r="B1360" s="125"/>
      <c r="C1360" s="125"/>
      <c r="D1360" s="125"/>
      <c r="E1360" s="126"/>
      <c r="F1360" s="128"/>
      <c r="G1360" s="128"/>
      <c r="H1360" s="128"/>
      <c r="I1360" s="129"/>
      <c r="J1360" s="129"/>
      <c r="K1360" s="129"/>
      <c r="L1360" s="129"/>
      <c r="M1360" s="129"/>
      <c r="N1360" s="129"/>
      <c r="O1360" s="129"/>
      <c r="P1360" s="132"/>
      <c r="Q1360" s="132"/>
      <c r="R1360" s="135"/>
      <c r="S1360" s="132"/>
      <c r="T1360" s="129"/>
      <c r="U1360" s="132"/>
      <c r="V1360" s="132"/>
      <c r="W1360" s="132"/>
    </row>
    <row r="1361" spans="1:23" ht="15.75" customHeight="1">
      <c r="A1361" s="125"/>
      <c r="B1361" s="125"/>
      <c r="C1361" s="125"/>
      <c r="D1361" s="125"/>
      <c r="E1361" s="126"/>
      <c r="F1361" s="128"/>
      <c r="G1361" s="128"/>
      <c r="H1361" s="128"/>
      <c r="I1361" s="129"/>
      <c r="J1361" s="129"/>
      <c r="K1361" s="129"/>
      <c r="L1361" s="129"/>
      <c r="M1361" s="129"/>
      <c r="N1361" s="129"/>
      <c r="O1361" s="129"/>
      <c r="P1361" s="132"/>
      <c r="Q1361" s="132"/>
      <c r="R1361" s="135"/>
      <c r="S1361" s="132"/>
      <c r="T1361" s="129"/>
      <c r="U1361" s="132"/>
      <c r="V1361" s="132"/>
      <c r="W1361" s="132"/>
    </row>
    <row r="1362" spans="1:23" ht="15.75" customHeight="1">
      <c r="A1362" s="125"/>
      <c r="B1362" s="125"/>
      <c r="C1362" s="125"/>
      <c r="D1362" s="125"/>
      <c r="E1362" s="126"/>
      <c r="F1362" s="128"/>
      <c r="G1362" s="128"/>
      <c r="H1362" s="128"/>
      <c r="I1362" s="129"/>
      <c r="J1362" s="129"/>
      <c r="K1362" s="129"/>
      <c r="L1362" s="129"/>
      <c r="M1362" s="129"/>
      <c r="N1362" s="129"/>
      <c r="O1362" s="129"/>
      <c r="P1362" s="132"/>
      <c r="Q1362" s="132"/>
      <c r="R1362" s="135"/>
      <c r="S1362" s="132"/>
      <c r="T1362" s="129"/>
      <c r="U1362" s="132"/>
      <c r="V1362" s="132"/>
      <c r="W1362" s="132"/>
    </row>
    <row r="1363" spans="1:23" ht="15.75" customHeight="1">
      <c r="A1363" s="125"/>
      <c r="B1363" s="125"/>
      <c r="C1363" s="125"/>
      <c r="D1363" s="125"/>
      <c r="E1363" s="126"/>
      <c r="F1363" s="128"/>
      <c r="G1363" s="128"/>
      <c r="H1363" s="128"/>
      <c r="I1363" s="129"/>
      <c r="J1363" s="129"/>
      <c r="K1363" s="129"/>
      <c r="L1363" s="129"/>
      <c r="M1363" s="129"/>
      <c r="N1363" s="129"/>
      <c r="O1363" s="129"/>
      <c r="P1363" s="132"/>
      <c r="Q1363" s="132"/>
      <c r="R1363" s="135"/>
      <c r="S1363" s="132"/>
      <c r="T1363" s="129"/>
      <c r="U1363" s="132"/>
      <c r="V1363" s="132"/>
      <c r="W1363" s="132"/>
    </row>
    <row r="1364" spans="1:23" ht="15.75" customHeight="1">
      <c r="A1364" s="125"/>
      <c r="B1364" s="125"/>
      <c r="C1364" s="125"/>
      <c r="D1364" s="125"/>
      <c r="E1364" s="126"/>
      <c r="F1364" s="128"/>
      <c r="G1364" s="128"/>
      <c r="H1364" s="128"/>
      <c r="I1364" s="129"/>
      <c r="J1364" s="129"/>
      <c r="K1364" s="129"/>
      <c r="L1364" s="129"/>
      <c r="M1364" s="129"/>
      <c r="N1364" s="129"/>
      <c r="O1364" s="129"/>
      <c r="P1364" s="132"/>
      <c r="Q1364" s="132"/>
      <c r="R1364" s="135"/>
      <c r="S1364" s="132"/>
      <c r="T1364" s="129"/>
      <c r="U1364" s="132"/>
      <c r="V1364" s="132"/>
      <c r="W1364" s="132"/>
    </row>
    <row r="1365" spans="1:23" ht="15.75" customHeight="1">
      <c r="A1365" s="125"/>
      <c r="B1365" s="125"/>
      <c r="C1365" s="125"/>
      <c r="D1365" s="125"/>
      <c r="E1365" s="126"/>
      <c r="F1365" s="128"/>
      <c r="G1365" s="128"/>
      <c r="H1365" s="128"/>
      <c r="I1365" s="129"/>
      <c r="J1365" s="129"/>
      <c r="K1365" s="129"/>
      <c r="L1365" s="129"/>
      <c r="M1365" s="129"/>
      <c r="N1365" s="129"/>
      <c r="O1365" s="129"/>
      <c r="P1365" s="132"/>
      <c r="Q1365" s="132"/>
      <c r="R1365" s="135"/>
      <c r="S1365" s="132"/>
      <c r="T1365" s="129"/>
      <c r="U1365" s="132"/>
      <c r="V1365" s="132"/>
      <c r="W1365" s="132"/>
    </row>
    <row r="1366" spans="1:23" ht="15.75" customHeight="1">
      <c r="A1366" s="125"/>
      <c r="B1366" s="125"/>
      <c r="C1366" s="125"/>
      <c r="D1366" s="125"/>
      <c r="E1366" s="126"/>
      <c r="F1366" s="128"/>
      <c r="G1366" s="128"/>
      <c r="H1366" s="128"/>
      <c r="I1366" s="129"/>
      <c r="J1366" s="129"/>
      <c r="K1366" s="129"/>
      <c r="L1366" s="129"/>
      <c r="M1366" s="129"/>
      <c r="N1366" s="129"/>
      <c r="O1366" s="129"/>
      <c r="P1366" s="132"/>
      <c r="Q1366" s="132"/>
      <c r="R1366" s="135"/>
      <c r="S1366" s="132"/>
      <c r="T1366" s="129"/>
      <c r="U1366" s="132"/>
      <c r="V1366" s="132"/>
      <c r="W1366" s="132"/>
    </row>
    <row r="1367" spans="1:23" ht="15.75" customHeight="1">
      <c r="A1367" s="125"/>
      <c r="B1367" s="125"/>
      <c r="C1367" s="125"/>
      <c r="D1367" s="125"/>
      <c r="E1367" s="126"/>
      <c r="F1367" s="128"/>
      <c r="G1367" s="128"/>
      <c r="H1367" s="128"/>
      <c r="I1367" s="129"/>
      <c r="J1367" s="129"/>
      <c r="K1367" s="129"/>
      <c r="L1367" s="129"/>
      <c r="M1367" s="129"/>
      <c r="N1367" s="129"/>
      <c r="O1367" s="129"/>
      <c r="P1367" s="132"/>
      <c r="Q1367" s="132"/>
      <c r="R1367" s="135"/>
      <c r="S1367" s="132"/>
      <c r="T1367" s="129"/>
      <c r="U1367" s="132"/>
      <c r="V1367" s="132"/>
      <c r="W1367" s="132"/>
    </row>
    <row r="1368" spans="1:23" ht="15.75" customHeight="1">
      <c r="A1368" s="125"/>
      <c r="B1368" s="125"/>
      <c r="C1368" s="125"/>
      <c r="D1368" s="125"/>
      <c r="E1368" s="126"/>
      <c r="F1368" s="128"/>
      <c r="G1368" s="128"/>
      <c r="H1368" s="128"/>
      <c r="I1368" s="129"/>
      <c r="J1368" s="129"/>
      <c r="K1368" s="129"/>
      <c r="L1368" s="129"/>
      <c r="M1368" s="129"/>
      <c r="N1368" s="129"/>
      <c r="O1368" s="129"/>
      <c r="P1368" s="132"/>
      <c r="Q1368" s="132"/>
      <c r="R1368" s="135"/>
      <c r="S1368" s="132"/>
      <c r="T1368" s="129"/>
      <c r="U1368" s="132"/>
      <c r="V1368" s="132"/>
      <c r="W1368" s="132"/>
    </row>
    <row r="1369" spans="1:23" ht="15.75" customHeight="1">
      <c r="A1369" s="125"/>
      <c r="B1369" s="125"/>
      <c r="C1369" s="125"/>
      <c r="D1369" s="125"/>
      <c r="E1369" s="126"/>
      <c r="F1369" s="128"/>
      <c r="G1369" s="128"/>
      <c r="H1369" s="128"/>
      <c r="I1369" s="129"/>
      <c r="J1369" s="129"/>
      <c r="K1369" s="129"/>
      <c r="L1369" s="129"/>
      <c r="M1369" s="129"/>
      <c r="N1369" s="129"/>
      <c r="O1369" s="129"/>
      <c r="P1369" s="132"/>
      <c r="Q1369" s="132"/>
      <c r="R1369" s="135"/>
      <c r="S1369" s="132"/>
      <c r="T1369" s="129"/>
      <c r="U1369" s="132"/>
      <c r="V1369" s="132"/>
      <c r="W1369" s="132"/>
    </row>
    <row r="1370" spans="1:23" ht="15.75" customHeight="1">
      <c r="A1370" s="125"/>
      <c r="B1370" s="125"/>
      <c r="C1370" s="125"/>
      <c r="D1370" s="125"/>
      <c r="E1370" s="126"/>
      <c r="F1370" s="128"/>
      <c r="G1370" s="128"/>
      <c r="H1370" s="128"/>
      <c r="I1370" s="129"/>
      <c r="J1370" s="129"/>
      <c r="K1370" s="129"/>
      <c r="L1370" s="129"/>
      <c r="M1370" s="129"/>
      <c r="N1370" s="129"/>
      <c r="O1370" s="129"/>
      <c r="P1370" s="132"/>
      <c r="Q1370" s="132"/>
      <c r="R1370" s="135"/>
      <c r="S1370" s="132"/>
      <c r="T1370" s="129"/>
      <c r="U1370" s="132"/>
      <c r="V1370" s="132"/>
      <c r="W1370" s="132"/>
    </row>
    <row r="1371" spans="1:23" ht="15.75" customHeight="1">
      <c r="A1371" s="125"/>
      <c r="B1371" s="125"/>
      <c r="C1371" s="125"/>
      <c r="D1371" s="125"/>
      <c r="E1371" s="126"/>
      <c r="F1371" s="128"/>
      <c r="G1371" s="128"/>
      <c r="H1371" s="128"/>
      <c r="I1371" s="129"/>
      <c r="J1371" s="129"/>
      <c r="K1371" s="129"/>
      <c r="L1371" s="129"/>
      <c r="M1371" s="129"/>
      <c r="N1371" s="129"/>
      <c r="O1371" s="129"/>
      <c r="P1371" s="132"/>
      <c r="Q1371" s="132"/>
      <c r="R1371" s="135"/>
      <c r="S1371" s="132"/>
      <c r="T1371" s="129"/>
      <c r="U1371" s="132"/>
      <c r="V1371" s="132"/>
      <c r="W1371" s="132"/>
    </row>
    <row r="1372" spans="1:23" ht="15.75" customHeight="1">
      <c r="A1372" s="125"/>
      <c r="B1372" s="125"/>
      <c r="C1372" s="125"/>
      <c r="D1372" s="125"/>
      <c r="E1372" s="126"/>
      <c r="F1372" s="128"/>
      <c r="G1372" s="128"/>
      <c r="H1372" s="128"/>
      <c r="I1372" s="129"/>
      <c r="J1372" s="129"/>
      <c r="K1372" s="129"/>
      <c r="L1372" s="129"/>
      <c r="M1372" s="129"/>
      <c r="N1372" s="129"/>
      <c r="O1372" s="129"/>
      <c r="P1372" s="132"/>
      <c r="Q1372" s="132"/>
      <c r="R1372" s="135"/>
      <c r="S1372" s="132"/>
      <c r="T1372" s="129"/>
      <c r="U1372" s="132"/>
      <c r="V1372" s="132"/>
      <c r="W1372" s="132"/>
    </row>
    <row r="1373" spans="1:23" ht="15.75" customHeight="1">
      <c r="A1373" s="125"/>
      <c r="B1373" s="125"/>
      <c r="C1373" s="125"/>
      <c r="D1373" s="125"/>
      <c r="E1373" s="126"/>
      <c r="F1373" s="128"/>
      <c r="G1373" s="128"/>
      <c r="H1373" s="128"/>
      <c r="I1373" s="129"/>
      <c r="J1373" s="129"/>
      <c r="K1373" s="129"/>
      <c r="L1373" s="129"/>
      <c r="M1373" s="129"/>
      <c r="N1373" s="129"/>
      <c r="O1373" s="129"/>
      <c r="P1373" s="132"/>
      <c r="Q1373" s="132"/>
      <c r="R1373" s="135"/>
      <c r="S1373" s="132"/>
      <c r="T1373" s="129"/>
      <c r="U1373" s="132"/>
      <c r="V1373" s="132"/>
      <c r="W1373" s="132"/>
    </row>
    <row r="1374" spans="1:23" ht="15.75" customHeight="1">
      <c r="A1374" s="125"/>
      <c r="B1374" s="125"/>
      <c r="C1374" s="125"/>
      <c r="D1374" s="125"/>
      <c r="E1374" s="126"/>
      <c r="F1374" s="128"/>
      <c r="G1374" s="128"/>
      <c r="H1374" s="128"/>
      <c r="I1374" s="129"/>
      <c r="J1374" s="129"/>
      <c r="K1374" s="129"/>
      <c r="L1374" s="129"/>
      <c r="M1374" s="129"/>
      <c r="N1374" s="129"/>
      <c r="O1374" s="129"/>
      <c r="P1374" s="132"/>
      <c r="Q1374" s="132"/>
      <c r="R1374" s="135"/>
      <c r="S1374" s="132"/>
      <c r="T1374" s="129"/>
      <c r="U1374" s="132"/>
      <c r="V1374" s="132"/>
      <c r="W1374" s="132"/>
    </row>
    <row r="1375" spans="1:23" ht="15.75" customHeight="1">
      <c r="A1375" s="125"/>
      <c r="B1375" s="125"/>
      <c r="C1375" s="125"/>
      <c r="D1375" s="125"/>
      <c r="E1375" s="126"/>
      <c r="F1375" s="128"/>
      <c r="G1375" s="128"/>
      <c r="H1375" s="128"/>
      <c r="I1375" s="129"/>
      <c r="J1375" s="129"/>
      <c r="K1375" s="129"/>
      <c r="L1375" s="129"/>
      <c r="M1375" s="129"/>
      <c r="N1375" s="129"/>
      <c r="O1375" s="129"/>
      <c r="P1375" s="132"/>
      <c r="Q1375" s="132"/>
      <c r="R1375" s="135"/>
      <c r="S1375" s="132"/>
      <c r="T1375" s="129"/>
      <c r="U1375" s="132"/>
      <c r="V1375" s="132"/>
      <c r="W1375" s="132"/>
    </row>
    <row r="1376" spans="1:23" ht="15.75" customHeight="1">
      <c r="A1376" s="125"/>
      <c r="B1376" s="125"/>
      <c r="C1376" s="125"/>
      <c r="D1376" s="125"/>
      <c r="E1376" s="126"/>
      <c r="F1376" s="128"/>
      <c r="G1376" s="128"/>
      <c r="H1376" s="128"/>
      <c r="I1376" s="129"/>
      <c r="J1376" s="129"/>
      <c r="K1376" s="129"/>
      <c r="L1376" s="129"/>
      <c r="M1376" s="129"/>
      <c r="N1376" s="129"/>
      <c r="O1376" s="129"/>
      <c r="P1376" s="132"/>
      <c r="Q1376" s="132"/>
      <c r="R1376" s="135"/>
      <c r="S1376" s="132"/>
      <c r="T1376" s="129"/>
      <c r="U1376" s="132"/>
      <c r="V1376" s="132"/>
      <c r="W1376" s="132"/>
    </row>
    <row r="1377" spans="1:23" ht="15.75" customHeight="1">
      <c r="A1377" s="125"/>
      <c r="B1377" s="125"/>
      <c r="C1377" s="125"/>
      <c r="D1377" s="125"/>
      <c r="E1377" s="126"/>
      <c r="F1377" s="128"/>
      <c r="G1377" s="128"/>
      <c r="H1377" s="128"/>
      <c r="I1377" s="129"/>
      <c r="J1377" s="129"/>
      <c r="K1377" s="129"/>
      <c r="L1377" s="129"/>
      <c r="M1377" s="129"/>
      <c r="N1377" s="129"/>
      <c r="O1377" s="129"/>
      <c r="P1377" s="132"/>
      <c r="Q1377" s="132"/>
      <c r="R1377" s="135"/>
      <c r="S1377" s="132"/>
      <c r="T1377" s="129"/>
      <c r="U1377" s="132"/>
      <c r="V1377" s="132"/>
      <c r="W1377" s="132"/>
    </row>
    <row r="1378" spans="1:23" ht="15.75" customHeight="1">
      <c r="A1378" s="125"/>
      <c r="B1378" s="125"/>
      <c r="C1378" s="125"/>
      <c r="D1378" s="125"/>
      <c r="E1378" s="126"/>
      <c r="F1378" s="128"/>
      <c r="G1378" s="128"/>
      <c r="H1378" s="128"/>
      <c r="I1378" s="129"/>
      <c r="J1378" s="129"/>
      <c r="K1378" s="129"/>
      <c r="L1378" s="129"/>
      <c r="M1378" s="129"/>
      <c r="N1378" s="129"/>
      <c r="O1378" s="129"/>
      <c r="P1378" s="132"/>
      <c r="Q1378" s="132"/>
      <c r="R1378" s="135"/>
      <c r="S1378" s="132"/>
      <c r="T1378" s="129"/>
      <c r="U1378" s="132"/>
      <c r="V1378" s="132"/>
      <c r="W1378" s="132"/>
    </row>
    <row r="1379" spans="1:23" ht="15.75" customHeight="1">
      <c r="A1379" s="125"/>
      <c r="B1379" s="125"/>
      <c r="C1379" s="125"/>
      <c r="D1379" s="125"/>
      <c r="E1379" s="126"/>
      <c r="F1379" s="128"/>
      <c r="G1379" s="128"/>
      <c r="H1379" s="128"/>
      <c r="I1379" s="129"/>
      <c r="J1379" s="129"/>
      <c r="K1379" s="129"/>
      <c r="L1379" s="129"/>
      <c r="M1379" s="129"/>
      <c r="N1379" s="129"/>
      <c r="O1379" s="129"/>
      <c r="P1379" s="132"/>
      <c r="Q1379" s="132"/>
      <c r="R1379" s="135"/>
      <c r="S1379" s="132"/>
      <c r="T1379" s="129"/>
      <c r="U1379" s="132"/>
      <c r="V1379" s="132"/>
      <c r="W1379" s="132"/>
    </row>
    <row r="1380" spans="1:23" ht="15.75" customHeight="1">
      <c r="A1380" s="125"/>
      <c r="B1380" s="125"/>
      <c r="C1380" s="125"/>
      <c r="D1380" s="125"/>
      <c r="E1380" s="126"/>
      <c r="F1380" s="128"/>
      <c r="G1380" s="128"/>
      <c r="H1380" s="128"/>
      <c r="I1380" s="129"/>
      <c r="J1380" s="129"/>
      <c r="K1380" s="129"/>
      <c r="L1380" s="129"/>
      <c r="M1380" s="129"/>
      <c r="N1380" s="129"/>
      <c r="O1380" s="129"/>
      <c r="P1380" s="132"/>
      <c r="Q1380" s="132"/>
      <c r="R1380" s="135"/>
      <c r="S1380" s="132"/>
      <c r="T1380" s="129"/>
      <c r="U1380" s="132"/>
      <c r="V1380" s="132"/>
      <c r="W1380" s="132"/>
    </row>
    <row r="1381" spans="1:23" ht="15.75" customHeight="1">
      <c r="A1381" s="125"/>
      <c r="B1381" s="125"/>
      <c r="C1381" s="125"/>
      <c r="D1381" s="125"/>
      <c r="E1381" s="126"/>
      <c r="F1381" s="128"/>
      <c r="G1381" s="128"/>
      <c r="H1381" s="128"/>
      <c r="I1381" s="129"/>
      <c r="J1381" s="129"/>
      <c r="K1381" s="129"/>
      <c r="L1381" s="129"/>
      <c r="M1381" s="129"/>
      <c r="N1381" s="129"/>
      <c r="O1381" s="129"/>
      <c r="P1381" s="132"/>
      <c r="Q1381" s="132"/>
      <c r="R1381" s="135"/>
      <c r="S1381" s="132"/>
      <c r="T1381" s="129"/>
      <c r="U1381" s="132"/>
      <c r="V1381" s="132"/>
      <c r="W1381" s="132"/>
    </row>
    <row r="1382" spans="1:23" ht="15.75" customHeight="1">
      <c r="A1382" s="125"/>
      <c r="B1382" s="125"/>
      <c r="C1382" s="125"/>
      <c r="D1382" s="125"/>
      <c r="E1382" s="126"/>
      <c r="F1382" s="128"/>
      <c r="G1382" s="128"/>
      <c r="H1382" s="128"/>
      <c r="I1382" s="129"/>
      <c r="J1382" s="129"/>
      <c r="K1382" s="129"/>
      <c r="L1382" s="129"/>
      <c r="M1382" s="129"/>
      <c r="N1382" s="129"/>
      <c r="O1382" s="129"/>
      <c r="P1382" s="132"/>
      <c r="Q1382" s="132"/>
      <c r="R1382" s="135"/>
      <c r="S1382" s="132"/>
      <c r="T1382" s="129"/>
      <c r="U1382" s="132"/>
      <c r="V1382" s="132"/>
      <c r="W1382" s="132"/>
    </row>
    <row r="1383" spans="1:23" ht="15.75" customHeight="1">
      <c r="A1383" s="125"/>
      <c r="B1383" s="125"/>
      <c r="C1383" s="125"/>
      <c r="D1383" s="125"/>
      <c r="E1383" s="126"/>
      <c r="F1383" s="128"/>
      <c r="G1383" s="128"/>
      <c r="H1383" s="128"/>
      <c r="I1383" s="129"/>
      <c r="J1383" s="129"/>
      <c r="K1383" s="129"/>
      <c r="L1383" s="129"/>
      <c r="M1383" s="129"/>
      <c r="N1383" s="129"/>
      <c r="O1383" s="129"/>
      <c r="P1383" s="132"/>
      <c r="Q1383" s="132"/>
      <c r="R1383" s="135"/>
      <c r="S1383" s="132"/>
      <c r="T1383" s="129"/>
      <c r="U1383" s="132"/>
      <c r="V1383" s="132"/>
      <c r="W1383" s="132"/>
    </row>
    <row r="1384" spans="1:23" ht="15.75" customHeight="1">
      <c r="A1384" s="125"/>
      <c r="B1384" s="125"/>
      <c r="C1384" s="125"/>
      <c r="D1384" s="125"/>
      <c r="E1384" s="126"/>
      <c r="F1384" s="128"/>
      <c r="G1384" s="128"/>
      <c r="H1384" s="128"/>
      <c r="I1384" s="129"/>
      <c r="J1384" s="129"/>
      <c r="K1384" s="129"/>
      <c r="L1384" s="129"/>
      <c r="M1384" s="129"/>
      <c r="N1384" s="129"/>
      <c r="O1384" s="129"/>
      <c r="P1384" s="132"/>
      <c r="Q1384" s="132"/>
      <c r="R1384" s="135"/>
      <c r="S1384" s="132"/>
      <c r="T1384" s="129"/>
      <c r="U1384" s="132"/>
      <c r="V1384" s="132"/>
      <c r="W1384" s="132"/>
    </row>
    <row r="1385" spans="1:23" ht="15.75" customHeight="1">
      <c r="A1385" s="125"/>
      <c r="B1385" s="125"/>
      <c r="C1385" s="125"/>
      <c r="D1385" s="125"/>
      <c r="E1385" s="126"/>
      <c r="F1385" s="128"/>
      <c r="G1385" s="128"/>
      <c r="H1385" s="128"/>
      <c r="I1385" s="129"/>
      <c r="J1385" s="129"/>
      <c r="K1385" s="129"/>
      <c r="L1385" s="129"/>
      <c r="M1385" s="129"/>
      <c r="N1385" s="129"/>
      <c r="O1385" s="129"/>
      <c r="P1385" s="132"/>
      <c r="Q1385" s="132"/>
      <c r="R1385" s="135"/>
      <c r="S1385" s="132"/>
      <c r="T1385" s="129"/>
      <c r="U1385" s="132"/>
      <c r="V1385" s="132"/>
      <c r="W1385" s="132"/>
    </row>
    <row r="1386" spans="1:23" ht="15.75" customHeight="1">
      <c r="A1386" s="125"/>
      <c r="B1386" s="125"/>
      <c r="C1386" s="125"/>
      <c r="D1386" s="125"/>
      <c r="E1386" s="126"/>
      <c r="F1386" s="128"/>
      <c r="G1386" s="128"/>
      <c r="H1386" s="128"/>
      <c r="I1386" s="129"/>
      <c r="J1386" s="129"/>
      <c r="K1386" s="129"/>
      <c r="L1386" s="129"/>
      <c r="M1386" s="129"/>
      <c r="N1386" s="129"/>
      <c r="O1386" s="129"/>
      <c r="P1386" s="132"/>
      <c r="Q1386" s="132"/>
      <c r="R1386" s="135"/>
      <c r="S1386" s="132"/>
      <c r="T1386" s="129"/>
      <c r="U1386" s="132"/>
      <c r="V1386" s="132"/>
      <c r="W1386" s="132"/>
    </row>
    <row r="1387" spans="1:23" ht="15.75" customHeight="1">
      <c r="A1387" s="125"/>
      <c r="B1387" s="125"/>
      <c r="C1387" s="125"/>
      <c r="D1387" s="125"/>
      <c r="E1387" s="126"/>
      <c r="F1387" s="128"/>
      <c r="G1387" s="128"/>
      <c r="H1387" s="128"/>
      <c r="I1387" s="129"/>
      <c r="J1387" s="129"/>
      <c r="K1387" s="129"/>
      <c r="L1387" s="129"/>
      <c r="M1387" s="129"/>
      <c r="N1387" s="129"/>
      <c r="O1387" s="129"/>
      <c r="P1387" s="132"/>
      <c r="Q1387" s="132"/>
      <c r="R1387" s="135"/>
      <c r="S1387" s="132"/>
      <c r="T1387" s="129"/>
      <c r="U1387" s="132"/>
      <c r="V1387" s="132"/>
      <c r="W1387" s="132"/>
    </row>
    <row r="1388" spans="1:23" ht="15.75" customHeight="1">
      <c r="A1388" s="125"/>
      <c r="B1388" s="125"/>
      <c r="C1388" s="125"/>
      <c r="D1388" s="125"/>
      <c r="E1388" s="126"/>
      <c r="F1388" s="128"/>
      <c r="G1388" s="128"/>
      <c r="H1388" s="128"/>
      <c r="I1388" s="129"/>
      <c r="J1388" s="129"/>
      <c r="K1388" s="129"/>
      <c r="L1388" s="129"/>
      <c r="M1388" s="129"/>
      <c r="N1388" s="129"/>
      <c r="O1388" s="129"/>
      <c r="P1388" s="132"/>
      <c r="Q1388" s="132"/>
      <c r="R1388" s="135"/>
      <c r="S1388" s="132"/>
      <c r="T1388" s="129"/>
      <c r="U1388" s="132"/>
      <c r="V1388" s="132"/>
      <c r="W1388" s="132"/>
    </row>
    <row r="1389" spans="1:23" ht="15.75" customHeight="1">
      <c r="A1389" s="125"/>
      <c r="B1389" s="125"/>
      <c r="C1389" s="125"/>
      <c r="D1389" s="125"/>
      <c r="E1389" s="126"/>
      <c r="F1389" s="128"/>
      <c r="G1389" s="128"/>
      <c r="H1389" s="128"/>
      <c r="I1389" s="129"/>
      <c r="J1389" s="129"/>
      <c r="K1389" s="129"/>
      <c r="L1389" s="129"/>
      <c r="M1389" s="129"/>
      <c r="N1389" s="129"/>
      <c r="O1389" s="129"/>
      <c r="P1389" s="132"/>
      <c r="Q1389" s="132"/>
      <c r="R1389" s="135"/>
      <c r="S1389" s="132"/>
      <c r="T1389" s="129"/>
      <c r="U1389" s="132"/>
      <c r="V1389" s="132"/>
      <c r="W1389" s="132"/>
    </row>
    <row r="1390" spans="1:23" ht="15.75" customHeight="1">
      <c r="A1390" s="125"/>
      <c r="B1390" s="125"/>
      <c r="C1390" s="125"/>
      <c r="D1390" s="125"/>
      <c r="E1390" s="126"/>
      <c r="F1390" s="128"/>
      <c r="G1390" s="128"/>
      <c r="H1390" s="128"/>
      <c r="I1390" s="129"/>
      <c r="J1390" s="129"/>
      <c r="K1390" s="129"/>
      <c r="L1390" s="129"/>
      <c r="M1390" s="129"/>
      <c r="N1390" s="129"/>
      <c r="O1390" s="129"/>
      <c r="P1390" s="132"/>
      <c r="Q1390" s="132"/>
      <c r="R1390" s="135"/>
      <c r="S1390" s="132"/>
      <c r="T1390" s="129"/>
      <c r="U1390" s="132"/>
      <c r="V1390" s="132"/>
      <c r="W1390" s="132"/>
    </row>
    <row r="1391" spans="1:23" ht="15.75" customHeight="1">
      <c r="A1391" s="125"/>
      <c r="B1391" s="125"/>
      <c r="C1391" s="125"/>
      <c r="D1391" s="125"/>
      <c r="E1391" s="126"/>
      <c r="F1391" s="128"/>
      <c r="G1391" s="128"/>
      <c r="H1391" s="128"/>
      <c r="I1391" s="129"/>
      <c r="J1391" s="129"/>
      <c r="K1391" s="129"/>
      <c r="L1391" s="129"/>
      <c r="M1391" s="129"/>
      <c r="N1391" s="129"/>
      <c r="O1391" s="129"/>
      <c r="P1391" s="132"/>
      <c r="Q1391" s="132"/>
      <c r="R1391" s="135"/>
      <c r="S1391" s="132"/>
      <c r="T1391" s="129"/>
      <c r="U1391" s="132"/>
      <c r="V1391" s="132"/>
      <c r="W1391" s="132"/>
    </row>
    <row r="1392" spans="1:23" ht="15.75" customHeight="1">
      <c r="A1392" s="125"/>
      <c r="B1392" s="125"/>
      <c r="C1392" s="125"/>
      <c r="D1392" s="125"/>
      <c r="E1392" s="126"/>
      <c r="F1392" s="128"/>
      <c r="G1392" s="128"/>
      <c r="H1392" s="128"/>
      <c r="I1392" s="129"/>
      <c r="J1392" s="129"/>
      <c r="K1392" s="129"/>
      <c r="L1392" s="129"/>
      <c r="M1392" s="129"/>
      <c r="N1392" s="129"/>
      <c r="O1392" s="129"/>
      <c r="P1392" s="132"/>
      <c r="Q1392" s="132"/>
      <c r="R1392" s="135"/>
      <c r="S1392" s="132"/>
      <c r="T1392" s="129"/>
      <c r="U1392" s="132"/>
      <c r="V1392" s="132"/>
      <c r="W1392" s="132"/>
    </row>
    <row r="1393" spans="1:23" ht="15.75" customHeight="1">
      <c r="A1393" s="125"/>
      <c r="B1393" s="125"/>
      <c r="C1393" s="125"/>
      <c r="D1393" s="125"/>
      <c r="E1393" s="126"/>
      <c r="F1393" s="128"/>
      <c r="G1393" s="128"/>
      <c r="H1393" s="128"/>
      <c r="I1393" s="129"/>
      <c r="J1393" s="129"/>
      <c r="K1393" s="129"/>
      <c r="L1393" s="129"/>
      <c r="M1393" s="129"/>
      <c r="N1393" s="129"/>
      <c r="O1393" s="129"/>
      <c r="P1393" s="132"/>
      <c r="Q1393" s="132"/>
      <c r="R1393" s="135"/>
      <c r="S1393" s="132"/>
      <c r="T1393" s="129"/>
      <c r="U1393" s="132"/>
      <c r="V1393" s="132"/>
      <c r="W1393" s="132"/>
    </row>
    <row r="1394" spans="1:23" ht="15.75" customHeight="1">
      <c r="A1394" s="125"/>
      <c r="B1394" s="125"/>
      <c r="C1394" s="125"/>
      <c r="D1394" s="125"/>
      <c r="E1394" s="126"/>
      <c r="F1394" s="128"/>
      <c r="G1394" s="128"/>
      <c r="H1394" s="128"/>
      <c r="I1394" s="129"/>
      <c r="J1394" s="129"/>
      <c r="K1394" s="129"/>
      <c r="L1394" s="129"/>
      <c r="M1394" s="129"/>
      <c r="N1394" s="129"/>
      <c r="O1394" s="129"/>
      <c r="P1394" s="132"/>
      <c r="Q1394" s="132"/>
      <c r="R1394" s="135"/>
      <c r="S1394" s="132"/>
      <c r="T1394" s="129"/>
      <c r="U1394" s="132"/>
      <c r="V1394" s="132"/>
      <c r="W1394" s="132"/>
    </row>
    <row r="1395" spans="1:23" ht="15.75" customHeight="1">
      <c r="A1395" s="125"/>
      <c r="B1395" s="125"/>
      <c r="C1395" s="125"/>
      <c r="D1395" s="125"/>
      <c r="E1395" s="126"/>
      <c r="F1395" s="128"/>
      <c r="G1395" s="128"/>
      <c r="H1395" s="128"/>
      <c r="I1395" s="129"/>
      <c r="J1395" s="129"/>
      <c r="K1395" s="129"/>
      <c r="L1395" s="129"/>
      <c r="M1395" s="129"/>
      <c r="N1395" s="129"/>
      <c r="O1395" s="129"/>
      <c r="P1395" s="132"/>
      <c r="Q1395" s="132"/>
      <c r="R1395" s="135"/>
      <c r="S1395" s="132"/>
      <c r="T1395" s="129"/>
      <c r="U1395" s="132"/>
      <c r="V1395" s="132"/>
      <c r="W1395" s="132"/>
    </row>
    <row r="1396" spans="1:23" ht="15.75" customHeight="1">
      <c r="A1396" s="125"/>
      <c r="B1396" s="125"/>
      <c r="C1396" s="125"/>
      <c r="D1396" s="125"/>
      <c r="E1396" s="126"/>
      <c r="F1396" s="128"/>
      <c r="G1396" s="128"/>
      <c r="H1396" s="128"/>
      <c r="I1396" s="129"/>
      <c r="J1396" s="129"/>
      <c r="K1396" s="129"/>
      <c r="L1396" s="129"/>
      <c r="M1396" s="129"/>
      <c r="N1396" s="129"/>
      <c r="O1396" s="129"/>
      <c r="P1396" s="132"/>
      <c r="Q1396" s="132"/>
      <c r="R1396" s="135"/>
      <c r="S1396" s="132"/>
      <c r="T1396" s="129"/>
      <c r="U1396" s="132"/>
      <c r="V1396" s="132"/>
      <c r="W1396" s="132"/>
    </row>
    <row r="1397" spans="1:23" ht="15.75" customHeight="1">
      <c r="A1397" s="125"/>
      <c r="B1397" s="125"/>
      <c r="C1397" s="125"/>
      <c r="D1397" s="125"/>
      <c r="E1397" s="126"/>
      <c r="F1397" s="128"/>
      <c r="G1397" s="128"/>
      <c r="H1397" s="128"/>
      <c r="I1397" s="129"/>
      <c r="J1397" s="129"/>
      <c r="K1397" s="129"/>
      <c r="L1397" s="129"/>
      <c r="M1397" s="129"/>
      <c r="N1397" s="129"/>
      <c r="O1397" s="129"/>
      <c r="P1397" s="132"/>
      <c r="Q1397" s="132"/>
      <c r="R1397" s="135"/>
      <c r="S1397" s="132"/>
      <c r="T1397" s="129"/>
      <c r="U1397" s="132"/>
      <c r="V1397" s="132"/>
      <c r="W1397" s="132"/>
    </row>
    <row r="1398" spans="1:23" ht="15.75" customHeight="1">
      <c r="A1398" s="125"/>
      <c r="B1398" s="125"/>
      <c r="C1398" s="125"/>
      <c r="D1398" s="125"/>
      <c r="E1398" s="126"/>
      <c r="F1398" s="128"/>
      <c r="G1398" s="128"/>
      <c r="H1398" s="128"/>
      <c r="I1398" s="129"/>
      <c r="J1398" s="129"/>
      <c r="K1398" s="129"/>
      <c r="L1398" s="129"/>
      <c r="M1398" s="129"/>
      <c r="N1398" s="129"/>
      <c r="O1398" s="129"/>
      <c r="P1398" s="132"/>
      <c r="Q1398" s="132"/>
      <c r="R1398" s="135"/>
      <c r="S1398" s="132"/>
      <c r="T1398" s="129"/>
      <c r="U1398" s="132"/>
      <c r="V1398" s="132"/>
      <c r="W1398" s="132"/>
    </row>
    <row r="1399" spans="1:23" ht="15.75" customHeight="1">
      <c r="A1399" s="125"/>
      <c r="B1399" s="125"/>
      <c r="C1399" s="125"/>
      <c r="D1399" s="125"/>
      <c r="E1399" s="126"/>
      <c r="F1399" s="128"/>
      <c r="G1399" s="128"/>
      <c r="H1399" s="128"/>
      <c r="I1399" s="129"/>
      <c r="J1399" s="129"/>
      <c r="K1399" s="129"/>
      <c r="L1399" s="129"/>
      <c r="M1399" s="129"/>
      <c r="N1399" s="129"/>
      <c r="O1399" s="129"/>
      <c r="P1399" s="132"/>
      <c r="Q1399" s="132"/>
      <c r="R1399" s="135"/>
      <c r="S1399" s="132"/>
      <c r="T1399" s="129"/>
      <c r="U1399" s="132"/>
      <c r="V1399" s="132"/>
      <c r="W1399" s="132"/>
    </row>
    <row r="1400" spans="1:23" ht="15.75" customHeight="1">
      <c r="A1400" s="125"/>
      <c r="B1400" s="125"/>
      <c r="C1400" s="125"/>
      <c r="D1400" s="125"/>
      <c r="E1400" s="126"/>
      <c r="F1400" s="128"/>
      <c r="G1400" s="128"/>
      <c r="H1400" s="128"/>
      <c r="I1400" s="129"/>
      <c r="J1400" s="129"/>
      <c r="K1400" s="129"/>
      <c r="L1400" s="129"/>
      <c r="M1400" s="129"/>
      <c r="N1400" s="129"/>
      <c r="O1400" s="129"/>
      <c r="P1400" s="132"/>
      <c r="Q1400" s="132"/>
      <c r="R1400" s="135"/>
      <c r="S1400" s="132"/>
      <c r="T1400" s="129"/>
      <c r="U1400" s="132"/>
      <c r="V1400" s="132"/>
      <c r="W1400" s="132"/>
    </row>
    <row r="1401" spans="1:23" ht="15.75" customHeight="1">
      <c r="A1401" s="125"/>
      <c r="B1401" s="125"/>
      <c r="C1401" s="125"/>
      <c r="D1401" s="125"/>
      <c r="E1401" s="126"/>
      <c r="F1401" s="128"/>
      <c r="G1401" s="128"/>
      <c r="H1401" s="128"/>
      <c r="I1401" s="129"/>
      <c r="J1401" s="129"/>
      <c r="K1401" s="129"/>
      <c r="L1401" s="129"/>
      <c r="M1401" s="129"/>
      <c r="N1401" s="129"/>
      <c r="O1401" s="129"/>
      <c r="P1401" s="132"/>
      <c r="Q1401" s="132"/>
      <c r="R1401" s="135"/>
      <c r="S1401" s="132"/>
      <c r="T1401" s="129"/>
      <c r="U1401" s="132"/>
      <c r="V1401" s="132"/>
      <c r="W1401" s="132"/>
    </row>
    <row r="1402" spans="1:23" ht="15.75" customHeight="1">
      <c r="A1402" s="125"/>
      <c r="B1402" s="125"/>
      <c r="C1402" s="125"/>
      <c r="D1402" s="125"/>
      <c r="E1402" s="126"/>
      <c r="F1402" s="128"/>
      <c r="G1402" s="128"/>
      <c r="H1402" s="128"/>
      <c r="I1402" s="129"/>
      <c r="J1402" s="129"/>
      <c r="K1402" s="129"/>
      <c r="L1402" s="129"/>
      <c r="M1402" s="129"/>
      <c r="N1402" s="129"/>
      <c r="O1402" s="129"/>
      <c r="P1402" s="132"/>
      <c r="Q1402" s="132"/>
      <c r="R1402" s="135"/>
      <c r="S1402" s="132"/>
      <c r="T1402" s="129"/>
      <c r="U1402" s="132"/>
      <c r="V1402" s="132"/>
      <c r="W1402" s="132"/>
    </row>
    <row r="1403" spans="1:23" ht="15.75" customHeight="1">
      <c r="A1403" s="125"/>
      <c r="B1403" s="125"/>
      <c r="C1403" s="125"/>
      <c r="D1403" s="125"/>
      <c r="E1403" s="126"/>
      <c r="F1403" s="128"/>
      <c r="G1403" s="128"/>
      <c r="H1403" s="128"/>
      <c r="I1403" s="129"/>
      <c r="J1403" s="129"/>
      <c r="K1403" s="129"/>
      <c r="L1403" s="129"/>
      <c r="M1403" s="129"/>
      <c r="N1403" s="129"/>
      <c r="O1403" s="129"/>
      <c r="P1403" s="132"/>
      <c r="Q1403" s="132"/>
      <c r="R1403" s="135"/>
      <c r="S1403" s="132"/>
      <c r="T1403" s="129"/>
      <c r="U1403" s="132"/>
      <c r="V1403" s="132"/>
      <c r="W1403" s="132"/>
    </row>
    <row r="1404" spans="1:23" ht="15.75" customHeight="1">
      <c r="A1404" s="125"/>
      <c r="B1404" s="125"/>
      <c r="C1404" s="125"/>
      <c r="D1404" s="125"/>
      <c r="E1404" s="126"/>
      <c r="F1404" s="128"/>
      <c r="G1404" s="128"/>
      <c r="H1404" s="128"/>
      <c r="I1404" s="129"/>
      <c r="J1404" s="129"/>
      <c r="K1404" s="129"/>
      <c r="L1404" s="129"/>
      <c r="M1404" s="129"/>
      <c r="N1404" s="129"/>
      <c r="O1404" s="129"/>
      <c r="P1404" s="132"/>
      <c r="Q1404" s="132"/>
      <c r="R1404" s="135"/>
      <c r="S1404" s="132"/>
      <c r="T1404" s="129"/>
      <c r="U1404" s="132"/>
      <c r="V1404" s="132"/>
      <c r="W1404" s="132"/>
    </row>
    <row r="1405" spans="1:23" ht="15.75" customHeight="1">
      <c r="A1405" s="125"/>
      <c r="B1405" s="125"/>
      <c r="C1405" s="125"/>
      <c r="D1405" s="125"/>
      <c r="E1405" s="126"/>
      <c r="F1405" s="128"/>
      <c r="G1405" s="128"/>
      <c r="H1405" s="128"/>
      <c r="I1405" s="129"/>
      <c r="J1405" s="129"/>
      <c r="K1405" s="129"/>
      <c r="L1405" s="129"/>
      <c r="M1405" s="129"/>
      <c r="N1405" s="129"/>
      <c r="O1405" s="129"/>
      <c r="P1405" s="132"/>
      <c r="Q1405" s="132"/>
      <c r="R1405" s="135"/>
      <c r="S1405" s="132"/>
      <c r="T1405" s="129"/>
      <c r="U1405" s="132"/>
      <c r="V1405" s="132"/>
      <c r="W1405" s="132"/>
    </row>
    <row r="1406" spans="1:23" ht="15.75" customHeight="1">
      <c r="A1406" s="125"/>
      <c r="B1406" s="125"/>
      <c r="C1406" s="125"/>
      <c r="D1406" s="125"/>
      <c r="E1406" s="126"/>
      <c r="F1406" s="128"/>
      <c r="G1406" s="128"/>
      <c r="H1406" s="128"/>
      <c r="I1406" s="129"/>
      <c r="J1406" s="129"/>
      <c r="K1406" s="129"/>
      <c r="L1406" s="129"/>
      <c r="M1406" s="129"/>
      <c r="N1406" s="129"/>
      <c r="O1406" s="129"/>
      <c r="P1406" s="132"/>
      <c r="Q1406" s="132"/>
      <c r="R1406" s="135"/>
      <c r="S1406" s="132"/>
      <c r="T1406" s="129"/>
      <c r="U1406" s="132"/>
      <c r="V1406" s="132"/>
      <c r="W1406" s="132"/>
    </row>
    <row r="1407" spans="1:23" ht="15.75" customHeight="1">
      <c r="A1407" s="125"/>
      <c r="B1407" s="125"/>
      <c r="C1407" s="125"/>
      <c r="D1407" s="125"/>
      <c r="E1407" s="126"/>
      <c r="F1407" s="128"/>
      <c r="G1407" s="128"/>
      <c r="H1407" s="128"/>
      <c r="I1407" s="129"/>
      <c r="J1407" s="129"/>
      <c r="K1407" s="129"/>
      <c r="L1407" s="129"/>
      <c r="M1407" s="129"/>
      <c r="N1407" s="129"/>
      <c r="O1407" s="129"/>
      <c r="P1407" s="132"/>
      <c r="Q1407" s="132"/>
      <c r="R1407" s="135"/>
      <c r="S1407" s="132"/>
      <c r="T1407" s="129"/>
      <c r="U1407" s="132"/>
      <c r="V1407" s="132"/>
      <c r="W1407" s="132"/>
    </row>
    <row r="1408" spans="1:23" ht="15.75" customHeight="1">
      <c r="A1408" s="125"/>
      <c r="B1408" s="125"/>
      <c r="C1408" s="125"/>
      <c r="D1408" s="125"/>
      <c r="E1408" s="126"/>
      <c r="F1408" s="128"/>
      <c r="G1408" s="128"/>
      <c r="H1408" s="128"/>
      <c r="I1408" s="129"/>
      <c r="J1408" s="129"/>
      <c r="K1408" s="129"/>
      <c r="L1408" s="129"/>
      <c r="M1408" s="129"/>
      <c r="N1408" s="129"/>
      <c r="O1408" s="129"/>
      <c r="P1408" s="132"/>
      <c r="Q1408" s="132"/>
      <c r="R1408" s="135"/>
      <c r="S1408" s="132"/>
      <c r="T1408" s="129"/>
      <c r="U1408" s="132"/>
      <c r="V1408" s="132"/>
      <c r="W1408" s="132"/>
    </row>
    <row r="1409" spans="1:23" ht="15.75" customHeight="1">
      <c r="A1409" s="125"/>
      <c r="B1409" s="125"/>
      <c r="C1409" s="125"/>
      <c r="D1409" s="125"/>
      <c r="E1409" s="126"/>
      <c r="F1409" s="128"/>
      <c r="G1409" s="128"/>
      <c r="H1409" s="128"/>
      <c r="I1409" s="129"/>
      <c r="J1409" s="129"/>
      <c r="K1409" s="129"/>
      <c r="L1409" s="129"/>
      <c r="M1409" s="129"/>
      <c r="N1409" s="129"/>
      <c r="O1409" s="129"/>
      <c r="P1409" s="132"/>
      <c r="Q1409" s="132"/>
      <c r="R1409" s="135"/>
      <c r="S1409" s="132"/>
      <c r="T1409" s="129"/>
      <c r="U1409" s="132"/>
      <c r="V1409" s="132"/>
      <c r="W1409" s="132"/>
    </row>
    <row r="1410" spans="1:23" ht="15.75" customHeight="1">
      <c r="A1410" s="125"/>
      <c r="B1410" s="125"/>
      <c r="C1410" s="125"/>
      <c r="D1410" s="125"/>
      <c r="E1410" s="126"/>
      <c r="F1410" s="128"/>
      <c r="G1410" s="128"/>
      <c r="H1410" s="128"/>
      <c r="I1410" s="129"/>
      <c r="J1410" s="129"/>
      <c r="K1410" s="129"/>
      <c r="L1410" s="129"/>
      <c r="M1410" s="129"/>
      <c r="N1410" s="129"/>
      <c r="O1410" s="129"/>
      <c r="P1410" s="132"/>
      <c r="Q1410" s="132"/>
      <c r="R1410" s="135"/>
      <c r="S1410" s="132"/>
      <c r="T1410" s="129"/>
      <c r="U1410" s="132"/>
      <c r="V1410" s="132"/>
      <c r="W1410" s="132"/>
    </row>
    <row r="1411" spans="1:23" ht="15.75" customHeight="1">
      <c r="A1411" s="125"/>
      <c r="B1411" s="125"/>
      <c r="C1411" s="125"/>
      <c r="D1411" s="125"/>
      <c r="E1411" s="126"/>
      <c r="F1411" s="128"/>
      <c r="G1411" s="128"/>
      <c r="H1411" s="128"/>
      <c r="I1411" s="129"/>
      <c r="J1411" s="129"/>
      <c r="K1411" s="129"/>
      <c r="L1411" s="129"/>
      <c r="M1411" s="129"/>
      <c r="N1411" s="129"/>
      <c r="O1411" s="129"/>
      <c r="P1411" s="132"/>
      <c r="Q1411" s="132"/>
      <c r="R1411" s="135"/>
      <c r="S1411" s="132"/>
      <c r="T1411" s="129"/>
      <c r="U1411" s="132"/>
      <c r="V1411" s="132"/>
      <c r="W1411" s="132"/>
    </row>
    <row r="1412" spans="1:23" ht="15.75" customHeight="1">
      <c r="A1412" s="125"/>
      <c r="B1412" s="125"/>
      <c r="C1412" s="125"/>
      <c r="D1412" s="125"/>
      <c r="E1412" s="126"/>
      <c r="F1412" s="128"/>
      <c r="G1412" s="128"/>
      <c r="H1412" s="128"/>
      <c r="I1412" s="129"/>
      <c r="J1412" s="129"/>
      <c r="K1412" s="129"/>
      <c r="L1412" s="129"/>
      <c r="M1412" s="129"/>
      <c r="N1412" s="129"/>
      <c r="O1412" s="129"/>
      <c r="P1412" s="132"/>
      <c r="Q1412" s="132"/>
      <c r="R1412" s="135"/>
      <c r="S1412" s="132"/>
      <c r="T1412" s="129"/>
      <c r="U1412" s="132"/>
      <c r="V1412" s="132"/>
      <c r="W1412" s="132"/>
    </row>
    <row r="1413" spans="1:23" ht="15.75" customHeight="1">
      <c r="A1413" s="125"/>
      <c r="B1413" s="125"/>
      <c r="C1413" s="125"/>
      <c r="D1413" s="125"/>
      <c r="E1413" s="126"/>
      <c r="F1413" s="128"/>
      <c r="G1413" s="128"/>
      <c r="H1413" s="128"/>
      <c r="I1413" s="129"/>
      <c r="J1413" s="129"/>
      <c r="K1413" s="129"/>
      <c r="L1413" s="129"/>
      <c r="M1413" s="129"/>
      <c r="N1413" s="129"/>
      <c r="O1413" s="129"/>
      <c r="P1413" s="132"/>
      <c r="Q1413" s="132"/>
      <c r="R1413" s="135"/>
      <c r="S1413" s="132"/>
      <c r="T1413" s="129"/>
      <c r="U1413" s="132"/>
      <c r="V1413" s="132"/>
      <c r="W1413" s="132"/>
    </row>
    <row r="1414" spans="1:23" ht="15.75" customHeight="1">
      <c r="A1414" s="125"/>
      <c r="B1414" s="125"/>
      <c r="C1414" s="125"/>
      <c r="D1414" s="125"/>
      <c r="E1414" s="126"/>
      <c r="F1414" s="128"/>
      <c r="G1414" s="128"/>
      <c r="H1414" s="128"/>
      <c r="I1414" s="129"/>
      <c r="J1414" s="129"/>
      <c r="K1414" s="129"/>
      <c r="L1414" s="129"/>
      <c r="M1414" s="129"/>
      <c r="N1414" s="129"/>
      <c r="O1414" s="129"/>
      <c r="P1414" s="132"/>
      <c r="Q1414" s="132"/>
      <c r="R1414" s="135"/>
      <c r="S1414" s="132"/>
      <c r="T1414" s="129"/>
      <c r="U1414" s="132"/>
      <c r="V1414" s="132"/>
      <c r="W1414" s="132"/>
    </row>
    <row r="1415" spans="1:23" ht="15.75" customHeight="1">
      <c r="A1415" s="125"/>
      <c r="B1415" s="125"/>
      <c r="C1415" s="125"/>
      <c r="D1415" s="125"/>
      <c r="E1415" s="126"/>
      <c r="F1415" s="128"/>
      <c r="G1415" s="128"/>
      <c r="H1415" s="128"/>
      <c r="I1415" s="129"/>
      <c r="J1415" s="129"/>
      <c r="K1415" s="129"/>
      <c r="L1415" s="129"/>
      <c r="M1415" s="129"/>
      <c r="N1415" s="129"/>
      <c r="O1415" s="129"/>
      <c r="P1415" s="132"/>
      <c r="Q1415" s="132"/>
      <c r="R1415" s="135"/>
      <c r="S1415" s="132"/>
      <c r="T1415" s="129"/>
      <c r="U1415" s="132"/>
      <c r="V1415" s="132"/>
      <c r="W1415" s="132"/>
    </row>
    <row r="1416" spans="1:23" ht="15.75" customHeight="1">
      <c r="A1416" s="125"/>
      <c r="B1416" s="125"/>
      <c r="C1416" s="125"/>
      <c r="D1416" s="125"/>
      <c r="E1416" s="126"/>
      <c r="F1416" s="128"/>
      <c r="G1416" s="128"/>
      <c r="H1416" s="128"/>
      <c r="I1416" s="129"/>
      <c r="J1416" s="129"/>
      <c r="K1416" s="129"/>
      <c r="L1416" s="129"/>
      <c r="M1416" s="129"/>
      <c r="N1416" s="129"/>
      <c r="O1416" s="129"/>
      <c r="P1416" s="132"/>
      <c r="Q1416" s="132"/>
      <c r="R1416" s="135"/>
      <c r="S1416" s="132"/>
      <c r="T1416" s="129"/>
      <c r="U1416" s="132"/>
      <c r="V1416" s="132"/>
      <c r="W1416" s="132"/>
    </row>
    <row r="1417" spans="1:23" ht="15.75" customHeight="1">
      <c r="A1417" s="125"/>
      <c r="B1417" s="125"/>
      <c r="C1417" s="125"/>
      <c r="D1417" s="125"/>
      <c r="E1417" s="126"/>
      <c r="F1417" s="128"/>
      <c r="G1417" s="128"/>
      <c r="H1417" s="128"/>
      <c r="I1417" s="129"/>
      <c r="J1417" s="129"/>
      <c r="K1417" s="129"/>
      <c r="L1417" s="129"/>
      <c r="M1417" s="129"/>
      <c r="N1417" s="129"/>
      <c r="O1417" s="129"/>
      <c r="P1417" s="132"/>
      <c r="Q1417" s="132"/>
      <c r="R1417" s="135"/>
      <c r="S1417" s="132"/>
      <c r="T1417" s="129"/>
      <c r="U1417" s="132"/>
      <c r="V1417" s="132"/>
      <c r="W1417" s="132"/>
    </row>
    <row r="1418" spans="1:23" ht="15.75" customHeight="1">
      <c r="A1418" s="125"/>
      <c r="B1418" s="125"/>
      <c r="C1418" s="125"/>
      <c r="D1418" s="125"/>
      <c r="E1418" s="126"/>
      <c r="F1418" s="128"/>
      <c r="G1418" s="128"/>
      <c r="H1418" s="128"/>
      <c r="I1418" s="129"/>
      <c r="J1418" s="129"/>
      <c r="K1418" s="129"/>
      <c r="L1418" s="129"/>
      <c r="M1418" s="129"/>
      <c r="N1418" s="129"/>
      <c r="O1418" s="129"/>
      <c r="P1418" s="132"/>
      <c r="Q1418" s="132"/>
      <c r="R1418" s="135"/>
      <c r="S1418" s="132"/>
      <c r="T1418" s="129"/>
      <c r="U1418" s="132"/>
      <c r="V1418" s="132"/>
      <c r="W1418" s="132"/>
    </row>
    <row r="1419" spans="1:23" ht="15.75" customHeight="1">
      <c r="A1419" s="125"/>
      <c r="B1419" s="125"/>
      <c r="C1419" s="125"/>
      <c r="D1419" s="125"/>
      <c r="E1419" s="126"/>
      <c r="F1419" s="128"/>
      <c r="G1419" s="128"/>
      <c r="H1419" s="128"/>
      <c r="I1419" s="129"/>
      <c r="J1419" s="129"/>
      <c r="K1419" s="129"/>
      <c r="L1419" s="129"/>
      <c r="M1419" s="129"/>
      <c r="N1419" s="129"/>
      <c r="O1419" s="129"/>
      <c r="P1419" s="132"/>
      <c r="Q1419" s="132"/>
      <c r="R1419" s="135"/>
      <c r="S1419" s="132"/>
      <c r="T1419" s="129"/>
      <c r="U1419" s="132"/>
      <c r="V1419" s="132"/>
      <c r="W1419" s="132"/>
    </row>
    <row r="1420" spans="1:23" ht="15.75" customHeight="1">
      <c r="A1420" s="125"/>
      <c r="B1420" s="125"/>
      <c r="C1420" s="125"/>
      <c r="D1420" s="125"/>
      <c r="E1420" s="126"/>
      <c r="F1420" s="128"/>
      <c r="G1420" s="128"/>
      <c r="H1420" s="128"/>
      <c r="I1420" s="129"/>
      <c r="J1420" s="129"/>
      <c r="K1420" s="129"/>
      <c r="L1420" s="129"/>
      <c r="M1420" s="129"/>
      <c r="N1420" s="129"/>
      <c r="O1420" s="129"/>
      <c r="P1420" s="132"/>
      <c r="Q1420" s="132"/>
      <c r="R1420" s="135"/>
      <c r="S1420" s="132"/>
      <c r="T1420" s="129"/>
      <c r="U1420" s="132"/>
      <c r="V1420" s="132"/>
      <c r="W1420" s="132"/>
    </row>
    <row r="1421" spans="1:23" ht="15.75" customHeight="1">
      <c r="A1421" s="125"/>
      <c r="B1421" s="125"/>
      <c r="C1421" s="125"/>
      <c r="D1421" s="125"/>
      <c r="E1421" s="126"/>
      <c r="F1421" s="128"/>
      <c r="G1421" s="128"/>
      <c r="H1421" s="128"/>
      <c r="I1421" s="129"/>
      <c r="J1421" s="129"/>
      <c r="K1421" s="129"/>
      <c r="L1421" s="129"/>
      <c r="M1421" s="129"/>
      <c r="N1421" s="129"/>
      <c r="O1421" s="129"/>
      <c r="P1421" s="132"/>
      <c r="Q1421" s="132"/>
      <c r="R1421" s="135"/>
      <c r="S1421" s="132"/>
      <c r="T1421" s="129"/>
      <c r="U1421" s="132"/>
      <c r="V1421" s="132"/>
      <c r="W1421" s="132"/>
    </row>
    <row r="1422" spans="1:23" ht="15.75" customHeight="1">
      <c r="A1422" s="125"/>
      <c r="B1422" s="125"/>
      <c r="C1422" s="125"/>
      <c r="D1422" s="125"/>
      <c r="E1422" s="126"/>
      <c r="F1422" s="128"/>
      <c r="G1422" s="128"/>
      <c r="H1422" s="128"/>
      <c r="I1422" s="129"/>
      <c r="J1422" s="129"/>
      <c r="K1422" s="129"/>
      <c r="L1422" s="129"/>
      <c r="M1422" s="129"/>
      <c r="N1422" s="129"/>
      <c r="O1422" s="129"/>
      <c r="P1422" s="132"/>
      <c r="Q1422" s="132"/>
      <c r="R1422" s="135"/>
      <c r="S1422" s="132"/>
      <c r="T1422" s="129"/>
      <c r="U1422" s="132"/>
      <c r="V1422" s="132"/>
      <c r="W1422" s="132"/>
    </row>
    <row r="1423" spans="1:23" ht="15.75" customHeight="1">
      <c r="A1423" s="125"/>
      <c r="B1423" s="125"/>
      <c r="C1423" s="125"/>
      <c r="D1423" s="125"/>
      <c r="E1423" s="126"/>
      <c r="F1423" s="128"/>
      <c r="G1423" s="128"/>
      <c r="H1423" s="128"/>
      <c r="I1423" s="129"/>
      <c r="J1423" s="129"/>
      <c r="K1423" s="129"/>
      <c r="L1423" s="129"/>
      <c r="M1423" s="129"/>
      <c r="N1423" s="129"/>
      <c r="O1423" s="129"/>
      <c r="P1423" s="132"/>
      <c r="Q1423" s="132"/>
      <c r="R1423" s="135"/>
      <c r="S1423" s="132"/>
      <c r="T1423" s="129"/>
      <c r="U1423" s="132"/>
      <c r="V1423" s="132"/>
      <c r="W1423" s="132"/>
    </row>
    <row r="1424" spans="1:23" ht="15.75" customHeight="1">
      <c r="A1424" s="125"/>
      <c r="B1424" s="125"/>
      <c r="C1424" s="125"/>
      <c r="D1424" s="125"/>
      <c r="E1424" s="126"/>
      <c r="F1424" s="128"/>
      <c r="G1424" s="128"/>
      <c r="H1424" s="128"/>
      <c r="I1424" s="129"/>
      <c r="J1424" s="129"/>
      <c r="K1424" s="129"/>
      <c r="L1424" s="129"/>
      <c r="M1424" s="129"/>
      <c r="N1424" s="129"/>
      <c r="O1424" s="129"/>
      <c r="P1424" s="132"/>
      <c r="Q1424" s="132"/>
      <c r="R1424" s="135"/>
      <c r="S1424" s="132"/>
      <c r="T1424" s="129"/>
      <c r="U1424" s="132"/>
      <c r="V1424" s="132"/>
      <c r="W1424" s="132"/>
    </row>
    <row r="1425" spans="1:23" ht="15.75" customHeight="1">
      <c r="A1425" s="125"/>
      <c r="B1425" s="125"/>
      <c r="C1425" s="125"/>
      <c r="D1425" s="125"/>
      <c r="E1425" s="126"/>
      <c r="F1425" s="128"/>
      <c r="G1425" s="128"/>
      <c r="H1425" s="128"/>
      <c r="I1425" s="129"/>
      <c r="J1425" s="129"/>
      <c r="K1425" s="129"/>
      <c r="L1425" s="129"/>
      <c r="M1425" s="129"/>
      <c r="N1425" s="129"/>
      <c r="O1425" s="129"/>
      <c r="P1425" s="132"/>
      <c r="Q1425" s="132"/>
      <c r="R1425" s="135"/>
      <c r="S1425" s="132"/>
      <c r="T1425" s="129"/>
      <c r="U1425" s="132"/>
      <c r="V1425" s="132"/>
      <c r="W1425" s="132"/>
    </row>
    <row r="1426" spans="1:23" ht="15.75" customHeight="1">
      <c r="A1426" s="125"/>
      <c r="B1426" s="125"/>
      <c r="C1426" s="125"/>
      <c r="D1426" s="125"/>
      <c r="E1426" s="126"/>
      <c r="F1426" s="128"/>
      <c r="G1426" s="128"/>
      <c r="H1426" s="128"/>
      <c r="I1426" s="129"/>
      <c r="J1426" s="129"/>
      <c r="K1426" s="129"/>
      <c r="L1426" s="129"/>
      <c r="M1426" s="129"/>
      <c r="N1426" s="129"/>
      <c r="O1426" s="129"/>
      <c r="P1426" s="132"/>
      <c r="Q1426" s="132"/>
      <c r="R1426" s="135"/>
      <c r="S1426" s="132"/>
      <c r="T1426" s="129"/>
      <c r="U1426" s="132"/>
      <c r="V1426" s="132"/>
      <c r="W1426" s="132"/>
    </row>
    <row r="1427" spans="1:23" ht="15.75" customHeight="1">
      <c r="A1427" s="125"/>
      <c r="B1427" s="125"/>
      <c r="C1427" s="125"/>
      <c r="D1427" s="125"/>
      <c r="E1427" s="126"/>
      <c r="F1427" s="128"/>
      <c r="G1427" s="128"/>
      <c r="H1427" s="128"/>
      <c r="I1427" s="129"/>
      <c r="J1427" s="129"/>
      <c r="K1427" s="129"/>
      <c r="L1427" s="129"/>
      <c r="M1427" s="129"/>
      <c r="N1427" s="129"/>
      <c r="O1427" s="129"/>
      <c r="P1427" s="132"/>
      <c r="Q1427" s="132"/>
      <c r="R1427" s="135"/>
      <c r="S1427" s="132"/>
      <c r="T1427" s="129"/>
      <c r="U1427" s="132"/>
      <c r="V1427" s="132"/>
      <c r="W1427" s="132"/>
    </row>
    <row r="1428" spans="1:23" ht="15.75" customHeight="1">
      <c r="A1428" s="125"/>
      <c r="B1428" s="125"/>
      <c r="C1428" s="125"/>
      <c r="D1428" s="125"/>
      <c r="E1428" s="126"/>
      <c r="F1428" s="128"/>
      <c r="G1428" s="128"/>
      <c r="H1428" s="128"/>
      <c r="I1428" s="129"/>
      <c r="J1428" s="129"/>
      <c r="K1428" s="129"/>
      <c r="L1428" s="129"/>
      <c r="M1428" s="129"/>
      <c r="N1428" s="129"/>
      <c r="O1428" s="129"/>
      <c r="P1428" s="132"/>
      <c r="Q1428" s="132"/>
      <c r="R1428" s="135"/>
      <c r="S1428" s="132"/>
      <c r="T1428" s="129"/>
      <c r="U1428" s="132"/>
      <c r="V1428" s="132"/>
      <c r="W1428" s="132"/>
    </row>
    <row r="1429" spans="1:23" ht="15.75" customHeight="1">
      <c r="A1429" s="125"/>
      <c r="B1429" s="125"/>
      <c r="C1429" s="125"/>
      <c r="D1429" s="125"/>
      <c r="E1429" s="126"/>
      <c r="F1429" s="128"/>
      <c r="G1429" s="128"/>
      <c r="H1429" s="128"/>
      <c r="I1429" s="129"/>
      <c r="J1429" s="129"/>
      <c r="K1429" s="129"/>
      <c r="L1429" s="129"/>
      <c r="M1429" s="129"/>
      <c r="N1429" s="129"/>
      <c r="O1429" s="129"/>
      <c r="P1429" s="132"/>
      <c r="Q1429" s="132"/>
      <c r="R1429" s="135"/>
      <c r="S1429" s="132"/>
      <c r="T1429" s="129"/>
      <c r="U1429" s="132"/>
      <c r="V1429" s="132"/>
      <c r="W1429" s="132"/>
    </row>
    <row r="1430" spans="1:23" ht="15.75" customHeight="1">
      <c r="A1430" s="125"/>
      <c r="B1430" s="125"/>
      <c r="C1430" s="125"/>
      <c r="D1430" s="125"/>
      <c r="E1430" s="126"/>
      <c r="F1430" s="128"/>
      <c r="G1430" s="128"/>
      <c r="H1430" s="128"/>
      <c r="I1430" s="129"/>
      <c r="J1430" s="129"/>
      <c r="K1430" s="129"/>
      <c r="L1430" s="129"/>
      <c r="M1430" s="129"/>
      <c r="N1430" s="129"/>
      <c r="O1430" s="129"/>
      <c r="P1430" s="132"/>
      <c r="Q1430" s="132"/>
      <c r="R1430" s="135"/>
      <c r="S1430" s="132"/>
      <c r="T1430" s="129"/>
      <c r="U1430" s="132"/>
      <c r="V1430" s="132"/>
      <c r="W1430" s="132"/>
    </row>
    <row r="1431" spans="1:23" ht="15.75" customHeight="1">
      <c r="A1431" s="125"/>
      <c r="B1431" s="125"/>
      <c r="C1431" s="125"/>
      <c r="D1431" s="125"/>
      <c r="E1431" s="126"/>
      <c r="F1431" s="128"/>
      <c r="G1431" s="128"/>
      <c r="H1431" s="128"/>
      <c r="I1431" s="129"/>
      <c r="J1431" s="129"/>
      <c r="K1431" s="129"/>
      <c r="L1431" s="129"/>
      <c r="M1431" s="129"/>
      <c r="N1431" s="129"/>
      <c r="O1431" s="129"/>
      <c r="P1431" s="132"/>
      <c r="Q1431" s="132"/>
      <c r="R1431" s="135"/>
      <c r="S1431" s="132"/>
      <c r="T1431" s="129"/>
      <c r="U1431" s="132"/>
      <c r="V1431" s="132"/>
      <c r="W1431" s="132"/>
    </row>
    <row r="1432" spans="1:23" ht="15.75" customHeight="1">
      <c r="A1432" s="125"/>
      <c r="B1432" s="125"/>
      <c r="C1432" s="125"/>
      <c r="D1432" s="125"/>
      <c r="E1432" s="126"/>
      <c r="F1432" s="128"/>
      <c r="G1432" s="128"/>
      <c r="H1432" s="128"/>
      <c r="I1432" s="129"/>
      <c r="J1432" s="129"/>
      <c r="K1432" s="129"/>
      <c r="L1432" s="129"/>
      <c r="M1432" s="129"/>
      <c r="N1432" s="129"/>
      <c r="O1432" s="129"/>
      <c r="P1432" s="132"/>
      <c r="Q1432" s="132"/>
      <c r="R1432" s="135"/>
      <c r="S1432" s="132"/>
      <c r="T1432" s="129"/>
      <c r="U1432" s="132"/>
      <c r="V1432" s="132"/>
      <c r="W1432" s="132"/>
    </row>
    <row r="1433" spans="1:23" ht="15.75" customHeight="1">
      <c r="A1433" s="125"/>
      <c r="B1433" s="125"/>
      <c r="C1433" s="125"/>
      <c r="D1433" s="125"/>
      <c r="E1433" s="126"/>
      <c r="F1433" s="128"/>
      <c r="G1433" s="128"/>
      <c r="H1433" s="128"/>
      <c r="I1433" s="129"/>
      <c r="J1433" s="129"/>
      <c r="K1433" s="129"/>
      <c r="L1433" s="129"/>
      <c r="M1433" s="129"/>
      <c r="N1433" s="129"/>
      <c r="O1433" s="129"/>
      <c r="P1433" s="132"/>
      <c r="Q1433" s="132"/>
      <c r="R1433" s="135"/>
      <c r="S1433" s="132"/>
      <c r="T1433" s="129"/>
      <c r="U1433" s="132"/>
      <c r="V1433" s="132"/>
      <c r="W1433" s="132"/>
    </row>
    <row r="1434" spans="1:23" ht="15.75" customHeight="1">
      <c r="A1434" s="125"/>
      <c r="B1434" s="125"/>
      <c r="C1434" s="125"/>
      <c r="D1434" s="125"/>
      <c r="E1434" s="126"/>
      <c r="F1434" s="128"/>
      <c r="G1434" s="128"/>
      <c r="H1434" s="128"/>
      <c r="I1434" s="129"/>
      <c r="J1434" s="129"/>
      <c r="K1434" s="129"/>
      <c r="L1434" s="129"/>
      <c r="M1434" s="129"/>
      <c r="N1434" s="129"/>
      <c r="O1434" s="129"/>
      <c r="P1434" s="132"/>
      <c r="Q1434" s="132"/>
      <c r="R1434" s="135"/>
      <c r="S1434" s="132"/>
      <c r="T1434" s="129"/>
      <c r="U1434" s="132"/>
      <c r="V1434" s="132"/>
      <c r="W1434" s="132"/>
    </row>
    <row r="1435" spans="1:23" ht="15.75" customHeight="1">
      <c r="A1435" s="125"/>
      <c r="B1435" s="125"/>
      <c r="C1435" s="125"/>
      <c r="D1435" s="125"/>
      <c r="E1435" s="126"/>
      <c r="F1435" s="128"/>
      <c r="G1435" s="128"/>
      <c r="H1435" s="128"/>
      <c r="I1435" s="129"/>
      <c r="J1435" s="129"/>
      <c r="K1435" s="129"/>
      <c r="L1435" s="129"/>
      <c r="M1435" s="129"/>
      <c r="N1435" s="129"/>
      <c r="O1435" s="129"/>
      <c r="P1435" s="132"/>
      <c r="Q1435" s="132"/>
      <c r="R1435" s="135"/>
      <c r="S1435" s="132"/>
      <c r="T1435" s="129"/>
      <c r="U1435" s="132"/>
      <c r="V1435" s="132"/>
      <c r="W1435" s="132"/>
    </row>
    <row r="1436" spans="1:23" ht="15.75" customHeight="1">
      <c r="A1436" s="125"/>
      <c r="B1436" s="125"/>
      <c r="C1436" s="125"/>
      <c r="D1436" s="125"/>
      <c r="E1436" s="126"/>
      <c r="F1436" s="128"/>
      <c r="G1436" s="128"/>
      <c r="H1436" s="128"/>
      <c r="I1436" s="129"/>
      <c r="J1436" s="129"/>
      <c r="K1436" s="129"/>
      <c r="L1436" s="129"/>
      <c r="M1436" s="129"/>
      <c r="N1436" s="129"/>
      <c r="O1436" s="129"/>
      <c r="P1436" s="132"/>
      <c r="Q1436" s="132"/>
      <c r="R1436" s="135"/>
      <c r="S1436" s="132"/>
      <c r="T1436" s="129"/>
      <c r="U1436" s="132"/>
      <c r="V1436" s="132"/>
      <c r="W1436" s="132"/>
    </row>
    <row r="1437" spans="1:23" ht="15.75" customHeight="1">
      <c r="A1437" s="125"/>
      <c r="B1437" s="125"/>
      <c r="C1437" s="125"/>
      <c r="D1437" s="125"/>
      <c r="E1437" s="126"/>
      <c r="F1437" s="128"/>
      <c r="G1437" s="128"/>
      <c r="H1437" s="128"/>
      <c r="I1437" s="129"/>
      <c r="J1437" s="129"/>
      <c r="K1437" s="129"/>
      <c r="L1437" s="129"/>
      <c r="M1437" s="129"/>
      <c r="N1437" s="129"/>
      <c r="O1437" s="129"/>
      <c r="P1437" s="132"/>
      <c r="Q1437" s="132"/>
      <c r="R1437" s="135"/>
      <c r="S1437" s="132"/>
      <c r="T1437" s="129"/>
      <c r="U1437" s="132"/>
      <c r="V1437" s="132"/>
      <c r="W1437" s="132"/>
    </row>
    <row r="1438" spans="1:23" ht="15.75" customHeight="1">
      <c r="A1438" s="125"/>
      <c r="B1438" s="125"/>
      <c r="C1438" s="125"/>
      <c r="D1438" s="125"/>
      <c r="E1438" s="126"/>
      <c r="F1438" s="128"/>
      <c r="G1438" s="128"/>
      <c r="H1438" s="128"/>
      <c r="I1438" s="129"/>
      <c r="J1438" s="129"/>
      <c r="K1438" s="129"/>
      <c r="L1438" s="129"/>
      <c r="M1438" s="129"/>
      <c r="N1438" s="129"/>
      <c r="O1438" s="129"/>
      <c r="P1438" s="132"/>
      <c r="Q1438" s="132"/>
      <c r="R1438" s="135"/>
      <c r="S1438" s="132"/>
      <c r="T1438" s="129"/>
      <c r="U1438" s="132"/>
      <c r="V1438" s="132"/>
      <c r="W1438" s="132"/>
    </row>
    <row r="1439" spans="1:23" ht="15.75" customHeight="1">
      <c r="A1439" s="125"/>
      <c r="B1439" s="125"/>
      <c r="C1439" s="125"/>
      <c r="D1439" s="125"/>
      <c r="E1439" s="126"/>
      <c r="F1439" s="128"/>
      <c r="G1439" s="128"/>
      <c r="H1439" s="128"/>
      <c r="I1439" s="129"/>
      <c r="J1439" s="129"/>
      <c r="K1439" s="129"/>
      <c r="L1439" s="129"/>
      <c r="M1439" s="129"/>
      <c r="N1439" s="129"/>
      <c r="O1439" s="129"/>
      <c r="P1439" s="132"/>
      <c r="Q1439" s="132"/>
      <c r="R1439" s="135"/>
      <c r="S1439" s="132"/>
      <c r="T1439" s="129"/>
      <c r="U1439" s="132"/>
      <c r="V1439" s="132"/>
      <c r="W1439" s="132"/>
    </row>
    <row r="1440" spans="1:23" ht="15.75" customHeight="1">
      <c r="A1440" s="125"/>
      <c r="B1440" s="125"/>
      <c r="C1440" s="125"/>
      <c r="D1440" s="125"/>
      <c r="E1440" s="126"/>
      <c r="F1440" s="128"/>
      <c r="G1440" s="128"/>
      <c r="H1440" s="128"/>
      <c r="I1440" s="129"/>
      <c r="J1440" s="129"/>
      <c r="K1440" s="129"/>
      <c r="L1440" s="129"/>
      <c r="M1440" s="129"/>
      <c r="N1440" s="129"/>
      <c r="O1440" s="129"/>
      <c r="P1440" s="132"/>
      <c r="Q1440" s="132"/>
      <c r="R1440" s="135"/>
      <c r="S1440" s="132"/>
      <c r="T1440" s="129"/>
      <c r="U1440" s="132"/>
      <c r="V1440" s="132"/>
      <c r="W1440" s="132"/>
    </row>
    <row r="1441" spans="1:23" ht="15.75" customHeight="1">
      <c r="A1441" s="125"/>
      <c r="B1441" s="125"/>
      <c r="C1441" s="125"/>
      <c r="D1441" s="125"/>
      <c r="E1441" s="126"/>
      <c r="F1441" s="128"/>
      <c r="G1441" s="128"/>
      <c r="H1441" s="128"/>
      <c r="I1441" s="129"/>
      <c r="J1441" s="129"/>
      <c r="K1441" s="129"/>
      <c r="L1441" s="129"/>
      <c r="M1441" s="129"/>
      <c r="N1441" s="129"/>
      <c r="O1441" s="129"/>
      <c r="P1441" s="132"/>
      <c r="Q1441" s="132"/>
      <c r="R1441" s="135"/>
      <c r="S1441" s="132"/>
      <c r="T1441" s="129"/>
      <c r="U1441" s="132"/>
      <c r="V1441" s="132"/>
      <c r="W1441" s="132"/>
    </row>
    <row r="1442" spans="1:23" ht="15.75" customHeight="1">
      <c r="A1442" s="125"/>
      <c r="B1442" s="125"/>
      <c r="C1442" s="125"/>
      <c r="D1442" s="125"/>
      <c r="E1442" s="126"/>
      <c r="F1442" s="128"/>
      <c r="G1442" s="128"/>
      <c r="H1442" s="128"/>
      <c r="I1442" s="129"/>
      <c r="J1442" s="129"/>
      <c r="K1442" s="129"/>
      <c r="L1442" s="129"/>
      <c r="M1442" s="129"/>
      <c r="N1442" s="129"/>
      <c r="O1442" s="129"/>
      <c r="P1442" s="132"/>
      <c r="Q1442" s="132"/>
      <c r="R1442" s="135"/>
      <c r="S1442" s="132"/>
      <c r="T1442" s="129"/>
      <c r="U1442" s="132"/>
      <c r="V1442" s="132"/>
      <c r="W1442" s="132"/>
    </row>
    <row r="1443" spans="1:23" ht="15.75" customHeight="1">
      <c r="A1443" s="125"/>
      <c r="B1443" s="125"/>
      <c r="C1443" s="125"/>
      <c r="D1443" s="125"/>
      <c r="E1443" s="126"/>
      <c r="F1443" s="128"/>
      <c r="G1443" s="128"/>
      <c r="H1443" s="128"/>
      <c r="I1443" s="129"/>
      <c r="J1443" s="129"/>
      <c r="K1443" s="129"/>
      <c r="L1443" s="129"/>
      <c r="M1443" s="129"/>
      <c r="N1443" s="129"/>
      <c r="O1443" s="129"/>
      <c r="P1443" s="132"/>
      <c r="Q1443" s="132"/>
      <c r="R1443" s="135"/>
      <c r="S1443" s="132"/>
      <c r="T1443" s="129"/>
      <c r="U1443" s="132"/>
      <c r="V1443" s="132"/>
      <c r="W1443" s="132"/>
    </row>
    <row r="1444" spans="1:23" ht="15.75" customHeight="1">
      <c r="A1444" s="125"/>
      <c r="B1444" s="125"/>
      <c r="C1444" s="125"/>
      <c r="D1444" s="125"/>
      <c r="E1444" s="126"/>
      <c r="F1444" s="128"/>
      <c r="G1444" s="128"/>
      <c r="H1444" s="128"/>
      <c r="I1444" s="129"/>
      <c r="J1444" s="129"/>
      <c r="K1444" s="129"/>
      <c r="L1444" s="129"/>
      <c r="M1444" s="129"/>
      <c r="N1444" s="129"/>
      <c r="O1444" s="129"/>
      <c r="P1444" s="132"/>
      <c r="Q1444" s="132"/>
      <c r="R1444" s="135"/>
      <c r="S1444" s="132"/>
      <c r="T1444" s="129"/>
      <c r="U1444" s="132"/>
      <c r="V1444" s="132"/>
      <c r="W1444" s="132"/>
    </row>
    <row r="1445" spans="1:23" ht="15.75" customHeight="1">
      <c r="A1445" s="125"/>
      <c r="B1445" s="125"/>
      <c r="C1445" s="125"/>
      <c r="D1445" s="125"/>
      <c r="E1445" s="126"/>
      <c r="F1445" s="128"/>
      <c r="G1445" s="128"/>
      <c r="H1445" s="128"/>
      <c r="I1445" s="129"/>
      <c r="J1445" s="129"/>
      <c r="K1445" s="129"/>
      <c r="L1445" s="129"/>
      <c r="M1445" s="129"/>
      <c r="N1445" s="129"/>
      <c r="O1445" s="129"/>
      <c r="P1445" s="132"/>
      <c r="Q1445" s="132"/>
      <c r="R1445" s="135"/>
      <c r="S1445" s="132"/>
      <c r="T1445" s="129"/>
      <c r="U1445" s="132"/>
      <c r="V1445" s="132"/>
      <c r="W1445" s="132"/>
    </row>
    <row r="1446" spans="1:23" ht="15.75" customHeight="1">
      <c r="A1446" s="125"/>
      <c r="B1446" s="125"/>
      <c r="C1446" s="125"/>
      <c r="D1446" s="125"/>
      <c r="E1446" s="126"/>
      <c r="F1446" s="128"/>
      <c r="G1446" s="128"/>
      <c r="H1446" s="128"/>
      <c r="I1446" s="129"/>
      <c r="J1446" s="129"/>
      <c r="K1446" s="129"/>
      <c r="L1446" s="129"/>
      <c r="M1446" s="129"/>
      <c r="N1446" s="129"/>
      <c r="O1446" s="129"/>
      <c r="P1446" s="132"/>
      <c r="Q1446" s="132"/>
      <c r="R1446" s="135"/>
      <c r="S1446" s="132"/>
      <c r="T1446" s="129"/>
      <c r="U1446" s="132"/>
      <c r="V1446" s="132"/>
      <c r="W1446" s="132"/>
    </row>
    <row r="1447" spans="1:23" ht="15.75" customHeight="1">
      <c r="A1447" s="125"/>
      <c r="B1447" s="125"/>
      <c r="C1447" s="125"/>
      <c r="D1447" s="125"/>
      <c r="E1447" s="126"/>
      <c r="F1447" s="128"/>
      <c r="G1447" s="128"/>
      <c r="H1447" s="128"/>
      <c r="I1447" s="129"/>
      <c r="J1447" s="129"/>
      <c r="K1447" s="129"/>
      <c r="L1447" s="129"/>
      <c r="M1447" s="129"/>
      <c r="N1447" s="129"/>
      <c r="O1447" s="129"/>
      <c r="P1447" s="132"/>
      <c r="Q1447" s="132"/>
      <c r="R1447" s="135"/>
      <c r="S1447" s="132"/>
      <c r="T1447" s="129"/>
      <c r="U1447" s="132"/>
      <c r="V1447" s="132"/>
      <c r="W1447" s="132"/>
    </row>
    <row r="1448" spans="1:23" ht="15.75" customHeight="1">
      <c r="A1448" s="125"/>
      <c r="B1448" s="125"/>
      <c r="C1448" s="125"/>
      <c r="D1448" s="125"/>
      <c r="E1448" s="126"/>
      <c r="F1448" s="128"/>
      <c r="G1448" s="128"/>
      <c r="H1448" s="128"/>
      <c r="I1448" s="129"/>
      <c r="J1448" s="129"/>
      <c r="K1448" s="129"/>
      <c r="L1448" s="129"/>
      <c r="M1448" s="129"/>
      <c r="N1448" s="129"/>
      <c r="O1448" s="129"/>
      <c r="P1448" s="132"/>
      <c r="Q1448" s="132"/>
      <c r="R1448" s="135"/>
      <c r="S1448" s="132"/>
      <c r="T1448" s="129"/>
      <c r="U1448" s="132"/>
      <c r="V1448" s="132"/>
      <c r="W1448" s="132"/>
    </row>
    <row r="1449" spans="1:23" ht="15.75" customHeight="1">
      <c r="A1449" s="125"/>
      <c r="B1449" s="125"/>
      <c r="C1449" s="125"/>
      <c r="D1449" s="125"/>
      <c r="E1449" s="126"/>
      <c r="F1449" s="128"/>
      <c r="G1449" s="128"/>
      <c r="H1449" s="128"/>
      <c r="I1449" s="129"/>
      <c r="J1449" s="129"/>
      <c r="K1449" s="129"/>
      <c r="L1449" s="129"/>
      <c r="M1449" s="129"/>
      <c r="N1449" s="129"/>
      <c r="O1449" s="129"/>
      <c r="P1449" s="132"/>
      <c r="Q1449" s="132"/>
      <c r="R1449" s="135"/>
      <c r="S1449" s="132"/>
      <c r="T1449" s="129"/>
      <c r="U1449" s="132"/>
      <c r="V1449" s="132"/>
      <c r="W1449" s="132"/>
    </row>
    <row r="1450" spans="1:23" ht="15.75" customHeight="1">
      <c r="A1450" s="125"/>
      <c r="B1450" s="125"/>
      <c r="C1450" s="125"/>
      <c r="D1450" s="125"/>
      <c r="E1450" s="126"/>
      <c r="F1450" s="128"/>
      <c r="G1450" s="128"/>
      <c r="H1450" s="128"/>
      <c r="I1450" s="129"/>
      <c r="J1450" s="129"/>
      <c r="K1450" s="129"/>
      <c r="L1450" s="129"/>
      <c r="M1450" s="129"/>
      <c r="N1450" s="129"/>
      <c r="O1450" s="129"/>
      <c r="P1450" s="132"/>
      <c r="Q1450" s="132"/>
      <c r="R1450" s="135"/>
      <c r="S1450" s="132"/>
      <c r="T1450" s="129"/>
      <c r="U1450" s="132"/>
      <c r="V1450" s="132"/>
      <c r="W1450" s="132"/>
    </row>
    <row r="1451" spans="1:23" ht="15.75" customHeight="1">
      <c r="A1451" s="125"/>
      <c r="B1451" s="125"/>
      <c r="C1451" s="125"/>
      <c r="D1451" s="125"/>
      <c r="E1451" s="126"/>
      <c r="F1451" s="128"/>
      <c r="G1451" s="128"/>
      <c r="H1451" s="128"/>
      <c r="I1451" s="129"/>
      <c r="J1451" s="129"/>
      <c r="K1451" s="129"/>
      <c r="L1451" s="129"/>
      <c r="M1451" s="129"/>
      <c r="N1451" s="129"/>
      <c r="O1451" s="129"/>
      <c r="P1451" s="132"/>
      <c r="Q1451" s="132"/>
      <c r="R1451" s="135"/>
      <c r="S1451" s="132"/>
      <c r="T1451" s="129"/>
      <c r="U1451" s="132"/>
      <c r="V1451" s="132"/>
      <c r="W1451" s="132"/>
    </row>
    <row r="1452" spans="1:23" ht="15.75" customHeight="1">
      <c r="A1452" s="125"/>
      <c r="B1452" s="125"/>
      <c r="C1452" s="125"/>
      <c r="D1452" s="125"/>
      <c r="E1452" s="126"/>
      <c r="F1452" s="128"/>
      <c r="G1452" s="128"/>
      <c r="H1452" s="128"/>
      <c r="I1452" s="129"/>
      <c r="J1452" s="129"/>
      <c r="K1452" s="129"/>
      <c r="L1452" s="129"/>
      <c r="M1452" s="129"/>
      <c r="N1452" s="129"/>
      <c r="O1452" s="129"/>
      <c r="P1452" s="132"/>
      <c r="Q1452" s="132"/>
      <c r="R1452" s="135"/>
      <c r="S1452" s="132"/>
      <c r="T1452" s="129"/>
      <c r="U1452" s="132"/>
      <c r="V1452" s="132"/>
      <c r="W1452" s="132"/>
    </row>
    <row r="1453" spans="1:23" ht="15.75" customHeight="1">
      <c r="A1453" s="125"/>
      <c r="B1453" s="125"/>
      <c r="C1453" s="125"/>
      <c r="D1453" s="125"/>
      <c r="E1453" s="126"/>
      <c r="F1453" s="128"/>
      <c r="G1453" s="128"/>
      <c r="H1453" s="128"/>
      <c r="I1453" s="129"/>
      <c r="J1453" s="129"/>
      <c r="K1453" s="129"/>
      <c r="L1453" s="129"/>
      <c r="M1453" s="129"/>
      <c r="N1453" s="129"/>
      <c r="O1453" s="129"/>
      <c r="P1453" s="132"/>
      <c r="Q1453" s="132"/>
      <c r="R1453" s="135"/>
      <c r="S1453" s="132"/>
      <c r="T1453" s="129"/>
      <c r="U1453" s="132"/>
      <c r="V1453" s="132"/>
      <c r="W1453" s="132"/>
    </row>
    <row r="1454" spans="1:23" ht="15.75" customHeight="1">
      <c r="A1454" s="125"/>
      <c r="B1454" s="125"/>
      <c r="C1454" s="125"/>
      <c r="D1454" s="125"/>
      <c r="E1454" s="126"/>
      <c r="F1454" s="128"/>
      <c r="G1454" s="128"/>
      <c r="H1454" s="128"/>
      <c r="I1454" s="129"/>
      <c r="J1454" s="129"/>
      <c r="K1454" s="129"/>
      <c r="L1454" s="129"/>
      <c r="M1454" s="129"/>
      <c r="N1454" s="129"/>
      <c r="O1454" s="129"/>
      <c r="P1454" s="132"/>
      <c r="Q1454" s="132"/>
      <c r="R1454" s="135"/>
      <c r="S1454" s="132"/>
      <c r="T1454" s="129"/>
      <c r="U1454" s="132"/>
      <c r="V1454" s="132"/>
      <c r="W1454" s="132"/>
    </row>
    <row r="1455" spans="1:23" ht="15.75" customHeight="1">
      <c r="A1455" s="125"/>
      <c r="B1455" s="125"/>
      <c r="C1455" s="125"/>
      <c r="D1455" s="125"/>
      <c r="E1455" s="126"/>
      <c r="F1455" s="128"/>
      <c r="G1455" s="128"/>
      <c r="H1455" s="128"/>
      <c r="I1455" s="129"/>
      <c r="J1455" s="129"/>
      <c r="K1455" s="129"/>
      <c r="L1455" s="129"/>
      <c r="M1455" s="129"/>
      <c r="N1455" s="129"/>
      <c r="O1455" s="129"/>
      <c r="P1455" s="132"/>
      <c r="Q1455" s="132"/>
      <c r="R1455" s="135"/>
      <c r="S1455" s="132"/>
      <c r="T1455" s="129"/>
      <c r="U1455" s="132"/>
      <c r="V1455" s="132"/>
      <c r="W1455" s="132"/>
    </row>
    <row r="1456" spans="1:23" ht="15.75" customHeight="1">
      <c r="A1456" s="125"/>
      <c r="B1456" s="125"/>
      <c r="C1456" s="125"/>
      <c r="D1456" s="125"/>
      <c r="E1456" s="126"/>
      <c r="F1456" s="128"/>
      <c r="G1456" s="128"/>
      <c r="H1456" s="128"/>
      <c r="I1456" s="129"/>
      <c r="J1456" s="129"/>
      <c r="K1456" s="129"/>
      <c r="L1456" s="129"/>
      <c r="M1456" s="129"/>
      <c r="N1456" s="129"/>
      <c r="O1456" s="129"/>
      <c r="P1456" s="132"/>
      <c r="Q1456" s="132"/>
      <c r="R1456" s="135"/>
      <c r="S1456" s="132"/>
      <c r="T1456" s="129"/>
      <c r="U1456" s="132"/>
      <c r="V1456" s="132"/>
      <c r="W1456" s="132"/>
    </row>
    <row r="1457" spans="1:23" ht="15.75" customHeight="1">
      <c r="A1457" s="125"/>
      <c r="B1457" s="125"/>
      <c r="C1457" s="125"/>
      <c r="D1457" s="125"/>
      <c r="E1457" s="126"/>
      <c r="F1457" s="128"/>
      <c r="G1457" s="128"/>
      <c r="H1457" s="128"/>
      <c r="I1457" s="129"/>
      <c r="J1457" s="129"/>
      <c r="K1457" s="129"/>
      <c r="L1457" s="129"/>
      <c r="M1457" s="129"/>
      <c r="N1457" s="129"/>
      <c r="O1457" s="129"/>
      <c r="P1457" s="132"/>
      <c r="Q1457" s="132"/>
      <c r="R1457" s="135"/>
      <c r="S1457" s="132"/>
      <c r="T1457" s="129"/>
      <c r="U1457" s="132"/>
      <c r="V1457" s="132"/>
      <c r="W1457" s="132"/>
    </row>
    <row r="1458" spans="1:23" ht="15.75" customHeight="1">
      <c r="A1458" s="125"/>
      <c r="B1458" s="125"/>
      <c r="C1458" s="125"/>
      <c r="D1458" s="125"/>
      <c r="E1458" s="126"/>
      <c r="F1458" s="128"/>
      <c r="G1458" s="128"/>
      <c r="H1458" s="128"/>
      <c r="I1458" s="129"/>
      <c r="J1458" s="129"/>
      <c r="K1458" s="129"/>
      <c r="L1458" s="129"/>
      <c r="M1458" s="129"/>
      <c r="N1458" s="129"/>
      <c r="O1458" s="129"/>
      <c r="P1458" s="132"/>
      <c r="Q1458" s="132"/>
      <c r="R1458" s="135"/>
      <c r="S1458" s="132"/>
      <c r="T1458" s="129"/>
      <c r="U1458" s="132"/>
      <c r="V1458" s="132"/>
      <c r="W1458" s="132"/>
    </row>
    <row r="1459" spans="1:23" ht="15.75" customHeight="1">
      <c r="A1459" s="125"/>
      <c r="B1459" s="125"/>
      <c r="C1459" s="125"/>
      <c r="D1459" s="125"/>
      <c r="E1459" s="126"/>
      <c r="F1459" s="128"/>
      <c r="G1459" s="128"/>
      <c r="H1459" s="128"/>
      <c r="I1459" s="129"/>
      <c r="J1459" s="129"/>
      <c r="K1459" s="129"/>
      <c r="L1459" s="129"/>
      <c r="M1459" s="129"/>
      <c r="N1459" s="129"/>
      <c r="O1459" s="129"/>
      <c r="P1459" s="132"/>
      <c r="Q1459" s="132"/>
      <c r="R1459" s="135"/>
      <c r="S1459" s="132"/>
      <c r="T1459" s="129"/>
      <c r="U1459" s="132"/>
      <c r="V1459" s="132"/>
      <c r="W1459" s="132"/>
    </row>
    <row r="1460" spans="1:23" ht="15.75" customHeight="1">
      <c r="A1460" s="125"/>
      <c r="B1460" s="125"/>
      <c r="C1460" s="125"/>
      <c r="D1460" s="125"/>
      <c r="E1460" s="126"/>
      <c r="F1460" s="128"/>
      <c r="G1460" s="128"/>
      <c r="H1460" s="128"/>
      <c r="I1460" s="129"/>
      <c r="J1460" s="129"/>
      <c r="K1460" s="129"/>
      <c r="L1460" s="129"/>
      <c r="M1460" s="129"/>
      <c r="N1460" s="129"/>
      <c r="O1460" s="129"/>
      <c r="P1460" s="132"/>
      <c r="Q1460" s="132"/>
      <c r="R1460" s="135"/>
      <c r="S1460" s="132"/>
      <c r="T1460" s="129"/>
      <c r="U1460" s="132"/>
      <c r="V1460" s="132"/>
      <c r="W1460" s="132"/>
    </row>
    <row r="1461" spans="1:23" ht="15.75" customHeight="1">
      <c r="A1461" s="125"/>
      <c r="B1461" s="125"/>
      <c r="C1461" s="125"/>
      <c r="D1461" s="125"/>
      <c r="E1461" s="126"/>
      <c r="F1461" s="128"/>
      <c r="G1461" s="128"/>
      <c r="H1461" s="128"/>
      <c r="I1461" s="129"/>
      <c r="J1461" s="129"/>
      <c r="K1461" s="129"/>
      <c r="L1461" s="129"/>
      <c r="M1461" s="129"/>
      <c r="N1461" s="129"/>
      <c r="O1461" s="129"/>
      <c r="P1461" s="132"/>
      <c r="Q1461" s="132"/>
      <c r="R1461" s="135"/>
      <c r="S1461" s="132"/>
      <c r="T1461" s="129"/>
      <c r="U1461" s="132"/>
      <c r="V1461" s="132"/>
      <c r="W1461" s="132"/>
    </row>
    <row r="1462" spans="1:23" ht="15.75" customHeight="1">
      <c r="A1462" s="125"/>
      <c r="B1462" s="125"/>
      <c r="C1462" s="125"/>
      <c r="D1462" s="125"/>
      <c r="E1462" s="126"/>
      <c r="F1462" s="128"/>
      <c r="G1462" s="128"/>
      <c r="H1462" s="128"/>
      <c r="I1462" s="129"/>
      <c r="J1462" s="129"/>
      <c r="K1462" s="129"/>
      <c r="L1462" s="129"/>
      <c r="M1462" s="129"/>
      <c r="N1462" s="129"/>
      <c r="O1462" s="129"/>
      <c r="P1462" s="132"/>
      <c r="Q1462" s="132"/>
      <c r="R1462" s="135"/>
      <c r="S1462" s="132"/>
      <c r="T1462" s="129"/>
      <c r="U1462" s="132"/>
      <c r="V1462" s="132"/>
      <c r="W1462" s="132"/>
    </row>
    <row r="1463" spans="1:23" ht="15.75" customHeight="1">
      <c r="A1463" s="125"/>
      <c r="B1463" s="125"/>
      <c r="C1463" s="125"/>
      <c r="D1463" s="125"/>
      <c r="E1463" s="126"/>
      <c r="F1463" s="128"/>
      <c r="G1463" s="128"/>
      <c r="H1463" s="128"/>
      <c r="I1463" s="129"/>
      <c r="J1463" s="129"/>
      <c r="K1463" s="129"/>
      <c r="L1463" s="129"/>
      <c r="M1463" s="129"/>
      <c r="N1463" s="129"/>
      <c r="O1463" s="129"/>
      <c r="P1463" s="132"/>
      <c r="Q1463" s="132"/>
      <c r="R1463" s="135"/>
      <c r="S1463" s="132"/>
      <c r="T1463" s="129"/>
      <c r="U1463" s="132"/>
      <c r="V1463" s="132"/>
      <c r="W1463" s="132"/>
    </row>
    <row r="1464" spans="1:23" ht="15.75" customHeight="1">
      <c r="A1464" s="125"/>
      <c r="B1464" s="125"/>
      <c r="C1464" s="125"/>
      <c r="D1464" s="125"/>
      <c r="E1464" s="126"/>
      <c r="F1464" s="128"/>
      <c r="G1464" s="128"/>
      <c r="H1464" s="128"/>
      <c r="I1464" s="129"/>
      <c r="J1464" s="129"/>
      <c r="K1464" s="129"/>
      <c r="L1464" s="129"/>
      <c r="M1464" s="129"/>
      <c r="N1464" s="129"/>
      <c r="O1464" s="129"/>
      <c r="P1464" s="132"/>
      <c r="Q1464" s="132"/>
      <c r="R1464" s="135"/>
      <c r="S1464" s="132"/>
      <c r="T1464" s="129"/>
      <c r="U1464" s="132"/>
      <c r="V1464" s="132"/>
      <c r="W1464" s="132"/>
    </row>
    <row r="1465" spans="1:23" ht="15.75" customHeight="1">
      <c r="A1465" s="125"/>
      <c r="B1465" s="125"/>
      <c r="C1465" s="125"/>
      <c r="D1465" s="125"/>
      <c r="E1465" s="126"/>
      <c r="F1465" s="128"/>
      <c r="G1465" s="128"/>
      <c r="H1465" s="128"/>
      <c r="I1465" s="129"/>
      <c r="J1465" s="129"/>
      <c r="K1465" s="129"/>
      <c r="L1465" s="129"/>
      <c r="M1465" s="129"/>
      <c r="N1465" s="129"/>
      <c r="O1465" s="129"/>
      <c r="P1465" s="132"/>
      <c r="Q1465" s="132"/>
      <c r="R1465" s="135"/>
      <c r="S1465" s="132"/>
      <c r="T1465" s="129"/>
      <c r="U1465" s="132"/>
      <c r="V1465" s="132"/>
      <c r="W1465" s="132"/>
    </row>
    <row r="1466" spans="1:23" ht="15.75" customHeight="1">
      <c r="A1466" s="125"/>
      <c r="B1466" s="125"/>
      <c r="C1466" s="125"/>
      <c r="D1466" s="125"/>
      <c r="E1466" s="126"/>
      <c r="F1466" s="128"/>
      <c r="G1466" s="128"/>
      <c r="H1466" s="128"/>
      <c r="I1466" s="129"/>
      <c r="J1466" s="129"/>
      <c r="K1466" s="129"/>
      <c r="L1466" s="129"/>
      <c r="M1466" s="129"/>
      <c r="N1466" s="129"/>
      <c r="O1466" s="129"/>
      <c r="P1466" s="132"/>
      <c r="Q1466" s="132"/>
      <c r="R1466" s="135"/>
      <c r="S1466" s="132"/>
      <c r="T1466" s="129"/>
      <c r="U1466" s="132"/>
      <c r="V1466" s="132"/>
      <c r="W1466" s="132"/>
    </row>
    <row r="1467" spans="1:23" ht="15.75" customHeight="1">
      <c r="A1467" s="125"/>
      <c r="B1467" s="125"/>
      <c r="C1467" s="125"/>
      <c r="D1467" s="125"/>
      <c r="E1467" s="126"/>
      <c r="F1467" s="128"/>
      <c r="G1467" s="128"/>
      <c r="H1467" s="128"/>
      <c r="I1467" s="129"/>
      <c r="J1467" s="129"/>
      <c r="K1467" s="129"/>
      <c r="L1467" s="129"/>
      <c r="M1467" s="129"/>
      <c r="N1467" s="129"/>
      <c r="O1467" s="129"/>
      <c r="P1467" s="132"/>
      <c r="Q1467" s="132"/>
      <c r="R1467" s="135"/>
      <c r="S1467" s="132"/>
      <c r="T1467" s="129"/>
      <c r="U1467" s="132"/>
      <c r="V1467" s="132"/>
      <c r="W1467" s="132"/>
    </row>
    <row r="1468" spans="1:23" ht="15.75" customHeight="1">
      <c r="A1468" s="125"/>
      <c r="B1468" s="125"/>
      <c r="C1468" s="125"/>
      <c r="D1468" s="125"/>
      <c r="E1468" s="126"/>
      <c r="F1468" s="128"/>
      <c r="G1468" s="128"/>
      <c r="H1468" s="128"/>
      <c r="I1468" s="129"/>
      <c r="J1468" s="129"/>
      <c r="K1468" s="129"/>
      <c r="L1468" s="129"/>
      <c r="M1468" s="129"/>
      <c r="N1468" s="129"/>
      <c r="O1468" s="129"/>
      <c r="P1468" s="132"/>
      <c r="Q1468" s="132"/>
      <c r="R1468" s="135"/>
      <c r="S1468" s="132"/>
      <c r="T1468" s="129"/>
      <c r="U1468" s="132"/>
      <c r="V1468" s="132"/>
      <c r="W1468" s="132"/>
    </row>
    <row r="1469" spans="1:23" ht="15.75" customHeight="1">
      <c r="A1469" s="125"/>
      <c r="B1469" s="125"/>
      <c r="C1469" s="125"/>
      <c r="D1469" s="125"/>
      <c r="E1469" s="126"/>
      <c r="F1469" s="128"/>
      <c r="G1469" s="128"/>
      <c r="H1469" s="128"/>
      <c r="I1469" s="129"/>
      <c r="J1469" s="129"/>
      <c r="K1469" s="129"/>
      <c r="L1469" s="129"/>
      <c r="M1469" s="129"/>
      <c r="N1469" s="129"/>
      <c r="O1469" s="129"/>
      <c r="P1469" s="132"/>
      <c r="Q1469" s="132"/>
      <c r="R1469" s="135"/>
      <c r="S1469" s="132"/>
      <c r="T1469" s="129"/>
      <c r="U1469" s="132"/>
      <c r="V1469" s="132"/>
      <c r="W1469" s="132"/>
    </row>
    <row r="1470" spans="1:23" ht="15.75" customHeight="1">
      <c r="A1470" s="125"/>
      <c r="B1470" s="125"/>
      <c r="C1470" s="125"/>
      <c r="D1470" s="125"/>
      <c r="E1470" s="126"/>
      <c r="F1470" s="128"/>
      <c r="G1470" s="128"/>
      <c r="H1470" s="128"/>
      <c r="I1470" s="129"/>
      <c r="J1470" s="129"/>
      <c r="K1470" s="129"/>
      <c r="L1470" s="129"/>
      <c r="M1470" s="129"/>
      <c r="N1470" s="129"/>
      <c r="O1470" s="129"/>
      <c r="P1470" s="132"/>
      <c r="Q1470" s="132"/>
      <c r="R1470" s="135"/>
      <c r="S1470" s="132"/>
      <c r="T1470" s="129"/>
      <c r="U1470" s="132"/>
      <c r="V1470" s="132"/>
      <c r="W1470" s="132"/>
    </row>
    <row r="1471" spans="1:23" ht="15.75" customHeight="1">
      <c r="A1471" s="125"/>
      <c r="B1471" s="125"/>
      <c r="C1471" s="125"/>
      <c r="D1471" s="125"/>
      <c r="E1471" s="126"/>
      <c r="F1471" s="128"/>
      <c r="G1471" s="128"/>
      <c r="H1471" s="128"/>
      <c r="I1471" s="129"/>
      <c r="J1471" s="129"/>
      <c r="K1471" s="129"/>
      <c r="L1471" s="129"/>
      <c r="M1471" s="129"/>
      <c r="N1471" s="129"/>
      <c r="O1471" s="129"/>
      <c r="P1471" s="132"/>
      <c r="Q1471" s="132"/>
      <c r="R1471" s="135"/>
      <c r="S1471" s="132"/>
      <c r="T1471" s="129"/>
      <c r="U1471" s="132"/>
      <c r="V1471" s="132"/>
      <c r="W1471" s="132"/>
    </row>
    <row r="1472" spans="1:23" ht="15.75" customHeight="1">
      <c r="A1472" s="125"/>
      <c r="B1472" s="125"/>
      <c r="C1472" s="125"/>
      <c r="D1472" s="125"/>
      <c r="E1472" s="126"/>
      <c r="F1472" s="128"/>
      <c r="G1472" s="128"/>
      <c r="H1472" s="128"/>
      <c r="I1472" s="129"/>
      <c r="J1472" s="129"/>
      <c r="K1472" s="129"/>
      <c r="L1472" s="129"/>
      <c r="M1472" s="129"/>
      <c r="N1472" s="129"/>
      <c r="O1472" s="129"/>
      <c r="P1472" s="132"/>
      <c r="Q1472" s="132"/>
      <c r="R1472" s="135"/>
      <c r="S1472" s="132"/>
      <c r="T1472" s="129"/>
      <c r="U1472" s="132"/>
      <c r="V1472" s="132"/>
      <c r="W1472" s="132"/>
    </row>
    <row r="1473" spans="1:23" ht="15.75" customHeight="1">
      <c r="A1473" s="125"/>
      <c r="B1473" s="125"/>
      <c r="C1473" s="125"/>
      <c r="D1473" s="125"/>
      <c r="E1473" s="126"/>
      <c r="F1473" s="128"/>
      <c r="G1473" s="128"/>
      <c r="H1473" s="128"/>
      <c r="I1473" s="129"/>
      <c r="J1473" s="129"/>
      <c r="K1473" s="129"/>
      <c r="L1473" s="129"/>
      <c r="M1473" s="129"/>
      <c r="N1473" s="129"/>
      <c r="O1473" s="129"/>
      <c r="P1473" s="132"/>
      <c r="Q1473" s="132"/>
      <c r="R1473" s="135"/>
      <c r="S1473" s="132"/>
      <c r="T1473" s="129"/>
      <c r="U1473" s="132"/>
      <c r="V1473" s="132"/>
      <c r="W1473" s="132"/>
    </row>
    <row r="1474" spans="1:23" ht="15.75" customHeight="1">
      <c r="A1474" s="125"/>
      <c r="B1474" s="125"/>
      <c r="C1474" s="125"/>
      <c r="D1474" s="125"/>
      <c r="E1474" s="126"/>
      <c r="F1474" s="128"/>
      <c r="G1474" s="128"/>
      <c r="H1474" s="128"/>
      <c r="I1474" s="129"/>
      <c r="J1474" s="129"/>
      <c r="K1474" s="129"/>
      <c r="L1474" s="129"/>
      <c r="M1474" s="129"/>
      <c r="N1474" s="129"/>
      <c r="O1474" s="129"/>
      <c r="P1474" s="132"/>
      <c r="Q1474" s="132"/>
      <c r="R1474" s="135"/>
      <c r="S1474" s="132"/>
      <c r="T1474" s="129"/>
      <c r="U1474" s="132"/>
      <c r="V1474" s="132"/>
      <c r="W1474" s="132"/>
    </row>
    <row r="1475" spans="1:23" ht="15.75" customHeight="1">
      <c r="A1475" s="125"/>
      <c r="B1475" s="125"/>
      <c r="C1475" s="125"/>
      <c r="D1475" s="125"/>
      <c r="E1475" s="126"/>
      <c r="F1475" s="128"/>
      <c r="G1475" s="128"/>
      <c r="H1475" s="128"/>
      <c r="I1475" s="129"/>
      <c r="J1475" s="129"/>
      <c r="K1475" s="129"/>
      <c r="L1475" s="129"/>
      <c r="M1475" s="129"/>
      <c r="N1475" s="129"/>
      <c r="O1475" s="129"/>
      <c r="P1475" s="132"/>
      <c r="Q1475" s="132"/>
      <c r="R1475" s="135"/>
      <c r="S1475" s="132"/>
      <c r="T1475" s="129"/>
      <c r="U1475" s="132"/>
      <c r="V1475" s="132"/>
      <c r="W1475" s="132"/>
    </row>
    <row r="1476" spans="1:23" ht="15.75" customHeight="1">
      <c r="A1476" s="125"/>
      <c r="B1476" s="125"/>
      <c r="C1476" s="125"/>
      <c r="D1476" s="125"/>
      <c r="E1476" s="126"/>
      <c r="F1476" s="128"/>
      <c r="G1476" s="128"/>
      <c r="H1476" s="128"/>
      <c r="I1476" s="129"/>
      <c r="J1476" s="129"/>
      <c r="K1476" s="129"/>
      <c r="L1476" s="129"/>
      <c r="M1476" s="129"/>
      <c r="N1476" s="129"/>
      <c r="O1476" s="129"/>
      <c r="P1476" s="132"/>
      <c r="Q1476" s="132"/>
      <c r="R1476" s="135"/>
      <c r="S1476" s="132"/>
      <c r="T1476" s="129"/>
      <c r="U1476" s="132"/>
      <c r="V1476" s="132"/>
      <c r="W1476" s="132"/>
    </row>
    <row r="1477" spans="1:23" ht="15.75" customHeight="1">
      <c r="A1477" s="125"/>
      <c r="B1477" s="125"/>
      <c r="C1477" s="125"/>
      <c r="D1477" s="125"/>
      <c r="E1477" s="126"/>
      <c r="F1477" s="128"/>
      <c r="G1477" s="128"/>
      <c r="H1477" s="128"/>
      <c r="I1477" s="129"/>
      <c r="J1477" s="129"/>
      <c r="K1477" s="129"/>
      <c r="L1477" s="129"/>
      <c r="M1477" s="129"/>
      <c r="N1477" s="129"/>
      <c r="O1477" s="129"/>
      <c r="P1477" s="132"/>
      <c r="Q1477" s="132"/>
      <c r="R1477" s="135"/>
      <c r="S1477" s="132"/>
      <c r="T1477" s="129"/>
      <c r="U1477" s="132"/>
      <c r="V1477" s="132"/>
      <c r="W1477" s="132"/>
    </row>
    <row r="1478" spans="1:23" ht="15.75" customHeight="1">
      <c r="A1478" s="125"/>
      <c r="B1478" s="125"/>
      <c r="C1478" s="125"/>
      <c r="D1478" s="125"/>
      <c r="E1478" s="126"/>
      <c r="F1478" s="128"/>
      <c r="G1478" s="128"/>
      <c r="H1478" s="128"/>
      <c r="I1478" s="129"/>
      <c r="J1478" s="129"/>
      <c r="K1478" s="129"/>
      <c r="L1478" s="129"/>
      <c r="M1478" s="129"/>
      <c r="N1478" s="129"/>
      <c r="O1478" s="129"/>
      <c r="P1478" s="132"/>
      <c r="Q1478" s="132"/>
      <c r="R1478" s="135"/>
      <c r="S1478" s="132"/>
      <c r="T1478" s="129"/>
      <c r="U1478" s="132"/>
      <c r="V1478" s="132"/>
      <c r="W1478" s="132"/>
    </row>
    <row r="1479" spans="1:23" ht="15.75" customHeight="1">
      <c r="A1479" s="125"/>
      <c r="B1479" s="125"/>
      <c r="C1479" s="125"/>
      <c r="D1479" s="125"/>
      <c r="E1479" s="126"/>
      <c r="F1479" s="128"/>
      <c r="G1479" s="128"/>
      <c r="H1479" s="128"/>
      <c r="I1479" s="129"/>
      <c r="J1479" s="129"/>
      <c r="K1479" s="129"/>
      <c r="L1479" s="129"/>
      <c r="M1479" s="129"/>
      <c r="N1479" s="129"/>
      <c r="O1479" s="129"/>
      <c r="P1479" s="132"/>
      <c r="Q1479" s="132"/>
      <c r="R1479" s="135"/>
      <c r="S1479" s="132"/>
      <c r="T1479" s="129"/>
      <c r="U1479" s="132"/>
      <c r="V1479" s="132"/>
      <c r="W1479" s="132"/>
    </row>
    <row r="1480" spans="1:23" ht="15.75" customHeight="1">
      <c r="A1480" s="125"/>
      <c r="B1480" s="125"/>
      <c r="C1480" s="125"/>
      <c r="D1480" s="125"/>
      <c r="E1480" s="126"/>
      <c r="F1480" s="128"/>
      <c r="G1480" s="128"/>
      <c r="H1480" s="128"/>
      <c r="I1480" s="129"/>
      <c r="J1480" s="129"/>
      <c r="K1480" s="129"/>
      <c r="L1480" s="129"/>
      <c r="M1480" s="129"/>
      <c r="N1480" s="129"/>
      <c r="O1480" s="129"/>
      <c r="P1480" s="132"/>
      <c r="Q1480" s="132"/>
      <c r="R1480" s="135"/>
      <c r="S1480" s="132"/>
      <c r="T1480" s="129"/>
      <c r="U1480" s="132"/>
      <c r="V1480" s="132"/>
      <c r="W1480" s="132"/>
    </row>
    <row r="1481" spans="1:23" ht="15.75" customHeight="1">
      <c r="A1481" s="125"/>
      <c r="B1481" s="125"/>
      <c r="C1481" s="125"/>
      <c r="D1481" s="125"/>
      <c r="E1481" s="126"/>
      <c r="F1481" s="128"/>
      <c r="G1481" s="128"/>
      <c r="H1481" s="128"/>
      <c r="I1481" s="129"/>
      <c r="J1481" s="129"/>
      <c r="K1481" s="129"/>
      <c r="L1481" s="129"/>
      <c r="M1481" s="129"/>
      <c r="N1481" s="129"/>
      <c r="O1481" s="129"/>
      <c r="P1481" s="132"/>
      <c r="Q1481" s="132"/>
      <c r="R1481" s="135"/>
      <c r="S1481" s="132"/>
      <c r="T1481" s="129"/>
      <c r="U1481" s="132"/>
      <c r="V1481" s="132"/>
      <c r="W1481" s="132"/>
    </row>
    <row r="1482" spans="1:23" ht="15.75" customHeight="1">
      <c r="A1482" s="125"/>
      <c r="B1482" s="125"/>
      <c r="C1482" s="125"/>
      <c r="D1482" s="125"/>
      <c r="E1482" s="126"/>
      <c r="F1482" s="128"/>
      <c r="G1482" s="128"/>
      <c r="H1482" s="128"/>
      <c r="I1482" s="129"/>
      <c r="J1482" s="129"/>
      <c r="K1482" s="129"/>
      <c r="L1482" s="129"/>
      <c r="M1482" s="129"/>
      <c r="N1482" s="129"/>
      <c r="O1482" s="129"/>
      <c r="P1482" s="132"/>
      <c r="Q1482" s="132"/>
      <c r="R1482" s="135"/>
      <c r="S1482" s="132"/>
      <c r="T1482" s="129"/>
      <c r="U1482" s="132"/>
      <c r="V1482" s="132"/>
      <c r="W1482" s="132"/>
    </row>
    <row r="1483" spans="1:23" ht="15.75" customHeight="1">
      <c r="A1483" s="125"/>
      <c r="B1483" s="125"/>
      <c r="C1483" s="125"/>
      <c r="D1483" s="125"/>
      <c r="E1483" s="126"/>
      <c r="F1483" s="128"/>
      <c r="G1483" s="128"/>
      <c r="H1483" s="128"/>
      <c r="I1483" s="129"/>
      <c r="J1483" s="129"/>
      <c r="K1483" s="129"/>
      <c r="L1483" s="129"/>
      <c r="M1483" s="129"/>
      <c r="N1483" s="129"/>
      <c r="O1483" s="129"/>
      <c r="P1483" s="132"/>
      <c r="Q1483" s="132"/>
      <c r="R1483" s="135"/>
      <c r="S1483" s="132"/>
      <c r="T1483" s="129"/>
      <c r="U1483" s="132"/>
      <c r="V1483" s="132"/>
      <c r="W1483" s="132"/>
    </row>
  </sheetData>
  <autoFilter ref="A1:AC1043"/>
  <dataValidations count="3">
    <dataValidation type="list" allowBlank="1" sqref="C2:C1083">
      <formula1>#REF!</formula1>
    </dataValidation>
    <dataValidation type="list" allowBlank="1" sqref="T2:T1083">
      <formula1>#REF!</formula1>
    </dataValidation>
    <dataValidation type="list" allowBlank="1" sqref="B2:B1083">
      <formula1>#REF!</formula1>
    </dataValidation>
  </dataValidations>
  <pageMargins left="0.25" right="0.25" top="0.75" bottom="0.75" header="0" footer="0"/>
  <pageSetup paperSize="5" fitToHeight="0" orientation="landscape"/>
  <headerFooter>
    <oddHeader>&amp;CINVENTARIO CONTROL VEHICULAR</oddHeader>
  </headerFooter>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E1:R1055"/>
  <sheetViews>
    <sheetView workbookViewId="0"/>
  </sheetViews>
  <sheetFormatPr baseColWidth="10" defaultColWidth="12.5703125" defaultRowHeight="15.75" customHeight="1"/>
  <cols>
    <col min="6" max="6" width="66.5703125" customWidth="1"/>
    <col min="8" max="8" width="12.5703125" hidden="1"/>
    <col min="10" max="10" width="12.5703125" hidden="1"/>
    <col min="18" max="18" width="22.85546875" customWidth="1"/>
  </cols>
  <sheetData>
    <row r="1" spans="5:18">
      <c r="E1" s="167" t="str">
        <f>'030523 INVENTARIO'!E1</f>
        <v>DESCRIPCION GENERICA</v>
      </c>
      <c r="F1" s="167" t="str">
        <f>'030523 INVENTARIO'!F1</f>
        <v>DESCRIPCION ESPECIIFICA</v>
      </c>
      <c r="G1" s="167" t="str">
        <f>'030523 INVENTARIO'!G1</f>
        <v>NNII</v>
      </c>
      <c r="H1" s="167" t="str">
        <f>'030523 INVENTARIO'!J1</f>
        <v>NIPRUEBA</v>
      </c>
      <c r="I1" s="167" t="str">
        <f>'030523 INVENTARIO'!K1</f>
        <v>N.I.I. MAR22</v>
      </c>
      <c r="J1" s="167" t="str">
        <f>'030523 INVENTARIO'!L1</f>
        <v>N.I.I NOV21</v>
      </c>
      <c r="K1" s="167" t="str">
        <f>'030523 INVENTARIO'!M1</f>
        <v>SAACG</v>
      </c>
      <c r="L1" s="167" t="str">
        <f>'030523 INVENTARIO'!N1</f>
        <v>F. COMPRA</v>
      </c>
      <c r="M1" s="167" t="str">
        <f>'030523 INVENTARIO'!O1</f>
        <v>MONTO</v>
      </c>
      <c r="N1" s="167">
        <f>'030523 INVENTARIO'!P1</f>
        <v>0</v>
      </c>
      <c r="O1" s="167" t="str">
        <f>'030523 INVENTARIO'!Q1</f>
        <v>MARCA</v>
      </c>
      <c r="P1" s="167" t="str">
        <f>'030523 INVENTARIO'!R1</f>
        <v>MODELO</v>
      </c>
      <c r="Q1" s="167" t="str">
        <f>'030523 INVENTARIO'!S1</f>
        <v>NO. SERIE</v>
      </c>
      <c r="R1" s="167" t="str">
        <f>'030523 INVENTARIO'!T1</f>
        <v>N.I.P</v>
      </c>
    </row>
    <row r="2" spans="5:18">
      <c r="E2" s="167" t="str">
        <f>'030523 INVENTARIO'!E2</f>
        <v>CREDENZA</v>
      </c>
      <c r="F2" s="167" t="str">
        <f>'030523 INVENTARIO'!F2</f>
        <v>CREDENZA DE MADERA 120X40</v>
      </c>
      <c r="G2" s="167" t="str">
        <f ca="1">'030523 INVENTARIO'!G2</f>
        <v>P05DA-0001</v>
      </c>
      <c r="H2" s="167" t="str">
        <f>'030523 INVENTARIO'!J2</f>
        <v>P05DA-0001</v>
      </c>
      <c r="I2" s="167" t="str">
        <f>'030523 INVENTARIO'!K2</f>
        <v>PB5DA-001</v>
      </c>
      <c r="J2" s="167" t="str">
        <f>'030523 INVENTARIO'!L2</f>
        <v>P0A-9</v>
      </c>
      <c r="K2" s="167" t="str">
        <f>'030523 INVENTARIO'!M2</f>
        <v>5110100014-16</v>
      </c>
      <c r="L2" s="168">
        <f>'030523 INVENTARIO'!N2</f>
        <v>0</v>
      </c>
      <c r="M2" s="168">
        <f>'030523 INVENTARIO'!O2</f>
        <v>0</v>
      </c>
      <c r="N2" s="168" t="str">
        <f>'030523 INVENTARIO'!P2</f>
        <v>OK</v>
      </c>
      <c r="O2" s="168" t="str">
        <f>'030523 INVENTARIO'!Q2</f>
        <v>S/M</v>
      </c>
      <c r="P2" s="167" t="str">
        <f>'030523 INVENTARIO'!R2</f>
        <v>S/M</v>
      </c>
      <c r="Q2" s="167" t="str">
        <f>'030523 INVENTARIO'!S2</f>
        <v>SIN SERIE</v>
      </c>
      <c r="R2" s="167" t="str">
        <f>'030523 INVENTARIO'!T2</f>
        <v>82DK0511010005000583333</v>
      </c>
    </row>
    <row r="3" spans="5:18">
      <c r="E3" s="167" t="str">
        <f>'030523 INVENTARIO'!E3</f>
        <v>VENTILADOR</v>
      </c>
      <c r="F3" s="167" t="str">
        <f>'030523 INVENTARIO'!F3</f>
        <v>VENTILADOR DE TORRE NEGRO</v>
      </c>
      <c r="G3" s="167" t="str">
        <f ca="1">'030523 INVENTARIO'!G3</f>
        <v>P05DA-0002</v>
      </c>
      <c r="H3" s="167" t="str">
        <f>'030523 INVENTARIO'!J3</f>
        <v>P05DA-0002</v>
      </c>
      <c r="I3" s="167" t="str">
        <f>'030523 INVENTARIO'!K3</f>
        <v>PB5DA-002</v>
      </c>
      <c r="J3" s="167" t="str">
        <f>'030523 INVENTARIO'!L3</f>
        <v>P0A-86</v>
      </c>
      <c r="K3" s="167" t="str">
        <f>'030523 INVENTARIO'!M3</f>
        <v>5190200002-40</v>
      </c>
      <c r="L3" s="168">
        <f>'030523 INVENTARIO'!N3</f>
        <v>0</v>
      </c>
      <c r="M3" s="168">
        <f>'030523 INVENTARIO'!O3</f>
        <v>0</v>
      </c>
      <c r="N3" s="168" t="str">
        <f>'030523 INVENTARIO'!P3</f>
        <v>OK</v>
      </c>
      <c r="O3" s="168" t="str">
        <f>'030523 INVENTARIO'!Q3</f>
        <v>MYTEK</v>
      </c>
      <c r="P3" s="167">
        <f>'030523 INVENTARIO'!R3</f>
        <v>3358</v>
      </c>
      <c r="Q3" s="167" t="str">
        <f>'030523 INVENTARIO'!S3</f>
        <v>SIN SERIE</v>
      </c>
      <c r="R3" s="167" t="str">
        <f>'030523 INVENTARIO'!T3</f>
        <v>82DH0519010043000649374</v>
      </c>
    </row>
    <row r="4" spans="5:18">
      <c r="E4" s="167" t="str">
        <f>'030523 INVENTARIO'!E4</f>
        <v>PIZARRON</v>
      </c>
      <c r="F4" s="167" t="str">
        <f>'030523 INVENTARIO'!F4</f>
        <v>PIZARRON BLANCO 90X60 CM</v>
      </c>
      <c r="G4" s="167" t="str">
        <f ca="1">'030523 INVENTARIO'!G4</f>
        <v>P05DA-0003</v>
      </c>
      <c r="H4" s="167" t="str">
        <f>'030523 INVENTARIO'!J4</f>
        <v>P05DA-0003</v>
      </c>
      <c r="I4" s="167" t="str">
        <f>'030523 INVENTARIO'!K4</f>
        <v>PB5DA-003</v>
      </c>
      <c r="J4" s="167" t="str">
        <f>'030523 INVENTARIO'!L4</f>
        <v>P0A-95</v>
      </c>
      <c r="K4" s="167" t="str">
        <f>'030523 INVENTARIO'!M4</f>
        <v>5290100025-8</v>
      </c>
      <c r="L4" s="168">
        <f>'030523 INVENTARIO'!N4</f>
        <v>0</v>
      </c>
      <c r="M4" s="168">
        <f>'030523 INVENTARIO'!O4</f>
        <v>0</v>
      </c>
      <c r="N4" s="168" t="str">
        <f>'030523 INVENTARIO'!P4</f>
        <v>OK</v>
      </c>
      <c r="O4" s="168" t="str">
        <f>'030523 INVENTARIO'!Q4</f>
        <v>S/M</v>
      </c>
      <c r="P4" s="167" t="str">
        <f>'030523 INVENTARIO'!R4</f>
        <v>S/M</v>
      </c>
      <c r="Q4" s="167" t="str">
        <f>'030523 INVENTARIO'!S4</f>
        <v>SIN SERIE</v>
      </c>
      <c r="R4" s="167" t="str">
        <f>'030523 INVENTARIO'!T4</f>
        <v>82DH0529030003000564534</v>
      </c>
    </row>
    <row r="5" spans="5:18">
      <c r="E5" s="167" t="str">
        <f>'030523 INVENTARIO'!E5</f>
        <v>ARCHIVERO</v>
      </c>
      <c r="F5" s="167" t="str">
        <f>'030523 INVENTARIO'!F5</f>
        <v>ARCHIVERO DE MADERA 4 CAJONES</v>
      </c>
      <c r="G5" s="167" t="str">
        <f ca="1">'030523 INVENTARIO'!G5</f>
        <v>P05DA-0004</v>
      </c>
      <c r="H5" s="167" t="str">
        <f>'030523 INVENTARIO'!J5</f>
        <v>P05DA-0004</v>
      </c>
      <c r="I5" s="167" t="str">
        <f>'030523 INVENTARIO'!K5</f>
        <v>PB5DA-004</v>
      </c>
      <c r="J5" s="167" t="str">
        <f>'030523 INVENTARIO'!L5</f>
        <v>P0A-10</v>
      </c>
      <c r="K5" s="167" t="str">
        <f>'030523 INVENTARIO'!M5</f>
        <v>5130100013-25</v>
      </c>
      <c r="L5" s="168">
        <f>'030523 INVENTARIO'!N5</f>
        <v>0</v>
      </c>
      <c r="M5" s="168">
        <f>'030523 INVENTARIO'!O5</f>
        <v>0</v>
      </c>
      <c r="N5" s="168" t="str">
        <f>'030523 INVENTARIO'!P5</f>
        <v>OK</v>
      </c>
      <c r="O5" s="168" t="str">
        <f>'030523 INVENTARIO'!Q5</f>
        <v>S/M</v>
      </c>
      <c r="P5" s="167" t="str">
        <f>'030523 INVENTARIO'!R5</f>
        <v>S/M</v>
      </c>
      <c r="Q5" s="167" t="str">
        <f>'030523 INVENTARIO'!S5</f>
        <v>SIN SERIE</v>
      </c>
      <c r="R5" s="167" t="str">
        <f>'030523 INVENTARIO'!T5</f>
        <v>82DK0511010001000581343</v>
      </c>
    </row>
    <row r="6" spans="5:18">
      <c r="E6" s="167" t="str">
        <f>'030523 INVENTARIO'!E6</f>
        <v>LIBRERO</v>
      </c>
      <c r="F6" s="167" t="str">
        <f>'030523 INVENTARIO'!F6</f>
        <v>LIBRERO DE MADERA</v>
      </c>
      <c r="G6" s="167" t="str">
        <f ca="1">'030523 INVENTARIO'!G6</f>
        <v>P05DA-0005</v>
      </c>
      <c r="H6" s="167" t="str">
        <f>'030523 INVENTARIO'!J6</f>
        <v>P05DA-0005</v>
      </c>
      <c r="I6" s="167" t="str">
        <f>'030523 INVENTARIO'!K6</f>
        <v>PB5DA-005</v>
      </c>
      <c r="J6" s="167" t="str">
        <f>'030523 INVENTARIO'!L6</f>
        <v>P0A-92</v>
      </c>
      <c r="K6" s="167" t="str">
        <f>'030523 INVENTARIO'!M6</f>
        <v>5130100126-10</v>
      </c>
      <c r="L6" s="168">
        <f>'030523 INVENTARIO'!N6</f>
        <v>0</v>
      </c>
      <c r="M6" s="168">
        <f>'030523 INVENTARIO'!O6</f>
        <v>0</v>
      </c>
      <c r="N6" s="168" t="str">
        <f>'030523 INVENTARIO'!P6</f>
        <v>OK</v>
      </c>
      <c r="O6" s="168" t="str">
        <f>'030523 INVENTARIO'!Q6</f>
        <v>S/M</v>
      </c>
      <c r="P6" s="167" t="str">
        <f>'030523 INVENTARIO'!R6</f>
        <v>S/M</v>
      </c>
      <c r="Q6" s="167" t="str">
        <f>'030523 INVENTARIO'!S6</f>
        <v>SIN SERIE</v>
      </c>
      <c r="R6" s="167" t="str">
        <f>'030523 INVENTARIO'!T6</f>
        <v>82DH0511010008000535423</v>
      </c>
    </row>
    <row r="7" spans="5:18">
      <c r="E7" s="167" t="str">
        <f>'030523 INVENTARIO'!E7</f>
        <v>LOCKER</v>
      </c>
      <c r="F7" s="167" t="str">
        <f>'030523 INVENTARIO'!F7</f>
        <v>LOCKER DE MADERA DOS PUERTAS 194X79X43</v>
      </c>
      <c r="G7" s="167" t="str">
        <f ca="1">'030523 INVENTARIO'!G7</f>
        <v>P05DA-0006</v>
      </c>
      <c r="H7" s="167" t="str">
        <f>'030523 INVENTARIO'!J7</f>
        <v>P05DA-0006</v>
      </c>
      <c r="I7" s="167" t="str">
        <f>'030523 INVENTARIO'!K7</f>
        <v>PB5DA-006</v>
      </c>
      <c r="J7" s="167">
        <f>'030523 INVENTARIO'!L7</f>
        <v>0</v>
      </c>
      <c r="K7" s="167" t="str">
        <f>'030523 INVENTARIO'!M7</f>
        <v>5130100013-6</v>
      </c>
      <c r="L7" s="168">
        <f>'030523 INVENTARIO'!N7</f>
        <v>0</v>
      </c>
      <c r="M7" s="168">
        <f>'030523 INVENTARIO'!O7</f>
        <v>0</v>
      </c>
      <c r="N7" s="168" t="str">
        <f>'030523 INVENTARIO'!P7</f>
        <v>OK</v>
      </c>
      <c r="O7" s="168" t="str">
        <f>'030523 INVENTARIO'!Q7</f>
        <v>S/M</v>
      </c>
      <c r="P7" s="167" t="str">
        <f>'030523 INVENTARIO'!R7</f>
        <v>S/M</v>
      </c>
      <c r="Q7" s="167" t="str">
        <f>'030523 INVENTARIO'!S7</f>
        <v>SIN SERIE</v>
      </c>
      <c r="R7" s="167" t="str">
        <f>'030523 INVENTARIO'!T7</f>
        <v>SIN RESGUARDO</v>
      </c>
    </row>
    <row r="8" spans="5:18">
      <c r="E8" s="167" t="e">
        <f t="shared" ref="E8:R8" si="0">#REF!</f>
        <v>#REF!</v>
      </c>
      <c r="F8" s="167" t="e">
        <f t="shared" si="0"/>
        <v>#REF!</v>
      </c>
      <c r="G8" s="167" t="e">
        <f t="shared" si="0"/>
        <v>#REF!</v>
      </c>
      <c r="H8" s="167" t="e">
        <f t="shared" si="0"/>
        <v>#REF!</v>
      </c>
      <c r="I8" s="167" t="e">
        <f t="shared" si="0"/>
        <v>#REF!</v>
      </c>
      <c r="J8" s="167" t="e">
        <f t="shared" si="0"/>
        <v>#REF!</v>
      </c>
      <c r="K8" s="167" t="e">
        <f t="shared" si="0"/>
        <v>#REF!</v>
      </c>
      <c r="L8" s="167" t="e">
        <f t="shared" si="0"/>
        <v>#REF!</v>
      </c>
      <c r="M8" s="167" t="e">
        <f t="shared" si="0"/>
        <v>#REF!</v>
      </c>
      <c r="N8" s="167" t="e">
        <f t="shared" si="0"/>
        <v>#REF!</v>
      </c>
      <c r="O8" s="167" t="e">
        <f t="shared" si="0"/>
        <v>#REF!</v>
      </c>
      <c r="P8" s="167" t="e">
        <f t="shared" si="0"/>
        <v>#REF!</v>
      </c>
      <c r="Q8" s="167" t="e">
        <f t="shared" si="0"/>
        <v>#REF!</v>
      </c>
      <c r="R8" s="167" t="e">
        <f t="shared" si="0"/>
        <v>#REF!</v>
      </c>
    </row>
    <row r="9" spans="5:18">
      <c r="E9" s="167" t="str">
        <f>'030523 INVENTARIO'!E9</f>
        <v>MESA</v>
      </c>
      <c r="F9" s="167" t="str">
        <f>'030523 INVENTARIO'!F9</f>
        <v>MESA DE MADERA CON BASE DE METAL 80X60X50</v>
      </c>
      <c r="G9" s="167" t="str">
        <f ca="1">'030523 INVENTARIO'!G9</f>
        <v>P05DA-0008</v>
      </c>
      <c r="H9" s="167" t="str">
        <f>'030523 INVENTARIO'!J9</f>
        <v>P05DA-0008</v>
      </c>
      <c r="I9" s="167" t="str">
        <f>'030523 INVENTARIO'!K9</f>
        <v>PB5DA-008</v>
      </c>
      <c r="J9" s="167" t="str">
        <f>'030523 INVENTARIO'!L9</f>
        <v>P0A-103</v>
      </c>
      <c r="K9" s="167" t="str">
        <f>'030523 INVENTARIO'!M9</f>
        <v>5120100007-127</v>
      </c>
      <c r="L9" s="168">
        <f>'030523 INVENTARIO'!N9</f>
        <v>0</v>
      </c>
      <c r="M9" s="168">
        <f>'030523 INVENTARIO'!O9</f>
        <v>0</v>
      </c>
      <c r="N9" s="168" t="str">
        <f>'030523 INVENTARIO'!P9</f>
        <v>OK</v>
      </c>
      <c r="O9" s="168" t="str">
        <f>'030523 INVENTARIO'!Q9</f>
        <v>S/M</v>
      </c>
      <c r="P9" s="167" t="str">
        <f>'030523 INVENTARIO'!R9</f>
        <v>S/M</v>
      </c>
      <c r="Q9" s="167" t="str">
        <f>'030523 INVENTARIO'!S9</f>
        <v>SIN SERIE</v>
      </c>
      <c r="R9" s="167" t="str">
        <f>'030523 INVENTARIO'!T9</f>
        <v>82DK0531010065000564835</v>
      </c>
    </row>
    <row r="10" spans="5:18">
      <c r="E10" s="167" t="str">
        <f>'030523 INVENTARIO'!E10</f>
        <v>ARCHIVERO</v>
      </c>
      <c r="F10" s="167" t="str">
        <f>'030523 INVENTARIO'!F10</f>
        <v>ARCHIVERO DE MADERA 2 CAJONES 76X100X56</v>
      </c>
      <c r="G10" s="167" t="str">
        <f ca="1">'030523 INVENTARIO'!G10</f>
        <v>P05DA-0009</v>
      </c>
      <c r="H10" s="167" t="str">
        <f>'030523 INVENTARIO'!J10</f>
        <v>P05DA-0009</v>
      </c>
      <c r="I10" s="167" t="str">
        <f>'030523 INVENTARIO'!K10</f>
        <v>PB5DA-009</v>
      </c>
      <c r="J10" s="167" t="str">
        <f>'030523 INVENTARIO'!L10</f>
        <v>P0A-94</v>
      </c>
      <c r="K10" s="167" t="str">
        <f>'030523 INVENTARIO'!M10</f>
        <v>5130100013-26</v>
      </c>
      <c r="L10" s="168">
        <f>'030523 INVENTARIO'!N10</f>
        <v>0</v>
      </c>
      <c r="M10" s="168">
        <f>'030523 INVENTARIO'!O10</f>
        <v>0</v>
      </c>
      <c r="N10" s="168" t="str">
        <f>'030523 INVENTARIO'!P10</f>
        <v>OK</v>
      </c>
      <c r="O10" s="168" t="str">
        <f>'030523 INVENTARIO'!Q10</f>
        <v>S/M</v>
      </c>
      <c r="P10" s="167" t="str">
        <f>'030523 INVENTARIO'!R10</f>
        <v>S/M</v>
      </c>
      <c r="Q10" s="167" t="str">
        <f>'030523 INVENTARIO'!S10</f>
        <v>SIN SERIE</v>
      </c>
      <c r="R10" s="167" t="str">
        <f>'030523 INVENTARIO'!T10</f>
        <v>82DH0511010001000649513</v>
      </c>
    </row>
    <row r="11" spans="5:18">
      <c r="E11" s="167" t="str">
        <f>'030523 INVENTARIO'!E11</f>
        <v>CREDENZA</v>
      </c>
      <c r="F11" s="167" t="str">
        <f>'030523 INVENTARIO'!F11</f>
        <v>CREDENZA DE MADERA 4 PUERTAS</v>
      </c>
      <c r="G11" s="167" t="str">
        <f ca="1">'030523 INVENTARIO'!G11</f>
        <v>P05DA-0010</v>
      </c>
      <c r="H11" s="167" t="str">
        <f>'030523 INVENTARIO'!J11</f>
        <v>P05DA-0010</v>
      </c>
      <c r="I11" s="167">
        <f>'030523 INVENTARIO'!K11</f>
        <v>0</v>
      </c>
      <c r="J11" s="167" t="str">
        <f>'030523 INVENTARIO'!L11</f>
        <v>P0A-110</v>
      </c>
      <c r="K11" s="167" t="str">
        <f>'030523 INVENTARIO'!M11</f>
        <v>5120100004-38</v>
      </c>
      <c r="L11" s="168">
        <f>'030523 INVENTARIO'!N11</f>
        <v>0</v>
      </c>
      <c r="M11" s="168">
        <f>'030523 INVENTARIO'!O11</f>
        <v>0</v>
      </c>
      <c r="N11" s="168" t="str">
        <f>'030523 INVENTARIO'!P11</f>
        <v>OK</v>
      </c>
      <c r="O11" s="168" t="str">
        <f>'030523 INVENTARIO'!Q11</f>
        <v>S/M</v>
      </c>
      <c r="P11" s="167" t="str">
        <f>'030523 INVENTARIO'!R11</f>
        <v>S/M</v>
      </c>
      <c r="Q11" s="167" t="str">
        <f>'030523 INVENTARIO'!S11</f>
        <v>SIN SERIE</v>
      </c>
      <c r="R11" s="167" t="str">
        <f>'030523 INVENTARIO'!T11</f>
        <v>82DH0511010005000651084</v>
      </c>
    </row>
    <row r="12" spans="5:18">
      <c r="E12" s="167" t="str">
        <f>'030523 INVENTARIO'!E12</f>
        <v>ESCRITORIO</v>
      </c>
      <c r="F12" s="167" t="str">
        <f>'030523 INVENTARIO'!F12</f>
        <v>ESCRITORIO DE MADERA</v>
      </c>
      <c r="G12" s="167" t="str">
        <f ca="1">'030523 INVENTARIO'!G12</f>
        <v>P05DA-0011</v>
      </c>
      <c r="H12" s="167" t="str">
        <f>'030523 INVENTARIO'!J12</f>
        <v>P05DA-0011</v>
      </c>
      <c r="I12" s="167">
        <f>'030523 INVENTARIO'!K12</f>
        <v>0</v>
      </c>
      <c r="J12" s="167" t="str">
        <f>'030523 INVENTARIO'!L12</f>
        <v>P0A-88</v>
      </c>
      <c r="K12" s="167" t="str">
        <f>'030523 INVENTARIO'!M12</f>
        <v>5110100015-60</v>
      </c>
      <c r="L12" s="168">
        <f>'030523 INVENTARIO'!N12</f>
        <v>0</v>
      </c>
      <c r="M12" s="168">
        <f>'030523 INVENTARIO'!O12</f>
        <v>0</v>
      </c>
      <c r="N12" s="168" t="str">
        <f>'030523 INVENTARIO'!P12</f>
        <v>OK</v>
      </c>
      <c r="O12" s="168" t="str">
        <f>'030523 INVENTARIO'!Q12</f>
        <v>S/M</v>
      </c>
      <c r="P12" s="167" t="str">
        <f>'030523 INVENTARIO'!R12</f>
        <v>S/M</v>
      </c>
      <c r="Q12" s="167" t="str">
        <f>'030523 INVENTARIO'!S12</f>
        <v>SIN SERIE</v>
      </c>
      <c r="R12" s="167" t="str">
        <f>'030523 INVENTARIO'!T12</f>
        <v>82DH0511010006000518529</v>
      </c>
    </row>
    <row r="13" spans="5:18">
      <c r="E13" s="167" t="str">
        <f>'030523 INVENTARIO'!E13</f>
        <v>ESCRITORIO</v>
      </c>
      <c r="F13" s="167" t="str">
        <f>'030523 INVENTARIO'!F13</f>
        <v>ESCRITORIO COMPLEMENTO</v>
      </c>
      <c r="G13" s="167" t="str">
        <f ca="1">'030523 INVENTARIO'!G13</f>
        <v>P05DA-0012</v>
      </c>
      <c r="H13" s="167" t="str">
        <f>'030523 INVENTARIO'!J13</f>
        <v>P05DA-0012</v>
      </c>
      <c r="I13" s="167">
        <f>'030523 INVENTARIO'!K13</f>
        <v>0</v>
      </c>
      <c r="J13" s="167" t="str">
        <f>'030523 INVENTARIO'!L13</f>
        <v>P0A-101</v>
      </c>
      <c r="K13" s="167" t="str">
        <f>'030523 INVENTARIO'!M13</f>
        <v>5120100007-107</v>
      </c>
      <c r="L13" s="168">
        <f>'030523 INVENTARIO'!N13</f>
        <v>0</v>
      </c>
      <c r="M13" s="168">
        <f>'030523 INVENTARIO'!O13</f>
        <v>0</v>
      </c>
      <c r="N13" s="168" t="str">
        <f>'030523 INVENTARIO'!P13</f>
        <v>OK</v>
      </c>
      <c r="O13" s="168" t="str">
        <f>'030523 INVENTARIO'!Q13</f>
        <v>S/M</v>
      </c>
      <c r="P13" s="167" t="str">
        <f>'030523 INVENTARIO'!R13</f>
        <v>S/M</v>
      </c>
      <c r="Q13" s="167" t="str">
        <f>'030523 INVENTARIO'!S13</f>
        <v>SIN SERIE</v>
      </c>
      <c r="R13" s="167" t="str">
        <f>'030523 INVENTARIO'!T13</f>
        <v>82DH0531010065000564882</v>
      </c>
    </row>
    <row r="14" spans="5:18">
      <c r="E14" s="167" t="str">
        <f>'030523 INVENTARIO'!E14</f>
        <v>ESCRITORIO</v>
      </c>
      <c r="F14" s="167" t="str">
        <f>'030523 INVENTARIO'!F14</f>
        <v>ESCRITORIO DE MADERA TIPO ISLA 4 PIEZAS</v>
      </c>
      <c r="G14" s="167" t="str">
        <f ca="1">'030523 INVENTARIO'!G14</f>
        <v>P05DA-0013</v>
      </c>
      <c r="H14" s="167" t="str">
        <f>'030523 INVENTARIO'!J14</f>
        <v>P05DA-0013</v>
      </c>
      <c r="I14" s="167" t="str">
        <f>'030523 INVENTARIO'!K14</f>
        <v>PB5DA-010</v>
      </c>
      <c r="J14" s="167" t="str">
        <f>'030523 INVENTARIO'!L14</f>
        <v>P0A-89</v>
      </c>
      <c r="K14" s="167" t="str">
        <f>'030523 INVENTARIO'!M14</f>
        <v>5110100015-61</v>
      </c>
      <c r="L14" s="168">
        <f>'030523 INVENTARIO'!N14</f>
        <v>0</v>
      </c>
      <c r="M14" s="168">
        <f>'030523 INVENTARIO'!O14</f>
        <v>0</v>
      </c>
      <c r="N14" s="168" t="str">
        <f>'030523 INVENTARIO'!P14</f>
        <v>OK</v>
      </c>
      <c r="O14" s="168" t="str">
        <f>'030523 INVENTARIO'!Q14</f>
        <v>S/M</v>
      </c>
      <c r="P14" s="167" t="str">
        <f>'030523 INVENTARIO'!R14</f>
        <v>S/M</v>
      </c>
      <c r="Q14" s="167" t="str">
        <f>'030523 INVENTARIO'!S14</f>
        <v>SIN SERIE</v>
      </c>
      <c r="R14" s="167" t="str">
        <f>'030523 INVENTARIO'!T14</f>
        <v>82DH0511010006000583468</v>
      </c>
    </row>
    <row r="15" spans="5:18">
      <c r="E15" s="167" t="str">
        <f>'030523 INVENTARIO'!E15</f>
        <v>MULTIFUNCIONAL</v>
      </c>
      <c r="F15" s="167" t="str">
        <f>'030523 INVENTARIO'!F15</f>
        <v>IMPRESORA MULTIFUNCIONAL</v>
      </c>
      <c r="G15" s="167" t="str">
        <f ca="1">'030523 INVENTARIO'!G15</f>
        <v>P05RM-0014</v>
      </c>
      <c r="H15" s="167" t="str">
        <f>'030523 INVENTARIO'!J15</f>
        <v>P05DA-0014</v>
      </c>
      <c r="I15" s="167" t="str">
        <f>'030523 INVENTARIO'!K15</f>
        <v>PB5DA-011</v>
      </c>
      <c r="J15" s="167" t="str">
        <f>'030523 INVENTARIO'!L15</f>
        <v>P1CSA-19</v>
      </c>
      <c r="K15" s="167" t="str">
        <f>'030523 INVENTARIO'!M15</f>
        <v>ALTA</v>
      </c>
      <c r="L15" s="168">
        <f>'030523 INVENTARIO'!N15</f>
        <v>0</v>
      </c>
      <c r="M15" s="168">
        <f>'030523 INVENTARIO'!O15</f>
        <v>0</v>
      </c>
      <c r="N15" s="168" t="str">
        <f>'030523 INVENTARIO'!P15</f>
        <v>PARA BAJA</v>
      </c>
      <c r="O15" s="168" t="str">
        <f>'030523 INVENTARIO'!Q15</f>
        <v>CANON</v>
      </c>
      <c r="P15" s="167" t="str">
        <f>'030523 INVENTARIO'!R15</f>
        <v>PIXMA-MP280</v>
      </c>
      <c r="Q15" s="167" t="str">
        <f>'030523 INVENTARIO'!S15</f>
        <v>LHWC04690</v>
      </c>
      <c r="R15" s="167" t="str">
        <f>'030523 INVENTARIO'!T15</f>
        <v>82DJ0515010014000539048</v>
      </c>
    </row>
    <row r="16" spans="5:18">
      <c r="E16" s="167" t="str">
        <f>'030523 INVENTARIO'!E16</f>
        <v>MONITOR</v>
      </c>
      <c r="F16" s="167" t="str">
        <f>'030523 INVENTARIO'!F16</f>
        <v>MONITOR 19.5"</v>
      </c>
      <c r="G16" s="167" t="str">
        <f ca="1">'030523 INVENTARIO'!G16</f>
        <v>P05DA-0015</v>
      </c>
      <c r="H16" s="167" t="str">
        <f>'030523 INVENTARIO'!J16</f>
        <v>P05DA-0015</v>
      </c>
      <c r="I16" s="167" t="str">
        <f>'030523 INVENTARIO'!K16</f>
        <v>PB5DA-012</v>
      </c>
      <c r="J16" s="167" t="str">
        <f>'030523 INVENTARIO'!L16</f>
        <v>P0A-100</v>
      </c>
      <c r="K16" s="167" t="str">
        <f>'030523 INVENTARIO'!M16</f>
        <v>5210100012-42</v>
      </c>
      <c r="L16" s="168">
        <f>'030523 INVENTARIO'!N16</f>
        <v>0</v>
      </c>
      <c r="M16" s="168">
        <f>'030523 INVENTARIO'!O16</f>
        <v>0</v>
      </c>
      <c r="N16" s="168" t="str">
        <f>'030523 INVENTARIO'!P16</f>
        <v>OK</v>
      </c>
      <c r="O16" s="168" t="str">
        <f>'030523 INVENTARIO'!Q16</f>
        <v>GHIA</v>
      </c>
      <c r="P16" s="167" t="str">
        <f>'030523 INVENTARIO'!R16</f>
        <v>MG2017</v>
      </c>
      <c r="Q16" s="167" t="str">
        <f>'030523 INVENTARIO'!S16</f>
        <v>CMG2017180130136801823</v>
      </c>
      <c r="R16" s="167" t="str">
        <f>'030523 INVENTARIO'!T16</f>
        <v>82DK0515010013000650653</v>
      </c>
    </row>
    <row r="17" spans="5:18">
      <c r="E17" s="167" t="str">
        <f>'030523 INVENTARIO'!E17</f>
        <v>TELEFONO</v>
      </c>
      <c r="F17" s="167" t="str">
        <f>'030523 INVENTARIO'!F17</f>
        <v>TELEFONO GRIS IP</v>
      </c>
      <c r="G17" s="167" t="str">
        <f ca="1">'030523 INVENTARIO'!G17</f>
        <v>P05DA-0016</v>
      </c>
      <c r="H17" s="167" t="str">
        <f>'030523 INVENTARIO'!J17</f>
        <v>P05DA-0016</v>
      </c>
      <c r="I17" s="167" t="str">
        <f>'030523 INVENTARIO'!K17</f>
        <v>PB5DA-013</v>
      </c>
      <c r="J17" s="167" t="str">
        <f>'030523 INVENTARIO'!L17</f>
        <v>P0A-104</v>
      </c>
      <c r="K17" s="167" t="str">
        <f>'030523 INVENTARIO'!M17</f>
        <v>5650100010-26</v>
      </c>
      <c r="L17" s="168">
        <f>'030523 INVENTARIO'!N17</f>
        <v>0</v>
      </c>
      <c r="M17" s="168">
        <f>'030523 INVENTARIO'!O17</f>
        <v>0</v>
      </c>
      <c r="N17" s="168" t="str">
        <f>'030523 INVENTARIO'!P17</f>
        <v>OK</v>
      </c>
      <c r="O17" s="168" t="str">
        <f>'030523 INVENTARIO'!Q17</f>
        <v>LINKSYS</v>
      </c>
      <c r="P17" s="167" t="str">
        <f>'030523 INVENTARIO'!R17</f>
        <v>SPA942</v>
      </c>
      <c r="Q17" s="167" t="str">
        <f>'030523 INVENTARIO'!S17</f>
        <v>4LO00H118469</v>
      </c>
      <c r="R17" s="167" t="str">
        <f>'030523 INVENTARIO'!T17</f>
        <v>82DH0565010001000577963</v>
      </c>
    </row>
    <row r="18" spans="5:18">
      <c r="E18" s="167" t="str">
        <f>'030523 INVENTARIO'!E18</f>
        <v>FRIGOBAR</v>
      </c>
      <c r="F18" s="167" t="str">
        <f>'030523 INVENTARIO'!F18</f>
        <v>FRIGOBAR GRIS 2 PIES</v>
      </c>
      <c r="G18" s="167" t="str">
        <f ca="1">'030523 INVENTARIO'!G18</f>
        <v>P05DA-0017</v>
      </c>
      <c r="H18" s="167" t="str">
        <f>'030523 INVENTARIO'!J18</f>
        <v>P05DA-0017</v>
      </c>
      <c r="I18" s="167" t="str">
        <f>'030523 INVENTARIO'!K18</f>
        <v>PB5DA-014</v>
      </c>
      <c r="J18" s="167" t="str">
        <f>'030523 INVENTARIO'!L18</f>
        <v>P0A-93</v>
      </c>
      <c r="K18" s="167" t="str">
        <f>'030523 INVENTARIO'!M18</f>
        <v>5120100001-7</v>
      </c>
      <c r="L18" s="168">
        <f>'030523 INVENTARIO'!N18</f>
        <v>0</v>
      </c>
      <c r="M18" s="168">
        <f>'030523 INVENTARIO'!O18</f>
        <v>0</v>
      </c>
      <c r="N18" s="168" t="str">
        <f>'030523 INVENTARIO'!P18</f>
        <v>OK</v>
      </c>
      <c r="O18" s="168" t="str">
        <f>'030523 INVENTARIO'!Q18</f>
        <v>HISENSE</v>
      </c>
      <c r="P18" s="167" t="str">
        <f>'030523 INVENTARIO'!R18</f>
        <v>RR16D6ALX</v>
      </c>
      <c r="Q18" s="167" t="str">
        <f>'030523 INVENTARIO'!S18</f>
        <v>32KHS61295</v>
      </c>
      <c r="R18" s="167" t="str">
        <f>'030523 INVENTARIO'!T18</f>
        <v>82DH0519010038000649356</v>
      </c>
    </row>
    <row r="19" spans="5:18">
      <c r="E19" s="167" t="str">
        <f>'030523 INVENTARIO'!E19</f>
        <v>SILLON</v>
      </c>
      <c r="F19" s="167" t="str">
        <f>'030523 INVENTARIO'!F19</f>
        <v>SILLON NEGRO VINIPIEL CON RUEDAS</v>
      </c>
      <c r="G19" s="167" t="str">
        <f ca="1">'030523 INVENTARIO'!G19</f>
        <v>P05DA-0018</v>
      </c>
      <c r="H19" s="167" t="str">
        <f>'030523 INVENTARIO'!J19</f>
        <v>P05DA-0018</v>
      </c>
      <c r="I19" s="167" t="str">
        <f>'030523 INVENTARIO'!K19</f>
        <v>PB5DA-015</v>
      </c>
      <c r="J19" s="167" t="str">
        <f>'030523 INVENTARIO'!L19</f>
        <v>P0A-98</v>
      </c>
      <c r="K19" s="167" t="str">
        <f>'030523 INVENTARIO'!M19</f>
        <v>5120100009-50</v>
      </c>
      <c r="L19" s="168">
        <f>'030523 INVENTARIO'!N19</f>
        <v>0</v>
      </c>
      <c r="M19" s="168">
        <f>'030523 INVENTARIO'!O19</f>
        <v>0</v>
      </c>
      <c r="N19" s="168" t="str">
        <f>'030523 INVENTARIO'!P19</f>
        <v>OK</v>
      </c>
      <c r="O19" s="168" t="str">
        <f>'030523 INVENTARIO'!Q19</f>
        <v>S/M</v>
      </c>
      <c r="P19" s="167" t="str">
        <f>'030523 INVENTARIO'!R19</f>
        <v>S/M</v>
      </c>
      <c r="Q19" s="167" t="str">
        <f>'030523 INVENTARIO'!S19</f>
        <v>SIN SERIE</v>
      </c>
      <c r="R19" s="167" t="str">
        <f>'030523 INVENTARIO'!T19</f>
        <v>82DH0511010016000649519</v>
      </c>
    </row>
    <row r="20" spans="5:18">
      <c r="E20" s="167" t="str">
        <f>'030523 INVENTARIO'!E20</f>
        <v>PIZARRON</v>
      </c>
      <c r="F20" s="167" t="str">
        <f>'030523 INVENTARIO'!F20</f>
        <v>PIZARRON DE CORCHO 90X60</v>
      </c>
      <c r="G20" s="167" t="str">
        <f ca="1">'030523 INVENTARIO'!G20</f>
        <v>P05DA-0019</v>
      </c>
      <c r="H20" s="167" t="str">
        <f>'030523 INVENTARIO'!J20</f>
        <v>P05DA-0019</v>
      </c>
      <c r="I20" s="167" t="str">
        <f>'030523 INVENTARIO'!K20</f>
        <v>PB5DA-016</v>
      </c>
      <c r="J20" s="167" t="str">
        <f>'030523 INVENTARIO'!L20</f>
        <v>P0A-107</v>
      </c>
      <c r="K20" s="167" t="str">
        <f>'030523 INVENTARIO'!M20</f>
        <v>5290100025-9</v>
      </c>
      <c r="L20" s="168">
        <f>'030523 INVENTARIO'!N20</f>
        <v>0</v>
      </c>
      <c r="M20" s="168">
        <f>'030523 INVENTARIO'!O20</f>
        <v>0</v>
      </c>
      <c r="N20" s="168" t="str">
        <f>'030523 INVENTARIO'!P20</f>
        <v>OK</v>
      </c>
      <c r="O20" s="168" t="str">
        <f>'030523 INVENTARIO'!Q20</f>
        <v>S/M</v>
      </c>
      <c r="P20" s="167" t="str">
        <f>'030523 INVENTARIO'!R20</f>
        <v>S/M</v>
      </c>
      <c r="Q20" s="167" t="str">
        <f>'030523 INVENTARIO'!S20</f>
        <v>SIN SERIE</v>
      </c>
      <c r="R20" s="167" t="str">
        <f>'030523 INVENTARIO'!T20</f>
        <v>82DH0529030005000649516</v>
      </c>
    </row>
    <row r="21" spans="5:18">
      <c r="E21" s="167" t="str">
        <f>'030523 INVENTARIO'!E21</f>
        <v>COMPUTADORA DE ESCRITORIO</v>
      </c>
      <c r="F21" s="167" t="str">
        <f>'030523 INVENTARIO'!F21</f>
        <v>COMPUTADORA ALL IN ONE BLANCA CON BASE METALICA</v>
      </c>
      <c r="G21" s="167" t="str">
        <f ca="1">'030523 INVENTARIO'!G21</f>
        <v>P05DA-0020</v>
      </c>
      <c r="H21" s="167" t="str">
        <f>'030523 INVENTARIO'!J21</f>
        <v>P05DA-0020</v>
      </c>
      <c r="I21" s="167" t="str">
        <f>'030523 INVENTARIO'!K21</f>
        <v>PB5DA-017</v>
      </c>
      <c r="J21" s="167" t="str">
        <f>'030523 INVENTARIO'!L21</f>
        <v>P0A-99</v>
      </c>
      <c r="K21" s="167" t="str">
        <f>'030523 INVENTARIO'!M21</f>
        <v>5150100005-58</v>
      </c>
      <c r="L21" s="168">
        <f>'030523 INVENTARIO'!N21</f>
        <v>0</v>
      </c>
      <c r="M21" s="168">
        <f>'030523 INVENTARIO'!O21</f>
        <v>0</v>
      </c>
      <c r="N21" s="168" t="str">
        <f>'030523 INVENTARIO'!P21</f>
        <v>OK</v>
      </c>
      <c r="O21" s="168" t="str">
        <f>'030523 INVENTARIO'!Q21</f>
        <v>HP</v>
      </c>
      <c r="P21" s="167" t="str">
        <f>'030523 INVENTARIO'!R21</f>
        <v>24R007LA</v>
      </c>
      <c r="Q21" s="167" t="str">
        <f>'030523 INVENTARIO'!S21</f>
        <v>8CC8100Z2W</v>
      </c>
      <c r="R21" s="167" t="str">
        <f>'030523 INVENTARIO'!T21</f>
        <v>82DH0515010003000649385</v>
      </c>
    </row>
    <row r="22" spans="5:18">
      <c r="E22" s="167" t="str">
        <f>'030523 INVENTARIO'!E22</f>
        <v>DISCO DURO</v>
      </c>
      <c r="F22" s="167" t="str">
        <f>'030523 INVENTARIO'!F22</f>
        <v>DISCO DURO EXTERNO 1TB</v>
      </c>
      <c r="G22" s="167" t="str">
        <f ca="1">'030523 INVENTARIO'!G22</f>
        <v>P05DA-0021</v>
      </c>
      <c r="H22" s="167" t="str">
        <f>'030523 INVENTARIO'!J22</f>
        <v>P05DA-0021</v>
      </c>
      <c r="I22" s="167" t="str">
        <f>'030523 INVENTARIO'!K22</f>
        <v>PB5DA-018</v>
      </c>
      <c r="J22" s="167" t="str">
        <f>'030523 INVENTARIO'!L22</f>
        <v>P0A-91</v>
      </c>
      <c r="K22" s="167" t="str">
        <f>'030523 INVENTARIO'!M22</f>
        <v>5150100006-4</v>
      </c>
      <c r="L22" s="168">
        <f>'030523 INVENTARIO'!N22</f>
        <v>0</v>
      </c>
      <c r="M22" s="168">
        <f>'030523 INVENTARIO'!O22</f>
        <v>0</v>
      </c>
      <c r="N22" s="168" t="str">
        <f>'030523 INVENTARIO'!P22</f>
        <v>OK</v>
      </c>
      <c r="O22" s="168" t="str">
        <f>'030523 INVENTARIO'!Q22</f>
        <v>ADATA</v>
      </c>
      <c r="P22" s="167" t="str">
        <f>'030523 INVENTARIO'!R22</f>
        <v>HV100</v>
      </c>
      <c r="Q22" s="167" t="str">
        <f>'030523 INVENTARIO'!S22</f>
        <v>1G0820150836</v>
      </c>
      <c r="R22" s="167" t="str">
        <f>'030523 INVENTARIO'!T22</f>
        <v>82DH0515010006000649398</v>
      </c>
    </row>
    <row r="23" spans="5:18">
      <c r="E23" s="167" t="str">
        <f>'030523 INVENTARIO'!E23</f>
        <v>SILLON</v>
      </c>
      <c r="F23" s="167" t="str">
        <f>'030523 INVENTARIO'!F23</f>
        <v>SILLON NEGO VINIPIEL CON BASE METALICA</v>
      </c>
      <c r="G23" s="167" t="str">
        <f ca="1">'030523 INVENTARIO'!G23</f>
        <v>P05DA-0022</v>
      </c>
      <c r="H23" s="167" t="str">
        <f>'030523 INVENTARIO'!J23</f>
        <v>P05DA-0022</v>
      </c>
      <c r="I23" s="167" t="str">
        <f>'030523 INVENTARIO'!K23</f>
        <v>PB5DA-019</v>
      </c>
      <c r="J23" s="167" t="str">
        <f>'030523 INVENTARIO'!L23</f>
        <v>P0A-105</v>
      </c>
      <c r="K23" s="167" t="str">
        <f>'030523 INVENTARIO'!M23</f>
        <v>5120100009-51</v>
      </c>
      <c r="L23" s="168">
        <f>'030523 INVENTARIO'!N23</f>
        <v>0</v>
      </c>
      <c r="M23" s="168">
        <f>'030523 INVENTARIO'!O23</f>
        <v>0</v>
      </c>
      <c r="N23" s="168" t="str">
        <f>'030523 INVENTARIO'!P23</f>
        <v>OK</v>
      </c>
      <c r="O23" s="168" t="str">
        <f>'030523 INVENTARIO'!Q23</f>
        <v>S/M</v>
      </c>
      <c r="P23" s="167" t="str">
        <f>'030523 INVENTARIO'!R23</f>
        <v>S/M</v>
      </c>
      <c r="Q23" s="167" t="str">
        <f>'030523 INVENTARIO'!S23</f>
        <v>SIN SERIE</v>
      </c>
      <c r="R23" s="167" t="str">
        <f>'030523 INVENTARIO'!T23</f>
        <v>82DH0511010016000515614</v>
      </c>
    </row>
    <row r="24" spans="5:18">
      <c r="E24" s="167" t="str">
        <f>'030523 INVENTARIO'!E24</f>
        <v>SILLON</v>
      </c>
      <c r="F24" s="167" t="str">
        <f>'030523 INVENTARIO'!F24</f>
        <v>SILLON NEGO VINIPIEL CON BASE METALICA</v>
      </c>
      <c r="G24" s="167" t="str">
        <f ca="1">'030523 INVENTARIO'!G24</f>
        <v>P05DA-0023</v>
      </c>
      <c r="H24" s="167" t="str">
        <f>'030523 INVENTARIO'!J24</f>
        <v>P05DA-0023</v>
      </c>
      <c r="I24" s="167" t="str">
        <f>'030523 INVENTARIO'!K24</f>
        <v>PB5DA-020</v>
      </c>
      <c r="J24" s="167" t="str">
        <f>'030523 INVENTARIO'!L24</f>
        <v>P0A-106</v>
      </c>
      <c r="K24" s="167" t="str">
        <f>'030523 INVENTARIO'!M24</f>
        <v>5120100009-52</v>
      </c>
      <c r="L24" s="168">
        <f>'030523 INVENTARIO'!N24</f>
        <v>0</v>
      </c>
      <c r="M24" s="168">
        <f>'030523 INVENTARIO'!O24</f>
        <v>0</v>
      </c>
      <c r="N24" s="168" t="str">
        <f>'030523 INVENTARIO'!P24</f>
        <v>OK</v>
      </c>
      <c r="O24" s="168" t="str">
        <f>'030523 INVENTARIO'!Q24</f>
        <v>S/M</v>
      </c>
      <c r="P24" s="167" t="str">
        <f>'030523 INVENTARIO'!R24</f>
        <v>S/M</v>
      </c>
      <c r="Q24" s="168" t="str">
        <f>'030523 INVENTARIO'!S24</f>
        <v>SIN SERIE</v>
      </c>
      <c r="R24" s="168" t="str">
        <f>'030523 INVENTARIO'!T24</f>
        <v>82DH0511010016000515612</v>
      </c>
    </row>
    <row r="25" spans="5:18">
      <c r="E25" s="167" t="str">
        <f>'030523 INVENTARIO'!E25</f>
        <v>PERCHERO</v>
      </c>
      <c r="F25" s="167" t="str">
        <f>'030523 INVENTARIO'!F25</f>
        <v>PERCHERO NEGRO</v>
      </c>
      <c r="G25" s="167" t="str">
        <f ca="1">'030523 INVENTARIO'!G25</f>
        <v>P05DA-0024</v>
      </c>
      <c r="H25" s="167" t="str">
        <f>'030523 INVENTARIO'!J25</f>
        <v>P05DA-0024</v>
      </c>
      <c r="I25" s="167" t="str">
        <f>'030523 INVENTARIO'!K25</f>
        <v>PB5DA-021</v>
      </c>
      <c r="J25" s="167" t="str">
        <f>'030523 INVENTARIO'!L25</f>
        <v>P0A-97</v>
      </c>
      <c r="K25" s="167" t="str">
        <f>'030523 INVENTARIO'!M25</f>
        <v>5120100008-3</v>
      </c>
      <c r="L25" s="168">
        <f>'030523 INVENTARIO'!N25</f>
        <v>0</v>
      </c>
      <c r="M25" s="168">
        <f>'030523 INVENTARIO'!O25</f>
        <v>0</v>
      </c>
      <c r="N25" s="168" t="str">
        <f>'030523 INVENTARIO'!P25</f>
        <v>OK</v>
      </c>
      <c r="O25" s="168" t="str">
        <f>'030523 INVENTARIO'!Q25</f>
        <v>S/M</v>
      </c>
      <c r="P25" s="167" t="str">
        <f>'030523 INVENTARIO'!R25</f>
        <v>S/M</v>
      </c>
      <c r="Q25" s="168" t="str">
        <f>'030523 INVENTARIO'!S25</f>
        <v>SIN SERIE</v>
      </c>
      <c r="R25" s="168" t="str">
        <f>'030523 INVENTARIO'!T25</f>
        <v>82DH0512010018000566902</v>
      </c>
    </row>
    <row r="26" spans="5:18">
      <c r="E26" s="167" t="str">
        <f>'030523 INVENTARIO'!E26</f>
        <v>TRITURADORA DE PAPEL</v>
      </c>
      <c r="F26" s="167" t="str">
        <f>'030523 INVENTARIO'!F26</f>
        <v>TRITURADORA DE PAPEL</v>
      </c>
      <c r="G26" s="167" t="str">
        <f ca="1">'030523 INVENTARIO'!G26</f>
        <v>P05DA-0025</v>
      </c>
      <c r="H26" s="167" t="str">
        <f>'030523 INVENTARIO'!J26</f>
        <v>P05DA-0025</v>
      </c>
      <c r="I26" s="167" t="str">
        <f>'030523 INVENTARIO'!K26</f>
        <v>PB5DA-022</v>
      </c>
      <c r="J26" s="167">
        <f>'030523 INVENTARIO'!L26</f>
        <v>0</v>
      </c>
      <c r="K26" s="167" t="str">
        <f>'030523 INVENTARIO'!M26</f>
        <v>ALTA</v>
      </c>
      <c r="L26" s="168">
        <f>'030523 INVENTARIO'!N26</f>
        <v>0</v>
      </c>
      <c r="M26" s="168">
        <f>'030523 INVENTARIO'!O26</f>
        <v>0</v>
      </c>
      <c r="N26" s="168" t="str">
        <f>'030523 INVENTARIO'!P26</f>
        <v>REPETIDO</v>
      </c>
      <c r="O26" s="168" t="str">
        <f>'030523 INVENTARIO'!Q26</f>
        <v>ROYAL</v>
      </c>
      <c r="P26" s="167" t="str">
        <f>'030523 INVENTARIO'!R26</f>
        <v>1216X</v>
      </c>
      <c r="Q26" s="167" t="str">
        <f>'030523 INVENTARIO'!S26</f>
        <v>SIN SERIE</v>
      </c>
      <c r="R26" s="167" t="str">
        <f>'030523 INVENTARIO'!T26</f>
        <v>SIN RESGUARDO</v>
      </c>
    </row>
    <row r="27" spans="5:18">
      <c r="E27" s="167" t="str">
        <f>'030523 INVENTARIO'!E27</f>
        <v>NO BREAK</v>
      </c>
      <c r="F27" s="167" t="str">
        <f>'030523 INVENTARIO'!F27</f>
        <v>NO BREAK NEGRO</v>
      </c>
      <c r="G27" s="167" t="str">
        <f ca="1">'030523 INVENTARIO'!G27</f>
        <v>P05DA-0026</v>
      </c>
      <c r="H27" s="167">
        <f>'030523 INVENTARIO'!J27</f>
        <v>0</v>
      </c>
      <c r="I27" s="167">
        <f>'030523 INVENTARIO'!K27</f>
        <v>0</v>
      </c>
      <c r="J27" s="167">
        <f>'030523 INVENTARIO'!L27</f>
        <v>0</v>
      </c>
      <c r="K27" s="167" t="str">
        <f>'030523 INVENTARIO'!M27</f>
        <v>ALTA</v>
      </c>
      <c r="L27" s="168">
        <f>'030523 INVENTARIO'!N27</f>
        <v>0</v>
      </c>
      <c r="M27" s="168">
        <f>'030523 INVENTARIO'!O27</f>
        <v>0</v>
      </c>
      <c r="N27" s="168">
        <f>'030523 INVENTARIO'!P27</f>
        <v>0</v>
      </c>
      <c r="O27" s="168" t="str">
        <f>'030523 INVENTARIO'!Q27</f>
        <v>CDP</v>
      </c>
      <c r="P27" s="167" t="str">
        <f>'030523 INVENTARIO'!R27</f>
        <v>B-UPR706120VAC</v>
      </c>
      <c r="Q27" s="167">
        <f>'030523 INVENTARIO'!S27</f>
        <v>5827700022</v>
      </c>
      <c r="R27" s="167" t="str">
        <f>'030523 INVENTARIO'!T27</f>
        <v>82DH0515010016000522299</v>
      </c>
    </row>
    <row r="28" spans="5:18">
      <c r="E28" s="167" t="str">
        <f>'030523 INVENTARIO'!E28</f>
        <v>SILLON</v>
      </c>
      <c r="F28" s="167" t="str">
        <f>'030523 INVENTARIO'!F28</f>
        <v>SILLON DE VINIPIEL CON RUEDAS</v>
      </c>
      <c r="G28" s="167" t="str">
        <f ca="1">'030523 INVENTARIO'!G28</f>
        <v>P05RM-0027</v>
      </c>
      <c r="H28" s="167" t="str">
        <f>'030523 INVENTARIO'!J28</f>
        <v>P05DA-0026</v>
      </c>
      <c r="I28" s="167" t="str">
        <f>'030523 INVENTARIO'!K28</f>
        <v>PB5DA-023</v>
      </c>
      <c r="J28" s="167" t="str">
        <f>'030523 INVENTARIO'!L28</f>
        <v>P0A-11</v>
      </c>
      <c r="K28" s="167" t="str">
        <f>'030523 INVENTARIO'!M28</f>
        <v>5120100009-48</v>
      </c>
      <c r="L28" s="168">
        <f>'030523 INVENTARIO'!N28</f>
        <v>0</v>
      </c>
      <c r="M28" s="168">
        <f>'030523 INVENTARIO'!O28</f>
        <v>0</v>
      </c>
      <c r="N28" s="168" t="str">
        <f>'030523 INVENTARIO'!P28</f>
        <v>OK</v>
      </c>
      <c r="O28" s="168" t="str">
        <f>'030523 INVENTARIO'!Q28</f>
        <v>S/M</v>
      </c>
      <c r="P28" s="167" t="str">
        <f>'030523 INVENTARIO'!R28</f>
        <v>S/M</v>
      </c>
      <c r="Q28" s="168" t="str">
        <f>'030523 INVENTARIO'!S28</f>
        <v>SIN SERIE</v>
      </c>
      <c r="R28" s="168" t="str">
        <f>'030523 INVENTARIO'!T28</f>
        <v>82DK0511010016000649505</v>
      </c>
    </row>
    <row r="29" spans="5:18">
      <c r="E29" s="167" t="e">
        <f t="shared" ref="E29:R29" si="1">#REF!</f>
        <v>#REF!</v>
      </c>
      <c r="F29" s="167" t="e">
        <f t="shared" si="1"/>
        <v>#REF!</v>
      </c>
      <c r="G29" s="167" t="e">
        <f t="shared" si="1"/>
        <v>#REF!</v>
      </c>
      <c r="H29" s="167" t="e">
        <f t="shared" si="1"/>
        <v>#REF!</v>
      </c>
      <c r="I29" s="167" t="e">
        <f t="shared" si="1"/>
        <v>#REF!</v>
      </c>
      <c r="J29" s="167" t="e">
        <f t="shared" si="1"/>
        <v>#REF!</v>
      </c>
      <c r="K29" s="167" t="e">
        <f t="shared" si="1"/>
        <v>#REF!</v>
      </c>
      <c r="L29" s="167" t="e">
        <f t="shared" si="1"/>
        <v>#REF!</v>
      </c>
      <c r="M29" s="167" t="e">
        <f t="shared" si="1"/>
        <v>#REF!</v>
      </c>
      <c r="N29" s="167" t="e">
        <f t="shared" si="1"/>
        <v>#REF!</v>
      </c>
      <c r="O29" s="167" t="e">
        <f t="shared" si="1"/>
        <v>#REF!</v>
      </c>
      <c r="P29" s="167" t="e">
        <f t="shared" si="1"/>
        <v>#REF!</v>
      </c>
      <c r="Q29" s="167" t="e">
        <f t="shared" si="1"/>
        <v>#REF!</v>
      </c>
      <c r="R29" s="167" t="e">
        <f t="shared" si="1"/>
        <v>#REF!</v>
      </c>
    </row>
    <row r="30" spans="5:18">
      <c r="E30" s="167" t="e">
        <f t="shared" ref="E30:R30" si="2">#REF!</f>
        <v>#REF!</v>
      </c>
      <c r="F30" s="167" t="e">
        <f t="shared" si="2"/>
        <v>#REF!</v>
      </c>
      <c r="G30" s="167" t="e">
        <f t="shared" si="2"/>
        <v>#REF!</v>
      </c>
      <c r="H30" s="167" t="e">
        <f t="shared" si="2"/>
        <v>#REF!</v>
      </c>
      <c r="I30" s="167" t="e">
        <f t="shared" si="2"/>
        <v>#REF!</v>
      </c>
      <c r="J30" s="167" t="e">
        <f t="shared" si="2"/>
        <v>#REF!</v>
      </c>
      <c r="K30" s="167" t="e">
        <f t="shared" si="2"/>
        <v>#REF!</v>
      </c>
      <c r="L30" s="167" t="e">
        <f t="shared" si="2"/>
        <v>#REF!</v>
      </c>
      <c r="M30" s="167" t="e">
        <f t="shared" si="2"/>
        <v>#REF!</v>
      </c>
      <c r="N30" s="167" t="e">
        <f t="shared" si="2"/>
        <v>#REF!</v>
      </c>
      <c r="O30" s="167" t="e">
        <f t="shared" si="2"/>
        <v>#REF!</v>
      </c>
      <c r="P30" s="167" t="e">
        <f t="shared" si="2"/>
        <v>#REF!</v>
      </c>
      <c r="Q30" s="167" t="e">
        <f t="shared" si="2"/>
        <v>#REF!</v>
      </c>
      <c r="R30" s="167" t="e">
        <f t="shared" si="2"/>
        <v>#REF!</v>
      </c>
    </row>
    <row r="31" spans="5:18">
      <c r="E31" s="167" t="str">
        <f>'030523 INVENTARIO'!E31</f>
        <v>COMPLEMENTO DE EQUIPO DE MADERA</v>
      </c>
      <c r="F31" s="168" t="str">
        <f>'030523 INVENTARIO'!F31</f>
        <v>COMPLEMENTO DE EQUIPO DE MADERA</v>
      </c>
      <c r="G31" s="167" t="str">
        <f ca="1">'030523 INVENTARIO'!G31</f>
        <v>P05DA-0030</v>
      </c>
      <c r="H31" s="167" t="str">
        <f>'030523 INVENTARIO'!J31</f>
        <v>P05DA-0029</v>
      </c>
      <c r="I31" s="167" t="str">
        <f>'030523 INVENTARIO'!K31</f>
        <v>PB5DA-026</v>
      </c>
      <c r="J31" s="167" t="str">
        <f>'030523 INVENTARIO'!L31</f>
        <v>--</v>
      </c>
      <c r="K31" s="167" t="str">
        <f>'030523 INVENTARIO'!M31</f>
        <v>5120100004-24</v>
      </c>
      <c r="L31" s="168">
        <f>'030523 INVENTARIO'!N31</f>
        <v>0</v>
      </c>
      <c r="M31" s="168">
        <f>'030523 INVENTARIO'!O31</f>
        <v>0</v>
      </c>
      <c r="N31" s="168" t="str">
        <f>'030523 INVENTARIO'!P31</f>
        <v>OK</v>
      </c>
      <c r="O31" s="168" t="str">
        <f>'030523 INVENTARIO'!Q31</f>
        <v>S/M</v>
      </c>
      <c r="P31" s="167" t="str">
        <f>'030523 INVENTARIO'!R31</f>
        <v>S/M</v>
      </c>
      <c r="Q31" s="168" t="str">
        <f>'030523 INVENTARIO'!S31</f>
        <v>SIN SERIE</v>
      </c>
      <c r="R31" s="168" t="str">
        <f>'030523 INVENTARIO'!T31</f>
        <v>82DK0515010033000566418</v>
      </c>
    </row>
    <row r="32" spans="5:18">
      <c r="E32" s="167" t="str">
        <f>'030523 INVENTARIO'!E32</f>
        <v>TELEFONO</v>
      </c>
      <c r="F32" s="167" t="str">
        <f>'030523 INVENTARIO'!F32</f>
        <v>TELEFONO GRIS</v>
      </c>
      <c r="G32" s="167" t="str">
        <f ca="1">'030523 INVENTARIO'!G32</f>
        <v>P05DA-0031</v>
      </c>
      <c r="H32" s="167" t="str">
        <f>'030523 INVENTARIO'!J32</f>
        <v>P05DA-0030</v>
      </c>
      <c r="I32" s="167" t="str">
        <f>'030523 INVENTARIO'!K32</f>
        <v>PB5DA-027</v>
      </c>
      <c r="J32" s="167" t="str">
        <f>'030523 INVENTARIO'!L32</f>
        <v>P0A-16</v>
      </c>
      <c r="K32" s="167" t="str">
        <f>'030523 INVENTARIO'!M32</f>
        <v>5650100010-25</v>
      </c>
      <c r="L32" s="168">
        <f>'030523 INVENTARIO'!N32</f>
        <v>0</v>
      </c>
      <c r="M32" s="168">
        <f>'030523 INVENTARIO'!O32</f>
        <v>0</v>
      </c>
      <c r="N32" s="168" t="str">
        <f>'030523 INVENTARIO'!P32</f>
        <v>OK</v>
      </c>
      <c r="O32" s="168" t="str">
        <f>'030523 INVENTARIO'!Q32</f>
        <v>LINKSYS</v>
      </c>
      <c r="P32" s="167" t="str">
        <f>'030523 INVENTARIO'!R32</f>
        <v>SPA942</v>
      </c>
      <c r="Q32" s="168" t="str">
        <f>'030523 INVENTARIO'!S32</f>
        <v>4LO00H118467</v>
      </c>
      <c r="R32" s="168" t="str">
        <f>'030523 INVENTARIO'!T32</f>
        <v>82DK0565010001000533366</v>
      </c>
    </row>
    <row r="33" spans="5:18">
      <c r="E33" s="167" t="str">
        <f>'030523 INVENTARIO'!E33</f>
        <v>MONITOR</v>
      </c>
      <c r="F33" s="167" t="str">
        <f>'030523 INVENTARIO'!F33</f>
        <v>MONITOR 21.5"</v>
      </c>
      <c r="G33" s="167" t="str">
        <f ca="1">'030523 INVENTARIO'!G33</f>
        <v>P05DA-0032</v>
      </c>
      <c r="H33" s="167" t="str">
        <f>'030523 INVENTARIO'!J33</f>
        <v>P05DA-0031</v>
      </c>
      <c r="I33" s="167" t="str">
        <f>'030523 INVENTARIO'!K33</f>
        <v>PB5DA-028</v>
      </c>
      <c r="J33" s="167">
        <f>'030523 INVENTARIO'!L33</f>
        <v>0</v>
      </c>
      <c r="K33" s="167" t="str">
        <f>'030523 INVENTARIO'!M33</f>
        <v>5150100005-155</v>
      </c>
      <c r="L33" s="168">
        <f>'030523 INVENTARIO'!N33</f>
        <v>0</v>
      </c>
      <c r="M33" s="168">
        <f>'030523 INVENTARIO'!O33</f>
        <v>0</v>
      </c>
      <c r="N33" s="168" t="str">
        <f>'030523 INVENTARIO'!P33</f>
        <v>OK</v>
      </c>
      <c r="O33" s="168" t="str">
        <f>'030523 INVENTARIO'!Q33</f>
        <v>ACER</v>
      </c>
      <c r="P33" s="167" t="str">
        <f>'030523 INVENTARIO'!R33</f>
        <v>V226HQL</v>
      </c>
      <c r="Q33" s="167" t="str">
        <f>'030523 INVENTARIO'!S33</f>
        <v>MMTASAA007109004253P00</v>
      </c>
      <c r="R33" s="167" t="str">
        <f>'030523 INVENTARIO'!T33</f>
        <v>SIN RESGUARDO</v>
      </c>
    </row>
    <row r="34" spans="5:18">
      <c r="E34" s="167" t="str">
        <f>'030523 INVENTARIO'!E34</f>
        <v>NO BREAK</v>
      </c>
      <c r="F34" s="167" t="str">
        <f>'030523 INVENTARIO'!F34</f>
        <v>NO BREAK</v>
      </c>
      <c r="G34" s="167" t="str">
        <f ca="1">'030523 INVENTARIO'!G34</f>
        <v>P05DA-0033</v>
      </c>
      <c r="H34" s="167" t="str">
        <f>'030523 INVENTARIO'!J34</f>
        <v>P05DA-0032</v>
      </c>
      <c r="I34" s="167" t="str">
        <f>'030523 INVENTARIO'!K34</f>
        <v>PB5DA-029</v>
      </c>
      <c r="J34" s="167">
        <f>'030523 INVENTARIO'!L34</f>
        <v>0</v>
      </c>
      <c r="K34" s="167" t="str">
        <f>'030523 INVENTARIO'!M34</f>
        <v>ALTA</v>
      </c>
      <c r="L34" s="168">
        <f>'030523 INVENTARIO'!N34</f>
        <v>0</v>
      </c>
      <c r="M34" s="168">
        <f>'030523 INVENTARIO'!O34</f>
        <v>0</v>
      </c>
      <c r="N34" s="168" t="str">
        <f>'030523 INVENTARIO'!P34</f>
        <v>REPETIDO</v>
      </c>
      <c r="O34" s="168" t="str">
        <f>'030523 INVENTARIO'!Q34</f>
        <v>TRIPP LITE</v>
      </c>
      <c r="P34" s="167" t="str">
        <f>'030523 INVENTARIO'!R34</f>
        <v>INTERNET550U</v>
      </c>
      <c r="Q34" s="167" t="str">
        <f>'030523 INVENTARIO'!S34</f>
        <v>2218GY0BC785701322</v>
      </c>
      <c r="R34" s="167" t="str">
        <f>'030523 INVENTARIO'!T34</f>
        <v>82DI0515010016000564608</v>
      </c>
    </row>
    <row r="35" spans="5:18">
      <c r="E35" s="167" t="str">
        <f>'030523 INVENTARIO'!E35</f>
        <v>MESA</v>
      </c>
      <c r="F35" s="167" t="str">
        <f>'030523 INVENTARIO'!F35</f>
        <v>MESA DE MADERA CON BASE DE METAL BAJA 60X40X37</v>
      </c>
      <c r="G35" s="167" t="str">
        <f ca="1">'030523 INVENTARIO'!G35</f>
        <v>P05DA-0034</v>
      </c>
      <c r="H35" s="167" t="str">
        <f>'030523 INVENTARIO'!J35</f>
        <v>P05DA-0033</v>
      </c>
      <c r="I35" s="167" t="str">
        <f>'030523 INVENTARIO'!K35</f>
        <v>PB5DA-030</v>
      </c>
      <c r="J35" s="167" t="str">
        <f>'030523 INVENTARIO'!L35</f>
        <v>P0A-15</v>
      </c>
      <c r="K35" s="167" t="str">
        <f>'030523 INVENTARIO'!M35</f>
        <v>5120100007-128</v>
      </c>
      <c r="L35" s="168">
        <f>'030523 INVENTARIO'!N35</f>
        <v>0</v>
      </c>
      <c r="M35" s="168">
        <f>'030523 INVENTARIO'!O35</f>
        <v>0</v>
      </c>
      <c r="N35" s="168" t="str">
        <f>'030523 INVENTARIO'!P35</f>
        <v>OK</v>
      </c>
      <c r="O35" s="168" t="str">
        <f>'030523 INVENTARIO'!Q35</f>
        <v>S/M</v>
      </c>
      <c r="P35" s="167" t="str">
        <f>'030523 INVENTARIO'!R35</f>
        <v>S/M</v>
      </c>
      <c r="Q35" s="168" t="str">
        <f>'030523 INVENTARIO'!S35</f>
        <v>SIN SERIE</v>
      </c>
      <c r="R35" s="168" t="str">
        <f>'030523 INVENTARIO'!T35</f>
        <v>82DK0531010065000580345</v>
      </c>
    </row>
    <row r="36" spans="5:18">
      <c r="E36" s="167" t="str">
        <f>'030523 INVENTARIO'!E36</f>
        <v>VENTILADOR</v>
      </c>
      <c r="F36" s="167" t="str">
        <f>'030523 INVENTARIO'!F36</f>
        <v>VENTILADOR CHICO GRIS</v>
      </c>
      <c r="G36" s="167" t="str">
        <f ca="1">'030523 INVENTARIO'!G36</f>
        <v>P05DA-0035</v>
      </c>
      <c r="H36" s="167" t="str">
        <f>'030523 INVENTARIO'!J36</f>
        <v>P05DA-0034</v>
      </c>
      <c r="I36" s="167" t="str">
        <f>'030523 INVENTARIO'!K36</f>
        <v>PB5DA-031</v>
      </c>
      <c r="J36" s="167">
        <f>'030523 INVENTARIO'!L36</f>
        <v>0</v>
      </c>
      <c r="K36" s="167" t="str">
        <f>'030523 INVENTARIO'!M36</f>
        <v>ALTA</v>
      </c>
      <c r="L36" s="168">
        <f>'030523 INVENTARIO'!N36</f>
        <v>0</v>
      </c>
      <c r="M36" s="168">
        <f>'030523 INVENTARIO'!O36</f>
        <v>0</v>
      </c>
      <c r="N36" s="168" t="str">
        <f>'030523 INVENTARIO'!P36</f>
        <v>REPETIDO</v>
      </c>
      <c r="O36" s="168" t="str">
        <f>'030523 INVENTARIO'!Q36</f>
        <v>SEVILLE CLASSICS</v>
      </c>
      <c r="P36" s="167">
        <f>'030523 INVENTARIO'!R36</f>
        <v>10188</v>
      </c>
      <c r="Q36" s="167" t="str">
        <f>'030523 INVENTARIO'!S36</f>
        <v>SIN SERIE</v>
      </c>
      <c r="R36" s="167" t="str">
        <f>'030523 INVENTARIO'!T36</f>
        <v>82DH0531010094000516615</v>
      </c>
    </row>
    <row r="37" spans="5:18">
      <c r="E37" s="167" t="str">
        <f>'030523 INVENTARIO'!E37</f>
        <v>TAJALAPIZ</v>
      </c>
      <c r="F37" s="167" t="str">
        <f>'030523 INVENTARIO'!F37</f>
        <v>TAJALAPIZ ELECTRICO</v>
      </c>
      <c r="G37" s="167" t="str">
        <f ca="1">'030523 INVENTARIO'!G37</f>
        <v>P05DA-0036</v>
      </c>
      <c r="H37" s="167" t="str">
        <f>'030523 INVENTARIO'!J37</f>
        <v>P05DA-0035</v>
      </c>
      <c r="I37" s="167" t="str">
        <f>'030523 INVENTARIO'!K37</f>
        <v>PB5DA-032</v>
      </c>
      <c r="J37" s="167">
        <f>'030523 INVENTARIO'!L37</f>
        <v>0</v>
      </c>
      <c r="K37" s="167" t="str">
        <f>'030523 INVENTARIO'!M37</f>
        <v>ALTA</v>
      </c>
      <c r="L37" s="168">
        <f>'030523 INVENTARIO'!N37</f>
        <v>0</v>
      </c>
      <c r="M37" s="168">
        <f>'030523 INVENTARIO'!O37</f>
        <v>0</v>
      </c>
      <c r="N37" s="168" t="str">
        <f>'030523 INVENTARIO'!P37</f>
        <v>REPETIDO</v>
      </c>
      <c r="O37" s="168" t="str">
        <f>'030523 INVENTARIO'!Q37</f>
        <v>RIHAN</v>
      </c>
      <c r="P37" s="167" t="str">
        <f>'030523 INVENTARIO'!R37</f>
        <v>TY835</v>
      </c>
      <c r="Q37" s="167" t="str">
        <f>'030523 INVENTARIO'!S37</f>
        <v>SIN SERIE</v>
      </c>
      <c r="R37" s="167" t="str">
        <f>'030523 INVENTARIO'!T37</f>
        <v>SIN RESGUARDO</v>
      </c>
    </row>
    <row r="38" spans="5:18">
      <c r="E38" s="167" t="str">
        <f>'030523 INVENTARIO'!E38</f>
        <v>MONITOR</v>
      </c>
      <c r="F38" s="167" t="str">
        <f>'030523 INVENTARIO'!F38</f>
        <v>MONITOR 21.5"</v>
      </c>
      <c r="G38" s="167" t="str">
        <f ca="1">'030523 INVENTARIO'!G38</f>
        <v>P05DA-0037</v>
      </c>
      <c r="H38" s="167" t="str">
        <f>'030523 INVENTARIO'!J38</f>
        <v>P05DA-0036</v>
      </c>
      <c r="I38" s="167" t="str">
        <f>'030523 INVENTARIO'!K38</f>
        <v>PB5DA-033</v>
      </c>
      <c r="J38" s="167">
        <f>'030523 INVENTARIO'!L38</f>
        <v>0</v>
      </c>
      <c r="K38" s="167" t="str">
        <f>'030523 INVENTARIO'!M38</f>
        <v>5150100005-149</v>
      </c>
      <c r="L38" s="168">
        <f>'030523 INVENTARIO'!N38</f>
        <v>0</v>
      </c>
      <c r="M38" s="168">
        <f>'030523 INVENTARIO'!O38</f>
        <v>0</v>
      </c>
      <c r="N38" s="168" t="str">
        <f>'030523 INVENTARIO'!P38</f>
        <v>OK</v>
      </c>
      <c r="O38" s="168" t="str">
        <f>'030523 INVENTARIO'!Q38</f>
        <v>ACER</v>
      </c>
      <c r="P38" s="167" t="str">
        <f>'030523 INVENTARIO'!R38</f>
        <v>V226HQL</v>
      </c>
      <c r="Q38" s="167" t="str">
        <f>'030523 INVENTARIO'!S38</f>
        <v>MMLXLAA0250480B49C4273</v>
      </c>
      <c r="R38" s="167" t="str">
        <f>'030523 INVENTARIO'!T38</f>
        <v>SIN RESGUARDO</v>
      </c>
    </row>
    <row r="39" spans="5:18">
      <c r="E39" s="167" t="str">
        <f>'030523 INVENTARIO'!E39</f>
        <v>TELEFONO</v>
      </c>
      <c r="F39" s="167" t="str">
        <f>'030523 INVENTARIO'!F39</f>
        <v>TELEFONO GRIS</v>
      </c>
      <c r="G39" s="167" t="str">
        <f ca="1">'030523 INVENTARIO'!G39</f>
        <v>P05RM-0038</v>
      </c>
      <c r="H39" s="167" t="str">
        <f>'030523 INVENTARIO'!J39</f>
        <v>P05DA-0037</v>
      </c>
      <c r="I39" s="167" t="str">
        <f>'030523 INVENTARIO'!K39</f>
        <v>PB5DA-034</v>
      </c>
      <c r="J39" s="167" t="str">
        <f>'030523 INVENTARIO'!L39</f>
        <v>P0A-3</v>
      </c>
      <c r="K39" s="167" t="str">
        <f>'030523 INVENTARIO'!M39</f>
        <v>5650100010-22</v>
      </c>
      <c r="L39" s="168">
        <f>'030523 INVENTARIO'!N39</f>
        <v>0</v>
      </c>
      <c r="M39" s="168">
        <f>'030523 INVENTARIO'!O39</f>
        <v>0</v>
      </c>
      <c r="N39" s="168" t="str">
        <f>'030523 INVENTARIO'!P39</f>
        <v>OK</v>
      </c>
      <c r="O39" s="168" t="str">
        <f>'030523 INVENTARIO'!Q39</f>
        <v>LINKSYS</v>
      </c>
      <c r="P39" s="167" t="str">
        <f>'030523 INVENTARIO'!R39</f>
        <v>SPA942</v>
      </c>
      <c r="Q39" s="168" t="str">
        <f>'030523 INVENTARIO'!S39</f>
        <v>4LO00H118285</v>
      </c>
      <c r="R39" s="168" t="str">
        <f>'030523 INVENTARIO'!T39</f>
        <v>82DK0565010001000538211</v>
      </c>
    </row>
    <row r="40" spans="5:18">
      <c r="E40" s="167" t="str">
        <f>'030523 INVENTARIO'!E40</f>
        <v>COMPUTADORA DE ESCRITORIO</v>
      </c>
      <c r="F40" s="167" t="str">
        <f>'030523 INVENTARIO'!F40</f>
        <v>COMPUTADORA DE ESCRITORIO</v>
      </c>
      <c r="G40" s="167" t="str">
        <f ca="1">'030523 INVENTARIO'!G40</f>
        <v>P05DA-0039</v>
      </c>
      <c r="H40" s="167" t="str">
        <f>'030523 INVENTARIO'!J40</f>
        <v>P05DA-0038</v>
      </c>
      <c r="I40" s="167" t="str">
        <f>'030523 INVENTARIO'!K40</f>
        <v>PB5DA-035</v>
      </c>
      <c r="J40" s="167">
        <f>'030523 INVENTARIO'!L40</f>
        <v>0</v>
      </c>
      <c r="K40" s="167" t="str">
        <f>'030523 INVENTARIO'!M40</f>
        <v>5150100005-148</v>
      </c>
      <c r="L40" s="168">
        <f>'030523 INVENTARIO'!N40</f>
        <v>0</v>
      </c>
      <c r="M40" s="168">
        <f>'030523 INVENTARIO'!O40</f>
        <v>0</v>
      </c>
      <c r="N40" s="168" t="str">
        <f>'030523 INVENTARIO'!P40</f>
        <v>OK</v>
      </c>
      <c r="O40" s="168" t="str">
        <f>'030523 INVENTARIO'!Q40</f>
        <v>ACTECK</v>
      </c>
      <c r="P40" s="167" t="str">
        <f>'030523 INVENTARIO'!R40</f>
        <v>LINX</v>
      </c>
      <c r="Q40" s="167">
        <f>'030523 INVENTARIO'!S40</f>
        <v>11392903011586</v>
      </c>
      <c r="R40" s="167" t="str">
        <f>'030523 INVENTARIO'!T40</f>
        <v>SIN RESGUARDO</v>
      </c>
    </row>
    <row r="41" spans="5:18">
      <c r="E41" s="167" t="str">
        <f>'030523 INVENTARIO'!E41</f>
        <v>ARCHIVERO</v>
      </c>
      <c r="F41" s="167" t="str">
        <f>'030523 INVENTARIO'!F41</f>
        <v>ARCHIVERO GRIS CON 3 GAVETAS</v>
      </c>
      <c r="G41" s="167" t="str">
        <f ca="1">'030523 INVENTARIO'!G41</f>
        <v>P05DA-0040</v>
      </c>
      <c r="H41" s="167" t="str">
        <f>'030523 INVENTARIO'!J41</f>
        <v>P05DA-0039</v>
      </c>
      <c r="I41" s="167" t="str">
        <f>'030523 INVENTARIO'!K41</f>
        <v>PB5DA-036</v>
      </c>
      <c r="J41" s="167" t="str">
        <f>'030523 INVENTARIO'!L41</f>
        <v>P0A-7</v>
      </c>
      <c r="K41" s="167" t="str">
        <f>'030523 INVENTARIO'!M41</f>
        <v>5130100013-20</v>
      </c>
      <c r="L41" s="168">
        <f>'030523 INVENTARIO'!N41</f>
        <v>0</v>
      </c>
      <c r="M41" s="168">
        <f>'030523 INVENTARIO'!O41</f>
        <v>0</v>
      </c>
      <c r="N41" s="168" t="str">
        <f>'030523 INVENTARIO'!P41</f>
        <v>OK</v>
      </c>
      <c r="O41" s="168" t="str">
        <f>'030523 INVENTARIO'!Q41</f>
        <v>S/M</v>
      </c>
      <c r="P41" s="167" t="str">
        <f>'030523 INVENTARIO'!R41</f>
        <v>S/M</v>
      </c>
      <c r="Q41" s="168" t="str">
        <f>'030523 INVENTARIO'!S41</f>
        <v>SIN SERIE</v>
      </c>
      <c r="R41" s="168" t="str">
        <f>'030523 INVENTARIO'!T41</f>
        <v>82DK0511010001000518524</v>
      </c>
    </row>
    <row r="42" spans="5:18">
      <c r="E42" s="167" t="str">
        <f>'030523 INVENTARIO'!E42</f>
        <v>REGULADOR DE VOLTAJE</v>
      </c>
      <c r="F42" s="167" t="str">
        <f>'030523 INVENTARIO'!F42</f>
        <v>REGULADOR NEGRO</v>
      </c>
      <c r="G42" s="167" t="str">
        <f ca="1">'030523 INVENTARIO'!G42</f>
        <v>P05DA-0041</v>
      </c>
      <c r="H42" s="167" t="str">
        <f>'030523 INVENTARIO'!J42</f>
        <v>P05DA-0040</v>
      </c>
      <c r="I42" s="167" t="str">
        <f>'030523 INVENTARIO'!K42</f>
        <v>PB5DA-037</v>
      </c>
      <c r="J42" s="167" t="str">
        <f>'030523 INVENTARIO'!L42</f>
        <v>P0A-1</v>
      </c>
      <c r="K42" s="167" t="str">
        <f>'030523 INVENTARIO'!M42</f>
        <v>5660100057-15</v>
      </c>
      <c r="L42" s="168">
        <f>'030523 INVENTARIO'!N42</f>
        <v>0</v>
      </c>
      <c r="M42" s="168">
        <f>'030523 INVENTARIO'!O42</f>
        <v>0</v>
      </c>
      <c r="N42" s="168" t="str">
        <f>'030523 INVENTARIO'!P42</f>
        <v>OK</v>
      </c>
      <c r="O42" s="168" t="str">
        <f>'030523 INVENTARIO'!Q42</f>
        <v>KOBLENZ</v>
      </c>
      <c r="P42" s="167" t="str">
        <f>'030523 INVENTARIO'!R42</f>
        <v>RS/1400I</v>
      </c>
      <c r="Q42" s="168" t="str">
        <f>'030523 INVENTARIO'!S42</f>
        <v>16-10-39231</v>
      </c>
      <c r="R42" s="168" t="str">
        <f>'030523 INVENTARIO'!T42</f>
        <v>82DK0515010020000650900</v>
      </c>
    </row>
    <row r="43" spans="5:18">
      <c r="E43" s="167" t="str">
        <f>'030523 INVENTARIO'!E43</f>
        <v>ESCRITORIO</v>
      </c>
      <c r="F43" s="167" t="str">
        <f>'030523 INVENTARIO'!F43</f>
        <v>ESCRITORIO DE MADERA 140X60</v>
      </c>
      <c r="G43" s="167" t="str">
        <f ca="1">'030523 INVENTARIO'!G43</f>
        <v>P05DA-0042</v>
      </c>
      <c r="H43" s="167" t="str">
        <f>'030523 INVENTARIO'!J43</f>
        <v>P05DA-0041</v>
      </c>
      <c r="I43" s="167" t="str">
        <f>'030523 INVENTARIO'!K43</f>
        <v>PB5DA-038</v>
      </c>
      <c r="J43" s="167" t="str">
        <f>'030523 INVENTARIO'!L43</f>
        <v>P0A-2</v>
      </c>
      <c r="K43" s="167" t="str">
        <f>'030523 INVENTARIO'!M43</f>
        <v>5110100015-50</v>
      </c>
      <c r="L43" s="168">
        <f>'030523 INVENTARIO'!N43</f>
        <v>0</v>
      </c>
      <c r="M43" s="168">
        <f>'030523 INVENTARIO'!O43</f>
        <v>0</v>
      </c>
      <c r="N43" s="168" t="str">
        <f>'030523 INVENTARIO'!P43</f>
        <v>OK</v>
      </c>
      <c r="O43" s="168" t="str">
        <f>'030523 INVENTARIO'!Q43</f>
        <v>S/M</v>
      </c>
      <c r="P43" s="167" t="str">
        <f>'030523 INVENTARIO'!R43</f>
        <v>S/M</v>
      </c>
      <c r="Q43" s="168" t="str">
        <f>'030523 INVENTARIO'!S43</f>
        <v>SIN SERIE</v>
      </c>
      <c r="R43" s="168" t="str">
        <f>'030523 INVENTARIO'!T43</f>
        <v>82DK0511010006000518530</v>
      </c>
    </row>
    <row r="44" spans="5:18">
      <c r="E44" s="167" t="str">
        <f>'030523 INVENTARIO'!E44</f>
        <v>MESA</v>
      </c>
      <c r="F44" s="167" t="str">
        <f>'030523 INVENTARIO'!F44</f>
        <v>MESA COMPLEMENTO DE ESCRITORIO 160X60</v>
      </c>
      <c r="G44" s="167" t="str">
        <f ca="1">'030523 INVENTARIO'!G44</f>
        <v>P05DA-0043</v>
      </c>
      <c r="H44" s="167" t="str">
        <f>'030523 INVENTARIO'!J44</f>
        <v>P05DA-0042</v>
      </c>
      <c r="I44" s="167" t="str">
        <f>'030523 INVENTARIO'!K44</f>
        <v>PB5DA-039</v>
      </c>
      <c r="J44" s="167" t="str">
        <f>'030523 INVENTARIO'!L44</f>
        <v>P0A-8</v>
      </c>
      <c r="K44" s="167" t="str">
        <f>'030523 INVENTARIO'!M44</f>
        <v>5120100007-92</v>
      </c>
      <c r="L44" s="168">
        <f>'030523 INVENTARIO'!N44</f>
        <v>0</v>
      </c>
      <c r="M44" s="168">
        <f>'030523 INVENTARIO'!O44</f>
        <v>0</v>
      </c>
      <c r="N44" s="168" t="str">
        <f>'030523 INVENTARIO'!P44</f>
        <v>OK</v>
      </c>
      <c r="O44" s="168" t="str">
        <f>'030523 INVENTARIO'!Q44</f>
        <v>S/M</v>
      </c>
      <c r="P44" s="167" t="str">
        <f>'030523 INVENTARIO'!R44</f>
        <v>S/M</v>
      </c>
      <c r="Q44" s="168" t="str">
        <f>'030523 INVENTARIO'!S44</f>
        <v>SIN SERIE</v>
      </c>
      <c r="R44" s="168" t="str">
        <f>'030523 INVENTARIO'!T44</f>
        <v>82DK0531010065000564832</v>
      </c>
    </row>
    <row r="45" spans="5:18">
      <c r="E45" s="167" t="str">
        <f>'030523 INVENTARIO'!E45</f>
        <v>SILLA</v>
      </c>
      <c r="F45" s="167" t="str">
        <f>'030523 INVENTARIO'!F45</f>
        <v>SILLA NEGRA CON RUEDAS</v>
      </c>
      <c r="G45" s="167" t="str">
        <f ca="1">'030523 INVENTARIO'!G45</f>
        <v>P05RM-0044</v>
      </c>
      <c r="H45" s="167" t="str">
        <f>'030523 INVENTARIO'!J45</f>
        <v>P05DA-0043</v>
      </c>
      <c r="I45" s="167" t="str">
        <f>'030523 INVENTARIO'!K45</f>
        <v>PB5DA-040</v>
      </c>
      <c r="J45" s="167" t="str">
        <f>'030523 INVENTARIO'!L45</f>
        <v>P0A-6</v>
      </c>
      <c r="K45" s="167" t="str">
        <f>'030523 INVENTARIO'!M45</f>
        <v>5110100011-68</v>
      </c>
      <c r="L45" s="168">
        <f>'030523 INVENTARIO'!N45</f>
        <v>0</v>
      </c>
      <c r="M45" s="168">
        <f>'030523 INVENTARIO'!O45</f>
        <v>0</v>
      </c>
      <c r="N45" s="168" t="str">
        <f>'030523 INVENTARIO'!P45</f>
        <v>OK</v>
      </c>
      <c r="O45" s="168" t="str">
        <f>'030523 INVENTARIO'!Q45</f>
        <v>S/M</v>
      </c>
      <c r="P45" s="167" t="str">
        <f>'030523 INVENTARIO'!R45</f>
        <v>S/M</v>
      </c>
      <c r="Q45" s="168" t="str">
        <f>'030523 INVENTARIO'!S45</f>
        <v>SIN SERIE</v>
      </c>
      <c r="R45" s="168" t="str">
        <f>'030523 INVENTARIO'!T45</f>
        <v>82DK0511010017000522763</v>
      </c>
    </row>
    <row r="46" spans="5:18">
      <c r="E46" s="167" t="str">
        <f>'030523 INVENTARIO'!E46</f>
        <v>CAFETERA</v>
      </c>
      <c r="F46" s="167" t="str">
        <f>'030523 INVENTARIO'!F46</f>
        <v>CAFETERA</v>
      </c>
      <c r="G46" s="167" t="str">
        <f ca="1">'030523 INVENTARIO'!G46</f>
        <v>P05DA-0045</v>
      </c>
      <c r="H46" s="167" t="str">
        <f>'030523 INVENTARIO'!J46</f>
        <v>P05DA-0044</v>
      </c>
      <c r="I46" s="167" t="str">
        <f>'030523 INVENTARIO'!K46</f>
        <v>PB5DA-041</v>
      </c>
      <c r="J46" s="167">
        <f>'030523 INVENTARIO'!L46</f>
        <v>0</v>
      </c>
      <c r="K46" s="167" t="str">
        <f>'030523 INVENTARIO'!M46</f>
        <v>ALTA</v>
      </c>
      <c r="L46" s="168">
        <f>'030523 INVENTARIO'!N46</f>
        <v>0</v>
      </c>
      <c r="M46" s="168">
        <f>'030523 INVENTARIO'!O46</f>
        <v>0</v>
      </c>
      <c r="N46" s="168" t="str">
        <f>'030523 INVENTARIO'!P46</f>
        <v>PARA BAJA</v>
      </c>
      <c r="O46" s="168" t="str">
        <f>'030523 INVENTARIO'!Q46</f>
        <v>HAMILTON BEACH</v>
      </c>
      <c r="P46" s="167">
        <f>'030523 INVENTARIO'!R46</f>
        <v>40514</v>
      </c>
      <c r="Q46" s="167" t="str">
        <f>'030523 INVENTARIO'!S46</f>
        <v>A2151BW</v>
      </c>
      <c r="R46" s="167" t="str">
        <f>'030523 INVENTARIO'!T46</f>
        <v>SIN RESGUARDO</v>
      </c>
    </row>
    <row r="47" spans="5:18">
      <c r="E47" s="167" t="str">
        <f>'030523 INVENTARIO'!E47</f>
        <v>MESA</v>
      </c>
      <c r="F47" s="167" t="str">
        <f>'030523 INVENTARIO'!F47</f>
        <v>MESA DE MADERA CHICA CON RUEDAS 60X40</v>
      </c>
      <c r="G47" s="167" t="str">
        <f ca="1">'030523 INVENTARIO'!G47</f>
        <v>P05DA-0046</v>
      </c>
      <c r="H47" s="167" t="str">
        <f>'030523 INVENTARIO'!J47</f>
        <v>P05DA-0045</v>
      </c>
      <c r="I47" s="167" t="str">
        <f>'030523 INVENTARIO'!K47</f>
        <v>PB5DA-042</v>
      </c>
      <c r="J47" s="167" t="str">
        <f>'030523 INVENTARIO'!L47</f>
        <v>P0A-102</v>
      </c>
      <c r="K47" s="168" t="str">
        <f>'030523 INVENTARIO'!M47</f>
        <v>5120100007-108</v>
      </c>
      <c r="L47" s="168">
        <f>'030523 INVENTARIO'!N47</f>
        <v>0</v>
      </c>
      <c r="M47" s="168">
        <f>'030523 INVENTARIO'!O47</f>
        <v>0</v>
      </c>
      <c r="N47" s="168" t="str">
        <f>'030523 INVENTARIO'!P47</f>
        <v>OK</v>
      </c>
      <c r="O47" s="168" t="str">
        <f>'030523 INVENTARIO'!Q47</f>
        <v>S/M</v>
      </c>
      <c r="P47" s="167" t="str">
        <f>'030523 INVENTARIO'!R47</f>
        <v>S/M</v>
      </c>
      <c r="Q47" s="167" t="str">
        <f>'030523 INVENTARIO'!S47</f>
        <v>SIN SERIE</v>
      </c>
      <c r="R47" s="167" t="str">
        <f>'030523 INVENTARIO'!T47</f>
        <v>82DH0531010065000564868</v>
      </c>
    </row>
    <row r="48" spans="5:18">
      <c r="E48" s="167" t="str">
        <f>'030523 INVENTARIO'!E48</f>
        <v>VENTILADOR</v>
      </c>
      <c r="F48" s="167" t="str">
        <f>'030523 INVENTARIO'!F48</f>
        <v>VENTILADOR GRIS  DE PARED</v>
      </c>
      <c r="G48" s="167" t="str">
        <f ca="1">'030523 INVENTARIO'!G48</f>
        <v>P05DA-0047</v>
      </c>
      <c r="H48" s="167" t="str">
        <f>'030523 INVENTARIO'!J48</f>
        <v>P05DA-0046</v>
      </c>
      <c r="I48" s="167" t="str">
        <f>'030523 INVENTARIO'!K48</f>
        <v>PB5DA-043</v>
      </c>
      <c r="J48" s="167" t="str">
        <f>'030523 INVENTARIO'!L48</f>
        <v>P0A-83</v>
      </c>
      <c r="K48" s="167" t="str">
        <f>'030523 INVENTARIO'!M48</f>
        <v>5190200002-37</v>
      </c>
      <c r="L48" s="168">
        <f>'030523 INVENTARIO'!N48</f>
        <v>0</v>
      </c>
      <c r="M48" s="168">
        <f>'030523 INVENTARIO'!O48</f>
        <v>0</v>
      </c>
      <c r="N48" s="168" t="str">
        <f>'030523 INVENTARIO'!P48</f>
        <v>OK</v>
      </c>
      <c r="O48" s="168" t="str">
        <f>'030523 INVENTARIO'!Q48</f>
        <v>NAVIA</v>
      </c>
      <c r="P48" s="167" t="str">
        <f>'030523 INVENTARIO'!R48</f>
        <v>VPN/018</v>
      </c>
      <c r="Q48" s="168" t="str">
        <f>'030523 INVENTARIO'!S48</f>
        <v>1704186496</v>
      </c>
      <c r="R48" s="168" t="str">
        <f>'030523 INVENTARIO'!T48</f>
        <v>82DH0519010043000650639</v>
      </c>
    </row>
    <row r="49" spans="5:18">
      <c r="E49" s="167" t="str">
        <f>'030523 INVENTARIO'!E49</f>
        <v>VENTILADOR</v>
      </c>
      <c r="F49" s="167" t="str">
        <f>'030523 INVENTARIO'!F49</f>
        <v>VENTILADOR GRIS  DE PARED</v>
      </c>
      <c r="G49" s="167" t="str">
        <f ca="1">'030523 INVENTARIO'!G49</f>
        <v>P05DA-0048</v>
      </c>
      <c r="H49" s="167" t="str">
        <f>'030523 INVENTARIO'!J49</f>
        <v>P05DA-0047</v>
      </c>
      <c r="I49" s="167" t="str">
        <f>'030523 INVENTARIO'!K49</f>
        <v>PB5DA-044</v>
      </c>
      <c r="J49" s="167" t="str">
        <f>'030523 INVENTARIO'!L49</f>
        <v>P0A-84</v>
      </c>
      <c r="K49" s="167" t="str">
        <f>'030523 INVENTARIO'!M49</f>
        <v>5190200002-38</v>
      </c>
      <c r="L49" s="168">
        <f>'030523 INVENTARIO'!N49</f>
        <v>0</v>
      </c>
      <c r="M49" s="168">
        <f>'030523 INVENTARIO'!O49</f>
        <v>0</v>
      </c>
      <c r="N49" s="168" t="str">
        <f>'030523 INVENTARIO'!P49</f>
        <v>OK</v>
      </c>
      <c r="O49" s="168" t="str">
        <f>'030523 INVENTARIO'!Q49</f>
        <v>NAVIA</v>
      </c>
      <c r="P49" s="167" t="str">
        <f>'030523 INVENTARIO'!R49</f>
        <v>VPN/018</v>
      </c>
      <c r="Q49" s="168" t="str">
        <f>'030523 INVENTARIO'!S49</f>
        <v>12332</v>
      </c>
      <c r="R49" s="168" t="str">
        <f>'030523 INVENTARIO'!T49</f>
        <v>82DH0519010043000650640</v>
      </c>
    </row>
    <row r="50" spans="5:18">
      <c r="E50" s="167" t="str">
        <f>'030523 INVENTARIO'!E50</f>
        <v>VENTILADOR</v>
      </c>
      <c r="F50" s="167" t="str">
        <f>'030523 INVENTARIO'!F50</f>
        <v>VENTILADOR GRIS  DE PARED</v>
      </c>
      <c r="G50" s="167" t="str">
        <f ca="1">'030523 INVENTARIO'!G50</f>
        <v>P05DA-0049</v>
      </c>
      <c r="H50" s="167" t="str">
        <f>'030523 INVENTARIO'!J50</f>
        <v>P05DA-0048</v>
      </c>
      <c r="I50" s="167" t="str">
        <f>'030523 INVENTARIO'!K50</f>
        <v>PB5DA-045</v>
      </c>
      <c r="J50" s="167" t="str">
        <f>'030523 INVENTARIO'!L50</f>
        <v>P0A-85</v>
      </c>
      <c r="K50" s="167" t="str">
        <f>'030523 INVENTARIO'!M50</f>
        <v>5190200002-39</v>
      </c>
      <c r="L50" s="168">
        <f>'030523 INVENTARIO'!N50</f>
        <v>0</v>
      </c>
      <c r="M50" s="168">
        <f>'030523 INVENTARIO'!O50</f>
        <v>0</v>
      </c>
      <c r="N50" s="168" t="str">
        <f>'030523 INVENTARIO'!P50</f>
        <v>OK</v>
      </c>
      <c r="O50" s="168" t="str">
        <f>'030523 INVENTARIO'!Q50</f>
        <v>NAVIA</v>
      </c>
      <c r="P50" s="167" t="str">
        <f>'030523 INVENTARIO'!R50</f>
        <v>VPN/018</v>
      </c>
      <c r="Q50" s="168" t="str">
        <f>'030523 INVENTARIO'!S50</f>
        <v>12626</v>
      </c>
      <c r="R50" s="168" t="str">
        <f>'030523 INVENTARIO'!T50</f>
        <v>82DH0519010043000649367</v>
      </c>
    </row>
    <row r="51" spans="5:18">
      <c r="E51" s="167" t="str">
        <f>'030523 INVENTARIO'!E51</f>
        <v>BANCO</v>
      </c>
      <c r="F51" s="168" t="str">
        <f>'030523 INVENTARIO'!F51</f>
        <v>BANCO DE MADERA</v>
      </c>
      <c r="G51" s="167" t="str">
        <f ca="1">'030523 INVENTARIO'!G51</f>
        <v>P05DA-0050</v>
      </c>
      <c r="H51" s="167" t="str">
        <f>'030523 INVENTARIO'!J51</f>
        <v>P05DA-0049</v>
      </c>
      <c r="I51" s="167" t="str">
        <f>'030523 INVENTARIO'!K51</f>
        <v>PB5DA-046</v>
      </c>
      <c r="J51" s="167" t="str">
        <f>'030523 INVENTARIO'!L51</f>
        <v>P0A-75</v>
      </c>
      <c r="K51" s="167" t="str">
        <f>'030523 INVENTARIO'!M51</f>
        <v>5110100012-1</v>
      </c>
      <c r="L51" s="168">
        <f>'030523 INVENTARIO'!N51</f>
        <v>0</v>
      </c>
      <c r="M51" s="168">
        <f>'030523 INVENTARIO'!O51</f>
        <v>0</v>
      </c>
      <c r="N51" s="168" t="str">
        <f>'030523 INVENTARIO'!P51</f>
        <v>OK</v>
      </c>
      <c r="O51" s="168" t="str">
        <f>'030523 INVENTARIO'!Q51</f>
        <v>S/M</v>
      </c>
      <c r="P51" s="167" t="str">
        <f>'030523 INVENTARIO'!R51</f>
        <v>S/M</v>
      </c>
      <c r="Q51" s="168" t="str">
        <f>'030523 INVENTARIO'!S51</f>
        <v>SIN SERIE</v>
      </c>
      <c r="R51" s="168" t="str">
        <f>'030523 INVENTARIO'!T51</f>
        <v>82DH0511010003000518526</v>
      </c>
    </row>
    <row r="52" spans="5:18">
      <c r="E52" s="167" t="str">
        <f>'030523 INVENTARIO'!E52</f>
        <v>SILLA</v>
      </c>
      <c r="F52" s="168" t="str">
        <f>'030523 INVENTARIO'!F52</f>
        <v>SILLA CON RUEDAS CAFES</v>
      </c>
      <c r="G52" s="167" t="str">
        <f ca="1">'030523 INVENTARIO'!G52</f>
        <v>P05RM-0051</v>
      </c>
      <c r="H52" s="167" t="str">
        <f>'030523 INVENTARIO'!J52</f>
        <v>P05DA-0050</v>
      </c>
      <c r="I52" s="167" t="str">
        <f>'030523 INVENTARIO'!K52</f>
        <v>PB5DA-047</v>
      </c>
      <c r="J52" s="167" t="str">
        <f>'030523 INVENTARIO'!L52</f>
        <v>P0A-81</v>
      </c>
      <c r="K52" s="167" t="str">
        <f>'030523 INVENTARIO'!M52</f>
        <v>5110100011-99</v>
      </c>
      <c r="L52" s="168">
        <f>'030523 INVENTARIO'!N52</f>
        <v>0</v>
      </c>
      <c r="M52" s="168">
        <f>'030523 INVENTARIO'!O52</f>
        <v>0</v>
      </c>
      <c r="N52" s="168" t="str">
        <f>'030523 INVENTARIO'!P52</f>
        <v>OK</v>
      </c>
      <c r="O52" s="168" t="str">
        <f>'030523 INVENTARIO'!Q52</f>
        <v>S/M</v>
      </c>
      <c r="P52" s="167" t="str">
        <f>'030523 INVENTARIO'!R52</f>
        <v>S/M</v>
      </c>
      <c r="Q52" s="168" t="str">
        <f>'030523 INVENTARIO'!S52</f>
        <v>SIN SERIE</v>
      </c>
      <c r="R52" s="168" t="str">
        <f>'030523 INVENTARIO'!T52</f>
        <v>82DH0511010017000649517</v>
      </c>
    </row>
    <row r="53" spans="5:18">
      <c r="E53" s="167" t="str">
        <f>'030523 INVENTARIO'!E53</f>
        <v>MESA</v>
      </c>
      <c r="F53" s="168" t="str">
        <f>'030523 INVENTARIO'!F53</f>
        <v>MESA DE METAL NEGRO CON RUEDAS</v>
      </c>
      <c r="G53" s="167" t="str">
        <f ca="1">'030523 INVENTARIO'!G53</f>
        <v>P05DA-0052</v>
      </c>
      <c r="H53" s="167" t="str">
        <f>'030523 INVENTARIO'!J53</f>
        <v>P05DA-0051</v>
      </c>
      <c r="I53" s="167" t="str">
        <f>'030523 INVENTARIO'!K53</f>
        <v>PB5DA-048</v>
      </c>
      <c r="J53" s="167" t="str">
        <f>'030523 INVENTARIO'!L53</f>
        <v>P0A-77</v>
      </c>
      <c r="K53" s="167" t="str">
        <f>'030523 INVENTARIO'!M53</f>
        <v>5120100007-105</v>
      </c>
      <c r="L53" s="168">
        <f>'030523 INVENTARIO'!N53</f>
        <v>0</v>
      </c>
      <c r="M53" s="168">
        <f>'030523 INVENTARIO'!O53</f>
        <v>0</v>
      </c>
      <c r="N53" s="168" t="str">
        <f>'030523 INVENTARIO'!P53</f>
        <v>OK</v>
      </c>
      <c r="O53" s="168" t="str">
        <f>'030523 INVENTARIO'!Q53</f>
        <v>S/M</v>
      </c>
      <c r="P53" s="167" t="str">
        <f>'030523 INVENTARIO'!R53</f>
        <v>S/M</v>
      </c>
      <c r="Q53" s="168" t="str">
        <f>'030523 INVENTARIO'!S53</f>
        <v>SIN SERIE</v>
      </c>
      <c r="R53" s="168" t="str">
        <f>'030523 INVENTARIO'!T53</f>
        <v>82DH0531010065000564845</v>
      </c>
    </row>
    <row r="54" spans="5:18">
      <c r="E54" s="167" t="str">
        <f>'030523 INVENTARIO'!E54</f>
        <v>SILLON</v>
      </c>
      <c r="F54" s="167" t="str">
        <f>'030523 INVENTARIO'!F54</f>
        <v>SILLÓN DE TELA ALTO</v>
      </c>
      <c r="G54" s="167" t="str">
        <f ca="1">'030523 INVENTARIO'!G54</f>
        <v>P05DA-0053</v>
      </c>
      <c r="H54" s="167" t="str">
        <f>'030523 INVENTARIO'!J54</f>
        <v>P05DA-0052</v>
      </c>
      <c r="I54" s="167" t="str">
        <f>'030523 INVENTARIO'!K54</f>
        <v>PB5DA-049</v>
      </c>
      <c r="J54" s="167" t="str">
        <f>'030523 INVENTARIO'!L54</f>
        <v>P0A-64</v>
      </c>
      <c r="K54" s="167" t="str">
        <f>'030523 INVENTARIO'!M54</f>
        <v>5120100009-49</v>
      </c>
      <c r="L54" s="168">
        <f>'030523 INVENTARIO'!N54</f>
        <v>0</v>
      </c>
      <c r="M54" s="168">
        <f>'030523 INVENTARIO'!O54</f>
        <v>0</v>
      </c>
      <c r="N54" s="168" t="str">
        <f>'030523 INVENTARIO'!P54</f>
        <v>OK</v>
      </c>
      <c r="O54" s="168" t="str">
        <f>'030523 INVENTARIO'!Q54</f>
        <v>S/M</v>
      </c>
      <c r="P54" s="167" t="str">
        <f>'030523 INVENTARIO'!R54</f>
        <v>S/M</v>
      </c>
      <c r="Q54" s="168" t="str">
        <f>'030523 INVENTARIO'!S54</f>
        <v>SIN SERIE</v>
      </c>
      <c r="R54" s="168" t="str">
        <f>'030523 INVENTARIO'!T54</f>
        <v>82DH0512010014000649515</v>
      </c>
    </row>
    <row r="55" spans="5:18">
      <c r="E55" s="167" t="str">
        <f>'030523 INVENTARIO'!E55</f>
        <v>VENTILADOR</v>
      </c>
      <c r="F55" s="168" t="str">
        <f>'030523 INVENTARIO'!F55</f>
        <v>VENTILADOR GRIS</v>
      </c>
      <c r="G55" s="167" t="str">
        <f ca="1">'030523 INVENTARIO'!G55</f>
        <v>P05DA-0054</v>
      </c>
      <c r="H55" s="167" t="str">
        <f>'030523 INVENTARIO'!J55</f>
        <v>P05DA-0053</v>
      </c>
      <c r="I55" s="167" t="str">
        <f>'030523 INVENTARIO'!K55</f>
        <v>PB5DA-050</v>
      </c>
      <c r="J55" s="167" t="str">
        <f>'030523 INVENTARIO'!L55</f>
        <v>P0A-76</v>
      </c>
      <c r="K55" s="167" t="str">
        <f>'030523 INVENTARIO'!M55</f>
        <v>5190200002-36</v>
      </c>
      <c r="L55" s="168">
        <f>'030523 INVENTARIO'!N55</f>
        <v>0</v>
      </c>
      <c r="M55" s="168">
        <f>'030523 INVENTARIO'!O55</f>
        <v>0</v>
      </c>
      <c r="N55" s="168" t="str">
        <f>'030523 INVENTARIO'!P55</f>
        <v>OK</v>
      </c>
      <c r="O55" s="168" t="str">
        <f>'030523 INVENTARIO'!Q55</f>
        <v>SEVALLE CLASIC</v>
      </c>
      <c r="P55" s="167" t="str">
        <f>'030523 INVENTARIO'!R55</f>
        <v>S/M</v>
      </c>
      <c r="Q55" s="168" t="str">
        <f>'030523 INVENTARIO'!S55</f>
        <v>CADPE-DA-0032</v>
      </c>
      <c r="R55" s="168" t="str">
        <f>'030523 INVENTARIO'!T55</f>
        <v>82DH0531010094000649529</v>
      </c>
    </row>
    <row r="56" spans="5:18">
      <c r="E56" s="167" t="str">
        <f>'030523 INVENTARIO'!E56</f>
        <v>RECIBIDOR</v>
      </c>
      <c r="F56" s="167" t="str">
        <f>'030523 INVENTARIO'!F56</f>
        <v>RECIBIDOR DE MADERA</v>
      </c>
      <c r="G56" s="167" t="str">
        <f ca="1">'030523 INVENTARIO'!G56</f>
        <v>P05DA-0055</v>
      </c>
      <c r="H56" s="167" t="str">
        <f>'030523 INVENTARIO'!J56</f>
        <v>P05DA-0054</v>
      </c>
      <c r="I56" s="167" t="str">
        <f>'030523 INVENTARIO'!K56</f>
        <v>PB5DA-051</v>
      </c>
      <c r="J56" s="167" t="str">
        <f>'030523 INVENTARIO'!L56</f>
        <v>P0A-65</v>
      </c>
      <c r="K56" s="167" t="str">
        <f>'030523 INVENTARIO'!M56</f>
        <v>5120100005-4</v>
      </c>
      <c r="L56" s="168">
        <f>'030523 INVENTARIO'!N56</f>
        <v>0</v>
      </c>
      <c r="M56" s="168">
        <f>'030523 INVENTARIO'!O56</f>
        <v>0</v>
      </c>
      <c r="N56" s="168" t="str">
        <f>'030523 INVENTARIO'!P56</f>
        <v>OK</v>
      </c>
      <c r="O56" s="168" t="str">
        <f>'030523 INVENTARIO'!Q56</f>
        <v>S/M</v>
      </c>
      <c r="P56" s="167" t="str">
        <f>'030523 INVENTARIO'!R56</f>
        <v>S/M</v>
      </c>
      <c r="Q56" s="168" t="str">
        <f>'030523 INVENTARIO'!S56</f>
        <v>SIN SERIE</v>
      </c>
      <c r="R56" s="168" t="str">
        <f>'030523 INVENTARIO'!T56</f>
        <v>82DH0511010015000649511</v>
      </c>
    </row>
    <row r="57" spans="5:18">
      <c r="E57" s="167" t="str">
        <f>'030523 INVENTARIO'!E57</f>
        <v>REGULADOR DE VOLTAJE</v>
      </c>
      <c r="F57" s="168" t="str">
        <f>'030523 INVENTARIO'!F57</f>
        <v>REGULADOR (IMPRESORA)</v>
      </c>
      <c r="G57" s="167" t="str">
        <f ca="1">'030523 INVENTARIO'!G57</f>
        <v>P35RM-0056</v>
      </c>
      <c r="H57" s="167" t="str">
        <f>'030523 INVENTARIO'!J57</f>
        <v>P05DA-0055</v>
      </c>
      <c r="I57" s="167" t="str">
        <f>'030523 INVENTARIO'!K57</f>
        <v>PB5DA-052</v>
      </c>
      <c r="J57" s="167" t="str">
        <f>'030523 INVENTARIO'!L57</f>
        <v>P0A-108</v>
      </c>
      <c r="K57" s="168" t="str">
        <f>'030523 INVENTARIO'!M57</f>
        <v>5660100057-17</v>
      </c>
      <c r="L57" s="168">
        <f>'030523 INVENTARIO'!N57</f>
        <v>0</v>
      </c>
      <c r="M57" s="168">
        <f>'030523 INVENTARIO'!O57</f>
        <v>0</v>
      </c>
      <c r="N57" s="168" t="str">
        <f>'030523 INVENTARIO'!P57</f>
        <v>OK</v>
      </c>
      <c r="O57" s="168" t="str">
        <f>'030523 INVENTARIO'!Q57</f>
        <v>COMPLET</v>
      </c>
      <c r="P57" s="167">
        <f>'030523 INVENTARIO'!R57</f>
        <v>1300</v>
      </c>
      <c r="Q57" s="168" t="str">
        <f>'030523 INVENTARIO'!S57</f>
        <v>501693402278</v>
      </c>
      <c r="R57" s="168" t="str">
        <f>'030523 INVENTARIO'!T57</f>
        <v>82DH0515010020000650634</v>
      </c>
    </row>
    <row r="58" spans="5:18">
      <c r="E58" s="167" t="str">
        <f>'030523 INVENTARIO'!E58</f>
        <v>MESA</v>
      </c>
      <c r="F58" s="168" t="str">
        <f>'030523 INVENTARIO'!F58</f>
        <v>MESA DE MADERA CON BASE DE METAL CAOBA</v>
      </c>
      <c r="G58" s="167" t="str">
        <f ca="1">'030523 INVENTARIO'!G58</f>
        <v>P05RM-0057</v>
      </c>
      <c r="H58" s="167" t="str">
        <f>'030523 INVENTARIO'!J58</f>
        <v>P05DA-0056</v>
      </c>
      <c r="I58" s="167" t="str">
        <f>'030523 INVENTARIO'!K58</f>
        <v>PB5DA-053</v>
      </c>
      <c r="J58" s="167" t="str">
        <f>'030523 INVENTARIO'!L58</f>
        <v>P0A-111</v>
      </c>
      <c r="K58" s="167" t="str">
        <f>'030523 INVENTARIO'!M58</f>
        <v>5120100007-135</v>
      </c>
      <c r="L58" s="168">
        <f>'030523 INVENTARIO'!N58</f>
        <v>0</v>
      </c>
      <c r="M58" s="168">
        <f>'030523 INVENTARIO'!O58</f>
        <v>0</v>
      </c>
      <c r="N58" s="168" t="str">
        <f>'030523 INVENTARIO'!P58</f>
        <v>OK</v>
      </c>
      <c r="O58" s="168" t="str">
        <f>'030523 INVENTARIO'!Q58</f>
        <v>S/M</v>
      </c>
      <c r="P58" s="167" t="str">
        <f>'030523 INVENTARIO'!R58</f>
        <v>S/M</v>
      </c>
      <c r="Q58" s="168" t="str">
        <f>'030523 INVENTARIO'!S58</f>
        <v>SIN SERIE</v>
      </c>
      <c r="R58" s="168" t="str">
        <f>'030523 INVENTARIO'!T58</f>
        <v>82DH0531010065000580346</v>
      </c>
    </row>
    <row r="59" spans="5:18">
      <c r="E59" s="167" t="str">
        <f>'030523 INVENTARIO'!E59</f>
        <v>BANCO</v>
      </c>
      <c r="F59" s="168" t="str">
        <f>'030523 INVENTARIO'!F59</f>
        <v>BANCO DE MADERA</v>
      </c>
      <c r="G59" s="167" t="str">
        <f ca="1">'030523 INVENTARIO'!G59</f>
        <v>P05DA-0058</v>
      </c>
      <c r="H59" s="167" t="str">
        <f>'030523 INVENTARIO'!J59</f>
        <v>P05DA-0057</v>
      </c>
      <c r="I59" s="167" t="str">
        <f>'030523 INVENTARIO'!K59</f>
        <v>PB5DA-054</v>
      </c>
      <c r="J59" s="167" t="str">
        <f>'030523 INVENTARIO'!L59</f>
        <v>P0A-79</v>
      </c>
      <c r="K59" s="167" t="str">
        <f>'030523 INVENTARIO'!M59</f>
        <v>5110100012-2</v>
      </c>
      <c r="L59" s="168">
        <f>'030523 INVENTARIO'!N59</f>
        <v>0</v>
      </c>
      <c r="M59" s="168">
        <f>'030523 INVENTARIO'!O59</f>
        <v>0</v>
      </c>
      <c r="N59" s="168" t="str">
        <f>'030523 INVENTARIO'!P59</f>
        <v>OK</v>
      </c>
      <c r="O59" s="168" t="str">
        <f>'030523 INVENTARIO'!Q59</f>
        <v>S/M</v>
      </c>
      <c r="P59" s="167" t="str">
        <f>'030523 INVENTARIO'!R59</f>
        <v>S/M</v>
      </c>
      <c r="Q59" s="168" t="str">
        <f>'030523 INVENTARIO'!S59</f>
        <v>SIN SERIE</v>
      </c>
      <c r="R59" s="168" t="str">
        <f>'030523 INVENTARIO'!T59</f>
        <v>82DH0511010003000582612</v>
      </c>
    </row>
    <row r="60" spans="5:18">
      <c r="E60" s="167" t="str">
        <f>'030523 INVENTARIO'!E60</f>
        <v>ESTANTE O ANAQUEL</v>
      </c>
      <c r="F60" s="167" t="str">
        <f>'030523 INVENTARIO'!F60</f>
        <v>ANAQUEL GRIS DE 2 PUERTAS</v>
      </c>
      <c r="G60" s="167" t="str">
        <f ca="1">'030523 INVENTARIO'!G60</f>
        <v>P05RM-0059</v>
      </c>
      <c r="H60" s="167" t="str">
        <f>'030523 INVENTARIO'!J60</f>
        <v>P05DA-0058</v>
      </c>
      <c r="I60" s="167" t="str">
        <f>'030523 INVENTARIO'!K60</f>
        <v>PB5DA-055</v>
      </c>
      <c r="J60" s="167" t="str">
        <f>'030523 INVENTARIO'!L60</f>
        <v>P0A-67</v>
      </c>
      <c r="K60" s="167" t="str">
        <f>'030523 INVENTARIO'!M60</f>
        <v>5290300001-16</v>
      </c>
      <c r="L60" s="168">
        <f>'030523 INVENTARIO'!N60</f>
        <v>0</v>
      </c>
      <c r="M60" s="168">
        <f>'030523 INVENTARIO'!O60</f>
        <v>0</v>
      </c>
      <c r="N60" s="168" t="str">
        <f>'030523 INVENTARIO'!P60</f>
        <v>OK</v>
      </c>
      <c r="O60" s="168" t="str">
        <f>'030523 INVENTARIO'!Q60</f>
        <v>S/M</v>
      </c>
      <c r="P60" s="167" t="str">
        <f>'030523 INVENTARIO'!R60</f>
        <v>S/M</v>
      </c>
      <c r="Q60" s="168" t="str">
        <f>'030523 INVENTARIO'!S60</f>
        <v>SIN SERIE</v>
      </c>
      <c r="R60" s="168" t="str">
        <f>'030523 INVENTARIO'!T60</f>
        <v>82DH0511010009000584145</v>
      </c>
    </row>
    <row r="61" spans="5:18">
      <c r="E61" s="167" t="str">
        <f>'030523 INVENTARIO'!E61</f>
        <v>SILLA</v>
      </c>
      <c r="F61" s="168" t="str">
        <f>'030523 INVENTARIO'!F61</f>
        <v>SILLA DE TELA CAFÉ</v>
      </c>
      <c r="G61" s="167" t="str">
        <f ca="1">'030523 INVENTARIO'!G61</f>
        <v>P35DA-0060</v>
      </c>
      <c r="H61" s="167" t="str">
        <f>'030523 INVENTARIO'!J61</f>
        <v>P05DA-0059</v>
      </c>
      <c r="I61" s="167" t="str">
        <f>'030523 INVENTARIO'!K61</f>
        <v>PB5DA-056</v>
      </c>
      <c r="J61" s="167" t="str">
        <f>'030523 INVENTARIO'!L61</f>
        <v>P0A-72</v>
      </c>
      <c r="K61" s="167" t="str">
        <f>'030523 INVENTARIO'!M61</f>
        <v>5110100011-96</v>
      </c>
      <c r="L61" s="168">
        <f>'030523 INVENTARIO'!N61</f>
        <v>0</v>
      </c>
      <c r="M61" s="168">
        <f>'030523 INVENTARIO'!O61</f>
        <v>0</v>
      </c>
      <c r="N61" s="168" t="str">
        <f>'030523 INVENTARIO'!P61</f>
        <v>OK</v>
      </c>
      <c r="O61" s="168" t="str">
        <f>'030523 INVENTARIO'!Q61</f>
        <v>S/M</v>
      </c>
      <c r="P61" s="167" t="str">
        <f>'030523 INVENTARIO'!R61</f>
        <v>S/M</v>
      </c>
      <c r="Q61" s="168" t="str">
        <f>'030523 INVENTARIO'!S61</f>
        <v>SIN SERIE</v>
      </c>
      <c r="R61" s="168" t="str">
        <f>'030523 INVENTARIO'!T61</f>
        <v>82DH0511010017000518537</v>
      </c>
    </row>
    <row r="62" spans="5:18">
      <c r="E62" s="167" t="str">
        <f>'030523 INVENTARIO'!E62</f>
        <v>SILLA</v>
      </c>
      <c r="F62" s="167" t="str">
        <f>'030523 INVENTARIO'!F62</f>
        <v>SILLA DE PIEL NEGRA</v>
      </c>
      <c r="G62" s="167" t="str">
        <f ca="1">'030523 INVENTARIO'!G62</f>
        <v>P05RM-0061</v>
      </c>
      <c r="H62" s="167" t="str">
        <f>'030523 INVENTARIO'!J62</f>
        <v>P05DA-0060</v>
      </c>
      <c r="I62" s="167" t="str">
        <f>'030523 INVENTARIO'!K62</f>
        <v>PB5DA-057</v>
      </c>
      <c r="J62" s="167" t="str">
        <f>'030523 INVENTARIO'!L62</f>
        <v>P0A-74</v>
      </c>
      <c r="K62" s="167" t="str">
        <f>'030523 INVENTARIO'!M62</f>
        <v>5110100011-98</v>
      </c>
      <c r="L62" s="168">
        <f>'030523 INVENTARIO'!N62</f>
        <v>0</v>
      </c>
      <c r="M62" s="168">
        <f>'030523 INVENTARIO'!O62</f>
        <v>0</v>
      </c>
      <c r="N62" s="168" t="str">
        <f>'030523 INVENTARIO'!P62</f>
        <v>OK</v>
      </c>
      <c r="O62" s="168" t="str">
        <f>'030523 INVENTARIO'!Q62</f>
        <v>S/M</v>
      </c>
      <c r="P62" s="167" t="str">
        <f>'030523 INVENTARIO'!R62</f>
        <v>S/M</v>
      </c>
      <c r="Q62" s="168" t="str">
        <f>'030523 INVENTARIO'!S62</f>
        <v>SIN SERIE</v>
      </c>
      <c r="R62" s="168" t="str">
        <f>'030523 INVENTARIO'!T62</f>
        <v>82DH0511010017000518536</v>
      </c>
    </row>
    <row r="63" spans="5:18">
      <c r="E63" s="167" t="str">
        <f>'030523 INVENTARIO'!E63</f>
        <v>MESA</v>
      </c>
      <c r="F63" s="167" t="str">
        <f>'030523 INVENTARIO'!F63</f>
        <v>MESA DE MADERA CON BASE DE METAL</v>
      </c>
      <c r="G63" s="167" t="str">
        <f ca="1">'030523 INVENTARIO'!G63</f>
        <v>P05DA-0062</v>
      </c>
      <c r="H63" s="167" t="str">
        <f>'030523 INVENTARIO'!J63</f>
        <v>P05DA-0061</v>
      </c>
      <c r="I63" s="167" t="str">
        <f>'030523 INVENTARIO'!K63</f>
        <v>PB5DA-058</v>
      </c>
      <c r="J63" s="167" t="str">
        <f>'030523 INVENTARIO'!L63</f>
        <v>P0A-70</v>
      </c>
      <c r="K63" s="167" t="str">
        <f>'030523 INVENTARIO'!M63</f>
        <v>5120100007-104</v>
      </c>
      <c r="L63" s="168">
        <f>'030523 INVENTARIO'!N63</f>
        <v>0</v>
      </c>
      <c r="M63" s="168">
        <f>'030523 INVENTARIO'!O63</f>
        <v>0</v>
      </c>
      <c r="N63" s="168" t="str">
        <f>'030523 INVENTARIO'!P63</f>
        <v>OK</v>
      </c>
      <c r="O63" s="168" t="str">
        <f>'030523 INVENTARIO'!Q63</f>
        <v>S/M</v>
      </c>
      <c r="P63" s="167" t="str">
        <f>'030523 INVENTARIO'!R63</f>
        <v>S/M</v>
      </c>
      <c r="Q63" s="168" t="str">
        <f>'030523 INVENTARIO'!S63</f>
        <v>SIN SERIE</v>
      </c>
      <c r="R63" s="168" t="str">
        <f>'030523 INVENTARIO'!T63</f>
        <v>82DH0531010065000580349</v>
      </c>
    </row>
    <row r="64" spans="5:18">
      <c r="E64" s="167" t="str">
        <f>'030523 INVENTARIO'!E64</f>
        <v>SILLA</v>
      </c>
      <c r="F64" s="167" t="str">
        <f>'030523 INVENTARIO'!F64</f>
        <v>SILLA DE TELA CAFE</v>
      </c>
      <c r="G64" s="167" t="str">
        <f ca="1">'030523 INVENTARIO'!G64</f>
        <v>P35DA-0063</v>
      </c>
      <c r="H64" s="167" t="str">
        <f>'030523 INVENTARIO'!J64</f>
        <v>P05DA-0062</v>
      </c>
      <c r="I64" s="167" t="str">
        <f>'030523 INVENTARIO'!K64</f>
        <v>PB5DA-059</v>
      </c>
      <c r="J64" s="167" t="str">
        <f>'030523 INVENTARIO'!L64</f>
        <v>P0A-37</v>
      </c>
      <c r="K64" s="167" t="str">
        <f>'030523 INVENTARIO'!M64</f>
        <v>5110100011-88</v>
      </c>
      <c r="L64" s="168">
        <f>'030523 INVENTARIO'!N64</f>
        <v>0</v>
      </c>
      <c r="M64" s="168">
        <f>'030523 INVENTARIO'!O64</f>
        <v>0</v>
      </c>
      <c r="N64" s="168" t="str">
        <f>'030523 INVENTARIO'!P64</f>
        <v>OK</v>
      </c>
      <c r="O64" s="168" t="str">
        <f>'030523 INVENTARIO'!Q64</f>
        <v>S/M</v>
      </c>
      <c r="P64" s="167" t="str">
        <f>'030523 INVENTARIO'!R64</f>
        <v>S/M</v>
      </c>
      <c r="Q64" s="168" t="str">
        <f>'030523 INVENTARIO'!S64</f>
        <v>SIN SERIE</v>
      </c>
      <c r="R64" s="168" t="str">
        <f>'030523 INVENTARIO'!T64</f>
        <v>82DH0511010017000518534</v>
      </c>
    </row>
    <row r="65" spans="5:18">
      <c r="E65" s="167" t="str">
        <f>'030523 INVENTARIO'!E65</f>
        <v>MESA</v>
      </c>
      <c r="F65" s="167" t="str">
        <f>'030523 INVENTARIO'!F65</f>
        <v>MESA DE MADERA CHICA 60X50</v>
      </c>
      <c r="G65" s="167" t="str">
        <f ca="1">'030523 INVENTARIO'!G65</f>
        <v>P05DA-0064</v>
      </c>
      <c r="H65" s="167" t="str">
        <f>'030523 INVENTARIO'!J65</f>
        <v>P05DA-0063</v>
      </c>
      <c r="I65" s="167" t="str">
        <f>'030523 INVENTARIO'!K65</f>
        <v>PB5DA-060</v>
      </c>
      <c r="J65" s="167" t="str">
        <f>'030523 INVENTARIO'!L65</f>
        <v>P0A-61</v>
      </c>
      <c r="K65" s="167" t="str">
        <f>'030523 INVENTARIO'!M65</f>
        <v>5120100007-130</v>
      </c>
      <c r="L65" s="168">
        <f>'030523 INVENTARIO'!N65</f>
        <v>0</v>
      </c>
      <c r="M65" s="168">
        <f>'030523 INVENTARIO'!O65</f>
        <v>0</v>
      </c>
      <c r="N65" s="168" t="str">
        <f>'030523 INVENTARIO'!P65</f>
        <v>OK</v>
      </c>
      <c r="O65" s="168" t="str">
        <f>'030523 INVENTARIO'!Q65</f>
        <v>S/M</v>
      </c>
      <c r="P65" s="167" t="str">
        <f>'030523 INVENTARIO'!R65</f>
        <v>S/M</v>
      </c>
      <c r="Q65" s="168" t="str">
        <f>'030523 INVENTARIO'!S65</f>
        <v>SIN SERIE</v>
      </c>
      <c r="R65" s="168" t="str">
        <f>'030523 INVENTARIO'!T65</f>
        <v>82DH0511010010000651071</v>
      </c>
    </row>
    <row r="66" spans="5:18">
      <c r="E66" s="167" t="str">
        <f>'030523 INVENTARIO'!E66</f>
        <v>RECIBIDOR</v>
      </c>
      <c r="F66" s="167" t="str">
        <f>'030523 INVENTARIO'!F66</f>
        <v>RECIBIDOR DE TRES PLAZAS COLOR AZUL</v>
      </c>
      <c r="G66" s="167" t="str">
        <f ca="1">'030523 INVENTARIO'!G66</f>
        <v>P05DA-0065</v>
      </c>
      <c r="H66" s="167" t="str">
        <f>'030523 INVENTARIO'!J66</f>
        <v>P05DA-0064</v>
      </c>
      <c r="I66" s="167" t="str">
        <f>'030523 INVENTARIO'!K66</f>
        <v>PB5DA-061</v>
      </c>
      <c r="J66" s="167" t="str">
        <f>'030523 INVENTARIO'!L66</f>
        <v>P0A-66</v>
      </c>
      <c r="K66" s="167" t="str">
        <f>'030523 INVENTARIO'!M66</f>
        <v>5120100005-5</v>
      </c>
      <c r="L66" s="168">
        <f>'030523 INVENTARIO'!N66</f>
        <v>0</v>
      </c>
      <c r="M66" s="168">
        <f>'030523 INVENTARIO'!O66</f>
        <v>0</v>
      </c>
      <c r="N66" s="168" t="str">
        <f>'030523 INVENTARIO'!P66</f>
        <v>OK</v>
      </c>
      <c r="O66" s="168" t="str">
        <f>'030523 INVENTARIO'!Q66</f>
        <v>S/M</v>
      </c>
      <c r="P66" s="167" t="str">
        <f>'030523 INVENTARIO'!R66</f>
        <v>S/M</v>
      </c>
      <c r="Q66" s="168" t="str">
        <f>'030523 INVENTARIO'!S66</f>
        <v>SIN SERIE</v>
      </c>
      <c r="R66" s="168" t="str">
        <f>'030523 INVENTARIO'!T66</f>
        <v>82DH0511010015000518532</v>
      </c>
    </row>
    <row r="67" spans="5:18">
      <c r="E67" s="167" t="str">
        <f>'030523 INVENTARIO'!E67</f>
        <v>PIZARRON</v>
      </c>
      <c r="F67" s="167" t="str">
        <f>'030523 INVENTARIO'!F67</f>
        <v>PIZARRON DE TELA</v>
      </c>
      <c r="G67" s="167" t="str">
        <f ca="1">'030523 INVENTARIO'!G67</f>
        <v>P05DA-0066</v>
      </c>
      <c r="H67" s="167" t="str">
        <f>'030523 INVENTARIO'!J67</f>
        <v>P05DA-0065</v>
      </c>
      <c r="I67" s="167" t="str">
        <f>'030523 INVENTARIO'!K67</f>
        <v>PB5DA-062</v>
      </c>
      <c r="J67" s="167" t="str">
        <f>'030523 INVENTARIO'!L67</f>
        <v>P0A-78</v>
      </c>
      <c r="K67" s="167" t="str">
        <f>'030523 INVENTARIO'!M67</f>
        <v>5290100025-7</v>
      </c>
      <c r="L67" s="168">
        <f>'030523 INVENTARIO'!N67</f>
        <v>0</v>
      </c>
      <c r="M67" s="168">
        <f>'030523 INVENTARIO'!O67</f>
        <v>0</v>
      </c>
      <c r="N67" s="168" t="str">
        <f>'030523 INVENTARIO'!P67</f>
        <v>OK</v>
      </c>
      <c r="O67" s="168" t="str">
        <f>'030523 INVENTARIO'!Q67</f>
        <v>S/M</v>
      </c>
      <c r="P67" s="167" t="str">
        <f>'030523 INVENTARIO'!R67</f>
        <v>S/M</v>
      </c>
      <c r="Q67" s="168" t="str">
        <f>'030523 INVENTARIO'!S67</f>
        <v>SIN SERIE</v>
      </c>
      <c r="R67" s="168" t="str">
        <f>'030523 INVENTARIO'!T67</f>
        <v>82DH0529030005000649521</v>
      </c>
    </row>
    <row r="68" spans="5:18">
      <c r="E68" s="167" t="str">
        <f>'030523 INVENTARIO'!E68</f>
        <v>COMPLEMENTARIO DE EQUIPO DE COMEDOR Y COCINA</v>
      </c>
      <c r="F68" s="167" t="str">
        <f>'030523 INVENTARIO'!F68</f>
        <v>TARJA</v>
      </c>
      <c r="G68" s="167" t="str">
        <f ca="1">'030523 INVENTARIO'!G68</f>
        <v>P05DA-0067</v>
      </c>
      <c r="H68" s="167" t="str">
        <f>'030523 INVENTARIO'!J68</f>
        <v>P05DA-0066</v>
      </c>
      <c r="I68" s="167" t="str">
        <f>'030523 INVENTARIO'!K68</f>
        <v>PB5DA-063</v>
      </c>
      <c r="J68" s="167" t="str">
        <f>'030523 INVENTARIO'!L68</f>
        <v>P0A-69</v>
      </c>
      <c r="K68" s="167" t="str">
        <f>'030523 INVENTARIO'!M68</f>
        <v>5120100001-6</v>
      </c>
      <c r="L68" s="168">
        <f>'030523 INVENTARIO'!N68</f>
        <v>0</v>
      </c>
      <c r="M68" s="168">
        <f>'030523 INVENTARIO'!O68</f>
        <v>0</v>
      </c>
      <c r="N68" s="168" t="str">
        <f>'030523 INVENTARIO'!P68</f>
        <v>OK</v>
      </c>
      <c r="O68" s="168" t="str">
        <f>'030523 INVENTARIO'!Q68</f>
        <v>S/M</v>
      </c>
      <c r="P68" s="167" t="str">
        <f>'030523 INVENTARIO'!R68</f>
        <v>S/M</v>
      </c>
      <c r="Q68" s="168" t="str">
        <f>'030523 INVENTARIO'!S68</f>
        <v>SIN SERIE</v>
      </c>
      <c r="R68" s="168" t="str">
        <f>'030523 INVENTARIO'!T68</f>
        <v>SIN RESGUARDO</v>
      </c>
    </row>
    <row r="69" spans="5:18">
      <c r="E69" s="167" t="str">
        <f>'030523 INVENTARIO'!E69</f>
        <v>ESTANTE O ANAQUEL</v>
      </c>
      <c r="F69" s="167" t="str">
        <f>'030523 INVENTARIO'!F69</f>
        <v>ANAQUEL GRIS DE 2 PUERTAS 180X84X50</v>
      </c>
      <c r="G69" s="167" t="str">
        <f ca="1">'030523 INVENTARIO'!G69</f>
        <v>P05RM-0068</v>
      </c>
      <c r="H69" s="167" t="str">
        <f>'030523 INVENTARIO'!J69</f>
        <v>P05RM-0067</v>
      </c>
      <c r="I69" s="167" t="str">
        <f>'030523 INVENTARIO'!K69</f>
        <v>PB5RM-001</v>
      </c>
      <c r="J69" s="167" t="str">
        <f>'030523 INVENTARIO'!L69</f>
        <v>POAR-34</v>
      </c>
      <c r="K69" s="167" t="str">
        <f>'030523 INVENTARIO'!M69</f>
        <v>5290300001-22</v>
      </c>
      <c r="L69" s="168">
        <f>'030523 INVENTARIO'!N69</f>
        <v>0</v>
      </c>
      <c r="M69" s="168">
        <f>'030523 INVENTARIO'!O69</f>
        <v>0</v>
      </c>
      <c r="N69" s="168" t="str">
        <f>'030523 INVENTARIO'!P69</f>
        <v>OK</v>
      </c>
      <c r="O69" s="168" t="str">
        <f>'030523 INVENTARIO'!Q69</f>
        <v>S/M</v>
      </c>
      <c r="P69" s="167" t="str">
        <f>'030523 INVENTARIO'!R69</f>
        <v>S/M</v>
      </c>
      <c r="Q69" s="168" t="str">
        <f>'030523 INVENTARIO'!S69</f>
        <v>SIN SERIE</v>
      </c>
      <c r="R69" s="168" t="str">
        <f>'030523 INVENTARIO'!T69</f>
        <v>82DK0511010009000584144</v>
      </c>
    </row>
    <row r="70" spans="5:18">
      <c r="E70" s="167" t="str">
        <f>'030523 INVENTARIO'!E70</f>
        <v>ESTANTE O ANAQUEL</v>
      </c>
      <c r="F70" s="167" t="str">
        <f>'030523 INVENTARIO'!F70</f>
        <v>ANAQUEL GRIS DE 2 PUERTAS 160X88X40</v>
      </c>
      <c r="G70" s="167" t="str">
        <f ca="1">'030523 INVENTARIO'!G70</f>
        <v>P05RM-0069</v>
      </c>
      <c r="H70" s="167" t="str">
        <f>'030523 INVENTARIO'!J70</f>
        <v>P05RM-0068</v>
      </c>
      <c r="I70" s="167" t="str">
        <f>'030523 INVENTARIO'!K70</f>
        <v>PB5RM-002</v>
      </c>
      <c r="J70" s="167" t="str">
        <f>'030523 INVENTARIO'!L70</f>
        <v>POAR-33</v>
      </c>
      <c r="K70" s="167" t="str">
        <f>'030523 INVENTARIO'!M70</f>
        <v>5290300001-23</v>
      </c>
      <c r="L70" s="168">
        <f>'030523 INVENTARIO'!N70</f>
        <v>0</v>
      </c>
      <c r="M70" s="168">
        <f>'030523 INVENTARIO'!O70</f>
        <v>0</v>
      </c>
      <c r="N70" s="168" t="str">
        <f>'030523 INVENTARIO'!P70</f>
        <v>OK</v>
      </c>
      <c r="O70" s="168" t="str">
        <f>'030523 INVENTARIO'!Q70</f>
        <v>S/M</v>
      </c>
      <c r="P70" s="167" t="str">
        <f>'030523 INVENTARIO'!R70</f>
        <v>S/M</v>
      </c>
      <c r="Q70" s="168" t="str">
        <f>'030523 INVENTARIO'!S70</f>
        <v>SIN SERIE</v>
      </c>
      <c r="R70" s="168" t="str">
        <f>'030523 INVENTARIO'!T70</f>
        <v>82DK0511010001000649470</v>
      </c>
    </row>
    <row r="71" spans="5:18">
      <c r="E71" s="167" t="str">
        <f>'030523 INVENTARIO'!E71</f>
        <v>ARCHIVERO</v>
      </c>
      <c r="F71" s="167" t="str">
        <f>'030523 INVENTARIO'!F71</f>
        <v>ARCHIVERO DE MADERA DE 3 CAJONES 92X49X60</v>
      </c>
      <c r="G71" s="167" t="str">
        <f ca="1">'030523 INVENTARIO'!G71</f>
        <v>P05RM-0070</v>
      </c>
      <c r="H71" s="167" t="str">
        <f>'030523 INVENTARIO'!J71</f>
        <v>P05RM-0069</v>
      </c>
      <c r="I71" s="167" t="str">
        <f>'030523 INVENTARIO'!K71</f>
        <v>PB5RM-003</v>
      </c>
      <c r="J71" s="167" t="str">
        <f>'030523 INVENTARIO'!L71</f>
        <v>POAR-32</v>
      </c>
      <c r="K71" s="167" t="str">
        <f>'030523 INVENTARIO'!M71</f>
        <v>5130100013-37</v>
      </c>
      <c r="L71" s="168">
        <f>'030523 INVENTARIO'!N71</f>
        <v>0</v>
      </c>
      <c r="M71" s="168">
        <f>'030523 INVENTARIO'!O71</f>
        <v>0</v>
      </c>
      <c r="N71" s="168" t="str">
        <f>'030523 INVENTARIO'!P71</f>
        <v>OK</v>
      </c>
      <c r="O71" s="168" t="str">
        <f>'030523 INVENTARIO'!Q71</f>
        <v>S/M</v>
      </c>
      <c r="P71" s="167" t="str">
        <f>'030523 INVENTARIO'!R71</f>
        <v>S/M</v>
      </c>
      <c r="Q71" s="168" t="str">
        <f>'030523 INVENTARIO'!S71</f>
        <v>SIN SERIE</v>
      </c>
      <c r="R71" s="168" t="str">
        <f>'030523 INVENTARIO'!T71</f>
        <v>82DK0511010001000581678</v>
      </c>
    </row>
    <row r="72" spans="5:18">
      <c r="E72" s="167" t="str">
        <f>'030523 INVENTARIO'!E72</f>
        <v>MESA</v>
      </c>
      <c r="F72" s="167" t="str">
        <f>'030523 INVENTARIO'!F72</f>
        <v>MESA DE MADERA COLOR CAOBA CHICA 75X60</v>
      </c>
      <c r="G72" s="167" t="str">
        <f ca="1">'030523 INVENTARIO'!G72</f>
        <v>P05RM-0071</v>
      </c>
      <c r="H72" s="167" t="str">
        <f>'030523 INVENTARIO'!J72</f>
        <v>P05RM-0070</v>
      </c>
      <c r="I72" s="167" t="str">
        <f>'030523 INVENTARIO'!K72</f>
        <v>PB5RM-004</v>
      </c>
      <c r="J72" s="167" t="str">
        <f>'030523 INVENTARIO'!L72</f>
        <v>POAR-35</v>
      </c>
      <c r="K72" s="167" t="str">
        <f>'030523 INVENTARIO'!M72</f>
        <v>5120100007-115</v>
      </c>
      <c r="L72" s="168">
        <f>'030523 INVENTARIO'!N72</f>
        <v>0</v>
      </c>
      <c r="M72" s="168">
        <f>'030523 INVENTARIO'!O72</f>
        <v>0</v>
      </c>
      <c r="N72" s="168" t="str">
        <f>'030523 INVENTARIO'!P72</f>
        <v>OK</v>
      </c>
      <c r="O72" s="168" t="str">
        <f>'030523 INVENTARIO'!Q72</f>
        <v>S/M</v>
      </c>
      <c r="P72" s="167" t="str">
        <f>'030523 INVENTARIO'!R72</f>
        <v>S/M</v>
      </c>
      <c r="Q72" s="168" t="str">
        <f>'030523 INVENTARIO'!S72</f>
        <v>SIN SERIE</v>
      </c>
      <c r="R72" s="168" t="str">
        <f>'030523 INVENTARIO'!T72</f>
        <v>82DK0511010010000649464</v>
      </c>
    </row>
    <row r="73" spans="5:18">
      <c r="E73" s="167" t="str">
        <f>'030523 INVENTARIO'!E73</f>
        <v>ESCRITORIO</v>
      </c>
      <c r="F73" s="167" t="str">
        <f>'030523 INVENTARIO'!F73</f>
        <v>ESCRITORIO DE MADERA DE 2 PIEZAS TIPO "L"</v>
      </c>
      <c r="G73" s="167" t="str">
        <f ca="1">'030523 INVENTARIO'!G73</f>
        <v>P05RM-0072</v>
      </c>
      <c r="H73" s="167" t="str">
        <f>'030523 INVENTARIO'!J73</f>
        <v>P05RM-0071</v>
      </c>
      <c r="I73" s="167" t="str">
        <f>'030523 INVENTARIO'!K73</f>
        <v>PB5RM-005</v>
      </c>
      <c r="J73" s="167" t="str">
        <f>'030523 INVENTARIO'!L73</f>
        <v>POAR-27</v>
      </c>
      <c r="K73" s="167" t="str">
        <f>'030523 INVENTARIO'!M73</f>
        <v>5110100015-67</v>
      </c>
      <c r="L73" s="168">
        <f>'030523 INVENTARIO'!N73</f>
        <v>0</v>
      </c>
      <c r="M73" s="168">
        <f>'030523 INVENTARIO'!O73</f>
        <v>0</v>
      </c>
      <c r="N73" s="168" t="str">
        <f>'030523 INVENTARIO'!P73</f>
        <v>OK</v>
      </c>
      <c r="O73" s="168" t="str">
        <f>'030523 INVENTARIO'!Q73</f>
        <v>S/M</v>
      </c>
      <c r="P73" s="167" t="str">
        <f>'030523 INVENTARIO'!R73</f>
        <v>S/M</v>
      </c>
      <c r="Q73" s="168" t="str">
        <f>'030523 INVENTARIO'!S73</f>
        <v>SIN SERIE</v>
      </c>
      <c r="R73" s="168" t="str">
        <f>'030523 INVENTARIO'!T73</f>
        <v>82DK0511010006000649463</v>
      </c>
    </row>
    <row r="74" spans="5:18">
      <c r="E74" s="167" t="str">
        <f>'030523 INVENTARIO'!E74</f>
        <v>SILLA</v>
      </c>
      <c r="F74" s="167" t="str">
        <f>'030523 INVENTARIO'!F74</f>
        <v>SILLA NEGRA DE TELA</v>
      </c>
      <c r="G74" s="167" t="str">
        <f ca="1">'030523 INVENTARIO'!G74</f>
        <v>P05RM-0073</v>
      </c>
      <c r="H74" s="167" t="str">
        <f>'030523 INVENTARIO'!J74</f>
        <v>P05RM-0072</v>
      </c>
      <c r="I74" s="167" t="str">
        <f>'030523 INVENTARIO'!K74</f>
        <v>PB5RM-006</v>
      </c>
      <c r="J74" s="167" t="str">
        <f>'030523 INVENTARIO'!L74</f>
        <v>POAR-38</v>
      </c>
      <c r="K74" s="167" t="str">
        <f>'030523 INVENTARIO'!M74</f>
        <v>5110100011-105</v>
      </c>
      <c r="L74" s="168">
        <f>'030523 INVENTARIO'!N74</f>
        <v>0</v>
      </c>
      <c r="M74" s="168">
        <f>'030523 INVENTARIO'!O74</f>
        <v>0</v>
      </c>
      <c r="N74" s="168" t="str">
        <f>'030523 INVENTARIO'!P74</f>
        <v>OK</v>
      </c>
      <c r="O74" s="168" t="str">
        <f>'030523 INVENTARIO'!Q74</f>
        <v>S/M</v>
      </c>
      <c r="P74" s="167" t="str">
        <f>'030523 INVENTARIO'!R74</f>
        <v>S/M</v>
      </c>
      <c r="Q74" s="168" t="str">
        <f>'030523 INVENTARIO'!S74</f>
        <v>SIN SERIE</v>
      </c>
      <c r="R74" s="168" t="str">
        <f>'030523 INVENTARIO'!T74</f>
        <v>82DK0511010017000516337</v>
      </c>
    </row>
    <row r="75" spans="5:18">
      <c r="E75" s="167" t="str">
        <f>'030523 INVENTARIO'!E75</f>
        <v>SILLA</v>
      </c>
      <c r="F75" s="167" t="str">
        <f>'030523 INVENTARIO'!F75</f>
        <v>SILLA NEGRA DE TELA</v>
      </c>
      <c r="G75" s="167" t="str">
        <f ca="1">'030523 INVENTARIO'!G75</f>
        <v>P05RM-0074</v>
      </c>
      <c r="H75" s="167" t="str">
        <f>'030523 INVENTARIO'!J75</f>
        <v>P05RM-0073</v>
      </c>
      <c r="I75" s="167" t="str">
        <f>'030523 INVENTARIO'!K75</f>
        <v>PB5RM-007</v>
      </c>
      <c r="J75" s="167" t="str">
        <f>'030523 INVENTARIO'!L75</f>
        <v>POAR-39</v>
      </c>
      <c r="K75" s="167" t="str">
        <f>'030523 INVENTARIO'!M75</f>
        <v>5110100011-106</v>
      </c>
      <c r="L75" s="168">
        <f>'030523 INVENTARIO'!N75</f>
        <v>0</v>
      </c>
      <c r="M75" s="168">
        <f>'030523 INVENTARIO'!O75</f>
        <v>0</v>
      </c>
      <c r="N75" s="168" t="str">
        <f>'030523 INVENTARIO'!P75</f>
        <v>OK</v>
      </c>
      <c r="O75" s="168" t="str">
        <f>'030523 INVENTARIO'!Q75</f>
        <v>S/M</v>
      </c>
      <c r="P75" s="167" t="str">
        <f>'030523 INVENTARIO'!R75</f>
        <v>S/M</v>
      </c>
      <c r="Q75" s="168" t="str">
        <f>'030523 INVENTARIO'!S75</f>
        <v>SIN SERIE</v>
      </c>
      <c r="R75" s="168" t="str">
        <f>'030523 INVENTARIO'!T75</f>
        <v>82DK0511010017000649473</v>
      </c>
    </row>
    <row r="76" spans="5:18">
      <c r="E76" s="167" t="str">
        <f>'030523 INVENTARIO'!E76</f>
        <v>MONITOR</v>
      </c>
      <c r="F76" s="167" t="str">
        <f>'030523 INVENTARIO'!F76</f>
        <v>MONITOR 19.5"</v>
      </c>
      <c r="G76" s="167" t="str">
        <f ca="1">'030523 INVENTARIO'!G76</f>
        <v>P05RM-0075</v>
      </c>
      <c r="H76" s="167" t="str">
        <f>'030523 INVENTARIO'!J76</f>
        <v>P05RM-0074</v>
      </c>
      <c r="I76" s="167" t="str">
        <f>'030523 INVENTARIO'!K76</f>
        <v>PB5RM-008</v>
      </c>
      <c r="J76" s="167" t="str">
        <f>'030523 INVENTARIO'!L76</f>
        <v>POAR-30</v>
      </c>
      <c r="K76" s="167" t="str">
        <f>'030523 INVENTARIO'!M76</f>
        <v>ALTA</v>
      </c>
      <c r="L76" s="168">
        <f>'030523 INVENTARIO'!N76</f>
        <v>0</v>
      </c>
      <c r="M76" s="168">
        <f>'030523 INVENTARIO'!O76</f>
        <v>0</v>
      </c>
      <c r="N76" s="168" t="str">
        <f>'030523 INVENTARIO'!P76</f>
        <v>REPETIDO</v>
      </c>
      <c r="O76" s="168" t="str">
        <f>'030523 INVENTARIO'!Q76</f>
        <v>GHIA</v>
      </c>
      <c r="P76" s="167" t="str">
        <f>'030523 INVENTARIO'!R76</f>
        <v>MG2017</v>
      </c>
      <c r="Q76" s="168" t="str">
        <f>'030523 INVENTARIO'!S76</f>
        <v>SIN SERIE</v>
      </c>
      <c r="R76" s="167" t="str">
        <f>'030523 INVENTARIO'!T76</f>
        <v>82DK0515010013000650654</v>
      </c>
    </row>
    <row r="77" spans="5:18">
      <c r="E77" s="167" t="str">
        <f>'030523 INVENTARIO'!E77</f>
        <v>COMPUTADORA DE ESCRITORIO</v>
      </c>
      <c r="F77" s="167" t="str">
        <f>'030523 INVENTARIO'!F77</f>
        <v>COMPUTADORA DE ESCRITORIO</v>
      </c>
      <c r="G77" s="167" t="str">
        <f ca="1">'030523 INVENTARIO'!G77</f>
        <v>P05RM-0076</v>
      </c>
      <c r="H77" s="167" t="str">
        <f>'030523 INVENTARIO'!J77</f>
        <v>P05RM-0075</v>
      </c>
      <c r="I77" s="167" t="str">
        <f>'030523 INVENTARIO'!K77</f>
        <v>PB5RM-009</v>
      </c>
      <c r="J77" s="167" t="str">
        <f>'030523 INVENTARIO'!L77</f>
        <v>POAR-28</v>
      </c>
      <c r="K77" s="167" t="str">
        <f>'030523 INVENTARIO'!M77</f>
        <v>5150100005-66</v>
      </c>
      <c r="L77" s="168">
        <f>'030523 INVENTARIO'!N77</f>
        <v>0</v>
      </c>
      <c r="M77" s="168">
        <f>'030523 INVENTARIO'!O77</f>
        <v>0</v>
      </c>
      <c r="N77" s="168" t="str">
        <f>'030523 INVENTARIO'!P77</f>
        <v>OK</v>
      </c>
      <c r="O77" s="168" t="str">
        <f>'030523 INVENTARIO'!Q77</f>
        <v>GHIA</v>
      </c>
      <c r="P77" s="167">
        <f>'030523 INVENTARIO'!R77</f>
        <v>2378</v>
      </c>
      <c r="Q77" s="168" t="str">
        <f>'030523 INVENTARIO'!S77</f>
        <v>337841</v>
      </c>
      <c r="R77" s="168" t="str">
        <f>'030523 INVENTARIO'!T77</f>
        <v>82DK0515010001000650658</v>
      </c>
    </row>
    <row r="78" spans="5:18">
      <c r="E78" s="167" t="str">
        <f>'030523 INVENTARIO'!E78</f>
        <v>MONITOR</v>
      </c>
      <c r="F78" s="167" t="str">
        <f>'030523 INVENTARIO'!F78</f>
        <v>MONITOR 19.5"</v>
      </c>
      <c r="G78" s="167" t="str">
        <f ca="1">'030523 INVENTARIO'!G78</f>
        <v>P05RM-0077</v>
      </c>
      <c r="H78" s="167" t="str">
        <f>'030523 INVENTARIO'!J78</f>
        <v>P05RM-0076</v>
      </c>
      <c r="I78" s="167" t="str">
        <f>'030523 INVENTARIO'!K78</f>
        <v>PB5RM-010</v>
      </c>
      <c r="J78" s="167" t="str">
        <f>'030523 INVENTARIO'!L78</f>
        <v>POAR-29</v>
      </c>
      <c r="K78" s="167" t="str">
        <f>'030523 INVENTARIO'!M78</f>
        <v>5210100012-49</v>
      </c>
      <c r="L78" s="168">
        <f>'030523 INVENTARIO'!N78</f>
        <v>0</v>
      </c>
      <c r="M78" s="168">
        <f>'030523 INVENTARIO'!O78</f>
        <v>0</v>
      </c>
      <c r="N78" s="168" t="str">
        <f>'030523 INVENTARIO'!P78</f>
        <v>OK</v>
      </c>
      <c r="O78" s="168" t="str">
        <f>'030523 INVENTARIO'!Q78</f>
        <v>GHIA</v>
      </c>
      <c r="P78" s="167" t="str">
        <f>'030523 INVENTARIO'!R78</f>
        <v>MG2017</v>
      </c>
      <c r="Q78" s="168" t="str">
        <f>'030523 INVENTARIO'!S78</f>
        <v>CMG201718013680011</v>
      </c>
      <c r="R78" s="167" t="str">
        <f>'030523 INVENTARIO'!T78</f>
        <v>82DK0515010013000650648</v>
      </c>
    </row>
    <row r="79" spans="5:18">
      <c r="E79" s="167" t="str">
        <f>'030523 INVENTARIO'!E79</f>
        <v>REGULADOR DE VOLTAJE</v>
      </c>
      <c r="F79" s="168" t="str">
        <f>'030523 INVENTARIO'!F79</f>
        <v>REGULADOR</v>
      </c>
      <c r="G79" s="167" t="str">
        <f ca="1">'030523 INVENTARIO'!G79</f>
        <v>P05RM-0078</v>
      </c>
      <c r="H79" s="167" t="str">
        <f>'030523 INVENTARIO'!J79</f>
        <v>P05RM-0077</v>
      </c>
      <c r="I79" s="167" t="str">
        <f>'030523 INVENTARIO'!K79</f>
        <v>PB5RM-011</v>
      </c>
      <c r="J79" s="167" t="str">
        <f>'030523 INVENTARIO'!L79</f>
        <v>POAR-37</v>
      </c>
      <c r="K79" s="167" t="str">
        <f>'030523 INVENTARIO'!M79</f>
        <v>5660100057-20</v>
      </c>
      <c r="L79" s="168">
        <f>'030523 INVENTARIO'!N79</f>
        <v>0</v>
      </c>
      <c r="M79" s="168">
        <f>'030523 INVENTARIO'!O79</f>
        <v>0</v>
      </c>
      <c r="N79" s="168" t="str">
        <f>'030523 INVENTARIO'!P79</f>
        <v>OK</v>
      </c>
      <c r="O79" s="168" t="str">
        <f>'030523 INVENTARIO'!Q79</f>
        <v>KOBLENZ</v>
      </c>
      <c r="P79" s="167" t="str">
        <f>'030523 INVENTARIO'!R79</f>
        <v>RS/1400I</v>
      </c>
      <c r="Q79" s="168" t="str">
        <f>'030523 INVENTARIO'!S79</f>
        <v>16-10-39223</v>
      </c>
      <c r="R79" s="168" t="str">
        <f>'030523 INVENTARIO'!T79</f>
        <v>82DK0515010020000650894</v>
      </c>
    </row>
    <row r="80" spans="5:18">
      <c r="E80" s="167" t="str">
        <f>'030523 INVENTARIO'!E80</f>
        <v>MESA</v>
      </c>
      <c r="F80" s="167" t="str">
        <f>'030523 INVENTARIO'!F80</f>
        <v>MESA DE MADERA CHICA 66X40</v>
      </c>
      <c r="G80" s="167" t="str">
        <f ca="1">'030523 INVENTARIO'!G80</f>
        <v>P05RM-0079</v>
      </c>
      <c r="H80" s="167" t="str">
        <f>'030523 INVENTARIO'!J80</f>
        <v>P05RM-0078</v>
      </c>
      <c r="I80" s="167" t="str">
        <f>'030523 INVENTARIO'!K80</f>
        <v>PB5RM-012</v>
      </c>
      <c r="J80" s="167" t="str">
        <f>'030523 INVENTARIO'!L80</f>
        <v>POAR-36</v>
      </c>
      <c r="K80" s="167" t="str">
        <f>'030523 INVENTARIO'!M80</f>
        <v>5120100007-39</v>
      </c>
      <c r="L80" s="168">
        <f>'030523 INVENTARIO'!N80</f>
        <v>0</v>
      </c>
      <c r="M80" s="168">
        <f>'030523 INVENTARIO'!O80</f>
        <v>0</v>
      </c>
      <c r="N80" s="168" t="str">
        <f>'030523 INVENTARIO'!P80</f>
        <v>OK</v>
      </c>
      <c r="O80" s="168" t="str">
        <f>'030523 INVENTARIO'!Q80</f>
        <v>S/M</v>
      </c>
      <c r="P80" s="167" t="str">
        <f>'030523 INVENTARIO'!R80</f>
        <v>S/M</v>
      </c>
      <c r="Q80" s="168" t="str">
        <f>'030523 INVENTARIO'!S80</f>
        <v>SIN SERIE</v>
      </c>
      <c r="R80" s="168" t="str">
        <f>'030523 INVENTARIO'!T80</f>
        <v>82DH0511010010000649757</v>
      </c>
    </row>
    <row r="81" spans="5:18">
      <c r="E81" s="167" t="str">
        <f>'030523 INVENTARIO'!E81</f>
        <v>SILLON</v>
      </c>
      <c r="F81" s="167" t="str">
        <f>'030523 INVENTARIO'!F81</f>
        <v>SILLON NEGRO  CON RUEDAS</v>
      </c>
      <c r="G81" s="167" t="str">
        <f ca="1">'030523 INVENTARIO'!G81</f>
        <v>P05RM-0080</v>
      </c>
      <c r="H81" s="167" t="str">
        <f>'030523 INVENTARIO'!J81</f>
        <v>P05RM-0079</v>
      </c>
      <c r="I81" s="167" t="str">
        <f>'030523 INVENTARIO'!K81</f>
        <v>PB5RM-013</v>
      </c>
      <c r="J81" s="167" t="str">
        <f>'030523 INVENTARIO'!L81</f>
        <v>POAR-41</v>
      </c>
      <c r="K81" s="167" t="str">
        <f>'030523 INVENTARIO'!M81</f>
        <v>5120100009-59</v>
      </c>
      <c r="L81" s="168">
        <f>'030523 INVENTARIO'!N81</f>
        <v>0</v>
      </c>
      <c r="M81" s="168">
        <f>'030523 INVENTARIO'!O81</f>
        <v>0</v>
      </c>
      <c r="N81" s="168" t="str">
        <f>'030523 INVENTARIO'!P81</f>
        <v>OK</v>
      </c>
      <c r="O81" s="168" t="str">
        <f>'030523 INVENTARIO'!Q81</f>
        <v>S/M</v>
      </c>
      <c r="P81" s="167" t="str">
        <f>'030523 INVENTARIO'!R81</f>
        <v>S/M</v>
      </c>
      <c r="Q81" s="168" t="str">
        <f>'030523 INVENTARIO'!S81</f>
        <v>SIN SERIE</v>
      </c>
      <c r="R81" s="168" t="str">
        <f>'030523 INVENTARIO'!T81</f>
        <v>82DK0511010016000649465</v>
      </c>
    </row>
    <row r="82" spans="5:18">
      <c r="E82" s="167" t="str">
        <f>'030523 INVENTARIO'!E82</f>
        <v>TELEFONO</v>
      </c>
      <c r="F82" s="167" t="str">
        <f>'030523 INVENTARIO'!F82</f>
        <v>TELEFONO</v>
      </c>
      <c r="G82" s="167" t="str">
        <f ca="1">'030523 INVENTARIO'!G82</f>
        <v>P05RM-0081</v>
      </c>
      <c r="H82" s="167" t="str">
        <f>'030523 INVENTARIO'!J82</f>
        <v>P05RM-0080</v>
      </c>
      <c r="I82" s="167" t="str">
        <f>'030523 INVENTARIO'!K82</f>
        <v>PB5RM-014</v>
      </c>
      <c r="J82" s="167" t="str">
        <f>'030523 INVENTARIO'!L82</f>
        <v>POAR-51</v>
      </c>
      <c r="K82" s="167" t="str">
        <f>'030523 INVENTARIO'!M82</f>
        <v>ALTA</v>
      </c>
      <c r="L82" s="168">
        <f>'030523 INVENTARIO'!N82</f>
        <v>0</v>
      </c>
      <c r="M82" s="168">
        <f>'030523 INVENTARIO'!O82</f>
        <v>0</v>
      </c>
      <c r="N82" s="168" t="str">
        <f>'030523 INVENTARIO'!P82</f>
        <v>REPETIDO</v>
      </c>
      <c r="O82" s="168" t="str">
        <f>'030523 INVENTARIO'!Q82</f>
        <v>CISCO</v>
      </c>
      <c r="P82" s="167" t="str">
        <f>'030523 INVENTARIO'!R82</f>
        <v>SPA504G</v>
      </c>
      <c r="Q82" s="168" t="str">
        <f>'030523 INVENTARIO'!S82</f>
        <v>CCQ17280CNA</v>
      </c>
      <c r="R82" s="168" t="str">
        <f>'030523 INVENTARIO'!T82</f>
        <v>SIN RESGUARDO</v>
      </c>
    </row>
    <row r="83" spans="5:18">
      <c r="E83" s="167" t="str">
        <f>'030523 INVENTARIO'!E83</f>
        <v>VENTILADOR</v>
      </c>
      <c r="F83" s="167" t="str">
        <f>'030523 INVENTARIO'!F83</f>
        <v>VENTILADOR BEIGE DE PEDESTAL</v>
      </c>
      <c r="G83" s="167" t="str">
        <f ca="1">'030523 INVENTARIO'!G83</f>
        <v>P05RM-0082</v>
      </c>
      <c r="H83" s="167" t="str">
        <f>'030523 INVENTARIO'!J83</f>
        <v>P05RM-0081</v>
      </c>
      <c r="I83" s="167" t="str">
        <f>'030523 INVENTARIO'!K83</f>
        <v>PB5RM-015</v>
      </c>
      <c r="J83" s="167" t="str">
        <f>'030523 INVENTARIO'!L83</f>
        <v>POAR-31</v>
      </c>
      <c r="K83" s="167" t="str">
        <f>'030523 INVENTARIO'!M83</f>
        <v>5190200002-45</v>
      </c>
      <c r="L83" s="168">
        <f>'030523 INVENTARIO'!N83</f>
        <v>0</v>
      </c>
      <c r="M83" s="168">
        <f>'030523 INVENTARIO'!O83</f>
        <v>0</v>
      </c>
      <c r="N83" s="168" t="str">
        <f>'030523 INVENTARIO'!P83</f>
        <v>OK</v>
      </c>
      <c r="O83" s="168" t="str">
        <f>'030523 INVENTARIO'!Q83</f>
        <v>BLACK &amp; DECKER</v>
      </c>
      <c r="P83" s="167" t="str">
        <f>'030523 INVENTARIO'!R83</f>
        <v>LP4016</v>
      </c>
      <c r="Q83" s="168" t="str">
        <f>'030523 INVENTARIO'!S83</f>
        <v>BDV16PM</v>
      </c>
      <c r="R83" s="168" t="str">
        <f>'030523 INVENTARIO'!T83</f>
        <v>82DK0531010094000581182</v>
      </c>
    </row>
    <row r="84" spans="5:18">
      <c r="E84" s="167" t="str">
        <f>'030523 INVENTARIO'!E84</f>
        <v>COMPUTADORA DE ESCRITORIO</v>
      </c>
      <c r="F84" s="167" t="str">
        <f>'030523 INVENTARIO'!F84</f>
        <v>COMPUTADORA TODO EN UNO BLANCO</v>
      </c>
      <c r="G84" s="167" t="str">
        <f ca="1">'030523 INVENTARIO'!G84</f>
        <v>P05RM-0083</v>
      </c>
      <c r="H84" s="167" t="str">
        <f>'030523 INVENTARIO'!J84</f>
        <v>P05RM-0082</v>
      </c>
      <c r="I84" s="167" t="str">
        <f>'030523 INVENTARIO'!K84</f>
        <v>PB5RM-016</v>
      </c>
      <c r="J84" s="167" t="str">
        <f>'030523 INVENTARIO'!L84</f>
        <v>P1P-32 A</v>
      </c>
      <c r="K84" s="167" t="str">
        <f>'030523 INVENTARIO'!M84</f>
        <v>5150100005-46</v>
      </c>
      <c r="L84" s="168">
        <f>'030523 INVENTARIO'!N84</f>
        <v>0</v>
      </c>
      <c r="M84" s="168">
        <f>'030523 INVENTARIO'!O84</f>
        <v>0</v>
      </c>
      <c r="N84" s="168" t="str">
        <f>'030523 INVENTARIO'!P84</f>
        <v>OK</v>
      </c>
      <c r="O84" s="168" t="str">
        <f>'030523 INVENTARIO'!Q84</f>
        <v>LENOVO</v>
      </c>
      <c r="P84" s="167" t="str">
        <f>'030523 INVENTARIO'!R84</f>
        <v>C240</v>
      </c>
      <c r="Q84" s="167" t="str">
        <f>'030523 INVENTARIO'!S84</f>
        <v>CS01273371</v>
      </c>
      <c r="R84" s="167" t="str">
        <f>'030523 INVENTARIO'!T84</f>
        <v>82DI0515010003000649493</v>
      </c>
    </row>
    <row r="85" spans="5:18">
      <c r="E85" s="167" t="str">
        <f>'030523 INVENTARIO'!E85</f>
        <v>MULTIFUNCIONAL</v>
      </c>
      <c r="F85" s="167" t="str">
        <f>'030523 INVENTARIO'!F85</f>
        <v>MULTIFUNCIONAL NEGRO</v>
      </c>
      <c r="G85" s="167" t="str">
        <f ca="1">'030523 INVENTARIO'!G85</f>
        <v>P05RM-0084</v>
      </c>
      <c r="H85" s="167" t="str">
        <f>'030523 INVENTARIO'!J85</f>
        <v>P05RM-0083</v>
      </c>
      <c r="I85" s="167" t="str">
        <f>'030523 INVENTARIO'!K85</f>
        <v>PB5RM-017</v>
      </c>
      <c r="J85" s="167" t="str">
        <f>'030523 INVENTARIO'!L85</f>
        <v>P0A-96</v>
      </c>
      <c r="K85" s="167" t="str">
        <f>'030523 INVENTARIO'!M85</f>
        <v>5190100027-5</v>
      </c>
      <c r="L85" s="168">
        <f>'030523 INVENTARIO'!N85</f>
        <v>0</v>
      </c>
      <c r="M85" s="168">
        <f>'030523 INVENTARIO'!O85</f>
        <v>0</v>
      </c>
      <c r="N85" s="168" t="str">
        <f>'030523 INVENTARIO'!P85</f>
        <v>OK</v>
      </c>
      <c r="O85" s="168" t="str">
        <f>'030523 INVENTARIO'!Q85</f>
        <v>HP</v>
      </c>
      <c r="P85" s="167" t="str">
        <f>'030523 INVENTARIO'!R85</f>
        <v>OFFICEJET 8710</v>
      </c>
      <c r="Q85" s="168" t="str">
        <f>'030523 INVENTARIO'!S85</f>
        <v>CN634BM0F0</v>
      </c>
      <c r="R85" s="168" t="str">
        <f>'030523 INVENTARIO'!T85</f>
        <v>82DH0515010014000649522</v>
      </c>
    </row>
    <row r="86" spans="5:18">
      <c r="E86" s="167" t="str">
        <f>'030523 INVENTARIO'!E86</f>
        <v>MONITOR</v>
      </c>
      <c r="F86" s="167" t="str">
        <f>'030523 INVENTARIO'!F86</f>
        <v>MONITOR 15.6"</v>
      </c>
      <c r="G86" s="167" t="str">
        <f ca="1">'030523 INVENTARIO'!G86</f>
        <v>P05RM-0085</v>
      </c>
      <c r="H86" s="167" t="str">
        <f>'030523 INVENTARIO'!J86</f>
        <v>P05RM-0084</v>
      </c>
      <c r="I86" s="167" t="str">
        <f>'030523 INVENTARIO'!K86</f>
        <v>PB5RM-018</v>
      </c>
      <c r="J86" s="167" t="str">
        <f>'030523 INVENTARIO'!L86</f>
        <v>POAR-47</v>
      </c>
      <c r="K86" s="168" t="str">
        <f>'030523 INVENTARIO'!M86</f>
        <v>5210100012-19</v>
      </c>
      <c r="L86" s="168">
        <f>'030523 INVENTARIO'!N86</f>
        <v>0</v>
      </c>
      <c r="M86" s="168">
        <f>'030523 INVENTARIO'!O86</f>
        <v>0</v>
      </c>
      <c r="N86" s="168" t="str">
        <f>'030523 INVENTARIO'!P86</f>
        <v>OK</v>
      </c>
      <c r="O86" s="168" t="str">
        <f>'030523 INVENTARIO'!Q86</f>
        <v>SAMSUNG</v>
      </c>
      <c r="P86" s="167" t="str">
        <f>'030523 INVENTARIO'!R86</f>
        <v>632NW</v>
      </c>
      <c r="Q86" s="167" t="str">
        <f>'030523 INVENTARIO'!S86</f>
        <v>PE16H9NQ212081E</v>
      </c>
      <c r="R86" s="168" t="str">
        <f>'030523 INVENTARIO'!T86</f>
        <v>82DK0511010017000522763</v>
      </c>
    </row>
    <row r="87" spans="5:18">
      <c r="E87" s="167" t="str">
        <f>'030523 INVENTARIO'!E87</f>
        <v>MONITOR</v>
      </c>
      <c r="F87" s="167" t="str">
        <f>'030523 INVENTARIO'!F87</f>
        <v>MONITOR 15.6"</v>
      </c>
      <c r="G87" s="167" t="str">
        <f ca="1">'030523 INVENTARIO'!G87</f>
        <v>P05RM-0086</v>
      </c>
      <c r="H87" s="167" t="str">
        <f>'030523 INVENTARIO'!J87</f>
        <v>P05RM-0085</v>
      </c>
      <c r="I87" s="167" t="str">
        <f>'030523 INVENTARIO'!K87</f>
        <v>PB5RM-019</v>
      </c>
      <c r="J87" s="167" t="str">
        <f>'030523 INVENTARIO'!L87</f>
        <v>POAR-48</v>
      </c>
      <c r="K87" s="167" t="str">
        <f>'030523 INVENTARIO'!M87</f>
        <v>5210100012-61</v>
      </c>
      <c r="L87" s="168">
        <f>'030523 INVENTARIO'!N87</f>
        <v>0</v>
      </c>
      <c r="M87" s="168">
        <f>'030523 INVENTARIO'!O87</f>
        <v>0</v>
      </c>
      <c r="N87" s="168" t="str">
        <f>'030523 INVENTARIO'!P87</f>
        <v>OK</v>
      </c>
      <c r="O87" s="168" t="str">
        <f>'030523 INVENTARIO'!Q87</f>
        <v>SAMSUNG</v>
      </c>
      <c r="P87" s="167" t="str">
        <f>'030523 INVENTARIO'!R87</f>
        <v>632NW</v>
      </c>
      <c r="Q87" s="167" t="str">
        <f>'030523 INVENTARIO'!S87</f>
        <v>PE16H9NQ210115T</v>
      </c>
      <c r="R87" s="167" t="str">
        <f>'030523 INVENTARIO'!T87</f>
        <v>82DK0515010013000651086</v>
      </c>
    </row>
    <row r="88" spans="5:18">
      <c r="E88" s="167" t="str">
        <f>'030523 INVENTARIO'!E88</f>
        <v>MONITOR</v>
      </c>
      <c r="F88" s="167" t="str">
        <f>'030523 INVENTARIO'!F88</f>
        <v>MONITOR 19"</v>
      </c>
      <c r="G88" s="167" t="str">
        <f ca="1">'030523 INVENTARIO'!G88</f>
        <v>P05RH-0087</v>
      </c>
      <c r="H88" s="167" t="str">
        <f>'030523 INVENTARIO'!J88</f>
        <v>P05RM-0086</v>
      </c>
      <c r="I88" s="167" t="str">
        <f>'030523 INVENTARIO'!K88</f>
        <v>PB5RM-020</v>
      </c>
      <c r="J88" s="167" t="str">
        <f>'030523 INVENTARIO'!L88</f>
        <v>P1SI-21</v>
      </c>
      <c r="K88" s="167" t="str">
        <f>'030523 INVENTARIO'!M88</f>
        <v>5210100012-55</v>
      </c>
      <c r="L88" s="168">
        <f>'030523 INVENTARIO'!N88</f>
        <v>0</v>
      </c>
      <c r="M88" s="168">
        <f>'030523 INVENTARIO'!O88</f>
        <v>0</v>
      </c>
      <c r="N88" s="168" t="str">
        <f>'030523 INVENTARIO'!P88</f>
        <v>OK</v>
      </c>
      <c r="O88" s="168" t="str">
        <f>'030523 INVENTARIO'!Q88</f>
        <v>HP COMPAQ</v>
      </c>
      <c r="P88" s="167" t="str">
        <f>'030523 INVENTARIO'!R88</f>
        <v>WF1907</v>
      </c>
      <c r="Q88" s="168" t="str">
        <f>'030523 INVENTARIO'!S88</f>
        <v>CNC816Y3C5</v>
      </c>
      <c r="R88" s="168" t="str">
        <f>'030523 INVENTARIO'!T88</f>
        <v>82DH0565010041000530469</v>
      </c>
    </row>
    <row r="89" spans="5:18">
      <c r="E89" s="167" t="str">
        <f>'030523 INVENTARIO'!E89</f>
        <v>ESTANTE O ANAQUEL</v>
      </c>
      <c r="F89" s="167" t="str">
        <f>'030523 INVENTARIO'!F89</f>
        <v>ESTANTE DE METAL CON 4 CHAROLAS 221X92</v>
      </c>
      <c r="G89" s="167" t="str">
        <f ca="1">'030523 INVENTARIO'!G89</f>
        <v>P05RM-0088</v>
      </c>
      <c r="H89" s="167" t="str">
        <f>'030523 INVENTARIO'!J89</f>
        <v>P05RM-0087</v>
      </c>
      <c r="I89" s="167" t="str">
        <f>'030523 INVENTARIO'!K89</f>
        <v>PB5RM-021</v>
      </c>
      <c r="J89" s="167" t="str">
        <f>'030523 INVENTARIO'!L89</f>
        <v>POAR-14</v>
      </c>
      <c r="K89" s="167" t="str">
        <f>'030523 INVENTARIO'!M89</f>
        <v>5120100001-22</v>
      </c>
      <c r="L89" s="168">
        <f>'030523 INVENTARIO'!N89</f>
        <v>0</v>
      </c>
      <c r="M89" s="168">
        <f>'030523 INVENTARIO'!O89</f>
        <v>0</v>
      </c>
      <c r="N89" s="168" t="str">
        <f>'030523 INVENTARIO'!P89</f>
        <v>OK</v>
      </c>
      <c r="O89" s="168" t="str">
        <f>'030523 INVENTARIO'!Q89</f>
        <v>S/M</v>
      </c>
      <c r="P89" s="167" t="str">
        <f>'030523 INVENTARIO'!R89</f>
        <v>S/M</v>
      </c>
      <c r="Q89" s="168" t="str">
        <f>'030523 INVENTARIO'!S89</f>
        <v>SIN SERIE</v>
      </c>
      <c r="R89" s="168" t="str">
        <f>'030523 INVENTARIO'!T89</f>
        <v>82DK0511010028000584045</v>
      </c>
    </row>
    <row r="90" spans="5:18">
      <c r="E90" s="167" t="str">
        <f>'030523 INVENTARIO'!E90</f>
        <v>DISCO DURO</v>
      </c>
      <c r="F90" s="167" t="str">
        <f>'030523 INVENTARIO'!F90</f>
        <v>DISCO DURO EXTERNO 2TB COLOR AZUL</v>
      </c>
      <c r="G90" s="167" t="str">
        <f ca="1">'030523 INVENTARIO'!G90</f>
        <v>P05RM-0089</v>
      </c>
      <c r="H90" s="167" t="str">
        <f>'030523 INVENTARIO'!J90</f>
        <v>P05RM-0088</v>
      </c>
      <c r="I90" s="167" t="str">
        <f>'030523 INVENTARIO'!K90</f>
        <v>PB5RM-022</v>
      </c>
      <c r="J90" s="167">
        <f>'030523 INVENTARIO'!L90</f>
        <v>0</v>
      </c>
      <c r="K90" s="167" t="str">
        <f>'030523 INVENTARIO'!M90</f>
        <v>5150100006-17</v>
      </c>
      <c r="L90" s="168">
        <f>'030523 INVENTARIO'!N90</f>
        <v>0</v>
      </c>
      <c r="M90" s="168">
        <f>'030523 INVENTARIO'!O90</f>
        <v>0</v>
      </c>
      <c r="N90" s="168" t="str">
        <f>'030523 INVENTARIO'!P90</f>
        <v>OK</v>
      </c>
      <c r="O90" s="168" t="str">
        <f>'030523 INVENTARIO'!Q90</f>
        <v>ADATA</v>
      </c>
      <c r="P90" s="167" t="str">
        <f>'030523 INVENTARIO'!R90</f>
        <v>HV300</v>
      </c>
      <c r="Q90" s="167">
        <f>'030523 INVENTARIO'!S90</f>
        <v>194708563</v>
      </c>
      <c r="R90" s="167" t="str">
        <f>'030523 INVENTARIO'!T90</f>
        <v>SIN RESGUARDO</v>
      </c>
    </row>
    <row r="91" spans="5:18">
      <c r="E91" s="167" t="str">
        <f>'030523 INVENTARIO'!E91</f>
        <v>PIZARRON</v>
      </c>
      <c r="F91" s="167" t="str">
        <f>'030523 INVENTARIO'!F91</f>
        <v>PIZARRON CHICO 90X60</v>
      </c>
      <c r="G91" s="167" t="str">
        <f ca="1">'030523 INVENTARIO'!G91</f>
        <v>P05RM-0090</v>
      </c>
      <c r="H91" s="167" t="str">
        <f>'030523 INVENTARIO'!J91</f>
        <v>P05RM-0089</v>
      </c>
      <c r="I91" s="167" t="str">
        <f>'030523 INVENTARIO'!K91</f>
        <v>PB5RM-023</v>
      </c>
      <c r="J91" s="167">
        <f>'030523 INVENTARIO'!L91</f>
        <v>0</v>
      </c>
      <c r="K91" s="167" t="str">
        <f>'030523 INVENTARIO'!M91</f>
        <v>ALTA</v>
      </c>
      <c r="L91" s="168">
        <f>'030523 INVENTARIO'!N91</f>
        <v>0</v>
      </c>
      <c r="M91" s="168">
        <f>'030523 INVENTARIO'!O91</f>
        <v>0</v>
      </c>
      <c r="N91" s="168" t="str">
        <f>'030523 INVENTARIO'!P91</f>
        <v>REPETIDO</v>
      </c>
      <c r="O91" s="168" t="str">
        <f>'030523 INVENTARIO'!Q91</f>
        <v>S/M</v>
      </c>
      <c r="P91" s="167" t="str">
        <f>'030523 INVENTARIO'!R91</f>
        <v>S/M</v>
      </c>
      <c r="Q91" s="167" t="str">
        <f>'030523 INVENTARIO'!S91</f>
        <v>SIN SERIE</v>
      </c>
      <c r="R91" s="167" t="str">
        <f>'030523 INVENTARIO'!T91</f>
        <v>SIN RESGUARDO</v>
      </c>
    </row>
    <row r="92" spans="5:18">
      <c r="E92" s="167" t="str">
        <f>'030523 INVENTARIO'!E92</f>
        <v>MESA</v>
      </c>
      <c r="F92" s="167" t="str">
        <f>'030523 INVENTARIO'!F92</f>
        <v>MESA DE COPIADORA CON BASE DE METAL 120X60</v>
      </c>
      <c r="G92" s="167" t="str">
        <f ca="1">'030523 INVENTARIO'!G92</f>
        <v>P05RM-0091</v>
      </c>
      <c r="H92" s="167" t="str">
        <f>'030523 INVENTARIO'!J92</f>
        <v>P05RM-0090</v>
      </c>
      <c r="I92" s="167" t="str">
        <f>'030523 INVENTARIO'!K92</f>
        <v>PB5RM-024</v>
      </c>
      <c r="J92" s="167" t="str">
        <f>'030523 INVENTARIO'!L92</f>
        <v>P0A-82</v>
      </c>
      <c r="K92" s="167" t="str">
        <f>'030523 INVENTARIO'!M92</f>
        <v>5120100007-61</v>
      </c>
      <c r="L92" s="168">
        <f>'030523 INVENTARIO'!N92</f>
        <v>0</v>
      </c>
      <c r="M92" s="168">
        <f>'030523 INVENTARIO'!O92</f>
        <v>0</v>
      </c>
      <c r="N92" s="168" t="str">
        <f>'030523 INVENTARIO'!P92</f>
        <v>OK</v>
      </c>
      <c r="O92" s="168" t="str">
        <f>'030523 INVENTARIO'!Q92</f>
        <v>S/M</v>
      </c>
      <c r="P92" s="167" t="str">
        <f>'030523 INVENTARIO'!R92</f>
        <v>S/M</v>
      </c>
      <c r="Q92" s="168" t="str">
        <f>'030523 INVENTARIO'!S92</f>
        <v>SIN SERIE</v>
      </c>
      <c r="R92" s="168" t="str">
        <f>'030523 INVENTARIO'!T92</f>
        <v>82DK0531010065000564801</v>
      </c>
    </row>
    <row r="93" spans="5:18">
      <c r="E93" s="167" t="str">
        <f>'030523 INVENTARIO'!E93</f>
        <v>MESA</v>
      </c>
      <c r="F93" s="167" t="str">
        <f>'030523 INVENTARIO'!F93</f>
        <v>MESA DE MADERA CON BASE DE METAL CHICA 120X60</v>
      </c>
      <c r="G93" s="167" t="str">
        <f ca="1">'030523 INVENTARIO'!G93</f>
        <v>P05RM-0092</v>
      </c>
      <c r="H93" s="167" t="str">
        <f>'030523 INVENTARIO'!J93</f>
        <v>P05RM-0091</v>
      </c>
      <c r="I93" s="167" t="str">
        <f>'030523 INVENTARIO'!K93</f>
        <v>PB5RM-025</v>
      </c>
      <c r="J93" s="167" t="str">
        <f>'030523 INVENTARIO'!L93</f>
        <v>P0A-32</v>
      </c>
      <c r="K93" s="168" t="str">
        <f>'030523 INVENTARIO'!M93</f>
        <v>5120100007-119</v>
      </c>
      <c r="L93" s="168">
        <f>'030523 INVENTARIO'!N93</f>
        <v>0</v>
      </c>
      <c r="M93" s="168">
        <f>'030523 INVENTARIO'!O93</f>
        <v>0</v>
      </c>
      <c r="N93" s="168" t="str">
        <f>'030523 INVENTARIO'!P93</f>
        <v>OK</v>
      </c>
      <c r="O93" s="168" t="str">
        <f>'030523 INVENTARIO'!Q93</f>
        <v>S/M</v>
      </c>
      <c r="P93" s="167" t="str">
        <f>'030523 INVENTARIO'!R93</f>
        <v>S/M</v>
      </c>
      <c r="Q93" s="168" t="str">
        <f>'030523 INVENTARIO'!S93</f>
        <v>SIN SERIE</v>
      </c>
      <c r="R93" s="168" t="str">
        <f>'030523 INVENTARIO'!T93</f>
        <v>82DH0511010010000649532</v>
      </c>
    </row>
    <row r="94" spans="5:18">
      <c r="E94" s="167" t="str">
        <f>'030523 INVENTARIO'!E94</f>
        <v>MESA</v>
      </c>
      <c r="F94" s="167" t="str">
        <f>'030523 INVENTARIO'!F94</f>
        <v>MESA DE MADERA CON BASE DE METAL CAOBA 120X60</v>
      </c>
      <c r="G94" s="167" t="str">
        <f ca="1">'030523 INVENTARIO'!G94</f>
        <v>P05RM-0093</v>
      </c>
      <c r="H94" s="167" t="str">
        <f>'030523 INVENTARIO'!J94</f>
        <v>P05RM-0092</v>
      </c>
      <c r="I94" s="167" t="str">
        <f>'030523 INVENTARIO'!K94</f>
        <v>PB5RM-026</v>
      </c>
      <c r="J94" s="167" t="str">
        <f>'030523 INVENTARIO'!L94</f>
        <v>POAR-15</v>
      </c>
      <c r="K94" s="167" t="str">
        <f>'030523 INVENTARIO'!M94</f>
        <v>5120100007-74</v>
      </c>
      <c r="L94" s="168">
        <f>'030523 INVENTARIO'!N94</f>
        <v>0</v>
      </c>
      <c r="M94" s="168">
        <f>'030523 INVENTARIO'!O94</f>
        <v>0</v>
      </c>
      <c r="N94" s="168" t="str">
        <f>'030523 INVENTARIO'!P94</f>
        <v>OK</v>
      </c>
      <c r="O94" s="168" t="str">
        <f>'030523 INVENTARIO'!Q94</f>
        <v>S/M</v>
      </c>
      <c r="P94" s="167" t="str">
        <f>'030523 INVENTARIO'!R94</f>
        <v>S/M</v>
      </c>
      <c r="Q94" s="168" t="str">
        <f>'030523 INVENTARIO'!S94</f>
        <v>SIN SERIE</v>
      </c>
      <c r="R94" s="168" t="str">
        <f>'030523 INVENTARIO'!T94</f>
        <v>82DK0511010010000651098</v>
      </c>
    </row>
    <row r="95" spans="5:18">
      <c r="E95" s="167" t="str">
        <f>'030523 INVENTARIO'!E95</f>
        <v>MESA</v>
      </c>
      <c r="F95" s="167" t="str">
        <f>'030523 INVENTARIO'!F95</f>
        <v>MESA DE MADERA CON BASE DE METAL CHICA 80X60</v>
      </c>
      <c r="G95" s="167" t="str">
        <f ca="1">'030523 INVENTARIO'!G95</f>
        <v>P05DA-0094</v>
      </c>
      <c r="H95" s="167" t="str">
        <f>'030523 INVENTARIO'!J95</f>
        <v>P05RM-0093</v>
      </c>
      <c r="I95" s="167" t="str">
        <f>'030523 INVENTARIO'!K95</f>
        <v>PB5RM-027</v>
      </c>
      <c r="J95" s="167" t="str">
        <f>'030523 INVENTARIO'!L95</f>
        <v>P0A-115</v>
      </c>
      <c r="K95" s="167" t="str">
        <f>'030523 INVENTARIO'!M95</f>
        <v>5120100007-166</v>
      </c>
      <c r="L95" s="168">
        <f>'030523 INVENTARIO'!N95</f>
        <v>0</v>
      </c>
      <c r="M95" s="168">
        <f>'030523 INVENTARIO'!O95</f>
        <v>0</v>
      </c>
      <c r="N95" s="168" t="str">
        <f>'030523 INVENTARIO'!P95</f>
        <v>OK</v>
      </c>
      <c r="O95" s="168" t="str">
        <f>'030523 INVENTARIO'!Q95</f>
        <v>S/M</v>
      </c>
      <c r="P95" s="167" t="str">
        <f>'030523 INVENTARIO'!R95</f>
        <v>S/M</v>
      </c>
      <c r="Q95" s="168" t="str">
        <f>'030523 INVENTARIO'!S95</f>
        <v>SIN SERIE</v>
      </c>
      <c r="R95" s="168" t="str">
        <f>'030523 INVENTARIO'!T95</f>
        <v>82DK0531010065000564855</v>
      </c>
    </row>
    <row r="96" spans="5:18">
      <c r="E96" s="167" t="str">
        <f>'030523 INVENTARIO'!E96</f>
        <v>MESA</v>
      </c>
      <c r="F96" s="167" t="str">
        <f>'030523 INVENTARIO'!F96</f>
        <v>MESA/TABLON DE PLASTICO BLANCO 243X76</v>
      </c>
      <c r="G96" s="167" t="str">
        <f ca="1">'030523 INVENTARIO'!G96</f>
        <v>P05RM-0095</v>
      </c>
      <c r="H96" s="167" t="str">
        <f>'030523 INVENTARIO'!J96</f>
        <v>P05RM-0094</v>
      </c>
      <c r="I96" s="167" t="str">
        <f>'030523 INVENTARIO'!K96</f>
        <v>PB5RM-028</v>
      </c>
      <c r="J96" s="167" t="str">
        <f>'030523 INVENTARIO'!L96</f>
        <v>P0A-41</v>
      </c>
      <c r="K96" s="167" t="str">
        <f>'030523 INVENTARIO'!M96</f>
        <v>5120100007-160</v>
      </c>
      <c r="L96" s="168">
        <f>'030523 INVENTARIO'!N96</f>
        <v>0</v>
      </c>
      <c r="M96" s="168">
        <f>'030523 INVENTARIO'!O96</f>
        <v>0</v>
      </c>
      <c r="N96" s="168" t="str">
        <f>'030523 INVENTARIO'!P96</f>
        <v>OK</v>
      </c>
      <c r="O96" s="168" t="str">
        <f>'030523 INVENTARIO'!Q96</f>
        <v>S/M</v>
      </c>
      <c r="P96" s="167" t="str">
        <f>'030523 INVENTARIO'!R96</f>
        <v>S/M</v>
      </c>
      <c r="Q96" s="168" t="str">
        <f>'030523 INVENTARIO'!S96</f>
        <v>SIN SERIE</v>
      </c>
      <c r="R96" s="168" t="str">
        <f>'030523 INVENTARIO'!T96</f>
        <v>82DH0531010065000564880</v>
      </c>
    </row>
    <row r="97" spans="5:18">
      <c r="E97" s="167" t="str">
        <f>'030523 INVENTARIO'!E97</f>
        <v>MESA</v>
      </c>
      <c r="F97" s="167" t="str">
        <f>'030523 INVENTARIO'!F97</f>
        <v>MESA/TABLON DE PLASTICO BLANCO CHICA 120X60</v>
      </c>
      <c r="G97" s="167" t="str">
        <f ca="1">'030523 INVENTARIO'!G97</f>
        <v>P05RM-0096</v>
      </c>
      <c r="H97" s="167" t="str">
        <f>'030523 INVENTARIO'!J97</f>
        <v>P05RM-0095</v>
      </c>
      <c r="I97" s="167" t="str">
        <f>'030523 INVENTARIO'!K97</f>
        <v>PB5RM-029</v>
      </c>
      <c r="J97" s="167">
        <f>'030523 INVENTARIO'!L97</f>
        <v>0</v>
      </c>
      <c r="K97" s="167" t="str">
        <f>'030523 INVENTARIO'!M97</f>
        <v>ALTA</v>
      </c>
      <c r="L97" s="168">
        <f>'030523 INVENTARIO'!N97</f>
        <v>0</v>
      </c>
      <c r="M97" s="168">
        <f>'030523 INVENTARIO'!O97</f>
        <v>0</v>
      </c>
      <c r="N97" s="168" t="str">
        <f>'030523 INVENTARIO'!P97</f>
        <v>REPETIDO</v>
      </c>
      <c r="O97" s="168" t="str">
        <f>'030523 INVENTARIO'!Q97</f>
        <v>S/M</v>
      </c>
      <c r="P97" s="167" t="str">
        <f>'030523 INVENTARIO'!R97</f>
        <v>S/M</v>
      </c>
      <c r="Q97" s="167" t="str">
        <f>'030523 INVENTARIO'!S97</f>
        <v>SIN SERIE</v>
      </c>
      <c r="R97" s="167" t="str">
        <f>'030523 INVENTARIO'!T97</f>
        <v>SIN RESGUARDO</v>
      </c>
    </row>
    <row r="98" spans="5:18">
      <c r="E98" s="167" t="str">
        <f>'030523 INVENTARIO'!E98</f>
        <v>ESTANTE O ANAQUEL</v>
      </c>
      <c r="F98" s="167" t="str">
        <f>'030523 INVENTARIO'!F98</f>
        <v>ANAQUEL CREMA DE 2 PUERTAS 160X60X40</v>
      </c>
      <c r="G98" s="167" t="str">
        <f ca="1">'030523 INVENTARIO'!G98</f>
        <v>P05RM-0097</v>
      </c>
      <c r="H98" s="167" t="str">
        <f>'030523 INVENTARIO'!J98</f>
        <v>P05RM-0096</v>
      </c>
      <c r="I98" s="167" t="str">
        <f>'030523 INVENTARIO'!K98</f>
        <v>PB5RM-030</v>
      </c>
      <c r="J98" s="167" t="str">
        <f>'030523 INVENTARIO'!L98</f>
        <v>P0A-68</v>
      </c>
      <c r="K98" s="167" t="str">
        <f>'030523 INVENTARIO'!M98</f>
        <v>5290300001-17</v>
      </c>
      <c r="L98" s="168">
        <f>'030523 INVENTARIO'!N98</f>
        <v>0</v>
      </c>
      <c r="M98" s="168">
        <f>'030523 INVENTARIO'!O98</f>
        <v>0</v>
      </c>
      <c r="N98" s="168" t="str">
        <f>'030523 INVENTARIO'!P98</f>
        <v>OK</v>
      </c>
      <c r="O98" s="168" t="str">
        <f>'030523 INVENTARIO'!Q98</f>
        <v>S/M</v>
      </c>
      <c r="P98" s="167" t="str">
        <f>'030523 INVENTARIO'!R98</f>
        <v>S/M</v>
      </c>
      <c r="Q98" s="168" t="str">
        <f>'030523 INVENTARIO'!S98</f>
        <v>SIN SERIE</v>
      </c>
      <c r="R98" s="168" t="str">
        <f>'030523 INVENTARIO'!T98</f>
        <v>82DH0511010009000584143</v>
      </c>
    </row>
    <row r="99" spans="5:18">
      <c r="E99" s="167" t="str">
        <f>'030523 INVENTARIO'!E99</f>
        <v>COMPUTADORA DE ESCRITORIO</v>
      </c>
      <c r="F99" s="167" t="str">
        <f>'030523 INVENTARIO'!F99</f>
        <v>COMPUTADORA DE ESCRITORIO</v>
      </c>
      <c r="G99" s="167" t="str">
        <f ca="1">'030523 INVENTARIO'!G99</f>
        <v>P05RM-0098</v>
      </c>
      <c r="H99" s="167" t="str">
        <f>'030523 INVENTARIO'!J99</f>
        <v>P05RM-0097</v>
      </c>
      <c r="I99" s="167" t="str">
        <f>'030523 INVENTARIO'!K99</f>
        <v>PB5RM-031</v>
      </c>
      <c r="J99" s="167" t="str">
        <f>'030523 INVENTARIO'!L99</f>
        <v>P0A-5</v>
      </c>
      <c r="K99" s="167" t="str">
        <f>'030523 INVENTARIO'!M99</f>
        <v>5150100005-48</v>
      </c>
      <c r="L99" s="168">
        <f>'030523 INVENTARIO'!N99</f>
        <v>0</v>
      </c>
      <c r="M99" s="168">
        <f>'030523 INVENTARIO'!O99</f>
        <v>0</v>
      </c>
      <c r="N99" s="168" t="str">
        <f>'030523 INVENTARIO'!P99</f>
        <v>OK</v>
      </c>
      <c r="O99" s="168" t="str">
        <f>'030523 INVENTARIO'!Q99</f>
        <v>HP</v>
      </c>
      <c r="P99" s="167" t="str">
        <f>'030523 INVENTARIO'!R99</f>
        <v>DC7800</v>
      </c>
      <c r="Q99" s="168" t="str">
        <f>'030523 INVENTARIO'!S99</f>
        <v>MXJ819034C</v>
      </c>
      <c r="R99" s="168" t="str">
        <f>'030523 INVENTARIO'!T99</f>
        <v>82DH0515010001000535436</v>
      </c>
    </row>
    <row r="100" spans="5:18">
      <c r="E100" s="167" t="str">
        <f>'030523 INVENTARIO'!E100</f>
        <v>COMPUTADORA DE ESCRITORIO</v>
      </c>
      <c r="F100" s="167" t="str">
        <f>'030523 INVENTARIO'!F100</f>
        <v>COMPUTADORA TODO EN UNO BLANCA</v>
      </c>
      <c r="G100" s="167" t="str">
        <f ca="1">'030523 INVENTARIO'!G100</f>
        <v>P05RM-0099</v>
      </c>
      <c r="H100" s="167" t="str">
        <f>'030523 INVENTARIO'!J100</f>
        <v>P05RM-0098</v>
      </c>
      <c r="I100" s="167" t="str">
        <f>'030523 INVENTARIO'!K100</f>
        <v>PB5RM-032</v>
      </c>
      <c r="J100" s="167" t="str">
        <f>'030523 INVENTARIO'!L100</f>
        <v>P2N-2</v>
      </c>
      <c r="K100" s="168" t="str">
        <f>'030523 INVENTARIO'!M100</f>
        <v>ALTA</v>
      </c>
      <c r="L100" s="168">
        <f>'030523 INVENTARIO'!N100</f>
        <v>0</v>
      </c>
      <c r="M100" s="168">
        <f>'030523 INVENTARIO'!O100</f>
        <v>0</v>
      </c>
      <c r="N100" s="168" t="str">
        <f>'030523 INVENTARIO'!P100</f>
        <v>REPETIDO</v>
      </c>
      <c r="O100" s="168" t="str">
        <f>'030523 INVENTARIO'!Q100</f>
        <v>HP</v>
      </c>
      <c r="P100" s="167" t="str">
        <f>'030523 INVENTARIO'!R100</f>
        <v>20-E002LA RTL8188EENF</v>
      </c>
      <c r="Q100" s="168" t="str">
        <f>'030523 INVENTARIO'!S100</f>
        <v>8CC5390N8C</v>
      </c>
      <c r="R100" s="167" t="str">
        <f>'030523 INVENTARIO'!T100</f>
        <v>82DH0515010003000649764</v>
      </c>
    </row>
    <row r="101" spans="5:18">
      <c r="E101" s="167" t="str">
        <f>'030523 INVENTARIO'!E101</f>
        <v>COMPUTADORA DE ESCRITORIO</v>
      </c>
      <c r="F101" s="167" t="str">
        <f>'030523 INVENTARIO'!F101</f>
        <v>COMPUTADORA DE ESCRITORIO</v>
      </c>
      <c r="G101" s="167" t="str">
        <f ca="1">'030523 INVENTARIO'!G101</f>
        <v>P05RM-0100</v>
      </c>
      <c r="H101" s="167" t="str">
        <f>'030523 INVENTARIO'!J101</f>
        <v>P05RM-0099</v>
      </c>
      <c r="I101" s="167" t="str">
        <f>'030523 INVENTARIO'!K101</f>
        <v>PB5RM-033</v>
      </c>
      <c r="J101" s="167" t="str">
        <f>'030523 INVENTARIO'!L101</f>
        <v>P1SI-95</v>
      </c>
      <c r="K101" s="168" t="str">
        <f>'030523 INVENTARIO'!M101</f>
        <v>ALTA</v>
      </c>
      <c r="L101" s="168">
        <f>'030523 INVENTARIO'!N101</f>
        <v>0</v>
      </c>
      <c r="M101" s="168">
        <f>'030523 INVENTARIO'!O101</f>
        <v>0</v>
      </c>
      <c r="N101" s="168" t="str">
        <f>'030523 INVENTARIO'!P101</f>
        <v>REPETIDO</v>
      </c>
      <c r="O101" s="168" t="str">
        <f>'030523 INVENTARIO'!Q101</f>
        <v>HP</v>
      </c>
      <c r="P101" s="167" t="str">
        <f>'030523 INVENTARIO'!R101</f>
        <v>DC7800</v>
      </c>
      <c r="Q101" s="168" t="str">
        <f>'030523 INVENTARIO'!S101</f>
        <v>MXJ84200G1</v>
      </c>
      <c r="R101" s="168" t="str">
        <f>'030523 INVENTARIO'!T101</f>
        <v>82DI0515010001000539017</v>
      </c>
    </row>
    <row r="102" spans="5:18">
      <c r="E102" s="167" t="str">
        <f>'030523 INVENTARIO'!E102</f>
        <v>COMPUTADORA DE ESCRITORIO</v>
      </c>
      <c r="F102" s="167" t="str">
        <f>'030523 INVENTARIO'!F102</f>
        <v>COMPUTADORA DE ESCRITORIO</v>
      </c>
      <c r="G102" s="167" t="str">
        <f ca="1">'030523 INVENTARIO'!G102</f>
        <v>P05RM-0101</v>
      </c>
      <c r="H102" s="167" t="str">
        <f>'030523 INVENTARIO'!J102</f>
        <v>P05RM-0100</v>
      </c>
      <c r="I102" s="167" t="str">
        <f>'030523 INVENTARIO'!K102</f>
        <v>PB5RM-034</v>
      </c>
      <c r="J102" s="167">
        <f>'030523 INVENTARIO'!L102</f>
        <v>0</v>
      </c>
      <c r="K102" s="167" t="str">
        <f>'030523 INVENTARIO'!M102</f>
        <v>5150100005-37</v>
      </c>
      <c r="L102" s="168">
        <f>'030523 INVENTARIO'!N102</f>
        <v>0</v>
      </c>
      <c r="M102" s="168">
        <f>'030523 INVENTARIO'!O102</f>
        <v>0</v>
      </c>
      <c r="N102" s="168" t="str">
        <f>'030523 INVENTARIO'!P102</f>
        <v>OK</v>
      </c>
      <c r="O102" s="168" t="str">
        <f>'030523 INVENTARIO'!Q102</f>
        <v>HP</v>
      </c>
      <c r="P102" s="167" t="str">
        <f>'030523 INVENTARIO'!R102</f>
        <v>DC7800</v>
      </c>
      <c r="Q102" s="167" t="str">
        <f>'030523 INVENTARIO'!S102</f>
        <v>MXJ8190365</v>
      </c>
      <c r="R102" s="167" t="str">
        <f>'030523 INVENTARIO'!T102</f>
        <v>82DH0515010001000535454</v>
      </c>
    </row>
    <row r="103" spans="5:18">
      <c r="E103" s="167" t="str">
        <f>'030523 INVENTARIO'!E103</f>
        <v>COMPUTADORA DE ESCRITORIO</v>
      </c>
      <c r="F103" s="167" t="str">
        <f>'030523 INVENTARIO'!F103</f>
        <v>COMPUTADORA DE ESCRITORIO</v>
      </c>
      <c r="G103" s="167" t="str">
        <f ca="1">'030523 INVENTARIO'!G103</f>
        <v>P05RM-0102</v>
      </c>
      <c r="H103" s="167" t="str">
        <f>'030523 INVENTARIO'!J103</f>
        <v>P05RM-0101</v>
      </c>
      <c r="I103" s="167" t="str">
        <f>'030523 INVENTARIO'!K103</f>
        <v>PB5RM-035</v>
      </c>
      <c r="J103" s="167" t="str">
        <f>'030523 INVENTARIO'!L103</f>
        <v>P2A-36</v>
      </c>
      <c r="K103" s="168" t="str">
        <f>'030523 INVENTARIO'!M103</f>
        <v>ALTA</v>
      </c>
      <c r="L103" s="168">
        <f>'030523 INVENTARIO'!N103</f>
        <v>0</v>
      </c>
      <c r="M103" s="168">
        <f>'030523 INVENTARIO'!O103</f>
        <v>0</v>
      </c>
      <c r="N103" s="168" t="str">
        <f>'030523 INVENTARIO'!P103</f>
        <v>REPETIDO</v>
      </c>
      <c r="O103" s="168" t="str">
        <f>'030523 INVENTARIO'!Q103</f>
        <v>HP</v>
      </c>
      <c r="P103" s="167" t="str">
        <f>'030523 INVENTARIO'!R103</f>
        <v>DC7800</v>
      </c>
      <c r="Q103" s="168" t="str">
        <f>'030523 INVENTARIO'!S103</f>
        <v>MXJ8190350</v>
      </c>
      <c r="R103" s="168" t="str">
        <f>'030523 INVENTARIO'!T103</f>
        <v>82DH0515010001000539039</v>
      </c>
    </row>
    <row r="104" spans="5:18">
      <c r="E104" s="167" t="str">
        <f>'030523 INVENTARIO'!E104</f>
        <v>REGULADOR DE VOLTAJE</v>
      </c>
      <c r="F104" s="167" t="str">
        <f>'030523 INVENTARIO'!F104</f>
        <v>REGULADOR NEGRO</v>
      </c>
      <c r="G104" s="167" t="str">
        <f ca="1">'030523 INVENTARIO'!G104</f>
        <v>P05RM-0103</v>
      </c>
      <c r="H104" s="167" t="str">
        <f>'030523 INVENTARIO'!J104</f>
        <v>P05RM-0102</v>
      </c>
      <c r="I104" s="167" t="str">
        <f>'030523 INVENTARIO'!K104</f>
        <v>PB5RM-036</v>
      </c>
      <c r="J104" s="167">
        <f>'030523 INVENTARIO'!L104</f>
        <v>0</v>
      </c>
      <c r="K104" s="167" t="str">
        <f>'030523 INVENTARIO'!M104</f>
        <v>ALTA</v>
      </c>
      <c r="L104" s="168">
        <f>'030523 INVENTARIO'!N104</f>
        <v>0</v>
      </c>
      <c r="M104" s="168">
        <f>'030523 INVENTARIO'!O104</f>
        <v>0</v>
      </c>
      <c r="N104" s="168" t="str">
        <f>'030523 INVENTARIO'!P104</f>
        <v>REPETIDO</v>
      </c>
      <c r="O104" s="168" t="str">
        <f>'030523 INVENTARIO'!Q104</f>
        <v>APC</v>
      </c>
      <c r="P104" s="167" t="str">
        <f>'030523 INVENTARIO'!R104</f>
        <v>BE350G-LM</v>
      </c>
      <c r="Q104" s="167" t="str">
        <f>'030523 INVENTARIO'!S104</f>
        <v>4B1439P1139</v>
      </c>
      <c r="R104" s="167" t="str">
        <f>'030523 INVENTARIO'!T104</f>
        <v>SIN RESGUARDO</v>
      </c>
    </row>
    <row r="105" spans="5:18">
      <c r="E105" s="167" t="str">
        <f>'030523 INVENTARIO'!E105</f>
        <v>SILLA</v>
      </c>
      <c r="F105" s="167" t="str">
        <f>'030523 INVENTARIO'!F105</f>
        <v>SILLA DE MADERA PEQUEÑA</v>
      </c>
      <c r="G105" s="167" t="str">
        <f ca="1">'030523 INVENTARIO'!G105</f>
        <v>P05RM-0104</v>
      </c>
      <c r="H105" s="167" t="str">
        <f>'030523 INVENTARIO'!J105</f>
        <v>P05RM-0103</v>
      </c>
      <c r="I105" s="167" t="str">
        <f>'030523 INVENTARIO'!K105</f>
        <v>PB5RM-037</v>
      </c>
      <c r="J105" s="167">
        <f>'030523 INVENTARIO'!L105</f>
        <v>0</v>
      </c>
      <c r="K105" s="167" t="str">
        <f>'030523 INVENTARIO'!M105</f>
        <v>ALTA</v>
      </c>
      <c r="L105" s="168">
        <f>'030523 INVENTARIO'!N105</f>
        <v>0</v>
      </c>
      <c r="M105" s="168">
        <f>'030523 INVENTARIO'!O105</f>
        <v>0</v>
      </c>
      <c r="N105" s="168" t="str">
        <f>'030523 INVENTARIO'!P105</f>
        <v>REPETIDO</v>
      </c>
      <c r="O105" s="168" t="str">
        <f>'030523 INVENTARIO'!Q105</f>
        <v>S/M</v>
      </c>
      <c r="P105" s="167" t="str">
        <f>'030523 INVENTARIO'!R105</f>
        <v>S/M</v>
      </c>
      <c r="Q105" s="167" t="str">
        <f>'030523 INVENTARIO'!S105</f>
        <v>SIN SERIE</v>
      </c>
      <c r="R105" s="167" t="str">
        <f>'030523 INVENTARIO'!T105</f>
        <v>SIN RESGUARDO</v>
      </c>
    </row>
    <row r="106" spans="5:18">
      <c r="E106" s="167" t="str">
        <f>'030523 INVENTARIO'!E106</f>
        <v>ESCALERA</v>
      </c>
      <c r="F106" s="168" t="str">
        <f>'030523 INVENTARIO'!F106</f>
        <v>ESCALERA DE DOS ESCALONES</v>
      </c>
      <c r="G106" s="167" t="str">
        <f ca="1">'030523 INVENTARIO'!G106</f>
        <v>P05RM-0105</v>
      </c>
      <c r="H106" s="167" t="str">
        <f>'030523 INVENTARIO'!J106</f>
        <v>P05RM-0104</v>
      </c>
      <c r="I106" s="167" t="str">
        <f>'030523 INVENTARIO'!K106</f>
        <v>PB5RM-038</v>
      </c>
      <c r="J106" s="167" t="str">
        <f>'030523 INVENTARIO'!L106</f>
        <v>POAR-46</v>
      </c>
      <c r="K106" s="167" t="str">
        <f>'030523 INVENTARIO'!M106</f>
        <v>ALTA</v>
      </c>
      <c r="L106" s="168">
        <f>'030523 INVENTARIO'!N106</f>
        <v>0</v>
      </c>
      <c r="M106" s="168">
        <f>'030523 INVENTARIO'!O106</f>
        <v>0</v>
      </c>
      <c r="N106" s="168" t="str">
        <f>'030523 INVENTARIO'!P106</f>
        <v>REPETIDO</v>
      </c>
      <c r="O106" s="168" t="str">
        <f>'030523 INVENTARIO'!Q106</f>
        <v>CUPRUM</v>
      </c>
      <c r="P106" s="167" t="str">
        <f>'030523 INVENTARIO'!R106</f>
        <v>S/M</v>
      </c>
      <c r="Q106" s="167" t="str">
        <f>'030523 INVENTARIO'!S106</f>
        <v>SIN SERIE</v>
      </c>
      <c r="R106" s="168" t="str">
        <f>'030523 INVENTARIO'!T106</f>
        <v>82DK0567010020000566042</v>
      </c>
    </row>
    <row r="107" spans="5:18">
      <c r="E107" s="167" t="str">
        <f>'030523 INVENTARIO'!E107</f>
        <v>GUILLOTINA</v>
      </c>
      <c r="F107" s="167" t="str">
        <f>'030523 INVENTARIO'!F107</f>
        <v>GUILLOTINA</v>
      </c>
      <c r="G107" s="167" t="str">
        <f ca="1">'030523 INVENTARIO'!G107</f>
        <v>P05DA-0106</v>
      </c>
      <c r="H107" s="167" t="str">
        <f>'030523 INVENTARIO'!J107</f>
        <v>P05RM-0105</v>
      </c>
      <c r="I107" s="167" t="str">
        <f>'030523 INVENTARIO'!K107</f>
        <v>PB5RM-039</v>
      </c>
      <c r="J107" s="167" t="str">
        <f>'030523 INVENTARIO'!L107</f>
        <v>DA-01</v>
      </c>
      <c r="K107" s="168" t="str">
        <f>'030523 INVENTARIO'!M107</f>
        <v>ALTA</v>
      </c>
      <c r="L107" s="168">
        <f>'030523 INVENTARIO'!N107</f>
        <v>0</v>
      </c>
      <c r="M107" s="168">
        <f>'030523 INVENTARIO'!O107</f>
        <v>0</v>
      </c>
      <c r="N107" s="168" t="str">
        <f>'030523 INVENTARIO'!P107</f>
        <v>REPETIDO</v>
      </c>
      <c r="O107" s="168" t="str">
        <f>'030523 INVENTARIO'!Q107</f>
        <v>S/M</v>
      </c>
      <c r="P107" s="167" t="str">
        <f>'030523 INVENTARIO'!R107</f>
        <v>S/M</v>
      </c>
      <c r="Q107" s="168" t="str">
        <f>'030523 INVENTARIO'!S107</f>
        <v>SIN SERIE</v>
      </c>
      <c r="R107" s="168" t="str">
        <f>'030523 INVENTARIO'!T107</f>
        <v>82DH0519010025000566156</v>
      </c>
    </row>
    <row r="108" spans="5:18">
      <c r="E108" s="167" t="str">
        <f>'030523 INVENTARIO'!E108</f>
        <v>ENGARGOLADORA</v>
      </c>
      <c r="F108" s="168" t="str">
        <f>'030523 INVENTARIO'!F108</f>
        <v>ENGARGOLADORA METAL GRIS</v>
      </c>
      <c r="G108" s="167" t="str">
        <f ca="1">'030523 INVENTARIO'!G108</f>
        <v>P05DA-0107</v>
      </c>
      <c r="H108" s="167" t="str">
        <f>'030523 INVENTARIO'!J108</f>
        <v>P05RM-0106</v>
      </c>
      <c r="I108" s="167" t="str">
        <f>'030523 INVENTARIO'!K108</f>
        <v>PB5RM-040</v>
      </c>
      <c r="J108" s="167" t="str">
        <f>'030523 INVENTARIO'!L108</f>
        <v>P0A-112</v>
      </c>
      <c r="K108" s="167" t="str">
        <f>'030523 INVENTARIO'!M108</f>
        <v>5290300001-28</v>
      </c>
      <c r="L108" s="168">
        <f>'030523 INVENTARIO'!N108</f>
        <v>0</v>
      </c>
      <c r="M108" s="168">
        <f>'030523 INVENTARIO'!O108</f>
        <v>0</v>
      </c>
      <c r="N108" s="168" t="str">
        <f>'030523 INVENTARIO'!P108</f>
        <v>OK</v>
      </c>
      <c r="O108" s="168" t="str">
        <f>'030523 INVENTARIO'!Q108</f>
        <v>GBC</v>
      </c>
      <c r="P108" s="167" t="str">
        <f>'030523 INVENTARIO'!R108</f>
        <v>KOMBO</v>
      </c>
      <c r="Q108" s="167" t="str">
        <f>'030523 INVENTARIO'!S108</f>
        <v>QDP0234</v>
      </c>
      <c r="R108" s="167" t="str">
        <f>'030523 INVENTARIO'!T108</f>
        <v>82DH0519010017000565655</v>
      </c>
    </row>
    <row r="109" spans="5:18">
      <c r="E109" s="167" t="str">
        <f>'030523 INVENTARIO'!E109</f>
        <v>MESA</v>
      </c>
      <c r="F109" s="167" t="str">
        <f>'030523 INVENTARIO'!F109</f>
        <v>MESA/TABLON PEGABLE CHICA 120X60</v>
      </c>
      <c r="G109" s="167" t="str">
        <f ca="1">'030523 INVENTARIO'!G109</f>
        <v>P05DA-0108</v>
      </c>
      <c r="H109" s="167" t="str">
        <f>'030523 INVENTARIO'!J109</f>
        <v>P05RM-0107</v>
      </c>
      <c r="I109" s="167" t="str">
        <f>'030523 INVENTARIO'!K109</f>
        <v>PB5RM-041</v>
      </c>
      <c r="J109" s="167" t="str">
        <f>'030523 INVENTARIO'!L109</f>
        <v>POAR-17</v>
      </c>
      <c r="K109" s="167" t="str">
        <f>'030523 INVENTARIO'!M109</f>
        <v>5120100007-153</v>
      </c>
      <c r="L109" s="168">
        <f>'030523 INVENTARIO'!N109</f>
        <v>0</v>
      </c>
      <c r="M109" s="168">
        <f>'030523 INVENTARIO'!O109</f>
        <v>0</v>
      </c>
      <c r="N109" s="168" t="str">
        <f>'030523 INVENTARIO'!P109</f>
        <v>OK</v>
      </c>
      <c r="O109" s="168" t="str">
        <f>'030523 INVENTARIO'!Q109</f>
        <v>S/M</v>
      </c>
      <c r="P109" s="167" t="str">
        <f>'030523 INVENTARIO'!R109</f>
        <v>S/M</v>
      </c>
      <c r="Q109" s="168" t="str">
        <f>'030523 INVENTARIO'!S109</f>
        <v>SIN SERIE</v>
      </c>
      <c r="R109" s="168" t="str">
        <f>'030523 INVENTARIO'!T109</f>
        <v>82DK0531010065000564787</v>
      </c>
    </row>
    <row r="110" spans="5:18">
      <c r="E110" s="167" t="str">
        <f>'030523 INVENTARIO'!E110</f>
        <v>MESA</v>
      </c>
      <c r="F110" s="167" t="str">
        <f>'030523 INVENTARIO'!F110</f>
        <v>MESA DE MADERA CON BASE DE METAL 120X60</v>
      </c>
      <c r="G110" s="167" t="str">
        <f ca="1">'030523 INVENTARIO'!G110</f>
        <v>P03CV-0109</v>
      </c>
      <c r="H110" s="167" t="str">
        <f>'030523 INVENTARIO'!J110</f>
        <v>P05RM-0108</v>
      </c>
      <c r="I110" s="167" t="str">
        <f>'030523 INVENTARIO'!K110</f>
        <v>PB5RM-042</v>
      </c>
      <c r="J110" s="167" t="str">
        <f>'030523 INVENTARIO'!L110</f>
        <v>P0A-113</v>
      </c>
      <c r="K110" s="167" t="str">
        <f>'030523 INVENTARIO'!M110</f>
        <v>5110100015-68</v>
      </c>
      <c r="L110" s="168">
        <f>'030523 INVENTARIO'!N110</f>
        <v>0</v>
      </c>
      <c r="M110" s="168">
        <f>'030523 INVENTARIO'!O110</f>
        <v>0</v>
      </c>
      <c r="N110" s="168" t="str">
        <f>'030523 INVENTARIO'!P110</f>
        <v>OK</v>
      </c>
      <c r="O110" s="168" t="str">
        <f>'030523 INVENTARIO'!Q110</f>
        <v>S/M</v>
      </c>
      <c r="P110" s="167" t="str">
        <f>'030523 INVENTARIO'!R110</f>
        <v>S/M</v>
      </c>
      <c r="Q110" s="168" t="str">
        <f>'030523 INVENTARIO'!S110</f>
        <v>SIN SERIE</v>
      </c>
      <c r="R110" s="168" t="str">
        <f>'030523 INVENTARIO'!T110</f>
        <v>82DH0531010065000564848</v>
      </c>
    </row>
    <row r="111" spans="5:18">
      <c r="E111" s="167" t="str">
        <f>'030523 INVENTARIO'!E111</f>
        <v>SILLA</v>
      </c>
      <c r="F111" s="167" t="str">
        <f>'030523 INVENTARIO'!F111</f>
        <v>SILLA DE TELA NEGRA FIJA</v>
      </c>
      <c r="G111" s="167" t="str">
        <f ca="1">'030523 INVENTARIO'!G111</f>
        <v>P05DA-0110</v>
      </c>
      <c r="H111" s="167" t="str">
        <f>'030523 INVENTARIO'!J111</f>
        <v>P05RM-0109</v>
      </c>
      <c r="I111" s="167" t="str">
        <f>'030523 INVENTARIO'!K111</f>
        <v>PB5RM-043</v>
      </c>
      <c r="J111" s="167" t="str">
        <f>'030523 INVENTARIO'!L111</f>
        <v>P0CV-17</v>
      </c>
      <c r="K111" s="167" t="str">
        <f>'030523 INVENTARIO'!M111</f>
        <v>5110100011-73</v>
      </c>
      <c r="L111" s="168">
        <f>'030523 INVENTARIO'!N111</f>
        <v>0</v>
      </c>
      <c r="M111" s="168">
        <f>'030523 INVENTARIO'!O111</f>
        <v>0</v>
      </c>
      <c r="N111" s="168" t="str">
        <f>'030523 INVENTARIO'!P111</f>
        <v>OK</v>
      </c>
      <c r="O111" s="168" t="str">
        <f>'030523 INVENTARIO'!Q111</f>
        <v>S/M</v>
      </c>
      <c r="P111" s="167" t="str">
        <f>'030523 INVENTARIO'!R111</f>
        <v>S/M</v>
      </c>
      <c r="Q111" s="168" t="str">
        <f>'030523 INVENTARIO'!S111</f>
        <v>SIN SERIE</v>
      </c>
      <c r="R111" s="168" t="str">
        <f>'030523 INVENTARIO'!T111</f>
        <v>82DK0511010017000522806</v>
      </c>
    </row>
    <row r="112" spans="5:18">
      <c r="E112" s="167" t="str">
        <f>'030523 INVENTARIO'!E112</f>
        <v>VENTILADOR</v>
      </c>
      <c r="F112" s="167" t="str">
        <f>'030523 INVENTARIO'!F112</f>
        <v>VENTILADOR GRIS DE TORRE</v>
      </c>
      <c r="G112" s="167" t="str">
        <f ca="1">'030523 INVENTARIO'!G112</f>
        <v>P05DA-0111</v>
      </c>
      <c r="H112" s="167" t="str">
        <f>'030523 INVENTARIO'!J112</f>
        <v>P05RM-0110</v>
      </c>
      <c r="I112" s="167" t="str">
        <f>'030523 INVENTARIO'!K112</f>
        <v>PB5RM-044</v>
      </c>
      <c r="J112" s="167" t="str">
        <f>'030523 INVENTARIO'!L112</f>
        <v>P0AR-19</v>
      </c>
      <c r="K112" s="168" t="str">
        <f>'030523 INVENTARIO'!M112</f>
        <v>5190200002-42</v>
      </c>
      <c r="L112" s="168">
        <f>'030523 INVENTARIO'!N112</f>
        <v>0</v>
      </c>
      <c r="M112" s="168">
        <f>'030523 INVENTARIO'!O112</f>
        <v>0</v>
      </c>
      <c r="N112" s="168" t="str">
        <f>'030523 INVENTARIO'!P112</f>
        <v>OK</v>
      </c>
      <c r="O112" s="168" t="str">
        <f>'030523 INVENTARIO'!Q112</f>
        <v>SERVILLE</v>
      </c>
      <c r="P112" s="167" t="str">
        <f>'030523 INVENTARIO'!R112</f>
        <v>S/M</v>
      </c>
      <c r="Q112" s="168" t="str">
        <f>'030523 INVENTARIO'!S112</f>
        <v>SIN SERIE</v>
      </c>
      <c r="R112" s="168" t="str">
        <f>'030523 INVENTARIO'!T112</f>
        <v>82DK0531010094000564892</v>
      </c>
    </row>
    <row r="113" spans="5:18">
      <c r="E113" s="167" t="str">
        <f>'030523 INVENTARIO'!E113</f>
        <v>VENTILADOR</v>
      </c>
      <c r="F113" s="167" t="str">
        <f>'030523 INVENTARIO'!F113</f>
        <v>VENTILADOR DE PEDESTAL CON ASPAS DE METAL</v>
      </c>
      <c r="G113" s="167" t="str">
        <f ca="1">'030523 INVENTARIO'!G113</f>
        <v>P05DA-0112</v>
      </c>
      <c r="H113" s="167" t="str">
        <f>'030523 INVENTARIO'!J113</f>
        <v>P05RM-0111</v>
      </c>
      <c r="I113" s="167" t="str">
        <f>'030523 INVENTARIO'!K113</f>
        <v>PB5RM-045</v>
      </c>
      <c r="J113" s="167" t="str">
        <f>'030523 INVENTARIO'!L113</f>
        <v>P0AR-1</v>
      </c>
      <c r="K113" s="167" t="str">
        <f>'030523 INVENTARIO'!M113</f>
        <v>5190200002-46</v>
      </c>
      <c r="L113" s="168">
        <f>'030523 INVENTARIO'!N113</f>
        <v>0</v>
      </c>
      <c r="M113" s="168">
        <f>'030523 INVENTARIO'!O113</f>
        <v>0</v>
      </c>
      <c r="N113" s="168" t="str">
        <f>'030523 INVENTARIO'!P113</f>
        <v>OK</v>
      </c>
      <c r="O113" s="168" t="str">
        <f>'030523 INVENTARIO'!Q113</f>
        <v>ATVIO</v>
      </c>
      <c r="P113" s="167" t="str">
        <f>'030523 INVENTARIO'!R113</f>
        <v>FD-40MGUN</v>
      </c>
      <c r="Q113" s="167" t="str">
        <f>'030523 INVENTARIO'!S113</f>
        <v>SIN SERIE</v>
      </c>
      <c r="R113" s="168" t="str">
        <f>'030523 INVENTARIO'!T113</f>
        <v>SIN RESGUARDO</v>
      </c>
    </row>
    <row r="114" spans="5:18">
      <c r="E114" s="167" t="str">
        <f>'030523 INVENTARIO'!E114</f>
        <v>PIZARRON</v>
      </c>
      <c r="F114" s="167" t="str">
        <f>'030523 INVENTARIO'!F114</f>
        <v>PIZARRON BLANCO 90X90</v>
      </c>
      <c r="G114" s="167" t="str">
        <f ca="1">'030523 INVENTARIO'!G114</f>
        <v>P05DA-0113</v>
      </c>
      <c r="H114" s="167" t="str">
        <f>'030523 INVENTARIO'!J114</f>
        <v>P05RM-0112</v>
      </c>
      <c r="I114" s="167" t="str">
        <f>'030523 INVENTARIO'!K114</f>
        <v>PB5RM-046</v>
      </c>
      <c r="J114" s="167">
        <f>'030523 INVENTARIO'!L114</f>
        <v>0</v>
      </c>
      <c r="K114" s="167" t="str">
        <f>'030523 INVENTARIO'!M114</f>
        <v>ALTA</v>
      </c>
      <c r="L114" s="168">
        <f>'030523 INVENTARIO'!N114</f>
        <v>0</v>
      </c>
      <c r="M114" s="168">
        <f>'030523 INVENTARIO'!O114</f>
        <v>0</v>
      </c>
      <c r="N114" s="168" t="str">
        <f>'030523 INVENTARIO'!P114</f>
        <v>REPETIDO</v>
      </c>
      <c r="O114" s="168" t="str">
        <f>'030523 INVENTARIO'!Q114</f>
        <v>S/M</v>
      </c>
      <c r="P114" s="167" t="str">
        <f>'030523 INVENTARIO'!R114</f>
        <v>S/M</v>
      </c>
      <c r="Q114" s="167" t="str">
        <f>'030523 INVENTARIO'!S114</f>
        <v>SIN SERIE</v>
      </c>
      <c r="R114" s="167" t="str">
        <f>'030523 INVENTARIO'!T114</f>
        <v>SIN RESGUARDO</v>
      </c>
    </row>
    <row r="115" spans="5:18">
      <c r="E115" s="167" t="str">
        <f>'030523 INVENTARIO'!E115</f>
        <v>MONITOR</v>
      </c>
      <c r="F115" s="167" t="str">
        <f>'030523 INVENTARIO'!F115</f>
        <v>MONITOR 19.5"</v>
      </c>
      <c r="G115" s="167" t="str">
        <f ca="1">'030523 INVENTARIO'!G115</f>
        <v>P05DA-0114</v>
      </c>
      <c r="H115" s="167" t="str">
        <f>'030523 INVENTARIO'!J115</f>
        <v>P05RM-0113</v>
      </c>
      <c r="I115" s="167" t="str">
        <f>'030523 INVENTARIO'!K115</f>
        <v>PB5RM-047</v>
      </c>
      <c r="J115" s="167" t="str">
        <f>'030523 INVENTARIO'!L115</f>
        <v>POAR-4</v>
      </c>
      <c r="K115" s="167" t="str">
        <f>'030523 INVENTARIO'!M115</f>
        <v>5210100012-43</v>
      </c>
      <c r="L115" s="168">
        <f>'030523 INVENTARIO'!N115</f>
        <v>0</v>
      </c>
      <c r="M115" s="168">
        <f>'030523 INVENTARIO'!O115</f>
        <v>0</v>
      </c>
      <c r="N115" s="168" t="str">
        <f>'030523 INVENTARIO'!P115</f>
        <v>OK</v>
      </c>
      <c r="O115" s="168" t="str">
        <f>'030523 INVENTARIO'!Q115</f>
        <v>GHIA</v>
      </c>
      <c r="P115" s="167" t="str">
        <f>'030523 INVENTARIO'!R115</f>
        <v>MG2017</v>
      </c>
      <c r="Q115" s="168" t="str">
        <f>'030523 INVENTARIO'!S115</f>
        <v>CMG2017180136800446</v>
      </c>
      <c r="R115" s="167" t="str">
        <f>'030523 INVENTARIO'!T115</f>
        <v>82DK0515010013000650651</v>
      </c>
    </row>
    <row r="116" spans="5:18">
      <c r="E116" s="167" t="str">
        <f>'030523 INVENTARIO'!E116</f>
        <v>MONITOR</v>
      </c>
      <c r="F116" s="167" t="str">
        <f>'030523 INVENTARIO'!F116</f>
        <v>MONITOR 19"</v>
      </c>
      <c r="G116" s="167" t="str">
        <f ca="1">'030523 INVENTARIO'!G116</f>
        <v>P05DA-0115</v>
      </c>
      <c r="H116" s="167" t="str">
        <f>'030523 INVENTARIO'!J116</f>
        <v>P05RM-0114</v>
      </c>
      <c r="I116" s="167" t="str">
        <f>'030523 INVENTARIO'!K116</f>
        <v>PB5RM-048</v>
      </c>
      <c r="J116" s="167" t="str">
        <f>'030523 INVENTARIO'!L116</f>
        <v>POAR-6</v>
      </c>
      <c r="K116" s="167" t="str">
        <f>'030523 INVENTARIO'!M116</f>
        <v>5210100012-59</v>
      </c>
      <c r="L116" s="168">
        <f>'030523 INVENTARIO'!N116</f>
        <v>0</v>
      </c>
      <c r="M116" s="168">
        <f>'030523 INVENTARIO'!O116</f>
        <v>0</v>
      </c>
      <c r="N116" s="168" t="str">
        <f>'030523 INVENTARIO'!P116</f>
        <v>OK</v>
      </c>
      <c r="O116" s="168" t="str">
        <f>'030523 INVENTARIO'!Q116</f>
        <v>HP</v>
      </c>
      <c r="P116" s="167" t="str">
        <f>'030523 INVENTARIO'!R116</f>
        <v>W1907</v>
      </c>
      <c r="Q116" s="168" t="str">
        <f>'030523 INVENTARIO'!S116</f>
        <v>SNN71304NS</v>
      </c>
      <c r="R116" s="168" t="str">
        <f>'030523 INVENTARIO'!T116</f>
        <v>82DK0515010013000649466</v>
      </c>
    </row>
    <row r="117" spans="5:18">
      <c r="E117" s="167" t="str">
        <f>'030523 INVENTARIO'!E117</f>
        <v>ESCRITORIO</v>
      </c>
      <c r="F117" s="167" t="str">
        <f>'030523 INVENTARIO'!F117</f>
        <v>ESCRITORIO DE MADERA CON 2 CAJONES 120X60</v>
      </c>
      <c r="G117" s="167" t="str">
        <f ca="1">'030523 INVENTARIO'!G117</f>
        <v>P05DA-0116</v>
      </c>
      <c r="H117" s="167" t="str">
        <f>'030523 INVENTARIO'!J117</f>
        <v>P05RM-0115</v>
      </c>
      <c r="I117" s="167" t="str">
        <f>'030523 INVENTARIO'!K117</f>
        <v>PB5RM-049</v>
      </c>
      <c r="J117" s="167" t="str">
        <f>'030523 INVENTARIO'!L117</f>
        <v>P0AR-2</v>
      </c>
      <c r="K117" s="168" t="str">
        <f>'030523 INVENTARIO'!M117</f>
        <v>5110100015-62</v>
      </c>
      <c r="L117" s="168">
        <f>'030523 INVENTARIO'!N117</f>
        <v>0</v>
      </c>
      <c r="M117" s="168">
        <f>'030523 INVENTARIO'!O117</f>
        <v>0</v>
      </c>
      <c r="N117" s="168" t="str">
        <f>'030523 INVENTARIO'!P117</f>
        <v>OK</v>
      </c>
      <c r="O117" s="168" t="str">
        <f>'030523 INVENTARIO'!Q117</f>
        <v>S/M</v>
      </c>
      <c r="P117" s="167" t="str">
        <f>'030523 INVENTARIO'!R117</f>
        <v>S/M</v>
      </c>
      <c r="Q117" s="168" t="str">
        <f>'030523 INVENTARIO'!S117</f>
        <v>SIN SERIE</v>
      </c>
      <c r="R117" s="168" t="str">
        <f>'030523 INVENTARIO'!T117</f>
        <v>82DK0511010006000518510</v>
      </c>
    </row>
    <row r="118" spans="5:18">
      <c r="E118" s="167" t="str">
        <f>'030523 INVENTARIO'!E118</f>
        <v>SILLON</v>
      </c>
      <c r="F118" s="167" t="str">
        <f>'030523 INVENTARIO'!F118</f>
        <v>SILLÓN NEGRO CON RUEDAS</v>
      </c>
      <c r="G118" s="167" t="str">
        <f ca="1">'030523 INVENTARIO'!G118</f>
        <v>P05DA-0117</v>
      </c>
      <c r="H118" s="167" t="str">
        <f>'030523 INVENTARIO'!J118</f>
        <v>P05RM-0116</v>
      </c>
      <c r="I118" s="167" t="str">
        <f>'030523 INVENTARIO'!K118</f>
        <v>PB5RM-050</v>
      </c>
      <c r="J118" s="167" t="str">
        <f>'030523 INVENTARIO'!L118</f>
        <v>P0AR-3</v>
      </c>
      <c r="K118" s="167" t="str">
        <f>'030523 INVENTARIO'!M118</f>
        <v>5120100009-53</v>
      </c>
      <c r="L118" s="168">
        <f>'030523 INVENTARIO'!N118</f>
        <v>0</v>
      </c>
      <c r="M118" s="168">
        <f>'030523 INVENTARIO'!O118</f>
        <v>0</v>
      </c>
      <c r="N118" s="168" t="str">
        <f>'030523 INVENTARIO'!P118</f>
        <v>OK</v>
      </c>
      <c r="O118" s="168" t="str">
        <f>'030523 INVENTARIO'!Q118</f>
        <v>S/M</v>
      </c>
      <c r="P118" s="167" t="str">
        <f>'030523 INVENTARIO'!R118</f>
        <v>S/M</v>
      </c>
      <c r="Q118" s="168" t="str">
        <f>'030523 INVENTARIO'!S118</f>
        <v>SIN SERIE</v>
      </c>
      <c r="R118" s="168" t="str">
        <f>'030523 INVENTARIO'!T118</f>
        <v>82DK0511010016000649469</v>
      </c>
    </row>
    <row r="119" spans="5:18">
      <c r="E119" s="167" t="str">
        <f>'030523 INVENTARIO'!E119</f>
        <v>REGULADOR DE VOLTAJE</v>
      </c>
      <c r="F119" s="167" t="str">
        <f>'030523 INVENTARIO'!F119</f>
        <v>REGULADOR</v>
      </c>
      <c r="G119" s="167" t="str">
        <f ca="1">'030523 INVENTARIO'!G119</f>
        <v>P05DA-0118</v>
      </c>
      <c r="H119" s="167" t="str">
        <f>'030523 INVENTARIO'!J119</f>
        <v>P05RM-0117</v>
      </c>
      <c r="I119" s="167" t="str">
        <f>'030523 INVENTARIO'!K119</f>
        <v>PB5RM-051</v>
      </c>
      <c r="J119" s="167" t="str">
        <f>'030523 INVENTARIO'!L119</f>
        <v>POAR-18</v>
      </c>
      <c r="K119" s="167" t="str">
        <f>'030523 INVENTARIO'!M119</f>
        <v>5660100057-18</v>
      </c>
      <c r="L119" s="168">
        <f>'030523 INVENTARIO'!N119</f>
        <v>0</v>
      </c>
      <c r="M119" s="168">
        <f>'030523 INVENTARIO'!O119</f>
        <v>0</v>
      </c>
      <c r="N119" s="168" t="str">
        <f>'030523 INVENTARIO'!P119</f>
        <v>OK</v>
      </c>
      <c r="O119" s="168" t="str">
        <f>'030523 INVENTARIO'!Q119</f>
        <v>KOBLENZ</v>
      </c>
      <c r="P119" s="167" t="str">
        <f>'030523 INVENTARIO'!R119</f>
        <v>RS1400I</v>
      </c>
      <c r="Q119" s="168" t="str">
        <f>'030523 INVENTARIO'!S119</f>
        <v>161039228</v>
      </c>
      <c r="R119" s="167" t="str">
        <f>'030523 INVENTARIO'!T119</f>
        <v>82DK0515010020000650898</v>
      </c>
    </row>
    <row r="120" spans="5:18">
      <c r="E120" s="167" t="str">
        <f>'030523 INVENTARIO'!E120</f>
        <v>COMPUTADORA DE ESCRITORIO</v>
      </c>
      <c r="F120" s="167" t="str">
        <f>'030523 INVENTARIO'!F120</f>
        <v>COMPUTADORA DE ESCRITORIO</v>
      </c>
      <c r="G120" s="167" t="str">
        <f ca="1">'030523 INVENTARIO'!G120</f>
        <v>P05DA-0119</v>
      </c>
      <c r="H120" s="167" t="str">
        <f>'030523 INVENTARIO'!J120</f>
        <v>P05RM-0118</v>
      </c>
      <c r="I120" s="167" t="str">
        <f>'030523 INVENTARIO'!K120</f>
        <v>PB5RM-052</v>
      </c>
      <c r="J120" s="167" t="str">
        <f>'030523 INVENTARIO'!L120</f>
        <v>POAR-5</v>
      </c>
      <c r="K120" s="167" t="str">
        <f>'030523 INVENTARIO'!M120</f>
        <v>5150100005-59</v>
      </c>
      <c r="L120" s="168">
        <f>'030523 INVENTARIO'!N120</f>
        <v>0</v>
      </c>
      <c r="M120" s="168">
        <f>'030523 INVENTARIO'!O120</f>
        <v>0</v>
      </c>
      <c r="N120" s="168" t="str">
        <f>'030523 INVENTARIO'!P120</f>
        <v>OK</v>
      </c>
      <c r="O120" s="168" t="str">
        <f>'030523 INVENTARIO'!Q120</f>
        <v>GHIA</v>
      </c>
      <c r="P120" s="167">
        <f>'030523 INVENTARIO'!R120</f>
        <v>2378</v>
      </c>
      <c r="Q120" s="168" t="str">
        <f>'030523 INVENTARIO'!S120</f>
        <v>337734</v>
      </c>
      <c r="R120" s="168" t="str">
        <f>'030523 INVENTARIO'!T120</f>
        <v>82DK0515010001000650661</v>
      </c>
    </row>
    <row r="121" spans="5:18">
      <c r="E121" s="167" t="str">
        <f>'030523 INVENTARIO'!E121</f>
        <v>DISCO DURO</v>
      </c>
      <c r="F121" s="167" t="str">
        <f>'030523 INVENTARIO'!F121</f>
        <v>DISCO DURO EXTERNO 2TB COLOR NEGRO</v>
      </c>
      <c r="G121" s="167" t="str">
        <f ca="1">'030523 INVENTARIO'!G121</f>
        <v>P05DA-0120</v>
      </c>
      <c r="H121" s="167" t="str">
        <f>'030523 INVENTARIO'!J121</f>
        <v>P05RM-0119</v>
      </c>
      <c r="I121" s="167" t="str">
        <f>'030523 INVENTARIO'!K121</f>
        <v>PB5RM-053</v>
      </c>
      <c r="J121" s="167" t="str">
        <f>'030523 INVENTARIO'!L121</f>
        <v>POAR-16</v>
      </c>
      <c r="K121" s="167" t="str">
        <f>'030523 INVENTARIO'!M121</f>
        <v>5150100006-18</v>
      </c>
      <c r="L121" s="168">
        <f>'030523 INVENTARIO'!N121</f>
        <v>0</v>
      </c>
      <c r="M121" s="168">
        <f>'030523 INVENTARIO'!O121</f>
        <v>0</v>
      </c>
      <c r="N121" s="168" t="str">
        <f>'030523 INVENTARIO'!P121</f>
        <v>OK</v>
      </c>
      <c r="O121" s="168" t="str">
        <f>'030523 INVENTARIO'!Q121</f>
        <v>ADATA</v>
      </c>
      <c r="P121" s="167" t="str">
        <f>'030523 INVENTARIO'!R121</f>
        <v>HV300</v>
      </c>
      <c r="Q121" s="168" t="str">
        <f>'030523 INVENTARIO'!S121</f>
        <v>1K4120170690</v>
      </c>
      <c r="R121" s="168" t="str">
        <f>'030523 INVENTARIO'!T121</f>
        <v>SIN RESGUARDO</v>
      </c>
    </row>
    <row r="122" spans="5:18">
      <c r="E122" s="167" t="str">
        <f>'030523 INVENTARIO'!E122</f>
        <v>SILLA</v>
      </c>
      <c r="F122" s="167" t="str">
        <f>'030523 INVENTARIO'!F122</f>
        <v>SILLA GRIS PLEGABLE</v>
      </c>
      <c r="G122" s="167" t="str">
        <f ca="1">'030523 INVENTARIO'!G122</f>
        <v>P05DA-0121</v>
      </c>
      <c r="H122" s="167" t="str">
        <f>'030523 INVENTARIO'!J122</f>
        <v>P05RM-0120</v>
      </c>
      <c r="I122" s="167" t="str">
        <f>'030523 INVENTARIO'!K122</f>
        <v>PB5RM-054</v>
      </c>
      <c r="J122" s="167" t="str">
        <f>'030523 INVENTARIO'!L122</f>
        <v>POAR-7</v>
      </c>
      <c r="K122" s="167" t="str">
        <f>'030523 INVENTARIO'!M122</f>
        <v>5110100011-137</v>
      </c>
      <c r="L122" s="168">
        <f>'030523 INVENTARIO'!N122</f>
        <v>0</v>
      </c>
      <c r="M122" s="168">
        <f>'030523 INVENTARIO'!O122</f>
        <v>0</v>
      </c>
      <c r="N122" s="168" t="str">
        <f>'030523 INVENTARIO'!P122</f>
        <v>OK</v>
      </c>
      <c r="O122" s="168" t="str">
        <f>'030523 INVENTARIO'!Q122</f>
        <v>S/M</v>
      </c>
      <c r="P122" s="167" t="str">
        <f>'030523 INVENTARIO'!R122</f>
        <v>S/M</v>
      </c>
      <c r="Q122" s="168" t="str">
        <f>'030523 INVENTARIO'!S122</f>
        <v>SIN SERIE</v>
      </c>
      <c r="R122" s="168" t="str">
        <f>'030523 INVENTARIO'!T122</f>
        <v>82DK0511010017000651090</v>
      </c>
    </row>
    <row r="123" spans="5:18">
      <c r="E123" s="167" t="str">
        <f>'030523 INVENTARIO'!E123</f>
        <v>MONITOR</v>
      </c>
      <c r="F123" s="167" t="str">
        <f>'030523 INVENTARIO'!F123</f>
        <v>MONITOR 18.5"</v>
      </c>
      <c r="G123" s="167" t="str">
        <f ca="1">'030523 INVENTARIO'!G123</f>
        <v>P05RM-0122</v>
      </c>
      <c r="H123" s="167" t="str">
        <f>'030523 INVENTARIO'!J123</f>
        <v>P05RM-0121</v>
      </c>
      <c r="I123" s="167" t="str">
        <f>'030523 INVENTARIO'!K123</f>
        <v>PB5RM-055</v>
      </c>
      <c r="J123" s="167" t="str">
        <f>'030523 INVENTARIO'!L123</f>
        <v>POAR-23</v>
      </c>
      <c r="K123" s="168" t="str">
        <f>'030523 INVENTARIO'!M123</f>
        <v>5210100012-46</v>
      </c>
      <c r="L123" s="168">
        <f>'030523 INVENTARIO'!N123</f>
        <v>0</v>
      </c>
      <c r="M123" s="168">
        <f>'030523 INVENTARIO'!O123</f>
        <v>0</v>
      </c>
      <c r="N123" s="168" t="str">
        <f>'030523 INVENTARIO'!P123</f>
        <v>OK</v>
      </c>
      <c r="O123" s="168" t="str">
        <f>'030523 INVENTARIO'!Q123</f>
        <v>SAMSUNG</v>
      </c>
      <c r="P123" s="167" t="str">
        <f>'030523 INVENTARIO'!R123</f>
        <v>S19B150N</v>
      </c>
      <c r="Q123" s="168" t="str">
        <f>'030523 INVENTARIO'!S123</f>
        <v>ZUMLHTHC806810V</v>
      </c>
      <c r="R123" s="167" t="str">
        <f>'030523 INVENTARIO'!T123</f>
        <v>82DK0515010013000649467</v>
      </c>
    </row>
    <row r="124" spans="5:18">
      <c r="E124" s="167" t="str">
        <f>'030523 INVENTARIO'!E124</f>
        <v>NO BREAK</v>
      </c>
      <c r="F124" s="167" t="str">
        <f>'030523 INVENTARIO'!F124</f>
        <v>NO BREAK  NEGRO</v>
      </c>
      <c r="G124" s="167" t="str">
        <f ca="1">'030523 INVENTARIO'!G124</f>
        <v>P05RM-0123</v>
      </c>
      <c r="H124" s="167" t="str">
        <f>'030523 INVENTARIO'!J124</f>
        <v>P05RM-0122</v>
      </c>
      <c r="I124" s="167" t="str">
        <f>'030523 INVENTARIO'!K124</f>
        <v>PB5RM-056</v>
      </c>
      <c r="J124" s="167" t="str">
        <f>'030523 INVENTARIO'!L124</f>
        <v>POAR-25</v>
      </c>
      <c r="K124" s="167" t="str">
        <f>'030523 INVENTARIO'!M124</f>
        <v>5150100008-38</v>
      </c>
      <c r="L124" s="168">
        <f>'030523 INVENTARIO'!N124</f>
        <v>0</v>
      </c>
      <c r="M124" s="168">
        <f>'030523 INVENTARIO'!O124</f>
        <v>0</v>
      </c>
      <c r="N124" s="168" t="str">
        <f>'030523 INVENTARIO'!P124</f>
        <v>OK</v>
      </c>
      <c r="O124" s="168" t="str">
        <f>'030523 INVENTARIO'!Q124</f>
        <v>FORZA</v>
      </c>
      <c r="P124" s="167" t="str">
        <f>'030523 INVENTARIO'!R124</f>
        <v>NT751</v>
      </c>
      <c r="Q124" s="168" t="str">
        <f>'030523 INVENTARIO'!S124</f>
        <v>190522502261</v>
      </c>
      <c r="R124" s="168" t="str">
        <f>'030523 INVENTARIO'!T124</f>
        <v>82DK0515010016000649426</v>
      </c>
    </row>
    <row r="125" spans="5:18">
      <c r="E125" s="167" t="str">
        <f>'030523 INVENTARIO'!E125</f>
        <v>MESA</v>
      </c>
      <c r="F125" s="167" t="str">
        <f>'030523 INVENTARIO'!F125</f>
        <v>MESA DE MADERA CON BASE DE METAL 120X60</v>
      </c>
      <c r="G125" s="167" t="str">
        <f ca="1">'030523 INVENTARIO'!G125</f>
        <v>P05RM-0124</v>
      </c>
      <c r="H125" s="167" t="str">
        <f>'030523 INVENTARIO'!J125</f>
        <v>P05RM-0123</v>
      </c>
      <c r="I125" s="167" t="str">
        <f>'030523 INVENTARIO'!K125</f>
        <v>PB5RM-057</v>
      </c>
      <c r="J125" s="167" t="str">
        <f>'030523 INVENTARIO'!L125</f>
        <v>POAR-21</v>
      </c>
      <c r="K125" s="168" t="str">
        <f>'030523 INVENTARIO'!M125</f>
        <v>5120100007-110</v>
      </c>
      <c r="L125" s="168">
        <f>'030523 INVENTARIO'!N125</f>
        <v>0</v>
      </c>
      <c r="M125" s="168">
        <f>'030523 INVENTARIO'!O125</f>
        <v>0</v>
      </c>
      <c r="N125" s="168" t="str">
        <f>'030523 INVENTARIO'!P125</f>
        <v>OK</v>
      </c>
      <c r="O125" s="168" t="str">
        <f>'030523 INVENTARIO'!Q125</f>
        <v>S/M</v>
      </c>
      <c r="P125" s="167" t="str">
        <f>'030523 INVENTARIO'!R125</f>
        <v>S/M</v>
      </c>
      <c r="Q125" s="168" t="str">
        <f>'030523 INVENTARIO'!S125</f>
        <v>SIN SERIE</v>
      </c>
      <c r="R125" s="168" t="str">
        <f>'030523 INVENTARIO'!T125</f>
        <v>82DK0531010065000564826</v>
      </c>
    </row>
    <row r="126" spans="5:18">
      <c r="E126" s="167" t="str">
        <f>'030523 INVENTARIO'!E126</f>
        <v>COMPUTADORA DE ESCRITORIO</v>
      </c>
      <c r="F126" s="167" t="str">
        <f>'030523 INVENTARIO'!F126</f>
        <v>COMPUTADORA DE ESCRITORIO</v>
      </c>
      <c r="G126" s="167" t="str">
        <f ca="1">'030523 INVENTARIO'!G126</f>
        <v>P05RM-0125</v>
      </c>
      <c r="H126" s="167" t="str">
        <f>'030523 INVENTARIO'!J126</f>
        <v>P05RM-0124</v>
      </c>
      <c r="I126" s="167" t="str">
        <f>'030523 INVENTARIO'!K126</f>
        <v>PB5RM-058</v>
      </c>
      <c r="J126" s="167" t="str">
        <f>'030523 INVENTARIO'!L126</f>
        <v>POAR-22</v>
      </c>
      <c r="K126" s="167" t="str">
        <f>'030523 INVENTARIO'!M126</f>
        <v>5150100005-63</v>
      </c>
      <c r="L126" s="168">
        <f>'030523 INVENTARIO'!N126</f>
        <v>0</v>
      </c>
      <c r="M126" s="168">
        <f>'030523 INVENTARIO'!O126</f>
        <v>0</v>
      </c>
      <c r="N126" s="168" t="str">
        <f>'030523 INVENTARIO'!P126</f>
        <v>OK</v>
      </c>
      <c r="O126" s="168" t="str">
        <f>'030523 INVENTARIO'!Q126</f>
        <v>HP</v>
      </c>
      <c r="P126" s="167" t="str">
        <f>'030523 INVENTARIO'!R126</f>
        <v>DX2300</v>
      </c>
      <c r="Q126" s="168" t="str">
        <f>'030523 INVENTARIO'!S126</f>
        <v>MXL81103W6</v>
      </c>
      <c r="R126" s="168" t="str">
        <f>'030523 INVENTARIO'!T126</f>
        <v>82DK0515010001000539080</v>
      </c>
    </row>
    <row r="127" spans="5:18">
      <c r="E127" s="167" t="str">
        <f>'030523 INVENTARIO'!E127</f>
        <v>MONITOR</v>
      </c>
      <c r="F127" s="167" t="str">
        <f>'030523 INVENTARIO'!F127</f>
        <v>MONITOR 18.5"</v>
      </c>
      <c r="G127" s="167" t="str">
        <f ca="1">'030523 INVENTARIO'!G127</f>
        <v>P03CV-0126</v>
      </c>
      <c r="H127" s="167" t="str">
        <f>'030523 INVENTARIO'!J127</f>
        <v>P05RM-0125</v>
      </c>
      <c r="I127" s="167" t="str">
        <f>'030523 INVENTARIO'!K127</f>
        <v>PB5RM-059</v>
      </c>
      <c r="J127" s="167" t="str">
        <f>'030523 INVENTARIO'!L127</f>
        <v>POAR-24</v>
      </c>
      <c r="K127" s="167" t="str">
        <f>'030523 INVENTARIO'!M127</f>
        <v>5150100005-124</v>
      </c>
      <c r="L127" s="168">
        <f>'030523 INVENTARIO'!N127</f>
        <v>0</v>
      </c>
      <c r="M127" s="168">
        <f>'030523 INVENTARIO'!O127</f>
        <v>0</v>
      </c>
      <c r="N127" s="168" t="str">
        <f>'030523 INVENTARIO'!P127</f>
        <v>OK</v>
      </c>
      <c r="O127" s="168" t="str">
        <f>'030523 INVENTARIO'!Q127</f>
        <v>ACER</v>
      </c>
      <c r="P127" s="167" t="str">
        <f>'030523 INVENTARIO'!R127</f>
        <v>P186HX</v>
      </c>
      <c r="Q127" s="168" t="str">
        <f>'030523 INVENTARIO'!S127</f>
        <v>20601267443</v>
      </c>
      <c r="R127" s="168" t="str">
        <f>'030523 INVENTARIO'!T127</f>
        <v>82DK0565010041000539119</v>
      </c>
    </row>
    <row r="128" spans="5:18">
      <c r="E128" s="167" t="str">
        <f>'030523 INVENTARIO'!E128</f>
        <v>SILLA</v>
      </c>
      <c r="F128" s="167" t="str">
        <f>'030523 INVENTARIO'!F128</f>
        <v>SILLA  CON RUEDAS NEGRA</v>
      </c>
      <c r="G128" s="167" t="str">
        <f ca="1">'030523 INVENTARIO'!G128</f>
        <v>P05RM-0127</v>
      </c>
      <c r="H128" s="167" t="str">
        <f>'030523 INVENTARIO'!J128</f>
        <v>P05RM-0126</v>
      </c>
      <c r="I128" s="167" t="str">
        <f>'030523 INVENTARIO'!K128</f>
        <v>PB5RM-060</v>
      </c>
      <c r="J128" s="167" t="str">
        <f>'030523 INVENTARIO'!L128</f>
        <v>POAR-20</v>
      </c>
      <c r="K128" s="167" t="str">
        <f>'030523 INVENTARIO'!M128</f>
        <v>5110100011-103</v>
      </c>
      <c r="L128" s="168">
        <f>'030523 INVENTARIO'!N128</f>
        <v>0</v>
      </c>
      <c r="M128" s="168">
        <f>'030523 INVENTARIO'!O128</f>
        <v>0</v>
      </c>
      <c r="N128" s="168" t="str">
        <f>'030523 INVENTARIO'!P128</f>
        <v>OK</v>
      </c>
      <c r="O128" s="168" t="str">
        <f>'030523 INVENTARIO'!Q128</f>
        <v>S/M</v>
      </c>
      <c r="P128" s="167" t="str">
        <f>'030523 INVENTARIO'!R128</f>
        <v>S/M</v>
      </c>
      <c r="Q128" s="168" t="str">
        <f>'030523 INVENTARIO'!S128</f>
        <v>SIN SERIE</v>
      </c>
      <c r="R128" s="168" t="str">
        <f>'030523 INVENTARIO'!T128</f>
        <v>82DK0511010016000515615</v>
      </c>
    </row>
    <row r="129" spans="5:18">
      <c r="E129" s="167" t="str">
        <f>'030523 INVENTARIO'!E129</f>
        <v>ESCRITORIO</v>
      </c>
      <c r="F129" s="167" t="str">
        <f>'030523 INVENTARIO'!F129</f>
        <v>ESCRITORIO DE MADERA CON 2 CAJONES 120X75</v>
      </c>
      <c r="G129" s="167" t="str">
        <f ca="1">'030523 INVENTARIO'!G129</f>
        <v>P05RM-0128</v>
      </c>
      <c r="H129" s="167" t="str">
        <f>'030523 INVENTARIO'!J129</f>
        <v>P05RM-0127</v>
      </c>
      <c r="I129" s="167" t="str">
        <f>'030523 INVENTARIO'!K129</f>
        <v>PB5RM-061</v>
      </c>
      <c r="J129" s="167">
        <f>'030523 INVENTARIO'!L129</f>
        <v>0</v>
      </c>
      <c r="K129" s="167" t="str">
        <f>'030523 INVENTARIO'!M129</f>
        <v>5110100015-63</v>
      </c>
      <c r="L129" s="168">
        <f>'030523 INVENTARIO'!N129</f>
        <v>0</v>
      </c>
      <c r="M129" s="168">
        <f>'030523 INVENTARIO'!O129</f>
        <v>0</v>
      </c>
      <c r="N129" s="168" t="str">
        <f>'030523 INVENTARIO'!P129</f>
        <v>OK</v>
      </c>
      <c r="O129" s="168" t="str">
        <f>'030523 INVENTARIO'!Q129</f>
        <v>S/M</v>
      </c>
      <c r="P129" s="167" t="str">
        <f>'030523 INVENTARIO'!R129</f>
        <v>S/M</v>
      </c>
      <c r="Q129" s="167" t="str">
        <f>'030523 INVENTARIO'!S129</f>
        <v>SIN SERIE</v>
      </c>
      <c r="R129" s="167" t="str">
        <f>'030523 INVENTARIO'!T129</f>
        <v>SIN RESGUARDO</v>
      </c>
    </row>
    <row r="130" spans="5:18">
      <c r="E130" s="167" t="str">
        <f>'030523 INVENTARIO'!E130</f>
        <v>SILLON</v>
      </c>
      <c r="F130" s="167" t="str">
        <f>'030523 INVENTARIO'!F130</f>
        <v>SILLON DE TELA NEGRO CON RUEDAS</v>
      </c>
      <c r="G130" s="167" t="str">
        <f ca="1">'030523 INVENTARIO'!G130</f>
        <v>P05RM-0129</v>
      </c>
      <c r="H130" s="167" t="str">
        <f>'030523 INVENTARIO'!J130</f>
        <v>P05RM-0128</v>
      </c>
      <c r="I130" s="167" t="str">
        <f>'030523 INVENTARIO'!K130</f>
        <v>PB5RM-062</v>
      </c>
      <c r="J130" s="167" t="str">
        <f>'030523 INVENTARIO'!L130</f>
        <v>POAR-53</v>
      </c>
      <c r="K130" s="167" t="str">
        <f>'030523 INVENTARIO'!M130</f>
        <v>5120100009-54</v>
      </c>
      <c r="L130" s="168">
        <f>'030523 INVENTARIO'!N130</f>
        <v>0</v>
      </c>
      <c r="M130" s="168">
        <f>'030523 INVENTARIO'!O130</f>
        <v>0</v>
      </c>
      <c r="N130" s="168" t="str">
        <f>'030523 INVENTARIO'!P130</f>
        <v>OK</v>
      </c>
      <c r="O130" s="168" t="str">
        <f>'030523 INVENTARIO'!Q130</f>
        <v>S/M</v>
      </c>
      <c r="P130" s="167" t="str">
        <f>'030523 INVENTARIO'!R130</f>
        <v>S/M</v>
      </c>
      <c r="Q130" s="168" t="str">
        <f>'030523 INVENTARIO'!S130</f>
        <v>SIN SERIE</v>
      </c>
      <c r="R130" s="168" t="str">
        <f>'030523 INVENTARIO'!T130</f>
        <v>82DL0511010016000649775</v>
      </c>
    </row>
    <row r="131" spans="5:18">
      <c r="E131" s="167" t="str">
        <f>'030523 INVENTARIO'!E131</f>
        <v>COMPUTADORA DE ESCRITORIO</v>
      </c>
      <c r="F131" s="167" t="str">
        <f>'030523 INVENTARIO'!F131</f>
        <v>COMPUTADORA DE ESCRITORIO</v>
      </c>
      <c r="G131" s="167" t="str">
        <f ca="1">'030523 INVENTARIO'!G131</f>
        <v>P05RM-0130</v>
      </c>
      <c r="H131" s="167" t="str">
        <f>'030523 INVENTARIO'!J131</f>
        <v>P05RM-0129</v>
      </c>
      <c r="I131" s="167" t="str">
        <f>'030523 INVENTARIO'!K131</f>
        <v>PB5RM-063</v>
      </c>
      <c r="J131" s="167" t="str">
        <f>'030523 INVENTARIO'!L131</f>
        <v>POAR-52</v>
      </c>
      <c r="K131" s="167" t="str">
        <f>'030523 INVENTARIO'!M131</f>
        <v>5150100005-60</v>
      </c>
      <c r="L131" s="168">
        <f>'030523 INVENTARIO'!N131</f>
        <v>0</v>
      </c>
      <c r="M131" s="168">
        <f>'030523 INVENTARIO'!O131</f>
        <v>0</v>
      </c>
      <c r="N131" s="168" t="str">
        <f>'030523 INVENTARIO'!P131</f>
        <v>OK</v>
      </c>
      <c r="O131" s="168" t="str">
        <f>'030523 INVENTARIO'!Q131</f>
        <v>ACER</v>
      </c>
      <c r="P131" s="167" t="str">
        <f>'030523 INVENTARIO'!R131</f>
        <v>AX3390</v>
      </c>
      <c r="Q131" s="168" t="str">
        <f>'030523 INVENTARIO'!S131</f>
        <v>DTSLRAL00124302890300</v>
      </c>
      <c r="R131" s="168" t="str">
        <f>'030523 INVENTARIO'!T131</f>
        <v>82DL0515010003000649774</v>
      </c>
    </row>
    <row r="132" spans="5:18">
      <c r="E132" s="167" t="str">
        <f>'030523 INVENTARIO'!E132</f>
        <v>MONITOR</v>
      </c>
      <c r="F132" s="167" t="str">
        <f>'030523 INVENTARIO'!F132</f>
        <v>MONITOR 18.5"</v>
      </c>
      <c r="G132" s="167" t="str">
        <f ca="1">'030523 INVENTARIO'!G132</f>
        <v>P05RM-0131</v>
      </c>
      <c r="H132" s="167" t="str">
        <f>'030523 INVENTARIO'!J132</f>
        <v>P05RM-0130</v>
      </c>
      <c r="I132" s="167" t="str">
        <f>'030523 INVENTARIO'!K132</f>
        <v>PB5RM-064</v>
      </c>
      <c r="J132" s="167" t="str">
        <f>'030523 INVENTARIO'!L132</f>
        <v>POAR-54</v>
      </c>
      <c r="K132" s="167" t="str">
        <f>'030523 INVENTARIO'!M132</f>
        <v>5210100012-44</v>
      </c>
      <c r="L132" s="168">
        <f>'030523 INVENTARIO'!N132</f>
        <v>0</v>
      </c>
      <c r="M132" s="168">
        <f>'030523 INVENTARIO'!O132</f>
        <v>0</v>
      </c>
      <c r="N132" s="168" t="str">
        <f>'030523 INVENTARIO'!P132</f>
        <v>OK</v>
      </c>
      <c r="O132" s="168" t="str">
        <f>'030523 INVENTARIO'!Q132</f>
        <v>ACER</v>
      </c>
      <c r="P132" s="167" t="str">
        <f>'030523 INVENTARIO'!R132</f>
        <v>G185HV</v>
      </c>
      <c r="Q132" s="168" t="str">
        <f>'030523 INVENTARIO'!S132</f>
        <v>MMLNTAN001243049184208</v>
      </c>
      <c r="R132" s="168" t="str">
        <f>'030523 INVENTARIO'!T132</f>
        <v>82DL0515010013000649776</v>
      </c>
    </row>
    <row r="133" spans="5:18">
      <c r="E133" s="167" t="str">
        <f>'030523 INVENTARIO'!E133</f>
        <v>REGULADOR DE VOLTAJE</v>
      </c>
      <c r="F133" s="168" t="str">
        <f>'030523 INVENTARIO'!F133</f>
        <v>REGULADOR NEGRO</v>
      </c>
      <c r="G133" s="167" t="str">
        <f ca="1">'030523 INVENTARIO'!G133</f>
        <v>P03CV-0132</v>
      </c>
      <c r="H133" s="167" t="str">
        <f>'030523 INVENTARIO'!J133</f>
        <v>P05RM-0131</v>
      </c>
      <c r="I133" s="167" t="str">
        <f>'030523 INVENTARIO'!K133</f>
        <v>PB5RM-065</v>
      </c>
      <c r="J133" s="167" t="str">
        <f>'030523 INVENTARIO'!L133</f>
        <v>POAR-43</v>
      </c>
      <c r="K133" s="167" t="str">
        <f>'030523 INVENTARIO'!M133</f>
        <v>5660100057-21</v>
      </c>
      <c r="L133" s="168">
        <f>'030523 INVENTARIO'!N133</f>
        <v>0</v>
      </c>
      <c r="M133" s="168">
        <f>'030523 INVENTARIO'!O133</f>
        <v>0</v>
      </c>
      <c r="N133" s="168" t="str">
        <f>'030523 INVENTARIO'!P133</f>
        <v>OK</v>
      </c>
      <c r="O133" s="168" t="str">
        <f>'030523 INVENTARIO'!Q133</f>
        <v>KOBLENZ</v>
      </c>
      <c r="P133" s="167">
        <f>'030523 INVENTARIO'!R133</f>
        <v>1350</v>
      </c>
      <c r="Q133" s="168" t="str">
        <f>'030523 INVENTARIO'!S133</f>
        <v>161139011</v>
      </c>
      <c r="R133" s="168" t="str">
        <f>'030523 INVENTARIO'!T133</f>
        <v>82DH0515010020000649441</v>
      </c>
    </row>
    <row r="134" spans="5:18">
      <c r="E134" s="167" t="str">
        <f>'030523 INVENTARIO'!E134</f>
        <v>ESTANTE O ANAQUEL</v>
      </c>
      <c r="F134" s="167" t="str">
        <f>'030523 INVENTARIO'!F134</f>
        <v>ESTANTE DE METAL CON 5 CHAROLAS</v>
      </c>
      <c r="G134" s="167" t="str">
        <f ca="1">'030523 INVENTARIO'!G134</f>
        <v>P05DA-0133</v>
      </c>
      <c r="H134" s="167" t="str">
        <f>'030523 INVENTARIO'!J134</f>
        <v>P05RM-0132</v>
      </c>
      <c r="I134" s="167" t="str">
        <f>'030523 INVENTARIO'!K134</f>
        <v>PB5RM-066</v>
      </c>
      <c r="J134" s="167" t="str">
        <f>'030523 INVENTARIO'!L134</f>
        <v>POAR-12</v>
      </c>
      <c r="K134" s="167" t="str">
        <f>'030523 INVENTARIO'!M134</f>
        <v>2110200030-96</v>
      </c>
      <c r="L134" s="168">
        <f>'030523 INVENTARIO'!N134</f>
        <v>0</v>
      </c>
      <c r="M134" s="168">
        <f>'030523 INVENTARIO'!O134</f>
        <v>0</v>
      </c>
      <c r="N134" s="168" t="str">
        <f>'030523 INVENTARIO'!P134</f>
        <v>OK</v>
      </c>
      <c r="O134" s="168" t="str">
        <f>'030523 INVENTARIO'!Q134</f>
        <v>S/M</v>
      </c>
      <c r="P134" s="167" t="str">
        <f>'030523 INVENTARIO'!R134</f>
        <v>S/M</v>
      </c>
      <c r="Q134" s="168" t="str">
        <f>'030523 INVENTARIO'!S134</f>
        <v>SIN SERIE</v>
      </c>
      <c r="R134" s="168" t="str">
        <f>'030523 INVENTARIO'!T134</f>
        <v>82DK0511010020000651093</v>
      </c>
    </row>
    <row r="135" spans="5:18">
      <c r="E135" s="167" t="str">
        <f>'030523 INVENTARIO'!E135</f>
        <v>ESTANTE O ANAQUEL</v>
      </c>
      <c r="F135" s="167" t="str">
        <f>'030523 INVENTARIO'!F135</f>
        <v>ESTANTE DE METAL CON 5 CHAROLAS</v>
      </c>
      <c r="G135" s="167" t="str">
        <f ca="1">'030523 INVENTARIO'!G135</f>
        <v>P05DA-0134</v>
      </c>
      <c r="H135" s="167" t="str">
        <f>'030523 INVENTARIO'!J135</f>
        <v>P05RM-0133</v>
      </c>
      <c r="I135" s="167" t="str">
        <f>'030523 INVENTARIO'!K135</f>
        <v>PB5RM-067</v>
      </c>
      <c r="J135" s="167" t="str">
        <f>'030523 INVENTARIO'!L135</f>
        <v>POAR-10</v>
      </c>
      <c r="K135" s="167" t="str">
        <f>'030523 INVENTARIO'!M135</f>
        <v>5290300001-37</v>
      </c>
      <c r="L135" s="168">
        <f>'030523 INVENTARIO'!N135</f>
        <v>0</v>
      </c>
      <c r="M135" s="168">
        <f>'030523 INVENTARIO'!O135</f>
        <v>0</v>
      </c>
      <c r="N135" s="168" t="str">
        <f>'030523 INVENTARIO'!P135</f>
        <v>OK</v>
      </c>
      <c r="O135" s="168" t="str">
        <f>'030523 INVENTARIO'!Q135</f>
        <v>S/M</v>
      </c>
      <c r="P135" s="167" t="str">
        <f>'030523 INVENTARIO'!R135</f>
        <v>S/M</v>
      </c>
      <c r="Q135" s="168" t="str">
        <f>'030523 INVENTARIO'!S135</f>
        <v>SIN SERIE</v>
      </c>
      <c r="R135" s="168" t="str">
        <f>'030523 INVENTARIO'!T135</f>
        <v>82DK0511010020000651095</v>
      </c>
    </row>
    <row r="136" spans="5:18">
      <c r="E136" s="167" t="str">
        <f>'030523 INVENTARIO'!E136</f>
        <v>ESTANTE O ANAQUEL</v>
      </c>
      <c r="F136" s="167" t="str">
        <f>'030523 INVENTARIO'!F136</f>
        <v>ESTANTE DE METAL  CON 7 CHAROLAS</v>
      </c>
      <c r="G136" s="167" t="str">
        <f ca="1">'030523 INVENTARIO'!G136</f>
        <v>P05DA-0135</v>
      </c>
      <c r="H136" s="167" t="str">
        <f>'030523 INVENTARIO'!J136</f>
        <v>P05RM-0134</v>
      </c>
      <c r="I136" s="167" t="str">
        <f>'030523 INVENTARIO'!K136</f>
        <v>PB5RM-068</v>
      </c>
      <c r="J136" s="167" t="str">
        <f>'030523 INVENTARIO'!L136</f>
        <v>POAR-26</v>
      </c>
      <c r="K136" s="167" t="str">
        <f>'030523 INVENTARIO'!M136</f>
        <v>ALTA</v>
      </c>
      <c r="L136" s="168">
        <f>'030523 INVENTARIO'!N136</f>
        <v>0</v>
      </c>
      <c r="M136" s="168">
        <f>'030523 INVENTARIO'!O136</f>
        <v>0</v>
      </c>
      <c r="N136" s="168" t="str">
        <f>'030523 INVENTARIO'!P136</f>
        <v>REPETIDO</v>
      </c>
      <c r="O136" s="168" t="str">
        <f>'030523 INVENTARIO'!Q136</f>
        <v>S/M</v>
      </c>
      <c r="P136" s="167" t="str">
        <f>'030523 INVENTARIO'!R136</f>
        <v>S/M</v>
      </c>
      <c r="Q136" s="168" t="str">
        <f>'030523 INVENTARIO'!S136</f>
        <v>SIN SERIE</v>
      </c>
      <c r="R136" s="168" t="str">
        <f>'030523 INVENTARIO'!T136</f>
        <v>82DK0511010020000048005</v>
      </c>
    </row>
    <row r="137" spans="5:18">
      <c r="E137" s="167" t="str">
        <f>'030523 INVENTARIO'!E137</f>
        <v>ESTANTE O ANAQUEL</v>
      </c>
      <c r="F137" s="167" t="str">
        <f>'030523 INVENTARIO'!F137</f>
        <v>ESTANTE DE METAL CON 5 CHAROLAS</v>
      </c>
      <c r="G137" s="167" t="str">
        <f ca="1">'030523 INVENTARIO'!G137</f>
        <v>P05DA-0136</v>
      </c>
      <c r="H137" s="167" t="str">
        <f>'030523 INVENTARIO'!J137</f>
        <v>P05RM-0135</v>
      </c>
      <c r="I137" s="167" t="str">
        <f>'030523 INVENTARIO'!K137</f>
        <v>PB5RM-069</v>
      </c>
      <c r="J137" s="167" t="str">
        <f>'030523 INVENTARIO'!L137</f>
        <v>POAR-8</v>
      </c>
      <c r="K137" s="167" t="str">
        <f>'030523 INVENTARIO'!M137</f>
        <v>5290300001-29</v>
      </c>
      <c r="L137" s="168">
        <f>'030523 INVENTARIO'!N137</f>
        <v>0</v>
      </c>
      <c r="M137" s="168">
        <f>'030523 INVENTARIO'!O137</f>
        <v>0</v>
      </c>
      <c r="N137" s="168" t="str">
        <f>'030523 INVENTARIO'!P137</f>
        <v>OK</v>
      </c>
      <c r="O137" s="168" t="str">
        <f>'030523 INVENTARIO'!Q137</f>
        <v>S/M</v>
      </c>
      <c r="P137" s="167" t="str">
        <f>'030523 INVENTARIO'!R137</f>
        <v>S/M</v>
      </c>
      <c r="Q137" s="168" t="str">
        <f>'030523 INVENTARIO'!S137</f>
        <v>SIN SERIE</v>
      </c>
      <c r="R137" s="168" t="str">
        <f>'030523 INVENTARIO'!T137</f>
        <v>82DK0511010020000651097</v>
      </c>
    </row>
    <row r="138" spans="5:18">
      <c r="E138" s="167" t="str">
        <f>'030523 INVENTARIO'!E138</f>
        <v>ESTANTE O ANAQUEL</v>
      </c>
      <c r="F138" s="167" t="str">
        <f>'030523 INVENTARIO'!F138</f>
        <v>ESTANTE DE METAL CON 5 CHAROLAS</v>
      </c>
      <c r="G138" s="167" t="str">
        <f ca="1">'030523 INVENTARIO'!G138</f>
        <v>P05DA-0137</v>
      </c>
      <c r="H138" s="167" t="str">
        <f>'030523 INVENTARIO'!J138</f>
        <v>P05RM-0136</v>
      </c>
      <c r="I138" s="167" t="str">
        <f>'030523 INVENTARIO'!K138</f>
        <v>PB5RM-070</v>
      </c>
      <c r="J138" s="167" t="str">
        <f>'030523 INVENTARIO'!L138</f>
        <v>POAR-11</v>
      </c>
      <c r="K138" s="167" t="str">
        <f>'030523 INVENTARIO'!M138</f>
        <v>5290300001-20</v>
      </c>
      <c r="L138" s="168">
        <f>'030523 INVENTARIO'!N138</f>
        <v>0</v>
      </c>
      <c r="M138" s="168">
        <f>'030523 INVENTARIO'!O138</f>
        <v>0</v>
      </c>
      <c r="N138" s="168" t="str">
        <f>'030523 INVENTARIO'!P138</f>
        <v>OK</v>
      </c>
      <c r="O138" s="168" t="str">
        <f>'030523 INVENTARIO'!Q138</f>
        <v>S/M</v>
      </c>
      <c r="P138" s="167" t="str">
        <f>'030523 INVENTARIO'!R138</f>
        <v>S/M</v>
      </c>
      <c r="Q138" s="168" t="str">
        <f>'030523 INVENTARIO'!S138</f>
        <v>SIN SERIE</v>
      </c>
      <c r="R138" s="168" t="str">
        <f>'030523 INVENTARIO'!T138</f>
        <v>82DK0511010020000651094</v>
      </c>
    </row>
    <row r="139" spans="5:18">
      <c r="E139" s="167" t="str">
        <f>'030523 INVENTARIO'!E139</f>
        <v>ESTANTE O ANAQUEL</v>
      </c>
      <c r="F139" s="167" t="str">
        <f>'030523 INVENTARIO'!F139</f>
        <v>ESTANTE DE METAL CON 5 CHAROLAS</v>
      </c>
      <c r="G139" s="167" t="str">
        <f ca="1">'030523 INVENTARIO'!G139</f>
        <v>P05DA-0138</v>
      </c>
      <c r="H139" s="167" t="str">
        <f>'030523 INVENTARIO'!J139</f>
        <v>P05RM-0137</v>
      </c>
      <c r="I139" s="167" t="str">
        <f>'030523 INVENTARIO'!K139</f>
        <v>PB5RM-071</v>
      </c>
      <c r="J139" s="167" t="str">
        <f>'030523 INVENTARIO'!L139</f>
        <v>POAR-13</v>
      </c>
      <c r="K139" s="167" t="str">
        <f>'030523 INVENTARIO'!M139</f>
        <v>5290300001-19</v>
      </c>
      <c r="L139" s="168">
        <f>'030523 INVENTARIO'!N139</f>
        <v>0</v>
      </c>
      <c r="M139" s="168">
        <f>'030523 INVENTARIO'!O139</f>
        <v>0</v>
      </c>
      <c r="N139" s="168" t="str">
        <f>'030523 INVENTARIO'!P139</f>
        <v>OK</v>
      </c>
      <c r="O139" s="168" t="str">
        <f>'030523 INVENTARIO'!Q139</f>
        <v>S/M</v>
      </c>
      <c r="P139" s="167" t="str">
        <f>'030523 INVENTARIO'!R139</f>
        <v>S/M</v>
      </c>
      <c r="Q139" s="168" t="str">
        <f>'030523 INVENTARIO'!S139</f>
        <v>SIN SERIE</v>
      </c>
      <c r="R139" s="168" t="str">
        <f>'030523 INVENTARIO'!T139</f>
        <v>82DK0511010020000651092</v>
      </c>
    </row>
    <row r="140" spans="5:18">
      <c r="E140" s="167" t="str">
        <f>'030523 INVENTARIO'!E140</f>
        <v>ESTANTE O ANAQUEL</v>
      </c>
      <c r="F140" s="167" t="str">
        <f>'030523 INVENTARIO'!F140</f>
        <v>ESTANTE DE METAL CON 5 CHAROLAS</v>
      </c>
      <c r="G140" s="167" t="str">
        <f ca="1">'030523 INVENTARIO'!G140</f>
        <v>P05DA-0139</v>
      </c>
      <c r="H140" s="167" t="str">
        <f>'030523 INVENTARIO'!J140</f>
        <v>P05RM-0138</v>
      </c>
      <c r="I140" s="167" t="str">
        <f>'030523 INVENTARIO'!K140</f>
        <v>PB5RM-072</v>
      </c>
      <c r="J140" s="167" t="str">
        <f>'030523 INVENTARIO'!L140</f>
        <v>POAR-9</v>
      </c>
      <c r="K140" s="167" t="str">
        <f>'030523 INVENTARIO'!M140</f>
        <v>5120100001-21</v>
      </c>
      <c r="L140" s="168">
        <f>'030523 INVENTARIO'!N140</f>
        <v>0</v>
      </c>
      <c r="M140" s="168">
        <f>'030523 INVENTARIO'!O140</f>
        <v>0</v>
      </c>
      <c r="N140" s="168" t="str">
        <f>'030523 INVENTARIO'!P140</f>
        <v>OK</v>
      </c>
      <c r="O140" s="168" t="str">
        <f>'030523 INVENTARIO'!Q140</f>
        <v>S/M</v>
      </c>
      <c r="P140" s="167" t="str">
        <f>'030523 INVENTARIO'!R140</f>
        <v>S/M</v>
      </c>
      <c r="Q140" s="168" t="str">
        <f>'030523 INVENTARIO'!S140</f>
        <v>SIN SERIE</v>
      </c>
      <c r="R140" s="168" t="str">
        <f>'030523 INVENTARIO'!T140</f>
        <v>82DK0511010020000651096</v>
      </c>
    </row>
    <row r="141" spans="5:18">
      <c r="E141" s="167" t="str">
        <f>'030523 INVENTARIO'!E141</f>
        <v>ESTANTE O ANAQUEL</v>
      </c>
      <c r="F141" s="167" t="str">
        <f>'030523 INVENTARIO'!F141</f>
        <v>ESTANTE DE METAL CON 7 CHAROLAS</v>
      </c>
      <c r="G141" s="167" t="str">
        <f ca="1">'030523 INVENTARIO'!G141</f>
        <v>P05DA-0140</v>
      </c>
      <c r="H141" s="167" t="str">
        <f>'030523 INVENTARIO'!J141</f>
        <v>P05RM-0139</v>
      </c>
      <c r="I141" s="167" t="str">
        <f>'030523 INVENTARIO'!K141</f>
        <v>PB5RM-073</v>
      </c>
      <c r="J141" s="167">
        <f>'030523 INVENTARIO'!L141</f>
        <v>0</v>
      </c>
      <c r="K141" s="167" t="str">
        <f>'030523 INVENTARIO'!M141</f>
        <v>ALTA</v>
      </c>
      <c r="L141" s="168">
        <f>'030523 INVENTARIO'!N141</f>
        <v>0</v>
      </c>
      <c r="M141" s="168">
        <f>'030523 INVENTARIO'!O141</f>
        <v>0</v>
      </c>
      <c r="N141" s="168" t="str">
        <f>'030523 INVENTARIO'!P141</f>
        <v>REPETIDO</v>
      </c>
      <c r="O141" s="168" t="str">
        <f>'030523 INVENTARIO'!Q141</f>
        <v>S/M</v>
      </c>
      <c r="P141" s="167" t="str">
        <f>'030523 INVENTARIO'!R141</f>
        <v>S/M</v>
      </c>
      <c r="Q141" s="167" t="str">
        <f>'030523 INVENTARIO'!S141</f>
        <v>SIN SERIE</v>
      </c>
      <c r="R141" s="167" t="str">
        <f>'030523 INVENTARIO'!T141</f>
        <v>82DH0511010020000048004</v>
      </c>
    </row>
    <row r="142" spans="5:18">
      <c r="E142" s="167" t="str">
        <f>'030523 INVENTARIO'!E142</f>
        <v>ESTANTE O ANAQUEL</v>
      </c>
      <c r="F142" s="167" t="str">
        <f>'030523 INVENTARIO'!F142</f>
        <v>ESTANTE DE METAL CON 7 CHAROLAS</v>
      </c>
      <c r="G142" s="167" t="str">
        <f ca="1">'030523 INVENTARIO'!G142</f>
        <v>P05DA-0141</v>
      </c>
      <c r="H142" s="167" t="str">
        <f>'030523 INVENTARIO'!J142</f>
        <v>P05RM-0140</v>
      </c>
      <c r="I142" s="167" t="str">
        <f>'030523 INVENTARIO'!K142</f>
        <v>PB5RM-074</v>
      </c>
      <c r="J142" s="167">
        <f>'030523 INVENTARIO'!L142</f>
        <v>0</v>
      </c>
      <c r="K142" s="167" t="str">
        <f>'030523 INVENTARIO'!M142</f>
        <v>ALTA</v>
      </c>
      <c r="L142" s="168">
        <f>'030523 INVENTARIO'!N142</f>
        <v>0</v>
      </c>
      <c r="M142" s="168">
        <f>'030523 INVENTARIO'!O142</f>
        <v>0</v>
      </c>
      <c r="N142" s="168" t="str">
        <f>'030523 INVENTARIO'!P142</f>
        <v>REPETIDO</v>
      </c>
      <c r="O142" s="168" t="str">
        <f>'030523 INVENTARIO'!Q142</f>
        <v>S/M</v>
      </c>
      <c r="P142" s="167" t="str">
        <f>'030523 INVENTARIO'!R142</f>
        <v>S/M</v>
      </c>
      <c r="Q142" s="167" t="str">
        <f>'030523 INVENTARIO'!S142</f>
        <v>SIN SERIE</v>
      </c>
      <c r="R142" s="167" t="str">
        <f>'030523 INVENTARIO'!T142</f>
        <v>82DH0511010020000048003</v>
      </c>
    </row>
    <row r="143" spans="5:18">
      <c r="E143" s="167" t="str">
        <f>'030523 INVENTARIO'!E143</f>
        <v>ESTANTE O ANAQUEL</v>
      </c>
      <c r="F143" s="167" t="str">
        <f>'030523 INVENTARIO'!F143</f>
        <v>ESTANTE DE METAL CON 7 CHAROLAS</v>
      </c>
      <c r="G143" s="167" t="str">
        <f ca="1">'030523 INVENTARIO'!G143</f>
        <v>P05DA-0142</v>
      </c>
      <c r="H143" s="167" t="str">
        <f>'030523 INVENTARIO'!J143</f>
        <v>P05RM-0141</v>
      </c>
      <c r="I143" s="167" t="str">
        <f>'030523 INVENTARIO'!K143</f>
        <v>PB5RM-075</v>
      </c>
      <c r="J143" s="167">
        <f>'030523 INVENTARIO'!L143</f>
        <v>0</v>
      </c>
      <c r="K143" s="167" t="str">
        <f>'030523 INVENTARIO'!M143</f>
        <v>ALTA</v>
      </c>
      <c r="L143" s="168">
        <f>'030523 INVENTARIO'!N143</f>
        <v>0</v>
      </c>
      <c r="M143" s="168">
        <f>'030523 INVENTARIO'!O143</f>
        <v>0</v>
      </c>
      <c r="N143" s="168" t="str">
        <f>'030523 INVENTARIO'!P143</f>
        <v>REPETIDO</v>
      </c>
      <c r="O143" s="168" t="str">
        <f>'030523 INVENTARIO'!Q143</f>
        <v>S/M</v>
      </c>
      <c r="P143" s="167" t="str">
        <f>'030523 INVENTARIO'!R143</f>
        <v>S/M</v>
      </c>
      <c r="Q143" s="167" t="str">
        <f>'030523 INVENTARIO'!S143</f>
        <v>SIN SERIE</v>
      </c>
      <c r="R143" s="167" t="str">
        <f>'030523 INVENTARIO'!T143</f>
        <v>82DK0511010020000651091</v>
      </c>
    </row>
    <row r="144" spans="5:18">
      <c r="E144" s="167" t="str">
        <f>'030523 INVENTARIO'!E144</f>
        <v>ESTANTE O ANAQUEL</v>
      </c>
      <c r="F144" s="167" t="str">
        <f>'030523 INVENTARIO'!F144</f>
        <v>ESTANTE DE METAL CON 7 CHAROLAS</v>
      </c>
      <c r="G144" s="167" t="str">
        <f ca="1">'030523 INVENTARIO'!G144</f>
        <v>P05DA-0143</v>
      </c>
      <c r="H144" s="167" t="str">
        <f>'030523 INVENTARIO'!J144</f>
        <v>P05RM-0142</v>
      </c>
      <c r="I144" s="167" t="str">
        <f>'030523 INVENTARIO'!K144</f>
        <v>PB5RM-076</v>
      </c>
      <c r="J144" s="167">
        <f>'030523 INVENTARIO'!L144</f>
        <v>0</v>
      </c>
      <c r="K144" s="167" t="str">
        <f>'030523 INVENTARIO'!M144</f>
        <v>ALTA</v>
      </c>
      <c r="L144" s="168">
        <f>'030523 INVENTARIO'!N144</f>
        <v>0</v>
      </c>
      <c r="M144" s="168">
        <f>'030523 INVENTARIO'!O144</f>
        <v>0</v>
      </c>
      <c r="N144" s="168" t="str">
        <f>'030523 INVENTARIO'!P144</f>
        <v>REPETIDO</v>
      </c>
      <c r="O144" s="168" t="str">
        <f>'030523 INVENTARIO'!Q144</f>
        <v>S/M</v>
      </c>
      <c r="P144" s="167" t="str">
        <f>'030523 INVENTARIO'!R144</f>
        <v>S/M</v>
      </c>
      <c r="Q144" s="167" t="str">
        <f>'030523 INVENTARIO'!S144</f>
        <v>SIN SERIE</v>
      </c>
      <c r="R144" s="167" t="str">
        <f>'030523 INVENTARIO'!T144</f>
        <v>82DK0511010020000649468</v>
      </c>
    </row>
    <row r="145" spans="5:18">
      <c r="E145" s="167" t="str">
        <f>'030523 INVENTARIO'!E145</f>
        <v>ESTANTE O ANAQUEL</v>
      </c>
      <c r="F145" s="167" t="str">
        <f>'030523 INVENTARIO'!F145</f>
        <v>ESTANTE DE METAL CON 7 CHAROLAS</v>
      </c>
      <c r="G145" s="167" t="str">
        <f ca="1">'030523 INVENTARIO'!G145</f>
        <v>P05DA-0144</v>
      </c>
      <c r="H145" s="167" t="str">
        <f>'030523 INVENTARIO'!J145</f>
        <v>P05RM-0143</v>
      </c>
      <c r="I145" s="167" t="str">
        <f>'030523 INVENTARIO'!K145</f>
        <v>PB5RM-077</v>
      </c>
      <c r="J145" s="167">
        <f>'030523 INVENTARIO'!L145</f>
        <v>0</v>
      </c>
      <c r="K145" s="167" t="str">
        <f>'030523 INVENTARIO'!M145</f>
        <v>ALTA</v>
      </c>
      <c r="L145" s="168">
        <f>'030523 INVENTARIO'!N145</f>
        <v>0</v>
      </c>
      <c r="M145" s="168">
        <f>'030523 INVENTARIO'!O145</f>
        <v>0</v>
      </c>
      <c r="N145" s="168" t="str">
        <f>'030523 INVENTARIO'!P145</f>
        <v>REPETIDO</v>
      </c>
      <c r="O145" s="168" t="str">
        <f>'030523 INVENTARIO'!Q145</f>
        <v>S/M</v>
      </c>
      <c r="P145" s="167" t="str">
        <f>'030523 INVENTARIO'!R145</f>
        <v>S/M</v>
      </c>
      <c r="Q145" s="167" t="str">
        <f>'030523 INVENTARIO'!S145</f>
        <v>SIN SERIE</v>
      </c>
      <c r="R145" s="167" t="str">
        <f>'030523 INVENTARIO'!T145</f>
        <v>82DK0511010020000649471</v>
      </c>
    </row>
    <row r="146" spans="5:18">
      <c r="E146" s="167" t="str">
        <f>'030523 INVENTARIO'!E146</f>
        <v>ESTANTE O ANAQUEL</v>
      </c>
      <c r="F146" s="167" t="str">
        <f>'030523 INVENTARIO'!F146</f>
        <v>ESTANTE DE METAL CON 7 CHAROLAS</v>
      </c>
      <c r="G146" s="167" t="str">
        <f ca="1">'030523 INVENTARIO'!G146</f>
        <v>P05DA-0145</v>
      </c>
      <c r="H146" s="167" t="str">
        <f>'030523 INVENTARIO'!J146</f>
        <v>P05RM-0144</v>
      </c>
      <c r="I146" s="167" t="str">
        <f>'030523 INVENTARIO'!K146</f>
        <v>PB5RM-078</v>
      </c>
      <c r="J146" s="167">
        <f>'030523 INVENTARIO'!L146</f>
        <v>0</v>
      </c>
      <c r="K146" s="167" t="str">
        <f>'030523 INVENTARIO'!M146</f>
        <v>ALTA</v>
      </c>
      <c r="L146" s="168">
        <f>'030523 INVENTARIO'!N146</f>
        <v>0</v>
      </c>
      <c r="M146" s="168">
        <f>'030523 INVENTARIO'!O146</f>
        <v>0</v>
      </c>
      <c r="N146" s="168" t="str">
        <f>'030523 INVENTARIO'!P146</f>
        <v>REPETIDO</v>
      </c>
      <c r="O146" s="168" t="str">
        <f>'030523 INVENTARIO'!Q146</f>
        <v>S/M</v>
      </c>
      <c r="P146" s="167" t="str">
        <f>'030523 INVENTARIO'!R146</f>
        <v>S/M</v>
      </c>
      <c r="Q146" s="167" t="str">
        <f>'030523 INVENTARIO'!S146</f>
        <v>SIN SERIE</v>
      </c>
      <c r="R146" s="167" t="str">
        <f>'030523 INVENTARIO'!T146</f>
        <v>82DK0511010020000649472</v>
      </c>
    </row>
    <row r="147" spans="5:18">
      <c r="E147" s="167" t="str">
        <f>'030523 INVENTARIO'!E147</f>
        <v>ESTANTE O ANAQUEL</v>
      </c>
      <c r="F147" s="167" t="str">
        <f>'030523 INVENTARIO'!F147</f>
        <v>ESTANTE DE METAL CON 7 CHAROLAS</v>
      </c>
      <c r="G147" s="167" t="str">
        <f ca="1">'030523 INVENTARIO'!G147</f>
        <v>P05DA-0146</v>
      </c>
      <c r="H147" s="167" t="str">
        <f>'030523 INVENTARIO'!J147</f>
        <v>P05RM-0145</v>
      </c>
      <c r="I147" s="167" t="str">
        <f>'030523 INVENTARIO'!K147</f>
        <v>PB5RM-079</v>
      </c>
      <c r="J147" s="167">
        <f>'030523 INVENTARIO'!L147</f>
        <v>0</v>
      </c>
      <c r="K147" s="167" t="str">
        <f>'030523 INVENTARIO'!M147</f>
        <v>ALTA</v>
      </c>
      <c r="L147" s="168">
        <f>'030523 INVENTARIO'!N147</f>
        <v>0</v>
      </c>
      <c r="M147" s="168">
        <f>'030523 INVENTARIO'!O147</f>
        <v>0</v>
      </c>
      <c r="N147" s="168" t="str">
        <f>'030523 INVENTARIO'!P147</f>
        <v>REPETIDO</v>
      </c>
      <c r="O147" s="168" t="str">
        <f>'030523 INVENTARIO'!Q147</f>
        <v>S/M</v>
      </c>
      <c r="P147" s="167" t="str">
        <f>'030523 INVENTARIO'!R147</f>
        <v>S/M</v>
      </c>
      <c r="Q147" s="167" t="str">
        <f>'030523 INVENTARIO'!S147</f>
        <v>SIN SERIE</v>
      </c>
      <c r="R147" s="167" t="str">
        <f>'030523 INVENTARIO'!T147</f>
        <v>82DK0511010020000649478</v>
      </c>
    </row>
    <row r="148" spans="5:18">
      <c r="E148" s="167" t="str">
        <f>'030523 INVENTARIO'!E148</f>
        <v>ESTANTE O ANAQUEL</v>
      </c>
      <c r="F148" s="167" t="str">
        <f>'030523 INVENTARIO'!F148</f>
        <v>ESTANTE DE METAL CON 7 CHAROLAS</v>
      </c>
      <c r="G148" s="167" t="str">
        <f ca="1">'030523 INVENTARIO'!G148</f>
        <v>P05DA-0147</v>
      </c>
      <c r="H148" s="167" t="str">
        <f>'030523 INVENTARIO'!J148</f>
        <v>P05RM-0146</v>
      </c>
      <c r="I148" s="167" t="str">
        <f>'030523 INVENTARIO'!K148</f>
        <v>PB5RM-080</v>
      </c>
      <c r="J148" s="167">
        <f>'030523 INVENTARIO'!L148</f>
        <v>0</v>
      </c>
      <c r="K148" s="167" t="str">
        <f>'030523 INVENTARIO'!M148</f>
        <v>ALTA</v>
      </c>
      <c r="L148" s="168">
        <f>'030523 INVENTARIO'!N148</f>
        <v>0</v>
      </c>
      <c r="M148" s="168">
        <f>'030523 INVENTARIO'!O148</f>
        <v>0</v>
      </c>
      <c r="N148" s="168" t="str">
        <f>'030523 INVENTARIO'!P148</f>
        <v>REPETIDO</v>
      </c>
      <c r="O148" s="168" t="str">
        <f>'030523 INVENTARIO'!Q148</f>
        <v>S/M</v>
      </c>
      <c r="P148" s="167" t="str">
        <f>'030523 INVENTARIO'!R148</f>
        <v>S/M</v>
      </c>
      <c r="Q148" s="167" t="str">
        <f>'030523 INVENTARIO'!S148</f>
        <v>SIN SERIE</v>
      </c>
      <c r="R148" s="167" t="str">
        <f>'030523 INVENTARIO'!T148</f>
        <v>82DK0511010020000649462</v>
      </c>
    </row>
    <row r="149" spans="5:18">
      <c r="E149" s="167" t="str">
        <f>'030523 INVENTARIO'!E149</f>
        <v>ESTANTE O ANAQUEL</v>
      </c>
      <c r="F149" s="167" t="str">
        <f>'030523 INVENTARIO'!F149</f>
        <v>ESTANTE DE METAL CON 7 CHAROLAS</v>
      </c>
      <c r="G149" s="167" t="str">
        <f ca="1">'030523 INVENTARIO'!G149</f>
        <v>P05DA-0148</v>
      </c>
      <c r="H149" s="167" t="str">
        <f>'030523 INVENTARIO'!J149</f>
        <v>P05RM-0147</v>
      </c>
      <c r="I149" s="167" t="str">
        <f>'030523 INVENTARIO'!K149</f>
        <v>PB5RM-081</v>
      </c>
      <c r="J149" s="167">
        <f>'030523 INVENTARIO'!L149</f>
        <v>0</v>
      </c>
      <c r="K149" s="167" t="str">
        <f>'030523 INVENTARIO'!M149</f>
        <v>ALTA</v>
      </c>
      <c r="L149" s="168">
        <f>'030523 INVENTARIO'!N149</f>
        <v>0</v>
      </c>
      <c r="M149" s="168">
        <f>'030523 INVENTARIO'!O149</f>
        <v>0</v>
      </c>
      <c r="N149" s="168" t="str">
        <f>'030523 INVENTARIO'!P149</f>
        <v>REPETIDO</v>
      </c>
      <c r="O149" s="168" t="str">
        <f>'030523 INVENTARIO'!Q149</f>
        <v>S/M</v>
      </c>
      <c r="P149" s="167" t="str">
        <f>'030523 INVENTARIO'!R149</f>
        <v>S/M</v>
      </c>
      <c r="Q149" s="167" t="str">
        <f>'030523 INVENTARIO'!S149</f>
        <v>SIN SERIE</v>
      </c>
      <c r="R149" s="167" t="str">
        <f>'030523 INVENTARIO'!T149</f>
        <v>SIN RESGUARDO</v>
      </c>
    </row>
    <row r="150" spans="5:18">
      <c r="E150" s="167" t="str">
        <f>'030523 INVENTARIO'!E150</f>
        <v>MONITOR</v>
      </c>
      <c r="F150" s="167" t="str">
        <f>'030523 INVENTARIO'!F150</f>
        <v>MONITOR 15.6"</v>
      </c>
      <c r="G150" s="167" t="str">
        <f ca="1">'030523 INVENTARIO'!G150</f>
        <v>P05RM-0149</v>
      </c>
      <c r="H150" s="167" t="str">
        <f>'030523 INVENTARIO'!J150</f>
        <v>P05RM-0148</v>
      </c>
      <c r="I150" s="167" t="str">
        <f>'030523 INVENTARIO'!K150</f>
        <v>PB5RM-082</v>
      </c>
      <c r="J150" s="167" t="str">
        <f>'030523 INVENTARIO'!L150</f>
        <v>POAR-49</v>
      </c>
      <c r="K150" s="167" t="str">
        <f>'030523 INVENTARIO'!M150</f>
        <v>5210100012-34</v>
      </c>
      <c r="L150" s="168">
        <f>'030523 INVENTARIO'!N150</f>
        <v>0</v>
      </c>
      <c r="M150" s="168">
        <f>'030523 INVENTARIO'!O150</f>
        <v>0</v>
      </c>
      <c r="N150" s="168" t="str">
        <f>'030523 INVENTARIO'!P150</f>
        <v>OK</v>
      </c>
      <c r="O150" s="168" t="str">
        <f>'030523 INVENTARIO'!Q150</f>
        <v>ACER</v>
      </c>
      <c r="P150" s="167" t="str">
        <f>'030523 INVENTARIO'!R150</f>
        <v>P166HQL</v>
      </c>
      <c r="Q150" s="168" t="str">
        <f>'030523 INVENTARIO'!S150</f>
        <v>MMLTYAA00362205C284206</v>
      </c>
      <c r="R150" s="168" t="str">
        <f>'030523 INVENTARIO'!T150</f>
        <v>82DK0515010013000651088</v>
      </c>
    </row>
    <row r="151" spans="5:18">
      <c r="E151" s="167" t="str">
        <f>'030523 INVENTARIO'!E151</f>
        <v>MONITOR</v>
      </c>
      <c r="F151" s="167" t="str">
        <f>'030523 INVENTARIO'!F151</f>
        <v>MONITOR 15.6"</v>
      </c>
      <c r="G151" s="167" t="str">
        <f ca="1">'030523 INVENTARIO'!G151</f>
        <v>P05RM-0150</v>
      </c>
      <c r="H151" s="167" t="str">
        <f>'030523 INVENTARIO'!J151</f>
        <v>P05RM-0149</v>
      </c>
      <c r="I151" s="167" t="str">
        <f>'030523 INVENTARIO'!K151</f>
        <v>PB5RM-083</v>
      </c>
      <c r="J151" s="167" t="str">
        <f>'030523 INVENTARIO'!L151</f>
        <v>POAR-50</v>
      </c>
      <c r="K151" s="167" t="str">
        <f>'030523 INVENTARIO'!M151</f>
        <v>5210100012-35</v>
      </c>
      <c r="L151" s="168">
        <f>'030523 INVENTARIO'!N151</f>
        <v>0</v>
      </c>
      <c r="M151" s="168">
        <f>'030523 INVENTARIO'!O151</f>
        <v>0</v>
      </c>
      <c r="N151" s="168" t="str">
        <f>'030523 INVENTARIO'!P151</f>
        <v>OK</v>
      </c>
      <c r="O151" s="168" t="str">
        <f>'030523 INVENTARIO'!Q151</f>
        <v>ACER</v>
      </c>
      <c r="P151" s="167" t="str">
        <f>'030523 INVENTARIO'!R151</f>
        <v>P166HQL</v>
      </c>
      <c r="Q151" s="168" t="str">
        <f>'030523 INVENTARIO'!S151</f>
        <v>MMLTYAA00362205C094206</v>
      </c>
      <c r="R151" s="168" t="str">
        <f>'030523 INVENTARIO'!T151</f>
        <v>82DK0515010013000651089</v>
      </c>
    </row>
    <row r="152" spans="5:18">
      <c r="E152" s="167" t="str">
        <f>'030523 INVENTARIO'!E152</f>
        <v>ASPIRADORA</v>
      </c>
      <c r="F152" s="167" t="str">
        <f>'030523 INVENTARIO'!F152</f>
        <v>ASPIRADAORA</v>
      </c>
      <c r="G152" s="167" t="str">
        <f ca="1">'030523 INVENTARIO'!G152</f>
        <v>P05RM-0151</v>
      </c>
      <c r="H152" s="167" t="str">
        <f>'030523 INVENTARIO'!J152</f>
        <v>P05RM-0150</v>
      </c>
      <c r="I152" s="167" t="str">
        <f>'030523 INVENTARIO'!K152</f>
        <v>PB5RM-084</v>
      </c>
      <c r="J152" s="167" t="str">
        <f>'030523 INVENTARIO'!L152</f>
        <v>POAR-40</v>
      </c>
      <c r="K152" s="167" t="str">
        <f>'030523 INVENTARIO'!M152</f>
        <v>5690100100-2</v>
      </c>
      <c r="L152" s="168">
        <f>'030523 INVENTARIO'!N152</f>
        <v>0</v>
      </c>
      <c r="M152" s="168">
        <f>'030523 INVENTARIO'!O152</f>
        <v>0</v>
      </c>
      <c r="N152" s="168" t="str">
        <f>'030523 INVENTARIO'!P152</f>
        <v>OK</v>
      </c>
      <c r="O152" s="168" t="str">
        <f>'030523 INVENTARIO'!Q152</f>
        <v>KOBLENZ</v>
      </c>
      <c r="P152" s="167" t="str">
        <f>'030523 INVENTARIO'!R152</f>
        <v>WD/350K2M</v>
      </c>
      <c r="Q152" s="168" t="str">
        <f>'030523 INVENTARIO'!S152</f>
        <v>SIN SERIE</v>
      </c>
      <c r="R152" s="168" t="str">
        <f>'030523 INVENTARIO'!T152</f>
        <v>82DK0519010003000649403</v>
      </c>
    </row>
    <row r="153" spans="5:18">
      <c r="E153" s="167" t="str">
        <f>'030523 INVENTARIO'!E153</f>
        <v>MONITOR</v>
      </c>
      <c r="F153" s="167" t="str">
        <f>'030523 INVENTARIO'!F153</f>
        <v>MONITOR 18.5"</v>
      </c>
      <c r="G153" s="167" t="str">
        <f ca="1">'030523 INVENTARIO'!G153</f>
        <v>P05RM-0152</v>
      </c>
      <c r="H153" s="167" t="str">
        <f>'030523 INVENTARIO'!J153</f>
        <v>P05RM-0151</v>
      </c>
      <c r="I153" s="167" t="str">
        <f>'030523 INVENTARIO'!K153</f>
        <v>PB5RM-064</v>
      </c>
      <c r="J153" s="167" t="str">
        <f>'030523 INVENTARIO'!L153</f>
        <v>P2SJ-21</v>
      </c>
      <c r="K153" s="167" t="str">
        <f>'030523 INVENTARIO'!M153</f>
        <v>5210100012-4</v>
      </c>
      <c r="L153" s="168">
        <f>'030523 INVENTARIO'!N153</f>
        <v>0</v>
      </c>
      <c r="M153" s="168">
        <f>'030523 INVENTARIO'!O153</f>
        <v>0</v>
      </c>
      <c r="N153" s="168" t="str">
        <f>'030523 INVENTARIO'!P153</f>
        <v>OK</v>
      </c>
      <c r="O153" s="168" t="str">
        <f>'030523 INVENTARIO'!Q153</f>
        <v>HP</v>
      </c>
      <c r="P153" s="167" t="str">
        <f>'030523 INVENTARIO'!R153</f>
        <v>V193B</v>
      </c>
      <c r="Q153" s="168" t="str">
        <f>'030523 INVENTARIO'!S153</f>
        <v>3CQ542053B</v>
      </c>
      <c r="R153" s="168" t="str">
        <f>'030523 INVENTARIO'!T153</f>
        <v>82DH0515010013000649765</v>
      </c>
    </row>
    <row r="154" spans="5:18">
      <c r="E154" s="167" t="str">
        <f>'030523 INVENTARIO'!E154</f>
        <v>ARCHIVERO</v>
      </c>
      <c r="F154" s="167" t="str">
        <f>'030523 INVENTARIO'!F154</f>
        <v>ARCHIVERO DE MADERA CON 4 CAJONES 124X50X60</v>
      </c>
      <c r="G154" s="167" t="str">
        <f ca="1">'030523 INVENTARIO'!G154</f>
        <v>P05RH-0153</v>
      </c>
      <c r="H154" s="167" t="str">
        <f>'030523 INVENTARIO'!J154</f>
        <v>P05RH-0152</v>
      </c>
      <c r="I154" s="167" t="str">
        <f>'030523 INVENTARIO'!K154</f>
        <v>PB5RH-001</v>
      </c>
      <c r="J154" s="167" t="str">
        <f>'030523 INVENTARIO'!L154</f>
        <v>P0RH-26</v>
      </c>
      <c r="K154" s="167" t="str">
        <f>'030523 INVENTARIO'!M154</f>
        <v>5130100013-24</v>
      </c>
      <c r="L154" s="168">
        <f>'030523 INVENTARIO'!N154</f>
        <v>0</v>
      </c>
      <c r="M154" s="168">
        <f>'030523 INVENTARIO'!O154</f>
        <v>0</v>
      </c>
      <c r="N154" s="168" t="str">
        <f>'030523 INVENTARIO'!P154</f>
        <v>OK</v>
      </c>
      <c r="O154" s="168" t="str">
        <f>'030523 INVENTARIO'!Q154</f>
        <v>S/M</v>
      </c>
      <c r="P154" s="167" t="str">
        <f>'030523 INVENTARIO'!R154</f>
        <v>S/M</v>
      </c>
      <c r="Q154" s="168" t="str">
        <f>'030523 INVENTARIO'!S154</f>
        <v>SIN SERIE</v>
      </c>
      <c r="R154" s="168" t="str">
        <f>'030523 INVENTARIO'!T154</f>
        <v>82DK0511010001000518525</v>
      </c>
    </row>
    <row r="155" spans="5:18">
      <c r="E155" s="167" t="str">
        <f>'030523 INVENTARIO'!E155</f>
        <v>CREDENZA</v>
      </c>
      <c r="F155" s="168" t="str">
        <f>'030523 INVENTARIO'!F155</f>
        <v>CREDENZA DE MADERA</v>
      </c>
      <c r="G155" s="167" t="str">
        <f ca="1">'030523 INVENTARIO'!G155</f>
        <v>P05RH-0154</v>
      </c>
      <c r="H155" s="167" t="str">
        <f>'030523 INVENTARIO'!J155</f>
        <v>P05RH-0153</v>
      </c>
      <c r="I155" s="167" t="str">
        <f>'030523 INVENTARIO'!K155</f>
        <v>PB5RH-002</v>
      </c>
      <c r="J155" s="167" t="str">
        <f>'030523 INVENTARIO'!L155</f>
        <v>P0RH-35</v>
      </c>
      <c r="K155" s="168" t="str">
        <f>'030523 INVENTARIO'!M155</f>
        <v>5110100014-15</v>
      </c>
      <c r="L155" s="168">
        <f>'030523 INVENTARIO'!N155</f>
        <v>0</v>
      </c>
      <c r="M155" s="168">
        <f>'030523 INVENTARIO'!O155</f>
        <v>0</v>
      </c>
      <c r="N155" s="168" t="str">
        <f>'030523 INVENTARIO'!P155</f>
        <v>OK</v>
      </c>
      <c r="O155" s="168" t="str">
        <f>'030523 INVENTARIO'!Q155</f>
        <v>S/M</v>
      </c>
      <c r="P155" s="167" t="str">
        <f>'030523 INVENTARIO'!R155</f>
        <v>S/M</v>
      </c>
      <c r="Q155" s="168" t="str">
        <f>'030523 INVENTARIO'!S155</f>
        <v>SIN SERIE</v>
      </c>
      <c r="R155" s="168" t="str">
        <f>'030523 INVENTARIO'!T155</f>
        <v>82DK0511010005000649483</v>
      </c>
    </row>
    <row r="156" spans="5:18">
      <c r="E156" s="167" t="str">
        <f>'030523 INVENTARIO'!E156</f>
        <v>MESA</v>
      </c>
      <c r="F156" s="167" t="str">
        <f>'030523 INVENTARIO'!F156</f>
        <v>MESA COMPLEMENTO</v>
      </c>
      <c r="G156" s="167" t="str">
        <f ca="1">'030523 INVENTARIO'!G156</f>
        <v>P05RH-0155</v>
      </c>
      <c r="H156" s="167" t="str">
        <f>'030523 INVENTARIO'!J156</f>
        <v>P05RH-0154</v>
      </c>
      <c r="I156" s="167">
        <f>'030523 INVENTARIO'!K156</f>
        <v>0</v>
      </c>
      <c r="J156" s="167" t="str">
        <f>'030523 INVENTARIO'!L156</f>
        <v>P0RH-29</v>
      </c>
      <c r="K156" s="167" t="str">
        <f>'030523 INVENTARIO'!M156</f>
        <v>5120100007-98</v>
      </c>
      <c r="L156" s="168">
        <f>'030523 INVENTARIO'!N156</f>
        <v>0</v>
      </c>
      <c r="M156" s="168">
        <f>'030523 INVENTARIO'!O156</f>
        <v>0</v>
      </c>
      <c r="N156" s="168" t="str">
        <f>'030523 INVENTARIO'!P156</f>
        <v>OK</v>
      </c>
      <c r="O156" s="168" t="str">
        <f>'030523 INVENTARIO'!Q156</f>
        <v>S/M</v>
      </c>
      <c r="P156" s="167" t="str">
        <f>'030523 INVENTARIO'!R156</f>
        <v>S/M</v>
      </c>
      <c r="Q156" s="168" t="str">
        <f>'030523 INVENTARIO'!S156</f>
        <v>SIN SERIE</v>
      </c>
      <c r="R156" s="168" t="str">
        <f>'030523 INVENTARIO'!T156</f>
        <v>82DK0512010011000584051</v>
      </c>
    </row>
    <row r="157" spans="5:18">
      <c r="E157" s="167" t="str">
        <f>'030523 INVENTARIO'!E157</f>
        <v>ESCRITORIO</v>
      </c>
      <c r="F157" s="167" t="str">
        <f>'030523 INVENTARIO'!F157</f>
        <v>ESCRITORIO DE MADERA DE 3 PIEZAS TIPO ISLA</v>
      </c>
      <c r="G157" s="167" t="str">
        <f ca="1">'030523 INVENTARIO'!G157</f>
        <v>P05RM-0156</v>
      </c>
      <c r="H157" s="167" t="str">
        <f>'030523 INVENTARIO'!J157</f>
        <v>P05RH-0155</v>
      </c>
      <c r="I157" s="167" t="str">
        <f>'030523 INVENTARIO'!K157</f>
        <v>PB5RH-003</v>
      </c>
      <c r="J157" s="167" t="str">
        <f>'030523 INVENTARIO'!L157</f>
        <v>P0RH-38</v>
      </c>
      <c r="K157" s="167" t="str">
        <f>'030523 INVENTARIO'!M157</f>
        <v>5110100015-64</v>
      </c>
      <c r="L157" s="168">
        <f>'030523 INVENTARIO'!N157</f>
        <v>0</v>
      </c>
      <c r="M157" s="168">
        <f>'030523 INVENTARIO'!O157</f>
        <v>0</v>
      </c>
      <c r="N157" s="168" t="str">
        <f>'030523 INVENTARIO'!P157</f>
        <v>OK</v>
      </c>
      <c r="O157" s="168" t="str">
        <f>'030523 INVENTARIO'!Q157</f>
        <v>S/M</v>
      </c>
      <c r="P157" s="167" t="str">
        <f>'030523 INVENTARIO'!R157</f>
        <v>S/M</v>
      </c>
      <c r="Q157" s="168" t="str">
        <f>'030523 INVENTARIO'!S157</f>
        <v>SIN SERIE</v>
      </c>
      <c r="R157" s="168" t="str">
        <f>'030523 INVENTARIO'!T157</f>
        <v>82DK0511010006000649489</v>
      </c>
    </row>
    <row r="158" spans="5:18">
      <c r="E158" s="167" t="str">
        <f>'030523 INVENTARIO'!E158</f>
        <v>SILLA</v>
      </c>
      <c r="F158" s="167" t="str">
        <f>'030523 INVENTARIO'!F158</f>
        <v>SILLA DE TELA NEGRA FIJA</v>
      </c>
      <c r="G158" s="167" t="str">
        <f ca="1">'030523 INVENTARIO'!G158</f>
        <v>P05RH-0157</v>
      </c>
      <c r="H158" s="167" t="str">
        <f>'030523 INVENTARIO'!J158</f>
        <v>P05RH-0156</v>
      </c>
      <c r="I158" s="167" t="str">
        <f>'030523 INVENTARIO'!K158</f>
        <v>PB5RH-004</v>
      </c>
      <c r="J158" s="167" t="str">
        <f>'030523 INVENTARIO'!L158</f>
        <v>P0RH-28</v>
      </c>
      <c r="K158" s="167" t="str">
        <f>'030523 INVENTARIO'!M158</f>
        <v>5110100011-77</v>
      </c>
      <c r="L158" s="168">
        <f>'030523 INVENTARIO'!N158</f>
        <v>0</v>
      </c>
      <c r="M158" s="168">
        <f>'030523 INVENTARIO'!O158</f>
        <v>0</v>
      </c>
      <c r="N158" s="168" t="str">
        <f>'030523 INVENTARIO'!P158</f>
        <v>OK</v>
      </c>
      <c r="O158" s="168" t="str">
        <f>'030523 INVENTARIO'!Q158</f>
        <v>S/M</v>
      </c>
      <c r="P158" s="167" t="str">
        <f>'030523 INVENTARIO'!R158</f>
        <v>S/M</v>
      </c>
      <c r="Q158" s="168" t="str">
        <f>'030523 INVENTARIO'!S158</f>
        <v>SIN SERIE</v>
      </c>
      <c r="R158" s="168" t="str">
        <f>'030523 INVENTARIO'!T158</f>
        <v>82DH0511010017000649528</v>
      </c>
    </row>
    <row r="159" spans="5:18">
      <c r="E159" s="167" t="str">
        <f>'030523 INVENTARIO'!E159</f>
        <v>SILLA</v>
      </c>
      <c r="F159" s="167" t="str">
        <f>'030523 INVENTARIO'!F159</f>
        <v>SILLA DE TELA NEGRA FIJA</v>
      </c>
      <c r="G159" s="167" t="str">
        <f ca="1">'030523 INVENTARIO'!G159</f>
        <v>P05RH-0158</v>
      </c>
      <c r="H159" s="167" t="str">
        <f>'030523 INVENTARIO'!J159</f>
        <v>P05RH-0157</v>
      </c>
      <c r="I159" s="167" t="str">
        <f>'030523 INVENTARIO'!K159</f>
        <v>PB5RH-005</v>
      </c>
      <c r="J159" s="167" t="str">
        <f>'030523 INVENTARIO'!L159</f>
        <v>P0RH-27</v>
      </c>
      <c r="K159" s="167" t="str">
        <f>'030523 INVENTARIO'!M159</f>
        <v>5110100011-78</v>
      </c>
      <c r="L159" s="168">
        <f>'030523 INVENTARIO'!N159</f>
        <v>0</v>
      </c>
      <c r="M159" s="168">
        <f>'030523 INVENTARIO'!O159</f>
        <v>0</v>
      </c>
      <c r="N159" s="168" t="str">
        <f>'030523 INVENTARIO'!P159</f>
        <v>OK</v>
      </c>
      <c r="O159" s="167" t="str">
        <f>'030523 INVENTARIO'!Q159</f>
        <v>S/M</v>
      </c>
      <c r="P159" s="167" t="str">
        <f>'030523 INVENTARIO'!R159</f>
        <v>S/M</v>
      </c>
      <c r="Q159" s="168" t="str">
        <f>'030523 INVENTARIO'!S159</f>
        <v>SIN SERIE</v>
      </c>
      <c r="R159" s="168" t="str">
        <f>'030523 INVENTARIO'!T159</f>
        <v>82DK0511010017000516288</v>
      </c>
    </row>
    <row r="160" spans="5:18">
      <c r="E160" s="167" t="str">
        <f>'030523 INVENTARIO'!E160</f>
        <v>IMPRESORA</v>
      </c>
      <c r="F160" s="167" t="str">
        <f>'030523 INVENTARIO'!F160</f>
        <v>IMPRESORA NEGRA</v>
      </c>
      <c r="G160" s="167" t="str">
        <f ca="1">'030523 INVENTARIO'!G160</f>
        <v>P05RH-0159</v>
      </c>
      <c r="H160" s="167" t="str">
        <f>'030523 INVENTARIO'!J160</f>
        <v>P05RH-0158</v>
      </c>
      <c r="I160" s="167" t="str">
        <f>'030523 INVENTARIO'!K160</f>
        <v>PB5RH-006</v>
      </c>
      <c r="J160" s="167" t="str">
        <f>'030523 INVENTARIO'!L160</f>
        <v>P0RH-30</v>
      </c>
      <c r="K160" s="167" t="str">
        <f>'030523 INVENTARIO'!M160</f>
        <v>5150100007-7</v>
      </c>
      <c r="L160" s="168">
        <f>'030523 INVENTARIO'!N160</f>
        <v>0</v>
      </c>
      <c r="M160" s="168">
        <f>'030523 INVENTARIO'!O160</f>
        <v>0</v>
      </c>
      <c r="N160" s="168" t="str">
        <f>'030523 INVENTARIO'!P160</f>
        <v>OK</v>
      </c>
      <c r="O160" s="168" t="str">
        <f>'030523 INVENTARIO'!Q160</f>
        <v>HP</v>
      </c>
      <c r="P160" s="167" t="str">
        <f>'030523 INVENTARIO'!R160</f>
        <v>DESKJET</v>
      </c>
      <c r="Q160" s="168" t="str">
        <f>'030523 INVENTARIO'!S160</f>
        <v>L1280-80021</v>
      </c>
      <c r="R160" s="168" t="str">
        <f>'030523 INVENTARIO'!T160</f>
        <v>82DK0515010010000649480</v>
      </c>
    </row>
    <row r="161" spans="5:18">
      <c r="E161" s="167" t="str">
        <f>'030523 INVENTARIO'!E161</f>
        <v>TELEFONO</v>
      </c>
      <c r="F161" s="167" t="str">
        <f>'030523 INVENTARIO'!F161</f>
        <v>TELEFONO GRIS</v>
      </c>
      <c r="G161" s="167" t="str">
        <f ca="1">'030523 INVENTARIO'!G161</f>
        <v>P05RH-0160</v>
      </c>
      <c r="H161" s="167" t="str">
        <f>'030523 INVENTARIO'!J161</f>
        <v>P05RH-0159</v>
      </c>
      <c r="I161" s="167" t="str">
        <f>'030523 INVENTARIO'!K161</f>
        <v>PB5RH-007</v>
      </c>
      <c r="J161" s="167" t="str">
        <f>'030523 INVENTARIO'!L161</f>
        <v>P0RH-31</v>
      </c>
      <c r="K161" s="167" t="str">
        <f>'030523 INVENTARIO'!M161</f>
        <v>5650100010-24</v>
      </c>
      <c r="L161" s="168">
        <f>'030523 INVENTARIO'!N161</f>
        <v>0</v>
      </c>
      <c r="M161" s="168">
        <f>'030523 INVENTARIO'!O161</f>
        <v>0</v>
      </c>
      <c r="N161" s="168" t="str">
        <f>'030523 INVENTARIO'!P161</f>
        <v>OK</v>
      </c>
      <c r="O161" s="168" t="str">
        <f>'030523 INVENTARIO'!Q161</f>
        <v>CISCO</v>
      </c>
      <c r="P161" s="167" t="str">
        <f>'030523 INVENTARIO'!R161</f>
        <v>SPA504G</v>
      </c>
      <c r="Q161" s="168" t="str">
        <f>'030523 INVENTARIO'!S161</f>
        <v>CCQ172806OH</v>
      </c>
      <c r="R161" s="168" t="str">
        <f>'030523 INVENTARIO'!T161</f>
        <v>82DK0565010001000649481</v>
      </c>
    </row>
    <row r="162" spans="5:18">
      <c r="E162" s="167" t="str">
        <f>'030523 INVENTARIO'!E162</f>
        <v>MONITOR</v>
      </c>
      <c r="F162" s="167" t="str">
        <f>'030523 INVENTARIO'!F162</f>
        <v>MONITOR 19"</v>
      </c>
      <c r="G162" s="167" t="str">
        <f ca="1">'030523 INVENTARIO'!G162</f>
        <v>P05RH-0161</v>
      </c>
      <c r="H162" s="167" t="str">
        <f>'030523 INVENTARIO'!J162</f>
        <v>P05RH-0160</v>
      </c>
      <c r="I162" s="167" t="str">
        <f>'030523 INVENTARIO'!K162</f>
        <v>PB5RH-008</v>
      </c>
      <c r="J162" s="167" t="str">
        <f>'030523 INVENTARIO'!L162</f>
        <v>P1SI-14</v>
      </c>
      <c r="K162" s="167" t="str">
        <f>'030523 INVENTARIO'!M162</f>
        <v>5210100012-41</v>
      </c>
      <c r="L162" s="168">
        <f>'030523 INVENTARIO'!N162</f>
        <v>0</v>
      </c>
      <c r="M162" s="168">
        <f>'030523 INVENTARIO'!O162</f>
        <v>0</v>
      </c>
      <c r="N162" s="168" t="str">
        <f>'030523 INVENTARIO'!P162</f>
        <v>OK</v>
      </c>
      <c r="O162" s="168" t="str">
        <f>'030523 INVENTARIO'!Q162</f>
        <v>COMPAQ</v>
      </c>
      <c r="P162" s="167" t="str">
        <f>'030523 INVENTARIO'!R162</f>
        <v>WF1907</v>
      </c>
      <c r="Q162" s="168" t="str">
        <f>'030523 INVENTARIO'!S162</f>
        <v>CNC812Y9H6</v>
      </c>
      <c r="R162" s="167" t="str">
        <f>'030523 INVENTARIO'!T162</f>
        <v>82DH0565010041000539111</v>
      </c>
    </row>
    <row r="163" spans="5:18">
      <c r="E163" s="167" t="str">
        <f>'030523 INVENTARIO'!E163</f>
        <v>MONITOR</v>
      </c>
      <c r="F163" s="167" t="str">
        <f>'030523 INVENTARIO'!F163</f>
        <v>MONITOR 21.5"</v>
      </c>
      <c r="G163" s="167" t="str">
        <f ca="1">'030523 INVENTARIO'!G163</f>
        <v>P05RH-0162</v>
      </c>
      <c r="H163" s="167" t="str">
        <f>'030523 INVENTARIO'!J163</f>
        <v>P05RH-0161</v>
      </c>
      <c r="I163" s="167" t="str">
        <f>'030523 INVENTARIO'!K163</f>
        <v>PB5RH-009</v>
      </c>
      <c r="J163" s="167">
        <f>'030523 INVENTARIO'!L163</f>
        <v>0</v>
      </c>
      <c r="K163" s="167" t="str">
        <f>'030523 INVENTARIO'!M163</f>
        <v>5150100005-153</v>
      </c>
      <c r="L163" s="168">
        <f>'030523 INVENTARIO'!N163</f>
        <v>0</v>
      </c>
      <c r="M163" s="168">
        <f>'030523 INVENTARIO'!O163</f>
        <v>0</v>
      </c>
      <c r="N163" s="168" t="str">
        <f>'030523 INVENTARIO'!P163</f>
        <v>OK</v>
      </c>
      <c r="O163" s="168" t="str">
        <f>'030523 INVENTARIO'!Q163</f>
        <v>ACER</v>
      </c>
      <c r="P163" s="167" t="str">
        <f>'030523 INVENTARIO'!R163</f>
        <v>V226HQL</v>
      </c>
      <c r="Q163" s="167" t="str">
        <f>'030523 INVENTARIO'!S163</f>
        <v>MMLXLAA0250480B4A24273</v>
      </c>
      <c r="R163" s="167" t="str">
        <f>'030523 INVENTARIO'!T163</f>
        <v>SIN RESGUARDO</v>
      </c>
    </row>
    <row r="164" spans="5:18">
      <c r="E164" s="167" t="str">
        <f>'030523 INVENTARIO'!E164</f>
        <v>NO BREAK</v>
      </c>
      <c r="F164" s="167" t="str">
        <f>'030523 INVENTARIO'!F164</f>
        <v>NO BREAK NEGRO</v>
      </c>
      <c r="G164" s="167" t="str">
        <f ca="1">'030523 INVENTARIO'!G164</f>
        <v>P05RH-0163</v>
      </c>
      <c r="H164" s="167" t="str">
        <f>'030523 INVENTARIO'!J164</f>
        <v>P05RH-0162</v>
      </c>
      <c r="I164" s="167" t="str">
        <f>'030523 INVENTARIO'!K164</f>
        <v>PB5RH-010</v>
      </c>
      <c r="J164" s="167" t="str">
        <f>'030523 INVENTARIO'!L164</f>
        <v>P0RH-23</v>
      </c>
      <c r="K164" s="168" t="str">
        <f>'030523 INVENTARIO'!M164</f>
        <v>5150100008-35</v>
      </c>
      <c r="L164" s="168">
        <f>'030523 INVENTARIO'!N164</f>
        <v>0</v>
      </c>
      <c r="M164" s="168">
        <f>'030523 INVENTARIO'!O164</f>
        <v>0</v>
      </c>
      <c r="N164" s="168" t="str">
        <f>'030523 INVENTARIO'!P164</f>
        <v>OK</v>
      </c>
      <c r="O164" s="168" t="str">
        <f>'030523 INVENTARIO'!Q164</f>
        <v>FORZA</v>
      </c>
      <c r="P164" s="167" t="str">
        <f>'030523 INVENTARIO'!R164</f>
        <v>NT751</v>
      </c>
      <c r="Q164" s="168" t="str">
        <f>'030523 INVENTARIO'!S164</f>
        <v>190522502263</v>
      </c>
      <c r="R164" s="168" t="str">
        <f>'030523 INVENTARIO'!T164</f>
        <v>82DK0515010016000649425</v>
      </c>
    </row>
    <row r="165" spans="5:18">
      <c r="E165" s="167" t="str">
        <f>'030523 INVENTARIO'!E165</f>
        <v>COMPUTADORA DE ESCRITORIO</v>
      </c>
      <c r="F165" s="167" t="str">
        <f>'030523 INVENTARIO'!F165</f>
        <v>COMPUTADORA DE ESCRITORIO</v>
      </c>
      <c r="G165" s="167" t="str">
        <f ca="1">'030523 INVENTARIO'!G165</f>
        <v>P05RH-0164</v>
      </c>
      <c r="H165" s="167" t="str">
        <f>'030523 INVENTARIO'!J165</f>
        <v>P05RH-0163</v>
      </c>
      <c r="I165" s="167" t="str">
        <f>'030523 INVENTARIO'!K165</f>
        <v>PB5RH-011</v>
      </c>
      <c r="J165" s="167">
        <f>'030523 INVENTARIO'!L165</f>
        <v>0</v>
      </c>
      <c r="K165" s="167" t="str">
        <f>'030523 INVENTARIO'!M165</f>
        <v>5150100005-152</v>
      </c>
      <c r="L165" s="168">
        <f>'030523 INVENTARIO'!N165</f>
        <v>0</v>
      </c>
      <c r="M165" s="168">
        <f>'030523 INVENTARIO'!O165</f>
        <v>0</v>
      </c>
      <c r="N165" s="168" t="str">
        <f>'030523 INVENTARIO'!P165</f>
        <v>OK</v>
      </c>
      <c r="O165" s="168" t="str">
        <f>'030523 INVENTARIO'!Q165</f>
        <v>ACTECK</v>
      </c>
      <c r="P165" s="167" t="str">
        <f>'030523 INVENTARIO'!R165</f>
        <v>LINX</v>
      </c>
      <c r="Q165" s="167">
        <f>'030523 INVENTARIO'!S165</f>
        <v>11392903014316</v>
      </c>
      <c r="R165" s="167" t="str">
        <f>'030523 INVENTARIO'!T165</f>
        <v>SIN RESGUARDO</v>
      </c>
    </row>
    <row r="166" spans="5:18">
      <c r="E166" s="167" t="str">
        <f>'030523 INVENTARIO'!E166</f>
        <v>COMPLEMENTARIO DE EQUIPO DE COMPUTO</v>
      </c>
      <c r="F166" s="168" t="str">
        <f>'030523 INVENTARIO'!F166</f>
        <v>COMPLEMENTO DE EQUIPO DE MADERA</v>
      </c>
      <c r="G166" s="167" t="str">
        <f ca="1">'030523 INVENTARIO'!G166</f>
        <v>P05RH-0165</v>
      </c>
      <c r="H166" s="167" t="str">
        <f>'030523 INVENTARIO'!J166</f>
        <v>P05RH-0164</v>
      </c>
      <c r="I166" s="167" t="str">
        <f>'030523 INVENTARIO'!K166</f>
        <v>PB5RH-012</v>
      </c>
      <c r="J166" s="167" t="str">
        <f>'030523 INVENTARIO'!L166</f>
        <v>P0RH-22</v>
      </c>
      <c r="K166" s="167" t="str">
        <f>'030523 INVENTARIO'!M166</f>
        <v>5120100004-23</v>
      </c>
      <c r="L166" s="168">
        <f>'030523 INVENTARIO'!N166</f>
        <v>0</v>
      </c>
      <c r="M166" s="168">
        <f>'030523 INVENTARIO'!O166</f>
        <v>0</v>
      </c>
      <c r="N166" s="168" t="str">
        <f>'030523 INVENTARIO'!P166</f>
        <v>OK</v>
      </c>
      <c r="O166" s="168" t="str">
        <f>'030523 INVENTARIO'!Q166</f>
        <v>S/M</v>
      </c>
      <c r="P166" s="167" t="str">
        <f>'030523 INVENTARIO'!R166</f>
        <v>S/M</v>
      </c>
      <c r="Q166" s="168" t="str">
        <f>'030523 INVENTARIO'!S166</f>
        <v>SIN SERIE</v>
      </c>
      <c r="R166" s="168" t="str">
        <f>'030523 INVENTARIO'!T166</f>
        <v>82DH0515010033000564669</v>
      </c>
    </row>
    <row r="167" spans="5:18">
      <c r="E167" s="167" t="str">
        <f>'030523 INVENTARIO'!E167</f>
        <v>SILLA</v>
      </c>
      <c r="F167" s="167" t="str">
        <f>'030523 INVENTARIO'!F167</f>
        <v>SILLA NEGRA CON RUEDAS</v>
      </c>
      <c r="G167" s="167" t="str">
        <f ca="1">'030523 INVENTARIO'!G167</f>
        <v>P05RH-0166</v>
      </c>
      <c r="H167" s="167" t="str">
        <f>'030523 INVENTARIO'!J167</f>
        <v>P05RH-0165</v>
      </c>
      <c r="I167" s="167" t="str">
        <f>'030523 INVENTARIO'!K167</f>
        <v>PB5RH-013</v>
      </c>
      <c r="J167" s="167" t="str">
        <f>'030523 INVENTARIO'!L167</f>
        <v>P0RH-33</v>
      </c>
      <c r="K167" s="167" t="str">
        <f>'030523 INVENTARIO'!M167</f>
        <v>5110100011-79</v>
      </c>
      <c r="L167" s="168">
        <f>'030523 INVENTARIO'!N167</f>
        <v>0</v>
      </c>
      <c r="M167" s="168">
        <f>'030523 INVENTARIO'!O167</f>
        <v>0</v>
      </c>
      <c r="N167" s="168" t="str">
        <f>'030523 INVENTARIO'!P167</f>
        <v>OK</v>
      </c>
      <c r="O167" s="168" t="str">
        <f>'030523 INVENTARIO'!Q167</f>
        <v>S/M</v>
      </c>
      <c r="P167" s="167" t="str">
        <f>'030523 INVENTARIO'!R167</f>
        <v>S/M</v>
      </c>
      <c r="Q167" s="168" t="str">
        <f>'030523 INVENTARIO'!S167</f>
        <v>SIN SERIE</v>
      </c>
      <c r="R167" s="168" t="str">
        <f>'030523 INVENTARIO'!T167</f>
        <v>82DK0511010017000649482</v>
      </c>
    </row>
    <row r="168" spans="5:18">
      <c r="E168" s="167" t="str">
        <f>'030523 INVENTARIO'!E168</f>
        <v>ARCHIVERO</v>
      </c>
      <c r="F168" s="167" t="str">
        <f>'030523 INVENTARIO'!F168</f>
        <v>ARCHIVERO DE METAL CON 3 CAJONES 105X47X72</v>
      </c>
      <c r="G168" s="167" t="str">
        <f ca="1">'030523 INVENTARIO'!G168</f>
        <v>P05RH-0167</v>
      </c>
      <c r="H168" s="167" t="str">
        <f>'030523 INVENTARIO'!J168</f>
        <v>P05RH-0166</v>
      </c>
      <c r="I168" s="167" t="str">
        <f>'030523 INVENTARIO'!K168</f>
        <v>PB5RH-014</v>
      </c>
      <c r="J168" s="167" t="str">
        <f>'030523 INVENTARIO'!L168</f>
        <v>P0RH-18</v>
      </c>
      <c r="K168" s="167" t="str">
        <f>'030523 INVENTARIO'!M168</f>
        <v>5290300001-14</v>
      </c>
      <c r="L168" s="168">
        <f>'030523 INVENTARIO'!N168</f>
        <v>0</v>
      </c>
      <c r="M168" s="168">
        <f>'030523 INVENTARIO'!O168</f>
        <v>0</v>
      </c>
      <c r="N168" s="168" t="str">
        <f>'030523 INVENTARIO'!P168</f>
        <v>OK</v>
      </c>
      <c r="O168" s="168" t="str">
        <f>'030523 INVENTARIO'!Q168</f>
        <v>S/M</v>
      </c>
      <c r="P168" s="167" t="str">
        <f>'030523 INVENTARIO'!R168</f>
        <v>S/M</v>
      </c>
      <c r="Q168" s="168" t="str">
        <f>'030523 INVENTARIO'!S168</f>
        <v>SIN SERIE</v>
      </c>
      <c r="R168" s="168" t="str">
        <f>'030523 INVENTARIO'!T168</f>
        <v>82DK0511010001000518519</v>
      </c>
    </row>
    <row r="169" spans="5:18">
      <c r="E169" s="167" t="str">
        <f>'030523 INVENTARIO'!E169</f>
        <v>ARCHIVERO</v>
      </c>
      <c r="F169" s="167" t="str">
        <f>'030523 INVENTARIO'!F169</f>
        <v>ARCHIVERO  DE MADERA  CON 2 CAJONES 66X50X61</v>
      </c>
      <c r="G169" s="167" t="str">
        <f ca="1">'030523 INVENTARIO'!G169</f>
        <v>P05RH-0168</v>
      </c>
      <c r="H169" s="167" t="str">
        <f>'030523 INVENTARIO'!J169</f>
        <v>P05RH-0167</v>
      </c>
      <c r="I169" s="167" t="str">
        <f>'030523 INVENTARIO'!K169</f>
        <v>PB5RH-015</v>
      </c>
      <c r="J169" s="167" t="str">
        <f>'030523 INVENTARIO'!L169</f>
        <v>P0RH-25</v>
      </c>
      <c r="K169" s="167" t="str">
        <f>'030523 INVENTARIO'!M169</f>
        <v>5130100013-23</v>
      </c>
      <c r="L169" s="168">
        <f>'030523 INVENTARIO'!N169</f>
        <v>0</v>
      </c>
      <c r="M169" s="168">
        <f>'030523 INVENTARIO'!O169</f>
        <v>0</v>
      </c>
      <c r="N169" s="168" t="str">
        <f>'030523 INVENTARIO'!P169</f>
        <v>OK</v>
      </c>
      <c r="O169" s="168" t="str">
        <f>'030523 INVENTARIO'!Q169</f>
        <v>S/M</v>
      </c>
      <c r="P169" s="167" t="str">
        <f>'030523 INVENTARIO'!R169</f>
        <v>S/M</v>
      </c>
      <c r="Q169" s="168" t="str">
        <f>'030523 INVENTARIO'!S169</f>
        <v>SIN SERIE</v>
      </c>
      <c r="R169" s="168" t="str">
        <f>'030523 INVENTARIO'!T169</f>
        <v>82DK0511010001000533168</v>
      </c>
    </row>
    <row r="170" spans="5:18">
      <c r="E170" s="167" t="str">
        <f>'030523 INVENTARIO'!E170</f>
        <v>VENTILADOR</v>
      </c>
      <c r="F170" s="167" t="str">
        <f>'030523 INVENTARIO'!F170</f>
        <v>VENTILADOR GRIS DE TORRE</v>
      </c>
      <c r="G170" s="167" t="str">
        <f ca="1">'030523 INVENTARIO'!G170</f>
        <v>P05RH-0169</v>
      </c>
      <c r="H170" s="167" t="str">
        <f>'030523 INVENTARIO'!J170</f>
        <v>P05RH-0168</v>
      </c>
      <c r="I170" s="167" t="str">
        <f>'030523 INVENTARIO'!K170</f>
        <v>PB5RH-016</v>
      </c>
      <c r="J170" s="167" t="str">
        <f>'030523 INVENTARIO'!L170</f>
        <v>P0RH-24</v>
      </c>
      <c r="K170" s="168" t="str">
        <f>'030523 INVENTARIO'!M170</f>
        <v>5190200002-35</v>
      </c>
      <c r="L170" s="168">
        <f>'030523 INVENTARIO'!N170</f>
        <v>0</v>
      </c>
      <c r="M170" s="168">
        <f>'030523 INVENTARIO'!O170</f>
        <v>0</v>
      </c>
      <c r="N170" s="168" t="str">
        <f>'030523 INVENTARIO'!P170</f>
        <v>OK</v>
      </c>
      <c r="O170" s="168" t="str">
        <f>'030523 INVENTARIO'!Q170</f>
        <v>NAVIA</v>
      </c>
      <c r="P170" s="167" t="str">
        <f>'030523 INVENTARIO'!R170</f>
        <v>VTM-012</v>
      </c>
      <c r="Q170" s="168" t="str">
        <f>'030523 INVENTARIO'!S170</f>
        <v>T004112</v>
      </c>
      <c r="R170" s="168" t="str">
        <f>'030523 INVENTARIO'!T170</f>
        <v>82DK0519010043000649479</v>
      </c>
    </row>
    <row r="171" spans="5:18">
      <c r="E171" s="167" t="str">
        <f>'030523 INVENTARIO'!E171</f>
        <v>COMPUTADORA PORTATIL</v>
      </c>
      <c r="F171" s="167" t="str">
        <f>'030523 INVENTARIO'!F171</f>
        <v>COMPUTADORA PORTATIL TOUCH</v>
      </c>
      <c r="G171" s="167" t="str">
        <f ca="1">'030523 INVENTARIO'!G171</f>
        <v>P05RH-0170</v>
      </c>
      <c r="H171" s="167" t="str">
        <f>'030523 INVENTARIO'!J171</f>
        <v>P05RH-0169</v>
      </c>
      <c r="I171" s="167" t="str">
        <f>'030523 INVENTARIO'!K171</f>
        <v>PB5RH-017</v>
      </c>
      <c r="J171" s="167" t="str">
        <f>'030523 INVENTARIO'!L171</f>
        <v>P0RH-34</v>
      </c>
      <c r="K171" s="167" t="str">
        <f>'030523 INVENTARIO'!M171</f>
        <v>5150100005-56</v>
      </c>
      <c r="L171" s="168">
        <f>'030523 INVENTARIO'!N171</f>
        <v>0</v>
      </c>
      <c r="M171" s="168">
        <f>'030523 INVENTARIO'!O171</f>
        <v>0</v>
      </c>
      <c r="N171" s="168" t="str">
        <f>'030523 INVENTARIO'!P171</f>
        <v>OK</v>
      </c>
      <c r="O171" s="168" t="str">
        <f>'030523 INVENTARIO'!Q171</f>
        <v>LENOVO</v>
      </c>
      <c r="P171" s="167" t="str">
        <f>'030523 INVENTARIO'!R171</f>
        <v>YOGA 8057</v>
      </c>
      <c r="Q171" s="168" t="str">
        <f>'030523 INVENTARIO'!S171</f>
        <v>MP17FXMT</v>
      </c>
      <c r="R171" s="168" t="str">
        <f>'030523 INVENTARIO'!T171</f>
        <v>82DK0515010002000649383</v>
      </c>
    </row>
    <row r="172" spans="5:18">
      <c r="E172" s="167" t="str">
        <f>'030523 INVENTARIO'!E172</f>
        <v>MESA</v>
      </c>
      <c r="F172" s="167" t="str">
        <f>'030523 INVENTARIO'!F172</f>
        <v>MESA COMPLEMENTO 160X60</v>
      </c>
      <c r="G172" s="167" t="str">
        <f ca="1">'030523 INVENTARIO'!G172</f>
        <v>P05RH-0171</v>
      </c>
      <c r="H172" s="167" t="str">
        <f>'030523 INVENTARIO'!J172</f>
        <v>P05RH-0170</v>
      </c>
      <c r="I172" s="167" t="str">
        <f>'030523 INVENTARIO'!K172</f>
        <v>PB5RH-018</v>
      </c>
      <c r="J172" s="167" t="str">
        <f>'030523 INVENTARIO'!L172</f>
        <v>P0RH-8</v>
      </c>
      <c r="K172" s="167" t="str">
        <f>'030523 INVENTARIO'!M172</f>
        <v>5120100007-94</v>
      </c>
      <c r="L172" s="168">
        <f>'030523 INVENTARIO'!N172</f>
        <v>0</v>
      </c>
      <c r="M172" s="168">
        <f>'030523 INVENTARIO'!O172</f>
        <v>0</v>
      </c>
      <c r="N172" s="168" t="str">
        <f>'030523 INVENTARIO'!P172</f>
        <v>OK</v>
      </c>
      <c r="O172" s="168" t="str">
        <f>'030523 INVENTARIO'!Q172</f>
        <v>S/M</v>
      </c>
      <c r="P172" s="167" t="str">
        <f>'030523 INVENTARIO'!R172</f>
        <v>S/M</v>
      </c>
      <c r="Q172" s="168" t="str">
        <f>'030523 INVENTARIO'!S172</f>
        <v>SIN SERIE</v>
      </c>
      <c r="R172" s="168" t="str">
        <f>'030523 INVENTARIO'!T172</f>
        <v>82DK0531010065000580343</v>
      </c>
    </row>
    <row r="173" spans="5:18">
      <c r="E173" s="167" t="str">
        <f>'030523 INVENTARIO'!E173</f>
        <v>SILLA</v>
      </c>
      <c r="F173" s="167" t="str">
        <f>'030523 INVENTARIO'!F173</f>
        <v>SILLA CON RUEDAS NEGRA</v>
      </c>
      <c r="G173" s="167" t="str">
        <f ca="1">'030523 INVENTARIO'!G173</f>
        <v>P05RH-0172</v>
      </c>
      <c r="H173" s="167" t="str">
        <f>'030523 INVENTARIO'!J173</f>
        <v>P05RH-0171</v>
      </c>
      <c r="I173" s="167" t="str">
        <f>'030523 INVENTARIO'!K173</f>
        <v>PB5RH-019</v>
      </c>
      <c r="J173" s="167">
        <f>'030523 INVENTARIO'!L173</f>
        <v>0</v>
      </c>
      <c r="K173" s="167" t="str">
        <f>'030523 INVENTARIO'!M173</f>
        <v>5110100011-30</v>
      </c>
      <c r="L173" s="168">
        <f>'030523 INVENTARIO'!N173</f>
        <v>0</v>
      </c>
      <c r="M173" s="168">
        <f>'030523 INVENTARIO'!O173</f>
        <v>0</v>
      </c>
      <c r="N173" s="168" t="str">
        <f>'030523 INVENTARIO'!P173</f>
        <v>OK</v>
      </c>
      <c r="O173" s="168" t="str">
        <f>'030523 INVENTARIO'!Q173</f>
        <v>S/M</v>
      </c>
      <c r="P173" s="167" t="str">
        <f>'030523 INVENTARIO'!R173</f>
        <v>S/M</v>
      </c>
      <c r="Q173" s="167" t="str">
        <f>'030523 INVENTARIO'!S173</f>
        <v>SIN SERIE</v>
      </c>
      <c r="R173" s="167" t="str">
        <f>'030523 INVENTARIO'!T173</f>
        <v>82DK0511010017000649486</v>
      </c>
    </row>
    <row r="174" spans="5:18">
      <c r="E174" s="167" t="str">
        <f>'030523 INVENTARIO'!E175</f>
        <v>SILLA</v>
      </c>
      <c r="F174" s="167" t="str">
        <f>'030523 INVENTARIO'!F175</f>
        <v>SILLA NEGRA DE TELA FIJA</v>
      </c>
      <c r="G174" s="167" t="str">
        <f ca="1">'030523 INVENTARIO'!G175</f>
        <v>P05RH-0173</v>
      </c>
      <c r="H174" s="167" t="str">
        <f>'030523 INVENTARIO'!J175</f>
        <v>P05RH-0172</v>
      </c>
      <c r="I174" s="167" t="str">
        <f>'030523 INVENTARIO'!K175</f>
        <v>PB5RH-020</v>
      </c>
      <c r="J174" s="167" t="str">
        <f>'030523 INVENTARIO'!L175</f>
        <v>P0RH-16</v>
      </c>
      <c r="K174" s="168" t="str">
        <f>'030523 INVENTARIO'!M175</f>
        <v>5110100011-76</v>
      </c>
      <c r="L174" s="168">
        <f>'030523 INVENTARIO'!N175</f>
        <v>0</v>
      </c>
      <c r="M174" s="168">
        <f>'030523 INVENTARIO'!O175</f>
        <v>0</v>
      </c>
      <c r="N174" s="168" t="str">
        <f>'030523 INVENTARIO'!P175</f>
        <v>OK</v>
      </c>
      <c r="O174" s="168" t="str">
        <f>'030523 INVENTARIO'!Q175</f>
        <v>S/M</v>
      </c>
      <c r="P174" s="167" t="str">
        <f>'030523 INVENTARIO'!R175</f>
        <v>S/M</v>
      </c>
      <c r="Q174" s="168" t="str">
        <f>'030523 INVENTARIO'!S175</f>
        <v>SIN SERIE</v>
      </c>
      <c r="R174" s="168" t="str">
        <f>'030523 INVENTARIO'!T175</f>
        <v>82DK0511010017000649485</v>
      </c>
    </row>
    <row r="175" spans="5:18">
      <c r="E175" s="167" t="str">
        <f>'030523 INVENTARIO'!E176</f>
        <v>ESCRITORIO</v>
      </c>
      <c r="F175" s="167" t="str">
        <f>'030523 INVENTARIO'!F176</f>
        <v>ESCRITORIO DE MADERA 140X60</v>
      </c>
      <c r="G175" s="167" t="str">
        <f ca="1">'030523 INVENTARIO'!G176</f>
        <v>P05RH-0174</v>
      </c>
      <c r="H175" s="167" t="str">
        <f>'030523 INVENTARIO'!J176</f>
        <v>P05RH-0173</v>
      </c>
      <c r="I175" s="167" t="str">
        <f>'030523 INVENTARIO'!K176</f>
        <v>PB5RH-021</v>
      </c>
      <c r="J175" s="167" t="str">
        <f>'030523 INVENTARIO'!L176</f>
        <v>P0RH-1</v>
      </c>
      <c r="K175" s="167" t="str">
        <f>'030523 INVENTARIO'!M176</f>
        <v>5110100015-52</v>
      </c>
      <c r="L175" s="168">
        <f>'030523 INVENTARIO'!N176</f>
        <v>0</v>
      </c>
      <c r="M175" s="168">
        <f>'030523 INVENTARIO'!O176</f>
        <v>0</v>
      </c>
      <c r="N175" s="168" t="str">
        <f>'030523 INVENTARIO'!P176</f>
        <v>OK</v>
      </c>
      <c r="O175" s="168" t="str">
        <f>'030523 INVENTARIO'!Q176</f>
        <v>S/M</v>
      </c>
      <c r="P175" s="167" t="str">
        <f>'030523 INVENTARIO'!R176</f>
        <v>S/M</v>
      </c>
      <c r="Q175" s="168" t="str">
        <f>'030523 INVENTARIO'!S176</f>
        <v>SIN SERIE</v>
      </c>
      <c r="R175" s="168" t="str">
        <f>'030523 INVENTARIO'!T176</f>
        <v>82DK0511010006000583483</v>
      </c>
    </row>
    <row r="176" spans="5:18">
      <c r="E176" s="167" t="str">
        <f>'030523 INVENTARIO'!E174</f>
        <v>MONITOR</v>
      </c>
      <c r="F176" s="167" t="str">
        <f>'030523 INVENTARIO'!F174</f>
        <v>MONITOR 19.5"</v>
      </c>
      <c r="G176" s="167" t="str">
        <f ca="1">'030523 INVENTARIO'!G174</f>
        <v>P05RM-0175</v>
      </c>
      <c r="H176" s="167" t="str">
        <f>'030523 INVENTARIO'!J174</f>
        <v>P05RH-0174</v>
      </c>
      <c r="I176" s="167" t="str">
        <f>'030523 INVENTARIO'!K174</f>
        <v>PB5RH-022</v>
      </c>
      <c r="J176" s="167" t="str">
        <f>'030523 INVENTARIO'!L174</f>
        <v>P0RH-4</v>
      </c>
      <c r="K176" s="167" t="str">
        <f>'030523 INVENTARIO'!M174</f>
        <v>5210100012-36</v>
      </c>
      <c r="L176" s="168">
        <f>'030523 INVENTARIO'!N174</f>
        <v>0</v>
      </c>
      <c r="M176" s="168">
        <f>'030523 INVENTARIO'!O174</f>
        <v>0</v>
      </c>
      <c r="N176" s="168" t="str">
        <f>'030523 INVENTARIO'!P174</f>
        <v>OK</v>
      </c>
      <c r="O176" s="168" t="str">
        <f>'030523 INVENTARIO'!Q174</f>
        <v>GHIA</v>
      </c>
      <c r="P176" s="167" t="str">
        <f>'030523 INVENTARIO'!R174</f>
        <v>MG2016</v>
      </c>
      <c r="Q176" s="168" t="str">
        <f>'030523 INVENTARIO'!S174</f>
        <v>SIN SERIE</v>
      </c>
      <c r="R176" s="168" t="str">
        <f>'030523 INVENTARIO'!T174</f>
        <v>82DH0515010013000649651</v>
      </c>
    </row>
    <row r="177" spans="5:18">
      <c r="E177" s="167" t="str">
        <f>'030523 INVENTARIO'!E177</f>
        <v>COMPUTADORA DE ESCRITORIO</v>
      </c>
      <c r="F177" s="167" t="str">
        <f>'030523 INVENTARIO'!F177</f>
        <v>COMPUTADORA DE ESCRITORIO</v>
      </c>
      <c r="G177" s="167" t="str">
        <f ca="1">'030523 INVENTARIO'!G177</f>
        <v>P05RH-0176</v>
      </c>
      <c r="H177" s="167" t="str">
        <f>'030523 INVENTARIO'!J177</f>
        <v>P05RH-0175</v>
      </c>
      <c r="I177" s="167" t="str">
        <f>'030523 INVENTARIO'!K177</f>
        <v>PB5RH-023</v>
      </c>
      <c r="J177" s="167" t="str">
        <f>'030523 INVENTARIO'!L177</f>
        <v>P0RH-5</v>
      </c>
      <c r="K177" s="167" t="str">
        <f>'030523 INVENTARIO'!M177</f>
        <v>5150100005-50</v>
      </c>
      <c r="L177" s="168">
        <f>'030523 INVENTARIO'!N177</f>
        <v>0</v>
      </c>
      <c r="M177" s="168">
        <f>'030523 INVENTARIO'!O177</f>
        <v>0</v>
      </c>
      <c r="N177" s="168" t="str">
        <f>'030523 INVENTARIO'!P177</f>
        <v>OK</v>
      </c>
      <c r="O177" s="168" t="str">
        <f>'030523 INVENTARIO'!Q177</f>
        <v>GHIA</v>
      </c>
      <c r="P177" s="167">
        <f>'030523 INVENTARIO'!R177</f>
        <v>2378</v>
      </c>
      <c r="Q177" s="168" t="str">
        <f>'030523 INVENTARIO'!S177</f>
        <v>337738</v>
      </c>
      <c r="R177" s="168" t="str">
        <f>'030523 INVENTARIO'!T177</f>
        <v>82DK0515010001000650663</v>
      </c>
    </row>
    <row r="178" spans="5:18">
      <c r="E178" s="167" t="str">
        <f>'030523 INVENTARIO'!E178</f>
        <v>MULTIFUNCIONAL</v>
      </c>
      <c r="F178" s="167" t="str">
        <f>'030523 INVENTARIO'!F178</f>
        <v>MULTIFUNCIONAL NEGRO</v>
      </c>
      <c r="G178" s="167" t="str">
        <f ca="1">'030523 INVENTARIO'!G178</f>
        <v>P05RH-0177</v>
      </c>
      <c r="H178" s="167" t="str">
        <f>'030523 INVENTARIO'!J178</f>
        <v>P05RH-0176</v>
      </c>
      <c r="I178" s="167" t="str">
        <f>'030523 INVENTARIO'!K178</f>
        <v>PB5RH-024</v>
      </c>
      <c r="J178" s="167" t="str">
        <f>'030523 INVENTARIO'!L178</f>
        <v>P0RH-7</v>
      </c>
      <c r="K178" s="167" t="str">
        <f>'030523 INVENTARIO'!M178</f>
        <v>5150100007-6</v>
      </c>
      <c r="L178" s="168">
        <f>'030523 INVENTARIO'!N178</f>
        <v>0</v>
      </c>
      <c r="M178" s="168">
        <f>'030523 INVENTARIO'!O178</f>
        <v>0</v>
      </c>
      <c r="N178" s="168" t="str">
        <f>'030523 INVENTARIO'!P178</f>
        <v>OK</v>
      </c>
      <c r="O178" s="168" t="str">
        <f>'030523 INVENTARIO'!Q178</f>
        <v>CANON</v>
      </c>
      <c r="P178" s="167" t="str">
        <f>'030523 INVENTARIO'!R178</f>
        <v>MP280</v>
      </c>
      <c r="Q178" s="167" t="str">
        <f>'030523 INVENTARIO'!S178</f>
        <v>LHWC02634</v>
      </c>
      <c r="R178" s="168" t="str">
        <f>'030523 INVENTARIO'!T178</f>
        <v>82DK0515010014000539050</v>
      </c>
    </row>
    <row r="179" spans="5:18">
      <c r="E179" s="167" t="str">
        <f>'030523 INVENTARIO'!E179</f>
        <v>REGULADOR DE VOLTAJE</v>
      </c>
      <c r="F179" s="168" t="str">
        <f>'030523 INVENTARIO'!F179</f>
        <v>REGULADOR</v>
      </c>
      <c r="G179" s="167" t="str">
        <f ca="1">'030523 INVENTARIO'!G179</f>
        <v>P05RH-0178</v>
      </c>
      <c r="H179" s="167" t="str">
        <f>'030523 INVENTARIO'!J179</f>
        <v>P05RH-0177</v>
      </c>
      <c r="I179" s="167" t="str">
        <f>'030523 INVENTARIO'!K179</f>
        <v>PB5RH-025</v>
      </c>
      <c r="J179" s="167" t="str">
        <f>'030523 INVENTARIO'!L179</f>
        <v>P0RH-6</v>
      </c>
      <c r="K179" s="167" t="str">
        <f>'030523 INVENTARIO'!M179</f>
        <v>5660100057-16</v>
      </c>
      <c r="L179" s="168">
        <f>'030523 INVENTARIO'!N179</f>
        <v>0</v>
      </c>
      <c r="M179" s="168">
        <f>'030523 INVENTARIO'!O179</f>
        <v>0</v>
      </c>
      <c r="N179" s="168" t="str">
        <f>'030523 INVENTARIO'!P179</f>
        <v>OK</v>
      </c>
      <c r="O179" s="168" t="str">
        <f>'030523 INVENTARIO'!Q179</f>
        <v>KOBLENZ</v>
      </c>
      <c r="P179" s="167" t="str">
        <f>'030523 INVENTARIO'!R179</f>
        <v>RS/1400I</v>
      </c>
      <c r="Q179" s="168" t="str">
        <f>'030523 INVENTARIO'!S179</f>
        <v>16-10-39226</v>
      </c>
      <c r="R179" s="168" t="str">
        <f>'030523 INVENTARIO'!T179</f>
        <v>82DK0515010020000650899</v>
      </c>
    </row>
    <row r="180" spans="5:18">
      <c r="E180" s="167" t="str">
        <f>'030523 INVENTARIO'!E180</f>
        <v>COMPLEMENTARIO DE EQUIPO DE COMPUTO</v>
      </c>
      <c r="F180" s="167" t="str">
        <f>'030523 INVENTARIO'!F180</f>
        <v>COMPLEMENTO DE EQUIPO DE MADERA</v>
      </c>
      <c r="G180" s="167" t="str">
        <f ca="1">'030523 INVENTARIO'!G180</f>
        <v>P05RH-0179</v>
      </c>
      <c r="H180" s="167" t="str">
        <f>'030523 INVENTARIO'!J180</f>
        <v>P05RH-0178</v>
      </c>
      <c r="I180" s="167" t="str">
        <f>'030523 INVENTARIO'!K180</f>
        <v>PB5RH-026</v>
      </c>
      <c r="J180" s="167" t="str">
        <f>'030523 INVENTARIO'!L180</f>
        <v>P0RH-9</v>
      </c>
      <c r="K180" s="167" t="str">
        <f>'030523 INVENTARIO'!M180</f>
        <v>5120100004-36</v>
      </c>
      <c r="L180" s="168">
        <f>'030523 INVENTARIO'!N180</f>
        <v>0</v>
      </c>
      <c r="M180" s="168">
        <f>'030523 INVENTARIO'!O180</f>
        <v>0</v>
      </c>
      <c r="N180" s="168" t="str">
        <f>'030523 INVENTARIO'!P180</f>
        <v>OK</v>
      </c>
      <c r="O180" s="168" t="str">
        <f>'030523 INVENTARIO'!Q180</f>
        <v>S/M</v>
      </c>
      <c r="P180" s="167" t="str">
        <f>'030523 INVENTARIO'!R180</f>
        <v>S/M</v>
      </c>
      <c r="Q180" s="168" t="str">
        <f>'030523 INVENTARIO'!S180</f>
        <v>SIN SERIE</v>
      </c>
      <c r="R180" s="168" t="str">
        <f>'030523 INVENTARIO'!T180</f>
        <v>82DH0515010033000566420</v>
      </c>
    </row>
    <row r="181" spans="5:18">
      <c r="E181" s="167" t="str">
        <f>'030523 INVENTARIO'!E181</f>
        <v>ESCRITORIO</v>
      </c>
      <c r="F181" s="167" t="str">
        <f>'030523 INVENTARIO'!F181</f>
        <v>ESCRITORIO 120X75</v>
      </c>
      <c r="G181" s="167" t="str">
        <f ca="1">'030523 INVENTARIO'!G181</f>
        <v>P05RH-0180</v>
      </c>
      <c r="H181" s="167" t="str">
        <f>'030523 INVENTARIO'!J181</f>
        <v>P05RH-0179</v>
      </c>
      <c r="I181" s="167" t="str">
        <f>'030523 INVENTARIO'!K181</f>
        <v>PB5RH-027</v>
      </c>
      <c r="J181" s="167">
        <f>'030523 INVENTARIO'!L181</f>
        <v>0</v>
      </c>
      <c r="K181" s="167" t="str">
        <f>'030523 INVENTARIO'!M181</f>
        <v>ALTA</v>
      </c>
      <c r="L181" s="168">
        <f>'030523 INVENTARIO'!N181</f>
        <v>0</v>
      </c>
      <c r="M181" s="168">
        <f>'030523 INVENTARIO'!O181</f>
        <v>0</v>
      </c>
      <c r="N181" s="168" t="str">
        <f>'030523 INVENTARIO'!P181</f>
        <v>REPETIDO</v>
      </c>
      <c r="O181" s="168" t="str">
        <f>'030523 INVENTARIO'!Q181</f>
        <v>S/M</v>
      </c>
      <c r="P181" s="167" t="str">
        <f>'030523 INVENTARIO'!R181</f>
        <v>S/M</v>
      </c>
      <c r="Q181" s="167" t="str">
        <f>'030523 INVENTARIO'!S181</f>
        <v>SIN SERIE</v>
      </c>
      <c r="R181" s="167" t="str">
        <f>'030523 INVENTARIO'!T181</f>
        <v>SIN RESGUARDO</v>
      </c>
    </row>
    <row r="182" spans="5:18">
      <c r="E182" s="167" t="str">
        <f>'030523 INVENTARIO'!E182</f>
        <v>MONITOR</v>
      </c>
      <c r="F182" s="167" t="str">
        <f>'030523 INVENTARIO'!F182</f>
        <v>MONITOR 21.5"</v>
      </c>
      <c r="G182" s="167" t="str">
        <f ca="1">'030523 INVENTARIO'!G182</f>
        <v>P05RH-0181</v>
      </c>
      <c r="H182" s="167" t="str">
        <f>'030523 INVENTARIO'!J182</f>
        <v>P05RH-0180</v>
      </c>
      <c r="I182" s="167" t="str">
        <f>'030523 INVENTARIO'!K182</f>
        <v>PB5RH-028</v>
      </c>
      <c r="J182" s="167">
        <f>'030523 INVENTARIO'!L182</f>
        <v>0</v>
      </c>
      <c r="K182" s="167" t="str">
        <f>'030523 INVENTARIO'!M182</f>
        <v>5150100005-157</v>
      </c>
      <c r="L182" s="168">
        <f>'030523 INVENTARIO'!N182</f>
        <v>0</v>
      </c>
      <c r="M182" s="168">
        <f>'030523 INVENTARIO'!O182</f>
        <v>0</v>
      </c>
      <c r="N182" s="168" t="str">
        <f>'030523 INVENTARIO'!P182</f>
        <v>OK</v>
      </c>
      <c r="O182" s="168" t="str">
        <f>'030523 INVENTARIO'!Q182</f>
        <v>ACER</v>
      </c>
      <c r="P182" s="167" t="str">
        <f>'030523 INVENTARIO'!R182</f>
        <v>V226HQL</v>
      </c>
      <c r="Q182" s="167" t="str">
        <f>'030523 INVENTARIO'!S182</f>
        <v>MMTASAA007109006923P00</v>
      </c>
      <c r="R182" s="167" t="str">
        <f>'030523 INVENTARIO'!T182</f>
        <v>SIN RESGUARDO</v>
      </c>
    </row>
    <row r="183" spans="5:18">
      <c r="E183" s="167" t="str">
        <f>'030523 INVENTARIO'!E183</f>
        <v>COMPUTADORA DE ESCRITORIO</v>
      </c>
      <c r="F183" s="167" t="str">
        <f>'030523 INVENTARIO'!F183</f>
        <v>COMPUTADORA DE ESCRITORIO</v>
      </c>
      <c r="G183" s="167" t="str">
        <f ca="1">'030523 INVENTARIO'!G183</f>
        <v>P05RH-0182</v>
      </c>
      <c r="H183" s="167" t="str">
        <f>'030523 INVENTARIO'!J183</f>
        <v>P05RH-0181</v>
      </c>
      <c r="I183" s="167" t="str">
        <f>'030523 INVENTARIO'!K183</f>
        <v>PB5RH-029</v>
      </c>
      <c r="J183" s="167">
        <f>'030523 INVENTARIO'!L183</f>
        <v>0</v>
      </c>
      <c r="K183" s="167" t="str">
        <f>'030523 INVENTARIO'!M183</f>
        <v>5150100005-156</v>
      </c>
      <c r="L183" s="168">
        <f>'030523 INVENTARIO'!N183</f>
        <v>0</v>
      </c>
      <c r="M183" s="168">
        <f>'030523 INVENTARIO'!O183</f>
        <v>0</v>
      </c>
      <c r="N183" s="168" t="str">
        <f>'030523 INVENTARIO'!P183</f>
        <v>OK</v>
      </c>
      <c r="O183" s="168" t="str">
        <f>'030523 INVENTARIO'!Q183</f>
        <v>ACTECK</v>
      </c>
      <c r="P183" s="167" t="str">
        <f>'030523 INVENTARIO'!R183</f>
        <v>LINX</v>
      </c>
      <c r="Q183" s="167">
        <f>'030523 INVENTARIO'!S183</f>
        <v>11392903015062</v>
      </c>
      <c r="R183" s="167" t="str">
        <f>'030523 INVENTARIO'!T183</f>
        <v>SIN RESGUARDO</v>
      </c>
    </row>
    <row r="184" spans="5:18">
      <c r="E184" s="167" t="str">
        <f>'030523 INVENTARIO'!E184</f>
        <v>SILLA</v>
      </c>
      <c r="F184" s="167" t="str">
        <f>'030523 INVENTARIO'!F184</f>
        <v>SILLA NEGRA CON RUEDAS</v>
      </c>
      <c r="G184" s="167" t="str">
        <f ca="1">'030523 INVENTARIO'!G184</f>
        <v>P05RH-0183</v>
      </c>
      <c r="H184" s="167" t="str">
        <f>'030523 INVENTARIO'!J184</f>
        <v>P05RH-0182</v>
      </c>
      <c r="I184" s="167" t="str">
        <f>'030523 INVENTARIO'!K184</f>
        <v>PB5RH-030</v>
      </c>
      <c r="J184" s="167" t="str">
        <f>'030523 INVENTARIO'!L184</f>
        <v>P0RH-37</v>
      </c>
      <c r="K184" s="167" t="str">
        <f>'030523 INVENTARIO'!M184</f>
        <v>5110100011-100</v>
      </c>
      <c r="L184" s="168">
        <f>'030523 INVENTARIO'!N184</f>
        <v>0</v>
      </c>
      <c r="M184" s="168">
        <f>'030523 INVENTARIO'!O184</f>
        <v>0</v>
      </c>
      <c r="N184" s="168" t="str">
        <f>'030523 INVENTARIO'!P184</f>
        <v>OK</v>
      </c>
      <c r="O184" s="168" t="str">
        <f>'030523 INVENTARIO'!Q184</f>
        <v>S/M</v>
      </c>
      <c r="P184" s="167" t="str">
        <f>'030523 INVENTARIO'!R184</f>
        <v>S/M</v>
      </c>
      <c r="Q184" s="168" t="str">
        <f>'030523 INVENTARIO'!S184</f>
        <v>SIN SERIE</v>
      </c>
      <c r="R184" s="168" t="str">
        <f>'030523 INVENTARIO'!T184</f>
        <v>82DK0511010017000522767</v>
      </c>
    </row>
    <row r="185" spans="5:18">
      <c r="E185" s="167" t="str">
        <f>'030523 INVENTARIO'!E185</f>
        <v>REGULADOR DE VOLTAJE</v>
      </c>
      <c r="F185" s="167" t="str">
        <f>'030523 INVENTARIO'!F185</f>
        <v>REGULADOR NEGRO</v>
      </c>
      <c r="G185" s="167" t="str">
        <f ca="1">'030523 INVENTARIO'!G185</f>
        <v>P05RH-0184</v>
      </c>
      <c r="H185" s="167" t="str">
        <f>'030523 INVENTARIO'!J185</f>
        <v>P05RH-0183</v>
      </c>
      <c r="I185" s="167" t="str">
        <f>'030523 INVENTARIO'!K185</f>
        <v>PB5RH-031</v>
      </c>
      <c r="J185" s="167">
        <f>'030523 INVENTARIO'!L185</f>
        <v>0</v>
      </c>
      <c r="K185" s="167" t="str">
        <f>'030523 INVENTARIO'!M185</f>
        <v>5150100008-46</v>
      </c>
      <c r="L185" s="168">
        <f>'030523 INVENTARIO'!N185</f>
        <v>0</v>
      </c>
      <c r="M185" s="168">
        <f>'030523 INVENTARIO'!O185</f>
        <v>0</v>
      </c>
      <c r="N185" s="168" t="str">
        <f>'030523 INVENTARIO'!P185</f>
        <v>OK</v>
      </c>
      <c r="O185" s="168" t="str">
        <f>'030523 INVENTARIO'!Q185</f>
        <v>TRIPPLITE</v>
      </c>
      <c r="P185" s="167" t="str">
        <f>'030523 INVENTARIO'!R185</f>
        <v>INTERNET550U</v>
      </c>
      <c r="Q185" s="167" t="str">
        <f>'030523 INVENTARIO'!S185</f>
        <v>9730CY0BC575600755</v>
      </c>
      <c r="R185" s="167" t="str">
        <f>'030523 INVENTARIO'!T185</f>
        <v>82DJ0515010016000539062</v>
      </c>
    </row>
    <row r="186" spans="5:18">
      <c r="E186" s="167" t="str">
        <f>'030523 INVENTARIO'!E186</f>
        <v>COMPLEMENTARIO DE EQUIPO DE COMPUTO</v>
      </c>
      <c r="F186" s="168" t="str">
        <f>'030523 INVENTARIO'!F186</f>
        <v>COMPLEMENTO DE EQUIPO DE MADERA</v>
      </c>
      <c r="G186" s="167" t="str">
        <f ca="1">'030523 INVENTARIO'!G186</f>
        <v>P05RH-0185</v>
      </c>
      <c r="H186" s="167" t="str">
        <f>'030523 INVENTARIO'!J186</f>
        <v>P05RH-0184</v>
      </c>
      <c r="I186" s="167" t="str">
        <f>'030523 INVENTARIO'!K186</f>
        <v>PB5RH-032</v>
      </c>
      <c r="J186" s="167" t="str">
        <f>'030523 INVENTARIO'!L186</f>
        <v>P0RH-17</v>
      </c>
      <c r="K186" s="167" t="str">
        <f>'030523 INVENTARIO'!M186</f>
        <v>5120100004-22</v>
      </c>
      <c r="L186" s="168">
        <f>'030523 INVENTARIO'!N186</f>
        <v>0</v>
      </c>
      <c r="M186" s="168">
        <f>'030523 INVENTARIO'!O186</f>
        <v>0</v>
      </c>
      <c r="N186" s="168" t="str">
        <f>'030523 INVENTARIO'!P186</f>
        <v>OK</v>
      </c>
      <c r="O186" s="168" t="str">
        <f>'030523 INVENTARIO'!Q186</f>
        <v>S/M</v>
      </c>
      <c r="P186" s="167" t="str">
        <f>'030523 INVENTARIO'!R186</f>
        <v>S/M</v>
      </c>
      <c r="Q186" s="168" t="str">
        <f>'030523 INVENTARIO'!S186</f>
        <v>SIN SERIE</v>
      </c>
      <c r="R186" s="168" t="str">
        <f>'030523 INVENTARIO'!T186</f>
        <v>82DK0515010033000564663</v>
      </c>
    </row>
    <row r="187" spans="5:18">
      <c r="E187" s="167" t="str">
        <f>'030523 INVENTARIO'!E187</f>
        <v>MESA</v>
      </c>
      <c r="F187" s="167" t="str">
        <f>'030523 INVENTARIO'!F187</f>
        <v>MESA DE MADERA COMPLEMENTO 160X60</v>
      </c>
      <c r="G187" s="167" t="str">
        <f ca="1">'030523 INVENTARIO'!G187</f>
        <v>P05RH-0186</v>
      </c>
      <c r="H187" s="167" t="str">
        <f>'030523 INVENTARIO'!J187</f>
        <v>P05RH-0185</v>
      </c>
      <c r="I187" s="167" t="str">
        <f>'030523 INVENTARIO'!K187</f>
        <v>PB5RH-033</v>
      </c>
      <c r="J187" s="167" t="str">
        <f>'030523 INVENTARIO'!L187</f>
        <v>P0RH-14</v>
      </c>
      <c r="K187" s="167" t="str">
        <f>'030523 INVENTARIO'!M187</f>
        <v>5110100015-57</v>
      </c>
      <c r="L187" s="168">
        <f>'030523 INVENTARIO'!N187</f>
        <v>0</v>
      </c>
      <c r="M187" s="168">
        <f>'030523 INVENTARIO'!O187</f>
        <v>0</v>
      </c>
      <c r="N187" s="168" t="str">
        <f>'030523 INVENTARIO'!P187</f>
        <v>OK</v>
      </c>
      <c r="O187" s="168" t="str">
        <f>'030523 INVENTARIO'!Q187</f>
        <v>S/M</v>
      </c>
      <c r="P187" s="167" t="str">
        <f>'030523 INVENTARIO'!R187</f>
        <v>S/M</v>
      </c>
      <c r="Q187" s="168" t="str">
        <f>'030523 INVENTARIO'!S187</f>
        <v>SIN SERIE</v>
      </c>
      <c r="R187" s="168" t="str">
        <f>'030523 INVENTARIO'!T187</f>
        <v>82DK0531010065000564833</v>
      </c>
    </row>
    <row r="188" spans="5:18">
      <c r="E188" s="167" t="str">
        <f>'030523 INVENTARIO'!E188</f>
        <v>ESCRITORIO</v>
      </c>
      <c r="F188" s="167" t="str">
        <f>'030523 INVENTARIO'!F188</f>
        <v>ESCRITORIO DE MADERA 140X60</v>
      </c>
      <c r="G188" s="167" t="str">
        <f ca="1">'030523 INVENTARIO'!G188</f>
        <v>P05RH-0187</v>
      </c>
      <c r="H188" s="167" t="str">
        <f>'030523 INVENTARIO'!J188</f>
        <v>P05RH-0186</v>
      </c>
      <c r="I188" s="167" t="str">
        <f>'030523 INVENTARIO'!K188</f>
        <v>PB5RH-034</v>
      </c>
      <c r="J188" s="167" t="str">
        <f>'030523 INVENTARIO'!L188</f>
        <v>P0RH-11</v>
      </c>
      <c r="K188" s="167" t="str">
        <f>'030523 INVENTARIO'!M188</f>
        <v>5110100015-56</v>
      </c>
      <c r="L188" s="168">
        <f>'030523 INVENTARIO'!N188</f>
        <v>0</v>
      </c>
      <c r="M188" s="168">
        <f>'030523 INVENTARIO'!O188</f>
        <v>0</v>
      </c>
      <c r="N188" s="168" t="str">
        <f>'030523 INVENTARIO'!P188</f>
        <v>OK</v>
      </c>
      <c r="O188" s="168" t="str">
        <f>'030523 INVENTARIO'!Q188</f>
        <v>S/M</v>
      </c>
      <c r="P188" s="167" t="str">
        <f>'030523 INVENTARIO'!R188</f>
        <v>S/M</v>
      </c>
      <c r="Q188" s="168" t="str">
        <f>'030523 INVENTARIO'!S188</f>
        <v>SIN SERIE</v>
      </c>
      <c r="R188" s="168" t="str">
        <f>'030523 INVENTARIO'!T188</f>
        <v>82DK0511010006000518527</v>
      </c>
    </row>
    <row r="189" spans="5:18">
      <c r="E189" s="167" t="str">
        <f>'030523 INVENTARIO'!E189</f>
        <v>COMPUTADORA DE ESCRITORIO</v>
      </c>
      <c r="F189" s="168" t="str">
        <f>'030523 INVENTARIO'!F189</f>
        <v>COMPUTADORA NEGRO</v>
      </c>
      <c r="G189" s="167" t="str">
        <f ca="1">'030523 INVENTARIO'!G189</f>
        <v>P05RH-0188</v>
      </c>
      <c r="H189" s="167" t="str">
        <f>'030523 INVENTARIO'!J189</f>
        <v>P05RH-0187</v>
      </c>
      <c r="I189" s="167" t="str">
        <f>'030523 INVENTARIO'!K189</f>
        <v>PB5RH-035</v>
      </c>
      <c r="J189" s="167" t="str">
        <f>'030523 INVENTARIO'!L189</f>
        <v>P0RH-12</v>
      </c>
      <c r="K189" s="168" t="str">
        <f>'030523 INVENTARIO'!M189</f>
        <v>5150100005-53</v>
      </c>
      <c r="L189" s="168">
        <f>'030523 INVENTARIO'!N189</f>
        <v>0</v>
      </c>
      <c r="M189" s="168">
        <f>'030523 INVENTARIO'!O189</f>
        <v>0</v>
      </c>
      <c r="N189" s="168" t="str">
        <f>'030523 INVENTARIO'!P189</f>
        <v>OK</v>
      </c>
      <c r="O189" s="168" t="str">
        <f>'030523 INVENTARIO'!Q189</f>
        <v>ACER</v>
      </c>
      <c r="P189" s="167" t="str">
        <f>'030523 INVENTARIO'!R189</f>
        <v>ASPIRE X3990</v>
      </c>
      <c r="Q189" s="168" t="str">
        <f>'030523 INVENTARIO'!S189</f>
        <v>DTSGKAL003207089629200</v>
      </c>
      <c r="R189" s="168" t="str">
        <f>'030523 INVENTARIO'!T189</f>
        <v>82DK0515010001000535501</v>
      </c>
    </row>
    <row r="190" spans="5:18">
      <c r="E190" s="167" t="str">
        <f>'030523 INVENTARIO'!E190</f>
        <v>MONITOR</v>
      </c>
      <c r="F190" s="167" t="str">
        <f>'030523 INVENTARIO'!F190</f>
        <v>MONITOR 18.5"</v>
      </c>
      <c r="G190" s="167" t="str">
        <f ca="1">'030523 INVENTARIO'!G190</f>
        <v>P05RH-0189</v>
      </c>
      <c r="H190" s="167" t="str">
        <f>'030523 INVENTARIO'!J190</f>
        <v>P05RH-0188</v>
      </c>
      <c r="I190" s="167" t="str">
        <f>'030523 INVENTARIO'!K190</f>
        <v>PB5RH-036</v>
      </c>
      <c r="J190" s="167" t="str">
        <f>'030523 INVENTARIO'!L190</f>
        <v>P0RH-13</v>
      </c>
      <c r="K190" s="167" t="str">
        <f>'030523 INVENTARIO'!M190</f>
        <v>5210100012-40</v>
      </c>
      <c r="L190" s="168">
        <f>'030523 INVENTARIO'!N190</f>
        <v>0</v>
      </c>
      <c r="M190" s="168">
        <f>'030523 INVENTARIO'!O190</f>
        <v>0</v>
      </c>
      <c r="N190" s="168" t="str">
        <f>'030523 INVENTARIO'!P190</f>
        <v>OK</v>
      </c>
      <c r="O190" s="168" t="str">
        <f>'030523 INVENTARIO'!Q190</f>
        <v>ACER</v>
      </c>
      <c r="P190" s="167" t="str">
        <f>'030523 INVENTARIO'!R190</f>
        <v>P186HV</v>
      </c>
      <c r="Q190" s="168" t="str">
        <f>'030523 INVENTARIO'!S190</f>
        <v>20200725443</v>
      </c>
      <c r="R190" s="168" t="str">
        <f>'030523 INVENTARIO'!T190</f>
        <v>82DK0565010041000539116</v>
      </c>
    </row>
    <row r="191" spans="5:18">
      <c r="E191" s="167" t="str">
        <f>'030523 INVENTARIO'!E191</f>
        <v>REGULADOR DE VOLTAJE</v>
      </c>
      <c r="F191" s="167" t="str">
        <f>'030523 INVENTARIO'!F191</f>
        <v>REGULADOR</v>
      </c>
      <c r="G191" s="167" t="str">
        <f ca="1">'030523 INVENTARIO'!G191</f>
        <v>P05RH-0190</v>
      </c>
      <c r="H191" s="167" t="str">
        <f>'030523 INVENTARIO'!J191</f>
        <v>P05RH-0189</v>
      </c>
      <c r="I191" s="167" t="str">
        <f>'030523 INVENTARIO'!K191</f>
        <v>PB5RH-037</v>
      </c>
      <c r="J191" s="167">
        <f>'030523 INVENTARIO'!L191</f>
        <v>0</v>
      </c>
      <c r="K191" s="167" t="str">
        <f>'030523 INVENTARIO'!M191</f>
        <v>5660100057-5</v>
      </c>
      <c r="L191" s="168">
        <f>'030523 INVENTARIO'!N191</f>
        <v>0</v>
      </c>
      <c r="M191" s="168">
        <f>'030523 INVENTARIO'!O191</f>
        <v>0</v>
      </c>
      <c r="N191" s="168" t="str">
        <f>'030523 INVENTARIO'!P191</f>
        <v>OK</v>
      </c>
      <c r="O191" s="168" t="str">
        <f>'030523 INVENTARIO'!Q191</f>
        <v>KOBLENZ</v>
      </c>
      <c r="P191" s="167" t="str">
        <f>'030523 INVENTARIO'!R191</f>
        <v>BP-1350-I</v>
      </c>
      <c r="Q191" s="167">
        <f>'030523 INVENTARIO'!S191</f>
        <v>161139013</v>
      </c>
      <c r="R191" s="167" t="str">
        <f>'030523 INVENTARIO'!T191</f>
        <v>82DH0515010020000649442</v>
      </c>
    </row>
    <row r="192" spans="5:18">
      <c r="E192" s="167" t="str">
        <f>'030523 INVENTARIO'!E192</f>
        <v>SILLA</v>
      </c>
      <c r="F192" s="167" t="str">
        <f>'030523 INVENTARIO'!F192</f>
        <v>SILLA  CON RUEDAS NEGRA</v>
      </c>
      <c r="G192" s="167" t="str">
        <f ca="1">'030523 INVENTARIO'!G192</f>
        <v>P05RH-0191</v>
      </c>
      <c r="H192" s="167" t="str">
        <f>'030523 INVENTARIO'!J192</f>
        <v>P05RH-0190</v>
      </c>
      <c r="I192" s="167" t="str">
        <f>'030523 INVENTARIO'!K192</f>
        <v>PB5RH-038</v>
      </c>
      <c r="J192" s="167" t="str">
        <f>'030523 INVENTARIO'!L192</f>
        <v>P0RH-10</v>
      </c>
      <c r="K192" s="168" t="str">
        <f>'030523 INVENTARIO'!M192</f>
        <v>5110100011-75</v>
      </c>
      <c r="L192" s="168">
        <f>'030523 INVENTARIO'!N192</f>
        <v>0</v>
      </c>
      <c r="M192" s="168">
        <f>'030523 INVENTARIO'!O192</f>
        <v>0</v>
      </c>
      <c r="N192" s="168" t="str">
        <f>'030523 INVENTARIO'!P192</f>
        <v>OK</v>
      </c>
      <c r="O192" s="168" t="str">
        <f>'030523 INVENTARIO'!Q192</f>
        <v>S/M</v>
      </c>
      <c r="P192" s="167" t="str">
        <f>'030523 INVENTARIO'!R192</f>
        <v>S/M</v>
      </c>
      <c r="Q192" s="168" t="str">
        <f>'030523 INVENTARIO'!S192</f>
        <v>SIN SERIE</v>
      </c>
      <c r="R192" s="168" t="str">
        <f>'030523 INVENTARIO'!T192</f>
        <v>82DK0511010017000516302</v>
      </c>
    </row>
    <row r="193" spans="5:18">
      <c r="E193" s="167" t="str">
        <f>'030523 INVENTARIO'!E193</f>
        <v>ESCRITORIO</v>
      </c>
      <c r="F193" s="167" t="str">
        <f>'030523 INVENTARIO'!F193</f>
        <v>ESCRITORIO DE MADERA 140X60</v>
      </c>
      <c r="G193" s="167" t="str">
        <f ca="1">'030523 INVENTARIO'!G193</f>
        <v>P05RH-0192</v>
      </c>
      <c r="H193" s="167" t="str">
        <f>'030523 INVENTARIO'!J193</f>
        <v>P05RH-0191</v>
      </c>
      <c r="I193" s="167" t="str">
        <f>'030523 INVENTARIO'!K193</f>
        <v>PB5RH-039</v>
      </c>
      <c r="J193" s="167" t="str">
        <f>'030523 INVENTARIO'!L193</f>
        <v>P0A-114</v>
      </c>
      <c r="K193" s="167" t="str">
        <f>'030523 INVENTARIO'!M193</f>
        <v>ALTA</v>
      </c>
      <c r="L193" s="168">
        <f>'030523 INVENTARIO'!N193</f>
        <v>0</v>
      </c>
      <c r="M193" s="168">
        <f>'030523 INVENTARIO'!O193</f>
        <v>0</v>
      </c>
      <c r="N193" s="168" t="str">
        <f>'030523 INVENTARIO'!P193</f>
        <v>REPETIDO</v>
      </c>
      <c r="O193" s="168" t="str">
        <f>'030523 INVENTARIO'!Q193</f>
        <v>S/M</v>
      </c>
      <c r="P193" s="167" t="str">
        <f>'030523 INVENTARIO'!R193</f>
        <v>S/M</v>
      </c>
      <c r="Q193" s="168" t="str">
        <f>'030523 INVENTARIO'!S193</f>
        <v>SIN SERIE</v>
      </c>
      <c r="R193" s="168" t="str">
        <f>'030523 INVENTARIO'!T193</f>
        <v>82DH0511010006000651085</v>
      </c>
    </row>
    <row r="194" spans="5:18">
      <c r="E194" s="167" t="str">
        <f>'030523 INVENTARIO'!E194</f>
        <v>COMPUTADORA DE ESCRITORIO</v>
      </c>
      <c r="F194" s="167" t="str">
        <f>'030523 INVENTARIO'!F194</f>
        <v>COMPUTADORA TODO EN UNO BLANCO</v>
      </c>
      <c r="G194" s="167" t="str">
        <f ca="1">'030523 INVENTARIO'!G194</f>
        <v>P05RH-0193</v>
      </c>
      <c r="H194" s="167" t="str">
        <f>'030523 INVENTARIO'!J194</f>
        <v>P05RH-0192</v>
      </c>
      <c r="I194" s="167" t="str">
        <f>'030523 INVENTARIO'!K194</f>
        <v>PB5RH-040</v>
      </c>
      <c r="J194" s="167" t="str">
        <f>'030523 INVENTARIO'!L194</f>
        <v>P1CSA-27</v>
      </c>
      <c r="K194" s="167" t="str">
        <f>'030523 INVENTARIO'!M194</f>
        <v>ALTA</v>
      </c>
      <c r="L194" s="168">
        <f>'030523 INVENTARIO'!N194</f>
        <v>0</v>
      </c>
      <c r="M194" s="168">
        <f>'030523 INVENTARIO'!O194</f>
        <v>0</v>
      </c>
      <c r="N194" s="168" t="str">
        <f>'030523 INVENTARIO'!P194</f>
        <v>REPETIDO</v>
      </c>
      <c r="O194" s="168" t="str">
        <f>'030523 INVENTARIO'!Q194</f>
        <v>LENOVO</v>
      </c>
      <c r="P194" s="167" t="str">
        <f>'030523 INVENTARIO'!R194</f>
        <v>CS0503210F 310-20IAP</v>
      </c>
      <c r="Q194" s="168" t="str">
        <f>'030523 INVENTARIO'!S194</f>
        <v>CS02527760</v>
      </c>
      <c r="R194" s="167" t="str">
        <f>'030523 INVENTARIO'!T194</f>
        <v>82DK0515010003000649539</v>
      </c>
    </row>
    <row r="195" spans="5:18">
      <c r="E195" s="167" t="str">
        <f>'030523 INVENTARIO'!E195</f>
        <v>NO BREAK</v>
      </c>
      <c r="F195" s="167" t="str">
        <f>'030523 INVENTARIO'!F195</f>
        <v>NO BREAK</v>
      </c>
      <c r="G195" s="167" t="str">
        <f ca="1">'030523 INVENTARIO'!G195</f>
        <v>P05RM-0194</v>
      </c>
      <c r="H195" s="167" t="str">
        <f>'030523 INVENTARIO'!J195</f>
        <v>P05RH-0193</v>
      </c>
      <c r="I195" s="167" t="str">
        <f>'030523 INVENTARIO'!K195</f>
        <v>PB5RH-041</v>
      </c>
      <c r="J195" s="167" t="str">
        <f>'030523 INVENTARIO'!L195</f>
        <v>P0RH-39</v>
      </c>
      <c r="K195" s="167" t="str">
        <f>'030523 INVENTARIO'!M195</f>
        <v>5150100008-37</v>
      </c>
      <c r="L195" s="168">
        <f>'030523 INVENTARIO'!N195</f>
        <v>0</v>
      </c>
      <c r="M195" s="168">
        <f>'030523 INVENTARIO'!O195</f>
        <v>0</v>
      </c>
      <c r="N195" s="168" t="str">
        <f>'030523 INVENTARIO'!P195</f>
        <v>OK</v>
      </c>
      <c r="O195" s="168" t="str">
        <f>'030523 INVENTARIO'!Q195</f>
        <v>TRIPP LITE</v>
      </c>
      <c r="P195" s="167" t="str">
        <f>'030523 INVENTARIO'!R195</f>
        <v>INTERNET550U</v>
      </c>
      <c r="Q195" s="168" t="str">
        <f>'030523 INVENTARIO'!S195</f>
        <v>9730CY0BC575600710</v>
      </c>
      <c r="R195" s="167" t="str">
        <f>'030523 INVENTARIO'!T195</f>
        <v>82DK0515010016000649490</v>
      </c>
    </row>
    <row r="196" spans="5:18">
      <c r="E196" s="167" t="str">
        <f>'030523 INVENTARIO'!E196</f>
        <v>ESCRITORIO</v>
      </c>
      <c r="F196" s="167" t="str">
        <f>'030523 INVENTARIO'!F196</f>
        <v>ESCRITORIO DE MADERA DE 2 PIEZAS</v>
      </c>
      <c r="G196" s="167" t="str">
        <f ca="1">'030523 INVENTARIO'!G196</f>
        <v>P05RM-0195</v>
      </c>
      <c r="H196" s="167" t="str">
        <f>'030523 INVENTARIO'!J196</f>
        <v>P05RH-0194</v>
      </c>
      <c r="I196" s="167" t="str">
        <f>'030523 INVENTARIO'!K196</f>
        <v>PB5RH-042</v>
      </c>
      <c r="J196" s="167" t="str">
        <f>'030523 INVENTARIO'!L196</f>
        <v>P0RH-19</v>
      </c>
      <c r="K196" s="167" t="str">
        <f>'030523 INVENTARIO'!M196</f>
        <v>5110100015-58</v>
      </c>
      <c r="L196" s="168">
        <f>'030523 INVENTARIO'!N196</f>
        <v>0</v>
      </c>
      <c r="M196" s="168">
        <f>'030523 INVENTARIO'!O196</f>
        <v>0</v>
      </c>
      <c r="N196" s="168" t="str">
        <f>'030523 INVENTARIO'!P196</f>
        <v>OK</v>
      </c>
      <c r="O196" s="168" t="str">
        <f>'030523 INVENTARIO'!Q196</f>
        <v>S/M</v>
      </c>
      <c r="P196" s="167" t="str">
        <f>'030523 INVENTARIO'!R196</f>
        <v>S/M</v>
      </c>
      <c r="Q196" s="168" t="str">
        <f>'030523 INVENTARIO'!S196</f>
        <v>SIN SERIE</v>
      </c>
      <c r="R196" s="168" t="str">
        <f>'030523 INVENTARIO'!T196</f>
        <v>82DK0511010006000534680</v>
      </c>
    </row>
    <row r="197" spans="5:18">
      <c r="E197" s="167" t="str">
        <f>'030523 INVENTARIO'!E197</f>
        <v>SILLA</v>
      </c>
      <c r="F197" s="167" t="str">
        <f>'030523 INVENTARIO'!F197</f>
        <v>SILLA NEGRA DE TELA CON RUEDAS</v>
      </c>
      <c r="G197" s="167" t="str">
        <f ca="1">'030523 INVENTARIO'!G197</f>
        <v>P05RM-0196</v>
      </c>
      <c r="H197" s="167" t="str">
        <f>'030523 INVENTARIO'!J197</f>
        <v>P05RH-0195</v>
      </c>
      <c r="I197" s="167" t="str">
        <f>'030523 INVENTARIO'!K197</f>
        <v>PB5RH-043</v>
      </c>
      <c r="J197" s="167" t="str">
        <f>'030523 INVENTARIO'!L197</f>
        <v>P1P-53</v>
      </c>
      <c r="K197" s="167" t="str">
        <f>'030523 INVENTARIO'!M197</f>
        <v>5110100011-58</v>
      </c>
      <c r="L197" s="168">
        <f>'030523 INVENTARIO'!N197</f>
        <v>0</v>
      </c>
      <c r="M197" s="168">
        <f>'030523 INVENTARIO'!O197</f>
        <v>0</v>
      </c>
      <c r="N197" s="168" t="str">
        <f>'030523 INVENTARIO'!P197</f>
        <v>OK</v>
      </c>
      <c r="O197" s="168" t="str">
        <f>'030523 INVENTARIO'!Q197</f>
        <v>S/M</v>
      </c>
      <c r="P197" s="167" t="str">
        <f>'030523 INVENTARIO'!R197</f>
        <v>S/M</v>
      </c>
      <c r="Q197" s="168" t="str">
        <f>'030523 INVENTARIO'!S197</f>
        <v>SIN SERIE</v>
      </c>
      <c r="R197" s="168" t="str">
        <f>'030523 INVENTARIO'!T197</f>
        <v>82DJ0511010017000516341</v>
      </c>
    </row>
    <row r="198" spans="5:18">
      <c r="E198" s="167" t="str">
        <f>'030523 INVENTARIO'!E198</f>
        <v>SILLA</v>
      </c>
      <c r="F198" s="167" t="str">
        <f>'030523 INVENTARIO'!F198</f>
        <v>SILLA NEGRA DE TELA FIJA</v>
      </c>
      <c r="G198" s="167" t="str">
        <f ca="1">'030523 INVENTARIO'!G198</f>
        <v>P05RH-0197</v>
      </c>
      <c r="H198" s="167" t="str">
        <f>'030523 INVENTARIO'!J198</f>
        <v>P05RH-0196</v>
      </c>
      <c r="I198" s="167" t="str">
        <f>'030523 INVENTARIO'!K198</f>
        <v>PB5RH-044</v>
      </c>
      <c r="J198" s="167" t="str">
        <f>'030523 INVENTARIO'!L198</f>
        <v>P0RH-3</v>
      </c>
      <c r="K198" s="167" t="str">
        <f>'030523 INVENTARIO'!M198</f>
        <v>5110100011-43</v>
      </c>
      <c r="L198" s="168">
        <f>'030523 INVENTARIO'!N198</f>
        <v>0</v>
      </c>
      <c r="M198" s="168">
        <f>'030523 INVENTARIO'!O198</f>
        <v>0</v>
      </c>
      <c r="N198" s="168" t="str">
        <f>'030523 INVENTARIO'!P198</f>
        <v>OK</v>
      </c>
      <c r="O198" s="168" t="str">
        <f>'030523 INVENTARIO'!Q198</f>
        <v>S/M</v>
      </c>
      <c r="P198" s="167" t="str">
        <f>'030523 INVENTARIO'!R198</f>
        <v>S/M</v>
      </c>
      <c r="Q198" s="168" t="str">
        <f>'030523 INVENTARIO'!S198</f>
        <v>SIN SERIE</v>
      </c>
      <c r="R198" s="168" t="str">
        <f>'030523 INVENTARIO'!T198</f>
        <v>82DK0511010017000522771</v>
      </c>
    </row>
    <row r="199" spans="5:18">
      <c r="E199" s="167" t="str">
        <f>'030523 INVENTARIO'!E199</f>
        <v>SILLA</v>
      </c>
      <c r="F199" s="167" t="str">
        <f>'030523 INVENTARIO'!F199</f>
        <v>SILLA DE TELA NEGRA SEMIEJECUTIVA</v>
      </c>
      <c r="G199" s="167" t="str">
        <f ca="1">'030523 INVENTARIO'!G199</f>
        <v>P05DA-0198</v>
      </c>
      <c r="H199" s="167" t="str">
        <f>'030523 INVENTARIO'!J199</f>
        <v>P05RH-0197</v>
      </c>
      <c r="I199" s="167" t="str">
        <f>'030523 INVENTARIO'!K199</f>
        <v>PB5RH-045</v>
      </c>
      <c r="J199" s="167">
        <f>'030523 INVENTARIO'!L199</f>
        <v>0</v>
      </c>
      <c r="K199" s="167" t="str">
        <f>'030523 INVENTARIO'!M199</f>
        <v>ALTA</v>
      </c>
      <c r="L199" s="168">
        <f>'030523 INVENTARIO'!N199</f>
        <v>0</v>
      </c>
      <c r="M199" s="168">
        <f>'030523 INVENTARIO'!O199</f>
        <v>0</v>
      </c>
      <c r="N199" s="168" t="str">
        <f>'030523 INVENTARIO'!P199</f>
        <v>REPETIDO</v>
      </c>
      <c r="O199" s="168" t="str">
        <f>'030523 INVENTARIO'!Q199</f>
        <v>S/M</v>
      </c>
      <c r="P199" s="167" t="str">
        <f>'030523 INVENTARIO'!R199</f>
        <v>S/M</v>
      </c>
      <c r="Q199" s="167" t="str">
        <f>'030523 INVENTARIO'!S199</f>
        <v>SIN SERIE</v>
      </c>
      <c r="R199" s="167" t="str">
        <f>'030523 INVENTARIO'!T199</f>
        <v>82DH0511010017000649527</v>
      </c>
    </row>
    <row r="200" spans="5:18">
      <c r="E200" s="167" t="str">
        <f>'030523 INVENTARIO'!E200</f>
        <v>CREDENZA</v>
      </c>
      <c r="F200" s="167" t="str">
        <f>'030523 INVENTARIO'!F200</f>
        <v>CREDENZA DE MADERA 74X173X46</v>
      </c>
      <c r="G200" s="167" t="str">
        <f ca="1">'030523 INVENTARIO'!G200</f>
        <v>P12ST-0199</v>
      </c>
      <c r="H200" s="167" t="str">
        <f>'030523 INVENTARIO'!J200</f>
        <v>P12ST-0198</v>
      </c>
      <c r="I200" s="167" t="str">
        <f>'030523 INVENTARIO'!K200</f>
        <v>P12ST-001</v>
      </c>
      <c r="J200" s="167" t="str">
        <f>'030523 INVENTARIO'!L200</f>
        <v>P1ST-1</v>
      </c>
      <c r="K200" s="167" t="str">
        <f>'030523 INVENTARIO'!M200</f>
        <v>5110100014-12</v>
      </c>
      <c r="L200" s="168">
        <f>'030523 INVENTARIO'!N200</f>
        <v>0</v>
      </c>
      <c r="M200" s="168">
        <f>'030523 INVENTARIO'!O200</f>
        <v>0</v>
      </c>
      <c r="N200" s="168" t="str">
        <f>'030523 INVENTARIO'!P200</f>
        <v>OK</v>
      </c>
      <c r="O200" s="168" t="str">
        <f>'030523 INVENTARIO'!Q200</f>
        <v>S/M</v>
      </c>
      <c r="P200" s="167" t="str">
        <f>'030523 INVENTARIO'!R200</f>
        <v>S/M</v>
      </c>
      <c r="Q200" s="168" t="str">
        <f>'030523 INVENTARIO'!S200</f>
        <v>SIN SERIE</v>
      </c>
      <c r="R200" s="168" t="str">
        <f>'030523 INVENTARIO'!T200</f>
        <v>82DH0511010005000583322</v>
      </c>
    </row>
    <row r="201" spans="5:18">
      <c r="E201" s="167" t="str">
        <f>'030523 INVENTARIO'!E201</f>
        <v>SILLA</v>
      </c>
      <c r="F201" s="167" t="str">
        <f>'030523 INVENTARIO'!F201</f>
        <v>SILLA DE TELA NEGRA FIJA</v>
      </c>
      <c r="G201" s="167" t="str">
        <f ca="1">'030523 INVENTARIO'!G201</f>
        <v>P12SI-0200</v>
      </c>
      <c r="H201" s="167" t="str">
        <f>'030523 INVENTARIO'!J201</f>
        <v>P12ST-0199</v>
      </c>
      <c r="I201" s="167" t="str">
        <f>'030523 INVENTARIO'!K201</f>
        <v>P12ST-002</v>
      </c>
      <c r="J201" s="167" t="str">
        <f>'030523 INVENTARIO'!L201</f>
        <v>P1ST-13</v>
      </c>
      <c r="K201" s="167" t="str">
        <f>'030523 INVENTARIO'!M201</f>
        <v>5110100011-128</v>
      </c>
      <c r="L201" s="168">
        <f>'030523 INVENTARIO'!N201</f>
        <v>0</v>
      </c>
      <c r="M201" s="168">
        <f>'030523 INVENTARIO'!O201</f>
        <v>0</v>
      </c>
      <c r="N201" s="168" t="str">
        <f>'030523 INVENTARIO'!P201</f>
        <v>OK</v>
      </c>
      <c r="O201" s="168" t="str">
        <f>'030523 INVENTARIO'!Q201</f>
        <v>S/M</v>
      </c>
      <c r="P201" s="167" t="str">
        <f>'030523 INVENTARIO'!R201</f>
        <v>S/M</v>
      </c>
      <c r="Q201" s="168" t="str">
        <f>'030523 INVENTARIO'!S201</f>
        <v>SIN SERIE</v>
      </c>
      <c r="R201" s="168" t="str">
        <f>'030523 INVENTARIO'!T201</f>
        <v>SIN RESGUARDO</v>
      </c>
    </row>
    <row r="202" spans="5:18">
      <c r="E202" s="167" t="str">
        <f>'030523 INVENTARIO'!E202</f>
        <v>PIZARRON</v>
      </c>
      <c r="F202" s="167" t="str">
        <f>'030523 INVENTARIO'!F202</f>
        <v>PIZARRON CON CORCHO 60X40</v>
      </c>
      <c r="G202" s="167" t="str">
        <f ca="1">'030523 INVENTARIO'!G202</f>
        <v>P12ST-0201</v>
      </c>
      <c r="H202" s="167" t="str">
        <f>'030523 INVENTARIO'!J202</f>
        <v>P12ST-0200</v>
      </c>
      <c r="I202" s="167" t="str">
        <f>'030523 INVENTARIO'!K202</f>
        <v>P12ST-003</v>
      </c>
      <c r="J202" s="167" t="str">
        <f>'030523 INVENTARIO'!L202</f>
        <v>P1ST-14</v>
      </c>
      <c r="K202" s="167" t="str">
        <f>'030523 INVENTARIO'!M202</f>
        <v>5290100025-10</v>
      </c>
      <c r="L202" s="168">
        <f>'030523 INVENTARIO'!N202</f>
        <v>0</v>
      </c>
      <c r="M202" s="168">
        <f>'030523 INVENTARIO'!O202</f>
        <v>0</v>
      </c>
      <c r="N202" s="168" t="str">
        <f>'030523 INVENTARIO'!P202</f>
        <v>OK</v>
      </c>
      <c r="O202" s="168" t="str">
        <f>'030523 INVENTARIO'!Q202</f>
        <v>S/M</v>
      </c>
      <c r="P202" s="167" t="str">
        <f>'030523 INVENTARIO'!R202</f>
        <v>S/M</v>
      </c>
      <c r="Q202" s="168" t="str">
        <f>'030523 INVENTARIO'!S202</f>
        <v>SIN SERIE</v>
      </c>
      <c r="R202" s="168" t="str">
        <f>'030523 INVENTARIO'!T202</f>
        <v>SIN RESGUARDO</v>
      </c>
    </row>
    <row r="203" spans="5:18">
      <c r="E203" s="167" t="str">
        <f>'030523 INVENTARIO'!E203</f>
        <v>VENTILADOR</v>
      </c>
      <c r="F203" s="167" t="str">
        <f>'030523 INVENTARIO'!F203</f>
        <v>VENTILADOR GRIS DE PARED</v>
      </c>
      <c r="G203" s="167" t="str">
        <f ca="1">'030523 INVENTARIO'!G203</f>
        <v>P12ST-0202</v>
      </c>
      <c r="H203" s="167" t="str">
        <f>'030523 INVENTARIO'!J203</f>
        <v>P12ST-0201</v>
      </c>
      <c r="I203" s="167" t="str">
        <f>'030523 INVENTARIO'!K203</f>
        <v>P12ST-004</v>
      </c>
      <c r="J203" s="167" t="str">
        <f>'030523 INVENTARIO'!L203</f>
        <v>P1ST-7</v>
      </c>
      <c r="K203" s="167" t="str">
        <f>'030523 INVENTARIO'!M203</f>
        <v>5190200002-24</v>
      </c>
      <c r="L203" s="168">
        <f>'030523 INVENTARIO'!N203</f>
        <v>0</v>
      </c>
      <c r="M203" s="168">
        <f>'030523 INVENTARIO'!O203</f>
        <v>0</v>
      </c>
      <c r="N203" s="168" t="str">
        <f>'030523 INVENTARIO'!P203</f>
        <v>OK</v>
      </c>
      <c r="O203" s="168" t="str">
        <f>'030523 INVENTARIO'!Q203</f>
        <v>NAVIA</v>
      </c>
      <c r="P203" s="167" t="str">
        <f>'030523 INVENTARIO'!R203</f>
        <v>VPN/018</v>
      </c>
      <c r="Q203" s="168" t="str">
        <f>'030523 INVENTARIO'!S203</f>
        <v>SIN SERIE</v>
      </c>
      <c r="R203" s="168" t="str">
        <f>'030523 INVENTARIO'!T203</f>
        <v>82DJ0519010043000649363</v>
      </c>
    </row>
    <row r="204" spans="5:18">
      <c r="E204" s="167" t="str">
        <f>'030523 INVENTARIO'!E204</f>
        <v>ESCRITORIO</v>
      </c>
      <c r="F204" s="167" t="str">
        <f>'030523 INVENTARIO'!F204</f>
        <v>ESCRITORIO DE MADERA TIPO ISLA 4 PIEZAS</v>
      </c>
      <c r="G204" s="167" t="str">
        <f ca="1">'030523 INVENTARIO'!G204</f>
        <v>P12ST-0203</v>
      </c>
      <c r="H204" s="167" t="str">
        <f>'030523 INVENTARIO'!J204</f>
        <v>P12ST-0202</v>
      </c>
      <c r="I204" s="167" t="str">
        <f>'030523 INVENTARIO'!K204</f>
        <v>P12ST-005</v>
      </c>
      <c r="J204" s="167" t="str">
        <f>'030523 INVENTARIO'!L204</f>
        <v>P1ST-2</v>
      </c>
      <c r="K204" s="167" t="str">
        <f>'030523 INVENTARIO'!M204</f>
        <v>5110100015-35</v>
      </c>
      <c r="L204" s="168">
        <f>'030523 INVENTARIO'!N204</f>
        <v>0</v>
      </c>
      <c r="M204" s="168">
        <f>'030523 INVENTARIO'!O204</f>
        <v>0</v>
      </c>
      <c r="N204" s="168" t="str">
        <f>'030523 INVENTARIO'!P204</f>
        <v>OK</v>
      </c>
      <c r="O204" s="168" t="str">
        <f>'030523 INVENTARIO'!Q204</f>
        <v>S/M</v>
      </c>
      <c r="P204" s="167" t="str">
        <f>'030523 INVENTARIO'!R204</f>
        <v>S/M</v>
      </c>
      <c r="Q204" s="168" t="str">
        <f>'030523 INVENTARIO'!S204</f>
        <v>SIN SERIE</v>
      </c>
      <c r="R204" s="168" t="str">
        <f>'030523 INVENTARIO'!T204</f>
        <v>82DH0511010006000564906</v>
      </c>
    </row>
    <row r="205" spans="5:18">
      <c r="E205" s="167" t="str">
        <f>'030523 INVENTARIO'!E205</f>
        <v>LIBRERO</v>
      </c>
      <c r="F205" s="167" t="str">
        <f>'030523 INVENTARIO'!F205</f>
        <v>LIBRERO DE MADERA</v>
      </c>
      <c r="G205" s="167" t="str">
        <f ca="1">'030523 INVENTARIO'!G205</f>
        <v>P12ST-0204</v>
      </c>
      <c r="H205" s="167" t="str">
        <f>'030523 INVENTARIO'!J205</f>
        <v>P12ST-0203</v>
      </c>
      <c r="I205" s="167">
        <f>'030523 INVENTARIO'!K205</f>
        <v>0</v>
      </c>
      <c r="J205" s="167" t="str">
        <f>'030523 INVENTARIO'!L205</f>
        <v>P1ST-5</v>
      </c>
      <c r="K205" s="167" t="str">
        <f>'030523 INVENTARIO'!M205</f>
        <v>5130100126-9</v>
      </c>
      <c r="L205" s="168">
        <f>'030523 INVENTARIO'!N205</f>
        <v>0</v>
      </c>
      <c r="M205" s="168">
        <f>'030523 INVENTARIO'!O205</f>
        <v>0</v>
      </c>
      <c r="N205" s="168" t="str">
        <f>'030523 INVENTARIO'!P205</f>
        <v>OK</v>
      </c>
      <c r="O205" s="168" t="str">
        <f>'030523 INVENTARIO'!Q205</f>
        <v>S/M</v>
      </c>
      <c r="P205" s="167" t="str">
        <f>'030523 INVENTARIO'!R205</f>
        <v>S/M</v>
      </c>
      <c r="Q205" s="168" t="str">
        <f>'030523 INVENTARIO'!S205</f>
        <v>SIN SERIE</v>
      </c>
      <c r="R205" s="168" t="str">
        <f>'030523 INVENTARIO'!T205</f>
        <v>82DH0511010008000649461</v>
      </c>
    </row>
    <row r="206" spans="5:18">
      <c r="E206" s="167" t="str">
        <f>'030523 INVENTARIO'!E206</f>
        <v>ESCRITORIO</v>
      </c>
      <c r="F206" s="167" t="str">
        <f>'030523 INVENTARIO'!F206</f>
        <v>MODULO DE MADERA</v>
      </c>
      <c r="G206" s="167" t="str">
        <f ca="1">'030523 INVENTARIO'!G206</f>
        <v>P12ST-0205</v>
      </c>
      <c r="H206" s="167" t="str">
        <f>'030523 INVENTARIO'!J206</f>
        <v>P12ST-0204</v>
      </c>
      <c r="I206" s="167">
        <f>'030523 INVENTARIO'!K206</f>
        <v>0</v>
      </c>
      <c r="J206" s="167" t="str">
        <f>'030523 INVENTARIO'!L206</f>
        <v>P1ST-3</v>
      </c>
      <c r="K206" s="167" t="str">
        <f>'030523 INVENTARIO'!M206</f>
        <v>5120100007-68</v>
      </c>
      <c r="L206" s="168">
        <f>'030523 INVENTARIO'!N206</f>
        <v>0</v>
      </c>
      <c r="M206" s="168">
        <f>'030523 INVENTARIO'!O206</f>
        <v>0</v>
      </c>
      <c r="N206" s="168" t="str">
        <f>'030523 INVENTARIO'!P206</f>
        <v>OK</v>
      </c>
      <c r="O206" s="168" t="str">
        <f>'030523 INVENTARIO'!Q206</f>
        <v>S/M</v>
      </c>
      <c r="P206" s="167" t="str">
        <f>'030523 INVENTARIO'!R206</f>
        <v>S/M</v>
      </c>
      <c r="Q206" s="168" t="str">
        <f>'030523 INVENTARIO'!S206</f>
        <v>SIN SERIE</v>
      </c>
      <c r="R206" s="168" t="str">
        <f>'030523 INVENTARIO'!T206</f>
        <v>82DJ0511010029000649459</v>
      </c>
    </row>
    <row r="207" spans="5:18">
      <c r="E207" s="167" t="str">
        <f>'030523 INVENTARIO'!E207</f>
        <v>ESCRITORIO</v>
      </c>
      <c r="F207" s="167" t="str">
        <f>'030523 INVENTARIO'!F207</f>
        <v>ESCRITORIO DE MADERA</v>
      </c>
      <c r="G207" s="167" t="str">
        <f ca="1">'030523 INVENTARIO'!G207</f>
        <v>P12ST-0206</v>
      </c>
      <c r="H207" s="167" t="str">
        <f>'030523 INVENTARIO'!J207</f>
        <v>P12ST-0205</v>
      </c>
      <c r="I207" s="167">
        <f>'030523 INVENTARIO'!K207</f>
        <v>0</v>
      </c>
      <c r="J207" s="167" t="str">
        <f>'030523 INVENTARIO'!L207</f>
        <v>P1ST-4</v>
      </c>
      <c r="K207" s="167" t="str">
        <f>'030523 INVENTARIO'!M207</f>
        <v>5110100015-36</v>
      </c>
      <c r="L207" s="168">
        <f>'030523 INVENTARIO'!N207</f>
        <v>0</v>
      </c>
      <c r="M207" s="168">
        <f>'030523 INVENTARIO'!O207</f>
        <v>0</v>
      </c>
      <c r="N207" s="168" t="str">
        <f>'030523 INVENTARIO'!P207</f>
        <v>OK</v>
      </c>
      <c r="O207" s="168" t="str">
        <f>'030523 INVENTARIO'!Q207</f>
        <v>S/M</v>
      </c>
      <c r="P207" s="167" t="str">
        <f>'030523 INVENTARIO'!R207</f>
        <v>S/M</v>
      </c>
      <c r="Q207" s="168" t="str">
        <f>'030523 INVENTARIO'!S207</f>
        <v>SIN SERIE</v>
      </c>
      <c r="R207" s="168" t="str">
        <f>'030523 INVENTARIO'!T207</f>
        <v>82DH0511010006000649460</v>
      </c>
    </row>
    <row r="208" spans="5:18">
      <c r="E208" s="167" t="str">
        <f>'030523 INVENTARIO'!E208</f>
        <v>SILLON</v>
      </c>
      <c r="F208" s="168" t="str">
        <f>'030523 INVENTARIO'!F208</f>
        <v>SILLON CAFÉ CON RUEDAS (RETAPIZADO)</v>
      </c>
      <c r="G208" s="167" t="str">
        <f ca="1">'030523 INVENTARIO'!G208</f>
        <v>P12ST-0207</v>
      </c>
      <c r="H208" s="167" t="str">
        <f>'030523 INVENTARIO'!J208</f>
        <v>P12ST-0206</v>
      </c>
      <c r="I208" s="167" t="str">
        <f>'030523 INVENTARIO'!K208</f>
        <v>P12ST-006</v>
      </c>
      <c r="J208" s="167" t="str">
        <f>'030523 INVENTARIO'!L208</f>
        <v>P1ST-8</v>
      </c>
      <c r="K208" s="167" t="str">
        <f>'030523 INVENTARIO'!M208</f>
        <v>5120100009-31</v>
      </c>
      <c r="L208" s="168">
        <f>'030523 INVENTARIO'!N208</f>
        <v>0</v>
      </c>
      <c r="M208" s="168">
        <f>'030523 INVENTARIO'!O208</f>
        <v>0</v>
      </c>
      <c r="N208" s="168" t="str">
        <f>'030523 INVENTARIO'!P208</f>
        <v>OK</v>
      </c>
      <c r="O208" s="168" t="str">
        <f>'030523 INVENTARIO'!Q208</f>
        <v>S/M</v>
      </c>
      <c r="P208" s="167" t="str">
        <f>'030523 INVENTARIO'!R208</f>
        <v>S/M</v>
      </c>
      <c r="Q208" s="168" t="str">
        <f>'030523 INVENTARIO'!S208</f>
        <v>SIN SERIE</v>
      </c>
      <c r="R208" s="168" t="str">
        <f>'030523 INVENTARIO'!T208</f>
        <v>82DH0511010016000515600</v>
      </c>
    </row>
    <row r="209" spans="5:18">
      <c r="E209" s="167" t="str">
        <f>'030523 INVENTARIO'!E209</f>
        <v>COMPUTADORA DE ESCRITORIO</v>
      </c>
      <c r="F209" s="167" t="str">
        <f>'030523 INVENTARIO'!F209</f>
        <v>COMPUTADORA DE ESCRITORIO</v>
      </c>
      <c r="G209" s="167" t="str">
        <f ca="1">'030523 INVENTARIO'!G209</f>
        <v>P12ST-0208</v>
      </c>
      <c r="H209" s="167" t="str">
        <f>'030523 INVENTARIO'!J209</f>
        <v>P12ST-0207</v>
      </c>
      <c r="I209" s="167" t="str">
        <f>'030523 INVENTARIO'!K209</f>
        <v>P12ST-007</v>
      </c>
      <c r="J209" s="167" t="str">
        <f>'030523 INVENTARIO'!L209</f>
        <v>P1SO-33</v>
      </c>
      <c r="K209" s="167" t="str">
        <f>'030523 INVENTARIO'!M209</f>
        <v>5150100005-18</v>
      </c>
      <c r="L209" s="168">
        <f>'030523 INVENTARIO'!N209</f>
        <v>0</v>
      </c>
      <c r="M209" s="168">
        <f>'030523 INVENTARIO'!O209</f>
        <v>0</v>
      </c>
      <c r="N209" s="168" t="str">
        <f>'030523 INVENTARIO'!P209</f>
        <v>OK</v>
      </c>
      <c r="O209" s="168" t="str">
        <f>'030523 INVENTARIO'!Q209</f>
        <v>HP</v>
      </c>
      <c r="P209" s="167" t="str">
        <f>'030523 INVENTARIO'!R209</f>
        <v>PRO 6300</v>
      </c>
      <c r="Q209" s="168" t="str">
        <f>'030523 INVENTARIO'!S209</f>
        <v>MXL25001F6</v>
      </c>
      <c r="R209" s="168" t="str">
        <f>'030523 INVENTARIO'!T209</f>
        <v>82DI0515010001000535446</v>
      </c>
    </row>
    <row r="210" spans="5:18">
      <c r="E210" s="167" t="str">
        <f>'030523 INVENTARIO'!E210</f>
        <v>MONITOR</v>
      </c>
      <c r="F210" s="167" t="str">
        <f>'030523 INVENTARIO'!F210</f>
        <v>MONITOR 19"</v>
      </c>
      <c r="G210" s="167" t="str">
        <f ca="1">'030523 INVENTARIO'!G210</f>
        <v>P12ST-0209</v>
      </c>
      <c r="H210" s="167" t="str">
        <f>'030523 INVENTARIO'!J210</f>
        <v>P12ST-0208</v>
      </c>
      <c r="I210" s="167" t="str">
        <f>'030523 INVENTARIO'!K210</f>
        <v>P12ST-008</v>
      </c>
      <c r="J210" s="167" t="str">
        <f>'030523 INVENTARIO'!L210</f>
        <v>P1SO-31</v>
      </c>
      <c r="K210" s="167" t="str">
        <f>'030523 INVENTARIO'!M210</f>
        <v>5210100012-11</v>
      </c>
      <c r="L210" s="168">
        <f>'030523 INVENTARIO'!N210</f>
        <v>0</v>
      </c>
      <c r="M210" s="168">
        <f>'030523 INVENTARIO'!O210</f>
        <v>0</v>
      </c>
      <c r="N210" s="168" t="str">
        <f>'030523 INVENTARIO'!P210</f>
        <v>OK</v>
      </c>
      <c r="O210" s="168" t="str">
        <f>'030523 INVENTARIO'!Q210</f>
        <v>HP COMPAQ</v>
      </c>
      <c r="P210" s="167" t="str">
        <f>'030523 INVENTARIO'!R210</f>
        <v>WF1907</v>
      </c>
      <c r="Q210" s="168" t="str">
        <f>'030523 INVENTARIO'!S210</f>
        <v>CNN81301OS</v>
      </c>
      <c r="R210" s="168" t="str">
        <f>'030523 INVENTARIO'!T210</f>
        <v>82DI0565010041000522226</v>
      </c>
    </row>
    <row r="211" spans="5:18">
      <c r="E211" s="167" t="str">
        <f>'030523 INVENTARIO'!E211</f>
        <v>TELEFONO</v>
      </c>
      <c r="F211" s="167" t="str">
        <f>'030523 INVENTARIO'!F211</f>
        <v>TELEFONO GRIS</v>
      </c>
      <c r="G211" s="167" t="str">
        <f ca="1">'030523 INVENTARIO'!G211</f>
        <v>P12PP-0210</v>
      </c>
      <c r="H211" s="167" t="str">
        <f>'030523 INVENTARIO'!J211</f>
        <v>P12ST-0209</v>
      </c>
      <c r="I211" s="167" t="str">
        <f>'030523 INVENTARIO'!K211</f>
        <v>P12ST-009</v>
      </c>
      <c r="J211" s="167" t="str">
        <f>'030523 INVENTARIO'!L211</f>
        <v>P1ST-6</v>
      </c>
      <c r="K211" s="167" t="str">
        <f>'030523 INVENTARIO'!M211</f>
        <v>ALTA</v>
      </c>
      <c r="L211" s="168">
        <f>'030523 INVENTARIO'!N211</f>
        <v>0</v>
      </c>
      <c r="M211" s="168">
        <f>'030523 INVENTARIO'!O211</f>
        <v>0</v>
      </c>
      <c r="N211" s="168" t="str">
        <f>'030523 INVENTARIO'!P211</f>
        <v>REPETIDO</v>
      </c>
      <c r="O211" s="168" t="str">
        <f>'030523 INVENTARIO'!Q211</f>
        <v>CISCO</v>
      </c>
      <c r="P211" s="167" t="str">
        <f>'030523 INVENTARIO'!R211</f>
        <v>SPA504G</v>
      </c>
      <c r="Q211" s="168" t="str">
        <f>'030523 INVENTARIO'!S211</f>
        <v>CCQ18330BDM</v>
      </c>
      <c r="R211" s="168" t="str">
        <f>'030523 INVENTARIO'!T211</f>
        <v>82DH0565010001000533072</v>
      </c>
    </row>
    <row r="212" spans="5:18">
      <c r="E212" s="167" t="str">
        <f>'030523 INVENTARIO'!E212</f>
        <v>COMPUTADORA PORTATIL</v>
      </c>
      <c r="F212" s="168" t="str">
        <f>'030523 INVENTARIO'!F212</f>
        <v>COMPUTADORA PORTATIL GRIS</v>
      </c>
      <c r="G212" s="167" t="str">
        <f ca="1">'030523 INVENTARIO'!G212</f>
        <v>P05DA-0211</v>
      </c>
      <c r="H212" s="167" t="str">
        <f>'030523 INVENTARIO'!J212</f>
        <v>P12ST-0210</v>
      </c>
      <c r="I212" s="167" t="str">
        <f>'030523 INVENTARIO'!K212</f>
        <v>P12ST-010</v>
      </c>
      <c r="J212" s="167" t="str">
        <f>'030523 INVENTARIO'!L212</f>
        <v>P1ST-10</v>
      </c>
      <c r="K212" s="167" t="str">
        <f>'030523 INVENTARIO'!M212</f>
        <v>5150100005-28</v>
      </c>
      <c r="L212" s="168">
        <f>'030523 INVENTARIO'!N212</f>
        <v>0</v>
      </c>
      <c r="M212" s="168">
        <f>'030523 INVENTARIO'!O212</f>
        <v>0</v>
      </c>
      <c r="N212" s="168" t="str">
        <f>'030523 INVENTARIO'!P212</f>
        <v>OK</v>
      </c>
      <c r="O212" s="168" t="str">
        <f>'030523 INVENTARIO'!Q212</f>
        <v>HP</v>
      </c>
      <c r="P212" s="167" t="str">
        <f>'030523 INVENTARIO'!R212</f>
        <v>15/BS011LA</v>
      </c>
      <c r="Q212" s="168" t="str">
        <f>'030523 INVENTARIO'!S212</f>
        <v>CND730471F</v>
      </c>
      <c r="R212" s="168" t="str">
        <f>'030523 INVENTARIO'!T212</f>
        <v>82DH0515010002000649384</v>
      </c>
    </row>
    <row r="213" spans="5:18">
      <c r="E213" s="167" t="str">
        <f>'030523 INVENTARIO'!E213</f>
        <v>SILLON</v>
      </c>
      <c r="F213" s="168" t="str">
        <f>'030523 INVENTARIO'!F213</f>
        <v>SILLON DE RECIBIDOR AZUL</v>
      </c>
      <c r="G213" s="167" t="str">
        <f ca="1">'030523 INVENTARIO'!G213</f>
        <v>P12ST-0212</v>
      </c>
      <c r="H213" s="167" t="str">
        <f>'030523 INVENTARIO'!J213</f>
        <v>P12ST-0211</v>
      </c>
      <c r="I213" s="167" t="str">
        <f>'030523 INVENTARIO'!K213</f>
        <v>P12ST-011</v>
      </c>
      <c r="J213" s="167" t="str">
        <f>'030523 INVENTARIO'!L213</f>
        <v>P1ST-11</v>
      </c>
      <c r="K213" s="167" t="str">
        <f>'030523 INVENTARIO'!M213</f>
        <v>5120100009-32</v>
      </c>
      <c r="L213" s="168">
        <f>'030523 INVENTARIO'!N213</f>
        <v>0</v>
      </c>
      <c r="M213" s="168">
        <f>'030523 INVENTARIO'!O213</f>
        <v>0</v>
      </c>
      <c r="N213" s="168" t="str">
        <f>'030523 INVENTARIO'!P213</f>
        <v>OK</v>
      </c>
      <c r="O213" s="168" t="str">
        <f>'030523 INVENTARIO'!Q213</f>
        <v>S/M</v>
      </c>
      <c r="P213" s="167" t="str">
        <f>'030523 INVENTARIO'!R213</f>
        <v>S/M</v>
      </c>
      <c r="Q213" s="168" t="str">
        <f>'030523 INVENTARIO'!S213</f>
        <v>SIN SERIE</v>
      </c>
      <c r="R213" s="168" t="str">
        <f>'030523 INVENTARIO'!T213</f>
        <v>82DH0511010016000518522</v>
      </c>
    </row>
    <row r="214" spans="5:18">
      <c r="E214" s="167" t="str">
        <f>'030523 INVENTARIO'!E214</f>
        <v>SILLON</v>
      </c>
      <c r="F214" s="168" t="str">
        <f>'030523 INVENTARIO'!F214</f>
        <v>SILLON DE RECIBIDOR AZUL</v>
      </c>
      <c r="G214" s="167" t="str">
        <f ca="1">'030523 INVENTARIO'!G214</f>
        <v>P12ST-0213</v>
      </c>
      <c r="H214" s="167" t="str">
        <f>'030523 INVENTARIO'!J214</f>
        <v>P12ST-0212</v>
      </c>
      <c r="I214" s="167" t="str">
        <f>'030523 INVENTARIO'!K214</f>
        <v>P12ST-012</v>
      </c>
      <c r="J214" s="167" t="str">
        <f>'030523 INVENTARIO'!L214</f>
        <v>P1ST-12</v>
      </c>
      <c r="K214" s="167" t="str">
        <f>'030523 INVENTARIO'!M214</f>
        <v>5120100009-33</v>
      </c>
      <c r="L214" s="168">
        <f>'030523 INVENTARIO'!N214</f>
        <v>0</v>
      </c>
      <c r="M214" s="168">
        <f>'030523 INVENTARIO'!O214</f>
        <v>0</v>
      </c>
      <c r="N214" s="168" t="str">
        <f>'030523 INVENTARIO'!P214</f>
        <v>OK</v>
      </c>
      <c r="O214" s="168" t="str">
        <f>'030523 INVENTARIO'!Q214</f>
        <v>S/M</v>
      </c>
      <c r="P214" s="167" t="str">
        <f>'030523 INVENTARIO'!R214</f>
        <v>S/M</v>
      </c>
      <c r="Q214" s="168" t="str">
        <f>'030523 INVENTARIO'!S214</f>
        <v>SIN SERIE</v>
      </c>
      <c r="R214" s="168" t="str">
        <f>'030523 INVENTARIO'!T214</f>
        <v>82DH0511010016000518521</v>
      </c>
    </row>
    <row r="215" spans="5:18">
      <c r="E215" s="167" t="str">
        <f>'030523 INVENTARIO'!E215</f>
        <v>CAFETERA</v>
      </c>
      <c r="F215" s="167" t="str">
        <f>'030523 INVENTARIO'!F215</f>
        <v>CAFETERA</v>
      </c>
      <c r="G215" s="167" t="str">
        <f ca="1">'030523 INVENTARIO'!G215</f>
        <v>P12ST-0214</v>
      </c>
      <c r="H215" s="167" t="str">
        <f>'030523 INVENTARIO'!J215</f>
        <v>P12ST-0213</v>
      </c>
      <c r="I215" s="167" t="str">
        <f>'030523 INVENTARIO'!K215</f>
        <v>P12ST-013</v>
      </c>
      <c r="J215" s="167" t="str">
        <f>'030523 INVENTARIO'!L215</f>
        <v>P1ST-16</v>
      </c>
      <c r="K215" s="167" t="str">
        <f>'030523 INVENTARIO'!M215</f>
        <v>ALTA</v>
      </c>
      <c r="L215" s="168">
        <f>'030523 INVENTARIO'!N215</f>
        <v>0</v>
      </c>
      <c r="M215" s="168">
        <f>'030523 INVENTARIO'!O215</f>
        <v>0</v>
      </c>
      <c r="N215" s="168" t="str">
        <f>'030523 INVENTARIO'!P215</f>
        <v>REPETIDO</v>
      </c>
      <c r="O215" s="168" t="str">
        <f>'030523 INVENTARIO'!Q215</f>
        <v>HAMILTON BEACH</v>
      </c>
      <c r="P215" s="167">
        <f>'030523 INVENTARIO'!R215</f>
        <v>40514</v>
      </c>
      <c r="Q215" s="167" t="str">
        <f>'030523 INVENTARIO'!S215</f>
        <v>A3851BW</v>
      </c>
      <c r="R215" s="167" t="str">
        <f>'030523 INVENTARIO'!T215</f>
        <v>SIN RESGUARDO</v>
      </c>
    </row>
    <row r="216" spans="5:18">
      <c r="E216" s="167" t="str">
        <f>'030523 INVENTARIO'!E216</f>
        <v>MESA</v>
      </c>
      <c r="F216" s="167" t="str">
        <f>'030523 INVENTARIO'!F216</f>
        <v>MESA NARANJA CON BASE DE METAL</v>
      </c>
      <c r="G216" s="167" t="str">
        <f ca="1">'030523 INVENTARIO'!G216</f>
        <v>P12ST-0215</v>
      </c>
      <c r="H216" s="167" t="str">
        <f>'030523 INVENTARIO'!J216</f>
        <v>P12ST-0214</v>
      </c>
      <c r="I216" s="167" t="str">
        <f>'030523 INVENTARIO'!K216</f>
        <v>P12ST-014</v>
      </c>
      <c r="J216" s="167" t="str">
        <f>'030523 INVENTARIO'!L216</f>
        <v>P1ST-15</v>
      </c>
      <c r="K216" s="167" t="str">
        <f>'030523 INVENTARIO'!M216</f>
        <v>5120100007-165</v>
      </c>
      <c r="L216" s="168">
        <f>'030523 INVENTARIO'!N216</f>
        <v>0</v>
      </c>
      <c r="M216" s="168">
        <f>'030523 INVENTARIO'!O216</f>
        <v>0</v>
      </c>
      <c r="N216" s="168" t="str">
        <f>'030523 INVENTARIO'!P216</f>
        <v>OK</v>
      </c>
      <c r="O216" s="168" t="str">
        <f>'030523 INVENTARIO'!Q216</f>
        <v>S/M</v>
      </c>
      <c r="P216" s="167" t="str">
        <f>'030523 INVENTARIO'!R216</f>
        <v>S/M</v>
      </c>
      <c r="Q216" s="168" t="str">
        <f>'030523 INVENTARIO'!S216</f>
        <v>SIN SERIE</v>
      </c>
      <c r="R216" s="168" t="str">
        <f>'030523 INVENTARIO'!T216</f>
        <v>SIN RESGUARDO</v>
      </c>
    </row>
    <row r="217" spans="5:18">
      <c r="E217" s="167" t="str">
        <f>'030523 INVENTARIO'!E217</f>
        <v>VENTILADOR</v>
      </c>
      <c r="F217" s="168" t="str">
        <f>'030523 INVENTARIO'!F217</f>
        <v>VENTILADOR GRIS DE PARED</v>
      </c>
      <c r="G217" s="167" t="str">
        <f ca="1">'030523 INVENTARIO'!G217</f>
        <v>P12ST-0216</v>
      </c>
      <c r="H217" s="167" t="str">
        <f>'030523 INVENTARIO'!J217</f>
        <v>P12ST-0215</v>
      </c>
      <c r="I217" s="167" t="str">
        <f>'030523 INVENTARIO'!K217</f>
        <v>P12ST-015</v>
      </c>
      <c r="J217" s="167" t="str">
        <f>'030523 INVENTARIO'!L217</f>
        <v>P1ST-9</v>
      </c>
      <c r="K217" s="167" t="str">
        <f>'030523 INVENTARIO'!M217</f>
        <v>5190200002-23</v>
      </c>
      <c r="L217" s="168">
        <f>'030523 INVENTARIO'!N217</f>
        <v>0</v>
      </c>
      <c r="M217" s="168">
        <f>'030523 INVENTARIO'!O217</f>
        <v>0</v>
      </c>
      <c r="N217" s="168" t="str">
        <f>'030523 INVENTARIO'!P217</f>
        <v>OK</v>
      </c>
      <c r="O217" s="168" t="str">
        <f>'030523 INVENTARIO'!Q217</f>
        <v>NAVIA</v>
      </c>
      <c r="P217" s="167" t="str">
        <f>'030523 INVENTARIO'!R217</f>
        <v>VPN/018</v>
      </c>
      <c r="Q217" s="168" t="str">
        <f>'030523 INVENTARIO'!S217</f>
        <v>SIN SERIE</v>
      </c>
      <c r="R217" s="168" t="str">
        <f>'030523 INVENTARIO'!T217</f>
        <v>82DH0519010043000649364</v>
      </c>
    </row>
    <row r="218" spans="5:18">
      <c r="E218" s="167" t="str">
        <f>'030523 INVENTARIO'!E218</f>
        <v>ESTANTE O ANAQUEL</v>
      </c>
      <c r="F218" s="167" t="str">
        <f>'030523 INVENTARIO'!F218</f>
        <v>ANAQUEL DE MADERA DOS PUERTAS 164X81X42</v>
      </c>
      <c r="G218" s="167" t="str">
        <f ca="1">'030523 INVENTARIO'!G218</f>
        <v>P12PP-0217</v>
      </c>
      <c r="H218" s="167" t="str">
        <f>'030523 INVENTARIO'!J218</f>
        <v>P12PP-0216</v>
      </c>
      <c r="I218" s="167" t="str">
        <f>'030523 INVENTARIO'!K218</f>
        <v>P1PP-001</v>
      </c>
      <c r="J218" s="167" t="str">
        <f>'030523 INVENTARIO'!L218</f>
        <v>P1P-33</v>
      </c>
      <c r="K218" s="167" t="str">
        <f>'030523 INVENTARIO'!M218</f>
        <v>5290300001-9</v>
      </c>
      <c r="L218" s="168">
        <f>'030523 INVENTARIO'!N218</f>
        <v>0</v>
      </c>
      <c r="M218" s="168">
        <f>'030523 INVENTARIO'!O218</f>
        <v>0</v>
      </c>
      <c r="N218" s="168" t="str">
        <f>'030523 INVENTARIO'!P218</f>
        <v>OK</v>
      </c>
      <c r="O218" s="168" t="str">
        <f>'030523 INVENTARIO'!Q218</f>
        <v>S/M</v>
      </c>
      <c r="P218" s="167" t="str">
        <f>'030523 INVENTARIO'!R218</f>
        <v>S/M</v>
      </c>
      <c r="Q218" s="168" t="str">
        <f>'030523 INVENTARIO'!S218</f>
        <v>SIN SERIE</v>
      </c>
      <c r="R218" s="168" t="str">
        <f>'030523 INVENTARIO'!T218</f>
        <v>82DK0511010020000649630</v>
      </c>
    </row>
    <row r="219" spans="5:18">
      <c r="E219" s="167" t="str">
        <f>'030523 INVENTARIO'!E219</f>
        <v>MULTIFUNCIONAL</v>
      </c>
      <c r="F219" s="167" t="str">
        <f>'030523 INVENTARIO'!F219</f>
        <v>IMPRESORA MULTIFUNCIONAL</v>
      </c>
      <c r="G219" s="167" t="str">
        <f ca="1">'030523 INVENTARIO'!G219</f>
        <v>P12PP-0218</v>
      </c>
      <c r="H219" s="167" t="str">
        <f>'030523 INVENTARIO'!J219</f>
        <v>P12PP-0217</v>
      </c>
      <c r="I219" s="167" t="str">
        <f>'030523 INVENTARIO'!K219</f>
        <v>P1PP-002</v>
      </c>
      <c r="J219" s="167" t="str">
        <f>'030523 INVENTARIO'!L219</f>
        <v>P1P-58</v>
      </c>
      <c r="K219" s="167" t="str">
        <f>'030523 INVENTARIO'!M219</f>
        <v>5150100007-10</v>
      </c>
      <c r="L219" s="168">
        <f>'030523 INVENTARIO'!N219</f>
        <v>0</v>
      </c>
      <c r="M219" s="168">
        <f>'030523 INVENTARIO'!O219</f>
        <v>0</v>
      </c>
      <c r="N219" s="168" t="str">
        <f>'030523 INVENTARIO'!P219</f>
        <v>OK</v>
      </c>
      <c r="O219" s="168" t="str">
        <f>'030523 INVENTARIO'!Q219</f>
        <v>RICOH</v>
      </c>
      <c r="P219" s="167" t="str">
        <f>'030523 INVENTARIO'!R219</f>
        <v>SP377SFNWX</v>
      </c>
      <c r="Q219" s="168" t="str">
        <f>'030523 INVENTARIO'!S219</f>
        <v>Y937Q310268</v>
      </c>
      <c r="R219" s="168" t="str">
        <f>'030523 INVENTARIO'!T219</f>
        <v>82DK0515010014000651112</v>
      </c>
    </row>
    <row r="220" spans="5:18">
      <c r="E220" s="167" t="str">
        <f>'030523 INVENTARIO'!E220</f>
        <v>TELEFONO</v>
      </c>
      <c r="F220" s="168" t="str">
        <f>'030523 INVENTARIO'!F220</f>
        <v>TELEFONO GRIS</v>
      </c>
      <c r="G220" s="167" t="str">
        <f ca="1">'030523 INVENTARIO'!G220</f>
        <v>P12PP-0219</v>
      </c>
      <c r="H220" s="167" t="str">
        <f>'030523 INVENTARIO'!J220</f>
        <v>P12PP-0218</v>
      </c>
      <c r="I220" s="167" t="str">
        <f>'030523 INVENTARIO'!K220</f>
        <v>P1PP-003</v>
      </c>
      <c r="J220" s="167" t="str">
        <f>'030523 INVENTARIO'!L220</f>
        <v>P1P-24</v>
      </c>
      <c r="K220" s="167" t="str">
        <f>'030523 INVENTARIO'!M220</f>
        <v>5650100010-17</v>
      </c>
      <c r="L220" s="168">
        <f>'030523 INVENTARIO'!N220</f>
        <v>0</v>
      </c>
      <c r="M220" s="168">
        <f>'030523 INVENTARIO'!O220</f>
        <v>0</v>
      </c>
      <c r="N220" s="168" t="str">
        <f>'030523 INVENTARIO'!P220</f>
        <v>OK</v>
      </c>
      <c r="O220" s="168" t="str">
        <f>'030523 INVENTARIO'!Q220</f>
        <v>LINKSYS</v>
      </c>
      <c r="P220" s="167" t="str">
        <f>'030523 INVENTARIO'!R220</f>
        <v>SPA942</v>
      </c>
      <c r="Q220" s="168" t="str">
        <f>'030523 INVENTARIO'!S220</f>
        <v>4LO00H118474</v>
      </c>
      <c r="R220" s="168" t="str">
        <f>'030523 INVENTARIO'!T220</f>
        <v>82DJ0565010001000538210</v>
      </c>
    </row>
    <row r="221" spans="5:18">
      <c r="E221" s="167" t="str">
        <f>'030523 INVENTARIO'!E221</f>
        <v>MONITOR</v>
      </c>
      <c r="F221" s="167" t="str">
        <f>'030523 INVENTARIO'!F221</f>
        <v>MONITOR 19.5"</v>
      </c>
      <c r="G221" s="167" t="str">
        <f ca="1">'030523 INVENTARIO'!G221</f>
        <v>P12PP-0220</v>
      </c>
      <c r="H221" s="167" t="str">
        <f>'030523 INVENTARIO'!J221</f>
        <v>P12PP-0219</v>
      </c>
      <c r="I221" s="167" t="str">
        <f>'030523 INVENTARIO'!K221</f>
        <v>P1PP-004</v>
      </c>
      <c r="J221" s="167" t="str">
        <f>'030523 INVENTARIO'!L221</f>
        <v>P1P-43</v>
      </c>
      <c r="K221" s="167" t="str">
        <f>'030523 INVENTARIO'!M221</f>
        <v>5210100012-27</v>
      </c>
      <c r="L221" s="168">
        <f>'030523 INVENTARIO'!N221</f>
        <v>0</v>
      </c>
      <c r="M221" s="168">
        <f>'030523 INVENTARIO'!O221</f>
        <v>0</v>
      </c>
      <c r="N221" s="168" t="str">
        <f>'030523 INVENTARIO'!P221</f>
        <v>OK</v>
      </c>
      <c r="O221" s="168" t="str">
        <f>'030523 INVENTARIO'!Q221</f>
        <v>ACER</v>
      </c>
      <c r="P221" s="167" t="str">
        <f>'030523 INVENTARIO'!R221</f>
        <v>V206HQL</v>
      </c>
      <c r="Q221" s="168" t="str">
        <f>'030523 INVENTARIO'!S221</f>
        <v>55301208542</v>
      </c>
      <c r="R221" s="168" t="str">
        <f>'030523 INVENTARIO'!T221</f>
        <v>82DK0515010013000649570</v>
      </c>
    </row>
    <row r="222" spans="5:18">
      <c r="E222" s="167" t="str">
        <f>'030523 INVENTARIO'!E222</f>
        <v>MONITOR</v>
      </c>
      <c r="F222" s="167" t="str">
        <f>'030523 INVENTARIO'!F222</f>
        <v>MONITOR 21.5"</v>
      </c>
      <c r="G222" s="167" t="str">
        <f ca="1">'030523 INVENTARIO'!G222</f>
        <v>P12PP-0221</v>
      </c>
      <c r="H222" s="167" t="str">
        <f>'030523 INVENTARIO'!J222</f>
        <v>P12PP-0220</v>
      </c>
      <c r="I222" s="167" t="str">
        <f>'030523 INVENTARIO'!K222</f>
        <v>P1PP-005</v>
      </c>
      <c r="J222" s="167" t="str">
        <f>'030523 INVENTARIO'!L222</f>
        <v>P1P-60</v>
      </c>
      <c r="K222" s="167" t="str">
        <f>'030523 INVENTARIO'!M222</f>
        <v>5150100005-145</v>
      </c>
      <c r="L222" s="168">
        <f>'030523 INVENTARIO'!N222</f>
        <v>0</v>
      </c>
      <c r="M222" s="168">
        <f>'030523 INVENTARIO'!O222</f>
        <v>0</v>
      </c>
      <c r="N222" s="168" t="str">
        <f>'030523 INVENTARIO'!P222</f>
        <v>OK</v>
      </c>
      <c r="O222" s="168" t="str">
        <f>'030523 INVENTARIO'!Q222</f>
        <v>ACER</v>
      </c>
      <c r="P222" s="167" t="str">
        <f>'030523 INVENTARIO'!R222</f>
        <v>V226HQL</v>
      </c>
      <c r="Q222" s="168" t="str">
        <f>'030523 INVENTARIO'!S222</f>
        <v>MMTASAA0070520596D3P00</v>
      </c>
      <c r="R222" s="168" t="str">
        <f>'030523 INVENTARIO'!T222</f>
        <v>SIN RESGUARDO</v>
      </c>
    </row>
    <row r="223" spans="5:18">
      <c r="E223" s="167" t="str">
        <f>'030523 INVENTARIO'!E223</f>
        <v>COMPUTADORA DE ESCRITORIO</v>
      </c>
      <c r="F223" s="167" t="str">
        <f>'030523 INVENTARIO'!F223</f>
        <v>COMPUTADORA DE ESCRITORIO</v>
      </c>
      <c r="G223" s="167" t="str">
        <f ca="1">'030523 INVENTARIO'!G223</f>
        <v>P12PP-0222</v>
      </c>
      <c r="H223" s="167" t="str">
        <f>'030523 INVENTARIO'!J223</f>
        <v>P12PP-0221</v>
      </c>
      <c r="I223" s="167" t="str">
        <f>'030523 INVENTARIO'!K223</f>
        <v>P1PP-006</v>
      </c>
      <c r="J223" s="167" t="str">
        <f>'030523 INVENTARIO'!L223</f>
        <v>P1P-59</v>
      </c>
      <c r="K223" s="167" t="str">
        <f>'030523 INVENTARIO'!M223</f>
        <v>5150100005-144</v>
      </c>
      <c r="L223" s="168">
        <f>'030523 INVENTARIO'!N223</f>
        <v>0</v>
      </c>
      <c r="M223" s="168">
        <f>'030523 INVENTARIO'!O223</f>
        <v>0</v>
      </c>
      <c r="N223" s="168" t="str">
        <f>'030523 INVENTARIO'!P223</f>
        <v>OK</v>
      </c>
      <c r="O223" s="168" t="str">
        <f>'030523 INVENTARIO'!Q223</f>
        <v>ACTECK</v>
      </c>
      <c r="P223" s="167" t="str">
        <f>'030523 INVENTARIO'!R223</f>
        <v>LINX</v>
      </c>
      <c r="Q223" s="168" t="str">
        <f>'030523 INVENTARIO'!S223</f>
        <v>011392903011614</v>
      </c>
      <c r="R223" s="167" t="str">
        <f>'030523 INVENTARIO'!T223</f>
        <v>SIN RESGUARDO</v>
      </c>
    </row>
    <row r="224" spans="5:18">
      <c r="E224" s="167" t="str">
        <f>'030523 INVENTARIO'!E224</f>
        <v>COMPLEMENTARIO DE EQUIPO DE COMUPUTO</v>
      </c>
      <c r="F224" s="168" t="str">
        <f>'030523 INVENTARIO'!F224</f>
        <v>COMPLEMENTO DE EQUIPO DE MADERA</v>
      </c>
      <c r="G224" s="167" t="str">
        <f ca="1">'030523 INVENTARIO'!G224</f>
        <v>P12PP-0223</v>
      </c>
      <c r="H224" s="167" t="str">
        <f>'030523 INVENTARIO'!J224</f>
        <v>P12PP-0222</v>
      </c>
      <c r="I224" s="167" t="str">
        <f>'030523 INVENTARIO'!K224</f>
        <v>P1PP-007</v>
      </c>
      <c r="J224" s="167" t="str">
        <f>'030523 INVENTARIO'!L224</f>
        <v>P1P-49</v>
      </c>
      <c r="K224" s="167" t="str">
        <f>'030523 INVENTARIO'!M224</f>
        <v>5120100004-17</v>
      </c>
      <c r="L224" s="168">
        <f>'030523 INVENTARIO'!N224</f>
        <v>0</v>
      </c>
      <c r="M224" s="168">
        <f>'030523 INVENTARIO'!O224</f>
        <v>0</v>
      </c>
      <c r="N224" s="168" t="str">
        <f>'030523 INVENTARIO'!P224</f>
        <v>OK</v>
      </c>
      <c r="O224" s="168" t="str">
        <f>'030523 INVENTARIO'!Q224</f>
        <v>S/M</v>
      </c>
      <c r="P224" s="167" t="str">
        <f>'030523 INVENTARIO'!R224</f>
        <v>S/M</v>
      </c>
      <c r="Q224" s="168" t="str">
        <f>'030523 INVENTARIO'!S224</f>
        <v>SIN SERIE</v>
      </c>
      <c r="R224" s="168" t="str">
        <f>'030523 INVENTARIO'!T224</f>
        <v>82DK0515010033000564661</v>
      </c>
    </row>
    <row r="225" spans="5:18">
      <c r="E225" s="167" t="str">
        <f>'030523 INVENTARIO'!E225</f>
        <v>ESCRITORIO</v>
      </c>
      <c r="F225" s="167" t="str">
        <f>'030523 INVENTARIO'!F225</f>
        <v>ESCRITORIO DE MADERA TIPO ISLA 4 PIEZAS</v>
      </c>
      <c r="G225" s="167" t="str">
        <f ca="1">'030523 INVENTARIO'!G225</f>
        <v>P12PP-0224</v>
      </c>
      <c r="H225" s="167" t="str">
        <f>'030523 INVENTARIO'!J225</f>
        <v>P12PP-0223</v>
      </c>
      <c r="I225" s="167" t="str">
        <f>'030523 INVENTARIO'!K225</f>
        <v>P1PP-008</v>
      </c>
      <c r="J225" s="167" t="str">
        <f>'030523 INVENTARIO'!L225</f>
        <v>P1P-41</v>
      </c>
      <c r="K225" s="167" t="str">
        <f>'030523 INVENTARIO'!M225</f>
        <v>5110100015-41</v>
      </c>
      <c r="L225" s="168">
        <f>'030523 INVENTARIO'!N225</f>
        <v>0</v>
      </c>
      <c r="M225" s="168">
        <f>'030523 INVENTARIO'!O225</f>
        <v>0</v>
      </c>
      <c r="N225" s="168" t="str">
        <f>'030523 INVENTARIO'!P225</f>
        <v>OK</v>
      </c>
      <c r="O225" s="168" t="str">
        <f>'030523 INVENTARIO'!Q225</f>
        <v>S/M</v>
      </c>
      <c r="P225" s="167" t="str">
        <f>'030523 INVENTARIO'!R225</f>
        <v>S/M</v>
      </c>
      <c r="Q225" s="168" t="str">
        <f>'030523 INVENTARIO'!S225</f>
        <v>SIN SERIE</v>
      </c>
      <c r="R225" s="168" t="str">
        <f>'030523 INVENTARIO'!T225</f>
        <v>82DK0511010006000649632</v>
      </c>
    </row>
    <row r="226" spans="5:18">
      <c r="E226" s="167" t="str">
        <f>'030523 INVENTARIO'!E226</f>
        <v>MESA</v>
      </c>
      <c r="F226" s="167" t="str">
        <f>'030523 INVENTARIO'!F226</f>
        <v>MESA COMPLEMENTO</v>
      </c>
      <c r="G226" s="167" t="str">
        <f ca="1">'030523 INVENTARIO'!G226</f>
        <v>P12PP-0225</v>
      </c>
      <c r="H226" s="167" t="str">
        <f>'030523 INVENTARIO'!J226</f>
        <v>P12PP-0224</v>
      </c>
      <c r="I226" s="167" t="str">
        <f>'030523 INVENTARIO'!K226</f>
        <v>P1PP-008A</v>
      </c>
      <c r="J226" s="167">
        <f>'030523 INVENTARIO'!L226</f>
        <v>0</v>
      </c>
      <c r="K226" s="167" t="str">
        <f>'030523 INVENTARIO'!M226</f>
        <v>5120100004-27</v>
      </c>
      <c r="L226" s="168">
        <f>'030523 INVENTARIO'!N226</f>
        <v>0</v>
      </c>
      <c r="M226" s="168">
        <f>'030523 INVENTARIO'!O226</f>
        <v>0</v>
      </c>
      <c r="N226" s="168" t="str">
        <f>'030523 INVENTARIO'!P226</f>
        <v>OK</v>
      </c>
      <c r="O226" s="168" t="str">
        <f>'030523 INVENTARIO'!Q226</f>
        <v>S/M</v>
      </c>
      <c r="P226" s="167" t="str">
        <f>'030523 INVENTARIO'!R226</f>
        <v>S/M</v>
      </c>
      <c r="Q226" s="167" t="str">
        <f>'030523 INVENTARIO'!S226</f>
        <v>SIN SERIE</v>
      </c>
      <c r="R226" s="167" t="str">
        <f>'030523 INVENTARIO'!T226</f>
        <v>SIN RESGUARDO</v>
      </c>
    </row>
    <row r="227" spans="5:18">
      <c r="E227" s="167" t="str">
        <f>'030523 INVENTARIO'!E227</f>
        <v>CREDENZA</v>
      </c>
      <c r="F227" s="168" t="str">
        <f>'030523 INVENTARIO'!F227</f>
        <v>CREDENZA DE MADERA</v>
      </c>
      <c r="G227" s="167" t="str">
        <f ca="1">'030523 INVENTARIO'!G227</f>
        <v>P12PP-0226</v>
      </c>
      <c r="H227" s="167" t="str">
        <f>'030523 INVENTARIO'!J227</f>
        <v>P12PP-0225</v>
      </c>
      <c r="I227" s="167">
        <f>'030523 INVENTARIO'!K227</f>
        <v>0</v>
      </c>
      <c r="J227" s="167" t="str">
        <f>'030523 INVENTARIO'!L227</f>
        <v>P1P-44</v>
      </c>
      <c r="K227" s="167" t="str">
        <f>'030523 INVENTARIO'!M227</f>
        <v>5110100014-13</v>
      </c>
      <c r="L227" s="168">
        <f>'030523 INVENTARIO'!N227</f>
        <v>0</v>
      </c>
      <c r="M227" s="168">
        <f>'030523 INVENTARIO'!O227</f>
        <v>0</v>
      </c>
      <c r="N227" s="168" t="str">
        <f>'030523 INVENTARIO'!P227</f>
        <v>OK</v>
      </c>
      <c r="O227" s="168" t="str">
        <f>'030523 INVENTARIO'!Q227</f>
        <v>S/M</v>
      </c>
      <c r="P227" s="167" t="str">
        <f>'030523 INVENTARIO'!R227</f>
        <v>S/M</v>
      </c>
      <c r="Q227" s="168" t="str">
        <f>'030523 INVENTARIO'!S227</f>
        <v>SIN SERIE</v>
      </c>
      <c r="R227" s="168" t="str">
        <f>'030523 INVENTARIO'!T227</f>
        <v>82DK0511010005000649633</v>
      </c>
    </row>
    <row r="228" spans="5:18">
      <c r="E228" s="167" t="str">
        <f>'030523 INVENTARIO'!E228</f>
        <v>ESCRITORIO</v>
      </c>
      <c r="F228" s="167" t="str">
        <f>'030523 INVENTARIO'!F228</f>
        <v>ESCRITORIO DE MADERA</v>
      </c>
      <c r="G228" s="167" t="str">
        <f ca="1">'030523 INVENTARIO'!G228</f>
        <v>P12PP-0227</v>
      </c>
      <c r="H228" s="167" t="str">
        <f>'030523 INVENTARIO'!J228</f>
        <v>P12PP-0226</v>
      </c>
      <c r="I228" s="167">
        <f>'030523 INVENTARIO'!K228</f>
        <v>0</v>
      </c>
      <c r="J228" s="167">
        <f>'030523 INVENTARIO'!L228</f>
        <v>0</v>
      </c>
      <c r="K228" s="167" t="str">
        <f>'030523 INVENTARIO'!M228</f>
        <v>ALTA</v>
      </c>
      <c r="L228" s="168">
        <f>'030523 INVENTARIO'!N228</f>
        <v>0</v>
      </c>
      <c r="M228" s="168">
        <f>'030523 INVENTARIO'!O228</f>
        <v>0</v>
      </c>
      <c r="N228" s="168" t="str">
        <f>'030523 INVENTARIO'!P228</f>
        <v>REPETIDO</v>
      </c>
      <c r="O228" s="168" t="str">
        <f>'030523 INVENTARIO'!Q228</f>
        <v>S/M</v>
      </c>
      <c r="P228" s="167" t="str">
        <f>'030523 INVENTARIO'!R228</f>
        <v>S/M</v>
      </c>
      <c r="Q228" s="167" t="str">
        <f>'030523 INVENTARIO'!S228</f>
        <v>SIN SERIE</v>
      </c>
      <c r="R228" s="167" t="str">
        <f>'030523 INVENTARIO'!T228</f>
        <v>SIN RESGUARDO</v>
      </c>
    </row>
    <row r="229" spans="5:18">
      <c r="E229" s="167" t="str">
        <f>'030523 INVENTARIO'!E229</f>
        <v>SILLON</v>
      </c>
      <c r="F229" s="168" t="str">
        <f>'030523 INVENTARIO'!F229</f>
        <v>SILLÓN NEGRO CON RUEDAS</v>
      </c>
      <c r="G229" s="167" t="str">
        <f ca="1">'030523 INVENTARIO'!G229</f>
        <v>P13SO-0228</v>
      </c>
      <c r="H229" s="167" t="str">
        <f>'030523 INVENTARIO'!J229</f>
        <v>P12PP-0227</v>
      </c>
      <c r="I229" s="167" t="str">
        <f>'030523 INVENTARIO'!K229</f>
        <v>P1PP-009</v>
      </c>
      <c r="J229" s="167" t="str">
        <f>'030523 INVENTARIO'!L229</f>
        <v>P1P-36</v>
      </c>
      <c r="K229" s="167" t="str">
        <f>'030523 INVENTARIO'!M229</f>
        <v>5120100009-38</v>
      </c>
      <c r="L229" s="168">
        <f>'030523 INVENTARIO'!N229</f>
        <v>0</v>
      </c>
      <c r="M229" s="168">
        <f>'030523 INVENTARIO'!O229</f>
        <v>0</v>
      </c>
      <c r="N229" s="168" t="str">
        <f>'030523 INVENTARIO'!P229</f>
        <v>OK</v>
      </c>
      <c r="O229" s="168" t="str">
        <f>'030523 INVENTARIO'!Q229</f>
        <v>S/M</v>
      </c>
      <c r="P229" s="167" t="str">
        <f>'030523 INVENTARIO'!R229</f>
        <v>S/M</v>
      </c>
      <c r="Q229" s="168" t="str">
        <f>'030523 INVENTARIO'!S229</f>
        <v>SIN SERIE</v>
      </c>
      <c r="R229" s="168" t="str">
        <f>'030523 INVENTARIO'!T229</f>
        <v>82DK0511010017000522707</v>
      </c>
    </row>
    <row r="230" spans="5:18">
      <c r="E230" s="167" t="str">
        <f>'030523 INVENTARIO'!E230</f>
        <v>SILLA</v>
      </c>
      <c r="F230" s="168" t="str">
        <f>'030523 INVENTARIO'!F230</f>
        <v>SILLA DE MADERA PEQUEÑA</v>
      </c>
      <c r="G230" s="167" t="str">
        <f ca="1">'030523 INVENTARIO'!G230</f>
        <v>P12PP-0229</v>
      </c>
      <c r="H230" s="167" t="str">
        <f>'030523 INVENTARIO'!J230</f>
        <v>P12PP-0228</v>
      </c>
      <c r="I230" s="167" t="str">
        <f>'030523 INVENTARIO'!K230</f>
        <v>P1PP-010</v>
      </c>
      <c r="J230" s="167" t="str">
        <f>'030523 INVENTARIO'!L230</f>
        <v>P1P-46</v>
      </c>
      <c r="K230" s="167" t="str">
        <f>'030523 INVENTARIO'!M230</f>
        <v>5110100011-54</v>
      </c>
      <c r="L230" s="168">
        <f>'030523 INVENTARIO'!N230</f>
        <v>0</v>
      </c>
      <c r="M230" s="168">
        <f>'030523 INVENTARIO'!O230</f>
        <v>0</v>
      </c>
      <c r="N230" s="168" t="str">
        <f>'030523 INVENTARIO'!P230</f>
        <v>OK</v>
      </c>
      <c r="O230" s="168" t="str">
        <f>'030523 INVENTARIO'!Q230</f>
        <v>S/M</v>
      </c>
      <c r="P230" s="167" t="str">
        <f>'030523 INVENTARIO'!R230</f>
        <v>S/M</v>
      </c>
      <c r="Q230" s="168" t="str">
        <f>'030523 INVENTARIO'!S230</f>
        <v>SIN SERIE</v>
      </c>
      <c r="R230" s="168" t="str">
        <f>'030523 INVENTARIO'!T230</f>
        <v>82DK0511010017000649571</v>
      </c>
    </row>
    <row r="231" spans="5:18">
      <c r="E231" s="167" t="str">
        <f>'030523 INVENTARIO'!E231</f>
        <v>SILLA</v>
      </c>
      <c r="F231" s="168" t="str">
        <f>'030523 INVENTARIO'!F231</f>
        <v>SILLA NEGRA CON BASE DE METAL</v>
      </c>
      <c r="G231" s="167" t="str">
        <f ca="1">'030523 INVENTARIO'!G231</f>
        <v>P12PP-0230</v>
      </c>
      <c r="H231" s="167" t="str">
        <f>'030523 INVENTARIO'!J231</f>
        <v>P12PP-0229</v>
      </c>
      <c r="I231" s="167" t="str">
        <f>'030523 INVENTARIO'!K231</f>
        <v>P1PP-011</v>
      </c>
      <c r="J231" s="167" t="str">
        <f>'030523 INVENTARIO'!L231</f>
        <v>P1P-39</v>
      </c>
      <c r="K231" s="167" t="str">
        <f>'030523 INVENTARIO'!M231</f>
        <v>5110100011-53</v>
      </c>
      <c r="L231" s="168">
        <f>'030523 INVENTARIO'!N231</f>
        <v>0</v>
      </c>
      <c r="M231" s="168">
        <f>'030523 INVENTARIO'!O231</f>
        <v>0</v>
      </c>
      <c r="N231" s="168" t="str">
        <f>'030523 INVENTARIO'!P231</f>
        <v>OK</v>
      </c>
      <c r="O231" s="168" t="str">
        <f>'030523 INVENTARIO'!Q231</f>
        <v>S/M</v>
      </c>
      <c r="P231" s="167" t="str">
        <f>'030523 INVENTARIO'!R231</f>
        <v>S/M</v>
      </c>
      <c r="Q231" s="168" t="str">
        <f>'030523 INVENTARIO'!S231</f>
        <v>SIN SERIE</v>
      </c>
      <c r="R231" s="168" t="str">
        <f>'030523 INVENTARIO'!T231</f>
        <v>82DK0511010017000516342</v>
      </c>
    </row>
    <row r="232" spans="5:18">
      <c r="E232" s="167" t="str">
        <f>'030523 INVENTARIO'!E232</f>
        <v>PIZARRON</v>
      </c>
      <c r="F232" s="167" t="str">
        <f>'030523 INVENTARIO'!F232</f>
        <v>PIZARRON DE CORCHO 160X40</v>
      </c>
      <c r="G232" s="167" t="str">
        <f ca="1">'030523 INVENTARIO'!G232</f>
        <v>P12PP-0231</v>
      </c>
      <c r="H232" s="167" t="str">
        <f>'030523 INVENTARIO'!J232</f>
        <v>P12PP-0230</v>
      </c>
      <c r="I232" s="167" t="str">
        <f>'030523 INVENTARIO'!K232</f>
        <v>P1PP-012</v>
      </c>
      <c r="J232" s="167" t="str">
        <f>'030523 INVENTARIO'!L232</f>
        <v>P1P-45</v>
      </c>
      <c r="K232" s="167" t="str">
        <f>'030523 INVENTARIO'!M232</f>
        <v>5290100025-6</v>
      </c>
      <c r="L232" s="168">
        <f>'030523 INVENTARIO'!N232</f>
        <v>0</v>
      </c>
      <c r="M232" s="168">
        <f>'030523 INVENTARIO'!O232</f>
        <v>0</v>
      </c>
      <c r="N232" s="168" t="str">
        <f>'030523 INVENTARIO'!P232</f>
        <v>OK</v>
      </c>
      <c r="O232" s="168" t="str">
        <f>'030523 INVENTARIO'!Q232</f>
        <v>S/M</v>
      </c>
      <c r="P232" s="167" t="str">
        <f>'030523 INVENTARIO'!R232</f>
        <v>S/M</v>
      </c>
      <c r="Q232" s="168" t="str">
        <f>'030523 INVENTARIO'!S232</f>
        <v>SIN SERIE</v>
      </c>
      <c r="R232" s="168" t="str">
        <f>'030523 INVENTARIO'!T232</f>
        <v>82DK0529030003000517070</v>
      </c>
    </row>
    <row r="233" spans="5:18">
      <c r="E233" s="167" t="str">
        <f>'030523 INVENTARIO'!E233</f>
        <v>VENTILADOR</v>
      </c>
      <c r="F233" s="168" t="str">
        <f>'030523 INVENTARIO'!F233</f>
        <v>VENTILADOR BLANCO DE PEDESTAL</v>
      </c>
      <c r="G233" s="167" t="str">
        <f ca="1">'030523 INVENTARIO'!G233</f>
        <v>P12PP-0232</v>
      </c>
      <c r="H233" s="167" t="str">
        <f>'030523 INVENTARIO'!J233</f>
        <v>P12PP-0231</v>
      </c>
      <c r="I233" s="167" t="str">
        <f>'030523 INVENTARIO'!K233</f>
        <v>P1PP-013</v>
      </c>
      <c r="J233" s="167" t="str">
        <f>'030523 INVENTARIO'!L233</f>
        <v>P1P-35</v>
      </c>
      <c r="K233" s="167" t="str">
        <f>'030523 INVENTARIO'!M233</f>
        <v>5190200002-28</v>
      </c>
      <c r="L233" s="168">
        <f>'030523 INVENTARIO'!N233</f>
        <v>0</v>
      </c>
      <c r="M233" s="168">
        <f>'030523 INVENTARIO'!O233</f>
        <v>0</v>
      </c>
      <c r="N233" s="168" t="str">
        <f>'030523 INVENTARIO'!P233</f>
        <v>OK</v>
      </c>
      <c r="O233" s="168" t="str">
        <f>'030523 INVENTARIO'!Q233</f>
        <v>HURRICANE</v>
      </c>
      <c r="P233" s="167">
        <f>'030523 INVENTARIO'!R233</f>
        <v>3141</v>
      </c>
      <c r="Q233" s="168" t="str">
        <f>'030523 INVENTARIO'!S233</f>
        <v>SIN SERIE</v>
      </c>
      <c r="R233" s="168" t="str">
        <f>'030523 INVENTARIO'!T233</f>
        <v>82DK0519010043000649631</v>
      </c>
    </row>
    <row r="234" spans="5:18">
      <c r="E234" s="167" t="str">
        <f>'030523 INVENTARIO'!E234</f>
        <v>MESA</v>
      </c>
      <c r="F234" s="168" t="str">
        <f>'030523 INVENTARIO'!F234</f>
        <v>MESA DE MADERA CON BASE DE METAL 60X40</v>
      </c>
      <c r="G234" s="167" t="str">
        <f ca="1">'030523 INVENTARIO'!G234</f>
        <v>P12PP-0233</v>
      </c>
      <c r="H234" s="167" t="str">
        <f>'030523 INVENTARIO'!J234</f>
        <v>P12PP-0232</v>
      </c>
      <c r="I234" s="167" t="str">
        <f>'030523 INVENTARIO'!K234</f>
        <v>P1PP-014</v>
      </c>
      <c r="J234" s="167" t="str">
        <f>'030523 INVENTARIO'!L234</f>
        <v>P1P-40</v>
      </c>
      <c r="K234" s="167" t="str">
        <f>'030523 INVENTARIO'!M234</f>
        <v>5120100007-76</v>
      </c>
      <c r="L234" s="168">
        <f>'030523 INVENTARIO'!N234</f>
        <v>0</v>
      </c>
      <c r="M234" s="168">
        <f>'030523 INVENTARIO'!O234</f>
        <v>0</v>
      </c>
      <c r="N234" s="168" t="str">
        <f>'030523 INVENTARIO'!P234</f>
        <v>OK</v>
      </c>
      <c r="O234" s="168" t="str">
        <f>'030523 INVENTARIO'!Q234</f>
        <v>S/M</v>
      </c>
      <c r="P234" s="167" t="str">
        <f>'030523 INVENTARIO'!R234</f>
        <v>S/M</v>
      </c>
      <c r="Q234" s="168" t="str">
        <f>'030523 INVENTARIO'!S234</f>
        <v>SIN SERIE</v>
      </c>
      <c r="R234" s="168" t="str">
        <f>'030523 INVENTARIO'!T234</f>
        <v>82DK0531010065000564824</v>
      </c>
    </row>
    <row r="235" spans="5:18">
      <c r="E235" s="167" t="str">
        <f>'030523 INVENTARIO'!E235</f>
        <v>SILLA</v>
      </c>
      <c r="F235" s="168" t="str">
        <f>'030523 INVENTARIO'!F235</f>
        <v>SILLA DE TELA AZUL</v>
      </c>
      <c r="G235" s="167" t="str">
        <f ca="1">'030523 INVENTARIO'!G235</f>
        <v>P12PP-0234</v>
      </c>
      <c r="H235" s="167" t="str">
        <f>'030523 INVENTARIO'!J235</f>
        <v>P12PP-0233</v>
      </c>
      <c r="I235" s="167" t="str">
        <f>'030523 INVENTARIO'!K235</f>
        <v>P1PP-015</v>
      </c>
      <c r="J235" s="167" t="str">
        <f>'030523 INVENTARIO'!L235</f>
        <v>P1P-37</v>
      </c>
      <c r="K235" s="167" t="str">
        <f>'030523 INVENTARIO'!M235</f>
        <v>5110100011-51</v>
      </c>
      <c r="L235" s="168">
        <f>'030523 INVENTARIO'!N235</f>
        <v>0</v>
      </c>
      <c r="M235" s="168">
        <f>'030523 INVENTARIO'!O235</f>
        <v>0</v>
      </c>
      <c r="N235" s="168" t="str">
        <f>'030523 INVENTARIO'!P235</f>
        <v>OK</v>
      </c>
      <c r="O235" s="168" t="str">
        <f>'030523 INVENTARIO'!Q235</f>
        <v>S/M</v>
      </c>
      <c r="P235" s="167" t="str">
        <f>'030523 INVENTARIO'!R235</f>
        <v>S/M</v>
      </c>
      <c r="Q235" s="168" t="str">
        <f>'030523 INVENTARIO'!S235</f>
        <v>SIN SERIE</v>
      </c>
      <c r="R235" s="168" t="str">
        <f>'030523 INVENTARIO'!T235</f>
        <v>82DK0511010017000539075</v>
      </c>
    </row>
    <row r="236" spans="5:18">
      <c r="E236" s="167" t="str">
        <f>'030523 INVENTARIO'!E236</f>
        <v>SILLA</v>
      </c>
      <c r="F236" s="168" t="str">
        <f>'030523 INVENTARIO'!F236</f>
        <v>SILLA DE TELA AZUL</v>
      </c>
      <c r="G236" s="167" t="str">
        <f ca="1">'030523 INVENTARIO'!G236</f>
        <v>P12PP-0235</v>
      </c>
      <c r="H236" s="167" t="str">
        <f>'030523 INVENTARIO'!J236</f>
        <v>P12PP-0234</v>
      </c>
      <c r="I236" s="167" t="str">
        <f>'030523 INVENTARIO'!K236</f>
        <v>P1PP-016</v>
      </c>
      <c r="J236" s="167" t="str">
        <f>'030523 INVENTARIO'!L236</f>
        <v>P1P-38</v>
      </c>
      <c r="K236" s="167" t="str">
        <f>'030523 INVENTARIO'!M236</f>
        <v>5110100011-52</v>
      </c>
      <c r="L236" s="168">
        <f>'030523 INVENTARIO'!N236</f>
        <v>0</v>
      </c>
      <c r="M236" s="168">
        <f>'030523 INVENTARIO'!O236</f>
        <v>0</v>
      </c>
      <c r="N236" s="168" t="str">
        <f>'030523 INVENTARIO'!P236</f>
        <v>OK</v>
      </c>
      <c r="O236" s="168" t="str">
        <f>'030523 INVENTARIO'!Q236</f>
        <v>S/M</v>
      </c>
      <c r="P236" s="167" t="str">
        <f>'030523 INVENTARIO'!R236</f>
        <v>S/M</v>
      </c>
      <c r="Q236" s="168" t="str">
        <f>'030523 INVENTARIO'!S236</f>
        <v>SIN SERIE</v>
      </c>
      <c r="R236" s="168" t="str">
        <f>'030523 INVENTARIO'!T236</f>
        <v>82DK0511010017000539078</v>
      </c>
    </row>
    <row r="237" spans="5:18">
      <c r="E237" s="167" t="str">
        <f>'030523 INVENTARIO'!E237</f>
        <v>ARCHIVERO</v>
      </c>
      <c r="F237" s="168" t="str">
        <f>'030523 INVENTARIO'!F237</f>
        <v>ARCHIVERO DE METAL GRIS CON 3 CAJONES</v>
      </c>
      <c r="G237" s="167" t="str">
        <f ca="1">'030523 INVENTARIO'!G237</f>
        <v>P12PP-0236</v>
      </c>
      <c r="H237" s="167" t="str">
        <f>'030523 INVENTARIO'!J237</f>
        <v>P12PP-0235</v>
      </c>
      <c r="I237" s="167" t="str">
        <f>'030523 INVENTARIO'!K237</f>
        <v>P1PP-017</v>
      </c>
      <c r="J237" s="167" t="str">
        <f>'030523 INVENTARIO'!L237</f>
        <v>P1P-34</v>
      </c>
      <c r="K237" s="167" t="str">
        <f>'030523 INVENTARIO'!M237</f>
        <v>5130100013-18</v>
      </c>
      <c r="L237" s="168">
        <f>'030523 INVENTARIO'!N237</f>
        <v>0</v>
      </c>
      <c r="M237" s="168">
        <f>'030523 INVENTARIO'!O237</f>
        <v>0</v>
      </c>
      <c r="N237" s="168" t="str">
        <f>'030523 INVENTARIO'!P237</f>
        <v>OK</v>
      </c>
      <c r="O237" s="168" t="str">
        <f>'030523 INVENTARIO'!Q237</f>
        <v>S/M</v>
      </c>
      <c r="P237" s="167" t="str">
        <f>'030523 INVENTARIO'!R237</f>
        <v>S/M</v>
      </c>
      <c r="Q237" s="168" t="str">
        <f>'030523 INVENTARIO'!S237</f>
        <v>SIN SERIE</v>
      </c>
      <c r="R237" s="168" t="str">
        <f>'030523 INVENTARIO'!T237</f>
        <v>SIN RESGUARDO</v>
      </c>
    </row>
    <row r="238" spans="5:18">
      <c r="E238" s="167" t="str">
        <f>'030523 INVENTARIO'!E238</f>
        <v>NO BREAK</v>
      </c>
      <c r="F238" s="168" t="str">
        <f>'030523 INVENTARIO'!F238</f>
        <v>NO BREAK NEGRO</v>
      </c>
      <c r="G238" s="167" t="str">
        <f ca="1">'030523 INVENTARIO'!G238</f>
        <v>P12PP-0237</v>
      </c>
      <c r="H238" s="167" t="str">
        <f>'030523 INVENTARIO'!J238</f>
        <v>P12PP-0236</v>
      </c>
      <c r="I238" s="168" t="str">
        <f>'030523 INVENTARIO'!K238</f>
        <v>P1PP-018</v>
      </c>
      <c r="J238" s="168" t="str">
        <f>'030523 INVENTARIO'!L238</f>
        <v>P1P-42</v>
      </c>
      <c r="K238" s="168" t="str">
        <f>'030523 INVENTARIO'!M238</f>
        <v>5150100008-26</v>
      </c>
      <c r="L238" s="168">
        <f>'030523 INVENTARIO'!N238</f>
        <v>0</v>
      </c>
      <c r="M238" s="168">
        <f>'030523 INVENTARIO'!O238</f>
        <v>0</v>
      </c>
      <c r="N238" s="168" t="str">
        <f>'030523 INVENTARIO'!P238</f>
        <v>OK</v>
      </c>
      <c r="O238" s="168" t="str">
        <f>'030523 INVENTARIO'!Q238</f>
        <v>TRIPP LITE</v>
      </c>
      <c r="P238" s="167" t="str">
        <f>'030523 INVENTARIO'!R238</f>
        <v>INTERNT550U</v>
      </c>
      <c r="Q238" s="168" t="str">
        <f>'030523 INVENTARIO'!S238</f>
        <v>9730CY0BC575600778</v>
      </c>
      <c r="R238" s="168" t="str">
        <f>'030523 INVENTARIO'!T238</f>
        <v>82DK0515010016000649569</v>
      </c>
    </row>
    <row r="239" spans="5:18">
      <c r="E239" s="167" t="str">
        <f>'030523 INVENTARIO'!E239</f>
        <v>ESCRITORIO</v>
      </c>
      <c r="F239" s="167" t="str">
        <f>'030523 INVENTARIO'!F239</f>
        <v>ESCRITORIO DE MADERA 160X40</v>
      </c>
      <c r="G239" s="167" t="str">
        <f ca="1">'030523 INVENTARIO'!G239</f>
        <v>P12PP-0238</v>
      </c>
      <c r="H239" s="167" t="str">
        <f>'030523 INVENTARIO'!J239</f>
        <v>P12PP-0237</v>
      </c>
      <c r="I239" s="167" t="str">
        <f>'030523 INVENTARIO'!K239</f>
        <v>P1PP-019</v>
      </c>
      <c r="J239" s="167" t="str">
        <f>'030523 INVENTARIO'!L239</f>
        <v>P1P-51</v>
      </c>
      <c r="K239" s="167" t="str">
        <f>'030523 INVENTARIO'!M239</f>
        <v>5110100015-43</v>
      </c>
      <c r="L239" s="168">
        <f>'030523 INVENTARIO'!N239</f>
        <v>0</v>
      </c>
      <c r="M239" s="168">
        <f>'030523 INVENTARIO'!O239</f>
        <v>0</v>
      </c>
      <c r="N239" s="168" t="str">
        <f>'030523 INVENTARIO'!P239</f>
        <v>OK</v>
      </c>
      <c r="O239" s="168" t="str">
        <f>'030523 INVENTARIO'!Q239</f>
        <v>S/M</v>
      </c>
      <c r="P239" s="167" t="str">
        <f>'030523 INVENTARIO'!R239</f>
        <v>S/M</v>
      </c>
      <c r="Q239" s="168" t="str">
        <f>'030523 INVENTARIO'!S239</f>
        <v>SIN SERIE</v>
      </c>
      <c r="R239" s="168" t="str">
        <f>'030523 INVENTARIO'!T239</f>
        <v>82DK0511010006000583463</v>
      </c>
    </row>
    <row r="240" spans="5:18">
      <c r="E240" s="167" t="str">
        <f>'030523 INVENTARIO'!E240</f>
        <v>MESA</v>
      </c>
      <c r="F240" s="167" t="str">
        <f>'030523 INVENTARIO'!F240</f>
        <v>MESA COMPLEMENTO TIPO BALA 160X60</v>
      </c>
      <c r="G240" s="167" t="str">
        <f ca="1">'030523 INVENTARIO'!G240</f>
        <v>P12PP-0239</v>
      </c>
      <c r="H240" s="167" t="str">
        <f>'030523 INVENTARIO'!J240</f>
        <v>P12PP-0238</v>
      </c>
      <c r="I240" s="167" t="str">
        <f>'030523 INVENTARIO'!K240</f>
        <v>P1PP-020</v>
      </c>
      <c r="J240" s="167" t="str">
        <f>'030523 INVENTARIO'!L240</f>
        <v>P1P-50</v>
      </c>
      <c r="K240" s="167" t="str">
        <f>'030523 INVENTARIO'!M240</f>
        <v>5120100007-78</v>
      </c>
      <c r="L240" s="168">
        <f>'030523 INVENTARIO'!N240</f>
        <v>0</v>
      </c>
      <c r="M240" s="168">
        <f>'030523 INVENTARIO'!O240</f>
        <v>0</v>
      </c>
      <c r="N240" s="168" t="str">
        <f>'030523 INVENTARIO'!P240</f>
        <v>OK</v>
      </c>
      <c r="O240" s="168" t="str">
        <f>'030523 INVENTARIO'!Q240</f>
        <v>S/M</v>
      </c>
      <c r="P240" s="167" t="str">
        <f>'030523 INVENTARIO'!R240</f>
        <v>S/M</v>
      </c>
      <c r="Q240" s="168" t="str">
        <f>'030523 INVENTARIO'!S240</f>
        <v>SIN SERIE</v>
      </c>
      <c r="R240" s="168" t="str">
        <f>'030523 INVENTARIO'!T240</f>
        <v>82DK0531010065000564817</v>
      </c>
    </row>
    <row r="241" spans="5:18">
      <c r="E241" s="167" t="str">
        <f>'030523 INVENTARIO'!E241</f>
        <v>COMPUTADORA DE ESCRITORIO</v>
      </c>
      <c r="F241" s="167" t="str">
        <f>'030523 INVENTARIO'!F241</f>
        <v>COMPUTADORA TODO EN UNO NEGRA</v>
      </c>
      <c r="G241" s="167" t="str">
        <f ca="1">'030523 INVENTARIO'!G241</f>
        <v>P12PP-0240</v>
      </c>
      <c r="H241" s="167" t="str">
        <f>'030523 INVENTARIO'!J241</f>
        <v>P12PP-0239</v>
      </c>
      <c r="I241" s="167" t="str">
        <f>'030523 INVENTARIO'!K241</f>
        <v>P1PP-021</v>
      </c>
      <c r="J241" s="167" t="str">
        <f>'030523 INVENTARIO'!L241</f>
        <v>P1P-32</v>
      </c>
      <c r="K241" s="167" t="str">
        <f>'030523 INVENTARIO'!M241</f>
        <v>ALTA</v>
      </c>
      <c r="L241" s="168">
        <f>'030523 INVENTARIO'!N241</f>
        <v>0</v>
      </c>
      <c r="M241" s="168">
        <f>'030523 INVENTARIO'!O241</f>
        <v>0</v>
      </c>
      <c r="N241" s="168" t="str">
        <f>'030523 INVENTARIO'!P241</f>
        <v>REPETIDO</v>
      </c>
      <c r="O241" s="168" t="str">
        <f>'030523 INVENTARIO'!Q241</f>
        <v>LENOVO</v>
      </c>
      <c r="P241" s="167" t="str">
        <f>'030523 INVENTARIO'!R241</f>
        <v>S200Z</v>
      </c>
      <c r="Q241" s="168" t="str">
        <f>'030523 INVENTARIO'!S241</f>
        <v>MPI5495C</v>
      </c>
      <c r="R241" s="168" t="str">
        <f>'030523 INVENTARIO'!T241</f>
        <v>82DK0515010003000649382</v>
      </c>
    </row>
    <row r="242" spans="5:18">
      <c r="E242" s="167" t="str">
        <f>'030523 INVENTARIO'!E242</f>
        <v>NO BREAK</v>
      </c>
      <c r="F242" s="167" t="str">
        <f>'030523 INVENTARIO'!F242</f>
        <v>NO BREAK NEGRO</v>
      </c>
      <c r="G242" s="167" t="str">
        <f ca="1">'030523 INVENTARIO'!G242</f>
        <v>P12PP-0241</v>
      </c>
      <c r="H242" s="167" t="str">
        <f>'030523 INVENTARIO'!J242</f>
        <v>P12PP-0240</v>
      </c>
      <c r="I242" s="167" t="str">
        <f>'030523 INVENTARIO'!K242</f>
        <v>P1PP-022</v>
      </c>
      <c r="J242" s="167" t="str">
        <f>'030523 INVENTARIO'!L242</f>
        <v>P0RH-15</v>
      </c>
      <c r="K242" s="167" t="str">
        <f>'030523 INVENTARIO'!M242</f>
        <v>5150100008-34</v>
      </c>
      <c r="L242" s="168">
        <f>'030523 INVENTARIO'!N242</f>
        <v>0</v>
      </c>
      <c r="M242" s="168">
        <f>'030523 INVENTARIO'!O242</f>
        <v>0</v>
      </c>
      <c r="N242" s="168" t="str">
        <f>'030523 INVENTARIO'!P242</f>
        <v>OK</v>
      </c>
      <c r="O242" s="167" t="str">
        <f>'030523 INVENTARIO'!Q242</f>
        <v>TRIPP LITE</v>
      </c>
      <c r="P242" s="167" t="str">
        <f>'030523 INVENTARIO'!R242</f>
        <v>INTERNET550U</v>
      </c>
      <c r="Q242" s="168" t="str">
        <f>'030523 INVENTARIO'!S242</f>
        <v>9730CY0BC575600809</v>
      </c>
      <c r="R242" s="168" t="str">
        <f>'030523 INVENTARIO'!T242</f>
        <v>82DK0515010016000539067</v>
      </c>
    </row>
    <row r="243" spans="5:18">
      <c r="E243" s="167" t="str">
        <f>'030523 INVENTARIO'!E243</f>
        <v>ESCRITORIO</v>
      </c>
      <c r="F243" s="167" t="str">
        <f>'030523 INVENTARIO'!F243</f>
        <v>ESCRITORIO DE MADERA 160X40</v>
      </c>
      <c r="G243" s="167" t="str">
        <f ca="1">'030523 INVENTARIO'!G243</f>
        <v>P12PP-0242</v>
      </c>
      <c r="H243" s="167" t="str">
        <f>'030523 INVENTARIO'!J243</f>
        <v>P12PP-0241</v>
      </c>
      <c r="I243" s="167" t="str">
        <f>'030523 INVENTARIO'!K243</f>
        <v>P1PP-023</v>
      </c>
      <c r="J243" s="167" t="str">
        <f>'030523 INVENTARIO'!L243</f>
        <v>P1P-27</v>
      </c>
      <c r="K243" s="167" t="str">
        <f>'030523 INVENTARIO'!M243</f>
        <v>5110100015-42</v>
      </c>
      <c r="L243" s="168">
        <f>'030523 INVENTARIO'!N243</f>
        <v>0</v>
      </c>
      <c r="M243" s="168">
        <f>'030523 INVENTARIO'!O243</f>
        <v>0</v>
      </c>
      <c r="N243" s="168" t="str">
        <f>'030523 INVENTARIO'!P243</f>
        <v>OK</v>
      </c>
      <c r="O243" s="168" t="str">
        <f>'030523 INVENTARIO'!Q243</f>
        <v>S/M</v>
      </c>
      <c r="P243" s="167" t="str">
        <f>'030523 INVENTARIO'!R243</f>
        <v>S/M</v>
      </c>
      <c r="Q243" s="168" t="str">
        <f>'030523 INVENTARIO'!S243</f>
        <v>SIN SERIE</v>
      </c>
      <c r="R243" s="168" t="str">
        <f>'030523 INVENTARIO'!T243</f>
        <v>82DJ0511010006000583458</v>
      </c>
    </row>
    <row r="244" spans="5:18">
      <c r="E244" s="167" t="str">
        <f>'030523 INVENTARIO'!E244</f>
        <v>MESA</v>
      </c>
      <c r="F244" s="167" t="str">
        <f>'030523 INVENTARIO'!F244</f>
        <v>MESA COMPLEMENTO TIPO BALA 160X60</v>
      </c>
      <c r="G244" s="167" t="str">
        <f ca="1">'030523 INVENTARIO'!G244</f>
        <v>P12PP-0243</v>
      </c>
      <c r="H244" s="167" t="str">
        <f>'030523 INVENTARIO'!J244</f>
        <v>P12PP-0242</v>
      </c>
      <c r="I244" s="167" t="str">
        <f>'030523 INVENTARIO'!K244</f>
        <v>P1PP-024</v>
      </c>
      <c r="J244" s="167" t="str">
        <f>'030523 INVENTARIO'!L244</f>
        <v>P1P-26</v>
      </c>
      <c r="K244" s="167" t="str">
        <f>'030523 INVENTARIO'!M244</f>
        <v>5120100007-77</v>
      </c>
      <c r="L244" s="168">
        <f>'030523 INVENTARIO'!N244</f>
        <v>0</v>
      </c>
      <c r="M244" s="168">
        <f>'030523 INVENTARIO'!O244</f>
        <v>0</v>
      </c>
      <c r="N244" s="168" t="str">
        <f>'030523 INVENTARIO'!P244</f>
        <v>OK</v>
      </c>
      <c r="O244" s="168" t="str">
        <f>'030523 INVENTARIO'!Q244</f>
        <v>S/M</v>
      </c>
      <c r="P244" s="167" t="str">
        <f>'030523 INVENTARIO'!R244</f>
        <v>S/M</v>
      </c>
      <c r="Q244" s="168" t="str">
        <f>'030523 INVENTARIO'!S244</f>
        <v>SIN SERIE</v>
      </c>
      <c r="R244" s="168" t="str">
        <f>'030523 INVENTARIO'!T244</f>
        <v>82DJ0531010065000564820</v>
      </c>
    </row>
    <row r="245" spans="5:18">
      <c r="E245" s="167" t="str">
        <f>'030523 INVENTARIO'!E245</f>
        <v>COMPLEMENTARIO DE EQUIPO DE COMPUTO</v>
      </c>
      <c r="F245" s="168" t="str">
        <f>'030523 INVENTARIO'!F245</f>
        <v>COMPLEMENTO DE EQUIPO DE MADERA</v>
      </c>
      <c r="G245" s="167" t="str">
        <f ca="1">'030523 INVENTARIO'!G245</f>
        <v>P12PP-0244</v>
      </c>
      <c r="H245" s="167" t="str">
        <f>'030523 INVENTARIO'!J245</f>
        <v>P12PP-0243</v>
      </c>
      <c r="I245" s="167" t="str">
        <f>'030523 INVENTARIO'!K245</f>
        <v>P1PP-025</v>
      </c>
      <c r="J245" s="167" t="str">
        <f>'030523 INVENTARIO'!L245</f>
        <v>P1P-23</v>
      </c>
      <c r="K245" s="167" t="str">
        <f>'030523 INVENTARIO'!M245</f>
        <v>5120100004-18</v>
      </c>
      <c r="L245" s="168">
        <f>'030523 INVENTARIO'!N245</f>
        <v>0</v>
      </c>
      <c r="M245" s="168">
        <f>'030523 INVENTARIO'!O245</f>
        <v>0</v>
      </c>
      <c r="N245" s="168" t="str">
        <f>'030523 INVENTARIO'!P245</f>
        <v>OK</v>
      </c>
      <c r="O245" s="168" t="str">
        <f>'030523 INVENTARIO'!Q245</f>
        <v>S/M</v>
      </c>
      <c r="P245" s="167" t="str">
        <f>'030523 INVENTARIO'!R245</f>
        <v>S/M</v>
      </c>
      <c r="Q245" s="168" t="str">
        <f>'030523 INVENTARIO'!S245</f>
        <v>SIN SERIE</v>
      </c>
      <c r="R245" s="168" t="str">
        <f>'030523 INVENTARIO'!T245</f>
        <v>82DJ0515010033000564675</v>
      </c>
    </row>
    <row r="246" spans="5:18">
      <c r="E246" s="167" t="str">
        <f>'030523 INVENTARIO'!E246</f>
        <v>COMPUTADORA DE ESCRITORIO</v>
      </c>
      <c r="F246" s="167" t="str">
        <f>'030523 INVENTARIO'!F246</f>
        <v>COMPUTADORA DE ESCRITORIO</v>
      </c>
      <c r="G246" s="167" t="str">
        <f ca="1">'030523 INVENTARIO'!G246</f>
        <v>P12PP-0245</v>
      </c>
      <c r="H246" s="167" t="str">
        <f>'030523 INVENTARIO'!J246</f>
        <v>P12PP-0244</v>
      </c>
      <c r="I246" s="167" t="str">
        <f>'030523 INVENTARIO'!K246</f>
        <v>P1PP-026</v>
      </c>
      <c r="J246" s="167" t="str">
        <f>'030523 INVENTARIO'!L246</f>
        <v>NVO1</v>
      </c>
      <c r="K246" s="167" t="str">
        <f>'030523 INVENTARIO'!M246</f>
        <v>5150100005-146</v>
      </c>
      <c r="L246" s="168">
        <f>'030523 INVENTARIO'!N246</f>
        <v>0</v>
      </c>
      <c r="M246" s="168">
        <f>'030523 INVENTARIO'!O246</f>
        <v>0</v>
      </c>
      <c r="N246" s="168" t="str">
        <f>'030523 INVENTARIO'!P246</f>
        <v>OK</v>
      </c>
      <c r="O246" s="168" t="str">
        <f>'030523 INVENTARIO'!Q246</f>
        <v>ACTECK</v>
      </c>
      <c r="P246" s="167" t="str">
        <f>'030523 INVENTARIO'!R246</f>
        <v>LINX</v>
      </c>
      <c r="Q246" s="168" t="str">
        <f>'030523 INVENTARIO'!S246</f>
        <v>011392903014913</v>
      </c>
      <c r="R246" s="167" t="str">
        <f>'030523 INVENTARIO'!T246</f>
        <v>SIN RESGUARDO</v>
      </c>
    </row>
    <row r="247" spans="5:18">
      <c r="E247" s="167" t="str">
        <f>'030523 INVENTARIO'!E247</f>
        <v>MONITOR</v>
      </c>
      <c r="F247" s="167" t="str">
        <f>'030523 INVENTARIO'!F247</f>
        <v>MONITOR 21.5"</v>
      </c>
      <c r="G247" s="167" t="str">
        <f ca="1">'030523 INVENTARIO'!G247</f>
        <v>P12PP-0246</v>
      </c>
      <c r="H247" s="167" t="str">
        <f>'030523 INVENTARIO'!J247</f>
        <v>P12PP-0245</v>
      </c>
      <c r="I247" s="167" t="str">
        <f>'030523 INVENTARIO'!K247</f>
        <v>P1PP-027</v>
      </c>
      <c r="J247" s="167" t="str">
        <f>'030523 INVENTARIO'!L247</f>
        <v>NVO2</v>
      </c>
      <c r="K247" s="167" t="str">
        <f>'030523 INVENTARIO'!M247</f>
        <v>5150100005-147</v>
      </c>
      <c r="L247" s="168">
        <f>'030523 INVENTARIO'!N247</f>
        <v>0</v>
      </c>
      <c r="M247" s="168">
        <f>'030523 INVENTARIO'!O247</f>
        <v>0</v>
      </c>
      <c r="N247" s="168" t="str">
        <f>'030523 INVENTARIO'!P247</f>
        <v>OK</v>
      </c>
      <c r="O247" s="168" t="str">
        <f>'030523 INVENTARIO'!Q247</f>
        <v>ACER</v>
      </c>
      <c r="P247" s="167" t="str">
        <f>'030523 INVENTARIO'!R247</f>
        <v>V226HQL</v>
      </c>
      <c r="Q247" s="168" t="str">
        <f>'030523 INVENTARIO'!S247</f>
        <v>MMTASAA007109004CC3P00</v>
      </c>
      <c r="R247" s="168" t="str">
        <f>'030523 INVENTARIO'!T247</f>
        <v>SIN RESGUARDO</v>
      </c>
    </row>
    <row r="248" spans="5:18">
      <c r="E248" s="167" t="str">
        <f>'030523 INVENTARIO'!E248</f>
        <v>NO BREAK</v>
      </c>
      <c r="F248" s="168" t="str">
        <f>'030523 INVENTARIO'!F248</f>
        <v>NO BREAK</v>
      </c>
      <c r="G248" s="167" t="str">
        <f ca="1">'030523 INVENTARIO'!G248</f>
        <v>P12PP-0247</v>
      </c>
      <c r="H248" s="167" t="str">
        <f>'030523 INVENTARIO'!J248</f>
        <v>P12PP-0246</v>
      </c>
      <c r="I248" s="167" t="str">
        <f>'030523 INVENTARIO'!K248</f>
        <v>P1PP-028</v>
      </c>
      <c r="J248" s="167" t="str">
        <f>'030523 INVENTARIO'!L248</f>
        <v>P1P-57</v>
      </c>
      <c r="K248" s="167" t="str">
        <f>'030523 INVENTARIO'!M248</f>
        <v>5150100008-27</v>
      </c>
      <c r="L248" s="168">
        <f>'030523 INVENTARIO'!N248</f>
        <v>0</v>
      </c>
      <c r="M248" s="168">
        <f>'030523 INVENTARIO'!O248</f>
        <v>0</v>
      </c>
      <c r="N248" s="168" t="str">
        <f>'030523 INVENTARIO'!P248</f>
        <v>OK</v>
      </c>
      <c r="O248" s="168" t="str">
        <f>'030523 INVENTARIO'!Q248</f>
        <v>FORZA</v>
      </c>
      <c r="P248" s="167" t="str">
        <f>'030523 INVENTARIO'!R248</f>
        <v>NT751</v>
      </c>
      <c r="Q248" s="168" t="str">
        <f>'030523 INVENTARIO'!S248</f>
        <v>190222505755</v>
      </c>
      <c r="R248" s="168" t="str">
        <f>'030523 INVENTARIO'!T248</f>
        <v>82DJ0515010016000649434</v>
      </c>
    </row>
    <row r="249" spans="5:18">
      <c r="E249" s="167" t="str">
        <f>'030523 INVENTARIO'!E249</f>
        <v>SILLA</v>
      </c>
      <c r="F249" s="167" t="str">
        <f>'030523 INVENTARIO'!F249</f>
        <v>SILLA NEGRA DE TELA CON RUEDAS</v>
      </c>
      <c r="G249" s="167" t="str">
        <f ca="1">'030523 INVENTARIO'!G249</f>
        <v>P12PP-0248</v>
      </c>
      <c r="H249" s="167" t="str">
        <f>'030523 INVENTARIO'!J249</f>
        <v>P12PP-0247</v>
      </c>
      <c r="I249" s="167" t="str">
        <f>'030523 INVENTARIO'!K249</f>
        <v>P1PP-029</v>
      </c>
      <c r="J249" s="167">
        <f>'030523 INVENTARIO'!L249</f>
        <v>0</v>
      </c>
      <c r="K249" s="167" t="str">
        <f>'030523 INVENTARIO'!M249</f>
        <v>5110100011-49</v>
      </c>
      <c r="L249" s="168">
        <f>'030523 INVENTARIO'!N249</f>
        <v>0</v>
      </c>
      <c r="M249" s="168">
        <f>'030523 INVENTARIO'!O249</f>
        <v>0</v>
      </c>
      <c r="N249" s="168" t="str">
        <f>'030523 INVENTARIO'!P249</f>
        <v>OK</v>
      </c>
      <c r="O249" s="168" t="str">
        <f>'030523 INVENTARIO'!Q249</f>
        <v>S/M</v>
      </c>
      <c r="P249" s="167" t="str">
        <f>'030523 INVENTARIO'!R249</f>
        <v>S/M</v>
      </c>
      <c r="Q249" s="167" t="str">
        <f>'030523 INVENTARIO'!S249</f>
        <v>SIN SERIE</v>
      </c>
      <c r="R249" s="167" t="str">
        <f>'030523 INVENTARIO'!T249</f>
        <v>SIN RESGUARDO</v>
      </c>
    </row>
    <row r="250" spans="5:18">
      <c r="E250" s="167" t="str">
        <f>'030523 INVENTARIO'!E250</f>
        <v>SILLA</v>
      </c>
      <c r="F250" s="167" t="str">
        <f>'030523 INVENTARIO'!F250</f>
        <v>SILLA DE TELA NEGRA FIJA</v>
      </c>
      <c r="G250" s="167" t="str">
        <f ca="1">'030523 INVENTARIO'!G250</f>
        <v>P12PP-0249</v>
      </c>
      <c r="H250" s="167" t="str">
        <f>'030523 INVENTARIO'!J250</f>
        <v>P12PP-0248</v>
      </c>
      <c r="I250" s="167" t="str">
        <f>'030523 INVENTARIO'!K250</f>
        <v>P1PP-030</v>
      </c>
      <c r="J250" s="167" t="str">
        <f>'030523 INVENTARIO'!L250</f>
        <v>P1P-47</v>
      </c>
      <c r="K250" s="167" t="str">
        <f>'030523 INVENTARIO'!M250</f>
        <v>5110100011-55</v>
      </c>
      <c r="L250" s="168">
        <f>'030523 INVENTARIO'!N250</f>
        <v>0</v>
      </c>
      <c r="M250" s="168">
        <f>'030523 INVENTARIO'!O250</f>
        <v>0</v>
      </c>
      <c r="N250" s="168" t="str">
        <f>'030523 INVENTARIO'!P250</f>
        <v>OK</v>
      </c>
      <c r="O250" s="168" t="str">
        <f>'030523 INVENTARIO'!Q250</f>
        <v>S/M</v>
      </c>
      <c r="P250" s="167" t="str">
        <f>'030523 INVENTARIO'!R250</f>
        <v>S/M</v>
      </c>
      <c r="Q250" s="168" t="str">
        <f>'030523 INVENTARIO'!S250</f>
        <v>SIN SERIE</v>
      </c>
      <c r="R250" s="168" t="str">
        <f>'030523 INVENTARIO'!T250</f>
        <v>82DK0511010017000539074</v>
      </c>
    </row>
    <row r="251" spans="5:18">
      <c r="E251" s="167" t="str">
        <f>'030523 INVENTARIO'!E251</f>
        <v>SILLA</v>
      </c>
      <c r="F251" s="167" t="str">
        <f>'030523 INVENTARIO'!F251</f>
        <v>SILLA DE TELA NEGRA FIJA</v>
      </c>
      <c r="G251" s="167" t="str">
        <f ca="1">'030523 INVENTARIO'!G251</f>
        <v>P12PP-0250</v>
      </c>
      <c r="H251" s="167" t="str">
        <f>'030523 INVENTARIO'!J251</f>
        <v>P12PP-0249</v>
      </c>
      <c r="I251" s="167" t="str">
        <f>'030523 INVENTARIO'!K251</f>
        <v>P1PP-031</v>
      </c>
      <c r="J251" s="167" t="str">
        <f>'030523 INVENTARIO'!L251</f>
        <v>P1P-29</v>
      </c>
      <c r="K251" s="167" t="str">
        <f>'030523 INVENTARIO'!M251</f>
        <v>5110100011-57</v>
      </c>
      <c r="L251" s="168">
        <f>'030523 INVENTARIO'!N251</f>
        <v>0</v>
      </c>
      <c r="M251" s="168">
        <f>'030523 INVENTARIO'!O251</f>
        <v>0</v>
      </c>
      <c r="N251" s="168" t="str">
        <f>'030523 INVENTARIO'!P251</f>
        <v>OK</v>
      </c>
      <c r="O251" s="168" t="str">
        <f>'030523 INVENTARIO'!Q251</f>
        <v>S/M</v>
      </c>
      <c r="P251" s="167" t="str">
        <f>'030523 INVENTARIO'!R251</f>
        <v>S/M</v>
      </c>
      <c r="Q251" s="168" t="str">
        <f>'030523 INVENTARIO'!S251</f>
        <v>SIN SERIE</v>
      </c>
      <c r="R251" s="168" t="str">
        <f>'030523 INVENTARIO'!T251</f>
        <v>82DJ0511010017000522723</v>
      </c>
    </row>
    <row r="252" spans="5:18">
      <c r="E252" s="167" t="str">
        <f>'030523 INVENTARIO'!E252</f>
        <v>SILLA</v>
      </c>
      <c r="F252" s="167" t="str">
        <f>'030523 INVENTARIO'!F252</f>
        <v>SILLA DE TELA NEGRA FIJA</v>
      </c>
      <c r="G252" s="167" t="str">
        <f ca="1">'030523 INVENTARIO'!G252</f>
        <v>P12PP-0251</v>
      </c>
      <c r="H252" s="167" t="str">
        <f>'030523 INVENTARIO'!J252</f>
        <v>P12PP-0250</v>
      </c>
      <c r="I252" s="167" t="str">
        <f>'030523 INVENTARIO'!K252</f>
        <v>P1PP-032</v>
      </c>
      <c r="J252" s="167" t="str">
        <f>'030523 INVENTARIO'!L252</f>
        <v>P1P-28</v>
      </c>
      <c r="K252" s="167" t="str">
        <f>'030523 INVENTARIO'!M252</f>
        <v>5110100011-56</v>
      </c>
      <c r="L252" s="168">
        <f>'030523 INVENTARIO'!N252</f>
        <v>0</v>
      </c>
      <c r="M252" s="168">
        <f>'030523 INVENTARIO'!O252</f>
        <v>0</v>
      </c>
      <c r="N252" s="168" t="str">
        <f>'030523 INVENTARIO'!P252</f>
        <v>OK</v>
      </c>
      <c r="O252" s="168" t="str">
        <f>'030523 INVENTARIO'!Q252</f>
        <v>S/M</v>
      </c>
      <c r="P252" s="167" t="str">
        <f>'030523 INVENTARIO'!R252</f>
        <v>S/M</v>
      </c>
      <c r="Q252" s="168" t="str">
        <f>'030523 INVENTARIO'!S252</f>
        <v>SIN SERIE</v>
      </c>
      <c r="R252" s="168" t="str">
        <f>'030523 INVENTARIO'!T252</f>
        <v>82DJ0511010017000516280</v>
      </c>
    </row>
    <row r="253" spans="5:18">
      <c r="E253" s="167" t="str">
        <f>'030523 INVENTARIO'!E253</f>
        <v>SILLA</v>
      </c>
      <c r="F253" s="167" t="str">
        <f>'030523 INVENTARIO'!F253</f>
        <v>SILLA DE TELA NEGRA FIJA</v>
      </c>
      <c r="G253" s="167" t="str">
        <f ca="1">'030523 INVENTARIO'!G253</f>
        <v>P12PP-0252</v>
      </c>
      <c r="H253" s="167" t="str">
        <f>'030523 INVENTARIO'!J253</f>
        <v>P12PP-0251</v>
      </c>
      <c r="I253" s="167" t="str">
        <f>'030523 INVENTARIO'!K253</f>
        <v>P1PP-033</v>
      </c>
      <c r="J253" s="167" t="str">
        <f>'030523 INVENTARIO'!L253</f>
        <v>P1P-17</v>
      </c>
      <c r="K253" s="168" t="str">
        <f>'030523 INVENTARIO'!M253</f>
        <v>5110100011-59</v>
      </c>
      <c r="L253" s="168">
        <f>'030523 INVENTARIO'!N253</f>
        <v>0</v>
      </c>
      <c r="M253" s="168">
        <f>'030523 INVENTARIO'!O253</f>
        <v>0</v>
      </c>
      <c r="N253" s="168" t="str">
        <f>'030523 INVENTARIO'!P253</f>
        <v>OK</v>
      </c>
      <c r="O253" s="168" t="str">
        <f>'030523 INVENTARIO'!Q253</f>
        <v>S/M</v>
      </c>
      <c r="P253" s="167" t="str">
        <f>'030523 INVENTARIO'!R253</f>
        <v>S/M</v>
      </c>
      <c r="Q253" s="168" t="str">
        <f>'030523 INVENTARIO'!S253</f>
        <v>SIN SERIE</v>
      </c>
      <c r="R253" s="168" t="str">
        <f>'030523 INVENTARIO'!T253</f>
        <v>82DK0511010017000516227</v>
      </c>
    </row>
    <row r="254" spans="5:18">
      <c r="E254" s="167" t="str">
        <f>'030523 INVENTARIO'!E254</f>
        <v>SILLA</v>
      </c>
      <c r="F254" s="167" t="str">
        <f>'030523 INVENTARIO'!F254</f>
        <v>SILLA DE TELA NEGRA FIJA</v>
      </c>
      <c r="G254" s="167" t="str">
        <f ca="1">'030523 INVENTARIO'!G254</f>
        <v>P12PP-0253</v>
      </c>
      <c r="H254" s="167" t="str">
        <f>'030523 INVENTARIO'!J254</f>
        <v>P12PP-0252</v>
      </c>
      <c r="I254" s="167" t="str">
        <f>'030523 INVENTARIO'!K254</f>
        <v>P1PP-034</v>
      </c>
      <c r="J254" s="167" t="str">
        <f>'030523 INVENTARIO'!L254</f>
        <v>P1P-18</v>
      </c>
      <c r="K254" s="167" t="str">
        <f>'030523 INVENTARIO'!M254</f>
        <v>5110100011-60</v>
      </c>
      <c r="L254" s="168">
        <f>'030523 INVENTARIO'!N254</f>
        <v>0</v>
      </c>
      <c r="M254" s="168">
        <f>'030523 INVENTARIO'!O254</f>
        <v>0</v>
      </c>
      <c r="N254" s="168" t="str">
        <f>'030523 INVENTARIO'!P254</f>
        <v>OK</v>
      </c>
      <c r="O254" s="168" t="str">
        <f>'030523 INVENTARIO'!Q254</f>
        <v>S/M</v>
      </c>
      <c r="P254" s="167" t="str">
        <f>'030523 INVENTARIO'!R254</f>
        <v>S/M</v>
      </c>
      <c r="Q254" s="168" t="str">
        <f>'030523 INVENTARIO'!S254</f>
        <v>SIN SERIE</v>
      </c>
      <c r="R254" s="168" t="str">
        <f>'030523 INVENTARIO'!T254</f>
        <v>82DK0511010017000649574</v>
      </c>
    </row>
    <row r="255" spans="5:18">
      <c r="E255" s="167" t="str">
        <f>'030523 INVENTARIO'!E255</f>
        <v>MESA</v>
      </c>
      <c r="F255" s="167" t="str">
        <f>'030523 INVENTARIO'!F255</f>
        <v>MESA COMPLEMENTO TIPO BALA 160X60</v>
      </c>
      <c r="G255" s="167" t="str">
        <f ca="1">'030523 INVENTARIO'!G255</f>
        <v>P12PP-0254</v>
      </c>
      <c r="H255" s="167" t="str">
        <f>'030523 INVENTARIO'!J255</f>
        <v>P12PP-0253</v>
      </c>
      <c r="I255" s="167" t="str">
        <f>'030523 INVENTARIO'!K255</f>
        <v>P1PP-035</v>
      </c>
      <c r="J255" s="167" t="str">
        <f>'030523 INVENTARIO'!L255</f>
        <v>P1P-21</v>
      </c>
      <c r="K255" s="167" t="str">
        <f>'030523 INVENTARIO'!M255</f>
        <v>5120100007-79</v>
      </c>
      <c r="L255" s="168">
        <f>'030523 INVENTARIO'!N255</f>
        <v>0</v>
      </c>
      <c r="M255" s="168">
        <f>'030523 INVENTARIO'!O255</f>
        <v>0</v>
      </c>
      <c r="N255" s="168" t="str">
        <f>'030523 INVENTARIO'!P255</f>
        <v>OK</v>
      </c>
      <c r="O255" s="168" t="str">
        <f>'030523 INVENTARIO'!Q255</f>
        <v>S/M</v>
      </c>
      <c r="P255" s="167" t="str">
        <f>'030523 INVENTARIO'!R255</f>
        <v>S/M</v>
      </c>
      <c r="Q255" s="168" t="str">
        <f>'030523 INVENTARIO'!S255</f>
        <v>SIN SERIE</v>
      </c>
      <c r="R255" s="168" t="str">
        <f>'030523 INVENTARIO'!T255</f>
        <v>82DK0531010065000564819</v>
      </c>
    </row>
    <row r="256" spans="5:18">
      <c r="E256" s="167" t="str">
        <f>'030523 INVENTARIO'!E256</f>
        <v>ESCRITORIO</v>
      </c>
      <c r="F256" s="167" t="str">
        <f>'030523 INVENTARIO'!F256</f>
        <v>ESCRITORIO DE MADERA 160X40</v>
      </c>
      <c r="G256" s="167" t="str">
        <f ca="1">'030523 INVENTARIO'!G256</f>
        <v>P12PP-0255</v>
      </c>
      <c r="H256" s="167" t="str">
        <f>'030523 INVENTARIO'!J256</f>
        <v>P12PP-0254</v>
      </c>
      <c r="I256" s="167" t="str">
        <f>'030523 INVENTARIO'!K256</f>
        <v>P1PP-036</v>
      </c>
      <c r="J256" s="167" t="str">
        <f>'030523 INVENTARIO'!L256</f>
        <v>P1P-20</v>
      </c>
      <c r="K256" s="167" t="str">
        <f>'030523 INVENTARIO'!M256</f>
        <v>5110100015-44</v>
      </c>
      <c r="L256" s="168">
        <f>'030523 INVENTARIO'!N256</f>
        <v>0</v>
      </c>
      <c r="M256" s="168">
        <f>'030523 INVENTARIO'!O256</f>
        <v>0</v>
      </c>
      <c r="N256" s="168" t="str">
        <f>'030523 INVENTARIO'!P256</f>
        <v>OK</v>
      </c>
      <c r="O256" s="168" t="str">
        <f>'030523 INVENTARIO'!Q256</f>
        <v>S/M</v>
      </c>
      <c r="P256" s="167" t="str">
        <f>'030523 INVENTARIO'!R256</f>
        <v>S/M</v>
      </c>
      <c r="Q256" s="168" t="str">
        <f>'030523 INVENTARIO'!S256</f>
        <v>SIN SERIE</v>
      </c>
      <c r="R256" s="168" t="str">
        <f>'030523 INVENTARIO'!T256</f>
        <v>82DK0511010006000583456</v>
      </c>
    </row>
    <row r="257" spans="5:18">
      <c r="E257" s="167" t="str">
        <f>'030523 INVENTARIO'!E257</f>
        <v>MESA</v>
      </c>
      <c r="F257" s="168" t="str">
        <f>'030523 INVENTARIO'!F257</f>
        <v>MESA DE MADERA CON BASE DE METAL</v>
      </c>
      <c r="G257" s="167" t="str">
        <f ca="1">'030523 INVENTARIO'!G257</f>
        <v>P12PP-0256</v>
      </c>
      <c r="H257" s="167" t="str">
        <f>'030523 INVENTARIO'!J257</f>
        <v>P12PP-0255</v>
      </c>
      <c r="I257" s="167" t="str">
        <f>'030523 INVENTARIO'!K257</f>
        <v>P1PP-037</v>
      </c>
      <c r="J257" s="167" t="str">
        <f>'030523 INVENTARIO'!L257</f>
        <v>P1P-10</v>
      </c>
      <c r="K257" s="167" t="str">
        <f>'030523 INVENTARIO'!M257</f>
        <v>5120100007-80</v>
      </c>
      <c r="L257" s="168">
        <f>'030523 INVENTARIO'!N257</f>
        <v>0</v>
      </c>
      <c r="M257" s="168">
        <f>'030523 INVENTARIO'!O257</f>
        <v>0</v>
      </c>
      <c r="N257" s="168" t="str">
        <f>'030523 INVENTARIO'!P257</f>
        <v>OK</v>
      </c>
      <c r="O257" s="168" t="str">
        <f>'030523 INVENTARIO'!Q257</f>
        <v>S/M</v>
      </c>
      <c r="P257" s="167" t="str">
        <f>'030523 INVENTARIO'!R257</f>
        <v>S/M</v>
      </c>
      <c r="Q257" s="168" t="str">
        <f>'030523 INVENTARIO'!S257</f>
        <v>SIN SERIE</v>
      </c>
      <c r="R257" s="168" t="str">
        <f>'030523 INVENTARIO'!T257</f>
        <v>82DJ0511010010000649636</v>
      </c>
    </row>
    <row r="258" spans="5:18">
      <c r="E258" s="167" t="str">
        <f>'030523 INVENTARIO'!E258</f>
        <v>VENTILADOR</v>
      </c>
      <c r="F258" s="168" t="str">
        <f>'030523 INVENTARIO'!F258</f>
        <v>VENTILADOR DE TORRE</v>
      </c>
      <c r="G258" s="167" t="str">
        <f ca="1">'030523 INVENTARIO'!G258</f>
        <v>P12PP-0257</v>
      </c>
      <c r="H258" s="167" t="str">
        <f>'030523 INVENTARIO'!J258</f>
        <v>P12PP-0256</v>
      </c>
      <c r="I258" s="167" t="str">
        <f>'030523 INVENTARIO'!K258</f>
        <v>P1PP-038</v>
      </c>
      <c r="J258" s="167" t="str">
        <f>'030523 INVENTARIO'!L258</f>
        <v>P1P-16</v>
      </c>
      <c r="K258" s="167" t="str">
        <f>'030523 INVENTARIO'!M258</f>
        <v>5190200002-29</v>
      </c>
      <c r="L258" s="168">
        <f>'030523 INVENTARIO'!N258</f>
        <v>0</v>
      </c>
      <c r="M258" s="168">
        <f>'030523 INVENTARIO'!O258</f>
        <v>0</v>
      </c>
      <c r="N258" s="168" t="str">
        <f>'030523 INVENTARIO'!P258</f>
        <v>OK</v>
      </c>
      <c r="O258" s="168" t="str">
        <f>'030523 INVENTARIO'!Q258</f>
        <v>MYTEK</v>
      </c>
      <c r="P258" s="167">
        <f>'030523 INVENTARIO'!R258</f>
        <v>3352</v>
      </c>
      <c r="Q258" s="168" t="str">
        <f>'030523 INVENTARIO'!S258</f>
        <v>3352</v>
      </c>
      <c r="R258" s="168" t="str">
        <f>'030523 INVENTARIO'!T258</f>
        <v>82DK0519010043000649573</v>
      </c>
    </row>
    <row r="259" spans="5:18">
      <c r="E259" s="167" t="str">
        <f>'030523 INVENTARIO'!E259</f>
        <v>REGULADOR DE VOLTAJE</v>
      </c>
      <c r="F259" s="168" t="str">
        <f>'030523 INVENTARIO'!F259</f>
        <v>REGULADOR NEGRO</v>
      </c>
      <c r="G259" s="167" t="str">
        <f ca="1">'030523 INVENTARIO'!G259</f>
        <v>P12PP-0258</v>
      </c>
      <c r="H259" s="167" t="str">
        <f>'030523 INVENTARIO'!J259</f>
        <v>P12PP-0257</v>
      </c>
      <c r="I259" s="167" t="str">
        <f>'030523 INVENTARIO'!K259</f>
        <v>P1PP-039</v>
      </c>
      <c r="J259" s="167" t="str">
        <f>'030523 INVENTARIO'!L259</f>
        <v>P1P-15</v>
      </c>
      <c r="K259" s="167" t="str">
        <f>'030523 INVENTARIO'!M259</f>
        <v>5660100057-12</v>
      </c>
      <c r="L259" s="168">
        <f>'030523 INVENTARIO'!N259</f>
        <v>0</v>
      </c>
      <c r="M259" s="168">
        <f>'030523 INVENTARIO'!O259</f>
        <v>0</v>
      </c>
      <c r="N259" s="168" t="str">
        <f>'030523 INVENTARIO'!P259</f>
        <v>OK</v>
      </c>
      <c r="O259" s="168" t="str">
        <f>'030523 INVENTARIO'!Q259</f>
        <v>KOBLENZ</v>
      </c>
      <c r="P259" s="167" t="str">
        <f>'030523 INVENTARIO'!R259</f>
        <v>RS/1400I</v>
      </c>
      <c r="Q259" s="168" t="str">
        <f>'030523 INVENTARIO'!S259</f>
        <v>SIN SERIE</v>
      </c>
      <c r="R259" s="168" t="str">
        <f>'030523 INVENTARIO'!T259</f>
        <v>82DK0515010020000650902</v>
      </c>
    </row>
    <row r="260" spans="5:18">
      <c r="E260" s="167" t="str">
        <f>'030523 INVENTARIO'!E260</f>
        <v>COMPUTADORA DE ESCRITORIO</v>
      </c>
      <c r="F260" s="167" t="str">
        <f>'030523 INVENTARIO'!F260</f>
        <v>COMPUTADORA DE ESCRITORIO</v>
      </c>
      <c r="G260" s="167" t="str">
        <f ca="1">'030523 INVENTARIO'!G260</f>
        <v>P12PP-0259</v>
      </c>
      <c r="H260" s="167" t="str">
        <f>'030523 INVENTARIO'!J260</f>
        <v>P12PP-0258</v>
      </c>
      <c r="I260" s="167" t="str">
        <f>'030523 INVENTARIO'!K260</f>
        <v>P1PP-040</v>
      </c>
      <c r="J260" s="167" t="str">
        <f>'030523 INVENTARIO'!L260</f>
        <v>P1P-14</v>
      </c>
      <c r="K260" s="167" t="str">
        <f>'030523 INVENTARIO'!M260</f>
        <v>5150100005-42</v>
      </c>
      <c r="L260" s="168">
        <f>'030523 INVENTARIO'!N260</f>
        <v>0</v>
      </c>
      <c r="M260" s="168">
        <f>'030523 INVENTARIO'!O260</f>
        <v>0</v>
      </c>
      <c r="N260" s="168" t="str">
        <f>'030523 INVENTARIO'!P260</f>
        <v>OK</v>
      </c>
      <c r="O260" s="168" t="str">
        <f>'030523 INVENTARIO'!Q260</f>
        <v>GHIA</v>
      </c>
      <c r="P260" s="167">
        <f>'030523 INVENTARIO'!R260</f>
        <v>2378</v>
      </c>
      <c r="Q260" s="168" t="str">
        <f>'030523 INVENTARIO'!S260</f>
        <v>337857</v>
      </c>
      <c r="R260" s="168" t="str">
        <f>'030523 INVENTARIO'!T260</f>
        <v>82DK0515010001000650664</v>
      </c>
    </row>
    <row r="261" spans="5:18">
      <c r="E261" s="167" t="str">
        <f>'030523 INVENTARIO'!E261</f>
        <v>MONITOR</v>
      </c>
      <c r="F261" s="167" t="str">
        <f>'030523 INVENTARIO'!F261</f>
        <v>MONITOR 19.5"</v>
      </c>
      <c r="G261" s="167" t="str">
        <f ca="1">'030523 INVENTARIO'!G261</f>
        <v>P12PP-0260</v>
      </c>
      <c r="H261" s="167" t="str">
        <f>'030523 INVENTARIO'!J261</f>
        <v>P12PP-0259</v>
      </c>
      <c r="I261" s="167" t="str">
        <f>'030523 INVENTARIO'!K261</f>
        <v>P1PP-041</v>
      </c>
      <c r="J261" s="167" t="str">
        <f>'030523 INVENTARIO'!L261</f>
        <v>P1P-13</v>
      </c>
      <c r="K261" s="167" t="str">
        <f>'030523 INVENTARIO'!M261</f>
        <v>5210100012-29</v>
      </c>
      <c r="L261" s="168">
        <f>'030523 INVENTARIO'!N261</f>
        <v>0</v>
      </c>
      <c r="M261" s="168">
        <f>'030523 INVENTARIO'!O261</f>
        <v>0</v>
      </c>
      <c r="N261" s="168" t="str">
        <f>'030523 INVENTARIO'!P261</f>
        <v>OK</v>
      </c>
      <c r="O261" s="168" t="str">
        <f>'030523 INVENTARIO'!Q261</f>
        <v>GATEWAY</v>
      </c>
      <c r="P261" s="167" t="str">
        <f>'030523 INVENTARIO'!R261</f>
        <v>KX1953</v>
      </c>
      <c r="Q261" s="168" t="str">
        <f>'030523 INVENTARIO'!S261</f>
        <v>32701492242</v>
      </c>
      <c r="R261" s="168" t="str">
        <f>'030523 INVENTARIO'!T261</f>
        <v>82DK0515010013000649572</v>
      </c>
    </row>
    <row r="262" spans="5:18">
      <c r="E262" s="167" t="str">
        <f>'030523 INVENTARIO'!E262</f>
        <v>SILLA</v>
      </c>
      <c r="F262" s="168" t="str">
        <f>'030523 INVENTARIO'!F262</f>
        <v>SILLA NEGRA CON RUEDAS</v>
      </c>
      <c r="G262" s="167" t="str">
        <f ca="1">'030523 INVENTARIO'!G262</f>
        <v>P12PP-0261</v>
      </c>
      <c r="H262" s="167" t="str">
        <f>'030523 INVENTARIO'!J262</f>
        <v>P12PP-0260</v>
      </c>
      <c r="I262" s="167" t="str">
        <f>'030523 INVENTARIO'!K262</f>
        <v>P1PP-042</v>
      </c>
      <c r="J262" s="167" t="str">
        <f>'030523 INVENTARIO'!L262</f>
        <v>P1P-19</v>
      </c>
      <c r="K262" s="167" t="str">
        <f>'030523 INVENTARIO'!M262</f>
        <v>5110100011-61</v>
      </c>
      <c r="L262" s="168">
        <f>'030523 INVENTARIO'!N262</f>
        <v>0</v>
      </c>
      <c r="M262" s="168">
        <f>'030523 INVENTARIO'!O262</f>
        <v>0</v>
      </c>
      <c r="N262" s="168" t="str">
        <f>'030523 INVENTARIO'!P262</f>
        <v>OK</v>
      </c>
      <c r="O262" s="168" t="str">
        <f>'030523 INVENTARIO'!Q262</f>
        <v>S/M</v>
      </c>
      <c r="P262" s="167" t="str">
        <f>'030523 INVENTARIO'!R262</f>
        <v>S/M</v>
      </c>
      <c r="Q262" s="168" t="str">
        <f>'030523 INVENTARIO'!S262</f>
        <v>SIN SERIE</v>
      </c>
      <c r="R262" s="168" t="str">
        <f>'030523 INVENTARIO'!T262</f>
        <v>82DK0511010017000564597</v>
      </c>
    </row>
    <row r="263" spans="5:18">
      <c r="E263" s="167" t="str">
        <f>'030523 INVENTARIO'!E263</f>
        <v>SILLA</v>
      </c>
      <c r="F263" s="167" t="str">
        <f>'030523 INVENTARIO'!F263</f>
        <v>SILLA DE TELA NEGRA FIJA</v>
      </c>
      <c r="G263" s="167" t="str">
        <f ca="1">'030523 INVENTARIO'!G263</f>
        <v>P12PP-0262</v>
      </c>
      <c r="H263" s="167" t="str">
        <f>'030523 INVENTARIO'!J263</f>
        <v>P12PP-0261</v>
      </c>
      <c r="I263" s="167" t="str">
        <f>'030523 INVENTARIO'!K263</f>
        <v>P1PP-043</v>
      </c>
      <c r="J263" s="167" t="str">
        <f>'030523 INVENTARIO'!L263</f>
        <v>P1P-7</v>
      </c>
      <c r="K263" s="167" t="str">
        <f>'030523 INVENTARIO'!M263</f>
        <v>5110100011-63</v>
      </c>
      <c r="L263" s="168">
        <f>'030523 INVENTARIO'!N263</f>
        <v>0</v>
      </c>
      <c r="M263" s="168">
        <f>'030523 INVENTARIO'!O263</f>
        <v>0</v>
      </c>
      <c r="N263" s="168" t="str">
        <f>'030523 INVENTARIO'!P263</f>
        <v>OK</v>
      </c>
      <c r="O263" s="168" t="str">
        <f>'030523 INVENTARIO'!Q263</f>
        <v>S/M</v>
      </c>
      <c r="P263" s="167" t="str">
        <f>'030523 INVENTARIO'!R263</f>
        <v>S/M</v>
      </c>
      <c r="Q263" s="168" t="str">
        <f>'030523 INVENTARIO'!S263</f>
        <v>SIN SERIE</v>
      </c>
      <c r="R263" s="168" t="str">
        <f>'030523 INVENTARIO'!T263</f>
        <v>SIN RESGUARDO</v>
      </c>
    </row>
    <row r="264" spans="5:18">
      <c r="E264" s="167" t="str">
        <f>'030523 INVENTARIO'!E264</f>
        <v>SILLA</v>
      </c>
      <c r="F264" s="167" t="str">
        <f>'030523 INVENTARIO'!F264</f>
        <v>SILLA DE TELA NEGRA FIJA</v>
      </c>
      <c r="G264" s="167" t="str">
        <f ca="1">'030523 INVENTARIO'!G264</f>
        <v>P12PP-0263</v>
      </c>
      <c r="H264" s="167" t="str">
        <f>'030523 INVENTARIO'!J264</f>
        <v>P12PP-0262</v>
      </c>
      <c r="I264" s="167" t="str">
        <f>'030523 INVENTARIO'!K264</f>
        <v>P1PP-044</v>
      </c>
      <c r="J264" s="167" t="str">
        <f>'030523 INVENTARIO'!L264</f>
        <v>P1P-6</v>
      </c>
      <c r="K264" s="167" t="str">
        <f>'030523 INVENTARIO'!M264</f>
        <v>5110100011-62</v>
      </c>
      <c r="L264" s="168">
        <f>'030523 INVENTARIO'!N264</f>
        <v>0</v>
      </c>
      <c r="M264" s="168">
        <f>'030523 INVENTARIO'!O264</f>
        <v>0</v>
      </c>
      <c r="N264" s="168" t="str">
        <f>'030523 INVENTARIO'!P264</f>
        <v>OK</v>
      </c>
      <c r="O264" s="168" t="str">
        <f>'030523 INVENTARIO'!Q264</f>
        <v>S/M</v>
      </c>
      <c r="P264" s="167" t="str">
        <f>'030523 INVENTARIO'!R264</f>
        <v>S/M</v>
      </c>
      <c r="Q264" s="168" t="str">
        <f>'030523 INVENTARIO'!S264</f>
        <v>SIN SERIE</v>
      </c>
      <c r="R264" s="168" t="str">
        <f>'030523 INVENTARIO'!T264</f>
        <v>SIN RESGUARDO</v>
      </c>
    </row>
    <row r="265" spans="5:18">
      <c r="E265" s="167" t="str">
        <f>'030523 INVENTARIO'!E265</f>
        <v>MESA</v>
      </c>
      <c r="F265" s="167" t="str">
        <f>'030523 INVENTARIO'!F265</f>
        <v>MESA COMPLEMENTO TIPO BALA 160X60</v>
      </c>
      <c r="G265" s="167" t="str">
        <f ca="1">'030523 INVENTARIO'!G265</f>
        <v>P12PP-0264</v>
      </c>
      <c r="H265" s="167" t="str">
        <f>'030523 INVENTARIO'!J265</f>
        <v>P12PP-0263</v>
      </c>
      <c r="I265" s="167" t="str">
        <f>'030523 INVENTARIO'!K265</f>
        <v>P1PP-045</v>
      </c>
      <c r="J265" s="167" t="str">
        <f>'030523 INVENTARIO'!L265</f>
        <v>P1P-12</v>
      </c>
      <c r="K265" s="167" t="str">
        <f>'030523 INVENTARIO'!M265</f>
        <v>5120100007-81</v>
      </c>
      <c r="L265" s="168">
        <f>'030523 INVENTARIO'!N265</f>
        <v>0</v>
      </c>
      <c r="M265" s="168">
        <f>'030523 INVENTARIO'!O265</f>
        <v>0</v>
      </c>
      <c r="N265" s="168" t="str">
        <f>'030523 INVENTARIO'!P265</f>
        <v>OK</v>
      </c>
      <c r="O265" s="168" t="str">
        <f>'030523 INVENTARIO'!Q265</f>
        <v>S/M</v>
      </c>
      <c r="P265" s="167" t="str">
        <f>'030523 INVENTARIO'!R265</f>
        <v>S/M</v>
      </c>
      <c r="Q265" s="168" t="str">
        <f>'030523 INVENTARIO'!S265</f>
        <v>SIN SERIE</v>
      </c>
      <c r="R265" s="168" t="str">
        <f>'030523 INVENTARIO'!T265</f>
        <v>82DJ0531010065000564818</v>
      </c>
    </row>
    <row r="266" spans="5:18">
      <c r="E266" s="167" t="str">
        <f>'030523 INVENTARIO'!E266</f>
        <v>ESCRITORIO</v>
      </c>
      <c r="F266" s="167" t="str">
        <f>'030523 INVENTARIO'!F266</f>
        <v>ESCRITORIO DE MADERA 160X40</v>
      </c>
      <c r="G266" s="167" t="str">
        <f ca="1">'030523 INVENTARIO'!G266</f>
        <v>P12PP-0265</v>
      </c>
      <c r="H266" s="167" t="str">
        <f>'030523 INVENTARIO'!J266</f>
        <v>P12PP-0264</v>
      </c>
      <c r="I266" s="167" t="str">
        <f>'030523 INVENTARIO'!K266</f>
        <v>P1PP-046</v>
      </c>
      <c r="J266" s="167" t="str">
        <f>'030523 INVENTARIO'!L266</f>
        <v>P1P-9</v>
      </c>
      <c r="K266" s="167" t="str">
        <f>'030523 INVENTARIO'!M266</f>
        <v>5110100015-45</v>
      </c>
      <c r="L266" s="168">
        <f>'030523 INVENTARIO'!N266</f>
        <v>0</v>
      </c>
      <c r="M266" s="168">
        <f>'030523 INVENTARIO'!O266</f>
        <v>0</v>
      </c>
      <c r="N266" s="168" t="str">
        <f>'030523 INVENTARIO'!P266</f>
        <v>OK</v>
      </c>
      <c r="O266" s="168" t="str">
        <f>'030523 INVENTARIO'!Q266</f>
        <v>S/M</v>
      </c>
      <c r="P266" s="167" t="str">
        <f>'030523 INVENTARIO'!R266</f>
        <v>S/M</v>
      </c>
      <c r="Q266" s="168" t="str">
        <f>'030523 INVENTARIO'!S266</f>
        <v>SIN SERIE</v>
      </c>
      <c r="R266" s="168" t="str">
        <f>'030523 INVENTARIO'!T266</f>
        <v>82DJ0511010006000583459</v>
      </c>
    </row>
    <row r="267" spans="5:18">
      <c r="E267" s="167" t="str">
        <f>'030523 INVENTARIO'!E267</f>
        <v>VENTILADOR</v>
      </c>
      <c r="F267" s="167" t="str">
        <f>'030523 INVENTARIO'!F267</f>
        <v>VENTILADOR GRIS DE TORRE</v>
      </c>
      <c r="G267" s="167" t="str">
        <f ca="1">'030523 INVENTARIO'!G267</f>
        <v>P15RM-0266</v>
      </c>
      <c r="H267" s="167" t="str">
        <f>'030523 INVENTARIO'!J267</f>
        <v>P12PP-0265</v>
      </c>
      <c r="I267" s="167" t="str">
        <f>'030523 INVENTARIO'!K267</f>
        <v>P1PP-047</v>
      </c>
      <c r="J267" s="167" t="str">
        <f>'030523 INVENTARIO'!L267</f>
        <v>P1P-5</v>
      </c>
      <c r="K267" s="167" t="str">
        <f>'030523 INVENTARIO'!M267</f>
        <v>5190200002-30</v>
      </c>
      <c r="L267" s="168">
        <f>'030523 INVENTARIO'!N267</f>
        <v>0</v>
      </c>
      <c r="M267" s="168">
        <f>'030523 INVENTARIO'!O267</f>
        <v>0</v>
      </c>
      <c r="N267" s="168" t="str">
        <f>'030523 INVENTARIO'!P267</f>
        <v>OK</v>
      </c>
      <c r="O267" s="168" t="str">
        <f>'030523 INVENTARIO'!Q267</f>
        <v>BIRTMAN</v>
      </c>
      <c r="P267" s="167" t="str">
        <f>'030523 INVENTARIO'!R267</f>
        <v>BT-40</v>
      </c>
      <c r="Q267" s="168" t="str">
        <f>'030523 INVENTARIO'!S267</f>
        <v>SIN SERIE</v>
      </c>
      <c r="R267" s="168" t="str">
        <f>'030523 INVENTARIO'!T267</f>
        <v>82DJ0531010094000564895</v>
      </c>
    </row>
    <row r="268" spans="5:18">
      <c r="E268" s="167" t="str">
        <f>'030523 INVENTARIO'!E268</f>
        <v>TELEFONO</v>
      </c>
      <c r="F268" s="168" t="str">
        <f>'030523 INVENTARIO'!F268</f>
        <v>TELEFONO GRIS</v>
      </c>
      <c r="G268" s="167" t="str">
        <f ca="1">'030523 INVENTARIO'!G268</f>
        <v>P12PP-0267</v>
      </c>
      <c r="H268" s="167" t="str">
        <f>'030523 INVENTARIO'!J268</f>
        <v>P12PP-0266</v>
      </c>
      <c r="I268" s="167" t="str">
        <f>'030523 INVENTARIO'!K268</f>
        <v>P1PP-048</v>
      </c>
      <c r="J268" s="167" t="str">
        <f>'030523 INVENTARIO'!L268</f>
        <v>P1P-3</v>
      </c>
      <c r="K268" s="167" t="str">
        <f>'030523 INVENTARIO'!M268</f>
        <v>5650100010-19</v>
      </c>
      <c r="L268" s="168">
        <f>'030523 INVENTARIO'!N268</f>
        <v>0</v>
      </c>
      <c r="M268" s="168">
        <f>'030523 INVENTARIO'!O268</f>
        <v>0</v>
      </c>
      <c r="N268" s="168" t="str">
        <f>'030523 INVENTARIO'!P268</f>
        <v>OK</v>
      </c>
      <c r="O268" s="168" t="str">
        <f>'030523 INVENTARIO'!Q268</f>
        <v>LINKSYS</v>
      </c>
      <c r="P268" s="167" t="str">
        <f>'030523 INVENTARIO'!R268</f>
        <v>SPA942</v>
      </c>
      <c r="Q268" s="168" t="str">
        <f>'030523 INVENTARIO'!S268</f>
        <v>4LO00H1118471</v>
      </c>
      <c r="R268" s="168" t="str">
        <f>'030523 INVENTARIO'!T268</f>
        <v>82DJ0565010001000533243</v>
      </c>
    </row>
    <row r="269" spans="5:18">
      <c r="E269" s="167" t="str">
        <f>'030523 INVENTARIO'!E269</f>
        <v>MONITOR</v>
      </c>
      <c r="F269" s="167" t="str">
        <f>'030523 INVENTARIO'!F269</f>
        <v>MONITOR 15.6"</v>
      </c>
      <c r="G269" s="167" t="str">
        <f ca="1">'030523 INVENTARIO'!G269</f>
        <v>P12PP-0268</v>
      </c>
      <c r="H269" s="167" t="str">
        <f>'030523 INVENTARIO'!J269</f>
        <v>P12PP-0267</v>
      </c>
      <c r="I269" s="167" t="str">
        <f>'030523 INVENTARIO'!K269</f>
        <v>P1PP-049</v>
      </c>
      <c r="J269" s="167" t="str">
        <f>'030523 INVENTARIO'!L269</f>
        <v>P1P-1</v>
      </c>
      <c r="K269" s="167" t="str">
        <f>'030523 INVENTARIO'!M269</f>
        <v>5210100012-30</v>
      </c>
      <c r="L269" s="168">
        <f>'030523 INVENTARIO'!N269</f>
        <v>0</v>
      </c>
      <c r="M269" s="168">
        <f>'030523 INVENTARIO'!O269</f>
        <v>0</v>
      </c>
      <c r="N269" s="168" t="str">
        <f>'030523 INVENTARIO'!P269</f>
        <v>OK</v>
      </c>
      <c r="O269" s="168" t="str">
        <f>'030523 INVENTARIO'!Q269</f>
        <v>ACER</v>
      </c>
      <c r="P269" s="167" t="str">
        <f>'030523 INVENTARIO'!R269</f>
        <v>P166HQL</v>
      </c>
      <c r="Q269" s="168" t="str">
        <f>'030523 INVENTARIO'!S269</f>
        <v>62202356742</v>
      </c>
      <c r="R269" s="168" t="str">
        <f>'030523 INVENTARIO'!T269</f>
        <v>82DJ0515010013000649575</v>
      </c>
    </row>
    <row r="270" spans="5:18">
      <c r="E270" s="167" t="str">
        <f>'030523 INVENTARIO'!E270</f>
        <v>MONITOR</v>
      </c>
      <c r="F270" s="167" t="str">
        <f>'030523 INVENTARIO'!F270</f>
        <v>MONITOR 19.5"</v>
      </c>
      <c r="G270" s="167" t="str">
        <f ca="1">'030523 INVENTARIO'!G270</f>
        <v>P12PP-0269</v>
      </c>
      <c r="H270" s="167" t="str">
        <f>'030523 INVENTARIO'!J270</f>
        <v>P12PP-0268</v>
      </c>
      <c r="I270" s="167" t="str">
        <f>'030523 INVENTARIO'!K270</f>
        <v>P1PP-050</v>
      </c>
      <c r="J270" s="167" t="str">
        <f>'030523 INVENTARIO'!L270</f>
        <v>P0RH-32</v>
      </c>
      <c r="K270" s="167" t="str">
        <f>'030523 INVENTARIO'!M270</f>
        <v>ALTA</v>
      </c>
      <c r="L270" s="168">
        <f>'030523 INVENTARIO'!N270</f>
        <v>0</v>
      </c>
      <c r="M270" s="168">
        <f>'030523 INVENTARIO'!O270</f>
        <v>0</v>
      </c>
      <c r="N270" s="168" t="str">
        <f>'030523 INVENTARIO'!P270</f>
        <v>REPETIDO</v>
      </c>
      <c r="O270" s="168" t="str">
        <f>'030523 INVENTARIO'!Q270</f>
        <v>COMPAQ</v>
      </c>
      <c r="P270" s="167" t="str">
        <f>'030523 INVENTARIO'!R270</f>
        <v>WF1907</v>
      </c>
      <c r="Q270" s="168" t="str">
        <f>'030523 INVENTARIO'!S270</f>
        <v>CNC812494W</v>
      </c>
      <c r="R270" s="168" t="str">
        <f>'030523 INVENTARIO'!T270</f>
        <v>82DJ0565010041000539124</v>
      </c>
    </row>
    <row r="271" spans="5:18">
      <c r="E271" s="167" t="str">
        <f>'030523 INVENTARIO'!E271</f>
        <v>COMPUTADORA DE ESCRITORIO</v>
      </c>
      <c r="F271" s="167" t="str">
        <f>'030523 INVENTARIO'!F271</f>
        <v>COMPUTADORA DE ESCRITORIO</v>
      </c>
      <c r="G271" s="167" t="str">
        <f ca="1">'030523 INVENTARIO'!G271</f>
        <v>P12PP-0270</v>
      </c>
      <c r="H271" s="167" t="str">
        <f>'030523 INVENTARIO'!J271</f>
        <v>P12PP-0269</v>
      </c>
      <c r="I271" s="167" t="str">
        <f>'030523 INVENTARIO'!K271</f>
        <v>P1PP-051</v>
      </c>
      <c r="J271" s="167" t="str">
        <f>'030523 INVENTARIO'!L271</f>
        <v>P1P-2</v>
      </c>
      <c r="K271" s="167" t="str">
        <f>'030523 INVENTARIO'!M271</f>
        <v>5150100005-43</v>
      </c>
      <c r="L271" s="168">
        <f>'030523 INVENTARIO'!N271</f>
        <v>0</v>
      </c>
      <c r="M271" s="168">
        <f>'030523 INVENTARIO'!O271</f>
        <v>0</v>
      </c>
      <c r="N271" s="168" t="str">
        <f>'030523 INVENTARIO'!P271</f>
        <v>OK</v>
      </c>
      <c r="O271" s="168" t="str">
        <f>'030523 INVENTARIO'!Q271</f>
        <v>HP</v>
      </c>
      <c r="P271" s="167" t="str">
        <f>'030523 INVENTARIO'!R271</f>
        <v>DX2300</v>
      </c>
      <c r="Q271" s="168" t="str">
        <f>'030523 INVENTARIO'!S271</f>
        <v>SMXL81114FL</v>
      </c>
      <c r="R271" s="168" t="str">
        <f>'030523 INVENTARIO'!T271</f>
        <v>82DJ0515010001000535487</v>
      </c>
    </row>
    <row r="272" spans="5:18">
      <c r="E272" s="167" t="str">
        <f>'030523 INVENTARIO'!E272</f>
        <v>COMPLEMENTARIO DE EQUIPO DE COMPUTO</v>
      </c>
      <c r="F272" s="168" t="str">
        <f>'030523 INVENTARIO'!F272</f>
        <v>COMPLEMENTO DE EQUIPO DE MADERA</v>
      </c>
      <c r="G272" s="167" t="str">
        <f ca="1">'030523 INVENTARIO'!G272</f>
        <v>P12PP-0271</v>
      </c>
      <c r="H272" s="167" t="str">
        <f>'030523 INVENTARIO'!J272</f>
        <v>P12PP-0270</v>
      </c>
      <c r="I272" s="167" t="str">
        <f>'030523 INVENTARIO'!K272</f>
        <v>P1PP-052</v>
      </c>
      <c r="J272" s="167" t="str">
        <f>'030523 INVENTARIO'!L272</f>
        <v>P1P-11</v>
      </c>
      <c r="K272" s="167" t="str">
        <f>'030523 INVENTARIO'!M272</f>
        <v>5120100004-19</v>
      </c>
      <c r="L272" s="168">
        <f>'030523 INVENTARIO'!N272</f>
        <v>0</v>
      </c>
      <c r="M272" s="168">
        <f>'030523 INVENTARIO'!O272</f>
        <v>0</v>
      </c>
      <c r="N272" s="168" t="str">
        <f>'030523 INVENTARIO'!P272</f>
        <v>OK</v>
      </c>
      <c r="O272" s="168" t="str">
        <f>'030523 INVENTARIO'!Q272</f>
        <v>S/M</v>
      </c>
      <c r="P272" s="167" t="str">
        <f>'030523 INVENTARIO'!R272</f>
        <v>S/M</v>
      </c>
      <c r="Q272" s="168" t="str">
        <f>'030523 INVENTARIO'!S272</f>
        <v>SIN SERIE</v>
      </c>
      <c r="R272" s="168" t="str">
        <f>'030523 INVENTARIO'!T272</f>
        <v>82DJ0515010033000564662</v>
      </c>
    </row>
    <row r="273" spans="5:18">
      <c r="E273" s="167" t="str">
        <f>'030523 INVENTARIO'!E273</f>
        <v>NO BREAK</v>
      </c>
      <c r="F273" s="168" t="str">
        <f>'030523 INVENTARIO'!F273</f>
        <v>NO BREAK NEGRO</v>
      </c>
      <c r="G273" s="167" t="str">
        <f ca="1">'030523 INVENTARIO'!G273</f>
        <v>P12PP-0272</v>
      </c>
      <c r="H273" s="167" t="str">
        <f>'030523 INVENTARIO'!J273</f>
        <v>P12PP-0271</v>
      </c>
      <c r="I273" s="167" t="str">
        <f>'030523 INVENTARIO'!K273</f>
        <v>P1PP-053</v>
      </c>
      <c r="J273" s="167" t="str">
        <f>'030523 INVENTARIO'!L273</f>
        <v>P1P-4</v>
      </c>
      <c r="K273" s="167" t="str">
        <f>'030523 INVENTARIO'!M273</f>
        <v>5150100008-28</v>
      </c>
      <c r="L273" s="168">
        <f>'030523 INVENTARIO'!N273</f>
        <v>0</v>
      </c>
      <c r="M273" s="168">
        <f>'030523 INVENTARIO'!O273</f>
        <v>0</v>
      </c>
      <c r="N273" s="168" t="str">
        <f>'030523 INVENTARIO'!P273</f>
        <v>OK</v>
      </c>
      <c r="O273" s="168" t="str">
        <f>'030523 INVENTARIO'!Q273</f>
        <v>CDP</v>
      </c>
      <c r="P273" s="167" t="str">
        <f>'030523 INVENTARIO'!R273</f>
        <v>B-UPR505</v>
      </c>
      <c r="Q273" s="168" t="str">
        <f>'030523 INVENTARIO'!S273</f>
        <v>0711101290219</v>
      </c>
      <c r="R273" s="168" t="str">
        <f>'030523 INVENTARIO'!T273</f>
        <v>82DJ0515010016000522298</v>
      </c>
    </row>
    <row r="274" spans="5:18">
      <c r="E274" s="167" t="str">
        <f>'030523 INVENTARIO'!E274</f>
        <v>SILLA</v>
      </c>
      <c r="F274" s="168" t="str">
        <f>'030523 INVENTARIO'!F274</f>
        <v>SILLA NEGRO CON RUEDAS</v>
      </c>
      <c r="G274" s="167" t="str">
        <f ca="1">'030523 INVENTARIO'!G274</f>
        <v>P15RM-0273</v>
      </c>
      <c r="H274" s="167" t="str">
        <f>'030523 INVENTARIO'!J274</f>
        <v>P12PP-0272</v>
      </c>
      <c r="I274" s="167" t="str">
        <f>'030523 INVENTARIO'!K274</f>
        <v>P1PP-054</v>
      </c>
      <c r="J274" s="167" t="str">
        <f>'030523 INVENTARIO'!L274</f>
        <v>P1P-8</v>
      </c>
      <c r="K274" s="167" t="str">
        <f>'030523 INVENTARIO'!M274</f>
        <v>5120100009-40</v>
      </c>
      <c r="L274" s="168">
        <f>'030523 INVENTARIO'!N274</f>
        <v>0</v>
      </c>
      <c r="M274" s="168">
        <f>'030523 INVENTARIO'!O274</f>
        <v>0</v>
      </c>
      <c r="N274" s="168" t="str">
        <f>'030523 INVENTARIO'!P274</f>
        <v>OK</v>
      </c>
      <c r="O274" s="168" t="str">
        <f>'030523 INVENTARIO'!Q274</f>
        <v>S/M</v>
      </c>
      <c r="P274" s="167" t="str">
        <f>'030523 INVENTARIO'!R274</f>
        <v>S/M</v>
      </c>
      <c r="Q274" s="168" t="str">
        <f>'030523 INVENTARIO'!S274</f>
        <v>SIN SERIE</v>
      </c>
      <c r="R274" s="168" t="str">
        <f>'030523 INVENTARIO'!T274</f>
        <v>82DJ0511010017000516281</v>
      </c>
    </row>
    <row r="275" spans="5:18">
      <c r="E275" s="167" t="str">
        <f>'030523 INVENTARIO'!E275</f>
        <v>SILLON</v>
      </c>
      <c r="F275" s="168" t="str">
        <f>'030523 INVENTARIO'!F275</f>
        <v>SILLÓN NEGRO CON RUEDAS</v>
      </c>
      <c r="G275" s="167" t="str">
        <f ca="1">'030523 INVENTARIO'!G275</f>
        <v>P15RM-0274</v>
      </c>
      <c r="H275" s="167" t="str">
        <f>'030523 INVENTARIO'!J275</f>
        <v>P12PP-0273</v>
      </c>
      <c r="I275" s="167" t="str">
        <f>'030523 INVENTARIO'!K275</f>
        <v>P1PP-055</v>
      </c>
      <c r="J275" s="167" t="str">
        <f>'030523 INVENTARIO'!L275</f>
        <v>P1P-31</v>
      </c>
      <c r="K275" s="168" t="str">
        <f>'030523 INVENTARIO'!M275</f>
        <v>5120100009-39</v>
      </c>
      <c r="L275" s="168">
        <f>'030523 INVENTARIO'!N275</f>
        <v>0</v>
      </c>
      <c r="M275" s="168">
        <f>'030523 INVENTARIO'!O275</f>
        <v>0</v>
      </c>
      <c r="N275" s="168" t="str">
        <f>'030523 INVENTARIO'!P275</f>
        <v>OK</v>
      </c>
      <c r="O275" s="168" t="str">
        <f>'030523 INVENTARIO'!Q275</f>
        <v>S/M</v>
      </c>
      <c r="P275" s="167" t="str">
        <f>'030523 INVENTARIO'!R275</f>
        <v>S/M</v>
      </c>
      <c r="Q275" s="168" t="str">
        <f>'030523 INVENTARIO'!S275</f>
        <v>SIN SERIE</v>
      </c>
      <c r="R275" s="168" t="str">
        <f>'030523 INVENTARIO'!T275</f>
        <v>82DJ0511010016000515611</v>
      </c>
    </row>
    <row r="276" spans="5:18">
      <c r="E276" s="167" t="str">
        <f>'030523 INVENTARIO'!E276</f>
        <v>DISCO DURO</v>
      </c>
      <c r="F276" s="167" t="str">
        <f>'030523 INVENTARIO'!F276</f>
        <v>DISCO DURO</v>
      </c>
      <c r="G276" s="167" t="str">
        <f ca="1">'030523 INVENTARIO'!G276</f>
        <v>P12PP-0275</v>
      </c>
      <c r="H276" s="167" t="str">
        <f>'030523 INVENTARIO'!J276</f>
        <v>P12PP-0274</v>
      </c>
      <c r="I276" s="167" t="str">
        <f>'030523 INVENTARIO'!K276</f>
        <v>P1PP-056</v>
      </c>
      <c r="J276" s="167">
        <f>'030523 INVENTARIO'!L276</f>
        <v>0</v>
      </c>
      <c r="K276" s="167" t="str">
        <f>'030523 INVENTARIO'!M276</f>
        <v>5150100006-3</v>
      </c>
      <c r="L276" s="168">
        <f>'030523 INVENTARIO'!N276</f>
        <v>0</v>
      </c>
      <c r="M276" s="168">
        <f>'030523 INVENTARIO'!O276</f>
        <v>0</v>
      </c>
      <c r="N276" s="168" t="str">
        <f>'030523 INVENTARIO'!P276</f>
        <v>OK</v>
      </c>
      <c r="O276" s="168" t="str">
        <f>'030523 INVENTARIO'!Q276</f>
        <v>ADATA</v>
      </c>
      <c r="P276" s="167" t="str">
        <f>'030523 INVENTARIO'!R276</f>
        <v>HV6205</v>
      </c>
      <c r="Q276" s="167" t="str">
        <f>'030523 INVENTARIO'!S276</f>
        <v>SIN SERIE</v>
      </c>
      <c r="R276" s="167" t="str">
        <f>'030523 INVENTARIO'!T276</f>
        <v>82DJ0515010006000649401</v>
      </c>
    </row>
    <row r="277" spans="5:18">
      <c r="E277" s="167" t="str">
        <f>'030523 INVENTARIO'!E277</f>
        <v>ESTANTE O ANAQUEL</v>
      </c>
      <c r="F277" s="167" t="str">
        <f>'030523 INVENTARIO'!F277</f>
        <v>ESTANTE DE METAL CON 3 CHAROLAS 90X60</v>
      </c>
      <c r="G277" s="167" t="str">
        <f ca="1">'030523 INVENTARIO'!G277</f>
        <v>P02PP-0276</v>
      </c>
      <c r="H277" s="167" t="str">
        <f>'030523 INVENTARIO'!J277</f>
        <v>P02PP-0275</v>
      </c>
      <c r="I277" s="167" t="str">
        <f>'030523 INVENTARIO'!K277</f>
        <v>PB2PP-001</v>
      </c>
      <c r="J277" s="167" t="str">
        <f>'030523 INVENTARIO'!L277</f>
        <v>P0AL-1</v>
      </c>
      <c r="K277" s="167" t="str">
        <f>'030523 INVENTARIO'!M277</f>
        <v>5290300001-21</v>
      </c>
      <c r="L277" s="168">
        <f>'030523 INVENTARIO'!N277</f>
        <v>0</v>
      </c>
      <c r="M277" s="168">
        <f>'030523 INVENTARIO'!O277</f>
        <v>0</v>
      </c>
      <c r="N277" s="168" t="str">
        <f>'030523 INVENTARIO'!P277</f>
        <v>OK</v>
      </c>
      <c r="O277" s="168" t="str">
        <f>'030523 INVENTARIO'!Q277</f>
        <v>S/M</v>
      </c>
      <c r="P277" s="167" t="str">
        <f>'030523 INVENTARIO'!R277</f>
        <v>S/M</v>
      </c>
      <c r="Q277" s="168" t="str">
        <f>'030523 INVENTARIO'!S277</f>
        <v>SIN SERIE</v>
      </c>
      <c r="R277" s="168" t="str">
        <f>'030523 INVENTARIO'!T277</f>
        <v>82DJ0511010028000649628</v>
      </c>
    </row>
    <row r="278" spans="5:18">
      <c r="E278" s="167" t="str">
        <f>'030523 INVENTARIO'!E278</f>
        <v>VENTILADOR</v>
      </c>
      <c r="F278" s="167" t="str">
        <f>'030523 INVENTARIO'!F278</f>
        <v>VENTILADOR BLANCO DE PEDESTAL</v>
      </c>
      <c r="G278" s="167" t="str">
        <f ca="1">'030523 INVENTARIO'!G278</f>
        <v>P02PP-0277</v>
      </c>
      <c r="H278" s="167" t="str">
        <f>'030523 INVENTARIO'!J278</f>
        <v>P02PP-0276</v>
      </c>
      <c r="I278" s="167" t="str">
        <f>'030523 INVENTARIO'!K278</f>
        <v>PB2PP-002</v>
      </c>
      <c r="J278" s="167" t="str">
        <f>'030523 INVENTARIO'!L278</f>
        <v>P0AL-3</v>
      </c>
      <c r="K278" s="167" t="str">
        <f>'030523 INVENTARIO'!M278</f>
        <v>5190200002-44</v>
      </c>
      <c r="L278" s="168">
        <f>'030523 INVENTARIO'!N278</f>
        <v>0</v>
      </c>
      <c r="M278" s="168">
        <f>'030523 INVENTARIO'!O278</f>
        <v>0</v>
      </c>
      <c r="N278" s="168" t="str">
        <f>'030523 INVENTARIO'!P278</f>
        <v>OK</v>
      </c>
      <c r="O278" s="168" t="str">
        <f>'030523 INVENTARIO'!Q278</f>
        <v>MYTEK</v>
      </c>
      <c r="P278" s="167" t="str">
        <f>'030523 INVENTARIO'!R278</f>
        <v>MY0128</v>
      </c>
      <c r="Q278" s="168" t="str">
        <f>'030523 INVENTARIO'!S278</f>
        <v>SIN SERIE</v>
      </c>
      <c r="R278" s="167" t="str">
        <f>'030523 INVENTARIO'!T278</f>
        <v>82DJ0531010094000581252</v>
      </c>
    </row>
    <row r="279" spans="5:18">
      <c r="E279" s="167" t="str">
        <f>'030523 INVENTARIO'!E279</f>
        <v>SILLON</v>
      </c>
      <c r="F279" s="167" t="str">
        <f>'030523 INVENTARIO'!F279</f>
        <v>SILLON DE PIEL  CON RUEDAS NEGRO</v>
      </c>
      <c r="G279" s="167" t="str">
        <f ca="1">'030523 INVENTARIO'!G279</f>
        <v>P02PP-0278</v>
      </c>
      <c r="H279" s="167" t="str">
        <f>'030523 INVENTARIO'!J279</f>
        <v>P02PP-0277</v>
      </c>
      <c r="I279" s="167" t="str">
        <f>'030523 INVENTARIO'!K279</f>
        <v>PB2PP-003</v>
      </c>
      <c r="J279" s="167" t="str">
        <f>'030523 INVENTARIO'!L279</f>
        <v>P0AL-7</v>
      </c>
      <c r="K279" s="168" t="str">
        <f>'030523 INVENTARIO'!M279</f>
        <v>5120100009-58</v>
      </c>
      <c r="L279" s="168">
        <f>'030523 INVENTARIO'!N279</f>
        <v>0</v>
      </c>
      <c r="M279" s="168">
        <f>'030523 INVENTARIO'!O279</f>
        <v>0</v>
      </c>
      <c r="N279" s="168" t="str">
        <f>'030523 INVENTARIO'!P279</f>
        <v>OK</v>
      </c>
      <c r="O279" s="168" t="str">
        <f>'030523 INVENTARIO'!Q279</f>
        <v>S/M</v>
      </c>
      <c r="P279" s="167" t="str">
        <f>'030523 INVENTARIO'!R279</f>
        <v>S/M</v>
      </c>
      <c r="Q279" s="168" t="str">
        <f>'030523 INVENTARIO'!S279</f>
        <v>SIN SERIE</v>
      </c>
      <c r="R279" s="168" t="str">
        <f>'030523 INVENTARIO'!T279</f>
        <v>82DJ0511010016000515602</v>
      </c>
    </row>
    <row r="280" spans="5:18">
      <c r="E280" s="167" t="str">
        <f>'030523 INVENTARIO'!E280</f>
        <v>ESCRITORIO</v>
      </c>
      <c r="F280" s="167" t="str">
        <f>'030523 INVENTARIO'!F280</f>
        <v>ESCRITORIO DE MADERA DE 2 PIEZAS TIPO "L"</v>
      </c>
      <c r="G280" s="167" t="str">
        <f ca="1">'030523 INVENTARIO'!G280</f>
        <v>P02PP-0279</v>
      </c>
      <c r="H280" s="167" t="str">
        <f>'030523 INVENTARIO'!J280</f>
        <v>P02PP-0278</v>
      </c>
      <c r="I280" s="167" t="str">
        <f>'030523 INVENTARIO'!K280</f>
        <v>PB2PP-004</v>
      </c>
      <c r="J280" s="167" t="str">
        <f>'030523 INVENTARIO'!L280</f>
        <v>P0AL-2</v>
      </c>
      <c r="K280" s="167" t="str">
        <f>'030523 INVENTARIO'!M280</f>
        <v>5110100015-66</v>
      </c>
      <c r="L280" s="168">
        <f>'030523 INVENTARIO'!N280</f>
        <v>0</v>
      </c>
      <c r="M280" s="168">
        <f>'030523 INVENTARIO'!O280</f>
        <v>0</v>
      </c>
      <c r="N280" s="168" t="str">
        <f>'030523 INVENTARIO'!P280</f>
        <v>OK</v>
      </c>
      <c r="O280" s="168" t="str">
        <f>'030523 INVENTARIO'!Q280</f>
        <v>S/M</v>
      </c>
      <c r="P280" s="167" t="str">
        <f>'030523 INVENTARIO'!R280</f>
        <v>S/M</v>
      </c>
      <c r="Q280" s="168" t="str">
        <f>'030523 INVENTARIO'!S280</f>
        <v>SIN SERIE</v>
      </c>
      <c r="R280" s="168" t="str">
        <f>'030523 INVENTARIO'!T280</f>
        <v>82DJ0511010006000649629</v>
      </c>
    </row>
    <row r="281" spans="5:18">
      <c r="E281" s="167" t="str">
        <f>'030523 INVENTARIO'!E281</f>
        <v>COMPUTADORA DE ESCRITORIO</v>
      </c>
      <c r="F281" s="167" t="str">
        <f>'030523 INVENTARIO'!F281</f>
        <v>COMPUTADORA DE ESCRITORIO</v>
      </c>
      <c r="G281" s="167" t="str">
        <f ca="1">'030523 INVENTARIO'!G281</f>
        <v>P02PP-0280</v>
      </c>
      <c r="H281" s="167" t="str">
        <f>'030523 INVENTARIO'!J281</f>
        <v>P02PP-0279</v>
      </c>
      <c r="I281" s="167" t="str">
        <f>'030523 INVENTARIO'!K281</f>
        <v>PB2PP-005</v>
      </c>
      <c r="J281" s="167" t="str">
        <f>'030523 INVENTARIO'!L281</f>
        <v>P0AL-6</v>
      </c>
      <c r="K281" s="167" t="str">
        <f>'030523 INVENTARIO'!M281</f>
        <v>5150100005-65</v>
      </c>
      <c r="L281" s="168">
        <f>'030523 INVENTARIO'!N281</f>
        <v>0</v>
      </c>
      <c r="M281" s="168">
        <f>'030523 INVENTARIO'!O281</f>
        <v>0</v>
      </c>
      <c r="N281" s="168" t="str">
        <f>'030523 INVENTARIO'!P281</f>
        <v>OK</v>
      </c>
      <c r="O281" s="168" t="str">
        <f>'030523 INVENTARIO'!Q281</f>
        <v>ACER</v>
      </c>
      <c r="P281" s="167" t="str">
        <f>'030523 INVENTARIO'!R281</f>
        <v>AX3990</v>
      </c>
      <c r="Q281" s="168" t="str">
        <f>'030523 INVENTARIO'!S281</f>
        <v>DTSGKAL00320708A9C9200</v>
      </c>
      <c r="R281" s="168" t="str">
        <f>'030523 INVENTARIO'!T281</f>
        <v>82DJ0515010001000539081</v>
      </c>
    </row>
    <row r="282" spans="5:18">
      <c r="E282" s="167" t="str">
        <f>'030523 INVENTARIO'!E282</f>
        <v>MONITOR</v>
      </c>
      <c r="F282" s="167" t="str">
        <f>'030523 INVENTARIO'!F282</f>
        <v>MONITOR 19.5"</v>
      </c>
      <c r="G282" s="167" t="str">
        <f ca="1">'030523 INVENTARIO'!G282</f>
        <v>P02PP-0281</v>
      </c>
      <c r="H282" s="167" t="str">
        <f>'030523 INVENTARIO'!J282</f>
        <v>P02PP-0280</v>
      </c>
      <c r="I282" s="167" t="str">
        <f>'030523 INVENTARIO'!K282</f>
        <v>PB2PP-006</v>
      </c>
      <c r="J282" s="167" t="str">
        <f>'030523 INVENTARIO'!L282</f>
        <v>P0AL-4</v>
      </c>
      <c r="K282" s="167" t="str">
        <f>'030523 INVENTARIO'!M282</f>
        <v>5210100012-48</v>
      </c>
      <c r="L282" s="168">
        <f>'030523 INVENTARIO'!N282</f>
        <v>0</v>
      </c>
      <c r="M282" s="168">
        <f>'030523 INVENTARIO'!O282</f>
        <v>0</v>
      </c>
      <c r="N282" s="168" t="str">
        <f>'030523 INVENTARIO'!P282</f>
        <v>OK</v>
      </c>
      <c r="O282" s="168" t="str">
        <f>'030523 INVENTARIO'!Q282</f>
        <v>COMPAQ</v>
      </c>
      <c r="P282" s="167" t="str">
        <f>'030523 INVENTARIO'!R282</f>
        <v>WF1907</v>
      </c>
      <c r="Q282" s="168" t="str">
        <f>'030523 INVENTARIO'!S282</f>
        <v>CNC816Y357</v>
      </c>
      <c r="R282" s="168" t="str">
        <f>'030523 INVENTARIO'!T282</f>
        <v>82DJ0565010041000539114</v>
      </c>
    </row>
    <row r="283" spans="5:18">
      <c r="E283" s="167" t="str">
        <f>'030523 INVENTARIO'!E283</f>
        <v>NO BREAK</v>
      </c>
      <c r="F283" s="167" t="str">
        <f>'030523 INVENTARIO'!F283</f>
        <v>NO BREAK</v>
      </c>
      <c r="G283" s="167" t="str">
        <f ca="1">'030523 INVENTARIO'!G283</f>
        <v>P02PP-0282</v>
      </c>
      <c r="H283" s="167" t="str">
        <f>'030523 INVENTARIO'!J283</f>
        <v>P02PP-0281</v>
      </c>
      <c r="I283" s="167" t="str">
        <f>'030523 INVENTARIO'!K283</f>
        <v>PB2PP-007</v>
      </c>
      <c r="J283" s="167">
        <f>'030523 INVENTARIO'!L283</f>
        <v>0</v>
      </c>
      <c r="K283" s="167" t="str">
        <f>'030523 INVENTARIO'!M283</f>
        <v>ALTA</v>
      </c>
      <c r="L283" s="168">
        <f>'030523 INVENTARIO'!N283</f>
        <v>0</v>
      </c>
      <c r="M283" s="168">
        <f>'030523 INVENTARIO'!O283</f>
        <v>0</v>
      </c>
      <c r="N283" s="168" t="str">
        <f>'030523 INVENTARIO'!P283</f>
        <v>REPETIDO</v>
      </c>
      <c r="O283" s="168" t="str">
        <f>'030523 INVENTARIO'!Q283</f>
        <v>BELKIN</v>
      </c>
      <c r="P283" s="167" t="str">
        <f>'030523 INVENTARIO'!R283</f>
        <v>S/M</v>
      </c>
      <c r="Q283" s="167" t="str">
        <f>'030523 INVENTARIO'!S283</f>
        <v>0S035100615WO</v>
      </c>
      <c r="R283" s="167" t="str">
        <f>'030523 INVENTARIO'!T283</f>
        <v>82DH0515010016000539059</v>
      </c>
    </row>
    <row r="284" spans="5:18">
      <c r="E284" s="167" t="str">
        <f>'030523 INVENTARIO'!E284</f>
        <v>PIZARRON</v>
      </c>
      <c r="F284" s="167" t="str">
        <f>'030523 INVENTARIO'!F284</f>
        <v>PIZARRON PARA GIS 300X90</v>
      </c>
      <c r="G284" s="167" t="str">
        <f ca="1">'030523 INVENTARIO'!G284</f>
        <v>P02PP-0283</v>
      </c>
      <c r="H284" s="167" t="str">
        <f>'030523 INVENTARIO'!J284</f>
        <v>P02PP-0282</v>
      </c>
      <c r="I284" s="167" t="str">
        <f>'030523 INVENTARIO'!K284</f>
        <v>PB2PP-008</v>
      </c>
      <c r="J284" s="167">
        <f>'030523 INVENTARIO'!L284</f>
        <v>0</v>
      </c>
      <c r="K284" s="167" t="str">
        <f>'030523 INVENTARIO'!M284</f>
        <v>ALTA</v>
      </c>
      <c r="L284" s="168">
        <f>'030523 INVENTARIO'!N284</f>
        <v>0</v>
      </c>
      <c r="M284" s="168">
        <f>'030523 INVENTARIO'!O284</f>
        <v>0</v>
      </c>
      <c r="N284" s="168" t="str">
        <f>'030523 INVENTARIO'!P284</f>
        <v>REPETIDO</v>
      </c>
      <c r="O284" s="168" t="str">
        <f>'030523 INVENTARIO'!Q284</f>
        <v>S/M</v>
      </c>
      <c r="P284" s="167" t="str">
        <f>'030523 INVENTARIO'!R284</f>
        <v>S/M</v>
      </c>
      <c r="Q284" s="167" t="str">
        <f>'030523 INVENTARIO'!S284</f>
        <v>SIN SERIE</v>
      </c>
      <c r="R284" s="167" t="str">
        <f>'030523 INVENTARIO'!T284</f>
        <v>SIN RESGUARDO</v>
      </c>
    </row>
    <row r="285" spans="5:18">
      <c r="E285" s="167" t="str">
        <f>'030523 INVENTARIO'!E285</f>
        <v>CALEFACTOR</v>
      </c>
      <c r="F285" s="167" t="str">
        <f>'030523 INVENTARIO'!F285</f>
        <v>CALEFACTOR</v>
      </c>
      <c r="G285" s="167" t="str">
        <f ca="1">'030523 INVENTARIO'!G285</f>
        <v>P02PP-0284</v>
      </c>
      <c r="H285" s="167" t="str">
        <f>'030523 INVENTARIO'!J285</f>
        <v>P02PP-0283</v>
      </c>
      <c r="I285" s="167" t="str">
        <f>'030523 INVENTARIO'!K285</f>
        <v>PB2PP-009</v>
      </c>
      <c r="J285" s="167">
        <f>'030523 INVENTARIO'!L285</f>
        <v>0</v>
      </c>
      <c r="K285" s="167" t="str">
        <f>'030523 INVENTARIO'!M285</f>
        <v>ALTA</v>
      </c>
      <c r="L285" s="168">
        <f>'030523 INVENTARIO'!N285</f>
        <v>0</v>
      </c>
      <c r="M285" s="168">
        <f>'030523 INVENTARIO'!O285</f>
        <v>0</v>
      </c>
      <c r="N285" s="168" t="str">
        <f>'030523 INVENTARIO'!P285</f>
        <v>REPETIDO</v>
      </c>
      <c r="O285" s="168" t="str">
        <f>'030523 INVENTARIO'!Q285</f>
        <v>NAOKI</v>
      </c>
      <c r="P285" s="167" t="str">
        <f>'030523 INVENTARIO'!R285</f>
        <v>DCH04</v>
      </c>
      <c r="Q285" s="167" t="str">
        <f>'030523 INVENTARIO'!S285</f>
        <v>SIN SERIE</v>
      </c>
      <c r="R285" s="167" t="str">
        <f>'030523 INVENTARIO'!T285</f>
        <v>SIN RESGUARDO</v>
      </c>
    </row>
    <row r="286" spans="5:18">
      <c r="E286" s="167" t="str">
        <f>'030523 INVENTARIO'!E286</f>
        <v>TAJALAPIZ</v>
      </c>
      <c r="F286" s="167" t="str">
        <f>'030523 INVENTARIO'!F286</f>
        <v>TAJALAPIZ ELECTRICO</v>
      </c>
      <c r="G286" s="167" t="str">
        <f ca="1">'030523 INVENTARIO'!G286</f>
        <v>P02PP-0285</v>
      </c>
      <c r="H286" s="167" t="str">
        <f>'030523 INVENTARIO'!J286</f>
        <v>P02PP-0284</v>
      </c>
      <c r="I286" s="167" t="str">
        <f>'030523 INVENTARIO'!K286</f>
        <v>PB2PP-010</v>
      </c>
      <c r="J286" s="167">
        <f>'030523 INVENTARIO'!L286</f>
        <v>0</v>
      </c>
      <c r="K286" s="167" t="str">
        <f>'030523 INVENTARIO'!M286</f>
        <v>ALTA</v>
      </c>
      <c r="L286" s="168">
        <f>'030523 INVENTARIO'!N286</f>
        <v>0</v>
      </c>
      <c r="M286" s="168">
        <f>'030523 INVENTARIO'!O286</f>
        <v>0</v>
      </c>
      <c r="N286" s="168" t="str">
        <f>'030523 INVENTARIO'!P286</f>
        <v>REPETIDO</v>
      </c>
      <c r="O286" s="168" t="str">
        <f>'030523 INVENTARIO'!Q286</f>
        <v>SIVINGLINE</v>
      </c>
      <c r="P286" s="167">
        <f>'030523 INVENTARIO'!R286</f>
        <v>29965</v>
      </c>
      <c r="Q286" s="167" t="str">
        <f>'030523 INVENTARIO'!S286</f>
        <v>SIN SERIE</v>
      </c>
      <c r="R286" s="167" t="str">
        <f>'030523 INVENTARIO'!T286</f>
        <v>SIN RESGUARDO</v>
      </c>
    </row>
    <row r="287" spans="5:18">
      <c r="E287" s="167" t="str">
        <f>'030523 INVENTARIO'!E287</f>
        <v>SILLA</v>
      </c>
      <c r="F287" s="168" t="str">
        <f>'030523 INVENTARIO'!F287</f>
        <v>SILLA DE TELA NEGRA</v>
      </c>
      <c r="G287" s="167" t="str">
        <f ca="1">'030523 INVENTARIO'!G287</f>
        <v>P02PP-0286</v>
      </c>
      <c r="H287" s="167" t="str">
        <f>'030523 INVENTARIO'!J287</f>
        <v>P02PP-0285</v>
      </c>
      <c r="I287" s="167" t="str">
        <f>'030523 INVENTARIO'!K287</f>
        <v>PB2PP-011</v>
      </c>
      <c r="J287" s="167" t="str">
        <f>'030523 INVENTARIO'!L287</f>
        <v>P1LP-1</v>
      </c>
      <c r="K287" s="167" t="str">
        <f>'030523 INVENTARIO'!M287</f>
        <v>5110100011-127</v>
      </c>
      <c r="L287" s="168">
        <f>'030523 INVENTARIO'!N287</f>
        <v>0</v>
      </c>
      <c r="M287" s="168">
        <f>'030523 INVENTARIO'!O287</f>
        <v>0</v>
      </c>
      <c r="N287" s="168" t="str">
        <f>'030523 INVENTARIO'!P287</f>
        <v>OK</v>
      </c>
      <c r="O287" s="168" t="str">
        <f>'030523 INVENTARIO'!Q287</f>
        <v>S/M</v>
      </c>
      <c r="P287" s="167" t="str">
        <f>'030523 INVENTARIO'!R287</f>
        <v>S/M</v>
      </c>
      <c r="Q287" s="168" t="str">
        <f>'030523 INVENTARIO'!S287</f>
        <v>SIN SERIE</v>
      </c>
      <c r="R287" s="168" t="str">
        <f>'030523 INVENTARIO'!T287</f>
        <v>SIN RESGUARDO</v>
      </c>
    </row>
    <row r="288" spans="5:18">
      <c r="E288" s="167" t="str">
        <f>'030523 INVENTARIO'!E288</f>
        <v>ESTANTE O ANAQUEL</v>
      </c>
      <c r="F288" s="167" t="str">
        <f>'030523 INVENTARIO'!F288</f>
        <v>ESTANTE  METALICO CON 5 CHAROLAS</v>
      </c>
      <c r="G288" s="167" t="str">
        <f ca="1">'030523 INVENTARIO'!G288</f>
        <v>P02PP-0287</v>
      </c>
      <c r="H288" s="167" t="str">
        <f>'030523 INVENTARIO'!J288</f>
        <v>P02PP-0286</v>
      </c>
      <c r="I288" s="167" t="str">
        <f>'030523 INVENTARIO'!K288</f>
        <v>PB2PP-012</v>
      </c>
      <c r="J288" s="167" t="str">
        <f>'030523 INVENTARIO'!L288</f>
        <v>P0P-9</v>
      </c>
      <c r="K288" s="168" t="str">
        <f>'030523 INVENTARIO'!M288</f>
        <v>2110200030-15</v>
      </c>
      <c r="L288" s="168">
        <f>'030523 INVENTARIO'!N288</f>
        <v>0</v>
      </c>
      <c r="M288" s="168">
        <f>'030523 INVENTARIO'!O288</f>
        <v>0</v>
      </c>
      <c r="N288" s="168" t="str">
        <f>'030523 INVENTARIO'!P288</f>
        <v>OK</v>
      </c>
      <c r="O288" s="168" t="str">
        <f>'030523 INVENTARIO'!Q288</f>
        <v>S/M</v>
      </c>
      <c r="P288" s="167" t="str">
        <f>'030523 INVENTARIO'!R288</f>
        <v>S/M</v>
      </c>
      <c r="Q288" s="168" t="str">
        <f>'030523 INVENTARIO'!S288</f>
        <v>SIN SERIE</v>
      </c>
      <c r="R288" s="168" t="str">
        <f>'030523 INVENTARIO'!T288</f>
        <v>82DJ0511010028000535460</v>
      </c>
    </row>
    <row r="289" spans="5:18">
      <c r="E289" s="167" t="str">
        <f>'030523 INVENTARIO'!E289</f>
        <v>ESTANTE O ANAQUEL</v>
      </c>
      <c r="F289" s="167" t="str">
        <f>'030523 INVENTARIO'!F289</f>
        <v>ESTANTE  METALICO CON 5 CHAROLAS</v>
      </c>
      <c r="G289" s="167" t="str">
        <f ca="1">'030523 INVENTARIO'!G289</f>
        <v>P02PP-0288</v>
      </c>
      <c r="H289" s="167" t="str">
        <f>'030523 INVENTARIO'!J289</f>
        <v>P02PP-0287</v>
      </c>
      <c r="I289" s="167" t="str">
        <f>'030523 INVENTARIO'!K289</f>
        <v>PB2PP-013</v>
      </c>
      <c r="J289" s="167" t="str">
        <f>'030523 INVENTARIO'!L289</f>
        <v>P0P-8</v>
      </c>
      <c r="K289" s="168" t="str">
        <f>'030523 INVENTARIO'!M289</f>
        <v>2110200030-14</v>
      </c>
      <c r="L289" s="168">
        <f>'030523 INVENTARIO'!N289</f>
        <v>0</v>
      </c>
      <c r="M289" s="168">
        <f>'030523 INVENTARIO'!O289</f>
        <v>0</v>
      </c>
      <c r="N289" s="168" t="str">
        <f>'030523 INVENTARIO'!P289</f>
        <v>OK</v>
      </c>
      <c r="O289" s="168" t="str">
        <f>'030523 INVENTARIO'!Q289</f>
        <v>S/M</v>
      </c>
      <c r="P289" s="167" t="str">
        <f>'030523 INVENTARIO'!R289</f>
        <v>S/M</v>
      </c>
      <c r="Q289" s="168" t="str">
        <f>'030523 INVENTARIO'!S289</f>
        <v>SIN SERIE</v>
      </c>
      <c r="R289" s="168" t="str">
        <f>'030523 INVENTARIO'!T289</f>
        <v>82DJ0511010028000539027</v>
      </c>
    </row>
    <row r="290" spans="5:18">
      <c r="E290" s="167" t="str">
        <f>'030523 INVENTARIO'!E290</f>
        <v>CHAROLA</v>
      </c>
      <c r="F290" s="167" t="str">
        <f>'030523 INVENTARIO'!F290</f>
        <v>CHAROLA DE METAL PARA ESTANTE 91X30</v>
      </c>
      <c r="G290" s="167" t="str">
        <f ca="1">'030523 INVENTARIO'!G290</f>
        <v>P02PP-0289</v>
      </c>
      <c r="H290" s="167" t="str">
        <f>'030523 INVENTARIO'!J290</f>
        <v>P02PP-0288</v>
      </c>
      <c r="I290" s="167" t="str">
        <f>'030523 INVENTARIO'!K290</f>
        <v>PB2PP-014</v>
      </c>
      <c r="J290" s="167" t="str">
        <f>'030523 INVENTARIO'!L290</f>
        <v>P0P-10</v>
      </c>
      <c r="K290" s="168" t="str">
        <f>'030523 INVENTARIO'!M290</f>
        <v>2110200030-16</v>
      </c>
      <c r="L290" s="168">
        <f>'030523 INVENTARIO'!N290</f>
        <v>0</v>
      </c>
      <c r="M290" s="168">
        <f>'030523 INVENTARIO'!O290</f>
        <v>0</v>
      </c>
      <c r="N290" s="168" t="str">
        <f>'030523 INVENTARIO'!P290</f>
        <v>OK</v>
      </c>
      <c r="O290" s="168" t="str">
        <f>'030523 INVENTARIO'!Q290</f>
        <v>S/M</v>
      </c>
      <c r="P290" s="167" t="str">
        <f>'030523 INVENTARIO'!R290</f>
        <v>S/M</v>
      </c>
      <c r="Q290" s="168" t="str">
        <f>'030523 INVENTARIO'!S290</f>
        <v>SIN SERIE</v>
      </c>
      <c r="R290" s="168" t="str">
        <f>'030523 INVENTARIO'!T290</f>
        <v>82DJ0519010048000539134</v>
      </c>
    </row>
    <row r="291" spans="5:18">
      <c r="E291" s="167" t="str">
        <f>'030523 INVENTARIO'!E291</f>
        <v>CHAROLA</v>
      </c>
      <c r="F291" s="167" t="str">
        <f>'030523 INVENTARIO'!F291</f>
        <v>CHAROLA DE METAL PARA ESTANTE 91X30</v>
      </c>
      <c r="G291" s="167" t="str">
        <f ca="1">'030523 INVENTARIO'!G291</f>
        <v>P02PP-0290</v>
      </c>
      <c r="H291" s="167" t="str">
        <f>'030523 INVENTARIO'!J291</f>
        <v>P02PP-0289</v>
      </c>
      <c r="I291" s="167" t="str">
        <f>'030523 INVENTARIO'!K291</f>
        <v>PB2PP-015</v>
      </c>
      <c r="J291" s="167" t="str">
        <f>'030523 INVENTARIO'!L291</f>
        <v>P0P-11</v>
      </c>
      <c r="K291" s="168" t="str">
        <f>'030523 INVENTARIO'!M291</f>
        <v>2110200030-17</v>
      </c>
      <c r="L291" s="168">
        <f>'030523 INVENTARIO'!N291</f>
        <v>0</v>
      </c>
      <c r="M291" s="168">
        <f>'030523 INVENTARIO'!O291</f>
        <v>0</v>
      </c>
      <c r="N291" s="168" t="str">
        <f>'030523 INVENTARIO'!P291</f>
        <v>OK</v>
      </c>
      <c r="O291" s="168" t="str">
        <f>'030523 INVENTARIO'!Q291</f>
        <v>S/M</v>
      </c>
      <c r="P291" s="167" t="str">
        <f>'030523 INVENTARIO'!R291</f>
        <v>S/M</v>
      </c>
      <c r="Q291" s="168" t="str">
        <f>'030523 INVENTARIO'!S291</f>
        <v>SIN SERIE</v>
      </c>
      <c r="R291" s="168" t="str">
        <f>'030523 INVENTARIO'!T291</f>
        <v>82DJ0519010048000533127</v>
      </c>
    </row>
    <row r="292" spans="5:18">
      <c r="E292" s="167" t="str">
        <f>'030523 INVENTARIO'!E292</f>
        <v>ESTANTE O ANAQUEL</v>
      </c>
      <c r="F292" s="167" t="str">
        <f>'030523 INVENTARIO'!F292</f>
        <v>ESTANTE  METALICO CON 5 CHAROLAS</v>
      </c>
      <c r="G292" s="167" t="str">
        <f ca="1">'030523 INVENTARIO'!G292</f>
        <v>P02PP-0291</v>
      </c>
      <c r="H292" s="167" t="str">
        <f>'030523 INVENTARIO'!J292</f>
        <v>P02PP-0290</v>
      </c>
      <c r="I292" s="167" t="str">
        <f>'030523 INVENTARIO'!K292</f>
        <v>PB2PP-016</v>
      </c>
      <c r="J292" s="167" t="str">
        <f>'030523 INVENTARIO'!L292</f>
        <v>P0P-13</v>
      </c>
      <c r="K292" s="168" t="str">
        <f>'030523 INVENTARIO'!M292</f>
        <v>2110200030-19</v>
      </c>
      <c r="L292" s="168">
        <f>'030523 INVENTARIO'!N292</f>
        <v>0</v>
      </c>
      <c r="M292" s="168">
        <f>'030523 INVENTARIO'!O292</f>
        <v>0</v>
      </c>
      <c r="N292" s="168" t="str">
        <f>'030523 INVENTARIO'!P292</f>
        <v>OK</v>
      </c>
      <c r="O292" s="168" t="str">
        <f>'030523 INVENTARIO'!Q292</f>
        <v>S/M</v>
      </c>
      <c r="P292" s="167" t="str">
        <f>'030523 INVENTARIO'!R292</f>
        <v>S/M</v>
      </c>
      <c r="Q292" s="168" t="str">
        <f>'030523 INVENTARIO'!S292</f>
        <v>SIN SERIE</v>
      </c>
      <c r="R292" s="168" t="str">
        <f>'030523 INVENTARIO'!T292</f>
        <v>82DJ0511010028000539043</v>
      </c>
    </row>
    <row r="293" spans="5:18">
      <c r="E293" s="167" t="str">
        <f>'030523 INVENTARIO'!E293</f>
        <v>CHAROLA</v>
      </c>
      <c r="F293" s="167" t="str">
        <f>'030523 INVENTARIO'!F293</f>
        <v>CHAROLA DE METAL PARA ESTANTE 91X30</v>
      </c>
      <c r="G293" s="167" t="str">
        <f ca="1">'030523 INVENTARIO'!G293</f>
        <v>P02PP-0292</v>
      </c>
      <c r="H293" s="167" t="str">
        <f>'030523 INVENTARIO'!J293</f>
        <v>P02PP-0291</v>
      </c>
      <c r="I293" s="167" t="str">
        <f>'030523 INVENTARIO'!K293</f>
        <v>PB2PP-017</v>
      </c>
      <c r="J293" s="167" t="str">
        <f>'030523 INVENTARIO'!L293</f>
        <v>P0P-12</v>
      </c>
      <c r="K293" s="167" t="str">
        <f>'030523 INVENTARIO'!M293</f>
        <v>2110200030-18</v>
      </c>
      <c r="L293" s="168">
        <f>'030523 INVENTARIO'!N293</f>
        <v>0</v>
      </c>
      <c r="M293" s="168">
        <f>'030523 INVENTARIO'!O293</f>
        <v>0</v>
      </c>
      <c r="N293" s="168" t="str">
        <f>'030523 INVENTARIO'!P293</f>
        <v>OK</v>
      </c>
      <c r="O293" s="168" t="str">
        <f>'030523 INVENTARIO'!Q293</f>
        <v>S/M</v>
      </c>
      <c r="P293" s="167" t="str">
        <f>'030523 INVENTARIO'!R293</f>
        <v>S/M</v>
      </c>
      <c r="Q293" s="168" t="str">
        <f>'030523 INVENTARIO'!S293</f>
        <v>SIN SERIE</v>
      </c>
      <c r="R293" s="168" t="str">
        <f>'030523 INVENTARIO'!T293</f>
        <v>82DJ0519010048000533124</v>
      </c>
    </row>
    <row r="294" spans="5:18">
      <c r="E294" s="167" t="str">
        <f>'030523 INVENTARIO'!E294</f>
        <v>CHAROLA</v>
      </c>
      <c r="F294" s="167" t="str">
        <f>'030523 INVENTARIO'!F294</f>
        <v>CHAROLA DE METAL PARA ESTANTE 91X30</v>
      </c>
      <c r="G294" s="167" t="str">
        <f ca="1">'030523 INVENTARIO'!G294</f>
        <v>P02PP-0293</v>
      </c>
      <c r="H294" s="167" t="str">
        <f>'030523 INVENTARIO'!J294</f>
        <v>P02PP-0292</v>
      </c>
      <c r="I294" s="167" t="str">
        <f>'030523 INVENTARIO'!K294</f>
        <v>PB2PP-018</v>
      </c>
      <c r="J294" s="167" t="str">
        <f>'030523 INVENTARIO'!L294</f>
        <v>P0P-19</v>
      </c>
      <c r="K294" s="167" t="str">
        <f>'030523 INVENTARIO'!M294</f>
        <v>2110200030-25</v>
      </c>
      <c r="L294" s="168">
        <f>'030523 INVENTARIO'!N294</f>
        <v>0</v>
      </c>
      <c r="M294" s="168">
        <f>'030523 INVENTARIO'!O294</f>
        <v>0</v>
      </c>
      <c r="N294" s="168" t="str">
        <f>'030523 INVENTARIO'!P294</f>
        <v>OK</v>
      </c>
      <c r="O294" s="168" t="str">
        <f>'030523 INVENTARIO'!Q294</f>
        <v>S/M</v>
      </c>
      <c r="P294" s="167" t="str">
        <f>'030523 INVENTARIO'!R294</f>
        <v>S/M</v>
      </c>
      <c r="Q294" s="168" t="str">
        <f>'030523 INVENTARIO'!S294</f>
        <v>SIN SERIE</v>
      </c>
      <c r="R294" s="168" t="str">
        <f>'030523 INVENTARIO'!T294</f>
        <v>82DJ0519010048000579127</v>
      </c>
    </row>
    <row r="295" spans="5:18">
      <c r="E295" s="167" t="str">
        <f>'030523 INVENTARIO'!E295</f>
        <v>ESTANTE O ANAQUEL</v>
      </c>
      <c r="F295" s="167" t="str">
        <f>'030523 INVENTARIO'!F295</f>
        <v>ESTANTE  METALICO CON 6 CHAROLAS</v>
      </c>
      <c r="G295" s="167" t="str">
        <f ca="1">'030523 INVENTARIO'!G295</f>
        <v>P02PP-0294</v>
      </c>
      <c r="H295" s="167" t="str">
        <f>'030523 INVENTARIO'!J295</f>
        <v>P02PP-0293</v>
      </c>
      <c r="I295" s="167" t="str">
        <f>'030523 INVENTARIO'!K295</f>
        <v>PB2PP-019</v>
      </c>
      <c r="J295" s="167" t="str">
        <f>'030523 INVENTARIO'!L295</f>
        <v>P0P-14</v>
      </c>
      <c r="K295" s="167" t="str">
        <f>'030523 INVENTARIO'!M295</f>
        <v>2110200030-20</v>
      </c>
      <c r="L295" s="168">
        <f>'030523 INVENTARIO'!N295</f>
        <v>0</v>
      </c>
      <c r="M295" s="168">
        <f>'030523 INVENTARIO'!O295</f>
        <v>0</v>
      </c>
      <c r="N295" s="168" t="str">
        <f>'030523 INVENTARIO'!P295</f>
        <v>OK</v>
      </c>
      <c r="O295" s="168" t="str">
        <f>'030523 INVENTARIO'!Q295</f>
        <v>S/M</v>
      </c>
      <c r="P295" s="167" t="str">
        <f>'030523 INVENTARIO'!R295</f>
        <v>S/M</v>
      </c>
      <c r="Q295" s="168" t="str">
        <f>'030523 INVENTARIO'!S295</f>
        <v>SIN SERIE</v>
      </c>
      <c r="R295" s="168" t="str">
        <f>'030523 INVENTARIO'!T295</f>
        <v>82DJ0511010028000539018</v>
      </c>
    </row>
    <row r="296" spans="5:18">
      <c r="E296" s="167" t="str">
        <f>'030523 INVENTARIO'!E296</f>
        <v>ESTANTE O ANAQUEL</v>
      </c>
      <c r="F296" s="167" t="str">
        <f>'030523 INVENTARIO'!F296</f>
        <v>ESTANTE  METALICO CON 5 CHAROLAS</v>
      </c>
      <c r="G296" s="167" t="str">
        <f ca="1">'030523 INVENTARIO'!G296</f>
        <v>P02PP-0295</v>
      </c>
      <c r="H296" s="167" t="str">
        <f>'030523 INVENTARIO'!J296</f>
        <v>P02PP-0294</v>
      </c>
      <c r="I296" s="167" t="str">
        <f>'030523 INVENTARIO'!K296</f>
        <v>PB2PP-020</v>
      </c>
      <c r="J296" s="167" t="str">
        <f>'030523 INVENTARIO'!L296</f>
        <v>P0P-16</v>
      </c>
      <c r="K296" s="167" t="str">
        <f>'030523 INVENTARIO'!M296</f>
        <v>2110200030-21</v>
      </c>
      <c r="L296" s="168">
        <f>'030523 INVENTARIO'!N296</f>
        <v>0</v>
      </c>
      <c r="M296" s="168">
        <f>'030523 INVENTARIO'!O296</f>
        <v>0</v>
      </c>
      <c r="N296" s="168" t="str">
        <f>'030523 INVENTARIO'!P296</f>
        <v>OK</v>
      </c>
      <c r="O296" s="168" t="str">
        <f>'030523 INVENTARIO'!Q296</f>
        <v>S/M</v>
      </c>
      <c r="P296" s="167" t="str">
        <f>'030523 INVENTARIO'!R296</f>
        <v>S/M</v>
      </c>
      <c r="Q296" s="168" t="str">
        <f>'030523 INVENTARIO'!S296</f>
        <v>SIN SERIE</v>
      </c>
      <c r="R296" s="168" t="str">
        <f>'030523 INVENTARIO'!T296</f>
        <v>82DJ0511010028000539032</v>
      </c>
    </row>
    <row r="297" spans="5:18">
      <c r="E297" s="167" t="str">
        <f>'030523 INVENTARIO'!E297</f>
        <v>CHAROLA</v>
      </c>
      <c r="F297" s="167" t="str">
        <f>'030523 INVENTARIO'!F297</f>
        <v>CHAROLA DE METAL PARA ESTANTE 91X30</v>
      </c>
      <c r="G297" s="167" t="str">
        <f ca="1">'030523 INVENTARIO'!G297</f>
        <v>P02PP-0296</v>
      </c>
      <c r="H297" s="167" t="str">
        <f>'030523 INVENTARIO'!J297</f>
        <v>P02PP-0295</v>
      </c>
      <c r="I297" s="167" t="str">
        <f>'030523 INVENTARIO'!K297</f>
        <v>PB2PP-021</v>
      </c>
      <c r="J297" s="167" t="str">
        <f>'030523 INVENTARIO'!L297</f>
        <v>P0P-20</v>
      </c>
      <c r="K297" s="167" t="str">
        <f>'030523 INVENTARIO'!M297</f>
        <v>2110200030-26</v>
      </c>
      <c r="L297" s="168">
        <f>'030523 INVENTARIO'!N297</f>
        <v>0</v>
      </c>
      <c r="M297" s="168">
        <f>'030523 INVENTARIO'!O297</f>
        <v>0</v>
      </c>
      <c r="N297" s="168" t="str">
        <f>'030523 INVENTARIO'!P297</f>
        <v>OK</v>
      </c>
      <c r="O297" s="168" t="str">
        <f>'030523 INVENTARIO'!Q297</f>
        <v>S/M</v>
      </c>
      <c r="P297" s="167" t="str">
        <f>'030523 INVENTARIO'!R297</f>
        <v>S/M</v>
      </c>
      <c r="Q297" s="168" t="str">
        <f>'030523 INVENTARIO'!S297</f>
        <v>SIN SERIE</v>
      </c>
      <c r="R297" s="168" t="str">
        <f>'030523 INVENTARIO'!T297</f>
        <v>82DJ0519010048000539133</v>
      </c>
    </row>
    <row r="298" spans="5:18">
      <c r="E298" s="167" t="str">
        <f>'030523 INVENTARIO'!E298</f>
        <v>CHAROLA</v>
      </c>
      <c r="F298" s="167" t="str">
        <f>'030523 INVENTARIO'!F298</f>
        <v>CHAROLA DE METAL PARA ESTANTE 91X30</v>
      </c>
      <c r="G298" s="167" t="str">
        <f ca="1">'030523 INVENTARIO'!G298</f>
        <v>P02PP-0297</v>
      </c>
      <c r="H298" s="167" t="str">
        <f>'030523 INVENTARIO'!J298</f>
        <v>P02PP-0296</v>
      </c>
      <c r="I298" s="167" t="str">
        <f>'030523 INVENTARIO'!K298</f>
        <v>PB2PP-022</v>
      </c>
      <c r="J298" s="167" t="str">
        <f>'030523 INVENTARIO'!L298</f>
        <v>P0P-22</v>
      </c>
      <c r="K298" s="168" t="str">
        <f>'030523 INVENTARIO'!M298</f>
        <v>2110200030-28</v>
      </c>
      <c r="L298" s="168">
        <f>'030523 INVENTARIO'!N298</f>
        <v>0</v>
      </c>
      <c r="M298" s="168">
        <f>'030523 INVENTARIO'!O298</f>
        <v>0</v>
      </c>
      <c r="N298" s="168" t="str">
        <f>'030523 INVENTARIO'!P298</f>
        <v>OK</v>
      </c>
      <c r="O298" s="168" t="str">
        <f>'030523 INVENTARIO'!Q298</f>
        <v>S/M</v>
      </c>
      <c r="P298" s="167" t="str">
        <f>'030523 INVENTARIO'!R298</f>
        <v>S/M</v>
      </c>
      <c r="Q298" s="168" t="str">
        <f>'030523 INVENTARIO'!S298</f>
        <v>SIN SERIE</v>
      </c>
      <c r="R298" s="168" t="str">
        <f>'030523 INVENTARIO'!T298</f>
        <v>82DJ0519010048000539137</v>
      </c>
    </row>
    <row r="299" spans="5:18">
      <c r="E299" s="167" t="str">
        <f>'030523 INVENTARIO'!E299</f>
        <v>ESTANTE O ANAQUEL</v>
      </c>
      <c r="F299" s="167" t="str">
        <f>'030523 INVENTARIO'!F299</f>
        <v>ESTANTE  METALICO CON 6 CHAROLAS</v>
      </c>
      <c r="G299" s="167" t="str">
        <f ca="1">'030523 INVENTARIO'!G299</f>
        <v>P02PP-0298</v>
      </c>
      <c r="H299" s="167" t="str">
        <f>'030523 INVENTARIO'!J299</f>
        <v>P02PP-0297</v>
      </c>
      <c r="I299" s="167" t="str">
        <f>'030523 INVENTARIO'!K299</f>
        <v>PB2PP-023</v>
      </c>
      <c r="J299" s="167" t="str">
        <f>'030523 INVENTARIO'!L299</f>
        <v>P0P-17</v>
      </c>
      <c r="K299" s="167" t="str">
        <f>'030523 INVENTARIO'!M299</f>
        <v>2110200030-23</v>
      </c>
      <c r="L299" s="168">
        <f>'030523 INVENTARIO'!N299</f>
        <v>0</v>
      </c>
      <c r="M299" s="168">
        <f>'030523 INVENTARIO'!O299</f>
        <v>0</v>
      </c>
      <c r="N299" s="168" t="str">
        <f>'030523 INVENTARIO'!P299</f>
        <v>OK</v>
      </c>
      <c r="O299" s="168" t="str">
        <f>'030523 INVENTARIO'!Q299</f>
        <v>S/M</v>
      </c>
      <c r="P299" s="167" t="str">
        <f>'030523 INVENTARIO'!R299</f>
        <v>S/M</v>
      </c>
      <c r="Q299" s="168" t="str">
        <f>'030523 INVENTARIO'!S299</f>
        <v>SIN SERIE</v>
      </c>
      <c r="R299" s="168" t="str">
        <f>'030523 INVENTARIO'!T299</f>
        <v>82DJ0511010028000532101</v>
      </c>
    </row>
    <row r="300" spans="5:18">
      <c r="E300" s="167" t="str">
        <f>'030523 INVENTARIO'!E300</f>
        <v>CHAROLA</v>
      </c>
      <c r="F300" s="167" t="str">
        <f>'030523 INVENTARIO'!F300</f>
        <v>CHAROLA DE METAL PARA ESTANTE 91X30</v>
      </c>
      <c r="G300" s="167" t="str">
        <f ca="1">'030523 INVENTARIO'!G300</f>
        <v>P02PP-0299</v>
      </c>
      <c r="H300" s="167" t="str">
        <f>'030523 INVENTARIO'!J300</f>
        <v>P02PP-0298</v>
      </c>
      <c r="I300" s="167" t="str">
        <f>'030523 INVENTARIO'!K300</f>
        <v>PB2PP-024</v>
      </c>
      <c r="J300" s="167" t="str">
        <f>'030523 INVENTARIO'!L300</f>
        <v>P0P-23</v>
      </c>
      <c r="K300" s="167" t="str">
        <f>'030523 INVENTARIO'!M300</f>
        <v>2110200030-29</v>
      </c>
      <c r="L300" s="168">
        <f>'030523 INVENTARIO'!N300</f>
        <v>0</v>
      </c>
      <c r="M300" s="168">
        <f>'030523 INVENTARIO'!O300</f>
        <v>0</v>
      </c>
      <c r="N300" s="168" t="str">
        <f>'030523 INVENTARIO'!P300</f>
        <v>OK</v>
      </c>
      <c r="O300" s="168" t="str">
        <f>'030523 INVENTARIO'!Q300</f>
        <v>S/M</v>
      </c>
      <c r="P300" s="167" t="str">
        <f>'030523 INVENTARIO'!R300</f>
        <v>S/M</v>
      </c>
      <c r="Q300" s="168" t="str">
        <f>'030523 INVENTARIO'!S300</f>
        <v>SIN SERIE</v>
      </c>
      <c r="R300" s="168" t="str">
        <f>'030523 INVENTARIO'!T300</f>
        <v>82DJ0519010048000539135</v>
      </c>
    </row>
    <row r="301" spans="5:18">
      <c r="E301" s="167" t="str">
        <f>'030523 INVENTARIO'!E301</f>
        <v>ESTANTE O ANAQUEL</v>
      </c>
      <c r="F301" s="167" t="str">
        <f>'030523 INVENTARIO'!F301</f>
        <v>ESTANTE  METALICO CON 5 CHAROLAS</v>
      </c>
      <c r="G301" s="167" t="str">
        <f ca="1">'030523 INVENTARIO'!G301</f>
        <v>P02PP-0300</v>
      </c>
      <c r="H301" s="167" t="str">
        <f>'030523 INVENTARIO'!J301</f>
        <v>P02PP-0299</v>
      </c>
      <c r="I301" s="167" t="str">
        <f>'030523 INVENTARIO'!K301</f>
        <v>PB2PP-025</v>
      </c>
      <c r="J301" s="167" t="str">
        <f>'030523 INVENTARIO'!L301</f>
        <v>P0P-15</v>
      </c>
      <c r="K301" s="167" t="str">
        <f>'030523 INVENTARIO'!M301</f>
        <v>2110200030-22</v>
      </c>
      <c r="L301" s="168">
        <f>'030523 INVENTARIO'!N301</f>
        <v>0</v>
      </c>
      <c r="M301" s="168">
        <f>'030523 INVENTARIO'!O301</f>
        <v>0</v>
      </c>
      <c r="N301" s="168" t="str">
        <f>'030523 INVENTARIO'!P301</f>
        <v>OK</v>
      </c>
      <c r="O301" s="168" t="str">
        <f>'030523 INVENTARIO'!Q301</f>
        <v>S/M</v>
      </c>
      <c r="P301" s="167" t="str">
        <f>'030523 INVENTARIO'!R301</f>
        <v>S/M</v>
      </c>
      <c r="Q301" s="168" t="str">
        <f>'030523 INVENTARIO'!S301</f>
        <v>SIN SERIE</v>
      </c>
      <c r="R301" s="168" t="str">
        <f>'030523 INVENTARIO'!T301</f>
        <v>82DJ0511010028000524624</v>
      </c>
    </row>
    <row r="302" spans="5:18">
      <c r="E302" s="167" t="str">
        <f>'030523 INVENTARIO'!E302</f>
        <v>ESTANTE O ANAQUEL</v>
      </c>
      <c r="F302" s="167" t="str">
        <f>'030523 INVENTARIO'!F302</f>
        <v>ESTANTE  METALICO CON 5 CHAROLAS</v>
      </c>
      <c r="G302" s="167" t="str">
        <f ca="1">'030523 INVENTARIO'!G302</f>
        <v>P02PP-0301</v>
      </c>
      <c r="H302" s="167" t="str">
        <f>'030523 INVENTARIO'!J302</f>
        <v>P02PP-0300</v>
      </c>
      <c r="I302" s="167" t="str">
        <f>'030523 INVENTARIO'!K302</f>
        <v>PB2PP-026</v>
      </c>
      <c r="J302" s="167" t="str">
        <f>'030523 INVENTARIO'!L302</f>
        <v>P0P-18</v>
      </c>
      <c r="K302" s="167" t="str">
        <f>'030523 INVENTARIO'!M302</f>
        <v>2110200030-24</v>
      </c>
      <c r="L302" s="168">
        <f>'030523 INVENTARIO'!N302</f>
        <v>0</v>
      </c>
      <c r="M302" s="168">
        <f>'030523 INVENTARIO'!O302</f>
        <v>0</v>
      </c>
      <c r="N302" s="168" t="str">
        <f>'030523 INVENTARIO'!P302</f>
        <v>OK</v>
      </c>
      <c r="O302" s="168" t="str">
        <f>'030523 INVENTARIO'!Q302</f>
        <v>S/M</v>
      </c>
      <c r="P302" s="167" t="str">
        <f>'030523 INVENTARIO'!R302</f>
        <v>S/M</v>
      </c>
      <c r="Q302" s="168" t="str">
        <f>'030523 INVENTARIO'!S302</f>
        <v>SIN SERIE</v>
      </c>
      <c r="R302" s="168" t="str">
        <f>'030523 INVENTARIO'!T302</f>
        <v>82DJ0511010028000539029</v>
      </c>
    </row>
    <row r="303" spans="5:18">
      <c r="E303" s="167" t="str">
        <f>'030523 INVENTARIO'!E303</f>
        <v>CHAROLA</v>
      </c>
      <c r="F303" s="167" t="str">
        <f>'030523 INVENTARIO'!F303</f>
        <v>CHAROLA DE METAL PARA ESTANTE 91X30</v>
      </c>
      <c r="G303" s="167" t="str">
        <f ca="1">'030523 INVENTARIO'!G303</f>
        <v>P02PP-0302</v>
      </c>
      <c r="H303" s="167" t="str">
        <f>'030523 INVENTARIO'!J303</f>
        <v>P02PP-0301</v>
      </c>
      <c r="I303" s="167" t="str">
        <f>'030523 INVENTARIO'!K303</f>
        <v>PB2PP-027</v>
      </c>
      <c r="J303" s="167" t="str">
        <f>'030523 INVENTARIO'!L303</f>
        <v>P0P-29</v>
      </c>
      <c r="K303" s="167" t="str">
        <f>'030523 INVENTARIO'!M303</f>
        <v>2110200030-35</v>
      </c>
      <c r="L303" s="168">
        <f>'030523 INVENTARIO'!N303</f>
        <v>0</v>
      </c>
      <c r="M303" s="168">
        <f>'030523 INVENTARIO'!O303</f>
        <v>0</v>
      </c>
      <c r="N303" s="168" t="str">
        <f>'030523 INVENTARIO'!P303</f>
        <v>OK</v>
      </c>
      <c r="O303" s="168" t="str">
        <f>'030523 INVENTARIO'!Q303</f>
        <v>S/M</v>
      </c>
      <c r="P303" s="167" t="str">
        <f>'030523 INVENTARIO'!R303</f>
        <v>S/M</v>
      </c>
      <c r="Q303" s="168" t="str">
        <f>'030523 INVENTARIO'!S303</f>
        <v>SIN SERIE</v>
      </c>
      <c r="R303" s="168" t="str">
        <f>'030523 INVENTARIO'!T303</f>
        <v>82DJ0519010048000533123</v>
      </c>
    </row>
    <row r="304" spans="5:18">
      <c r="E304" s="167" t="str">
        <f>'030523 INVENTARIO'!E304</f>
        <v>CHAROLA</v>
      </c>
      <c r="F304" s="167" t="str">
        <f>'030523 INVENTARIO'!F304</f>
        <v>CHAROLA DE METAL PARA ESTANTE 91X30</v>
      </c>
      <c r="G304" s="167" t="str">
        <f ca="1">'030523 INVENTARIO'!G304</f>
        <v>P02PP-0303</v>
      </c>
      <c r="H304" s="167" t="str">
        <f>'030523 INVENTARIO'!J304</f>
        <v>P02PP-0302</v>
      </c>
      <c r="I304" s="167" t="str">
        <f>'030523 INVENTARIO'!K304</f>
        <v>PB2PP-028</v>
      </c>
      <c r="J304" s="167" t="str">
        <f>'030523 INVENTARIO'!L304</f>
        <v>P0P-32</v>
      </c>
      <c r="K304" s="167" t="str">
        <f>'030523 INVENTARIO'!M304</f>
        <v>2110200030-91</v>
      </c>
      <c r="L304" s="168">
        <f>'030523 INVENTARIO'!N304</f>
        <v>0</v>
      </c>
      <c r="M304" s="168">
        <f>'030523 INVENTARIO'!O304</f>
        <v>0</v>
      </c>
      <c r="N304" s="168" t="str">
        <f>'030523 INVENTARIO'!P304</f>
        <v>OK</v>
      </c>
      <c r="O304" s="168" t="str">
        <f>'030523 INVENTARIO'!Q304</f>
        <v>S/M</v>
      </c>
      <c r="P304" s="167" t="str">
        <f>'030523 INVENTARIO'!R304</f>
        <v>S/M</v>
      </c>
      <c r="Q304" s="168" t="str">
        <f>'030523 INVENTARIO'!S304</f>
        <v>SIN SERIE</v>
      </c>
      <c r="R304" s="168" t="str">
        <f>'030523 INVENTARIO'!T304</f>
        <v>82DJ0519010048000533126</v>
      </c>
    </row>
    <row r="305" spans="5:18">
      <c r="E305" s="167" t="str">
        <f>'030523 INVENTARIO'!E305</f>
        <v>ESTANTE O ANAQUEL</v>
      </c>
      <c r="F305" s="167" t="str">
        <f>'030523 INVENTARIO'!F305</f>
        <v>ESTANTE  METALICO CON 5 CHAROLAS</v>
      </c>
      <c r="G305" s="167" t="str">
        <f ca="1">'030523 INVENTARIO'!G305</f>
        <v>P02PP-0304</v>
      </c>
      <c r="H305" s="167" t="str">
        <f>'030523 INVENTARIO'!J305</f>
        <v>P02PP-0303</v>
      </c>
      <c r="I305" s="167" t="str">
        <f>'030523 INVENTARIO'!K305</f>
        <v>PB2PP-029</v>
      </c>
      <c r="J305" s="167" t="str">
        <f>'030523 INVENTARIO'!L305</f>
        <v>P0P-21</v>
      </c>
      <c r="K305" s="167" t="str">
        <f>'030523 INVENTARIO'!M305</f>
        <v>2110200030-27</v>
      </c>
      <c r="L305" s="168">
        <f>'030523 INVENTARIO'!N305</f>
        <v>0</v>
      </c>
      <c r="M305" s="168">
        <f>'030523 INVENTARIO'!O305</f>
        <v>0</v>
      </c>
      <c r="N305" s="168" t="str">
        <f>'030523 INVENTARIO'!P305</f>
        <v>OK</v>
      </c>
      <c r="O305" s="168" t="str">
        <f>'030523 INVENTARIO'!Q305</f>
        <v>S/M</v>
      </c>
      <c r="P305" s="167" t="str">
        <f>'030523 INVENTARIO'!R305</f>
        <v>S/M</v>
      </c>
      <c r="Q305" s="168" t="str">
        <f>'030523 INVENTARIO'!S305</f>
        <v>SIN SERIE</v>
      </c>
      <c r="R305" s="168" t="str">
        <f>'030523 INVENTARIO'!T305</f>
        <v>82DJ0511010028000532103</v>
      </c>
    </row>
    <row r="306" spans="5:18">
      <c r="E306" s="167" t="str">
        <f>'030523 INVENTARIO'!E306</f>
        <v>CHAROLA</v>
      </c>
      <c r="F306" s="167" t="str">
        <f>'030523 INVENTARIO'!F306</f>
        <v>CHAROLA DE METAL PARA ESTANTE 91X30</v>
      </c>
      <c r="G306" s="167" t="str">
        <f ca="1">'030523 INVENTARIO'!G306</f>
        <v>P02PP-0305</v>
      </c>
      <c r="H306" s="167" t="str">
        <f>'030523 INVENTARIO'!J306</f>
        <v>P02PP-0304</v>
      </c>
      <c r="I306" s="167" t="str">
        <f>'030523 INVENTARIO'!K306</f>
        <v>PB2PP-030</v>
      </c>
      <c r="J306" s="167" t="str">
        <f>'030523 INVENTARIO'!L306</f>
        <v>P0P-27</v>
      </c>
      <c r="K306" s="167" t="str">
        <f>'030523 INVENTARIO'!M306</f>
        <v>2110200030-33</v>
      </c>
      <c r="L306" s="168">
        <f>'030523 INVENTARIO'!N306</f>
        <v>0</v>
      </c>
      <c r="M306" s="168">
        <f>'030523 INVENTARIO'!O306</f>
        <v>0</v>
      </c>
      <c r="N306" s="168" t="str">
        <f>'030523 INVENTARIO'!P306</f>
        <v>OK</v>
      </c>
      <c r="O306" s="168" t="str">
        <f>'030523 INVENTARIO'!Q306</f>
        <v>S/M</v>
      </c>
      <c r="P306" s="167" t="str">
        <f>'030523 INVENTARIO'!R306</f>
        <v>S/M</v>
      </c>
      <c r="Q306" s="168" t="str">
        <f>'030523 INVENTARIO'!S306</f>
        <v>SIN SERIE</v>
      </c>
      <c r="R306" s="168" t="str">
        <f>'030523 INVENTARIO'!T306</f>
        <v>82DJ0519010048000539139</v>
      </c>
    </row>
    <row r="307" spans="5:18">
      <c r="E307" s="167" t="str">
        <f>'030523 INVENTARIO'!E307</f>
        <v>CHAROLA</v>
      </c>
      <c r="F307" s="167" t="str">
        <f>'030523 INVENTARIO'!F307</f>
        <v>CHAROLA DE METAL PARA ESTANTE 91X30</v>
      </c>
      <c r="G307" s="167" t="str">
        <f ca="1">'030523 INVENTARIO'!G307</f>
        <v>P02PP-0306</v>
      </c>
      <c r="H307" s="167" t="str">
        <f>'030523 INVENTARIO'!J307</f>
        <v>P02PP-0305</v>
      </c>
      <c r="I307" s="167" t="str">
        <f>'030523 INVENTARIO'!K307</f>
        <v>PB2PP-031</v>
      </c>
      <c r="J307" s="167" t="str">
        <f>'030523 INVENTARIO'!L307</f>
        <v>P0P-28</v>
      </c>
      <c r="K307" s="167" t="str">
        <f>'030523 INVENTARIO'!M307</f>
        <v>2110200030-34</v>
      </c>
      <c r="L307" s="168">
        <f>'030523 INVENTARIO'!N307</f>
        <v>0</v>
      </c>
      <c r="M307" s="168">
        <f>'030523 INVENTARIO'!O307</f>
        <v>0</v>
      </c>
      <c r="N307" s="168" t="str">
        <f>'030523 INVENTARIO'!P307</f>
        <v>OK</v>
      </c>
      <c r="O307" s="168" t="str">
        <f>'030523 INVENTARIO'!Q307</f>
        <v>S/M</v>
      </c>
      <c r="P307" s="167" t="str">
        <f>'030523 INVENTARIO'!R307</f>
        <v>S/M</v>
      </c>
      <c r="Q307" s="168" t="str">
        <f>'030523 INVENTARIO'!S307</f>
        <v>SIN SERIE</v>
      </c>
      <c r="R307" s="168" t="str">
        <f>'030523 INVENTARIO'!T307</f>
        <v>82DJ0519010048000579123</v>
      </c>
    </row>
    <row r="308" spans="5:18">
      <c r="E308" s="167" t="str">
        <f>'030523 INVENTARIO'!E308</f>
        <v>ESTANTE O ANAQUEL</v>
      </c>
      <c r="F308" s="167" t="str">
        <f>'030523 INVENTARIO'!F308</f>
        <v>ESTANTE  METALICO CON 5 CHAROLAS</v>
      </c>
      <c r="G308" s="167" t="str">
        <f ca="1">'030523 INVENTARIO'!G308</f>
        <v>P02PP-0307</v>
      </c>
      <c r="H308" s="167" t="str">
        <f>'030523 INVENTARIO'!J308</f>
        <v>P02PP-0306</v>
      </c>
      <c r="I308" s="167" t="str">
        <f>'030523 INVENTARIO'!K308</f>
        <v>PB2PP-032</v>
      </c>
      <c r="J308" s="167" t="str">
        <f>'030523 INVENTARIO'!L308</f>
        <v>P0P-24</v>
      </c>
      <c r="K308" s="167" t="str">
        <f>'030523 INVENTARIO'!M308</f>
        <v>2110200030-30</v>
      </c>
      <c r="L308" s="168">
        <f>'030523 INVENTARIO'!N308</f>
        <v>0</v>
      </c>
      <c r="M308" s="168">
        <f>'030523 INVENTARIO'!O308</f>
        <v>0</v>
      </c>
      <c r="N308" s="168" t="str">
        <f>'030523 INVENTARIO'!P308</f>
        <v>OK</v>
      </c>
      <c r="O308" s="168" t="str">
        <f>'030523 INVENTARIO'!Q308</f>
        <v>S/M</v>
      </c>
      <c r="P308" s="167" t="str">
        <f>'030523 INVENTARIO'!R308</f>
        <v>S/M</v>
      </c>
      <c r="Q308" s="168" t="str">
        <f>'030523 INVENTARIO'!S308</f>
        <v>SIN SERIE</v>
      </c>
      <c r="R308" s="168" t="str">
        <f>'030523 INVENTARIO'!T308</f>
        <v>82DJ0511010028000539031</v>
      </c>
    </row>
    <row r="309" spans="5:18">
      <c r="E309" s="167" t="str">
        <f>'030523 INVENTARIO'!E309</f>
        <v>CHAROLA</v>
      </c>
      <c r="F309" s="167" t="str">
        <f>'030523 INVENTARIO'!F309</f>
        <v>CHAROLA DE METAL PARA ESTANTE 91X30</v>
      </c>
      <c r="G309" s="167" t="str">
        <f ca="1">'030523 INVENTARIO'!G309</f>
        <v>P02PP-0308</v>
      </c>
      <c r="H309" s="167" t="str">
        <f>'030523 INVENTARIO'!J309</f>
        <v>P02PP-0307</v>
      </c>
      <c r="I309" s="167" t="str">
        <f>'030523 INVENTARIO'!K309</f>
        <v>PB2PP-033</v>
      </c>
      <c r="J309" s="167" t="str">
        <f>'030523 INVENTARIO'!L309</f>
        <v>P0P-25</v>
      </c>
      <c r="K309" s="167" t="str">
        <f>'030523 INVENTARIO'!M309</f>
        <v>2110200030-31</v>
      </c>
      <c r="L309" s="168">
        <f>'030523 INVENTARIO'!N309</f>
        <v>0</v>
      </c>
      <c r="M309" s="168">
        <f>'030523 INVENTARIO'!O309</f>
        <v>0</v>
      </c>
      <c r="N309" s="168" t="str">
        <f>'030523 INVENTARIO'!P309</f>
        <v>OK</v>
      </c>
      <c r="O309" s="168" t="str">
        <f>'030523 INVENTARIO'!Q309</f>
        <v>S/M</v>
      </c>
      <c r="P309" s="167" t="str">
        <f>'030523 INVENTARIO'!R309</f>
        <v>S/M</v>
      </c>
      <c r="Q309" s="168" t="str">
        <f>'030523 INVENTARIO'!S309</f>
        <v>SIN SERIE</v>
      </c>
      <c r="R309" s="168" t="str">
        <f>'030523 INVENTARIO'!T309</f>
        <v>82DJ0519010048000579126</v>
      </c>
    </row>
    <row r="310" spans="5:18">
      <c r="E310" s="167" t="str">
        <f>'030523 INVENTARIO'!E310</f>
        <v>CHAROLA</v>
      </c>
      <c r="F310" s="167" t="str">
        <f>'030523 INVENTARIO'!F310</f>
        <v>CHAROLA DE METAL PARA ESTANTE 91X30</v>
      </c>
      <c r="G310" s="167" t="str">
        <f ca="1">'030523 INVENTARIO'!G310</f>
        <v>P02PP-0309</v>
      </c>
      <c r="H310" s="167" t="str">
        <f>'030523 INVENTARIO'!J310</f>
        <v>P02PP-0308</v>
      </c>
      <c r="I310" s="167" t="str">
        <f>'030523 INVENTARIO'!K310</f>
        <v>PB2PP-034</v>
      </c>
      <c r="J310" s="167" t="str">
        <f>'030523 INVENTARIO'!L310</f>
        <v>P0P-26</v>
      </c>
      <c r="K310" s="167" t="str">
        <f>'030523 INVENTARIO'!M310</f>
        <v>2110200030-32</v>
      </c>
      <c r="L310" s="168">
        <f>'030523 INVENTARIO'!N310</f>
        <v>0</v>
      </c>
      <c r="M310" s="168">
        <f>'030523 INVENTARIO'!O310</f>
        <v>0</v>
      </c>
      <c r="N310" s="168" t="str">
        <f>'030523 INVENTARIO'!P310</f>
        <v>OK</v>
      </c>
      <c r="O310" s="168" t="str">
        <f>'030523 INVENTARIO'!Q310</f>
        <v>S/M</v>
      </c>
      <c r="P310" s="167" t="str">
        <f>'030523 INVENTARIO'!R310</f>
        <v>S/M</v>
      </c>
      <c r="Q310" s="168" t="str">
        <f>'030523 INVENTARIO'!S310</f>
        <v>SIN SERIE</v>
      </c>
      <c r="R310" s="168" t="str">
        <f>'030523 INVENTARIO'!T310</f>
        <v>82DJ0519010048000539144</v>
      </c>
    </row>
    <row r="311" spans="5:18">
      <c r="E311" s="167" t="str">
        <f>'030523 INVENTARIO'!E311</f>
        <v>ESTANTE O ANAQUEL</v>
      </c>
      <c r="F311" s="167" t="str">
        <f>'030523 INVENTARIO'!F311</f>
        <v>ESTANTE  METALICO CON 5 CHAROLAS</v>
      </c>
      <c r="G311" s="167" t="str">
        <f ca="1">'030523 INVENTARIO'!G311</f>
        <v>P02PP-0310</v>
      </c>
      <c r="H311" s="167" t="str">
        <f>'030523 INVENTARIO'!J311</f>
        <v>P02PP-0309</v>
      </c>
      <c r="I311" s="167" t="str">
        <f>'030523 INVENTARIO'!K311</f>
        <v>PB2PP-035</v>
      </c>
      <c r="J311" s="167" t="str">
        <f>'030523 INVENTARIO'!L311</f>
        <v>P0P-30</v>
      </c>
      <c r="K311" s="167" t="str">
        <f>'030523 INVENTARIO'!M311</f>
        <v>2110200030-36</v>
      </c>
      <c r="L311" s="168">
        <f>'030523 INVENTARIO'!N311</f>
        <v>0</v>
      </c>
      <c r="M311" s="168">
        <f>'030523 INVENTARIO'!O311</f>
        <v>0</v>
      </c>
      <c r="N311" s="168" t="str">
        <f>'030523 INVENTARIO'!P311</f>
        <v>OK</v>
      </c>
      <c r="O311" s="168" t="str">
        <f>'030523 INVENTARIO'!Q311</f>
        <v>S/M</v>
      </c>
      <c r="P311" s="167" t="str">
        <f>'030523 INVENTARIO'!R311</f>
        <v>S/M</v>
      </c>
      <c r="Q311" s="168" t="str">
        <f>'030523 INVENTARIO'!S311</f>
        <v>SIN SERIE</v>
      </c>
      <c r="R311" s="168" t="str">
        <f>'030523 INVENTARIO'!T311</f>
        <v>82DJ0511010028000524607</v>
      </c>
    </row>
    <row r="312" spans="5:18">
      <c r="E312" s="167" t="str">
        <f>'030523 INVENTARIO'!E312</f>
        <v>CHAROLA</v>
      </c>
      <c r="F312" s="167" t="str">
        <f>'030523 INVENTARIO'!F312</f>
        <v>CHAROLA DE METAL PARA ESTANTE 91X30</v>
      </c>
      <c r="G312" s="167" t="str">
        <f ca="1">'030523 INVENTARIO'!G312</f>
        <v>P02PP-0311</v>
      </c>
      <c r="H312" s="167" t="str">
        <f>'030523 INVENTARIO'!J312</f>
        <v>P02PP-0310</v>
      </c>
      <c r="I312" s="167" t="str">
        <f>'030523 INVENTARIO'!K312</f>
        <v>PB2PP-036</v>
      </c>
      <c r="J312" s="167" t="str">
        <f>'030523 INVENTARIO'!L312</f>
        <v>P0P-33</v>
      </c>
      <c r="K312" s="167" t="str">
        <f>'030523 INVENTARIO'!M312</f>
        <v>2110200030-92</v>
      </c>
      <c r="L312" s="168">
        <f>'030523 INVENTARIO'!N312</f>
        <v>0</v>
      </c>
      <c r="M312" s="168">
        <f>'030523 INVENTARIO'!O312</f>
        <v>0</v>
      </c>
      <c r="N312" s="168" t="str">
        <f>'030523 INVENTARIO'!P312</f>
        <v>OK</v>
      </c>
      <c r="O312" s="168" t="str">
        <f>'030523 INVENTARIO'!Q312</f>
        <v>S/M</v>
      </c>
      <c r="P312" s="167" t="str">
        <f>'030523 INVENTARIO'!R312</f>
        <v>S/M</v>
      </c>
      <c r="Q312" s="168" t="str">
        <f>'030523 INVENTARIO'!S312</f>
        <v>SIN SERIE</v>
      </c>
      <c r="R312" s="168" t="str">
        <f>'030523 INVENTARIO'!T312</f>
        <v>82DJ0519010048000533125</v>
      </c>
    </row>
    <row r="313" spans="5:18">
      <c r="E313" s="167" t="str">
        <f>'030523 INVENTARIO'!E313</f>
        <v>SILLA</v>
      </c>
      <c r="F313" s="167" t="str">
        <f>'030523 INVENTARIO'!F313</f>
        <v>SILLA CAFE DE PIEL FIJA</v>
      </c>
      <c r="G313" s="167" t="str">
        <f ca="1">'030523 INVENTARIO'!G313</f>
        <v>P02PP-0312</v>
      </c>
      <c r="H313" s="167" t="str">
        <f>'030523 INVENTARIO'!J313</f>
        <v>P02PP-0311</v>
      </c>
      <c r="I313" s="167" t="str">
        <f>'030523 INVENTARIO'!K313</f>
        <v>PB2PP-037</v>
      </c>
      <c r="J313" s="167" t="str">
        <f>'030523 INVENTARIO'!L313</f>
        <v>P0P-2</v>
      </c>
      <c r="K313" s="167" t="str">
        <f>'030523 INVENTARIO'!M313</f>
        <v>5110100011-104</v>
      </c>
      <c r="L313" s="168">
        <f>'030523 INVENTARIO'!N313</f>
        <v>0</v>
      </c>
      <c r="M313" s="168">
        <f>'030523 INVENTARIO'!O313</f>
        <v>0</v>
      </c>
      <c r="N313" s="168" t="str">
        <f>'030523 INVENTARIO'!P313</f>
        <v>OK</v>
      </c>
      <c r="O313" s="168" t="str">
        <f>'030523 INVENTARIO'!Q313</f>
        <v>S/M</v>
      </c>
      <c r="P313" s="167" t="str">
        <f>'030523 INVENTARIO'!R313</f>
        <v>S/M</v>
      </c>
      <c r="Q313" s="168" t="str">
        <f>'030523 INVENTARIO'!S313</f>
        <v>SIN SERIE</v>
      </c>
      <c r="R313" s="168" t="str">
        <f>'030523 INVENTARIO'!T313</f>
        <v>82DJ0511010017000649637</v>
      </c>
    </row>
    <row r="314" spans="5:18">
      <c r="E314" s="167" t="str">
        <f>'030523 INVENTARIO'!E314</f>
        <v>ARCHIVERO</v>
      </c>
      <c r="F314" s="167" t="str">
        <f>'030523 INVENTARIO'!F314</f>
        <v>ARCHIVERO METALICO DE 3 CAJONES</v>
      </c>
      <c r="G314" s="167" t="str">
        <f ca="1">'030523 INVENTARIO'!G314</f>
        <v>P02PP-0313</v>
      </c>
      <c r="H314" s="167" t="str">
        <f>'030523 INVENTARIO'!J314</f>
        <v>P02PP-0312</v>
      </c>
      <c r="I314" s="167" t="str">
        <f>'030523 INVENTARIO'!K314</f>
        <v>PB2PP-038</v>
      </c>
      <c r="J314" s="167" t="str">
        <f>'030523 INVENTARIO'!L314</f>
        <v>P0P-7</v>
      </c>
      <c r="K314" s="167" t="str">
        <f>'030523 INVENTARIO'!M314</f>
        <v>5130100013-36</v>
      </c>
      <c r="L314" s="168">
        <f>'030523 INVENTARIO'!N314</f>
        <v>0</v>
      </c>
      <c r="M314" s="168">
        <f>'030523 INVENTARIO'!O314</f>
        <v>0</v>
      </c>
      <c r="N314" s="168" t="str">
        <f>'030523 INVENTARIO'!P314</f>
        <v>OK</v>
      </c>
      <c r="O314" s="168" t="str">
        <f>'030523 INVENTARIO'!Q314</f>
        <v>S/M</v>
      </c>
      <c r="P314" s="167" t="str">
        <f>'030523 INVENTARIO'!R314</f>
        <v>S/M</v>
      </c>
      <c r="Q314" s="168" t="str">
        <f>'030523 INVENTARIO'!S314</f>
        <v>SIN SERIE</v>
      </c>
      <c r="R314" s="168" t="str">
        <f>'030523 INVENTARIO'!T314</f>
        <v>82DJ0511010001000649583</v>
      </c>
    </row>
    <row r="315" spans="5:18">
      <c r="E315" s="167" t="str">
        <f>'030523 INVENTARIO'!E315</f>
        <v>MESA</v>
      </c>
      <c r="F315" s="167" t="str">
        <f>'030523 INVENTARIO'!F315</f>
        <v>MESA DE MADERA BLANCA CON BASE DE METAL</v>
      </c>
      <c r="G315" s="167" t="str">
        <f ca="1">'030523 INVENTARIO'!G315</f>
        <v>P02PP-0314</v>
      </c>
      <c r="H315" s="167" t="str">
        <f>'030523 INVENTARIO'!J315</f>
        <v>P02PP-0313</v>
      </c>
      <c r="I315" s="167" t="str">
        <f>'030523 INVENTARIO'!K315</f>
        <v>PB2PP-039</v>
      </c>
      <c r="J315" s="167" t="str">
        <f>'030523 INVENTARIO'!L315</f>
        <v>P0P-3</v>
      </c>
      <c r="K315" s="167" t="str">
        <f>'030523 INVENTARIO'!M315</f>
        <v>5120100007-113</v>
      </c>
      <c r="L315" s="168">
        <f>'030523 INVENTARIO'!N315</f>
        <v>0</v>
      </c>
      <c r="M315" s="168">
        <f>'030523 INVENTARIO'!O315</f>
        <v>0</v>
      </c>
      <c r="N315" s="168" t="str">
        <f>'030523 INVENTARIO'!P315</f>
        <v>OK</v>
      </c>
      <c r="O315" s="168" t="str">
        <f>'030523 INVENTARIO'!Q315</f>
        <v>S/M</v>
      </c>
      <c r="P315" s="167" t="str">
        <f>'030523 INVENTARIO'!R315</f>
        <v>S/M</v>
      </c>
      <c r="Q315" s="168" t="str">
        <f>'030523 INVENTARIO'!S315</f>
        <v>SIN SERIE</v>
      </c>
      <c r="R315" s="168" t="str">
        <f>'030523 INVENTARIO'!T315</f>
        <v>82DJ0511010010000649581</v>
      </c>
    </row>
    <row r="316" spans="5:18">
      <c r="E316" s="167" t="str">
        <f>'030523 INVENTARIO'!E316</f>
        <v>MESA</v>
      </c>
      <c r="F316" s="167" t="str">
        <f>'030523 INVENTARIO'!F316</f>
        <v>MESA DE MADERA CON PORTA TECLADO</v>
      </c>
      <c r="G316" s="167" t="str">
        <f ca="1">'030523 INVENTARIO'!G316</f>
        <v>P02PP-0315</v>
      </c>
      <c r="H316" s="167" t="str">
        <f>'030523 INVENTARIO'!J316</f>
        <v>P02PP-0314</v>
      </c>
      <c r="I316" s="167" t="str">
        <f>'030523 INVENTARIO'!K316</f>
        <v>PB2PP-040</v>
      </c>
      <c r="J316" s="167" t="str">
        <f>'030523 INVENTARIO'!L316</f>
        <v>P0P-6</v>
      </c>
      <c r="K316" s="167" t="str">
        <f>'030523 INVENTARIO'!M316</f>
        <v>5120100007-114</v>
      </c>
      <c r="L316" s="168">
        <f>'030523 INVENTARIO'!N316</f>
        <v>0</v>
      </c>
      <c r="M316" s="168">
        <f>'030523 INVENTARIO'!O316</f>
        <v>0</v>
      </c>
      <c r="N316" s="168" t="str">
        <f>'030523 INVENTARIO'!P316</f>
        <v>OK</v>
      </c>
      <c r="O316" s="168" t="str">
        <f>'030523 INVENTARIO'!Q316</f>
        <v>S/M</v>
      </c>
      <c r="P316" s="167" t="str">
        <f>'030523 INVENTARIO'!R316</f>
        <v>S/M</v>
      </c>
      <c r="Q316" s="168" t="str">
        <f>'030523 INVENTARIO'!S316</f>
        <v>SIN SERIE</v>
      </c>
      <c r="R316" s="168" t="str">
        <f>'030523 INVENTARIO'!T316</f>
        <v>82DJ0531010065000564830</v>
      </c>
    </row>
    <row r="317" spans="5:18">
      <c r="E317" s="167" t="str">
        <f>'030523 INVENTARIO'!E317</f>
        <v>SILLON</v>
      </c>
      <c r="F317" s="167" t="str">
        <f>'030523 INVENTARIO'!F317</f>
        <v>SILLON DE PIEL NEGRO CON RUEDAS</v>
      </c>
      <c r="G317" s="167" t="str">
        <f ca="1">'030523 INVENTARIO'!G317</f>
        <v>P02PP-0316</v>
      </c>
      <c r="H317" s="167" t="str">
        <f>'030523 INVENTARIO'!J317</f>
        <v>P02PP-0315</v>
      </c>
      <c r="I317" s="167" t="str">
        <f>'030523 INVENTARIO'!K317</f>
        <v>PB2PP-041</v>
      </c>
      <c r="J317" s="167" t="str">
        <f>'030523 INVENTARIO'!L317</f>
        <v>P0P-5</v>
      </c>
      <c r="K317" s="167" t="str">
        <f>'030523 INVENTARIO'!M317</f>
        <v>5120100009-56</v>
      </c>
      <c r="L317" s="168">
        <f>'030523 INVENTARIO'!N317</f>
        <v>0</v>
      </c>
      <c r="M317" s="168">
        <f>'030523 INVENTARIO'!O317</f>
        <v>0</v>
      </c>
      <c r="N317" s="168" t="str">
        <f>'030523 INVENTARIO'!P317</f>
        <v>OK</v>
      </c>
      <c r="O317" s="168" t="str">
        <f>'030523 INVENTARIO'!Q317</f>
        <v>S/M</v>
      </c>
      <c r="P317" s="167" t="str">
        <f>'030523 INVENTARIO'!R317</f>
        <v>S/M</v>
      </c>
      <c r="Q317" s="168" t="str">
        <f>'030523 INVENTARIO'!S317</f>
        <v>SIN SERIE</v>
      </c>
      <c r="R317" s="168" t="str">
        <f>'030523 INVENTARIO'!T317</f>
        <v>82DJ0511010016000539054</v>
      </c>
    </row>
    <row r="318" spans="5:18">
      <c r="E318" s="167" t="str">
        <f>'030523 INVENTARIO'!E318</f>
        <v>MONITOR</v>
      </c>
      <c r="F318" s="167" t="str">
        <f>'030523 INVENTARIO'!F318</f>
        <v>MONITOR 18"</v>
      </c>
      <c r="G318" s="167" t="str">
        <f ca="1">'030523 INVENTARIO'!G318</f>
        <v>P02PP-0317</v>
      </c>
      <c r="H318" s="167" t="str">
        <f>'030523 INVENTARIO'!J318</f>
        <v>P02PP-0316</v>
      </c>
      <c r="I318" s="167" t="str">
        <f>'030523 INVENTARIO'!K318</f>
        <v>PB2PP-042</v>
      </c>
      <c r="J318" s="167" t="str">
        <f>'030523 INVENTARIO'!L318</f>
        <v>P0P-4</v>
      </c>
      <c r="K318" s="167" t="str">
        <f>'030523 INVENTARIO'!M318</f>
        <v>5210100012-47</v>
      </c>
      <c r="L318" s="168">
        <f>'030523 INVENTARIO'!N318</f>
        <v>0</v>
      </c>
      <c r="M318" s="168">
        <f>'030523 INVENTARIO'!O318</f>
        <v>0</v>
      </c>
      <c r="N318" s="168" t="str">
        <f>'030523 INVENTARIO'!P318</f>
        <v>OK</v>
      </c>
      <c r="O318" s="168" t="str">
        <f>'030523 INVENTARIO'!Q318</f>
        <v>SAMSUNG</v>
      </c>
      <c r="P318" s="167" t="str">
        <f>'030523 INVENTARIO'!R318</f>
        <v>933SNPLUS</v>
      </c>
      <c r="Q318" s="168" t="str">
        <f>'030523 INVENTARIO'!S318</f>
        <v>SM19H9F5631409M</v>
      </c>
      <c r="R318" s="167" t="str">
        <f>'030523 INVENTARIO'!T318</f>
        <v>82DJ0515010013000649582</v>
      </c>
    </row>
    <row r="319" spans="5:18">
      <c r="E319" s="167" t="str">
        <f>'030523 INVENTARIO'!E319</f>
        <v>COMPUTADORA DE ESCRITORIO</v>
      </c>
      <c r="F319" s="167" t="str">
        <f>'030523 INVENTARIO'!F319</f>
        <v>COMPUTADORA DE ESCRITORIO</v>
      </c>
      <c r="G319" s="167" t="str">
        <f ca="1">'030523 INVENTARIO'!G319</f>
        <v>P02PP-0318</v>
      </c>
      <c r="H319" s="167" t="str">
        <f>'030523 INVENTARIO'!J319</f>
        <v>P02PP-0317</v>
      </c>
      <c r="I319" s="167" t="str">
        <f>'030523 INVENTARIO'!K319</f>
        <v>PB2PP-043</v>
      </c>
      <c r="J319" s="167" t="str">
        <f>'030523 INVENTARIO'!L319</f>
        <v>P0P-1</v>
      </c>
      <c r="K319" s="167" t="str">
        <f>'030523 INVENTARIO'!M319</f>
        <v>5150100005-64</v>
      </c>
      <c r="L319" s="168">
        <f>'030523 INVENTARIO'!N319</f>
        <v>0</v>
      </c>
      <c r="M319" s="168">
        <f>'030523 INVENTARIO'!O319</f>
        <v>0</v>
      </c>
      <c r="N319" s="168" t="str">
        <f>'030523 INVENTARIO'!P319</f>
        <v>OK</v>
      </c>
      <c r="O319" s="168" t="str">
        <f>'030523 INVENTARIO'!Q319</f>
        <v>HP</v>
      </c>
      <c r="P319" s="167" t="str">
        <f>'030523 INVENTARIO'!R319</f>
        <v>DC7800</v>
      </c>
      <c r="Q319" s="168" t="str">
        <f>'030523 INVENTARIO'!S319</f>
        <v>MXJ8190361</v>
      </c>
      <c r="R319" s="168" t="str">
        <f>'030523 INVENTARIO'!T319</f>
        <v>82DJ0515010001000539036</v>
      </c>
    </row>
    <row r="320" spans="5:18">
      <c r="E320" s="167" t="str">
        <f>'030523 INVENTARIO'!E320</f>
        <v>VENTILADOR</v>
      </c>
      <c r="F320" s="167" t="str">
        <f>'030523 INVENTARIO'!F320</f>
        <v>VENTILADOR BLANCO DE PEDESTAL</v>
      </c>
      <c r="G320" s="167" t="str">
        <f ca="1">'030523 INVENTARIO'!G320</f>
        <v>P02PP-0319</v>
      </c>
      <c r="H320" s="167" t="str">
        <f>'030523 INVENTARIO'!J320</f>
        <v>P02PP-0318</v>
      </c>
      <c r="I320" s="167" t="str">
        <f>'030523 INVENTARIO'!K320</f>
        <v>PB2PP-044</v>
      </c>
      <c r="J320" s="167" t="str">
        <f>'030523 INVENTARIO'!L320</f>
        <v>P0P-34</v>
      </c>
      <c r="K320" s="167" t="str">
        <f>'030523 INVENTARIO'!M320</f>
        <v>5190200002-43</v>
      </c>
      <c r="L320" s="168">
        <f>'030523 INVENTARIO'!N320</f>
        <v>0</v>
      </c>
      <c r="M320" s="168">
        <f>'030523 INVENTARIO'!O320</f>
        <v>0</v>
      </c>
      <c r="N320" s="168" t="str">
        <f>'030523 INVENTARIO'!P320</f>
        <v>OK</v>
      </c>
      <c r="O320" s="168" t="str">
        <f>'030523 INVENTARIO'!Q320</f>
        <v>MYTEK</v>
      </c>
      <c r="P320" s="167" t="str">
        <f>'030523 INVENTARIO'!R320</f>
        <v>MY0128</v>
      </c>
      <c r="Q320" s="168" t="str">
        <f>'030523 INVENTARIO'!S320</f>
        <v>SIN SERIE</v>
      </c>
      <c r="R320" s="167" t="str">
        <f>'030523 INVENTARIO'!T320</f>
        <v>82DJ0519010043000649640</v>
      </c>
    </row>
    <row r="321" spans="5:18">
      <c r="E321" s="167" t="str">
        <f>'030523 INVENTARIO'!E321</f>
        <v>SILLA</v>
      </c>
      <c r="F321" s="167" t="str">
        <f>'030523 INVENTARIO'!F321</f>
        <v>SILLA DE MADERA CON BASE DE METAL ESCOLAR</v>
      </c>
      <c r="G321" s="167" t="str">
        <f ca="1">'030523 INVENTARIO'!G321</f>
        <v>P02PP-0320</v>
      </c>
      <c r="H321" s="167" t="str">
        <f>'030523 INVENTARIO'!J321</f>
        <v>P02PP-0319</v>
      </c>
      <c r="I321" s="167" t="str">
        <f>'030523 INVENTARIO'!K321</f>
        <v>PB2PP-045</v>
      </c>
      <c r="J321" s="167">
        <f>'030523 INVENTARIO'!L321</f>
        <v>0</v>
      </c>
      <c r="K321" s="167" t="str">
        <f>'030523 INVENTARIO'!M321</f>
        <v>ALTA</v>
      </c>
      <c r="L321" s="168">
        <f>'030523 INVENTARIO'!N321</f>
        <v>0</v>
      </c>
      <c r="M321" s="168">
        <f>'030523 INVENTARIO'!O321</f>
        <v>0</v>
      </c>
      <c r="N321" s="168" t="str">
        <f>'030523 INVENTARIO'!P321</f>
        <v>REPETIDO</v>
      </c>
      <c r="O321" s="168" t="str">
        <f>'030523 INVENTARIO'!Q321</f>
        <v>S/M</v>
      </c>
      <c r="P321" s="167" t="str">
        <f>'030523 INVENTARIO'!R321</f>
        <v>S/M</v>
      </c>
      <c r="Q321" s="167" t="str">
        <f>'030523 INVENTARIO'!S321</f>
        <v>SIN SERIE</v>
      </c>
      <c r="R321" s="167" t="str">
        <f>'030523 INVENTARIO'!T321</f>
        <v>SIN RESGUARDO</v>
      </c>
    </row>
    <row r="322" spans="5:18">
      <c r="E322" s="167" t="str">
        <f>'030523 INVENTARIO'!E322</f>
        <v>SILLA</v>
      </c>
      <c r="F322" s="167" t="str">
        <f>'030523 INVENTARIO'!F322</f>
        <v>SILLA DE TELA CAFE CON BASE DE METAL</v>
      </c>
      <c r="G322" s="167" t="str">
        <f ca="1">'030523 INVENTARIO'!G322</f>
        <v>P02PP-0321</v>
      </c>
      <c r="H322" s="167" t="str">
        <f>'030523 INVENTARIO'!J322</f>
        <v>P02PP-0320</v>
      </c>
      <c r="I322" s="167" t="str">
        <f>'030523 INVENTARIO'!K322</f>
        <v>PB2PP-046</v>
      </c>
      <c r="J322" s="167">
        <f>'030523 INVENTARIO'!L322</f>
        <v>0</v>
      </c>
      <c r="K322" s="167" t="str">
        <f>'030523 INVENTARIO'!M322</f>
        <v>ALTA</v>
      </c>
      <c r="L322" s="168">
        <f>'030523 INVENTARIO'!N322</f>
        <v>0</v>
      </c>
      <c r="M322" s="168">
        <f>'030523 INVENTARIO'!O322</f>
        <v>0</v>
      </c>
      <c r="N322" s="168" t="str">
        <f>'030523 INVENTARIO'!P322</f>
        <v>REPETIDO</v>
      </c>
      <c r="O322" s="168" t="str">
        <f>'030523 INVENTARIO'!Q322</f>
        <v>S/M</v>
      </c>
      <c r="P322" s="167" t="str">
        <f>'030523 INVENTARIO'!R322</f>
        <v>S/M</v>
      </c>
      <c r="Q322" s="167" t="str">
        <f>'030523 INVENTARIO'!S322</f>
        <v>SIN SERIE</v>
      </c>
      <c r="R322" s="167" t="str">
        <f>'030523 INVENTARIO'!T322</f>
        <v>SIN RESGUARDO</v>
      </c>
    </row>
    <row r="323" spans="5:18">
      <c r="E323" s="167" t="str">
        <f>'030523 INVENTARIO'!E323</f>
        <v>REGULADOR DE VOLTAJE</v>
      </c>
      <c r="F323" s="167" t="str">
        <f>'030523 INVENTARIO'!F323</f>
        <v>REGULADOR</v>
      </c>
      <c r="G323" s="167" t="str">
        <f ca="1">'030523 INVENTARIO'!G323</f>
        <v>P02PP-0322</v>
      </c>
      <c r="H323" s="167" t="str">
        <f>'030523 INVENTARIO'!J323</f>
        <v>P02PP-0321</v>
      </c>
      <c r="I323" s="167" t="str">
        <f>'030523 INVENTARIO'!K323</f>
        <v>PB2PP-047</v>
      </c>
      <c r="J323" s="167" t="str">
        <f>'030523 INVENTARIO'!L323</f>
        <v>P0P-31</v>
      </c>
      <c r="K323" s="167" t="str">
        <f>'030523 INVENTARIO'!M323</f>
        <v>5660100057-19</v>
      </c>
      <c r="L323" s="168">
        <f>'030523 INVENTARIO'!N323</f>
        <v>0</v>
      </c>
      <c r="M323" s="168">
        <f>'030523 INVENTARIO'!O323</f>
        <v>0</v>
      </c>
      <c r="N323" s="168" t="str">
        <f>'030523 INVENTARIO'!P323</f>
        <v>OK</v>
      </c>
      <c r="O323" s="168" t="str">
        <f>'030523 INVENTARIO'!Q323</f>
        <v>KOBLENZ</v>
      </c>
      <c r="P323" s="167" t="str">
        <f>'030523 INVENTARIO'!R323</f>
        <v>RS1400I</v>
      </c>
      <c r="Q323" s="168" t="str">
        <f>'030523 INVENTARIO'!S323</f>
        <v>161039225</v>
      </c>
      <c r="R323" s="167" t="str">
        <f>'030523 INVENTARIO'!T323</f>
        <v>82DJ0515010020000650897</v>
      </c>
    </row>
    <row r="324" spans="5:18">
      <c r="E324" s="167" t="str">
        <f>'030523 INVENTARIO'!E324</f>
        <v>ESTANTE O ANAQUEL</v>
      </c>
      <c r="F324" s="167" t="str">
        <f>'030523 INVENTARIO'!F324</f>
        <v>ESTANTE METALICO NEGRO CON 3 CHAROLAS 92X45</v>
      </c>
      <c r="G324" s="167" t="str">
        <f ca="1">'030523 INVENTARIO'!G324</f>
        <v>P02PP-0323</v>
      </c>
      <c r="H324" s="167" t="str">
        <f>'030523 INVENTARIO'!J324</f>
        <v>P02PP-0322</v>
      </c>
      <c r="I324" s="167" t="str">
        <f>'030523 INVENTARIO'!K324</f>
        <v>PB2PP-048</v>
      </c>
      <c r="J324" s="167">
        <f>'030523 INVENTARIO'!L324</f>
        <v>0</v>
      </c>
      <c r="K324" s="167" t="str">
        <f>'030523 INVENTARIO'!M324</f>
        <v>ALTA</v>
      </c>
      <c r="L324" s="168">
        <f>'030523 INVENTARIO'!N324</f>
        <v>0</v>
      </c>
      <c r="M324" s="168">
        <f>'030523 INVENTARIO'!O324</f>
        <v>0</v>
      </c>
      <c r="N324" s="168" t="str">
        <f>'030523 INVENTARIO'!P324</f>
        <v>REPETIDO</v>
      </c>
      <c r="O324" s="168" t="str">
        <f>'030523 INVENTARIO'!Q324</f>
        <v>S/M</v>
      </c>
      <c r="P324" s="167" t="str">
        <f>'030523 INVENTARIO'!R324</f>
        <v>S/M</v>
      </c>
      <c r="Q324" s="167" t="str">
        <f>'030523 INVENTARIO'!S324</f>
        <v>SIN SERIE</v>
      </c>
      <c r="R324" s="167" t="str">
        <f>'030523 INVENTARIO'!T324</f>
        <v>SIN RESGUARDO</v>
      </c>
    </row>
    <row r="325" spans="5:18">
      <c r="E325" s="167" t="str">
        <f>'030523 INVENTARIO'!E325</f>
        <v>ESTANTE O ANAQUEL</v>
      </c>
      <c r="F325" s="167" t="str">
        <f>'030523 INVENTARIO'!F325</f>
        <v>ESTANTE METALICO CON 6 CHAROLAS 88X30</v>
      </c>
      <c r="G325" s="167" t="str">
        <f ca="1">'030523 INVENTARIO'!G325</f>
        <v>P02PP-0324</v>
      </c>
      <c r="H325" s="167" t="str">
        <f>'030523 INVENTARIO'!J325</f>
        <v>P02PP-0323</v>
      </c>
      <c r="I325" s="167" t="str">
        <f>'030523 INVENTARIO'!K325</f>
        <v>PB2PP-049</v>
      </c>
      <c r="J325" s="167">
        <f>'030523 INVENTARIO'!L325</f>
        <v>0</v>
      </c>
      <c r="K325" s="167" t="str">
        <f>'030523 INVENTARIO'!M325</f>
        <v>ALTA</v>
      </c>
      <c r="L325" s="168">
        <f>'030523 INVENTARIO'!N325</f>
        <v>0</v>
      </c>
      <c r="M325" s="168">
        <f>'030523 INVENTARIO'!O325</f>
        <v>0</v>
      </c>
      <c r="N325" s="168" t="str">
        <f>'030523 INVENTARIO'!P325</f>
        <v>REPETIDO</v>
      </c>
      <c r="O325" s="168" t="str">
        <f>'030523 INVENTARIO'!Q325</f>
        <v>S/M</v>
      </c>
      <c r="P325" s="167" t="str">
        <f>'030523 INVENTARIO'!R325</f>
        <v>S/M</v>
      </c>
      <c r="Q325" s="167" t="str">
        <f>'030523 INVENTARIO'!S325</f>
        <v>SIN SERIE</v>
      </c>
      <c r="R325" s="167" t="str">
        <f>'030523 INVENTARIO'!T325</f>
        <v>SIN RESGUARDO</v>
      </c>
    </row>
    <row r="326" spans="5:18">
      <c r="E326" s="167" t="str">
        <f>'030523 INVENTARIO'!E326</f>
        <v>ESTANTE O ANAQUEL</v>
      </c>
      <c r="F326" s="167" t="str">
        <f>'030523 INVENTARIO'!F326</f>
        <v>ESTANTE METALICO CON 7 CHAROLAS 88X30</v>
      </c>
      <c r="G326" s="167" t="str">
        <f ca="1">'030523 INVENTARIO'!G326</f>
        <v>P02PP-0325</v>
      </c>
      <c r="H326" s="167" t="str">
        <f>'030523 INVENTARIO'!J326</f>
        <v>P02PP-0324</v>
      </c>
      <c r="I326" s="167" t="str">
        <f>'030523 INVENTARIO'!K326</f>
        <v>PB2PP-050</v>
      </c>
      <c r="J326" s="167">
        <f>'030523 INVENTARIO'!L326</f>
        <v>0</v>
      </c>
      <c r="K326" s="167" t="str">
        <f>'030523 INVENTARIO'!M326</f>
        <v>ALTA</v>
      </c>
      <c r="L326" s="168">
        <f>'030523 INVENTARIO'!N326</f>
        <v>0</v>
      </c>
      <c r="M326" s="168">
        <f>'030523 INVENTARIO'!O326</f>
        <v>0</v>
      </c>
      <c r="N326" s="168" t="str">
        <f>'030523 INVENTARIO'!P326</f>
        <v>REPETIDO</v>
      </c>
      <c r="O326" s="168" t="str">
        <f>'030523 INVENTARIO'!Q326</f>
        <v>S/M</v>
      </c>
      <c r="P326" s="167" t="str">
        <f>'030523 INVENTARIO'!R326</f>
        <v>S/M</v>
      </c>
      <c r="Q326" s="167" t="str">
        <f>'030523 INVENTARIO'!S326</f>
        <v>SIN SERIE</v>
      </c>
      <c r="R326" s="167" t="str">
        <f>'030523 INVENTARIO'!T326</f>
        <v>SIN RESGUARDO</v>
      </c>
    </row>
    <row r="327" spans="5:18">
      <c r="E327" s="167" t="str">
        <f>'030523 INVENTARIO'!E327</f>
        <v>ESTANTE O ANAQUEL</v>
      </c>
      <c r="F327" s="167" t="str">
        <f>'030523 INVENTARIO'!F327</f>
        <v>ANAQUEL DE METAL DOS PUERTAS GRIS 183X92X46</v>
      </c>
      <c r="G327" s="167" t="str">
        <f ca="1">'030523 INVENTARIO'!G327</f>
        <v>P12SI-0326</v>
      </c>
      <c r="H327" s="167" t="str">
        <f>'030523 INVENTARIO'!J327</f>
        <v>P12SI-0325</v>
      </c>
      <c r="I327" s="167" t="str">
        <f>'030523 INVENTARIO'!K327</f>
        <v>P12SI-001</v>
      </c>
      <c r="J327" s="167" t="str">
        <f>'030523 INVENTARIO'!L327</f>
        <v>P1SI-10</v>
      </c>
      <c r="K327" s="167" t="str">
        <f>'030523 INVENTARIO'!M327</f>
        <v>5290300001-26</v>
      </c>
      <c r="L327" s="168">
        <f>'030523 INVENTARIO'!N327</f>
        <v>0</v>
      </c>
      <c r="M327" s="168">
        <f>'030523 INVENTARIO'!O327</f>
        <v>0</v>
      </c>
      <c r="N327" s="168" t="str">
        <f>'030523 INVENTARIO'!P327</f>
        <v>OK</v>
      </c>
      <c r="O327" s="168" t="str">
        <f>'030523 INVENTARIO'!Q327</f>
        <v>S/M</v>
      </c>
      <c r="P327" s="167" t="str">
        <f>'030523 INVENTARIO'!R327</f>
        <v>S/M</v>
      </c>
      <c r="Q327" s="168" t="str">
        <f>'030523 INVENTARIO'!S327</f>
        <v>SIN SERIE</v>
      </c>
      <c r="R327" s="168" t="str">
        <f>'030523 INVENTARIO'!T327</f>
        <v>82DH0511010009000564545</v>
      </c>
    </row>
    <row r="328" spans="5:18">
      <c r="E328" s="167" t="str">
        <f>'030523 INVENTARIO'!E328</f>
        <v>ESCRITORIO</v>
      </c>
      <c r="F328" s="168" t="str">
        <f>'030523 INVENTARIO'!F328</f>
        <v>ESCRITORIO CON 6 CAJONES</v>
      </c>
      <c r="G328" s="167" t="str">
        <f ca="1">'030523 INVENTARIO'!G328</f>
        <v>P12SI-0327</v>
      </c>
      <c r="H328" s="167" t="str">
        <f>'030523 INVENTARIO'!J328</f>
        <v>P12SI-0326</v>
      </c>
      <c r="I328" s="167" t="str">
        <f>'030523 INVENTARIO'!K328</f>
        <v>P12SI-002</v>
      </c>
      <c r="J328" s="167" t="str">
        <f>'030523 INVENTARIO'!L328</f>
        <v>P1SI-31</v>
      </c>
      <c r="K328" s="167" t="str">
        <f>'030523 INVENTARIO'!M328</f>
        <v>5120100007-120</v>
      </c>
      <c r="L328" s="168">
        <f>'030523 INVENTARIO'!N328</f>
        <v>0</v>
      </c>
      <c r="M328" s="168">
        <f>'030523 INVENTARIO'!O328</f>
        <v>0</v>
      </c>
      <c r="N328" s="168" t="str">
        <f>'030523 INVENTARIO'!P328</f>
        <v>OK</v>
      </c>
      <c r="O328" s="168" t="str">
        <f>'030523 INVENTARIO'!Q328</f>
        <v>S/M</v>
      </c>
      <c r="P328" s="167" t="str">
        <f>'030523 INVENTARIO'!R328</f>
        <v>S/M</v>
      </c>
      <c r="Q328" s="168" t="str">
        <f>'030523 INVENTARIO'!S328</f>
        <v>SIN SERIE</v>
      </c>
      <c r="R328" s="168" t="str">
        <f>'030523 INVENTARIO'!T328</f>
        <v>82DH0511010006000651123</v>
      </c>
    </row>
    <row r="329" spans="5:18">
      <c r="E329" s="167" t="str">
        <f>'030523 INVENTARIO'!E329</f>
        <v>RUTEADORES DE RED</v>
      </c>
      <c r="F329" s="168" t="str">
        <f>'030523 INVENTARIO'!F329</f>
        <v>ROUTER</v>
      </c>
      <c r="G329" s="167" t="str">
        <f ca="1">'030523 INVENTARIO'!G329</f>
        <v>P05RM-0328</v>
      </c>
      <c r="H329" s="167" t="str">
        <f>'030523 INVENTARIO'!J329</f>
        <v>P12SI-0327</v>
      </c>
      <c r="I329" s="167" t="str">
        <f>'030523 INVENTARIO'!K329</f>
        <v>P12SI-003</v>
      </c>
      <c r="J329" s="167" t="str">
        <f>'030523 INVENTARIO'!L329</f>
        <v>P1SI-41</v>
      </c>
      <c r="K329" s="167" t="str">
        <f>'030523 INVENTARIO'!M329</f>
        <v>5150100005-106</v>
      </c>
      <c r="L329" s="168">
        <f>'030523 INVENTARIO'!N329</f>
        <v>0</v>
      </c>
      <c r="M329" s="168">
        <f>'030523 INVENTARIO'!O329</f>
        <v>0</v>
      </c>
      <c r="N329" s="168" t="str">
        <f>'030523 INVENTARIO'!P329</f>
        <v>OK</v>
      </c>
      <c r="O329" s="168" t="str">
        <f>'030523 INVENTARIO'!Q329</f>
        <v>DLINK</v>
      </c>
      <c r="P329" s="167" t="str">
        <f>'030523 INVENTARIO'!R329</f>
        <v>DAP-1360</v>
      </c>
      <c r="Q329" s="168" t="str">
        <f>'030523 INVENTARIO'!S329</f>
        <v>QX8U1G9001143</v>
      </c>
      <c r="R329" s="168" t="str">
        <f>'030523 INVENTARIO'!T329</f>
        <v>82DH0515010022000651128</v>
      </c>
    </row>
    <row r="330" spans="5:18">
      <c r="E330" s="167" t="str">
        <f>'030523 INVENTARIO'!E330</f>
        <v>ADAPTADOR</v>
      </c>
      <c r="F330" s="168" t="str">
        <f>'030523 INVENTARIO'!F330</f>
        <v>ADAPTADOR LECTOR DE CD EXTERNO</v>
      </c>
      <c r="G330" s="167" t="str">
        <f ca="1">'030523 INVENTARIO'!G330</f>
        <v>P12SI-0329</v>
      </c>
      <c r="H330" s="167" t="str">
        <f>'030523 INVENTARIO'!J330</f>
        <v>P12SI-0328</v>
      </c>
      <c r="I330" s="167" t="str">
        <f>'030523 INVENTARIO'!K330</f>
        <v>P12SI-004</v>
      </c>
      <c r="J330" s="167" t="str">
        <f>'030523 INVENTARIO'!L330</f>
        <v>P1SI-42</v>
      </c>
      <c r="K330" s="167" t="str">
        <f>'030523 INVENTARIO'!M330</f>
        <v>5150100005-103</v>
      </c>
      <c r="L330" s="168">
        <f>'030523 INVENTARIO'!N330</f>
        <v>0</v>
      </c>
      <c r="M330" s="168">
        <f>'030523 INVENTARIO'!O330</f>
        <v>0</v>
      </c>
      <c r="N330" s="168" t="str">
        <f>'030523 INVENTARIO'!P330</f>
        <v>OK</v>
      </c>
      <c r="O330" s="168" t="str">
        <f>'030523 INVENTARIO'!Q330</f>
        <v>LG</v>
      </c>
      <c r="P330" s="167" t="str">
        <f>'030523 INVENTARIO'!R330</f>
        <v>GSA-E6L</v>
      </c>
      <c r="Q330" s="168" t="str">
        <f>'030523 INVENTARIO'!S330</f>
        <v>709HKGG107431</v>
      </c>
      <c r="R330" s="168" t="str">
        <f>'030523 INVENTARIO'!T330</f>
        <v>82DH0515010056000651127</v>
      </c>
    </row>
    <row r="331" spans="5:18">
      <c r="E331" s="167" t="str">
        <f>'030523 INVENTARIO'!E331</f>
        <v>MESA</v>
      </c>
      <c r="F331" s="167" t="str">
        <f>'030523 INVENTARIO'!F331</f>
        <v>MESA DE MADERA CAOBA CON BASE DE METAL 120X60</v>
      </c>
      <c r="G331" s="167" t="str">
        <f ca="1">'030523 INVENTARIO'!G331</f>
        <v>P13LP-0330</v>
      </c>
      <c r="H331" s="167" t="str">
        <f>'030523 INVENTARIO'!J331</f>
        <v>P12SI-0329</v>
      </c>
      <c r="I331" s="167" t="str">
        <f>'030523 INVENTARIO'!K331</f>
        <v>P12SI-005</v>
      </c>
      <c r="J331" s="167" t="str">
        <f>'030523 INVENTARIO'!L331</f>
        <v>P1SI-102</v>
      </c>
      <c r="K331" s="167" t="str">
        <f>'030523 INVENTARIO'!M331</f>
        <v>5120100007-121</v>
      </c>
      <c r="L331" s="168">
        <f>'030523 INVENTARIO'!N331</f>
        <v>0</v>
      </c>
      <c r="M331" s="168">
        <f>'030523 INVENTARIO'!O331</f>
        <v>0</v>
      </c>
      <c r="N331" s="168" t="str">
        <f>'030523 INVENTARIO'!P331</f>
        <v>OK</v>
      </c>
      <c r="O331" s="168" t="str">
        <f>'030523 INVENTARIO'!Q331</f>
        <v>S/M</v>
      </c>
      <c r="P331" s="167" t="str">
        <f>'030523 INVENTARIO'!R331</f>
        <v>S/M</v>
      </c>
      <c r="Q331" s="168" t="str">
        <f>'030523 INVENTARIO'!S331</f>
        <v>SIN SERIE</v>
      </c>
      <c r="R331" s="168" t="str">
        <f>'030523 INVENTARIO'!T331</f>
        <v>82DH0511010010000649660</v>
      </c>
    </row>
    <row r="332" spans="5:18">
      <c r="E332" s="167" t="str">
        <f>'030523 INVENTARIO'!E332</f>
        <v>MESA</v>
      </c>
      <c r="F332" s="167" t="str">
        <f>'030523 INVENTARIO'!F332</f>
        <v>MESA DE MADERA CAOBA CON BASE DE METAL 80X60</v>
      </c>
      <c r="G332" s="167" t="str">
        <f ca="1">'030523 INVENTARIO'!G332</f>
        <v>P12SI-0331</v>
      </c>
      <c r="H332" s="167" t="str">
        <f>'030523 INVENTARIO'!J332</f>
        <v>P12SI-0330</v>
      </c>
      <c r="I332" s="167" t="str">
        <f>'030523 INVENTARIO'!K332</f>
        <v>P12SI-006</v>
      </c>
      <c r="J332" s="167" t="str">
        <f>'030523 INVENTARIO'!L332</f>
        <v>P1SI-96</v>
      </c>
      <c r="K332" s="167" t="str">
        <f>'030523 INVENTARIO'!M332</f>
        <v>5120100007-72</v>
      </c>
      <c r="L332" s="168">
        <f>'030523 INVENTARIO'!N332</f>
        <v>0</v>
      </c>
      <c r="M332" s="168">
        <f>'030523 INVENTARIO'!O332</f>
        <v>0</v>
      </c>
      <c r="N332" s="168" t="str">
        <f>'030523 INVENTARIO'!P332</f>
        <v>OK</v>
      </c>
      <c r="O332" s="168" t="str">
        <f>'030523 INVENTARIO'!Q332</f>
        <v>S/M</v>
      </c>
      <c r="P332" s="167" t="str">
        <f>'030523 INVENTARIO'!R332</f>
        <v>S/M</v>
      </c>
      <c r="Q332" s="168" t="str">
        <f>'030523 INVENTARIO'!S332</f>
        <v>SIN SERIE</v>
      </c>
      <c r="R332" s="168" t="str">
        <f>'030523 INVENTARIO'!T332</f>
        <v>82DH0531010065000564775</v>
      </c>
    </row>
    <row r="333" spans="5:18">
      <c r="E333" s="167" t="str">
        <f>'030523 INVENTARIO'!E333</f>
        <v>NO BREAK</v>
      </c>
      <c r="F333" s="167" t="str">
        <f>'030523 INVENTARIO'!F333</f>
        <v>NO BREAK NEGRO</v>
      </c>
      <c r="G333" s="167" t="str">
        <f ca="1">'030523 INVENTARIO'!G333</f>
        <v>P12SI-0332</v>
      </c>
      <c r="H333" s="167" t="str">
        <f>'030523 INVENTARIO'!J333</f>
        <v>P12SI-0331</v>
      </c>
      <c r="I333" s="167" t="str">
        <f>'030523 INVENTARIO'!K333</f>
        <v>P12SI-007</v>
      </c>
      <c r="J333" s="167">
        <f>'030523 INVENTARIO'!L333</f>
        <v>0</v>
      </c>
      <c r="K333" s="167" t="str">
        <f>'030523 INVENTARIO'!M333</f>
        <v>ALTA</v>
      </c>
      <c r="L333" s="168">
        <f>'030523 INVENTARIO'!N333</f>
        <v>0</v>
      </c>
      <c r="M333" s="168">
        <f>'030523 INVENTARIO'!O333</f>
        <v>0</v>
      </c>
      <c r="N333" s="168" t="str">
        <f>'030523 INVENTARIO'!P333</f>
        <v>REPETIDO</v>
      </c>
      <c r="O333" s="168" t="str">
        <f>'030523 INVENTARIO'!Q333</f>
        <v>APC</v>
      </c>
      <c r="P333" s="167" t="str">
        <f>'030523 INVENTARIO'!R333</f>
        <v>BE350G-LM</v>
      </c>
      <c r="Q333" s="167" t="str">
        <f>'030523 INVENTARIO'!S333</f>
        <v>4B1439P11223</v>
      </c>
      <c r="R333" s="167" t="str">
        <f>'030523 INVENTARIO'!T333</f>
        <v>SIN RESGUARDO</v>
      </c>
    </row>
    <row r="334" spans="5:18">
      <c r="E334" s="167" t="str">
        <f>'030523 INVENTARIO'!E334</f>
        <v>NO BREAK</v>
      </c>
      <c r="F334" s="168" t="str">
        <f>'030523 INVENTARIO'!F334</f>
        <v>NO BREAK</v>
      </c>
      <c r="G334" s="167" t="str">
        <f ca="1">'030523 INVENTARIO'!G334</f>
        <v>P12SI-0333</v>
      </c>
      <c r="H334" s="167" t="str">
        <f>'030523 INVENTARIO'!J334</f>
        <v>P12SI-0332</v>
      </c>
      <c r="I334" s="167" t="str">
        <f>'030523 INVENTARIO'!K334</f>
        <v>P12SI-008</v>
      </c>
      <c r="J334" s="167" t="str">
        <f>'030523 INVENTARIO'!L334</f>
        <v>P1SI-15</v>
      </c>
      <c r="K334" s="167" t="str">
        <f>'030523 INVENTARIO'!M334</f>
        <v>5150100008-52</v>
      </c>
      <c r="L334" s="168">
        <f>'030523 INVENTARIO'!N334</f>
        <v>0</v>
      </c>
      <c r="M334" s="168">
        <f>'030523 INVENTARIO'!O334</f>
        <v>0</v>
      </c>
      <c r="N334" s="168" t="str">
        <f>'030523 INVENTARIO'!P334</f>
        <v>OK</v>
      </c>
      <c r="O334" s="168" t="str">
        <f>'030523 INVENTARIO'!Q334</f>
        <v>CDP</v>
      </c>
      <c r="P334" s="167" t="str">
        <f>'030523 INVENTARIO'!R334</f>
        <v>B-UPR754</v>
      </c>
      <c r="Q334" s="168" t="str">
        <f>'030523 INVENTARIO'!S334</f>
        <v>1401130660749</v>
      </c>
      <c r="R334" s="168" t="str">
        <f>'030523 INVENTARIO'!T334</f>
        <v>82DH0515010016000651121</v>
      </c>
    </row>
    <row r="335" spans="5:18">
      <c r="E335" s="167" t="str">
        <f>'030523 INVENTARIO'!E335</f>
        <v>SWITCH (CONCENTRADOR DE PUERTOS)</v>
      </c>
      <c r="F335" s="168" t="str">
        <f>'030523 INVENTARIO'!F335</f>
        <v>SWITCH</v>
      </c>
      <c r="G335" s="167" t="str">
        <f ca="1">'030523 INVENTARIO'!G335</f>
        <v>P12SI-0334</v>
      </c>
      <c r="H335" s="167" t="str">
        <f>'030523 INVENTARIO'!J335</f>
        <v>P12SI-0333</v>
      </c>
      <c r="I335" s="167" t="str">
        <f>'030523 INVENTARIO'!K335</f>
        <v>P12SI-009</v>
      </c>
      <c r="J335" s="167" t="str">
        <f>'030523 INVENTARIO'!L335</f>
        <v>P1SI-82</v>
      </c>
      <c r="K335" s="167" t="str">
        <f>'030523 INVENTARIO'!M335</f>
        <v>5150100005-112</v>
      </c>
      <c r="L335" s="168">
        <f>'030523 INVENTARIO'!N335</f>
        <v>0</v>
      </c>
      <c r="M335" s="168">
        <f>'030523 INVENTARIO'!O335</f>
        <v>0</v>
      </c>
      <c r="N335" s="168" t="str">
        <f>'030523 INVENTARIO'!P335</f>
        <v>OK</v>
      </c>
      <c r="O335" s="168" t="str">
        <f>'030523 INVENTARIO'!Q335</f>
        <v>3COM</v>
      </c>
      <c r="P335" s="167" t="str">
        <f>'030523 INVENTARIO'!R335</f>
        <v>3C16791A</v>
      </c>
      <c r="Q335" s="168" t="str">
        <f>'030523 INVENTARIO'!S335</f>
        <v>LJ9G5I0042444</v>
      </c>
      <c r="R335" s="168" t="str">
        <f>'030523 INVENTARIO'!T335</f>
        <v>82DH0515010026000566178</v>
      </c>
    </row>
    <row r="336" spans="5:18">
      <c r="E336" s="167" t="str">
        <f>'030523 INVENTARIO'!E336</f>
        <v>PIZARRON</v>
      </c>
      <c r="F336" s="167" t="str">
        <f>'030523 INVENTARIO'!F336</f>
        <v>PIZARRON BLANCO 120X90</v>
      </c>
      <c r="G336" s="167" t="str">
        <f ca="1">'030523 INVENTARIO'!G336</f>
        <v>P12SI-0335</v>
      </c>
      <c r="H336" s="167" t="str">
        <f>'030523 INVENTARIO'!J336</f>
        <v>P12SI-0334</v>
      </c>
      <c r="I336" s="167" t="str">
        <f>'030523 INVENTARIO'!K336</f>
        <v>P12SI-010</v>
      </c>
      <c r="J336" s="167" t="str">
        <f>'030523 INVENTARIO'!L336</f>
        <v>P1SI-46</v>
      </c>
      <c r="K336" s="167" t="str">
        <f>'030523 INVENTARIO'!M336</f>
        <v>5290100025-5</v>
      </c>
      <c r="L336" s="168">
        <f>'030523 INVENTARIO'!N336</f>
        <v>0</v>
      </c>
      <c r="M336" s="168">
        <f>'030523 INVENTARIO'!O336</f>
        <v>0</v>
      </c>
      <c r="N336" s="168" t="str">
        <f>'030523 INVENTARIO'!P336</f>
        <v>OK</v>
      </c>
      <c r="O336" s="168" t="str">
        <f>'030523 INVENTARIO'!Q336</f>
        <v>S/M</v>
      </c>
      <c r="P336" s="167" t="str">
        <f>'030523 INVENTARIO'!R336</f>
        <v>S/M</v>
      </c>
      <c r="Q336" s="168" t="str">
        <f>'030523 INVENTARIO'!S336</f>
        <v>SIN SERIE</v>
      </c>
      <c r="R336" s="168" t="str">
        <f>'030523 INVENTARIO'!T336</f>
        <v>82DH0529030003000651130</v>
      </c>
    </row>
    <row r="337" spans="5:18">
      <c r="E337" s="167" t="str">
        <f>'030523 INVENTARIO'!E337</f>
        <v>COMPUTADORA DE ESCRITORIO</v>
      </c>
      <c r="F337" s="167" t="str">
        <f>'030523 INVENTARIO'!F337</f>
        <v>COMPUTADORA DE ESCRITORIO</v>
      </c>
      <c r="G337" s="167" t="str">
        <f ca="1">'030523 INVENTARIO'!G337</f>
        <v>P12SI-0336</v>
      </c>
      <c r="H337" s="167" t="str">
        <f>'030523 INVENTARIO'!J337</f>
        <v>P12SI-0335</v>
      </c>
      <c r="I337" s="167" t="str">
        <f>'030523 INVENTARIO'!K337</f>
        <v>P12SI-011</v>
      </c>
      <c r="J337" s="167" t="str">
        <f>'030523 INVENTARIO'!L337</f>
        <v>P1LP-25</v>
      </c>
      <c r="K337" s="168" t="str">
        <f>'030523 INVENTARIO'!M337</f>
        <v>ALTA</v>
      </c>
      <c r="L337" s="168">
        <f>'030523 INVENTARIO'!N337</f>
        <v>0</v>
      </c>
      <c r="M337" s="168">
        <f>'030523 INVENTARIO'!O337</f>
        <v>0</v>
      </c>
      <c r="N337" s="168" t="str">
        <f>'030523 INVENTARIO'!P337</f>
        <v>REPETIDO</v>
      </c>
      <c r="O337" s="168" t="str">
        <f>'030523 INVENTARIO'!Q337</f>
        <v>HP</v>
      </c>
      <c r="P337" s="167" t="str">
        <f>'030523 INVENTARIO'!R337</f>
        <v>DX2300</v>
      </c>
      <c r="Q337" s="168" t="str">
        <f>'030523 INVENTARIO'!S337</f>
        <v>SMXL81103XZ</v>
      </c>
      <c r="R337" s="168" t="str">
        <f>'030523 INVENTARIO'!T337</f>
        <v>82DJ0515010001000535535</v>
      </c>
    </row>
    <row r="338" spans="5:18">
      <c r="E338" s="167" t="str">
        <f>'030523 INVENTARIO'!E338</f>
        <v>MONITOR</v>
      </c>
      <c r="F338" s="167" t="str">
        <f>'030523 INVENTARIO'!F338</f>
        <v>MONITOR 18.5"</v>
      </c>
      <c r="G338" s="167" t="str">
        <f ca="1">'030523 INVENTARIO'!G338</f>
        <v>P13IR-0337</v>
      </c>
      <c r="H338" s="167" t="str">
        <f>'030523 INVENTARIO'!J338</f>
        <v>P12SI-0337</v>
      </c>
      <c r="I338" s="167" t="str">
        <f>'030523 INVENTARIO'!K338</f>
        <v>P12SI-013</v>
      </c>
      <c r="J338" s="167" t="str">
        <f>'030523 INVENTARIO'!L338</f>
        <v>P1SI-50</v>
      </c>
      <c r="K338" s="167" t="str">
        <f>'030523 INVENTARIO'!M338</f>
        <v>5210100012-58</v>
      </c>
      <c r="L338" s="168">
        <f>'030523 INVENTARIO'!N338</f>
        <v>0</v>
      </c>
      <c r="M338" s="168">
        <f>'030523 INVENTARIO'!O338</f>
        <v>0</v>
      </c>
      <c r="N338" s="168" t="str">
        <f>'030523 INVENTARIO'!P338</f>
        <v>OK</v>
      </c>
      <c r="O338" s="168" t="str">
        <f>'030523 INVENTARIO'!Q338</f>
        <v>ACER</v>
      </c>
      <c r="P338" s="167" t="str">
        <f>'030523 INVENTARIO'!R338</f>
        <v>G185HV</v>
      </c>
      <c r="Q338" s="168" t="str">
        <f>'030523 INVENTARIO'!S338</f>
        <v>MMLNTAN001243048C34208</v>
      </c>
      <c r="R338" s="168" t="str">
        <f>'030523 INVENTARIO'!T338</f>
        <v>82DH0515010013000649650</v>
      </c>
    </row>
    <row r="339" spans="5:18">
      <c r="E339" s="167" t="str">
        <f>'030523 INVENTARIO'!E339</f>
        <v>MESA</v>
      </c>
      <c r="F339" s="167" t="str">
        <f>'030523 INVENTARIO'!F339</f>
        <v>MESA DE MADERA BASE DE METAL 100X40</v>
      </c>
      <c r="G339" s="167" t="str">
        <f ca="1">'030523 INVENTARIO'!G339</f>
        <v>P12SI-0338</v>
      </c>
      <c r="H339" s="167" t="str">
        <f>'030523 INVENTARIO'!J339</f>
        <v>P12SI-0338</v>
      </c>
      <c r="I339" s="167" t="str">
        <f>'030523 INVENTARIO'!K339</f>
        <v>P12SI-014</v>
      </c>
      <c r="J339" s="167" t="str">
        <f>'030523 INVENTARIO'!L339</f>
        <v>P1SI-101</v>
      </c>
      <c r="K339" s="168" t="str">
        <f>'030523 INVENTARIO'!M339</f>
        <v>5120100007-73</v>
      </c>
      <c r="L339" s="168">
        <f>'030523 INVENTARIO'!N339</f>
        <v>0</v>
      </c>
      <c r="M339" s="168">
        <f>'030523 INVENTARIO'!O339</f>
        <v>0</v>
      </c>
      <c r="N339" s="168" t="str">
        <f>'030523 INVENTARIO'!P339</f>
        <v>OK</v>
      </c>
      <c r="O339" s="168" t="str">
        <f>'030523 INVENTARIO'!Q339</f>
        <v>S/M</v>
      </c>
      <c r="P339" s="167" t="str">
        <f>'030523 INVENTARIO'!R339</f>
        <v>S/M</v>
      </c>
      <c r="Q339" s="168" t="str">
        <f>'030523 INVENTARIO'!S339</f>
        <v>SIN SERIE</v>
      </c>
      <c r="R339" s="168" t="str">
        <f>'030523 INVENTARIO'!T339</f>
        <v>82DH0511010010000649682</v>
      </c>
    </row>
    <row r="340" spans="5:18">
      <c r="E340" s="167" t="str">
        <f>'030523 INVENTARIO'!E340</f>
        <v>MONITOR</v>
      </c>
      <c r="F340" s="167" t="str">
        <f>'030523 INVENTARIO'!F340</f>
        <v>MONITOR 15.6"</v>
      </c>
      <c r="G340" s="167" t="str">
        <f ca="1">'030523 INVENTARIO'!G340</f>
        <v>P12SI-0339</v>
      </c>
      <c r="H340" s="167" t="str">
        <f>'030523 INVENTARIO'!J340</f>
        <v>P12SI-0339</v>
      </c>
      <c r="I340" s="167" t="str">
        <f>'030523 INVENTARIO'!K340</f>
        <v>P12SI-015</v>
      </c>
      <c r="J340" s="167" t="str">
        <f>'030523 INVENTARIO'!L340</f>
        <v>P1SI-88</v>
      </c>
      <c r="K340" s="167" t="str">
        <f>'030523 INVENTARIO'!M340</f>
        <v>5210100012-68</v>
      </c>
      <c r="L340" s="168">
        <f>'030523 INVENTARIO'!N340</f>
        <v>0</v>
      </c>
      <c r="M340" s="168">
        <f>'030523 INVENTARIO'!O340</f>
        <v>0</v>
      </c>
      <c r="N340" s="168" t="str">
        <f>'030523 INVENTARIO'!P340</f>
        <v>OK</v>
      </c>
      <c r="O340" s="168" t="str">
        <f>'030523 INVENTARIO'!Q340</f>
        <v>ACER</v>
      </c>
      <c r="P340" s="167" t="str">
        <f>'030523 INVENTARIO'!R340</f>
        <v>P166HQL</v>
      </c>
      <c r="Q340" s="168" t="str">
        <f>'030523 INVENTARIO'!S340</f>
        <v>20609351585</v>
      </c>
      <c r="R340" s="168" t="str">
        <f>'030523 INVENTARIO'!T340</f>
        <v>82DH0565010041000539122</v>
      </c>
    </row>
    <row r="341" spans="5:18">
      <c r="E341" s="167" t="str">
        <f>'030523 INVENTARIO'!E341</f>
        <v>GRABADORA DE VIDEO</v>
      </c>
      <c r="F341" s="167" t="str">
        <f>'030523 INVENTARIO'!F341</f>
        <v>DVR</v>
      </c>
      <c r="G341" s="167" t="str">
        <f ca="1">'030523 INVENTARIO'!G341</f>
        <v>P12SI-0340</v>
      </c>
      <c r="H341" s="167" t="str">
        <f>'030523 INVENTARIO'!J341</f>
        <v>P12SI-0340</v>
      </c>
      <c r="I341" s="167" t="str">
        <f>'030523 INVENTARIO'!K341</f>
        <v>P12SI-016</v>
      </c>
      <c r="J341" s="167" t="str">
        <f>'030523 INVENTARIO'!L341</f>
        <v>P1SI-105</v>
      </c>
      <c r="K341" s="167" t="str">
        <f>'030523 INVENTARIO'!M341</f>
        <v>5150100005-119</v>
      </c>
      <c r="L341" s="168">
        <f>'030523 INVENTARIO'!N341</f>
        <v>0</v>
      </c>
      <c r="M341" s="168">
        <f>'030523 INVENTARIO'!O341</f>
        <v>0</v>
      </c>
      <c r="N341" s="168" t="str">
        <f>'030523 INVENTARIO'!P341</f>
        <v>OK</v>
      </c>
      <c r="O341" s="168" t="str">
        <f>'030523 INVENTARIO'!Q341</f>
        <v>DAHUA</v>
      </c>
      <c r="P341" s="167" t="str">
        <f>'030523 INVENTARIO'!R341</f>
        <v>DHI-XVR5108HS</v>
      </c>
      <c r="Q341" s="168" t="str">
        <f>'030523 INVENTARIO'!S341</f>
        <v>2L010EFPAPDP140</v>
      </c>
      <c r="R341" s="168" t="str">
        <f>'030523 INVENTARIO'!T341</f>
        <v>82DH0515010055000651140</v>
      </c>
    </row>
    <row r="342" spans="5:18">
      <c r="E342" s="167" t="str">
        <f>'030523 INVENTARIO'!E342</f>
        <v>NO BREAK</v>
      </c>
      <c r="F342" s="168" t="str">
        <f>'030523 INVENTARIO'!F342</f>
        <v>NO BREAK</v>
      </c>
      <c r="G342" s="167" t="str">
        <f ca="1">'030523 INVENTARIO'!G342</f>
        <v>P12SI-0341</v>
      </c>
      <c r="H342" s="167" t="str">
        <f>'030523 INVENTARIO'!J342</f>
        <v>P12SI-0341</v>
      </c>
      <c r="I342" s="167" t="str">
        <f>'030523 INVENTARIO'!K342</f>
        <v>P12SI-017</v>
      </c>
      <c r="J342" s="167" t="str">
        <f>'030523 INVENTARIO'!L342</f>
        <v>P1SI-24</v>
      </c>
      <c r="K342" s="167" t="str">
        <f>'030523 INVENTARIO'!M342</f>
        <v>5150100008-24</v>
      </c>
      <c r="L342" s="168">
        <f>'030523 INVENTARIO'!N342</f>
        <v>0</v>
      </c>
      <c r="M342" s="168">
        <f>'030523 INVENTARIO'!O342</f>
        <v>0</v>
      </c>
      <c r="N342" s="168" t="str">
        <f>'030523 INVENTARIO'!P342</f>
        <v>OK</v>
      </c>
      <c r="O342" s="168" t="str">
        <f>'030523 INVENTARIO'!Q342</f>
        <v>TRIPP LITE</v>
      </c>
      <c r="P342" s="167" t="str">
        <f>'030523 INVENTARIO'!R342</f>
        <v>INTERNT550U</v>
      </c>
      <c r="Q342" s="168" t="str">
        <f>'030523 INVENTARIO'!S342</f>
        <v>9730CY0BC575600682</v>
      </c>
      <c r="R342" s="168" t="str">
        <f>'030523 INVENTARIO'!T342</f>
        <v>82DH0515010016000524719</v>
      </c>
    </row>
    <row r="343" spans="5:18">
      <c r="E343" s="167" t="str">
        <f>'030523 INVENTARIO'!E343</f>
        <v>COMPUTADORA DE ESCRITORIO</v>
      </c>
      <c r="F343" s="167" t="str">
        <f>'030523 INVENTARIO'!F343</f>
        <v>COMPUTADORA DE ESCRITORIO</v>
      </c>
      <c r="G343" s="167" t="str">
        <f ca="1">'030523 INVENTARIO'!G343</f>
        <v>P12SI-0342</v>
      </c>
      <c r="H343" s="167" t="str">
        <f>'030523 INVENTARIO'!J343</f>
        <v>P12SI-0342</v>
      </c>
      <c r="I343" s="167" t="str">
        <f>'030523 INVENTARIO'!K343</f>
        <v>P12SI-018</v>
      </c>
      <c r="J343" s="167" t="str">
        <f>'030523 INVENTARIO'!L343</f>
        <v>P1SI-61</v>
      </c>
      <c r="K343" s="167" t="str">
        <f>'030523 INVENTARIO'!M343</f>
        <v>5150100005-115</v>
      </c>
      <c r="L343" s="168">
        <f>'030523 INVENTARIO'!N343</f>
        <v>0</v>
      </c>
      <c r="M343" s="168">
        <f>'030523 INVENTARIO'!O343</f>
        <v>0</v>
      </c>
      <c r="N343" s="168" t="str">
        <f>'030523 INVENTARIO'!P343</f>
        <v>OK</v>
      </c>
      <c r="O343" s="168" t="str">
        <f>'030523 INVENTARIO'!Q343</f>
        <v>COOLER MASTER</v>
      </c>
      <c r="P343" s="167" t="str">
        <f>'030523 INVENTARIO'!R343</f>
        <v>MCB-Q500L-KANNS00</v>
      </c>
      <c r="Q343" s="168" t="str">
        <f>'030523 INVENTARIO'!S343</f>
        <v>MCBQ500LKANNS001202901256</v>
      </c>
      <c r="R343" s="168" t="str">
        <f>'030523 INVENTARIO'!T343</f>
        <v>82DH0515010003000651031</v>
      </c>
    </row>
    <row r="344" spans="5:18">
      <c r="E344" s="167" t="str">
        <f>'030523 INVENTARIO'!E344</f>
        <v>TELEFONO</v>
      </c>
      <c r="F344" s="168" t="str">
        <f>'030523 INVENTARIO'!F344</f>
        <v>TELEFONO GRIS</v>
      </c>
      <c r="G344" s="167" t="str">
        <f ca="1">'030523 INVENTARIO'!G344</f>
        <v>P12SI-0343</v>
      </c>
      <c r="H344" s="167" t="str">
        <f>'030523 INVENTARIO'!J344</f>
        <v>P12SI-0343</v>
      </c>
      <c r="I344" s="167" t="str">
        <f>'030523 INVENTARIO'!K344</f>
        <v>P12SI-019</v>
      </c>
      <c r="J344" s="167" t="str">
        <f>'030523 INVENTARIO'!L344</f>
        <v>P1SI-99</v>
      </c>
      <c r="K344" s="167" t="str">
        <f>'030523 INVENTARIO'!M344</f>
        <v>ALTA</v>
      </c>
      <c r="L344" s="168">
        <f>'030523 INVENTARIO'!N344</f>
        <v>0</v>
      </c>
      <c r="M344" s="168">
        <f>'030523 INVENTARIO'!O344</f>
        <v>0</v>
      </c>
      <c r="N344" s="168" t="str">
        <f>'030523 INVENTARIO'!P344</f>
        <v>REPETIDO</v>
      </c>
      <c r="O344" s="168" t="str">
        <f>'030523 INVENTARIO'!Q344</f>
        <v>CISCO</v>
      </c>
      <c r="P344" s="167" t="str">
        <f>'030523 INVENTARIO'!R344</f>
        <v>SPA504G</v>
      </c>
      <c r="Q344" s="168" t="str">
        <f>'030523 INVENTARIO'!S344</f>
        <v>CYT15400SVT</v>
      </c>
      <c r="R344" s="168" t="str">
        <f>'030523 INVENTARIO'!T344</f>
        <v>82DH0565010001000539087</v>
      </c>
    </row>
    <row r="345" spans="5:18">
      <c r="E345" s="167" t="str">
        <f>'030523 INVENTARIO'!E345</f>
        <v>ADAPTADOR</v>
      </c>
      <c r="F345" s="167" t="str">
        <f>'030523 INVENTARIO'!F345</f>
        <v>ADAPTADOR LECTOR DE CD EXTERNO BLUE RAY</v>
      </c>
      <c r="G345" s="167" t="str">
        <f ca="1">'030523 INVENTARIO'!G345</f>
        <v>P12SI-0344</v>
      </c>
      <c r="H345" s="167" t="str">
        <f>'030523 INVENTARIO'!J345</f>
        <v>P12SI-0344</v>
      </c>
      <c r="I345" s="167" t="str">
        <f>'030523 INVENTARIO'!K345</f>
        <v>P12SI-020</v>
      </c>
      <c r="J345" s="167" t="str">
        <f>'030523 INVENTARIO'!L345</f>
        <v>P1SI-106</v>
      </c>
      <c r="K345" s="167" t="str">
        <f>'030523 INVENTARIO'!M345</f>
        <v>5150100005-120</v>
      </c>
      <c r="L345" s="168">
        <f>'030523 INVENTARIO'!N345</f>
        <v>0</v>
      </c>
      <c r="M345" s="168">
        <f>'030523 INVENTARIO'!O345</f>
        <v>0</v>
      </c>
      <c r="N345" s="168" t="str">
        <f>'030523 INVENTARIO'!P345</f>
        <v>OK</v>
      </c>
      <c r="O345" s="168" t="str">
        <f>'030523 INVENTARIO'!Q345</f>
        <v>LG</v>
      </c>
      <c r="P345" s="167" t="str">
        <f>'030523 INVENTARIO'!R345</f>
        <v>BP40MB30</v>
      </c>
      <c r="Q345" s="168" t="str">
        <f>'030523 INVENTARIO'!S345</f>
        <v>409HVHJ974185</v>
      </c>
      <c r="R345" s="168" t="str">
        <f>'030523 INVENTARIO'!T345</f>
        <v>82DH0515010056000651141</v>
      </c>
    </row>
    <row r="346" spans="5:18">
      <c r="E346" s="167" t="str">
        <f>'030523 INVENTARIO'!E346</f>
        <v>MONITOR</v>
      </c>
      <c r="F346" s="167" t="str">
        <f>'030523 INVENTARIO'!F346</f>
        <v>MONITOR 27"</v>
      </c>
      <c r="G346" s="167" t="str">
        <f ca="1">'030523 INVENTARIO'!G346</f>
        <v>P12SI-0345</v>
      </c>
      <c r="H346" s="167" t="str">
        <f>'030523 INVENTARIO'!J346</f>
        <v>P12SI-0345</v>
      </c>
      <c r="I346" s="167" t="str">
        <f>'030523 INVENTARIO'!K346</f>
        <v>P12SI-021</v>
      </c>
      <c r="J346" s="167" t="str">
        <f>'030523 INVENTARIO'!L346</f>
        <v>P1SI-60</v>
      </c>
      <c r="K346" s="167" t="str">
        <f>'030523 INVENTARIO'!M346</f>
        <v>5150100005-114</v>
      </c>
      <c r="L346" s="168">
        <f>'030523 INVENTARIO'!N346</f>
        <v>0</v>
      </c>
      <c r="M346" s="168">
        <f>'030523 INVENTARIO'!O346</f>
        <v>0</v>
      </c>
      <c r="N346" s="168" t="str">
        <f>'030523 INVENTARIO'!P346</f>
        <v>OK</v>
      </c>
      <c r="O346" s="168" t="str">
        <f>'030523 INVENTARIO'!Q346</f>
        <v>SAMSUNG</v>
      </c>
      <c r="P346" s="167" t="str">
        <f>'030523 INVENTARIO'!R346</f>
        <v>C27F390FHL</v>
      </c>
      <c r="Q346" s="168" t="str">
        <f>'030523 INVENTARIO'!S346</f>
        <v>BZZMH4ZNB00503M</v>
      </c>
      <c r="R346" s="168" t="str">
        <f>'030523 INVENTARIO'!T346</f>
        <v>82DH0515010013000651032</v>
      </c>
    </row>
    <row r="347" spans="5:18">
      <c r="E347" s="167" t="str">
        <f>'030523 INVENTARIO'!E347</f>
        <v>MESA</v>
      </c>
      <c r="F347" s="167" t="str">
        <f>'030523 INVENTARIO'!F347</f>
        <v>MESA DE MADERA COMPLEMENTO 160X60</v>
      </c>
      <c r="G347" s="167" t="str">
        <f ca="1">'030523 INVENTARIO'!G347</f>
        <v>P12SI-0346</v>
      </c>
      <c r="H347" s="167" t="str">
        <f>'030523 INVENTARIO'!J347</f>
        <v>P12SI-0346</v>
      </c>
      <c r="I347" s="167">
        <f>'030523 INVENTARIO'!K347</f>
        <v>0</v>
      </c>
      <c r="J347" s="167" t="str">
        <f>'030523 INVENTARIO'!L347</f>
        <v>P1SI-65</v>
      </c>
      <c r="K347" s="167" t="str">
        <f>'030523 INVENTARIO'!M347</f>
        <v>5110100015-37</v>
      </c>
      <c r="L347" s="168">
        <f>'030523 INVENTARIO'!N347</f>
        <v>0</v>
      </c>
      <c r="M347" s="168">
        <f>'030523 INVENTARIO'!O347</f>
        <v>0</v>
      </c>
      <c r="N347" s="168" t="str">
        <f>'030523 INVENTARIO'!P347</f>
        <v>OK</v>
      </c>
      <c r="O347" s="168" t="str">
        <f>'030523 INVENTARIO'!Q347</f>
        <v>S/M</v>
      </c>
      <c r="P347" s="167" t="str">
        <f>'030523 INVENTARIO'!R347</f>
        <v>S/M</v>
      </c>
      <c r="Q347" s="168" t="str">
        <f>'030523 INVENTARIO'!S347</f>
        <v>SIN SERIE</v>
      </c>
      <c r="R347" s="168" t="str">
        <f>'030523 INVENTARIO'!T347</f>
        <v>82DH0511010010000649683</v>
      </c>
    </row>
    <row r="348" spans="5:18">
      <c r="E348" s="167" t="str">
        <f>'030523 INVENTARIO'!E348</f>
        <v>ESCRITORIO</v>
      </c>
      <c r="F348" s="168" t="str">
        <f>'030523 INVENTARIO'!F348</f>
        <v>ESCRITORIO CON 3 CAJONES</v>
      </c>
      <c r="G348" s="167" t="str">
        <f ca="1">'030523 INVENTARIO'!G348</f>
        <v>P12SI-0347</v>
      </c>
      <c r="H348" s="167" t="str">
        <f>'030523 INVENTARIO'!J348</f>
        <v>P12SI-0347</v>
      </c>
      <c r="I348" s="167" t="str">
        <f>'030523 INVENTARIO'!K348</f>
        <v>P12SI-022</v>
      </c>
      <c r="J348" s="167" t="str">
        <f>'030523 INVENTARIO'!L348</f>
        <v>P1SI-90</v>
      </c>
      <c r="K348" s="167" t="str">
        <f>'030523 INVENTARIO'!M348</f>
        <v>5110100015-38</v>
      </c>
      <c r="L348" s="168">
        <f>'030523 INVENTARIO'!N348</f>
        <v>0</v>
      </c>
      <c r="M348" s="168">
        <f>'030523 INVENTARIO'!O348</f>
        <v>0</v>
      </c>
      <c r="N348" s="168" t="str">
        <f>'030523 INVENTARIO'!P348</f>
        <v>OK</v>
      </c>
      <c r="O348" s="168" t="str">
        <f>'030523 INVENTARIO'!Q348</f>
        <v>S/M</v>
      </c>
      <c r="P348" s="167" t="str">
        <f>'030523 INVENTARIO'!R348</f>
        <v>S/M</v>
      </c>
      <c r="Q348" s="168" t="str">
        <f>'030523 INVENTARIO'!S348</f>
        <v>SIN SERIE</v>
      </c>
      <c r="R348" s="168" t="str">
        <f>'030523 INVENTARIO'!T348</f>
        <v>82DH0511010029000649676</v>
      </c>
    </row>
    <row r="349" spans="5:18">
      <c r="E349" s="167" t="str">
        <f>'030523 INVENTARIO'!E349</f>
        <v>MESA</v>
      </c>
      <c r="F349" s="167" t="str">
        <f>'030523 INVENTARIO'!F349</f>
        <v>MESA DE MADERA CAOBA 60X40</v>
      </c>
      <c r="G349" s="167" t="str">
        <f ca="1">'030523 INVENTARIO'!G349</f>
        <v>P12SI-0348</v>
      </c>
      <c r="H349" s="167" t="str">
        <f>'030523 INVENTARIO'!J349</f>
        <v>P12SI-0348</v>
      </c>
      <c r="I349" s="167" t="str">
        <f>'030523 INVENTARIO'!K349</f>
        <v>P12SI-023</v>
      </c>
      <c r="J349" s="167" t="str">
        <f>'030523 INVENTARIO'!L349</f>
        <v>P1SI-91</v>
      </c>
      <c r="K349" s="167" t="str">
        <f>'030523 INVENTARIO'!M349</f>
        <v>5120100007-69</v>
      </c>
      <c r="L349" s="168">
        <f>'030523 INVENTARIO'!N349</f>
        <v>0</v>
      </c>
      <c r="M349" s="168">
        <f>'030523 INVENTARIO'!O349</f>
        <v>0</v>
      </c>
      <c r="N349" s="168" t="str">
        <f>'030523 INVENTARIO'!P349</f>
        <v>OK</v>
      </c>
      <c r="O349" s="168" t="str">
        <f>'030523 INVENTARIO'!Q349</f>
        <v>S/M</v>
      </c>
      <c r="P349" s="167" t="str">
        <f>'030523 INVENTARIO'!R349</f>
        <v>S/M</v>
      </c>
      <c r="Q349" s="168" t="str">
        <f>'030523 INVENTARIO'!S349</f>
        <v>SIN SERIE</v>
      </c>
      <c r="R349" s="168" t="str">
        <f>'030523 INVENTARIO'!T349</f>
        <v>82DH0531010065000564867</v>
      </c>
    </row>
    <row r="350" spans="5:18">
      <c r="E350" s="167" t="str">
        <f>'030523 INVENTARIO'!E350</f>
        <v>SILLA</v>
      </c>
      <c r="F350" s="167" t="str">
        <f>'030523 INVENTARIO'!F350</f>
        <v>SILLA DE TELA NEGRA FIJA</v>
      </c>
      <c r="G350" s="167" t="str">
        <f ca="1">'030523 INVENTARIO'!G350</f>
        <v>P12SI-0349</v>
      </c>
      <c r="H350" s="167" t="str">
        <f>'030523 INVENTARIO'!J350</f>
        <v>P12SI-0349</v>
      </c>
      <c r="I350" s="167" t="str">
        <f>'030523 INVENTARIO'!K350</f>
        <v>P12SI-024</v>
      </c>
      <c r="J350" s="167" t="str">
        <f>'030523 INVENTARIO'!L350</f>
        <v>P1LP-37</v>
      </c>
      <c r="K350" s="167" t="str">
        <f>'030523 INVENTARIO'!M350</f>
        <v>5110100011-48</v>
      </c>
      <c r="L350" s="168">
        <f>'030523 INVENTARIO'!N350</f>
        <v>0</v>
      </c>
      <c r="M350" s="168">
        <f>'030523 INVENTARIO'!O350</f>
        <v>0</v>
      </c>
      <c r="N350" s="168" t="str">
        <f>'030523 INVENTARIO'!P350</f>
        <v>OK</v>
      </c>
      <c r="O350" s="168" t="str">
        <f>'030523 INVENTARIO'!Q350</f>
        <v>S/M</v>
      </c>
      <c r="P350" s="167" t="str">
        <f>'030523 INVENTARIO'!R350</f>
        <v>S/M</v>
      </c>
      <c r="Q350" s="168" t="str">
        <f>'030523 INVENTARIO'!S350</f>
        <v>SIN SERIE</v>
      </c>
      <c r="R350" s="168" t="str">
        <f>'030523 INVENTARIO'!T350</f>
        <v>82DH0511010017000649712</v>
      </c>
    </row>
    <row r="351" spans="5:18">
      <c r="E351" s="167" t="str">
        <f>'030523 INVENTARIO'!E351</f>
        <v>SILLA</v>
      </c>
      <c r="F351" s="167" t="str">
        <f>'030523 INVENTARIO'!F351</f>
        <v>SILLA DE TELA NEGRA FIJA</v>
      </c>
      <c r="G351" s="167" t="str">
        <f ca="1">'030523 INVENTARIO'!G351</f>
        <v>P12SI-0350</v>
      </c>
      <c r="H351" s="167" t="str">
        <f>'030523 INVENTARIO'!J351</f>
        <v>P12SI-0350</v>
      </c>
      <c r="I351" s="167" t="str">
        <f>'030523 INVENTARIO'!K351</f>
        <v>P12SI-025</v>
      </c>
      <c r="J351" s="167" t="str">
        <f>'030523 INVENTARIO'!L351</f>
        <v>P1SI-66</v>
      </c>
      <c r="K351" s="167" t="str">
        <f>'030523 INVENTARIO'!M351</f>
        <v>5120100009-65</v>
      </c>
      <c r="L351" s="168">
        <f>'030523 INVENTARIO'!N351</f>
        <v>0</v>
      </c>
      <c r="M351" s="168">
        <f>'030523 INVENTARIO'!O351</f>
        <v>0</v>
      </c>
      <c r="N351" s="168" t="str">
        <f>'030523 INVENTARIO'!P351</f>
        <v>OK</v>
      </c>
      <c r="O351" s="168" t="str">
        <f>'030523 INVENTARIO'!Q351</f>
        <v>S/M</v>
      </c>
      <c r="P351" s="167" t="str">
        <f>'030523 INVENTARIO'!R351</f>
        <v>S/M</v>
      </c>
      <c r="Q351" s="168" t="str">
        <f>'030523 INVENTARIO'!S351</f>
        <v>SIN SERIE</v>
      </c>
      <c r="R351" s="168" t="str">
        <f>'030523 INVENTARIO'!T351</f>
        <v>82DH0511010017000522524</v>
      </c>
    </row>
    <row r="352" spans="5:18">
      <c r="E352" s="167" t="str">
        <f>'030523 INVENTARIO'!E352</f>
        <v>SILLA</v>
      </c>
      <c r="F352" s="168" t="str">
        <f>'030523 INVENTARIO'!F352</f>
        <v>SILLA DE TELA CON RUEDAS</v>
      </c>
      <c r="G352" s="167" t="str">
        <f ca="1">'030523 INVENTARIO'!G352</f>
        <v>P05RM-0351</v>
      </c>
      <c r="H352" s="167" t="str">
        <f>'030523 INVENTARIO'!J352</f>
        <v>P12SI-0351</v>
      </c>
      <c r="I352" s="167" t="str">
        <f>'030523 INVENTARIO'!K352</f>
        <v>P12SI-026</v>
      </c>
      <c r="J352" s="167" t="str">
        <f>'030523 INVENTARIO'!L352</f>
        <v>P1SI-43</v>
      </c>
      <c r="K352" s="167" t="str">
        <f>'030523 INVENTARIO'!M352</f>
        <v>5110100011-120</v>
      </c>
      <c r="L352" s="168">
        <f>'030523 INVENTARIO'!N352</f>
        <v>0</v>
      </c>
      <c r="M352" s="168">
        <f>'030523 INVENTARIO'!O352</f>
        <v>0</v>
      </c>
      <c r="N352" s="168" t="str">
        <f>'030523 INVENTARIO'!P352</f>
        <v>OK</v>
      </c>
      <c r="O352" s="168" t="str">
        <f>'030523 INVENTARIO'!Q352</f>
        <v>S/M</v>
      </c>
      <c r="P352" s="167" t="str">
        <f>'030523 INVENTARIO'!R352</f>
        <v>S/M</v>
      </c>
      <c r="Q352" s="168" t="str">
        <f>'030523 INVENTARIO'!S352</f>
        <v>SIN SERIE</v>
      </c>
      <c r="R352" s="168" t="str">
        <f>'030523 INVENTARIO'!T352</f>
        <v>82DH0511010017000651129</v>
      </c>
    </row>
    <row r="353" spans="5:18">
      <c r="E353" s="167" t="str">
        <f>'030523 INVENTARIO'!E353</f>
        <v>SILLON</v>
      </c>
      <c r="F353" s="168" t="str">
        <f>'030523 INVENTARIO'!F353</f>
        <v>SILLON NEGRA CON RUEDAS</v>
      </c>
      <c r="G353" s="167" t="str">
        <f ca="1">'030523 INVENTARIO'!G353</f>
        <v>P05RM-0352</v>
      </c>
      <c r="H353" s="167" t="str">
        <f>'030523 INVENTARIO'!J353</f>
        <v>P12SI-0352</v>
      </c>
      <c r="I353" s="167" t="str">
        <f>'030523 INVENTARIO'!K353</f>
        <v>P12SI-027</v>
      </c>
      <c r="J353" s="167" t="str">
        <f>'030523 INVENTARIO'!L353</f>
        <v>P1LP-40</v>
      </c>
      <c r="K353" s="167" t="str">
        <f>'030523 INVENTARIO'!M353</f>
        <v>5120100009-34</v>
      </c>
      <c r="L353" s="168">
        <f>'030523 INVENTARIO'!N353</f>
        <v>0</v>
      </c>
      <c r="M353" s="168">
        <f>'030523 INVENTARIO'!O353</f>
        <v>0</v>
      </c>
      <c r="N353" s="168" t="str">
        <f>'030523 INVENTARIO'!P353</f>
        <v>OK</v>
      </c>
      <c r="O353" s="168" t="str">
        <f>'030523 INVENTARIO'!Q353</f>
        <v>S/M</v>
      </c>
      <c r="P353" s="167" t="str">
        <f>'030523 INVENTARIO'!R353</f>
        <v>S/M</v>
      </c>
      <c r="Q353" s="168" t="str">
        <f>'030523 INVENTARIO'!S353</f>
        <v>SIN SERIE</v>
      </c>
      <c r="R353" s="168" t="str">
        <f>'030523 INVENTARIO'!T353</f>
        <v>82DH0511010016000516013</v>
      </c>
    </row>
    <row r="354" spans="5:18">
      <c r="E354" s="167" t="str">
        <f>'030523 INVENTARIO'!E354</f>
        <v>COMPUTADORA DE ESCRITORIO</v>
      </c>
      <c r="F354" s="167" t="str">
        <f>'030523 INVENTARIO'!F354</f>
        <v>COMPUTADORA TODO EN UNO BLANCO</v>
      </c>
      <c r="G354" s="167" t="str">
        <f ca="1">'030523 INVENTARIO'!G354</f>
        <v>P12SI-0353</v>
      </c>
      <c r="H354" s="167" t="str">
        <f>'030523 INVENTARIO'!J354</f>
        <v>P12SI-0353</v>
      </c>
      <c r="I354" s="167" t="str">
        <f>'030523 INVENTARIO'!K354</f>
        <v>P12SI-028</v>
      </c>
      <c r="J354" s="167" t="str">
        <f>'030523 INVENTARIO'!L354</f>
        <v>P1R-23</v>
      </c>
      <c r="K354" s="167" t="str">
        <f>'030523 INVENTARIO'!M354</f>
        <v>ALTA</v>
      </c>
      <c r="L354" s="168">
        <f>'030523 INVENTARIO'!N354</f>
        <v>0</v>
      </c>
      <c r="M354" s="168">
        <f>'030523 INVENTARIO'!O354</f>
        <v>0</v>
      </c>
      <c r="N354" s="168" t="str">
        <f>'030523 INVENTARIO'!P354</f>
        <v>REPETIDO</v>
      </c>
      <c r="O354" s="168" t="str">
        <f>'030523 INVENTARIO'!Q354</f>
        <v>LENOVO</v>
      </c>
      <c r="P354" s="167" t="str">
        <f>'030523 INVENTARIO'!R354</f>
        <v>AIO 310 201AP</v>
      </c>
      <c r="Q354" s="168" t="str">
        <f>'030523 INVENTARIO'!S354</f>
        <v>YJ004FPM</v>
      </c>
      <c r="R354" s="168" t="str">
        <f>'030523 INVENTARIO'!T354</f>
        <v>82DH0515010003000649443</v>
      </c>
    </row>
    <row r="355" spans="5:18">
      <c r="E355" s="167" t="str">
        <f>'030523 INVENTARIO'!E355</f>
        <v>PANTALLA</v>
      </c>
      <c r="F355" s="168" t="str">
        <f>'030523 INVENTARIO'!F355</f>
        <v>PANTALLA NEGRA 32"</v>
      </c>
      <c r="G355" s="167" t="str">
        <f ca="1">'030523 INVENTARIO'!G355</f>
        <v>P05RM-0354</v>
      </c>
      <c r="H355" s="167" t="str">
        <f>'030523 INVENTARIO'!J355</f>
        <v>P12SI-0354</v>
      </c>
      <c r="I355" s="167" t="str">
        <f>'030523 INVENTARIO'!K355</f>
        <v>P12SI-029</v>
      </c>
      <c r="J355" s="167" t="str">
        <f>'030523 INVENTARIO'!L355</f>
        <v>P1SI-64</v>
      </c>
      <c r="K355" s="167" t="str">
        <f>'030523 INVENTARIO'!M355</f>
        <v>5210100012-57</v>
      </c>
      <c r="L355" s="168">
        <f>'030523 INVENTARIO'!N355</f>
        <v>0</v>
      </c>
      <c r="M355" s="168">
        <f>'030523 INVENTARIO'!O355</f>
        <v>0</v>
      </c>
      <c r="N355" s="168" t="str">
        <f>'030523 INVENTARIO'!P355</f>
        <v>OK</v>
      </c>
      <c r="O355" s="168" t="str">
        <f>'030523 INVENTARIO'!Q355</f>
        <v>POLAROID</v>
      </c>
      <c r="P355" s="167" t="str">
        <f>'030523 INVENTARIO'!R355</f>
        <v>PTB3215LED</v>
      </c>
      <c r="Q355" s="168" t="str">
        <f>'030523 INVENTARIO'!S355</f>
        <v>PLEPPTV3215LM0</v>
      </c>
      <c r="R355" s="168" t="str">
        <f>'030523 INVENTARIO'!T355</f>
        <v>SIN RESGUARDO</v>
      </c>
    </row>
    <row r="356" spans="5:18">
      <c r="E356" s="167" t="str">
        <f>'030523 INVENTARIO'!E356</f>
        <v>MONITOR</v>
      </c>
      <c r="F356" s="167" t="str">
        <f>'030523 INVENTARIO'!F356</f>
        <v>MONITOR 19.5"</v>
      </c>
      <c r="G356" s="167" t="str">
        <f ca="1">'030523 INVENTARIO'!G356</f>
        <v>P12SI-0355</v>
      </c>
      <c r="H356" s="167" t="str">
        <f>'030523 INVENTARIO'!J356</f>
        <v>P12SI-0355</v>
      </c>
      <c r="I356" s="167" t="str">
        <f>'030523 INVENTARIO'!K356</f>
        <v>P12SI-030</v>
      </c>
      <c r="J356" s="167" t="str">
        <f>'030523 INVENTARIO'!L356</f>
        <v>P0A-4</v>
      </c>
      <c r="K356" s="167" t="str">
        <f>'030523 INVENTARIO'!M356</f>
        <v>5210100012-21</v>
      </c>
      <c r="L356" s="168">
        <f>'030523 INVENTARIO'!N356</f>
        <v>0</v>
      </c>
      <c r="M356" s="168">
        <f>'030523 INVENTARIO'!O356</f>
        <v>0</v>
      </c>
      <c r="N356" s="168" t="str">
        <f>'030523 INVENTARIO'!P356</f>
        <v>OK</v>
      </c>
      <c r="O356" s="168" t="str">
        <f>'030523 INVENTARIO'!Q356</f>
        <v>ACER</v>
      </c>
      <c r="P356" s="167" t="str">
        <f>'030523 INVENTARIO'!R356</f>
        <v>V206HQL</v>
      </c>
      <c r="Q356" s="168" t="str">
        <f>'030523 INVENTARIO'!S356</f>
        <v>MNLXKAM00155302F64425</v>
      </c>
      <c r="R356" s="168" t="str">
        <f>'030523 INVENTARIO'!T356</f>
        <v>SIN RESGUARDO</v>
      </c>
    </row>
    <row r="357" spans="5:18">
      <c r="E357" s="167" t="str">
        <f>'030523 INVENTARIO'!E357</f>
        <v>TELEFONO</v>
      </c>
      <c r="F357" s="168" t="str">
        <f>'030523 INVENTARIO'!F357</f>
        <v>TELEFONO GRIS</v>
      </c>
      <c r="G357" s="167" t="str">
        <f ca="1">'030523 INVENTARIO'!G357</f>
        <v>P05SI-0356</v>
      </c>
      <c r="H357" s="167" t="str">
        <f>'030523 INVENTARIO'!J357</f>
        <v>P12SI-0356</v>
      </c>
      <c r="I357" s="167" t="str">
        <f>'030523 INVENTARIO'!K357</f>
        <v>P12SI-031</v>
      </c>
      <c r="J357" s="167" t="str">
        <f>'030523 INVENTARIO'!L357</f>
        <v>P1P-56</v>
      </c>
      <c r="K357" s="167" t="str">
        <f>'030523 INVENTARIO'!M357</f>
        <v>5650100010-29</v>
      </c>
      <c r="L357" s="168">
        <f>'030523 INVENTARIO'!N357</f>
        <v>0</v>
      </c>
      <c r="M357" s="168">
        <f>'030523 INVENTARIO'!O357</f>
        <v>0</v>
      </c>
      <c r="N357" s="168" t="str">
        <f>'030523 INVENTARIO'!P357</f>
        <v>OK</v>
      </c>
      <c r="O357" s="168" t="str">
        <f>'030523 INVENTARIO'!Q357</f>
        <v>LINKSYS</v>
      </c>
      <c r="P357" s="167" t="str">
        <f>'030523 INVENTARIO'!R357</f>
        <v>SPA942</v>
      </c>
      <c r="Q357" s="168" t="str">
        <f>'030523 INVENTARIO'!S357</f>
        <v>4LO00H118289</v>
      </c>
      <c r="R357" s="168" t="str">
        <f>'030523 INVENTARIO'!T357</f>
        <v>82DH0565010001000651111</v>
      </c>
    </row>
    <row r="358" spans="5:18">
      <c r="E358" s="167" t="str">
        <f>'030523 INVENTARIO'!E358</f>
        <v>MESA</v>
      </c>
      <c r="F358" s="167" t="str">
        <f>'030523 INVENTARIO'!F358</f>
        <v>MESA DE MADERA COMPLEMENTO TIPO BALA</v>
      </c>
      <c r="G358" s="167" t="str">
        <f ca="1">'030523 INVENTARIO'!G358</f>
        <v>P12SI-0357</v>
      </c>
      <c r="H358" s="167" t="str">
        <f>'030523 INVENTARIO'!J358</f>
        <v>P12SI-0357</v>
      </c>
      <c r="I358" s="167" t="str">
        <f>'030523 INVENTARIO'!K358</f>
        <v>P12SI-032</v>
      </c>
      <c r="J358" s="167" t="str">
        <f>'030523 INVENTARIO'!L358</f>
        <v>P1SI-104</v>
      </c>
      <c r="K358" s="167" t="str">
        <f>'030523 INVENTARIO'!M358</f>
        <v>5120100007-75</v>
      </c>
      <c r="L358" s="168">
        <f>'030523 INVENTARIO'!N358</f>
        <v>0</v>
      </c>
      <c r="M358" s="168">
        <f>'030523 INVENTARIO'!O358</f>
        <v>0</v>
      </c>
      <c r="N358" s="168" t="str">
        <f>'030523 INVENTARIO'!P358</f>
        <v>OK</v>
      </c>
      <c r="O358" s="168" t="str">
        <f>'030523 INVENTARIO'!Q358</f>
        <v>S/M</v>
      </c>
      <c r="P358" s="167" t="str">
        <f>'030523 INVENTARIO'!R358</f>
        <v>S/M</v>
      </c>
      <c r="Q358" s="168" t="str">
        <f>'030523 INVENTARIO'!S358</f>
        <v>SIN SERIE</v>
      </c>
      <c r="R358" s="168" t="str">
        <f>'030523 INVENTARIO'!T358</f>
        <v>82DH0511010010000649658</v>
      </c>
    </row>
    <row r="359" spans="5:18">
      <c r="E359" s="167" t="str">
        <f>'030523 INVENTARIO'!E359</f>
        <v>NO BREAK</v>
      </c>
      <c r="F359" s="167" t="str">
        <f>'030523 INVENTARIO'!F359</f>
        <v>NO BREAK BLANCO</v>
      </c>
      <c r="G359" s="167" t="str">
        <f ca="1">'030523 INVENTARIO'!G359</f>
        <v>P12SI-0358</v>
      </c>
      <c r="H359" s="167" t="str">
        <f>'030523 INVENTARIO'!J359</f>
        <v>P12SI-0358</v>
      </c>
      <c r="I359" s="167" t="str">
        <f>'030523 INVENTARIO'!K359</f>
        <v>P12SI-033</v>
      </c>
      <c r="J359" s="167" t="str">
        <f>'030523 INVENTARIO'!L359</f>
        <v>P1SI-71</v>
      </c>
      <c r="K359" s="167" t="str">
        <f>'030523 INVENTARIO'!M359</f>
        <v>5150100005-118</v>
      </c>
      <c r="L359" s="168">
        <f>'030523 INVENTARIO'!N359</f>
        <v>0</v>
      </c>
      <c r="M359" s="168">
        <f>'030523 INVENTARIO'!O359</f>
        <v>0</v>
      </c>
      <c r="N359" s="168" t="str">
        <f>'030523 INVENTARIO'!P359</f>
        <v>OK</v>
      </c>
      <c r="O359" s="168" t="str">
        <f>'030523 INVENTARIO'!Q359</f>
        <v>VICA</v>
      </c>
      <c r="P359" s="167" t="str">
        <f>'030523 INVENTARIO'!R359</f>
        <v>S900</v>
      </c>
      <c r="Q359" s="168" t="str">
        <f>'030523 INVENTARIO'!S359</f>
        <v>321608302456</v>
      </c>
      <c r="R359" s="168" t="str">
        <f>'030523 INVENTARIO'!T359</f>
        <v>82DH0515010016000649438</v>
      </c>
    </row>
    <row r="360" spans="5:18">
      <c r="E360" s="167" t="str">
        <f>'030523 INVENTARIO'!E360</f>
        <v>ESCRITORIO</v>
      </c>
      <c r="F360" s="168" t="str">
        <f>'030523 INVENTARIO'!F360</f>
        <v>ESCRITORIO CON 2 CAJONES Y SEPARADOR DE MADERA</v>
      </c>
      <c r="G360" s="167" t="str">
        <f ca="1">'030523 INVENTARIO'!G360</f>
        <v>P12SI-0359</v>
      </c>
      <c r="H360" s="167" t="str">
        <f>'030523 INVENTARIO'!J360</f>
        <v>P12SI-0359</v>
      </c>
      <c r="I360" s="167" t="str">
        <f>'030523 INVENTARIO'!K360</f>
        <v>P12SI-034</v>
      </c>
      <c r="J360" s="167" t="str">
        <f>'030523 INVENTARIO'!L360</f>
        <v>P1SI-126</v>
      </c>
      <c r="K360" s="167" t="str">
        <f>'030523 INVENTARIO'!M360</f>
        <v>5110100015-40</v>
      </c>
      <c r="L360" s="168">
        <f>'030523 INVENTARIO'!N360</f>
        <v>0</v>
      </c>
      <c r="M360" s="168">
        <f>'030523 INVENTARIO'!O360</f>
        <v>0</v>
      </c>
      <c r="N360" s="168" t="str">
        <f>'030523 INVENTARIO'!P360</f>
        <v>OK</v>
      </c>
      <c r="O360" s="168" t="str">
        <f>'030523 INVENTARIO'!Q360</f>
        <v>S/M</v>
      </c>
      <c r="P360" s="167" t="str">
        <f>'030523 INVENTARIO'!R360</f>
        <v>S/M</v>
      </c>
      <c r="Q360" s="168" t="str">
        <f>'030523 INVENTARIO'!S360</f>
        <v>SIN SERIE</v>
      </c>
      <c r="R360" s="168" t="str">
        <f>'030523 INVENTARIO'!T360</f>
        <v>82DJ0511010006000651117</v>
      </c>
    </row>
    <row r="361" spans="5:18">
      <c r="E361" s="167" t="str">
        <f>'030523 INVENTARIO'!E361</f>
        <v>MONITOR</v>
      </c>
      <c r="F361" s="167" t="str">
        <f>'030523 INVENTARIO'!F361</f>
        <v>MONITOR 19.5"</v>
      </c>
      <c r="G361" s="167" t="str">
        <f ca="1">'030523 INVENTARIO'!G361</f>
        <v>P12SI-0360</v>
      </c>
      <c r="H361" s="167" t="str">
        <f>'030523 INVENTARIO'!J361</f>
        <v>P12SI-0360</v>
      </c>
      <c r="I361" s="167" t="str">
        <f>'030523 INVENTARIO'!K361</f>
        <v>P12SI-035</v>
      </c>
      <c r="J361" s="167" t="str">
        <f>'030523 INVENTARIO'!L361</f>
        <v>P1SI-120</v>
      </c>
      <c r="K361" s="167" t="str">
        <f>'030523 INVENTARIO'!M361</f>
        <v>5210100012-25</v>
      </c>
      <c r="L361" s="168">
        <f>'030523 INVENTARIO'!N361</f>
        <v>0</v>
      </c>
      <c r="M361" s="168">
        <f>'030523 INVENTARIO'!O361</f>
        <v>0</v>
      </c>
      <c r="N361" s="168" t="str">
        <f>'030523 INVENTARIO'!P361</f>
        <v>OK</v>
      </c>
      <c r="O361" s="168" t="str">
        <f>'030523 INVENTARIO'!Q361</f>
        <v>HP</v>
      </c>
      <c r="P361" s="167" t="str">
        <f>'030523 INVENTARIO'!R361</f>
        <v>W1907</v>
      </c>
      <c r="Q361" s="168" t="str">
        <f>'030523 INVENTARIO'!S361</f>
        <v>CNN713041F</v>
      </c>
      <c r="R361" s="168" t="str">
        <f>'030523 INVENTARIO'!T361</f>
        <v>82DJ0565010041000566531</v>
      </c>
    </row>
    <row r="362" spans="5:18">
      <c r="E362" s="167" t="str">
        <f>'030523 INVENTARIO'!E362</f>
        <v>COMPLEMENTARIO DE EQUIPO DE COMPUTO</v>
      </c>
      <c r="F362" s="168" t="str">
        <f>'030523 INVENTARIO'!F362</f>
        <v>COMPLEMENTO DE EQUIPO DE MADERA</v>
      </c>
      <c r="G362" s="167" t="str">
        <f ca="1">'030523 INVENTARIO'!G362</f>
        <v>P12SI-0361</v>
      </c>
      <c r="H362" s="167" t="str">
        <f>'030523 INVENTARIO'!J362</f>
        <v>P12SI-0361</v>
      </c>
      <c r="I362" s="167" t="str">
        <f>'030523 INVENTARIO'!K362</f>
        <v>P12SI-036</v>
      </c>
      <c r="J362" s="167" t="str">
        <f>'030523 INVENTARIO'!L362</f>
        <v>P1SI-125</v>
      </c>
      <c r="K362" s="167" t="str">
        <f>'030523 INVENTARIO'!M362</f>
        <v>5120100004-34</v>
      </c>
      <c r="L362" s="168">
        <f>'030523 INVENTARIO'!N362</f>
        <v>0</v>
      </c>
      <c r="M362" s="168">
        <f>'030523 INVENTARIO'!O362</f>
        <v>0</v>
      </c>
      <c r="N362" s="168" t="str">
        <f>'030523 INVENTARIO'!P362</f>
        <v>OK</v>
      </c>
      <c r="O362" s="168" t="str">
        <f>'030523 INVENTARIO'!Q362</f>
        <v>S/M</v>
      </c>
      <c r="P362" s="167" t="str">
        <f>'030523 INVENTARIO'!R362</f>
        <v>S/M</v>
      </c>
      <c r="Q362" s="168" t="str">
        <f>'030523 INVENTARIO'!S362</f>
        <v>SIN SERIE</v>
      </c>
      <c r="R362" s="168" t="str">
        <f>'030523 INVENTARIO'!T362</f>
        <v>82DJ0515010033000651116</v>
      </c>
    </row>
    <row r="363" spans="5:18">
      <c r="E363" s="167" t="str">
        <f>'030523 INVENTARIO'!E363</f>
        <v>NO BREAK</v>
      </c>
      <c r="F363" s="168" t="str">
        <f>'030523 INVENTARIO'!F363</f>
        <v>NO BREAK</v>
      </c>
      <c r="G363" s="167" t="str">
        <f ca="1">'030523 INVENTARIO'!G363</f>
        <v>P12SI-0362</v>
      </c>
      <c r="H363" s="167" t="str">
        <f>'030523 INVENTARIO'!J363</f>
        <v>P12SI-0362</v>
      </c>
      <c r="I363" s="167" t="str">
        <f>'030523 INVENTARIO'!K363</f>
        <v>P12SI-037</v>
      </c>
      <c r="J363" s="167" t="str">
        <f>'030523 INVENTARIO'!L363</f>
        <v>P1SI-124</v>
      </c>
      <c r="K363" s="167" t="str">
        <f>'030523 INVENTARIO'!M363</f>
        <v>5150100008-54</v>
      </c>
      <c r="L363" s="168">
        <f>'030523 INVENTARIO'!N363</f>
        <v>0</v>
      </c>
      <c r="M363" s="168">
        <f>'030523 INVENTARIO'!O363</f>
        <v>0</v>
      </c>
      <c r="N363" s="168" t="str">
        <f>'030523 INVENTARIO'!P363</f>
        <v>OK</v>
      </c>
      <c r="O363" s="168" t="str">
        <f>'030523 INVENTARIO'!Q363</f>
        <v>CDP</v>
      </c>
      <c r="P363" s="167" t="str">
        <f>'030523 INVENTARIO'!R363</f>
        <v>S/M</v>
      </c>
      <c r="Q363" s="168" t="str">
        <f>'030523 INVENTARIO'!S363</f>
        <v>1001110220613</v>
      </c>
      <c r="R363" s="168" t="str">
        <f>'030523 INVENTARIO'!T363</f>
        <v>82DJ0515010016000651115</v>
      </c>
    </row>
    <row r="364" spans="5:18">
      <c r="E364" s="167" t="str">
        <f>'030523 INVENTARIO'!E364</f>
        <v>COMPUTADORA DE ESCRITORIO</v>
      </c>
      <c r="F364" s="168" t="str">
        <f>'030523 INVENTARIO'!F364</f>
        <v>COMPUTADORA NEGRO</v>
      </c>
      <c r="G364" s="167" t="str">
        <f ca="1">'030523 INVENTARIO'!G364</f>
        <v>P12SI-0363</v>
      </c>
      <c r="H364" s="167" t="str">
        <f>'030523 INVENTARIO'!J364</f>
        <v>P12SI-0363</v>
      </c>
      <c r="I364" s="167" t="str">
        <f>'030523 INVENTARIO'!K364</f>
        <v>P12SI-038</v>
      </c>
      <c r="J364" s="167" t="str">
        <f>'030523 INVENTARIO'!L364</f>
        <v>P1SI-121</v>
      </c>
      <c r="K364" s="167" t="str">
        <f>'030523 INVENTARIO'!M364</f>
        <v>5150100005-39</v>
      </c>
      <c r="L364" s="168">
        <f>'030523 INVENTARIO'!N364</f>
        <v>0</v>
      </c>
      <c r="M364" s="168">
        <f>'030523 INVENTARIO'!O364</f>
        <v>0</v>
      </c>
      <c r="N364" s="168" t="str">
        <f>'030523 INVENTARIO'!P364</f>
        <v>OK</v>
      </c>
      <c r="O364" s="168" t="str">
        <f>'030523 INVENTARIO'!Q364</f>
        <v>ACER</v>
      </c>
      <c r="P364" s="167" t="str">
        <f>'030523 INVENTARIO'!R364</f>
        <v>AX3990</v>
      </c>
      <c r="Q364" s="168" t="str">
        <f>'030523 INVENTARIO'!S364</f>
        <v>DTSGKAL00321003EC9200</v>
      </c>
      <c r="R364" s="168" t="str">
        <f>'030523 INVENTARIO'!T364</f>
        <v>82DJ0515010003000649690</v>
      </c>
    </row>
    <row r="365" spans="5:18">
      <c r="E365" s="167" t="str">
        <f>'030523 INVENTARIO'!E365</f>
        <v>VENTILADOR</v>
      </c>
      <c r="F365" s="167" t="str">
        <f>'030523 INVENTARIO'!F365</f>
        <v>VENTILADOR BLANCO</v>
      </c>
      <c r="G365" s="167" t="str">
        <f ca="1">'030523 INVENTARIO'!G365</f>
        <v>P12SI-0364</v>
      </c>
      <c r="H365" s="167" t="str">
        <f>'030523 INVENTARIO'!J365</f>
        <v>P12SI-0364</v>
      </c>
      <c r="I365" s="167" t="str">
        <f>'030523 INVENTARIO'!K365</f>
        <v>P12SI-039</v>
      </c>
      <c r="J365" s="167" t="str">
        <f>'030523 INVENTARIO'!L365</f>
        <v>P1SI-122</v>
      </c>
      <c r="K365" s="167" t="str">
        <f>'030523 INVENTARIO'!M365</f>
        <v>5190200002-27</v>
      </c>
      <c r="L365" s="168">
        <f>'030523 INVENTARIO'!N365</f>
        <v>0</v>
      </c>
      <c r="M365" s="168">
        <f>'030523 INVENTARIO'!O365</f>
        <v>0</v>
      </c>
      <c r="N365" s="168" t="str">
        <f>'030523 INVENTARIO'!P365</f>
        <v>OK</v>
      </c>
      <c r="O365" s="168" t="str">
        <f>'030523 INVENTARIO'!Q365</f>
        <v>LASKO</v>
      </c>
      <c r="P365" s="167" t="str">
        <f>'030523 INVENTARIO'!R365</f>
        <v>2510M</v>
      </c>
      <c r="Q365" s="168" t="str">
        <f>'030523 INVENTARIO'!S365</f>
        <v>SIN SERIE</v>
      </c>
      <c r="R365" s="167" t="str">
        <f>'030523 INVENTARIO'!T365</f>
        <v>82DJ0531010094000564888</v>
      </c>
    </row>
    <row r="366" spans="5:18">
      <c r="E366" s="167" t="str">
        <f>'030523 INVENTARIO'!E366</f>
        <v>SILLON</v>
      </c>
      <c r="F366" s="167" t="str">
        <f>'030523 INVENTARIO'!F366</f>
        <v>SILLÓN NEGRO CON RUEDAS</v>
      </c>
      <c r="G366" s="167" t="str">
        <f ca="1">'030523 INVENTARIO'!G366</f>
        <v>P12SI-0365</v>
      </c>
      <c r="H366" s="167" t="str">
        <f>'030523 INVENTARIO'!J366</f>
        <v>P12SI-0365</v>
      </c>
      <c r="I366" s="167" t="str">
        <f>'030523 INVENTARIO'!K366</f>
        <v>P12SI-040</v>
      </c>
      <c r="J366" s="167" t="str">
        <f>'030523 INVENTARIO'!L366</f>
        <v>P1SI-123</v>
      </c>
      <c r="K366" s="167" t="str">
        <f>'030523 INVENTARIO'!M366</f>
        <v>5120100009-37</v>
      </c>
      <c r="L366" s="168">
        <f>'030523 INVENTARIO'!N366</f>
        <v>0</v>
      </c>
      <c r="M366" s="168">
        <f>'030523 INVENTARIO'!O366</f>
        <v>0</v>
      </c>
      <c r="N366" s="168" t="str">
        <f>'030523 INVENTARIO'!P366</f>
        <v>OK</v>
      </c>
      <c r="O366" s="168" t="str">
        <f>'030523 INVENTARIO'!Q366</f>
        <v>S/M</v>
      </c>
      <c r="P366" s="167" t="str">
        <f>'030523 INVENTARIO'!R366</f>
        <v>S/M</v>
      </c>
      <c r="Q366" s="168" t="str">
        <f>'030523 INVENTARIO'!S366</f>
        <v>SIN SERIE</v>
      </c>
      <c r="R366" s="168" t="str">
        <f>'030523 INVENTARIO'!T366</f>
        <v>82DJ0511010016000515599</v>
      </c>
    </row>
    <row r="367" spans="5:18">
      <c r="E367" s="167" t="str">
        <f>'030523 INVENTARIO'!E367</f>
        <v>ADAPTADOR</v>
      </c>
      <c r="F367" s="167" t="str">
        <f>'030523 INVENTARIO'!F367</f>
        <v>ANTENA WIFI</v>
      </c>
      <c r="G367" s="167" t="str">
        <f ca="1">'030523 INVENTARIO'!G367</f>
        <v>P12SI-0366</v>
      </c>
      <c r="H367" s="167" t="str">
        <f>'030523 INVENTARIO'!J367</f>
        <v>P12SI-0366</v>
      </c>
      <c r="I367" s="167" t="str">
        <f>'030523 INVENTARIO'!K367</f>
        <v>P12SI-041</v>
      </c>
      <c r="J367" s="167">
        <f>'030523 INVENTARIO'!L367</f>
        <v>0</v>
      </c>
      <c r="K367" s="167" t="str">
        <f>'030523 INVENTARIO'!M367</f>
        <v>ALTA</v>
      </c>
      <c r="L367" s="168">
        <f>'030523 INVENTARIO'!N367</f>
        <v>0</v>
      </c>
      <c r="M367" s="168">
        <f>'030523 INVENTARIO'!O367</f>
        <v>0</v>
      </c>
      <c r="N367" s="168" t="str">
        <f>'030523 INVENTARIO'!P367</f>
        <v>REPETIDO</v>
      </c>
      <c r="O367" s="168" t="str">
        <f>'030523 INVENTARIO'!Q367</f>
        <v>TP-LINK</v>
      </c>
      <c r="P367" s="167" t="str">
        <f>'030523 INVENTARIO'!R367</f>
        <v>TL-WN722N</v>
      </c>
      <c r="Q367" s="167" t="str">
        <f>'030523 INVENTARIO'!S367</f>
        <v>119B3205593</v>
      </c>
      <c r="R367" s="167" t="str">
        <f>'030523 INVENTARIO'!T367</f>
        <v>SIN RESGUARDO</v>
      </c>
    </row>
    <row r="368" spans="5:18">
      <c r="E368" s="167" t="str">
        <f>'030523 INVENTARIO'!E368</f>
        <v>MONITOR</v>
      </c>
      <c r="F368" s="167" t="str">
        <f>'030523 INVENTARIO'!F368</f>
        <v>MONITOR</v>
      </c>
      <c r="G368" s="167" t="str">
        <f ca="1">'030523 INVENTARIO'!G368</f>
        <v>P12SI-0367</v>
      </c>
      <c r="H368" s="167" t="str">
        <f>'030523 INVENTARIO'!J368</f>
        <v>P12SI-0367</v>
      </c>
      <c r="I368" s="167" t="str">
        <f>'030523 INVENTARIO'!K368</f>
        <v>P12SI-042</v>
      </c>
      <c r="J368" s="167" t="str">
        <f>'030523 INVENTARIO'!L368</f>
        <v>P1SI-113</v>
      </c>
      <c r="K368" s="167" t="str">
        <f>'030523 INVENTARIO'!M368</f>
        <v>5210100012-23</v>
      </c>
      <c r="L368" s="168">
        <f>'030523 INVENTARIO'!N368</f>
        <v>0</v>
      </c>
      <c r="M368" s="168">
        <f>'030523 INVENTARIO'!O368</f>
        <v>0</v>
      </c>
      <c r="N368" s="168" t="str">
        <f>'030523 INVENTARIO'!P368</f>
        <v>OK</v>
      </c>
      <c r="O368" s="168" t="str">
        <f>'030523 INVENTARIO'!Q368</f>
        <v>ACER</v>
      </c>
      <c r="P368" s="167" t="str">
        <f>'030523 INVENTARIO'!R368</f>
        <v>P186HV</v>
      </c>
      <c r="Q368" s="168" t="str">
        <f>'030523 INVENTARIO'!S368</f>
        <v>ETLPZ0W0042020195F4321</v>
      </c>
      <c r="R368" s="167" t="str">
        <f>'030523 INVENTARIO'!T368</f>
        <v>82DJ0565010041000543572</v>
      </c>
    </row>
    <row r="369" spans="5:18">
      <c r="E369" s="167" t="str">
        <f>'030523 INVENTARIO'!E369</f>
        <v>MONITOR</v>
      </c>
      <c r="F369" s="167" t="str">
        <f>'030523 INVENTARIO'!F369</f>
        <v>MONITOR</v>
      </c>
      <c r="G369" s="167" t="str">
        <f ca="1">'030523 INVENTARIO'!G369</f>
        <v>P12SI-0368</v>
      </c>
      <c r="H369" s="167" t="str">
        <f>'030523 INVENTARIO'!J369</f>
        <v>P12SI-0368</v>
      </c>
      <c r="I369" s="167" t="str">
        <f>'030523 INVENTARIO'!K369</f>
        <v>P12SI-043</v>
      </c>
      <c r="J369" s="167" t="str">
        <f>'030523 INVENTARIO'!L369</f>
        <v>P1SI-114</v>
      </c>
      <c r="K369" s="167" t="str">
        <f>'030523 INVENTARIO'!M369</f>
        <v>5210100012-24</v>
      </c>
      <c r="L369" s="168">
        <f>'030523 INVENTARIO'!N369</f>
        <v>0</v>
      </c>
      <c r="M369" s="168">
        <f>'030523 INVENTARIO'!O369</f>
        <v>0</v>
      </c>
      <c r="N369" s="168" t="str">
        <f>'030523 INVENTARIO'!P369</f>
        <v>OK</v>
      </c>
      <c r="O369" s="168" t="str">
        <f>'030523 INVENTARIO'!Q369</f>
        <v>ACER</v>
      </c>
      <c r="P369" s="167" t="str">
        <f>'030523 INVENTARIO'!R369</f>
        <v>P186HV</v>
      </c>
      <c r="Q369" s="168" t="str">
        <f>'030523 INVENTARIO'!S369</f>
        <v>ETLPZ0W0042060333D4321</v>
      </c>
      <c r="R369" s="167" t="str">
        <f>'030523 INVENTARIO'!T369</f>
        <v>82DK0565010041000539105</v>
      </c>
    </row>
    <row r="370" spans="5:18">
      <c r="E370" s="167" t="str">
        <f>'030523 INVENTARIO'!E370</f>
        <v>COMPUTADORA DE ESCRITORIO</v>
      </c>
      <c r="F370" s="168" t="str">
        <f>'030523 INVENTARIO'!F370</f>
        <v>COMPUTADORA NEGRO</v>
      </c>
      <c r="G370" s="167" t="str">
        <f ca="1">'030523 INVENTARIO'!G370</f>
        <v>P12SI-0369</v>
      </c>
      <c r="H370" s="167" t="str">
        <f>'030523 INVENTARIO'!J370</f>
        <v>P12SI-0369</v>
      </c>
      <c r="I370" s="167" t="str">
        <f>'030523 INVENTARIO'!K370</f>
        <v>P12SI-044</v>
      </c>
      <c r="J370" s="167" t="str">
        <f>'030523 INVENTARIO'!L370</f>
        <v>P1SI-111</v>
      </c>
      <c r="K370" s="167" t="str">
        <f>'030523 INVENTARIO'!M370</f>
        <v>ALTA</v>
      </c>
      <c r="L370" s="168">
        <f>'030523 INVENTARIO'!N370</f>
        <v>0</v>
      </c>
      <c r="M370" s="168">
        <f>'030523 INVENTARIO'!O370</f>
        <v>0</v>
      </c>
      <c r="N370" s="168" t="str">
        <f>'030523 INVENTARIO'!P370</f>
        <v>REPETIDO</v>
      </c>
      <c r="O370" s="168" t="str">
        <f>'030523 INVENTARIO'!Q370</f>
        <v>ACER</v>
      </c>
      <c r="P370" s="167" t="str">
        <f>'030523 INVENTARIO'!R370</f>
        <v>X3990</v>
      </c>
      <c r="Q370" s="168" t="str">
        <f>'030523 INVENTARIO'!S370</f>
        <v>DTSGKAL003203064D39200</v>
      </c>
      <c r="R370" s="168" t="str">
        <f>'030523 INVENTARIO'!T370</f>
        <v>82DK0515010001000535424</v>
      </c>
    </row>
    <row r="371" spans="5:18">
      <c r="E371" s="167" t="str">
        <f>'030523 INVENTARIO'!E371</f>
        <v>ADAPTADOR</v>
      </c>
      <c r="F371" s="167" t="str">
        <f>'030523 INVENTARIO'!F371</f>
        <v>TARJETA DE RED WIFI (ANTENA) USB</v>
      </c>
      <c r="G371" s="167" t="str">
        <f ca="1">'030523 INVENTARIO'!G371</f>
        <v>P12SI-0370</v>
      </c>
      <c r="H371" s="167" t="str">
        <f>'030523 INVENTARIO'!J371</f>
        <v>P12SI-0370</v>
      </c>
      <c r="I371" s="167" t="str">
        <f>'030523 INVENTARIO'!K371</f>
        <v>P12SI-045</v>
      </c>
      <c r="J371" s="167" t="str">
        <f>'030523 INVENTARIO'!L371</f>
        <v>P1SI-117</v>
      </c>
      <c r="K371" s="167" t="str">
        <f>'030523 INVENTARIO'!M371</f>
        <v>5150100005-122</v>
      </c>
      <c r="L371" s="168">
        <f>'030523 INVENTARIO'!N371</f>
        <v>0</v>
      </c>
      <c r="M371" s="168">
        <f>'030523 INVENTARIO'!O371</f>
        <v>0</v>
      </c>
      <c r="N371" s="168" t="str">
        <f>'030523 INVENTARIO'!P371</f>
        <v>OK</v>
      </c>
      <c r="O371" s="168" t="str">
        <f>'030523 INVENTARIO'!Q371</f>
        <v>TPLINK</v>
      </c>
      <c r="P371" s="167" t="str">
        <f>'030523 INVENTARIO'!R371</f>
        <v>TLWN728200ND</v>
      </c>
      <c r="Q371" s="168" t="str">
        <f>'030523 INVENTARIO'!S371</f>
        <v>135A3702854</v>
      </c>
      <c r="R371" s="167" t="str">
        <f>'030523 INVENTARIO'!T371</f>
        <v>82DJ0515010056000651119</v>
      </c>
    </row>
    <row r="372" spans="5:18">
      <c r="E372" s="167" t="str">
        <f>'030523 INVENTARIO'!E372</f>
        <v>MULTIFUNCIONAL</v>
      </c>
      <c r="F372" s="168" t="str">
        <f>'030523 INVENTARIO'!F372</f>
        <v>MULTIFUNCIONAL</v>
      </c>
      <c r="G372" s="167" t="str">
        <f ca="1">'030523 INVENTARIO'!G372</f>
        <v>P15RM-0371</v>
      </c>
      <c r="H372" s="167" t="str">
        <f>'030523 INVENTARIO'!J372</f>
        <v>P12SI-0371</v>
      </c>
      <c r="I372" s="167" t="str">
        <f>'030523 INVENTARIO'!K372</f>
        <v>P12SI-046</v>
      </c>
      <c r="J372" s="167" t="str">
        <f>'030523 INVENTARIO'!L372</f>
        <v>P1SI-115</v>
      </c>
      <c r="K372" s="167" t="str">
        <f>'030523 INVENTARIO'!M372</f>
        <v>5190100027-3</v>
      </c>
      <c r="L372" s="168">
        <f>'030523 INVENTARIO'!N372</f>
        <v>0</v>
      </c>
      <c r="M372" s="168">
        <f>'030523 INVENTARIO'!O372</f>
        <v>0</v>
      </c>
      <c r="N372" s="168" t="str">
        <f>'030523 INVENTARIO'!P372</f>
        <v>OK</v>
      </c>
      <c r="O372" s="168" t="str">
        <f>'030523 INVENTARIO'!Q372</f>
        <v>CANON</v>
      </c>
      <c r="P372" s="167" t="str">
        <f>'030523 INVENTARIO'!R372</f>
        <v>MP280</v>
      </c>
      <c r="Q372" s="168" t="str">
        <f>'030523 INVENTARIO'!S372</f>
        <v>QC34907DB0101-34907</v>
      </c>
      <c r="R372" s="167" t="str">
        <f>'030523 INVENTARIO'!T372</f>
        <v>82DJ0515010014000539051</v>
      </c>
    </row>
    <row r="373" spans="5:18">
      <c r="E373" s="167" t="str">
        <f>'030523 INVENTARIO'!E373</f>
        <v>VENTILADOR</v>
      </c>
      <c r="F373" s="167" t="str">
        <f>'030523 INVENTARIO'!F373</f>
        <v>VENTILADOR GRIS TORRE</v>
      </c>
      <c r="G373" s="167" t="str">
        <f ca="1">'030523 INVENTARIO'!G373</f>
        <v>P12SI-0372</v>
      </c>
      <c r="H373" s="167" t="str">
        <f>'030523 INVENTARIO'!J373</f>
        <v>P12SI-0372</v>
      </c>
      <c r="I373" s="167" t="str">
        <f>'030523 INVENTARIO'!K373</f>
        <v>P12SI-047</v>
      </c>
      <c r="J373" s="167" t="str">
        <f>'030523 INVENTARIO'!L373</f>
        <v>P1SI-108</v>
      </c>
      <c r="K373" s="167" t="str">
        <f>'030523 INVENTARIO'!M373</f>
        <v>5190200002-26</v>
      </c>
      <c r="L373" s="168">
        <f>'030523 INVENTARIO'!N373</f>
        <v>0</v>
      </c>
      <c r="M373" s="168">
        <f>'030523 INVENTARIO'!O373</f>
        <v>0</v>
      </c>
      <c r="N373" s="168" t="str">
        <f>'030523 INVENTARIO'!P373</f>
        <v>OK</v>
      </c>
      <c r="O373" s="168" t="str">
        <f>'030523 INVENTARIO'!Q373</f>
        <v>NAVIA</v>
      </c>
      <c r="P373" s="167" t="str">
        <f>'030523 INVENTARIO'!R373</f>
        <v>VTM-012</v>
      </c>
      <c r="Q373" s="168" t="str">
        <f>'030523 INVENTARIO'!S373</f>
        <v>T002834</v>
      </c>
      <c r="R373" s="168" t="str">
        <f>'030523 INVENTARIO'!T373</f>
        <v>82DJ0519010043000649670</v>
      </c>
    </row>
    <row r="374" spans="5:18">
      <c r="E374" s="167" t="str">
        <f>'030523 INVENTARIO'!E374</f>
        <v>NO BREAK</v>
      </c>
      <c r="F374" s="167" t="str">
        <f>'030523 INVENTARIO'!F374</f>
        <v>NO BREAK</v>
      </c>
      <c r="G374" s="167" t="str">
        <f ca="1">'030523 INVENTARIO'!G374</f>
        <v>P12SI-0373</v>
      </c>
      <c r="H374" s="167" t="str">
        <f>'030523 INVENTARIO'!J374</f>
        <v>P12SI-0373</v>
      </c>
      <c r="I374" s="167" t="str">
        <f>'030523 INVENTARIO'!K374</f>
        <v>P12SI-048</v>
      </c>
      <c r="J374" s="167" t="str">
        <f>'030523 INVENTARIO'!L374</f>
        <v>P1SI-116</v>
      </c>
      <c r="K374" s="167" t="str">
        <f>'030523 INVENTARIO'!M374</f>
        <v>5150100005-121</v>
      </c>
      <c r="L374" s="168">
        <f>'030523 INVENTARIO'!N374</f>
        <v>0</v>
      </c>
      <c r="M374" s="168">
        <f>'030523 INVENTARIO'!O374</f>
        <v>0</v>
      </c>
      <c r="N374" s="168" t="str">
        <f>'030523 INVENTARIO'!P374</f>
        <v>OK</v>
      </c>
      <c r="O374" s="168" t="str">
        <f>'030523 INVENTARIO'!Q374</f>
        <v>TRIPP LITE</v>
      </c>
      <c r="P374" s="167" t="str">
        <f>'030523 INVENTARIO'!R374</f>
        <v>INTERNET550U</v>
      </c>
      <c r="Q374" s="168" t="str">
        <f>'030523 INVENTARIO'!S374</f>
        <v>2208EEY0BC785702414</v>
      </c>
      <c r="R374" s="167" t="str">
        <f>'030523 INVENTARIO'!T374</f>
        <v>82DJ0515010016000651118</v>
      </c>
    </row>
    <row r="375" spans="5:18">
      <c r="E375" s="167" t="str">
        <f>'030523 INVENTARIO'!E375</f>
        <v>SILLON</v>
      </c>
      <c r="F375" s="167" t="str">
        <f>'030523 INVENTARIO'!F375</f>
        <v>SILLÓN NEGRO CON RUEDAS</v>
      </c>
      <c r="G375" s="167" t="str">
        <f ca="1">'030523 INVENTARIO'!G375</f>
        <v>P12SI-0374</v>
      </c>
      <c r="H375" s="167" t="str">
        <f>'030523 INVENTARIO'!J375</f>
        <v>P12SI-0374</v>
      </c>
      <c r="I375" s="167" t="str">
        <f>'030523 INVENTARIO'!K375</f>
        <v>P12SI-049</v>
      </c>
      <c r="J375" s="167" t="str">
        <f>'030523 INVENTARIO'!L375</f>
        <v>P1SI-112</v>
      </c>
      <c r="K375" s="167" t="str">
        <f>'030523 INVENTARIO'!M375</f>
        <v>5120100009-36</v>
      </c>
      <c r="L375" s="168">
        <f>'030523 INVENTARIO'!N375</f>
        <v>0</v>
      </c>
      <c r="M375" s="168">
        <f>'030523 INVENTARIO'!O375</f>
        <v>0</v>
      </c>
      <c r="N375" s="168" t="str">
        <f>'030523 INVENTARIO'!P375</f>
        <v>OK</v>
      </c>
      <c r="O375" s="168" t="str">
        <f>'030523 INVENTARIO'!Q375</f>
        <v>S/M</v>
      </c>
      <c r="P375" s="167" t="str">
        <f>'030523 INVENTARIO'!R375</f>
        <v>S/M</v>
      </c>
      <c r="Q375" s="168" t="str">
        <f>'030523 INVENTARIO'!S375</f>
        <v>SIN SERIE</v>
      </c>
      <c r="R375" s="168" t="str">
        <f>'030523 INVENTARIO'!T375</f>
        <v>82DJ0511010016000649671</v>
      </c>
    </row>
    <row r="376" spans="5:18">
      <c r="E376" s="167" t="str">
        <f>'030523 INVENTARIO'!E376</f>
        <v>ESCRITORIO</v>
      </c>
      <c r="F376" s="167" t="str">
        <f>'030523 INVENTARIO'!F376</f>
        <v>MODULO DE MADERA 3 PIEZAS</v>
      </c>
      <c r="G376" s="167" t="str">
        <f ca="1">'030523 INVENTARIO'!G376</f>
        <v>P12SI-0375</v>
      </c>
      <c r="H376" s="167" t="str">
        <f>'030523 INVENTARIO'!J376</f>
        <v>P12SI-0375</v>
      </c>
      <c r="I376" s="167" t="str">
        <f>'030523 INVENTARIO'!K376</f>
        <v>P12SI-050</v>
      </c>
      <c r="J376" s="167" t="str">
        <f>'030523 INVENTARIO'!L376</f>
        <v>P1SI-109</v>
      </c>
      <c r="K376" s="167" t="str">
        <f>'030523 INVENTARIO'!M376</f>
        <v>5110100015-39</v>
      </c>
      <c r="L376" s="168">
        <f>'030523 INVENTARIO'!N376</f>
        <v>0</v>
      </c>
      <c r="M376" s="168">
        <f>'030523 INVENTARIO'!O376</f>
        <v>0</v>
      </c>
      <c r="N376" s="168" t="str">
        <f>'030523 INVENTARIO'!P376</f>
        <v>OK</v>
      </c>
      <c r="O376" s="168" t="str">
        <f>'030523 INVENTARIO'!Q376</f>
        <v>S/M</v>
      </c>
      <c r="P376" s="167" t="str">
        <f>'030523 INVENTARIO'!R376</f>
        <v>S/M</v>
      </c>
      <c r="Q376" s="168" t="str">
        <f>'030523 INVENTARIO'!S376</f>
        <v>SIN SERIE</v>
      </c>
      <c r="R376" s="168" t="str">
        <f>'030523 INVENTARIO'!T376</f>
        <v>82DK0512010011000535536</v>
      </c>
    </row>
    <row r="377" spans="5:18">
      <c r="E377" s="167" t="str">
        <f>'030523 INVENTARIO'!E377</f>
        <v>VENTILADOR</v>
      </c>
      <c r="F377" s="168" t="str">
        <f>'030523 INVENTARIO'!F377</f>
        <v>VENTILADOR DE PEDESTAL</v>
      </c>
      <c r="G377" s="167" t="str">
        <f ca="1">'030523 INVENTARIO'!G377</f>
        <v>P12SI-0376</v>
      </c>
      <c r="H377" s="167" t="str">
        <f>'030523 INVENTARIO'!J377</f>
        <v>P12SI-0376</v>
      </c>
      <c r="I377" s="167" t="str">
        <f>'030523 INVENTARIO'!K377</f>
        <v>P12SI-051</v>
      </c>
      <c r="J377" s="167" t="str">
        <f>'030523 INVENTARIO'!L377</f>
        <v>P1SI-38</v>
      </c>
      <c r="K377" s="167" t="str">
        <f>'030523 INVENTARIO'!M377</f>
        <v>5190200002-57</v>
      </c>
      <c r="L377" s="168">
        <f>'030523 INVENTARIO'!N377</f>
        <v>0</v>
      </c>
      <c r="M377" s="168">
        <f>'030523 INVENTARIO'!O377</f>
        <v>0</v>
      </c>
      <c r="N377" s="168" t="str">
        <f>'030523 INVENTARIO'!P377</f>
        <v>OK</v>
      </c>
      <c r="O377" s="168" t="str">
        <f>'030523 INVENTARIO'!Q377</f>
        <v>NAVIA</v>
      </c>
      <c r="P377" s="167" t="str">
        <f>'030523 INVENTARIO'!R377</f>
        <v>VPN-118X</v>
      </c>
      <c r="Q377" s="168" t="str">
        <f>'030523 INVENTARIO'!S377</f>
        <v>SIN SERIE</v>
      </c>
      <c r="R377" s="168" t="str">
        <f>'030523 INVENTARIO'!T377</f>
        <v>82DH0519010043000649359</v>
      </c>
    </row>
    <row r="378" spans="5:18">
      <c r="E378" s="167" t="str">
        <f>'030523 INVENTARIO'!E378</f>
        <v>SILLON</v>
      </c>
      <c r="F378" s="168" t="str">
        <f>'030523 INVENTARIO'!F378</f>
        <v>SILLON NEGRO CON RUEDAS</v>
      </c>
      <c r="G378" s="167" t="str">
        <f ca="1">'030523 INVENTARIO'!G378</f>
        <v>P05RM-0377</v>
      </c>
      <c r="H378" s="167" t="str">
        <f>'030523 INVENTARIO'!J378</f>
        <v>P12SI-0377</v>
      </c>
      <c r="I378" s="167" t="str">
        <f>'030523 INVENTARIO'!K378</f>
        <v>P12SI-052</v>
      </c>
      <c r="J378" s="168" t="str">
        <f>'030523 INVENTARIO'!L378</f>
        <v>P1SI-92</v>
      </c>
      <c r="K378" s="167" t="str">
        <f>'030523 INVENTARIO'!M378</f>
        <v>5120100009-61</v>
      </c>
      <c r="L378" s="168">
        <f>'030523 INVENTARIO'!N378</f>
        <v>0</v>
      </c>
      <c r="M378" s="168">
        <f>'030523 INVENTARIO'!O378</f>
        <v>0</v>
      </c>
      <c r="N378" s="168" t="str">
        <f>'030523 INVENTARIO'!P378</f>
        <v>OK</v>
      </c>
      <c r="O378" s="168" t="str">
        <f>'030523 INVENTARIO'!Q378</f>
        <v>S/M</v>
      </c>
      <c r="P378" s="167" t="str">
        <f>'030523 INVENTARIO'!R378</f>
        <v>S/M</v>
      </c>
      <c r="Q378" s="168" t="str">
        <f>'030523 INVENTARIO'!S378</f>
        <v>SIN SERIE</v>
      </c>
      <c r="R378" s="168" t="str">
        <f>'030523 INVENTARIO'!T378</f>
        <v>82DH0511010016000649653</v>
      </c>
    </row>
    <row r="379" spans="5:18">
      <c r="E379" s="167" t="str">
        <f>'030523 INVENTARIO'!E379</f>
        <v>ROUTER</v>
      </c>
      <c r="F379" s="167" t="str">
        <f>'030523 INVENTARIO'!F379</f>
        <v>ROUTER</v>
      </c>
      <c r="G379" s="167" t="str">
        <f ca="1">'030523 INVENTARIO'!G379</f>
        <v>P12SI-0378</v>
      </c>
      <c r="H379" s="167" t="str">
        <f>'030523 INVENTARIO'!J379</f>
        <v>P12SI-0378</v>
      </c>
      <c r="I379" s="167" t="str">
        <f>'030523 INVENTARIO'!K379</f>
        <v>P12SI-053</v>
      </c>
      <c r="J379" s="167">
        <f>'030523 INVENTARIO'!L379</f>
        <v>0</v>
      </c>
      <c r="K379" s="167" t="str">
        <f>'030523 INVENTARIO'!M379</f>
        <v>ALTA</v>
      </c>
      <c r="L379" s="168">
        <f>'030523 INVENTARIO'!N379</f>
        <v>0</v>
      </c>
      <c r="M379" s="168">
        <f>'030523 INVENTARIO'!O379</f>
        <v>0</v>
      </c>
      <c r="N379" s="168" t="str">
        <f>'030523 INVENTARIO'!P379</f>
        <v>REPETIDO</v>
      </c>
      <c r="O379" s="168" t="str">
        <f>'030523 INVENTARIO'!Q379</f>
        <v>TP-LINK</v>
      </c>
      <c r="P379" s="167" t="str">
        <f>'030523 INVENTARIO'!R379</f>
        <v>AC1750 C7</v>
      </c>
      <c r="Q379" s="167">
        <f>'030523 INVENTARIO'!S379</f>
        <v>2159987001653</v>
      </c>
      <c r="R379" s="167" t="str">
        <f>'030523 INVENTARIO'!T379</f>
        <v>SIN RESGUARDO</v>
      </c>
    </row>
    <row r="380" spans="5:18">
      <c r="E380" s="167" t="str">
        <f>'030523 INVENTARIO'!E380</f>
        <v>SWITCH (CONCENTRADOR DE PUERTOS)</v>
      </c>
      <c r="F380" s="168" t="str">
        <f>'030523 INVENTARIO'!F380</f>
        <v>SWITCH BLANCO</v>
      </c>
      <c r="G380" s="167" t="str">
        <f ca="1">'030523 INVENTARIO'!G380</f>
        <v>P12SI-0379</v>
      </c>
      <c r="H380" s="167" t="str">
        <f>'030523 INVENTARIO'!J380</f>
        <v>P12SI-0379</v>
      </c>
      <c r="I380" s="167" t="str">
        <f>'030523 INVENTARIO'!K380</f>
        <v>P12SI-054</v>
      </c>
      <c r="J380" s="167" t="str">
        <f>'030523 INVENTARIO'!L380</f>
        <v>P1SI-74</v>
      </c>
      <c r="K380" s="167" t="str">
        <f>'030523 INVENTARIO'!M380</f>
        <v>5150100005-29</v>
      </c>
      <c r="L380" s="168">
        <f>'030523 INVENTARIO'!N380</f>
        <v>0</v>
      </c>
      <c r="M380" s="168">
        <f>'030523 INVENTARIO'!O380</f>
        <v>0</v>
      </c>
      <c r="N380" s="168" t="str">
        <f>'030523 INVENTARIO'!P380</f>
        <v>OK</v>
      </c>
      <c r="O380" s="168" t="str">
        <f>'030523 INVENTARIO'!Q380</f>
        <v>3COM</v>
      </c>
      <c r="P380" s="167" t="str">
        <f>'030523 INVENTARIO'!R380</f>
        <v>3C16471</v>
      </c>
      <c r="Q380" s="168" t="str">
        <f>'030523 INVENTARIO'!S380</f>
        <v>LV5G3L0180219</v>
      </c>
      <c r="R380" s="167" t="str">
        <f>'030523 INVENTARIO'!T380</f>
        <v>82DH0515010026000566194</v>
      </c>
    </row>
    <row r="381" spans="5:18">
      <c r="E381" s="167" t="str">
        <f>'030523 INVENTARIO'!E381</f>
        <v>ADAPTADOR</v>
      </c>
      <c r="F381" s="167" t="str">
        <f>'030523 INVENTARIO'!F381</f>
        <v>ADAPTADOR LECTOR DE DISCOS DUROS</v>
      </c>
      <c r="G381" s="167" t="str">
        <f ca="1">'030523 INVENTARIO'!G381</f>
        <v>P12SI-0380</v>
      </c>
      <c r="H381" s="167" t="str">
        <f>'030523 INVENTARIO'!J381</f>
        <v>P12SI-0380</v>
      </c>
      <c r="I381" s="167" t="str">
        <f>'030523 INVENTARIO'!K381</f>
        <v>P12SI-055</v>
      </c>
      <c r="J381" s="167">
        <f>'030523 INVENTARIO'!L381</f>
        <v>0</v>
      </c>
      <c r="K381" s="167" t="str">
        <f>'030523 INVENTARIO'!M381</f>
        <v>5150100005-102</v>
      </c>
      <c r="L381" s="168">
        <f>'030523 INVENTARIO'!N381</f>
        <v>0</v>
      </c>
      <c r="M381" s="168">
        <f>'030523 INVENTARIO'!O381</f>
        <v>0</v>
      </c>
      <c r="N381" s="168" t="str">
        <f>'030523 INVENTARIO'!P381</f>
        <v>OK</v>
      </c>
      <c r="O381" s="168" t="str">
        <f>'030523 INVENTARIO'!Q381</f>
        <v>SABRENT</v>
      </c>
      <c r="P381" s="167" t="str">
        <f>'030523 INVENTARIO'!R381</f>
        <v>DS-UBLK</v>
      </c>
      <c r="Q381" s="167">
        <f>'030523 INVENTARIO'!S381</f>
        <v>60344924301373</v>
      </c>
      <c r="R381" s="167" t="str">
        <f>'030523 INVENTARIO'!T381</f>
        <v>82DH0515010056000651126</v>
      </c>
    </row>
    <row r="382" spans="5:18">
      <c r="E382" s="167" t="str">
        <f>'030523 INVENTARIO'!E382</f>
        <v>ADAPTADOR</v>
      </c>
      <c r="F382" s="167" t="str">
        <f>'030523 INVENTARIO'!F382</f>
        <v>ADAPTADOR DE RED PARA INTERNO</v>
      </c>
      <c r="G382" s="167" t="str">
        <f ca="1">'030523 INVENTARIO'!G382</f>
        <v>P12SI-0381</v>
      </c>
      <c r="H382" s="167" t="str">
        <f>'030523 INVENTARIO'!J382</f>
        <v>P12SI-0381</v>
      </c>
      <c r="I382" s="167" t="str">
        <f>'030523 INVENTARIO'!K382</f>
        <v>P12SI-056</v>
      </c>
      <c r="J382" s="167">
        <f>'030523 INVENTARIO'!L382</f>
        <v>0</v>
      </c>
      <c r="K382" s="167" t="str">
        <f>'030523 INVENTARIO'!M382</f>
        <v>5150100006-14</v>
      </c>
      <c r="L382" s="168">
        <f>'030523 INVENTARIO'!N382</f>
        <v>0</v>
      </c>
      <c r="M382" s="168">
        <f>'030523 INVENTARIO'!O382</f>
        <v>0</v>
      </c>
      <c r="N382" s="168" t="str">
        <f>'030523 INVENTARIO'!P382</f>
        <v>OK</v>
      </c>
      <c r="O382" s="168" t="str">
        <f>'030523 INVENTARIO'!Q382</f>
        <v>APC</v>
      </c>
      <c r="P382" s="167" t="str">
        <f>'030523 INVENTARIO'!R382</f>
        <v>NETOWORK MANAGEMENT</v>
      </c>
      <c r="Q382" s="167">
        <f>'030523 INVENTARIO'!S382</f>
        <v>43201404</v>
      </c>
      <c r="R382" s="167" t="str">
        <f>'030523 INVENTARIO'!T382</f>
        <v>82DH0515010056000649353</v>
      </c>
    </row>
    <row r="383" spans="5:18">
      <c r="E383" s="167" t="str">
        <f>'030523 INVENTARIO'!E383</f>
        <v>COMPUTADORA PORTATIL</v>
      </c>
      <c r="F383" s="167" t="str">
        <f>'030523 INVENTARIO'!F383</f>
        <v>COMPUTADORA PORTATIL NEGRA</v>
      </c>
      <c r="G383" s="167" t="str">
        <f ca="1">'030523 INVENTARIO'!G383</f>
        <v>P12SI-0382</v>
      </c>
      <c r="H383" s="167" t="str">
        <f>'030523 INVENTARIO'!J383</f>
        <v>P12SI-0382</v>
      </c>
      <c r="I383" s="167" t="str">
        <f>'030523 INVENTARIO'!K383</f>
        <v>P12SI-057</v>
      </c>
      <c r="J383" s="167">
        <f>'030523 INVENTARIO'!L383</f>
        <v>0</v>
      </c>
      <c r="K383" s="167" t="str">
        <f>'030523 INVENTARIO'!M383</f>
        <v>5150100005-113</v>
      </c>
      <c r="L383" s="168">
        <f>'030523 INVENTARIO'!N383</f>
        <v>0</v>
      </c>
      <c r="M383" s="168">
        <f>'030523 INVENTARIO'!O383</f>
        <v>0</v>
      </c>
      <c r="N383" s="168" t="str">
        <f>'030523 INVENTARIO'!P383</f>
        <v>OK</v>
      </c>
      <c r="O383" s="168" t="str">
        <f>'030523 INVENTARIO'!Q383</f>
        <v>ACER</v>
      </c>
      <c r="P383" s="167" t="str">
        <f>'030523 INVENTARIO'!R383</f>
        <v>AN515-43-R6GB</v>
      </c>
      <c r="Q383" s="167" t="str">
        <f>'030523 INVENTARIO'!S383</f>
        <v>NHQ6ZAL00403605A5A3</v>
      </c>
      <c r="R383" s="167" t="str">
        <f>'030523 INVENTARIO'!T383</f>
        <v>82DH0515010002000651030</v>
      </c>
    </row>
    <row r="384" spans="5:18">
      <c r="E384" s="167" t="str">
        <f>'030523 INVENTARIO'!E384</f>
        <v>DISCO DURO</v>
      </c>
      <c r="F384" s="167" t="str">
        <f>'030523 INVENTARIO'!F384</f>
        <v>DISCO DURO 1TB AMARILLO CON NEGRO</v>
      </c>
      <c r="G384" s="167" t="str">
        <f ca="1">'030523 INVENTARIO'!G384</f>
        <v>P12SI-0383</v>
      </c>
      <c r="H384" s="167" t="str">
        <f>'030523 INVENTARIO'!J384</f>
        <v>P12SI-0383</v>
      </c>
      <c r="I384" s="167" t="str">
        <f>'030523 INVENTARIO'!K384</f>
        <v>P12SI-058</v>
      </c>
      <c r="J384" s="167">
        <f>'030523 INVENTARIO'!L384</f>
        <v>0</v>
      </c>
      <c r="K384" s="167" t="str">
        <f>'030523 INVENTARIO'!M384</f>
        <v>5150100006-6</v>
      </c>
      <c r="L384" s="168">
        <f>'030523 INVENTARIO'!N384</f>
        <v>0</v>
      </c>
      <c r="M384" s="168">
        <f>'030523 INVENTARIO'!O384</f>
        <v>0</v>
      </c>
      <c r="N384" s="168" t="str">
        <f>'030523 INVENTARIO'!P384</f>
        <v>OK</v>
      </c>
      <c r="O384" s="168" t="str">
        <f>'030523 INVENTARIO'!Q384</f>
        <v>ADATA</v>
      </c>
      <c r="P384" s="167" t="str">
        <f>'030523 INVENTARIO'!R384</f>
        <v>HD710P</v>
      </c>
      <c r="Q384" s="167" t="str">
        <f>'030523 INVENTARIO'!S384</f>
        <v>1K0620359143</v>
      </c>
      <c r="R384" s="167" t="str">
        <f>'030523 INVENTARIO'!T384</f>
        <v>82DH0515010006000650904</v>
      </c>
    </row>
    <row r="385" spans="5:18">
      <c r="E385" s="167" t="str">
        <f>'030523 INVENTARIO'!E385</f>
        <v>DISCO DURO</v>
      </c>
      <c r="F385" s="167" t="str">
        <f>'030523 INVENTARIO'!F385</f>
        <v>DISCO DURO 1TB AMARILLO CON NEGRO</v>
      </c>
      <c r="G385" s="167" t="str">
        <f ca="1">'030523 INVENTARIO'!G385</f>
        <v>P12SI-0384</v>
      </c>
      <c r="H385" s="167" t="str">
        <f>'030523 INVENTARIO'!J385</f>
        <v>P12SI-0384</v>
      </c>
      <c r="I385" s="167" t="str">
        <f>'030523 INVENTARIO'!K385</f>
        <v>P12SI-059</v>
      </c>
      <c r="J385" s="167">
        <f>'030523 INVENTARIO'!L385</f>
        <v>0</v>
      </c>
      <c r="K385" s="167" t="str">
        <f>'030523 INVENTARIO'!M385</f>
        <v>5150100006-7</v>
      </c>
      <c r="L385" s="168">
        <f>'030523 INVENTARIO'!N385</f>
        <v>0</v>
      </c>
      <c r="M385" s="168">
        <f>'030523 INVENTARIO'!O385</f>
        <v>0</v>
      </c>
      <c r="N385" s="168" t="str">
        <f>'030523 INVENTARIO'!P385</f>
        <v>OK</v>
      </c>
      <c r="O385" s="168" t="str">
        <f>'030523 INVENTARIO'!Q385</f>
        <v>ADATA</v>
      </c>
      <c r="P385" s="167" t="str">
        <f>'030523 INVENTARIO'!R385</f>
        <v>HD710P</v>
      </c>
      <c r="Q385" s="167" t="str">
        <f>'030523 INVENTARIO'!S385</f>
        <v>1K0620359129</v>
      </c>
      <c r="R385" s="167" t="str">
        <f>'030523 INVENTARIO'!T385</f>
        <v xml:space="preserve">82DH0515010006000650903
</v>
      </c>
    </row>
    <row r="386" spans="5:18">
      <c r="E386" s="167" t="str">
        <f>'030523 INVENTARIO'!E386</f>
        <v>RACK</v>
      </c>
      <c r="F386" s="167" t="str">
        <f>'030523 INVENTARIO'!F386</f>
        <v>RACK</v>
      </c>
      <c r="G386" s="167" t="str">
        <f ca="1">'030523 INVENTARIO'!G386</f>
        <v>P12SI-0385</v>
      </c>
      <c r="H386" s="167" t="str">
        <f>'030523 INVENTARIO'!J386</f>
        <v>P12SI-0385</v>
      </c>
      <c r="I386" s="167" t="str">
        <f>'030523 INVENTARIO'!K386</f>
        <v>P12SS-001</v>
      </c>
      <c r="J386" s="167" t="str">
        <f>'030523 INVENTARIO'!L386</f>
        <v>P1SI-107</v>
      </c>
      <c r="K386" s="167" t="str">
        <f>'030523 INVENTARIO'!M386</f>
        <v>5150100006-10</v>
      </c>
      <c r="L386" s="168">
        <f>'030523 INVENTARIO'!N386</f>
        <v>0</v>
      </c>
      <c r="M386" s="168">
        <f>'030523 INVENTARIO'!O386</f>
        <v>0</v>
      </c>
      <c r="N386" s="168" t="str">
        <f>'030523 INVENTARIO'!P386</f>
        <v>OK</v>
      </c>
      <c r="O386" s="168" t="str">
        <f>'030523 INVENTARIO'!Q386</f>
        <v>HP</v>
      </c>
      <c r="P386" s="167" t="str">
        <f>'030523 INVENTARIO'!R386</f>
        <v>358284-821</v>
      </c>
      <c r="Q386" s="168" t="str">
        <f>'030523 INVENTARIO'!S386</f>
        <v>2C11361316</v>
      </c>
      <c r="R386" s="168" t="str">
        <f>'030523 INVENTARIO'!T386</f>
        <v>82DH0565010046000530787</v>
      </c>
    </row>
    <row r="387" spans="5:18">
      <c r="E387" s="167" t="str">
        <f>'030523 INVENTARIO'!E387</f>
        <v>SERVIDOR</v>
      </c>
      <c r="F387" s="168" t="str">
        <f>'030523 INVENTARIO'!F387</f>
        <v>SERVIDOR</v>
      </c>
      <c r="G387" s="167" t="str">
        <f ca="1">'030523 INVENTARIO'!G387</f>
        <v>P12SI-0386</v>
      </c>
      <c r="H387" s="167" t="str">
        <f>'030523 INVENTARIO'!J387</f>
        <v>P12SI-0386</v>
      </c>
      <c r="I387" s="167" t="str">
        <f>'030523 INVENTARIO'!K387</f>
        <v>P12SS-002</v>
      </c>
      <c r="J387" s="167" t="str">
        <f>'030523 INVENTARIO'!L387</f>
        <v>P1SI-87</v>
      </c>
      <c r="K387" s="167" t="str">
        <f>'030523 INVENTARIO'!M387</f>
        <v>5150100005-35</v>
      </c>
      <c r="L387" s="168">
        <f>'030523 INVENTARIO'!N387</f>
        <v>0</v>
      </c>
      <c r="M387" s="168">
        <f>'030523 INVENTARIO'!O387</f>
        <v>0</v>
      </c>
      <c r="N387" s="168" t="str">
        <f>'030523 INVENTARIO'!P387</f>
        <v>OK</v>
      </c>
      <c r="O387" s="168" t="str">
        <f>'030523 INVENTARIO'!Q387</f>
        <v>DELL</v>
      </c>
      <c r="P387" s="167" t="str">
        <f>'030523 INVENTARIO'!R387</f>
        <v>POWER EDGE R630</v>
      </c>
      <c r="Q387" s="168" t="str">
        <f>'030523 INVENTARIO'!S387</f>
        <v>36575598748</v>
      </c>
      <c r="R387" s="168" t="str">
        <f>'030523 INVENTARIO'!T387</f>
        <v>82DH0515010042000650641</v>
      </c>
    </row>
    <row r="388" spans="5:18">
      <c r="E388" s="167" t="str">
        <f>'030523 INVENTARIO'!E388</f>
        <v>SERVIDOR</v>
      </c>
      <c r="F388" s="168" t="str">
        <f>'030523 INVENTARIO'!F388</f>
        <v>SERVIDOR</v>
      </c>
      <c r="G388" s="167" t="str">
        <f ca="1">'030523 INVENTARIO'!G388</f>
        <v>P12SI-0387</v>
      </c>
      <c r="H388" s="167" t="str">
        <f>'030523 INVENTARIO'!J388</f>
        <v>P12SI-0387</v>
      </c>
      <c r="I388" s="167" t="str">
        <f>'030523 INVENTARIO'!K388</f>
        <v>P12SS-003</v>
      </c>
      <c r="J388" s="167" t="str">
        <f>'030523 INVENTARIO'!L388</f>
        <v>P1SI-27</v>
      </c>
      <c r="K388" s="167" t="str">
        <f>'030523 INVENTARIO'!M388</f>
        <v>5150100005-79</v>
      </c>
      <c r="L388" s="168">
        <f>'030523 INVENTARIO'!N388</f>
        <v>0</v>
      </c>
      <c r="M388" s="168">
        <f>'030523 INVENTARIO'!O388</f>
        <v>0</v>
      </c>
      <c r="N388" s="168" t="str">
        <f>'030523 INVENTARIO'!P388</f>
        <v>OK</v>
      </c>
      <c r="O388" s="168" t="str">
        <f>'030523 INVENTARIO'!Q388</f>
        <v>HP</v>
      </c>
      <c r="P388" s="167" t="str">
        <f>'030523 INVENTARIO'!R388</f>
        <v>PROLIANT ML115</v>
      </c>
      <c r="Q388" s="168" t="str">
        <f>'030523 INVENTARIO'!S388</f>
        <v>2UX83405L9</v>
      </c>
      <c r="R388" s="168" t="str">
        <f>'030523 INVENTARIO'!T388</f>
        <v>82DH0515010025000542283</v>
      </c>
    </row>
    <row r="389" spans="5:18">
      <c r="E389" s="167" t="str">
        <f>'030523 INVENTARIO'!E389</f>
        <v>MONITOR</v>
      </c>
      <c r="F389" s="167" t="str">
        <f>'030523 INVENTARIO'!F389</f>
        <v>MONITOR 15.6"</v>
      </c>
      <c r="G389" s="167" t="str">
        <f ca="1">'030523 INVENTARIO'!G389</f>
        <v>P12SI-0388</v>
      </c>
      <c r="H389" s="167" t="str">
        <f>'030523 INVENTARIO'!J389</f>
        <v>P12SI-0388</v>
      </c>
      <c r="I389" s="167" t="str">
        <f>'030523 INVENTARIO'!K389</f>
        <v>P12SS-004</v>
      </c>
      <c r="J389" s="167" t="str">
        <f>'030523 INVENTARIO'!L389</f>
        <v>P1SI-22</v>
      </c>
      <c r="K389" s="167" t="str">
        <f>'030523 INVENTARIO'!M389</f>
        <v>5210100012-56</v>
      </c>
      <c r="L389" s="168">
        <f>'030523 INVENTARIO'!N389</f>
        <v>0</v>
      </c>
      <c r="M389" s="168">
        <f>'030523 INVENTARIO'!O389</f>
        <v>0</v>
      </c>
      <c r="N389" s="168" t="str">
        <f>'030523 INVENTARIO'!P389</f>
        <v>OK</v>
      </c>
      <c r="O389" s="168" t="str">
        <f>'030523 INVENTARIO'!Q389</f>
        <v>GHIA</v>
      </c>
      <c r="P389" s="167" t="str">
        <f>'030523 INVENTARIO'!R389</f>
        <v>G615HDPL</v>
      </c>
      <c r="Q389" s="168" t="str">
        <f>'030523 INVENTARIO'!S389</f>
        <v>ETS4C00944019</v>
      </c>
      <c r="R389" s="167" t="str">
        <f>'030523 INVENTARIO'!T389</f>
        <v>82DH0565010041000530462</v>
      </c>
    </row>
    <row r="390" spans="5:18">
      <c r="E390" s="167" t="str">
        <f>'030523 INVENTARIO'!E390</f>
        <v>COMPUTADORA DE ESCRITORIO</v>
      </c>
      <c r="F390" s="167" t="str">
        <f>'030523 INVENTARIO'!F390</f>
        <v>COMPUTADORA DE ESCRITORIO</v>
      </c>
      <c r="G390" s="167" t="str">
        <f ca="1">'030523 INVENTARIO'!G390</f>
        <v>P12SI-0389</v>
      </c>
      <c r="H390" s="167" t="str">
        <f>'030523 INVENTARIO'!J390</f>
        <v>P12SI-0389</v>
      </c>
      <c r="I390" s="167" t="str">
        <f>'030523 INVENTARIO'!K390</f>
        <v>P12SS-005</v>
      </c>
      <c r="J390" s="167" t="str">
        <f>'030523 INVENTARIO'!L390</f>
        <v>P1SI-85</v>
      </c>
      <c r="K390" s="167" t="str">
        <f>'030523 INVENTARIO'!M390</f>
        <v>ALTA</v>
      </c>
      <c r="L390" s="168">
        <f>'030523 INVENTARIO'!N390</f>
        <v>0</v>
      </c>
      <c r="M390" s="168">
        <f>'030523 INVENTARIO'!O390</f>
        <v>0</v>
      </c>
      <c r="N390" s="168" t="str">
        <f>'030523 INVENTARIO'!P390</f>
        <v>REPETIDO</v>
      </c>
      <c r="O390" s="168" t="str">
        <f>'030523 INVENTARIO'!Q390</f>
        <v>ACER</v>
      </c>
      <c r="P390" s="167" t="str">
        <f>'030523 INVENTARIO'!R390</f>
        <v>AXC100-MP308</v>
      </c>
      <c r="Q390" s="168" t="str">
        <f>'030523 INVENTARIO'!S390</f>
        <v>DTSLRAL00124302AA43000</v>
      </c>
      <c r="R390" s="167" t="str">
        <f>'030523 INVENTARIO'!T390</f>
        <v>82DH0515010003000649648</v>
      </c>
    </row>
    <row r="391" spans="5:18">
      <c r="E391" s="167" t="str">
        <f>'030523 INVENTARIO'!E391</f>
        <v>SERVIDOR</v>
      </c>
      <c r="F391" s="168" t="str">
        <f>'030523 INVENTARIO'!F391</f>
        <v>SERVIDOR NAS</v>
      </c>
      <c r="G391" s="167" t="str">
        <f ca="1">'030523 INVENTARIO'!G391</f>
        <v>P12SI-0390</v>
      </c>
      <c r="H391" s="167" t="str">
        <f>'030523 INVENTARIO'!J391</f>
        <v>P12SI-0390</v>
      </c>
      <c r="I391" s="167" t="str">
        <f>'030523 INVENTARIO'!K391</f>
        <v>P12SS-006</v>
      </c>
      <c r="J391" s="167" t="str">
        <f>'030523 INVENTARIO'!L391</f>
        <v>P1SI-34</v>
      </c>
      <c r="K391" s="168" t="str">
        <f>'030523 INVENTARIO'!M391</f>
        <v>5150100005-96</v>
      </c>
      <c r="L391" s="168">
        <f>'030523 INVENTARIO'!N391</f>
        <v>0</v>
      </c>
      <c r="M391" s="168">
        <f>'030523 INVENTARIO'!O391</f>
        <v>0</v>
      </c>
      <c r="N391" s="168" t="str">
        <f>'030523 INVENTARIO'!P391</f>
        <v>OK</v>
      </c>
      <c r="O391" s="168" t="str">
        <f>'030523 INVENTARIO'!Q391</f>
        <v>SYNOLOGY</v>
      </c>
      <c r="P391" s="167" t="str">
        <f>'030523 INVENTARIO'!R391</f>
        <v>DS418</v>
      </c>
      <c r="Q391" s="168" t="str">
        <f>'030523 INVENTARIO'!S391</f>
        <v>19B0PHN690503</v>
      </c>
      <c r="R391" s="167" t="str">
        <f>'030523 INVENTARIO'!T391</f>
        <v>82DH0515010042000649354</v>
      </c>
    </row>
    <row r="392" spans="5:18">
      <c r="E392" s="167" t="str">
        <f>'030523 INVENTARIO'!E392</f>
        <v>SERVIDOR</v>
      </c>
      <c r="F392" s="168" t="str">
        <f>'030523 INVENTARIO'!F392</f>
        <v>SERVIDOR NAS</v>
      </c>
      <c r="G392" s="167" t="str">
        <f ca="1">'030523 INVENTARIO'!G392</f>
        <v>P12SI-0391</v>
      </c>
      <c r="H392" s="167" t="str">
        <f>'030523 INVENTARIO'!J392</f>
        <v>P12SI-0391</v>
      </c>
      <c r="I392" s="167" t="str">
        <f>'030523 INVENTARIO'!K392</f>
        <v>P12SS-007</v>
      </c>
      <c r="J392" s="167" t="str">
        <f>'030523 INVENTARIO'!L392</f>
        <v>P1SI-35</v>
      </c>
      <c r="K392" s="168" t="str">
        <f>'030523 INVENTARIO'!M392</f>
        <v>5150100005-101</v>
      </c>
      <c r="L392" s="168">
        <f>'030523 INVENTARIO'!N392</f>
        <v>0</v>
      </c>
      <c r="M392" s="168">
        <f>'030523 INVENTARIO'!O392</f>
        <v>0</v>
      </c>
      <c r="N392" s="168" t="str">
        <f>'030523 INVENTARIO'!P392</f>
        <v>OK</v>
      </c>
      <c r="O392" s="168" t="str">
        <f>'030523 INVENTARIO'!Q392</f>
        <v>SYNOLOGY</v>
      </c>
      <c r="P392" s="167" t="str">
        <f>'030523 INVENTARIO'!R392</f>
        <v>DS418</v>
      </c>
      <c r="Q392" s="168" t="str">
        <f>'030523 INVENTARIO'!S392</f>
        <v>19B0PHN328102</v>
      </c>
      <c r="R392" s="167" t="str">
        <f>'030523 INVENTARIO'!T392</f>
        <v>82DH0515010042000649355</v>
      </c>
    </row>
    <row r="393" spans="5:18">
      <c r="E393" s="167" t="str">
        <f>'030523 INVENTARIO'!E393</f>
        <v>NO BREAK</v>
      </c>
      <c r="F393" s="168" t="str">
        <f>'030523 INVENTARIO'!F393</f>
        <v>NO BREAK</v>
      </c>
      <c r="G393" s="167" t="str">
        <f ca="1">'030523 INVENTARIO'!G393</f>
        <v>P12SI-0392</v>
      </c>
      <c r="H393" s="167" t="str">
        <f>'030523 INVENTARIO'!J393</f>
        <v>P12SI-0392</v>
      </c>
      <c r="I393" s="167" t="str">
        <f>'030523 INVENTARIO'!K393</f>
        <v>P12SS-008</v>
      </c>
      <c r="J393" s="167" t="str">
        <f>'030523 INVENTARIO'!L393</f>
        <v>P1SI-36</v>
      </c>
      <c r="K393" s="168" t="str">
        <f>'030523 INVENTARIO'!M393</f>
        <v>5150100008-53</v>
      </c>
      <c r="L393" s="168">
        <f>'030523 INVENTARIO'!N393</f>
        <v>0</v>
      </c>
      <c r="M393" s="168">
        <f>'030523 INVENTARIO'!O393</f>
        <v>0</v>
      </c>
      <c r="N393" s="168" t="str">
        <f>'030523 INVENTARIO'!P393</f>
        <v>OK</v>
      </c>
      <c r="O393" s="168" t="str">
        <f>'030523 INVENTARIO'!Q393</f>
        <v>HP</v>
      </c>
      <c r="P393" s="167" t="str">
        <f>'030523 INVENTARIO'!R393</f>
        <v>3R300XR</v>
      </c>
      <c r="Q393" s="168" t="str">
        <f>'030523 INVENTARIO'!S393</f>
        <v>MXL845190T</v>
      </c>
      <c r="R393" s="168" t="str">
        <f>'030523 INVENTARIO'!T393</f>
        <v>82DH0515010016000522283</v>
      </c>
    </row>
    <row r="394" spans="5:18">
      <c r="E394" s="167" t="str">
        <f>'030523 INVENTARIO'!E394</f>
        <v>RACK</v>
      </c>
      <c r="F394" s="167" t="str">
        <f>'030523 INVENTARIO'!F394</f>
        <v>RACK PARA CHAROLAS</v>
      </c>
      <c r="G394" s="167" t="str">
        <f ca="1">'030523 INVENTARIO'!G394</f>
        <v>P12SI-0393</v>
      </c>
      <c r="H394" s="167" t="str">
        <f>'030523 INVENTARIO'!J394</f>
        <v>P12SI-0393</v>
      </c>
      <c r="I394" s="167" t="str">
        <f>'030523 INVENTARIO'!K394</f>
        <v>P12SS-009</v>
      </c>
      <c r="J394" s="167" t="str">
        <f>'030523 INVENTARIO'!L394</f>
        <v>P1SI-51</v>
      </c>
      <c r="K394" s="167" t="str">
        <f>'030523 INVENTARIO'!M394</f>
        <v>5150100005-108</v>
      </c>
      <c r="L394" s="168">
        <f>'030523 INVENTARIO'!N394</f>
        <v>0</v>
      </c>
      <c r="M394" s="168">
        <f>'030523 INVENTARIO'!O394</f>
        <v>0</v>
      </c>
      <c r="N394" s="168" t="str">
        <f>'030523 INVENTARIO'!P394</f>
        <v>OK</v>
      </c>
      <c r="O394" s="168" t="str">
        <f>'030523 INVENTARIO'!Q394</f>
        <v>S/M</v>
      </c>
      <c r="P394" s="167" t="str">
        <f>'030523 INVENTARIO'!R394</f>
        <v>S/M</v>
      </c>
      <c r="Q394" s="168" t="str">
        <f>'030523 INVENTARIO'!S394</f>
        <v>30394</v>
      </c>
      <c r="R394" s="168" t="str">
        <f>'030523 INVENTARIO'!T394</f>
        <v>82DH0515010047000651137</v>
      </c>
    </row>
    <row r="395" spans="5:18">
      <c r="E395" s="167" t="str">
        <f>'030523 INVENTARIO'!E395</f>
        <v>SWITCH (CONCENTRADOR DE PUERTOS)</v>
      </c>
      <c r="F395" s="168" t="str">
        <f>'030523 INVENTARIO'!F395</f>
        <v>SWITCH</v>
      </c>
      <c r="G395" s="167" t="str">
        <f ca="1">'030523 INVENTARIO'!G395</f>
        <v>P12SI-0394</v>
      </c>
      <c r="H395" s="167" t="str">
        <f>'030523 INVENTARIO'!J395</f>
        <v>P12SI-0394</v>
      </c>
      <c r="I395" s="167" t="str">
        <f>'030523 INVENTARIO'!K395</f>
        <v>P12SS-010</v>
      </c>
      <c r="J395" s="167" t="str">
        <f>'030523 INVENTARIO'!L395</f>
        <v>P1SI-83</v>
      </c>
      <c r="K395" s="167" t="str">
        <f>'030523 INVENTARIO'!M395</f>
        <v>5150100005-32</v>
      </c>
      <c r="L395" s="168">
        <f>'030523 INVENTARIO'!N395</f>
        <v>0</v>
      </c>
      <c r="M395" s="168">
        <f>'030523 INVENTARIO'!O395</f>
        <v>0</v>
      </c>
      <c r="N395" s="168" t="str">
        <f>'030523 INVENTARIO'!P395</f>
        <v>OK</v>
      </c>
      <c r="O395" s="168" t="str">
        <f>'030523 INVENTARIO'!Q395</f>
        <v>CISCO</v>
      </c>
      <c r="P395" s="167" t="str">
        <f>'030523 INVENTARIO'!R395</f>
        <v>SG250-50P</v>
      </c>
      <c r="Q395" s="168" t="str">
        <f>'030523 INVENTARIO'!S395</f>
        <v>SNPSZ23031HV4</v>
      </c>
      <c r="R395" s="168" t="str">
        <f>'030523 INVENTARIO'!T395</f>
        <v>82DH0515010026000649641</v>
      </c>
    </row>
    <row r="396" spans="5:18">
      <c r="E396" s="167" t="str">
        <f>'030523 INVENTARIO'!E396</f>
        <v>PANEL DE PARCHEO</v>
      </c>
      <c r="F396" s="168" t="str">
        <f>'030523 INVENTARIO'!F396</f>
        <v>PANEL DE PARCHEO</v>
      </c>
      <c r="G396" s="167" t="str">
        <f ca="1">'030523 INVENTARIO'!G396</f>
        <v>P12SI-0395</v>
      </c>
      <c r="H396" s="167" t="str">
        <f>'030523 INVENTARIO'!J396</f>
        <v>P12SI-0395</v>
      </c>
      <c r="I396" s="167" t="str">
        <f>'030523 INVENTARIO'!K396</f>
        <v>P12SS-011</v>
      </c>
      <c r="J396" s="167" t="str">
        <f>'030523 INVENTARIO'!L396</f>
        <v>P1SI-33</v>
      </c>
      <c r="K396" s="167" t="str">
        <f>'030523 INVENTARIO'!M396</f>
        <v>5150100005-104</v>
      </c>
      <c r="L396" s="168">
        <f>'030523 INVENTARIO'!N396</f>
        <v>0</v>
      </c>
      <c r="M396" s="168">
        <f>'030523 INVENTARIO'!O396</f>
        <v>0</v>
      </c>
      <c r="N396" s="168" t="str">
        <f>'030523 INVENTARIO'!P396</f>
        <v>OK</v>
      </c>
      <c r="O396" s="168" t="str">
        <f>'030523 INVENTARIO'!Q396</f>
        <v>SBETECH</v>
      </c>
      <c r="P396" s="167" t="str">
        <f>'030523 INVENTARIO'!R396</f>
        <v>S/M</v>
      </c>
      <c r="Q396" s="168" t="str">
        <f>'030523 INVENTARIO'!S396</f>
        <v>SIN SERIE</v>
      </c>
      <c r="R396" s="168" t="str">
        <f>'030523 INVENTARIO'!T396</f>
        <v>82DH0515010017000651124</v>
      </c>
    </row>
    <row r="397" spans="5:18">
      <c r="E397" s="167" t="str">
        <f>'030523 INVENTARIO'!E397</f>
        <v>PANEL DE PARCHEO</v>
      </c>
      <c r="F397" s="168" t="str">
        <f>'030523 INVENTARIO'!F397</f>
        <v>PANEL DE PARCHEO</v>
      </c>
      <c r="G397" s="167" t="str">
        <f ca="1">'030523 INVENTARIO'!G397</f>
        <v>P12SI-0396</v>
      </c>
      <c r="H397" s="167" t="str">
        <f>'030523 INVENTARIO'!J397</f>
        <v>P12SI-0396</v>
      </c>
      <c r="I397" s="167" t="str">
        <f>'030523 INVENTARIO'!K397</f>
        <v>P12SS-012</v>
      </c>
      <c r="J397" s="167" t="str">
        <f>'030523 INVENTARIO'!L397</f>
        <v>P1SI-32</v>
      </c>
      <c r="K397" s="167" t="str">
        <f>'030523 INVENTARIO'!M397</f>
        <v>5150100005-105</v>
      </c>
      <c r="L397" s="168">
        <f>'030523 INVENTARIO'!N397</f>
        <v>0</v>
      </c>
      <c r="M397" s="168">
        <f>'030523 INVENTARIO'!O397</f>
        <v>0</v>
      </c>
      <c r="N397" s="168" t="str">
        <f>'030523 INVENTARIO'!P397</f>
        <v>OK</v>
      </c>
      <c r="O397" s="168" t="str">
        <f>'030523 INVENTARIO'!Q397</f>
        <v>SBETECH</v>
      </c>
      <c r="P397" s="167" t="str">
        <f>'030523 INVENTARIO'!R397</f>
        <v>S/M</v>
      </c>
      <c r="Q397" s="168" t="str">
        <f>'030523 INVENTARIO'!S397</f>
        <v>SIN SERIE</v>
      </c>
      <c r="R397" s="168" t="str">
        <f>'030523 INVENTARIO'!T397</f>
        <v>SIN RESGUARDO</v>
      </c>
    </row>
    <row r="398" spans="5:18">
      <c r="E398" s="167" t="str">
        <f>'030523 INVENTARIO'!E398</f>
        <v>SWITCH (CONCENTRADOR DE PUERTOS)</v>
      </c>
      <c r="F398" s="168" t="str">
        <f>'030523 INVENTARIO'!F398</f>
        <v>SWITCH BLANCO</v>
      </c>
      <c r="G398" s="167" t="str">
        <f ca="1">'030523 INVENTARIO'!G398</f>
        <v>P12SI-0397</v>
      </c>
      <c r="H398" s="167" t="str">
        <f>'030523 INVENTARIO'!J398</f>
        <v>P12SI-0397</v>
      </c>
      <c r="I398" s="167" t="str">
        <f>'030523 INVENTARIO'!K398</f>
        <v>P12SS-013</v>
      </c>
      <c r="J398" s="167" t="str">
        <f>'030523 INVENTARIO'!L398</f>
        <v>P1SI-75</v>
      </c>
      <c r="K398" s="167" t="str">
        <f>'030523 INVENTARIO'!M398</f>
        <v>5150100005-31</v>
      </c>
      <c r="L398" s="168">
        <f>'030523 INVENTARIO'!N398</f>
        <v>0</v>
      </c>
      <c r="M398" s="168">
        <f>'030523 INVENTARIO'!O398</f>
        <v>0</v>
      </c>
      <c r="N398" s="168" t="str">
        <f>'030523 INVENTARIO'!P398</f>
        <v>OK</v>
      </c>
      <c r="O398" s="168" t="str">
        <f>'030523 INVENTARIO'!Q398</f>
        <v>3COM</v>
      </c>
      <c r="P398" s="167" t="str">
        <f>'030523 INVENTARIO'!R398</f>
        <v>3C16471</v>
      </c>
      <c r="Q398" s="168" t="str">
        <f>'030523 INVENTARIO'!S398</f>
        <v>LV5G3K0177781</v>
      </c>
      <c r="R398" s="168" t="str">
        <f>'030523 INVENTARIO'!T398</f>
        <v>82DH0515010026000566177</v>
      </c>
    </row>
    <row r="399" spans="5:18">
      <c r="E399" s="167" t="str">
        <f>'030523 INVENTARIO'!E399</f>
        <v>SERVIDOR</v>
      </c>
      <c r="F399" s="168" t="str">
        <f>'030523 INVENTARIO'!F399</f>
        <v>SERVIDOR</v>
      </c>
      <c r="G399" s="167" t="str">
        <f ca="1">'030523 INVENTARIO'!G399</f>
        <v>P12SI-0398</v>
      </c>
      <c r="H399" s="167" t="str">
        <f>'030523 INVENTARIO'!J399</f>
        <v>P12SI-0398</v>
      </c>
      <c r="I399" s="167" t="str">
        <f>'030523 INVENTARIO'!K399</f>
        <v>P12SS-014</v>
      </c>
      <c r="J399" s="167" t="str">
        <f>'030523 INVENTARIO'!L399</f>
        <v>P1SI-94</v>
      </c>
      <c r="K399" s="168" t="str">
        <f>'030523 INVENTARIO'!M399</f>
        <v>5150100005-69</v>
      </c>
      <c r="L399" s="168">
        <f>'030523 INVENTARIO'!N399</f>
        <v>0</v>
      </c>
      <c r="M399" s="168">
        <f>'030523 INVENTARIO'!O399</f>
        <v>0</v>
      </c>
      <c r="N399" s="168" t="str">
        <f>'030523 INVENTARIO'!P399</f>
        <v>OK</v>
      </c>
      <c r="O399" s="168" t="str">
        <f>'030523 INVENTARIO'!Q399</f>
        <v>ACTECK</v>
      </c>
      <c r="P399" s="167" t="str">
        <f>'030523 INVENTARIO'!R399</f>
        <v>NIALG1004</v>
      </c>
      <c r="Q399" s="168" t="str">
        <f>'030523 INVENTARIO'!S399</f>
        <v>015007303117</v>
      </c>
      <c r="R399" s="168" t="str">
        <f>'030523 INVENTARIO'!T399</f>
        <v>82DH0515010003000650638</v>
      </c>
    </row>
    <row r="400" spans="5:18">
      <c r="E400" s="167" t="str">
        <f>'030523 INVENTARIO'!E400</f>
        <v>NO BREAK</v>
      </c>
      <c r="F400" s="167" t="str">
        <f>'030523 INVENTARIO'!F400</f>
        <v>NO BREAK NEGRO</v>
      </c>
      <c r="G400" s="167" t="str">
        <f ca="1">'030523 INVENTARIO'!G400</f>
        <v>P12SI-0399</v>
      </c>
      <c r="H400" s="167" t="str">
        <f>'030523 INVENTARIO'!J400</f>
        <v>P12SI-0399</v>
      </c>
      <c r="I400" s="167" t="str">
        <f>'030523 INVENTARIO'!K400</f>
        <v>P12SS-015</v>
      </c>
      <c r="J400" s="167" t="str">
        <f>'030523 INVENTARIO'!L400</f>
        <v>P1SI-62</v>
      </c>
      <c r="K400" s="168" t="str">
        <f>'030523 INVENTARIO'!M400</f>
        <v>5150100008-43</v>
      </c>
      <c r="L400" s="168">
        <f>'030523 INVENTARIO'!N400</f>
        <v>0</v>
      </c>
      <c r="M400" s="168">
        <f>'030523 INVENTARIO'!O400</f>
        <v>0</v>
      </c>
      <c r="N400" s="168" t="str">
        <f>'030523 INVENTARIO'!P400</f>
        <v>OK</v>
      </c>
      <c r="O400" s="168" t="str">
        <f>'030523 INVENTARIO'!Q400</f>
        <v>APC</v>
      </c>
      <c r="P400" s="167" t="str">
        <f>'030523 INVENTARIO'!R400</f>
        <v>SUA3000</v>
      </c>
      <c r="Q400" s="168" t="str">
        <f>'030523 INVENTARIO'!S400</f>
        <v>AS1918154494</v>
      </c>
      <c r="R400" s="167" t="str">
        <f>'030523 INVENTARIO'!T400</f>
        <v>82DH0515010016000649411</v>
      </c>
    </row>
    <row r="401" spans="5:18">
      <c r="E401" s="167" t="str">
        <f>'030523 INVENTARIO'!E401</f>
        <v>NO BREAK</v>
      </c>
      <c r="F401" s="168" t="str">
        <f>'030523 INVENTARIO'!F401</f>
        <v>NO BREAK BLANCO</v>
      </c>
      <c r="G401" s="167" t="str">
        <f ca="1">'030523 INVENTARIO'!G401</f>
        <v>P12SI-0400</v>
      </c>
      <c r="H401" s="167" t="str">
        <f>'030523 INVENTARIO'!J401</f>
        <v>P12SI-0400</v>
      </c>
      <c r="I401" s="167" t="str">
        <f>'030523 INVENTARIO'!K401</f>
        <v>P12SS-016</v>
      </c>
      <c r="J401" s="167" t="str">
        <f>'030523 INVENTARIO'!L401</f>
        <v>P1SI-93</v>
      </c>
      <c r="K401" s="167" t="str">
        <f>'030523 INVENTARIO'!M401</f>
        <v>ALTA</v>
      </c>
      <c r="L401" s="168">
        <f>'030523 INVENTARIO'!N401</f>
        <v>0</v>
      </c>
      <c r="M401" s="168">
        <f>'030523 INVENTARIO'!O401</f>
        <v>0</v>
      </c>
      <c r="N401" s="168" t="str">
        <f>'030523 INVENTARIO'!P401</f>
        <v>REPETIDO</v>
      </c>
      <c r="O401" s="168" t="str">
        <f>'030523 INVENTARIO'!Q401</f>
        <v>TRIPP LITE</v>
      </c>
      <c r="P401" s="167" t="str">
        <f>'030523 INVENTARIO'!R401</f>
        <v>SMART 2200</v>
      </c>
      <c r="Q401" s="168" t="str">
        <f>'030523 INVENTARIO'!S401</f>
        <v>9705BD0SM6383P0086</v>
      </c>
      <c r="R401" s="167" t="str">
        <f>'030523 INVENTARIO'!T401</f>
        <v>82DH0515010016000539082</v>
      </c>
    </row>
    <row r="402" spans="5:18">
      <c r="E402" s="167" t="str">
        <f>'030523 INVENTARIO'!E402</f>
        <v>AIRE ACONDICIONADO</v>
      </c>
      <c r="F402" s="168" t="str">
        <f>'030523 INVENTARIO'!F402</f>
        <v>AIRE ACONDICIONADO BLANCO</v>
      </c>
      <c r="G402" s="167" t="str">
        <f ca="1">'030523 INVENTARIO'!G402</f>
        <v>P12SI-0401</v>
      </c>
      <c r="H402" s="167" t="str">
        <f>'030523 INVENTARIO'!J402</f>
        <v>P12SI-0401</v>
      </c>
      <c r="I402" s="167" t="str">
        <f>'030523 INVENTARIO'!K402</f>
        <v>P12SS-017</v>
      </c>
      <c r="J402" s="167" t="str">
        <f>'030523 INVENTARIO'!L402</f>
        <v>P1SI-98</v>
      </c>
      <c r="K402" s="167" t="str">
        <f>'030523 INVENTARIO'!M402</f>
        <v>5640100001-3</v>
      </c>
      <c r="L402" s="168">
        <f>'030523 INVENTARIO'!N402</f>
        <v>0</v>
      </c>
      <c r="M402" s="168">
        <f>'030523 INVENTARIO'!O402</f>
        <v>0</v>
      </c>
      <c r="N402" s="168" t="str">
        <f>'030523 INVENTARIO'!P402</f>
        <v>OK</v>
      </c>
      <c r="O402" s="168" t="str">
        <f>'030523 INVENTARIO'!Q402</f>
        <v>CARRIER</v>
      </c>
      <c r="P402" s="167" t="str">
        <f>'030523 INVENTARIO'!R402</f>
        <v>40PRC183A-E</v>
      </c>
      <c r="Q402" s="168" t="str">
        <f>'030523 INVENTARIO'!S402</f>
        <v>D202932040216C21170406</v>
      </c>
      <c r="R402" s="168" t="str">
        <f>'030523 INVENTARIO'!T402</f>
        <v>SIN RESGUARDO</v>
      </c>
    </row>
    <row r="403" spans="5:18">
      <c r="E403" s="167" t="str">
        <f>'030523 INVENTARIO'!E403</f>
        <v>MONITOR</v>
      </c>
      <c r="F403" s="167" t="str">
        <f>'030523 INVENTARIO'!F403</f>
        <v>MONITOR 15.6"</v>
      </c>
      <c r="G403" s="167" t="str">
        <f ca="1">'030523 INVENTARIO'!G403</f>
        <v>P12SI-0402</v>
      </c>
      <c r="H403" s="167" t="str">
        <f>'030523 INVENTARIO'!J403</f>
        <v>P12SI-0402</v>
      </c>
      <c r="I403" s="167" t="str">
        <f>'030523 INVENTARIO'!K403</f>
        <v>P12SS-018</v>
      </c>
      <c r="J403" s="167" t="str">
        <f>'030523 INVENTARIO'!L403</f>
        <v>P1SI-28</v>
      </c>
      <c r="K403" s="167" t="str">
        <f>'030523 INVENTARIO'!M403</f>
        <v>5210100012-73</v>
      </c>
      <c r="L403" s="168">
        <f>'030523 INVENTARIO'!N403</f>
        <v>0</v>
      </c>
      <c r="M403" s="168">
        <f>'030523 INVENTARIO'!O403</f>
        <v>0</v>
      </c>
      <c r="N403" s="168" t="str">
        <f>'030523 INVENTARIO'!P403</f>
        <v>OK</v>
      </c>
      <c r="O403" s="168" t="str">
        <f>'030523 INVENTARIO'!Q403</f>
        <v>SAMSUNG</v>
      </c>
      <c r="P403" s="167" t="str">
        <f>'030523 INVENTARIO'!R403</f>
        <v>SYNCMASTER632NW</v>
      </c>
      <c r="Q403" s="168" t="str">
        <f>'030523 INVENTARIO'!S403</f>
        <v>PE16H9NQ210224R</v>
      </c>
      <c r="R403" s="168" t="str">
        <f>'030523 INVENTARIO'!T403</f>
        <v>82DH0565010041000566530</v>
      </c>
    </row>
    <row r="404" spans="5:18">
      <c r="E404" s="167" t="str">
        <f>'030523 INVENTARIO'!E404</f>
        <v>COMPUTADORA DE ESCRITORIO</v>
      </c>
      <c r="F404" s="167" t="str">
        <f>'030523 INVENTARIO'!F404</f>
        <v>COMPUTADORA TODO EN UNO BLANCO</v>
      </c>
      <c r="G404" s="167" t="str">
        <f ca="1">'030523 INVENTARIO'!G404</f>
        <v>P12CT-0403</v>
      </c>
      <c r="H404" s="167" t="str">
        <f>'030523 INVENTARIO'!J404</f>
        <v>P12SI-0403</v>
      </c>
      <c r="I404" s="167" t="str">
        <f>'030523 INVENTARIO'!K404</f>
        <v>P12SS-019</v>
      </c>
      <c r="J404" s="167" t="str">
        <f>'030523 INVENTARIO'!L404</f>
        <v>P0A-14</v>
      </c>
      <c r="K404" s="167" t="str">
        <f>'030523 INVENTARIO'!M404</f>
        <v>ALTA</v>
      </c>
      <c r="L404" s="168">
        <f>'030523 INVENTARIO'!N404</f>
        <v>0</v>
      </c>
      <c r="M404" s="168">
        <f>'030523 INVENTARIO'!O404</f>
        <v>0</v>
      </c>
      <c r="N404" s="168" t="str">
        <f>'030523 INVENTARIO'!P404</f>
        <v>REPETIDO</v>
      </c>
      <c r="O404" s="168" t="str">
        <f>'030523 INVENTARIO'!Q404</f>
        <v>LENOVO</v>
      </c>
      <c r="P404" s="167" t="str">
        <f>'030523 INVENTARIO'!R404</f>
        <v>10113 C240</v>
      </c>
      <c r="Q404" s="168" t="str">
        <f>'030523 INVENTARIO'!S404</f>
        <v>CS01173448</v>
      </c>
      <c r="R404" s="168" t="str">
        <f>'030523 INVENTARIO'!T404</f>
        <v>82DK0515010003000649507</v>
      </c>
    </row>
    <row r="405" spans="5:18">
      <c r="E405" s="167" t="str">
        <f>'030523 INVENTARIO'!E405</f>
        <v>COMPUTADORA DE ESCRITORIO</v>
      </c>
      <c r="F405" s="167" t="str">
        <f>'030523 INVENTARIO'!F405</f>
        <v>COMPUTADORA TODO EN UNO BLANCO</v>
      </c>
      <c r="G405" s="167" t="str">
        <f ca="1">'030523 INVENTARIO'!G405</f>
        <v>P05RM-0404</v>
      </c>
      <c r="H405" s="167" t="str">
        <f>'030523 INVENTARIO'!J405</f>
        <v>P12SI-0405</v>
      </c>
      <c r="I405" s="167" t="str">
        <f>'030523 INVENTARIO'!K405</f>
        <v>P12SS-021</v>
      </c>
      <c r="J405" s="167" t="str">
        <f>'030523 INVENTARIO'!L405</f>
        <v>P2SYA-19</v>
      </c>
      <c r="K405" s="167" t="str">
        <f>'030523 INVENTARIO'!M405</f>
        <v>ALTA</v>
      </c>
      <c r="L405" s="168">
        <f>'030523 INVENTARIO'!N405</f>
        <v>0</v>
      </c>
      <c r="M405" s="168">
        <f>'030523 INVENTARIO'!O405</f>
        <v>0</v>
      </c>
      <c r="N405" s="168" t="str">
        <f>'030523 INVENTARIO'!P405</f>
        <v>REPETIDO</v>
      </c>
      <c r="O405" s="168" t="str">
        <f>'030523 INVENTARIO'!Q405</f>
        <v>HP</v>
      </c>
      <c r="P405" s="167" t="str">
        <f>'030523 INVENTARIO'!R405</f>
        <v>HP PAVILION AIO 20-E002LA</v>
      </c>
      <c r="Q405" s="168" t="str">
        <f>'030523 INVENTARIO'!S405</f>
        <v>RTN8188EENF</v>
      </c>
      <c r="R405" s="168" t="str">
        <f>'030523 INVENTARIO'!T405</f>
        <v>82DH0515010003000649378</v>
      </c>
    </row>
    <row r="406" spans="5:18">
      <c r="E406" s="167" t="str">
        <f>'030523 INVENTARIO'!E406</f>
        <v>COMPUTADORA DE ESCRITORIO</v>
      </c>
      <c r="F406" s="167" t="str">
        <f>'030523 INVENTARIO'!F406</f>
        <v>COMPUTADORA TODO EN UNO BLANCO</v>
      </c>
      <c r="G406" s="167" t="str">
        <f ca="1">'030523 INVENTARIO'!G406</f>
        <v>P12SI-0405</v>
      </c>
      <c r="H406" s="167" t="str">
        <f>'030523 INVENTARIO'!J406</f>
        <v>P12SI-0406</v>
      </c>
      <c r="I406" s="167" t="str">
        <f>'030523 INVENTARIO'!K406</f>
        <v>P12SS-022</v>
      </c>
      <c r="J406" s="167" t="str">
        <f>'030523 INVENTARIO'!L406</f>
        <v>P0RH-36</v>
      </c>
      <c r="K406" s="167" t="str">
        <f>'030523 INVENTARIO'!M406</f>
        <v>ALTA</v>
      </c>
      <c r="L406" s="168">
        <f>'030523 INVENTARIO'!N406</f>
        <v>0</v>
      </c>
      <c r="M406" s="168">
        <f>'030523 INVENTARIO'!O406</f>
        <v>0</v>
      </c>
      <c r="N406" s="168" t="str">
        <f>'030523 INVENTARIO'!P406</f>
        <v>REPETIDO</v>
      </c>
      <c r="O406" s="168" t="str">
        <f>'030523 INVENTARIO'!Q406</f>
        <v>LENOVO</v>
      </c>
      <c r="P406" s="167" t="str">
        <f>'030523 INVENTARIO'!R406</f>
        <v>AIO10113 C240</v>
      </c>
      <c r="Q406" s="168" t="str">
        <f>'030523 INVENTARIO'!S406</f>
        <v>CS01173496</v>
      </c>
      <c r="R406" s="168" t="str">
        <f>'030523 INVENTARIO'!T406</f>
        <v>82DK0515010003000649484</v>
      </c>
    </row>
    <row r="407" spans="5:18">
      <c r="E407" s="167" t="str">
        <f>'030523 INVENTARIO'!E407</f>
        <v>ASPIRADORA</v>
      </c>
      <c r="F407" s="168" t="str">
        <f>'030523 INVENTARIO'!F407</f>
        <v>ASPIRADORA BLANCA</v>
      </c>
      <c r="G407" s="167" t="str">
        <f ca="1">'030523 INVENTARIO'!G407</f>
        <v>P12SI-0406</v>
      </c>
      <c r="H407" s="167" t="str">
        <f>'030523 INVENTARIO'!J407</f>
        <v>P12SI-0407</v>
      </c>
      <c r="I407" s="167" t="str">
        <f>'030523 INVENTARIO'!K407</f>
        <v>P12SS-023</v>
      </c>
      <c r="J407" s="167" t="str">
        <f>'030523 INVENTARIO'!L407</f>
        <v>P1SI-84</v>
      </c>
      <c r="K407" s="167" t="str">
        <f>'030523 INVENTARIO'!M407</f>
        <v>5690100100-1</v>
      </c>
      <c r="L407" s="168">
        <f>'030523 INVENTARIO'!N407</f>
        <v>0</v>
      </c>
      <c r="M407" s="168">
        <f>'030523 INVENTARIO'!O407</f>
        <v>0</v>
      </c>
      <c r="N407" s="168" t="str">
        <f>'030523 INVENTARIO'!P407</f>
        <v>OK</v>
      </c>
      <c r="O407" s="168" t="str">
        <f>'030523 INVENTARIO'!Q407</f>
        <v>KOBLENZ</v>
      </c>
      <c r="P407" s="167" t="str">
        <f>'030523 INVENTARIO'!R407</f>
        <v>DV100KG3</v>
      </c>
      <c r="Q407" s="168" t="str">
        <f>'030523 INVENTARIO'!S407</f>
        <v>175916055</v>
      </c>
      <c r="R407" s="167" t="str">
        <f>'030523 INVENTARIO'!T407</f>
        <v>SIN RESGUARDO</v>
      </c>
    </row>
    <row r="408" spans="5:18">
      <c r="E408" s="167" t="str">
        <f>'030523 INVENTARIO'!E408</f>
        <v>MONITOR</v>
      </c>
      <c r="F408" s="167" t="str">
        <f>'030523 INVENTARIO'!F408</f>
        <v>MONITOR 19.5"</v>
      </c>
      <c r="G408" s="167" t="str">
        <f ca="1">'030523 INVENTARIO'!G408</f>
        <v>P05RM-0407</v>
      </c>
      <c r="H408" s="167" t="str">
        <f>'030523 INVENTARIO'!J408</f>
        <v>P12SI-0408</v>
      </c>
      <c r="I408" s="167" t="str">
        <f>'030523 INVENTARIO'!K408</f>
        <v>P12SS-024</v>
      </c>
      <c r="J408" s="167" t="str">
        <f>'030523 INVENTARIO'!L408</f>
        <v>P1P-25</v>
      </c>
      <c r="K408" s="167" t="str">
        <f>'030523 INVENTARIO'!M408</f>
        <v>5150100005-116</v>
      </c>
      <c r="L408" s="168">
        <f>'030523 INVENTARIO'!N408</f>
        <v>0</v>
      </c>
      <c r="M408" s="168">
        <f>'030523 INVENTARIO'!O408</f>
        <v>0</v>
      </c>
      <c r="N408" s="168" t="str">
        <f>'030523 INVENTARIO'!P408</f>
        <v>OK</v>
      </c>
      <c r="O408" s="168" t="str">
        <f>'030523 INVENTARIO'!Q408</f>
        <v>COMPAQ</v>
      </c>
      <c r="P408" s="167" t="str">
        <f>'030523 INVENTARIO'!R408</f>
        <v>WF1907</v>
      </c>
      <c r="Q408" s="168" t="str">
        <f>'030523 INVENTARIO'!S408</f>
        <v>CNC816Y3C2</v>
      </c>
      <c r="R408" s="168" t="str">
        <f>'030523 INVENTARIO'!T408</f>
        <v>82DJ0565010041000530454</v>
      </c>
    </row>
    <row r="409" spans="5:18">
      <c r="E409" s="167" t="str">
        <f>'030523 INVENTARIO'!E409</f>
        <v>REGULADOR DE VOLTAJE</v>
      </c>
      <c r="F409" s="168" t="str">
        <f>'030523 INVENTARIO'!F409</f>
        <v>REGULADOR</v>
      </c>
      <c r="G409" s="167" t="str">
        <f ca="1">'030523 INVENTARIO'!G409</f>
        <v>P12SI-0408</v>
      </c>
      <c r="H409" s="167" t="str">
        <f>'030523 INVENTARIO'!J409</f>
        <v>P12SI-0409</v>
      </c>
      <c r="I409" s="167" t="str">
        <f>'030523 INVENTARIO'!K409</f>
        <v>P12SS-025</v>
      </c>
      <c r="J409" s="167" t="str">
        <f>'030523 INVENTARIO'!L409</f>
        <v>P1SI-81</v>
      </c>
      <c r="K409" s="168" t="str">
        <f>'030523 INVENTARIO'!M409</f>
        <v>5660100057-11</v>
      </c>
      <c r="L409" s="168">
        <f>'030523 INVENTARIO'!N409</f>
        <v>0</v>
      </c>
      <c r="M409" s="168">
        <f>'030523 INVENTARIO'!O409</f>
        <v>0</v>
      </c>
      <c r="N409" s="168" t="str">
        <f>'030523 INVENTARIO'!P409</f>
        <v>OK</v>
      </c>
      <c r="O409" s="168" t="str">
        <f>'030523 INVENTARIO'!Q409</f>
        <v>KOBLENZ</v>
      </c>
      <c r="P409" s="167">
        <f>'030523 INVENTARIO'!R409</f>
        <v>1500</v>
      </c>
      <c r="Q409" s="168" t="str">
        <f>'030523 INVENTARIO'!S409</f>
        <v>08091K</v>
      </c>
      <c r="R409" s="167" t="str">
        <f>'030523 INVENTARIO'!T409</f>
        <v>82DH0515010020000541697</v>
      </c>
    </row>
    <row r="410" spans="5:18">
      <c r="E410" s="167" t="str">
        <f>'030523 INVENTARIO'!E410</f>
        <v>MONITOR</v>
      </c>
      <c r="F410" s="167" t="str">
        <f>'030523 INVENTARIO'!F410</f>
        <v>MONITOR 15.6"</v>
      </c>
      <c r="G410" s="167" t="str">
        <f ca="1">'030523 INVENTARIO'!G410</f>
        <v>P12SI-0409</v>
      </c>
      <c r="H410" s="167" t="str">
        <f>'030523 INVENTARIO'!J410</f>
        <v>P12SI-0410</v>
      </c>
      <c r="I410" s="167" t="str">
        <f>'030523 INVENTARIO'!K410</f>
        <v>P12SS-026</v>
      </c>
      <c r="J410" s="167" t="str">
        <f>'030523 INVENTARIO'!L410</f>
        <v>P1SI-20</v>
      </c>
      <c r="K410" s="167" t="str">
        <f>'030523 INVENTARIO'!M410</f>
        <v>5210100012-54</v>
      </c>
      <c r="L410" s="168">
        <f>'030523 INVENTARIO'!N410</f>
        <v>0</v>
      </c>
      <c r="M410" s="168">
        <f>'030523 INVENTARIO'!O410</f>
        <v>0</v>
      </c>
      <c r="N410" s="168" t="str">
        <f>'030523 INVENTARIO'!P410</f>
        <v>OK</v>
      </c>
      <c r="O410" s="168" t="str">
        <f>'030523 INVENTARIO'!Q410</f>
        <v>SAMSUNG</v>
      </c>
      <c r="P410" s="167" t="str">
        <f>'030523 INVENTARIO'!R410</f>
        <v>SYNCMASTER632NW</v>
      </c>
      <c r="Q410" s="168" t="str">
        <f>'030523 INVENTARIO'!S410</f>
        <v>PE16H9NQ212118W</v>
      </c>
      <c r="R410" s="167" t="str">
        <f>'030523 INVENTARIO'!T410</f>
        <v>82DH0565010041000539113</v>
      </c>
    </row>
    <row r="411" spans="5:18">
      <c r="E411" s="167" t="str">
        <f>'030523 INVENTARIO'!E411</f>
        <v>RACK</v>
      </c>
      <c r="F411" s="168" t="str">
        <f>'030523 INVENTARIO'!F411</f>
        <v>RACK LICITACIONES</v>
      </c>
      <c r="G411" s="167" t="str">
        <f ca="1">'030523 INVENTARIO'!G411</f>
        <v>P12SI-0410</v>
      </c>
      <c r="H411" s="167" t="str">
        <f>'030523 INVENTARIO'!J411</f>
        <v>P12SI-0411</v>
      </c>
      <c r="I411" s="167" t="str">
        <f>'030523 INVENTARIO'!K411</f>
        <v>P12SS-027</v>
      </c>
      <c r="J411" s="167" t="str">
        <f>'030523 INVENTARIO'!L411</f>
        <v>P1SI-56</v>
      </c>
      <c r="K411" s="167" t="str">
        <f>'030523 INVENTARIO'!M411</f>
        <v>5150100006-15</v>
      </c>
      <c r="L411" s="168">
        <f>'030523 INVENTARIO'!N411</f>
        <v>0</v>
      </c>
      <c r="M411" s="168">
        <f>'030523 INVENTARIO'!O411</f>
        <v>0</v>
      </c>
      <c r="N411" s="168" t="str">
        <f>'030523 INVENTARIO'!P411</f>
        <v>OK</v>
      </c>
      <c r="O411" s="168" t="str">
        <f>'030523 INVENTARIO'!Q411</f>
        <v>S/M</v>
      </c>
      <c r="P411" s="167" t="str">
        <f>'030523 INVENTARIO'!R411</f>
        <v>S/M</v>
      </c>
      <c r="Q411" s="168" t="str">
        <f>'030523 INVENTARIO'!S411</f>
        <v>SIN SERIE</v>
      </c>
      <c r="R411" s="168" t="str">
        <f>'030523 INVENTARIO'!T411</f>
        <v>82DH0515010047000651134</v>
      </c>
    </row>
    <row r="412" spans="5:18">
      <c r="E412" s="167" t="str">
        <f>'030523 INVENTARIO'!E412</f>
        <v>PANEL DE PARCHEO</v>
      </c>
      <c r="F412" s="168" t="str">
        <f>'030523 INVENTARIO'!F412</f>
        <v>PANEL DE PARCHEO</v>
      </c>
      <c r="G412" s="167" t="str">
        <f ca="1">'030523 INVENTARIO'!G412</f>
        <v>P12SI-0411</v>
      </c>
      <c r="H412" s="167" t="str">
        <f>'030523 INVENTARIO'!J412</f>
        <v>P12SI-0412</v>
      </c>
      <c r="I412" s="167" t="str">
        <f>'030523 INVENTARIO'!K412</f>
        <v>P12SS-028</v>
      </c>
      <c r="J412" s="167" t="str">
        <f>'030523 INVENTARIO'!L412</f>
        <v>P1SI-57</v>
      </c>
      <c r="K412" s="167" t="str">
        <f>'030523 INVENTARIO'!M412</f>
        <v>5150100005-111</v>
      </c>
      <c r="L412" s="168">
        <f>'030523 INVENTARIO'!N412</f>
        <v>0</v>
      </c>
      <c r="M412" s="168">
        <f>'030523 INVENTARIO'!O412</f>
        <v>0</v>
      </c>
      <c r="N412" s="168" t="str">
        <f>'030523 INVENTARIO'!P412</f>
        <v>OK</v>
      </c>
      <c r="O412" s="168" t="str">
        <f>'030523 INVENTARIO'!Q412</f>
        <v>INTELINET</v>
      </c>
      <c r="P412" s="167" t="str">
        <f>'030523 INVENTARIO'!R412</f>
        <v>S/M</v>
      </c>
      <c r="Q412" s="168" t="str">
        <f>'030523 INVENTARIO'!S412</f>
        <v>SIN SERIE</v>
      </c>
      <c r="R412" s="168" t="str">
        <f>'030523 INVENTARIO'!T412</f>
        <v>82DH0515010017000651138</v>
      </c>
    </row>
    <row r="413" spans="5:18">
      <c r="E413" s="167" t="str">
        <f>'030523 INVENTARIO'!E413</f>
        <v>SWITCH (CONCENTRADOR DE PUERTOS)</v>
      </c>
      <c r="F413" s="168" t="str">
        <f>'030523 INVENTARIO'!F413</f>
        <v>SWITCH</v>
      </c>
      <c r="G413" s="167" t="str">
        <f ca="1">'030523 INVENTARIO'!G413</f>
        <v>P12SI-0412</v>
      </c>
      <c r="H413" s="167" t="str">
        <f>'030523 INVENTARIO'!J413</f>
        <v>P12SI-0413</v>
      </c>
      <c r="I413" s="167" t="str">
        <f>'030523 INVENTARIO'!K413</f>
        <v>P12SS-029</v>
      </c>
      <c r="J413" s="167" t="str">
        <f>'030523 INVENTARIO'!L413</f>
        <v>P1SI-58</v>
      </c>
      <c r="K413" s="167" t="str">
        <f>'030523 INVENTARIO'!M413</f>
        <v>5150100005-117</v>
      </c>
      <c r="L413" s="168">
        <f>'030523 INVENTARIO'!N413</f>
        <v>0</v>
      </c>
      <c r="M413" s="168">
        <f>'030523 INVENTARIO'!O413</f>
        <v>0</v>
      </c>
      <c r="N413" s="168" t="str">
        <f>'030523 INVENTARIO'!P413</f>
        <v>OK</v>
      </c>
      <c r="O413" s="168" t="str">
        <f>'030523 INVENTARIO'!Q413</f>
        <v>3COM</v>
      </c>
      <c r="P413" s="167" t="str">
        <f>'030523 INVENTARIO'!R413</f>
        <v>S/M</v>
      </c>
      <c r="Q413" s="168" t="str">
        <f>'030523 INVENTARIO'!S413</f>
        <v>PE16H9NQ212118W</v>
      </c>
      <c r="R413" s="168" t="str">
        <f>'030523 INVENTARIO'!T413</f>
        <v>82DH0515010026000566183</v>
      </c>
    </row>
    <row r="414" spans="5:18">
      <c r="E414" s="167" t="str">
        <f>'030523 INVENTARIO'!E414</f>
        <v>ESTANTE O ANAQUEL</v>
      </c>
      <c r="F414" s="167" t="str">
        <f>'030523 INVENTARIO'!F414</f>
        <v>ANAQUEL DE METAL  GRIS DE 2 PUERTAS 182X91X46</v>
      </c>
      <c r="G414" s="167" t="str">
        <f ca="1">'030523 INVENTARIO'!G414</f>
        <v>P12SI-0413</v>
      </c>
      <c r="H414" s="167" t="str">
        <f>'030523 INVENTARIO'!J414</f>
        <v>P12SI-0414</v>
      </c>
      <c r="I414" s="167" t="str">
        <f>'030523 INVENTARIO'!K414</f>
        <v>P12SS-030</v>
      </c>
      <c r="J414" s="167" t="str">
        <f>'030523 INVENTARIO'!L414</f>
        <v>P1SI-11</v>
      </c>
      <c r="K414" s="168" t="str">
        <f>'030523 INVENTARIO'!M414</f>
        <v>5290300001-8</v>
      </c>
      <c r="L414" s="168">
        <f>'030523 INVENTARIO'!N414</f>
        <v>0</v>
      </c>
      <c r="M414" s="168">
        <f>'030523 INVENTARIO'!O414</f>
        <v>0</v>
      </c>
      <c r="N414" s="168" t="str">
        <f>'030523 INVENTARIO'!P414</f>
        <v>OK</v>
      </c>
      <c r="O414" s="168" t="str">
        <f>'030523 INVENTARIO'!Q414</f>
        <v>S/M</v>
      </c>
      <c r="P414" s="167" t="str">
        <f>'030523 INVENTARIO'!R414</f>
        <v>S/M</v>
      </c>
      <c r="Q414" s="168" t="str">
        <f>'030523 INVENTARIO'!S414</f>
        <v>SIN SERIE</v>
      </c>
      <c r="R414" s="167" t="str">
        <f>'030523 INVENTARIO'!T414</f>
        <v>82DH0511010009000584141</v>
      </c>
    </row>
    <row r="415" spans="5:18">
      <c r="E415" s="167" t="str">
        <f>'030523 INVENTARIO'!E415</f>
        <v>RACK</v>
      </c>
      <c r="F415" s="168" t="str">
        <f>'030523 INVENTARIO'!F415</f>
        <v>RACK</v>
      </c>
      <c r="G415" s="167" t="str">
        <f ca="1">'030523 INVENTARIO'!G415</f>
        <v>P12SI-0414</v>
      </c>
      <c r="H415" s="167" t="str">
        <f>'030523 INVENTARIO'!J415</f>
        <v>P12SI-0415</v>
      </c>
      <c r="I415" s="167" t="str">
        <f>'030523 INVENTARIO'!K415</f>
        <v>P12SS-031</v>
      </c>
      <c r="J415" s="167" t="str">
        <f>'030523 INVENTARIO'!L415</f>
        <v>P1SI-53</v>
      </c>
      <c r="K415" s="167" t="str">
        <f>'030523 INVENTARIO'!M415</f>
        <v>5150100005-109</v>
      </c>
      <c r="L415" s="168">
        <f>'030523 INVENTARIO'!N415</f>
        <v>0</v>
      </c>
      <c r="M415" s="168">
        <f>'030523 INVENTARIO'!O415</f>
        <v>0</v>
      </c>
      <c r="N415" s="168" t="str">
        <f>'030523 INVENTARIO'!P415</f>
        <v>OK</v>
      </c>
      <c r="O415" s="168" t="str">
        <f>'030523 INVENTARIO'!Q415</f>
        <v>S/M</v>
      </c>
      <c r="P415" s="167" t="str">
        <f>'030523 INVENTARIO'!R415</f>
        <v>S/M</v>
      </c>
      <c r="Q415" s="168" t="str">
        <f>'030523 INVENTARIO'!S415</f>
        <v>SIN SERIE</v>
      </c>
      <c r="R415" s="168" t="str">
        <f>'030523 INVENTARIO'!T415</f>
        <v>82DH0515010047000651133</v>
      </c>
    </row>
    <row r="416" spans="5:18">
      <c r="E416" s="167" t="str">
        <f>'030523 INVENTARIO'!E416</f>
        <v>PANEL DE PARCHEO</v>
      </c>
      <c r="F416" s="168" t="str">
        <f>'030523 INVENTARIO'!F416</f>
        <v>PANEL DE PARCHEO</v>
      </c>
      <c r="G416" s="167" t="str">
        <f ca="1">'030523 INVENTARIO'!G416</f>
        <v>P12SI-0415</v>
      </c>
      <c r="H416" s="167" t="str">
        <f>'030523 INVENTARIO'!J416</f>
        <v>P12SI-0416</v>
      </c>
      <c r="I416" s="167" t="str">
        <f>'030523 INVENTARIO'!K416</f>
        <v>P12SS-032</v>
      </c>
      <c r="J416" s="167" t="str">
        <f>'030523 INVENTARIO'!L416</f>
        <v>P1SI-54</v>
      </c>
      <c r="K416" s="167" t="str">
        <f>'030523 INVENTARIO'!M416</f>
        <v>5150100005-107</v>
      </c>
      <c r="L416" s="168">
        <f>'030523 INVENTARIO'!N416</f>
        <v>0</v>
      </c>
      <c r="M416" s="168">
        <f>'030523 INVENTARIO'!O416</f>
        <v>0</v>
      </c>
      <c r="N416" s="168" t="str">
        <f>'030523 INVENTARIO'!P416</f>
        <v>OK</v>
      </c>
      <c r="O416" s="168" t="str">
        <f>'030523 INVENTARIO'!Q416</f>
        <v>SBETECH</v>
      </c>
      <c r="P416" s="167" t="str">
        <f>'030523 INVENTARIO'!R416</f>
        <v>S/M</v>
      </c>
      <c r="Q416" s="167" t="str">
        <f>'030523 INVENTARIO'!S416</f>
        <v>SIN SERIE</v>
      </c>
      <c r="R416" s="168" t="str">
        <f>'030523 INVENTARIO'!T416</f>
        <v>82DH0515010017000651135</v>
      </c>
    </row>
    <row r="417" spans="5:18">
      <c r="E417" s="167" t="str">
        <f>'030523 INVENTARIO'!E417</f>
        <v>SWITCH (CONCENTRADOR DE PUERTOS)</v>
      </c>
      <c r="F417" s="168" t="str">
        <f>'030523 INVENTARIO'!F417</f>
        <v>SWITCH</v>
      </c>
      <c r="G417" s="167" t="str">
        <f ca="1">'030523 INVENTARIO'!G417</f>
        <v>P12SI-0416</v>
      </c>
      <c r="H417" s="167" t="str">
        <f>'030523 INVENTARIO'!J417</f>
        <v>P12SI-0417</v>
      </c>
      <c r="I417" s="167" t="str">
        <f>'030523 INVENTARIO'!K417</f>
        <v>P12SS-033</v>
      </c>
      <c r="J417" s="167" t="str">
        <f>'030523 INVENTARIO'!L417</f>
        <v>P1SI-55</v>
      </c>
      <c r="K417" s="167" t="str">
        <f>'030523 INVENTARIO'!M417</f>
        <v>5150100005-110</v>
      </c>
      <c r="L417" s="168">
        <f>'030523 INVENTARIO'!N417</f>
        <v>0</v>
      </c>
      <c r="M417" s="168">
        <f>'030523 INVENTARIO'!O417</f>
        <v>0</v>
      </c>
      <c r="N417" s="168" t="str">
        <f>'030523 INVENTARIO'!P417</f>
        <v>OK</v>
      </c>
      <c r="O417" s="168" t="str">
        <f>'030523 INVENTARIO'!Q417</f>
        <v>NETGEAR</v>
      </c>
      <c r="P417" s="167" t="str">
        <f>'030523 INVENTARIO'!R417</f>
        <v>SS726TP</v>
      </c>
      <c r="Q417" s="167" t="str">
        <f>'030523 INVENTARIO'!S417</f>
        <v>1DA68B5K00318</v>
      </c>
      <c r="R417" s="167" t="str">
        <f>'030523 INVENTARIO'!T417</f>
        <v>82DH0515010026000651136</v>
      </c>
    </row>
    <row r="418" spans="5:18">
      <c r="E418" s="167" t="str">
        <f>'030523 INVENTARIO'!E418</f>
        <v>MESA</v>
      </c>
      <c r="F418" s="167" t="str">
        <f>'030523 INVENTARIO'!F418</f>
        <v>MESA HEXAGONAL</v>
      </c>
      <c r="G418" s="167" t="str">
        <f ca="1">'030523 INVENTARIO'!G418</f>
        <v>P12SI-0417</v>
      </c>
      <c r="H418" s="167" t="str">
        <f>'030523 INVENTARIO'!J418</f>
        <v>P12SI-0418</v>
      </c>
      <c r="I418" s="167" t="str">
        <f>'030523 INVENTARIO'!K418</f>
        <v>P12SS-034</v>
      </c>
      <c r="J418" s="167" t="str">
        <f>'030523 INVENTARIO'!L418</f>
        <v>P1SI-23</v>
      </c>
      <c r="K418" s="167" t="str">
        <f>'030523 INVENTARIO'!M418</f>
        <v>5110100015-75</v>
      </c>
      <c r="L418" s="168">
        <f>'030523 INVENTARIO'!N418</f>
        <v>0</v>
      </c>
      <c r="M418" s="168">
        <f>'030523 INVENTARIO'!O418</f>
        <v>0</v>
      </c>
      <c r="N418" s="168" t="str">
        <f>'030523 INVENTARIO'!P418</f>
        <v>OK</v>
      </c>
      <c r="O418" s="168" t="str">
        <f>'030523 INVENTARIO'!Q418</f>
        <v>S/M</v>
      </c>
      <c r="P418" s="167" t="str">
        <f>'030523 INVENTARIO'!R418</f>
        <v>S/M</v>
      </c>
      <c r="Q418" s="168" t="str">
        <f>'030523 INVENTARIO'!S418</f>
        <v>SIN SERIE</v>
      </c>
      <c r="R418" s="168" t="str">
        <f>'030523 INVENTARIO'!T418</f>
        <v>82DH0512010011000517107</v>
      </c>
    </row>
    <row r="419" spans="5:18">
      <c r="E419" s="167" t="str">
        <f>'030523 INVENTARIO'!E419</f>
        <v>CAMARA DE VIGILANCIA</v>
      </c>
      <c r="F419" s="167" t="str">
        <f>'030523 INVENTARIO'!F419</f>
        <v>CAMARA DE VIGILANCIA</v>
      </c>
      <c r="G419" s="167" t="str">
        <f ca="1">'030523 INVENTARIO'!G419</f>
        <v>P12SI-0418</v>
      </c>
      <c r="H419" s="167" t="str">
        <f>'030523 INVENTARIO'!J419</f>
        <v>P12SI-0419</v>
      </c>
      <c r="I419" s="167" t="str">
        <f>'030523 INVENTARIO'!K419</f>
        <v>P12SS-035</v>
      </c>
      <c r="J419" s="167" t="str">
        <f>'030523 INVENTARIO'!L419</f>
        <v>P1SI-2</v>
      </c>
      <c r="K419" s="167" t="str">
        <f>'030523 INVENTARIO'!M419</f>
        <v>5190100023-1</v>
      </c>
      <c r="L419" s="168">
        <f>'030523 INVENTARIO'!N419</f>
        <v>0</v>
      </c>
      <c r="M419" s="168">
        <f>'030523 INVENTARIO'!O419</f>
        <v>0</v>
      </c>
      <c r="N419" s="168" t="str">
        <f>'030523 INVENTARIO'!P419</f>
        <v>OK</v>
      </c>
      <c r="O419" s="168" t="str">
        <f>'030523 INVENTARIO'!Q419</f>
        <v>SIESE</v>
      </c>
      <c r="P419" s="167" t="str">
        <f>'030523 INVENTARIO'!R419</f>
        <v>SS-XDP08W3.60</v>
      </c>
      <c r="Q419" s="168" t="str">
        <f>'030523 INVENTARIO'!S419</f>
        <v>597U47002510097</v>
      </c>
      <c r="R419" s="168" t="str">
        <f>'030523 INVENTARIO'!T419</f>
        <v>82DH0523010002000649669</v>
      </c>
    </row>
    <row r="420" spans="5:18">
      <c r="E420" s="167" t="str">
        <f>'030523 INVENTARIO'!E420</f>
        <v>CAMARA DE VIGILANCIA</v>
      </c>
      <c r="F420" s="167" t="str">
        <f>'030523 INVENTARIO'!F420</f>
        <v>CAMARA DE VIGILANCIA</v>
      </c>
      <c r="G420" s="167" t="str">
        <f ca="1">'030523 INVENTARIO'!G420</f>
        <v>P12SI-0419</v>
      </c>
      <c r="H420" s="167" t="str">
        <f>'030523 INVENTARIO'!J420</f>
        <v>P12SI-0420</v>
      </c>
      <c r="I420" s="167" t="str">
        <f>'030523 INVENTARIO'!K420</f>
        <v>P12SS-036</v>
      </c>
      <c r="J420" s="167" t="str">
        <f>'030523 INVENTARIO'!L420</f>
        <v>P1SI-3</v>
      </c>
      <c r="K420" s="167" t="str">
        <f>'030523 INVENTARIO'!M420</f>
        <v>5190100023-2</v>
      </c>
      <c r="L420" s="168">
        <f>'030523 INVENTARIO'!N420</f>
        <v>0</v>
      </c>
      <c r="M420" s="168">
        <f>'030523 INVENTARIO'!O420</f>
        <v>0</v>
      </c>
      <c r="N420" s="168" t="str">
        <f>'030523 INVENTARIO'!P420</f>
        <v>OK</v>
      </c>
      <c r="O420" s="168" t="str">
        <f>'030523 INVENTARIO'!Q420</f>
        <v>SIESE</v>
      </c>
      <c r="P420" s="167" t="str">
        <f>'030523 INVENTARIO'!R420</f>
        <v>SS-XBF20W3.60</v>
      </c>
      <c r="Q420" s="168" t="str">
        <f>'030523 INVENTARIO'!S420</f>
        <v>597U48011510172</v>
      </c>
      <c r="R420" s="168" t="str">
        <f>'030523 INVENTARIO'!T420</f>
        <v>82DH0523010002000649668</v>
      </c>
    </row>
    <row r="421" spans="5:18">
      <c r="E421" s="167" t="str">
        <f>'030523 INVENTARIO'!E421</f>
        <v>CAMARA DE VIGILANCIA</v>
      </c>
      <c r="F421" s="167" t="str">
        <f>'030523 INVENTARIO'!F421</f>
        <v>CAMARA DE VIGILANCIA</v>
      </c>
      <c r="G421" s="167" t="str">
        <f ca="1">'030523 INVENTARIO'!G421</f>
        <v>P12SI-0420</v>
      </c>
      <c r="H421" s="167" t="str">
        <f>'030523 INVENTARIO'!J421</f>
        <v>P12SI-0421</v>
      </c>
      <c r="I421" s="167" t="str">
        <f>'030523 INVENTARIO'!K421</f>
        <v>P12SS-037</v>
      </c>
      <c r="J421" s="167" t="str">
        <f>'030523 INVENTARIO'!L421</f>
        <v>P1SI-4</v>
      </c>
      <c r="K421" s="167" t="str">
        <f>'030523 INVENTARIO'!M421</f>
        <v>5190100023-3</v>
      </c>
      <c r="L421" s="168">
        <f>'030523 INVENTARIO'!N421</f>
        <v>0</v>
      </c>
      <c r="M421" s="168">
        <f>'030523 INVENTARIO'!O421</f>
        <v>0</v>
      </c>
      <c r="N421" s="168" t="str">
        <f>'030523 INVENTARIO'!P421</f>
        <v>OK</v>
      </c>
      <c r="O421" s="168" t="str">
        <f>'030523 INVENTARIO'!Q421</f>
        <v>SIESE</v>
      </c>
      <c r="P421" s="167" t="str">
        <f>'030523 INVENTARIO'!R421</f>
        <v>SS-XBF20J.60</v>
      </c>
      <c r="Q421" s="168" t="str">
        <f>'030523 INVENTARIO'!S421</f>
        <v>597U48011510177</v>
      </c>
      <c r="R421" s="168" t="str">
        <f>'030523 INVENTARIO'!T421</f>
        <v>82DH0523010002000649667</v>
      </c>
    </row>
    <row r="422" spans="5:18">
      <c r="E422" s="167" t="str">
        <f>'030523 INVENTARIO'!E422</f>
        <v>CAMARA DE VIGILANCIA</v>
      </c>
      <c r="F422" s="167" t="str">
        <f>'030523 INVENTARIO'!F422</f>
        <v>CAMARA DE VIGILANCIA</v>
      </c>
      <c r="G422" s="167" t="str">
        <f ca="1">'030523 INVENTARIO'!G422</f>
        <v>P12SI-0421</v>
      </c>
      <c r="H422" s="167" t="str">
        <f>'030523 INVENTARIO'!J422</f>
        <v>P12SI-0422</v>
      </c>
      <c r="I422" s="167" t="str">
        <f>'030523 INVENTARIO'!K422</f>
        <v>P12SS-038</v>
      </c>
      <c r="J422" s="167" t="str">
        <f>'030523 INVENTARIO'!L422</f>
        <v>P1SI-5</v>
      </c>
      <c r="K422" s="167" t="str">
        <f>'030523 INVENTARIO'!M422</f>
        <v>5190100023-4</v>
      </c>
      <c r="L422" s="168">
        <f>'030523 INVENTARIO'!N422</f>
        <v>0</v>
      </c>
      <c r="M422" s="168">
        <f>'030523 INVENTARIO'!O422</f>
        <v>0</v>
      </c>
      <c r="N422" s="168" t="str">
        <f>'030523 INVENTARIO'!P422</f>
        <v>OK</v>
      </c>
      <c r="O422" s="168" t="str">
        <f>'030523 INVENTARIO'!Q422</f>
        <v>SIESE</v>
      </c>
      <c r="P422" s="167" t="str">
        <f>'030523 INVENTARIO'!R422</f>
        <v>SS-XBF20W3.60</v>
      </c>
      <c r="Q422" s="168" t="str">
        <f>'030523 INVENTARIO'!S422</f>
        <v>597U48011510158</v>
      </c>
      <c r="R422" s="168" t="str">
        <f>'030523 INVENTARIO'!T422</f>
        <v>82DH0523010002000649666</v>
      </c>
    </row>
    <row r="423" spans="5:18">
      <c r="E423" s="167" t="str">
        <f>'030523 INVENTARIO'!E423</f>
        <v>CAMARA DE VIGILANCIA</v>
      </c>
      <c r="F423" s="167" t="str">
        <f>'030523 INVENTARIO'!F423</f>
        <v>CAMARA DE VIGILANCIA</v>
      </c>
      <c r="G423" s="167" t="str">
        <f ca="1">'030523 INVENTARIO'!G423</f>
        <v>P12SI-0422</v>
      </c>
      <c r="H423" s="167" t="str">
        <f>'030523 INVENTARIO'!J423</f>
        <v>P12SI-0423</v>
      </c>
      <c r="I423" s="167" t="str">
        <f>'030523 INVENTARIO'!K423</f>
        <v>P12SS-039</v>
      </c>
      <c r="J423" s="167" t="str">
        <f>'030523 INVENTARIO'!L423</f>
        <v>P1SI-6</v>
      </c>
      <c r="K423" s="167" t="str">
        <f>'030523 INVENTARIO'!M423</f>
        <v>5190100023-5</v>
      </c>
      <c r="L423" s="168">
        <f>'030523 INVENTARIO'!N423</f>
        <v>0</v>
      </c>
      <c r="M423" s="168">
        <f>'030523 INVENTARIO'!O423</f>
        <v>0</v>
      </c>
      <c r="N423" s="168" t="str">
        <f>'030523 INVENTARIO'!P423</f>
        <v>OK</v>
      </c>
      <c r="O423" s="168" t="str">
        <f>'030523 INVENTARIO'!Q423</f>
        <v>SIESE</v>
      </c>
      <c r="P423" s="167" t="str">
        <f>'030523 INVENTARIO'!R423</f>
        <v>SS-XBF20W3.60</v>
      </c>
      <c r="Q423" s="168" t="str">
        <f>'030523 INVENTARIO'!S423</f>
        <v>597U48011510436</v>
      </c>
      <c r="R423" s="168" t="str">
        <f>'030523 INVENTARIO'!T423</f>
        <v>82DH0523010002000649665</v>
      </c>
    </row>
    <row r="424" spans="5:18">
      <c r="E424" s="167" t="str">
        <f>'030523 INVENTARIO'!E424</f>
        <v>CAMARA DE VIGILANCIA</v>
      </c>
      <c r="F424" s="167" t="str">
        <f>'030523 INVENTARIO'!F424</f>
        <v>CAMARA DE VIGILANCIA</v>
      </c>
      <c r="G424" s="167" t="str">
        <f ca="1">'030523 INVENTARIO'!G424</f>
        <v>P12SI-0423</v>
      </c>
      <c r="H424" s="167" t="str">
        <f>'030523 INVENTARIO'!J424</f>
        <v>P12SI-0424</v>
      </c>
      <c r="I424" s="167" t="str">
        <f>'030523 INVENTARIO'!K424</f>
        <v>P12SS-040</v>
      </c>
      <c r="J424" s="167" t="str">
        <f>'030523 INVENTARIO'!L424</f>
        <v>P1SI-7</v>
      </c>
      <c r="K424" s="167" t="str">
        <f>'030523 INVENTARIO'!M424</f>
        <v>5190100023-6</v>
      </c>
      <c r="L424" s="168">
        <f>'030523 INVENTARIO'!N424</f>
        <v>0</v>
      </c>
      <c r="M424" s="168">
        <f>'030523 INVENTARIO'!O424</f>
        <v>0</v>
      </c>
      <c r="N424" s="168" t="str">
        <f>'030523 INVENTARIO'!P424</f>
        <v>OK</v>
      </c>
      <c r="O424" s="168" t="str">
        <f>'030523 INVENTARIO'!Q424</f>
        <v>SIESE</v>
      </c>
      <c r="P424" s="167" t="str">
        <f>'030523 INVENTARIO'!R424</f>
        <v>XBF20W3.60</v>
      </c>
      <c r="Q424" s="168" t="str">
        <f>'030523 INVENTARIO'!S424</f>
        <v>597U48011510154</v>
      </c>
      <c r="R424" s="168" t="str">
        <f>'030523 INVENTARIO'!T424</f>
        <v>82DH0523010002000649664</v>
      </c>
    </row>
    <row r="425" spans="5:18">
      <c r="E425" s="167" t="str">
        <f>'030523 INVENTARIO'!E425</f>
        <v>CAMARA DE VIGILANCIA</v>
      </c>
      <c r="F425" s="167" t="str">
        <f>'030523 INVENTARIO'!F425</f>
        <v>CAMARA DE VIGILANCIA</v>
      </c>
      <c r="G425" s="167" t="str">
        <f ca="1">'030523 INVENTARIO'!G425</f>
        <v>P12SI-0424</v>
      </c>
      <c r="H425" s="167" t="str">
        <f>'030523 INVENTARIO'!J425</f>
        <v>P12SI-0425</v>
      </c>
      <c r="I425" s="167" t="str">
        <f>'030523 INVENTARIO'!K425</f>
        <v>P12SS-041</v>
      </c>
      <c r="J425" s="167" t="str">
        <f>'030523 INVENTARIO'!L425</f>
        <v>P1SI-8</v>
      </c>
      <c r="K425" s="167" t="str">
        <f>'030523 INVENTARIO'!M425</f>
        <v>5190100023-7</v>
      </c>
      <c r="L425" s="168">
        <f>'030523 INVENTARIO'!N425</f>
        <v>0</v>
      </c>
      <c r="M425" s="168">
        <f>'030523 INVENTARIO'!O425</f>
        <v>0</v>
      </c>
      <c r="N425" s="168" t="str">
        <f>'030523 INVENTARIO'!P425</f>
        <v>OK</v>
      </c>
      <c r="O425" s="168" t="str">
        <f>'030523 INVENTARIO'!Q425</f>
        <v>SIESE</v>
      </c>
      <c r="P425" s="167" t="str">
        <f>'030523 INVENTARIO'!R425</f>
        <v>SS-XDF08W360</v>
      </c>
      <c r="Q425" s="168" t="str">
        <f>'030523 INVENTARIO'!S425</f>
        <v>597U47002510118</v>
      </c>
      <c r="R425" s="168" t="str">
        <f>'030523 INVENTARIO'!T425</f>
        <v>82DH0523010002000649663</v>
      </c>
    </row>
    <row r="426" spans="5:18">
      <c r="E426" s="167" t="str">
        <f>'030523 INVENTARIO'!E426</f>
        <v>CAMARA DE VIGILANCIA</v>
      </c>
      <c r="F426" s="167" t="str">
        <f>'030523 INVENTARIO'!F426</f>
        <v>CAMARA DE VIGILANCIA</v>
      </c>
      <c r="G426" s="167" t="str">
        <f ca="1">'030523 INVENTARIO'!G426</f>
        <v>P12SI-0425</v>
      </c>
      <c r="H426" s="167" t="str">
        <f>'030523 INVENTARIO'!J426</f>
        <v>P12SI-0426</v>
      </c>
      <c r="I426" s="167" t="str">
        <f>'030523 INVENTARIO'!K426</f>
        <v>P12SS-042</v>
      </c>
      <c r="J426" s="167" t="str">
        <f>'030523 INVENTARIO'!L426</f>
        <v>P1SI-9</v>
      </c>
      <c r="K426" s="167" t="str">
        <f>'030523 INVENTARIO'!M426</f>
        <v>5190100023-8</v>
      </c>
      <c r="L426" s="168">
        <f>'030523 INVENTARIO'!N426</f>
        <v>0</v>
      </c>
      <c r="M426" s="168">
        <f>'030523 INVENTARIO'!O426</f>
        <v>0</v>
      </c>
      <c r="N426" s="168" t="str">
        <f>'030523 INVENTARIO'!P426</f>
        <v>OK</v>
      </c>
      <c r="O426" s="168" t="str">
        <f>'030523 INVENTARIO'!Q426</f>
        <v>AYTECH</v>
      </c>
      <c r="P426" s="167" t="str">
        <f>'030523 INVENTARIO'!R426</f>
        <v>AVC153N/F38</v>
      </c>
      <c r="Q426" s="168" t="str">
        <f>'030523 INVENTARIO'!S426</f>
        <v>EHME00328</v>
      </c>
      <c r="R426" s="168" t="str">
        <f>'030523 INVENTARIO'!T426</f>
        <v>82DH0523010002000649662</v>
      </c>
    </row>
    <row r="427" spans="5:18">
      <c r="E427" s="167" t="str">
        <f>'030523 INVENTARIO'!E427</f>
        <v>ROUTER</v>
      </c>
      <c r="F427" s="167" t="str">
        <f>'030523 INVENTARIO'!F427</f>
        <v>ANTENA WIFI</v>
      </c>
      <c r="G427" s="167" t="str">
        <f ca="1">'030523 INVENTARIO'!G427</f>
        <v>P12SI-0426</v>
      </c>
      <c r="H427" s="167" t="str">
        <f>'030523 INVENTARIO'!J427</f>
        <v>P12SI-0427</v>
      </c>
      <c r="I427" s="167" t="str">
        <f>'030523 INVENTARIO'!K427</f>
        <v>P12SS-043</v>
      </c>
      <c r="J427" s="167">
        <f>'030523 INVENTARIO'!L427</f>
        <v>0</v>
      </c>
      <c r="K427" s="167" t="str">
        <f>'030523 INVENTARIO'!M427</f>
        <v>ALTA</v>
      </c>
      <c r="L427" s="168">
        <f>'030523 INVENTARIO'!N427</f>
        <v>0</v>
      </c>
      <c r="M427" s="168">
        <f>'030523 INVENTARIO'!O427</f>
        <v>0</v>
      </c>
      <c r="N427" s="168" t="str">
        <f>'030523 INVENTARIO'!P427</f>
        <v>REPETIDO</v>
      </c>
      <c r="O427" s="168" t="str">
        <f>'030523 INVENTARIO'!Q427</f>
        <v>NANO STATION 2</v>
      </c>
      <c r="P427" s="167" t="str">
        <f>'030523 INVENTARIO'!R427</f>
        <v>SWX-NS2</v>
      </c>
      <c r="Q427" s="167" t="str">
        <f>'030523 INVENTARIO'!S427</f>
        <v>6545A-NS2</v>
      </c>
      <c r="R427" s="167" t="str">
        <f>'030523 INVENTARIO'!T427</f>
        <v>SIN RESGUARDO</v>
      </c>
    </row>
    <row r="428" spans="5:18">
      <c r="E428" s="167" t="str">
        <f>'030523 INVENTARIO'!E428</f>
        <v>ROUTER</v>
      </c>
      <c r="F428" s="167" t="str">
        <f>'030523 INVENTARIO'!F428</f>
        <v>ANTENA WIFI</v>
      </c>
      <c r="G428" s="167" t="str">
        <f ca="1">'030523 INVENTARIO'!G428</f>
        <v>P15RM-0427</v>
      </c>
      <c r="H428" s="167" t="str">
        <f>'030523 INVENTARIO'!J428</f>
        <v>P12SI-0428</v>
      </c>
      <c r="I428" s="167" t="str">
        <f>'030523 INVENTARIO'!K428</f>
        <v>P12SS-044</v>
      </c>
      <c r="J428" s="167">
        <f>'030523 INVENTARIO'!L428</f>
        <v>0</v>
      </c>
      <c r="K428" s="167" t="str">
        <f>'030523 INVENTARIO'!M428</f>
        <v>ALTA</v>
      </c>
      <c r="L428" s="168">
        <f>'030523 INVENTARIO'!N428</f>
        <v>0</v>
      </c>
      <c r="M428" s="168">
        <f>'030523 INVENTARIO'!O428</f>
        <v>0</v>
      </c>
      <c r="N428" s="168" t="str">
        <f>'030523 INVENTARIO'!P428</f>
        <v>REPETIDO</v>
      </c>
      <c r="O428" s="168" t="str">
        <f>'030523 INVENTARIO'!Q428</f>
        <v>UBIQUITI</v>
      </c>
      <c r="P428" s="167" t="str">
        <f>'030523 INVENTARIO'!R428</f>
        <v>UAP-AC-LR</v>
      </c>
      <c r="Q428" s="167" t="str">
        <f>'030523 INVENTARIO'!S428</f>
        <v>SWX-UAPACLR</v>
      </c>
      <c r="R428" s="167" t="str">
        <f>'030523 INVENTARIO'!T428</f>
        <v>SIN RESGUARDO</v>
      </c>
    </row>
    <row r="429" spans="5:18">
      <c r="E429" s="167" t="str">
        <f>'030523 INVENTARIO'!E429</f>
        <v>ROUTER</v>
      </c>
      <c r="F429" s="167" t="str">
        <f>'030523 INVENTARIO'!F429</f>
        <v>ANTENA WIFI</v>
      </c>
      <c r="G429" s="167" t="str">
        <f ca="1">'030523 INVENTARIO'!G429</f>
        <v>P12SI-0428</v>
      </c>
      <c r="H429" s="167" t="str">
        <f>'030523 INVENTARIO'!J429</f>
        <v>P12SI-0429</v>
      </c>
      <c r="I429" s="167" t="str">
        <f>'030523 INVENTARIO'!K429</f>
        <v>P12SS-045</v>
      </c>
      <c r="J429" s="167">
        <f>'030523 INVENTARIO'!L429</f>
        <v>0</v>
      </c>
      <c r="K429" s="167" t="str">
        <f>'030523 INVENTARIO'!M429</f>
        <v>ALTA</v>
      </c>
      <c r="L429" s="168">
        <f>'030523 INVENTARIO'!N429</f>
        <v>0</v>
      </c>
      <c r="M429" s="168">
        <f>'030523 INVENTARIO'!O429</f>
        <v>0</v>
      </c>
      <c r="N429" s="168" t="str">
        <f>'030523 INVENTARIO'!P429</f>
        <v>REPETIDO</v>
      </c>
      <c r="O429" s="168" t="str">
        <f>'030523 INVENTARIO'!Q429</f>
        <v>NANO STATION 2</v>
      </c>
      <c r="P429" s="167" t="str">
        <f>'030523 INVENTARIO'!R429</f>
        <v>SWX-NS2</v>
      </c>
      <c r="Q429" s="167" t="str">
        <f>'030523 INVENTARIO'!S429</f>
        <v>6544A-NS2</v>
      </c>
      <c r="R429" s="167" t="str">
        <f>'030523 INVENTARIO'!T429</f>
        <v>SIN RESGUARDO</v>
      </c>
    </row>
    <row r="430" spans="5:18">
      <c r="E430" s="167" t="str">
        <f>'030523 INVENTARIO'!E430</f>
        <v>CAMARA DE VIGILANCIA</v>
      </c>
      <c r="F430" s="167" t="str">
        <f>'030523 INVENTARIO'!F430</f>
        <v>CAMARA DE VIGILANCIA</v>
      </c>
      <c r="G430" s="167" t="str">
        <f ca="1">'030523 INVENTARIO'!G430</f>
        <v>P12SI-0429</v>
      </c>
      <c r="H430" s="167" t="str">
        <f>'030523 INVENTARIO'!J430</f>
        <v>P12SI-0430</v>
      </c>
      <c r="I430" s="167" t="str">
        <f>'030523 INVENTARIO'!K430</f>
        <v>P12SS-046</v>
      </c>
      <c r="J430" s="167">
        <f>'030523 INVENTARIO'!L430</f>
        <v>0</v>
      </c>
      <c r="K430" s="167" t="str">
        <f>'030523 INVENTARIO'!M430</f>
        <v>ALTA</v>
      </c>
      <c r="L430" s="168">
        <f>'030523 INVENTARIO'!N430</f>
        <v>0</v>
      </c>
      <c r="M430" s="168">
        <f>'030523 INVENTARIO'!O430</f>
        <v>0</v>
      </c>
      <c r="N430" s="168" t="str">
        <f>'030523 INVENTARIO'!P430</f>
        <v>REPETIDO</v>
      </c>
      <c r="O430" s="168" t="str">
        <f>'030523 INVENTARIO'!Q430</f>
        <v>STARCAM</v>
      </c>
      <c r="P430" s="167" t="str">
        <f>'030523 INVENTARIO'!R430</f>
        <v>H6837W1</v>
      </c>
      <c r="Q430" s="167">
        <f>'030523 INVENTARIO'!S430</f>
        <v>358720</v>
      </c>
      <c r="R430" s="167" t="str">
        <f>'030523 INVENTARIO'!T430</f>
        <v>SIN RESGUARDO</v>
      </c>
    </row>
    <row r="431" spans="5:18">
      <c r="E431" s="167" t="str">
        <f>'030523 INVENTARIO'!E431</f>
        <v>ROUTER</v>
      </c>
      <c r="F431" s="167" t="str">
        <f>'030523 INVENTARIO'!F431</f>
        <v>ROUTER</v>
      </c>
      <c r="G431" s="167" t="str">
        <f ca="1">'030523 INVENTARIO'!G431</f>
        <v>P12SI-0430</v>
      </c>
      <c r="H431" s="167">
        <f>'030523 INVENTARIO'!J431</f>
        <v>0</v>
      </c>
      <c r="I431" s="167">
        <f>'030523 INVENTARIO'!K431</f>
        <v>0</v>
      </c>
      <c r="J431" s="167">
        <f>'030523 INVENTARIO'!L431</f>
        <v>0</v>
      </c>
      <c r="K431" s="167" t="str">
        <f>'030523 INVENTARIO'!M431</f>
        <v>ALTA</v>
      </c>
      <c r="L431" s="168">
        <f>'030523 INVENTARIO'!N431</f>
        <v>0</v>
      </c>
      <c r="M431" s="168">
        <f>'030523 INVENTARIO'!O431</f>
        <v>0</v>
      </c>
      <c r="N431" s="168">
        <f>'030523 INVENTARIO'!P431</f>
        <v>0</v>
      </c>
      <c r="O431" s="168" t="str">
        <f>'030523 INVENTARIO'!Q431</f>
        <v>DRAYTEK</v>
      </c>
      <c r="P431" s="167" t="str">
        <f>'030523 INVENTARIO'!R431</f>
        <v>VIGOR2910V</v>
      </c>
      <c r="Q431" s="167">
        <f>'030523 INVENTARIO'!S431</f>
        <v>104001694168</v>
      </c>
      <c r="R431" s="167" t="str">
        <f>'030523 INVENTARIO'!T431</f>
        <v>82DH0515010022000651131</v>
      </c>
    </row>
    <row r="432" spans="5:18">
      <c r="E432" s="167" t="str">
        <f>'030523 INVENTARIO'!E432</f>
        <v>TELEFONO</v>
      </c>
      <c r="F432" s="167" t="str">
        <f>'030523 INVENTARIO'!F432</f>
        <v>TELEFONO GRIS</v>
      </c>
      <c r="G432" s="167" t="str">
        <f ca="1">'030523 INVENTARIO'!G432</f>
        <v>P12PL-0431</v>
      </c>
      <c r="H432" s="167" t="str">
        <f>'030523 INVENTARIO'!J432</f>
        <v>P12PL-0431</v>
      </c>
      <c r="I432" s="167" t="str">
        <f>'030523 INVENTARIO'!K432</f>
        <v>P12PL-001</v>
      </c>
      <c r="J432" s="167" t="str">
        <f>'030523 INVENTARIO'!L432</f>
        <v>P1DP-13</v>
      </c>
      <c r="K432" s="167" t="str">
        <f>'030523 INVENTARIO'!M432</f>
        <v>ALTA</v>
      </c>
      <c r="L432" s="168">
        <f>'030523 INVENTARIO'!N432</f>
        <v>0</v>
      </c>
      <c r="M432" s="168">
        <f>'030523 INVENTARIO'!O432</f>
        <v>0</v>
      </c>
      <c r="N432" s="168" t="str">
        <f>'030523 INVENTARIO'!P432</f>
        <v>REPETIDO</v>
      </c>
      <c r="O432" s="168" t="str">
        <f>'030523 INVENTARIO'!Q432</f>
        <v>CISCO</v>
      </c>
      <c r="P432" s="167" t="str">
        <f>'030523 INVENTARIO'!R432</f>
        <v>SPA504G</v>
      </c>
      <c r="Q432" s="168" t="str">
        <f>'030523 INVENTARIO'!S432</f>
        <v>CCQ17280CMP</v>
      </c>
      <c r="R432" s="168" t="str">
        <f>'030523 INVENTARIO'!T432</f>
        <v>82DJ0565010001000649698</v>
      </c>
    </row>
    <row r="433" spans="5:18">
      <c r="E433" s="167" t="str">
        <f>'030523 INVENTARIO'!E433</f>
        <v>REGULADOR DE VOLTAJE</v>
      </c>
      <c r="F433" s="168" t="str">
        <f>'030523 INVENTARIO'!F433</f>
        <v>REGULADOR</v>
      </c>
      <c r="G433" s="167" t="str">
        <f ca="1">'030523 INVENTARIO'!G433</f>
        <v>P12PL-0432</v>
      </c>
      <c r="H433" s="167" t="str">
        <f>'030523 INVENTARIO'!J433</f>
        <v>P12PL-0432</v>
      </c>
      <c r="I433" s="167" t="str">
        <f>'030523 INVENTARIO'!K433</f>
        <v>P12PL-002</v>
      </c>
      <c r="J433" s="167" t="str">
        <f>'030523 INVENTARIO'!L433</f>
        <v>P1DP-17</v>
      </c>
      <c r="K433" s="167" t="str">
        <f>'030523 INVENTARIO'!M433</f>
        <v>5660100057-10</v>
      </c>
      <c r="L433" s="168">
        <f>'030523 INVENTARIO'!N433</f>
        <v>0</v>
      </c>
      <c r="M433" s="168">
        <f>'030523 INVENTARIO'!O433</f>
        <v>0</v>
      </c>
      <c r="N433" s="168" t="str">
        <f>'030523 INVENTARIO'!P433</f>
        <v>OK</v>
      </c>
      <c r="O433" s="168" t="str">
        <f>'030523 INVENTARIO'!Q433</f>
        <v>KOBLENZ</v>
      </c>
      <c r="P433" s="167" t="str">
        <f>'030523 INVENTARIO'!R433</f>
        <v>RS/1400I</v>
      </c>
      <c r="Q433" s="168" t="str">
        <f>'030523 INVENTARIO'!S433</f>
        <v>161143648</v>
      </c>
      <c r="R433" s="168" t="str">
        <f>'030523 INVENTARIO'!T433</f>
        <v>82DJ0515010020000650647</v>
      </c>
    </row>
    <row r="434" spans="5:18">
      <c r="E434" s="167" t="str">
        <f>'030523 INVENTARIO'!E434</f>
        <v>ESCRITORIO</v>
      </c>
      <c r="F434" s="167" t="str">
        <f>'030523 INVENTARIO'!F434</f>
        <v>ESCRITORIO  DE MADERA DE 2 PIEZAS TIPO L</v>
      </c>
      <c r="G434" s="167" t="str">
        <f ca="1">'030523 INVENTARIO'!G434</f>
        <v>P12PL-0433</v>
      </c>
      <c r="H434" s="167" t="str">
        <f>'030523 INVENTARIO'!J434</f>
        <v>P12PL-0433</v>
      </c>
      <c r="I434" s="167" t="str">
        <f>'030523 INVENTARIO'!K434</f>
        <v>P12PL-003</v>
      </c>
      <c r="J434" s="167" t="str">
        <f>'030523 INVENTARIO'!L434</f>
        <v>P1DP-11</v>
      </c>
      <c r="K434" s="167" t="str">
        <f>'030523 INVENTARIO'!M434</f>
        <v>5110100015-34</v>
      </c>
      <c r="L434" s="168">
        <f>'030523 INVENTARIO'!N434</f>
        <v>0</v>
      </c>
      <c r="M434" s="168">
        <f>'030523 INVENTARIO'!O434</f>
        <v>0</v>
      </c>
      <c r="N434" s="168" t="str">
        <f>'030523 INVENTARIO'!P434</f>
        <v>OK</v>
      </c>
      <c r="O434" s="168" t="str">
        <f>'030523 INVENTARIO'!Q434</f>
        <v>S/M</v>
      </c>
      <c r="P434" s="167" t="str">
        <f>'030523 INVENTARIO'!R434</f>
        <v>S/M</v>
      </c>
      <c r="Q434" s="168" t="str">
        <f>'030523 INVENTARIO'!S434</f>
        <v>SIN SERIE</v>
      </c>
      <c r="R434" s="168" t="str">
        <f>'030523 INVENTARIO'!T434</f>
        <v>82DJ0511010006000518509</v>
      </c>
    </row>
    <row r="435" spans="5:18">
      <c r="E435" s="167" t="str">
        <f>'030523 INVENTARIO'!E435</f>
        <v>SILLON</v>
      </c>
      <c r="F435" s="167" t="str">
        <f>'030523 INVENTARIO'!F435</f>
        <v>SILLÓN NEGRO CON RUEDAS</v>
      </c>
      <c r="G435" s="167" t="str">
        <f ca="1">'030523 INVENTARIO'!G435</f>
        <v>P12PL-0434</v>
      </c>
      <c r="H435" s="167" t="str">
        <f>'030523 INVENTARIO'!J435</f>
        <v>P12PL-0434</v>
      </c>
      <c r="I435" s="167" t="str">
        <f>'030523 INVENTARIO'!K435</f>
        <v>P12PL-004</v>
      </c>
      <c r="J435" s="167" t="str">
        <f>'030523 INVENTARIO'!L435</f>
        <v>P1DP-12</v>
      </c>
      <c r="K435" s="167" t="str">
        <f>'030523 INVENTARIO'!M435</f>
        <v>5120100009-30</v>
      </c>
      <c r="L435" s="168">
        <f>'030523 INVENTARIO'!N435</f>
        <v>0</v>
      </c>
      <c r="M435" s="168">
        <f>'030523 INVENTARIO'!O435</f>
        <v>0</v>
      </c>
      <c r="N435" s="168" t="str">
        <f>'030523 INVENTARIO'!P435</f>
        <v>OK</v>
      </c>
      <c r="O435" s="168" t="str">
        <f>'030523 INVENTARIO'!Q435</f>
        <v>S/M</v>
      </c>
      <c r="P435" s="167" t="str">
        <f>'030523 INVENTARIO'!R435</f>
        <v>S/M</v>
      </c>
      <c r="Q435" s="168" t="str">
        <f>'030523 INVENTARIO'!S435</f>
        <v>SIN SERIE</v>
      </c>
      <c r="R435" s="168" t="str">
        <f>'030523 INVENTARIO'!T435</f>
        <v>82DJ0511010016000649697</v>
      </c>
    </row>
    <row r="436" spans="5:18">
      <c r="E436" s="167" t="str">
        <f>'030523 INVENTARIO'!E436</f>
        <v>SILLA</v>
      </c>
      <c r="F436" s="167" t="str">
        <f>'030523 INVENTARIO'!F436</f>
        <v>SILLA NEGRA DE TELA FIJA</v>
      </c>
      <c r="G436" s="167" t="str">
        <f ca="1">'030523 INVENTARIO'!G436</f>
        <v>P12PL-0435</v>
      </c>
      <c r="H436" s="167" t="str">
        <f>'030523 INVENTARIO'!J436</f>
        <v>P12PL-0435</v>
      </c>
      <c r="I436" s="167" t="str">
        <f>'030523 INVENTARIO'!K436</f>
        <v>P12PL-005</v>
      </c>
      <c r="J436" s="167">
        <f>'030523 INVENTARIO'!L436</f>
        <v>0</v>
      </c>
      <c r="K436" s="167" t="str">
        <f>'030523 INVENTARIO'!M436</f>
        <v>5110100011-41</v>
      </c>
      <c r="L436" s="168">
        <f>'030523 INVENTARIO'!N436</f>
        <v>0</v>
      </c>
      <c r="M436" s="168">
        <f>'030523 INVENTARIO'!O436</f>
        <v>0</v>
      </c>
      <c r="N436" s="168" t="str">
        <f>'030523 INVENTARIO'!P436</f>
        <v>OK</v>
      </c>
      <c r="O436" s="168" t="str">
        <f>'030523 INVENTARIO'!Q436</f>
        <v>S/M</v>
      </c>
      <c r="P436" s="167" t="str">
        <f>'030523 INVENTARIO'!R436</f>
        <v>S/M</v>
      </c>
      <c r="Q436" s="167" t="str">
        <f>'030523 INVENTARIO'!S436</f>
        <v>SIN SERIE</v>
      </c>
      <c r="R436" s="167" t="str">
        <f>'030523 INVENTARIO'!T436</f>
        <v>82DJ0511010017000649555</v>
      </c>
    </row>
    <row r="437" spans="5:18">
      <c r="E437" s="167" t="str">
        <f>'030523 INVENTARIO'!E437</f>
        <v>SILLA</v>
      </c>
      <c r="F437" s="167" t="str">
        <f>'030523 INVENTARIO'!F437</f>
        <v>SILLA NEGRA DE TELA FIJA</v>
      </c>
      <c r="G437" s="167" t="str">
        <f ca="1">'030523 INVENTARIO'!G437</f>
        <v>P12PL-0436</v>
      </c>
      <c r="H437" s="167" t="str">
        <f>'030523 INVENTARIO'!J437</f>
        <v>P12PL-0436</v>
      </c>
      <c r="I437" s="167" t="str">
        <f>'030523 INVENTARIO'!K437</f>
        <v>P12PL-006</v>
      </c>
      <c r="J437" s="167" t="str">
        <f>'030523 INVENTARIO'!L437</f>
        <v>P1DP-9</v>
      </c>
      <c r="K437" s="167" t="str">
        <f>'030523 INVENTARIO'!M437</f>
        <v>5110100011-44</v>
      </c>
      <c r="L437" s="168">
        <f>'030523 INVENTARIO'!N437</f>
        <v>0</v>
      </c>
      <c r="M437" s="168">
        <f>'030523 INVENTARIO'!O437</f>
        <v>0</v>
      </c>
      <c r="N437" s="168" t="str">
        <f>'030523 INVENTARIO'!P437</f>
        <v>OK</v>
      </c>
      <c r="O437" s="168" t="str">
        <f>'030523 INVENTARIO'!Q437</f>
        <v>S/M</v>
      </c>
      <c r="P437" s="167" t="str">
        <f>'030523 INVENTARIO'!R437</f>
        <v>S/M</v>
      </c>
      <c r="Q437" s="168" t="str">
        <f>'030523 INVENTARIO'!S437</f>
        <v>SIN SERIE</v>
      </c>
      <c r="R437" s="168" t="str">
        <f>'030523 INVENTARIO'!T437</f>
        <v>82DJ0511010017000649696</v>
      </c>
    </row>
    <row r="438" spans="5:18">
      <c r="E438" s="167" t="str">
        <f>'030523 INVENTARIO'!E438</f>
        <v>ESTANTE O ANAQUEL</v>
      </c>
      <c r="F438" s="167" t="str">
        <f>'030523 INVENTARIO'!F438</f>
        <v>ANAQUEL DE MADERA CON METAL DE 2 PUERTAS 184.5X80X41</v>
      </c>
      <c r="G438" s="167" t="str">
        <f ca="1">'030523 INVENTARIO'!G438</f>
        <v>P12PL-0437</v>
      </c>
      <c r="H438" s="167" t="str">
        <f>'030523 INVENTARIO'!J438</f>
        <v>P12PL-0437</v>
      </c>
      <c r="I438" s="167" t="str">
        <f>'030523 INVENTARIO'!K438</f>
        <v>P12PL-007</v>
      </c>
      <c r="J438" s="167" t="str">
        <f>'030523 INVENTARIO'!L438</f>
        <v>P1DP-8</v>
      </c>
      <c r="K438" s="167" t="str">
        <f>'030523 INVENTARIO'!M438</f>
        <v>5290300001-7</v>
      </c>
      <c r="L438" s="168">
        <f>'030523 INVENTARIO'!N438</f>
        <v>0</v>
      </c>
      <c r="M438" s="168">
        <f>'030523 INVENTARIO'!O438</f>
        <v>0</v>
      </c>
      <c r="N438" s="168" t="str">
        <f>'030523 INVENTARIO'!P438</f>
        <v>OK</v>
      </c>
      <c r="O438" s="168" t="str">
        <f>'030523 INVENTARIO'!Q438</f>
        <v>S/M</v>
      </c>
      <c r="P438" s="167" t="str">
        <f>'030523 INVENTARIO'!R438</f>
        <v>S/M</v>
      </c>
      <c r="Q438" s="168" t="str">
        <f>'030523 INVENTARIO'!S438</f>
        <v>SIN SERIE</v>
      </c>
      <c r="R438" s="168" t="str">
        <f>'030523 INVENTARIO'!T438</f>
        <v>82DJ0511010020000649694</v>
      </c>
    </row>
    <row r="439" spans="5:18">
      <c r="E439" s="167" t="str">
        <f>'030523 INVENTARIO'!E439</f>
        <v>ARCHIVERO</v>
      </c>
      <c r="F439" s="167" t="str">
        <f>'030523 INVENTARIO'!F439</f>
        <v>ARCHIVERO DE MADERA CON 4 CAJONES 127X49X57</v>
      </c>
      <c r="G439" s="167" t="str">
        <f ca="1">'030523 INVENTARIO'!G439</f>
        <v>P12PL-0438</v>
      </c>
      <c r="H439" s="167" t="str">
        <f>'030523 INVENTARIO'!J439</f>
        <v>P12PL-0438</v>
      </c>
      <c r="I439" s="167" t="str">
        <f>'030523 INVENTARIO'!K439</f>
        <v>P12PL-008</v>
      </c>
      <c r="J439" s="167" t="str">
        <f>'030523 INVENTARIO'!L439</f>
        <v>P1DP-7</v>
      </c>
      <c r="K439" s="168" t="str">
        <f>'030523 INVENTARIO'!M439</f>
        <v>5130100013-17</v>
      </c>
      <c r="L439" s="168">
        <f>'030523 INVENTARIO'!N439</f>
        <v>0</v>
      </c>
      <c r="M439" s="168">
        <f>'030523 INVENTARIO'!O439</f>
        <v>0</v>
      </c>
      <c r="N439" s="168" t="str">
        <f>'030523 INVENTARIO'!P439</f>
        <v>OK</v>
      </c>
      <c r="O439" s="168" t="str">
        <f>'030523 INVENTARIO'!Q439</f>
        <v>S/M</v>
      </c>
      <c r="P439" s="167" t="str">
        <f>'030523 INVENTARIO'!R439</f>
        <v>S/M</v>
      </c>
      <c r="Q439" s="168" t="str">
        <f>'030523 INVENTARIO'!S439</f>
        <v>SIN SERIE</v>
      </c>
      <c r="R439" s="168" t="str">
        <f>'030523 INVENTARIO'!T439</f>
        <v>82DJ0511010001000649693</v>
      </c>
    </row>
    <row r="440" spans="5:18">
      <c r="E440" s="167" t="str">
        <f>'030523 INVENTARIO'!E440</f>
        <v>VENTILADOR</v>
      </c>
      <c r="F440" s="167" t="str">
        <f>'030523 INVENTARIO'!F440</f>
        <v>VENTILADOR GRIS</v>
      </c>
      <c r="G440" s="167" t="str">
        <f ca="1">'030523 INVENTARIO'!G440</f>
        <v>P05RM-0439</v>
      </c>
      <c r="H440" s="167" t="str">
        <f>'030523 INVENTARIO'!J440</f>
        <v>P12PL-0439</v>
      </c>
      <c r="I440" s="167" t="str">
        <f>'030523 INVENTARIO'!K440</f>
        <v>P12PL-009</v>
      </c>
      <c r="J440" s="167" t="str">
        <f>'030523 INVENTARIO'!L440</f>
        <v>P1DP-16</v>
      </c>
      <c r="K440" s="167" t="str">
        <f>'030523 INVENTARIO'!M440</f>
        <v>5190200002-22</v>
      </c>
      <c r="L440" s="168">
        <f>'030523 INVENTARIO'!N440</f>
        <v>0</v>
      </c>
      <c r="M440" s="168">
        <f>'030523 INVENTARIO'!O440</f>
        <v>0</v>
      </c>
      <c r="N440" s="168" t="str">
        <f>'030523 INVENTARIO'!P440</f>
        <v>OK</v>
      </c>
      <c r="O440" s="168" t="str">
        <f>'030523 INVENTARIO'!Q440</f>
        <v>NAVIA</v>
      </c>
      <c r="P440" s="167" t="str">
        <f>'030523 INVENTARIO'!R440</f>
        <v>VPN/018</v>
      </c>
      <c r="Q440" s="168" t="str">
        <f>'030523 INVENTARIO'!S440</f>
        <v>SIN SERIE</v>
      </c>
      <c r="R440" s="168" t="str">
        <f>'030523 INVENTARIO'!T440</f>
        <v>.</v>
      </c>
    </row>
    <row r="441" spans="5:18">
      <c r="E441" s="167" t="str">
        <f>'030523 INVENTARIO'!E441</f>
        <v>SILLA</v>
      </c>
      <c r="F441" s="167" t="str">
        <f>'030523 INVENTARIO'!F441</f>
        <v>SILLA CAFÉ CON METAL TAPIZADA EN VINIPIEL</v>
      </c>
      <c r="G441" s="167" t="str">
        <f ca="1">'030523 INVENTARIO'!G441</f>
        <v>P12PL-0440</v>
      </c>
      <c r="H441" s="167" t="str">
        <f>'030523 INVENTARIO'!J441</f>
        <v>P12PL-0440</v>
      </c>
      <c r="I441" s="167" t="str">
        <f>'030523 INVENTARIO'!K441</f>
        <v>P12PL-010</v>
      </c>
      <c r="J441" s="167" t="str">
        <f>'030523 INVENTARIO'!L441</f>
        <v>P1DP-18</v>
      </c>
      <c r="K441" s="168" t="str">
        <f>'030523 INVENTARIO'!M441</f>
        <v>5110100011-110</v>
      </c>
      <c r="L441" s="168">
        <f>'030523 INVENTARIO'!N441</f>
        <v>0</v>
      </c>
      <c r="M441" s="168">
        <f>'030523 INVENTARIO'!O441</f>
        <v>0</v>
      </c>
      <c r="N441" s="168" t="str">
        <f>'030523 INVENTARIO'!P441</f>
        <v>OK</v>
      </c>
      <c r="O441" s="168" t="str">
        <f>'030523 INVENTARIO'!Q441</f>
        <v>S/M</v>
      </c>
      <c r="P441" s="167" t="str">
        <f>'030523 INVENTARIO'!R441</f>
        <v>S/M</v>
      </c>
      <c r="Q441" s="168" t="str">
        <f>'030523 INVENTARIO'!S441</f>
        <v>SIN SERIE</v>
      </c>
      <c r="R441" s="168" t="str">
        <f>'030523 INVENTARIO'!T441</f>
        <v>82DJ0511010017000516236</v>
      </c>
    </row>
    <row r="442" spans="5:18">
      <c r="E442" s="167" t="str">
        <f>'030523 INVENTARIO'!E442</f>
        <v>COMPUTADORA DE ESCRITORIO</v>
      </c>
      <c r="F442" s="167" t="str">
        <f>'030523 INVENTARIO'!F442</f>
        <v>COMPUTADORA DE ESCRITORIO</v>
      </c>
      <c r="G442" s="167" t="str">
        <f ca="1">'030523 INVENTARIO'!G442</f>
        <v>P12PL-0441</v>
      </c>
      <c r="H442" s="167" t="str">
        <f>'030523 INVENTARIO'!J442</f>
        <v>P12PL-0441</v>
      </c>
      <c r="I442" s="167" t="str">
        <f>'030523 INVENTARIO'!K442</f>
        <v>P12PL-011</v>
      </c>
      <c r="J442" s="167" t="str">
        <f>'030523 INVENTARIO'!L442</f>
        <v>P1DP-15</v>
      </c>
      <c r="K442" s="167" t="str">
        <f>'030523 INVENTARIO'!M442</f>
        <v>5150100005-27</v>
      </c>
      <c r="L442" s="168">
        <f>'030523 INVENTARIO'!N442</f>
        <v>0</v>
      </c>
      <c r="M442" s="168">
        <f>'030523 INVENTARIO'!O442</f>
        <v>0</v>
      </c>
      <c r="N442" s="168" t="str">
        <f>'030523 INVENTARIO'!P442</f>
        <v>OK</v>
      </c>
      <c r="O442" s="168" t="str">
        <f>'030523 INVENTARIO'!Q442</f>
        <v>GHIA</v>
      </c>
      <c r="P442" s="167">
        <f>'030523 INVENTARIO'!R442</f>
        <v>2378</v>
      </c>
      <c r="Q442" s="168" t="str">
        <f>'030523 INVENTARIO'!S442</f>
        <v>337864</v>
      </c>
      <c r="R442" s="167" t="str">
        <f>'030523 INVENTARIO'!T442</f>
        <v>82DJ0515010001000650659</v>
      </c>
    </row>
    <row r="443" spans="5:18">
      <c r="E443" s="167" t="str">
        <f>'030523 INVENTARIO'!E443</f>
        <v>MONITOR</v>
      </c>
      <c r="F443" s="167" t="str">
        <f>'030523 INVENTARIO'!F443</f>
        <v>MONITOR 19"</v>
      </c>
      <c r="G443" s="167" t="str">
        <f ca="1">'030523 INVENTARIO'!G443</f>
        <v>P12PL-0442</v>
      </c>
      <c r="H443" s="167" t="str">
        <f>'030523 INVENTARIO'!J443</f>
        <v>P12PL-0442</v>
      </c>
      <c r="I443" s="167" t="str">
        <f>'030523 INVENTARIO'!K443</f>
        <v>P12PL-012</v>
      </c>
      <c r="J443" s="167" t="str">
        <f>'030523 INVENTARIO'!L443</f>
        <v>P1DP-14</v>
      </c>
      <c r="K443" s="167" t="str">
        <f>'030523 INVENTARIO'!M443</f>
        <v>5210100012-18</v>
      </c>
      <c r="L443" s="168">
        <f>'030523 INVENTARIO'!N443</f>
        <v>0</v>
      </c>
      <c r="M443" s="168">
        <f>'030523 INVENTARIO'!O443</f>
        <v>0</v>
      </c>
      <c r="N443" s="168" t="str">
        <f>'030523 INVENTARIO'!P443</f>
        <v>OK</v>
      </c>
      <c r="O443" s="168" t="str">
        <f>'030523 INVENTARIO'!Q443</f>
        <v>GHIA</v>
      </c>
      <c r="P443" s="167" t="str">
        <f>'030523 INVENTARIO'!R443</f>
        <v>MG2017</v>
      </c>
      <c r="Q443" s="168" t="str">
        <f>'030523 INVENTARIO'!S443</f>
        <v>CMG2017180136800493</v>
      </c>
      <c r="R443" s="167" t="str">
        <f>'030523 INVENTARIO'!T443</f>
        <v>82DJ0515010013000650649</v>
      </c>
    </row>
    <row r="444" spans="5:18">
      <c r="E444" s="167" t="str">
        <f>'030523 INVENTARIO'!E444</f>
        <v>ESCRITORIO</v>
      </c>
      <c r="F444" s="167" t="str">
        <f>'030523 INVENTARIO'!F444</f>
        <v>ESCRITORIO DE MADERA CAOBA BASE DE METAL GRIS 121X76</v>
      </c>
      <c r="G444" s="167" t="str">
        <f ca="1">'030523 INVENTARIO'!G444</f>
        <v>P12SI-0443</v>
      </c>
      <c r="H444" s="167" t="str">
        <f>'030523 INVENTARIO'!J444</f>
        <v>P12PL-0443</v>
      </c>
      <c r="I444" s="167" t="str">
        <f>'030523 INVENTARIO'!K444</f>
        <v>P12PL-013</v>
      </c>
      <c r="J444" s="167" t="str">
        <f>'030523 INVENTARIO'!L444</f>
        <v>P0CV-21</v>
      </c>
      <c r="K444" s="167" t="str">
        <f>'030523 INVENTARIO'!M444</f>
        <v>5110100015-54</v>
      </c>
      <c r="L444" s="168">
        <f>'030523 INVENTARIO'!N444</f>
        <v>0</v>
      </c>
      <c r="M444" s="168">
        <f>'030523 INVENTARIO'!O444</f>
        <v>0</v>
      </c>
      <c r="N444" s="168" t="str">
        <f>'030523 INVENTARIO'!P444</f>
        <v>OK</v>
      </c>
      <c r="O444" s="168" t="str">
        <f>'030523 INVENTARIO'!Q444</f>
        <v>S/M</v>
      </c>
      <c r="P444" s="167" t="str">
        <f>'030523 INVENTARIO'!R444</f>
        <v>S/M</v>
      </c>
      <c r="Q444" s="168" t="str">
        <f>'030523 INVENTARIO'!S444</f>
        <v>SIN SERIE</v>
      </c>
      <c r="R444" s="168" t="str">
        <f>'030523 INVENTARIO'!T444</f>
        <v>82DJ0511010006000649494</v>
      </c>
    </row>
    <row r="445" spans="5:18">
      <c r="E445" s="167" t="str">
        <f>'030523 INVENTARIO'!E445</f>
        <v>SILLA</v>
      </c>
      <c r="F445" s="167" t="str">
        <f>'030523 INVENTARIO'!F445</f>
        <v>SILLA AZUL DE TELA FIJA TUBULAR REDONDO NEGRO</v>
      </c>
      <c r="G445" s="167" t="str">
        <f ca="1">'030523 INVENTARIO'!G445</f>
        <v>P12PL-0444</v>
      </c>
      <c r="H445" s="167" t="str">
        <f>'030523 INVENTARIO'!J445</f>
        <v>P12PL-0444</v>
      </c>
      <c r="I445" s="167" t="str">
        <f>'030523 INVENTARIO'!K445</f>
        <v>P12PL-014</v>
      </c>
      <c r="J445" s="167">
        <f>'030523 INVENTARIO'!L445</f>
        <v>0</v>
      </c>
      <c r="K445" s="167" t="str">
        <f>'030523 INVENTARIO'!M445</f>
        <v>ALTA</v>
      </c>
      <c r="L445" s="168">
        <f>'030523 INVENTARIO'!N445</f>
        <v>0</v>
      </c>
      <c r="M445" s="168">
        <f>'030523 INVENTARIO'!O445</f>
        <v>0</v>
      </c>
      <c r="N445" s="168" t="str">
        <f>'030523 INVENTARIO'!P445</f>
        <v>REPETIDO</v>
      </c>
      <c r="O445" s="168" t="str">
        <f>'030523 INVENTARIO'!Q445</f>
        <v>S/M</v>
      </c>
      <c r="P445" s="167" t="str">
        <f>'030523 INVENTARIO'!R445</f>
        <v>S/M</v>
      </c>
      <c r="Q445" s="167" t="str">
        <f>'030523 INVENTARIO'!S445</f>
        <v>SIN SERIE</v>
      </c>
      <c r="R445" s="167" t="str">
        <f>'030523 INVENTARIO'!T445</f>
        <v>SIN RESGUARDO</v>
      </c>
    </row>
    <row r="446" spans="5:18">
      <c r="E446" s="167" t="str">
        <f>'030523 INVENTARIO'!E446</f>
        <v>REGULADOR DE VOLTAJE</v>
      </c>
      <c r="F446" s="167" t="str">
        <f>'030523 INVENTARIO'!F446</f>
        <v>REGULADOR</v>
      </c>
      <c r="G446" s="167" t="str">
        <f ca="1">'030523 INVENTARIO'!G446</f>
        <v>P15RM-0445</v>
      </c>
      <c r="H446" s="167" t="str">
        <f>'030523 INVENTARIO'!J446</f>
        <v>P12PL-0445</v>
      </c>
      <c r="I446" s="167" t="str">
        <f>'030523 INVENTARIO'!K446</f>
        <v>P12PL-015</v>
      </c>
      <c r="J446" s="167" t="str">
        <f>'030523 INVENTARIO'!L446</f>
        <v>POAR-44</v>
      </c>
      <c r="K446" s="167" t="str">
        <f>'030523 INVENTARIO'!M446</f>
        <v>5660100057-24</v>
      </c>
      <c r="L446" s="168">
        <f>'030523 INVENTARIO'!N446</f>
        <v>0</v>
      </c>
      <c r="M446" s="168">
        <f>'030523 INVENTARIO'!O446</f>
        <v>0</v>
      </c>
      <c r="N446" s="168" t="str">
        <f>'030523 INVENTARIO'!P446</f>
        <v>OK</v>
      </c>
      <c r="O446" s="168" t="str">
        <f>'030523 INVENTARIO'!Q446</f>
        <v>KOBLENZ</v>
      </c>
      <c r="P446" s="167" t="str">
        <f>'030523 INVENTARIO'!R446</f>
        <v>RS/1400I</v>
      </c>
      <c r="Q446" s="167">
        <f>'030523 INVENTARIO'!S446</f>
        <v>161039232</v>
      </c>
      <c r="R446" s="167" t="str">
        <f>'030523 INVENTARIO'!T446</f>
        <v>82DJ0515010020000650896</v>
      </c>
    </row>
    <row r="447" spans="5:18">
      <c r="E447" s="167" t="str">
        <f>'030523 INVENTARIO'!E447</f>
        <v>MESA</v>
      </c>
      <c r="F447" s="167" t="str">
        <f>'030523 INVENTARIO'!F447</f>
        <v>MESA COMPLEMENTO TIPO BALA 160X60</v>
      </c>
      <c r="G447" s="167" t="str">
        <f ca="1">'030523 INVENTARIO'!G447</f>
        <v>P12PL-0446</v>
      </c>
      <c r="H447" s="167" t="str">
        <f>'030523 INVENTARIO'!J447</f>
        <v>P12PL-0446</v>
      </c>
      <c r="I447" s="167" t="str">
        <f>'030523 INVENTARIO'!K447</f>
        <v>P12PL-016</v>
      </c>
      <c r="J447" s="167" t="str">
        <f>'030523 INVENTARIO'!L447</f>
        <v>P1DP-6</v>
      </c>
      <c r="K447" s="167" t="str">
        <f>'030523 INVENTARIO'!M447</f>
        <v>5120100007-45</v>
      </c>
      <c r="L447" s="168">
        <f>'030523 INVENTARIO'!N447</f>
        <v>0</v>
      </c>
      <c r="M447" s="168">
        <f>'030523 INVENTARIO'!O447</f>
        <v>0</v>
      </c>
      <c r="N447" s="168" t="str">
        <f>'030523 INVENTARIO'!P447</f>
        <v>OK</v>
      </c>
      <c r="O447" s="168" t="str">
        <f>'030523 INVENTARIO'!Q447</f>
        <v>S/M</v>
      </c>
      <c r="P447" s="167" t="str">
        <f>'030523 INVENTARIO'!R447</f>
        <v>S/M</v>
      </c>
      <c r="Q447" s="168" t="str">
        <f>'030523 INVENTARIO'!S447</f>
        <v>SIN SERIE</v>
      </c>
      <c r="R447" s="168" t="str">
        <f>'030523 INVENTARIO'!T447</f>
        <v>82DJ0531010065000564790</v>
      </c>
    </row>
    <row r="448" spans="5:18">
      <c r="E448" s="167" t="str">
        <f>'030523 INVENTARIO'!E448</f>
        <v>ESCRITORIO</v>
      </c>
      <c r="F448" s="168" t="str">
        <f>'030523 INVENTARIO'!F448</f>
        <v>ESCRITORIO DE MADERA</v>
      </c>
      <c r="G448" s="167" t="str">
        <f ca="1">'030523 INVENTARIO'!G448</f>
        <v>P12PL-0447</v>
      </c>
      <c r="H448" s="167" t="str">
        <f>'030523 INVENTARIO'!J448</f>
        <v>P12PL-0447</v>
      </c>
      <c r="I448" s="167" t="str">
        <f>'030523 INVENTARIO'!K448</f>
        <v>P12PL-017</v>
      </c>
      <c r="J448" s="167" t="str">
        <f>'030523 INVENTARIO'!L448</f>
        <v>P1DP-1</v>
      </c>
      <c r="K448" s="167" t="str">
        <f>'030523 INVENTARIO'!M448</f>
        <v>5110100015-22</v>
      </c>
      <c r="L448" s="168">
        <f>'030523 INVENTARIO'!N448</f>
        <v>0</v>
      </c>
      <c r="M448" s="168">
        <f>'030523 INVENTARIO'!O448</f>
        <v>0</v>
      </c>
      <c r="N448" s="168" t="str">
        <f>'030523 INVENTARIO'!P448</f>
        <v>OK</v>
      </c>
      <c r="O448" s="168" t="str">
        <f>'030523 INVENTARIO'!Q448</f>
        <v>S/M</v>
      </c>
      <c r="P448" s="167" t="str">
        <f>'030523 INVENTARIO'!R448</f>
        <v>S/M</v>
      </c>
      <c r="Q448" s="168" t="str">
        <f>'030523 INVENTARIO'!S448</f>
        <v>SIN SERIE</v>
      </c>
      <c r="R448" s="168" t="str">
        <f>'030523 INVENTARIO'!T448</f>
        <v>82DJ0511010006000649700</v>
      </c>
    </row>
    <row r="449" spans="5:18">
      <c r="E449" s="167" t="str">
        <f>'030523 INVENTARIO'!E449</f>
        <v>COMPUTADORA DE ESCRITORIO</v>
      </c>
      <c r="F449" s="167" t="str">
        <f>'030523 INVENTARIO'!F449</f>
        <v>COMPUTADORA DE ESCRITORIO</v>
      </c>
      <c r="G449" s="167" t="str">
        <f ca="1">'030523 INVENTARIO'!G449</f>
        <v>P05RM-0448</v>
      </c>
      <c r="H449" s="167" t="str">
        <f>'030523 INVENTARIO'!J449</f>
        <v>P12PL-0448</v>
      </c>
      <c r="I449" s="167" t="str">
        <f>'030523 INVENTARIO'!K449</f>
        <v>P12PL-018</v>
      </c>
      <c r="J449" s="167" t="str">
        <f>'030523 INVENTARIO'!L449</f>
        <v>P1DP-3</v>
      </c>
      <c r="K449" s="167" t="str">
        <f>'030523 INVENTARIO'!M449</f>
        <v>5150100005-17</v>
      </c>
      <c r="L449" s="168">
        <f>'030523 INVENTARIO'!N449</f>
        <v>0</v>
      </c>
      <c r="M449" s="168">
        <f>'030523 INVENTARIO'!O449</f>
        <v>0</v>
      </c>
      <c r="N449" s="168" t="str">
        <f>'030523 INVENTARIO'!P449</f>
        <v>OK</v>
      </c>
      <c r="O449" s="168" t="str">
        <f>'030523 INVENTARIO'!Q449</f>
        <v>HP</v>
      </c>
      <c r="P449" s="167" t="str">
        <f>'030523 INVENTARIO'!R449</f>
        <v>DC7800</v>
      </c>
      <c r="Q449" s="168" t="str">
        <f>'030523 INVENTARIO'!S449</f>
        <v>MXJ819035X</v>
      </c>
      <c r="R449" s="168" t="str">
        <f>'030523 INVENTARIO'!T449</f>
        <v>82DJ0515010003000649699</v>
      </c>
    </row>
    <row r="450" spans="5:18">
      <c r="E450" s="167" t="str">
        <f>'030523 INVENTARIO'!E450</f>
        <v>NO BREAK</v>
      </c>
      <c r="F450" s="168" t="str">
        <f>'030523 INVENTARIO'!F450</f>
        <v>NO BREAK</v>
      </c>
      <c r="G450" s="167" t="str">
        <f ca="1">'030523 INVENTARIO'!G450</f>
        <v>P12PL-0449</v>
      </c>
      <c r="H450" s="167" t="str">
        <f>'030523 INVENTARIO'!J450</f>
        <v>P12PL-0449</v>
      </c>
      <c r="I450" s="167" t="str">
        <f>'030523 INVENTARIO'!K450</f>
        <v>P12PL-019</v>
      </c>
      <c r="J450" s="167" t="str">
        <f>'030523 INVENTARIO'!L450</f>
        <v>P1DP-4</v>
      </c>
      <c r="K450" s="167" t="str">
        <f>'030523 INVENTARIO'!M450</f>
        <v>5150100008-12</v>
      </c>
      <c r="L450" s="168">
        <f>'030523 INVENTARIO'!N450</f>
        <v>0</v>
      </c>
      <c r="M450" s="168">
        <f>'030523 INVENTARIO'!O450</f>
        <v>0</v>
      </c>
      <c r="N450" s="168" t="str">
        <f>'030523 INVENTARIO'!P450</f>
        <v>OK</v>
      </c>
      <c r="O450" s="168" t="str">
        <f>'030523 INVENTARIO'!Q450</f>
        <v>FORZA</v>
      </c>
      <c r="P450" s="167" t="str">
        <f>'030523 INVENTARIO'!R450</f>
        <v>NT751</v>
      </c>
      <c r="Q450" s="168" t="str">
        <f>'030523 INVENTARIO'!S450</f>
        <v>SIN SERIE</v>
      </c>
      <c r="R450" s="168" t="str">
        <f>'030523 INVENTARIO'!T450</f>
        <v>82DJ0515010016000649433</v>
      </c>
    </row>
    <row r="451" spans="5:18">
      <c r="E451" s="167" t="str">
        <f>'030523 INVENTARIO'!E451</f>
        <v>COMPLEMENTARIO DE EQUIPO DE COMPUTO</v>
      </c>
      <c r="F451" s="168" t="str">
        <f>'030523 INVENTARIO'!F451</f>
        <v>COMPLEMENTO DE EQUIPO DE MADERA</v>
      </c>
      <c r="G451" s="167" t="str">
        <f ca="1">'030523 INVENTARIO'!G451</f>
        <v>P12PL-0450</v>
      </c>
      <c r="H451" s="167" t="str">
        <f>'030523 INVENTARIO'!J451</f>
        <v>P12PL-0450</v>
      </c>
      <c r="I451" s="167" t="str">
        <f>'030523 INVENTARIO'!K451</f>
        <v>P12PL-020</v>
      </c>
      <c r="J451" s="167" t="str">
        <f>'030523 INVENTARIO'!L451</f>
        <v>P1DP-2</v>
      </c>
      <c r="K451" s="167" t="str">
        <f>'030523 INVENTARIO'!M451</f>
        <v>5120100004-5</v>
      </c>
      <c r="L451" s="168">
        <f>'030523 INVENTARIO'!N451</f>
        <v>0</v>
      </c>
      <c r="M451" s="168">
        <f>'030523 INVENTARIO'!O451</f>
        <v>0</v>
      </c>
      <c r="N451" s="168" t="str">
        <f>'030523 INVENTARIO'!P451</f>
        <v>OK</v>
      </c>
      <c r="O451" s="168" t="str">
        <f>'030523 INVENTARIO'!Q451</f>
        <v>S/M</v>
      </c>
      <c r="P451" s="167" t="str">
        <f>'030523 INVENTARIO'!R451</f>
        <v>S/M</v>
      </c>
      <c r="Q451" s="168" t="str">
        <f>'030523 INVENTARIO'!S451</f>
        <v>SIN SERIE</v>
      </c>
      <c r="R451" s="168" t="str">
        <f>'030523 INVENTARIO'!T451</f>
        <v>82DJ0515010033000566421</v>
      </c>
    </row>
    <row r="452" spans="5:18">
      <c r="E452" s="167" t="str">
        <f>'030523 INVENTARIO'!E452</f>
        <v>MONITOR</v>
      </c>
      <c r="F452" s="167" t="str">
        <f>'030523 INVENTARIO'!F452</f>
        <v>MONITOR 19.5"</v>
      </c>
      <c r="G452" s="167" t="str">
        <f ca="1">'030523 INVENTARIO'!G452</f>
        <v>P12SI-0451</v>
      </c>
      <c r="H452" s="167" t="str">
        <f>'030523 INVENTARIO'!J452</f>
        <v>P12PL-0451</v>
      </c>
      <c r="I452" s="167" t="str">
        <f>'030523 INVENTARIO'!K452</f>
        <v>P12PL-021</v>
      </c>
      <c r="J452" s="167" t="str">
        <f>'030523 INVENTARIO'!L452</f>
        <v>P1DP-5</v>
      </c>
      <c r="K452" s="167" t="str">
        <f>'030523 INVENTARIO'!M452</f>
        <v>5210100012-10</v>
      </c>
      <c r="L452" s="168">
        <f>'030523 INVENTARIO'!N452</f>
        <v>0</v>
      </c>
      <c r="M452" s="168">
        <f>'030523 INVENTARIO'!O452</f>
        <v>0</v>
      </c>
      <c r="N452" s="168" t="str">
        <f>'030523 INVENTARIO'!P452</f>
        <v>OK</v>
      </c>
      <c r="O452" s="168" t="str">
        <f>'030523 INVENTARIO'!Q452</f>
        <v>COMPAQ</v>
      </c>
      <c r="P452" s="167" t="str">
        <f>'030523 INVENTARIO'!R452</f>
        <v>WF1907</v>
      </c>
      <c r="Q452" s="168" t="str">
        <f>'030523 INVENTARIO'!S452</f>
        <v>CNNB1303FP</v>
      </c>
      <c r="R452" s="168" t="str">
        <f>'030523 INVENTARIO'!T452</f>
        <v>82DJ0565010041000539110</v>
      </c>
    </row>
    <row r="453" spans="5:18">
      <c r="E453" s="167" t="str">
        <f>'030523 INVENTARIO'!E453</f>
        <v>SILLA</v>
      </c>
      <c r="F453" s="167" t="str">
        <f>'030523 INVENTARIO'!F453</f>
        <v>SILLA NEGRA CON RUEDAS</v>
      </c>
      <c r="G453" s="167" t="str">
        <f ca="1">'030523 INVENTARIO'!G453</f>
        <v>P15RM-0452</v>
      </c>
      <c r="H453" s="167" t="str">
        <f>'030523 INVENTARIO'!J453</f>
        <v>P12PL-0452</v>
      </c>
      <c r="I453" s="167" t="str">
        <f>'030523 INVENTARIO'!K453</f>
        <v>P12PL-022</v>
      </c>
      <c r="J453" s="167" t="str">
        <f>'030523 INVENTARIO'!L453</f>
        <v>P1DP-10</v>
      </c>
      <c r="K453" s="167" t="str">
        <f>'030523 INVENTARIO'!M453</f>
        <v>5110100011-45</v>
      </c>
      <c r="L453" s="168">
        <f>'030523 INVENTARIO'!N453</f>
        <v>0</v>
      </c>
      <c r="M453" s="168">
        <f>'030523 INVENTARIO'!O453</f>
        <v>0</v>
      </c>
      <c r="N453" s="168" t="str">
        <f>'030523 INVENTARIO'!P453</f>
        <v>OK</v>
      </c>
      <c r="O453" s="168" t="str">
        <f>'030523 INVENTARIO'!Q453</f>
        <v>S/M</v>
      </c>
      <c r="P453" s="167" t="str">
        <f>'030523 INVENTARIO'!R453</f>
        <v>S/M</v>
      </c>
      <c r="Q453" s="168" t="str">
        <f>'030523 INVENTARIO'!S453</f>
        <v>SIN SERIE</v>
      </c>
      <c r="R453" s="168" t="str">
        <f>'030523 INVENTARIO'!T453</f>
        <v>82DJ0511010017000649695</v>
      </c>
    </row>
    <row r="454" spans="5:18">
      <c r="E454" s="167" t="str">
        <f>'030523 INVENTARIO'!E454</f>
        <v>SILLON</v>
      </c>
      <c r="F454" s="167" t="str">
        <f>'030523 INVENTARIO'!F454</f>
        <v>SILLON EJECUTIVO DE TELA AZUL</v>
      </c>
      <c r="G454" s="167" t="str">
        <f ca="1">'030523 INVENTARIO'!G454</f>
        <v>P12PL-0453</v>
      </c>
      <c r="H454" s="167" t="str">
        <f>'030523 INVENTARIO'!J454</f>
        <v>P12PL-0453</v>
      </c>
      <c r="I454" s="167" t="str">
        <f>'030523 INVENTARIO'!K454</f>
        <v>P12PL-023</v>
      </c>
      <c r="J454" s="167" t="str">
        <f>'030523 INVENTARIO'!L454</f>
        <v>P1DP-A1</v>
      </c>
      <c r="K454" s="167" t="str">
        <f>'030523 INVENTARIO'!M454</f>
        <v>5120100009-35</v>
      </c>
      <c r="L454" s="168">
        <f>'030523 INVENTARIO'!N454</f>
        <v>0</v>
      </c>
      <c r="M454" s="168">
        <f>'030523 INVENTARIO'!O454</f>
        <v>0</v>
      </c>
      <c r="N454" s="168" t="str">
        <f>'030523 INVENTARIO'!P454</f>
        <v>OK</v>
      </c>
      <c r="O454" s="168" t="str">
        <f>'030523 INVENTARIO'!Q454</f>
        <v>S/M</v>
      </c>
      <c r="P454" s="167" t="str">
        <f>'030523 INVENTARIO'!R454</f>
        <v>S/M</v>
      </c>
      <c r="Q454" s="168" t="str">
        <f>'030523 INVENTARIO'!S454</f>
        <v>SIN SERIE</v>
      </c>
      <c r="R454" s="168" t="str">
        <f>'030523 INVENTARIO'!T454</f>
        <v>82DJ0511010016000515601</v>
      </c>
    </row>
    <row r="455" spans="5:18">
      <c r="E455" s="167" t="str">
        <f>'030523 INVENTARIO'!E455</f>
        <v>DISCO DURO</v>
      </c>
      <c r="F455" s="167" t="str">
        <f>'030523 INVENTARIO'!F455</f>
        <v>DISCO DURO</v>
      </c>
      <c r="G455" s="167" t="str">
        <f ca="1">'030523 INVENTARIO'!G455</f>
        <v>P12PL-0454</v>
      </c>
      <c r="H455" s="167" t="str">
        <f>'030523 INVENTARIO'!J455</f>
        <v>P12PL-0454</v>
      </c>
      <c r="I455" s="167" t="str">
        <f>'030523 INVENTARIO'!K455</f>
        <v>P12PL-024</v>
      </c>
      <c r="J455" s="167">
        <f>'030523 INVENTARIO'!L455</f>
        <v>0</v>
      </c>
      <c r="K455" s="167" t="str">
        <f>'030523 INVENTARIO'!M455</f>
        <v>5140100006-16</v>
      </c>
      <c r="L455" s="168">
        <f>'030523 INVENTARIO'!N455</f>
        <v>0</v>
      </c>
      <c r="M455" s="168">
        <f>'030523 INVENTARIO'!O455</f>
        <v>0</v>
      </c>
      <c r="N455" s="168" t="str">
        <f>'030523 INVENTARIO'!P455</f>
        <v>OK</v>
      </c>
      <c r="O455" s="168" t="str">
        <f>'030523 INVENTARIO'!Q455</f>
        <v>ADATA</v>
      </c>
      <c r="P455" s="167" t="str">
        <f>'030523 INVENTARIO'!R455</f>
        <v>AHV-300</v>
      </c>
      <c r="Q455" s="167" t="str">
        <f>'030523 INVENTARIO'!S455</f>
        <v>1L0820262645</v>
      </c>
      <c r="R455" s="167" t="str">
        <f>'030523 INVENTARIO'!T455</f>
        <v>SIN RESGUARDO</v>
      </c>
    </row>
    <row r="456" spans="5:18">
      <c r="E456" s="167" t="str">
        <f>'030523 INVENTARIO'!E456</f>
        <v>ESTANTE O ANAQUEL</v>
      </c>
      <c r="F456" s="167" t="str">
        <f>'030523 INVENTARIO'!F456</f>
        <v>ANAQUEL DE METAL DOS PUERTAS GRIS 183X92X46</v>
      </c>
      <c r="G456" s="167" t="str">
        <f ca="1">'030523 INVENTARIO'!G456</f>
        <v>P12CT-0455</v>
      </c>
      <c r="H456" s="167" t="str">
        <f>'030523 INVENTARIO'!J456</f>
        <v>P12CT-0455</v>
      </c>
      <c r="I456" s="167" t="str">
        <f>'030523 INVENTARIO'!K456</f>
        <v>P12CS-001</v>
      </c>
      <c r="J456" s="167" t="str">
        <f>'030523 INVENTARIO'!L456</f>
        <v>P1CSA-2</v>
      </c>
      <c r="K456" s="167" t="str">
        <f>'030523 INVENTARIO'!M456</f>
        <v>5290300001-10</v>
      </c>
      <c r="L456" s="168">
        <f>'030523 INVENTARIO'!N456</f>
        <v>0</v>
      </c>
      <c r="M456" s="168">
        <f>'030523 INVENTARIO'!O456</f>
        <v>0</v>
      </c>
      <c r="N456" s="168" t="str">
        <f>'030523 INVENTARIO'!P456</f>
        <v>OK</v>
      </c>
      <c r="O456" s="168" t="str">
        <f>'030523 INVENTARIO'!Q456</f>
        <v>S/M</v>
      </c>
      <c r="P456" s="167" t="str">
        <f>'030523 INVENTARIO'!R456</f>
        <v>S/M</v>
      </c>
      <c r="Q456" s="168" t="str">
        <f>'030523 INVENTARIO'!S456</f>
        <v>SIN SERIE</v>
      </c>
      <c r="R456" s="168" t="str">
        <f>'030523 INVENTARIO'!T456</f>
        <v>82DJ0511010009000584161</v>
      </c>
    </row>
    <row r="457" spans="5:18">
      <c r="E457" s="167" t="str">
        <f>'030523 INVENTARIO'!E457</f>
        <v>VENTILADOR</v>
      </c>
      <c r="F457" s="168" t="str">
        <f>'030523 INVENTARIO'!F457</f>
        <v>VENTILADOR GRIS DE TORRE</v>
      </c>
      <c r="G457" s="167" t="str">
        <f ca="1">'030523 INVENTARIO'!G457</f>
        <v>P12CT-0456</v>
      </c>
      <c r="H457" s="167" t="str">
        <f>'030523 INVENTARIO'!J457</f>
        <v>P12CT-0456</v>
      </c>
      <c r="I457" s="167" t="str">
        <f>'030523 INVENTARIO'!K457</f>
        <v>P12CS-002</v>
      </c>
      <c r="J457" s="167" t="str">
        <f>'030523 INVENTARIO'!L457</f>
        <v>P1CSA-31</v>
      </c>
      <c r="K457" s="167" t="str">
        <f>'030523 INVENTARIO'!M457</f>
        <v>5190200002-33</v>
      </c>
      <c r="L457" s="168">
        <f>'030523 INVENTARIO'!N457</f>
        <v>0</v>
      </c>
      <c r="M457" s="168">
        <f>'030523 INVENTARIO'!O457</f>
        <v>0</v>
      </c>
      <c r="N457" s="168" t="str">
        <f>'030523 INVENTARIO'!P457</f>
        <v>OK</v>
      </c>
      <c r="O457" s="168" t="str">
        <f>'030523 INVENTARIO'!Q457</f>
        <v>SEVILLE CLASIC</v>
      </c>
      <c r="P457" s="167" t="str">
        <f>'030523 INVENTARIO'!R457</f>
        <v>S/M</v>
      </c>
      <c r="Q457" s="168" t="str">
        <f>'030523 INVENTARIO'!S457</f>
        <v>SIN SERIE</v>
      </c>
      <c r="R457" s="168" t="str">
        <f>'030523 INVENTARIO'!T457</f>
        <v>82DJ0519010043000649551</v>
      </c>
    </row>
    <row r="458" spans="5:18">
      <c r="E458" s="167" t="str">
        <f>'030523 INVENTARIO'!E458</f>
        <v>MESA</v>
      </c>
      <c r="F458" s="167" t="str">
        <f>'030523 INVENTARIO'!F458</f>
        <v>MESA DE MADERA BASE DE METAL 100X40</v>
      </c>
      <c r="G458" s="167" t="str">
        <f ca="1">'030523 INVENTARIO'!G458</f>
        <v>P12CT-0457</v>
      </c>
      <c r="H458" s="167" t="str">
        <f>'030523 INVENTARIO'!J458</f>
        <v>P12CT-0457</v>
      </c>
      <c r="I458" s="167" t="str">
        <f>'030523 INVENTARIO'!K458</f>
        <v>P12CS-003</v>
      </c>
      <c r="J458" s="167" t="str">
        <f>'030523 INVENTARIO'!L458</f>
        <v>P1CSA-5</v>
      </c>
      <c r="K458" s="167" t="str">
        <f>'030523 INVENTARIO'!M458</f>
        <v>5120100007-86</v>
      </c>
      <c r="L458" s="168">
        <f>'030523 INVENTARIO'!N458</f>
        <v>0</v>
      </c>
      <c r="M458" s="168">
        <f>'030523 INVENTARIO'!O458</f>
        <v>0</v>
      </c>
      <c r="N458" s="168" t="str">
        <f>'030523 INVENTARIO'!P458</f>
        <v>OK</v>
      </c>
      <c r="O458" s="168" t="str">
        <f>'030523 INVENTARIO'!Q458</f>
        <v>S/M</v>
      </c>
      <c r="P458" s="167" t="str">
        <f>'030523 INVENTARIO'!R458</f>
        <v>S/M</v>
      </c>
      <c r="Q458" s="168" t="str">
        <f>'030523 INVENTARIO'!S458</f>
        <v>SIN SERIE</v>
      </c>
      <c r="R458" s="168" t="str">
        <f>'030523 INVENTARIO'!T458</f>
        <v>82DJ0531010065000564798</v>
      </c>
    </row>
    <row r="459" spans="5:18">
      <c r="E459" s="167" t="str">
        <f>'030523 INVENTARIO'!E459</f>
        <v>ARCHIVERO</v>
      </c>
      <c r="F459" s="168" t="str">
        <f>'030523 INVENTARIO'!F459</f>
        <v>ARCHIVERO BEIGE DE METAL 4 CAJONES</v>
      </c>
      <c r="G459" s="167" t="str">
        <f ca="1">'030523 INVENTARIO'!G459</f>
        <v>P12CT-0458</v>
      </c>
      <c r="H459" s="167" t="str">
        <f>'030523 INVENTARIO'!J459</f>
        <v>P12CT-0458</v>
      </c>
      <c r="I459" s="167" t="str">
        <f>'030523 INVENTARIO'!K459</f>
        <v>P12CS-004</v>
      </c>
      <c r="J459" s="167" t="str">
        <f>'030523 INVENTARIO'!L459</f>
        <v>P1CSA-1</v>
      </c>
      <c r="K459" s="167" t="str">
        <f>'030523 INVENTARIO'!M459</f>
        <v>5130100013-15</v>
      </c>
      <c r="L459" s="168">
        <f>'030523 INVENTARIO'!N459</f>
        <v>0</v>
      </c>
      <c r="M459" s="168">
        <f>'030523 INVENTARIO'!O459</f>
        <v>0</v>
      </c>
      <c r="N459" s="168" t="str">
        <f>'030523 INVENTARIO'!P459</f>
        <v>OK</v>
      </c>
      <c r="O459" s="168" t="str">
        <f>'030523 INVENTARIO'!Q459</f>
        <v>S/M</v>
      </c>
      <c r="P459" s="167" t="str">
        <f>'030523 INVENTARIO'!R459</f>
        <v>S/M</v>
      </c>
      <c r="Q459" s="168" t="str">
        <f>'030523 INVENTARIO'!S459</f>
        <v>SIN SERIE</v>
      </c>
      <c r="R459" s="168" t="str">
        <f>'030523 INVENTARIO'!T459</f>
        <v>82DJ0511010001000649533</v>
      </c>
    </row>
    <row r="460" spans="5:18">
      <c r="E460" s="167" t="str">
        <f>'030523 INVENTARIO'!E460</f>
        <v>ESTANTE O ANAQUEL</v>
      </c>
      <c r="F460" s="168" t="str">
        <f>'030523 INVENTARIO'!F460</f>
        <v>ESTANTE GRIS DE METAL CON 5 CHAROLAS</v>
      </c>
      <c r="G460" s="167" t="str">
        <f ca="1">'030523 INVENTARIO'!G460</f>
        <v>P12CT-0459</v>
      </c>
      <c r="H460" s="167" t="str">
        <f>'030523 INVENTARIO'!J460</f>
        <v>P12CT-0459</v>
      </c>
      <c r="I460" s="167" t="str">
        <f>'030523 INVENTARIO'!K460</f>
        <v>P12CS-005</v>
      </c>
      <c r="J460" s="167" t="str">
        <f>'030523 INVENTARIO'!L460</f>
        <v>P1CSA-32</v>
      </c>
      <c r="K460" s="167" t="str">
        <f>'030523 INVENTARIO'!M460</f>
        <v>2110200030-13</v>
      </c>
      <c r="L460" s="168">
        <f>'030523 INVENTARIO'!N460</f>
        <v>0</v>
      </c>
      <c r="M460" s="168">
        <f>'030523 INVENTARIO'!O460</f>
        <v>0</v>
      </c>
      <c r="N460" s="168" t="str">
        <f>'030523 INVENTARIO'!P460</f>
        <v>OK</v>
      </c>
      <c r="O460" s="168" t="str">
        <f>'030523 INVENTARIO'!Q460</f>
        <v>S/M</v>
      </c>
      <c r="P460" s="167" t="str">
        <f>'030523 INVENTARIO'!R460</f>
        <v>S/M</v>
      </c>
      <c r="Q460" s="168" t="str">
        <f>'030523 INVENTARIO'!S460</f>
        <v>SIN SERIE</v>
      </c>
      <c r="R460" s="168" t="str">
        <f>'030523 INVENTARIO'!T460</f>
        <v>82DJ0511010028000584044</v>
      </c>
    </row>
    <row r="461" spans="5:18">
      <c r="E461" s="167" t="str">
        <f>'030523 INVENTARIO'!E461</f>
        <v>COMPUTADORA DE ESCRITORIO</v>
      </c>
      <c r="F461" s="167" t="str">
        <f>'030523 INVENTARIO'!F461</f>
        <v>COMPUTADORA TODO EN UNO BLANCO</v>
      </c>
      <c r="G461" s="167" t="str">
        <f ca="1">'030523 INVENTARIO'!G461</f>
        <v>P05RM-0460</v>
      </c>
      <c r="H461" s="167" t="str">
        <f>'030523 INVENTARIO'!J461</f>
        <v>P12CT-0460</v>
      </c>
      <c r="I461" s="167" t="str">
        <f>'030523 INVENTARIO'!K461</f>
        <v>P12CS-006</v>
      </c>
      <c r="J461" s="167" t="str">
        <f>'030523 INVENTARIO'!L461</f>
        <v>P1CSA-4</v>
      </c>
      <c r="K461" s="167" t="str">
        <f>'030523 INVENTARIO'!M461</f>
        <v>5150100005-45</v>
      </c>
      <c r="L461" s="168">
        <f>'030523 INVENTARIO'!N461</f>
        <v>0</v>
      </c>
      <c r="M461" s="168">
        <f>'030523 INVENTARIO'!O461</f>
        <v>0</v>
      </c>
      <c r="N461" s="168" t="str">
        <f>'030523 INVENTARIO'!P461</f>
        <v>OK</v>
      </c>
      <c r="O461" s="168" t="str">
        <f>'030523 INVENTARIO'!Q461</f>
        <v>HP</v>
      </c>
      <c r="P461" s="167" t="str">
        <f>'030523 INVENTARIO'!R461</f>
        <v>HP PAVILION AIO 20-E002LA</v>
      </c>
      <c r="Q461" s="168" t="str">
        <f>'030523 INVENTARIO'!S461</f>
        <v>8CC5390ND5</v>
      </c>
      <c r="R461" s="168" t="str">
        <f>'030523 INVENTARIO'!T461</f>
        <v>82DJ0515010003000649379</v>
      </c>
    </row>
    <row r="462" spans="5:18">
      <c r="E462" s="167" t="str">
        <f>'030523 INVENTARIO'!E462</f>
        <v>ESTANTE O ANAQUEL</v>
      </c>
      <c r="F462" s="167" t="str">
        <f>'030523 INVENTARIO'!F462</f>
        <v>ESTANTE GRIS DE METAL CON 6 CHAROLAS</v>
      </c>
      <c r="G462" s="167" t="str">
        <f ca="1">'030523 INVENTARIO'!G462</f>
        <v>P12CT-0461</v>
      </c>
      <c r="H462" s="167" t="str">
        <f>'030523 INVENTARIO'!J462</f>
        <v>P12CT-0461</v>
      </c>
      <c r="I462" s="167" t="str">
        <f>'030523 INVENTARIO'!K462</f>
        <v>P12CS-007</v>
      </c>
      <c r="J462" s="167" t="str">
        <f>'030523 INVENTARIO'!L462</f>
        <v>P1CSA-15</v>
      </c>
      <c r="K462" s="167" t="str">
        <f>'030523 INVENTARIO'!M462</f>
        <v>5290300001-12</v>
      </c>
      <c r="L462" s="168">
        <f>'030523 INVENTARIO'!N462</f>
        <v>0</v>
      </c>
      <c r="M462" s="168">
        <f>'030523 INVENTARIO'!O462</f>
        <v>0</v>
      </c>
      <c r="N462" s="168" t="str">
        <f>'030523 INVENTARIO'!P462</f>
        <v>OK</v>
      </c>
      <c r="O462" s="168" t="str">
        <f>'030523 INVENTARIO'!Q462</f>
        <v>S/M</v>
      </c>
      <c r="P462" s="167" t="str">
        <f>'030523 INVENTARIO'!R462</f>
        <v>S/M</v>
      </c>
      <c r="Q462" s="168" t="str">
        <f>'030523 INVENTARIO'!S462</f>
        <v>SIN SERIE</v>
      </c>
      <c r="R462" s="168" t="str">
        <f>'030523 INVENTARIO'!T462</f>
        <v>82DJ0511010020000649536</v>
      </c>
    </row>
    <row r="463" spans="5:18">
      <c r="E463" s="167" t="str">
        <f>'030523 INVENTARIO'!E463</f>
        <v>SILLA</v>
      </c>
      <c r="F463" s="167" t="str">
        <f>'030523 INVENTARIO'!F463</f>
        <v>SILLA DE TELA NEGRA</v>
      </c>
      <c r="G463" s="167" t="str">
        <f ca="1">'030523 INVENTARIO'!G463</f>
        <v>P12CT-0462</v>
      </c>
      <c r="H463" s="167" t="str">
        <f>'030523 INVENTARIO'!J463</f>
        <v>P12CT-0462</v>
      </c>
      <c r="I463" s="167" t="str">
        <f>'030523 INVENTARIO'!K463</f>
        <v>P12CS-008</v>
      </c>
      <c r="J463" s="168" t="str">
        <f>'030523 INVENTARIO'!L463</f>
        <v>P1CSA-22</v>
      </c>
      <c r="K463" s="167" t="str">
        <f>'030523 INVENTARIO'!M463</f>
        <v>5110100011-67</v>
      </c>
      <c r="L463" s="168">
        <f>'030523 INVENTARIO'!N463</f>
        <v>0</v>
      </c>
      <c r="M463" s="168">
        <f>'030523 INVENTARIO'!O463</f>
        <v>0</v>
      </c>
      <c r="N463" s="168" t="str">
        <f>'030523 INVENTARIO'!P463</f>
        <v>OK</v>
      </c>
      <c r="O463" s="168" t="str">
        <f>'030523 INVENTARIO'!Q463</f>
        <v>S/M</v>
      </c>
      <c r="P463" s="167" t="str">
        <f>'030523 INVENTARIO'!R463</f>
        <v>S/M</v>
      </c>
      <c r="Q463" s="168" t="str">
        <f>'030523 INVENTARIO'!S463</f>
        <v>SIN SERIE</v>
      </c>
      <c r="R463" s="168" t="str">
        <f>'030523 INVENTARIO'!T463</f>
        <v>82DJ0511010017000649538</v>
      </c>
    </row>
    <row r="464" spans="5:18">
      <c r="E464" s="167" t="str">
        <f>'030523 INVENTARIO'!E464</f>
        <v>MESA</v>
      </c>
      <c r="F464" s="167" t="str">
        <f>'030523 INVENTARIO'!F464</f>
        <v>MESA DE MADERA BASE DE METAL 100X40</v>
      </c>
      <c r="G464" s="167" t="str">
        <f ca="1">'030523 INVENTARIO'!G464</f>
        <v>P12CT-0463</v>
      </c>
      <c r="H464" s="167" t="str">
        <f>'030523 INVENTARIO'!J464</f>
        <v>P12CT-0463</v>
      </c>
      <c r="I464" s="167" t="str">
        <f>'030523 INVENTARIO'!K464</f>
        <v>P12CS-009</v>
      </c>
      <c r="J464" s="167" t="str">
        <f>'030523 INVENTARIO'!L464</f>
        <v>P1CSA-6</v>
      </c>
      <c r="K464" s="167" t="str">
        <f>'030523 INVENTARIO'!M464</f>
        <v>5120100007-87</v>
      </c>
      <c r="L464" s="168">
        <f>'030523 INVENTARIO'!N464</f>
        <v>0</v>
      </c>
      <c r="M464" s="168">
        <f>'030523 INVENTARIO'!O464</f>
        <v>0</v>
      </c>
      <c r="N464" s="168" t="str">
        <f>'030523 INVENTARIO'!P464</f>
        <v>OK</v>
      </c>
      <c r="O464" s="168" t="str">
        <f>'030523 INVENTARIO'!Q464</f>
        <v>S/M</v>
      </c>
      <c r="P464" s="167" t="str">
        <f>'030523 INVENTARIO'!R464</f>
        <v>S/M</v>
      </c>
      <c r="Q464" s="168" t="str">
        <f>'030523 INVENTARIO'!S464</f>
        <v>SIN SERIE</v>
      </c>
      <c r="R464" s="168" t="str">
        <f>'030523 INVENTARIO'!T464</f>
        <v>82DJ0531010065000564777</v>
      </c>
    </row>
    <row r="465" spans="5:18">
      <c r="E465" s="167" t="str">
        <f>'030523 INVENTARIO'!E465</f>
        <v>MESA</v>
      </c>
      <c r="F465" s="167" t="str">
        <f>'030523 INVENTARIO'!F465</f>
        <v>MESA DE MADERA CON RUEDAS 60X40</v>
      </c>
      <c r="G465" s="167" t="str">
        <f ca="1">'030523 INVENTARIO'!G465</f>
        <v>P12CT-0464</v>
      </c>
      <c r="H465" s="167" t="str">
        <f>'030523 INVENTARIO'!J465</f>
        <v>P12CT-0464</v>
      </c>
      <c r="I465" s="167" t="str">
        <f>'030523 INVENTARIO'!K465</f>
        <v>P12CS-010</v>
      </c>
      <c r="J465" s="167" t="str">
        <f>'030523 INVENTARIO'!L465</f>
        <v>P1CSA-7</v>
      </c>
      <c r="K465" s="167" t="str">
        <f>'030523 INVENTARIO'!M465</f>
        <v>5120100007-88</v>
      </c>
      <c r="L465" s="168">
        <f>'030523 INVENTARIO'!N465</f>
        <v>0</v>
      </c>
      <c r="M465" s="168">
        <f>'030523 INVENTARIO'!O465</f>
        <v>0</v>
      </c>
      <c r="N465" s="168" t="str">
        <f>'030523 INVENTARIO'!P465</f>
        <v>OK</v>
      </c>
      <c r="O465" s="168" t="str">
        <f>'030523 INVENTARIO'!Q465</f>
        <v>S/M</v>
      </c>
      <c r="P465" s="167" t="str">
        <f>'030523 INVENTARIO'!R465</f>
        <v>S/M</v>
      </c>
      <c r="Q465" s="168" t="str">
        <f>'030523 INVENTARIO'!S465</f>
        <v>SIN SERIE</v>
      </c>
      <c r="R465" s="168" t="str">
        <f>'030523 INVENTARIO'!T465</f>
        <v>82DJ0511010010000649543</v>
      </c>
    </row>
    <row r="466" spans="5:18">
      <c r="E466" s="167" t="str">
        <f>'030523 INVENTARIO'!E466</f>
        <v>SILLON</v>
      </c>
      <c r="F466" s="167" t="str">
        <f>'030523 INVENTARIO'!F466</f>
        <v>SILLON NEGRO DE PIEL</v>
      </c>
      <c r="G466" s="167" t="str">
        <f ca="1">'030523 INVENTARIO'!G466</f>
        <v>P12CT-0465</v>
      </c>
      <c r="H466" s="167" t="str">
        <f>'030523 INVENTARIO'!J466</f>
        <v>P12CT-0465</v>
      </c>
      <c r="I466" s="167" t="str">
        <f>'030523 INVENTARIO'!K466</f>
        <v>P12CS-011</v>
      </c>
      <c r="J466" s="167" t="str">
        <f>'030523 INVENTARIO'!L466</f>
        <v>P1CSA-8</v>
      </c>
      <c r="K466" s="167" t="str">
        <f>'030523 INVENTARIO'!M466</f>
        <v>5120100009-43</v>
      </c>
      <c r="L466" s="168">
        <f>'030523 INVENTARIO'!N466</f>
        <v>0</v>
      </c>
      <c r="M466" s="168">
        <f>'030523 INVENTARIO'!O466</f>
        <v>0</v>
      </c>
      <c r="N466" s="168" t="str">
        <f>'030523 INVENTARIO'!P466</f>
        <v>OK</v>
      </c>
      <c r="O466" s="168" t="str">
        <f>'030523 INVENTARIO'!Q466</f>
        <v>S/M</v>
      </c>
      <c r="P466" s="167" t="str">
        <f>'030523 INVENTARIO'!R466</f>
        <v>S/M</v>
      </c>
      <c r="Q466" s="168" t="str">
        <f>'030523 INVENTARIO'!S466</f>
        <v>SIN SERIE</v>
      </c>
      <c r="R466" s="168" t="str">
        <f>'030523 INVENTARIO'!T466</f>
        <v>82DJ0511010016000515608</v>
      </c>
    </row>
    <row r="467" spans="5:18">
      <c r="E467" s="167" t="str">
        <f>'030523 INVENTARIO'!E467</f>
        <v>SILLON</v>
      </c>
      <c r="F467" s="167" t="str">
        <f>'030523 INVENTARIO'!F467</f>
        <v>SILLON NEGRO DE PIEL</v>
      </c>
      <c r="G467" s="167" t="str">
        <f ca="1">'030523 INVENTARIO'!G467</f>
        <v>P12CT-0466</v>
      </c>
      <c r="H467" s="167" t="str">
        <f>'030523 INVENTARIO'!J467</f>
        <v>P12CT-0466</v>
      </c>
      <c r="I467" s="167" t="str">
        <f>'030523 INVENTARIO'!K467</f>
        <v>P12CS-012</v>
      </c>
      <c r="J467" s="167" t="str">
        <f>'030523 INVENTARIO'!L467</f>
        <v>P1CSA-9</v>
      </c>
      <c r="K467" s="167" t="str">
        <f>'030523 INVENTARIO'!M467</f>
        <v>5120100009-42</v>
      </c>
      <c r="L467" s="168">
        <f>'030523 INVENTARIO'!N467</f>
        <v>0</v>
      </c>
      <c r="M467" s="168">
        <f>'030523 INVENTARIO'!O467</f>
        <v>0</v>
      </c>
      <c r="N467" s="168" t="str">
        <f>'030523 INVENTARIO'!P467</f>
        <v>OK</v>
      </c>
      <c r="O467" s="168" t="str">
        <f>'030523 INVENTARIO'!Q467</f>
        <v>S/M</v>
      </c>
      <c r="P467" s="167" t="str">
        <f>'030523 INVENTARIO'!R467</f>
        <v>S/M</v>
      </c>
      <c r="Q467" s="168" t="str">
        <f>'030523 INVENTARIO'!S467</f>
        <v>SIN SERIE</v>
      </c>
      <c r="R467" s="168" t="str">
        <f>'030523 INVENTARIO'!T467</f>
        <v>82DJ0511010016000515609</v>
      </c>
    </row>
    <row r="468" spans="5:18">
      <c r="E468" s="167" t="str">
        <f>'030523 INVENTARIO'!E468</f>
        <v>PERCHERO</v>
      </c>
      <c r="F468" s="167" t="str">
        <f>'030523 INVENTARIO'!F468</f>
        <v>PERCHERO DE MADERA CAFÉ</v>
      </c>
      <c r="G468" s="167" t="str">
        <f ca="1">'030523 INVENTARIO'!G468</f>
        <v>P12CT-0467</v>
      </c>
      <c r="H468" s="167" t="str">
        <f>'030523 INVENTARIO'!J468</f>
        <v>P12CT-0467</v>
      </c>
      <c r="I468" s="167" t="str">
        <f>'030523 INVENTARIO'!K468</f>
        <v>P12CS-013</v>
      </c>
      <c r="J468" s="167" t="str">
        <f>'030523 INVENTARIO'!L468</f>
        <v>P1CSA-14</v>
      </c>
      <c r="K468" s="167" t="str">
        <f>'030523 INVENTARIO'!M468</f>
        <v>5120100008-2</v>
      </c>
      <c r="L468" s="168">
        <f>'030523 INVENTARIO'!N468</f>
        <v>0</v>
      </c>
      <c r="M468" s="168">
        <f>'030523 INVENTARIO'!O468</f>
        <v>0</v>
      </c>
      <c r="N468" s="168" t="str">
        <f>'030523 INVENTARIO'!P468</f>
        <v>OK</v>
      </c>
      <c r="O468" s="168" t="str">
        <f>'030523 INVENTARIO'!Q468</f>
        <v>S/M</v>
      </c>
      <c r="P468" s="167" t="str">
        <f>'030523 INVENTARIO'!R468</f>
        <v>S/M</v>
      </c>
      <c r="Q468" s="168" t="str">
        <f>'030523 INVENTARIO'!S468</f>
        <v>SIN SERIE</v>
      </c>
      <c r="R468" s="168" t="str">
        <f>'030523 INVENTARIO'!T468</f>
        <v>82DJ0512010018000565672</v>
      </c>
    </row>
    <row r="469" spans="5:18">
      <c r="E469" s="167" t="str">
        <f>'030523 INVENTARIO'!E469</f>
        <v>ESTANTE O ANAQUEL</v>
      </c>
      <c r="F469" s="167" t="str">
        <f>'030523 INVENTARIO'!F469</f>
        <v>ANAQUEL DE MADERA CON 2 PUERTAS 164X80X43</v>
      </c>
      <c r="G469" s="167" t="str">
        <f ca="1">'030523 INVENTARIO'!G469</f>
        <v>P12CT-0468</v>
      </c>
      <c r="H469" s="167" t="str">
        <f>'030523 INVENTARIO'!J469</f>
        <v>P12CT-0468</v>
      </c>
      <c r="I469" s="167" t="str">
        <f>'030523 INVENTARIO'!K469</f>
        <v>P12CS-014</v>
      </c>
      <c r="J469" s="167" t="str">
        <f>'030523 INVENTARIO'!L469</f>
        <v>P1CSA-10</v>
      </c>
      <c r="K469" s="167" t="str">
        <f>'030523 INVENTARIO'!M469</f>
        <v>5290300001-11</v>
      </c>
      <c r="L469" s="168">
        <f>'030523 INVENTARIO'!N469</f>
        <v>0</v>
      </c>
      <c r="M469" s="168">
        <f>'030523 INVENTARIO'!O469</f>
        <v>0</v>
      </c>
      <c r="N469" s="168" t="str">
        <f>'030523 INVENTARIO'!P469</f>
        <v>OK</v>
      </c>
      <c r="O469" s="168" t="str">
        <f>'030523 INVENTARIO'!Q469</f>
        <v>S/M</v>
      </c>
      <c r="P469" s="167" t="str">
        <f>'030523 INVENTARIO'!R469</f>
        <v>S/M</v>
      </c>
      <c r="Q469" s="168" t="str">
        <f>'030523 INVENTARIO'!S469</f>
        <v>SIN SERIE</v>
      </c>
      <c r="R469" s="168" t="str">
        <f>'030523 INVENTARIO'!T469</f>
        <v>82DK0511010009000518520</v>
      </c>
    </row>
    <row r="470" spans="5:18">
      <c r="E470" s="167" t="str">
        <f>'030523 INVENTARIO'!E470</f>
        <v>MESA</v>
      </c>
      <c r="F470" s="168" t="str">
        <f>'030523 INVENTARIO'!F470</f>
        <v>MESA COMPLEMENTO DE MADERA</v>
      </c>
      <c r="G470" s="167" t="str">
        <f ca="1">'030523 INVENTARIO'!G470</f>
        <v>P12CT-0469</v>
      </c>
      <c r="H470" s="167" t="str">
        <f>'030523 INVENTARIO'!J470</f>
        <v>P12CT-0469</v>
      </c>
      <c r="I470" s="167">
        <f>'030523 INVENTARIO'!K470</f>
        <v>0</v>
      </c>
      <c r="J470" s="167" t="str">
        <f>'030523 INVENTARIO'!L470</f>
        <v>P1CSA-28</v>
      </c>
      <c r="K470" s="167" t="str">
        <f>'030523 INVENTARIO'!M470</f>
        <v>5120100007-91</v>
      </c>
      <c r="L470" s="168">
        <f>'030523 INVENTARIO'!N470</f>
        <v>0</v>
      </c>
      <c r="M470" s="168">
        <f>'030523 INVENTARIO'!O470</f>
        <v>0</v>
      </c>
      <c r="N470" s="168" t="str">
        <f>'030523 INVENTARIO'!P470</f>
        <v>OK</v>
      </c>
      <c r="O470" s="168" t="str">
        <f>'030523 INVENTARIO'!Q470</f>
        <v>S/M</v>
      </c>
      <c r="P470" s="167" t="str">
        <f>'030523 INVENTARIO'!R470</f>
        <v>S/M</v>
      </c>
      <c r="Q470" s="168" t="str">
        <f>'030523 INVENTARIO'!S470</f>
        <v>SIN SERIE</v>
      </c>
      <c r="R470" s="168" t="str">
        <f>'030523 INVENTARIO'!T470</f>
        <v>82DJ0531010065000564860</v>
      </c>
    </row>
    <row r="471" spans="5:18">
      <c r="E471" s="167" t="str">
        <f>'030523 INVENTARIO'!E471</f>
        <v>ESCRITORIO</v>
      </c>
      <c r="F471" s="167" t="str">
        <f>'030523 INVENTARIO'!F471</f>
        <v>ESCRITORIO DE MADERA DE 3 PIEZAS</v>
      </c>
      <c r="G471" s="167" t="str">
        <f ca="1">'030523 INVENTARIO'!G471</f>
        <v>P12CT-0470</v>
      </c>
      <c r="H471" s="167" t="str">
        <f>'030523 INVENTARIO'!J471</f>
        <v>P12CT-0470</v>
      </c>
      <c r="I471" s="167" t="str">
        <f>'030523 INVENTARIO'!K471</f>
        <v>P12CS-015</v>
      </c>
      <c r="J471" s="167" t="str">
        <f>'030523 INVENTARIO'!L471</f>
        <v>P1CSA-11</v>
      </c>
      <c r="K471" s="167" t="str">
        <f>'030523 INVENTARIO'!M471</f>
        <v>5110100015-49</v>
      </c>
      <c r="L471" s="168">
        <f>'030523 INVENTARIO'!N471</f>
        <v>0</v>
      </c>
      <c r="M471" s="168">
        <f>'030523 INVENTARIO'!O471</f>
        <v>0</v>
      </c>
      <c r="N471" s="168" t="str">
        <f>'030523 INVENTARIO'!P471</f>
        <v>OK</v>
      </c>
      <c r="O471" s="168" t="str">
        <f>'030523 INVENTARIO'!Q471</f>
        <v>S/M</v>
      </c>
      <c r="P471" s="167" t="str">
        <f>'030523 INVENTARIO'!R471</f>
        <v>S/M</v>
      </c>
      <c r="Q471" s="168" t="str">
        <f>'030523 INVENTARIO'!S471</f>
        <v>SIN SERIE</v>
      </c>
      <c r="R471" s="168" t="str">
        <f>'030523 INVENTARIO'!T471</f>
        <v>82DJ0511010006000583457</v>
      </c>
    </row>
    <row r="472" spans="5:18">
      <c r="E472" s="167" t="str">
        <f>'030523 INVENTARIO'!E472</f>
        <v>MONITOR</v>
      </c>
      <c r="F472" s="167" t="str">
        <f>'030523 INVENTARIO'!F472</f>
        <v>MONITOR 18.5"</v>
      </c>
      <c r="G472" s="167" t="str">
        <f ca="1">'030523 INVENTARIO'!G472</f>
        <v>P12CT-0471</v>
      </c>
      <c r="H472" s="167" t="str">
        <f>'030523 INVENTARIO'!J472</f>
        <v>P12CT-0471</v>
      </c>
      <c r="I472" s="167" t="str">
        <f>'030523 INVENTARIO'!K472</f>
        <v>P12CS-016</v>
      </c>
      <c r="J472" s="167" t="str">
        <f>'030523 INVENTARIO'!L472</f>
        <v>P1CSA-23</v>
      </c>
      <c r="K472" s="167" t="str">
        <f>'030523 INVENTARIO'!M472</f>
        <v>5210100012-33</v>
      </c>
      <c r="L472" s="168">
        <f>'030523 INVENTARIO'!N472</f>
        <v>0</v>
      </c>
      <c r="M472" s="168">
        <f>'030523 INVENTARIO'!O472</f>
        <v>0</v>
      </c>
      <c r="N472" s="168" t="str">
        <f>'030523 INVENTARIO'!P472</f>
        <v>OK</v>
      </c>
      <c r="O472" s="168" t="str">
        <f>'030523 INVENTARIO'!Q472</f>
        <v>ACER</v>
      </c>
      <c r="P472" s="167" t="str">
        <f>'030523 INVENTARIO'!R472</f>
        <v>P186HV</v>
      </c>
      <c r="Q472" s="168" t="str">
        <f>'030523 INVENTARIO'!S472</f>
        <v>20802286443</v>
      </c>
      <c r="R472" s="168" t="str">
        <f>'030523 INVENTARIO'!T472</f>
        <v>82DJ0515010013000649547</v>
      </c>
    </row>
    <row r="473" spans="5:18">
      <c r="E473" s="167" t="str">
        <f>'030523 INVENTARIO'!E473</f>
        <v>MONITOR</v>
      </c>
      <c r="F473" s="167" t="str">
        <f>'030523 INVENTARIO'!F473</f>
        <v>MONITOR 19"</v>
      </c>
      <c r="G473" s="167" t="str">
        <f ca="1">'030523 INVENTARIO'!G473</f>
        <v>P12CT-0472</v>
      </c>
      <c r="H473" s="167" t="str">
        <f>'030523 INVENTARIO'!J473</f>
        <v>P12CT-0472</v>
      </c>
      <c r="I473" s="167" t="str">
        <f>'030523 INVENTARIO'!K473</f>
        <v>P12CS-017</v>
      </c>
      <c r="J473" s="167" t="str">
        <f>'030523 INVENTARIO'!L473</f>
        <v>P1CSA-3</v>
      </c>
      <c r="K473" s="167" t="str">
        <f>'030523 INVENTARIO'!M473</f>
        <v>5210100012-32</v>
      </c>
      <c r="L473" s="168">
        <f>'030523 INVENTARIO'!N473</f>
        <v>0</v>
      </c>
      <c r="M473" s="168">
        <f>'030523 INVENTARIO'!O473</f>
        <v>0</v>
      </c>
      <c r="N473" s="168" t="str">
        <f>'030523 INVENTARIO'!P473</f>
        <v>OK</v>
      </c>
      <c r="O473" s="168" t="str">
        <f>'030523 INVENTARIO'!Q473</f>
        <v>GHIA</v>
      </c>
      <c r="P473" s="167" t="str">
        <f>'030523 INVENTARIO'!R473</f>
        <v>MG2017</v>
      </c>
      <c r="Q473" s="168" t="str">
        <f>'030523 INVENTARIO'!S473</f>
        <v>CMG2017180136801849</v>
      </c>
      <c r="R473" s="167" t="str">
        <f>'030523 INVENTARIO'!T473</f>
        <v>82DK0515010013000650657</v>
      </c>
    </row>
    <row r="474" spans="5:18">
      <c r="E474" s="167" t="str">
        <f>'030523 INVENTARIO'!E474</f>
        <v>TELEFONO</v>
      </c>
      <c r="F474" s="167" t="str">
        <f>'030523 INVENTARIO'!F474</f>
        <v>TELEFONO GRIS</v>
      </c>
      <c r="G474" s="167" t="str">
        <f ca="1">'030523 INVENTARIO'!G474</f>
        <v>P12CT-0473</v>
      </c>
      <c r="H474" s="167" t="str">
        <f>'030523 INVENTARIO'!J474</f>
        <v>P12CT-0473</v>
      </c>
      <c r="I474" s="167" t="str">
        <f>'030523 INVENTARIO'!K474</f>
        <v>P12CS-018</v>
      </c>
      <c r="J474" s="167" t="str">
        <f>'030523 INVENTARIO'!L474</f>
        <v>P1CSA-13</v>
      </c>
      <c r="K474" s="167" t="str">
        <f>'030523 INVENTARIO'!M474</f>
        <v>5650100010-21</v>
      </c>
      <c r="L474" s="168">
        <f>'030523 INVENTARIO'!N474</f>
        <v>0</v>
      </c>
      <c r="M474" s="168">
        <f>'030523 INVENTARIO'!O474</f>
        <v>0</v>
      </c>
      <c r="N474" s="168" t="str">
        <f>'030523 INVENTARIO'!P474</f>
        <v>OK</v>
      </c>
      <c r="O474" s="168" t="str">
        <f>'030523 INVENTARIO'!Q474</f>
        <v>LINKSYS</v>
      </c>
      <c r="P474" s="167" t="str">
        <f>'030523 INVENTARIO'!R474</f>
        <v>SPA942</v>
      </c>
      <c r="Q474" s="168" t="str">
        <f>'030523 INVENTARIO'!S474</f>
        <v>4LO00H118466</v>
      </c>
      <c r="R474" s="168" t="str">
        <f>'030523 INVENTARIO'!T474</f>
        <v>82DJ0565010001000539086</v>
      </c>
    </row>
    <row r="475" spans="5:18">
      <c r="E475" s="167" t="str">
        <f>'030523 INVENTARIO'!E475</f>
        <v>COMPUTADORA DE ESCRITORIO</v>
      </c>
      <c r="F475" s="167" t="str">
        <f>'030523 INVENTARIO'!F475</f>
        <v>COMPUTADORA DE ESCRITORIO</v>
      </c>
      <c r="G475" s="167" t="str">
        <f ca="1">'030523 INVENTARIO'!G475</f>
        <v>P12CT-0474</v>
      </c>
      <c r="H475" s="167" t="str">
        <f>'030523 INVENTARIO'!J475</f>
        <v>P12CT-0474</v>
      </c>
      <c r="I475" s="167" t="str">
        <f>'030523 INVENTARIO'!K475</f>
        <v>P12CS-019</v>
      </c>
      <c r="J475" s="167" t="str">
        <f>'030523 INVENTARIO'!L475</f>
        <v>P1CSA-29</v>
      </c>
      <c r="K475" s="167" t="str">
        <f>'030523 INVENTARIO'!M475</f>
        <v>5150100005-47</v>
      </c>
      <c r="L475" s="168">
        <f>'030523 INVENTARIO'!N475</f>
        <v>0</v>
      </c>
      <c r="M475" s="168">
        <f>'030523 INVENTARIO'!O475</f>
        <v>0</v>
      </c>
      <c r="N475" s="168" t="str">
        <f>'030523 INVENTARIO'!P475</f>
        <v>OK</v>
      </c>
      <c r="O475" s="168" t="str">
        <f>'030523 INVENTARIO'!Q475</f>
        <v>GHIA</v>
      </c>
      <c r="P475" s="167">
        <f>'030523 INVENTARIO'!R475</f>
        <v>2378</v>
      </c>
      <c r="Q475" s="168" t="str">
        <f>'030523 INVENTARIO'!S475</f>
        <v>337847</v>
      </c>
      <c r="R475" s="167" t="str">
        <f>'030523 INVENTARIO'!T475</f>
        <v>82DK0515010001000650667</v>
      </c>
    </row>
    <row r="476" spans="5:18">
      <c r="E476" s="167" t="str">
        <f>'030523 INVENTARIO'!E476</f>
        <v>REGULADOR DE VOLTAJE</v>
      </c>
      <c r="F476" s="168" t="str">
        <f>'030523 INVENTARIO'!F476</f>
        <v>REGULADOR</v>
      </c>
      <c r="G476" s="167" t="str">
        <f ca="1">'030523 INVENTARIO'!G476</f>
        <v>P12CT-0475</v>
      </c>
      <c r="H476" s="167" t="str">
        <f>'030523 INVENTARIO'!J476</f>
        <v>P12CT-0475</v>
      </c>
      <c r="I476" s="167" t="str">
        <f>'030523 INVENTARIO'!K476</f>
        <v>P12CS-020</v>
      </c>
      <c r="J476" s="167" t="str">
        <f>'030523 INVENTARIO'!L476</f>
        <v>P1CSA-16</v>
      </c>
      <c r="K476" s="167" t="str">
        <f>'030523 INVENTARIO'!M476</f>
        <v>5660100057-13</v>
      </c>
      <c r="L476" s="168">
        <f>'030523 INVENTARIO'!N476</f>
        <v>0</v>
      </c>
      <c r="M476" s="168">
        <f>'030523 INVENTARIO'!O476</f>
        <v>0</v>
      </c>
      <c r="N476" s="168" t="str">
        <f>'030523 INVENTARIO'!P476</f>
        <v>OK</v>
      </c>
      <c r="O476" s="168" t="str">
        <f>'030523 INVENTARIO'!Q476</f>
        <v>KOBLENZ</v>
      </c>
      <c r="P476" s="167" t="str">
        <f>'030523 INVENTARIO'!R476</f>
        <v>RS/1400I</v>
      </c>
      <c r="Q476" s="168" t="str">
        <f>'030523 INVENTARIO'!S476</f>
        <v>SIN SERIE</v>
      </c>
      <c r="R476" s="168" t="str">
        <f>'030523 INVENTARIO'!T476</f>
        <v>82DJ0515010020000650901</v>
      </c>
    </row>
    <row r="477" spans="5:18">
      <c r="E477" s="167" t="str">
        <f>'030523 INVENTARIO'!E477</f>
        <v>NO BREAK</v>
      </c>
      <c r="F477" s="168" t="str">
        <f>'030523 INVENTARIO'!F477</f>
        <v>NO BREAK</v>
      </c>
      <c r="G477" s="167" t="str">
        <f ca="1">'030523 INVENTARIO'!G477</f>
        <v>P12CT-0476</v>
      </c>
      <c r="H477" s="167" t="str">
        <f>'030523 INVENTARIO'!J477</f>
        <v>P12CT-0476</v>
      </c>
      <c r="I477" s="167" t="str">
        <f>'030523 INVENTARIO'!K477</f>
        <v>P12CS-021</v>
      </c>
      <c r="J477" s="167" t="str">
        <f>'030523 INVENTARIO'!L477</f>
        <v>P1CSA-17</v>
      </c>
      <c r="K477" s="167" t="str">
        <f>'030523 INVENTARIO'!M477</f>
        <v>5150100008-30</v>
      </c>
      <c r="L477" s="168">
        <f>'030523 INVENTARIO'!N477</f>
        <v>0</v>
      </c>
      <c r="M477" s="168">
        <f>'030523 INVENTARIO'!O477</f>
        <v>0</v>
      </c>
      <c r="N477" s="168" t="str">
        <f>'030523 INVENTARIO'!P477</f>
        <v>OK</v>
      </c>
      <c r="O477" s="168" t="str">
        <f>'030523 INVENTARIO'!Q477</f>
        <v>FORZA</v>
      </c>
      <c r="P477" s="167" t="str">
        <f>'030523 INVENTARIO'!R477</f>
        <v>NT751</v>
      </c>
      <c r="Q477" s="168" t="str">
        <f>'030523 INVENTARIO'!S477</f>
        <v>190222505753</v>
      </c>
      <c r="R477" s="168" t="str">
        <f>'030523 INVENTARIO'!T477</f>
        <v>82DJ0515010016000649432</v>
      </c>
    </row>
    <row r="478" spans="5:18">
      <c r="E478" s="167" t="str">
        <f>'030523 INVENTARIO'!E478</f>
        <v>COMPLEMENTARIO DE EQUIPO DE COMPUTO</v>
      </c>
      <c r="F478" s="167" t="str">
        <f>'030523 INVENTARIO'!F478</f>
        <v>COMPLEMENTARIO DE EQUIPO DE COMPUTO</v>
      </c>
      <c r="G478" s="167" t="str">
        <f ca="1">'030523 INVENTARIO'!G478</f>
        <v>P12CT-0477</v>
      </c>
      <c r="H478" s="167" t="str">
        <f>'030523 INVENTARIO'!J478</f>
        <v>P12CT-0477</v>
      </c>
      <c r="I478" s="167" t="str">
        <f>'030523 INVENTARIO'!K478</f>
        <v>P12CS-022</v>
      </c>
      <c r="J478" s="167" t="str">
        <f>'030523 INVENTARIO'!L478</f>
        <v>P1CSA-25</v>
      </c>
      <c r="K478" s="167" t="str">
        <f>'030523 INVENTARIO'!M478</f>
        <v>5120100004-15</v>
      </c>
      <c r="L478" s="168">
        <f>'030523 INVENTARIO'!N478</f>
        <v>0</v>
      </c>
      <c r="M478" s="168">
        <f>'030523 INVENTARIO'!O478</f>
        <v>0</v>
      </c>
      <c r="N478" s="168" t="str">
        <f>'030523 INVENTARIO'!P478</f>
        <v>OK</v>
      </c>
      <c r="O478" s="168" t="str">
        <f>'030523 INVENTARIO'!Q478</f>
        <v>S/M</v>
      </c>
      <c r="P478" s="167" t="str">
        <f>'030523 INVENTARIO'!R478</f>
        <v>S/M</v>
      </c>
      <c r="Q478" s="168" t="str">
        <f>'030523 INVENTARIO'!S478</f>
        <v>SIN SERIE</v>
      </c>
      <c r="R478" s="168" t="str">
        <f>'030523 INVENTARIO'!T478</f>
        <v>82DJ0511010029000649548</v>
      </c>
    </row>
    <row r="479" spans="5:18">
      <c r="E479" s="167" t="str">
        <f>'030523 INVENTARIO'!E479</f>
        <v>NO BREAK</v>
      </c>
      <c r="F479" s="168" t="str">
        <f>'030523 INVENTARIO'!F479</f>
        <v>NO BREAK</v>
      </c>
      <c r="G479" s="167" t="str">
        <f ca="1">'030523 INVENTARIO'!G479</f>
        <v>P12SI-0478</v>
      </c>
      <c r="H479" s="167" t="str">
        <f>'030523 INVENTARIO'!J479</f>
        <v>P12CT-0478</v>
      </c>
      <c r="I479" s="167" t="str">
        <f>'030523 INVENTARIO'!K479</f>
        <v>P12CS-023</v>
      </c>
      <c r="J479" s="167" t="str">
        <f>'030523 INVENTARIO'!L479</f>
        <v>P1LP-44</v>
      </c>
      <c r="K479" s="167" t="str">
        <f>'030523 INVENTARIO'!M479</f>
        <v>5150100008-22</v>
      </c>
      <c r="L479" s="168">
        <f>'030523 INVENTARIO'!N479</f>
        <v>0</v>
      </c>
      <c r="M479" s="168">
        <f>'030523 INVENTARIO'!O479</f>
        <v>0</v>
      </c>
      <c r="N479" s="168" t="str">
        <f>'030523 INVENTARIO'!P479</f>
        <v>OK</v>
      </c>
      <c r="O479" s="168" t="str">
        <f>'030523 INVENTARIO'!Q479</f>
        <v>APC</v>
      </c>
      <c r="P479" s="167" t="str">
        <f>'030523 INVENTARIO'!R479</f>
        <v>BE350G-LM</v>
      </c>
      <c r="Q479" s="168" t="str">
        <f>'030523 INVENTARIO'!S479</f>
        <v>4B1439P11194</v>
      </c>
      <c r="R479" s="167" t="str">
        <f>'030523 INVENTARIO'!T479</f>
        <v>82DI0515010016000649714</v>
      </c>
    </row>
    <row r="480" spans="5:18">
      <c r="E480" s="167" t="str">
        <f>'030523 INVENTARIO'!E480</f>
        <v>VENTILADOR</v>
      </c>
      <c r="F480" s="168" t="str">
        <f>'030523 INVENTARIO'!F480</f>
        <v>VENTILADOR NEGRO DE TORRE</v>
      </c>
      <c r="G480" s="167" t="str">
        <f ca="1">'030523 INVENTARIO'!G480</f>
        <v>P12CT-0479</v>
      </c>
      <c r="H480" s="167" t="str">
        <f>'030523 INVENTARIO'!J480</f>
        <v>P12CT-0479</v>
      </c>
      <c r="I480" s="167" t="str">
        <f>'030523 INVENTARIO'!K480</f>
        <v>P12CS-024</v>
      </c>
      <c r="J480" s="167" t="str">
        <f>'030523 INVENTARIO'!L480</f>
        <v>P1CSA-18</v>
      </c>
      <c r="K480" s="167" t="str">
        <f>'030523 INVENTARIO'!M480</f>
        <v>5190200002-32</v>
      </c>
      <c r="L480" s="168">
        <f>'030523 INVENTARIO'!N480</f>
        <v>0</v>
      </c>
      <c r="M480" s="168">
        <f>'030523 INVENTARIO'!O480</f>
        <v>0</v>
      </c>
      <c r="N480" s="168" t="str">
        <f>'030523 INVENTARIO'!P480</f>
        <v>OK</v>
      </c>
      <c r="O480" s="168" t="str">
        <f>'030523 INVENTARIO'!Q480</f>
        <v>MYTEK</v>
      </c>
      <c r="P480" s="167">
        <f>'030523 INVENTARIO'!R480</f>
        <v>3352</v>
      </c>
      <c r="Q480" s="168" t="str">
        <f>'030523 INVENTARIO'!S480</f>
        <v>SIN SERIE</v>
      </c>
      <c r="R480" s="167" t="str">
        <f>'030523 INVENTARIO'!T480</f>
        <v>82DJ0519010043000649372</v>
      </c>
    </row>
    <row r="481" spans="5:18">
      <c r="E481" s="167" t="str">
        <f>'030523 INVENTARIO'!E481</f>
        <v>NO BREAK</v>
      </c>
      <c r="F481" s="167" t="str">
        <f>'030523 INVENTARIO'!F481</f>
        <v>NO BREAK</v>
      </c>
      <c r="G481" s="167" t="str">
        <f ca="1">'030523 INVENTARIO'!G481</f>
        <v>P12CT-0480</v>
      </c>
      <c r="H481" s="167" t="str">
        <f>'030523 INVENTARIO'!J481</f>
        <v>P12CT-0480</v>
      </c>
      <c r="I481" s="167" t="str">
        <f>'030523 INVENTARIO'!K481</f>
        <v>P12CS-025</v>
      </c>
      <c r="J481" s="167" t="str">
        <f>'030523 INVENTARIO'!L481</f>
        <v>P1CSA-30</v>
      </c>
      <c r="K481" s="167" t="str">
        <f>'030523 INVENTARIO'!M481</f>
        <v>5660100057-14</v>
      </c>
      <c r="L481" s="168">
        <f>'030523 INVENTARIO'!N481</f>
        <v>0</v>
      </c>
      <c r="M481" s="168">
        <f>'030523 INVENTARIO'!O481</f>
        <v>0</v>
      </c>
      <c r="N481" s="168" t="str">
        <f>'030523 INVENTARIO'!P481</f>
        <v>OK</v>
      </c>
      <c r="O481" s="168" t="str">
        <f>'030523 INVENTARIO'!Q481</f>
        <v>CDP</v>
      </c>
      <c r="P481" s="167" t="str">
        <f>'030523 INVENTARIO'!R481</f>
        <v>BUPR706</v>
      </c>
      <c r="Q481" s="168" t="str">
        <f>'030523 INVENTARIO'!S481</f>
        <v>5827700022</v>
      </c>
      <c r="R481" s="167" t="str">
        <f>'030523 INVENTARIO'!T481</f>
        <v>82DJ0515010020000649540</v>
      </c>
    </row>
    <row r="482" spans="5:18">
      <c r="E482" s="167" t="str">
        <f>'030523 INVENTARIO'!E482</f>
        <v>COMPLEMENTARIO DE EQUIPO DE COMPUTO</v>
      </c>
      <c r="F482" s="167" t="str">
        <f>'030523 INVENTARIO'!F482</f>
        <v>COMPLEMENTARIO DE EQUIPO DE COMPUTO</v>
      </c>
      <c r="G482" s="167" t="str">
        <f ca="1">'030523 INVENTARIO'!G482</f>
        <v>P12CT-0481</v>
      </c>
      <c r="H482" s="167" t="str">
        <f>'030523 INVENTARIO'!J482</f>
        <v>P12CT-0481</v>
      </c>
      <c r="I482" s="167" t="str">
        <f>'030523 INVENTARIO'!K482</f>
        <v>P12CS-026</v>
      </c>
      <c r="J482" s="167" t="str">
        <f>'030523 INVENTARIO'!L482</f>
        <v>P1CSA-26</v>
      </c>
      <c r="K482" s="167" t="str">
        <f>'030523 INVENTARIO'!M482</f>
        <v>5120100004-21</v>
      </c>
      <c r="L482" s="168">
        <f>'030523 INVENTARIO'!N482</f>
        <v>0</v>
      </c>
      <c r="M482" s="168">
        <f>'030523 INVENTARIO'!O482</f>
        <v>0</v>
      </c>
      <c r="N482" s="168" t="str">
        <f>'030523 INVENTARIO'!P482</f>
        <v>OK</v>
      </c>
      <c r="O482" s="168" t="str">
        <f>'030523 INVENTARIO'!Q482</f>
        <v>S/M</v>
      </c>
      <c r="P482" s="167" t="str">
        <f>'030523 INVENTARIO'!R482</f>
        <v>S/M</v>
      </c>
      <c r="Q482" s="168" t="str">
        <f>'030523 INVENTARIO'!S482</f>
        <v>SIN SERIE</v>
      </c>
      <c r="R482" s="168" t="str">
        <f>'030523 INVENTARIO'!T482</f>
        <v>82DJ0511010027000649550</v>
      </c>
    </row>
    <row r="483" spans="5:18">
      <c r="E483" s="167" t="str">
        <f>'030523 INVENTARIO'!E483</f>
        <v>ESCRITORIO</v>
      </c>
      <c r="F483" s="167" t="str">
        <f>'030523 INVENTARIO'!F483</f>
        <v>ESCRITORIO DE MADERA</v>
      </c>
      <c r="G483" s="167" t="str">
        <f ca="1">'030523 INVENTARIO'!G483</f>
        <v>P12CT-0482</v>
      </c>
      <c r="H483" s="167" t="str">
        <f>'030523 INVENTARIO'!J483</f>
        <v>P12CT-0482</v>
      </c>
      <c r="I483" s="167" t="str">
        <f>'030523 INVENTARIO'!K483</f>
        <v>P12CS-027</v>
      </c>
      <c r="J483" s="167" t="str">
        <f>'030523 INVENTARIO'!L483</f>
        <v>P1CSA-20</v>
      </c>
      <c r="K483" s="167" t="str">
        <f>'030523 INVENTARIO'!M483</f>
        <v>5110100015-48</v>
      </c>
      <c r="L483" s="168">
        <f>'030523 INVENTARIO'!N483</f>
        <v>0</v>
      </c>
      <c r="M483" s="168">
        <f>'030523 INVENTARIO'!O483</f>
        <v>0</v>
      </c>
      <c r="N483" s="168" t="str">
        <f>'030523 INVENTARIO'!P483</f>
        <v>OK</v>
      </c>
      <c r="O483" s="168" t="str">
        <f>'030523 INVENTARIO'!Q483</f>
        <v>S/M</v>
      </c>
      <c r="P483" s="167" t="str">
        <f>'030523 INVENTARIO'!R483</f>
        <v>S/M</v>
      </c>
      <c r="Q483" s="168" t="str">
        <f>'030523 INVENTARIO'!S483</f>
        <v>SIN SERIE</v>
      </c>
      <c r="R483" s="168" t="str">
        <f>'030523 INVENTARIO'!T483</f>
        <v>82DJ0511010006000649546</v>
      </c>
    </row>
    <row r="484" spans="5:18">
      <c r="E484" s="167" t="str">
        <f>'030523 INVENTARIO'!E484</f>
        <v>MESA</v>
      </c>
      <c r="F484" s="167" t="str">
        <f>'030523 INVENTARIO'!F484</f>
        <v>MESA COMPLEMENTO TIPO BALA 160X60 (SILLÓN NEGRO CON RUEDAS )</v>
      </c>
      <c r="G484" s="167" t="str">
        <f ca="1">'030523 INVENTARIO'!G484</f>
        <v>P12PP-0483</v>
      </c>
      <c r="H484" s="167" t="str">
        <f>'030523 INVENTARIO'!J484</f>
        <v>P12CT-0483</v>
      </c>
      <c r="I484" s="167" t="str">
        <f>'030523 INVENTARIO'!K484</f>
        <v>P12CS-028</v>
      </c>
      <c r="J484" s="167" t="str">
        <f>'030523 INVENTARIO'!L484</f>
        <v>P1CSA-24</v>
      </c>
      <c r="K484" s="167" t="str">
        <f>'030523 INVENTARIO'!M484</f>
        <v>ALTA</v>
      </c>
      <c r="L484" s="168">
        <f>'030523 INVENTARIO'!N484</f>
        <v>0</v>
      </c>
      <c r="M484" s="168">
        <f>'030523 INVENTARIO'!O484</f>
        <v>0</v>
      </c>
      <c r="N484" s="168" t="str">
        <f>'030523 INVENTARIO'!P484</f>
        <v>REPETIDO</v>
      </c>
      <c r="O484" s="168" t="str">
        <f>'030523 INVENTARIO'!Q484</f>
        <v>S/M</v>
      </c>
      <c r="P484" s="167" t="str">
        <f>'030523 INVENTARIO'!R484</f>
        <v>S/M</v>
      </c>
      <c r="Q484" s="168" t="str">
        <f>'030523 INVENTARIO'!S484</f>
        <v>SIN SERIE</v>
      </c>
      <c r="R484" s="168" t="str">
        <f>'030523 INVENTARIO'!T484</f>
        <v>82DJ0511010029000649549</v>
      </c>
    </row>
    <row r="485" spans="5:18">
      <c r="E485" s="167" t="str">
        <f>'030523 INVENTARIO'!E485</f>
        <v>SILLON</v>
      </c>
      <c r="F485" s="167" t="str">
        <f>'030523 INVENTARIO'!F485</f>
        <v>SILLON NEGRO CON RUEDAS</v>
      </c>
      <c r="G485" s="167" t="str">
        <f ca="1">'030523 INVENTARIO'!G485</f>
        <v>P12CT-0484</v>
      </c>
      <c r="H485" s="167" t="str">
        <f>'030523 INVENTARIO'!J485</f>
        <v>P12CT-0484</v>
      </c>
      <c r="I485" s="167" t="str">
        <f>'030523 INVENTARIO'!K485</f>
        <v>P12CS-029</v>
      </c>
      <c r="J485" s="167" t="str">
        <f>'030523 INVENTARIO'!L485</f>
        <v>P1CSA-12</v>
      </c>
      <c r="K485" s="167" t="str">
        <f>'030523 INVENTARIO'!M485</f>
        <v>5120100009-44</v>
      </c>
      <c r="L485" s="168">
        <f>'030523 INVENTARIO'!N485</f>
        <v>0</v>
      </c>
      <c r="M485" s="168">
        <f>'030523 INVENTARIO'!O485</f>
        <v>0</v>
      </c>
      <c r="N485" s="168" t="str">
        <f>'030523 INVENTARIO'!P485</f>
        <v>OK</v>
      </c>
      <c r="O485" s="168" t="str">
        <f>'030523 INVENTARIO'!Q485</f>
        <v>S/M</v>
      </c>
      <c r="P485" s="167" t="str">
        <f>'030523 INVENTARIO'!R485</f>
        <v>S/M</v>
      </c>
      <c r="Q485" s="168" t="str">
        <f>'030523 INVENTARIO'!S485</f>
        <v>SIN SERIE</v>
      </c>
      <c r="R485" s="168" t="str">
        <f>'030523 INVENTARIO'!T485</f>
        <v>82DJ0512010014000649535</v>
      </c>
    </row>
    <row r="486" spans="5:18">
      <c r="E486" s="167" t="str">
        <f>'030523 INVENTARIO'!E486</f>
        <v>ESTANTE O ANAQUEL</v>
      </c>
      <c r="F486" s="167" t="str">
        <f>'030523 INVENTARIO'!F486</f>
        <v>ANAQUEL (locker) DE MADERA DE 2 PUERTAS 165X80X42</v>
      </c>
      <c r="G486" s="167" t="str">
        <f ca="1">'030523 INVENTARIO'!G486</f>
        <v>P13SO-0485</v>
      </c>
      <c r="H486" s="167" t="str">
        <f>'030523 INVENTARIO'!J486</f>
        <v>P13SO-0485</v>
      </c>
      <c r="I486" s="167" t="str">
        <f>'030523 INVENTARIO'!K486</f>
        <v>P13SO-001</v>
      </c>
      <c r="J486" s="167" t="str">
        <f>'030523 INVENTARIO'!L486</f>
        <v>P1SO-29</v>
      </c>
      <c r="K486" s="167" t="str">
        <f>'030523 INVENTARIO'!M486</f>
        <v>5290300001-6</v>
      </c>
      <c r="L486" s="168">
        <f>'030523 INVENTARIO'!N486</f>
        <v>0</v>
      </c>
      <c r="M486" s="168">
        <f>'030523 INVENTARIO'!O486</f>
        <v>0</v>
      </c>
      <c r="N486" s="168" t="str">
        <f>'030523 INVENTARIO'!P486</f>
        <v>OK</v>
      </c>
      <c r="O486" s="168" t="str">
        <f>'030523 INVENTARIO'!Q486</f>
        <v>S/M</v>
      </c>
      <c r="P486" s="167" t="str">
        <f>'030523 INVENTARIO'!R486</f>
        <v>S/M</v>
      </c>
      <c r="Q486" s="168" t="str">
        <f>'030523 INVENTARIO'!S486</f>
        <v>SIN SERIE</v>
      </c>
      <c r="R486" s="168" t="str">
        <f>'030523 INVENTARIO'!T486</f>
        <v>82DH0511010009000518514</v>
      </c>
    </row>
    <row r="487" spans="5:18">
      <c r="E487" s="167" t="str">
        <f>'030523 INVENTARIO'!E487</f>
        <v>NO BREAK</v>
      </c>
      <c r="F487" s="167" t="str">
        <f>'030523 INVENTARIO'!F487</f>
        <v>NO BREAK NEGRO</v>
      </c>
      <c r="G487" s="167" t="str">
        <f ca="1">'030523 INVENTARIO'!G487</f>
        <v>P13SO-0486</v>
      </c>
      <c r="H487" s="167" t="str">
        <f>'030523 INVENTARIO'!J487</f>
        <v>P13SO-0486</v>
      </c>
      <c r="I487" s="167" t="str">
        <f>'030523 INVENTARIO'!K487</f>
        <v>P13SO-002</v>
      </c>
      <c r="J487" s="167" t="str">
        <f>'030523 INVENTARIO'!L487</f>
        <v>P1SO-30</v>
      </c>
      <c r="K487" s="167" t="str">
        <f>'030523 INVENTARIO'!M487</f>
        <v>5150100008-13</v>
      </c>
      <c r="L487" s="168">
        <f>'030523 INVENTARIO'!N487</f>
        <v>0</v>
      </c>
      <c r="M487" s="168">
        <f>'030523 INVENTARIO'!O487</f>
        <v>0</v>
      </c>
      <c r="N487" s="168" t="str">
        <f>'030523 INVENTARIO'!P487</f>
        <v>OK</v>
      </c>
      <c r="O487" s="168" t="str">
        <f>'030523 INVENTARIO'!Q487</f>
        <v>TRIPP LITE</v>
      </c>
      <c r="P487" s="167" t="str">
        <f>'030523 INVENTARIO'!R487</f>
        <v>INTERNET550U</v>
      </c>
      <c r="Q487" s="168" t="str">
        <f>'030523 INVENTARIO'!S487</f>
        <v>9730CY0BC575600798</v>
      </c>
      <c r="R487" s="167" t="str">
        <f>'030523 INVENTARIO'!T487</f>
        <v>82DH0515010016000539084</v>
      </c>
    </row>
    <row r="488" spans="5:18">
      <c r="E488" s="167" t="str">
        <f>'030523 INVENTARIO'!E488</f>
        <v>VENTILADOR</v>
      </c>
      <c r="F488" s="167" t="str">
        <f>'030523 INVENTARIO'!F488</f>
        <v>VENTILADOR GRIS DE PARED</v>
      </c>
      <c r="G488" s="167" t="str">
        <f ca="1">'030523 INVENTARIO'!G488</f>
        <v>P13SO-0487</v>
      </c>
      <c r="H488" s="167" t="str">
        <f>'030523 INVENTARIO'!J488</f>
        <v>P13SO-0487</v>
      </c>
      <c r="I488" s="167" t="str">
        <f>'030523 INVENTARIO'!K488</f>
        <v>P13SO-003</v>
      </c>
      <c r="J488" s="167" t="str">
        <f>'030523 INVENTARIO'!L488</f>
        <v>P1SO-21</v>
      </c>
      <c r="K488" s="167" t="str">
        <f>'030523 INVENTARIO'!M488</f>
        <v>5190200002-18</v>
      </c>
      <c r="L488" s="168">
        <f>'030523 INVENTARIO'!N488</f>
        <v>0</v>
      </c>
      <c r="M488" s="168">
        <f>'030523 INVENTARIO'!O488</f>
        <v>0</v>
      </c>
      <c r="N488" s="168" t="str">
        <f>'030523 INVENTARIO'!P488</f>
        <v>OK</v>
      </c>
      <c r="O488" s="168" t="str">
        <f>'030523 INVENTARIO'!Q488</f>
        <v>NAVIA</v>
      </c>
      <c r="P488" s="167" t="str">
        <f>'030523 INVENTARIO'!R488</f>
        <v>VPN/018</v>
      </c>
      <c r="Q488" s="168" t="str">
        <f>'030523 INVENTARIO'!S488</f>
        <v>SIN SERIE</v>
      </c>
      <c r="R488" s="168" t="str">
        <f>'030523 INVENTARIO'!T488</f>
        <v>82DH0519010043000649368</v>
      </c>
    </row>
    <row r="489" spans="5:18">
      <c r="E489" s="167" t="str">
        <f>'030523 INVENTARIO'!E489</f>
        <v>MESA</v>
      </c>
      <c r="F489" s="167" t="str">
        <f>'030523 INVENTARIO'!F489</f>
        <v>MESA DE JUNTAS DE MADERA 300X120</v>
      </c>
      <c r="G489" s="167" t="str">
        <f ca="1">'030523 INVENTARIO'!G489</f>
        <v>P13SO-0488</v>
      </c>
      <c r="H489" s="167" t="str">
        <f>'030523 INVENTARIO'!J489</f>
        <v>P13SO-0488</v>
      </c>
      <c r="I489" s="167" t="str">
        <f>'030523 INVENTARIO'!K489</f>
        <v>P13SO-004</v>
      </c>
      <c r="J489" s="167" t="str">
        <f>'030523 INVENTARIO'!L489</f>
        <v>P1SO-28</v>
      </c>
      <c r="K489" s="167" t="str">
        <f>'030523 INVENTARIO'!M489</f>
        <v>5120100007-47</v>
      </c>
      <c r="L489" s="168">
        <f>'030523 INVENTARIO'!N489</f>
        <v>0</v>
      </c>
      <c r="M489" s="168">
        <f>'030523 INVENTARIO'!O489</f>
        <v>0</v>
      </c>
      <c r="N489" s="168" t="str">
        <f>'030523 INVENTARIO'!P489</f>
        <v>OK</v>
      </c>
      <c r="O489" s="168" t="str">
        <f>'030523 INVENTARIO'!Q489</f>
        <v>S/M</v>
      </c>
      <c r="P489" s="167" t="str">
        <f>'030523 INVENTARIO'!R489</f>
        <v>S/M</v>
      </c>
      <c r="Q489" s="168" t="str">
        <f>'030523 INVENTARIO'!S489</f>
        <v>SIN SERIE</v>
      </c>
      <c r="R489" s="168" t="str">
        <f>'030523 INVENTARIO'!T489</f>
        <v>82DH0531010065000564679</v>
      </c>
    </row>
    <row r="490" spans="5:18">
      <c r="E490" s="167" t="str">
        <f>'030523 INVENTARIO'!E490</f>
        <v>SILLON</v>
      </c>
      <c r="F490" s="167" t="str">
        <f>'030523 INVENTARIO'!F490</f>
        <v>SILLÓN NEGRO (silla)  DE PIEL FIJO</v>
      </c>
      <c r="G490" s="167" t="str">
        <f ca="1">'030523 INVENTARIO'!G490</f>
        <v>P13SO-0489</v>
      </c>
      <c r="H490" s="167" t="str">
        <f>'030523 INVENTARIO'!J490</f>
        <v>P13SO-0489</v>
      </c>
      <c r="I490" s="167" t="str">
        <f>'030523 INVENTARIO'!K490</f>
        <v>P13SO-005</v>
      </c>
      <c r="J490" s="167" t="str">
        <f>'030523 INVENTARIO'!L490</f>
        <v>P1SO-27</v>
      </c>
      <c r="K490" s="167" t="str">
        <f>'030523 INVENTARIO'!M490</f>
        <v>5120100009-27</v>
      </c>
      <c r="L490" s="168">
        <f>'030523 INVENTARIO'!N490</f>
        <v>0</v>
      </c>
      <c r="M490" s="168">
        <f>'030523 INVENTARIO'!O490</f>
        <v>0</v>
      </c>
      <c r="N490" s="168" t="str">
        <f>'030523 INVENTARIO'!P490</f>
        <v>OK</v>
      </c>
      <c r="O490" s="168" t="str">
        <f>'030523 INVENTARIO'!Q490</f>
        <v>S/M</v>
      </c>
      <c r="P490" s="167" t="str">
        <f>'030523 INVENTARIO'!R490</f>
        <v>S/M</v>
      </c>
      <c r="Q490" s="168" t="str">
        <f>'030523 INVENTARIO'!S490</f>
        <v>SIN SERIE</v>
      </c>
      <c r="R490" s="168" t="str">
        <f>'030523 INVENTARIO'!T490</f>
        <v>82DH0511010017000649726</v>
      </c>
    </row>
    <row r="491" spans="5:18">
      <c r="E491" s="167" t="str">
        <f>'030523 INVENTARIO'!E491</f>
        <v>SILLA</v>
      </c>
      <c r="F491" s="167" t="str">
        <f>'030523 INVENTARIO'!F491</f>
        <v>SILLA NEGRA FIJA</v>
      </c>
      <c r="G491" s="167" t="str">
        <f ca="1">'030523 INVENTARIO'!G491</f>
        <v>P13SO-0492</v>
      </c>
      <c r="H491" s="167" t="str">
        <f>'030523 INVENTARIO'!J491</f>
        <v>P13SO-0490</v>
      </c>
      <c r="I491" s="167" t="str">
        <f>'030523 INVENTARIO'!K491</f>
        <v>P13SO-006</v>
      </c>
      <c r="J491" s="167" t="str">
        <f>'030523 INVENTARIO'!L491</f>
        <v>P1SO-26</v>
      </c>
      <c r="K491" s="167" t="str">
        <f>'030523 INVENTARIO'!M491</f>
        <v>5110100011-28</v>
      </c>
      <c r="L491" s="168">
        <f>'030523 INVENTARIO'!N491</f>
        <v>0</v>
      </c>
      <c r="M491" s="168">
        <f>'030523 INVENTARIO'!O491</f>
        <v>0</v>
      </c>
      <c r="N491" s="168" t="str">
        <f>'030523 INVENTARIO'!P491</f>
        <v>OK</v>
      </c>
      <c r="O491" s="168" t="str">
        <f>'030523 INVENTARIO'!Q491</f>
        <v>S/M</v>
      </c>
      <c r="P491" s="167" t="str">
        <f>'030523 INVENTARIO'!R491</f>
        <v>S/M</v>
      </c>
      <c r="Q491" s="168" t="str">
        <f>'030523 INVENTARIO'!S491</f>
        <v>SIN SERIE</v>
      </c>
      <c r="R491" s="168" t="str">
        <f>'030523 INVENTARIO'!T491</f>
        <v>82DH0511010017000649727</v>
      </c>
    </row>
    <row r="492" spans="5:18">
      <c r="E492" s="167" t="str">
        <f>'030523 INVENTARIO'!E492</f>
        <v>SILLA</v>
      </c>
      <c r="F492" s="167" t="str">
        <f>'030523 INVENTARIO'!F492</f>
        <v>SILLA NEGRA FIJA</v>
      </c>
      <c r="G492" s="167" t="str">
        <f ca="1">'030523 INVENTARIO'!G492</f>
        <v>P13SO-0491</v>
      </c>
      <c r="H492" s="167" t="str">
        <f>'030523 INVENTARIO'!J492</f>
        <v>P13SO-0491</v>
      </c>
      <c r="I492" s="167" t="str">
        <f>'030523 INVENTARIO'!K492</f>
        <v>P13SO-007</v>
      </c>
      <c r="J492" s="167" t="str">
        <f>'030523 INVENTARIO'!L492</f>
        <v>P1SO-24</v>
      </c>
      <c r="K492" s="167" t="str">
        <f>'030523 INVENTARIO'!M492</f>
        <v>5110100011-26</v>
      </c>
      <c r="L492" s="168">
        <f>'030523 INVENTARIO'!N492</f>
        <v>0</v>
      </c>
      <c r="M492" s="168">
        <f>'030523 INVENTARIO'!O492</f>
        <v>0</v>
      </c>
      <c r="N492" s="168" t="str">
        <f>'030523 INVENTARIO'!P492</f>
        <v>OK</v>
      </c>
      <c r="O492" s="168" t="str">
        <f>'030523 INVENTARIO'!Q492</f>
        <v>S/M</v>
      </c>
      <c r="P492" s="167" t="str">
        <f>'030523 INVENTARIO'!R492</f>
        <v>S/M</v>
      </c>
      <c r="Q492" s="168" t="str">
        <f>'030523 INVENTARIO'!S492</f>
        <v>SIN SERIE</v>
      </c>
      <c r="R492" s="168" t="str">
        <f>'030523 INVENTARIO'!T492</f>
        <v>82DH0511010017000649729</v>
      </c>
    </row>
    <row r="493" spans="5:18">
      <c r="E493" s="167" t="str">
        <f>'030523 INVENTARIO'!E493</f>
        <v>SILLA</v>
      </c>
      <c r="F493" s="167" t="str">
        <f>'030523 INVENTARIO'!F493</f>
        <v>SILLA NEGRA FIJA</v>
      </c>
      <c r="G493" s="167" t="str">
        <f ca="1">'030523 INVENTARIO'!G493</f>
        <v>P15RM-0492</v>
      </c>
      <c r="H493" s="167" t="str">
        <f>'030523 INVENTARIO'!J493</f>
        <v>P13SO-0492</v>
      </c>
      <c r="I493" s="167" t="str">
        <f>'030523 INVENTARIO'!K493</f>
        <v>P13SO-008</v>
      </c>
      <c r="J493" s="167" t="str">
        <f>'030523 INVENTARIO'!L493</f>
        <v>P1SO-23</v>
      </c>
      <c r="K493" s="167" t="str">
        <f>'030523 INVENTARIO'!M493</f>
        <v>5110100011-25</v>
      </c>
      <c r="L493" s="168">
        <f>'030523 INVENTARIO'!N493</f>
        <v>0</v>
      </c>
      <c r="M493" s="168">
        <f>'030523 INVENTARIO'!O493</f>
        <v>0</v>
      </c>
      <c r="N493" s="168" t="str">
        <f>'030523 INVENTARIO'!P493</f>
        <v>OK</v>
      </c>
      <c r="O493" s="168" t="str">
        <f>'030523 INVENTARIO'!Q493</f>
        <v>S/M</v>
      </c>
      <c r="P493" s="167" t="str">
        <f>'030523 INVENTARIO'!R493</f>
        <v>S/M</v>
      </c>
      <c r="Q493" s="168" t="str">
        <f>'030523 INVENTARIO'!S493</f>
        <v>SIN SERIE</v>
      </c>
      <c r="R493" s="168" t="str">
        <f>'030523 INVENTARIO'!T493</f>
        <v>82DH0511010017000649730</v>
      </c>
    </row>
    <row r="494" spans="5:18">
      <c r="E494" s="167" t="str">
        <f>'030523 INVENTARIO'!E494</f>
        <v>SILLA</v>
      </c>
      <c r="F494" s="167" t="str">
        <f>'030523 INVENTARIO'!F494</f>
        <v>SILLA NEGRA FIJA</v>
      </c>
      <c r="G494" s="167" t="str">
        <f ca="1">'030523 INVENTARIO'!G494</f>
        <v>P13LP-0493</v>
      </c>
      <c r="H494" s="167" t="str">
        <f>'030523 INVENTARIO'!J494</f>
        <v>P13SO-0493</v>
      </c>
      <c r="I494" s="167" t="str">
        <f>'030523 INVENTARIO'!K494</f>
        <v>P13SO-009</v>
      </c>
      <c r="J494" s="167" t="str">
        <f>'030523 INVENTARIO'!L494</f>
        <v>P1SO-17</v>
      </c>
      <c r="K494" s="167" t="str">
        <f>'030523 INVENTARIO'!M494</f>
        <v>5110100011-23</v>
      </c>
      <c r="L494" s="168">
        <f>'030523 INVENTARIO'!N494</f>
        <v>0</v>
      </c>
      <c r="M494" s="168">
        <f>'030523 INVENTARIO'!O494</f>
        <v>0</v>
      </c>
      <c r="N494" s="168" t="str">
        <f>'030523 INVENTARIO'!P494</f>
        <v>OK</v>
      </c>
      <c r="O494" s="168" t="str">
        <f>'030523 INVENTARIO'!Q494</f>
        <v>S/M</v>
      </c>
      <c r="P494" s="167" t="str">
        <f>'030523 INVENTARIO'!R494</f>
        <v>S/M</v>
      </c>
      <c r="Q494" s="168" t="str">
        <f>'030523 INVENTARIO'!S494</f>
        <v>SIN SERIE</v>
      </c>
      <c r="R494" s="168" t="str">
        <f>'030523 INVENTARIO'!T494</f>
        <v>82DH0511010017000651106</v>
      </c>
    </row>
    <row r="495" spans="5:18">
      <c r="E495" s="167" t="str">
        <f>'030523 INVENTARIO'!E495</f>
        <v>SILLA</v>
      </c>
      <c r="F495" s="167" t="str">
        <f>'030523 INVENTARIO'!F495</f>
        <v>SILLA NEGRA FIJA</v>
      </c>
      <c r="G495" s="167" t="str">
        <f ca="1">'030523 INVENTARIO'!G495</f>
        <v>P05RM-0494</v>
      </c>
      <c r="H495" s="167" t="str">
        <f>'030523 INVENTARIO'!J495</f>
        <v>P13SO-0494</v>
      </c>
      <c r="I495" s="167" t="str">
        <f>'030523 INVENTARIO'!K495</f>
        <v>P13SO-010</v>
      </c>
      <c r="J495" s="167" t="str">
        <f>'030523 INVENTARIO'!L495</f>
        <v>P1SO-25</v>
      </c>
      <c r="K495" s="167" t="str">
        <f>'030523 INVENTARIO'!M495</f>
        <v>5110100011-27</v>
      </c>
      <c r="L495" s="168">
        <f>'030523 INVENTARIO'!N495</f>
        <v>0</v>
      </c>
      <c r="M495" s="168">
        <f>'030523 INVENTARIO'!O495</f>
        <v>0</v>
      </c>
      <c r="N495" s="168" t="str">
        <f>'030523 INVENTARIO'!P495</f>
        <v>OK</v>
      </c>
      <c r="O495" s="168" t="str">
        <f>'030523 INVENTARIO'!Q495</f>
        <v>S/M</v>
      </c>
      <c r="P495" s="167" t="str">
        <f>'030523 INVENTARIO'!R495</f>
        <v>S/M</v>
      </c>
      <c r="Q495" s="168" t="str">
        <f>'030523 INVENTARIO'!S495</f>
        <v>SIN SERIE</v>
      </c>
      <c r="R495" s="168" t="str">
        <f>'030523 INVENTARIO'!T495</f>
        <v>82DH0511010017000649728</v>
      </c>
    </row>
    <row r="496" spans="5:18">
      <c r="E496" s="167" t="str">
        <f>'030523 INVENTARIO'!E496</f>
        <v>MESA</v>
      </c>
      <c r="F496" s="167" t="str">
        <f>'030523 INVENTARIO'!F496</f>
        <v>MESA COMPLEMENTO</v>
      </c>
      <c r="G496" s="167" t="str">
        <f ca="1">'030523 INVENTARIO'!G496</f>
        <v>P13SO-0495</v>
      </c>
      <c r="H496" s="167" t="str">
        <f>'030523 INVENTARIO'!J496</f>
        <v>P13SO-0495</v>
      </c>
      <c r="I496" s="167">
        <f>'030523 INVENTARIO'!K496</f>
        <v>0</v>
      </c>
      <c r="J496" s="167" t="str">
        <f>'030523 INVENTARIO'!L496</f>
        <v>P1SO-35</v>
      </c>
      <c r="K496" s="167" t="str">
        <f>'030523 INVENTARIO'!M496</f>
        <v>5120100007-53</v>
      </c>
      <c r="L496" s="168">
        <f>'030523 INVENTARIO'!N496</f>
        <v>0</v>
      </c>
      <c r="M496" s="168">
        <f>'030523 INVENTARIO'!O496</f>
        <v>0</v>
      </c>
      <c r="N496" s="168" t="str">
        <f>'030523 INVENTARIO'!P496</f>
        <v>OK</v>
      </c>
      <c r="O496" s="168" t="str">
        <f>'030523 INVENTARIO'!Q496</f>
        <v>S/M</v>
      </c>
      <c r="P496" s="167" t="str">
        <f>'030523 INVENTARIO'!R496</f>
        <v>S/M</v>
      </c>
      <c r="Q496" s="168" t="str">
        <f>'030523 INVENTARIO'!S496</f>
        <v>SIN SERIE</v>
      </c>
      <c r="R496" s="168" t="str">
        <f>'030523 INVENTARIO'!T496</f>
        <v>82DJ0531010065000564825</v>
      </c>
    </row>
    <row r="497" spans="5:18">
      <c r="E497" s="167" t="str">
        <f>'030523 INVENTARIO'!E497</f>
        <v>CREDENZA</v>
      </c>
      <c r="F497" s="167" t="str">
        <f>'030523 INVENTARIO'!F497</f>
        <v>CREDENZA DE MADERA</v>
      </c>
      <c r="G497" s="167" t="str">
        <f ca="1">'030523 INVENTARIO'!G497</f>
        <v>P13SO-0496</v>
      </c>
      <c r="H497" s="167" t="str">
        <f>'030523 INVENTARIO'!J497</f>
        <v>P13SO-0496</v>
      </c>
      <c r="I497" s="167">
        <f>'030523 INVENTARIO'!K497</f>
        <v>0</v>
      </c>
      <c r="J497" s="167" t="str">
        <f>'030523 INVENTARIO'!L497</f>
        <v>P1SO-37</v>
      </c>
      <c r="K497" s="167" t="str">
        <f>'030523 INVENTARIO'!M497</f>
        <v>5110100014-5</v>
      </c>
      <c r="L497" s="168">
        <f>'030523 INVENTARIO'!N497</f>
        <v>0</v>
      </c>
      <c r="M497" s="168">
        <f>'030523 INVENTARIO'!O497</f>
        <v>0</v>
      </c>
      <c r="N497" s="168" t="str">
        <f>'030523 INVENTARIO'!P497</f>
        <v>OK</v>
      </c>
      <c r="O497" s="168" t="str">
        <f>'030523 INVENTARIO'!Q497</f>
        <v>S/M</v>
      </c>
      <c r="P497" s="167" t="str">
        <f>'030523 INVENTARIO'!R497</f>
        <v>S/M</v>
      </c>
      <c r="Q497" s="168" t="str">
        <f>'030523 INVENTARIO'!S497</f>
        <v>SIN SERIE</v>
      </c>
      <c r="R497" s="168" t="str">
        <f>'030523 INVENTARIO'!T497</f>
        <v>82DH0511010005000649738</v>
      </c>
    </row>
    <row r="498" spans="5:18">
      <c r="E498" s="167" t="str">
        <f>'030523 INVENTARIO'!E498</f>
        <v>MODULO</v>
      </c>
      <c r="F498" s="168" t="str">
        <f>'030523 INVENTARIO'!F498</f>
        <v>MODULO DE MADERA 2 PIEZAS</v>
      </c>
      <c r="G498" s="167" t="str">
        <f ca="1">'030523 INVENTARIO'!G498</f>
        <v>P13SO-0497</v>
      </c>
      <c r="H498" s="167" t="str">
        <f>'030523 INVENTARIO'!J498</f>
        <v>P13SO-0497</v>
      </c>
      <c r="I498" s="167">
        <f>'030523 INVENTARIO'!K498</f>
        <v>0</v>
      </c>
      <c r="J498" s="167" t="str">
        <f>'030523 INVENTARIO'!L498</f>
        <v>P1SO-15</v>
      </c>
      <c r="K498" s="168" t="str">
        <f>'030523 INVENTARIO'!M498</f>
        <v>5120100007-46</v>
      </c>
      <c r="L498" s="168">
        <f>'030523 INVENTARIO'!N498</f>
        <v>0</v>
      </c>
      <c r="M498" s="168">
        <f>'030523 INVENTARIO'!O498</f>
        <v>0</v>
      </c>
      <c r="N498" s="168" t="str">
        <f>'030523 INVENTARIO'!P498</f>
        <v>OK</v>
      </c>
      <c r="O498" s="168" t="str">
        <f>'030523 INVENTARIO'!Q498</f>
        <v>S/M</v>
      </c>
      <c r="P498" s="167" t="str">
        <f>'030523 INVENTARIO'!R498</f>
        <v>S/M</v>
      </c>
      <c r="Q498" s="168" t="str">
        <f>'030523 INVENTARIO'!S498</f>
        <v>SIN SERIE</v>
      </c>
      <c r="R498" s="168" t="str">
        <f>'030523 INVENTARIO'!T498</f>
        <v>82DH0511010029000649737</v>
      </c>
    </row>
    <row r="499" spans="5:18">
      <c r="E499" s="167" t="str">
        <f>'030523 INVENTARIO'!E499</f>
        <v>ESCRITORIO</v>
      </c>
      <c r="F499" s="167" t="str">
        <f>'030523 INVENTARIO'!F499</f>
        <v>ESCRITORIO DE MADERA  TIPO UDE 4 PIEZAS</v>
      </c>
      <c r="G499" s="167" t="str">
        <f ca="1">'030523 INVENTARIO'!G499</f>
        <v>P13SO-0498</v>
      </c>
      <c r="H499" s="167" t="str">
        <f>'030523 INVENTARIO'!J499</f>
        <v>P13SO-0498</v>
      </c>
      <c r="I499" s="167" t="str">
        <f>'030523 INVENTARIO'!K499</f>
        <v>P13SO-011</v>
      </c>
      <c r="J499" s="167" t="str">
        <f>'030523 INVENTARIO'!L499</f>
        <v>P1SO-14</v>
      </c>
      <c r="K499" s="167" t="str">
        <f>'030523 INVENTARIO'!M499</f>
        <v>5110100015-23</v>
      </c>
      <c r="L499" s="168">
        <f>'030523 INVENTARIO'!N499</f>
        <v>0</v>
      </c>
      <c r="M499" s="168">
        <f>'030523 INVENTARIO'!O499</f>
        <v>0</v>
      </c>
      <c r="N499" s="168" t="str">
        <f>'030523 INVENTARIO'!P499</f>
        <v>OK</v>
      </c>
      <c r="O499" s="168" t="str">
        <f>'030523 INVENTARIO'!Q499</f>
        <v>S/M</v>
      </c>
      <c r="P499" s="167" t="str">
        <f>'030523 INVENTARIO'!R499</f>
        <v>S/M</v>
      </c>
      <c r="Q499" s="168" t="str">
        <f>'030523 INVENTARIO'!S499</f>
        <v>SIN SERIE</v>
      </c>
      <c r="R499" s="168" t="str">
        <f>'030523 INVENTARIO'!T499</f>
        <v>82DH0511010006000583442</v>
      </c>
    </row>
    <row r="500" spans="5:18">
      <c r="E500" s="167" t="str">
        <f>'030523 INVENTARIO'!E500</f>
        <v>SILLON</v>
      </c>
      <c r="F500" s="167" t="str">
        <f>'030523 INVENTARIO'!F500</f>
        <v>SILLON DE PIEL NEGRO  DE VINIPIEL CON RUEDAS</v>
      </c>
      <c r="G500" s="167" t="str">
        <f ca="1">'030523 INVENTARIO'!G500</f>
        <v>P13SO-0499</v>
      </c>
      <c r="H500" s="167" t="str">
        <f>'030523 INVENTARIO'!J500</f>
        <v>P13SO-0499</v>
      </c>
      <c r="I500" s="167" t="str">
        <f>'030523 INVENTARIO'!K500</f>
        <v>P13SO-012</v>
      </c>
      <c r="J500" s="167" t="str">
        <f>'030523 INVENTARIO'!L500</f>
        <v>P1SO-36</v>
      </c>
      <c r="K500" s="167" t="str">
        <f>'030523 INVENTARIO'!M500</f>
        <v>5120100009-28</v>
      </c>
      <c r="L500" s="168">
        <f>'030523 INVENTARIO'!N500</f>
        <v>0</v>
      </c>
      <c r="M500" s="168">
        <f>'030523 INVENTARIO'!O500</f>
        <v>0</v>
      </c>
      <c r="N500" s="168" t="str">
        <f>'030523 INVENTARIO'!P500</f>
        <v>OK</v>
      </c>
      <c r="O500" s="168" t="str">
        <f>'030523 INVENTARIO'!Q500</f>
        <v>S/M</v>
      </c>
      <c r="P500" s="167" t="str">
        <f>'030523 INVENTARIO'!R500</f>
        <v>S/M</v>
      </c>
      <c r="Q500" s="168" t="str">
        <f>'030523 INVENTARIO'!S500</f>
        <v>SIN SERIE</v>
      </c>
      <c r="R500" s="168" t="str">
        <f>'030523 INVENTARIO'!T500</f>
        <v>82DH0511010016000649731</v>
      </c>
    </row>
    <row r="501" spans="5:18">
      <c r="E501" s="167" t="str">
        <f>'030523 INVENTARIO'!E501</f>
        <v>COMPLEMENTARIO DE EQUIPO DE COMPUTO</v>
      </c>
      <c r="F501" s="168" t="str">
        <f>'030523 INVENTARIO'!F501</f>
        <v>COMPLEMENTO DE EQUIPO DE MADERA</v>
      </c>
      <c r="G501" s="167" t="str">
        <f ca="1">'030523 INVENTARIO'!G501</f>
        <v>P13SO-0500</v>
      </c>
      <c r="H501" s="167" t="str">
        <f>'030523 INVENTARIO'!J501</f>
        <v>P13SO-0500</v>
      </c>
      <c r="I501" s="167" t="str">
        <f>'030523 INVENTARIO'!K501</f>
        <v>P13SO-013</v>
      </c>
      <c r="J501" s="167" t="str">
        <f>'030523 INVENTARIO'!L501</f>
        <v>P1SO-18</v>
      </c>
      <c r="K501" s="167" t="str">
        <f>'030523 INVENTARIO'!M501</f>
        <v>5120100004-7</v>
      </c>
      <c r="L501" s="168">
        <f>'030523 INVENTARIO'!N501</f>
        <v>0</v>
      </c>
      <c r="M501" s="168">
        <f>'030523 INVENTARIO'!O501</f>
        <v>0</v>
      </c>
      <c r="N501" s="168" t="str">
        <f>'030523 INVENTARIO'!P501</f>
        <v>OK</v>
      </c>
      <c r="O501" s="168" t="str">
        <f>'030523 INVENTARIO'!Q501</f>
        <v>S/M</v>
      </c>
      <c r="P501" s="167" t="str">
        <f>'030523 INVENTARIO'!R501</f>
        <v>S/M</v>
      </c>
      <c r="Q501" s="168" t="str">
        <f>'030523 INVENTARIO'!S501</f>
        <v>SIN SERIE</v>
      </c>
      <c r="R501" s="168" t="str">
        <f>'030523 INVENTARIO'!T501</f>
        <v>82DH0515010033000564633</v>
      </c>
    </row>
    <row r="502" spans="5:18">
      <c r="E502" s="167" t="str">
        <f>'030523 INVENTARIO'!E502</f>
        <v>NO BREAK</v>
      </c>
      <c r="F502" s="168" t="str">
        <f>'030523 INVENTARIO'!F502</f>
        <v>NO BREAK NEGRO FORZA</v>
      </c>
      <c r="G502" s="167" t="str">
        <f ca="1">'030523 INVENTARIO'!G502</f>
        <v>P13SO-0501</v>
      </c>
      <c r="H502" s="167" t="str">
        <f>'030523 INVENTARIO'!J502</f>
        <v>P13SO-0501</v>
      </c>
      <c r="I502" s="167" t="str">
        <f>'030523 INVENTARIO'!K502</f>
        <v>P13SO-014</v>
      </c>
      <c r="J502" s="167" t="str">
        <f>'030523 INVENTARIO'!L502</f>
        <v>P1SO-63</v>
      </c>
      <c r="K502" s="167" t="str">
        <f>'030523 INVENTARIO'!M502</f>
        <v>5150100008-14</v>
      </c>
      <c r="L502" s="168">
        <f>'030523 INVENTARIO'!N502</f>
        <v>0</v>
      </c>
      <c r="M502" s="168">
        <f>'030523 INVENTARIO'!O502</f>
        <v>0</v>
      </c>
      <c r="N502" s="168" t="str">
        <f>'030523 INVENTARIO'!P502</f>
        <v>OK</v>
      </c>
      <c r="O502" s="168" t="str">
        <f>'030523 INVENTARIO'!Q502</f>
        <v>FORZA</v>
      </c>
      <c r="P502" s="167" t="str">
        <f>'030523 INVENTARIO'!R502</f>
        <v>NT751</v>
      </c>
      <c r="Q502" s="168" t="str">
        <f>'030523 INVENTARIO'!S502</f>
        <v>181222508479</v>
      </c>
      <c r="R502" s="167" t="str">
        <f>'030523 INVENTARIO'!T502</f>
        <v>82DH0515010016000649417</v>
      </c>
    </row>
    <row r="503" spans="5:18">
      <c r="E503" s="167" t="str">
        <f>'030523 INVENTARIO'!E503</f>
        <v>TELEFONO</v>
      </c>
      <c r="F503" s="167" t="str">
        <f>'030523 INVENTARIO'!F503</f>
        <v>TELEFONO GRIS</v>
      </c>
      <c r="G503" s="167" t="str">
        <f ca="1">'030523 INVENTARIO'!G503</f>
        <v>P13SO-0502</v>
      </c>
      <c r="H503" s="167" t="str">
        <f>'030523 INVENTARIO'!J503</f>
        <v>P13SO-0502</v>
      </c>
      <c r="I503" s="167" t="str">
        <f>'030523 INVENTARIO'!K503</f>
        <v>P13SO-015</v>
      </c>
      <c r="J503" s="167" t="str">
        <f>'030523 INVENTARIO'!L503</f>
        <v>P1SO-39</v>
      </c>
      <c r="K503" s="167" t="str">
        <f>'030523 INVENTARIO'!M503</f>
        <v>5650100010-10</v>
      </c>
      <c r="L503" s="168">
        <f>'030523 INVENTARIO'!N503</f>
        <v>0</v>
      </c>
      <c r="M503" s="168">
        <f>'030523 INVENTARIO'!O503</f>
        <v>0</v>
      </c>
      <c r="N503" s="168" t="str">
        <f>'030523 INVENTARIO'!P503</f>
        <v>OK</v>
      </c>
      <c r="O503" s="168" t="str">
        <f>'030523 INVENTARIO'!Q503</f>
        <v>CISCO</v>
      </c>
      <c r="P503" s="167" t="str">
        <f>'030523 INVENTARIO'!R503</f>
        <v>SPA504G</v>
      </c>
      <c r="Q503" s="168" t="str">
        <f>'030523 INVENTARIO'!S503</f>
        <v>CCQ17280CCQ</v>
      </c>
      <c r="R503" s="168" t="str">
        <f>'030523 INVENTARIO'!T503</f>
        <v>82DH0565010001000649717</v>
      </c>
    </row>
    <row r="504" spans="5:18">
      <c r="E504" s="167" t="str">
        <f>'030523 INVENTARIO'!E504</f>
        <v>IMPRESORA</v>
      </c>
      <c r="F504" s="167" t="str">
        <f>'030523 INVENTARIO'!F504</f>
        <v>IMPRESORA BLANCA CON NEGRO HP</v>
      </c>
      <c r="G504" s="167" t="str">
        <f ca="1">'030523 INVENTARIO'!G504</f>
        <v>P13SO-0503</v>
      </c>
      <c r="H504" s="167" t="str">
        <f>'030523 INVENTARIO'!J504</f>
        <v>P13SO-0503</v>
      </c>
      <c r="I504" s="167" t="str">
        <f>'030523 INVENTARIO'!K504</f>
        <v>P13SO-016</v>
      </c>
      <c r="J504" s="167" t="str">
        <f>'030523 INVENTARIO'!L504</f>
        <v>P1SO-32</v>
      </c>
      <c r="K504" s="167" t="str">
        <f>'030523 INVENTARIO'!M504</f>
        <v>5150100007-4</v>
      </c>
      <c r="L504" s="168">
        <f>'030523 INVENTARIO'!N504</f>
        <v>0</v>
      </c>
      <c r="M504" s="168">
        <f>'030523 INVENTARIO'!O504</f>
        <v>0</v>
      </c>
      <c r="N504" s="168" t="str">
        <f>'030523 INVENTARIO'!P504</f>
        <v>OK</v>
      </c>
      <c r="O504" s="168" t="str">
        <f>'030523 INVENTARIO'!Q504</f>
        <v>HP</v>
      </c>
      <c r="P504" s="167" t="str">
        <f>'030523 INVENTARIO'!R504</f>
        <v>LASERJET CP1025NW</v>
      </c>
      <c r="Q504" s="168" t="str">
        <f>'030523 INVENTARIO'!S504</f>
        <v>CND2D02787</v>
      </c>
      <c r="R504" s="168" t="str">
        <f>'030523 INVENTARIO'!T504</f>
        <v>82DH0515010010000519351</v>
      </c>
    </row>
    <row r="505" spans="5:18">
      <c r="E505" s="167" t="str">
        <f>'030523 INVENTARIO'!E505</f>
        <v>COMPLEMENTARIO DE EQUIPO DE COMPUTO</v>
      </c>
      <c r="F505" s="168" t="str">
        <f>'030523 INVENTARIO'!F505</f>
        <v>COMPLEMENTO DE EQUIPO DE MADERA</v>
      </c>
      <c r="G505" s="167" t="str">
        <f ca="1">'030523 INVENTARIO'!G505</f>
        <v>P13SO-0504</v>
      </c>
      <c r="H505" s="167" t="str">
        <f>'030523 INVENTARIO'!J505</f>
        <v>P13SO-0504</v>
      </c>
      <c r="I505" s="167" t="str">
        <f>'030523 INVENTARIO'!K505</f>
        <v>P13SO-017</v>
      </c>
      <c r="J505" s="167" t="str">
        <f>'030523 INVENTARIO'!L505</f>
        <v>P1SO-34</v>
      </c>
      <c r="K505" s="167" t="str">
        <f>'030523 INVENTARIO'!M505</f>
        <v>5120100004-6</v>
      </c>
      <c r="L505" s="168">
        <f>'030523 INVENTARIO'!N505</f>
        <v>0</v>
      </c>
      <c r="M505" s="168">
        <f>'030523 INVENTARIO'!O505</f>
        <v>0</v>
      </c>
      <c r="N505" s="168" t="str">
        <f>'030523 INVENTARIO'!P505</f>
        <v>OK</v>
      </c>
      <c r="O505" s="168" t="str">
        <f>'030523 INVENTARIO'!Q505</f>
        <v>S/M</v>
      </c>
      <c r="P505" s="167" t="str">
        <f>'030523 INVENTARIO'!R505</f>
        <v>S/M</v>
      </c>
      <c r="Q505" s="168" t="str">
        <f>'030523 INVENTARIO'!S505</f>
        <v>SIN SERIE</v>
      </c>
      <c r="R505" s="168" t="str">
        <f>'030523 INVENTARIO'!T505</f>
        <v>82DH0515010033000564635</v>
      </c>
    </row>
    <row r="506" spans="5:18">
      <c r="E506" s="167" t="str">
        <f>'030523 INVENTARIO'!E506</f>
        <v>COMPUTADORA DE ESCRITORIO</v>
      </c>
      <c r="F506" s="167" t="str">
        <f>'030523 INVENTARIO'!F506</f>
        <v>COMPUTADORA DE ESCRITORIO ACTEK</v>
      </c>
      <c r="G506" s="167" t="str">
        <f ca="1">'030523 INVENTARIO'!G506</f>
        <v>P13SO-0505</v>
      </c>
      <c r="H506" s="167" t="str">
        <f>'030523 INVENTARIO'!J506</f>
        <v>P13SO-0505</v>
      </c>
      <c r="I506" s="167" t="str">
        <f>'030523 INVENTARIO'!K506</f>
        <v>P13SO-018</v>
      </c>
      <c r="J506" s="167">
        <f>'030523 INVENTARIO'!L506</f>
        <v>0</v>
      </c>
      <c r="K506" s="167" t="str">
        <f>'030523 INVENTARIO'!M506</f>
        <v>5150100005-133</v>
      </c>
      <c r="L506" s="168">
        <f>'030523 INVENTARIO'!N506</f>
        <v>0</v>
      </c>
      <c r="M506" s="168">
        <f>'030523 INVENTARIO'!O506</f>
        <v>0</v>
      </c>
      <c r="N506" s="168" t="str">
        <f>'030523 INVENTARIO'!P506</f>
        <v>OK</v>
      </c>
      <c r="O506" s="168" t="str">
        <f>'030523 INVENTARIO'!Q506</f>
        <v>ACTECK</v>
      </c>
      <c r="P506" s="167" t="str">
        <f>'030523 INVENTARIO'!R506</f>
        <v>LINX</v>
      </c>
      <c r="Q506" s="167">
        <f>'030523 INVENTARIO'!S506</f>
        <v>11392903012354</v>
      </c>
      <c r="R506" s="167" t="str">
        <f>'030523 INVENTARIO'!T506</f>
        <v>SIN RESGUARDO</v>
      </c>
    </row>
    <row r="507" spans="5:18">
      <c r="E507" s="167" t="str">
        <f>'030523 INVENTARIO'!E507</f>
        <v>MONITOR</v>
      </c>
      <c r="F507" s="167" t="str">
        <f>'030523 INVENTARIO'!F507</f>
        <v>MONITOR 21" ACER</v>
      </c>
      <c r="G507" s="167" t="str">
        <f ca="1">'030523 INVENTARIO'!G507</f>
        <v>P13SO-0506</v>
      </c>
      <c r="H507" s="167" t="str">
        <f>'030523 INVENTARIO'!J507</f>
        <v>P13SO-0506</v>
      </c>
      <c r="I507" s="167" t="str">
        <f>'030523 INVENTARIO'!K507</f>
        <v>P13SO-019</v>
      </c>
      <c r="J507" s="167">
        <f>'030523 INVENTARIO'!L507</f>
        <v>0</v>
      </c>
      <c r="K507" s="167" t="str">
        <f>'030523 INVENTARIO'!M507</f>
        <v>5150100005-134</v>
      </c>
      <c r="L507" s="168">
        <f>'030523 INVENTARIO'!N507</f>
        <v>0</v>
      </c>
      <c r="M507" s="168">
        <f>'030523 INVENTARIO'!O507</f>
        <v>0</v>
      </c>
      <c r="N507" s="168" t="str">
        <f>'030523 INVENTARIO'!P507</f>
        <v>OK</v>
      </c>
      <c r="O507" s="168" t="str">
        <f>'030523 INVENTARIO'!Q507</f>
        <v>ACER</v>
      </c>
      <c r="P507" s="167" t="str">
        <f>'030523 INVENTARIO'!R507</f>
        <v>V226HQL</v>
      </c>
      <c r="Q507" s="167" t="str">
        <f>'030523 INVENTARIO'!S507</f>
        <v>MMTAASAA007052057853P00</v>
      </c>
      <c r="R507" s="167" t="str">
        <f>'030523 INVENTARIO'!T507</f>
        <v>SIN RESGUARDO</v>
      </c>
    </row>
    <row r="508" spans="5:18">
      <c r="E508" s="167" t="str">
        <f>'030523 INVENTARIO'!E508</f>
        <v>PIZARRON</v>
      </c>
      <c r="F508" s="167" t="str">
        <f>'030523 INVENTARIO'!F508</f>
        <v>PIZARRON BLANCO 240X120</v>
      </c>
      <c r="G508" s="167" t="str">
        <f ca="1">'030523 INVENTARIO'!G508</f>
        <v>P13SO-0507</v>
      </c>
      <c r="H508" s="167" t="str">
        <f>'030523 INVENTARIO'!J508</f>
        <v>P13SO-0507</v>
      </c>
      <c r="I508" s="167" t="str">
        <f>'030523 INVENTARIO'!K508</f>
        <v>P13SO-020</v>
      </c>
      <c r="J508" s="167" t="str">
        <f>'030523 INVENTARIO'!L508</f>
        <v>P1SO-40</v>
      </c>
      <c r="K508" s="167" t="str">
        <f>'030523 INVENTARIO'!M508</f>
        <v>5290100025-4</v>
      </c>
      <c r="L508" s="168">
        <f>'030523 INVENTARIO'!N508</f>
        <v>0</v>
      </c>
      <c r="M508" s="168">
        <f>'030523 INVENTARIO'!O508</f>
        <v>0</v>
      </c>
      <c r="N508" s="168" t="str">
        <f>'030523 INVENTARIO'!P508</f>
        <v>OK</v>
      </c>
      <c r="O508" s="168" t="str">
        <f>'030523 INVENTARIO'!Q508</f>
        <v>S/M</v>
      </c>
      <c r="P508" s="167" t="str">
        <f>'030523 INVENTARIO'!R508</f>
        <v>S/M</v>
      </c>
      <c r="Q508" s="168" t="str">
        <f>'030523 INVENTARIO'!S508</f>
        <v>SIN SERIE</v>
      </c>
      <c r="R508" s="168" t="str">
        <f>'030523 INVENTARIO'!T508</f>
        <v>82DH0529030003000649718</v>
      </c>
    </row>
    <row r="509" spans="5:18">
      <c r="E509" s="167" t="str">
        <f>'030523 INVENTARIO'!E509</f>
        <v>MESA</v>
      </c>
      <c r="F509" s="167" t="str">
        <f>'030523 INVENTARIO'!F509</f>
        <v>MESA BLANCA CON BASE DE METAL 60X40</v>
      </c>
      <c r="G509" s="167" t="str">
        <f ca="1">'030523 INVENTARIO'!G509</f>
        <v>P13SO-0508</v>
      </c>
      <c r="H509" s="167" t="str">
        <f>'030523 INVENTARIO'!J509</f>
        <v>P13SO-0508</v>
      </c>
      <c r="I509" s="167" t="str">
        <f>'030523 INVENTARIO'!K509</f>
        <v>P13SO-021</v>
      </c>
      <c r="J509" s="167" t="str">
        <f>'030523 INVENTARIO'!L509</f>
        <v>P1SO-41</v>
      </c>
      <c r="K509" s="167" t="str">
        <f>'030523 INVENTARIO'!M509</f>
        <v>5120100007-50</v>
      </c>
      <c r="L509" s="168">
        <f>'030523 INVENTARIO'!N509</f>
        <v>0</v>
      </c>
      <c r="M509" s="168">
        <f>'030523 INVENTARIO'!O509</f>
        <v>0</v>
      </c>
      <c r="N509" s="168" t="str">
        <f>'030523 INVENTARIO'!P509</f>
        <v>OK</v>
      </c>
      <c r="O509" s="168" t="str">
        <f>'030523 INVENTARIO'!Q509</f>
        <v>S/M</v>
      </c>
      <c r="P509" s="167" t="str">
        <f>'030523 INVENTARIO'!R509</f>
        <v>S/M</v>
      </c>
      <c r="Q509" s="168" t="str">
        <f>'030523 INVENTARIO'!S509</f>
        <v>SIN SERIE</v>
      </c>
      <c r="R509" s="168" t="str">
        <f>'030523 INVENTARIO'!T509</f>
        <v>82DH0531010065000564807</v>
      </c>
    </row>
    <row r="510" spans="5:18">
      <c r="E510" s="167" t="str">
        <f>'030523 INVENTARIO'!E510</f>
        <v>CREDENZA</v>
      </c>
      <c r="F510" s="167" t="str">
        <f>'030523 INVENTARIO'!F510</f>
        <v>CREDENZA DE MADERA 160X40</v>
      </c>
      <c r="G510" s="167" t="str">
        <f ca="1">'030523 INVENTARIO'!G510</f>
        <v>P13SO-0509</v>
      </c>
      <c r="H510" s="167" t="str">
        <f>'030523 INVENTARIO'!J510</f>
        <v>P13SO-0509</v>
      </c>
      <c r="I510" s="167" t="str">
        <f>'030523 INVENTARIO'!K510</f>
        <v>P13SO-022</v>
      </c>
      <c r="J510" s="167" t="str">
        <f>'030523 INVENTARIO'!L510</f>
        <v>P1SO-42</v>
      </c>
      <c r="K510" s="167" t="str">
        <f>'030523 INVENTARIO'!M510</f>
        <v>5110100014-6</v>
      </c>
      <c r="L510" s="168">
        <f>'030523 INVENTARIO'!N510</f>
        <v>0</v>
      </c>
      <c r="M510" s="168">
        <f>'030523 INVENTARIO'!O510</f>
        <v>0</v>
      </c>
      <c r="N510" s="168" t="str">
        <f>'030523 INVENTARIO'!P510</f>
        <v>OK</v>
      </c>
      <c r="O510" s="168" t="str">
        <f>'030523 INVENTARIO'!Q510</f>
        <v>S/M</v>
      </c>
      <c r="P510" s="167" t="str">
        <f>'030523 INVENTARIO'!R510</f>
        <v>S/M</v>
      </c>
      <c r="Q510" s="168" t="str">
        <f>'030523 INVENTARIO'!S510</f>
        <v>SIN SERIE</v>
      </c>
      <c r="R510" s="168" t="str">
        <f>'030523 INVENTARIO'!T510</f>
        <v>82DH0511010005000649732</v>
      </c>
    </row>
    <row r="511" spans="5:18">
      <c r="E511" s="167" t="str">
        <f>'030523 INVENTARIO'!E511</f>
        <v>SILLA</v>
      </c>
      <c r="F511" s="167" t="str">
        <f>'030523 INVENTARIO'!F511</f>
        <v>SILLA FIJA  CAFÉ</v>
      </c>
      <c r="G511" s="167" t="str">
        <f ca="1">'030523 INVENTARIO'!G511</f>
        <v>P13SO-0510</v>
      </c>
      <c r="H511" s="167" t="str">
        <f>'030523 INVENTARIO'!J511</f>
        <v>P13SO-0510</v>
      </c>
      <c r="I511" s="167" t="str">
        <f>'030523 INVENTARIO'!K511</f>
        <v>P13SO-023</v>
      </c>
      <c r="J511" s="167" t="str">
        <f>'030523 INVENTARIO'!L511</f>
        <v>P1SO-43</v>
      </c>
      <c r="K511" s="167" t="str">
        <f>'030523 INVENTARIO'!M511</f>
        <v>5110100011-29</v>
      </c>
      <c r="L511" s="168">
        <f>'030523 INVENTARIO'!N511</f>
        <v>0</v>
      </c>
      <c r="M511" s="168">
        <f>'030523 INVENTARIO'!O511</f>
        <v>0</v>
      </c>
      <c r="N511" s="168" t="str">
        <f>'030523 INVENTARIO'!P511</f>
        <v>OK</v>
      </c>
      <c r="O511" s="168" t="str">
        <f>'030523 INVENTARIO'!Q511</f>
        <v>S/M</v>
      </c>
      <c r="P511" s="167" t="str">
        <f>'030523 INVENTARIO'!R511</f>
        <v>S/M</v>
      </c>
      <c r="Q511" s="168" t="str">
        <f>'030523 INVENTARIO'!S511</f>
        <v>SIN SERIE</v>
      </c>
      <c r="R511" s="168" t="str">
        <f>'030523 INVENTARIO'!T511</f>
        <v>82DH0511010017000516176</v>
      </c>
    </row>
    <row r="512" spans="5:18">
      <c r="E512" s="167" t="str">
        <f>'030523 INVENTARIO'!E512</f>
        <v>ESTANTE O ANAQUEL</v>
      </c>
      <c r="F512" s="167" t="str">
        <f>'030523 INVENTARIO'!F512</f>
        <v>ESTANTE GRIS DE METAL CON 5 CHAROLAS 45X92</v>
      </c>
      <c r="G512" s="167" t="str">
        <f ca="1">'030523 INVENTARIO'!G512</f>
        <v>P13SO-0511</v>
      </c>
      <c r="H512" s="167" t="str">
        <f>'030523 INVENTARIO'!J512</f>
        <v>P13SO-0511</v>
      </c>
      <c r="I512" s="167" t="str">
        <f>'030523 INVENTARIO'!K512</f>
        <v>P13SO-024</v>
      </c>
      <c r="J512" s="167" t="str">
        <f>'030523 INVENTARIO'!L512</f>
        <v>P1SO-46</v>
      </c>
      <c r="K512" s="167" t="str">
        <f>'030523 INVENTARIO'!M512</f>
        <v>2110200030-2</v>
      </c>
      <c r="L512" s="168">
        <f>'030523 INVENTARIO'!N512</f>
        <v>0</v>
      </c>
      <c r="M512" s="168">
        <f>'030523 INVENTARIO'!O512</f>
        <v>0</v>
      </c>
      <c r="N512" s="168" t="str">
        <f>'030523 INVENTARIO'!P512</f>
        <v>OK</v>
      </c>
      <c r="O512" s="168" t="str">
        <f>'030523 INVENTARIO'!Q512</f>
        <v>S/M</v>
      </c>
      <c r="P512" s="167" t="str">
        <f>'030523 INVENTARIO'!R512</f>
        <v>S/M</v>
      </c>
      <c r="Q512" s="168" t="str">
        <f>'030523 INVENTARIO'!S512</f>
        <v>SIN SERIE</v>
      </c>
      <c r="R512" s="168" t="str">
        <f>'030523 INVENTARIO'!T512</f>
        <v>82DH0511010028000539037</v>
      </c>
    </row>
    <row r="513" spans="5:18">
      <c r="E513" s="167" t="str">
        <f>'030523 INVENTARIO'!E513</f>
        <v>ESTANTE O ANAQUEL</v>
      </c>
      <c r="F513" s="167" t="str">
        <f>'030523 INVENTARIO'!F513</f>
        <v>ESTANTE GRIS DE METAL CON 5 CHAROLAS 85X45</v>
      </c>
      <c r="G513" s="167" t="str">
        <f ca="1">'030523 INVENTARIO'!G513</f>
        <v>P13SO-0512</v>
      </c>
      <c r="H513" s="167" t="str">
        <f>'030523 INVENTARIO'!J513</f>
        <v>P13SO-0512</v>
      </c>
      <c r="I513" s="167" t="str">
        <f>'030523 INVENTARIO'!K513</f>
        <v>P13SO-025</v>
      </c>
      <c r="J513" s="167" t="str">
        <f>'030523 INVENTARIO'!L513</f>
        <v>P1SO-47</v>
      </c>
      <c r="K513" s="167" t="str">
        <f>'030523 INVENTARIO'!M513</f>
        <v>2110200030-4</v>
      </c>
      <c r="L513" s="168">
        <f>'030523 INVENTARIO'!N513</f>
        <v>0</v>
      </c>
      <c r="M513" s="168">
        <f>'030523 INVENTARIO'!O513</f>
        <v>0</v>
      </c>
      <c r="N513" s="168" t="str">
        <f>'030523 INVENTARIO'!P513</f>
        <v>OK</v>
      </c>
      <c r="O513" s="168" t="str">
        <f>'030523 INVENTARIO'!Q513</f>
        <v>S/M</v>
      </c>
      <c r="P513" s="167" t="str">
        <f>'030523 INVENTARIO'!R513</f>
        <v>S/M</v>
      </c>
      <c r="Q513" s="168" t="str">
        <f>'030523 INVENTARIO'!S513</f>
        <v>SIN SERIE</v>
      </c>
      <c r="R513" s="168" t="str">
        <f>'030523 INVENTARIO'!T513</f>
        <v>82DH0511010028000535444</v>
      </c>
    </row>
    <row r="514" spans="5:18">
      <c r="E514" s="167" t="str">
        <f>'030523 INVENTARIO'!E514</f>
        <v>CHAROLA</v>
      </c>
      <c r="F514" s="167" t="str">
        <f>'030523 INVENTARIO'!F514</f>
        <v>CHAROLA METALICA PARA ESTANTE</v>
      </c>
      <c r="G514" s="167" t="str">
        <f ca="1">'030523 INVENTARIO'!G514</f>
        <v>P13SO-0513</v>
      </c>
      <c r="H514" s="167" t="str">
        <f>'030523 INVENTARIO'!J514</f>
        <v>P13SO-0513</v>
      </c>
      <c r="I514" s="167" t="str">
        <f>'030523 INVENTARIO'!K514</f>
        <v>P13SO-026</v>
      </c>
      <c r="J514" s="167" t="str">
        <f>'030523 INVENTARIO'!L514</f>
        <v>P1SO-53</v>
      </c>
      <c r="K514" s="168" t="str">
        <f>'030523 INVENTARIO'!M514</f>
        <v>5120100001-17</v>
      </c>
      <c r="L514" s="168">
        <f>'030523 INVENTARIO'!N514</f>
        <v>0</v>
      </c>
      <c r="M514" s="168">
        <f>'030523 INVENTARIO'!O514</f>
        <v>0</v>
      </c>
      <c r="N514" s="168" t="str">
        <f>'030523 INVENTARIO'!P514</f>
        <v>OK</v>
      </c>
      <c r="O514" s="168" t="str">
        <f>'030523 INVENTARIO'!Q514</f>
        <v>S/M</v>
      </c>
      <c r="P514" s="167" t="str">
        <f>'030523 INVENTARIO'!R514</f>
        <v>S/M</v>
      </c>
      <c r="Q514" s="168" t="str">
        <f>'030523 INVENTARIO'!S514</f>
        <v>SIN SERIE</v>
      </c>
      <c r="R514" s="168" t="str">
        <f>'030523 INVENTARIO'!T514</f>
        <v>82DH0519010048000539141</v>
      </c>
    </row>
    <row r="515" spans="5:18">
      <c r="E515" s="167" t="str">
        <f>'030523 INVENTARIO'!E515</f>
        <v>ESTANTE O ANAQUEL</v>
      </c>
      <c r="F515" s="168" t="str">
        <f>'030523 INVENTARIO'!F515</f>
        <v>ESTANTE GRIS DE METAL CON 5 CHAROLAS</v>
      </c>
      <c r="G515" s="167" t="str">
        <f ca="1">'030523 INVENTARIO'!G515</f>
        <v>P13SO-0514</v>
      </c>
      <c r="H515" s="167" t="str">
        <f>'030523 INVENTARIO'!J515</f>
        <v>P13SO-0514</v>
      </c>
      <c r="I515" s="167" t="str">
        <f>'030523 INVENTARIO'!K515</f>
        <v>P13SO-027</v>
      </c>
      <c r="J515" s="167" t="str">
        <f>'030523 INVENTARIO'!L515</f>
        <v>P1SO-49</v>
      </c>
      <c r="K515" s="167" t="str">
        <f>'030523 INVENTARIO'!M515</f>
        <v>2110200030-6</v>
      </c>
      <c r="L515" s="168">
        <f>'030523 INVENTARIO'!N515</f>
        <v>0</v>
      </c>
      <c r="M515" s="168">
        <f>'030523 INVENTARIO'!O515</f>
        <v>0</v>
      </c>
      <c r="N515" s="168" t="str">
        <f>'030523 INVENTARIO'!P515</f>
        <v>OK</v>
      </c>
      <c r="O515" s="168" t="str">
        <f>'030523 INVENTARIO'!Q515</f>
        <v>S/M</v>
      </c>
      <c r="P515" s="167" t="str">
        <f>'030523 INVENTARIO'!R515</f>
        <v>S/M</v>
      </c>
      <c r="Q515" s="168" t="str">
        <f>'030523 INVENTARIO'!S515</f>
        <v>SIN SERIE</v>
      </c>
      <c r="R515" s="168" t="str">
        <f>'030523 INVENTARIO'!T515</f>
        <v>82DH0511010028000535441</v>
      </c>
    </row>
    <row r="516" spans="5:18">
      <c r="E516" s="167" t="str">
        <f>'030523 INVENTARIO'!E516</f>
        <v>CHAROLA</v>
      </c>
      <c r="F516" s="167" t="str">
        <f>'030523 INVENTARIO'!F516</f>
        <v>CHAROLA METALICA PARA ESTANTE</v>
      </c>
      <c r="G516" s="167" t="str">
        <f ca="1">'030523 INVENTARIO'!G516</f>
        <v>P13SO-0515</v>
      </c>
      <c r="H516" s="167" t="str">
        <f>'030523 INVENTARIO'!J516</f>
        <v>P13SO-0515</v>
      </c>
      <c r="I516" s="167" t="str">
        <f>'030523 INVENTARIO'!K516</f>
        <v>P13SO-028</v>
      </c>
      <c r="J516" s="167" t="str">
        <f>'030523 INVENTARIO'!L516</f>
        <v>P1SO-56</v>
      </c>
      <c r="K516" s="167" t="str">
        <f>'030523 INVENTARIO'!M516</f>
        <v>5120100001-20</v>
      </c>
      <c r="L516" s="168">
        <f>'030523 INVENTARIO'!N516</f>
        <v>0</v>
      </c>
      <c r="M516" s="168">
        <f>'030523 INVENTARIO'!O516</f>
        <v>0</v>
      </c>
      <c r="N516" s="168" t="str">
        <f>'030523 INVENTARIO'!P516</f>
        <v>OK</v>
      </c>
      <c r="O516" s="168" t="str">
        <f>'030523 INVENTARIO'!Q516</f>
        <v>S/M</v>
      </c>
      <c r="P516" s="167" t="str">
        <f>'030523 INVENTARIO'!R516</f>
        <v>S/M</v>
      </c>
      <c r="Q516" s="168" t="str">
        <f>'030523 INVENTARIO'!S516</f>
        <v>SIN SERIE</v>
      </c>
      <c r="R516" s="168" t="str">
        <f>'030523 INVENTARIO'!T516</f>
        <v>82DJ0511010019000651104</v>
      </c>
    </row>
    <row r="517" spans="5:18">
      <c r="E517" s="167" t="str">
        <f>'030523 INVENTARIO'!E517</f>
        <v>ESTANTE O ANAQUEL</v>
      </c>
      <c r="F517" s="168" t="str">
        <f>'030523 INVENTARIO'!F517</f>
        <v>ESTANTE GRIS DE METAL CON 5 CHAROLAS</v>
      </c>
      <c r="G517" s="167" t="str">
        <f ca="1">'030523 INVENTARIO'!G517</f>
        <v>P13SO-0516</v>
      </c>
      <c r="H517" s="167" t="str">
        <f>'030523 INVENTARIO'!J517</f>
        <v>P13SO-0516</v>
      </c>
      <c r="I517" s="167" t="str">
        <f>'030523 INVENTARIO'!K517</f>
        <v>P13SO-029</v>
      </c>
      <c r="J517" s="167" t="str">
        <f>'030523 INVENTARIO'!L517</f>
        <v>P1SO-48</v>
      </c>
      <c r="K517" s="167" t="str">
        <f>'030523 INVENTARIO'!M517</f>
        <v>2110200030-5</v>
      </c>
      <c r="L517" s="168">
        <f>'030523 INVENTARIO'!N517</f>
        <v>0</v>
      </c>
      <c r="M517" s="168">
        <f>'030523 INVENTARIO'!O517</f>
        <v>0</v>
      </c>
      <c r="N517" s="168" t="str">
        <f>'030523 INVENTARIO'!P517</f>
        <v>OK</v>
      </c>
      <c r="O517" s="168" t="str">
        <f>'030523 INVENTARIO'!Q517</f>
        <v>S/M</v>
      </c>
      <c r="P517" s="167" t="str">
        <f>'030523 INVENTARIO'!R517</f>
        <v>S/M</v>
      </c>
      <c r="Q517" s="168" t="str">
        <f>'030523 INVENTARIO'!S517</f>
        <v>SIN SERIE</v>
      </c>
      <c r="R517" s="168" t="str">
        <f>'030523 INVENTARIO'!T517</f>
        <v>82DH0511010028000535443</v>
      </c>
    </row>
    <row r="518" spans="5:18">
      <c r="E518" s="167" t="str">
        <f>'030523 INVENTARIO'!E518</f>
        <v>CHAROLA</v>
      </c>
      <c r="F518" s="167" t="str">
        <f>'030523 INVENTARIO'!F518</f>
        <v>CHAROLA METALICA PARA ESTANTE</v>
      </c>
      <c r="G518" s="167" t="str">
        <f ca="1">'030523 INVENTARIO'!G518</f>
        <v>P13SO-0517</v>
      </c>
      <c r="H518" s="167" t="str">
        <f>'030523 INVENTARIO'!J518</f>
        <v>P13SO-0517</v>
      </c>
      <c r="I518" s="167" t="str">
        <f>'030523 INVENTARIO'!K518</f>
        <v>P13SO-030</v>
      </c>
      <c r="J518" s="167" t="str">
        <f>'030523 INVENTARIO'!L518</f>
        <v>P1SO-54</v>
      </c>
      <c r="K518" s="167" t="str">
        <f>'030523 INVENTARIO'!M518</f>
        <v>5120100001-18</v>
      </c>
      <c r="L518" s="168">
        <f>'030523 INVENTARIO'!N518</f>
        <v>0</v>
      </c>
      <c r="M518" s="168">
        <f>'030523 INVENTARIO'!O518</f>
        <v>0</v>
      </c>
      <c r="N518" s="168" t="str">
        <f>'030523 INVENTARIO'!P518</f>
        <v>OK</v>
      </c>
      <c r="O518" s="168" t="str">
        <f>'030523 INVENTARIO'!Q518</f>
        <v>S/M</v>
      </c>
      <c r="P518" s="167" t="str">
        <f>'030523 INVENTARIO'!R518</f>
        <v>S/M</v>
      </c>
      <c r="Q518" s="167" t="str">
        <f>'030523 INVENTARIO'!S518</f>
        <v>SIN SERIE</v>
      </c>
      <c r="R518" s="167" t="str">
        <f>'030523 INVENTARIO'!T518</f>
        <v>82DH0519010048000539140</v>
      </c>
    </row>
    <row r="519" spans="5:18">
      <c r="E519" s="167" t="str">
        <f>'030523 INVENTARIO'!E519</f>
        <v>ESTANTE O ANAQUEL</v>
      </c>
      <c r="F519" s="168" t="str">
        <f>'030523 INVENTARIO'!F519</f>
        <v>ESTANTE GRIS DE METAL CON 6 CHAROLAS</v>
      </c>
      <c r="G519" s="167" t="str">
        <f ca="1">'030523 INVENTARIO'!G519</f>
        <v>P13SO-0518</v>
      </c>
      <c r="H519" s="167" t="str">
        <f>'030523 INVENTARIO'!J519</f>
        <v>P13SO-0518</v>
      </c>
      <c r="I519" s="167" t="str">
        <f>'030523 INVENTARIO'!K519</f>
        <v>P13SO-031</v>
      </c>
      <c r="J519" s="167" t="str">
        <f>'030523 INVENTARIO'!L519</f>
        <v>P1SO-50</v>
      </c>
      <c r="K519" s="167" t="str">
        <f>'030523 INVENTARIO'!M519</f>
        <v>5120100001-19</v>
      </c>
      <c r="L519" s="168">
        <f>'030523 INVENTARIO'!N519</f>
        <v>0</v>
      </c>
      <c r="M519" s="168">
        <f>'030523 INVENTARIO'!O519</f>
        <v>0</v>
      </c>
      <c r="N519" s="168" t="str">
        <f>'030523 INVENTARIO'!P519</f>
        <v>OK</v>
      </c>
      <c r="O519" s="168" t="str">
        <f>'030523 INVENTARIO'!Q519</f>
        <v>S/M</v>
      </c>
      <c r="P519" s="167" t="str">
        <f>'030523 INVENTARIO'!R519</f>
        <v>S/M</v>
      </c>
      <c r="Q519" s="168" t="str">
        <f>'030523 INVENTARIO'!S519</f>
        <v>SIN SERIE</v>
      </c>
      <c r="R519" s="168" t="str">
        <f>'030523 INVENTARIO'!T519</f>
        <v>82DH0511010020000649739</v>
      </c>
    </row>
    <row r="520" spans="5:18">
      <c r="E520" s="167" t="str">
        <f>'030523 INVENTARIO'!E520</f>
        <v>ESTANTE O ANAQUEL</v>
      </c>
      <c r="F520" s="168" t="str">
        <f>'030523 INVENTARIO'!F520</f>
        <v>ESTANTE GRIS DE METAL CON 5 CHAROLAS</v>
      </c>
      <c r="G520" s="167" t="str">
        <f ca="1">'030523 INVENTARIO'!G520</f>
        <v>P13SO-0519</v>
      </c>
      <c r="H520" s="167" t="str">
        <f>'030523 INVENTARIO'!J520</f>
        <v>P13SO-0519</v>
      </c>
      <c r="I520" s="167" t="str">
        <f>'030523 INVENTARIO'!K520</f>
        <v>P13SO-032</v>
      </c>
      <c r="J520" s="167" t="str">
        <f>'030523 INVENTARIO'!L520</f>
        <v>P1SO-45</v>
      </c>
      <c r="K520" s="167" t="str">
        <f>'030523 INVENTARIO'!M520</f>
        <v>2110200030-8</v>
      </c>
      <c r="L520" s="168">
        <f>'030523 INVENTARIO'!N520</f>
        <v>0</v>
      </c>
      <c r="M520" s="168">
        <f>'030523 INVENTARIO'!O520</f>
        <v>0</v>
      </c>
      <c r="N520" s="168" t="str">
        <f>'030523 INVENTARIO'!P520</f>
        <v>OK</v>
      </c>
      <c r="O520" s="168" t="str">
        <f>'030523 INVENTARIO'!Q520</f>
        <v>S/M</v>
      </c>
      <c r="P520" s="167" t="str">
        <f>'030523 INVENTARIO'!R520</f>
        <v>S/M</v>
      </c>
      <c r="Q520" s="168" t="str">
        <f>'030523 INVENTARIO'!S520</f>
        <v>SIN SERIE</v>
      </c>
      <c r="R520" s="168" t="str">
        <f>'030523 INVENTARIO'!T520</f>
        <v>82DH0511010028000539038</v>
      </c>
    </row>
    <row r="521" spans="5:18">
      <c r="E521" s="167" t="str">
        <f>'030523 INVENTARIO'!E521</f>
        <v>CHAROLA</v>
      </c>
      <c r="F521" s="167" t="str">
        <f>'030523 INVENTARIO'!F521</f>
        <v>CHAROLA METALICA PARA ESTANTE</v>
      </c>
      <c r="G521" s="167" t="str">
        <f ca="1">'030523 INVENTARIO'!G521</f>
        <v>P13SO-0520</v>
      </c>
      <c r="H521" s="167" t="str">
        <f>'030523 INVENTARIO'!J521</f>
        <v>P13SO-0520</v>
      </c>
      <c r="I521" s="167" t="str">
        <f>'030523 INVENTARIO'!K521</f>
        <v>P13SO-033</v>
      </c>
      <c r="J521" s="167">
        <f>'030523 INVENTARIO'!L521</f>
        <v>0</v>
      </c>
      <c r="K521" s="167" t="str">
        <f>'030523 INVENTARIO'!M521</f>
        <v>ALTA</v>
      </c>
      <c r="L521" s="168">
        <f>'030523 INVENTARIO'!N521</f>
        <v>0</v>
      </c>
      <c r="M521" s="168">
        <f>'030523 INVENTARIO'!O521</f>
        <v>0</v>
      </c>
      <c r="N521" s="168" t="str">
        <f>'030523 INVENTARIO'!P521</f>
        <v>REPETIDO</v>
      </c>
      <c r="O521" s="168" t="str">
        <f>'030523 INVENTARIO'!Q521</f>
        <v>S/M</v>
      </c>
      <c r="P521" s="167" t="str">
        <f>'030523 INVENTARIO'!R521</f>
        <v>S/M</v>
      </c>
      <c r="Q521" s="167" t="str">
        <f>'030523 INVENTARIO'!S521</f>
        <v>SIN SERIE</v>
      </c>
      <c r="R521" s="167" t="str">
        <f>'030523 INVENTARIO'!T521</f>
        <v>SIN RESGUARDO</v>
      </c>
    </row>
    <row r="522" spans="5:18">
      <c r="E522" s="167" t="str">
        <f>'030523 INVENTARIO'!E522</f>
        <v>ESTANTE O ANAQUEL</v>
      </c>
      <c r="F522" s="168" t="str">
        <f>'030523 INVENTARIO'!F522</f>
        <v>ESTANTE GRIS DE METAL CON 5 CHAROLAS</v>
      </c>
      <c r="G522" s="167" t="str">
        <f ca="1">'030523 INVENTARIO'!G522</f>
        <v>P13SO-0521</v>
      </c>
      <c r="H522" s="167" t="str">
        <f>'030523 INVENTARIO'!J522</f>
        <v>P13SO-0521</v>
      </c>
      <c r="I522" s="167" t="str">
        <f>'030523 INVENTARIO'!K522</f>
        <v>P13SO-034</v>
      </c>
      <c r="J522" s="167" t="str">
        <f>'030523 INVENTARIO'!L522</f>
        <v>P1SO-44</v>
      </c>
      <c r="K522" s="167" t="str">
        <f>'030523 INVENTARIO'!M522</f>
        <v>5120100001-16</v>
      </c>
      <c r="L522" s="168">
        <f>'030523 INVENTARIO'!N522</f>
        <v>0</v>
      </c>
      <c r="M522" s="168">
        <f>'030523 INVENTARIO'!O522</f>
        <v>0</v>
      </c>
      <c r="N522" s="168" t="str">
        <f>'030523 INVENTARIO'!P522</f>
        <v>OK</v>
      </c>
      <c r="O522" s="168" t="str">
        <f>'030523 INVENTARIO'!Q522</f>
        <v>S/M</v>
      </c>
      <c r="P522" s="167" t="str">
        <f>'030523 INVENTARIO'!R522</f>
        <v>S/M</v>
      </c>
      <c r="Q522" s="168" t="str">
        <f>'030523 INVENTARIO'!S522</f>
        <v>SIN SERIE</v>
      </c>
      <c r="R522" s="168" t="str">
        <f>'030523 INVENTARIO'!T522</f>
        <v>82DH0511010028000584061</v>
      </c>
    </row>
    <row r="523" spans="5:18">
      <c r="E523" s="167" t="str">
        <f>'030523 INVENTARIO'!E523</f>
        <v>CHAROLA</v>
      </c>
      <c r="F523" s="167" t="str">
        <f>'030523 INVENTARIO'!F523</f>
        <v>CHAROLA METALICA PARA ESTANTE</v>
      </c>
      <c r="G523" s="167" t="str">
        <f ca="1">'030523 INVENTARIO'!G523</f>
        <v>P13SO-0522</v>
      </c>
      <c r="H523" s="167" t="str">
        <f>'030523 INVENTARIO'!J523</f>
        <v>P13SO-0522</v>
      </c>
      <c r="I523" s="167" t="str">
        <f>'030523 INVENTARIO'!K523</f>
        <v>P13SO-035</v>
      </c>
      <c r="J523" s="167">
        <f>'030523 INVENTARIO'!L523</f>
        <v>0</v>
      </c>
      <c r="K523" s="167" t="str">
        <f>'030523 INVENTARIO'!M523</f>
        <v>ALTA</v>
      </c>
      <c r="L523" s="168">
        <f>'030523 INVENTARIO'!N523</f>
        <v>0</v>
      </c>
      <c r="M523" s="168">
        <f>'030523 INVENTARIO'!O523</f>
        <v>0</v>
      </c>
      <c r="N523" s="168" t="str">
        <f>'030523 INVENTARIO'!P523</f>
        <v>REPETIDO</v>
      </c>
      <c r="O523" s="168" t="str">
        <f>'030523 INVENTARIO'!Q523</f>
        <v>S/M</v>
      </c>
      <c r="P523" s="167" t="str">
        <f>'030523 INVENTARIO'!R523</f>
        <v>S/M</v>
      </c>
      <c r="Q523" s="167" t="str">
        <f>'030523 INVENTARIO'!S523</f>
        <v>SIN SERIE</v>
      </c>
      <c r="R523" s="167" t="str">
        <f>'030523 INVENTARIO'!T523</f>
        <v>SIN RESGUARDO</v>
      </c>
    </row>
    <row r="524" spans="5:18">
      <c r="E524" s="167" t="str">
        <f>'030523 INVENTARIO'!E524</f>
        <v>ESTANTE O ANAQUEL</v>
      </c>
      <c r="F524" s="167" t="str">
        <f>'030523 INVENTARIO'!F524</f>
        <v>ESTANTE GRIS DE METAL CON 6 CHAROLAS</v>
      </c>
      <c r="G524" s="167" t="str">
        <f ca="1">'030523 INVENTARIO'!G524</f>
        <v>P13SO-0523</v>
      </c>
      <c r="H524" s="167" t="str">
        <f>'030523 INVENTARIO'!J524</f>
        <v>P13SO-0523</v>
      </c>
      <c r="I524" s="167" t="str">
        <f>'030523 INVENTARIO'!K524</f>
        <v>P13SO-036</v>
      </c>
      <c r="J524" s="167" t="str">
        <f>'030523 INVENTARIO'!L524</f>
        <v>P1SO-55</v>
      </c>
      <c r="K524" s="167" t="str">
        <f>'030523 INVENTARIO'!M524</f>
        <v>2110200030-7</v>
      </c>
      <c r="L524" s="168">
        <f>'030523 INVENTARIO'!N524</f>
        <v>0</v>
      </c>
      <c r="M524" s="168">
        <f>'030523 INVENTARIO'!O524</f>
        <v>0</v>
      </c>
      <c r="N524" s="168" t="str">
        <f>'030523 INVENTARIO'!P524</f>
        <v>OK</v>
      </c>
      <c r="O524" s="168" t="str">
        <f>'030523 INVENTARIO'!Q524</f>
        <v>S/M</v>
      </c>
      <c r="P524" s="167" t="str">
        <f>'030523 INVENTARIO'!R524</f>
        <v>S/M</v>
      </c>
      <c r="Q524" s="168" t="str">
        <f>'030523 INVENTARIO'!S524</f>
        <v>SIN SERIE</v>
      </c>
      <c r="R524" s="168" t="str">
        <f>'030523 INVENTARIO'!T524</f>
        <v>82DH0511010028000532102</v>
      </c>
    </row>
    <row r="525" spans="5:18">
      <c r="E525" s="167" t="str">
        <f>'030523 INVENTARIO'!E525</f>
        <v>ESTANTE O ANAQUEL</v>
      </c>
      <c r="F525" s="167" t="str">
        <f>'030523 INVENTARIO'!F525</f>
        <v>ESTANTE  METALICO CON 5 CHAROLAS</v>
      </c>
      <c r="G525" s="167" t="str">
        <f ca="1">'030523 INVENTARIO'!G525</f>
        <v>P13SO-0524</v>
      </c>
      <c r="H525" s="167" t="str">
        <f>'030523 INVENTARIO'!J525</f>
        <v>P13SO-0524</v>
      </c>
      <c r="I525" s="167" t="str">
        <f>'030523 INVENTARIO'!K525</f>
        <v>P13SO-037</v>
      </c>
      <c r="J525" s="167" t="str">
        <f>'030523 INVENTARIO'!L525</f>
        <v>P1SO-52</v>
      </c>
      <c r="K525" s="167" t="str">
        <f>'030523 INVENTARIO'!M525</f>
        <v>2110200030-1</v>
      </c>
      <c r="L525" s="168">
        <f>'030523 INVENTARIO'!N525</f>
        <v>0</v>
      </c>
      <c r="M525" s="168">
        <f>'030523 INVENTARIO'!O525</f>
        <v>0</v>
      </c>
      <c r="N525" s="168" t="str">
        <f>'030523 INVENTARIO'!P525</f>
        <v>OK</v>
      </c>
      <c r="O525" s="168" t="str">
        <f>'030523 INVENTARIO'!Q525</f>
        <v>S/M</v>
      </c>
      <c r="P525" s="167" t="str">
        <f>'030523 INVENTARIO'!R525</f>
        <v>S/M</v>
      </c>
      <c r="Q525" s="167" t="str">
        <f>'030523 INVENTARIO'!S525</f>
        <v>SIN SERIE</v>
      </c>
      <c r="R525" s="167" t="str">
        <f>'030523 INVENTARIO'!T525</f>
        <v>82DH0511010028000539044</v>
      </c>
    </row>
    <row r="526" spans="5:18">
      <c r="E526" s="167" t="str">
        <f>'030523 INVENTARIO'!E526</f>
        <v>ESTANTE O ANAQUEL</v>
      </c>
      <c r="F526" s="168" t="str">
        <f>'030523 INVENTARIO'!F526</f>
        <v>ESTANTE GRIS DE METAL CON 5 CHAROLAS</v>
      </c>
      <c r="G526" s="167" t="str">
        <f ca="1">'030523 INVENTARIO'!G526</f>
        <v>P13SO-0525</v>
      </c>
      <c r="H526" s="167" t="str">
        <f>'030523 INVENTARIO'!J526</f>
        <v>P13SO-0525</v>
      </c>
      <c r="I526" s="167" t="str">
        <f>'030523 INVENTARIO'!K526</f>
        <v>P13SO-038</v>
      </c>
      <c r="J526" s="167" t="str">
        <f>'030523 INVENTARIO'!L526</f>
        <v>P1SO-51</v>
      </c>
      <c r="K526" s="167" t="str">
        <f>'030523 INVENTARIO'!M526</f>
        <v>2110200030-3</v>
      </c>
      <c r="L526" s="168">
        <f>'030523 INVENTARIO'!N526</f>
        <v>0</v>
      </c>
      <c r="M526" s="168">
        <f>'030523 INVENTARIO'!O526</f>
        <v>0</v>
      </c>
      <c r="N526" s="168" t="str">
        <f>'030523 INVENTARIO'!P526</f>
        <v>OK</v>
      </c>
      <c r="O526" s="168" t="str">
        <f>'030523 INVENTARIO'!Q526</f>
        <v>S/M</v>
      </c>
      <c r="P526" s="167" t="str">
        <f>'030523 INVENTARIO'!R526</f>
        <v>S/M</v>
      </c>
      <c r="Q526" s="168" t="str">
        <f>'030523 INVENTARIO'!S526</f>
        <v>SIN SERIE</v>
      </c>
      <c r="R526" s="168" t="str">
        <f>'030523 INVENTARIO'!T526</f>
        <v>82DH0511010028000539026</v>
      </c>
    </row>
    <row r="527" spans="5:18">
      <c r="E527" s="167" t="str">
        <f>'030523 INVENTARIO'!E527</f>
        <v>ARCHIVERO</v>
      </c>
      <c r="F527" s="167" t="str">
        <f>'030523 INVENTARIO'!F527</f>
        <v>ARCHIVERO BEIGE DE METAL 4 CAJONES</v>
      </c>
      <c r="G527" s="167" t="str">
        <f ca="1">'030523 INVENTARIO'!G527</f>
        <v>P13SO-0526</v>
      </c>
      <c r="H527" s="167" t="str">
        <f>'030523 INVENTARIO'!J527</f>
        <v>P13SO-0526</v>
      </c>
      <c r="I527" s="167" t="str">
        <f>'030523 INVENTARIO'!K527</f>
        <v>P13SO-039</v>
      </c>
      <c r="J527" s="167" t="str">
        <f>'030523 INVENTARIO'!L527</f>
        <v>P1SO-65</v>
      </c>
      <c r="K527" s="167" t="str">
        <f>'030523 INVENTARIO'!M527</f>
        <v>5130100013-12</v>
      </c>
      <c r="L527" s="168">
        <f>'030523 INVENTARIO'!N527</f>
        <v>0</v>
      </c>
      <c r="M527" s="168">
        <f>'030523 INVENTARIO'!O527</f>
        <v>0</v>
      </c>
      <c r="N527" s="168" t="str">
        <f>'030523 INVENTARIO'!P527</f>
        <v>OK</v>
      </c>
      <c r="O527" s="168" t="str">
        <f>'030523 INVENTARIO'!Q527</f>
        <v>S/M</v>
      </c>
      <c r="P527" s="167" t="str">
        <f>'030523 INVENTARIO'!R527</f>
        <v>S/M</v>
      </c>
      <c r="Q527" s="168" t="str">
        <f>'030523 INVENTARIO'!S527</f>
        <v>SIN SERIE</v>
      </c>
      <c r="R527" s="168" t="str">
        <f>'030523 INVENTARIO'!T527</f>
        <v>82DH0511010001000533241</v>
      </c>
    </row>
    <row r="528" spans="5:18">
      <c r="E528" s="167" t="str">
        <f>'030523 INVENTARIO'!E528</f>
        <v>MESA</v>
      </c>
      <c r="F528" s="167" t="str">
        <f>'030523 INVENTARIO'!F528</f>
        <v>MESA DE MADERA CON BASE DE METAL 100X40</v>
      </c>
      <c r="G528" s="167" t="str">
        <f ca="1">'030523 INVENTARIO'!G528</f>
        <v>P13SO-0527</v>
      </c>
      <c r="H528" s="167" t="str">
        <f>'030523 INVENTARIO'!J528</f>
        <v>P13SO-0527</v>
      </c>
      <c r="I528" s="167" t="str">
        <f>'030523 INVENTARIO'!K528</f>
        <v>P13SO-040</v>
      </c>
      <c r="J528" s="167" t="str">
        <f>'030523 INVENTARIO'!L528</f>
        <v>P1SO-58</v>
      </c>
      <c r="K528" s="167" t="str">
        <f>'030523 INVENTARIO'!M528</f>
        <v>5120100007-51</v>
      </c>
      <c r="L528" s="168">
        <f>'030523 INVENTARIO'!N528</f>
        <v>0</v>
      </c>
      <c r="M528" s="168">
        <f>'030523 INVENTARIO'!O528</f>
        <v>0</v>
      </c>
      <c r="N528" s="168" t="str">
        <f>'030523 INVENTARIO'!P528</f>
        <v>OK</v>
      </c>
      <c r="O528" s="168" t="str">
        <f>'030523 INVENTARIO'!Q528</f>
        <v>S/M</v>
      </c>
      <c r="P528" s="167" t="str">
        <f>'030523 INVENTARIO'!R528</f>
        <v>S/M</v>
      </c>
      <c r="Q528" s="168" t="str">
        <f>'030523 INVENTARIO'!S528</f>
        <v>SIN SERIE</v>
      </c>
      <c r="R528" s="168" t="str">
        <f>'030523 INVENTARIO'!T528</f>
        <v>82DH0511010010000649722</v>
      </c>
    </row>
    <row r="529" spans="5:18">
      <c r="E529" s="167" t="str">
        <f>'030523 INVENTARIO'!E529</f>
        <v>TRITURADORA DE PAPEL</v>
      </c>
      <c r="F529" s="167" t="str">
        <f>'030523 INVENTARIO'!F529</f>
        <v>TRITURADOR DE PAPEL</v>
      </c>
      <c r="G529" s="167" t="str">
        <f ca="1">'030523 INVENTARIO'!G529</f>
        <v>P13SO-0528</v>
      </c>
      <c r="H529" s="167" t="str">
        <f>'030523 INVENTARIO'!J529</f>
        <v>P13SO-0528</v>
      </c>
      <c r="I529" s="167" t="str">
        <f>'030523 INVENTARIO'!K529</f>
        <v>P13SO-041</v>
      </c>
      <c r="J529" s="167">
        <f>'030523 INVENTARIO'!L529</f>
        <v>0</v>
      </c>
      <c r="K529" s="167" t="str">
        <f>'030523 INVENTARIO'!M529</f>
        <v>ALTA</v>
      </c>
      <c r="L529" s="168">
        <f>'030523 INVENTARIO'!N529</f>
        <v>0</v>
      </c>
      <c r="M529" s="168">
        <f>'030523 INVENTARIO'!O529</f>
        <v>0</v>
      </c>
      <c r="N529" s="168" t="str">
        <f>'030523 INVENTARIO'!P529</f>
        <v>REPETIDO</v>
      </c>
      <c r="O529" s="168" t="str">
        <f>'030523 INVENTARIO'!Q529</f>
        <v>GBC</v>
      </c>
      <c r="P529" s="167" t="str">
        <f>'030523 INVENTARIO'!R529</f>
        <v>SHREDMASTER SC170</v>
      </c>
      <c r="Q529" s="167" t="str">
        <f>'030523 INVENTARIO'!S529</f>
        <v>SIN SERIE</v>
      </c>
      <c r="R529" s="167" t="str">
        <f>'030523 INVENTARIO'!T529</f>
        <v>SIN RESGUARDO</v>
      </c>
    </row>
    <row r="530" spans="5:18">
      <c r="E530" s="167" t="str">
        <f>'030523 INVENTARIO'!E530</f>
        <v>ESCRITORIO</v>
      </c>
      <c r="F530" s="167" t="str">
        <f>'030523 INVENTARIO'!F530</f>
        <v>ESCRITORIO DE MADERA 150X60</v>
      </c>
      <c r="G530" s="167" t="str">
        <f ca="1">'030523 INVENTARIO'!G530</f>
        <v>P13SO-0529</v>
      </c>
      <c r="H530" s="167" t="str">
        <f>'030523 INVENTARIO'!J530</f>
        <v>P13SO-0529</v>
      </c>
      <c r="I530" s="167" t="str">
        <f>'030523 INVENTARIO'!K530</f>
        <v>P13SO-042</v>
      </c>
      <c r="J530" s="167" t="str">
        <f>'030523 INVENTARIO'!L530</f>
        <v>P1SO-6</v>
      </c>
      <c r="K530" s="167" t="str">
        <f>'030523 INVENTARIO'!M530</f>
        <v>5110100015-20</v>
      </c>
      <c r="L530" s="168">
        <f>'030523 INVENTARIO'!N530</f>
        <v>0</v>
      </c>
      <c r="M530" s="168">
        <f>'030523 INVENTARIO'!O530</f>
        <v>0</v>
      </c>
      <c r="N530" s="168" t="str">
        <f>'030523 INVENTARIO'!P530</f>
        <v>OK</v>
      </c>
      <c r="O530" s="168" t="str">
        <f>'030523 INVENTARIO'!Q530</f>
        <v>S/M</v>
      </c>
      <c r="P530" s="167" t="str">
        <f>'030523 INVENTARIO'!R530</f>
        <v>S/M</v>
      </c>
      <c r="Q530" s="168" t="str">
        <f>'030523 INVENTARIO'!S530</f>
        <v>SIN SERIE</v>
      </c>
      <c r="R530" s="168" t="str">
        <f>'030523 INVENTARIO'!T530</f>
        <v>82DJ0511010006000518494</v>
      </c>
    </row>
    <row r="531" spans="5:18">
      <c r="E531" s="167" t="str">
        <f>'030523 INVENTARIO'!E531</f>
        <v>ARCHIVERO</v>
      </c>
      <c r="F531" s="167" t="str">
        <f>'030523 INVENTARIO'!F531</f>
        <v>ARCHIVERO DE MADERA CON 4 CAJONES 126X49X56</v>
      </c>
      <c r="G531" s="167" t="str">
        <f ca="1">'030523 INVENTARIO'!G531</f>
        <v>P13SO-0530</v>
      </c>
      <c r="H531" s="167" t="str">
        <f>'030523 INVENTARIO'!J531</f>
        <v>P13SO-0530</v>
      </c>
      <c r="I531" s="167" t="str">
        <f>'030523 INVENTARIO'!K531</f>
        <v>P13SO-043</v>
      </c>
      <c r="J531" s="167" t="str">
        <f>'030523 INVENTARIO'!L531</f>
        <v>P1SO-2</v>
      </c>
      <c r="K531" s="167" t="str">
        <f>'030523 INVENTARIO'!M531</f>
        <v>5130100013-14</v>
      </c>
      <c r="L531" s="168">
        <f>'030523 INVENTARIO'!N531</f>
        <v>0</v>
      </c>
      <c r="M531" s="168">
        <f>'030523 INVENTARIO'!O531</f>
        <v>0</v>
      </c>
      <c r="N531" s="168" t="str">
        <f>'030523 INVENTARIO'!P531</f>
        <v>OK</v>
      </c>
      <c r="O531" s="168" t="str">
        <f>'030523 INVENTARIO'!Q531</f>
        <v>S/M</v>
      </c>
      <c r="P531" s="167" t="str">
        <f>'030523 INVENTARIO'!R531</f>
        <v>S/M</v>
      </c>
      <c r="Q531" s="168" t="str">
        <f>'030523 INVENTARIO'!S531</f>
        <v>SIN SERIE</v>
      </c>
      <c r="R531" s="168" t="str">
        <f>'030523 INVENTARIO'!T531</f>
        <v>82DJ0511010001000649733</v>
      </c>
    </row>
    <row r="532" spans="5:18">
      <c r="E532" s="167" t="str">
        <f>'030523 INVENTARIO'!E532</f>
        <v>ARCHIVERO</v>
      </c>
      <c r="F532" s="167" t="str">
        <f>'030523 INVENTARIO'!F532</f>
        <v>ARCHIVERO DE MADERA CON 2 CAJONES CON RUEDAS  65X49X40</v>
      </c>
      <c r="G532" s="167" t="str">
        <f ca="1">'030523 INVENTARIO'!G532</f>
        <v>P13SO-0531</v>
      </c>
      <c r="H532" s="167" t="str">
        <f>'030523 INVENTARIO'!J532</f>
        <v>P13SO-0531</v>
      </c>
      <c r="I532" s="167" t="str">
        <f>'030523 INVENTARIO'!K532</f>
        <v>P13SO-044</v>
      </c>
      <c r="J532" s="167" t="str">
        <f>'030523 INVENTARIO'!L532</f>
        <v>P1SO-3</v>
      </c>
      <c r="K532" s="167" t="str">
        <f>'030523 INVENTARIO'!M532</f>
        <v>5130100013-13</v>
      </c>
      <c r="L532" s="168">
        <f>'030523 INVENTARIO'!N532</f>
        <v>0</v>
      </c>
      <c r="M532" s="168">
        <f>'030523 INVENTARIO'!O532</f>
        <v>0</v>
      </c>
      <c r="N532" s="168" t="str">
        <f>'030523 INVENTARIO'!P532</f>
        <v>OK</v>
      </c>
      <c r="O532" s="168" t="str">
        <f>'030523 INVENTARIO'!Q532</f>
        <v>S/M</v>
      </c>
      <c r="P532" s="167" t="str">
        <f>'030523 INVENTARIO'!R532</f>
        <v>S/M</v>
      </c>
      <c r="Q532" s="168" t="str">
        <f>'030523 INVENTARIO'!S532</f>
        <v>SIN SERIE</v>
      </c>
      <c r="R532" s="168" t="str">
        <f>'030523 INVENTARIO'!T532</f>
        <v>82DJ0511010001000518508</v>
      </c>
    </row>
    <row r="533" spans="5:18">
      <c r="E533" s="167" t="str">
        <f>'030523 INVENTARIO'!E533</f>
        <v>MODULO</v>
      </c>
      <c r="F533" s="167" t="str">
        <f>'030523 INVENTARIO'!F533</f>
        <v>MODULO PARA COMPUTADORA</v>
      </c>
      <c r="G533" s="167" t="str">
        <f ca="1">'030523 INVENTARIO'!G533</f>
        <v>P13SO-0532</v>
      </c>
      <c r="H533" s="167" t="str">
        <f>'030523 INVENTARIO'!J533</f>
        <v>P13SO-0532</v>
      </c>
      <c r="I533" s="167" t="str">
        <f>'030523 INVENTARIO'!K533</f>
        <v>P13SO-045</v>
      </c>
      <c r="J533" s="167" t="str">
        <f>'030523 INVENTARIO'!L533</f>
        <v>P1SO-4</v>
      </c>
      <c r="K533" s="167" t="str">
        <f>'030523 INVENTARIO'!M533</f>
        <v>5120100007-44</v>
      </c>
      <c r="L533" s="168">
        <f>'030523 INVENTARIO'!N533</f>
        <v>0</v>
      </c>
      <c r="M533" s="168">
        <f>'030523 INVENTARIO'!O533</f>
        <v>0</v>
      </c>
      <c r="N533" s="168" t="str">
        <f>'030523 INVENTARIO'!P533</f>
        <v>OK</v>
      </c>
      <c r="O533" s="168" t="str">
        <f>'030523 INVENTARIO'!Q533</f>
        <v>S/M</v>
      </c>
      <c r="P533" s="167" t="str">
        <f>'030523 INVENTARIO'!R533</f>
        <v>S/M</v>
      </c>
      <c r="Q533" s="168" t="str">
        <f>'030523 INVENTARIO'!S533</f>
        <v>SIN SERIE</v>
      </c>
      <c r="R533" s="168" t="str">
        <f>'030523 INVENTARIO'!T533</f>
        <v>82DJ0512010011000515290</v>
      </c>
    </row>
    <row r="534" spans="5:18">
      <c r="E534" s="167" t="str">
        <f>'030523 INVENTARIO'!E534</f>
        <v>VENTILADOR</v>
      </c>
      <c r="F534" s="168" t="str">
        <f>'030523 INVENTARIO'!F534</f>
        <v>VENTILADOR NEGRO DE PEDESTAL</v>
      </c>
      <c r="G534" s="167" t="str">
        <f ca="1">'030523 INVENTARIO'!G534</f>
        <v>P13SO-0533</v>
      </c>
      <c r="H534" s="167" t="str">
        <f>'030523 INVENTARIO'!J534</f>
        <v>P13SO-0533</v>
      </c>
      <c r="I534" s="167" t="str">
        <f>'030523 INVENTARIO'!K534</f>
        <v>P13SO-046</v>
      </c>
      <c r="J534" s="167" t="str">
        <f>'030523 INVENTARIO'!L534</f>
        <v>P1SO-13</v>
      </c>
      <c r="K534" s="167" t="str">
        <f>'030523 INVENTARIO'!M534</f>
        <v>5190200002-15</v>
      </c>
      <c r="L534" s="168">
        <f>'030523 INVENTARIO'!N534</f>
        <v>0</v>
      </c>
      <c r="M534" s="168">
        <f>'030523 INVENTARIO'!O534</f>
        <v>0</v>
      </c>
      <c r="N534" s="168" t="str">
        <f>'030523 INVENTARIO'!P534</f>
        <v>OK</v>
      </c>
      <c r="O534" s="168" t="str">
        <f>'030523 INVENTARIO'!Q534</f>
        <v>NAVIA</v>
      </c>
      <c r="P534" s="167" t="str">
        <f>'030523 INVENTARIO'!R534</f>
        <v>VPN118X</v>
      </c>
      <c r="Q534" s="168" t="str">
        <f>'030523 INVENTARIO'!S534</f>
        <v>34973</v>
      </c>
      <c r="R534" s="168" t="str">
        <f>'030523 INVENTARIO'!T534</f>
        <v>82DJ0519010043000649358</v>
      </c>
    </row>
    <row r="535" spans="5:18">
      <c r="E535" s="167" t="str">
        <f>'030523 INVENTARIO'!E535</f>
        <v>ESCRITORIO</v>
      </c>
      <c r="F535" s="167" t="str">
        <f>'030523 INVENTARIO'!F535</f>
        <v>ESCRITORIO DE MADERA 2 PIEZAS TIPO "L"</v>
      </c>
      <c r="G535" s="167" t="str">
        <f ca="1">'030523 INVENTARIO'!G535</f>
        <v>P13SO-0534</v>
      </c>
      <c r="H535" s="167" t="str">
        <f>'030523 INVENTARIO'!J535</f>
        <v>P13SO-0534</v>
      </c>
      <c r="I535" s="167" t="str">
        <f>'030523 INVENTARIO'!K535</f>
        <v>P13SO-047</v>
      </c>
      <c r="J535" s="167" t="str">
        <f>'030523 INVENTARIO'!L535</f>
        <v>P1SO-1</v>
      </c>
      <c r="K535" s="167" t="str">
        <f>'030523 INVENTARIO'!M535</f>
        <v>5110100015-21</v>
      </c>
      <c r="L535" s="168">
        <f>'030523 INVENTARIO'!N535</f>
        <v>0</v>
      </c>
      <c r="M535" s="168">
        <f>'030523 INVENTARIO'!O535</f>
        <v>0</v>
      </c>
      <c r="N535" s="168" t="str">
        <f>'030523 INVENTARIO'!P535</f>
        <v>OK</v>
      </c>
      <c r="O535" s="168" t="str">
        <f>'030523 INVENTARIO'!Q535</f>
        <v>S/M</v>
      </c>
      <c r="P535" s="167" t="str">
        <f>'030523 INVENTARIO'!R535</f>
        <v>S/M</v>
      </c>
      <c r="Q535" s="168" t="str">
        <f>'030523 INVENTARIO'!S535</f>
        <v>SIN SERIE</v>
      </c>
      <c r="R535" s="168" t="str">
        <f>'030523 INVENTARIO'!T535</f>
        <v>82DJ0511010006000583443</v>
      </c>
    </row>
    <row r="536" spans="5:18">
      <c r="E536" s="167" t="str">
        <f>'030523 INVENTARIO'!E536</f>
        <v>COMPLEMENTARIO DE EQUIPO DE COMPUTO</v>
      </c>
      <c r="F536" s="168" t="str">
        <f>'030523 INVENTARIO'!F536</f>
        <v>COMPLEMENTO DE EQUIPO DE MADERA</v>
      </c>
      <c r="G536" s="167" t="str">
        <f ca="1">'030523 INVENTARIO'!G536</f>
        <v>P13SO-0535</v>
      </c>
      <c r="H536" s="167" t="str">
        <f>'030523 INVENTARIO'!J536</f>
        <v>P13SO-0535</v>
      </c>
      <c r="I536" s="167" t="str">
        <f>'030523 INVENTARIO'!K536</f>
        <v>P13SO-048</v>
      </c>
      <c r="J536" s="167" t="str">
        <f>'030523 INVENTARIO'!L536</f>
        <v>P1SO-9</v>
      </c>
      <c r="K536" s="167" t="str">
        <f>'030523 INVENTARIO'!M536</f>
        <v>5120100004-4</v>
      </c>
      <c r="L536" s="168">
        <f>'030523 INVENTARIO'!N536</f>
        <v>0</v>
      </c>
      <c r="M536" s="168">
        <f>'030523 INVENTARIO'!O536</f>
        <v>0</v>
      </c>
      <c r="N536" s="168" t="str">
        <f>'030523 INVENTARIO'!P536</f>
        <v>OK</v>
      </c>
      <c r="O536" s="168" t="str">
        <f>'030523 INVENTARIO'!Q536</f>
        <v>S/M</v>
      </c>
      <c r="P536" s="167" t="str">
        <f>'030523 INVENTARIO'!R536</f>
        <v>S/M</v>
      </c>
      <c r="Q536" s="168" t="str">
        <f>'030523 INVENTARIO'!S536</f>
        <v>SIN SERIE</v>
      </c>
      <c r="R536" s="168" t="str">
        <f>'030523 INVENTARIO'!T536</f>
        <v>82DJ0515010033000566422</v>
      </c>
    </row>
    <row r="537" spans="5:18">
      <c r="E537" s="167" t="str">
        <f>'030523 INVENTARIO'!E537</f>
        <v>NO BREAK</v>
      </c>
      <c r="F537" s="168" t="str">
        <f>'030523 INVENTARIO'!F537</f>
        <v>NO BREAK</v>
      </c>
      <c r="G537" s="167" t="str">
        <f ca="1">'030523 INVENTARIO'!G537</f>
        <v>P13SO-0536</v>
      </c>
      <c r="H537" s="167" t="str">
        <f>'030523 INVENTARIO'!J537</f>
        <v>P13SO-0536</v>
      </c>
      <c r="I537" s="167" t="str">
        <f>'030523 INVENTARIO'!K537</f>
        <v>P13SO-049</v>
      </c>
      <c r="J537" s="167" t="str">
        <f>'030523 INVENTARIO'!L537</f>
        <v>P1SO-11</v>
      </c>
      <c r="K537" s="167" t="str">
        <f>'030523 INVENTARIO'!M537</f>
        <v>5150100008-11</v>
      </c>
      <c r="L537" s="168">
        <f>'030523 INVENTARIO'!N537</f>
        <v>0</v>
      </c>
      <c r="M537" s="168">
        <f>'030523 INVENTARIO'!O537</f>
        <v>0</v>
      </c>
      <c r="N537" s="168" t="str">
        <f>'030523 INVENTARIO'!P537</f>
        <v>OK</v>
      </c>
      <c r="O537" s="168" t="str">
        <f>'030523 INVENTARIO'!Q537</f>
        <v>FORZA</v>
      </c>
      <c r="P537" s="167" t="str">
        <f>'030523 INVENTARIO'!R537</f>
        <v>NT/751</v>
      </c>
      <c r="Q537" s="168" t="str">
        <f>'030523 INVENTARIO'!S537</f>
        <v>190522502598</v>
      </c>
      <c r="R537" s="168" t="str">
        <f>'030523 INVENTARIO'!T537</f>
        <v>82DJ0515010016000649436</v>
      </c>
    </row>
    <row r="538" spans="5:18">
      <c r="E538" s="167" t="str">
        <f>'030523 INVENTARIO'!E538</f>
        <v>SILLA</v>
      </c>
      <c r="F538" s="167" t="str">
        <f>'030523 INVENTARIO'!F538</f>
        <v>SILLA DE TELA NEGRA FIJA</v>
      </c>
      <c r="G538" s="167" t="str">
        <f ca="1">'030523 INVENTARIO'!G538</f>
        <v>P13SO-0537</v>
      </c>
      <c r="H538" s="167" t="str">
        <f>'030523 INVENTARIO'!J538</f>
        <v>P13SO-0537</v>
      </c>
      <c r="I538" s="167" t="str">
        <f>'030523 INVENTARIO'!K538</f>
        <v>P13SO-050</v>
      </c>
      <c r="J538" s="167" t="str">
        <f>'030523 INVENTARIO'!L538</f>
        <v>P1SO-22</v>
      </c>
      <c r="K538" s="167" t="str">
        <f>'030523 INVENTARIO'!M538</f>
        <v>5110100011-24</v>
      </c>
      <c r="L538" s="168">
        <f>'030523 INVENTARIO'!N538</f>
        <v>0</v>
      </c>
      <c r="M538" s="168">
        <f>'030523 INVENTARIO'!O538</f>
        <v>0</v>
      </c>
      <c r="N538" s="168" t="str">
        <f>'030523 INVENTARIO'!P538</f>
        <v>OK</v>
      </c>
      <c r="O538" s="168" t="str">
        <f>'030523 INVENTARIO'!Q538</f>
        <v>S/M</v>
      </c>
      <c r="P538" s="167" t="str">
        <f>'030523 INVENTARIO'!R538</f>
        <v>S/M</v>
      </c>
      <c r="Q538" s="168" t="str">
        <f>'030523 INVENTARIO'!S538</f>
        <v>SIN SERIE</v>
      </c>
      <c r="R538" s="168" t="str">
        <f>'030523 INVENTARIO'!T538</f>
        <v>82DH0511010017000651105</v>
      </c>
    </row>
    <row r="539" spans="5:18">
      <c r="E539" s="167" t="str">
        <f>'030523 INVENTARIO'!E539</f>
        <v>SILLA</v>
      </c>
      <c r="F539" s="167" t="str">
        <f>'030523 INVENTARIO'!F539</f>
        <v>SILLA DE TELA NEGRA FIJA</v>
      </c>
      <c r="G539" s="167" t="str">
        <f ca="1">'030523 INVENTARIO'!G539</f>
        <v>P13SO-0538</v>
      </c>
      <c r="H539" s="167" t="str">
        <f>'030523 INVENTARIO'!J539</f>
        <v>P13SO-0538</v>
      </c>
      <c r="I539" s="167" t="str">
        <f>'030523 INVENTARIO'!K539</f>
        <v>P13SO-051</v>
      </c>
      <c r="J539" s="167" t="str">
        <f>'030523 INVENTARIO'!L539</f>
        <v>P1SO-10</v>
      </c>
      <c r="K539" s="167" t="str">
        <f>'030523 INVENTARIO'!M539</f>
        <v>5110100011-22</v>
      </c>
      <c r="L539" s="168">
        <f>'030523 INVENTARIO'!N539</f>
        <v>0</v>
      </c>
      <c r="M539" s="168">
        <f>'030523 INVENTARIO'!O539</f>
        <v>0</v>
      </c>
      <c r="N539" s="168" t="str">
        <f>'030523 INVENTARIO'!P539</f>
        <v>OK</v>
      </c>
      <c r="O539" s="168" t="str">
        <f>'030523 INVENTARIO'!Q539</f>
        <v>S/M</v>
      </c>
      <c r="P539" s="167" t="str">
        <f>'030523 INVENTARIO'!R539</f>
        <v>S/M</v>
      </c>
      <c r="Q539" s="168" t="str">
        <f>'030523 INVENTARIO'!S539</f>
        <v>SIN SERIE</v>
      </c>
      <c r="R539" s="168" t="str">
        <f>'030523 INVENTARIO'!T539</f>
        <v>82DJ0511010017000649734</v>
      </c>
    </row>
    <row r="540" spans="5:18">
      <c r="E540" s="167" t="str">
        <f>'030523 INVENTARIO'!E540</f>
        <v>COMPUTADORA DE ESCRITORIO</v>
      </c>
      <c r="F540" s="167" t="str">
        <f>'030523 INVENTARIO'!F540</f>
        <v>COMPUTADORA DE ESCRITORIO</v>
      </c>
      <c r="G540" s="167" t="str">
        <f ca="1">'030523 INVENTARIO'!G540</f>
        <v>P13SO-0539</v>
      </c>
      <c r="H540" s="167" t="str">
        <f>'030523 INVENTARIO'!J540</f>
        <v>P13SO-0539</v>
      </c>
      <c r="I540" s="167" t="str">
        <f>'030523 INVENTARIO'!K540</f>
        <v>P13SO-052</v>
      </c>
      <c r="J540" s="167" t="str">
        <f>'030523 INVENTARIO'!L540</f>
        <v>P1SO-7</v>
      </c>
      <c r="K540" s="167" t="str">
        <f>'030523 INVENTARIO'!M540</f>
        <v>5150100005-16</v>
      </c>
      <c r="L540" s="168">
        <f>'030523 INVENTARIO'!N540</f>
        <v>0</v>
      </c>
      <c r="M540" s="168">
        <f>'030523 INVENTARIO'!O540</f>
        <v>0</v>
      </c>
      <c r="N540" s="168" t="str">
        <f>'030523 INVENTARIO'!P540</f>
        <v>OK</v>
      </c>
      <c r="O540" s="168" t="str">
        <f>'030523 INVENTARIO'!Q540</f>
        <v>HP</v>
      </c>
      <c r="P540" s="167" t="str">
        <f>'030523 INVENTARIO'!R540</f>
        <v>S3020LA</v>
      </c>
      <c r="Q540" s="168" t="str">
        <f>'030523 INVENTARIO'!S540</f>
        <v>439108001</v>
      </c>
      <c r="R540" s="168" t="str">
        <f>'030523 INVENTARIO'!T540</f>
        <v>82DJ0515010003000649736</v>
      </c>
    </row>
    <row r="541" spans="5:18">
      <c r="E541" s="167" t="str">
        <f>'030523 INVENTARIO'!E541</f>
        <v>MONITOR</v>
      </c>
      <c r="F541" s="167" t="str">
        <f>'030523 INVENTARIO'!F541</f>
        <v>MONITOR 19.5"</v>
      </c>
      <c r="G541" s="167" t="str">
        <f ca="1">'030523 INVENTARIO'!G541</f>
        <v>P13SO-0540</v>
      </c>
      <c r="H541" s="167" t="str">
        <f>'030523 INVENTARIO'!J541</f>
        <v>P13SO-0540</v>
      </c>
      <c r="I541" s="167" t="str">
        <f>'030523 INVENTARIO'!K541</f>
        <v>P13SO-053</v>
      </c>
      <c r="J541" s="167" t="str">
        <f>'030523 INVENTARIO'!L541</f>
        <v>P1SO-8</v>
      </c>
      <c r="K541" s="167" t="str">
        <f>'030523 INVENTARIO'!M541</f>
        <v>5210100012-9</v>
      </c>
      <c r="L541" s="168">
        <f>'030523 INVENTARIO'!N541</f>
        <v>0</v>
      </c>
      <c r="M541" s="168">
        <f>'030523 INVENTARIO'!O541</f>
        <v>0</v>
      </c>
      <c r="N541" s="168" t="str">
        <f>'030523 INVENTARIO'!P541</f>
        <v>OK</v>
      </c>
      <c r="O541" s="168" t="str">
        <f>'030523 INVENTARIO'!Q541</f>
        <v>COMPAQ</v>
      </c>
      <c r="P541" s="167" t="str">
        <f>'030523 INVENTARIO'!R541</f>
        <v>WF1907</v>
      </c>
      <c r="Q541" s="168" t="str">
        <f>'030523 INVENTARIO'!S541</f>
        <v>CNC816Y4LK</v>
      </c>
      <c r="R541" s="167" t="str">
        <f>'030523 INVENTARIO'!T541</f>
        <v>82DJ0565010041000530719</v>
      </c>
    </row>
    <row r="542" spans="5:18">
      <c r="E542" s="167" t="str">
        <f>'030523 INVENTARIO'!E542</f>
        <v>TELEFONO</v>
      </c>
      <c r="F542" s="168" t="str">
        <f>'030523 INVENTARIO'!F542</f>
        <v>TELEFONO GRIS</v>
      </c>
      <c r="G542" s="167" t="str">
        <f ca="1">'030523 INVENTARIO'!G542</f>
        <v>P05RM-0541</v>
      </c>
      <c r="H542" s="167" t="str">
        <f>'030523 INVENTARIO'!J542</f>
        <v>P13SO-0541</v>
      </c>
      <c r="I542" s="167" t="str">
        <f>'030523 INVENTARIO'!K542</f>
        <v>P13SO-054</v>
      </c>
      <c r="J542" s="167" t="str">
        <f>'030523 INVENTARIO'!L542</f>
        <v>P1SO-12</v>
      </c>
      <c r="K542" s="167" t="str">
        <f>'030523 INVENTARIO'!M542</f>
        <v>5650100010-30</v>
      </c>
      <c r="L542" s="168">
        <f>'030523 INVENTARIO'!N542</f>
        <v>0</v>
      </c>
      <c r="M542" s="168">
        <f>'030523 INVENTARIO'!O542</f>
        <v>0</v>
      </c>
      <c r="N542" s="168" t="str">
        <f>'030523 INVENTARIO'!P542</f>
        <v>OK</v>
      </c>
      <c r="O542" s="168" t="str">
        <f>'030523 INVENTARIO'!Q542</f>
        <v>LINKSYS</v>
      </c>
      <c r="P542" s="167" t="str">
        <f>'030523 INVENTARIO'!R542</f>
        <v>SPA942</v>
      </c>
      <c r="Q542" s="168" t="str">
        <f>'030523 INVENTARIO'!S542</f>
        <v>4LO00G809937</v>
      </c>
      <c r="R542" s="168" t="str">
        <f>'030523 INVENTARIO'!T542</f>
        <v>82DJ0565010001000527027</v>
      </c>
    </row>
    <row r="543" spans="5:18">
      <c r="E543" s="167" t="str">
        <f>'030523 INVENTARIO'!E543</f>
        <v>VENTILADOR</v>
      </c>
      <c r="F543" s="167" t="str">
        <f>'030523 INVENTARIO'!F543</f>
        <v>VENTILADOR GRIS DE PARED</v>
      </c>
      <c r="G543" s="167" t="str">
        <f ca="1">'030523 INVENTARIO'!G543</f>
        <v>P13SO-0542</v>
      </c>
      <c r="H543" s="167" t="str">
        <f>'030523 INVENTARIO'!J543</f>
        <v>P13SO-0542</v>
      </c>
      <c r="I543" s="167" t="str">
        <f>'030523 INVENTARIO'!K543</f>
        <v>P13SO-055</v>
      </c>
      <c r="J543" s="167" t="str">
        <f>'030523 INVENTARIO'!L543</f>
        <v>P1SO-19</v>
      </c>
      <c r="K543" s="167" t="str">
        <f>'030523 INVENTARIO'!M543</f>
        <v>5190200002-17</v>
      </c>
      <c r="L543" s="168">
        <f>'030523 INVENTARIO'!N543</f>
        <v>0</v>
      </c>
      <c r="M543" s="168">
        <f>'030523 INVENTARIO'!O543</f>
        <v>0</v>
      </c>
      <c r="N543" s="168" t="str">
        <f>'030523 INVENTARIO'!P543</f>
        <v>OK</v>
      </c>
      <c r="O543" s="168" t="str">
        <f>'030523 INVENTARIO'!Q543</f>
        <v>NAVIA</v>
      </c>
      <c r="P543" s="167" t="str">
        <f>'030523 INVENTARIO'!R543</f>
        <v>VPN/018</v>
      </c>
      <c r="Q543" s="168" t="str">
        <f>'030523 INVENTARIO'!S543</f>
        <v>SIN SERIE</v>
      </c>
      <c r="R543" s="168" t="str">
        <f>'030523 INVENTARIO'!T543</f>
        <v>82DH0519010043000649369</v>
      </c>
    </row>
    <row r="544" spans="5:18">
      <c r="E544" s="167" t="str">
        <f>'030523 INVENTARIO'!E544</f>
        <v>VENTILADOR</v>
      </c>
      <c r="F544" s="167" t="str">
        <f>'030523 INVENTARIO'!F544</f>
        <v>VENTILADOR GRIS DE PARED</v>
      </c>
      <c r="G544" s="167" t="str">
        <f ca="1">'030523 INVENTARIO'!G544</f>
        <v>P13SO-0543</v>
      </c>
      <c r="H544" s="167" t="str">
        <f>'030523 INVENTARIO'!J544</f>
        <v>P13SO-0543</v>
      </c>
      <c r="I544" s="167" t="str">
        <f>'030523 INVENTARIO'!K544</f>
        <v>P13SO-056</v>
      </c>
      <c r="J544" s="167" t="str">
        <f>'030523 INVENTARIO'!L544</f>
        <v>P1SO-20</v>
      </c>
      <c r="K544" s="167" t="str">
        <f>'030523 INVENTARIO'!M544</f>
        <v>5190200002-16</v>
      </c>
      <c r="L544" s="168">
        <f>'030523 INVENTARIO'!N544</f>
        <v>0</v>
      </c>
      <c r="M544" s="168">
        <f>'030523 INVENTARIO'!O544</f>
        <v>0</v>
      </c>
      <c r="N544" s="168" t="str">
        <f>'030523 INVENTARIO'!P544</f>
        <v>OK</v>
      </c>
      <c r="O544" s="168" t="str">
        <f>'030523 INVENTARIO'!Q544</f>
        <v>NAVIA</v>
      </c>
      <c r="P544" s="167" t="str">
        <f>'030523 INVENTARIO'!R544</f>
        <v>VPN/018</v>
      </c>
      <c r="Q544" s="168" t="str">
        <f>'030523 INVENTARIO'!S544</f>
        <v>SIN SERIE</v>
      </c>
      <c r="R544" s="168" t="str">
        <f>'030523 INVENTARIO'!T544</f>
        <v>82DH0519010043000649370</v>
      </c>
    </row>
    <row r="545" spans="5:18">
      <c r="E545" s="167" t="str">
        <f>'030523 INVENTARIO'!E545</f>
        <v>MESA</v>
      </c>
      <c r="F545" s="167" t="str">
        <f>'030523 INVENTARIO'!F545</f>
        <v>MESA DE MADERA CON RUEDAS  75X48</v>
      </c>
      <c r="G545" s="167" t="str">
        <f ca="1">'030523 INVENTARIO'!G545</f>
        <v>P13SO-0544</v>
      </c>
      <c r="H545" s="167" t="str">
        <f>'030523 INVENTARIO'!J545</f>
        <v>P13SO-0544</v>
      </c>
      <c r="I545" s="167" t="str">
        <f>'030523 INVENTARIO'!K545</f>
        <v>P13SO-057</v>
      </c>
      <c r="J545" s="167" t="str">
        <f>'030523 INVENTARIO'!L545</f>
        <v>P1SO-66</v>
      </c>
      <c r="K545" s="167" t="str">
        <f>'030523 INVENTARIO'!M545</f>
        <v>5120100007-54</v>
      </c>
      <c r="L545" s="168">
        <f>'030523 INVENTARIO'!N545</f>
        <v>0</v>
      </c>
      <c r="M545" s="168">
        <f>'030523 INVENTARIO'!O545</f>
        <v>0</v>
      </c>
      <c r="N545" s="168" t="str">
        <f>'030523 INVENTARIO'!P545</f>
        <v>OK</v>
      </c>
      <c r="O545" s="168" t="str">
        <f>'030523 INVENTARIO'!Q545</f>
        <v>S/M</v>
      </c>
      <c r="P545" s="167" t="str">
        <f>'030523 INVENTARIO'!R545</f>
        <v>S/M</v>
      </c>
      <c r="Q545" s="168" t="str">
        <f>'030523 INVENTARIO'!S545</f>
        <v>SIN SERIE</v>
      </c>
      <c r="R545" s="168" t="str">
        <f>'030523 INVENTARIO'!T545</f>
        <v>82DH0512010011000564518</v>
      </c>
    </row>
    <row r="546" spans="5:18">
      <c r="E546" s="167" t="str">
        <f>'030523 INVENTARIO'!E546</f>
        <v>MESA</v>
      </c>
      <c r="F546" s="167" t="str">
        <f>'030523 INVENTARIO'!F546</f>
        <v>MESA BLANCA DE MADERA CON BASE DE METAL</v>
      </c>
      <c r="G546" s="167" t="str">
        <f ca="1">'030523 INVENTARIO'!G546</f>
        <v>P13IR-0545</v>
      </c>
      <c r="H546" s="167" t="str">
        <f>'030523 INVENTARIO'!J546</f>
        <v>P13SO-0545</v>
      </c>
      <c r="I546" s="167" t="str">
        <f>'030523 INVENTARIO'!K546</f>
        <v>P13SO-058</v>
      </c>
      <c r="J546" s="167" t="str">
        <f>'030523 INVENTARIO'!L546</f>
        <v>P1SO-69</v>
      </c>
      <c r="K546" s="167" t="str">
        <f>'030523 INVENTARIO'!M546</f>
        <v>5120100007-49</v>
      </c>
      <c r="L546" s="168">
        <f>'030523 INVENTARIO'!N546</f>
        <v>0</v>
      </c>
      <c r="M546" s="168">
        <f>'030523 INVENTARIO'!O546</f>
        <v>0</v>
      </c>
      <c r="N546" s="168" t="str">
        <f>'030523 INVENTARIO'!P546</f>
        <v>OK</v>
      </c>
      <c r="O546" s="168" t="str">
        <f>'030523 INVENTARIO'!Q546</f>
        <v>S/M</v>
      </c>
      <c r="P546" s="167" t="str">
        <f>'030523 INVENTARIO'!R546</f>
        <v>S/M</v>
      </c>
      <c r="Q546" s="168" t="str">
        <f>'030523 INVENTARIO'!S546</f>
        <v>SIN SERIE</v>
      </c>
      <c r="R546" s="168" t="str">
        <f>'030523 INVENTARIO'!T546</f>
        <v>82DH0511010010000651107</v>
      </c>
    </row>
    <row r="547" spans="5:18">
      <c r="E547" s="167" t="str">
        <f>'030523 INVENTARIO'!E547</f>
        <v>SILLON</v>
      </c>
      <c r="F547" s="167" t="str">
        <f>'030523 INVENTARIO'!F547</f>
        <v>SILLON NEGRO EJECUTIVO</v>
      </c>
      <c r="G547" s="167" t="str">
        <f ca="1">'030523 INVENTARIO'!G547</f>
        <v>P13LP-0546</v>
      </c>
      <c r="H547" s="167" t="str">
        <f>'030523 INVENTARIO'!J547</f>
        <v>P13SO-0546</v>
      </c>
      <c r="I547" s="167" t="str">
        <f>'030523 INVENTARIO'!K547</f>
        <v>P13SO-059</v>
      </c>
      <c r="J547" s="167" t="str">
        <f>'030523 INVENTARIO'!L547</f>
        <v>P1SO-5</v>
      </c>
      <c r="K547" s="167" t="str">
        <f>'030523 INVENTARIO'!M547</f>
        <v>5120100009-26</v>
      </c>
      <c r="L547" s="168">
        <f>'030523 INVENTARIO'!N547</f>
        <v>0</v>
      </c>
      <c r="M547" s="168">
        <f>'030523 INVENTARIO'!O547</f>
        <v>0</v>
      </c>
      <c r="N547" s="168" t="str">
        <f>'030523 INVENTARIO'!P547</f>
        <v>OK</v>
      </c>
      <c r="O547" s="168" t="str">
        <f>'030523 INVENTARIO'!Q547</f>
        <v>S/M</v>
      </c>
      <c r="P547" s="167" t="str">
        <f>'030523 INVENTARIO'!R547</f>
        <v>S/M</v>
      </c>
      <c r="Q547" s="168" t="str">
        <f>'030523 INVENTARIO'!S547</f>
        <v>SIN SERIE</v>
      </c>
      <c r="R547" s="168" t="str">
        <f>'030523 INVENTARIO'!T547</f>
        <v>82DJ0511010016000517124</v>
      </c>
    </row>
    <row r="548" spans="5:18">
      <c r="E548" s="167" t="str">
        <f>'030523 INVENTARIO'!E548</f>
        <v>DISCO DURO</v>
      </c>
      <c r="F548" s="167" t="str">
        <f>'030523 INVENTARIO'!F548</f>
        <v>DISCO DURO</v>
      </c>
      <c r="G548" s="167" t="str">
        <f ca="1">'030523 INVENTARIO'!G548</f>
        <v>P13SO-0547</v>
      </c>
      <c r="H548" s="167" t="str">
        <f>'030523 INVENTARIO'!J548</f>
        <v>P13SO-0547</v>
      </c>
      <c r="I548" s="167" t="str">
        <f>'030523 INVENTARIO'!K548</f>
        <v>P13SO-060</v>
      </c>
      <c r="J548" s="167">
        <f>'030523 INVENTARIO'!L548</f>
        <v>0</v>
      </c>
      <c r="K548" s="167" t="str">
        <f>'030523 INVENTARIO'!M548</f>
        <v>5150100006-2</v>
      </c>
      <c r="L548" s="168">
        <f>'030523 INVENTARIO'!N548</f>
        <v>0</v>
      </c>
      <c r="M548" s="168">
        <f>'030523 INVENTARIO'!O548</f>
        <v>0</v>
      </c>
      <c r="N548" s="168" t="str">
        <f>'030523 INVENTARIO'!P548</f>
        <v>OK</v>
      </c>
      <c r="O548" s="168" t="str">
        <f>'030523 INVENTARIO'!Q548</f>
        <v>ADATA</v>
      </c>
      <c r="P548" s="167" t="str">
        <f>'030523 INVENTARIO'!R548</f>
        <v>HV100</v>
      </c>
      <c r="Q548" s="167" t="str">
        <f>'030523 INVENTARIO'!S548</f>
        <v>SIN SERIE</v>
      </c>
      <c r="R548" s="167" t="str">
        <f>'030523 INVENTARIO'!T548</f>
        <v>82DH0515010006000649400</v>
      </c>
    </row>
    <row r="549" spans="5:18">
      <c r="E549" s="167" t="str">
        <f>'030523 INVENTARIO'!E549</f>
        <v>MESA</v>
      </c>
      <c r="F549" s="167" t="str">
        <f>'030523 INVENTARIO'!F549</f>
        <v>MESA MADERA BASE DE METAL  120X40</v>
      </c>
      <c r="G549" s="167" t="str">
        <f ca="1">'030523 INVENTARIO'!G549</f>
        <v>P13IR-0548</v>
      </c>
      <c r="H549" s="167" t="str">
        <f>'030523 INVENTARIO'!J549</f>
        <v>P13LP-0548</v>
      </c>
      <c r="I549" s="167" t="str">
        <f>'030523 INVENTARIO'!K549</f>
        <v>P13LI-001</v>
      </c>
      <c r="J549" s="167" t="str">
        <f>'030523 INVENTARIO'!L549</f>
        <v>P1R-16</v>
      </c>
      <c r="K549" s="167" t="str">
        <f>'030523 INVENTARIO'!M549</f>
        <v>5120100007-85</v>
      </c>
      <c r="L549" s="168">
        <f>'030523 INVENTARIO'!N549</f>
        <v>0</v>
      </c>
      <c r="M549" s="168">
        <f>'030523 INVENTARIO'!O549</f>
        <v>0</v>
      </c>
      <c r="N549" s="168" t="str">
        <f>'030523 INVENTARIO'!P549</f>
        <v>OK</v>
      </c>
      <c r="O549" s="168" t="str">
        <f>'030523 INVENTARIO'!Q549</f>
        <v>S/M</v>
      </c>
      <c r="P549" s="167" t="str">
        <f>'030523 INVENTARIO'!R549</f>
        <v>S/M</v>
      </c>
      <c r="Q549" s="168" t="str">
        <f>'030523 INVENTARIO'!S549</f>
        <v>SIN SERIE</v>
      </c>
      <c r="R549" s="168" t="str">
        <f>'030523 INVENTARIO'!T549</f>
        <v>82DI0511010010000649556</v>
      </c>
    </row>
    <row r="550" spans="5:18">
      <c r="E550" s="167" t="str">
        <f>'030523 INVENTARIO'!E550</f>
        <v>SILLA</v>
      </c>
      <c r="F550" s="167" t="str">
        <f>'030523 INVENTARIO'!F550</f>
        <v>SILLA SECRETARIAL NEGRA CON RUEDAS</v>
      </c>
      <c r="G550" s="167" t="str">
        <f ca="1">'030523 INVENTARIO'!G550</f>
        <v>P13IR-0549</v>
      </c>
      <c r="H550" s="167" t="str">
        <f>'030523 INVENTARIO'!J550</f>
        <v>P13LP-0549</v>
      </c>
      <c r="I550" s="167" t="str">
        <f>'030523 INVENTARIO'!K550</f>
        <v>P13LI-002</v>
      </c>
      <c r="J550" s="167">
        <f>'030523 INVENTARIO'!L550</f>
        <v>0</v>
      </c>
      <c r="K550" s="167" t="str">
        <f>'030523 INVENTARIO'!M550</f>
        <v>ALTA</v>
      </c>
      <c r="L550" s="168">
        <f>'030523 INVENTARIO'!N550</f>
        <v>0</v>
      </c>
      <c r="M550" s="168">
        <f>'030523 INVENTARIO'!O550</f>
        <v>0</v>
      </c>
      <c r="N550" s="168" t="str">
        <f>'030523 INVENTARIO'!P550</f>
        <v>REPETIDO</v>
      </c>
      <c r="O550" s="168" t="str">
        <f>'030523 INVENTARIO'!Q550</f>
        <v>S/M</v>
      </c>
      <c r="P550" s="167" t="str">
        <f>'030523 INVENTARIO'!R550</f>
        <v>S/M</v>
      </c>
      <c r="Q550" s="167" t="str">
        <f>'030523 INVENTARIO'!S550</f>
        <v>SIN SERIE</v>
      </c>
      <c r="R550" s="167" t="str">
        <f>'030523 INVENTARIO'!T550</f>
        <v>82DI0511010017000516247</v>
      </c>
    </row>
    <row r="551" spans="5:18">
      <c r="E551" s="167" t="str">
        <f>'030523 INVENTARIO'!E551</f>
        <v>SILLA</v>
      </c>
      <c r="F551" s="167" t="str">
        <f>'030523 INVENTARIO'!F551</f>
        <v>SILLA DE TELA NEGRA  FIJA</v>
      </c>
      <c r="G551" s="167" t="str">
        <f ca="1">'030523 INVENTARIO'!G551</f>
        <v>P13IR-0550</v>
      </c>
      <c r="H551" s="167" t="str">
        <f>'030523 INVENTARIO'!J551</f>
        <v>P13LP-0550</v>
      </c>
      <c r="I551" s="167" t="str">
        <f>'030523 INVENTARIO'!K551</f>
        <v>P13LI-003</v>
      </c>
      <c r="J551" s="167" t="str">
        <f>'030523 INVENTARIO'!L551</f>
        <v>P1R-5</v>
      </c>
      <c r="K551" s="167" t="str">
        <f>'030523 INVENTARIO'!M551</f>
        <v>ALTA</v>
      </c>
      <c r="L551" s="168">
        <f>'030523 INVENTARIO'!N551</f>
        <v>0</v>
      </c>
      <c r="M551" s="168">
        <f>'030523 INVENTARIO'!O551</f>
        <v>0</v>
      </c>
      <c r="N551" s="168" t="str">
        <f>'030523 INVENTARIO'!P551</f>
        <v>REPETIDO</v>
      </c>
      <c r="O551" s="168" t="str">
        <f>'030523 INVENTARIO'!Q551</f>
        <v>S/M</v>
      </c>
      <c r="P551" s="167" t="str">
        <f>'030523 INVENTARIO'!R551</f>
        <v>S/M</v>
      </c>
      <c r="Q551" s="168" t="str">
        <f>'030523 INVENTARIO'!S551</f>
        <v>SIN SERIE</v>
      </c>
      <c r="R551" s="168" t="str">
        <f>'030523 INVENTARIO'!T551</f>
        <v>82DI0511010017000649567</v>
      </c>
    </row>
    <row r="552" spans="5:18">
      <c r="E552" s="167" t="str">
        <f>'030523 INVENTARIO'!E552</f>
        <v>SILLA</v>
      </c>
      <c r="F552" s="167" t="str">
        <f>'030523 INVENTARIO'!F552</f>
        <v>SILLA DE TELA NEGRA  FIJA</v>
      </c>
      <c r="G552" s="167" t="str">
        <f ca="1">'030523 INVENTARIO'!G552</f>
        <v>P13IR-0551</v>
      </c>
      <c r="H552" s="167" t="str">
        <f>'030523 INVENTARIO'!J552</f>
        <v>P13LP-0551</v>
      </c>
      <c r="I552" s="167" t="str">
        <f>'030523 INVENTARIO'!K552</f>
        <v>P13LI-004</v>
      </c>
      <c r="J552" s="167" t="str">
        <f>'030523 INVENTARIO'!L552</f>
        <v>P1R-4</v>
      </c>
      <c r="K552" s="168" t="str">
        <f>'030523 INVENTARIO'!M552</f>
        <v>5110100011-65</v>
      </c>
      <c r="L552" s="168">
        <f>'030523 INVENTARIO'!N552</f>
        <v>0</v>
      </c>
      <c r="M552" s="168">
        <f>'030523 INVENTARIO'!O552</f>
        <v>0</v>
      </c>
      <c r="N552" s="168" t="str">
        <f>'030523 INVENTARIO'!P552</f>
        <v>OK</v>
      </c>
      <c r="O552" s="168" t="str">
        <f>'030523 INVENTARIO'!Q552</f>
        <v>S/M</v>
      </c>
      <c r="P552" s="167" t="str">
        <f>'030523 INVENTARIO'!R552</f>
        <v>S/M</v>
      </c>
      <c r="Q552" s="168" t="str">
        <f>'030523 INVENTARIO'!S552</f>
        <v>SIN SERIE</v>
      </c>
      <c r="R552" s="168" t="str">
        <f>'030523 INVENTARIO'!T552</f>
        <v>82DI0511010017000539073</v>
      </c>
    </row>
    <row r="553" spans="5:18">
      <c r="E553" s="167" t="str">
        <f>'030523 INVENTARIO'!E553</f>
        <v>SILLON</v>
      </c>
      <c r="F553" s="167" t="str">
        <f>'030523 INVENTARIO'!F553</f>
        <v>SILLON NEGRO CON METAL FIJO</v>
      </c>
      <c r="G553" s="167" t="str">
        <f ca="1">'030523 INVENTARIO'!G553</f>
        <v>P13IR-0552</v>
      </c>
      <c r="H553" s="167" t="str">
        <f>'030523 INVENTARIO'!J553</f>
        <v>P13LP-0552</v>
      </c>
      <c r="I553" s="167" t="str">
        <f>'030523 INVENTARIO'!K553</f>
        <v>P13LI-005</v>
      </c>
      <c r="J553" s="167" t="str">
        <f>'030523 INVENTARIO'!L553</f>
        <v>P1R-6</v>
      </c>
      <c r="K553" s="167" t="str">
        <f>'030523 INVENTARIO'!M553</f>
        <v>5120100009-24</v>
      </c>
      <c r="L553" s="168">
        <f>'030523 INVENTARIO'!N553</f>
        <v>0</v>
      </c>
      <c r="M553" s="168">
        <f>'030523 INVENTARIO'!O553</f>
        <v>0</v>
      </c>
      <c r="N553" s="168" t="str">
        <f>'030523 INVENTARIO'!P553</f>
        <v>OK</v>
      </c>
      <c r="O553" s="168" t="str">
        <f>'030523 INVENTARIO'!Q553</f>
        <v>S/M</v>
      </c>
      <c r="P553" s="167" t="str">
        <f>'030523 INVENTARIO'!R553</f>
        <v>S/M</v>
      </c>
      <c r="Q553" s="168" t="str">
        <f>'030523 INVENTARIO'!S553</f>
        <v>SIN SERIE</v>
      </c>
      <c r="R553" s="168" t="str">
        <f>'030523 INVENTARIO'!T553</f>
        <v>82DI0511010016000515607</v>
      </c>
    </row>
    <row r="554" spans="5:18">
      <c r="E554" s="167" t="str">
        <f>'030523 INVENTARIO'!E554</f>
        <v>MESA</v>
      </c>
      <c r="F554" s="167" t="str">
        <f>'030523 INVENTARIO'!F554</f>
        <v>MESA MADERA BASE DE METAL 100X40</v>
      </c>
      <c r="G554" s="167" t="str">
        <f ca="1">'030523 INVENTARIO'!G554</f>
        <v>P13IR-0553</v>
      </c>
      <c r="H554" s="167" t="str">
        <f>'030523 INVENTARIO'!J554</f>
        <v>P13LP-0553</v>
      </c>
      <c r="I554" s="167" t="str">
        <f>'030523 INVENTARIO'!K554</f>
        <v>P13LI-006</v>
      </c>
      <c r="J554" s="167" t="str">
        <f>'030523 INVENTARIO'!L554</f>
        <v>P1R-15</v>
      </c>
      <c r="K554" s="167" t="str">
        <f>'030523 INVENTARIO'!M554</f>
        <v>5120100007-84</v>
      </c>
      <c r="L554" s="168">
        <f>'030523 INVENTARIO'!N554</f>
        <v>0</v>
      </c>
      <c r="M554" s="168">
        <f>'030523 INVENTARIO'!O554</f>
        <v>0</v>
      </c>
      <c r="N554" s="168" t="str">
        <f>'030523 INVENTARIO'!P554</f>
        <v>OK</v>
      </c>
      <c r="O554" s="168" t="str">
        <f>'030523 INVENTARIO'!Q554</f>
        <v>S/M</v>
      </c>
      <c r="P554" s="167" t="str">
        <f>'030523 INVENTARIO'!R554</f>
        <v>S/M</v>
      </c>
      <c r="Q554" s="168" t="str">
        <f>'030523 INVENTARIO'!S554</f>
        <v>SIN SERIE</v>
      </c>
      <c r="R554" s="168" t="str">
        <f>'030523 INVENTARIO'!T554</f>
        <v>82DI0511010010000649557</v>
      </c>
    </row>
    <row r="555" spans="5:18">
      <c r="E555" s="167" t="str">
        <f>'030523 INVENTARIO'!E555</f>
        <v>MESA</v>
      </c>
      <c r="F555" s="167" t="str">
        <f>'030523 INVENTARIO'!F555</f>
        <v>MESA DE MADERA CON BASE DE METAL 120X40</v>
      </c>
      <c r="G555" s="167" t="str">
        <f ca="1">'030523 INVENTARIO'!G555</f>
        <v>P13IR-0554</v>
      </c>
      <c r="H555" s="167" t="str">
        <f>'030523 INVENTARIO'!J555</f>
        <v>P13LP-0554</v>
      </c>
      <c r="I555" s="167" t="str">
        <f>'030523 INVENTARIO'!K555</f>
        <v>P13LI-007</v>
      </c>
      <c r="J555" s="167" t="str">
        <f>'030523 INVENTARIO'!L555</f>
        <v>P1R-9</v>
      </c>
      <c r="K555" s="167" t="str">
        <f>'030523 INVENTARIO'!M555</f>
        <v>5120100007-82</v>
      </c>
      <c r="L555" s="168">
        <f>'030523 INVENTARIO'!N555</f>
        <v>0</v>
      </c>
      <c r="M555" s="168">
        <f>'030523 INVENTARIO'!O555</f>
        <v>0</v>
      </c>
      <c r="N555" s="168" t="str">
        <f>'030523 INVENTARIO'!P555</f>
        <v>OK</v>
      </c>
      <c r="O555" s="168" t="str">
        <f>'030523 INVENTARIO'!Q555</f>
        <v>S/M</v>
      </c>
      <c r="P555" s="167" t="str">
        <f>'030523 INVENTARIO'!R555</f>
        <v>S/M</v>
      </c>
      <c r="Q555" s="168" t="str">
        <f>'030523 INVENTARIO'!S555</f>
        <v>SIN SERIE</v>
      </c>
      <c r="R555" s="168" t="str">
        <f>'030523 INVENTARIO'!T555</f>
        <v>82DI0511010010000649558</v>
      </c>
    </row>
    <row r="556" spans="5:18">
      <c r="E556" s="167" t="str">
        <f>'030523 INVENTARIO'!E556</f>
        <v>VENTILADOR</v>
      </c>
      <c r="F556" s="167" t="str">
        <f>'030523 INVENTARIO'!F556</f>
        <v>VENTILADOR DE TORRE</v>
      </c>
      <c r="G556" s="167" t="str">
        <f ca="1">'030523 INVENTARIO'!G556</f>
        <v>P13IR-0555</v>
      </c>
      <c r="H556" s="167" t="str">
        <f>'030523 INVENTARIO'!J556</f>
        <v>P13LP-0555</v>
      </c>
      <c r="I556" s="167" t="str">
        <f>'030523 INVENTARIO'!K556</f>
        <v>P13LI-008</v>
      </c>
      <c r="J556" s="167" t="str">
        <f>'030523 INVENTARIO'!L556</f>
        <v>P1R-10</v>
      </c>
      <c r="K556" s="167" t="str">
        <f>'030523 INVENTARIO'!M556</f>
        <v>5190200002-21</v>
      </c>
      <c r="L556" s="168">
        <f>'030523 INVENTARIO'!N556</f>
        <v>0</v>
      </c>
      <c r="M556" s="168">
        <f>'030523 INVENTARIO'!O556</f>
        <v>0</v>
      </c>
      <c r="N556" s="168" t="str">
        <f>'030523 INVENTARIO'!P556</f>
        <v>OK</v>
      </c>
      <c r="O556" s="168" t="str">
        <f>'030523 INVENTARIO'!Q556</f>
        <v>MYTEK</v>
      </c>
      <c r="P556" s="167">
        <f>'030523 INVENTARIO'!R556</f>
        <v>3358</v>
      </c>
      <c r="Q556" s="168" t="str">
        <f>'030523 INVENTARIO'!S556</f>
        <v>SIN SERIE</v>
      </c>
      <c r="R556" s="167" t="str">
        <f>'030523 INVENTARIO'!T556</f>
        <v>82DI0519010043000649373</v>
      </c>
    </row>
    <row r="557" spans="5:18">
      <c r="E557" s="167" t="str">
        <f>'030523 INVENTARIO'!E557</f>
        <v>ARCHIVERO</v>
      </c>
      <c r="F557" s="167" t="str">
        <f>'030523 INVENTARIO'!F557</f>
        <v>ARCHIVERO NEGRO CON 3 CAJONES</v>
      </c>
      <c r="G557" s="167" t="str">
        <f ca="1">'030523 INVENTARIO'!G557</f>
        <v>P13IR-0556</v>
      </c>
      <c r="H557" s="167" t="str">
        <f>'030523 INVENTARIO'!J557</f>
        <v>P13LP-0556</v>
      </c>
      <c r="I557" s="167" t="str">
        <f>'030523 INVENTARIO'!K557</f>
        <v>P13LI-009</v>
      </c>
      <c r="J557" s="167" t="str">
        <f>'030523 INVENTARIO'!L557</f>
        <v>P1R-3</v>
      </c>
      <c r="K557" s="167" t="str">
        <f>'030523 INVENTARIO'!M557</f>
        <v>5130100013-19</v>
      </c>
      <c r="L557" s="168">
        <f>'030523 INVENTARIO'!N557</f>
        <v>0</v>
      </c>
      <c r="M557" s="168">
        <f>'030523 INVENTARIO'!O557</f>
        <v>0</v>
      </c>
      <c r="N557" s="168" t="str">
        <f>'030523 INVENTARIO'!P557</f>
        <v>OK</v>
      </c>
      <c r="O557" s="168" t="str">
        <f>'030523 INVENTARIO'!Q557</f>
        <v>S/M</v>
      </c>
      <c r="P557" s="167" t="str">
        <f>'030523 INVENTARIO'!R557</f>
        <v>S/M</v>
      </c>
      <c r="Q557" s="168" t="str">
        <f>'030523 INVENTARIO'!S557</f>
        <v>SIN SERIE</v>
      </c>
      <c r="R557" s="168" t="str">
        <f>'030523 INVENTARIO'!T557</f>
        <v>82DI0511010001000649566</v>
      </c>
    </row>
    <row r="558" spans="5:18">
      <c r="E558" s="167" t="str">
        <f>'030523 INVENTARIO'!E558</f>
        <v>CREDENZA</v>
      </c>
      <c r="F558" s="167" t="str">
        <f>'030523 INVENTARIO'!F558</f>
        <v>CREDENZA</v>
      </c>
      <c r="G558" s="167" t="str">
        <f ca="1">'030523 INVENTARIO'!G558</f>
        <v>P13IR-0557</v>
      </c>
      <c r="H558" s="167" t="str">
        <f>'030523 INVENTARIO'!J558</f>
        <v>P13LP-0557</v>
      </c>
      <c r="I558" s="167">
        <f>'030523 INVENTARIO'!K558</f>
        <v>0</v>
      </c>
      <c r="J558" s="167" t="str">
        <f>'030523 INVENTARIO'!L558</f>
        <v>P1R-17</v>
      </c>
      <c r="K558" s="167" t="str">
        <f>'030523 INVENTARIO'!M558</f>
        <v>5110100014-14</v>
      </c>
      <c r="L558" s="168">
        <f>'030523 INVENTARIO'!N558</f>
        <v>0</v>
      </c>
      <c r="M558" s="168">
        <f>'030523 INVENTARIO'!O558</f>
        <v>0</v>
      </c>
      <c r="N558" s="168" t="str">
        <f>'030523 INVENTARIO'!P558</f>
        <v>OK</v>
      </c>
      <c r="O558" s="168" t="str">
        <f>'030523 INVENTARIO'!Q558</f>
        <v>S/M</v>
      </c>
      <c r="P558" s="167" t="str">
        <f>'030523 INVENTARIO'!R558</f>
        <v>S/M</v>
      </c>
      <c r="Q558" s="168" t="str">
        <f>'030523 INVENTARIO'!S558</f>
        <v>SIN SERIE</v>
      </c>
      <c r="R558" s="168" t="str">
        <f>'030523 INVENTARIO'!T558</f>
        <v>82DI0511010005000649559</v>
      </c>
    </row>
    <row r="559" spans="5:18">
      <c r="E559" s="167" t="str">
        <f>'030523 INVENTARIO'!E559</f>
        <v>MODULO</v>
      </c>
      <c r="F559" s="167" t="str">
        <f>'030523 INVENTARIO'!F559</f>
        <v>ESCRITORIO DE MADERA</v>
      </c>
      <c r="G559" s="167" t="str">
        <f ca="1">'030523 INVENTARIO'!G559</f>
        <v>P13IR-0558</v>
      </c>
      <c r="H559" s="167" t="str">
        <f>'030523 INVENTARIO'!J559</f>
        <v>P13LP-0558</v>
      </c>
      <c r="I559" s="167">
        <f>'030523 INVENTARIO'!K559</f>
        <v>0</v>
      </c>
      <c r="J559" s="167" t="str">
        <f>'030523 INVENTARIO'!L559</f>
        <v>P1R-13</v>
      </c>
      <c r="K559" s="167" t="str">
        <f>'030523 INVENTARIO'!M559</f>
        <v>5110100015-76</v>
      </c>
      <c r="L559" s="168">
        <f>'030523 INVENTARIO'!N559</f>
        <v>0</v>
      </c>
      <c r="M559" s="168">
        <f>'030523 INVENTARIO'!O559</f>
        <v>0</v>
      </c>
      <c r="N559" s="168" t="str">
        <f>'030523 INVENTARIO'!P559</f>
        <v>OK</v>
      </c>
      <c r="O559" s="168" t="str">
        <f>'030523 INVENTARIO'!Q559</f>
        <v>S/M</v>
      </c>
      <c r="P559" s="167" t="str">
        <f>'030523 INVENTARIO'!R559</f>
        <v>S/M</v>
      </c>
      <c r="Q559" s="168" t="str">
        <f>'030523 INVENTARIO'!S559</f>
        <v>SIN SERIE</v>
      </c>
      <c r="R559" s="168" t="str">
        <f>'030523 INVENTARIO'!T559</f>
        <v>82DI0511010006000583449</v>
      </c>
    </row>
    <row r="560" spans="5:18">
      <c r="E560" s="167" t="str">
        <f>'030523 INVENTARIO'!E560</f>
        <v>ESCRITORIO</v>
      </c>
      <c r="F560" s="167" t="str">
        <f>'030523 INVENTARIO'!F560</f>
        <v>ESCRITORIO DE MADERA CON BANDEJA DESLIZABLE</v>
      </c>
      <c r="G560" s="167" t="str">
        <f ca="1">'030523 INVENTARIO'!G560</f>
        <v>P13IR-0559</v>
      </c>
      <c r="H560" s="167" t="str">
        <f>'030523 INVENTARIO'!J560</f>
        <v>P13LP-0559</v>
      </c>
      <c r="I560" s="167" t="str">
        <f>'030523 INVENTARIO'!K560</f>
        <v>P13LI-010</v>
      </c>
      <c r="J560" s="167" t="str">
        <f>'030523 INVENTARIO'!L560</f>
        <v>P1R-12</v>
      </c>
      <c r="K560" s="167" t="str">
        <f>'030523 INVENTARIO'!M560</f>
        <v>5110100015-46</v>
      </c>
      <c r="L560" s="168">
        <f>'030523 INVENTARIO'!N560</f>
        <v>0</v>
      </c>
      <c r="M560" s="168">
        <f>'030523 INVENTARIO'!O560</f>
        <v>0</v>
      </c>
      <c r="N560" s="168" t="str">
        <f>'030523 INVENTARIO'!P560</f>
        <v>OK</v>
      </c>
      <c r="O560" s="168" t="str">
        <f>'030523 INVENTARIO'!Q560</f>
        <v>S/M</v>
      </c>
      <c r="P560" s="167" t="str">
        <f>'030523 INVENTARIO'!R560</f>
        <v>S/M</v>
      </c>
      <c r="Q560" s="168" t="str">
        <f>'030523 INVENTARIO'!S560</f>
        <v>SIN SERIE</v>
      </c>
      <c r="R560" s="168" t="str">
        <f>'030523 INVENTARIO'!T560</f>
        <v>82DI0511010006000583455</v>
      </c>
    </row>
    <row r="561" spans="5:18">
      <c r="E561" s="167" t="str">
        <f>'030523 INVENTARIO'!E561</f>
        <v>COMPLEMENTARIO DE EQUIPO DE COMPUTO</v>
      </c>
      <c r="F561" s="168" t="str">
        <f>'030523 INVENTARIO'!F561</f>
        <v>ESCRITORIO DE MADERA CON DOS CAJONES</v>
      </c>
      <c r="G561" s="167" t="str">
        <f ca="1">'030523 INVENTARIO'!G561</f>
        <v>P13IR-0560</v>
      </c>
      <c r="H561" s="167" t="str">
        <f>'030523 INVENTARIO'!J561</f>
        <v>P13LP-0560</v>
      </c>
      <c r="I561" s="167" t="str">
        <f>'030523 INVENTARIO'!K561</f>
        <v>P13LI-011</v>
      </c>
      <c r="J561" s="167" t="str">
        <f>'030523 INVENTARIO'!L561</f>
        <v>P1R-1</v>
      </c>
      <c r="K561" s="167" t="str">
        <f>'030523 INVENTARIO'!M561</f>
        <v>5120100004-20</v>
      </c>
      <c r="L561" s="168">
        <f>'030523 INVENTARIO'!N561</f>
        <v>0</v>
      </c>
      <c r="M561" s="168">
        <f>'030523 INVENTARIO'!O561</f>
        <v>0</v>
      </c>
      <c r="N561" s="168" t="str">
        <f>'030523 INVENTARIO'!P561</f>
        <v>OK</v>
      </c>
      <c r="O561" s="168" t="str">
        <f>'030523 INVENTARIO'!Q561</f>
        <v>S/M</v>
      </c>
      <c r="P561" s="167" t="str">
        <f>'030523 INVENTARIO'!R561</f>
        <v>S/M</v>
      </c>
      <c r="Q561" s="168" t="str">
        <f>'030523 INVENTARIO'!S561</f>
        <v>SIN SERIE</v>
      </c>
      <c r="R561" s="168" t="str">
        <f>'030523 INVENTARIO'!T561</f>
        <v>82DI0515010033000564639</v>
      </c>
    </row>
    <row r="562" spans="5:18">
      <c r="E562" s="167" t="str">
        <f>'030523 INVENTARIO'!E562</f>
        <v>COMPLEMENTARIO DE EQUIPO DE COMPUTO</v>
      </c>
      <c r="F562" s="168" t="str">
        <f>'030523 INVENTARIO'!F562</f>
        <v>COMPLEMENTO DE EQUIPO DE MADERA</v>
      </c>
      <c r="G562" s="167" t="str">
        <f ca="1">'030523 INVENTARIO'!G562</f>
        <v>P13IR-0561</v>
      </c>
      <c r="H562" s="167" t="str">
        <f>'030523 INVENTARIO'!J562</f>
        <v>P13LP-0561</v>
      </c>
      <c r="I562" s="167" t="str">
        <f>'030523 INVENTARIO'!K562</f>
        <v>P13LI-012</v>
      </c>
      <c r="J562" s="167" t="str">
        <f>'030523 INVENTARIO'!L562</f>
        <v>P1R-19</v>
      </c>
      <c r="K562" s="167" t="str">
        <f>'030523 INVENTARIO'!M562</f>
        <v>5120100004-35</v>
      </c>
      <c r="L562" s="168">
        <f>'030523 INVENTARIO'!N562</f>
        <v>0</v>
      </c>
      <c r="M562" s="168">
        <f>'030523 INVENTARIO'!O562</f>
        <v>0</v>
      </c>
      <c r="N562" s="168" t="str">
        <f>'030523 INVENTARIO'!P562</f>
        <v>OK</v>
      </c>
      <c r="O562" s="168" t="str">
        <f>'030523 INVENTARIO'!Q562</f>
        <v>S/M</v>
      </c>
      <c r="P562" s="167" t="str">
        <f>'030523 INVENTARIO'!R562</f>
        <v>S/M</v>
      </c>
      <c r="Q562" s="168" t="str">
        <f>'030523 INVENTARIO'!S562</f>
        <v>SIN SERIE</v>
      </c>
      <c r="R562" s="168" t="str">
        <f>'030523 INVENTARIO'!T562</f>
        <v>82DI0515010033000564640</v>
      </c>
    </row>
    <row r="563" spans="5:18">
      <c r="E563" s="167" t="str">
        <f>'030523 INVENTARIO'!E563</f>
        <v>SILLON</v>
      </c>
      <c r="F563" s="167" t="str">
        <f>'030523 INVENTARIO'!F563</f>
        <v>SILLON NEGRO CON RUEDAS</v>
      </c>
      <c r="G563" s="167" t="str">
        <f ca="1">'030523 INVENTARIO'!G563</f>
        <v>P15RM-0562</v>
      </c>
      <c r="H563" s="167" t="str">
        <f>'030523 INVENTARIO'!J563</f>
        <v>P13LP-0562</v>
      </c>
      <c r="I563" s="167" t="str">
        <f>'030523 INVENTARIO'!K563</f>
        <v>P13LI-013</v>
      </c>
      <c r="J563" s="167" t="str">
        <f>'030523 INVENTARIO'!L563</f>
        <v>P1R-2</v>
      </c>
      <c r="K563" s="167" t="str">
        <f>'030523 INVENTARIO'!M563</f>
        <v>5120100009-41</v>
      </c>
      <c r="L563" s="168">
        <f>'030523 INVENTARIO'!N563</f>
        <v>0</v>
      </c>
      <c r="M563" s="168">
        <f>'030523 INVENTARIO'!O563</f>
        <v>0</v>
      </c>
      <c r="N563" s="168" t="str">
        <f>'030523 INVENTARIO'!P563</f>
        <v>OK</v>
      </c>
      <c r="O563" s="168" t="str">
        <f>'030523 INVENTARIO'!Q563</f>
        <v>S/M</v>
      </c>
      <c r="P563" s="167" t="str">
        <f>'030523 INVENTARIO'!R563</f>
        <v>S/M</v>
      </c>
      <c r="Q563" s="168" t="str">
        <f>'030523 INVENTARIO'!S563</f>
        <v>SIN SERIE</v>
      </c>
      <c r="R563" s="168" t="str">
        <f>'030523 INVENTARIO'!T563</f>
        <v>82DI0511010016000539052</v>
      </c>
    </row>
    <row r="564" spans="5:18">
      <c r="E564" s="167" t="str">
        <f>'030523 INVENTARIO'!E564</f>
        <v>NO BREAK</v>
      </c>
      <c r="F564" s="167" t="str">
        <f>'030523 INVENTARIO'!F564</f>
        <v>NO BREAK NEGRO</v>
      </c>
      <c r="G564" s="167" t="str">
        <f ca="1">'030523 INVENTARIO'!G564</f>
        <v>P13IR-0563</v>
      </c>
      <c r="H564" s="167" t="str">
        <f>'030523 INVENTARIO'!J564</f>
        <v>P13LP-0563</v>
      </c>
      <c r="I564" s="167" t="str">
        <f>'030523 INVENTARIO'!K564</f>
        <v>P13LI-014</v>
      </c>
      <c r="J564" s="167" t="str">
        <f>'030523 INVENTARIO'!L564</f>
        <v>P1R-18</v>
      </c>
      <c r="K564" s="167" t="str">
        <f>'030523 INVENTARIO'!M564</f>
        <v>ALTA</v>
      </c>
      <c r="L564" s="168">
        <f>'030523 INVENTARIO'!N564</f>
        <v>0</v>
      </c>
      <c r="M564" s="168">
        <f>'030523 INVENTARIO'!O564</f>
        <v>0</v>
      </c>
      <c r="N564" s="168" t="str">
        <f>'030523 INVENTARIO'!P564</f>
        <v>REPETIDO</v>
      </c>
      <c r="O564" s="168" t="str">
        <f>'030523 INVENTARIO'!Q564</f>
        <v>TRIPP LITE</v>
      </c>
      <c r="P564" s="167" t="str">
        <f>'030523 INVENTARIO'!R564</f>
        <v>INTERNET550U</v>
      </c>
      <c r="Q564" s="168" t="str">
        <f>'030523 INVENTARIO'!S564</f>
        <v>9730CY0BC575600811</v>
      </c>
      <c r="R564" s="167" t="str">
        <f>'030523 INVENTARIO'!T564</f>
        <v>82DI0515010016000522294</v>
      </c>
    </row>
    <row r="565" spans="5:18">
      <c r="E565" s="167" t="str">
        <f>'030523 INVENTARIO'!E565</f>
        <v>COMPUTADORA DE ESCRITORIO</v>
      </c>
      <c r="F565" s="167" t="str">
        <f>'030523 INVENTARIO'!F565</f>
        <v>COMPUTADORA DE ESCRITORIO</v>
      </c>
      <c r="G565" s="167" t="str">
        <f ca="1">'030523 INVENTARIO'!G565</f>
        <v>P13IR-0564</v>
      </c>
      <c r="H565" s="167" t="str">
        <f>'030523 INVENTARIO'!J565</f>
        <v>P13LP-0564</v>
      </c>
      <c r="I565" s="167" t="str">
        <f>'030523 INVENTARIO'!K565</f>
        <v>P13LI-015</v>
      </c>
      <c r="J565" s="167" t="str">
        <f>'030523 INVENTARIO'!L565</f>
        <v>P1R-14</v>
      </c>
      <c r="K565" s="167" t="str">
        <f>'030523 INVENTARIO'!M565</f>
        <v>5150100005-44</v>
      </c>
      <c r="L565" s="168">
        <f>'030523 INVENTARIO'!N565</f>
        <v>0</v>
      </c>
      <c r="M565" s="168">
        <f>'030523 INVENTARIO'!O565</f>
        <v>0</v>
      </c>
      <c r="N565" s="168" t="str">
        <f>'030523 INVENTARIO'!P565</f>
        <v>OK</v>
      </c>
      <c r="O565" s="168" t="str">
        <f>'030523 INVENTARIO'!Q565</f>
        <v>HP</v>
      </c>
      <c r="P565" s="167" t="str">
        <f>'030523 INVENTARIO'!R565</f>
        <v>PRO6300</v>
      </c>
      <c r="Q565" s="168" t="str">
        <f>'030523 INVENTARIO'!S565</f>
        <v>MXL25005HG</v>
      </c>
      <c r="R565" s="168" t="str">
        <f>'030523 INVENTARIO'!T565</f>
        <v>82DI0515010001000539045</v>
      </c>
    </row>
    <row r="566" spans="5:18">
      <c r="E566" s="167" t="str">
        <f>'030523 INVENTARIO'!E566</f>
        <v>MONITOR</v>
      </c>
      <c r="F566" s="167" t="str">
        <f>'030523 INVENTARIO'!F566</f>
        <v>MONITOR 18.5"</v>
      </c>
      <c r="G566" s="167" t="str">
        <f ca="1">'030523 INVENTARIO'!G566</f>
        <v>P13IR-0565</v>
      </c>
      <c r="H566" s="167" t="str">
        <f>'030523 INVENTARIO'!J566</f>
        <v>P13LP-0565</v>
      </c>
      <c r="I566" s="167" t="str">
        <f>'030523 INVENTARIO'!K566</f>
        <v>P13LI-016</v>
      </c>
      <c r="J566" s="167" t="str">
        <f>'030523 INVENTARIO'!L566</f>
        <v>P1R-8</v>
      </c>
      <c r="K566" s="167" t="str">
        <f>'030523 INVENTARIO'!M566</f>
        <v>5210100012-26</v>
      </c>
      <c r="L566" s="168">
        <f>'030523 INVENTARIO'!N566</f>
        <v>0</v>
      </c>
      <c r="M566" s="168">
        <f>'030523 INVENTARIO'!O566</f>
        <v>0</v>
      </c>
      <c r="N566" s="168" t="str">
        <f>'030523 INVENTARIO'!P566</f>
        <v>OK</v>
      </c>
      <c r="O566" s="168" t="str">
        <f>'030523 INVENTARIO'!Q566</f>
        <v>HP</v>
      </c>
      <c r="P566" s="167" t="str">
        <f>'030523 INVENTARIO'!R566</f>
        <v>LV1911</v>
      </c>
      <c r="Q566" s="168" t="str">
        <f>'030523 INVENTARIO'!S566</f>
        <v>6CM23105RT</v>
      </c>
      <c r="R566" s="168" t="str">
        <f>'030523 INVENTARIO'!T566</f>
        <v>82DI0565010041000539112</v>
      </c>
    </row>
    <row r="567" spans="5:18">
      <c r="E567" s="167" t="str">
        <f>'030523 INVENTARIO'!E567</f>
        <v>TELEFONO</v>
      </c>
      <c r="F567" s="167" t="str">
        <f>'030523 INVENTARIO'!F567</f>
        <v>TELEFONO GRIS</v>
      </c>
      <c r="G567" s="167" t="str">
        <f ca="1">'030523 INVENTARIO'!G567</f>
        <v>P13IR-0566</v>
      </c>
      <c r="H567" s="167" t="str">
        <f>'030523 INVENTARIO'!J567</f>
        <v>P13LP-0566</v>
      </c>
      <c r="I567" s="167" t="str">
        <f>'030523 INVENTARIO'!K567</f>
        <v>P13LI-017</v>
      </c>
      <c r="J567" s="167" t="str">
        <f>'030523 INVENTARIO'!L567</f>
        <v>P1R-11</v>
      </c>
      <c r="K567" s="167" t="str">
        <f>'030523 INVENTARIO'!M567</f>
        <v>5650100010-20</v>
      </c>
      <c r="L567" s="168">
        <f>'030523 INVENTARIO'!N567</f>
        <v>0</v>
      </c>
      <c r="M567" s="168">
        <f>'030523 INVENTARIO'!O567</f>
        <v>0</v>
      </c>
      <c r="N567" s="168" t="str">
        <f>'030523 INVENTARIO'!P567</f>
        <v>OK</v>
      </c>
      <c r="O567" s="168" t="str">
        <f>'030523 INVENTARIO'!Q567</f>
        <v>LINKSYS</v>
      </c>
      <c r="P567" s="167" t="str">
        <f>'030523 INVENTARIO'!R567</f>
        <v>SPA942</v>
      </c>
      <c r="Q567" s="168" t="str">
        <f>'030523 INVENTARIO'!S567</f>
        <v>4LO00H118473</v>
      </c>
      <c r="R567" s="168" t="str">
        <f>'030523 INVENTARIO'!T567</f>
        <v>82DI0565010001000527092</v>
      </c>
    </row>
    <row r="568" spans="5:18">
      <c r="E568" s="167" t="str">
        <f>'030523 INVENTARIO'!E568</f>
        <v>MESA</v>
      </c>
      <c r="F568" s="167" t="str">
        <f>'030523 INVENTARIO'!F568</f>
        <v>MESA DE MADERA 100X40</v>
      </c>
      <c r="G568" s="167" t="str">
        <f ca="1">'030523 INVENTARIO'!G568</f>
        <v>P13LP-0567</v>
      </c>
      <c r="H568" s="167" t="str">
        <f>'030523 INVENTARIO'!J568</f>
        <v>P13LP-0567</v>
      </c>
      <c r="I568" s="167" t="str">
        <f>'030523 INVENTARIO'!K568</f>
        <v>P13LI-018</v>
      </c>
      <c r="J568" s="167" t="str">
        <f>'030523 INVENTARIO'!L568</f>
        <v>P1LP-13</v>
      </c>
      <c r="K568" s="167" t="str">
        <f>'030523 INVENTARIO'!M568</f>
        <v>5120100007-59</v>
      </c>
      <c r="L568" s="168">
        <f>'030523 INVENTARIO'!N568</f>
        <v>0</v>
      </c>
      <c r="M568" s="168">
        <f>'030523 INVENTARIO'!O568</f>
        <v>0</v>
      </c>
      <c r="N568" s="168" t="str">
        <f>'030523 INVENTARIO'!P568</f>
        <v>OK</v>
      </c>
      <c r="O568" s="168" t="str">
        <f>'030523 INVENTARIO'!Q568</f>
        <v>S/M</v>
      </c>
      <c r="P568" s="167" t="str">
        <f>'030523 INVENTARIO'!R568</f>
        <v>S/M</v>
      </c>
      <c r="Q568" s="168" t="str">
        <f>'030523 INVENTARIO'!S568</f>
        <v>SIN SERIE</v>
      </c>
      <c r="R568" s="168" t="str">
        <f>'030523 INVENTARIO'!T568</f>
        <v>82DJ0531010065000564804</v>
      </c>
    </row>
    <row r="569" spans="5:18">
      <c r="E569" s="167" t="str">
        <f>'030523 INVENTARIO'!E569</f>
        <v>ESCRITORIO</v>
      </c>
      <c r="F569" s="167" t="str">
        <f>'030523 INVENTARIO'!F569</f>
        <v>ESCRITORIO DE MADERA</v>
      </c>
      <c r="G569" s="167" t="str">
        <f ca="1">'030523 INVENTARIO'!G569</f>
        <v>P13LP-0568</v>
      </c>
      <c r="H569" s="167" t="str">
        <f>'030523 INVENTARIO'!J569</f>
        <v>P13LP-0568</v>
      </c>
      <c r="I569" s="167" t="str">
        <f>'030523 INVENTARIO'!K569</f>
        <v>P13LI-019</v>
      </c>
      <c r="J569" s="167" t="str">
        <f>'030523 INVENTARIO'!L569</f>
        <v>P1LP-14</v>
      </c>
      <c r="K569" s="167" t="str">
        <f>'030523 INVENTARIO'!M569</f>
        <v>5110100015-28</v>
      </c>
      <c r="L569" s="168">
        <f>'030523 INVENTARIO'!N569</f>
        <v>0</v>
      </c>
      <c r="M569" s="168">
        <f>'030523 INVENTARIO'!O569</f>
        <v>0</v>
      </c>
      <c r="N569" s="168" t="str">
        <f>'030523 INVENTARIO'!P569</f>
        <v>OK</v>
      </c>
      <c r="O569" s="168" t="str">
        <f>'030523 INVENTARIO'!Q569</f>
        <v>S/M</v>
      </c>
      <c r="P569" s="167" t="str">
        <f>'030523 INVENTARIO'!R569</f>
        <v>S/M</v>
      </c>
      <c r="Q569" s="168" t="str">
        <f>'030523 INVENTARIO'!S569</f>
        <v>SIN SERIE</v>
      </c>
      <c r="R569" s="168" t="str">
        <f>'030523 INVENTARIO'!T569</f>
        <v>82DJ0511010006000564905</v>
      </c>
    </row>
    <row r="570" spans="5:18">
      <c r="E570" s="167" t="str">
        <f>'030523 INVENTARIO'!E570</f>
        <v>MESA</v>
      </c>
      <c r="F570" s="167" t="str">
        <f>'030523 INVENTARIO'!F570</f>
        <v>MESA DE MADERA COMPLEMENTO</v>
      </c>
      <c r="G570" s="167" t="str">
        <f ca="1">'030523 INVENTARIO'!G570</f>
        <v>P13LP-0569</v>
      </c>
      <c r="H570" s="167" t="str">
        <f>'030523 INVENTARIO'!J570</f>
        <v>P13LP-0569</v>
      </c>
      <c r="I570" s="167" t="str">
        <f>'030523 INVENTARIO'!K570</f>
        <v>P13LI-020</v>
      </c>
      <c r="J570" s="167" t="str">
        <f>'030523 INVENTARIO'!L570</f>
        <v>P1LP-15</v>
      </c>
      <c r="K570" s="167" t="str">
        <f>'030523 INVENTARIO'!M570</f>
        <v>5120100007-60</v>
      </c>
      <c r="L570" s="168">
        <f>'030523 INVENTARIO'!N570</f>
        <v>0</v>
      </c>
      <c r="M570" s="168">
        <f>'030523 INVENTARIO'!O570</f>
        <v>0</v>
      </c>
      <c r="N570" s="168" t="str">
        <f>'030523 INVENTARIO'!P570</f>
        <v>OK</v>
      </c>
      <c r="O570" s="168" t="str">
        <f>'030523 INVENTARIO'!Q570</f>
        <v>S/M</v>
      </c>
      <c r="P570" s="167" t="str">
        <f>'030523 INVENTARIO'!R570</f>
        <v>S/M</v>
      </c>
      <c r="Q570" s="168" t="str">
        <f>'030523 INVENTARIO'!S570</f>
        <v>SIN SERIE</v>
      </c>
      <c r="R570" s="168" t="str">
        <f>'030523 INVENTARIO'!T570</f>
        <v>82DJ0531010065000564789</v>
      </c>
    </row>
    <row r="571" spans="5:18">
      <c r="E571" s="167" t="str">
        <f>'030523 INVENTARIO'!E571</f>
        <v>LIBRERO</v>
      </c>
      <c r="F571" s="167" t="str">
        <f>'030523 INVENTARIO'!F571</f>
        <v>LIBRERO DE MADERA (credenza)</v>
      </c>
      <c r="G571" s="167" t="str">
        <f ca="1">'030523 INVENTARIO'!G571</f>
        <v>P13LP-0570</v>
      </c>
      <c r="H571" s="167" t="str">
        <f>'030523 INVENTARIO'!J571</f>
        <v>P13LP-0570</v>
      </c>
      <c r="I571" s="167" t="str">
        <f>'030523 INVENTARIO'!K571</f>
        <v>P13LI-021</v>
      </c>
      <c r="J571" s="167" t="str">
        <f>'030523 INVENTARIO'!L571</f>
        <v>P1LP-12</v>
      </c>
      <c r="K571" s="167" t="str">
        <f>'030523 INVENTARIO'!M571</f>
        <v>5130100126-7</v>
      </c>
      <c r="L571" s="168">
        <f>'030523 INVENTARIO'!N571</f>
        <v>0</v>
      </c>
      <c r="M571" s="168">
        <f>'030523 INVENTARIO'!O571</f>
        <v>0</v>
      </c>
      <c r="N571" s="168" t="str">
        <f>'030523 INVENTARIO'!P571</f>
        <v>OK</v>
      </c>
      <c r="O571" s="168" t="str">
        <f>'030523 INVENTARIO'!Q571</f>
        <v>S/M</v>
      </c>
      <c r="P571" s="167" t="str">
        <f>'030523 INVENTARIO'!R571</f>
        <v>S/M</v>
      </c>
      <c r="Q571" s="168" t="str">
        <f>'030523 INVENTARIO'!S571</f>
        <v>SIN SERIE</v>
      </c>
      <c r="R571" s="168" t="str">
        <f>'030523 INVENTARIO'!T571</f>
        <v>82DJ0511010005000649715</v>
      </c>
    </row>
    <row r="572" spans="5:18">
      <c r="E572" s="167" t="str">
        <f>'030523 INVENTARIO'!E572</f>
        <v>VENTILADOR</v>
      </c>
      <c r="F572" s="167" t="str">
        <f>'030523 INVENTARIO'!F572</f>
        <v>VENTILADOR DE TORRE</v>
      </c>
      <c r="G572" s="167" t="str">
        <f ca="1">'030523 INVENTARIO'!G572</f>
        <v>P13LP-0571</v>
      </c>
      <c r="H572" s="167" t="str">
        <f>'030523 INVENTARIO'!J572</f>
        <v>P13LP-0571</v>
      </c>
      <c r="I572" s="167" t="str">
        <f>'030523 INVENTARIO'!K572</f>
        <v>P13LI-022</v>
      </c>
      <c r="J572" s="167" t="str">
        <f>'030523 INVENTARIO'!L572</f>
        <v>P1LP-19</v>
      </c>
      <c r="K572" s="167" t="str">
        <f>'030523 INVENTARIO'!M572</f>
        <v>5190200002-49</v>
      </c>
      <c r="L572" s="168">
        <f>'030523 INVENTARIO'!N572</f>
        <v>0</v>
      </c>
      <c r="M572" s="168">
        <f>'030523 INVENTARIO'!O572</f>
        <v>0</v>
      </c>
      <c r="N572" s="168" t="str">
        <f>'030523 INVENTARIO'!P572</f>
        <v>OK</v>
      </c>
      <c r="O572" s="168" t="str">
        <f>'030523 INVENTARIO'!Q572</f>
        <v>BIRTMAN</v>
      </c>
      <c r="P572" s="167" t="str">
        <f>'030523 INVENTARIO'!R572</f>
        <v>BT-40</v>
      </c>
      <c r="Q572" s="168" t="str">
        <f>'030523 INVENTARIO'!S572</f>
        <v>SIN SERIE</v>
      </c>
      <c r="R572" s="167" t="str">
        <f>'030523 INVENTARIO'!T572</f>
        <v>82DJ0531010094000564891</v>
      </c>
    </row>
    <row r="573" spans="5:18">
      <c r="E573" s="167" t="str">
        <f>'030523 INVENTARIO'!E573</f>
        <v>TELEFONO</v>
      </c>
      <c r="F573" s="167" t="str">
        <f>'030523 INVENTARIO'!F573</f>
        <v>TELEFONO GRIS</v>
      </c>
      <c r="G573" s="167" t="str">
        <f ca="1">'030523 INVENTARIO'!G573</f>
        <v>P13SO-0572</v>
      </c>
      <c r="H573" s="167" t="str">
        <f>'030523 INVENTARIO'!J573</f>
        <v>P13LP-0572</v>
      </c>
      <c r="I573" s="167" t="str">
        <f>'030523 INVENTARIO'!K573</f>
        <v>P13LI-023</v>
      </c>
      <c r="J573" s="167" t="str">
        <f>'030523 INVENTARIO'!L573</f>
        <v>P1LP-38</v>
      </c>
      <c r="K573" s="167" t="str">
        <f>'030523 INVENTARIO'!M573</f>
        <v>5650100010-18</v>
      </c>
      <c r="L573" s="168">
        <f>'030523 INVENTARIO'!N573</f>
        <v>0</v>
      </c>
      <c r="M573" s="168">
        <f>'030523 INVENTARIO'!O573</f>
        <v>0</v>
      </c>
      <c r="N573" s="168" t="str">
        <f>'030523 INVENTARIO'!P573</f>
        <v>OK</v>
      </c>
      <c r="O573" s="168" t="str">
        <f>'030523 INVENTARIO'!Q573</f>
        <v>LINKSYS</v>
      </c>
      <c r="P573" s="167" t="str">
        <f>'030523 INVENTARIO'!R573</f>
        <v>SPA942</v>
      </c>
      <c r="Q573" s="168" t="str">
        <f>'030523 INVENTARIO'!S573</f>
        <v>4LO00H118470</v>
      </c>
      <c r="R573" s="168" t="str">
        <f>'030523 INVENTARIO'!T573</f>
        <v>82DJ0565010001000527088</v>
      </c>
    </row>
    <row r="574" spans="5:18">
      <c r="E574" s="167" t="str">
        <f>'030523 INVENTARIO'!E574</f>
        <v>NO BREAK</v>
      </c>
      <c r="F574" s="167" t="str">
        <f>'030523 INVENTARIO'!F574</f>
        <v>NO BREAK NEGRO</v>
      </c>
      <c r="G574" s="167" t="str">
        <f ca="1">'030523 INVENTARIO'!G574</f>
        <v>P13LP-0573</v>
      </c>
      <c r="H574" s="167" t="str">
        <f>'030523 INVENTARIO'!J574</f>
        <v>P13LP-0573</v>
      </c>
      <c r="I574" s="167" t="str">
        <f>'030523 INVENTARIO'!K574</f>
        <v>P13LI-024</v>
      </c>
      <c r="J574" s="167" t="str">
        <f>'030523 INVENTARIO'!L574</f>
        <v>P1LP-16</v>
      </c>
      <c r="K574" s="167" t="str">
        <f>'030523 INVENTARIO'!M574</f>
        <v>5150100008-18</v>
      </c>
      <c r="L574" s="168">
        <f>'030523 INVENTARIO'!N574</f>
        <v>0</v>
      </c>
      <c r="M574" s="168">
        <f>'030523 INVENTARIO'!O574</f>
        <v>0</v>
      </c>
      <c r="N574" s="168" t="str">
        <f>'030523 INVENTARIO'!P574</f>
        <v>OK</v>
      </c>
      <c r="O574" s="168" t="str">
        <f>'030523 INVENTARIO'!Q574</f>
        <v>FORZA</v>
      </c>
      <c r="P574" s="167" t="str">
        <f>'030523 INVENTARIO'!R574</f>
        <v>NT751</v>
      </c>
      <c r="Q574" s="168" t="str">
        <f>'030523 INVENTARIO'!S574</f>
        <v>190222505756</v>
      </c>
      <c r="R574" s="168" t="str">
        <f>'030523 INVENTARIO'!T574</f>
        <v>82DJ0515010016000649435</v>
      </c>
    </row>
    <row r="575" spans="5:18">
      <c r="E575" s="167" t="str">
        <f>'030523 INVENTARIO'!E575</f>
        <v>COMPLEMENTARIO DE EQUIPO DE COMPUTO</v>
      </c>
      <c r="F575" s="168" t="str">
        <f>'030523 INVENTARIO'!F575</f>
        <v>COMPLEMENTO DE EQUIPO DE MADERA</v>
      </c>
      <c r="G575" s="167" t="str">
        <f ca="1">'030523 INVENTARIO'!G575</f>
        <v>P13LP-0574</v>
      </c>
      <c r="H575" s="167" t="str">
        <f>'030523 INVENTARIO'!J575</f>
        <v>P13LP-0574</v>
      </c>
      <c r="I575" s="167" t="str">
        <f>'030523 INVENTARIO'!K575</f>
        <v>P13LI-025</v>
      </c>
      <c r="J575" s="167" t="str">
        <f>'030523 INVENTARIO'!L575</f>
        <v>P1LP-11</v>
      </c>
      <c r="K575" s="167" t="str">
        <f>'030523 INVENTARIO'!M575</f>
        <v>5120100004-11</v>
      </c>
      <c r="L575" s="168">
        <f>'030523 INVENTARIO'!N575</f>
        <v>0</v>
      </c>
      <c r="M575" s="168">
        <f>'030523 INVENTARIO'!O575</f>
        <v>0</v>
      </c>
      <c r="N575" s="168" t="str">
        <f>'030523 INVENTARIO'!P575</f>
        <v>OK</v>
      </c>
      <c r="O575" s="168" t="str">
        <f>'030523 INVENTARIO'!Q575</f>
        <v>S/M</v>
      </c>
      <c r="P575" s="167" t="str">
        <f>'030523 INVENTARIO'!R575</f>
        <v>S/M</v>
      </c>
      <c r="Q575" s="168" t="str">
        <f>'030523 INVENTARIO'!S575</f>
        <v>SIN SERIE</v>
      </c>
      <c r="R575" s="168" t="str">
        <f>'030523 INVENTARIO'!T575</f>
        <v>82DJ0515010033000564636</v>
      </c>
    </row>
    <row r="576" spans="5:18">
      <c r="E576" s="167" t="str">
        <f>'030523 INVENTARIO'!E576</f>
        <v>TAJALAPIZ</v>
      </c>
      <c r="F576" s="167" t="str">
        <f>'030523 INVENTARIO'!F576</f>
        <v>TAJALAPIZ</v>
      </c>
      <c r="G576" s="167" t="str">
        <f ca="1">'030523 INVENTARIO'!G576</f>
        <v>P13LP-0575</v>
      </c>
      <c r="H576" s="167" t="str">
        <f>'030523 INVENTARIO'!J576</f>
        <v>P13LP-0575</v>
      </c>
      <c r="I576" s="167" t="str">
        <f>'030523 INVENTARIO'!K576</f>
        <v>P13LI-026</v>
      </c>
      <c r="J576" s="167" t="str">
        <f>'030523 INVENTARIO'!L576</f>
        <v>P1LP-20</v>
      </c>
      <c r="K576" s="167" t="str">
        <f>'030523 INVENTARIO'!M576</f>
        <v>ALTA</v>
      </c>
      <c r="L576" s="168">
        <f>'030523 INVENTARIO'!N576</f>
        <v>0</v>
      </c>
      <c r="M576" s="168">
        <f>'030523 INVENTARIO'!O576</f>
        <v>0</v>
      </c>
      <c r="N576" s="168" t="str">
        <f>'030523 INVENTARIO'!P576</f>
        <v>REPETIDO</v>
      </c>
      <c r="O576" s="168" t="str">
        <f>'030523 INVENTARIO'!Q576</f>
        <v>PANASONIC</v>
      </c>
      <c r="P576" s="167" t="str">
        <f>'030523 INVENTARIO'!R576</f>
        <v>KP-77</v>
      </c>
      <c r="Q576" s="167" t="str">
        <f>'030523 INVENTARIO'!S576</f>
        <v>SIN SERIE</v>
      </c>
      <c r="R576" s="167" t="str">
        <f>'030523 INVENTARIO'!T576</f>
        <v>82DJ0519010059000580129</v>
      </c>
    </row>
    <row r="577" spans="5:18">
      <c r="E577" s="167" t="str">
        <f>'030523 INVENTARIO'!E577</f>
        <v>SILLA</v>
      </c>
      <c r="F577" s="168" t="str">
        <f>'030523 INVENTARIO'!F577</f>
        <v>SILLA NEGRA CON RUEDAS</v>
      </c>
      <c r="G577" s="167" t="str">
        <f ca="1">'030523 INVENTARIO'!G577</f>
        <v>P13LP-0576</v>
      </c>
      <c r="H577" s="167" t="str">
        <f>'030523 INVENTARIO'!J577</f>
        <v>P13LP-0576</v>
      </c>
      <c r="I577" s="167" t="str">
        <f>'030523 INVENTARIO'!K577</f>
        <v>P13LI-027</v>
      </c>
      <c r="J577" s="167" t="str">
        <f>'030523 INVENTARIO'!L577</f>
        <v>P1LP-18</v>
      </c>
      <c r="K577" s="167" t="str">
        <f>'030523 INVENTARIO'!M577</f>
        <v>5110100011-37</v>
      </c>
      <c r="L577" s="168">
        <f>'030523 INVENTARIO'!N577</f>
        <v>0</v>
      </c>
      <c r="M577" s="168">
        <f>'030523 INVENTARIO'!O577</f>
        <v>0</v>
      </c>
      <c r="N577" s="168" t="str">
        <f>'030523 INVENTARIO'!P577</f>
        <v>OK</v>
      </c>
      <c r="O577" s="168" t="str">
        <f>'030523 INVENTARIO'!Q577</f>
        <v>S/M</v>
      </c>
      <c r="P577" s="167" t="str">
        <f>'030523 INVENTARIO'!R577</f>
        <v>S/M</v>
      </c>
      <c r="Q577" s="168" t="str">
        <f>'030523 INVENTARIO'!S577</f>
        <v>SIN SERIE</v>
      </c>
      <c r="R577" s="168" t="str">
        <f>'030523 INVENTARIO'!T577</f>
        <v>82DJ0511010017000649707</v>
      </c>
    </row>
    <row r="578" spans="5:18">
      <c r="E578" s="167" t="str">
        <f>'030523 INVENTARIO'!E578</f>
        <v>COMPUTADORA DE ESCRITORIO</v>
      </c>
      <c r="F578" s="167" t="str">
        <f>'030523 INVENTARIO'!F578</f>
        <v>COMPUTADORA TODO EN UNO BLANCO</v>
      </c>
      <c r="G578" s="167" t="str">
        <f ca="1">'030523 INVENTARIO'!G578</f>
        <v>P13LP-0577</v>
      </c>
      <c r="H578" s="167" t="str">
        <f>'030523 INVENTARIO'!J578</f>
        <v>P13LP-0577</v>
      </c>
      <c r="I578" s="167" t="str">
        <f>'030523 INVENTARIO'!K578</f>
        <v>P13LI-028</v>
      </c>
      <c r="J578" s="167" t="str">
        <f>'030523 INVENTARIO'!L578</f>
        <v>P1LP-17</v>
      </c>
      <c r="K578" s="168" t="str">
        <f>'030523 INVENTARIO'!M578</f>
        <v>5150100005-22</v>
      </c>
      <c r="L578" s="168">
        <f>'030523 INVENTARIO'!N578</f>
        <v>0</v>
      </c>
      <c r="M578" s="168">
        <f>'030523 INVENTARIO'!O578</f>
        <v>0</v>
      </c>
      <c r="N578" s="168" t="str">
        <f>'030523 INVENTARIO'!P578</f>
        <v>OK</v>
      </c>
      <c r="O578" s="168" t="str">
        <f>'030523 INVENTARIO'!Q578</f>
        <v>LENOVO</v>
      </c>
      <c r="P578" s="167" t="str">
        <f>'030523 INVENTARIO'!R578</f>
        <v>AIO 310 201AP</v>
      </c>
      <c r="Q578" s="168" t="str">
        <f>'030523 INVENTARIO'!S578</f>
        <v>YJ004E57</v>
      </c>
      <c r="R578" s="168" t="str">
        <f>'030523 INVENTARIO'!T578</f>
        <v>82DJ0515010003000649381</v>
      </c>
    </row>
    <row r="579" spans="5:18">
      <c r="E579" s="167" t="str">
        <f>'030523 INVENTARIO'!E579</f>
        <v>LIBRERO</v>
      </c>
      <c r="F579" s="167" t="str">
        <f>'030523 INVENTARIO'!F579</f>
        <v>LIBRERO DE MADERA (CREDENZA)</v>
      </c>
      <c r="G579" s="167" t="str">
        <f ca="1">'030523 INVENTARIO'!G579</f>
        <v>P13LP-0578</v>
      </c>
      <c r="H579" s="167" t="str">
        <f>'030523 INVENTARIO'!J579</f>
        <v>P13LP-0578</v>
      </c>
      <c r="I579" s="167">
        <f>'030523 INVENTARIO'!K579</f>
        <v>0</v>
      </c>
      <c r="J579" s="167" t="str">
        <f>'030523 INVENTARIO'!L579</f>
        <v>P1LP-6</v>
      </c>
      <c r="K579" s="167" t="str">
        <f>'030523 INVENTARIO'!M579</f>
        <v>5110100014-9</v>
      </c>
      <c r="L579" s="168">
        <f>'030523 INVENTARIO'!N579</f>
        <v>0</v>
      </c>
      <c r="M579" s="168">
        <f>'030523 INVENTARIO'!O579</f>
        <v>0</v>
      </c>
      <c r="N579" s="168" t="str">
        <f>'030523 INVENTARIO'!P579</f>
        <v>OK</v>
      </c>
      <c r="O579" s="168" t="str">
        <f>'030523 INVENTARIO'!Q579</f>
        <v>S/M</v>
      </c>
      <c r="P579" s="167" t="str">
        <f>'030523 INVENTARIO'!R579</f>
        <v>S/M</v>
      </c>
      <c r="Q579" s="168" t="str">
        <f>'030523 INVENTARIO'!S579</f>
        <v>SIN SERIE</v>
      </c>
      <c r="R579" s="168" t="str">
        <f>'030523 INVENTARIO'!T579</f>
        <v>82DJ0511010005000649706</v>
      </c>
    </row>
    <row r="580" spans="5:18">
      <c r="E580" s="167" t="str">
        <f>'030523 INVENTARIO'!E580</f>
        <v>ESCRITORIO</v>
      </c>
      <c r="F580" s="167" t="str">
        <f>'030523 INVENTARIO'!F580</f>
        <v>ESCRITORIO DE MADERA</v>
      </c>
      <c r="G580" s="167" t="str">
        <f ca="1">'030523 INVENTARIO'!G580</f>
        <v>P13LP-0579</v>
      </c>
      <c r="H580" s="167" t="str">
        <f>'030523 INVENTARIO'!J580</f>
        <v>P13LP-0579</v>
      </c>
      <c r="I580" s="167" t="str">
        <f>'030523 INVENTARIO'!K580</f>
        <v>P13LI-029</v>
      </c>
      <c r="J580" s="167" t="str">
        <f>'030523 INVENTARIO'!L580</f>
        <v>P1LP-4</v>
      </c>
      <c r="K580" s="167" t="str">
        <f>'030523 INVENTARIO'!M580</f>
        <v>5110100015-27</v>
      </c>
      <c r="L580" s="168">
        <f>'030523 INVENTARIO'!N580</f>
        <v>0</v>
      </c>
      <c r="M580" s="168">
        <f>'030523 INVENTARIO'!O580</f>
        <v>0</v>
      </c>
      <c r="N580" s="168" t="str">
        <f>'030523 INVENTARIO'!P580</f>
        <v>OK</v>
      </c>
      <c r="O580" s="168" t="str">
        <f>'030523 INVENTARIO'!Q580</f>
        <v>S/M</v>
      </c>
      <c r="P580" s="167" t="str">
        <f>'030523 INVENTARIO'!R580</f>
        <v>S/M</v>
      </c>
      <c r="Q580" s="168" t="str">
        <f>'030523 INVENTARIO'!S580</f>
        <v>SIN SERIE</v>
      </c>
      <c r="R580" s="168" t="str">
        <f>'030523 INVENTARIO'!T580</f>
        <v>82DJ0511010006000564904</v>
      </c>
    </row>
    <row r="581" spans="5:18">
      <c r="E581" s="167" t="str">
        <f>'030523 INVENTARIO'!E581</f>
        <v>MESA</v>
      </c>
      <c r="F581" s="168" t="str">
        <f>'030523 INVENTARIO'!F581</f>
        <v>MESA DE MADERA CON BASE DE METAL COMPLEMENTO</v>
      </c>
      <c r="G581" s="167" t="str">
        <f ca="1">'030523 INVENTARIO'!G581</f>
        <v>P13LP-0580</v>
      </c>
      <c r="H581" s="167" t="str">
        <f>'030523 INVENTARIO'!J581</f>
        <v>P13LP-0580</v>
      </c>
      <c r="I581" s="167" t="str">
        <f>'030523 INVENTARIO'!K581</f>
        <v>P13LI-030</v>
      </c>
      <c r="J581" s="167" t="str">
        <f>'030523 INVENTARIO'!L581</f>
        <v>P1LP-10</v>
      </c>
      <c r="K581" s="167" t="str">
        <f>'030523 INVENTARIO'!M581</f>
        <v>5120100007-58</v>
      </c>
      <c r="L581" s="168">
        <f>'030523 INVENTARIO'!N581</f>
        <v>0</v>
      </c>
      <c r="M581" s="168">
        <f>'030523 INVENTARIO'!O581</f>
        <v>0</v>
      </c>
      <c r="N581" s="168" t="str">
        <f>'030523 INVENTARIO'!P581</f>
        <v>OK</v>
      </c>
      <c r="O581" s="168" t="str">
        <f>'030523 INVENTARIO'!Q581</f>
        <v>S/M</v>
      </c>
      <c r="P581" s="167" t="str">
        <f>'030523 INVENTARIO'!R581</f>
        <v>S/M</v>
      </c>
      <c r="Q581" s="168" t="str">
        <f>'030523 INVENTARIO'!S581</f>
        <v>SIN SERIE</v>
      </c>
      <c r="R581" s="168" t="str">
        <f>'030523 INVENTARIO'!T581</f>
        <v>82DJ0531010065000564805</v>
      </c>
    </row>
    <row r="582" spans="5:18">
      <c r="E582" s="167" t="str">
        <f>'030523 INVENTARIO'!E582</f>
        <v>SILLA</v>
      </c>
      <c r="F582" s="168" t="str">
        <f>'030523 INVENTARIO'!F582</f>
        <v>SILLA DE TELA NEGRA FIJA</v>
      </c>
      <c r="G582" s="167" t="str">
        <f ca="1">'030523 INVENTARIO'!G582</f>
        <v>P13LP-0581</v>
      </c>
      <c r="H582" s="167" t="str">
        <f>'030523 INVENTARIO'!J582</f>
        <v>P13LP-0581</v>
      </c>
      <c r="I582" s="167" t="str">
        <f>'030523 INVENTARIO'!K582</f>
        <v>P13LI-031</v>
      </c>
      <c r="J582" s="167" t="str">
        <f>'030523 INVENTARIO'!L582</f>
        <v>P1SO-80</v>
      </c>
      <c r="K582" s="168" t="str">
        <f>'030523 INVENTARIO'!M582</f>
        <v>5110100011-33</v>
      </c>
      <c r="L582" s="168">
        <f>'030523 INVENTARIO'!N582</f>
        <v>0</v>
      </c>
      <c r="M582" s="168">
        <f>'030523 INVENTARIO'!O582</f>
        <v>0</v>
      </c>
      <c r="N582" s="168" t="str">
        <f>'030523 INVENTARIO'!P582</f>
        <v>OK</v>
      </c>
      <c r="O582" s="168" t="str">
        <f>'030523 INVENTARIO'!Q582</f>
        <v>S/M</v>
      </c>
      <c r="P582" s="167" t="str">
        <f>'030523 INVENTARIO'!R582</f>
        <v>S/M</v>
      </c>
      <c r="Q582" s="168" t="str">
        <f>'030523 INVENTARIO'!S582</f>
        <v>SIN SERIE</v>
      </c>
      <c r="R582" s="168" t="str">
        <f>'030523 INVENTARIO'!T582</f>
        <v>82DJ0511010017000649705</v>
      </c>
    </row>
    <row r="583" spans="5:18">
      <c r="E583" s="167" t="str">
        <f>'030523 INVENTARIO'!E583</f>
        <v>MESA</v>
      </c>
      <c r="F583" s="167" t="str">
        <f>'030523 INVENTARIO'!F583</f>
        <v>MESA DE MADERA CON BASE DE METAL 120X60</v>
      </c>
      <c r="G583" s="167" t="str">
        <f ca="1">'030523 INVENTARIO'!G583</f>
        <v>P13LP-0582</v>
      </c>
      <c r="H583" s="167" t="str">
        <f>'030523 INVENTARIO'!J583</f>
        <v>P13LP-0582</v>
      </c>
      <c r="I583" s="167" t="str">
        <f>'030523 INVENTARIO'!K583</f>
        <v>P13LI-032</v>
      </c>
      <c r="J583" s="167" t="str">
        <f>'030523 INVENTARIO'!L583</f>
        <v>P1LP-5</v>
      </c>
      <c r="K583" s="167" t="str">
        <f>'030523 INVENTARIO'!M583</f>
        <v>5120100007-57</v>
      </c>
      <c r="L583" s="168">
        <f>'030523 INVENTARIO'!N583</f>
        <v>0</v>
      </c>
      <c r="M583" s="168">
        <f>'030523 INVENTARIO'!O583</f>
        <v>0</v>
      </c>
      <c r="N583" s="168" t="str">
        <f>'030523 INVENTARIO'!P583</f>
        <v>OK</v>
      </c>
      <c r="O583" s="168" t="str">
        <f>'030523 INVENTARIO'!Q583</f>
        <v>S/M</v>
      </c>
      <c r="P583" s="167" t="str">
        <f>'030523 INVENTARIO'!R583</f>
        <v>S/M</v>
      </c>
      <c r="Q583" s="168" t="str">
        <f>'030523 INVENTARIO'!S583</f>
        <v>SIN SERIE</v>
      </c>
      <c r="R583" s="168" t="str">
        <f>'030523 INVENTARIO'!T583</f>
        <v>82DJ0531010065000564806</v>
      </c>
    </row>
    <row r="584" spans="5:18">
      <c r="E584" s="167" t="str">
        <f>'030523 INVENTARIO'!E584</f>
        <v>SILLA</v>
      </c>
      <c r="F584" s="167" t="str">
        <f>'030523 INVENTARIO'!F584</f>
        <v>SILLA NEGRA CON RUEDAS</v>
      </c>
      <c r="G584" s="167" t="str">
        <f ca="1">'030523 INVENTARIO'!G584</f>
        <v>P13LP-0583</v>
      </c>
      <c r="H584" s="167" t="str">
        <f>'030523 INVENTARIO'!J584</f>
        <v>P13LP-0583</v>
      </c>
      <c r="I584" s="167" t="str">
        <f>'030523 INVENTARIO'!K584</f>
        <v>P13LI-033</v>
      </c>
      <c r="J584" s="167" t="str">
        <f>'030523 INVENTARIO'!L584</f>
        <v>P1LP-7</v>
      </c>
      <c r="K584" s="168" t="str">
        <f>'030523 INVENTARIO'!M584</f>
        <v>5110100011-36</v>
      </c>
      <c r="L584" s="168">
        <f>'030523 INVENTARIO'!N584</f>
        <v>0</v>
      </c>
      <c r="M584" s="168">
        <f>'030523 INVENTARIO'!O584</f>
        <v>0</v>
      </c>
      <c r="N584" s="168" t="str">
        <f>'030523 INVENTARIO'!P584</f>
        <v>OK</v>
      </c>
      <c r="O584" s="168" t="str">
        <f>'030523 INVENTARIO'!Q584</f>
        <v>S/M</v>
      </c>
      <c r="P584" s="167" t="str">
        <f>'030523 INVENTARIO'!R584</f>
        <v>S/M</v>
      </c>
      <c r="Q584" s="168" t="str">
        <f>'030523 INVENTARIO'!S584</f>
        <v>SIN SERIE</v>
      </c>
      <c r="R584" s="168" t="str">
        <f>'030523 INVENTARIO'!T584</f>
        <v>82DJ0511010017000516248</v>
      </c>
    </row>
    <row r="585" spans="5:18">
      <c r="E585" s="167" t="str">
        <f>'030523 INVENTARIO'!E585</f>
        <v>MONITOR</v>
      </c>
      <c r="F585" s="167" t="str">
        <f>'030523 INVENTARIO'!F585</f>
        <v>MONITOR 19.5"</v>
      </c>
      <c r="G585" s="167" t="str">
        <f ca="1">'030523 INVENTARIO'!G585</f>
        <v>P15RM-0584</v>
      </c>
      <c r="H585" s="167" t="str">
        <f>'030523 INVENTARIO'!J585</f>
        <v>P13LP-0584</v>
      </c>
      <c r="I585" s="167" t="str">
        <f>'030523 INVENTARIO'!K585</f>
        <v>P13LI-034</v>
      </c>
      <c r="J585" s="167" t="str">
        <f>'030523 INVENTARIO'!L585</f>
        <v>P1SI-69</v>
      </c>
      <c r="K585" s="167" t="str">
        <f>'030523 INVENTARIO'!M585</f>
        <v>5210100012-13</v>
      </c>
      <c r="L585" s="168">
        <f>'030523 INVENTARIO'!N585</f>
        <v>0</v>
      </c>
      <c r="M585" s="168">
        <f>'030523 INVENTARIO'!O585</f>
        <v>0</v>
      </c>
      <c r="N585" s="168" t="str">
        <f>'030523 INVENTARIO'!P585</f>
        <v>OK</v>
      </c>
      <c r="O585" s="168" t="str">
        <f>'030523 INVENTARIO'!Q585</f>
        <v>COMPAQ</v>
      </c>
      <c r="P585" s="167" t="str">
        <f>'030523 INVENTARIO'!R585</f>
        <v>WF1907</v>
      </c>
      <c r="Q585" s="168" t="str">
        <f>'030523 INVENTARIO'!S585</f>
        <v>SIN SERIE</v>
      </c>
      <c r="R585" s="168" t="str">
        <f>'030523 INVENTARIO'!T585</f>
        <v>82DH0515010013000649661</v>
      </c>
    </row>
    <row r="586" spans="5:18">
      <c r="E586" s="167" t="str">
        <f>'030523 INVENTARIO'!E586</f>
        <v>NO BREAK</v>
      </c>
      <c r="F586" s="168" t="str">
        <f>'030523 INVENTARIO'!F586</f>
        <v>NO BREAK</v>
      </c>
      <c r="G586" s="167" t="str">
        <f ca="1">'030523 INVENTARIO'!G586</f>
        <v>P13LP-0585</v>
      </c>
      <c r="H586" s="167" t="str">
        <f>'030523 INVENTARIO'!J586</f>
        <v>P13LP-0585</v>
      </c>
      <c r="I586" s="167" t="str">
        <f>'030523 INVENTARIO'!K586</f>
        <v>P13LI-035</v>
      </c>
      <c r="J586" s="167" t="str">
        <f>'030523 INVENTARIO'!L586</f>
        <v>P1LP-8</v>
      </c>
      <c r="K586" s="167" t="str">
        <f>'030523 INVENTARIO'!M586</f>
        <v>5150100008-17</v>
      </c>
      <c r="L586" s="168">
        <f>'030523 INVENTARIO'!N586</f>
        <v>0</v>
      </c>
      <c r="M586" s="168">
        <f>'030523 INVENTARIO'!O586</f>
        <v>0</v>
      </c>
      <c r="N586" s="168" t="str">
        <f>'030523 INVENTARIO'!P586</f>
        <v>OK</v>
      </c>
      <c r="O586" s="168" t="str">
        <f>'030523 INVENTARIO'!Q586</f>
        <v>FORZA</v>
      </c>
      <c r="P586" s="167" t="str">
        <f>'030523 INVENTARIO'!R586</f>
        <v>NT751</v>
      </c>
      <c r="Q586" s="168" t="str">
        <f>'030523 INVENTARIO'!S586</f>
        <v>181222508478</v>
      </c>
      <c r="R586" s="168" t="str">
        <f>'030523 INVENTARIO'!T586</f>
        <v>82DJ0515010016000649418</v>
      </c>
    </row>
    <row r="587" spans="5:18">
      <c r="E587" s="167" t="str">
        <f>'030523 INVENTARIO'!E587</f>
        <v>COMPUTADORA DE ESCRITORIO</v>
      </c>
      <c r="F587" s="167" t="str">
        <f>'030523 INVENTARIO'!F587</f>
        <v>COMPUTADORA DE ESCRITORIO</v>
      </c>
      <c r="G587" s="167" t="str">
        <f ca="1">'030523 INVENTARIO'!G587</f>
        <v>P13LP-0586</v>
      </c>
      <c r="H587" s="167" t="str">
        <f>'030523 INVENTARIO'!J587</f>
        <v>P13LP-0586</v>
      </c>
      <c r="I587" s="167" t="str">
        <f>'030523 INVENTARIO'!K587</f>
        <v>P13LI-036</v>
      </c>
      <c r="J587" s="167">
        <f>'030523 INVENTARIO'!L587</f>
        <v>0</v>
      </c>
      <c r="K587" s="167" t="str">
        <f>'030523 INVENTARIO'!M587</f>
        <v>5150100005-137</v>
      </c>
      <c r="L587" s="168">
        <f>'030523 INVENTARIO'!N587</f>
        <v>0</v>
      </c>
      <c r="M587" s="168">
        <f>'030523 INVENTARIO'!O587</f>
        <v>0</v>
      </c>
      <c r="N587" s="168" t="str">
        <f>'030523 INVENTARIO'!P587</f>
        <v>OK</v>
      </c>
      <c r="O587" s="168" t="str">
        <f>'030523 INVENTARIO'!Q587</f>
        <v>ACTECK</v>
      </c>
      <c r="P587" s="167" t="str">
        <f>'030523 INVENTARIO'!R587</f>
        <v>LINX</v>
      </c>
      <c r="Q587" s="167">
        <f>'030523 INVENTARIO'!S587</f>
        <v>11392903012347</v>
      </c>
      <c r="R587" s="167" t="str">
        <f>'030523 INVENTARIO'!T587</f>
        <v>SIN RESGUARDO</v>
      </c>
    </row>
    <row r="588" spans="5:18">
      <c r="E588" s="167" t="str">
        <f>'030523 INVENTARIO'!E588</f>
        <v>COMPLEMENTARIO DE EQUIPO DE COMPUTO</v>
      </c>
      <c r="F588" s="168" t="str">
        <f>'030523 INVENTARIO'!F588</f>
        <v>COMPLEMENTO DE EQUIPO DE MADERA</v>
      </c>
      <c r="G588" s="167" t="str">
        <f ca="1">'030523 INVENTARIO'!G588</f>
        <v>P13LP-0587</v>
      </c>
      <c r="H588" s="167" t="str">
        <f>'030523 INVENTARIO'!J588</f>
        <v>P13LP-0587</v>
      </c>
      <c r="I588" s="167" t="str">
        <f>'030523 INVENTARIO'!K588</f>
        <v>P13LI-037</v>
      </c>
      <c r="J588" s="167" t="str">
        <f>'030523 INVENTARIO'!L588</f>
        <v>P1LP-2</v>
      </c>
      <c r="K588" s="167" t="str">
        <f>'030523 INVENTARIO'!M588</f>
        <v>5120100004-10</v>
      </c>
      <c r="L588" s="168">
        <f>'030523 INVENTARIO'!N588</f>
        <v>0</v>
      </c>
      <c r="M588" s="168">
        <f>'030523 INVENTARIO'!O588</f>
        <v>0</v>
      </c>
      <c r="N588" s="168" t="str">
        <f>'030523 INVENTARIO'!P588</f>
        <v>OK</v>
      </c>
      <c r="O588" s="168" t="str">
        <f>'030523 INVENTARIO'!Q588</f>
        <v>S/M</v>
      </c>
      <c r="P588" s="167" t="str">
        <f>'030523 INVENTARIO'!R588</f>
        <v>S/M</v>
      </c>
      <c r="Q588" s="168" t="str">
        <f>'030523 INVENTARIO'!S588</f>
        <v>SIN SERIE</v>
      </c>
      <c r="R588" s="168" t="str">
        <f>'030523 INVENTARIO'!T588</f>
        <v>82DJ0515010033000564634</v>
      </c>
    </row>
    <row r="589" spans="5:18">
      <c r="E589" s="167" t="str">
        <f>'030523 INVENTARIO'!E589</f>
        <v>MONITOR</v>
      </c>
      <c r="F589" s="167" t="str">
        <f>'030523 INVENTARIO'!F589</f>
        <v>MONITOR 21"</v>
      </c>
      <c r="G589" s="167" t="str">
        <f ca="1">'030523 INVENTARIO'!G589</f>
        <v>P13LP-0588</v>
      </c>
      <c r="H589" s="167" t="str">
        <f>'030523 INVENTARIO'!J589</f>
        <v>P13LP-0588</v>
      </c>
      <c r="I589" s="167" t="str">
        <f>'030523 INVENTARIO'!K589</f>
        <v>P13LI-038</v>
      </c>
      <c r="J589" s="167">
        <f>'030523 INVENTARIO'!L589</f>
        <v>0</v>
      </c>
      <c r="K589" s="167" t="str">
        <f>'030523 INVENTARIO'!M589</f>
        <v>5150100005-138</v>
      </c>
      <c r="L589" s="168">
        <f>'030523 INVENTARIO'!N589</f>
        <v>0</v>
      </c>
      <c r="M589" s="168">
        <f>'030523 INVENTARIO'!O589</f>
        <v>0</v>
      </c>
      <c r="N589" s="168" t="str">
        <f>'030523 INVENTARIO'!P589</f>
        <v>OK</v>
      </c>
      <c r="O589" s="168" t="str">
        <f>'030523 INVENTARIO'!Q589</f>
        <v>ACER</v>
      </c>
      <c r="P589" s="167" t="str">
        <f>'030523 INVENTARIO'!R589</f>
        <v>V226HQL</v>
      </c>
      <c r="Q589" s="167" t="str">
        <f>'030523 INVENTARIO'!S589</f>
        <v>MMLXLAA0250480B4974273</v>
      </c>
      <c r="R589" s="167" t="str">
        <f>'030523 INVENTARIO'!T589</f>
        <v>SIN RESGUARDO</v>
      </c>
    </row>
    <row r="590" spans="5:18">
      <c r="E590" s="167" t="str">
        <f>'030523 INVENTARIO'!E590</f>
        <v>MESA</v>
      </c>
      <c r="F590" s="167" t="str">
        <f>'030523 INVENTARIO'!F590</f>
        <v>MESA DE MADERA  120X60</v>
      </c>
      <c r="G590" s="167" t="str">
        <f ca="1">'030523 INVENTARIO'!G590</f>
        <v>P13LP-0589</v>
      </c>
      <c r="H590" s="167" t="str">
        <f>'030523 INVENTARIO'!J590</f>
        <v>P13LP-0589</v>
      </c>
      <c r="I590" s="167" t="str">
        <f>'030523 INVENTARIO'!K590</f>
        <v>P13LI-039</v>
      </c>
      <c r="J590" s="167" t="str">
        <f>'030523 INVENTARIO'!L590</f>
        <v>P1LP-21</v>
      </c>
      <c r="K590" s="167" t="str">
        <f>'030523 INVENTARIO'!M590</f>
        <v>5120100007-65</v>
      </c>
      <c r="L590" s="168">
        <f>'030523 INVENTARIO'!N590</f>
        <v>0</v>
      </c>
      <c r="M590" s="168">
        <f>'030523 INVENTARIO'!O590</f>
        <v>0</v>
      </c>
      <c r="N590" s="168" t="str">
        <f>'030523 INVENTARIO'!P590</f>
        <v>OK</v>
      </c>
      <c r="O590" s="168" t="str">
        <f>'030523 INVENTARIO'!Q590</f>
        <v>S/M</v>
      </c>
      <c r="P590" s="167" t="str">
        <f>'030523 INVENTARIO'!R590</f>
        <v>S/M</v>
      </c>
      <c r="Q590" s="168" t="str">
        <f>'030523 INVENTARIO'!S590</f>
        <v>SIN SERIE</v>
      </c>
      <c r="R590" s="168" t="str">
        <f>'030523 INVENTARIO'!T590</f>
        <v>82DJ0531010065000564803</v>
      </c>
    </row>
    <row r="591" spans="5:18">
      <c r="E591" s="167" t="str">
        <f>'030523 INVENTARIO'!E591</f>
        <v>CREDENZA</v>
      </c>
      <c r="F591" s="167" t="str">
        <f>'030523 INVENTARIO'!F591</f>
        <v>CREDENZA DE MADERA</v>
      </c>
      <c r="G591" s="167" t="str">
        <f ca="1">'030523 INVENTARIO'!G591</f>
        <v>P13LP-0590</v>
      </c>
      <c r="H591" s="167" t="str">
        <f>'030523 INVENTARIO'!J591</f>
        <v>P13LP-0590</v>
      </c>
      <c r="I591" s="167" t="str">
        <f>'030523 INVENTARIO'!K591</f>
        <v>P13LI-040</v>
      </c>
      <c r="J591" s="167" t="str">
        <f>'030523 INVENTARIO'!L591</f>
        <v>P1LP-22</v>
      </c>
      <c r="K591" s="167" t="str">
        <f>'030523 INVENTARIO'!M591</f>
        <v>5110100014-11</v>
      </c>
      <c r="L591" s="168">
        <f>'030523 INVENTARIO'!N591</f>
        <v>0</v>
      </c>
      <c r="M591" s="168">
        <f>'030523 INVENTARIO'!O591</f>
        <v>0</v>
      </c>
      <c r="N591" s="168" t="str">
        <f>'030523 INVENTARIO'!P591</f>
        <v>OK</v>
      </c>
      <c r="O591" s="168" t="str">
        <f>'030523 INVENTARIO'!Q591</f>
        <v>S/M</v>
      </c>
      <c r="P591" s="167" t="str">
        <f>'030523 INVENTARIO'!R591</f>
        <v>S/M</v>
      </c>
      <c r="Q591" s="168" t="str">
        <f>'030523 INVENTARIO'!S591</f>
        <v>SIN SERIE</v>
      </c>
      <c r="R591" s="168" t="str">
        <f>'030523 INVENTARIO'!T591</f>
        <v>82DJ0511010005000649709</v>
      </c>
    </row>
    <row r="592" spans="5:18">
      <c r="E592" s="167" t="str">
        <f>'030523 INVENTARIO'!E592</f>
        <v>MESA</v>
      </c>
      <c r="F592" s="167" t="str">
        <f>'030523 INVENTARIO'!F592</f>
        <v>MESA DE MADERA  150X60</v>
      </c>
      <c r="G592" s="167" t="str">
        <f ca="1">'030523 INVENTARIO'!G592</f>
        <v>P13LP-0591</v>
      </c>
      <c r="H592" s="167" t="str">
        <f>'030523 INVENTARIO'!J592</f>
        <v>P13LP-0591</v>
      </c>
      <c r="I592" s="167" t="str">
        <f>'030523 INVENTARIO'!K592</f>
        <v>P13LI-041</v>
      </c>
      <c r="J592" s="167" t="str">
        <f>'030523 INVENTARIO'!L592</f>
        <v>P1LP-26</v>
      </c>
      <c r="K592" s="167" t="str">
        <f>'030523 INVENTARIO'!M592</f>
        <v>5120100007-66</v>
      </c>
      <c r="L592" s="168">
        <f>'030523 INVENTARIO'!N592</f>
        <v>0</v>
      </c>
      <c r="M592" s="168">
        <f>'030523 INVENTARIO'!O592</f>
        <v>0</v>
      </c>
      <c r="N592" s="168" t="str">
        <f>'030523 INVENTARIO'!P592</f>
        <v>OK</v>
      </c>
      <c r="O592" s="168" t="str">
        <f>'030523 INVENTARIO'!Q592</f>
        <v>S/M</v>
      </c>
      <c r="P592" s="167" t="str">
        <f>'030523 INVENTARIO'!R592</f>
        <v>S/M</v>
      </c>
      <c r="Q592" s="168" t="str">
        <f>'030523 INVENTARIO'!S592</f>
        <v>SIN SERIE</v>
      </c>
      <c r="R592" s="168" t="str">
        <f>'030523 INVENTARIO'!T592</f>
        <v>82DJ0531010065000564802</v>
      </c>
    </row>
    <row r="593" spans="5:18">
      <c r="E593" s="167" t="str">
        <f>'030523 INVENTARIO'!E593</f>
        <v>SILLA</v>
      </c>
      <c r="F593" s="167" t="str">
        <f>'030523 INVENTARIO'!F593</f>
        <v>SILLA NEGRA CON RUEDAS</v>
      </c>
      <c r="G593" s="167" t="str">
        <f ca="1">'030523 INVENTARIO'!G593</f>
        <v>P13LP-0592</v>
      </c>
      <c r="H593" s="167" t="str">
        <f>'030523 INVENTARIO'!J593</f>
        <v>P13LP-0592</v>
      </c>
      <c r="I593" s="167" t="str">
        <f>'030523 INVENTARIO'!K593</f>
        <v>P13LI-042</v>
      </c>
      <c r="J593" s="167" t="str">
        <f>'030523 INVENTARIO'!L593</f>
        <v>P1LP-27</v>
      </c>
      <c r="K593" s="167" t="str">
        <f>'030523 INVENTARIO'!M593</f>
        <v>5110100011-40</v>
      </c>
      <c r="L593" s="168">
        <f>'030523 INVENTARIO'!N593</f>
        <v>0</v>
      </c>
      <c r="M593" s="168">
        <f>'030523 INVENTARIO'!O593</f>
        <v>0</v>
      </c>
      <c r="N593" s="168" t="str">
        <f>'030523 INVENTARIO'!P593</f>
        <v>OK</v>
      </c>
      <c r="O593" s="168" t="str">
        <f>'030523 INVENTARIO'!Q593</f>
        <v>S/M</v>
      </c>
      <c r="P593" s="167" t="str">
        <f>'030523 INVENTARIO'!R593</f>
        <v>S/M</v>
      </c>
      <c r="Q593" s="168" t="str">
        <f>'030523 INVENTARIO'!S593</f>
        <v>SIN SERIE</v>
      </c>
      <c r="R593" s="168" t="str">
        <f>'030523 INVENTARIO'!T593</f>
        <v>82DJ0511010017000516245</v>
      </c>
    </row>
    <row r="594" spans="5:18">
      <c r="E594" s="167" t="str">
        <f>'030523 INVENTARIO'!E594</f>
        <v>NO BREAK</v>
      </c>
      <c r="F594" s="168" t="str">
        <f>'030523 INVENTARIO'!F594</f>
        <v>NO BREAK</v>
      </c>
      <c r="G594" s="167" t="str">
        <f ca="1">'030523 INVENTARIO'!G594</f>
        <v>P13LP-0593</v>
      </c>
      <c r="H594" s="167" t="str">
        <f>'030523 INVENTARIO'!J594</f>
        <v>P13LP-0593</v>
      </c>
      <c r="I594" s="167" t="str">
        <f>'030523 INVENTARIO'!K594</f>
        <v>P13LI-043</v>
      </c>
      <c r="J594" s="167" t="str">
        <f>'030523 INVENTARIO'!L594</f>
        <v>P1LP-28</v>
      </c>
      <c r="K594" s="167" t="str">
        <f>'030523 INVENTARIO'!M594</f>
        <v>5150100008-21</v>
      </c>
      <c r="L594" s="168">
        <f>'030523 INVENTARIO'!N594</f>
        <v>0</v>
      </c>
      <c r="M594" s="168">
        <f>'030523 INVENTARIO'!O594</f>
        <v>0</v>
      </c>
      <c r="N594" s="168" t="str">
        <f>'030523 INVENTARIO'!P594</f>
        <v>OK</v>
      </c>
      <c r="O594" s="168" t="str">
        <f>'030523 INVENTARIO'!Q594</f>
        <v>FORZA</v>
      </c>
      <c r="P594" s="167" t="str">
        <f>'030523 INVENTARIO'!R594</f>
        <v>NT751</v>
      </c>
      <c r="Q594" s="168" t="str">
        <f>'030523 INVENTARIO'!S594</f>
        <v>190522502046</v>
      </c>
      <c r="R594" s="168" t="str">
        <f>'030523 INVENTARIO'!T594</f>
        <v>82DJ0515010016000649419</v>
      </c>
    </row>
    <row r="595" spans="5:18">
      <c r="E595" s="167" t="str">
        <f>'030523 INVENTARIO'!E595</f>
        <v>ESCRITORIO</v>
      </c>
      <c r="F595" s="167" t="str">
        <f>'030523 INVENTARIO'!F595</f>
        <v>ESCRITORIO DE MADERA CON 2 CAJONES</v>
      </c>
      <c r="G595" s="167" t="str">
        <f ca="1">'030523 INVENTARIO'!G595</f>
        <v>P13LP-0594</v>
      </c>
      <c r="H595" s="167" t="str">
        <f>'030523 INVENTARIO'!J595</f>
        <v>P13LP-0594</v>
      </c>
      <c r="I595" s="167" t="str">
        <f>'030523 INVENTARIO'!K595</f>
        <v>P13LI-044</v>
      </c>
      <c r="J595" s="167" t="str">
        <f>'030523 INVENTARIO'!L595</f>
        <v>P1LP-24</v>
      </c>
      <c r="K595" s="167" t="str">
        <f>'030523 INVENTARIO'!M595</f>
        <v>5110100015-32</v>
      </c>
      <c r="L595" s="168">
        <f>'030523 INVENTARIO'!N595</f>
        <v>0</v>
      </c>
      <c r="M595" s="168">
        <f>'030523 INVENTARIO'!O595</f>
        <v>0</v>
      </c>
      <c r="N595" s="168" t="str">
        <f>'030523 INVENTARIO'!P595</f>
        <v>OK</v>
      </c>
      <c r="O595" s="168" t="str">
        <f>'030523 INVENTARIO'!Q595</f>
        <v>S/M</v>
      </c>
      <c r="P595" s="167" t="str">
        <f>'030523 INVENTARIO'!R595</f>
        <v>S/M</v>
      </c>
      <c r="Q595" s="168" t="str">
        <f>'030523 INVENTARIO'!S595</f>
        <v>SIN SERIE</v>
      </c>
      <c r="R595" s="168" t="str">
        <f>'030523 INVENTARIO'!T595</f>
        <v>82DJ0511010006000518518</v>
      </c>
    </row>
    <row r="596" spans="5:18">
      <c r="E596" s="167" t="str">
        <f>'030523 INVENTARIO'!E596</f>
        <v>COMPUTADORA DE ESCRITORIO</v>
      </c>
      <c r="F596" s="167" t="str">
        <f>'030523 INVENTARIO'!F596</f>
        <v>COMPUTADORA DE ESCRITORIO</v>
      </c>
      <c r="G596" s="167" t="str">
        <f ca="1">'030523 INVENTARIO'!G596</f>
        <v>P13LP-0595</v>
      </c>
      <c r="H596" s="167" t="str">
        <f>'030523 INVENTARIO'!J596</f>
        <v>P13LP-0595</v>
      </c>
      <c r="I596" s="167" t="str">
        <f>'030523 INVENTARIO'!K596</f>
        <v>P13LI-045</v>
      </c>
      <c r="J596" s="167">
        <f>'030523 INVENTARIO'!L596</f>
        <v>0</v>
      </c>
      <c r="K596" s="167" t="str">
        <f>'030523 INVENTARIO'!M596</f>
        <v>5150100005-142</v>
      </c>
      <c r="L596" s="168">
        <f>'030523 INVENTARIO'!N596</f>
        <v>0</v>
      </c>
      <c r="M596" s="168">
        <f>'030523 INVENTARIO'!O596</f>
        <v>0</v>
      </c>
      <c r="N596" s="168" t="str">
        <f>'030523 INVENTARIO'!P596</f>
        <v>OK</v>
      </c>
      <c r="O596" s="168" t="str">
        <f>'030523 INVENTARIO'!Q596</f>
        <v>ACTECK</v>
      </c>
      <c r="P596" s="167" t="str">
        <f>'030523 INVENTARIO'!R596</f>
        <v>LINX</v>
      </c>
      <c r="Q596" s="167">
        <f>'030523 INVENTARIO'!S596</f>
        <v>11392903015788</v>
      </c>
      <c r="R596" s="167" t="str">
        <f>'030523 INVENTARIO'!T596</f>
        <v>SIN RESGUARDO</v>
      </c>
    </row>
    <row r="597" spans="5:18">
      <c r="E597" s="167" t="str">
        <f>'030523 INVENTARIO'!E597</f>
        <v>MONITOR</v>
      </c>
      <c r="F597" s="167" t="str">
        <f>'030523 INVENTARIO'!F597</f>
        <v>MONITOR 21"</v>
      </c>
      <c r="G597" s="167" t="str">
        <f ca="1">'030523 INVENTARIO'!G597</f>
        <v>P13LP-0596</v>
      </c>
      <c r="H597" s="167" t="str">
        <f>'030523 INVENTARIO'!J597</f>
        <v>P13LP-0596</v>
      </c>
      <c r="I597" s="167" t="str">
        <f>'030523 INVENTARIO'!K597</f>
        <v>P13LI-046</v>
      </c>
      <c r="J597" s="167">
        <f>'030523 INVENTARIO'!L597</f>
        <v>0</v>
      </c>
      <c r="K597" s="167" t="str">
        <f>'030523 INVENTARIO'!M597</f>
        <v>5150100005-143</v>
      </c>
      <c r="L597" s="168">
        <f>'030523 INVENTARIO'!N597</f>
        <v>0</v>
      </c>
      <c r="M597" s="168">
        <f>'030523 INVENTARIO'!O597</f>
        <v>0</v>
      </c>
      <c r="N597" s="168" t="str">
        <f>'030523 INVENTARIO'!P597</f>
        <v>OK</v>
      </c>
      <c r="O597" s="168" t="str">
        <f>'030523 INVENTARIO'!Q597</f>
        <v>ACER</v>
      </c>
      <c r="P597" s="167" t="str">
        <f>'030523 INVENTARIO'!R597</f>
        <v>V226HQL</v>
      </c>
      <c r="Q597" s="167" t="str">
        <f>'030523 INVENTARIO'!S597</f>
        <v>MMTASAA007109004CD3P00</v>
      </c>
      <c r="R597" s="167" t="str">
        <f>'030523 INVENTARIO'!T597</f>
        <v>SIN RESGUARDO</v>
      </c>
    </row>
    <row r="598" spans="5:18">
      <c r="E598" s="167" t="str">
        <f>'030523 INVENTARIO'!E598</f>
        <v>COMPLEMENTARIO DE EQUIPO DE COMPUTO</v>
      </c>
      <c r="F598" s="168" t="str">
        <f>'030523 INVENTARIO'!F598</f>
        <v>COMPLEMENTO DE EQUIPO DE MADERA</v>
      </c>
      <c r="G598" s="167" t="str">
        <f ca="1">'030523 INVENTARIO'!G598</f>
        <v>P13LP-0597</v>
      </c>
      <c r="H598" s="167" t="str">
        <f>'030523 INVENTARIO'!J598</f>
        <v>P13LP-0597</v>
      </c>
      <c r="I598" s="167" t="str">
        <f>'030523 INVENTARIO'!K598</f>
        <v>P13LI-047</v>
      </c>
      <c r="J598" s="167" t="str">
        <f>'030523 INVENTARIO'!L598</f>
        <v>P1LP-29</v>
      </c>
      <c r="K598" s="167" t="str">
        <f>'030523 INVENTARIO'!M598</f>
        <v>5120100004-14</v>
      </c>
      <c r="L598" s="168">
        <f>'030523 INVENTARIO'!N598</f>
        <v>0</v>
      </c>
      <c r="M598" s="168">
        <f>'030523 INVENTARIO'!O598</f>
        <v>0</v>
      </c>
      <c r="N598" s="168" t="str">
        <f>'030523 INVENTARIO'!P598</f>
        <v>OK</v>
      </c>
      <c r="O598" s="168" t="str">
        <f>'030523 INVENTARIO'!Q598</f>
        <v>S/M</v>
      </c>
      <c r="P598" s="167" t="str">
        <f>'030523 INVENTARIO'!R598</f>
        <v>S/M</v>
      </c>
      <c r="Q598" s="168" t="str">
        <f>'030523 INVENTARIO'!S598</f>
        <v>SIN SERIE</v>
      </c>
      <c r="R598" s="168" t="str">
        <f>'030523 INVENTARIO'!T598</f>
        <v>82DJ0515010033000564637</v>
      </c>
    </row>
    <row r="599" spans="5:18">
      <c r="E599" s="167" t="str">
        <f>'030523 INVENTARIO'!E599</f>
        <v>SILLA</v>
      </c>
      <c r="F599" s="168" t="str">
        <f>'030523 INVENTARIO'!F599</f>
        <v>SILLA NEGRA DE RUEDAS</v>
      </c>
      <c r="G599" s="167" t="str">
        <f ca="1">'030523 INVENTARIO'!G599</f>
        <v>P13LP-0598</v>
      </c>
      <c r="H599" s="167" t="str">
        <f>'030523 INVENTARIO'!J599</f>
        <v>P13LP-0598</v>
      </c>
      <c r="I599" s="167" t="str">
        <f>'030523 INVENTARIO'!K599</f>
        <v>P13LI-048</v>
      </c>
      <c r="J599" s="167" t="str">
        <f>'030523 INVENTARIO'!L599</f>
        <v>P1SI-73</v>
      </c>
      <c r="K599" s="167" t="str">
        <f>'030523 INVENTARIO'!M599</f>
        <v>5110100011-129</v>
      </c>
      <c r="L599" s="168">
        <f>'030523 INVENTARIO'!N599</f>
        <v>0</v>
      </c>
      <c r="M599" s="168">
        <f>'030523 INVENTARIO'!O599</f>
        <v>0</v>
      </c>
      <c r="N599" s="168" t="str">
        <f>'030523 INVENTARIO'!P599</f>
        <v>OK</v>
      </c>
      <c r="O599" s="168" t="str">
        <f>'030523 INVENTARIO'!Q599</f>
        <v>S/M</v>
      </c>
      <c r="P599" s="167" t="str">
        <f>'030523 INVENTARIO'!R599</f>
        <v>S/M</v>
      </c>
      <c r="Q599" s="168" t="str">
        <f>'030523 INVENTARIO'!S599</f>
        <v>SIN SERIE</v>
      </c>
      <c r="R599" s="168" t="str">
        <f>'030523 INVENTARIO'!T599</f>
        <v>82DH0511010017000649644</v>
      </c>
    </row>
    <row r="600" spans="5:18">
      <c r="E600" s="167" t="str">
        <f>'030523 INVENTARIO'!E600</f>
        <v>SILLA</v>
      </c>
      <c r="F600" s="167" t="str">
        <f>'030523 INVENTARIO'!F600</f>
        <v>SILLA DE TELA CAFÉ FIJA</v>
      </c>
      <c r="G600" s="167" t="str">
        <f ca="1">'030523 INVENTARIO'!G600</f>
        <v>P13SO-0599</v>
      </c>
      <c r="H600" s="167" t="str">
        <f>'030523 INVENTARIO'!J600</f>
        <v>P13LP-0599</v>
      </c>
      <c r="I600" s="167" t="str">
        <f>'030523 INVENTARIO'!K600</f>
        <v>P13LI-049</v>
      </c>
      <c r="J600" s="167" t="str">
        <f>'030523 INVENTARIO'!L600</f>
        <v>P1SO-67</v>
      </c>
      <c r="K600" s="167" t="str">
        <f>'030523 INVENTARIO'!M600</f>
        <v>5110100011-125</v>
      </c>
      <c r="L600" s="168">
        <f>'030523 INVENTARIO'!N600</f>
        <v>0</v>
      </c>
      <c r="M600" s="168">
        <f>'030523 INVENTARIO'!O600</f>
        <v>0</v>
      </c>
      <c r="N600" s="168" t="str">
        <f>'030523 INVENTARIO'!P600</f>
        <v>OK</v>
      </c>
      <c r="O600" s="168" t="str">
        <f>'030523 INVENTARIO'!Q600</f>
        <v>S/M</v>
      </c>
      <c r="P600" s="167" t="str">
        <f>'030523 INVENTARIO'!R600</f>
        <v>S/M</v>
      </c>
      <c r="Q600" s="168" t="str">
        <f>'030523 INVENTARIO'!S600</f>
        <v>SIN SERIE</v>
      </c>
      <c r="R600" s="168" t="str">
        <f>'030523 INVENTARIO'!T600</f>
        <v>82DH0511010017000649721</v>
      </c>
    </row>
    <row r="601" spans="5:18">
      <c r="E601" s="167" t="str">
        <f>'030523 INVENTARIO'!E601</f>
        <v>MESA</v>
      </c>
      <c r="F601" s="167" t="str">
        <f>'030523 INVENTARIO'!F601</f>
        <v>MESA DE MADERA CON BASE DE METAL CAFE 120X60</v>
      </c>
      <c r="G601" s="167" t="str">
        <f ca="1">'030523 INVENTARIO'!G601</f>
        <v>P13IR-0600</v>
      </c>
      <c r="H601" s="167" t="str">
        <f>'030523 INVENTARIO'!J601</f>
        <v>P13LP-0600</v>
      </c>
      <c r="I601" s="167" t="str">
        <f>'030523 INVENTARIO'!K601</f>
        <v>P13LI-050</v>
      </c>
      <c r="J601" s="167" t="str">
        <f>'030523 INVENTARIO'!L601</f>
        <v>P1R-33</v>
      </c>
      <c r="K601" s="167" t="str">
        <f>'030523 INVENTARIO'!M601</f>
        <v>5120100007-63</v>
      </c>
      <c r="L601" s="168">
        <f>'030523 INVENTARIO'!N601</f>
        <v>0</v>
      </c>
      <c r="M601" s="168">
        <f>'030523 INVENTARIO'!O601</f>
        <v>0</v>
      </c>
      <c r="N601" s="168" t="str">
        <f>'030523 INVENTARIO'!P601</f>
        <v>OK</v>
      </c>
      <c r="O601" s="168" t="str">
        <f>'030523 INVENTARIO'!Q601</f>
        <v>S/M</v>
      </c>
      <c r="P601" s="167" t="str">
        <f>'030523 INVENTARIO'!R601</f>
        <v>S/M</v>
      </c>
      <c r="Q601" s="168" t="str">
        <f>'030523 INVENTARIO'!S601</f>
        <v>SIN SERIE</v>
      </c>
      <c r="R601" s="168" t="str">
        <f>'030523 INVENTARIO'!T601</f>
        <v>82DI0511010010000649565</v>
      </c>
    </row>
    <row r="602" spans="5:18">
      <c r="E602" s="167" t="str">
        <f>'030523 INVENTARIO'!E602</f>
        <v>MESA</v>
      </c>
      <c r="F602" s="167" t="str">
        <f>'030523 INVENTARIO'!F602</f>
        <v>MESA DE MADERA CON BASE DE METAL 120X60</v>
      </c>
      <c r="G602" s="167" t="str">
        <f ca="1">'030523 INVENTARIO'!G602</f>
        <v>P13LP-0601</v>
      </c>
      <c r="H602" s="167" t="str">
        <f>'030523 INVENTARIO'!J602</f>
        <v>P13LP-0601</v>
      </c>
      <c r="I602" s="167" t="str">
        <f>'030523 INVENTARIO'!K602</f>
        <v>P13LI-051</v>
      </c>
      <c r="J602" s="167" t="str">
        <f>'030523 INVENTARIO'!L602</f>
        <v>P1SO-88</v>
      </c>
      <c r="K602" s="167" t="str">
        <f>'030523 INVENTARIO'!M602</f>
        <v>5120100007-164</v>
      </c>
      <c r="L602" s="168">
        <f>'030523 INVENTARIO'!N602</f>
        <v>0</v>
      </c>
      <c r="M602" s="168">
        <f>'030523 INVENTARIO'!O602</f>
        <v>0</v>
      </c>
      <c r="N602" s="168" t="str">
        <f>'030523 INVENTARIO'!P602</f>
        <v>OK</v>
      </c>
      <c r="O602" s="168" t="str">
        <f>'030523 INVENTARIO'!Q602</f>
        <v>S/M</v>
      </c>
      <c r="P602" s="167" t="str">
        <f>'030523 INVENTARIO'!R602</f>
        <v>S/M</v>
      </c>
      <c r="Q602" s="168" t="str">
        <f>'030523 INVENTARIO'!S602</f>
        <v>SIN SERIE</v>
      </c>
      <c r="R602" s="168" t="str">
        <f>'030523 INVENTARIO'!T602</f>
        <v>82DJ0511010010000649703</v>
      </c>
    </row>
    <row r="603" spans="5:18">
      <c r="E603" s="167" t="str">
        <f>'030523 INVENTARIO'!E603</f>
        <v>COMPUTADORA DE ESCRITORIO</v>
      </c>
      <c r="F603" s="167" t="str">
        <f>'030523 INVENTARIO'!F603</f>
        <v>COMPUTADORA DE ESCRITORIO</v>
      </c>
      <c r="G603" s="167" t="str">
        <f ca="1">'030523 INVENTARIO'!G603</f>
        <v>P13IR-0602</v>
      </c>
      <c r="H603" s="167" t="str">
        <f>'030523 INVENTARIO'!J603</f>
        <v>P13LP-0602</v>
      </c>
      <c r="I603" s="167" t="str">
        <f>'030523 INVENTARIO'!K603</f>
        <v>P13LI-052</v>
      </c>
      <c r="J603" s="167" t="str">
        <f>'030523 INVENTARIO'!L603</f>
        <v>P0RH-20</v>
      </c>
      <c r="K603" s="167" t="str">
        <f>'030523 INVENTARIO'!M603</f>
        <v>ALTA</v>
      </c>
      <c r="L603" s="168">
        <f>'030523 INVENTARIO'!N603</f>
        <v>0</v>
      </c>
      <c r="M603" s="168">
        <f>'030523 INVENTARIO'!O603</f>
        <v>0</v>
      </c>
      <c r="N603" s="168" t="str">
        <f>'030523 INVENTARIO'!P603</f>
        <v>REPETIDO</v>
      </c>
      <c r="O603" s="168" t="str">
        <f>'030523 INVENTARIO'!Q603</f>
        <v>GHIA</v>
      </c>
      <c r="P603" s="167">
        <f>'030523 INVENTARIO'!R603</f>
        <v>1592</v>
      </c>
      <c r="Q603" s="168" t="str">
        <f>'030523 INVENTARIO'!S603</f>
        <v>189251</v>
      </c>
      <c r="R603" s="168" t="str">
        <f>'030523 INVENTARIO'!T603</f>
        <v>82DI0515010001000535504</v>
      </c>
    </row>
    <row r="604" spans="5:18">
      <c r="E604" s="167" t="str">
        <f>'030523 INVENTARIO'!E604</f>
        <v>REGULADOR DE VOLTAJE</v>
      </c>
      <c r="F604" s="168" t="str">
        <f>'030523 INVENTARIO'!F604</f>
        <v>REGULADOR NEGRO</v>
      </c>
      <c r="G604" s="167" t="str">
        <f ca="1">'030523 INVENTARIO'!G604</f>
        <v>P13LP-0603</v>
      </c>
      <c r="H604" s="167" t="str">
        <f>'030523 INVENTARIO'!J604</f>
        <v>P13LP-0603</v>
      </c>
      <c r="I604" s="167" t="str">
        <f>'030523 INVENTARIO'!K604</f>
        <v>P13LI-053</v>
      </c>
      <c r="J604" s="167" t="str">
        <f>'030523 INVENTARIO'!L604</f>
        <v>P1LP-45</v>
      </c>
      <c r="K604" s="167" t="str">
        <f>'030523 INVENTARIO'!M604</f>
        <v>5660100057-30</v>
      </c>
      <c r="L604" s="168">
        <f>'030523 INVENTARIO'!N604</f>
        <v>0</v>
      </c>
      <c r="M604" s="168">
        <f>'030523 INVENTARIO'!O604</f>
        <v>0</v>
      </c>
      <c r="N604" s="168" t="str">
        <f>'030523 INVENTARIO'!P604</f>
        <v>OK</v>
      </c>
      <c r="O604" s="168" t="str">
        <f>'030523 INVENTARIO'!Q604</f>
        <v>KOBLENZ</v>
      </c>
      <c r="P604" s="167" t="str">
        <f>'030523 INVENTARIO'!R604</f>
        <v>RS/1400I</v>
      </c>
      <c r="Q604" s="168" t="str">
        <f>'030523 INVENTARIO'!S604</f>
        <v>SIN SERIE</v>
      </c>
      <c r="R604" s="168" t="str">
        <f>'030523 INVENTARIO'!T604</f>
        <v>82DH0515010020000650646</v>
      </c>
    </row>
    <row r="605" spans="5:18">
      <c r="E605" s="167" t="str">
        <f>'030523 INVENTARIO'!E605</f>
        <v>MONITOR</v>
      </c>
      <c r="F605" s="167" t="str">
        <f>'030523 INVENTARIO'!F605</f>
        <v>MONITOR 19.5"</v>
      </c>
      <c r="G605" s="167" t="str">
        <f ca="1">'030523 INVENTARIO'!G605</f>
        <v>P15RM-0604</v>
      </c>
      <c r="H605" s="167" t="str">
        <f>'030523 INVENTARIO'!J605</f>
        <v>P13LP-0604</v>
      </c>
      <c r="I605" s="167" t="str">
        <f>'030523 INVENTARIO'!K605</f>
        <v>P13LI-054</v>
      </c>
      <c r="J605" s="167" t="str">
        <f>'030523 INVENTARIO'!L605</f>
        <v>P1SO-78</v>
      </c>
      <c r="K605" s="167" t="str">
        <f>'030523 INVENTARIO'!M605</f>
        <v>5210100012-7</v>
      </c>
      <c r="L605" s="168">
        <f>'030523 INVENTARIO'!N605</f>
        <v>0</v>
      </c>
      <c r="M605" s="168">
        <f>'030523 INVENTARIO'!O605</f>
        <v>0</v>
      </c>
      <c r="N605" s="168" t="str">
        <f>'030523 INVENTARIO'!P605</f>
        <v>OK</v>
      </c>
      <c r="O605" s="168" t="str">
        <f>'030523 INVENTARIO'!Q605</f>
        <v>COMPAQ</v>
      </c>
      <c r="P605" s="167" t="str">
        <f>'030523 INVENTARIO'!R605</f>
        <v>WF1907</v>
      </c>
      <c r="Q605" s="168" t="str">
        <f>'030523 INVENTARIO'!S605</f>
        <v>CNC81643BQ</v>
      </c>
      <c r="R605" s="168" t="str">
        <f>'030523 INVENTARIO'!T605</f>
        <v>82DH0565010041000530448</v>
      </c>
    </row>
    <row r="606" spans="5:18">
      <c r="E606" s="167" t="str">
        <f>'030523 INVENTARIO'!E606</f>
        <v>PIZARRON</v>
      </c>
      <c r="F606" s="167" t="str">
        <f>'030523 INVENTARIO'!F606</f>
        <v>PIZARRON BLANCO 120X90</v>
      </c>
      <c r="G606" s="167" t="str">
        <f ca="1">'030523 INVENTARIO'!G606</f>
        <v>P13LP-0605</v>
      </c>
      <c r="H606" s="167" t="str">
        <f>'030523 INVENTARIO'!J606</f>
        <v>P13IR-0605</v>
      </c>
      <c r="I606" s="167" t="str">
        <f>'030523 INVENTARIO'!K606</f>
        <v>P13IN-001</v>
      </c>
      <c r="J606" s="167" t="str">
        <f>'030523 INVENTARIO'!L606</f>
        <v>P1LP-30</v>
      </c>
      <c r="K606" s="167" t="str">
        <f>'030523 INVENTARIO'!M606</f>
        <v>5290100025-11</v>
      </c>
      <c r="L606" s="168">
        <f>'030523 INVENTARIO'!N606</f>
        <v>0</v>
      </c>
      <c r="M606" s="168">
        <f>'030523 INVENTARIO'!O606</f>
        <v>0</v>
      </c>
      <c r="N606" s="168" t="str">
        <f>'030523 INVENTARIO'!P606</f>
        <v>OK</v>
      </c>
      <c r="O606" s="168" t="str">
        <f>'030523 INVENTARIO'!Q606</f>
        <v>S/M</v>
      </c>
      <c r="P606" s="167" t="str">
        <f>'030523 INVENTARIO'!R606</f>
        <v>S/M</v>
      </c>
      <c r="Q606" s="168" t="str">
        <f>'030523 INVENTARIO'!S606</f>
        <v>SIN SERIE</v>
      </c>
      <c r="R606" s="168" t="str">
        <f>'030523 INVENTARIO'!T606</f>
        <v>82DH0529030003000649710</v>
      </c>
    </row>
    <row r="607" spans="5:18">
      <c r="E607" s="167" t="str">
        <f>'030523 INVENTARIO'!E607</f>
        <v>MESA</v>
      </c>
      <c r="F607" s="167" t="str">
        <f>'030523 INVENTARIO'!F607</f>
        <v>MESA GRIS DE MADERA CON BASE DE METAL 80X60</v>
      </c>
      <c r="G607" s="167" t="str">
        <f ca="1">'030523 INVENTARIO'!G607</f>
        <v>P13LP-0606</v>
      </c>
      <c r="H607" s="167" t="str">
        <f>'030523 INVENTARIO'!J607</f>
        <v>P13IR-0606</v>
      </c>
      <c r="I607" s="167" t="str">
        <f>'030523 INVENTARIO'!K607</f>
        <v>P13IN-002</v>
      </c>
      <c r="J607" s="167" t="str">
        <f>'030523 INVENTARIO'!L607</f>
        <v>P1LP-41</v>
      </c>
      <c r="K607" s="167" t="str">
        <f>'030523 INVENTARIO'!M607</f>
        <v>5120100007-67</v>
      </c>
      <c r="L607" s="168">
        <f>'030523 INVENTARIO'!N607</f>
        <v>0</v>
      </c>
      <c r="M607" s="168">
        <f>'030523 INVENTARIO'!O607</f>
        <v>0</v>
      </c>
      <c r="N607" s="168" t="str">
        <f>'030523 INVENTARIO'!P607</f>
        <v>OK</v>
      </c>
      <c r="O607" s="168" t="str">
        <f>'030523 INVENTARIO'!Q607</f>
        <v>S/M</v>
      </c>
      <c r="P607" s="167" t="str">
        <f>'030523 INVENTARIO'!R607</f>
        <v>S/M</v>
      </c>
      <c r="Q607" s="168" t="str">
        <f>'030523 INVENTARIO'!S607</f>
        <v>SIN SERIE</v>
      </c>
      <c r="R607" s="168" t="str">
        <f>'030523 INVENTARIO'!T607</f>
        <v>82DH0531010065000580342</v>
      </c>
    </row>
    <row r="608" spans="5:18">
      <c r="E608" s="167" t="str">
        <f>'030523 INVENTARIO'!E608</f>
        <v>SILLA</v>
      </c>
      <c r="F608" s="167" t="str">
        <f>'030523 INVENTARIO'!F608</f>
        <v>SILLA NEGRA DE TELA FIJA</v>
      </c>
      <c r="G608" s="167" t="str">
        <f ca="1">'030523 INVENTARIO'!G608</f>
        <v>P13LP-0607</v>
      </c>
      <c r="H608" s="167" t="str">
        <f>'030523 INVENTARIO'!J608</f>
        <v>P13IR-0607</v>
      </c>
      <c r="I608" s="167" t="str">
        <f>'030523 INVENTARIO'!K608</f>
        <v>P13IN-003</v>
      </c>
      <c r="J608" s="167" t="str">
        <f>'030523 INVENTARIO'!L608</f>
        <v>P1LP-36</v>
      </c>
      <c r="K608" s="167" t="str">
        <f>'030523 INVENTARIO'!M608</f>
        <v>5110100011-34</v>
      </c>
      <c r="L608" s="168">
        <f>'030523 INVENTARIO'!N608</f>
        <v>0</v>
      </c>
      <c r="M608" s="168">
        <f>'030523 INVENTARIO'!O608</f>
        <v>0</v>
      </c>
      <c r="N608" s="168" t="str">
        <f>'030523 INVENTARIO'!P608</f>
        <v>OK</v>
      </c>
      <c r="O608" s="168" t="str">
        <f>'030523 INVENTARIO'!Q608</f>
        <v>S/M</v>
      </c>
      <c r="P608" s="167" t="str">
        <f>'030523 INVENTARIO'!R608</f>
        <v>S/M</v>
      </c>
      <c r="Q608" s="168" t="str">
        <f>'030523 INVENTARIO'!S608</f>
        <v>SIN SERIE</v>
      </c>
      <c r="R608" s="168" t="str">
        <f>'030523 INVENTARIO'!T608</f>
        <v>82DH0511010017000516246</v>
      </c>
    </row>
    <row r="609" spans="5:18">
      <c r="E609" s="167" t="str">
        <f>'030523 INVENTARIO'!E609</f>
        <v>CREDENZA</v>
      </c>
      <c r="F609" s="167" t="str">
        <f>'030523 INVENTARIO'!F609</f>
        <v>CREDENZA 6 CAJONES 2 PUERTAS 180X42</v>
      </c>
      <c r="G609" s="167" t="str">
        <f ca="1">'030523 INVENTARIO'!G609</f>
        <v>P13LP-0608</v>
      </c>
      <c r="H609" s="167" t="str">
        <f>'030523 INVENTARIO'!J609</f>
        <v>P13IR-0608</v>
      </c>
      <c r="I609" s="167" t="str">
        <f>'030523 INVENTARIO'!K609</f>
        <v>P13IN-004</v>
      </c>
      <c r="J609" s="167" t="str">
        <f>'030523 INVENTARIO'!L609</f>
        <v>P1LP-46</v>
      </c>
      <c r="K609" s="167" t="str">
        <f>'030523 INVENTARIO'!M609</f>
        <v>5110100016-1</v>
      </c>
      <c r="L609" s="168">
        <f>'030523 INVENTARIO'!N609</f>
        <v>0</v>
      </c>
      <c r="M609" s="168">
        <f>'030523 INVENTARIO'!O609</f>
        <v>0</v>
      </c>
      <c r="N609" s="168" t="str">
        <f>'030523 INVENTARIO'!P609</f>
        <v>OK</v>
      </c>
      <c r="O609" s="168" t="str">
        <f>'030523 INVENTARIO'!Q609</f>
        <v>S/M</v>
      </c>
      <c r="P609" s="167" t="str">
        <f>'030523 INVENTARIO'!R609</f>
        <v>S/M</v>
      </c>
      <c r="Q609" s="168" t="str">
        <f>'030523 INVENTARIO'!S609</f>
        <v>SIN SERIE</v>
      </c>
      <c r="R609" s="168" t="str">
        <f>'030523 INVENTARIO'!T609</f>
        <v>82DH0511010005000518517</v>
      </c>
    </row>
    <row r="610" spans="5:18">
      <c r="E610" s="167" t="str">
        <f>'030523 INVENTARIO'!E610</f>
        <v>ARCHIVERO</v>
      </c>
      <c r="F610" s="167" t="str">
        <f>'030523 INVENTARIO'!F610</f>
        <v>ARCHIVERO (LOCKER) DE MADERA CON 4 CAJONES</v>
      </c>
      <c r="G610" s="167" t="str">
        <f ca="1">'030523 INVENTARIO'!G610</f>
        <v>P13LP-0609</v>
      </c>
      <c r="H610" s="167" t="str">
        <f>'030523 INVENTARIO'!J610</f>
        <v>P13IR-0609</v>
      </c>
      <c r="I610" s="167" t="str">
        <f>'030523 INVENTARIO'!K610</f>
        <v>P13IN-005</v>
      </c>
      <c r="J610" s="167" t="str">
        <f>'030523 INVENTARIO'!L610</f>
        <v>P1LP-31</v>
      </c>
      <c r="K610" s="167" t="str">
        <f>'030523 INVENTARIO'!M610</f>
        <v>5130100013-16</v>
      </c>
      <c r="L610" s="168">
        <f>'030523 INVENTARIO'!N610</f>
        <v>0</v>
      </c>
      <c r="M610" s="168">
        <f>'030523 INVENTARIO'!O610</f>
        <v>0</v>
      </c>
      <c r="N610" s="168" t="str">
        <f>'030523 INVENTARIO'!P610</f>
        <v>OK</v>
      </c>
      <c r="O610" s="168" t="str">
        <f>'030523 INVENTARIO'!Q610</f>
        <v>S/M</v>
      </c>
      <c r="P610" s="167" t="str">
        <f>'030523 INVENTARIO'!R610</f>
        <v>S/M</v>
      </c>
      <c r="Q610" s="168" t="str">
        <f>'030523 INVENTARIO'!S610</f>
        <v>SIN SERIE</v>
      </c>
      <c r="R610" s="168" t="str">
        <f>'030523 INVENTARIO'!T610</f>
        <v>82DH0511010009000518513</v>
      </c>
    </row>
    <row r="611" spans="5:18">
      <c r="E611" s="167" t="str">
        <f>'030523 INVENTARIO'!E611</f>
        <v>LIBRERO</v>
      </c>
      <c r="F611" s="167" t="str">
        <f>'030523 INVENTARIO'!F611</f>
        <v>LIBRERO DE MADERA (COMODA)</v>
      </c>
      <c r="G611" s="167" t="str">
        <f ca="1">'030523 INVENTARIO'!G611</f>
        <v>P13LP-0610</v>
      </c>
      <c r="H611" s="167" t="str">
        <f>'030523 INVENTARIO'!J611</f>
        <v>P13IR-0610</v>
      </c>
      <c r="I611" s="167" t="str">
        <f>'030523 INVENTARIO'!K611</f>
        <v>P13IN-006</v>
      </c>
      <c r="J611" s="167" t="str">
        <f>'030523 INVENTARIO'!L611</f>
        <v>P1LP-32</v>
      </c>
      <c r="K611" s="167" t="str">
        <f>'030523 INVENTARIO'!M611</f>
        <v>5130100126-8</v>
      </c>
      <c r="L611" s="168">
        <f>'030523 INVENTARIO'!N611</f>
        <v>0</v>
      </c>
      <c r="M611" s="168">
        <f>'030523 INVENTARIO'!O611</f>
        <v>0</v>
      </c>
      <c r="N611" s="168" t="str">
        <f>'030523 INVENTARIO'!P611</f>
        <v>OK</v>
      </c>
      <c r="O611" s="168" t="str">
        <f>'030523 INVENTARIO'!Q611</f>
        <v>S/M</v>
      </c>
      <c r="P611" s="167" t="str">
        <f>'030523 INVENTARIO'!R611</f>
        <v>S/M</v>
      </c>
      <c r="Q611" s="168" t="str">
        <f>'030523 INVENTARIO'!S611</f>
        <v>SIN SERIE</v>
      </c>
      <c r="R611" s="168" t="str">
        <f>'030523 INVENTARIO'!T611</f>
        <v>82DH0512010006000584026</v>
      </c>
    </row>
    <row r="612" spans="5:18">
      <c r="E612" s="167" t="str">
        <f>'030523 INVENTARIO'!E612</f>
        <v>ESCRITORIO</v>
      </c>
      <c r="F612" s="167" t="str">
        <f>'030523 INVENTARIO'!F612</f>
        <v>ESCRITORIO DE MADERA 3 PIEZAS</v>
      </c>
      <c r="G612" s="167" t="str">
        <f ca="1">'030523 INVENTARIO'!G612</f>
        <v>P13LP-0611</v>
      </c>
      <c r="H612" s="167" t="str">
        <f>'030523 INVENTARIO'!J612</f>
        <v>P13IR-0611</v>
      </c>
      <c r="I612" s="167" t="str">
        <f>'030523 INVENTARIO'!K612</f>
        <v>P13IN-007</v>
      </c>
      <c r="J612" s="167" t="str">
        <f>'030523 INVENTARIO'!L612</f>
        <v>P1LP-35</v>
      </c>
      <c r="K612" s="167" t="str">
        <f>'030523 INVENTARIO'!M612</f>
        <v>5110100015-33</v>
      </c>
      <c r="L612" s="168">
        <f>'030523 INVENTARIO'!N612</f>
        <v>0</v>
      </c>
      <c r="M612" s="168">
        <f>'030523 INVENTARIO'!O612</f>
        <v>0</v>
      </c>
      <c r="N612" s="168" t="str">
        <f>'030523 INVENTARIO'!P612</f>
        <v>OK</v>
      </c>
      <c r="O612" s="168" t="str">
        <f>'030523 INVENTARIO'!Q612</f>
        <v>S/M</v>
      </c>
      <c r="P612" s="167" t="str">
        <f>'030523 INVENTARIO'!R612</f>
        <v>S/M</v>
      </c>
      <c r="Q612" s="168" t="str">
        <f>'030523 INVENTARIO'!S612</f>
        <v>SIN SERIE</v>
      </c>
      <c r="R612" s="168" t="str">
        <f>'030523 INVENTARIO'!T612</f>
        <v>82DH0511010006000518511</v>
      </c>
    </row>
    <row r="613" spans="5:18">
      <c r="E613" s="167" t="str">
        <f>'030523 INVENTARIO'!E613</f>
        <v>MULTIFUNCIONAL</v>
      </c>
      <c r="F613" s="168" t="str">
        <f>'030523 INVENTARIO'!F613</f>
        <v>MULTIFUNCIONAL</v>
      </c>
      <c r="G613" s="167" t="str">
        <f ca="1">'030523 INVENTARIO'!G613</f>
        <v>P13LP-0612</v>
      </c>
      <c r="H613" s="167" t="str">
        <f>'030523 INVENTARIO'!J613</f>
        <v>P13IR-0612</v>
      </c>
      <c r="I613" s="167" t="str">
        <f>'030523 INVENTARIO'!K613</f>
        <v>P13IN-008</v>
      </c>
      <c r="J613" s="167" t="str">
        <f>'030523 INVENTARIO'!L613</f>
        <v>P1LP-43</v>
      </c>
      <c r="K613" s="167" t="str">
        <f>'030523 INVENTARIO'!M613</f>
        <v>5190100027-2</v>
      </c>
      <c r="L613" s="168">
        <f>'030523 INVENTARIO'!N613</f>
        <v>0</v>
      </c>
      <c r="M613" s="168">
        <f>'030523 INVENTARIO'!O613</f>
        <v>0</v>
      </c>
      <c r="N613" s="168" t="str">
        <f>'030523 INVENTARIO'!P613</f>
        <v>OK</v>
      </c>
      <c r="O613" s="168" t="str">
        <f>'030523 INVENTARIO'!Q613</f>
        <v>SAMSUNG</v>
      </c>
      <c r="P613" s="167" t="str">
        <f>'030523 INVENTARIO'!R613</f>
        <v>XPRESS-M2885FW</v>
      </c>
      <c r="Q613" s="168" t="str">
        <f>'030523 INVENTARIO'!S613</f>
        <v>076UV8KJ5F0020Z</v>
      </c>
      <c r="R613" s="167" t="str">
        <f>'030523 INVENTARIO'!T613</f>
        <v>82DH0515010014000649713</v>
      </c>
    </row>
    <row r="614" spans="5:18">
      <c r="E614" s="167" t="str">
        <f>'030523 INVENTARIO'!E614</f>
        <v>MONITOR</v>
      </c>
      <c r="F614" s="167" t="str">
        <f>'030523 INVENTARIO'!F614</f>
        <v>MONITOR 19.5"</v>
      </c>
      <c r="G614" s="167" t="str">
        <f ca="1">'030523 INVENTARIO'!G614</f>
        <v>P13LP-0613</v>
      </c>
      <c r="H614" s="167" t="str">
        <f>'030523 INVENTARIO'!J614</f>
        <v>P13IR-0613</v>
      </c>
      <c r="I614" s="167" t="str">
        <f>'030523 INVENTARIO'!K614</f>
        <v>P13IN-009</v>
      </c>
      <c r="J614" s="167" t="str">
        <f>'030523 INVENTARIO'!L614</f>
        <v>P1LP-23</v>
      </c>
      <c r="K614" s="167" t="str">
        <f>'030523 INVENTARIO'!M614</f>
        <v>5210100012-16</v>
      </c>
      <c r="L614" s="168">
        <f>'030523 INVENTARIO'!N614</f>
        <v>0</v>
      </c>
      <c r="M614" s="168">
        <f>'030523 INVENTARIO'!O614</f>
        <v>0</v>
      </c>
      <c r="N614" s="168" t="str">
        <f>'030523 INVENTARIO'!P614</f>
        <v>OK</v>
      </c>
      <c r="O614" s="168" t="str">
        <f>'030523 INVENTARIO'!Q614</f>
        <v>COMPAQ</v>
      </c>
      <c r="P614" s="167" t="str">
        <f>'030523 INVENTARIO'!R614</f>
        <v>WF1907</v>
      </c>
      <c r="Q614" s="168" t="str">
        <f>'030523 INVENTARIO'!S614</f>
        <v>CNC812Y89K</v>
      </c>
      <c r="R614" s="168" t="str">
        <f>'030523 INVENTARIO'!T614</f>
        <v>82DJ0565010041000530446</v>
      </c>
    </row>
    <row r="615" spans="5:18">
      <c r="E615" s="167" t="str">
        <f>'030523 INVENTARIO'!E615</f>
        <v>COMPUTADORA DE ESCRITORIO</v>
      </c>
      <c r="F615" s="168" t="str">
        <f>'030523 INVENTARIO'!F615</f>
        <v>COMPUTADORA NEGRO</v>
      </c>
      <c r="G615" s="167" t="str">
        <f ca="1">'030523 INVENTARIO'!G615</f>
        <v>P13LP-0614</v>
      </c>
      <c r="H615" s="167" t="str">
        <f>'030523 INVENTARIO'!J615</f>
        <v>P13IR-0614</v>
      </c>
      <c r="I615" s="167" t="str">
        <f>'030523 INVENTARIO'!K615</f>
        <v>P13IN-010</v>
      </c>
      <c r="J615" s="167" t="str">
        <f>'030523 INVENTARIO'!L615</f>
        <v>P1LP-34</v>
      </c>
      <c r="K615" s="167" t="str">
        <f>'030523 INVENTARIO'!M615</f>
        <v>5150100005-34</v>
      </c>
      <c r="L615" s="168">
        <f>'030523 INVENTARIO'!N615</f>
        <v>0</v>
      </c>
      <c r="M615" s="168">
        <f>'030523 INVENTARIO'!O615</f>
        <v>0</v>
      </c>
      <c r="N615" s="168" t="str">
        <f>'030523 INVENTARIO'!P615</f>
        <v>OK</v>
      </c>
      <c r="O615" s="168" t="str">
        <f>'030523 INVENTARIO'!Q615</f>
        <v>GHIA</v>
      </c>
      <c r="P615" s="167">
        <f>'030523 INVENTARIO'!R615</f>
        <v>2378</v>
      </c>
      <c r="Q615" s="168" t="str">
        <f>'030523 INVENTARIO'!S615</f>
        <v>338696</v>
      </c>
      <c r="R615" s="167" t="str">
        <f>'030523 INVENTARIO'!T615</f>
        <v>82DK0515010001000650660</v>
      </c>
    </row>
    <row r="616" spans="5:18">
      <c r="E616" s="167" t="str">
        <f>'030523 INVENTARIO'!E616</f>
        <v>VENTILADOR</v>
      </c>
      <c r="F616" s="168" t="str">
        <f>'030523 INVENTARIO'!F616</f>
        <v>VENTILADOR</v>
      </c>
      <c r="G616" s="167" t="str">
        <f ca="1">'030523 INVENTARIO'!G616</f>
        <v>P13LP-0615</v>
      </c>
      <c r="H616" s="167" t="str">
        <f>'030523 INVENTARIO'!J616</f>
        <v>P13IR-0615</v>
      </c>
      <c r="I616" s="167" t="str">
        <f>'030523 INVENTARIO'!K616</f>
        <v>P13IN-011</v>
      </c>
      <c r="J616" s="167" t="str">
        <f>'030523 INVENTARIO'!L616</f>
        <v>P1LP-42</v>
      </c>
      <c r="K616" s="167" t="str">
        <f>'030523 INVENTARIO'!M616</f>
        <v>5190200002-31</v>
      </c>
      <c r="L616" s="168">
        <f>'030523 INVENTARIO'!N616</f>
        <v>0</v>
      </c>
      <c r="M616" s="168">
        <f>'030523 INVENTARIO'!O616</f>
        <v>0</v>
      </c>
      <c r="N616" s="168" t="str">
        <f>'030523 INVENTARIO'!P616</f>
        <v>OK</v>
      </c>
      <c r="O616" s="168" t="str">
        <f>'030523 INVENTARIO'!Q616</f>
        <v>MYTEK</v>
      </c>
      <c r="P616" s="167" t="str">
        <f>'030523 INVENTARIO'!R616</f>
        <v>MY/3352</v>
      </c>
      <c r="Q616" s="168" t="str">
        <f>'030523 INVENTARIO'!S616</f>
        <v>SIN SERIE</v>
      </c>
      <c r="R616" s="168" t="str">
        <f>'030523 INVENTARIO'!T616</f>
        <v>82DH0519010043000649371</v>
      </c>
    </row>
    <row r="617" spans="5:18">
      <c r="E617" s="167" t="str">
        <f>'030523 INVENTARIO'!E617</f>
        <v>REGULADOR DE VOLTAJE</v>
      </c>
      <c r="F617" s="168" t="str">
        <f>'030523 INVENTARIO'!F617</f>
        <v>REGULADOR</v>
      </c>
      <c r="G617" s="167" t="str">
        <f ca="1">'030523 INVENTARIO'!G617</f>
        <v>P13LP-0616</v>
      </c>
      <c r="H617" s="167" t="str">
        <f>'030523 INVENTARIO'!J617</f>
        <v>P13IR-0616</v>
      </c>
      <c r="I617" s="167" t="str">
        <f>'030523 INVENTARIO'!K617</f>
        <v>P13IN-012</v>
      </c>
      <c r="J617" s="167" t="str">
        <f>'030523 INVENTARIO'!L617</f>
        <v>P1SI-16</v>
      </c>
      <c r="K617" s="167" t="str">
        <f>'030523 INVENTARIO'!M617</f>
        <v>5660100057-29</v>
      </c>
      <c r="L617" s="168">
        <f>'030523 INVENTARIO'!N617</f>
        <v>0</v>
      </c>
      <c r="M617" s="168">
        <f>'030523 INVENTARIO'!O617</f>
        <v>0</v>
      </c>
      <c r="N617" s="168" t="str">
        <f>'030523 INVENTARIO'!P617</f>
        <v>OK</v>
      </c>
      <c r="O617" s="168" t="str">
        <f>'030523 INVENTARIO'!Q617</f>
        <v>KOBLENZ</v>
      </c>
      <c r="P617" s="167">
        <f>'030523 INVENTARIO'!R617</f>
        <v>1200</v>
      </c>
      <c r="Q617" s="168" t="str">
        <f>'030523 INVENTARIO'!S617</f>
        <v>12-10K</v>
      </c>
      <c r="R617" s="168" t="str">
        <f>'030523 INVENTARIO'!T617</f>
        <v>82DH0515010020000651122</v>
      </c>
    </row>
    <row r="618" spans="5:18">
      <c r="E618" s="167" t="str">
        <f>'030523 INVENTARIO'!E618</f>
        <v>SILLA</v>
      </c>
      <c r="F618" s="168" t="str">
        <f>'030523 INVENTARIO'!F618</f>
        <v>SILLA NEGRA CON RUEDAS</v>
      </c>
      <c r="G618" s="167" t="str">
        <f ca="1">'030523 INVENTARIO'!G618</f>
        <v>P13LP-0617</v>
      </c>
      <c r="H618" s="167" t="str">
        <f>'030523 INVENTARIO'!J618</f>
        <v>P13IR-0617</v>
      </c>
      <c r="I618" s="167" t="str">
        <f>'030523 INVENTARIO'!K618</f>
        <v>P13IN-013</v>
      </c>
      <c r="J618" s="167" t="str">
        <f>'030523 INVENTARIO'!L618</f>
        <v>P1SO-73</v>
      </c>
      <c r="K618" s="167" t="str">
        <f>'030523 INVENTARIO'!M618</f>
        <v>5110100011-66</v>
      </c>
      <c r="L618" s="168">
        <f>'030523 INVENTARIO'!N618</f>
        <v>0</v>
      </c>
      <c r="M618" s="168">
        <f>'030523 INVENTARIO'!O618</f>
        <v>0</v>
      </c>
      <c r="N618" s="168" t="str">
        <f>'030523 INVENTARIO'!P618</f>
        <v>OK</v>
      </c>
      <c r="O618" s="168" t="str">
        <f>'030523 INVENTARIO'!Q618</f>
        <v>S/M</v>
      </c>
      <c r="P618" s="167" t="str">
        <f>'030523 INVENTARIO'!R618</f>
        <v>S/M</v>
      </c>
      <c r="Q618" s="168" t="str">
        <f>'030523 INVENTARIO'!S618</f>
        <v>SIN SERIE</v>
      </c>
      <c r="R618" s="168" t="str">
        <f>'030523 INVENTARIO'!T618</f>
        <v>82DJ0511010017000649716</v>
      </c>
    </row>
    <row r="619" spans="5:18">
      <c r="E619" s="167" t="str">
        <f>'030523 INVENTARIO'!E619</f>
        <v>COMPLEMENTARIO DE EQUIPO DE COMPUTO</v>
      </c>
      <c r="F619" s="168" t="str">
        <f>'030523 INVENTARIO'!F619</f>
        <v>COMPLEMENTO DE EQUIPO DE MADERA</v>
      </c>
      <c r="G619" s="167" t="str">
        <f ca="1">'030523 INVENTARIO'!G619</f>
        <v>P13LP-0618</v>
      </c>
      <c r="H619" s="167" t="str">
        <f>'030523 INVENTARIO'!J619</f>
        <v>P13IR-0618</v>
      </c>
      <c r="I619" s="167" t="str">
        <f>'030523 INVENTARIO'!K619</f>
        <v>P13IN-014</v>
      </c>
      <c r="J619" s="167" t="str">
        <f>'030523 INVENTARIO'!L619</f>
        <v>P1LP-33</v>
      </c>
      <c r="K619" s="167" t="str">
        <f>'030523 INVENTARIO'!M619</f>
        <v>5120100004-8</v>
      </c>
      <c r="L619" s="168">
        <f>'030523 INVENTARIO'!N619</f>
        <v>0</v>
      </c>
      <c r="M619" s="168">
        <f>'030523 INVENTARIO'!O619</f>
        <v>0</v>
      </c>
      <c r="N619" s="168" t="str">
        <f>'030523 INVENTARIO'!P619</f>
        <v>OK</v>
      </c>
      <c r="O619" s="168" t="str">
        <f>'030523 INVENTARIO'!Q619</f>
        <v>S/M</v>
      </c>
      <c r="P619" s="167" t="str">
        <f>'030523 INVENTARIO'!R619</f>
        <v>S/M</v>
      </c>
      <c r="Q619" s="168" t="str">
        <f>'030523 INVENTARIO'!S619</f>
        <v>SIN SERIE</v>
      </c>
      <c r="R619" s="168" t="str">
        <f>'030523 INVENTARIO'!T619</f>
        <v>82DH0515010033000564671</v>
      </c>
    </row>
    <row r="620" spans="5:18">
      <c r="E620" s="167" t="str">
        <f>'030523 INVENTARIO'!E620</f>
        <v>CREDENZA</v>
      </c>
      <c r="F620" s="168" t="str">
        <f>'030523 INVENTARIO'!F620</f>
        <v>CREDENZA DE MADERA</v>
      </c>
      <c r="G620" s="167" t="str">
        <f ca="1">'030523 INVENTARIO'!G620</f>
        <v>P13IR-0619</v>
      </c>
      <c r="H620" s="167" t="str">
        <f>'030523 INVENTARIO'!J620</f>
        <v>P13IR-0619</v>
      </c>
      <c r="I620" s="167">
        <f>'030523 INVENTARIO'!K620</f>
        <v>0</v>
      </c>
      <c r="J620" s="167" t="str">
        <f>'030523 INVENTARIO'!L620</f>
        <v>P1R-25</v>
      </c>
      <c r="K620" s="167" t="str">
        <f>'030523 INVENTARIO'!M620</f>
        <v>5110100014-10</v>
      </c>
      <c r="L620" s="168">
        <f>'030523 INVENTARIO'!N620</f>
        <v>0</v>
      </c>
      <c r="M620" s="168">
        <f>'030523 INVENTARIO'!O620</f>
        <v>0</v>
      </c>
      <c r="N620" s="168" t="str">
        <f>'030523 INVENTARIO'!P620</f>
        <v>OK</v>
      </c>
      <c r="O620" s="168" t="str">
        <f>'030523 INVENTARIO'!Q620</f>
        <v>S/M</v>
      </c>
      <c r="P620" s="167" t="str">
        <f>'030523 INVENTARIO'!R620</f>
        <v>S/M</v>
      </c>
      <c r="Q620" s="168" t="str">
        <f>'030523 INVENTARIO'!S620</f>
        <v>SIN SERIE</v>
      </c>
      <c r="R620" s="168" t="str">
        <f>'030523 INVENTARIO'!T620</f>
        <v>SIN RESGUARDO</v>
      </c>
    </row>
    <row r="621" spans="5:18">
      <c r="E621" s="167" t="str">
        <f>'030523 INVENTARIO'!E621</f>
        <v>ESCRITORIO</v>
      </c>
      <c r="F621" s="167" t="str">
        <f>'030523 INVENTARIO'!F621</f>
        <v>ESCRITORIO DE MADERA</v>
      </c>
      <c r="G621" s="167" t="str">
        <f ca="1">'030523 INVENTARIO'!G621</f>
        <v>P13IR-0620</v>
      </c>
      <c r="H621" s="167" t="str">
        <f>'030523 INVENTARIO'!J621</f>
        <v>P13IR-0620</v>
      </c>
      <c r="I621" s="167" t="str">
        <f>'030523 INVENTARIO'!K621</f>
        <v>P13IN-015</v>
      </c>
      <c r="J621" s="167" t="str">
        <f>'030523 INVENTARIO'!L621</f>
        <v>P1R-20</v>
      </c>
      <c r="K621" s="167" t="str">
        <f>'030523 INVENTARIO'!M621</f>
        <v>5110100015-29</v>
      </c>
      <c r="L621" s="168">
        <f>'030523 INVENTARIO'!N621</f>
        <v>0</v>
      </c>
      <c r="M621" s="168">
        <f>'030523 INVENTARIO'!O621</f>
        <v>0</v>
      </c>
      <c r="N621" s="168" t="str">
        <f>'030523 INVENTARIO'!P621</f>
        <v>OK</v>
      </c>
      <c r="O621" s="168" t="str">
        <f>'030523 INVENTARIO'!Q621</f>
        <v>S/M</v>
      </c>
      <c r="P621" s="167" t="str">
        <f>'030523 INVENTARIO'!R621</f>
        <v>S/M</v>
      </c>
      <c r="Q621" s="168" t="str">
        <f>'030523 INVENTARIO'!S621</f>
        <v>SIN SERIE</v>
      </c>
      <c r="R621" s="168" t="str">
        <f>'030523 INVENTARIO'!T621</f>
        <v>82DI0511010006000583448</v>
      </c>
    </row>
    <row r="622" spans="5:18">
      <c r="E622" s="167" t="str">
        <f>'030523 INVENTARIO'!E622</f>
        <v>ESCRITORIO</v>
      </c>
      <c r="F622" s="167" t="str">
        <f>'030523 INVENTARIO'!F622</f>
        <v>ESCRITORIO DE MADERA CON 2 CAJONES</v>
      </c>
      <c r="G622" s="167" t="str">
        <f ca="1">'030523 INVENTARIO'!G622</f>
        <v>P13IR-0621</v>
      </c>
      <c r="H622" s="167" t="str">
        <f>'030523 INVENTARIO'!J622</f>
        <v>P13IR-0621</v>
      </c>
      <c r="I622" s="167" t="str">
        <f>'030523 INVENTARIO'!K622</f>
        <v>P13IN-016</v>
      </c>
      <c r="J622" s="167" t="str">
        <f>'030523 INVENTARIO'!L622</f>
        <v>P1R-21</v>
      </c>
      <c r="K622" s="167" t="str">
        <f>'030523 INVENTARIO'!M622</f>
        <v>5110100015-30</v>
      </c>
      <c r="L622" s="168">
        <f>'030523 INVENTARIO'!N622</f>
        <v>0</v>
      </c>
      <c r="M622" s="168">
        <f>'030523 INVENTARIO'!O622</f>
        <v>0</v>
      </c>
      <c r="N622" s="168" t="str">
        <f>'030523 INVENTARIO'!P622</f>
        <v>OK</v>
      </c>
      <c r="O622" s="168" t="str">
        <f>'030523 INVENTARIO'!Q622</f>
        <v>S/M</v>
      </c>
      <c r="P622" s="167" t="str">
        <f>'030523 INVENTARIO'!R622</f>
        <v>S/M</v>
      </c>
      <c r="Q622" s="168" t="str">
        <f>'030523 INVENTARIO'!S622</f>
        <v>SIN SERIE</v>
      </c>
      <c r="R622" s="168" t="str">
        <f>'030523 INVENTARIO'!T622</f>
        <v>82DI0511010006000649708</v>
      </c>
    </row>
    <row r="623" spans="5:18">
      <c r="E623" s="167" t="str">
        <f>'030523 INVENTARIO'!E623</f>
        <v>COMPLEMENTARIO DE EQUIPO DE COMPUTO</v>
      </c>
      <c r="F623" s="168" t="str">
        <f>'030523 INVENTARIO'!F623</f>
        <v>COMPLEMENTO DE EQUIPO DE MADERA</v>
      </c>
      <c r="G623" s="167" t="str">
        <f ca="1">'030523 INVENTARIO'!G623</f>
        <v>P13IR-0622</v>
      </c>
      <c r="H623" s="167" t="str">
        <f>'030523 INVENTARIO'!J623</f>
        <v>P13IR-0622</v>
      </c>
      <c r="I623" s="167" t="str">
        <f>'030523 INVENTARIO'!K623</f>
        <v>P13IN-017</v>
      </c>
      <c r="J623" s="167" t="str">
        <f>'030523 INVENTARIO'!L623</f>
        <v>P1R-24</v>
      </c>
      <c r="K623" s="167" t="str">
        <f>'030523 INVENTARIO'!M623</f>
        <v>5120100004-12</v>
      </c>
      <c r="L623" s="168">
        <f>'030523 INVENTARIO'!N623</f>
        <v>0</v>
      </c>
      <c r="M623" s="168">
        <f>'030523 INVENTARIO'!O623</f>
        <v>0</v>
      </c>
      <c r="N623" s="168" t="str">
        <f>'030523 INVENTARIO'!P623</f>
        <v>OK</v>
      </c>
      <c r="O623" s="168" t="str">
        <f>'030523 INVENTARIO'!Q623</f>
        <v>S/M</v>
      </c>
      <c r="P623" s="167" t="str">
        <f>'030523 INVENTARIO'!R623</f>
        <v>S/M</v>
      </c>
      <c r="Q623" s="168" t="str">
        <f>'030523 INVENTARIO'!S623</f>
        <v>SIN SERIE</v>
      </c>
      <c r="R623" s="168" t="str">
        <f>'030523 INVENTARIO'!T623</f>
        <v>82DI0515010033000564654</v>
      </c>
    </row>
    <row r="624" spans="5:18">
      <c r="E624" s="167" t="str">
        <f>'030523 INVENTARIO'!E624</f>
        <v>NO BREAK</v>
      </c>
      <c r="F624" s="168" t="str">
        <f>'030523 INVENTARIO'!F624</f>
        <v>NO BREAK NEGRO</v>
      </c>
      <c r="G624" s="167" t="str">
        <f ca="1">'030523 INVENTARIO'!G624</f>
        <v>P13IR-0623</v>
      </c>
      <c r="H624" s="167" t="str">
        <f>'030523 INVENTARIO'!J624</f>
        <v>P13IR-0623</v>
      </c>
      <c r="I624" s="167" t="str">
        <f>'030523 INVENTARIO'!K624</f>
        <v>P13IN-018</v>
      </c>
      <c r="J624" s="167" t="str">
        <f>'030523 INVENTARIO'!L624</f>
        <v>P1R-26</v>
      </c>
      <c r="K624" s="167" t="str">
        <f>'030523 INVENTARIO'!M624</f>
        <v>5150100008-19</v>
      </c>
      <c r="L624" s="168">
        <f>'030523 INVENTARIO'!N624</f>
        <v>0</v>
      </c>
      <c r="M624" s="168">
        <f>'030523 INVENTARIO'!O624</f>
        <v>0</v>
      </c>
      <c r="N624" s="168" t="str">
        <f>'030523 INVENTARIO'!P624</f>
        <v>OK</v>
      </c>
      <c r="O624" s="168" t="str">
        <f>'030523 INVENTARIO'!Q624</f>
        <v>FORZA</v>
      </c>
      <c r="P624" s="167" t="str">
        <f>'030523 INVENTARIO'!R624</f>
        <v>NT751</v>
      </c>
      <c r="Q624" s="168" t="str">
        <f>'030523 INVENTARIO'!S624</f>
        <v>190522502048</v>
      </c>
      <c r="R624" s="168" t="str">
        <f>'030523 INVENTARIO'!T624</f>
        <v>82DI0515010016000649421</v>
      </c>
    </row>
    <row r="625" spans="5:18">
      <c r="E625" s="167" t="str">
        <f>'030523 INVENTARIO'!E625</f>
        <v>COMPUTADORA DE ESCRITORIO</v>
      </c>
      <c r="F625" s="167" t="str">
        <f>'030523 INVENTARIO'!F625</f>
        <v>COMPUTADORA DE ESCRITORIO</v>
      </c>
      <c r="G625" s="167" t="str">
        <f ca="1">'030523 INVENTARIO'!G625</f>
        <v>P13IR-0624</v>
      </c>
      <c r="H625" s="167" t="str">
        <f>'030523 INVENTARIO'!J625</f>
        <v>P13IR-0624</v>
      </c>
      <c r="I625" s="167" t="str">
        <f>'030523 INVENTARIO'!K625</f>
        <v>P13IN-019</v>
      </c>
      <c r="J625" s="167">
        <f>'030523 INVENTARIO'!L625</f>
        <v>0</v>
      </c>
      <c r="K625" s="167" t="str">
        <f>'030523 INVENTARIO'!M625</f>
        <v>5150100005-140</v>
      </c>
      <c r="L625" s="168">
        <f>'030523 INVENTARIO'!N625</f>
        <v>0</v>
      </c>
      <c r="M625" s="168">
        <f>'030523 INVENTARIO'!O625</f>
        <v>0</v>
      </c>
      <c r="N625" s="168" t="str">
        <f>'030523 INVENTARIO'!P625</f>
        <v>OK</v>
      </c>
      <c r="O625" s="168" t="str">
        <f>'030523 INVENTARIO'!Q625</f>
        <v>ACTECK</v>
      </c>
      <c r="P625" s="167" t="str">
        <f>'030523 INVENTARIO'!R625</f>
        <v>LINX</v>
      </c>
      <c r="Q625" s="167">
        <f>'030523 INVENTARIO'!S625</f>
        <v>11392903012343</v>
      </c>
      <c r="R625" s="167" t="str">
        <f>'030523 INVENTARIO'!T625</f>
        <v>SIN RESGUARDO</v>
      </c>
    </row>
    <row r="626" spans="5:18">
      <c r="E626" s="167" t="str">
        <f>'030523 INVENTARIO'!E626</f>
        <v>MONITOR</v>
      </c>
      <c r="F626" s="167" t="str">
        <f>'030523 INVENTARIO'!F626</f>
        <v>MONITOR 21"</v>
      </c>
      <c r="G626" s="167" t="str">
        <f ca="1">'030523 INVENTARIO'!G626</f>
        <v>P13IR-0625</v>
      </c>
      <c r="H626" s="167" t="str">
        <f>'030523 INVENTARIO'!J626</f>
        <v>P13IR-0625</v>
      </c>
      <c r="I626" s="167" t="str">
        <f>'030523 INVENTARIO'!K626</f>
        <v>P13IN-020</v>
      </c>
      <c r="J626" s="167">
        <f>'030523 INVENTARIO'!L626</f>
        <v>0</v>
      </c>
      <c r="K626" s="167" t="str">
        <f>'030523 INVENTARIO'!M626</f>
        <v>5150100005-141</v>
      </c>
      <c r="L626" s="168">
        <f>'030523 INVENTARIO'!N626</f>
        <v>0</v>
      </c>
      <c r="M626" s="168">
        <f>'030523 INVENTARIO'!O626</f>
        <v>0</v>
      </c>
      <c r="N626" s="168" t="str">
        <f>'030523 INVENTARIO'!P626</f>
        <v>OK</v>
      </c>
      <c r="O626" s="168" t="str">
        <f>'030523 INVENTARIO'!Q626</f>
        <v>ACER</v>
      </c>
      <c r="P626" s="167" t="str">
        <f>'030523 INVENTARIO'!R626</f>
        <v>V226HQL</v>
      </c>
      <c r="Q626" s="167" t="str">
        <f>'030523 INVENTARIO'!S626</f>
        <v>MMTASAA007052054753P00</v>
      </c>
      <c r="R626" s="167" t="str">
        <f>'030523 INVENTARIO'!T626</f>
        <v>SIN RESGUARDO</v>
      </c>
    </row>
    <row r="627" spans="5:18">
      <c r="E627" s="167" t="str">
        <f>'030523 INVENTARIO'!E627</f>
        <v>MESA</v>
      </c>
      <c r="F627" s="167" t="str">
        <f>'030523 INVENTARIO'!F627</f>
        <v>MESA DE MADERA COMPLEMENTO 160X60</v>
      </c>
      <c r="G627" s="167" t="str">
        <f ca="1">'030523 INVENTARIO'!G627</f>
        <v>P13LP-0626</v>
      </c>
      <c r="H627" s="167" t="str">
        <f>'030523 INVENTARIO'!J627</f>
        <v>P13IR-0626</v>
      </c>
      <c r="I627" s="167" t="str">
        <f>'030523 INVENTARIO'!K627</f>
        <v>P13IN-021</v>
      </c>
      <c r="J627" s="167" t="str">
        <f>'030523 INVENTARIO'!L627</f>
        <v>P1R-28</v>
      </c>
      <c r="K627" s="167" t="str">
        <f>'030523 INVENTARIO'!M627</f>
        <v>5120100007-62</v>
      </c>
      <c r="L627" s="168">
        <f>'030523 INVENTARIO'!N627</f>
        <v>0</v>
      </c>
      <c r="M627" s="168">
        <f>'030523 INVENTARIO'!O627</f>
        <v>0</v>
      </c>
      <c r="N627" s="168" t="str">
        <f>'030523 INVENTARIO'!P627</f>
        <v>OK</v>
      </c>
      <c r="O627" s="168" t="str">
        <f>'030523 INVENTARIO'!Q627</f>
        <v>S/M</v>
      </c>
      <c r="P627" s="167" t="str">
        <f>'030523 INVENTARIO'!R627</f>
        <v>S/M</v>
      </c>
      <c r="Q627" s="168" t="str">
        <f>'030523 INVENTARIO'!S627</f>
        <v>SIN SERIE</v>
      </c>
      <c r="R627" s="168" t="str">
        <f>'030523 INVENTARIO'!T627</f>
        <v>82DI0531010065000564881</v>
      </c>
    </row>
    <row r="628" spans="5:18">
      <c r="E628" s="167" t="str">
        <f>'030523 INVENTARIO'!E628</f>
        <v>MESA</v>
      </c>
      <c r="F628" s="167" t="str">
        <f>'030523 INVENTARIO'!F628</f>
        <v>MESA DE MADERA CON BASE DE METAL 120X40</v>
      </c>
      <c r="G628" s="167" t="str">
        <f ca="1">'030523 INVENTARIO'!G628</f>
        <v>P13LP-0627</v>
      </c>
      <c r="H628" s="167" t="str">
        <f>'030523 INVENTARIO'!J628</f>
        <v>P13IR-0627</v>
      </c>
      <c r="I628" s="167" t="str">
        <f>'030523 INVENTARIO'!K628</f>
        <v>P13IN-022</v>
      </c>
      <c r="J628" s="167">
        <f>'030523 INVENTARIO'!L628</f>
        <v>0</v>
      </c>
      <c r="K628" s="167" t="str">
        <f>'030523 INVENTARIO'!M628</f>
        <v>ALTA</v>
      </c>
      <c r="L628" s="168">
        <f>'030523 INVENTARIO'!N628</f>
        <v>0</v>
      </c>
      <c r="M628" s="168">
        <f>'030523 INVENTARIO'!O628</f>
        <v>0</v>
      </c>
      <c r="N628" s="168" t="str">
        <f>'030523 INVENTARIO'!P628</f>
        <v>REPETIDO</v>
      </c>
      <c r="O628" s="168" t="str">
        <f>'030523 INVENTARIO'!Q628</f>
        <v>S/M</v>
      </c>
      <c r="P628" s="167" t="str">
        <f>'030523 INVENTARIO'!R628</f>
        <v>S/M</v>
      </c>
      <c r="Q628" s="167" t="str">
        <f>'030523 INVENTARIO'!S628</f>
        <v>SIN SERIE</v>
      </c>
      <c r="R628" s="167" t="str">
        <f>'030523 INVENTARIO'!T628</f>
        <v>SIN RESGUARDO</v>
      </c>
    </row>
    <row r="629" spans="5:18">
      <c r="E629" s="167" t="str">
        <f>'030523 INVENTARIO'!E629</f>
        <v>MESA</v>
      </c>
      <c r="F629" s="167" t="str">
        <f>'030523 INVENTARIO'!F629</f>
        <v>MESA DE MADERA CON BASE DE METAL 40X40</v>
      </c>
      <c r="G629" s="167" t="str">
        <f ca="1">'030523 INVENTARIO'!G629</f>
        <v>P13IR-0628</v>
      </c>
      <c r="H629" s="167" t="str">
        <f>'030523 INVENTARIO'!J629</f>
        <v>P13IR-0628</v>
      </c>
      <c r="I629" s="167" t="str">
        <f>'030523 INVENTARIO'!K629</f>
        <v>P13IN-023</v>
      </c>
      <c r="J629" s="167" t="str">
        <f>'030523 INVENTARIO'!L629</f>
        <v>P1R-29</v>
      </c>
      <c r="K629" s="167" t="str">
        <f>'030523 INVENTARIO'!M629</f>
        <v>5120100007-64</v>
      </c>
      <c r="L629" s="168">
        <f>'030523 INVENTARIO'!N629</f>
        <v>0</v>
      </c>
      <c r="M629" s="168">
        <f>'030523 INVENTARIO'!O629</f>
        <v>0</v>
      </c>
      <c r="N629" s="168" t="str">
        <f>'030523 INVENTARIO'!P629</f>
        <v>OK</v>
      </c>
      <c r="O629" s="168" t="str">
        <f>'030523 INVENTARIO'!Q629</f>
        <v>S/M</v>
      </c>
      <c r="P629" s="167" t="str">
        <f>'030523 INVENTARIO'!R629</f>
        <v>S/M</v>
      </c>
      <c r="Q629" s="168" t="str">
        <f>'030523 INVENTARIO'!S629</f>
        <v>SIN SERIE</v>
      </c>
      <c r="R629" s="168" t="str">
        <f>'030523 INVENTARIO'!T629</f>
        <v>82DI0531010065000564844</v>
      </c>
    </row>
    <row r="630" spans="5:18">
      <c r="E630" s="167" t="str">
        <f>'030523 INVENTARIO'!E630</f>
        <v>ESCRITORIO</v>
      </c>
      <c r="F630" s="167" t="str">
        <f>'030523 INVENTARIO'!F630</f>
        <v>ESCRITORIO DE MADERA  DE 2 CAJONES</v>
      </c>
      <c r="G630" s="167" t="str">
        <f ca="1">'030523 INVENTARIO'!G630</f>
        <v>P13LP-0629</v>
      </c>
      <c r="H630" s="167" t="str">
        <f>'030523 INVENTARIO'!J630</f>
        <v>P13IR-0629</v>
      </c>
      <c r="I630" s="167" t="str">
        <f>'030523 INVENTARIO'!K630</f>
        <v>P13IN-024</v>
      </c>
      <c r="J630" s="167" t="str">
        <f>'030523 INVENTARIO'!L630</f>
        <v>P1R-27</v>
      </c>
      <c r="K630" s="167" t="str">
        <f>'030523 INVENTARIO'!M630</f>
        <v>5110100015-31</v>
      </c>
      <c r="L630" s="168">
        <f>'030523 INVENTARIO'!N630</f>
        <v>0</v>
      </c>
      <c r="M630" s="168">
        <f>'030523 INVENTARIO'!O630</f>
        <v>0</v>
      </c>
      <c r="N630" s="168" t="str">
        <f>'030523 INVENTARIO'!P630</f>
        <v>OK</v>
      </c>
      <c r="O630" s="168" t="str">
        <f>'030523 INVENTARIO'!Q630</f>
        <v>S/M</v>
      </c>
      <c r="P630" s="167" t="str">
        <f>'030523 INVENTARIO'!R630</f>
        <v>S/M</v>
      </c>
      <c r="Q630" s="168" t="str">
        <f>'030523 INVENTARIO'!S630</f>
        <v>SIN SERIE</v>
      </c>
      <c r="R630" s="168" t="str">
        <f>'030523 INVENTARIO'!T630</f>
        <v>82DI0511010006000649563</v>
      </c>
    </row>
    <row r="631" spans="5:18">
      <c r="E631" s="167" t="str">
        <f>'030523 INVENTARIO'!E631</f>
        <v>COMPLEMENTARIO DE EQUIPO DE COMPUTO</v>
      </c>
      <c r="F631" s="168" t="str">
        <f>'030523 INVENTARIO'!F631</f>
        <v>COMPLEMENTO DE EQUIPO DE MADERA</v>
      </c>
      <c r="G631" s="167" t="str">
        <f ca="1">'030523 INVENTARIO'!G631</f>
        <v>P13LP-0630</v>
      </c>
      <c r="H631" s="167" t="str">
        <f>'030523 INVENTARIO'!J631</f>
        <v>P13IR-0630</v>
      </c>
      <c r="I631" s="167" t="str">
        <f>'030523 INVENTARIO'!K631</f>
        <v>P13IN-025</v>
      </c>
      <c r="J631" s="167" t="str">
        <f>'030523 INVENTARIO'!L631</f>
        <v>P1R-34</v>
      </c>
      <c r="K631" s="167" t="str">
        <f>'030523 INVENTARIO'!M631</f>
        <v>5120100004-13</v>
      </c>
      <c r="L631" s="168">
        <f>'030523 INVENTARIO'!N631</f>
        <v>0</v>
      </c>
      <c r="M631" s="168">
        <f>'030523 INVENTARIO'!O631</f>
        <v>0</v>
      </c>
      <c r="N631" s="168" t="str">
        <f>'030523 INVENTARIO'!P631</f>
        <v>OK</v>
      </c>
      <c r="O631" s="168" t="str">
        <f>'030523 INVENTARIO'!Q631</f>
        <v>S/M</v>
      </c>
      <c r="P631" s="167" t="str">
        <f>'030523 INVENTARIO'!R631</f>
        <v>S/M</v>
      </c>
      <c r="Q631" s="168" t="str">
        <f>'030523 INVENTARIO'!S631</f>
        <v>SIN SERIE</v>
      </c>
      <c r="R631" s="168" t="str">
        <f>'030523 INVENTARIO'!T631</f>
        <v>82DI0511010027000649560</v>
      </c>
    </row>
    <row r="632" spans="5:18">
      <c r="E632" s="167" t="str">
        <f>'030523 INVENTARIO'!E632</f>
        <v>SILLA</v>
      </c>
      <c r="F632" s="168" t="str">
        <f>'030523 INVENTARIO'!F632</f>
        <v>SILLA NEGRA CON RUEDAS</v>
      </c>
      <c r="G632" s="167" t="str">
        <f ca="1">'030523 INVENTARIO'!G632</f>
        <v>P13IR-0631</v>
      </c>
      <c r="H632" s="167" t="str">
        <f>'030523 INVENTARIO'!J632</f>
        <v>P13IR-0631</v>
      </c>
      <c r="I632" s="167" t="str">
        <f>'030523 INVENTARIO'!K632</f>
        <v>P13IN-026</v>
      </c>
      <c r="J632" s="167" t="str">
        <f>'030523 INVENTARIO'!L632</f>
        <v>P1R-35</v>
      </c>
      <c r="K632" s="167" t="str">
        <f>'030523 INVENTARIO'!M632</f>
        <v>5110100011-39</v>
      </c>
      <c r="L632" s="168">
        <f>'030523 INVENTARIO'!N632</f>
        <v>0</v>
      </c>
      <c r="M632" s="168">
        <f>'030523 INVENTARIO'!O632</f>
        <v>0</v>
      </c>
      <c r="N632" s="168" t="str">
        <f>'030523 INVENTARIO'!P632</f>
        <v>OK</v>
      </c>
      <c r="O632" s="168" t="str">
        <f>'030523 INVENTARIO'!Q632</f>
        <v>S/M</v>
      </c>
      <c r="P632" s="167" t="str">
        <f>'030523 INVENTARIO'!R632</f>
        <v>S/M</v>
      </c>
      <c r="Q632" s="168" t="str">
        <f>'030523 INVENTARIO'!S632</f>
        <v>SIN SERIE</v>
      </c>
      <c r="R632" s="168" t="str">
        <f>'030523 INVENTARIO'!T632</f>
        <v>82DI0511010017000649561</v>
      </c>
    </row>
    <row r="633" spans="5:18">
      <c r="E633" s="167" t="str">
        <f>'030523 INVENTARIO'!E633</f>
        <v>NO BREAK</v>
      </c>
      <c r="F633" s="168" t="str">
        <f>'030523 INVENTARIO'!F633</f>
        <v>NO BREAK NEGRO</v>
      </c>
      <c r="G633" s="167" t="str">
        <f ca="1">'030523 INVENTARIO'!G633</f>
        <v>P13LP-0632</v>
      </c>
      <c r="H633" s="167" t="str">
        <f>'030523 INVENTARIO'!J633</f>
        <v>P13IR-0632</v>
      </c>
      <c r="I633" s="167" t="str">
        <f>'030523 INVENTARIO'!K633</f>
        <v>P13IN-027</v>
      </c>
      <c r="J633" s="167" t="str">
        <f>'030523 INVENTARIO'!L633</f>
        <v>P1R-31</v>
      </c>
      <c r="K633" s="167" t="str">
        <f>'030523 INVENTARIO'!M633</f>
        <v>5150100008-20</v>
      </c>
      <c r="L633" s="168">
        <f>'030523 INVENTARIO'!N633</f>
        <v>0</v>
      </c>
      <c r="M633" s="168">
        <f>'030523 INVENTARIO'!O633</f>
        <v>0</v>
      </c>
      <c r="N633" s="168" t="str">
        <f>'030523 INVENTARIO'!P633</f>
        <v>OK</v>
      </c>
      <c r="O633" s="168" t="str">
        <f>'030523 INVENTARIO'!Q633</f>
        <v>FORZA</v>
      </c>
      <c r="P633" s="167" t="str">
        <f>'030523 INVENTARIO'!R633</f>
        <v>NT751</v>
      </c>
      <c r="Q633" s="168" t="str">
        <f>'030523 INVENTARIO'!S633</f>
        <v>190522502045</v>
      </c>
      <c r="R633" s="168" t="str">
        <f>'030523 INVENTARIO'!T633</f>
        <v>82DI0515010016000649422</v>
      </c>
    </row>
    <row r="634" spans="5:18">
      <c r="E634" s="167" t="str">
        <f>'030523 INVENTARIO'!E634</f>
        <v>COMPUTADORA DE ESCRITORIO</v>
      </c>
      <c r="F634" s="167" t="str">
        <f>'030523 INVENTARIO'!F634</f>
        <v>COMPUTADORA DE ESCRITORIO</v>
      </c>
      <c r="G634" s="167" t="str">
        <f ca="1">'030523 INVENTARIO'!G634</f>
        <v>P13LP-0633</v>
      </c>
      <c r="H634" s="167" t="str">
        <f>'030523 INVENTARIO'!J634</f>
        <v>P13IR-0633</v>
      </c>
      <c r="I634" s="167" t="str">
        <f>'030523 INVENTARIO'!K634</f>
        <v>P13IN-028</v>
      </c>
      <c r="J634" s="167">
        <f>'030523 INVENTARIO'!L634</f>
        <v>0</v>
      </c>
      <c r="K634" s="167" t="str">
        <f>'030523 INVENTARIO'!M634</f>
        <v>5150100005-160</v>
      </c>
      <c r="L634" s="168">
        <f>'030523 INVENTARIO'!N634</f>
        <v>0</v>
      </c>
      <c r="M634" s="168">
        <f>'030523 INVENTARIO'!O634</f>
        <v>0</v>
      </c>
      <c r="N634" s="168" t="str">
        <f>'030523 INVENTARIO'!P634</f>
        <v>OK</v>
      </c>
      <c r="O634" s="168" t="str">
        <f>'030523 INVENTARIO'!Q634</f>
        <v>ACTECK</v>
      </c>
      <c r="P634" s="167" t="str">
        <f>'030523 INVENTARIO'!R634</f>
        <v>LINX</v>
      </c>
      <c r="Q634" s="167">
        <f>'030523 INVENTARIO'!S634</f>
        <v>11392903014920</v>
      </c>
      <c r="R634" s="167" t="str">
        <f>'030523 INVENTARIO'!T634</f>
        <v>SIN RESGUARDO</v>
      </c>
    </row>
    <row r="635" spans="5:18">
      <c r="E635" s="167" t="str">
        <f>'030523 INVENTARIO'!E635</f>
        <v>MONITOR</v>
      </c>
      <c r="F635" s="167" t="str">
        <f>'030523 INVENTARIO'!F635</f>
        <v>MONITOR 21"</v>
      </c>
      <c r="G635" s="167" t="str">
        <f ca="1">'030523 INVENTARIO'!G635</f>
        <v>P13LP-0634</v>
      </c>
      <c r="H635" s="167" t="str">
        <f>'030523 INVENTARIO'!J635</f>
        <v>P13IR-0634</v>
      </c>
      <c r="I635" s="167" t="str">
        <f>'030523 INVENTARIO'!K635</f>
        <v>P13IN-029</v>
      </c>
      <c r="J635" s="167">
        <f>'030523 INVENTARIO'!L635</f>
        <v>0</v>
      </c>
      <c r="K635" s="167" t="str">
        <f>'030523 INVENTARIO'!M635</f>
        <v>5150100005-161</v>
      </c>
      <c r="L635" s="168">
        <f>'030523 INVENTARIO'!N635</f>
        <v>0</v>
      </c>
      <c r="M635" s="168">
        <f>'030523 INVENTARIO'!O635</f>
        <v>0</v>
      </c>
      <c r="N635" s="168" t="str">
        <f>'030523 INVENTARIO'!P635</f>
        <v>OK</v>
      </c>
      <c r="O635" s="168" t="str">
        <f>'030523 INVENTARIO'!Q635</f>
        <v>ACER</v>
      </c>
      <c r="P635" s="167" t="str">
        <f>'030523 INVENTARIO'!R635</f>
        <v>V226HQL</v>
      </c>
      <c r="Q635" s="167" t="str">
        <f>'030523 INVENTARIO'!S635</f>
        <v>MMTASAA007109004B63P00</v>
      </c>
      <c r="R635" s="167" t="str">
        <f>'030523 INVENTARIO'!T635</f>
        <v>SIN RESGUARDO</v>
      </c>
    </row>
    <row r="636" spans="5:18">
      <c r="E636" s="167" t="str">
        <f>'030523 INVENTARIO'!E636</f>
        <v>ESCRITORIO</v>
      </c>
      <c r="F636" s="167" t="str">
        <f>'030523 INVENTARIO'!F636</f>
        <v>MESA DE MADERA COMPLEMENTO</v>
      </c>
      <c r="G636" s="167" t="str">
        <f ca="1">'030523 INVENTARIO'!G636</f>
        <v>P24CA-0635</v>
      </c>
      <c r="H636" s="167" t="str">
        <f>'030523 INVENTARIO'!J636</f>
        <v>P13IR-0635</v>
      </c>
      <c r="I636" s="167">
        <f>'030523 INVENTARIO'!K636</f>
        <v>0</v>
      </c>
      <c r="J636" s="167" t="str">
        <f>'030523 INVENTARIO'!L636</f>
        <v>P2A-25</v>
      </c>
      <c r="K636" s="167" t="str">
        <f>'030523 INVENTARIO'!M636</f>
        <v>5120100007-163</v>
      </c>
      <c r="L636" s="168">
        <f>'030523 INVENTARIO'!N636</f>
        <v>0</v>
      </c>
      <c r="M636" s="168">
        <f>'030523 INVENTARIO'!O636</f>
        <v>0</v>
      </c>
      <c r="N636" s="168" t="str">
        <f>'030523 INVENTARIO'!P636</f>
        <v>OK</v>
      </c>
      <c r="O636" s="168" t="str">
        <f>'030523 INVENTARIO'!Q636</f>
        <v>S/M</v>
      </c>
      <c r="P636" s="167" t="str">
        <f>'030523 INVENTARIO'!R636</f>
        <v>S/M</v>
      </c>
      <c r="Q636" s="168" t="str">
        <f>'030523 INVENTARIO'!S636</f>
        <v>SIN SERIE</v>
      </c>
      <c r="R636" s="168" t="str">
        <f>'030523 INVENTARIO'!T636</f>
        <v>82DJ0531010065000564788</v>
      </c>
    </row>
    <row r="637" spans="5:18">
      <c r="E637" s="167" t="str">
        <f>'030523 INVENTARIO'!E637</f>
        <v>NO BREAK</v>
      </c>
      <c r="F637" s="168" t="str">
        <f>'030523 INVENTARIO'!F637</f>
        <v>NO BREAK</v>
      </c>
      <c r="G637" s="167" t="str">
        <f ca="1">'030523 INVENTARIO'!G637</f>
        <v>P13SO-0636</v>
      </c>
      <c r="H637" s="167" t="str">
        <f>'030523 INVENTARIO'!J637</f>
        <v>P13IR-0636</v>
      </c>
      <c r="I637" s="167" t="str">
        <f>'030523 INVENTARIO'!K637</f>
        <v>P13IN-031</v>
      </c>
      <c r="J637" s="167" t="str">
        <f>'030523 INVENTARIO'!L637</f>
        <v>P1SO-82</v>
      </c>
      <c r="K637" s="167" t="str">
        <f>'030523 INVENTARIO'!M637</f>
        <v>5150100008-29</v>
      </c>
      <c r="L637" s="168">
        <f>'030523 INVENTARIO'!N637</f>
        <v>0</v>
      </c>
      <c r="M637" s="168">
        <f>'030523 INVENTARIO'!O637</f>
        <v>0</v>
      </c>
      <c r="N637" s="168" t="str">
        <f>'030523 INVENTARIO'!P637</f>
        <v>OK</v>
      </c>
      <c r="O637" s="168" t="str">
        <f>'030523 INVENTARIO'!Q637</f>
        <v>TRIPP LITE</v>
      </c>
      <c r="P637" s="167" t="str">
        <f>'030523 INVENTARIO'!R637</f>
        <v>INTERNET550U</v>
      </c>
      <c r="Q637" s="168" t="str">
        <f>'030523 INVENTARIO'!S637</f>
        <v>9730CY0BC575600686</v>
      </c>
      <c r="R637" s="167" t="str">
        <f>'030523 INVENTARIO'!T637</f>
        <v>82DJ05150100160005390646</v>
      </c>
    </row>
    <row r="638" spans="5:18">
      <c r="E638" s="167" t="str">
        <f>'030523 INVENTARIO'!E638</f>
        <v>COMPUTADORA DE ESCRITORIO</v>
      </c>
      <c r="F638" s="168" t="str">
        <f>'030523 INVENTARIO'!F638</f>
        <v>COMPUTADORA NEGRA</v>
      </c>
      <c r="G638" s="167" t="str">
        <f ca="1">'030523 INVENTARIO'!G638</f>
        <v>P13LP-0637</v>
      </c>
      <c r="H638" s="167" t="str">
        <f>'030523 INVENTARIO'!J638</f>
        <v>P13IR-0637</v>
      </c>
      <c r="I638" s="167" t="str">
        <f>'030523 INVENTARIO'!K638</f>
        <v>P13IN-032</v>
      </c>
      <c r="J638" s="167" t="str">
        <f>'030523 INVENTARIO'!L638</f>
        <v>P1R-30</v>
      </c>
      <c r="K638" s="167" t="str">
        <f>'030523 INVENTARIO'!M638</f>
        <v>5210100012-31</v>
      </c>
      <c r="L638" s="168">
        <f>'030523 INVENTARIO'!N638</f>
        <v>0</v>
      </c>
      <c r="M638" s="168">
        <f>'030523 INVENTARIO'!O638</f>
        <v>0</v>
      </c>
      <c r="N638" s="168" t="str">
        <f>'030523 INVENTARIO'!P638</f>
        <v>OK</v>
      </c>
      <c r="O638" s="168" t="str">
        <f>'030523 INVENTARIO'!Q638</f>
        <v>HP</v>
      </c>
      <c r="P638" s="167" t="str">
        <f>'030523 INVENTARIO'!R638</f>
        <v>DC7800</v>
      </c>
      <c r="Q638" s="168" t="str">
        <f>'030523 INVENTARIO'!S638</f>
        <v>MXJ819034O</v>
      </c>
      <c r="R638" s="167" t="str">
        <f>'030523 INVENTARIO'!T638</f>
        <v>82DI0515010001000539009</v>
      </c>
    </row>
    <row r="639" spans="5:18">
      <c r="E639" s="167" t="str">
        <f>'030523 INVENTARIO'!E639</f>
        <v>MONITOR</v>
      </c>
      <c r="F639" s="167" t="str">
        <f>'030523 INVENTARIO'!F639</f>
        <v>MONITOR 19"</v>
      </c>
      <c r="G639" s="167" t="str">
        <f ca="1">'030523 INVENTARIO'!G639</f>
        <v>P13LP-0638</v>
      </c>
      <c r="H639" s="167" t="str">
        <f>'030523 INVENTARIO'!J639</f>
        <v>P13IR-0638</v>
      </c>
      <c r="I639" s="167" t="str">
        <f>'030523 INVENTARIO'!K639</f>
        <v>P13IN-033</v>
      </c>
      <c r="J639" s="167" t="str">
        <f>'030523 INVENTARIO'!L639</f>
        <v>P1R-32</v>
      </c>
      <c r="K639" s="167" t="str">
        <f>'030523 INVENTARIO'!M639</f>
        <v>5210100012-28</v>
      </c>
      <c r="L639" s="168">
        <f>'030523 INVENTARIO'!N639</f>
        <v>0</v>
      </c>
      <c r="M639" s="168">
        <f>'030523 INVENTARIO'!O639</f>
        <v>0</v>
      </c>
      <c r="N639" s="168" t="str">
        <f>'030523 INVENTARIO'!P639</f>
        <v>OK</v>
      </c>
      <c r="O639" s="168" t="str">
        <f>'030523 INVENTARIO'!Q639</f>
        <v>COMPAQ</v>
      </c>
      <c r="P639" s="167" t="str">
        <f>'030523 INVENTARIO'!R639</f>
        <v>WF1907</v>
      </c>
      <c r="Q639" s="168" t="str">
        <f>'030523 INVENTARIO'!S639</f>
        <v>CNC821Y8G5</v>
      </c>
      <c r="R639" s="168" t="str">
        <f>'030523 INVENTARIO'!T639</f>
        <v>82DI0565010041000543587</v>
      </c>
    </row>
    <row r="640" spans="5:18">
      <c r="E640" s="167" t="str">
        <f>'030523 INVENTARIO'!E640</f>
        <v>MESA</v>
      </c>
      <c r="F640" s="167" t="str">
        <f>'030523 INVENTARIO'!F640</f>
        <v>MESA DE MADERA CON BASE DE METAL 120X60</v>
      </c>
      <c r="G640" s="167" t="str">
        <f ca="1">'030523 INVENTARIO'!G640</f>
        <v>P13IR-0639</v>
      </c>
      <c r="H640" s="167" t="str">
        <f>'030523 INVENTARIO'!J640</f>
        <v>P13IR-0639</v>
      </c>
      <c r="I640" s="167" t="str">
        <f>'030523 INVENTARIO'!K640</f>
        <v>P13IN-034</v>
      </c>
      <c r="J640" s="167" t="str">
        <f>'030523 INVENTARIO'!L640</f>
        <v>P1SO-72</v>
      </c>
      <c r="K640" s="167" t="str">
        <f>'030523 INVENTARIO'!M640</f>
        <v>5110100015-74</v>
      </c>
      <c r="L640" s="168">
        <f>'030523 INVENTARIO'!N640</f>
        <v>0</v>
      </c>
      <c r="M640" s="168">
        <f>'030523 INVENTARIO'!O640</f>
        <v>0</v>
      </c>
      <c r="N640" s="168" t="str">
        <f>'030523 INVENTARIO'!P640</f>
        <v>OK</v>
      </c>
      <c r="O640" s="168" t="str">
        <f>'030523 INVENTARIO'!Q640</f>
        <v>S/M</v>
      </c>
      <c r="P640" s="167" t="str">
        <f>'030523 INVENTARIO'!R640</f>
        <v>S/M</v>
      </c>
      <c r="Q640" s="168" t="str">
        <f>'030523 INVENTARIO'!S640</f>
        <v>SIN SERIE</v>
      </c>
      <c r="R640" s="168" t="str">
        <f>'030523 INVENTARIO'!T640</f>
        <v>82DJ0511010010000651110</v>
      </c>
    </row>
    <row r="641" spans="5:18">
      <c r="E641" s="167" t="str">
        <f>'030523 INVENTARIO'!E641</f>
        <v>ESCRITORIO</v>
      </c>
      <c r="F641" s="167" t="str">
        <f>'030523 INVENTARIO'!F641</f>
        <v>ESCRITORIO CON DOS CAJONES DE MADERA</v>
      </c>
      <c r="G641" s="167" t="str">
        <f ca="1">'030523 INVENTARIO'!G641</f>
        <v>P13IR-0640</v>
      </c>
      <c r="H641" s="167" t="str">
        <f>'030523 INVENTARIO'!J641</f>
        <v>P13IR-0640</v>
      </c>
      <c r="I641" s="167" t="str">
        <f>'030523 INVENTARIO'!K641</f>
        <v>P13IN-035</v>
      </c>
      <c r="J641" s="167" t="str">
        <f>'030523 INVENTARIO'!L641</f>
        <v>P1SO-71</v>
      </c>
      <c r="K641" s="167" t="str">
        <f>'030523 INVENTARIO'!M641</f>
        <v>5110100015-73</v>
      </c>
      <c r="L641" s="168">
        <f>'030523 INVENTARIO'!N641</f>
        <v>0</v>
      </c>
      <c r="M641" s="168">
        <f>'030523 INVENTARIO'!O641</f>
        <v>0</v>
      </c>
      <c r="N641" s="168" t="str">
        <f>'030523 INVENTARIO'!P641</f>
        <v>OK</v>
      </c>
      <c r="O641" s="168" t="str">
        <f>'030523 INVENTARIO'!Q641</f>
        <v>S/M</v>
      </c>
      <c r="P641" s="167" t="str">
        <f>'030523 INVENTARIO'!R641</f>
        <v>S/M</v>
      </c>
      <c r="Q641" s="168" t="str">
        <f>'030523 INVENTARIO'!S641</f>
        <v>SIN SERIE</v>
      </c>
      <c r="R641" s="168" t="str">
        <f>'030523 INVENTARIO'!T641</f>
        <v>82DJ0511010006000651108</v>
      </c>
    </row>
    <row r="642" spans="5:18">
      <c r="E642" s="167" t="str">
        <f>'030523 INVENTARIO'!E642</f>
        <v>CREDENZA</v>
      </c>
      <c r="F642" s="167" t="str">
        <f>'030523 INVENTARIO'!F642</f>
        <v>CREDENZA DE MADERA</v>
      </c>
      <c r="G642" s="167" t="str">
        <f ca="1">'030523 INVENTARIO'!G642</f>
        <v>P13IR-0641</v>
      </c>
      <c r="H642" s="167" t="str">
        <f>'030523 INVENTARIO'!J642</f>
        <v>P13IR-0641</v>
      </c>
      <c r="I642" s="167" t="str">
        <f>'030523 INVENTARIO'!K642</f>
        <v>P13IN-036</v>
      </c>
      <c r="J642" s="167" t="str">
        <f>'030523 INVENTARIO'!L642</f>
        <v>P1SO-74</v>
      </c>
      <c r="K642" s="167" t="str">
        <f>'030523 INVENTARIO'!M642</f>
        <v>5110100014-7</v>
      </c>
      <c r="L642" s="168">
        <f>'030523 INVENTARIO'!N642</f>
        <v>0</v>
      </c>
      <c r="M642" s="168">
        <f>'030523 INVENTARIO'!O642</f>
        <v>0</v>
      </c>
      <c r="N642" s="168" t="str">
        <f>'030523 INVENTARIO'!P642</f>
        <v>OK</v>
      </c>
      <c r="O642" s="168" t="str">
        <f>'030523 INVENTARIO'!Q642</f>
        <v>S/M</v>
      </c>
      <c r="P642" s="167" t="str">
        <f>'030523 INVENTARIO'!R642</f>
        <v>S/M</v>
      </c>
      <c r="Q642" s="168" t="str">
        <f>'030523 INVENTARIO'!S642</f>
        <v>SIN SERIE</v>
      </c>
      <c r="R642" s="168" t="str">
        <f>'030523 INVENTARIO'!T642</f>
        <v>82DJ0511010005000649562</v>
      </c>
    </row>
    <row r="643" spans="5:18">
      <c r="E643" s="167" t="str">
        <f>'030523 INVENTARIO'!E643</f>
        <v>SILLA</v>
      </c>
      <c r="F643" s="167" t="str">
        <f>'030523 INVENTARIO'!F643</f>
        <v>SILLA NEGRA DE TELA FIJA</v>
      </c>
      <c r="G643" s="167" t="str">
        <f ca="1">'030523 INVENTARIO'!G643</f>
        <v>P13IR-0642</v>
      </c>
      <c r="H643" s="167" t="str">
        <f>'030523 INVENTARIO'!J643</f>
        <v>P13IR-0642</v>
      </c>
      <c r="I643" s="167" t="str">
        <f>'030523 INVENTARIO'!K643</f>
        <v>P13IN-037</v>
      </c>
      <c r="J643" s="167" t="str">
        <f>'030523 INVENTARIO'!L643</f>
        <v>P1SO-62</v>
      </c>
      <c r="K643" s="167" t="str">
        <f>'030523 INVENTARIO'!M643</f>
        <v>5110100011-31</v>
      </c>
      <c r="L643" s="168">
        <f>'030523 INVENTARIO'!N643</f>
        <v>0</v>
      </c>
      <c r="M643" s="168">
        <f>'030523 INVENTARIO'!O643</f>
        <v>0</v>
      </c>
      <c r="N643" s="168" t="str">
        <f>'030523 INVENTARIO'!P643</f>
        <v>OK</v>
      </c>
      <c r="O643" s="168" t="str">
        <f>'030523 INVENTARIO'!Q643</f>
        <v>S/M</v>
      </c>
      <c r="P643" s="167" t="str">
        <f>'030523 INVENTARIO'!R643</f>
        <v>S/M</v>
      </c>
      <c r="Q643" s="168" t="str">
        <f>'030523 INVENTARIO'!S643</f>
        <v>SIN SERIE</v>
      </c>
      <c r="R643" s="168" t="str">
        <f>'030523 INVENTARIO'!T643</f>
        <v>82DH0511010017000649725</v>
      </c>
    </row>
    <row r="644" spans="5:18">
      <c r="E644" s="167" t="str">
        <f>'030523 INVENTARIO'!E644</f>
        <v>NO BREAK</v>
      </c>
      <c r="F644" s="167" t="str">
        <f>'030523 INVENTARIO'!F644</f>
        <v>NO BREAK</v>
      </c>
      <c r="G644" s="167" t="str">
        <f ca="1">'030523 INVENTARIO'!G644</f>
        <v>P13IR-0643</v>
      </c>
      <c r="H644" s="167">
        <f>'030523 INVENTARIO'!J644</f>
        <v>0</v>
      </c>
      <c r="I644" s="167" t="str">
        <f>'030523 INVENTARIO'!K644</f>
        <v>P13IN-038</v>
      </c>
      <c r="J644" s="167" t="str">
        <f>'030523 INVENTARIO'!L644</f>
        <v>P1SO-75</v>
      </c>
      <c r="K644" s="168" t="str">
        <f>'030523 INVENTARIO'!M644</f>
        <v>5150100008-51</v>
      </c>
      <c r="L644" s="168">
        <f>'030523 INVENTARIO'!N644</f>
        <v>0</v>
      </c>
      <c r="M644" s="168">
        <f>'030523 INVENTARIO'!O644</f>
        <v>0</v>
      </c>
      <c r="N644" s="168" t="str">
        <f>'030523 INVENTARIO'!P644</f>
        <v>OK</v>
      </c>
      <c r="O644" s="168" t="str">
        <f>'030523 INVENTARIO'!Q644</f>
        <v>KOBLENZ</v>
      </c>
      <c r="P644" s="167">
        <f>'030523 INVENTARIO'!R644</f>
        <v>550</v>
      </c>
      <c r="Q644" s="168" t="str">
        <f>'030523 INVENTARIO'!S644</f>
        <v>SIN SERIE</v>
      </c>
      <c r="R644" s="168" t="str">
        <f>'030523 INVENTARIO'!T644</f>
        <v>82DJ0515010016000651109</v>
      </c>
    </row>
    <row r="645" spans="5:18">
      <c r="E645" s="167" t="str">
        <f>'030523 INVENTARIO'!E645</f>
        <v>SILLON</v>
      </c>
      <c r="F645" s="167" t="str">
        <f>'030523 INVENTARIO'!F645</f>
        <v>SILLÓN NEGRO CON RUEDAS</v>
      </c>
      <c r="G645" s="167" t="str">
        <f ca="1">'030523 INVENTARIO'!G645</f>
        <v>P05RH-0644</v>
      </c>
      <c r="H645" s="167" t="str">
        <f>'030523 INVENTARIO'!J645</f>
        <v>P13IR-0644</v>
      </c>
      <c r="I645" s="167" t="str">
        <f>'030523 INVENTARIO'!K645</f>
        <v>P13IN-039</v>
      </c>
      <c r="J645" s="167" t="str">
        <f>'030523 INVENTARIO'!L645</f>
        <v>P1SI-67</v>
      </c>
      <c r="K645" s="167" t="str">
        <f>'030523 INVENTARIO'!M645</f>
        <v>5110100011-32</v>
      </c>
      <c r="L645" s="168">
        <f>'030523 INVENTARIO'!N645</f>
        <v>0</v>
      </c>
      <c r="M645" s="168">
        <f>'030523 INVENTARIO'!O645</f>
        <v>0</v>
      </c>
      <c r="N645" s="168" t="str">
        <f>'030523 INVENTARIO'!P645</f>
        <v>OK</v>
      </c>
      <c r="O645" s="168" t="str">
        <f>'030523 INVENTARIO'!Q645</f>
        <v>S/M</v>
      </c>
      <c r="P645" s="167" t="str">
        <f>'030523 INVENTARIO'!R645</f>
        <v>S/M</v>
      </c>
      <c r="Q645" s="168" t="str">
        <f>'030523 INVENTARIO'!S645</f>
        <v>SIN SERIE</v>
      </c>
      <c r="R645" s="168" t="str">
        <f>'030523 INVENTARIO'!T645</f>
        <v>82DH0511010016000515592</v>
      </c>
    </row>
    <row r="646" spans="5:18">
      <c r="E646" s="167" t="str">
        <f>'030523 INVENTARIO'!E646</f>
        <v>COMPUTADORA DE ESCRITORIO</v>
      </c>
      <c r="F646" s="167" t="str">
        <f>'030523 INVENTARIO'!F646</f>
        <v>COMPUTADORA DE ESCRITORIO</v>
      </c>
      <c r="G646" s="167" t="str">
        <f ca="1">'030523 INVENTARIO'!G646</f>
        <v>P13IR-0645</v>
      </c>
      <c r="H646" s="167" t="str">
        <f>'030523 INVENTARIO'!J646</f>
        <v>P13IR-0645</v>
      </c>
      <c r="I646" s="167" t="str">
        <f>'030523 INVENTARIO'!K646</f>
        <v>P13IN-040</v>
      </c>
      <c r="J646" s="167">
        <f>'030523 INVENTARIO'!L646</f>
        <v>0</v>
      </c>
      <c r="K646" s="167" t="str">
        <f>'030523 INVENTARIO'!M646</f>
        <v>5150100005-158</v>
      </c>
      <c r="L646" s="168">
        <f>'030523 INVENTARIO'!N646</f>
        <v>0</v>
      </c>
      <c r="M646" s="168">
        <f>'030523 INVENTARIO'!O646</f>
        <v>0</v>
      </c>
      <c r="N646" s="168" t="str">
        <f>'030523 INVENTARIO'!P646</f>
        <v>OK</v>
      </c>
      <c r="O646" s="168" t="str">
        <f>'030523 INVENTARIO'!Q646</f>
        <v>ACTECK</v>
      </c>
      <c r="P646" s="167" t="str">
        <f>'030523 INVENTARIO'!R646</f>
        <v>LINX</v>
      </c>
      <c r="Q646" s="167">
        <f>'030523 INVENTARIO'!S646</f>
        <v>11392903015273</v>
      </c>
      <c r="R646" s="167" t="str">
        <f>'030523 INVENTARIO'!T646</f>
        <v>SIN RESGUARDO</v>
      </c>
    </row>
    <row r="647" spans="5:18">
      <c r="E647" s="167" t="str">
        <f>'030523 INVENTARIO'!E647</f>
        <v>MONITOR</v>
      </c>
      <c r="F647" s="167" t="str">
        <f>'030523 INVENTARIO'!F647</f>
        <v>MONITOR 21"</v>
      </c>
      <c r="G647" s="167" t="str">
        <f ca="1">'030523 INVENTARIO'!G647</f>
        <v>P13IR-0646</v>
      </c>
      <c r="H647" s="167" t="str">
        <f>'030523 INVENTARIO'!J647</f>
        <v>P13IR-0646</v>
      </c>
      <c r="I647" s="167" t="str">
        <f>'030523 INVENTARIO'!K647</f>
        <v>P13IN-041</v>
      </c>
      <c r="J647" s="167">
        <f>'030523 INVENTARIO'!L647</f>
        <v>0</v>
      </c>
      <c r="K647" s="167" t="str">
        <f>'030523 INVENTARIO'!M647</f>
        <v>5150100005-159</v>
      </c>
      <c r="L647" s="168">
        <f>'030523 INVENTARIO'!N647</f>
        <v>0</v>
      </c>
      <c r="M647" s="168">
        <f>'030523 INVENTARIO'!O647</f>
        <v>0</v>
      </c>
      <c r="N647" s="168" t="str">
        <f>'030523 INVENTARIO'!P647</f>
        <v>OK</v>
      </c>
      <c r="O647" s="168" t="str">
        <f>'030523 INVENTARIO'!Q647</f>
        <v>ACER</v>
      </c>
      <c r="P647" s="167" t="str">
        <f>'030523 INVENTARIO'!R647</f>
        <v>V226HQL</v>
      </c>
      <c r="Q647" s="167" t="str">
        <f>'030523 INVENTARIO'!S647</f>
        <v>MMTASAA0071090048C3P00</v>
      </c>
      <c r="R647" s="167" t="str">
        <f>'030523 INVENTARIO'!T647</f>
        <v>SIN RESGUARDO</v>
      </c>
    </row>
    <row r="648" spans="5:18">
      <c r="E648" s="167" t="str">
        <f>'030523 INVENTARIO'!E648</f>
        <v>MESA</v>
      </c>
      <c r="F648" s="167" t="str">
        <f>'030523 INVENTARIO'!F648</f>
        <v>MESA DE MADERA 120X60</v>
      </c>
      <c r="G648" s="167" t="str">
        <f ca="1">'030523 INVENTARIO'!G648</f>
        <v>P13IR-0647</v>
      </c>
      <c r="H648" s="167" t="str">
        <f>'030523 INVENTARIO'!J648</f>
        <v>P13IR-0647</v>
      </c>
      <c r="I648" s="167" t="str">
        <f>'030523 INVENTARIO'!K648</f>
        <v>P13IN-042</v>
      </c>
      <c r="J648" s="167" t="str">
        <f>'030523 INVENTARIO'!L648</f>
        <v>P1SO-83</v>
      </c>
      <c r="K648" s="167" t="str">
        <f>'030523 INVENTARIO'!M648</f>
        <v>5120100007-56</v>
      </c>
      <c r="L648" s="168">
        <f>'030523 INVENTARIO'!N648</f>
        <v>0</v>
      </c>
      <c r="M648" s="168">
        <f>'030523 INVENTARIO'!O648</f>
        <v>0</v>
      </c>
      <c r="N648" s="168" t="str">
        <f>'030523 INVENTARIO'!P648</f>
        <v>OK</v>
      </c>
      <c r="O648" s="168" t="str">
        <f>'030523 INVENTARIO'!Q648</f>
        <v>S/M</v>
      </c>
      <c r="P648" s="167" t="str">
        <f>'030523 INVENTARIO'!R648</f>
        <v>S/M</v>
      </c>
      <c r="Q648" s="168" t="str">
        <f>'030523 INVENTARIO'!S648</f>
        <v>SIN SERIE</v>
      </c>
      <c r="R648" s="168" t="str">
        <f>'030523 INVENTARIO'!T648</f>
        <v>82DJ0531010065000564808</v>
      </c>
    </row>
    <row r="649" spans="5:18">
      <c r="E649" s="167" t="str">
        <f>'030523 INVENTARIO'!E649</f>
        <v>MESA</v>
      </c>
      <c r="F649" s="167" t="str">
        <f>'030523 INVENTARIO'!F649</f>
        <v>MESA DE MADERA Y METAL 120X60</v>
      </c>
      <c r="G649" s="167" t="str">
        <f ca="1">'030523 INVENTARIO'!G649</f>
        <v>P13IR-0648</v>
      </c>
      <c r="H649" s="167" t="str">
        <f>'030523 INVENTARIO'!J649</f>
        <v>P13IR-0648</v>
      </c>
      <c r="I649" s="167" t="str">
        <f>'030523 INVENTARIO'!K649</f>
        <v>P13IN-043</v>
      </c>
      <c r="J649" s="167" t="str">
        <f>'030523 INVENTARIO'!L649</f>
        <v>P1SO-81</v>
      </c>
      <c r="K649" s="167" t="str">
        <f>'030523 INVENTARIO'!M649</f>
        <v>5120100007-52</v>
      </c>
      <c r="L649" s="168">
        <f>'030523 INVENTARIO'!N649</f>
        <v>0</v>
      </c>
      <c r="M649" s="168">
        <f>'030523 INVENTARIO'!O649</f>
        <v>0</v>
      </c>
      <c r="N649" s="168" t="str">
        <f>'030523 INVENTARIO'!P649</f>
        <v>OK</v>
      </c>
      <c r="O649" s="168" t="str">
        <f>'030523 INVENTARIO'!Q649</f>
        <v>S/M</v>
      </c>
      <c r="P649" s="167" t="str">
        <f>'030523 INVENTARIO'!R649</f>
        <v>S/M</v>
      </c>
      <c r="Q649" s="168" t="str">
        <f>'030523 INVENTARIO'!S649</f>
        <v>SIN SERIE</v>
      </c>
      <c r="R649" s="168" t="str">
        <f>'030523 INVENTARIO'!T649</f>
        <v>82DH0511010010000649720</v>
      </c>
    </row>
    <row r="650" spans="5:18">
      <c r="E650" s="167" t="str">
        <f>'030523 INVENTARIO'!E650</f>
        <v>CREDENZA</v>
      </c>
      <c r="F650" s="167" t="str">
        <f>'030523 INVENTARIO'!F650</f>
        <v>CREDENZA DE MADERA</v>
      </c>
      <c r="G650" s="167" t="str">
        <f ca="1">'030523 INVENTARIO'!G650</f>
        <v>P13IR-0649</v>
      </c>
      <c r="H650" s="167" t="str">
        <f>'030523 INVENTARIO'!J650</f>
        <v>P13IR-0649</v>
      </c>
      <c r="I650" s="167">
        <f>'030523 INVENTARIO'!K650</f>
        <v>0</v>
      </c>
      <c r="J650" s="167" t="str">
        <f>'030523 INVENTARIO'!L650</f>
        <v>P1SO-84</v>
      </c>
      <c r="K650" s="167" t="str">
        <f>'030523 INVENTARIO'!M650</f>
        <v>5110100014-8</v>
      </c>
      <c r="L650" s="168">
        <f>'030523 INVENTARIO'!N650</f>
        <v>0</v>
      </c>
      <c r="M650" s="168">
        <f>'030523 INVENTARIO'!O650</f>
        <v>0</v>
      </c>
      <c r="N650" s="168" t="str">
        <f>'030523 INVENTARIO'!P650</f>
        <v>OK</v>
      </c>
      <c r="O650" s="168" t="str">
        <f>'030523 INVENTARIO'!Q650</f>
        <v>S/M</v>
      </c>
      <c r="P650" s="167" t="str">
        <f>'030523 INVENTARIO'!R650</f>
        <v>S/M</v>
      </c>
      <c r="Q650" s="168" t="str">
        <f>'030523 INVENTARIO'!S650</f>
        <v>SIN SERIE</v>
      </c>
      <c r="R650" s="168" t="str">
        <f>'030523 INVENTARIO'!T650</f>
        <v>82DJ0511010005000649704</v>
      </c>
    </row>
    <row r="651" spans="5:18">
      <c r="E651" s="167" t="str">
        <f>'030523 INVENTARIO'!E651</f>
        <v>ESCRITORIO</v>
      </c>
      <c r="F651" s="167" t="str">
        <f>'030523 INVENTARIO'!F651</f>
        <v>ESCRITORIO DE 2 CAJONES MADERA</v>
      </c>
      <c r="G651" s="167" t="str">
        <f ca="1">'030523 INVENTARIO'!G651</f>
        <v>P13IR-0650</v>
      </c>
      <c r="H651" s="167" t="str">
        <f>'030523 INVENTARIO'!J651</f>
        <v>P13IR-0650</v>
      </c>
      <c r="I651" s="167" t="str">
        <f>'030523 INVENTARIO'!K651</f>
        <v>P13IN-044</v>
      </c>
      <c r="J651" s="167" t="str">
        <f>'030523 INVENTARIO'!L651</f>
        <v>P1SO-77</v>
      </c>
      <c r="K651" s="167" t="str">
        <f>'030523 INVENTARIO'!M651</f>
        <v>5110100015-26</v>
      </c>
      <c r="L651" s="168">
        <f>'030523 INVENTARIO'!N651</f>
        <v>0</v>
      </c>
      <c r="M651" s="168">
        <f>'030523 INVENTARIO'!O651</f>
        <v>0</v>
      </c>
      <c r="N651" s="168" t="str">
        <f>'030523 INVENTARIO'!P651</f>
        <v>OK</v>
      </c>
      <c r="O651" s="168" t="str">
        <f>'030523 INVENTARIO'!Q651</f>
        <v>S/M</v>
      </c>
      <c r="P651" s="167" t="str">
        <f>'030523 INVENTARIO'!R651</f>
        <v>S/M</v>
      </c>
      <c r="Q651" s="168" t="str">
        <f>'030523 INVENTARIO'!S651</f>
        <v>SIN SERIE</v>
      </c>
      <c r="R651" s="168" t="str">
        <f>'030523 INVENTARIO'!T651</f>
        <v>82DJ0511010006000583450</v>
      </c>
    </row>
    <row r="652" spans="5:18">
      <c r="E652" s="167" t="str">
        <f>'030523 INVENTARIO'!E652</f>
        <v>SILLA</v>
      </c>
      <c r="F652" s="167" t="str">
        <f>'030523 INVENTARIO'!F652</f>
        <v>SILLA DE TELA NEGRA</v>
      </c>
      <c r="G652" s="167" t="str">
        <f ca="1">'030523 INVENTARIO'!G652</f>
        <v>P13IR-0651</v>
      </c>
      <c r="H652" s="167" t="str">
        <f>'030523 INVENTARIO'!J652</f>
        <v>P13IR-0651</v>
      </c>
      <c r="I652" s="167" t="str">
        <f>'030523 INVENTARIO'!K652</f>
        <v>P13IN-045</v>
      </c>
      <c r="J652" s="167" t="str">
        <f>'030523 INVENTARIO'!L652</f>
        <v>P1SO-68</v>
      </c>
      <c r="K652" s="167" t="str">
        <f>'030523 INVENTARIO'!M652</f>
        <v>5110100011-126</v>
      </c>
      <c r="L652" s="168">
        <f>'030523 INVENTARIO'!N652</f>
        <v>0</v>
      </c>
      <c r="M652" s="168">
        <f>'030523 INVENTARIO'!O652</f>
        <v>0</v>
      </c>
      <c r="N652" s="168" t="str">
        <f>'030523 INVENTARIO'!P652</f>
        <v>OK</v>
      </c>
      <c r="O652" s="168" t="str">
        <f>'030523 INVENTARIO'!Q652</f>
        <v>S/M</v>
      </c>
      <c r="P652" s="167" t="str">
        <f>'030523 INVENTARIO'!R652</f>
        <v>S/M</v>
      </c>
      <c r="Q652" s="168" t="str">
        <f>'030523 INVENTARIO'!S652</f>
        <v>SIN SERIE</v>
      </c>
      <c r="R652" s="168" t="str">
        <f>'030523 INVENTARIO'!T652</f>
        <v>82DH0511010017000649719</v>
      </c>
    </row>
    <row r="653" spans="5:18">
      <c r="E653" s="167" t="str">
        <f>'030523 INVENTARIO'!E653</f>
        <v>COMPLEMENTARIO DE EQUIPO DE COMPUTO</v>
      </c>
      <c r="F653" s="168" t="str">
        <f>'030523 INVENTARIO'!F653</f>
        <v>COMPLEMENTO DE EQUIPO DE MADERA</v>
      </c>
      <c r="G653" s="167" t="str">
        <f ca="1">'030523 INVENTARIO'!G653</f>
        <v>P13IR-0652</v>
      </c>
      <c r="H653" s="167" t="str">
        <f>'030523 INVENTARIO'!J653</f>
        <v>P13IR-0652</v>
      </c>
      <c r="I653" s="167" t="str">
        <f>'030523 INVENTARIO'!K653</f>
        <v>P13IN-046</v>
      </c>
      <c r="J653" s="167" t="str">
        <f>'030523 INVENTARIO'!L653</f>
        <v>P1SO-87</v>
      </c>
      <c r="K653" s="167" t="str">
        <f>'030523 INVENTARIO'!M653</f>
        <v>5120100004-9</v>
      </c>
      <c r="L653" s="168">
        <f>'030523 INVENTARIO'!N653</f>
        <v>0</v>
      </c>
      <c r="M653" s="168">
        <f>'030523 INVENTARIO'!O653</f>
        <v>0</v>
      </c>
      <c r="N653" s="168" t="str">
        <f>'030523 INVENTARIO'!P653</f>
        <v>OK</v>
      </c>
      <c r="O653" s="168" t="str">
        <f>'030523 INVENTARIO'!Q653</f>
        <v>S/M</v>
      </c>
      <c r="P653" s="167" t="str">
        <f>'030523 INVENTARIO'!R653</f>
        <v>S/M</v>
      </c>
      <c r="Q653" s="168" t="str">
        <f>'030523 INVENTARIO'!S653</f>
        <v>SIN SERIE</v>
      </c>
      <c r="R653" s="168" t="str">
        <f>'030523 INVENTARIO'!T653</f>
        <v>82DJ0515010033000564638</v>
      </c>
    </row>
    <row r="654" spans="5:18">
      <c r="E654" s="167" t="str">
        <f>'030523 INVENTARIO'!E654</f>
        <v>NO BREAK</v>
      </c>
      <c r="F654" s="168" t="str">
        <f>'030523 INVENTARIO'!F654</f>
        <v>NO BREAK</v>
      </c>
      <c r="G654" s="167" t="str">
        <f ca="1">'030523 INVENTARIO'!G654</f>
        <v>P13IR-0653</v>
      </c>
      <c r="H654" s="167" t="str">
        <f>'030523 INVENTARIO'!J654</f>
        <v>P13IR-0653</v>
      </c>
      <c r="I654" s="167" t="str">
        <f>'030523 INVENTARIO'!K654</f>
        <v>P13IN-047</v>
      </c>
      <c r="J654" s="167" t="str">
        <f>'030523 INVENTARIO'!L654</f>
        <v>P1SO-86</v>
      </c>
      <c r="K654" s="167" t="str">
        <f>'030523 INVENTARIO'!M654</f>
        <v>5150100008-16</v>
      </c>
      <c r="L654" s="168">
        <f>'030523 INVENTARIO'!N654</f>
        <v>0</v>
      </c>
      <c r="M654" s="168">
        <f>'030523 INVENTARIO'!O654</f>
        <v>0</v>
      </c>
      <c r="N654" s="168" t="str">
        <f>'030523 INVENTARIO'!P654</f>
        <v>OK</v>
      </c>
      <c r="O654" s="168" t="str">
        <f>'030523 INVENTARIO'!Q654</f>
        <v>FORZA</v>
      </c>
      <c r="P654" s="167" t="str">
        <f>'030523 INVENTARIO'!R654</f>
        <v>NT751</v>
      </c>
      <c r="Q654" s="168" t="str">
        <f>'030523 INVENTARIO'!S654</f>
        <v>190522502047</v>
      </c>
      <c r="R654" s="168" t="str">
        <f>'030523 INVENTARIO'!T654</f>
        <v>82DJ0515010016000649420</v>
      </c>
    </row>
    <row r="655" spans="5:18">
      <c r="E655" s="167" t="str">
        <f>'030523 INVENTARIO'!E655</f>
        <v>COMPUTADORA DE ESCRITORIO</v>
      </c>
      <c r="F655" s="167" t="str">
        <f>'030523 INVENTARIO'!F655</f>
        <v>COMPUTADORA DE ESCRITORIO</v>
      </c>
      <c r="G655" s="167" t="str">
        <f ca="1">'030523 INVENTARIO'!G655</f>
        <v>P13IR-0654</v>
      </c>
      <c r="H655" s="167" t="str">
        <f>'030523 INVENTARIO'!J655</f>
        <v>P13IR-0654</v>
      </c>
      <c r="I655" s="167" t="str">
        <f>'030523 INVENTARIO'!K655</f>
        <v>P13IN-048</v>
      </c>
      <c r="J655" s="167">
        <f>'030523 INVENTARIO'!L655</f>
        <v>0</v>
      </c>
      <c r="K655" s="167" t="str">
        <f>'030523 INVENTARIO'!M655</f>
        <v>5150100005-135</v>
      </c>
      <c r="L655" s="168">
        <f>'030523 INVENTARIO'!N655</f>
        <v>0</v>
      </c>
      <c r="M655" s="168">
        <f>'030523 INVENTARIO'!O655</f>
        <v>0</v>
      </c>
      <c r="N655" s="168" t="str">
        <f>'030523 INVENTARIO'!P655</f>
        <v>OK</v>
      </c>
      <c r="O655" s="168" t="str">
        <f>'030523 INVENTARIO'!Q655</f>
        <v>ACTECK</v>
      </c>
      <c r="P655" s="167" t="str">
        <f>'030523 INVENTARIO'!R655</f>
        <v>LINX</v>
      </c>
      <c r="Q655" s="167">
        <f>'030523 INVENTARIO'!S655</f>
        <v>11392903012339</v>
      </c>
      <c r="R655" s="167" t="str">
        <f>'030523 INVENTARIO'!T655</f>
        <v>SIN RESGUARDO</v>
      </c>
    </row>
    <row r="656" spans="5:18">
      <c r="E656" s="167" t="str">
        <f>'030523 INVENTARIO'!E656</f>
        <v>MONITOR</v>
      </c>
      <c r="F656" s="167" t="str">
        <f>'030523 INVENTARIO'!F656</f>
        <v>MONITOR 21"</v>
      </c>
      <c r="G656" s="167" t="str">
        <f ca="1">'030523 INVENTARIO'!G656</f>
        <v>P13IR-0655</v>
      </c>
      <c r="H656" s="167" t="str">
        <f>'030523 INVENTARIO'!J656</f>
        <v>P13IR-0655</v>
      </c>
      <c r="I656" s="167" t="str">
        <f>'030523 INVENTARIO'!K656</f>
        <v>P13IN-049</v>
      </c>
      <c r="J656" s="167">
        <f>'030523 INVENTARIO'!L656</f>
        <v>0</v>
      </c>
      <c r="K656" s="167" t="str">
        <f>'030523 INVENTARIO'!M656</f>
        <v>5150100005-136</v>
      </c>
      <c r="L656" s="168">
        <f>'030523 INVENTARIO'!N656</f>
        <v>0</v>
      </c>
      <c r="M656" s="168">
        <f>'030523 INVENTARIO'!O656</f>
        <v>0</v>
      </c>
      <c r="N656" s="168" t="str">
        <f>'030523 INVENTARIO'!P656</f>
        <v>OK</v>
      </c>
      <c r="O656" s="168" t="str">
        <f>'030523 INVENTARIO'!Q656</f>
        <v>ACER</v>
      </c>
      <c r="P656" s="167" t="str">
        <f>'030523 INVENTARIO'!R656</f>
        <v>V226HQL</v>
      </c>
      <c r="Q656" s="167" t="str">
        <f>'030523 INVENTARIO'!S656</f>
        <v>MMTASAA0070520544C3P00</v>
      </c>
      <c r="R656" s="167" t="str">
        <f>'030523 INVENTARIO'!T656</f>
        <v>SIN RESGUARDO</v>
      </c>
    </row>
    <row r="657" spans="5:18">
      <c r="E657" s="167" t="str">
        <f>'030523 INVENTARIO'!E657</f>
        <v>MONITOR</v>
      </c>
      <c r="F657" s="167" t="str">
        <f>'030523 INVENTARIO'!F657</f>
        <v>MONITOR 19"</v>
      </c>
      <c r="G657" s="167" t="str">
        <f ca="1">'030523 INVENTARIO'!G657</f>
        <v>P13IR-0656</v>
      </c>
      <c r="H657" s="167" t="str">
        <f>'030523 INVENTARIO'!J657</f>
        <v>P13IR-0656</v>
      </c>
      <c r="I657" s="167" t="str">
        <f>'030523 INVENTARIO'!K657</f>
        <v>P13IN-050</v>
      </c>
      <c r="J657" s="167" t="str">
        <f>'030523 INVENTARIO'!L657</f>
        <v>P1SO-70</v>
      </c>
      <c r="K657" s="167" t="str">
        <f>'030523 INVENTARIO'!M657</f>
        <v>5210100012-72</v>
      </c>
      <c r="L657" s="168">
        <f>'030523 INVENTARIO'!N657</f>
        <v>0</v>
      </c>
      <c r="M657" s="168">
        <f>'030523 INVENTARIO'!O657</f>
        <v>0</v>
      </c>
      <c r="N657" s="168" t="str">
        <f>'030523 INVENTARIO'!P657</f>
        <v>OK</v>
      </c>
      <c r="O657" s="168" t="str">
        <f>'030523 INVENTARIO'!Q657</f>
        <v>COMPAQ</v>
      </c>
      <c r="P657" s="167" t="str">
        <f>'030523 INVENTARIO'!R657</f>
        <v>WF1907</v>
      </c>
      <c r="Q657" s="168" t="str">
        <f>'030523 INVENTARIO'!S657</f>
        <v>SIN SERIE</v>
      </c>
      <c r="R657" s="168" t="str">
        <f>'030523 INVENTARIO'!T657</f>
        <v>82DI0565010041000539123</v>
      </c>
    </row>
    <row r="658" spans="5:18">
      <c r="E658" s="167" t="str">
        <f>'030523 INVENTARIO'!E658</f>
        <v>SILLA</v>
      </c>
      <c r="F658" s="167" t="str">
        <f>'030523 INVENTARIO'!F658</f>
        <v>SILLA NEGRA CON RUEDAS</v>
      </c>
      <c r="G658" s="167" t="str">
        <f ca="1">'030523 INVENTARIO'!G658</f>
        <v>P13IR-0657</v>
      </c>
      <c r="H658" s="167" t="str">
        <f>'030523 INVENTARIO'!J658</f>
        <v>P13IR-0657</v>
      </c>
      <c r="I658" s="167" t="str">
        <f>'030523 INVENTARIO'!K658</f>
        <v>P13IN-051</v>
      </c>
      <c r="J658" s="167" t="str">
        <f>'030523 INVENTARIO'!L658</f>
        <v>P1R-22</v>
      </c>
      <c r="K658" s="168" t="str">
        <f>'030523 INVENTARIO'!M658</f>
        <v>5110100011-38</v>
      </c>
      <c r="L658" s="168">
        <f>'030523 INVENTARIO'!N658</f>
        <v>0</v>
      </c>
      <c r="M658" s="168">
        <f>'030523 INVENTARIO'!O658</f>
        <v>0</v>
      </c>
      <c r="N658" s="168" t="str">
        <f>'030523 INVENTARIO'!P658</f>
        <v>OK</v>
      </c>
      <c r="O658" s="168" t="str">
        <f>'030523 INVENTARIO'!Q658</f>
        <v>S/M</v>
      </c>
      <c r="P658" s="167" t="str">
        <f>'030523 INVENTARIO'!R658</f>
        <v>S/M</v>
      </c>
      <c r="Q658" s="168" t="str">
        <f>'030523 INVENTARIO'!S658</f>
        <v>SIN SERIE</v>
      </c>
      <c r="R658" s="168" t="str">
        <f>'030523 INVENTARIO'!T658</f>
        <v>82DI0511010017000516229</v>
      </c>
    </row>
    <row r="659" spans="5:18">
      <c r="E659" s="167" t="str">
        <f>'030523 INVENTARIO'!E659</f>
        <v>SILLA</v>
      </c>
      <c r="F659" s="167" t="str">
        <f>'030523 INVENTARIO'!F659</f>
        <v>SILLA NEGRA  CON RUEDAS</v>
      </c>
      <c r="G659" s="167" t="str">
        <f ca="1">'030523 INVENTARIO'!G659</f>
        <v>P13IR-0658</v>
      </c>
      <c r="H659" s="167" t="str">
        <f>'030523 INVENTARIO'!J659</f>
        <v>P13IR-0658</v>
      </c>
      <c r="I659" s="167" t="str">
        <f>'030523 INVENTARIO'!K659</f>
        <v>P13IN-052</v>
      </c>
      <c r="J659" s="167" t="str">
        <f>'030523 INVENTARIO'!L659</f>
        <v>P1SO-85</v>
      </c>
      <c r="K659" s="168" t="str">
        <f>'030523 INVENTARIO'!M659</f>
        <v>5110100011-35</v>
      </c>
      <c r="L659" s="168">
        <f>'030523 INVENTARIO'!N659</f>
        <v>0</v>
      </c>
      <c r="M659" s="168">
        <f>'030523 INVENTARIO'!O659</f>
        <v>0</v>
      </c>
      <c r="N659" s="168" t="str">
        <f>'030523 INVENTARIO'!P659</f>
        <v>OK</v>
      </c>
      <c r="O659" s="168" t="str">
        <f>'030523 INVENTARIO'!Q659</f>
        <v>S/M</v>
      </c>
      <c r="P659" s="167" t="str">
        <f>'030523 INVENTARIO'!R659</f>
        <v>S/M</v>
      </c>
      <c r="Q659" s="168" t="str">
        <f>'030523 INVENTARIO'!S659</f>
        <v>SIN SERIE</v>
      </c>
      <c r="R659" s="168" t="str">
        <f>'030523 INVENTARIO'!T659</f>
        <v>82DJ0511010017000649702</v>
      </c>
    </row>
    <row r="660" spans="5:18">
      <c r="E660" s="167" t="str">
        <f>'030523 INVENTARIO'!E660</f>
        <v>SILLON</v>
      </c>
      <c r="F660" s="167" t="str">
        <f>'030523 INVENTARIO'!F660</f>
        <v>SILLON DE PIEL DE RUEDAS</v>
      </c>
      <c r="G660" s="167" t="str">
        <f ca="1">'030523 INVENTARIO'!G660</f>
        <v>P13SO-0659</v>
      </c>
      <c r="H660" s="167" t="str">
        <f>'030523 INVENTARIO'!J660</f>
        <v>P13IR-0659</v>
      </c>
      <c r="I660" s="167" t="str">
        <f>'030523 INVENTARIO'!K660</f>
        <v>P13IN-053</v>
      </c>
      <c r="J660" s="167" t="str">
        <f>'030523 INVENTARIO'!L660</f>
        <v>P0AL-5</v>
      </c>
      <c r="K660" s="167" t="str">
        <f>'030523 INVENTARIO'!M660</f>
        <v>5120100009-57</v>
      </c>
      <c r="L660" s="168">
        <f>'030523 INVENTARIO'!N660</f>
        <v>0</v>
      </c>
      <c r="M660" s="168">
        <f>'030523 INVENTARIO'!O660</f>
        <v>0</v>
      </c>
      <c r="N660" s="168" t="str">
        <f>'030523 INVENTARIO'!P660</f>
        <v>OK</v>
      </c>
      <c r="O660" s="168" t="str">
        <f>'030523 INVENTARIO'!Q660</f>
        <v>S/M</v>
      </c>
      <c r="P660" s="167" t="str">
        <f>'030523 INVENTARIO'!R660</f>
        <v>S/M</v>
      </c>
      <c r="Q660" s="168" t="str">
        <f>'030523 INVENTARIO'!S660</f>
        <v>SIN SERIE</v>
      </c>
      <c r="R660" s="168" t="str">
        <f>'030523 INVENTARIO'!T660</f>
        <v>82DJ0511010017000563784</v>
      </c>
    </row>
    <row r="661" spans="5:18">
      <c r="E661" s="167" t="str">
        <f>'030523 INVENTARIO'!E661</f>
        <v>ARCHIVERO</v>
      </c>
      <c r="F661" s="167" t="str">
        <f>'030523 INVENTARIO'!F661</f>
        <v>ARCHIVERO  CAFÉ CON 4 CAJONES 143X48X68</v>
      </c>
      <c r="G661" s="167" t="str">
        <f ca="1">'030523 INVENTARIO'!G661</f>
        <v>P03CV-0660</v>
      </c>
      <c r="H661" s="167" t="str">
        <f>'030523 INVENTARIO'!J661</f>
        <v>P03CV-0660</v>
      </c>
      <c r="I661" s="167" t="str">
        <f>'030523 INVENTARIO'!K661</f>
        <v>PB3CV-001</v>
      </c>
      <c r="J661" s="167" t="str">
        <f>'030523 INVENTARIO'!L661</f>
        <v>P0CV-44</v>
      </c>
      <c r="K661" s="167" t="str">
        <f>'030523 INVENTARIO'!M661</f>
        <v>5130100013-29</v>
      </c>
      <c r="L661" s="168">
        <f>'030523 INVENTARIO'!N661</f>
        <v>0</v>
      </c>
      <c r="M661" s="168">
        <f>'030523 INVENTARIO'!O661</f>
        <v>0</v>
      </c>
      <c r="N661" s="168" t="str">
        <f>'030523 INVENTARIO'!P661</f>
        <v>OK</v>
      </c>
      <c r="O661" s="168" t="str">
        <f>'030523 INVENTARIO'!Q661</f>
        <v>S/M</v>
      </c>
      <c r="P661" s="167" t="str">
        <f>'030523 INVENTARIO'!R661</f>
        <v>S/M</v>
      </c>
      <c r="Q661" s="168" t="str">
        <f>'030523 INVENTARIO'!S661</f>
        <v>SIN SERIE</v>
      </c>
      <c r="R661" s="168" t="str">
        <f>'030523 INVENTARIO'!T661</f>
        <v>82DJ0511010001000539203</v>
      </c>
    </row>
    <row r="662" spans="5:18">
      <c r="E662" s="167" t="str">
        <f>'030523 INVENTARIO'!E662</f>
        <v>ARCHIVERO</v>
      </c>
      <c r="F662" s="167" t="str">
        <f>'030523 INVENTARIO'!F662</f>
        <v>ARCHIVERO BEIGE CON 4 CAJONES 133X46X71</v>
      </c>
      <c r="G662" s="167" t="str">
        <f ca="1">'030523 INVENTARIO'!G662</f>
        <v>P03CV-0661</v>
      </c>
      <c r="H662" s="167" t="str">
        <f>'030523 INVENTARIO'!J662</f>
        <v>P03CV-0661</v>
      </c>
      <c r="I662" s="167" t="str">
        <f>'030523 INVENTARIO'!K662</f>
        <v>PB3CV-002</v>
      </c>
      <c r="J662" s="167" t="str">
        <f>'030523 INVENTARIO'!L662</f>
        <v>P0CV-45</v>
      </c>
      <c r="K662" s="167" t="str">
        <f>'030523 INVENTARIO'!M662</f>
        <v>5130100013-30</v>
      </c>
      <c r="L662" s="168">
        <f>'030523 INVENTARIO'!N662</f>
        <v>0</v>
      </c>
      <c r="M662" s="168">
        <f>'030523 INVENTARIO'!O662</f>
        <v>0</v>
      </c>
      <c r="N662" s="168" t="str">
        <f>'030523 INVENTARIO'!P662</f>
        <v>OK</v>
      </c>
      <c r="O662" s="168" t="str">
        <f>'030523 INVENTARIO'!Q662</f>
        <v>S/M</v>
      </c>
      <c r="P662" s="167" t="str">
        <f>'030523 INVENTARIO'!R662</f>
        <v>S/M</v>
      </c>
      <c r="Q662" s="168" t="str">
        <f>'030523 INVENTARIO'!S662</f>
        <v>SIN SERIE</v>
      </c>
      <c r="R662" s="168" t="str">
        <f>'030523 INVENTARIO'!T662</f>
        <v>82DJ0511010001000649503</v>
      </c>
    </row>
    <row r="663" spans="5:18">
      <c r="E663" s="167" t="str">
        <f>'030523 INVENTARIO'!E663</f>
        <v>ARCHIVERO</v>
      </c>
      <c r="F663" s="167" t="str">
        <f>'030523 INVENTARIO'!F663</f>
        <v>ARCHIVERO GRIS CON 4 CAJONES 132X47X64</v>
      </c>
      <c r="G663" s="167" t="str">
        <f ca="1">'030523 INVENTARIO'!G663</f>
        <v>P03CV-0662</v>
      </c>
      <c r="H663" s="167" t="str">
        <f>'030523 INVENTARIO'!J663</f>
        <v>P03CV-0662</v>
      </c>
      <c r="I663" s="167" t="str">
        <f>'030523 INVENTARIO'!K663</f>
        <v>PB3CV-003</v>
      </c>
      <c r="J663" s="167" t="str">
        <f>'030523 INVENTARIO'!L663</f>
        <v>P0CV-46</v>
      </c>
      <c r="K663" s="167" t="str">
        <f>'030523 INVENTARIO'!M663</f>
        <v>5130100013-31</v>
      </c>
      <c r="L663" s="168">
        <f>'030523 INVENTARIO'!N663</f>
        <v>0</v>
      </c>
      <c r="M663" s="168">
        <f>'030523 INVENTARIO'!O663</f>
        <v>0</v>
      </c>
      <c r="N663" s="168" t="str">
        <f>'030523 INVENTARIO'!P663</f>
        <v>OK</v>
      </c>
      <c r="O663" s="168" t="str">
        <f>'030523 INVENTARIO'!Q663</f>
        <v>S/M</v>
      </c>
      <c r="P663" s="167" t="str">
        <f>'030523 INVENTARIO'!R663</f>
        <v>S/M</v>
      </c>
      <c r="Q663" s="168" t="str">
        <f>'030523 INVENTARIO'!S663</f>
        <v>SIN SERIE</v>
      </c>
      <c r="R663" s="168" t="str">
        <f>'030523 INVENTARIO'!T663</f>
        <v>82DI0511010001000649476</v>
      </c>
    </row>
    <row r="664" spans="5:18">
      <c r="E664" s="167" t="str">
        <f>'030523 INVENTARIO'!E664</f>
        <v>ARCHIVERO</v>
      </c>
      <c r="F664" s="167" t="str">
        <f>'030523 INVENTARIO'!F664</f>
        <v>ARCHIVERO DE MADERA  CON 4 CAJONES 132X48X62</v>
      </c>
      <c r="G664" s="167" t="str">
        <f ca="1">'030523 INVENTARIO'!G664</f>
        <v>P03CV-0663</v>
      </c>
      <c r="H664" s="167" t="str">
        <f>'030523 INVENTARIO'!J664</f>
        <v>P03CV-0663</v>
      </c>
      <c r="I664" s="167" t="str">
        <f>'030523 INVENTARIO'!K664</f>
        <v>PB3CV-004</v>
      </c>
      <c r="J664" s="167" t="str">
        <f>'030523 INVENTARIO'!L664</f>
        <v>P0CV-47</v>
      </c>
      <c r="K664" s="167" t="str">
        <f>'030523 INVENTARIO'!M664</f>
        <v>5130100013-32</v>
      </c>
      <c r="L664" s="168">
        <f>'030523 INVENTARIO'!N664</f>
        <v>0</v>
      </c>
      <c r="M664" s="168">
        <f>'030523 INVENTARIO'!O664</f>
        <v>0</v>
      </c>
      <c r="N664" s="168" t="str">
        <f>'030523 INVENTARIO'!P664</f>
        <v>OK</v>
      </c>
      <c r="O664" s="168" t="str">
        <f>'030523 INVENTARIO'!Q664</f>
        <v>S/M</v>
      </c>
      <c r="P664" s="167" t="str">
        <f>'030523 INVENTARIO'!R664</f>
        <v>S/M</v>
      </c>
      <c r="Q664" s="168" t="str">
        <f>'030523 INVENTARIO'!S664</f>
        <v>SIN SERIE</v>
      </c>
      <c r="R664" s="168" t="str">
        <f>'030523 INVENTARIO'!T664</f>
        <v>82DI0511010001000564901</v>
      </c>
    </row>
    <row r="665" spans="5:18">
      <c r="E665" s="167" t="str">
        <f>'030523 INVENTARIO'!E665</f>
        <v>VENTILADOR</v>
      </c>
      <c r="F665" s="167" t="str">
        <f>'030523 INVENTARIO'!F665</f>
        <v>VENTILADOR GRIS  DE TORRE</v>
      </c>
      <c r="G665" s="167" t="str">
        <f ca="1">'030523 INVENTARIO'!G665</f>
        <v>P03CV-0664</v>
      </c>
      <c r="H665" s="167" t="str">
        <f>'030523 INVENTARIO'!J665</f>
        <v>P03CV-0664</v>
      </c>
      <c r="I665" s="167" t="str">
        <f>'030523 INVENTARIO'!K665</f>
        <v>PB3CV-005</v>
      </c>
      <c r="J665" s="167" t="str">
        <f>'030523 INVENTARIO'!L665</f>
        <v>P0CV-48</v>
      </c>
      <c r="K665" s="167" t="str">
        <f>'030523 INVENTARIO'!M665</f>
        <v>5190200002-41</v>
      </c>
      <c r="L665" s="168">
        <f>'030523 INVENTARIO'!N665</f>
        <v>0</v>
      </c>
      <c r="M665" s="168">
        <f>'030523 INVENTARIO'!O665</f>
        <v>0</v>
      </c>
      <c r="N665" s="168" t="str">
        <f>'030523 INVENTARIO'!P665</f>
        <v>OK</v>
      </c>
      <c r="O665" s="168" t="str">
        <f>'030523 INVENTARIO'!Q665</f>
        <v>SEVILLE CLASSIC</v>
      </c>
      <c r="P665" s="167">
        <f>'030523 INVENTARIO'!R665</f>
        <v>10187</v>
      </c>
      <c r="Q665" s="168" t="str">
        <f>'030523 INVENTARIO'!S665</f>
        <v>SIN SERIE</v>
      </c>
      <c r="R665" s="167" t="str">
        <f>'030523 INVENTARIO'!T665</f>
        <v>82DI0531010094000564893</v>
      </c>
    </row>
    <row r="666" spans="5:18">
      <c r="E666" s="167" t="str">
        <f>'030523 INVENTARIO'!E666</f>
        <v>SILLA</v>
      </c>
      <c r="F666" s="167" t="str">
        <f>'030523 INVENTARIO'!F666</f>
        <v>SILLA  DE TELA NEGRA FIJA</v>
      </c>
      <c r="G666" s="167" t="str">
        <f ca="1">'030523 INVENTARIO'!G666</f>
        <v>P03CV-0665</v>
      </c>
      <c r="H666" s="167" t="str">
        <f>'030523 INVENTARIO'!J666</f>
        <v>P03CV-0665</v>
      </c>
      <c r="I666" s="167" t="str">
        <f>'030523 INVENTARIO'!K666</f>
        <v>PB3CV-006</v>
      </c>
      <c r="J666" s="167" t="str">
        <f>'030523 INVENTARIO'!L666</f>
        <v>P0CV-27</v>
      </c>
      <c r="K666" s="167" t="str">
        <f>'030523 INVENTARIO'!M666</f>
        <v>5110100011-74</v>
      </c>
      <c r="L666" s="168">
        <f>'030523 INVENTARIO'!N666</f>
        <v>0</v>
      </c>
      <c r="M666" s="168">
        <f>'030523 INVENTARIO'!O666</f>
        <v>0</v>
      </c>
      <c r="N666" s="168" t="str">
        <f>'030523 INVENTARIO'!P666</f>
        <v>OK</v>
      </c>
      <c r="O666" s="168" t="str">
        <f>'030523 INVENTARIO'!Q666</f>
        <v>S/M</v>
      </c>
      <c r="P666" s="167" t="str">
        <f>'030523 INVENTARIO'!R666</f>
        <v>S/M</v>
      </c>
      <c r="Q666" s="168" t="str">
        <f>'030523 INVENTARIO'!S666</f>
        <v>SIN SERIE</v>
      </c>
      <c r="R666" s="168" t="str">
        <f>'030523 INVENTARIO'!T666</f>
        <v>82DI0511010017000516298</v>
      </c>
    </row>
    <row r="667" spans="5:18">
      <c r="E667" s="167" t="str">
        <f>'030523 INVENTARIO'!E667</f>
        <v>SILLA</v>
      </c>
      <c r="F667" s="167" t="str">
        <f>'030523 INVENTARIO'!F667</f>
        <v>SILLA DE TELA NEGRA FIJA</v>
      </c>
      <c r="G667" s="167" t="str">
        <f ca="1">'030523 INVENTARIO'!G667</f>
        <v>P03CV-0666</v>
      </c>
      <c r="H667" s="167" t="str">
        <f>'030523 INVENTARIO'!J667</f>
        <v>P03CV-0666</v>
      </c>
      <c r="I667" s="167" t="str">
        <f>'030523 INVENTARIO'!K667</f>
        <v>PB3CV-007</v>
      </c>
      <c r="J667" s="167" t="str">
        <f>'030523 INVENTARIO'!L667</f>
        <v>P0CV-4</v>
      </c>
      <c r="K667" s="167" t="str">
        <f>'030523 INVENTARIO'!M667</f>
        <v>5110100011-70</v>
      </c>
      <c r="L667" s="168">
        <f>'030523 INVENTARIO'!N667</f>
        <v>0</v>
      </c>
      <c r="M667" s="168">
        <f>'030523 INVENTARIO'!O667</f>
        <v>0</v>
      </c>
      <c r="N667" s="168" t="str">
        <f>'030523 INVENTARIO'!P667</f>
        <v>OK</v>
      </c>
      <c r="O667" s="168" t="str">
        <f>'030523 INVENTARIO'!Q667</f>
        <v>S/M</v>
      </c>
      <c r="P667" s="167" t="str">
        <f>'030523 INVENTARIO'!R667</f>
        <v>S/M</v>
      </c>
      <c r="Q667" s="168" t="str">
        <f>'030523 INVENTARIO'!S667</f>
        <v>SIN SERIE</v>
      </c>
      <c r="R667" s="168" t="str">
        <f>'030523 INVENTARIO'!T667</f>
        <v>82DK0511010017000522769</v>
      </c>
    </row>
    <row r="668" spans="5:18">
      <c r="E668" s="167" t="str">
        <f>'030523 INVENTARIO'!E668</f>
        <v>SILLA</v>
      </c>
      <c r="F668" s="167" t="str">
        <f>'030523 INVENTARIO'!F668</f>
        <v>SILLA DE TELA NEGRA FIJA</v>
      </c>
      <c r="G668" s="167" t="str">
        <f ca="1">'030523 INVENTARIO'!G668</f>
        <v>P03CV-0667</v>
      </c>
      <c r="H668" s="167" t="str">
        <f>'030523 INVENTARIO'!J668</f>
        <v>P03CV-0667</v>
      </c>
      <c r="I668" s="167" t="str">
        <f>'030523 INVENTARIO'!K668</f>
        <v>PB3CV-008</v>
      </c>
      <c r="J668" s="167" t="str">
        <f>'030523 INVENTARIO'!L668</f>
        <v>P0CV-39</v>
      </c>
      <c r="K668" s="167" t="str">
        <f>'030523 INVENTARIO'!M668</f>
        <v>5110100011-101</v>
      </c>
      <c r="L668" s="168">
        <f>'030523 INVENTARIO'!N668</f>
        <v>0</v>
      </c>
      <c r="M668" s="168">
        <f>'030523 INVENTARIO'!O668</f>
        <v>0</v>
      </c>
      <c r="N668" s="168" t="str">
        <f>'030523 INVENTARIO'!P668</f>
        <v>OK</v>
      </c>
      <c r="O668" s="168" t="str">
        <f>'030523 INVENTARIO'!Q668</f>
        <v>S/M</v>
      </c>
      <c r="P668" s="167" t="str">
        <f>'030523 INVENTARIO'!R668</f>
        <v>S/M</v>
      </c>
      <c r="Q668" s="168" t="str">
        <f>'030523 INVENTARIO'!S668</f>
        <v>SIN SERIE</v>
      </c>
      <c r="R668" s="168" t="str">
        <f>'030523 INVENTARIO'!T668</f>
        <v>82DJ0511010017000522803</v>
      </c>
    </row>
    <row r="669" spans="5:18">
      <c r="E669" s="167" t="str">
        <f>'030523 INVENTARIO'!E669</f>
        <v>SILLA</v>
      </c>
      <c r="F669" s="167" t="str">
        <f>'030523 INVENTARIO'!F669</f>
        <v>SILLA DE TELA NEGRA FIJA</v>
      </c>
      <c r="G669" s="167" t="str">
        <f ca="1">'030523 INVENTARIO'!G669</f>
        <v>P03CV-0668</v>
      </c>
      <c r="H669" s="167" t="str">
        <f>'030523 INVENTARIO'!J669</f>
        <v>P03CV-0668</v>
      </c>
      <c r="I669" s="167" t="str">
        <f>'030523 INVENTARIO'!K669</f>
        <v>PB3CV-009</v>
      </c>
      <c r="J669" s="167" t="str">
        <f>'030523 INVENTARIO'!L669</f>
        <v>P0CV-40</v>
      </c>
      <c r="K669" s="167" t="str">
        <f>'030523 INVENTARIO'!M669</f>
        <v>5110100011-102</v>
      </c>
      <c r="L669" s="168">
        <f>'030523 INVENTARIO'!N669</f>
        <v>0</v>
      </c>
      <c r="M669" s="168">
        <f>'030523 INVENTARIO'!O669</f>
        <v>0</v>
      </c>
      <c r="N669" s="168" t="str">
        <f>'030523 INVENTARIO'!P669</f>
        <v>OK</v>
      </c>
      <c r="O669" s="168" t="str">
        <f>'030523 INVENTARIO'!Q669</f>
        <v>S/M</v>
      </c>
      <c r="P669" s="167" t="str">
        <f>'030523 INVENTARIO'!R669</f>
        <v>S/M</v>
      </c>
      <c r="Q669" s="168" t="str">
        <f>'030523 INVENTARIO'!S669</f>
        <v>SIN SERIE</v>
      </c>
      <c r="R669" s="168" t="str">
        <f>'030523 INVENTARIO'!T669</f>
        <v>82DJ0511010017000522804</v>
      </c>
    </row>
    <row r="670" spans="5:18">
      <c r="E670" s="167" t="str">
        <f>'030523 INVENTARIO'!E670</f>
        <v>ARCHIVERO</v>
      </c>
      <c r="F670" s="167" t="str">
        <f>'030523 INVENTARIO'!F670</f>
        <v>LOCKER DE MADERA CON 2 PUERTAS 165X80X43</v>
      </c>
      <c r="G670" s="167" t="str">
        <f ca="1">'030523 INVENTARIO'!G670</f>
        <v>P03CV-0669</v>
      </c>
      <c r="H670" s="167" t="str">
        <f>'030523 INVENTARIO'!J670</f>
        <v>P03CV-0669</v>
      </c>
      <c r="I670" s="167" t="str">
        <f>'030523 INVENTARIO'!K670</f>
        <v>PB3CV-010</v>
      </c>
      <c r="J670" s="167" t="str">
        <f>'030523 INVENTARIO'!L670</f>
        <v>P0CV-34</v>
      </c>
      <c r="K670" s="167" t="str">
        <f>'030523 INVENTARIO'!M670</f>
        <v>5110100013-1</v>
      </c>
      <c r="L670" s="168">
        <f>'030523 INVENTARIO'!N670</f>
        <v>0</v>
      </c>
      <c r="M670" s="168">
        <f>'030523 INVENTARIO'!O670</f>
        <v>0</v>
      </c>
      <c r="N670" s="168" t="str">
        <f>'030523 INVENTARIO'!P670</f>
        <v>OK</v>
      </c>
      <c r="O670" s="168" t="str">
        <f>'030523 INVENTARIO'!Q670</f>
        <v>S/M</v>
      </c>
      <c r="P670" s="167" t="str">
        <f>'030523 INVENTARIO'!R670</f>
        <v>S/M</v>
      </c>
      <c r="Q670" s="168" t="str">
        <f>'030523 INVENTARIO'!S670</f>
        <v>SIN SERIE</v>
      </c>
      <c r="R670" s="168" t="str">
        <f>'030523 INVENTARIO'!T670</f>
        <v>82DJ0511010009000584146</v>
      </c>
    </row>
    <row r="671" spans="5:18">
      <c r="E671" s="167" t="str">
        <f>'030523 INVENTARIO'!E671</f>
        <v>ESCRITORIO</v>
      </c>
      <c r="F671" s="167" t="str">
        <f>'030523 INVENTARIO'!F671</f>
        <v>ESCRITORIO DE MADERA TIPO ISLA DE 4 PIEZAS</v>
      </c>
      <c r="G671" s="167" t="str">
        <f ca="1">'030523 INVENTARIO'!G671</f>
        <v>P03CV-0670</v>
      </c>
      <c r="H671" s="167" t="str">
        <f>'030523 INVENTARIO'!J671</f>
        <v>P03CV-0670</v>
      </c>
      <c r="I671" s="167" t="str">
        <f>'030523 INVENTARIO'!K671</f>
        <v>PB3CV-011</v>
      </c>
      <c r="J671" s="167" t="str">
        <f>'030523 INVENTARIO'!L671</f>
        <v>P0CV-35</v>
      </c>
      <c r="K671" s="167" t="str">
        <f>'030523 INVENTARIO'!M671</f>
        <v>5110100015-65</v>
      </c>
      <c r="L671" s="168">
        <f>'030523 INVENTARIO'!N671</f>
        <v>0</v>
      </c>
      <c r="M671" s="168">
        <f>'030523 INVENTARIO'!O671</f>
        <v>0</v>
      </c>
      <c r="N671" s="168" t="str">
        <f>'030523 INVENTARIO'!P671</f>
        <v>OK</v>
      </c>
      <c r="O671" s="168" t="str">
        <f>'030523 INVENTARIO'!Q671</f>
        <v>S/M</v>
      </c>
      <c r="P671" s="167" t="str">
        <f>'030523 INVENTARIO'!R671</f>
        <v>S/M</v>
      </c>
      <c r="Q671" s="168" t="str">
        <f>'030523 INVENTARIO'!S671</f>
        <v>SIN SERIE</v>
      </c>
      <c r="R671" s="168" t="str">
        <f>'030523 INVENTARIO'!T671</f>
        <v>82DJ0511010006000583486</v>
      </c>
    </row>
    <row r="672" spans="5:18">
      <c r="E672" s="167" t="str">
        <f>'030523 INVENTARIO'!E672</f>
        <v>MESA</v>
      </c>
      <c r="F672" s="167" t="str">
        <f>'030523 INVENTARIO'!F672</f>
        <v>MESA  DE MADERA CON BASE DE METAL 120X60</v>
      </c>
      <c r="G672" s="167" t="str">
        <f ca="1">'030523 INVENTARIO'!G672</f>
        <v>P05DA-0671</v>
      </c>
      <c r="H672" s="167" t="str">
        <f>'030523 INVENTARIO'!J672</f>
        <v>P03CV-0671</v>
      </c>
      <c r="I672" s="167" t="str">
        <f>'030523 INVENTARIO'!K672</f>
        <v>PB3CV-012</v>
      </c>
      <c r="J672" s="167" t="str">
        <f>'030523 INVENTARIO'!L672</f>
        <v>P0CV-41</v>
      </c>
      <c r="K672" s="167" t="str">
        <f>'030523 INVENTARIO'!M672</f>
        <v>5120100007-111</v>
      </c>
      <c r="L672" s="168">
        <f>'030523 INVENTARIO'!N672</f>
        <v>0</v>
      </c>
      <c r="M672" s="168">
        <f>'030523 INVENTARIO'!O672</f>
        <v>0</v>
      </c>
      <c r="N672" s="168" t="str">
        <f>'030523 INVENTARIO'!P672</f>
        <v>OK</v>
      </c>
      <c r="O672" s="168" t="str">
        <f>'030523 INVENTARIO'!Q672</f>
        <v>S/M</v>
      </c>
      <c r="P672" s="167" t="str">
        <f>'030523 INVENTARIO'!R672</f>
        <v>S/M</v>
      </c>
      <c r="Q672" s="168" t="str">
        <f>'030523 INVENTARIO'!S672</f>
        <v>SIN SERIE</v>
      </c>
      <c r="R672" s="168" t="str">
        <f>'030523 INVENTARIO'!T672</f>
        <v>82DI0511010010000649474</v>
      </c>
    </row>
    <row r="673" spans="5:18">
      <c r="E673" s="167" t="str">
        <f>'030523 INVENTARIO'!E673</f>
        <v>MONITOR</v>
      </c>
      <c r="F673" s="167" t="str">
        <f>'030523 INVENTARIO'!F673</f>
        <v>MONITOR 19"</v>
      </c>
      <c r="G673" s="167" t="str">
        <f ca="1">'030523 INVENTARIO'!G673</f>
        <v>P03CV-0672</v>
      </c>
      <c r="H673" s="167" t="str">
        <f>'030523 INVENTARIO'!J673</f>
        <v>P03CV-0672</v>
      </c>
      <c r="I673" s="167" t="str">
        <f>'030523 INVENTARIO'!K673</f>
        <v>PB3CV-013</v>
      </c>
      <c r="J673" s="167" t="str">
        <f>'030523 INVENTARIO'!L673</f>
        <v>P0CV-37</v>
      </c>
      <c r="K673" s="167" t="str">
        <f>'030523 INVENTARIO'!M673</f>
        <v>5210100012-45</v>
      </c>
      <c r="L673" s="168">
        <f>'030523 INVENTARIO'!N673</f>
        <v>0</v>
      </c>
      <c r="M673" s="168">
        <f>'030523 INVENTARIO'!O673</f>
        <v>0</v>
      </c>
      <c r="N673" s="168" t="str">
        <f>'030523 INVENTARIO'!P673</f>
        <v>OK</v>
      </c>
      <c r="O673" s="168" t="str">
        <f>'030523 INVENTARIO'!Q673</f>
        <v>GHIA</v>
      </c>
      <c r="P673" s="167" t="str">
        <f>'030523 INVENTARIO'!R673</f>
        <v>MG2017</v>
      </c>
      <c r="Q673" s="168" t="str">
        <f>'030523 INVENTARIO'!S673</f>
        <v>CMG2017180136801847</v>
      </c>
      <c r="R673" s="167" t="str">
        <f>'030523 INVENTARIO'!T673</f>
        <v>82DI0515010013000650655</v>
      </c>
    </row>
    <row r="674" spans="5:18">
      <c r="E674" s="167" t="str">
        <f>'030523 INVENTARIO'!E674</f>
        <v>COMPUTADORA DE ESCRITORIO</v>
      </c>
      <c r="F674" s="167" t="str">
        <f>'030523 INVENTARIO'!F674</f>
        <v>COMPUTADORA DE ESCRITORIO</v>
      </c>
      <c r="G674" s="167" t="str">
        <f ca="1">'030523 INVENTARIO'!G674</f>
        <v>P03CV-0673</v>
      </c>
      <c r="H674" s="167" t="str">
        <f>'030523 INVENTARIO'!J674</f>
        <v>P03CV-0673</v>
      </c>
      <c r="I674" s="167" t="str">
        <f>'030523 INVENTARIO'!K674</f>
        <v>PB3CV-014</v>
      </c>
      <c r="J674" s="167" t="str">
        <f>'030523 INVENTARIO'!L674</f>
        <v>P0CV-32</v>
      </c>
      <c r="K674" s="167" t="str">
        <f>'030523 INVENTARIO'!M674</f>
        <v>5150100005-62</v>
      </c>
      <c r="L674" s="168">
        <f>'030523 INVENTARIO'!N674</f>
        <v>0</v>
      </c>
      <c r="M674" s="168">
        <f>'030523 INVENTARIO'!O674</f>
        <v>0</v>
      </c>
      <c r="N674" s="168" t="str">
        <f>'030523 INVENTARIO'!P674</f>
        <v>OK</v>
      </c>
      <c r="O674" s="168" t="str">
        <f>'030523 INVENTARIO'!Q674</f>
        <v>GHIA</v>
      </c>
      <c r="P674" s="167">
        <f>'030523 INVENTARIO'!R674</f>
        <v>2378</v>
      </c>
      <c r="Q674" s="168" t="str">
        <f>'030523 INVENTARIO'!S674</f>
        <v>337850</v>
      </c>
      <c r="R674" s="167" t="str">
        <f>'030523 INVENTARIO'!T674</f>
        <v>82DI0515010001000650665</v>
      </c>
    </row>
    <row r="675" spans="5:18">
      <c r="E675" s="167" t="str">
        <f>'030523 INVENTARIO'!E675</f>
        <v>NO BREAK</v>
      </c>
      <c r="F675" s="167" t="str">
        <f>'030523 INVENTARIO'!F675</f>
        <v>NO BREAK</v>
      </c>
      <c r="G675" s="167" t="str">
        <f ca="1">'030523 INVENTARIO'!G675</f>
        <v>P03CV-0674</v>
      </c>
      <c r="H675" s="167" t="str">
        <f>'030523 INVENTARIO'!J675</f>
        <v>P03CV-0674</v>
      </c>
      <c r="I675" s="167" t="str">
        <f>'030523 INVENTARIO'!K675</f>
        <v>PB3CV-015</v>
      </c>
      <c r="J675" s="167">
        <f>'030523 INVENTARIO'!L675</f>
        <v>0</v>
      </c>
      <c r="K675" s="167" t="str">
        <f>'030523 INVENTARIO'!M675</f>
        <v>ALTA</v>
      </c>
      <c r="L675" s="168">
        <f>'030523 INVENTARIO'!N675</f>
        <v>0</v>
      </c>
      <c r="M675" s="168">
        <f>'030523 INVENTARIO'!O675</f>
        <v>0</v>
      </c>
      <c r="N675" s="168" t="str">
        <f>'030523 INVENTARIO'!P675</f>
        <v>REPETIDO</v>
      </c>
      <c r="O675" s="168" t="str">
        <f>'030523 INVENTARIO'!Q675</f>
        <v>TRIPP LITE</v>
      </c>
      <c r="P675" s="167" t="str">
        <f>'030523 INVENTARIO'!R675</f>
        <v>INTERNET550U</v>
      </c>
      <c r="Q675" s="167" t="str">
        <f>'030523 INVENTARIO'!S675</f>
        <v>2149EY0BC785700776</v>
      </c>
      <c r="R675" s="167" t="str">
        <f>'030523 INVENTARIO'!T675</f>
        <v>82DJ0515010016000524721</v>
      </c>
    </row>
    <row r="676" spans="5:18">
      <c r="E676" s="167" t="str">
        <f>'030523 INVENTARIO'!E676</f>
        <v>MONITOR</v>
      </c>
      <c r="F676" s="167" t="str">
        <f>'030523 INVENTARIO'!F676</f>
        <v>MONITOR 19"</v>
      </c>
      <c r="G676" s="167" t="str">
        <f ca="1">'030523 INVENTARIO'!G676</f>
        <v>P05RM-0675</v>
      </c>
      <c r="H676" s="167" t="str">
        <f>'030523 INVENTARIO'!J676</f>
        <v>P03CV-0675</v>
      </c>
      <c r="I676" s="167" t="str">
        <f>'030523 INVENTARIO'!K676</f>
        <v>PB3CV-016</v>
      </c>
      <c r="J676" s="167" t="str">
        <f>'030523 INVENTARIO'!L676</f>
        <v>P0CV-33</v>
      </c>
      <c r="K676" s="167" t="str">
        <f>'030523 INVENTARIO'!M676</f>
        <v>5210100012-60</v>
      </c>
      <c r="L676" s="168">
        <f>'030523 INVENTARIO'!N676</f>
        <v>0</v>
      </c>
      <c r="M676" s="168">
        <f>'030523 INVENTARIO'!O676</f>
        <v>0</v>
      </c>
      <c r="N676" s="168" t="str">
        <f>'030523 INVENTARIO'!P676</f>
        <v>OK</v>
      </c>
      <c r="O676" s="168" t="str">
        <f>'030523 INVENTARIO'!Q676</f>
        <v>HP COMPAQ</v>
      </c>
      <c r="P676" s="167" t="str">
        <f>'030523 INVENTARIO'!R676</f>
        <v>WF1907</v>
      </c>
      <c r="Q676" s="168" t="str">
        <f>'030523 INVENTARIO'!S676</f>
        <v>CNC811ZB3F</v>
      </c>
      <c r="R676" s="168" t="str">
        <f>'030523 INVENTARIO'!T676</f>
        <v>82DI0565010041000539108</v>
      </c>
    </row>
    <row r="677" spans="5:18">
      <c r="E677" s="167" t="str">
        <f>'030523 INVENTARIO'!E677</f>
        <v>SILLON</v>
      </c>
      <c r="F677" s="167" t="str">
        <f>'030523 INVENTARIO'!F677</f>
        <v>SILLON  DE PIEL  NEGRO CON RUEDAS</v>
      </c>
      <c r="G677" s="167" t="str">
        <f ca="1">'030523 INVENTARIO'!G677</f>
        <v>P03CV-0676</v>
      </c>
      <c r="H677" s="167" t="str">
        <f>'030523 INVENTARIO'!J677</f>
        <v>P03CV-0676</v>
      </c>
      <c r="I677" s="167" t="str">
        <f>'030523 INVENTARIO'!K677</f>
        <v>PB3CV-017</v>
      </c>
      <c r="J677" s="167" t="str">
        <f>'030523 INVENTARIO'!L677</f>
        <v>P0CV-38</v>
      </c>
      <c r="K677" s="167" t="str">
        <f>'030523 INVENTARIO'!M677</f>
        <v>5120100009-55</v>
      </c>
      <c r="L677" s="168">
        <f>'030523 INVENTARIO'!N677</f>
        <v>0</v>
      </c>
      <c r="M677" s="168">
        <f>'030523 INVENTARIO'!O677</f>
        <v>0</v>
      </c>
      <c r="N677" s="168" t="str">
        <f>'030523 INVENTARIO'!P677</f>
        <v>OK</v>
      </c>
      <c r="O677" s="168" t="str">
        <f>'030523 INVENTARIO'!Q677</f>
        <v>SIN MARCA</v>
      </c>
      <c r="P677" s="167" t="str">
        <f>'030523 INVENTARIO'!R677</f>
        <v>S/M</v>
      </c>
      <c r="Q677" s="168" t="str">
        <f>'030523 INVENTARIO'!S677</f>
        <v>SIN SERIE</v>
      </c>
      <c r="R677" s="168" t="str">
        <f>'030523 INVENTARIO'!T677</f>
        <v>82DJ0511010016000515616</v>
      </c>
    </row>
    <row r="678" spans="5:18">
      <c r="E678" s="167" t="str">
        <f>'030523 INVENTARIO'!E678</f>
        <v>TELEFONO</v>
      </c>
      <c r="F678" s="167" t="str">
        <f>'030523 INVENTARIO'!F678</f>
        <v>TELEFONO GRIS</v>
      </c>
      <c r="G678" s="167" t="str">
        <f ca="1">'030523 INVENTARIO'!G678</f>
        <v>P03CV-0677</v>
      </c>
      <c r="H678" s="167" t="str">
        <f>'030523 INVENTARIO'!J678</f>
        <v>P03CV-0677</v>
      </c>
      <c r="I678" s="167" t="str">
        <f>'030523 INVENTARIO'!K678</f>
        <v>PB3CV-018</v>
      </c>
      <c r="J678" s="167" t="str">
        <f>'030523 INVENTARIO'!L678</f>
        <v>P0CV-36</v>
      </c>
      <c r="K678" s="167" t="str">
        <f>'030523 INVENTARIO'!M678</f>
        <v>5650100010-28</v>
      </c>
      <c r="L678" s="168">
        <f>'030523 INVENTARIO'!N678</f>
        <v>0</v>
      </c>
      <c r="M678" s="168">
        <f>'030523 INVENTARIO'!O678</f>
        <v>0</v>
      </c>
      <c r="N678" s="168" t="str">
        <f>'030523 INVENTARIO'!P678</f>
        <v>OK</v>
      </c>
      <c r="O678" s="168" t="str">
        <f>'030523 INVENTARIO'!Q678</f>
        <v>LINKSYS</v>
      </c>
      <c r="P678" s="167" t="str">
        <f>'030523 INVENTARIO'!R678</f>
        <v>SPA942</v>
      </c>
      <c r="Q678" s="168" t="str">
        <f>'030523 INVENTARIO'!S678</f>
        <v>4LO00H118465</v>
      </c>
      <c r="R678" s="168" t="str">
        <f>'030523 INVENTARIO'!T678</f>
        <v>82DJ0565010001000533242</v>
      </c>
    </row>
    <row r="679" spans="5:18">
      <c r="E679" s="167" t="str">
        <f>'030523 INVENTARIO'!E679</f>
        <v>MONITOR</v>
      </c>
      <c r="F679" s="167" t="str">
        <f>'030523 INVENTARIO'!F679</f>
        <v>MONITOR 21"</v>
      </c>
      <c r="G679" s="167" t="str">
        <f ca="1">'030523 INVENTARIO'!G679</f>
        <v>P03CV-0678</v>
      </c>
      <c r="H679" s="167" t="str">
        <f>'030523 INVENTARIO'!J679</f>
        <v>P03CV-0678</v>
      </c>
      <c r="I679" s="167" t="str">
        <f>'030523 INVENTARIO'!K679</f>
        <v>PB3CV-019</v>
      </c>
      <c r="J679" s="167">
        <f>'030523 INVENTARIO'!L679</f>
        <v>0</v>
      </c>
      <c r="K679" s="167" t="str">
        <f>'030523 INVENTARIO'!M679</f>
        <v>5150100005-151</v>
      </c>
      <c r="L679" s="168">
        <f>'030523 INVENTARIO'!N679</f>
        <v>0</v>
      </c>
      <c r="M679" s="168">
        <f>'030523 INVENTARIO'!O679</f>
        <v>0</v>
      </c>
      <c r="N679" s="168" t="str">
        <f>'030523 INVENTARIO'!P679</f>
        <v>OK</v>
      </c>
      <c r="O679" s="168" t="str">
        <f>'030523 INVENTARIO'!Q679</f>
        <v>ACER</v>
      </c>
      <c r="P679" s="167" t="str">
        <f>'030523 INVENTARIO'!R679</f>
        <v>V226HQL</v>
      </c>
      <c r="Q679" s="167" t="str">
        <f>'030523 INVENTARIO'!S679</f>
        <v>MMLXLAA0250480B4A04273</v>
      </c>
      <c r="R679" s="167" t="str">
        <f>'030523 INVENTARIO'!T679</f>
        <v>SIN RESGUARDO</v>
      </c>
    </row>
    <row r="680" spans="5:18">
      <c r="E680" s="167" t="str">
        <f>'030523 INVENTARIO'!E680</f>
        <v>COMPUTADORA DE ESCRITORIO</v>
      </c>
      <c r="F680" s="167" t="str">
        <f>'030523 INVENTARIO'!F680</f>
        <v>COMPUTADORA DE ESCRITORIO</v>
      </c>
      <c r="G680" s="167" t="str">
        <f ca="1">'030523 INVENTARIO'!G680</f>
        <v>P03CV-0679</v>
      </c>
      <c r="H680" s="167" t="str">
        <f>'030523 INVENTARIO'!J680</f>
        <v>P03CV-0679</v>
      </c>
      <c r="I680" s="167" t="str">
        <f>'030523 INVENTARIO'!K680</f>
        <v>PB3CV-020</v>
      </c>
      <c r="J680" s="167">
        <f>'030523 INVENTARIO'!L680</f>
        <v>0</v>
      </c>
      <c r="K680" s="167" t="str">
        <f>'030523 INVENTARIO'!M680</f>
        <v>5150100005-150</v>
      </c>
      <c r="L680" s="168">
        <f>'030523 INVENTARIO'!N680</f>
        <v>0</v>
      </c>
      <c r="M680" s="168">
        <f>'030523 INVENTARIO'!O680</f>
        <v>0</v>
      </c>
      <c r="N680" s="168" t="str">
        <f>'030523 INVENTARIO'!P680</f>
        <v>OK</v>
      </c>
      <c r="O680" s="168" t="str">
        <f>'030523 INVENTARIO'!Q680</f>
        <v>ACTECK</v>
      </c>
      <c r="P680" s="167" t="str">
        <f>'030523 INVENTARIO'!R680</f>
        <v>LINX</v>
      </c>
      <c r="Q680" s="167">
        <f>'030523 INVENTARIO'!S680</f>
        <v>11392903014603</v>
      </c>
      <c r="R680" s="167" t="str">
        <f>'030523 INVENTARIO'!T680</f>
        <v>SIN RESGUARDO</v>
      </c>
    </row>
    <row r="681" spans="5:18">
      <c r="E681" s="167" t="str">
        <f>'030523 INVENTARIO'!E681</f>
        <v>REGULADOR DE VOLTAJE</v>
      </c>
      <c r="F681" s="167" t="str">
        <f>'030523 INVENTARIO'!F681</f>
        <v>REGULADOR NEGRO</v>
      </c>
      <c r="G681" s="167" t="str">
        <f ca="1">'030523 INVENTARIO'!G681</f>
        <v>P03CV-0680</v>
      </c>
      <c r="H681" s="167" t="str">
        <f>'030523 INVENTARIO'!J681</f>
        <v>P03CV-0680</v>
      </c>
      <c r="I681" s="167" t="str">
        <f>'030523 INVENTARIO'!K681</f>
        <v>PB3CV-021</v>
      </c>
      <c r="J681" s="167" t="str">
        <f>'030523 INVENTARIO'!L681</f>
        <v>POAR-42</v>
      </c>
      <c r="K681" s="167" t="str">
        <f>'030523 INVENTARIO'!M681</f>
        <v>5660100057-9</v>
      </c>
      <c r="L681" s="168">
        <f>'030523 INVENTARIO'!N681</f>
        <v>0</v>
      </c>
      <c r="M681" s="168">
        <f>'030523 INVENTARIO'!O681</f>
        <v>0</v>
      </c>
      <c r="N681" s="168" t="str">
        <f>'030523 INVENTARIO'!P681</f>
        <v>OK</v>
      </c>
      <c r="O681" s="168" t="str">
        <f>'030523 INVENTARIO'!Q681</f>
        <v>KOBLENZ</v>
      </c>
      <c r="P681" s="167" t="str">
        <f>'030523 INVENTARIO'!R681</f>
        <v>RS/1400I</v>
      </c>
      <c r="Q681" s="167" t="str">
        <f>'030523 INVENTARIO'!S681</f>
        <v>15-0714855</v>
      </c>
      <c r="R681" s="167" t="str">
        <f>'030523 INVENTARIO'!T681</f>
        <v>82DI0515010020000650895</v>
      </c>
    </row>
    <row r="682" spans="5:18">
      <c r="E682" s="167" t="str">
        <f>'030523 INVENTARIO'!E682</f>
        <v>ARCHIVERO</v>
      </c>
      <c r="F682" s="167" t="str">
        <f>'030523 INVENTARIO'!F682</f>
        <v>ARCHIVERO  BEIGE CON 4 CAJONES 133X46X71</v>
      </c>
      <c r="G682" s="167" t="str">
        <f ca="1">'030523 INVENTARIO'!G682</f>
        <v>P03CV-0681</v>
      </c>
      <c r="H682" s="167" t="str">
        <f>'030523 INVENTARIO'!J682</f>
        <v>P03CV-0681</v>
      </c>
      <c r="I682" s="167" t="str">
        <f>'030523 INVENTARIO'!K682</f>
        <v>PB3CV-022</v>
      </c>
      <c r="J682" s="167" t="str">
        <f>'030523 INVENTARIO'!L682</f>
        <v>P0CV-49</v>
      </c>
      <c r="K682" s="167" t="str">
        <f>'030523 INVENTARIO'!M682</f>
        <v>5130100013-33</v>
      </c>
      <c r="L682" s="168">
        <f>'030523 INVENTARIO'!N682</f>
        <v>0</v>
      </c>
      <c r="M682" s="168">
        <f>'030523 INVENTARIO'!O682</f>
        <v>0</v>
      </c>
      <c r="N682" s="168" t="str">
        <f>'030523 INVENTARIO'!P682</f>
        <v>OK</v>
      </c>
      <c r="O682" s="168" t="str">
        <f>'030523 INVENTARIO'!Q682</f>
        <v>S/M</v>
      </c>
      <c r="P682" s="167" t="str">
        <f>'030523 INVENTARIO'!R682</f>
        <v>S/M</v>
      </c>
      <c r="Q682" s="168" t="str">
        <f>'030523 INVENTARIO'!S682</f>
        <v>SIN SERIE</v>
      </c>
      <c r="R682" s="168" t="str">
        <f>'030523 INVENTARIO'!T682</f>
        <v>82DI0511010001000564896</v>
      </c>
    </row>
    <row r="683" spans="5:18">
      <c r="E683" s="167" t="str">
        <f>'030523 INVENTARIO'!E683</f>
        <v>ARCHIVERO</v>
      </c>
      <c r="F683" s="167" t="str">
        <f>'030523 INVENTARIO'!F683</f>
        <v>ARCHIVERO CAFÉ CON 4 CAJONES 133X47X70</v>
      </c>
      <c r="G683" s="167" t="str">
        <f ca="1">'030523 INVENTARIO'!G683</f>
        <v>P03CV-0682</v>
      </c>
      <c r="H683" s="167" t="str">
        <f>'030523 INVENTARIO'!J683</f>
        <v>P03CV-0682</v>
      </c>
      <c r="I683" s="167" t="str">
        <f>'030523 INVENTARIO'!K683</f>
        <v>PB3CV-023</v>
      </c>
      <c r="J683" s="167" t="str">
        <f>'030523 INVENTARIO'!L683</f>
        <v>P0CV-50</v>
      </c>
      <c r="K683" s="167" t="str">
        <f>'030523 INVENTARIO'!M683</f>
        <v>5130100013-34</v>
      </c>
      <c r="L683" s="168">
        <f>'030523 INVENTARIO'!N683</f>
        <v>0</v>
      </c>
      <c r="M683" s="168">
        <f>'030523 INVENTARIO'!O683</f>
        <v>0</v>
      </c>
      <c r="N683" s="168" t="str">
        <f>'030523 INVENTARIO'!P683</f>
        <v>OK</v>
      </c>
      <c r="O683" s="168" t="str">
        <f>'030523 INVENTARIO'!Q683</f>
        <v>S/M</v>
      </c>
      <c r="P683" s="167" t="str">
        <f>'030523 INVENTARIO'!R683</f>
        <v>S/M</v>
      </c>
      <c r="Q683" s="168" t="str">
        <f>'030523 INVENTARIO'!S683</f>
        <v>SIN SERIE</v>
      </c>
      <c r="R683" s="168" t="str">
        <f>'030523 INVENTARIO'!T683</f>
        <v>82DJ0511010001000581385</v>
      </c>
    </row>
    <row r="684" spans="5:18">
      <c r="E684" s="167" t="str">
        <f>'030523 INVENTARIO'!E684</f>
        <v>ARCHIVERO</v>
      </c>
      <c r="F684" s="167" t="str">
        <f>'030523 INVENTARIO'!F684</f>
        <v>ARCHIVERO GRIS CON 4 CAJONES 132X46X73</v>
      </c>
      <c r="G684" s="167" t="str">
        <f ca="1">'030523 INVENTARIO'!G684</f>
        <v>P03CV-0683</v>
      </c>
      <c r="H684" s="167" t="str">
        <f>'030523 INVENTARIO'!J684</f>
        <v>P03CV-0683</v>
      </c>
      <c r="I684" s="167" t="str">
        <f>'030523 INVENTARIO'!K684</f>
        <v>PB3CV-024</v>
      </c>
      <c r="J684" s="167" t="str">
        <f>'030523 INVENTARIO'!L684</f>
        <v>P0CV-51</v>
      </c>
      <c r="K684" s="167" t="str">
        <f>'030523 INVENTARIO'!M684</f>
        <v>5130100013-35</v>
      </c>
      <c r="L684" s="168">
        <f>'030523 INVENTARIO'!N684</f>
        <v>0</v>
      </c>
      <c r="M684" s="168">
        <f>'030523 INVENTARIO'!O684</f>
        <v>0</v>
      </c>
      <c r="N684" s="168" t="str">
        <f>'030523 INVENTARIO'!P684</f>
        <v>OK</v>
      </c>
      <c r="O684" s="168" t="str">
        <f>'030523 INVENTARIO'!Q684</f>
        <v>S/M</v>
      </c>
      <c r="P684" s="167" t="str">
        <f>'030523 INVENTARIO'!R684</f>
        <v>S/M</v>
      </c>
      <c r="Q684" s="168" t="str">
        <f>'030523 INVENTARIO'!S684</f>
        <v>SIN SERIE</v>
      </c>
      <c r="R684" s="168" t="str">
        <f>'030523 INVENTARIO'!T684</f>
        <v>82DI0511010001000581386</v>
      </c>
    </row>
    <row r="685" spans="5:18">
      <c r="E685" s="167" t="str">
        <f>'030523 INVENTARIO'!E685</f>
        <v>ARCHIVERO</v>
      </c>
      <c r="F685" s="167" t="str">
        <f>'030523 INVENTARIO'!F685</f>
        <v>ARCHIVERO CAFÉ CON 4 CAJONES 135X47X66</v>
      </c>
      <c r="G685" s="167" t="str">
        <f ca="1">'030523 INVENTARIO'!G685</f>
        <v>P03CV-0684</v>
      </c>
      <c r="H685" s="167" t="str">
        <f>'030523 INVENTARIO'!J685</f>
        <v>P03CV-0684</v>
      </c>
      <c r="I685" s="167" t="str">
        <f>'030523 INVENTARIO'!K685</f>
        <v>PB3CV-025</v>
      </c>
      <c r="J685" s="167" t="str">
        <f>'030523 INVENTARIO'!L685</f>
        <v>P0CV-42</v>
      </c>
      <c r="K685" s="167" t="str">
        <f>'030523 INVENTARIO'!M685</f>
        <v>5130100013-27</v>
      </c>
      <c r="L685" s="168">
        <f>'030523 INVENTARIO'!N685</f>
        <v>0</v>
      </c>
      <c r="M685" s="168">
        <f>'030523 INVENTARIO'!O685</f>
        <v>0</v>
      </c>
      <c r="N685" s="168" t="str">
        <f>'030523 INVENTARIO'!P685</f>
        <v>OK</v>
      </c>
      <c r="O685" s="168" t="str">
        <f>'030523 INVENTARIO'!Q685</f>
        <v>S/M</v>
      </c>
      <c r="P685" s="167" t="str">
        <f>'030523 INVENTARIO'!R685</f>
        <v>S/M</v>
      </c>
      <c r="Q685" s="168" t="str">
        <f>'030523 INVENTARIO'!S685</f>
        <v>SIN SERIE</v>
      </c>
      <c r="R685" s="168" t="str">
        <f>'030523 INVENTARIO'!T685</f>
        <v>82DI0511010001000649475</v>
      </c>
    </row>
    <row r="686" spans="5:18">
      <c r="E686" s="167" t="str">
        <f>'030523 INVENTARIO'!E686</f>
        <v>ARCHIVERO</v>
      </c>
      <c r="F686" s="167" t="str">
        <f>'030523 INVENTARIO'!F686</f>
        <v>ARCHIVERO GRIS  CON 4 CAJONES 134X45X71</v>
      </c>
      <c r="G686" s="167" t="str">
        <f ca="1">'030523 INVENTARIO'!G686</f>
        <v>P03CV-0685</v>
      </c>
      <c r="H686" s="167" t="str">
        <f>'030523 INVENTARIO'!J686</f>
        <v>P03CV-0685</v>
      </c>
      <c r="I686" s="167" t="str">
        <f>'030523 INVENTARIO'!K686</f>
        <v>PB3CV-026</v>
      </c>
      <c r="J686" s="167" t="str">
        <f>'030523 INVENTARIO'!L686</f>
        <v>P0CV-43</v>
      </c>
      <c r="K686" s="167" t="str">
        <f>'030523 INVENTARIO'!M686</f>
        <v>5130100013-28</v>
      </c>
      <c r="L686" s="168">
        <f>'030523 INVENTARIO'!N686</f>
        <v>0</v>
      </c>
      <c r="M686" s="168">
        <f>'030523 INVENTARIO'!O686</f>
        <v>0</v>
      </c>
      <c r="N686" s="168" t="str">
        <f>'030523 INVENTARIO'!P686</f>
        <v>OK</v>
      </c>
      <c r="O686" s="168" t="str">
        <f>'030523 INVENTARIO'!Q686</f>
        <v>S/M</v>
      </c>
      <c r="P686" s="167" t="str">
        <f>'030523 INVENTARIO'!R686</f>
        <v>S/M</v>
      </c>
      <c r="Q686" s="168" t="str">
        <f>'030523 INVENTARIO'!S686</f>
        <v>SIN SERIE</v>
      </c>
      <c r="R686" s="168" t="str">
        <f>'030523 INVENTARIO'!T686</f>
        <v>82DI0511010001000581387</v>
      </c>
    </row>
    <row r="687" spans="5:18">
      <c r="E687" s="167" t="str">
        <f>'030523 INVENTARIO'!E687</f>
        <v>SILLA</v>
      </c>
      <c r="F687" s="167" t="str">
        <f>'030523 INVENTARIO'!F687</f>
        <v>SILLA DE TELA NEGRA FIJA</v>
      </c>
      <c r="G687" s="167" t="str">
        <f ca="1">'030523 INVENTARIO'!G687</f>
        <v>P05DA-0686</v>
      </c>
      <c r="H687" s="167" t="str">
        <f>'030523 INVENTARIO'!J687</f>
        <v>P03CV-0686</v>
      </c>
      <c r="I687" s="167" t="str">
        <f>'030523 INVENTARIO'!K687</f>
        <v>PB3CV-027</v>
      </c>
      <c r="J687" s="167" t="str">
        <f>'030523 INVENTARIO'!L687</f>
        <v>P0RH-2</v>
      </c>
      <c r="K687" s="167" t="str">
        <f>'030523 INVENTARIO'!M687</f>
        <v>5110100011-71</v>
      </c>
      <c r="L687" s="168">
        <f>'030523 INVENTARIO'!N687</f>
        <v>0</v>
      </c>
      <c r="M687" s="168">
        <f>'030523 INVENTARIO'!O687</f>
        <v>0</v>
      </c>
      <c r="N687" s="168" t="str">
        <f>'030523 INVENTARIO'!P687</f>
        <v>OK</v>
      </c>
      <c r="O687" s="168" t="str">
        <f>'030523 INVENTARIO'!Q687</f>
        <v>S/M</v>
      </c>
      <c r="P687" s="167" t="str">
        <f>'030523 INVENTARIO'!R687</f>
        <v>S/M</v>
      </c>
      <c r="Q687" s="168" t="str">
        <f>'030523 INVENTARIO'!S687</f>
        <v>SIN SERIE</v>
      </c>
      <c r="R687" s="168" t="str">
        <f>'030523 INVENTARIO'!T687</f>
        <v>82DK0511010017000522770</v>
      </c>
    </row>
    <row r="688" spans="5:18">
      <c r="E688" s="167" t="str">
        <f>'030523 INVENTARIO'!E688</f>
        <v>ARCHIVERO</v>
      </c>
      <c r="F688" s="167" t="str">
        <f>'030523 INVENTARIO'!F688</f>
        <v>ARCHIVERO NEGRO CON 2 CAJONES 54X40X56</v>
      </c>
      <c r="G688" s="167" t="str">
        <f ca="1">'030523 INVENTARIO'!G688</f>
        <v>P05RH-0687</v>
      </c>
      <c r="H688" s="167" t="str">
        <f>'030523 INVENTARIO'!J688</f>
        <v>P03CV-0687</v>
      </c>
      <c r="I688" s="167" t="str">
        <f>'030523 INVENTARIO'!K688</f>
        <v>PB3CV-028</v>
      </c>
      <c r="J688" s="167" t="str">
        <f>'030523 INVENTARIO'!L688</f>
        <v>P0CV-9</v>
      </c>
      <c r="K688" s="167" t="str">
        <f>'030523 INVENTARIO'!M688</f>
        <v>5130100013-21</v>
      </c>
      <c r="L688" s="168">
        <f>'030523 INVENTARIO'!N688</f>
        <v>0</v>
      </c>
      <c r="M688" s="168">
        <f>'030523 INVENTARIO'!O688</f>
        <v>0</v>
      </c>
      <c r="N688" s="168" t="str">
        <f>'030523 INVENTARIO'!P688</f>
        <v>OK</v>
      </c>
      <c r="O688" s="168" t="str">
        <f>'030523 INVENTARIO'!Q688</f>
        <v>S/M</v>
      </c>
      <c r="P688" s="167" t="str">
        <f>'030523 INVENTARIO'!R688</f>
        <v>S/M</v>
      </c>
      <c r="Q688" s="168" t="str">
        <f>'030523 INVENTARIO'!S688</f>
        <v>SIN SERIE</v>
      </c>
      <c r="R688" s="168" t="str">
        <f>'030523 INVENTARIO'!T688</f>
        <v>82DK0511010001000649500</v>
      </c>
    </row>
    <row r="689" spans="5:18">
      <c r="E689" s="167" t="str">
        <f>'030523 INVENTARIO'!E689</f>
        <v>MESA</v>
      </c>
      <c r="F689" s="167" t="str">
        <f>'030523 INVENTARIO'!F689</f>
        <v>MESA DE MADERA CON ENTREPAÑO 66X80X453</v>
      </c>
      <c r="G689" s="167" t="str">
        <f ca="1">'030523 INVENTARIO'!G689</f>
        <v>P03CV-0688</v>
      </c>
      <c r="H689" s="167" t="str">
        <f>'030523 INVENTARIO'!J689</f>
        <v>P03CV-0688</v>
      </c>
      <c r="I689" s="167" t="str">
        <f>'030523 INVENTARIO'!K689</f>
        <v>PB3CV-029</v>
      </c>
      <c r="J689" s="167" t="str">
        <f>'030523 INVENTARIO'!L689</f>
        <v>P0CV-15</v>
      </c>
      <c r="K689" s="167" t="str">
        <f>'030523 INVENTARIO'!M689</f>
        <v>5120100007-96</v>
      </c>
      <c r="L689" s="168">
        <f>'030523 INVENTARIO'!N689</f>
        <v>0</v>
      </c>
      <c r="M689" s="168">
        <f>'030523 INVENTARIO'!O689</f>
        <v>0</v>
      </c>
      <c r="N689" s="168" t="str">
        <f>'030523 INVENTARIO'!P689</f>
        <v>OK</v>
      </c>
      <c r="O689" s="168" t="str">
        <f>'030523 INVENTARIO'!Q689</f>
        <v>S/M</v>
      </c>
      <c r="P689" s="167" t="str">
        <f>'030523 INVENTARIO'!R689</f>
        <v>S/M</v>
      </c>
      <c r="Q689" s="168" t="str">
        <f>'030523 INVENTARIO'!S689</f>
        <v>SIN SERIE</v>
      </c>
      <c r="R689" s="168" t="str">
        <f>'030523 INVENTARIO'!T689</f>
        <v>82DI0531010065000564866</v>
      </c>
    </row>
    <row r="690" spans="5:18">
      <c r="E690" s="167" t="str">
        <f>'030523 INVENTARIO'!E690</f>
        <v>VENTILADOR</v>
      </c>
      <c r="F690" s="167" t="str">
        <f>'030523 INVENTARIO'!F690</f>
        <v>VENTILADOR GRIS  DE TORRE PEQUEÑO</v>
      </c>
      <c r="G690" s="167" t="str">
        <f ca="1">'030523 INVENTARIO'!G690</f>
        <v>P03CV-0689</v>
      </c>
      <c r="H690" s="167" t="str">
        <f>'030523 INVENTARIO'!J690</f>
        <v>P03CV-0689</v>
      </c>
      <c r="I690" s="167" t="str">
        <f>'030523 INVENTARIO'!K690</f>
        <v>PB3CV-030</v>
      </c>
      <c r="J690" s="167" t="str">
        <f>'030523 INVENTARIO'!L690</f>
        <v>P0CV-14</v>
      </c>
      <c r="K690" s="167" t="str">
        <f>'030523 INVENTARIO'!M690</f>
        <v>5190200002-34</v>
      </c>
      <c r="L690" s="168">
        <f>'030523 INVENTARIO'!N690</f>
        <v>0</v>
      </c>
      <c r="M690" s="168">
        <f>'030523 INVENTARIO'!O690</f>
        <v>0</v>
      </c>
      <c r="N690" s="168" t="str">
        <f>'030523 INVENTARIO'!P690</f>
        <v>OK</v>
      </c>
      <c r="O690" s="168" t="str">
        <f>'030523 INVENTARIO'!Q690</f>
        <v>SEVILLE CLASSIC</v>
      </c>
      <c r="P690" s="167">
        <f>'030523 INVENTARIO'!R690</f>
        <v>10186</v>
      </c>
      <c r="Q690" s="167" t="str">
        <f>'030523 INVENTARIO'!S690</f>
        <v>SIN SERIE</v>
      </c>
      <c r="R690" s="167" t="str">
        <f>'030523 INVENTARIO'!T690</f>
        <v>82DK0531010094000581183</v>
      </c>
    </row>
    <row r="691" spans="5:18">
      <c r="E691" s="167" t="str">
        <f>'030523 INVENTARIO'!E691</f>
        <v>ESCRITORIO</v>
      </c>
      <c r="F691" s="167" t="str">
        <f>'030523 INVENTARIO'!F691</f>
        <v>ESCRITORIO DE MADERA 2 CAJONES 140X60</v>
      </c>
      <c r="G691" s="167" t="str">
        <f ca="1">'030523 INVENTARIO'!G691</f>
        <v>P03CV-0690</v>
      </c>
      <c r="H691" s="167" t="str">
        <f>'030523 INVENTARIO'!J691</f>
        <v>P03CV-0690</v>
      </c>
      <c r="I691" s="167" t="str">
        <f>'030523 INVENTARIO'!K691</f>
        <v>PB3CV-031</v>
      </c>
      <c r="J691" s="167" t="str">
        <f>'030523 INVENTARIO'!L691</f>
        <v>P0CV-12</v>
      </c>
      <c r="K691" s="167" t="str">
        <f>'030523 INVENTARIO'!M691</f>
        <v>5110100015-53</v>
      </c>
      <c r="L691" s="168">
        <f>'030523 INVENTARIO'!N691</f>
        <v>0</v>
      </c>
      <c r="M691" s="168">
        <f>'030523 INVENTARIO'!O691</f>
        <v>0</v>
      </c>
      <c r="N691" s="168" t="str">
        <f>'030523 INVENTARIO'!P691</f>
        <v>OK</v>
      </c>
      <c r="O691" s="168" t="str">
        <f>'030523 INVENTARIO'!Q691</f>
        <v>S/M</v>
      </c>
      <c r="P691" s="167" t="str">
        <f>'030523 INVENTARIO'!R691</f>
        <v>S/M</v>
      </c>
      <c r="Q691" s="168" t="str">
        <f>'030523 INVENTARIO'!S691</f>
        <v>SIN SERIE</v>
      </c>
      <c r="R691" s="168" t="str">
        <f>'030523 INVENTARIO'!T691</f>
        <v>82DK0511010006000583482</v>
      </c>
    </row>
    <row r="692" spans="5:18">
      <c r="E692" s="167" t="str">
        <f>'030523 INVENTARIO'!E692</f>
        <v>MESA</v>
      </c>
      <c r="F692" s="167" t="str">
        <f>'030523 INVENTARIO'!F692</f>
        <v>MESA COMPLEMENTO TIPO BALA 160X60</v>
      </c>
      <c r="G692" s="167" t="str">
        <f ca="1">'030523 INVENTARIO'!G692</f>
        <v>P03CV-0691</v>
      </c>
      <c r="H692" s="167" t="str">
        <f>'030523 INVENTARIO'!J692</f>
        <v>P03CV-0691</v>
      </c>
      <c r="I692" s="167" t="str">
        <f>'030523 INVENTARIO'!K692</f>
        <v>PB3CV-032</v>
      </c>
      <c r="J692" s="167" t="str">
        <f>'030523 INVENTARIO'!L692</f>
        <v>P0CV-10</v>
      </c>
      <c r="K692" s="167" t="str">
        <f>'030523 INVENTARIO'!M692</f>
        <v>5120100007-95</v>
      </c>
      <c r="L692" s="168">
        <f>'030523 INVENTARIO'!N692</f>
        <v>0</v>
      </c>
      <c r="M692" s="168">
        <f>'030523 INVENTARIO'!O692</f>
        <v>0</v>
      </c>
      <c r="N692" s="168" t="str">
        <f>'030523 INVENTARIO'!P692</f>
        <v>OK</v>
      </c>
      <c r="O692" s="168" t="str">
        <f>'030523 INVENTARIO'!Q692</f>
        <v>S/M</v>
      </c>
      <c r="P692" s="167" t="str">
        <f>'030523 INVENTARIO'!R692</f>
        <v>S/M</v>
      </c>
      <c r="Q692" s="168" t="str">
        <f>'030523 INVENTARIO'!S692</f>
        <v>SIN SERIE</v>
      </c>
      <c r="R692" s="168" t="str">
        <f>'030523 INVENTARIO'!T692</f>
        <v>82DK0531010065000564865</v>
      </c>
    </row>
    <row r="693" spans="5:18">
      <c r="E693" s="167" t="str">
        <f>'030523 INVENTARIO'!E693</f>
        <v>MONITOR</v>
      </c>
      <c r="F693" s="167" t="str">
        <f>'030523 INVENTARIO'!F693</f>
        <v>MONITOR 19"</v>
      </c>
      <c r="G693" s="167" t="str">
        <f ca="1">'030523 INVENTARIO'!G693</f>
        <v>P05RM-0692</v>
      </c>
      <c r="H693" s="167" t="str">
        <f>'030523 INVENTARIO'!J693</f>
        <v>P03CV-0692</v>
      </c>
      <c r="I693" s="167" t="str">
        <f>'030523 INVENTARIO'!K693</f>
        <v>PB3CV-033</v>
      </c>
      <c r="J693" s="167" t="str">
        <f>'030523 INVENTARIO'!L693</f>
        <v>P0CV-16</v>
      </c>
      <c r="K693" s="167" t="str">
        <f>'030523 INVENTARIO'!M693</f>
        <v>5210100012-37</v>
      </c>
      <c r="L693" s="168">
        <f>'030523 INVENTARIO'!N693</f>
        <v>0</v>
      </c>
      <c r="M693" s="168">
        <f>'030523 INVENTARIO'!O693</f>
        <v>0</v>
      </c>
      <c r="N693" s="168" t="str">
        <f>'030523 INVENTARIO'!P693</f>
        <v>OK</v>
      </c>
      <c r="O693" s="168" t="str">
        <f>'030523 INVENTARIO'!Q693</f>
        <v>HP COMPAQ</v>
      </c>
      <c r="P693" s="167" t="str">
        <f>'030523 INVENTARIO'!R693</f>
        <v>WF1907</v>
      </c>
      <c r="Q693" s="167" t="str">
        <f>'030523 INVENTARIO'!S693</f>
        <v>CNC812Y97Q</v>
      </c>
      <c r="R693" s="168" t="str">
        <f>'030523 INVENTARIO'!T693</f>
        <v>82DK0565010041000539107</v>
      </c>
    </row>
    <row r="694" spans="5:18">
      <c r="E694" s="167" t="str">
        <f>'030523 INVENTARIO'!E694</f>
        <v>COMPUTADORA DE ESCRITORIO</v>
      </c>
      <c r="F694" s="167" t="str">
        <f>'030523 INVENTARIO'!F694</f>
        <v>COMPUTADORA DE ESCRITORIO</v>
      </c>
      <c r="G694" s="167" t="str">
        <f ca="1">'030523 INVENTARIO'!G694</f>
        <v>P05RM-0693</v>
      </c>
      <c r="H694" s="167" t="str">
        <f>'030523 INVENTARIO'!J694</f>
        <v>P03CV-0693</v>
      </c>
      <c r="I694" s="167" t="str">
        <f>'030523 INVENTARIO'!K694</f>
        <v>PB3CV-034</v>
      </c>
      <c r="J694" s="167" t="str">
        <f>'030523 INVENTARIO'!L694</f>
        <v>P0CV-11</v>
      </c>
      <c r="K694" s="167" t="str">
        <f>'030523 INVENTARIO'!M694</f>
        <v>5150100005-51</v>
      </c>
      <c r="L694" s="168">
        <f>'030523 INVENTARIO'!N694</f>
        <v>0</v>
      </c>
      <c r="M694" s="168">
        <f>'030523 INVENTARIO'!O694</f>
        <v>0</v>
      </c>
      <c r="N694" s="168" t="str">
        <f>'030523 INVENTARIO'!P694</f>
        <v>OK</v>
      </c>
      <c r="O694" s="168" t="str">
        <f>'030523 INVENTARIO'!Q694</f>
        <v>HP</v>
      </c>
      <c r="P694" s="167" t="str">
        <f>'030523 INVENTARIO'!R694</f>
        <v>DC7800</v>
      </c>
      <c r="Q694" s="168" t="str">
        <f>'030523 INVENTARIO'!S694</f>
        <v>MXJ819034R</v>
      </c>
      <c r="R694" s="168" t="str">
        <f>'030523 INVENTARIO'!T694</f>
        <v>82DK0515010001000539047</v>
      </c>
    </row>
    <row r="695" spans="5:18">
      <c r="E695" s="167" t="str">
        <f>'030523 INVENTARIO'!E695</f>
        <v>COMPLEMENTARIO DE EQUIPO DE COMPUTO</v>
      </c>
      <c r="F695" s="167" t="str">
        <f>'030523 INVENTARIO'!F695</f>
        <v>COMPLEMENTO DE EQUIPO DE MADERA</v>
      </c>
      <c r="G695" s="167" t="str">
        <f ca="1">'030523 INVENTARIO'!G695</f>
        <v>P03CV-0694</v>
      </c>
      <c r="H695" s="167" t="str">
        <f>'030523 INVENTARIO'!J695</f>
        <v>P03CV-0694</v>
      </c>
      <c r="I695" s="167" t="str">
        <f>'030523 INVENTARIO'!K695</f>
        <v>PB3CV-035</v>
      </c>
      <c r="J695" s="167" t="str">
        <f>'030523 INVENTARIO'!L695</f>
        <v>P0CV-18</v>
      </c>
      <c r="K695" s="167" t="str">
        <f>'030523 INVENTARIO'!M695</f>
        <v>5120100004-37</v>
      </c>
      <c r="L695" s="168">
        <f>'030523 INVENTARIO'!N695</f>
        <v>0</v>
      </c>
      <c r="M695" s="168">
        <f>'030523 INVENTARIO'!O695</f>
        <v>0</v>
      </c>
      <c r="N695" s="168" t="str">
        <f>'030523 INVENTARIO'!P695</f>
        <v>OK</v>
      </c>
      <c r="O695" s="168" t="str">
        <f>'030523 INVENTARIO'!Q695</f>
        <v>S/M</v>
      </c>
      <c r="P695" s="167" t="str">
        <f>'030523 INVENTARIO'!R695</f>
        <v>S/M</v>
      </c>
      <c r="Q695" s="168" t="str">
        <f>'030523 INVENTARIO'!S695</f>
        <v>SIN SERIE</v>
      </c>
      <c r="R695" s="168" t="str">
        <f>'030523 INVENTARIO'!T695</f>
        <v>82DK0515010033000651113</v>
      </c>
    </row>
    <row r="696" spans="5:18">
      <c r="E696" s="167" t="str">
        <f>'030523 INVENTARIO'!E696</f>
        <v>NO BREAK</v>
      </c>
      <c r="F696" s="167" t="str">
        <f>'030523 INVENTARIO'!F696</f>
        <v>NO BREAK NEGRO</v>
      </c>
      <c r="G696" s="167" t="str">
        <f ca="1">'030523 INVENTARIO'!G696</f>
        <v>P03CV-0695</v>
      </c>
      <c r="H696" s="167" t="str">
        <f>'030523 INVENTARIO'!J696</f>
        <v>P03CV-0695</v>
      </c>
      <c r="I696" s="167" t="str">
        <f>'030523 INVENTARIO'!K696</f>
        <v>PB3CV-036</v>
      </c>
      <c r="J696" s="167" t="str">
        <f>'030523 INVENTARIO'!L696</f>
        <v>P0CV-13</v>
      </c>
      <c r="K696" s="167" t="str">
        <f>'030523 INVENTARIO'!M696</f>
        <v>5150100008-32</v>
      </c>
      <c r="L696" s="168">
        <f>'030523 INVENTARIO'!N696</f>
        <v>0</v>
      </c>
      <c r="M696" s="168">
        <f>'030523 INVENTARIO'!O696</f>
        <v>0</v>
      </c>
      <c r="N696" s="168" t="str">
        <f>'030523 INVENTARIO'!P696</f>
        <v>OK</v>
      </c>
      <c r="O696" s="168" t="str">
        <f>'030523 INVENTARIO'!Q696</f>
        <v>VORAGO</v>
      </c>
      <c r="P696" s="167" t="str">
        <f>'030523 INVENTARIO'!R696</f>
        <v>UPS300</v>
      </c>
      <c r="Q696" s="168" t="str">
        <f>'030523 INVENTARIO'!S696</f>
        <v>16459464430</v>
      </c>
      <c r="R696" s="167" t="str">
        <f>'030523 INVENTARIO'!T696</f>
        <v>82DK0515010016000649439</v>
      </c>
    </row>
    <row r="697" spans="5:18">
      <c r="E697" s="167" t="str">
        <f>'030523 INVENTARIO'!E697</f>
        <v>SILLON</v>
      </c>
      <c r="F697" s="167" t="str">
        <f>'030523 INVENTARIO'!F697</f>
        <v>SILLON DE TELA CON RUEDAS NEGRO</v>
      </c>
      <c r="G697" s="167" t="str">
        <f ca="1">'030523 INVENTARIO'!G697</f>
        <v>P03CV-0696</v>
      </c>
      <c r="H697" s="167" t="str">
        <f>'030523 INVENTARIO'!J697</f>
        <v>P03CV-0696</v>
      </c>
      <c r="I697" s="167" t="str">
        <f>'030523 INVENTARIO'!K697</f>
        <v>PB3CV-037</v>
      </c>
      <c r="J697" s="167" t="str">
        <f>'030523 INVENTARIO'!L697</f>
        <v>P0CV-22</v>
      </c>
      <c r="K697" s="168" t="str">
        <f>'030523 INVENTARIO'!M697</f>
        <v>5120100009-46</v>
      </c>
      <c r="L697" s="168">
        <f>'030523 INVENTARIO'!N697</f>
        <v>0</v>
      </c>
      <c r="M697" s="168">
        <f>'030523 INVENTARIO'!O697</f>
        <v>0</v>
      </c>
      <c r="N697" s="168" t="str">
        <f>'030523 INVENTARIO'!P697</f>
        <v>OK</v>
      </c>
      <c r="O697" s="168" t="str">
        <f>'030523 INVENTARIO'!Q697</f>
        <v>S/M</v>
      </c>
      <c r="P697" s="167" t="str">
        <f>'030523 INVENTARIO'!R697</f>
        <v>S/M</v>
      </c>
      <c r="Q697" s="168" t="str">
        <f>'030523 INVENTARIO'!S697</f>
        <v>SIN SERIE</v>
      </c>
      <c r="R697" s="168" t="str">
        <f>'030523 INVENTARIO'!T697</f>
        <v>82DI0511010017000516230</v>
      </c>
    </row>
    <row r="698" spans="5:18">
      <c r="E698" s="167" t="str">
        <f>'030523 INVENTARIO'!E698</f>
        <v>ARCHIVERO</v>
      </c>
      <c r="F698" s="167" t="str">
        <f>'030523 INVENTARIO'!F698</f>
        <v>ANAQUEL CON 2 PUERTAS 180X80X37</v>
      </c>
      <c r="G698" s="167" t="str">
        <f ca="1">'030523 INVENTARIO'!G698</f>
        <v>P03CV-0697</v>
      </c>
      <c r="H698" s="167" t="str">
        <f>'030523 INVENTARIO'!J698</f>
        <v>P03CV-0697</v>
      </c>
      <c r="I698" s="167" t="str">
        <f>'030523 INVENTARIO'!K698</f>
        <v>PB3CV-038</v>
      </c>
      <c r="J698" s="167" t="str">
        <f>'030523 INVENTARIO'!L698</f>
        <v>P0CV-28</v>
      </c>
      <c r="K698" s="167" t="str">
        <f>'030523 INVENTARIO'!M698</f>
        <v>5290300001-13</v>
      </c>
      <c r="L698" s="168">
        <f>'030523 INVENTARIO'!N698</f>
        <v>0</v>
      </c>
      <c r="M698" s="168">
        <f>'030523 INVENTARIO'!O698</f>
        <v>0</v>
      </c>
      <c r="N698" s="168" t="str">
        <f>'030523 INVENTARIO'!P698</f>
        <v>OK</v>
      </c>
      <c r="O698" s="168" t="str">
        <f>'030523 INVENTARIO'!Q698</f>
        <v>S/M</v>
      </c>
      <c r="P698" s="167" t="str">
        <f>'030523 INVENTARIO'!R698</f>
        <v>S/M</v>
      </c>
      <c r="Q698" s="168" t="str">
        <f>'030523 INVENTARIO'!S698</f>
        <v>SIN SERIE</v>
      </c>
      <c r="R698" s="168" t="str">
        <f>'030523 INVENTARIO'!T698</f>
        <v>82DI0511010020000649496</v>
      </c>
    </row>
    <row r="699" spans="5:18">
      <c r="E699" s="167" t="str">
        <f>'030523 INVENTARIO'!E699</f>
        <v>ESCRITORIO</v>
      </c>
      <c r="F699" s="167" t="str">
        <f>'030523 INVENTARIO'!F699</f>
        <v>ESCRITORIO DE MADERA 140X60</v>
      </c>
      <c r="G699" s="167" t="str">
        <f ca="1">'030523 INVENTARIO'!G699</f>
        <v>P03CV-0698</v>
      </c>
      <c r="H699" s="167" t="str">
        <f>'030523 INVENTARIO'!J699</f>
        <v>P03CV-0698</v>
      </c>
      <c r="I699" s="167" t="str">
        <f>'030523 INVENTARIO'!K699</f>
        <v>PB3CV-039</v>
      </c>
      <c r="J699" s="167" t="str">
        <f>'030523 INVENTARIO'!L699</f>
        <v>P0CV-23</v>
      </c>
      <c r="K699" s="167" t="str">
        <f>'030523 INVENTARIO'!M699</f>
        <v>5110100015-55</v>
      </c>
      <c r="L699" s="168">
        <f>'030523 INVENTARIO'!N699</f>
        <v>0</v>
      </c>
      <c r="M699" s="168">
        <f>'030523 INVENTARIO'!O699</f>
        <v>0</v>
      </c>
      <c r="N699" s="168" t="str">
        <f>'030523 INVENTARIO'!P699</f>
        <v>OK</v>
      </c>
      <c r="O699" s="168" t="str">
        <f>'030523 INVENTARIO'!Q699</f>
        <v>S/M</v>
      </c>
      <c r="P699" s="167" t="str">
        <f>'030523 INVENTARIO'!R699</f>
        <v>S/M</v>
      </c>
      <c r="Q699" s="168" t="str">
        <f>'030523 INVENTARIO'!S699</f>
        <v>SIN SERIE</v>
      </c>
      <c r="R699" s="168" t="str">
        <f>'030523 INVENTARIO'!T699</f>
        <v>82DI0511010006000583481</v>
      </c>
    </row>
    <row r="700" spans="5:18">
      <c r="E700" s="167" t="str">
        <f>'030523 INVENTARIO'!E700</f>
        <v>MESA</v>
      </c>
      <c r="F700" s="167" t="str">
        <f>'030523 INVENTARIO'!F700</f>
        <v>MESA COMPLEMENTO TIPO BALA 160X60</v>
      </c>
      <c r="G700" s="167" t="str">
        <f ca="1">'030523 INVENTARIO'!G700</f>
        <v>P03CV-0699</v>
      </c>
      <c r="H700" s="167" t="str">
        <f>'030523 INVENTARIO'!J700</f>
        <v>P03CV-0699</v>
      </c>
      <c r="I700" s="167" t="str">
        <f>'030523 INVENTARIO'!K700</f>
        <v>PB3CV-040</v>
      </c>
      <c r="J700" s="167" t="str">
        <f>'030523 INVENTARIO'!L700</f>
        <v>P0CV-31</v>
      </c>
      <c r="K700" s="167" t="str">
        <f>'030523 INVENTARIO'!M700</f>
        <v>5120100007-97</v>
      </c>
      <c r="L700" s="168">
        <f>'030523 INVENTARIO'!N700</f>
        <v>0</v>
      </c>
      <c r="M700" s="168">
        <f>'030523 INVENTARIO'!O700</f>
        <v>0</v>
      </c>
      <c r="N700" s="168" t="str">
        <f>'030523 INVENTARIO'!P700</f>
        <v>OK</v>
      </c>
      <c r="O700" s="168" t="str">
        <f>'030523 INVENTARIO'!Q700</f>
        <v>S/M</v>
      </c>
      <c r="P700" s="167" t="str">
        <f>'030523 INVENTARIO'!R700</f>
        <v>S/M</v>
      </c>
      <c r="Q700" s="168" t="str">
        <f>'030523 INVENTARIO'!S700</f>
        <v>SIN SERIE</v>
      </c>
      <c r="R700" s="168" t="str">
        <f>'030523 INVENTARIO'!T700</f>
        <v>82DI0531010065000564864</v>
      </c>
    </row>
    <row r="701" spans="5:18">
      <c r="E701" s="167" t="str">
        <f>'030523 INVENTARIO'!E701</f>
        <v>NO BREAK</v>
      </c>
      <c r="F701" s="167" t="str">
        <f>'030523 INVENTARIO'!F701</f>
        <v>NO BREAK NEGRO</v>
      </c>
      <c r="G701" s="167" t="str">
        <f ca="1">'030523 INVENTARIO'!G701</f>
        <v>P03CV-0700</v>
      </c>
      <c r="H701" s="167" t="str">
        <f>'030523 INVENTARIO'!J701</f>
        <v>P03CV-0700</v>
      </c>
      <c r="I701" s="167" t="str">
        <f>'030523 INVENTARIO'!K701</f>
        <v>PB3CV-041</v>
      </c>
      <c r="J701" s="167" t="str">
        <f>'030523 INVENTARIO'!L701</f>
        <v>P0CV-7</v>
      </c>
      <c r="K701" s="168" t="str">
        <f>'030523 INVENTARIO'!M701</f>
        <v>5150100008-33</v>
      </c>
      <c r="L701" s="168">
        <f>'030523 INVENTARIO'!N701</f>
        <v>0</v>
      </c>
      <c r="M701" s="168">
        <f>'030523 INVENTARIO'!O701</f>
        <v>0</v>
      </c>
      <c r="N701" s="168" t="str">
        <f>'030523 INVENTARIO'!P701</f>
        <v>OK</v>
      </c>
      <c r="O701" s="168" t="str">
        <f>'030523 INVENTARIO'!Q701</f>
        <v>FORZA</v>
      </c>
      <c r="P701" s="167" t="str">
        <f>'030523 INVENTARIO'!R701</f>
        <v>NT751</v>
      </c>
      <c r="Q701" s="168" t="str">
        <f>'030523 INVENTARIO'!S701</f>
        <v>190522502264</v>
      </c>
      <c r="R701" s="168" t="str">
        <f>'030523 INVENTARIO'!T701</f>
        <v>82DK0515010016000649423</v>
      </c>
    </row>
    <row r="702" spans="5:18">
      <c r="E702" s="167" t="str">
        <f>'030523 INVENTARIO'!E702</f>
        <v>TELEFONO</v>
      </c>
      <c r="F702" s="167" t="str">
        <f>'030523 INVENTARIO'!F702</f>
        <v>TELEFONO GRIS</v>
      </c>
      <c r="G702" s="167" t="str">
        <f ca="1">'030523 INVENTARIO'!G702</f>
        <v>P03CV-0701</v>
      </c>
      <c r="H702" s="167" t="str">
        <f>'030523 INVENTARIO'!J702</f>
        <v>P03CV-0701</v>
      </c>
      <c r="I702" s="167" t="str">
        <f>'030523 INVENTARIO'!K702</f>
        <v>PB3CV-042</v>
      </c>
      <c r="J702" s="167" t="str">
        <f>'030523 INVENTARIO'!L702</f>
        <v>P0CV-30</v>
      </c>
      <c r="K702" s="167" t="str">
        <f>'030523 INVENTARIO'!M702</f>
        <v>5650100010-44</v>
      </c>
      <c r="L702" s="168">
        <f>'030523 INVENTARIO'!N702</f>
        <v>0</v>
      </c>
      <c r="M702" s="168">
        <f>'030523 INVENTARIO'!O702</f>
        <v>0</v>
      </c>
      <c r="N702" s="168" t="str">
        <f>'030523 INVENTARIO'!P702</f>
        <v>OK</v>
      </c>
      <c r="O702" s="168" t="str">
        <f>'030523 INVENTARIO'!Q702</f>
        <v>LINKSYS</v>
      </c>
      <c r="P702" s="167" t="str">
        <f>'030523 INVENTARIO'!R702</f>
        <v>SPA942</v>
      </c>
      <c r="Q702" s="168" t="str">
        <f>'030523 INVENTARIO'!S702</f>
        <v>4LO00H118361</v>
      </c>
      <c r="R702" s="168" t="str">
        <f>'030523 INVENTARIO'!T702</f>
        <v>82DI0565010001000533228</v>
      </c>
    </row>
    <row r="703" spans="5:18">
      <c r="E703" s="167" t="str">
        <f>'030523 INVENTARIO'!E703</f>
        <v>MESA</v>
      </c>
      <c r="F703" s="167" t="str">
        <f>'030523 INVENTARIO'!F703</f>
        <v>MESA COMPLEMENTO  CHICA 66X60X40</v>
      </c>
      <c r="G703" s="167" t="str">
        <f ca="1">'030523 INVENTARIO'!G703</f>
        <v>P03CV-0702</v>
      </c>
      <c r="H703" s="167" t="str">
        <f>'030523 INVENTARIO'!J703</f>
        <v>P03CV-0702</v>
      </c>
      <c r="I703" s="167" t="str">
        <f>'030523 INVENTARIO'!K703</f>
        <v>PB3CV-043</v>
      </c>
      <c r="J703" s="167" t="str">
        <f>'030523 INVENTARIO'!L703</f>
        <v>P0CV-1</v>
      </c>
      <c r="K703" s="167" t="str">
        <f>'030523 INVENTARIO'!M703</f>
        <v>5120100007-93</v>
      </c>
      <c r="L703" s="168">
        <f>'030523 INVENTARIO'!N703</f>
        <v>0</v>
      </c>
      <c r="M703" s="168">
        <f>'030523 INVENTARIO'!O703</f>
        <v>0</v>
      </c>
      <c r="N703" s="168" t="str">
        <f>'030523 INVENTARIO'!P703</f>
        <v>OK</v>
      </c>
      <c r="O703" s="168" t="str">
        <f>'030523 INVENTARIO'!Q703</f>
        <v>S/M</v>
      </c>
      <c r="P703" s="167" t="str">
        <f>'030523 INVENTARIO'!R703</f>
        <v>S/M</v>
      </c>
      <c r="Q703" s="168" t="str">
        <f>'030523 INVENTARIO'!S703</f>
        <v>SIN SERIE</v>
      </c>
      <c r="R703" s="168" t="str">
        <f>'030523 INVENTARIO'!T703</f>
        <v>82DK0511010010000649497</v>
      </c>
    </row>
    <row r="704" spans="5:18">
      <c r="E704" s="167" t="str">
        <f>'030523 INVENTARIO'!E704</f>
        <v>ESCRITORIO</v>
      </c>
      <c r="F704" s="167" t="str">
        <f>'030523 INVENTARIO'!F704</f>
        <v>ESCRITORIO DE MADERA DE 2 PIEZAS</v>
      </c>
      <c r="G704" s="167" t="str">
        <f ca="1">'030523 INVENTARIO'!G704</f>
        <v>P03CV-0703</v>
      </c>
      <c r="H704" s="167" t="str">
        <f>'030523 INVENTARIO'!J704</f>
        <v>P03CV-0703</v>
      </c>
      <c r="I704" s="167" t="str">
        <f>'030523 INVENTARIO'!K704</f>
        <v>PB3CV-044</v>
      </c>
      <c r="J704" s="167" t="str">
        <f>'030523 INVENTARIO'!L704</f>
        <v>P0CV-5</v>
      </c>
      <c r="K704" s="167" t="str">
        <f>'030523 INVENTARIO'!M704</f>
        <v>5110100015-51</v>
      </c>
      <c r="L704" s="168">
        <f>'030523 INVENTARIO'!N704</f>
        <v>0</v>
      </c>
      <c r="M704" s="168">
        <f>'030523 INVENTARIO'!O704</f>
        <v>0</v>
      </c>
      <c r="N704" s="168" t="str">
        <f>'030523 INVENTARIO'!P704</f>
        <v>OK</v>
      </c>
      <c r="O704" s="168" t="str">
        <f>'030523 INVENTARIO'!Q704</f>
        <v>S/M</v>
      </c>
      <c r="P704" s="167" t="str">
        <f>'030523 INVENTARIO'!R704</f>
        <v>S/M</v>
      </c>
      <c r="Q704" s="168" t="str">
        <f>'030523 INVENTARIO'!S704</f>
        <v>SIN SERIE</v>
      </c>
      <c r="R704" s="168" t="str">
        <f>'030523 INVENTARIO'!T704</f>
        <v>82DJ0511010006000649492</v>
      </c>
    </row>
    <row r="705" spans="5:18">
      <c r="E705" s="167" t="str">
        <f>'030523 INVENTARIO'!E705</f>
        <v>MONITOR</v>
      </c>
      <c r="F705" s="167" t="str">
        <f>'030523 INVENTARIO'!F705</f>
        <v>MONITOR 19"</v>
      </c>
      <c r="G705" s="167" t="str">
        <f ca="1">'030523 INVENTARIO'!G705</f>
        <v>P03CV-0704</v>
      </c>
      <c r="H705" s="167" t="str">
        <f>'030523 INVENTARIO'!J705</f>
        <v>P03CV-0704</v>
      </c>
      <c r="I705" s="167" t="str">
        <f>'030523 INVENTARIO'!K705</f>
        <v>PB3CV-045</v>
      </c>
      <c r="J705" s="167" t="str">
        <f>'030523 INVENTARIO'!L705</f>
        <v>P0CV-8</v>
      </c>
      <c r="K705" s="167" t="str">
        <f>'030523 INVENTARIO'!M705</f>
        <v>5210100012-50</v>
      </c>
      <c r="L705" s="168">
        <f>'030523 INVENTARIO'!N705</f>
        <v>0</v>
      </c>
      <c r="M705" s="168">
        <f>'030523 INVENTARIO'!O705</f>
        <v>0</v>
      </c>
      <c r="N705" s="168" t="str">
        <f>'030523 INVENTARIO'!P705</f>
        <v>OK</v>
      </c>
      <c r="O705" s="168" t="str">
        <f>'030523 INVENTARIO'!Q705</f>
        <v>COMPAQ</v>
      </c>
      <c r="P705" s="167" t="str">
        <f>'030523 INVENTARIO'!R705</f>
        <v>WF1907</v>
      </c>
      <c r="Q705" s="168" t="str">
        <f>'030523 INVENTARIO'!S705</f>
        <v>CNC812Y8QK</v>
      </c>
      <c r="R705" s="168" t="str">
        <f>'030523 INVENTARIO'!T705</f>
        <v>82DK0565010041000535801</v>
      </c>
    </row>
    <row r="706" spans="5:18">
      <c r="E706" s="167" t="str">
        <f>'030523 INVENTARIO'!E706</f>
        <v>COMPUTADORA DE ESCRITORIO</v>
      </c>
      <c r="F706" s="167" t="str">
        <f>'030523 INVENTARIO'!F706</f>
        <v>COMPUTADORA DE ESCRITORIO</v>
      </c>
      <c r="G706" s="167" t="str">
        <f ca="1">'030523 INVENTARIO'!G706</f>
        <v>P03CV-0705</v>
      </c>
      <c r="H706" s="167" t="str">
        <f>'030523 INVENTARIO'!J706</f>
        <v>P03CV-0705</v>
      </c>
      <c r="I706" s="167" t="str">
        <f>'030523 INVENTARIO'!K706</f>
        <v>PB3CV-046</v>
      </c>
      <c r="J706" s="167" t="str">
        <f>'030523 INVENTARIO'!L706</f>
        <v>P0CV-6</v>
      </c>
      <c r="K706" s="167" t="str">
        <f>'030523 INVENTARIO'!M706</f>
        <v>5150100005-49</v>
      </c>
      <c r="L706" s="168">
        <f>'030523 INVENTARIO'!N706</f>
        <v>0</v>
      </c>
      <c r="M706" s="168">
        <f>'030523 INVENTARIO'!O706</f>
        <v>0</v>
      </c>
      <c r="N706" s="168" t="str">
        <f>'030523 INVENTARIO'!P706</f>
        <v>OK</v>
      </c>
      <c r="O706" s="168" t="str">
        <f>'030523 INVENTARIO'!Q706</f>
        <v>ACER</v>
      </c>
      <c r="P706" s="167" t="str">
        <f>'030523 INVENTARIO'!R706</f>
        <v>ASPIRE X3990</v>
      </c>
      <c r="Q706" s="168" t="str">
        <f>'030523 INVENTARIO'!S706</f>
        <v>20302171092</v>
      </c>
      <c r="R706" s="168" t="str">
        <f>'030523 INVENTARIO'!T706</f>
        <v>82DK0515010001000535527</v>
      </c>
    </row>
    <row r="707" spans="5:18">
      <c r="E707" s="167" t="str">
        <f>'030523 INVENTARIO'!E707</f>
        <v>TELEFONO</v>
      </c>
      <c r="F707" s="168" t="str">
        <f>'030523 INVENTARIO'!F707</f>
        <v>TELEFONO GRIS</v>
      </c>
      <c r="G707" s="167" t="str">
        <f ca="1">'030523 INVENTARIO'!G707</f>
        <v>P03CV-0706</v>
      </c>
      <c r="H707" s="167" t="str">
        <f>'030523 INVENTARIO'!J707</f>
        <v>P03CV-0706</v>
      </c>
      <c r="I707" s="167" t="str">
        <f>'030523 INVENTARIO'!K707</f>
        <v>PB3CV-047</v>
      </c>
      <c r="J707" s="167" t="str">
        <f>'030523 INVENTARIO'!L707</f>
        <v>P0CV-2</v>
      </c>
      <c r="K707" s="167" t="str">
        <f>'030523 INVENTARIO'!M707</f>
        <v>5650100010-23</v>
      </c>
      <c r="L707" s="168">
        <f>'030523 INVENTARIO'!N707</f>
        <v>0</v>
      </c>
      <c r="M707" s="168">
        <f>'030523 INVENTARIO'!O707</f>
        <v>0</v>
      </c>
      <c r="N707" s="168" t="str">
        <f>'030523 INVENTARIO'!P707</f>
        <v>OK</v>
      </c>
      <c r="O707" s="168" t="str">
        <f>'030523 INVENTARIO'!Q707</f>
        <v>CISCO</v>
      </c>
      <c r="P707" s="167" t="str">
        <f>'030523 INVENTARIO'!R707</f>
        <v>SPA504G</v>
      </c>
      <c r="Q707" s="168" t="str">
        <f>'030523 INVENTARIO'!S707</f>
        <v>CCQ17280CKI</v>
      </c>
      <c r="R707" s="167" t="str">
        <f>'030523 INVENTARIO'!T707</f>
        <v>82DK0565010001000649491</v>
      </c>
    </row>
    <row r="708" spans="5:18">
      <c r="E708" s="167" t="str">
        <f>'030523 INVENTARIO'!E708</f>
        <v>NO BREAK</v>
      </c>
      <c r="F708" s="167" t="str">
        <f>'030523 INVENTARIO'!F708</f>
        <v>NO BREAK NEGRO</v>
      </c>
      <c r="G708" s="167" t="str">
        <f ca="1">'030523 INVENTARIO'!G708</f>
        <v>P03CV-0707</v>
      </c>
      <c r="H708" s="167" t="str">
        <f>'030523 INVENTARIO'!J708</f>
        <v>P03CV-0707</v>
      </c>
      <c r="I708" s="167" t="str">
        <f>'030523 INVENTARIO'!K708</f>
        <v>PB3CV-048</v>
      </c>
      <c r="J708" s="167" t="str">
        <f>'030523 INVENTARIO'!L708</f>
        <v>P0CV-29</v>
      </c>
      <c r="K708" s="167" t="str">
        <f>'030523 INVENTARIO'!M708</f>
        <v>5150100008-31</v>
      </c>
      <c r="L708" s="168">
        <f>'030523 INVENTARIO'!N708</f>
        <v>0</v>
      </c>
      <c r="M708" s="168">
        <f>'030523 INVENTARIO'!O708</f>
        <v>0</v>
      </c>
      <c r="N708" s="168" t="str">
        <f>'030523 INVENTARIO'!P708</f>
        <v>OK</v>
      </c>
      <c r="O708" s="168" t="str">
        <f>'030523 INVENTARIO'!Q708</f>
        <v>FORZA</v>
      </c>
      <c r="P708" s="167" t="str">
        <f>'030523 INVENTARIO'!R708</f>
        <v>NT751</v>
      </c>
      <c r="Q708" s="168" t="str">
        <f>'030523 INVENTARIO'!S708</f>
        <v>190522502262</v>
      </c>
      <c r="R708" s="168" t="str">
        <f>'030523 INVENTARIO'!T708</f>
        <v>82DI0515010016000649424</v>
      </c>
    </row>
    <row r="709" spans="5:18">
      <c r="E709" s="167" t="str">
        <f>'030523 INVENTARIO'!E709</f>
        <v>SILLA</v>
      </c>
      <c r="F709" s="167" t="str">
        <f>'030523 INVENTARIO'!F709</f>
        <v>SILLA NEGRA CON RUEDAS</v>
      </c>
      <c r="G709" s="167" t="str">
        <f ca="1">'030523 INVENTARIO'!G709</f>
        <v>P03CV-0708</v>
      </c>
      <c r="H709" s="167" t="str">
        <f>'030523 INVENTARIO'!J709</f>
        <v>P03CV-0708</v>
      </c>
      <c r="I709" s="167" t="str">
        <f>'030523 INVENTARIO'!K709</f>
        <v>PB3CV-049</v>
      </c>
      <c r="J709" s="167" t="str">
        <f>'030523 INVENTARIO'!L709</f>
        <v>P0CV-3</v>
      </c>
      <c r="K709" s="167" t="str">
        <f>'030523 INVENTARIO'!M709</f>
        <v>5110100011-69</v>
      </c>
      <c r="L709" s="168">
        <f>'030523 INVENTARIO'!N709</f>
        <v>0</v>
      </c>
      <c r="M709" s="168">
        <f>'030523 INVENTARIO'!O709</f>
        <v>0</v>
      </c>
      <c r="N709" s="168" t="str">
        <f>'030523 INVENTARIO'!P709</f>
        <v>OK</v>
      </c>
      <c r="O709" s="168" t="str">
        <f>'030523 INVENTARIO'!Q709</f>
        <v>S/M</v>
      </c>
      <c r="P709" s="167" t="str">
        <f>'030523 INVENTARIO'!R709</f>
        <v>S/M</v>
      </c>
      <c r="Q709" s="168" t="str">
        <f>'030523 INVENTARIO'!S709</f>
        <v>SIN SERIE</v>
      </c>
      <c r="R709" s="168" t="str">
        <f>'030523 INVENTARIO'!T709</f>
        <v>82DK0511010017000522846</v>
      </c>
    </row>
    <row r="710" spans="5:18">
      <c r="E710" s="167" t="str">
        <f>'030523 INVENTARIO'!E710</f>
        <v>SILLA</v>
      </c>
      <c r="F710" s="167" t="str">
        <f>'030523 INVENTARIO'!F710</f>
        <v>SILLA  NEGRA DE TELA</v>
      </c>
      <c r="G710" s="167" t="str">
        <f ca="1">'030523 INVENTARIO'!G710</f>
        <v>P05RM-0709</v>
      </c>
      <c r="H710" s="167" t="str">
        <f>'030523 INVENTARIO'!J710</f>
        <v>P03CV-0709</v>
      </c>
      <c r="I710" s="167" t="str">
        <f>'030523 INVENTARIO'!K710</f>
        <v>PB3CV-050</v>
      </c>
      <c r="J710" s="167">
        <f>'030523 INVENTARIO'!L710</f>
        <v>0</v>
      </c>
      <c r="K710" s="167" t="str">
        <f>'030523 INVENTARIO'!M710</f>
        <v>ALTA</v>
      </c>
      <c r="L710" s="168">
        <f>'030523 INVENTARIO'!N710</f>
        <v>0</v>
      </c>
      <c r="M710" s="168">
        <f>'030523 INVENTARIO'!O710</f>
        <v>0</v>
      </c>
      <c r="N710" s="168" t="str">
        <f>'030523 INVENTARIO'!P710</f>
        <v>REPETIDO</v>
      </c>
      <c r="O710" s="168" t="str">
        <f>'030523 INVENTARIO'!Q710</f>
        <v>S/M</v>
      </c>
      <c r="P710" s="167" t="str">
        <f>'030523 INVENTARIO'!R710</f>
        <v>S/M</v>
      </c>
      <c r="Q710" s="167" t="str">
        <f>'030523 INVENTARIO'!S710</f>
        <v>SIN SERIE</v>
      </c>
      <c r="R710" s="167" t="str">
        <f>'030523 INVENTARIO'!T710</f>
        <v>82DH0511010017000651379</v>
      </c>
    </row>
    <row r="711" spans="5:18">
      <c r="E711" s="167" t="str">
        <f>'030523 INVENTARIO'!E711</f>
        <v>SILLON</v>
      </c>
      <c r="F711" s="167" t="str">
        <f>'030523 INVENTARIO'!F711</f>
        <v>SILLON DE TELA CON RUEDAS NEGRO</v>
      </c>
      <c r="G711" s="167" t="str">
        <f ca="1">'030523 INVENTARIO'!G711</f>
        <v>P05RM-0710</v>
      </c>
      <c r="H711" s="167" t="str">
        <f>'030523 INVENTARIO'!J711</f>
        <v>P03CV-0710</v>
      </c>
      <c r="I711" s="167" t="str">
        <f>'030523 INVENTARIO'!K711</f>
        <v>PB3CV-051</v>
      </c>
      <c r="J711" s="167" t="str">
        <f>'030523 INVENTARIO'!L711</f>
        <v>P0CV-26</v>
      </c>
      <c r="K711" s="168" t="str">
        <f>'030523 INVENTARIO'!M711</f>
        <v>5120100009-47</v>
      </c>
      <c r="L711" s="168">
        <f>'030523 INVENTARIO'!N711</f>
        <v>0</v>
      </c>
      <c r="M711" s="168">
        <f>'030523 INVENTARIO'!O711</f>
        <v>0</v>
      </c>
      <c r="N711" s="168" t="str">
        <f>'030523 INVENTARIO'!P711</f>
        <v>OK</v>
      </c>
      <c r="O711" s="168" t="str">
        <f>'030523 INVENTARIO'!Q711</f>
        <v>S/M</v>
      </c>
      <c r="P711" s="167" t="str">
        <f>'030523 INVENTARIO'!R711</f>
        <v>S/M</v>
      </c>
      <c r="Q711" s="168" t="str">
        <f>'030523 INVENTARIO'!S711</f>
        <v>SIN SERIE</v>
      </c>
      <c r="R711" s="168" t="str">
        <f>'030523 INVENTARIO'!T711</f>
        <v>82DI0511010017000522768</v>
      </c>
    </row>
    <row r="712" spans="5:18">
      <c r="E712" s="167" t="str">
        <f>'030523 INVENTARIO'!E712</f>
        <v>MONITOR</v>
      </c>
      <c r="F712" s="167" t="str">
        <f>'030523 INVENTARIO'!F712</f>
        <v>MONITOR 19"</v>
      </c>
      <c r="G712" s="167" t="str">
        <f ca="1">'030523 INVENTARIO'!G712</f>
        <v>P05RM-0711</v>
      </c>
      <c r="H712" s="167" t="str">
        <f>'030523 INVENTARIO'!J712</f>
        <v>P03CV-0711</v>
      </c>
      <c r="I712" s="167" t="str">
        <f>'030523 INVENTARIO'!K712</f>
        <v>PB3CV-052</v>
      </c>
      <c r="J712" s="167" t="str">
        <f>'030523 INVENTARIO'!L712</f>
        <v>P0CV-25</v>
      </c>
      <c r="K712" s="167" t="str">
        <f>'030523 INVENTARIO'!M712</f>
        <v>5210100012-39</v>
      </c>
      <c r="L712" s="168">
        <f>'030523 INVENTARIO'!N712</f>
        <v>0</v>
      </c>
      <c r="M712" s="168">
        <f>'030523 INVENTARIO'!O712</f>
        <v>0</v>
      </c>
      <c r="N712" s="168" t="str">
        <f>'030523 INVENTARIO'!P712</f>
        <v>OK</v>
      </c>
      <c r="O712" s="168" t="str">
        <f>'030523 INVENTARIO'!Q712</f>
        <v>COMPAQ</v>
      </c>
      <c r="P712" s="167" t="str">
        <f>'030523 INVENTARIO'!R712</f>
        <v>WF1907</v>
      </c>
      <c r="Q712" s="168" t="str">
        <f>'030523 INVENTARIO'!S712</f>
        <v>CNC816Y4T2</v>
      </c>
      <c r="R712" s="168" t="str">
        <f>'030523 INVENTARIO'!T712</f>
        <v>82DI0565010041000543591</v>
      </c>
    </row>
    <row r="713" spans="5:18">
      <c r="E713" s="167" t="str">
        <f>'030523 INVENTARIO'!E713</f>
        <v>COMPUTADORA DE ESCRITORIO</v>
      </c>
      <c r="F713" s="167" t="str">
        <f>'030523 INVENTARIO'!F713</f>
        <v>COMPUTADORA DE ESCRITORIO</v>
      </c>
      <c r="G713" s="167" t="str">
        <f ca="1">'030523 INVENTARIO'!G713</f>
        <v>P05RM-0712</v>
      </c>
      <c r="H713" s="167" t="str">
        <f>'030523 INVENTARIO'!J713</f>
        <v>P03CV-0712</v>
      </c>
      <c r="I713" s="167" t="str">
        <f>'030523 INVENTARIO'!K713</f>
        <v>PB3CV-053</v>
      </c>
      <c r="J713" s="167" t="str">
        <f>'030523 INVENTARIO'!L713</f>
        <v>P0CV-24</v>
      </c>
      <c r="K713" s="167" t="str">
        <f>'030523 INVENTARIO'!M713</f>
        <v>5150100005-52</v>
      </c>
      <c r="L713" s="168">
        <f>'030523 INVENTARIO'!N713</f>
        <v>0</v>
      </c>
      <c r="M713" s="168">
        <f>'030523 INVENTARIO'!O713</f>
        <v>0</v>
      </c>
      <c r="N713" s="168" t="str">
        <f>'030523 INVENTARIO'!P713</f>
        <v>OK</v>
      </c>
      <c r="O713" s="168" t="str">
        <f>'030523 INVENTARIO'!Q713</f>
        <v>HP</v>
      </c>
      <c r="P713" s="167" t="str">
        <f>'030523 INVENTARIO'!R713</f>
        <v>PAVILLION S3020LA</v>
      </c>
      <c r="Q713" s="168" t="str">
        <f>'030523 INVENTARIO'!S713</f>
        <v>SNH71619W9</v>
      </c>
      <c r="R713" s="167" t="str">
        <f>'030523 INVENTARIO'!T713</f>
        <v>82DI0515010001000564542</v>
      </c>
    </row>
    <row r="714" spans="5:18">
      <c r="E714" s="167" t="str">
        <f>'030523 INVENTARIO'!E714</f>
        <v>VENTILADOR</v>
      </c>
      <c r="F714" s="168" t="str">
        <f>'030523 INVENTARIO'!F714</f>
        <v>VENTILADOR DE PARED GRIS</v>
      </c>
      <c r="G714" s="167" t="str">
        <f ca="1">'030523 INVENTARIO'!G714</f>
        <v>P35RM-0713</v>
      </c>
      <c r="H714" s="167" t="str">
        <f>'030523 INVENTARIO'!J714</f>
        <v>P24SJ-0713</v>
      </c>
      <c r="I714" s="167" t="str">
        <f>'030523 INVENTARIO'!K714</f>
        <v>P24SJ-001</v>
      </c>
      <c r="J714" s="167" t="str">
        <f>'030523 INVENTARIO'!L714</f>
        <v>P2SJ-16</v>
      </c>
      <c r="K714" s="167" t="str">
        <f>'030523 INVENTARIO'!M714</f>
        <v>5190200002-5</v>
      </c>
      <c r="L714" s="168">
        <f>'030523 INVENTARIO'!N714</f>
        <v>0</v>
      </c>
      <c r="M714" s="168">
        <f>'030523 INVENTARIO'!O714</f>
        <v>0</v>
      </c>
      <c r="N714" s="168" t="str">
        <f>'030523 INVENTARIO'!P714</f>
        <v>OK</v>
      </c>
      <c r="O714" s="168" t="str">
        <f>'030523 INVENTARIO'!Q714</f>
        <v>NAVIA</v>
      </c>
      <c r="P714" s="167" t="str">
        <f>'030523 INVENTARIO'!R714</f>
        <v>VPN/018</v>
      </c>
      <c r="Q714" s="168" t="str">
        <f>'030523 INVENTARIO'!S714</f>
        <v>SIN SERIE</v>
      </c>
      <c r="R714" s="168" t="str">
        <f>'030523 INVENTARIO'!T714</f>
        <v>82DH0519010043000649723</v>
      </c>
    </row>
    <row r="715" spans="5:18">
      <c r="E715" s="167" t="str">
        <f>'030523 INVENTARIO'!E715</f>
        <v>LIBRERO</v>
      </c>
      <c r="F715" s="167" t="str">
        <f>'030523 INVENTARIO'!F715</f>
        <v>LIBRERO DE MADERA 244X121X40</v>
      </c>
      <c r="G715" s="167" t="str">
        <f ca="1">'030523 INVENTARIO'!G715</f>
        <v>P24SJ-0714</v>
      </c>
      <c r="H715" s="167" t="str">
        <f>'030523 INVENTARIO'!J715</f>
        <v>P24SJ-0714</v>
      </c>
      <c r="I715" s="167" t="str">
        <f>'030523 INVENTARIO'!K715</f>
        <v>P24SJ-002</v>
      </c>
      <c r="J715" s="167" t="str">
        <f>'030523 INVENTARIO'!L715</f>
        <v>P2SJ-28</v>
      </c>
      <c r="K715" s="167" t="str">
        <f>'030523 INVENTARIO'!M715</f>
        <v>5130100126-5</v>
      </c>
      <c r="L715" s="168">
        <f>'030523 INVENTARIO'!N715</f>
        <v>0</v>
      </c>
      <c r="M715" s="168">
        <f>'030523 INVENTARIO'!O715</f>
        <v>0</v>
      </c>
      <c r="N715" s="168" t="str">
        <f>'030523 INVENTARIO'!P715</f>
        <v>OK</v>
      </c>
      <c r="O715" s="168" t="str">
        <f>'030523 INVENTARIO'!Q715</f>
        <v>S/M</v>
      </c>
      <c r="P715" s="167" t="str">
        <f>'030523 INVENTARIO'!R715</f>
        <v>S/M</v>
      </c>
      <c r="Q715" s="168" t="str">
        <f>'030523 INVENTARIO'!S715</f>
        <v>SIN SERIE</v>
      </c>
      <c r="R715" s="168" t="str">
        <f>'030523 INVENTARIO'!T715</f>
        <v>82DH0511010008000649769</v>
      </c>
    </row>
    <row r="716" spans="5:18">
      <c r="E716" s="167" t="str">
        <f>'030523 INVENTARIO'!E716</f>
        <v>LIBRERO</v>
      </c>
      <c r="F716" s="167" t="str">
        <f>'030523 INVENTARIO'!F716</f>
        <v>LIBRERO DE MADERA 244X121X40</v>
      </c>
      <c r="G716" s="167" t="str">
        <f ca="1">'030523 INVENTARIO'!G716</f>
        <v>P24SJ-0715</v>
      </c>
      <c r="H716" s="167" t="str">
        <f>'030523 INVENTARIO'!J716</f>
        <v>P24SJ-0715</v>
      </c>
      <c r="I716" s="167" t="str">
        <f>'030523 INVENTARIO'!K716</f>
        <v>P24SJ-003</v>
      </c>
      <c r="J716" s="167" t="str">
        <f>'030523 INVENTARIO'!L716</f>
        <v>P2SJ-29</v>
      </c>
      <c r="K716" s="168" t="str">
        <f>'030523 INVENTARIO'!M716</f>
        <v>5130100126-6</v>
      </c>
      <c r="L716" s="168">
        <f>'030523 INVENTARIO'!N716</f>
        <v>0</v>
      </c>
      <c r="M716" s="168">
        <f>'030523 INVENTARIO'!O716</f>
        <v>0</v>
      </c>
      <c r="N716" s="168" t="str">
        <f>'030523 INVENTARIO'!P716</f>
        <v>OK</v>
      </c>
      <c r="O716" s="168" t="str">
        <f>'030523 INVENTARIO'!Q716</f>
        <v>S/M</v>
      </c>
      <c r="P716" s="167" t="str">
        <f>'030523 INVENTARIO'!R716</f>
        <v>S/M</v>
      </c>
      <c r="Q716" s="168" t="str">
        <f>'030523 INVENTARIO'!S716</f>
        <v>SIN SERIE</v>
      </c>
      <c r="R716" s="168" t="str">
        <f>'030523 INVENTARIO'!T716</f>
        <v>82DH0511010008000649768</v>
      </c>
    </row>
    <row r="717" spans="5:18">
      <c r="E717" s="167" t="str">
        <f>'030523 INVENTARIO'!E717</f>
        <v>VENTILADOR</v>
      </c>
      <c r="F717" s="167" t="str">
        <f>'030523 INVENTARIO'!F717</f>
        <v>VENTILADOR DE PEDESTAL BLANCO</v>
      </c>
      <c r="G717" s="167" t="str">
        <f ca="1">'030523 INVENTARIO'!G717</f>
        <v>P05RM-0716</v>
      </c>
      <c r="H717" s="167" t="str">
        <f>'030523 INVENTARIO'!J717</f>
        <v>P24SJ-0716</v>
      </c>
      <c r="I717" s="167" t="str">
        <f>'030523 INVENTARIO'!K717</f>
        <v>P24SJ-004</v>
      </c>
      <c r="J717" s="167" t="str">
        <f>'030523 INVENTARIO'!L717</f>
        <v>P2SJ-7</v>
      </c>
      <c r="K717" s="167" t="str">
        <f>'030523 INVENTARIO'!M717</f>
        <v>5190200002-4</v>
      </c>
      <c r="L717" s="168">
        <f>'030523 INVENTARIO'!N717</f>
        <v>0</v>
      </c>
      <c r="M717" s="168">
        <f>'030523 INVENTARIO'!O717</f>
        <v>0</v>
      </c>
      <c r="N717" s="168" t="str">
        <f>'030523 INVENTARIO'!P717</f>
        <v>OK</v>
      </c>
      <c r="O717" s="168" t="str">
        <f>'030523 INVENTARIO'!Q717</f>
        <v>LASKO</v>
      </c>
      <c r="P717" s="167">
        <f>'030523 INVENTARIO'!R717</f>
        <v>37268</v>
      </c>
      <c r="Q717" s="168" t="str">
        <f>'030523 INVENTARIO'!S717</f>
        <v>SIN SERIE</v>
      </c>
      <c r="R717" s="167" t="str">
        <f>'030523 INVENTARIO'!T717</f>
        <v>82DH0519010043000649724</v>
      </c>
    </row>
    <row r="718" spans="5:18">
      <c r="E718" s="167" t="str">
        <f>'030523 INVENTARIO'!E718</f>
        <v>MULTIFUNCIONAL</v>
      </c>
      <c r="F718" s="168" t="str">
        <f>'030523 INVENTARIO'!F718</f>
        <v>MULTIFUNCIONAL NEGRO</v>
      </c>
      <c r="G718" s="167" t="str">
        <f ca="1">'030523 INVENTARIO'!G718</f>
        <v>P24SJ-0717</v>
      </c>
      <c r="H718" s="167" t="str">
        <f>'030523 INVENTARIO'!J718</f>
        <v>P24SJ-0717</v>
      </c>
      <c r="I718" s="167" t="str">
        <f>'030523 INVENTARIO'!K718</f>
        <v>P24SJ-005</v>
      </c>
      <c r="J718" s="167" t="str">
        <f>'030523 INVENTARIO'!L718</f>
        <v>P2SJ-27</v>
      </c>
      <c r="K718" s="167" t="str">
        <f>'030523 INVENTARIO'!M718</f>
        <v>5190100027-1</v>
      </c>
      <c r="L718" s="168">
        <f>'030523 INVENTARIO'!N718</f>
        <v>0</v>
      </c>
      <c r="M718" s="168">
        <f>'030523 INVENTARIO'!O718</f>
        <v>0</v>
      </c>
      <c r="N718" s="168" t="str">
        <f>'030523 INVENTARIO'!P718</f>
        <v>OK</v>
      </c>
      <c r="O718" s="168" t="str">
        <f>'030523 INVENTARIO'!Q718</f>
        <v>HP</v>
      </c>
      <c r="P718" s="167" t="str">
        <f>'030523 INVENTARIO'!R718</f>
        <v>OFICEJET PRO 8710</v>
      </c>
      <c r="Q718" s="168" t="str">
        <f>'030523 INVENTARIO'!S718</f>
        <v>CN634BM0CT</v>
      </c>
      <c r="R718" s="167" t="str">
        <f>'030523 INVENTARIO'!T718</f>
        <v>82DH0515010014000649767</v>
      </c>
    </row>
    <row r="719" spans="5:18">
      <c r="E719" s="167" t="str">
        <f>'030523 INVENTARIO'!E719</f>
        <v>MESA</v>
      </c>
      <c r="F719" s="167" t="str">
        <f>'030523 INVENTARIO'!F719</f>
        <v>MESA DE MADERA CON RUEDAS 40X60</v>
      </c>
      <c r="G719" s="167" t="str">
        <f ca="1">'030523 INVENTARIO'!G719</f>
        <v>P24SJ-0718</v>
      </c>
      <c r="H719" s="167" t="str">
        <f>'030523 INVENTARIO'!J719</f>
        <v>P24SJ-0718</v>
      </c>
      <c r="I719" s="167" t="str">
        <f>'030523 INVENTARIO'!K719</f>
        <v>P24SJ-006</v>
      </c>
      <c r="J719" s="167" t="str">
        <f>'030523 INVENTARIO'!L719</f>
        <v>P2SJ-11</v>
      </c>
      <c r="K719" s="168" t="str">
        <f>'030523 INVENTARIO'!M719</f>
        <v>5120100007-29</v>
      </c>
      <c r="L719" s="168">
        <f>'030523 INVENTARIO'!N719</f>
        <v>0</v>
      </c>
      <c r="M719" s="168">
        <f>'030523 INVENTARIO'!O719</f>
        <v>0</v>
      </c>
      <c r="N719" s="168" t="str">
        <f>'030523 INVENTARIO'!P719</f>
        <v>OK</v>
      </c>
      <c r="O719" s="168" t="str">
        <f>'030523 INVENTARIO'!Q719</f>
        <v>S/M</v>
      </c>
      <c r="P719" s="167" t="str">
        <f>'030523 INVENTARIO'!R719</f>
        <v>S/M</v>
      </c>
      <c r="Q719" s="168" t="str">
        <f>'030523 INVENTARIO'!S719</f>
        <v>SIN SERIE</v>
      </c>
      <c r="R719" s="168" t="str">
        <f>'030523 INVENTARIO'!T719</f>
        <v>82DH0511010010000649777</v>
      </c>
    </row>
    <row r="720" spans="5:18">
      <c r="E720" s="167" t="str">
        <f>'030523 INVENTARIO'!E720</f>
        <v>SILLA</v>
      </c>
      <c r="F720" s="167" t="str">
        <f>'030523 INVENTARIO'!F720</f>
        <v>SILLA NEGRA CON METAL FIJA</v>
      </c>
      <c r="G720" s="167" t="str">
        <f ca="1">'030523 INVENTARIO'!G720</f>
        <v>P24CS-0719</v>
      </c>
      <c r="H720" s="167" t="str">
        <f>'030523 INVENTARIO'!J720</f>
        <v>P24SJ-0719</v>
      </c>
      <c r="I720" s="167" t="str">
        <f>'030523 INVENTARIO'!K720</f>
        <v>P24SJ-007</v>
      </c>
      <c r="J720" s="167" t="str">
        <f>'030523 INVENTARIO'!L720</f>
        <v>P2SJ-15</v>
      </c>
      <c r="K720" s="167" t="str">
        <f>'030523 INVENTARIO'!M720</f>
        <v>5110100011-9</v>
      </c>
      <c r="L720" s="168">
        <f>'030523 INVENTARIO'!N720</f>
        <v>0</v>
      </c>
      <c r="M720" s="168">
        <f>'030523 INVENTARIO'!O720</f>
        <v>0</v>
      </c>
      <c r="N720" s="168" t="str">
        <f>'030523 INVENTARIO'!P720</f>
        <v>OK</v>
      </c>
      <c r="O720" s="168" t="str">
        <f>'030523 INVENTARIO'!Q720</f>
        <v>S/M</v>
      </c>
      <c r="P720" s="167" t="str">
        <f>'030523 INVENTARIO'!R720</f>
        <v>S/M</v>
      </c>
      <c r="Q720" s="168" t="str">
        <f>'030523 INVENTARIO'!S720</f>
        <v>SIN SERIE</v>
      </c>
      <c r="R720" s="168" t="str">
        <f>'030523 INVENTARIO'!T720</f>
        <v>82HJ0511010017000564588</v>
      </c>
    </row>
    <row r="721" spans="5:18">
      <c r="E721" s="167" t="str">
        <f>'030523 INVENTARIO'!E721</f>
        <v>ARCHIVERO</v>
      </c>
      <c r="F721" s="167" t="str">
        <f>'030523 INVENTARIO'!F721</f>
        <v>ARCHIVERO DE MADERA CON 4 CAJONES 125X50X60</v>
      </c>
      <c r="G721" s="167" t="str">
        <f ca="1">'030523 INVENTARIO'!G721</f>
        <v>P24SJ-0720</v>
      </c>
      <c r="H721" s="167" t="str">
        <f>'030523 INVENTARIO'!J721</f>
        <v>P24SJ-0720</v>
      </c>
      <c r="I721" s="167" t="str">
        <f>'030523 INVENTARIO'!K721</f>
        <v>P24SJ-008</v>
      </c>
      <c r="J721" s="167" t="str">
        <f>'030523 INVENTARIO'!L721</f>
        <v>P2SJ-9</v>
      </c>
      <c r="K721" s="167" t="str">
        <f>'030523 INVENTARIO'!M721</f>
        <v>5130100013-3</v>
      </c>
      <c r="L721" s="168">
        <f>'030523 INVENTARIO'!N721</f>
        <v>0</v>
      </c>
      <c r="M721" s="168">
        <f>'030523 INVENTARIO'!O721</f>
        <v>0</v>
      </c>
      <c r="N721" s="168" t="str">
        <f>'030523 INVENTARIO'!P721</f>
        <v>OK</v>
      </c>
      <c r="O721" s="168" t="str">
        <f>'030523 INVENTARIO'!Q721</f>
        <v>S/M</v>
      </c>
      <c r="P721" s="167" t="str">
        <f>'030523 INVENTARIO'!R721</f>
        <v>S/M</v>
      </c>
      <c r="Q721" s="168" t="str">
        <f>'030523 INVENTARIO'!S721</f>
        <v>SIN SERIE</v>
      </c>
      <c r="R721" s="168" t="str">
        <f>'030523 INVENTARIO'!T721</f>
        <v>82DH0511010001000579099</v>
      </c>
    </row>
    <row r="722" spans="5:18">
      <c r="E722" s="167" t="str">
        <f>'030523 INVENTARIO'!E722</f>
        <v>SILLON</v>
      </c>
      <c r="F722" s="167" t="str">
        <f>'030523 INVENTARIO'!F722</f>
        <v>SILLÓN DE TELA NEGRO CON MADERA FIJO</v>
      </c>
      <c r="G722" s="167" t="str">
        <f ca="1">'030523 INVENTARIO'!G722</f>
        <v>P25RM-0721</v>
      </c>
      <c r="H722" s="167" t="str">
        <f>'030523 INVENTARIO'!J722</f>
        <v>P24SJ-0721</v>
      </c>
      <c r="I722" s="167" t="str">
        <f>'030523 INVENTARIO'!K722</f>
        <v>P24SJ-009</v>
      </c>
      <c r="J722" s="167" t="str">
        <f>'030523 INVENTARIO'!L722</f>
        <v>P2SJ-18</v>
      </c>
      <c r="K722" s="168" t="str">
        <f>'030523 INVENTARIO'!M722</f>
        <v>5120100009-17</v>
      </c>
      <c r="L722" s="168">
        <f>'030523 INVENTARIO'!N722</f>
        <v>0</v>
      </c>
      <c r="M722" s="168">
        <f>'030523 INVENTARIO'!O722</f>
        <v>0</v>
      </c>
      <c r="N722" s="168" t="str">
        <f>'030523 INVENTARIO'!P722</f>
        <v>OK</v>
      </c>
      <c r="O722" s="168" t="str">
        <f>'030523 INVENTARIO'!Q722</f>
        <v>S/M</v>
      </c>
      <c r="P722" s="167" t="str">
        <f>'030523 INVENTARIO'!R722</f>
        <v>S/M</v>
      </c>
      <c r="Q722" s="168" t="str">
        <f>'030523 INVENTARIO'!S722</f>
        <v>SIN SERIE</v>
      </c>
      <c r="R722" s="168" t="str">
        <f>'030523 INVENTARIO'!T722</f>
        <v>82DH0511010016000515589</v>
      </c>
    </row>
    <row r="723" spans="5:18">
      <c r="E723" s="167" t="str">
        <f>'030523 INVENTARIO'!E723</f>
        <v>SILLON</v>
      </c>
      <c r="F723" s="167" t="str">
        <f>'030523 INVENTARIO'!F723</f>
        <v>SILLÓN DE TELA NEGRO CON MADERA FIJO</v>
      </c>
      <c r="G723" s="167" t="str">
        <f ca="1">'030523 INVENTARIO'!G723</f>
        <v>P25RM-0722</v>
      </c>
      <c r="H723" s="167" t="str">
        <f>'030523 INVENTARIO'!J723</f>
        <v>P24SJ-0722</v>
      </c>
      <c r="I723" s="167" t="str">
        <f>'030523 INVENTARIO'!K723</f>
        <v>P24SJ-010</v>
      </c>
      <c r="J723" s="167" t="str">
        <f>'030523 INVENTARIO'!L723</f>
        <v>P2SJ-35</v>
      </c>
      <c r="K723" s="168" t="str">
        <f>'030523 INVENTARIO'!M723</f>
        <v>5120100009-16</v>
      </c>
      <c r="L723" s="168">
        <f>'030523 INVENTARIO'!N723</f>
        <v>0</v>
      </c>
      <c r="M723" s="168">
        <f>'030523 INVENTARIO'!O723</f>
        <v>0</v>
      </c>
      <c r="N723" s="168" t="str">
        <f>'030523 INVENTARIO'!P723</f>
        <v>OK</v>
      </c>
      <c r="O723" s="168" t="str">
        <f>'030523 INVENTARIO'!Q723</f>
        <v>S/M</v>
      </c>
      <c r="P723" s="167" t="str">
        <f>'030523 INVENTARIO'!R723</f>
        <v>S/M</v>
      </c>
      <c r="Q723" s="168" t="str">
        <f>'030523 INVENTARIO'!S723</f>
        <v>SIN SERIE</v>
      </c>
      <c r="R723" s="168" t="str">
        <f>'030523 INVENTARIO'!T723</f>
        <v>82DH0511010016000515613</v>
      </c>
    </row>
    <row r="724" spans="5:18">
      <c r="E724" s="167" t="str">
        <f>'030523 INVENTARIO'!E724</f>
        <v>MESA</v>
      </c>
      <c r="F724" s="167" t="str">
        <f>'030523 INVENTARIO'!F724</f>
        <v>MESA DE MADERA COMPLEMENTO 160X60</v>
      </c>
      <c r="G724" s="167" t="str">
        <f ca="1">'030523 INVENTARIO'!G724</f>
        <v>P24SJ-0723</v>
      </c>
      <c r="H724" s="167" t="str">
        <f>'030523 INVENTARIO'!J724</f>
        <v>P24SJ-0723</v>
      </c>
      <c r="I724" s="167">
        <f>'030523 INVENTARIO'!K724</f>
        <v>0</v>
      </c>
      <c r="J724" s="167" t="str">
        <f>'030523 INVENTARIO'!L724</f>
        <v>P2SJ-30</v>
      </c>
      <c r="K724" s="167" t="str">
        <f>'030523 INVENTARIO'!M724</f>
        <v>5120100007-31</v>
      </c>
      <c r="L724" s="168">
        <f>'030523 INVENTARIO'!N724</f>
        <v>0</v>
      </c>
      <c r="M724" s="168">
        <f>'030523 INVENTARIO'!O724</f>
        <v>0</v>
      </c>
      <c r="N724" s="168" t="str">
        <f>'030523 INVENTARIO'!P724</f>
        <v>OK</v>
      </c>
      <c r="O724" s="168" t="str">
        <f>'030523 INVENTARIO'!Q724</f>
        <v>S/M</v>
      </c>
      <c r="P724" s="167" t="str">
        <f>'030523 INVENTARIO'!R724</f>
        <v>S/M</v>
      </c>
      <c r="Q724" s="168" t="str">
        <f>'030523 INVENTARIO'!S724</f>
        <v>SIN SERIE</v>
      </c>
      <c r="R724" s="168" t="str">
        <f>'030523 INVENTARIO'!T724</f>
        <v>82DH0531010065000564772</v>
      </c>
    </row>
    <row r="725" spans="5:18">
      <c r="E725" s="167" t="str">
        <f>'030523 INVENTARIO'!E725</f>
        <v>CREDENZA</v>
      </c>
      <c r="F725" s="168" t="str">
        <f>'030523 INVENTARIO'!F725</f>
        <v>CREDENZA</v>
      </c>
      <c r="G725" s="167" t="str">
        <f ca="1">'030523 INVENTARIO'!G725</f>
        <v>P24SJ-0724</v>
      </c>
      <c r="H725" s="167" t="str">
        <f>'030523 INVENTARIO'!J725</f>
        <v>P24SJ-0724</v>
      </c>
      <c r="I725" s="167">
        <f>'030523 INVENTARIO'!K725</f>
        <v>0</v>
      </c>
      <c r="J725" s="167" t="str">
        <f>'030523 INVENTARIO'!L725</f>
        <v>P2SJ-40</v>
      </c>
      <c r="K725" s="167" t="str">
        <f>'030523 INVENTARIO'!M725</f>
        <v>5110100014-17</v>
      </c>
      <c r="L725" s="168">
        <f>'030523 INVENTARIO'!N725</f>
        <v>0</v>
      </c>
      <c r="M725" s="168">
        <f>'030523 INVENTARIO'!O725</f>
        <v>0</v>
      </c>
      <c r="N725" s="168" t="str">
        <f>'030523 INVENTARIO'!P725</f>
        <v>OK</v>
      </c>
      <c r="O725" s="168" t="str">
        <f>'030523 INVENTARIO'!Q725</f>
        <v>S/M</v>
      </c>
      <c r="P725" s="167" t="str">
        <f>'030523 INVENTARIO'!R725</f>
        <v>S/M</v>
      </c>
      <c r="Q725" s="168" t="str">
        <f>'030523 INVENTARIO'!S725</f>
        <v>SIN SERIE</v>
      </c>
      <c r="R725" s="168" t="str">
        <f>'030523 INVENTARIO'!T725</f>
        <v>SIN RESGUARDO</v>
      </c>
    </row>
    <row r="726" spans="5:18">
      <c r="E726" s="167" t="str">
        <f>'030523 INVENTARIO'!E726</f>
        <v>ESCRITORIO</v>
      </c>
      <c r="F726" s="167" t="str">
        <f>'030523 INVENTARIO'!F726</f>
        <v>ESCRITORIO DE MADERA TIPO ISLA DE 3 PIEZAS</v>
      </c>
      <c r="G726" s="167" t="str">
        <f ca="1">'030523 INVENTARIO'!G726</f>
        <v>P24SJ-0725</v>
      </c>
      <c r="H726" s="167" t="str">
        <f>'030523 INVENTARIO'!J726</f>
        <v>P24SJ-0725</v>
      </c>
      <c r="I726" s="167" t="str">
        <f>'030523 INVENTARIO'!K726</f>
        <v>P24SJ-011</v>
      </c>
      <c r="J726" s="167" t="str">
        <f>'030523 INVENTARIO'!L726</f>
        <v>P2SJ-10</v>
      </c>
      <c r="K726" s="167" t="str">
        <f>'030523 INVENTARIO'!M726</f>
        <v>5110100015-10</v>
      </c>
      <c r="L726" s="168">
        <f>'030523 INVENTARIO'!N726</f>
        <v>0</v>
      </c>
      <c r="M726" s="168">
        <f>'030523 INVENTARIO'!O726</f>
        <v>0</v>
      </c>
      <c r="N726" s="168" t="str">
        <f>'030523 INVENTARIO'!P726</f>
        <v>OK</v>
      </c>
      <c r="O726" s="168" t="str">
        <f>'030523 INVENTARIO'!Q726</f>
        <v>S/M</v>
      </c>
      <c r="P726" s="167" t="str">
        <f>'030523 INVENTARIO'!R726</f>
        <v>S/M</v>
      </c>
      <c r="Q726" s="168" t="str">
        <f>'030523 INVENTARIO'!S726</f>
        <v>SIN SERIE</v>
      </c>
      <c r="R726" s="168" t="str">
        <f>'030523 INVENTARIO'!T726</f>
        <v>82DH0511010006000583484</v>
      </c>
    </row>
    <row r="727" spans="5:18">
      <c r="E727" s="167" t="str">
        <f>'030523 INVENTARIO'!E727</f>
        <v>ESCRITORIO</v>
      </c>
      <c r="F727" s="167" t="str">
        <f>'030523 INVENTARIO'!F727</f>
        <v>ESCRITORIO DE MADERA CON 2 CAJONES</v>
      </c>
      <c r="G727" s="167" t="str">
        <f ca="1">'030523 INVENTARIO'!G727</f>
        <v>P24SJ-0726</v>
      </c>
      <c r="H727" s="167" t="str">
        <f>'030523 INVENTARIO'!J727</f>
        <v>P24SJ-0726</v>
      </c>
      <c r="I727" s="167" t="str">
        <f>'030523 INVENTARIO'!K727</f>
        <v>P24SJ-012</v>
      </c>
      <c r="J727" s="167" t="str">
        <f>'030523 INVENTARIO'!L727</f>
        <v>P2SJ-41</v>
      </c>
      <c r="K727" s="167" t="str">
        <f>'030523 INVENTARIO'!M727</f>
        <v>5110100015-72</v>
      </c>
      <c r="L727" s="168">
        <f>'030523 INVENTARIO'!N727</f>
        <v>0</v>
      </c>
      <c r="M727" s="168">
        <f>'030523 INVENTARIO'!O727</f>
        <v>0</v>
      </c>
      <c r="N727" s="168" t="str">
        <f>'030523 INVENTARIO'!P727</f>
        <v>OK</v>
      </c>
      <c r="O727" s="168" t="str">
        <f>'030523 INVENTARIO'!Q727</f>
        <v>S/M</v>
      </c>
      <c r="P727" s="167" t="str">
        <f>'030523 INVENTARIO'!R727</f>
        <v>S/M</v>
      </c>
      <c r="Q727" s="168" t="str">
        <f>'030523 INVENTARIO'!S727</f>
        <v>SIN SERIE</v>
      </c>
      <c r="R727" s="168" t="str">
        <f>'030523 INVENTARIO'!T727</f>
        <v>82DH0511010006000583683</v>
      </c>
    </row>
    <row r="728" spans="5:18">
      <c r="E728" s="167" t="str">
        <f>'030523 INVENTARIO'!E728</f>
        <v>TELEFONO</v>
      </c>
      <c r="F728" s="168" t="str">
        <f>'030523 INVENTARIO'!F728</f>
        <v>TELEFONO GRIS</v>
      </c>
      <c r="G728" s="167" t="str">
        <f ca="1">'030523 INVENTARIO'!G728</f>
        <v>P24SJ-0727</v>
      </c>
      <c r="H728" s="167" t="str">
        <f>'030523 INVENTARIO'!J728</f>
        <v>P24SJ-0727</v>
      </c>
      <c r="I728" s="167" t="str">
        <f>'030523 INVENTARIO'!K728</f>
        <v>P24SJ-013</v>
      </c>
      <c r="J728" s="167" t="str">
        <f>'030523 INVENTARIO'!L728</f>
        <v>P2SJ-23</v>
      </c>
      <c r="K728" s="167" t="str">
        <f>'030523 INVENTARIO'!M728</f>
        <v>5650100010-5</v>
      </c>
      <c r="L728" s="168">
        <f>'030523 INVENTARIO'!N728</f>
        <v>0</v>
      </c>
      <c r="M728" s="168">
        <f>'030523 INVENTARIO'!O728</f>
        <v>0</v>
      </c>
      <c r="N728" s="168" t="str">
        <f>'030523 INVENTARIO'!P728</f>
        <v>OK</v>
      </c>
      <c r="O728" s="168" t="str">
        <f>'030523 INVENTARIO'!Q728</f>
        <v>CISCO</v>
      </c>
      <c r="P728" s="167" t="str">
        <f>'030523 INVENTARIO'!R728</f>
        <v>SPA504G</v>
      </c>
      <c r="Q728" s="168" t="str">
        <f>'030523 INVENTARIO'!S728</f>
        <v>CCQ18330BBG</v>
      </c>
      <c r="R728" s="168" t="str">
        <f>'030523 INVENTARIO'!T728</f>
        <v>82DH0565010001000649766</v>
      </c>
    </row>
    <row r="729" spans="5:18">
      <c r="E729" s="167" t="str">
        <f>'030523 INVENTARIO'!E729</f>
        <v>MONITOR</v>
      </c>
      <c r="F729" s="167" t="str">
        <f>'030523 INVENTARIO'!F729</f>
        <v>PANTALLA NEGRA DE 32"</v>
      </c>
      <c r="G729" s="167" t="str">
        <f ca="1">'030523 INVENTARIO'!G729</f>
        <v>P25RM-0728</v>
      </c>
      <c r="H729" s="167" t="str">
        <f>'030523 INVENTARIO'!J729</f>
        <v>P24SJ-0728</v>
      </c>
      <c r="I729" s="167" t="str">
        <f>'030523 INVENTARIO'!K729</f>
        <v>P24SJ-014</v>
      </c>
      <c r="J729" s="167" t="str">
        <f>'030523 INVENTARIO'!L729</f>
        <v>P2SJ-37</v>
      </c>
      <c r="K729" s="167" t="str">
        <f>'030523 INVENTARIO'!M729</f>
        <v>5190100022-2</v>
      </c>
      <c r="L729" s="168">
        <f>'030523 INVENTARIO'!N729</f>
        <v>0</v>
      </c>
      <c r="M729" s="168">
        <f>'030523 INVENTARIO'!O729</f>
        <v>0</v>
      </c>
      <c r="N729" s="168" t="str">
        <f>'030523 INVENTARIO'!P729</f>
        <v>OK</v>
      </c>
      <c r="O729" s="168" t="str">
        <f>'030523 INVENTARIO'!Q729</f>
        <v>SANSUI</v>
      </c>
      <c r="P729" s="167" t="str">
        <f>'030523 INVENTARIO'!R729</f>
        <v>SMX32F1NF</v>
      </c>
      <c r="Q729" s="168" t="str">
        <f>'030523 INVENTARIO'!S729</f>
        <v>CTM200410202754</v>
      </c>
      <c r="R729" s="167" t="str">
        <f>'030523 INVENTARIO'!T729</f>
        <v>82DH0512010025000649410</v>
      </c>
    </row>
    <row r="730" spans="5:18">
      <c r="E730" s="167" t="str">
        <f>'030523 INVENTARIO'!E730</f>
        <v>COMPUTADORA DE ESCRITORIO</v>
      </c>
      <c r="F730" s="167" t="str">
        <f>'030523 INVENTARIO'!F730</f>
        <v>COMPUTADORA DE ESCRITORIO</v>
      </c>
      <c r="G730" s="167" t="str">
        <f ca="1">'030523 INVENTARIO'!G730</f>
        <v>P24SJ-0729</v>
      </c>
      <c r="H730" s="167" t="str">
        <f>'030523 INVENTARIO'!J730</f>
        <v>P24SJ-0729</v>
      </c>
      <c r="I730" s="167" t="str">
        <f>'030523 INVENTARIO'!K730</f>
        <v>P24SJ-015</v>
      </c>
      <c r="J730" s="167" t="str">
        <f>'030523 INVENTARIO'!L730</f>
        <v>P2SJ-22</v>
      </c>
      <c r="K730" s="167" t="str">
        <f>'030523 INVENTARIO'!M730</f>
        <v>5150100005-6</v>
      </c>
      <c r="L730" s="168">
        <f>'030523 INVENTARIO'!N730</f>
        <v>0</v>
      </c>
      <c r="M730" s="168">
        <f>'030523 INVENTARIO'!O730</f>
        <v>0</v>
      </c>
      <c r="N730" s="168" t="str">
        <f>'030523 INVENTARIO'!P730</f>
        <v>OK</v>
      </c>
      <c r="O730" s="168" t="str">
        <f>'030523 INVENTARIO'!Q730</f>
        <v>HP</v>
      </c>
      <c r="P730" s="167" t="str">
        <f>'030523 INVENTARIO'!R730</f>
        <v>SLIM TOWER 280</v>
      </c>
      <c r="Q730" s="168" t="str">
        <f>'030523 INVENTARIO'!S730</f>
        <v>3CR5440DT0</v>
      </c>
      <c r="R730" s="168" t="str">
        <f>'030523 INVENTARIO'!T730</f>
        <v>82DH0515010003000649376</v>
      </c>
    </row>
    <row r="731" spans="5:18">
      <c r="E731" s="167" t="str">
        <f>'030523 INVENTARIO'!E731</f>
        <v>DISCO DURO</v>
      </c>
      <c r="F731" s="168" t="str">
        <f>'030523 INVENTARIO'!F731</f>
        <v xml:space="preserve">DISCO DURO EXTERNO </v>
      </c>
      <c r="G731" s="167" t="str">
        <f ca="1">'030523 INVENTARIO'!G731</f>
        <v>P24SJ-0730</v>
      </c>
      <c r="H731" s="167" t="str">
        <f>'030523 INVENTARIO'!J731</f>
        <v>P24SJ-0730</v>
      </c>
      <c r="I731" s="167" t="str">
        <f>'030523 INVENTARIO'!K731</f>
        <v>P24SJ-016</v>
      </c>
      <c r="J731" s="167" t="str">
        <f>'030523 INVENTARIO'!L731</f>
        <v>P2SJ-20</v>
      </c>
      <c r="K731" s="167" t="str">
        <f>'030523 INVENTARIO'!M731</f>
        <v>5150100006-1</v>
      </c>
      <c r="L731" s="168">
        <f>'030523 INVENTARIO'!N731</f>
        <v>0</v>
      </c>
      <c r="M731" s="168">
        <f>'030523 INVENTARIO'!O731</f>
        <v>0</v>
      </c>
      <c r="N731" s="168" t="str">
        <f>'030523 INVENTARIO'!P731</f>
        <v>OK</v>
      </c>
      <c r="O731" s="168" t="str">
        <f>'030523 INVENTARIO'!Q731</f>
        <v>ADATA</v>
      </c>
      <c r="P731" s="167" t="str">
        <f>'030523 INVENTARIO'!R731</f>
        <v>HD710-1T</v>
      </c>
      <c r="Q731" s="168" t="str">
        <f>'030523 INVENTARIO'!S731</f>
        <v>1G4020046263</v>
      </c>
      <c r="R731" s="167" t="str">
        <f>'030523 INVENTARIO'!T731</f>
        <v>82DH0515010006000649399</v>
      </c>
    </row>
    <row r="732" spans="5:18">
      <c r="E732" s="167" t="str">
        <f>'030523 INVENTARIO'!E732</f>
        <v>NO BREAK</v>
      </c>
      <c r="F732" s="168" t="str">
        <f>'030523 INVENTARIO'!F732</f>
        <v>NO BREAK</v>
      </c>
      <c r="G732" s="167" t="str">
        <f ca="1">'030523 INVENTARIO'!G732</f>
        <v>P24SJ-0731</v>
      </c>
      <c r="H732" s="167" t="str">
        <f>'030523 INVENTARIO'!J732</f>
        <v>P24SJ-0731</v>
      </c>
      <c r="I732" s="167" t="str">
        <f>'030523 INVENTARIO'!K732</f>
        <v>P24SJ-017</v>
      </c>
      <c r="J732" s="167" t="str">
        <f>'030523 INVENTARIO'!L732</f>
        <v>P2SJ-38</v>
      </c>
      <c r="K732" s="167" t="str">
        <f>'030523 INVENTARIO'!M732</f>
        <v>5150100008-50</v>
      </c>
      <c r="L732" s="168">
        <f>'030523 INVENTARIO'!N732</f>
        <v>0</v>
      </c>
      <c r="M732" s="168">
        <f>'030523 INVENTARIO'!O732</f>
        <v>0</v>
      </c>
      <c r="N732" s="168" t="str">
        <f>'030523 INVENTARIO'!P732</f>
        <v>OK</v>
      </c>
      <c r="O732" s="168" t="str">
        <f>'030523 INVENTARIO'!Q732</f>
        <v>FORZA</v>
      </c>
      <c r="P732" s="167" t="str">
        <f>'030523 INVENTARIO'!R732</f>
        <v>NT751</v>
      </c>
      <c r="Q732" s="168" t="str">
        <f>'030523 INVENTARIO'!S732</f>
        <v>181222508481</v>
      </c>
      <c r="R732" s="168" t="str">
        <f>'030523 INVENTARIO'!T732</f>
        <v>82DH0515010016000649415</v>
      </c>
    </row>
    <row r="733" spans="5:18">
      <c r="E733" s="167" t="str">
        <f>'030523 INVENTARIO'!E733</f>
        <v>SILLON</v>
      </c>
      <c r="F733" s="168" t="str">
        <f>'030523 INVENTARIO'!F733</f>
        <v>SILLÓN NEGRO CON RUEDAS</v>
      </c>
      <c r="G733" s="167" t="str">
        <f ca="1">'030523 INVENTARIO'!G733</f>
        <v>P05RM-0732</v>
      </c>
      <c r="H733" s="167" t="str">
        <f>'030523 INVENTARIO'!J733</f>
        <v>P24SJ-0732</v>
      </c>
      <c r="I733" s="167" t="str">
        <f>'030523 INVENTARIO'!K733</f>
        <v>P24SJ-018</v>
      </c>
      <c r="J733" s="167" t="str">
        <f>'030523 INVENTARIO'!L733</f>
        <v>P2SJ-19</v>
      </c>
      <c r="K733" s="168" t="str">
        <f>'030523 INVENTARIO'!M733</f>
        <v>5120100009-18</v>
      </c>
      <c r="L733" s="168">
        <f>'030523 INVENTARIO'!N733</f>
        <v>0</v>
      </c>
      <c r="M733" s="168">
        <f>'030523 INVENTARIO'!O733</f>
        <v>0</v>
      </c>
      <c r="N733" s="168" t="str">
        <f>'030523 INVENTARIO'!P733</f>
        <v>OK</v>
      </c>
      <c r="O733" s="168" t="str">
        <f>'030523 INVENTARIO'!Q733</f>
        <v>S/M</v>
      </c>
      <c r="P733" s="167" t="str">
        <f>'030523 INVENTARIO'!R733</f>
        <v>S/M</v>
      </c>
      <c r="Q733" s="168" t="str">
        <f>'030523 INVENTARIO'!S733</f>
        <v>SIN SERIE</v>
      </c>
      <c r="R733" s="168" t="str">
        <f>'030523 INVENTARIO'!T733</f>
        <v>82DH0511010016000515590</v>
      </c>
    </row>
    <row r="734" spans="5:18">
      <c r="E734" s="167" t="str">
        <f>'030523 INVENTARIO'!E734</f>
        <v>MESA</v>
      </c>
      <c r="F734" s="167" t="str">
        <f>'030523 INVENTARIO'!F734</f>
        <v>MESA DE MADERA CON BASE DE METAL 100X40</v>
      </c>
      <c r="G734" s="167" t="str">
        <f ca="1">'030523 INVENTARIO'!G734</f>
        <v>P24SJ-0733</v>
      </c>
      <c r="H734" s="167" t="str">
        <f>'030523 INVENTARIO'!J734</f>
        <v>P24SJ-0733</v>
      </c>
      <c r="I734" s="167" t="str">
        <f>'030523 INVENTARIO'!K734</f>
        <v>P24SJ-019</v>
      </c>
      <c r="J734" s="167" t="str">
        <f>'030523 INVENTARIO'!L734</f>
        <v>P2SJ-26</v>
      </c>
      <c r="K734" s="167" t="str">
        <f>'030523 INVENTARIO'!M734</f>
        <v>5120100007-30</v>
      </c>
      <c r="L734" s="168">
        <f>'030523 INVENTARIO'!N734</f>
        <v>0</v>
      </c>
      <c r="M734" s="168">
        <f>'030523 INVENTARIO'!O734</f>
        <v>0</v>
      </c>
      <c r="N734" s="168" t="str">
        <f>'030523 INVENTARIO'!P734</f>
        <v>OK</v>
      </c>
      <c r="O734" s="168" t="str">
        <f>'030523 INVENTARIO'!Q734</f>
        <v>S/M</v>
      </c>
      <c r="P734" s="167" t="str">
        <f>'030523 INVENTARIO'!R734</f>
        <v>S/M</v>
      </c>
      <c r="Q734" s="168" t="str">
        <f>'030523 INVENTARIO'!S734</f>
        <v>SIN SERIE</v>
      </c>
      <c r="R734" s="168" t="str">
        <f>'030523 INVENTARIO'!T734</f>
        <v>82DH0531010065000564754</v>
      </c>
    </row>
    <row r="735" spans="5:18">
      <c r="E735" s="167" t="str">
        <f>'030523 INVENTARIO'!E735</f>
        <v>RECIBIDOR</v>
      </c>
      <c r="F735" s="167" t="str">
        <f>'030523 INVENTARIO'!F735</f>
        <v>RECIBIDOR DE TELA DE 3 PLAZAS CON BASE DE METAL</v>
      </c>
      <c r="G735" s="167" t="str">
        <f ca="1">'030523 INVENTARIO'!G735</f>
        <v>P24SJ-0734</v>
      </c>
      <c r="H735" s="167" t="str">
        <f>'030523 INVENTARIO'!J735</f>
        <v>P24SJ-0734</v>
      </c>
      <c r="I735" s="167" t="str">
        <f>'030523 INVENTARIO'!K735</f>
        <v>P24SJ-020</v>
      </c>
      <c r="J735" s="167" t="str">
        <f>'030523 INVENTARIO'!L735</f>
        <v>P2SJ-1</v>
      </c>
      <c r="K735" s="167" t="str">
        <f>'030523 INVENTARIO'!M735</f>
        <v>5120100005-1</v>
      </c>
      <c r="L735" s="168">
        <f>'030523 INVENTARIO'!N735</f>
        <v>0</v>
      </c>
      <c r="M735" s="168">
        <f>'030523 INVENTARIO'!O735</f>
        <v>0</v>
      </c>
      <c r="N735" s="168" t="str">
        <f>'030523 INVENTARIO'!P735</f>
        <v>OK</v>
      </c>
      <c r="O735" s="168" t="str">
        <f>'030523 INVENTARIO'!Q735</f>
        <v>S/M</v>
      </c>
      <c r="P735" s="167" t="str">
        <f>'030523 INVENTARIO'!R735</f>
        <v>S/M</v>
      </c>
      <c r="Q735" s="168" t="str">
        <f>'030523 INVENTARIO'!S735</f>
        <v>SIN SERIE</v>
      </c>
      <c r="R735" s="168" t="str">
        <f>'030523 INVENTARIO'!T735</f>
        <v>82DH0511010015000515554</v>
      </c>
    </row>
    <row r="736" spans="5:18">
      <c r="E736" s="167" t="str">
        <f>'030523 INVENTARIO'!E736</f>
        <v>RECIBIDOR</v>
      </c>
      <c r="F736" s="167" t="str">
        <f>'030523 INVENTARIO'!F736</f>
        <v>RECIBIDOR DE TELA DE 3 PLAZAS CON BASE DE METAL</v>
      </c>
      <c r="G736" s="167" t="str">
        <f ca="1">'030523 INVENTARIO'!G736</f>
        <v>P24SJ-0735</v>
      </c>
      <c r="H736" s="167" t="str">
        <f>'030523 INVENTARIO'!J736</f>
        <v>P24SJ-0735</v>
      </c>
      <c r="I736" s="167" t="str">
        <f>'030523 INVENTARIO'!K736</f>
        <v>P24SJ-021</v>
      </c>
      <c r="J736" s="167" t="str">
        <f>'030523 INVENTARIO'!L736</f>
        <v>P2SJ-34</v>
      </c>
      <c r="K736" s="167" t="str">
        <f>'030523 INVENTARIO'!M736</f>
        <v>5120100005-3</v>
      </c>
      <c r="L736" s="168">
        <f>'030523 INVENTARIO'!N736</f>
        <v>0</v>
      </c>
      <c r="M736" s="168">
        <f>'030523 INVENTARIO'!O736</f>
        <v>0</v>
      </c>
      <c r="N736" s="168" t="str">
        <f>'030523 INVENTARIO'!P736</f>
        <v>OK</v>
      </c>
      <c r="O736" s="168" t="str">
        <f>'030523 INVENTARIO'!Q736</f>
        <v>S/M</v>
      </c>
      <c r="P736" s="167" t="str">
        <f>'030523 INVENTARIO'!R736</f>
        <v>S/M</v>
      </c>
      <c r="Q736" s="168" t="str">
        <f>'030523 INVENTARIO'!S736</f>
        <v>SIN SERIE</v>
      </c>
      <c r="R736" s="168" t="str">
        <f>'030523 INVENTARIO'!T736</f>
        <v>82DH0511010015000518531</v>
      </c>
    </row>
    <row r="737" spans="5:18">
      <c r="E737" s="167" t="str">
        <f>'030523 INVENTARIO'!E737</f>
        <v>SILLON</v>
      </c>
      <c r="F737" s="167" t="str">
        <f>'030523 INVENTARIO'!F737</f>
        <v>SILLÓN DE TELA NEGRO CON MADERA FIJO</v>
      </c>
      <c r="G737" s="167" t="str">
        <f ca="1">'030523 INVENTARIO'!G737</f>
        <v>P24SJ-0736</v>
      </c>
      <c r="H737" s="167" t="str">
        <f>'030523 INVENTARIO'!J737</f>
        <v>P24SJ-0736</v>
      </c>
      <c r="I737" s="167" t="str">
        <f>'030523 INVENTARIO'!K737</f>
        <v>P24SJ-022</v>
      </c>
      <c r="J737" s="167" t="str">
        <f>'030523 INVENTARIO'!L737</f>
        <v>P2SJ-36</v>
      </c>
      <c r="K737" s="168" t="str">
        <f>'030523 INVENTARIO'!M737</f>
        <v>5120100009-19</v>
      </c>
      <c r="L737" s="168">
        <f>'030523 INVENTARIO'!N737</f>
        <v>0</v>
      </c>
      <c r="M737" s="168">
        <f>'030523 INVENTARIO'!O737</f>
        <v>0</v>
      </c>
      <c r="N737" s="168" t="str">
        <f>'030523 INVENTARIO'!P737</f>
        <v>OK</v>
      </c>
      <c r="O737" s="168" t="str">
        <f>'030523 INVENTARIO'!Q737</f>
        <v>S/M</v>
      </c>
      <c r="P737" s="167" t="str">
        <f>'030523 INVENTARIO'!R737</f>
        <v>S/M</v>
      </c>
      <c r="Q737" s="168" t="str">
        <f>'030523 INVENTARIO'!S737</f>
        <v>SIN SERIE</v>
      </c>
      <c r="R737" s="168" t="str">
        <f>'030523 INVENTARIO'!T737</f>
        <v>82DH0511010016000564683</v>
      </c>
    </row>
    <row r="738" spans="5:18">
      <c r="E738" s="167" t="str">
        <f>'030523 INVENTARIO'!E738</f>
        <v>SILLON</v>
      </c>
      <c r="F738" s="167" t="str">
        <f>'030523 INVENTARIO'!F738</f>
        <v>SILLÓN DE TELA NEGRO CON MADERA FIJO</v>
      </c>
      <c r="G738" s="167" t="str">
        <f ca="1">'030523 INVENTARIO'!G738</f>
        <v>P24SJ-0737</v>
      </c>
      <c r="H738" s="167" t="str">
        <f>'030523 INVENTARIO'!J738</f>
        <v>P24SJ-0737</v>
      </c>
      <c r="I738" s="167" t="str">
        <f>'030523 INVENTARIO'!K738</f>
        <v>P24SJ-023</v>
      </c>
      <c r="J738" s="167" t="str">
        <f>'030523 INVENTARIO'!L738</f>
        <v>P2SJ-17</v>
      </c>
      <c r="K738" s="167" t="str">
        <f>'030523 INVENTARIO'!M738</f>
        <v>5120100009-20</v>
      </c>
      <c r="L738" s="168">
        <f>'030523 INVENTARIO'!N738</f>
        <v>0</v>
      </c>
      <c r="M738" s="168">
        <f>'030523 INVENTARIO'!O738</f>
        <v>0</v>
      </c>
      <c r="N738" s="168" t="str">
        <f>'030523 INVENTARIO'!P738</f>
        <v>OK</v>
      </c>
      <c r="O738" s="168" t="str">
        <f>'030523 INVENTARIO'!Q738</f>
        <v>S/M</v>
      </c>
      <c r="P738" s="167" t="str">
        <f>'030523 INVENTARIO'!R738</f>
        <v>S/M</v>
      </c>
      <c r="Q738" s="168" t="str">
        <f>'030523 INVENTARIO'!S738</f>
        <v>SIN SERIE</v>
      </c>
      <c r="R738" s="168" t="str">
        <f>'030523 INVENTARIO'!T738</f>
        <v>82DH0511010016000649778</v>
      </c>
    </row>
    <row r="739" spans="5:18">
      <c r="E739" s="167" t="str">
        <f>'030523 INVENTARIO'!E739</f>
        <v>RECIBIDOR</v>
      </c>
      <c r="F739" s="167" t="str">
        <f>'030523 INVENTARIO'!F739</f>
        <v>RECIBIDOR DE TELA DE 3 PLAZAS CON BASE DE METAL</v>
      </c>
      <c r="G739" s="167" t="str">
        <f ca="1">'030523 INVENTARIO'!G739</f>
        <v>P24SJ-0738</v>
      </c>
      <c r="H739" s="167" t="str">
        <f>'030523 INVENTARIO'!J739</f>
        <v>P24SJ-0738</v>
      </c>
      <c r="I739" s="167" t="str">
        <f>'030523 INVENTARIO'!K739</f>
        <v>P24SJ-024</v>
      </c>
      <c r="J739" s="167" t="str">
        <f>'030523 INVENTARIO'!L739</f>
        <v>P2SJ-25</v>
      </c>
      <c r="K739" s="167" t="str">
        <f>'030523 INVENTARIO'!M739</f>
        <v>5120100005-2</v>
      </c>
      <c r="L739" s="168">
        <f>'030523 INVENTARIO'!N739</f>
        <v>0</v>
      </c>
      <c r="M739" s="168">
        <f>'030523 INVENTARIO'!O739</f>
        <v>0</v>
      </c>
      <c r="N739" s="168" t="str">
        <f>'030523 INVENTARIO'!P739</f>
        <v>OK</v>
      </c>
      <c r="O739" s="168" t="str">
        <f>'030523 INVENTARIO'!Q739</f>
        <v>S/M</v>
      </c>
      <c r="P739" s="167" t="str">
        <f>'030523 INVENTARIO'!R739</f>
        <v>S/M</v>
      </c>
      <c r="Q739" s="168" t="str">
        <f>'030523 INVENTARIO'!S739</f>
        <v>SIN SERIE</v>
      </c>
      <c r="R739" s="168" t="str">
        <f>'030523 INVENTARIO'!T739</f>
        <v>82DH0511010015000518498</v>
      </c>
    </row>
    <row r="740" spans="5:18">
      <c r="E740" s="167" t="str">
        <f>'030523 INVENTARIO'!E740</f>
        <v>VENTILADOR</v>
      </c>
      <c r="F740" s="167" t="str">
        <f>'030523 INVENTARIO'!F740</f>
        <v>VENTILADOR GRIS DE PARED</v>
      </c>
      <c r="G740" s="167" t="str">
        <f ca="1">'030523 INVENTARIO'!G740</f>
        <v>P25RM-0739</v>
      </c>
      <c r="H740" s="167" t="str">
        <f>'030523 INVENTARIO'!J740</f>
        <v>P24SJ-0739</v>
      </c>
      <c r="I740" s="167" t="str">
        <f>'030523 INVENTARIO'!K740</f>
        <v>P24SJ-025</v>
      </c>
      <c r="J740" s="167" t="str">
        <f>'030523 INVENTARIO'!L740</f>
        <v>P2SJ-24</v>
      </c>
      <c r="K740" s="167" t="str">
        <f>'030523 INVENTARIO'!M740</f>
        <v>5190200002-6</v>
      </c>
      <c r="L740" s="168">
        <f>'030523 INVENTARIO'!N740</f>
        <v>0</v>
      </c>
      <c r="M740" s="168">
        <f>'030523 INVENTARIO'!O740</f>
        <v>0</v>
      </c>
      <c r="N740" s="168" t="str">
        <f>'030523 INVENTARIO'!P740</f>
        <v>OK</v>
      </c>
      <c r="O740" s="168" t="str">
        <f>'030523 INVENTARIO'!Q740</f>
        <v>NAVIA</v>
      </c>
      <c r="P740" s="167" t="str">
        <f>'030523 INVENTARIO'!R740</f>
        <v>VPN/018</v>
      </c>
      <c r="Q740" s="168" t="str">
        <f>'030523 INVENTARIO'!S740</f>
        <v>SIN SERIE</v>
      </c>
      <c r="R740" s="168" t="str">
        <f>'030523 INVENTARIO'!T740</f>
        <v>82DH0519010043000649746</v>
      </c>
    </row>
    <row r="741" spans="5:18">
      <c r="E741" s="167" t="str">
        <f>'030523 INVENTARIO'!E741</f>
        <v>MESA</v>
      </c>
      <c r="F741" s="167" t="str">
        <f>'030523 INVENTARIO'!F741</f>
        <v>MESA TRAPECIO PLASTCA VERDE CON BASE DE METAL</v>
      </c>
      <c r="G741" s="167" t="str">
        <f ca="1">'030523 INVENTARIO'!G741</f>
        <v>P24SJ-0740</v>
      </c>
      <c r="H741" s="167" t="str">
        <f>'030523 INVENTARIO'!J741</f>
        <v>P24SJ-0740</v>
      </c>
      <c r="I741" s="167" t="str">
        <f>'030523 INVENTARIO'!K741</f>
        <v>P24SJ-026</v>
      </c>
      <c r="J741" s="167" t="str">
        <f>'030523 INVENTARIO'!L741</f>
        <v>P0A-20</v>
      </c>
      <c r="K741" s="167" t="str">
        <f>'030523 INVENTARIO'!M741</f>
        <v>5120100007-117</v>
      </c>
      <c r="L741" s="168">
        <f>'030523 INVENTARIO'!N741</f>
        <v>0</v>
      </c>
      <c r="M741" s="168">
        <f>'030523 INVENTARIO'!O741</f>
        <v>0</v>
      </c>
      <c r="N741" s="168" t="str">
        <f>'030523 INVENTARIO'!P741</f>
        <v>OK</v>
      </c>
      <c r="O741" s="168" t="str">
        <f>'030523 INVENTARIO'!Q741</f>
        <v>S/M</v>
      </c>
      <c r="P741" s="167" t="str">
        <f>'030523 INVENTARIO'!R741</f>
        <v>S/M</v>
      </c>
      <c r="Q741" s="168" t="str">
        <f>'030523 INVENTARIO'!S741</f>
        <v>SIN SERIE</v>
      </c>
      <c r="R741" s="168" t="str">
        <f>'030523 INVENTARIO'!T741</f>
        <v>82DH0531010065000564862</v>
      </c>
    </row>
    <row r="742" spans="5:18">
      <c r="E742" s="167" t="str">
        <f>'030523 INVENTARIO'!E742</f>
        <v>ARCHIVERO</v>
      </c>
      <c r="F742" s="167" t="str">
        <f>'030523 INVENTARIO'!F742</f>
        <v>ARCHIVERO DE METAL GRIS CON 4 CAJONES 133X46X68</v>
      </c>
      <c r="G742" s="167" t="str">
        <f ca="1">'030523 INVENTARIO'!G742</f>
        <v>P24SJ-0741</v>
      </c>
      <c r="H742" s="167" t="str">
        <f>'030523 INVENTARIO'!J742</f>
        <v>P24SJ-0741</v>
      </c>
      <c r="I742" s="167" t="str">
        <f>'030523 INVENTARIO'!K742</f>
        <v>P24SJ-027</v>
      </c>
      <c r="J742" s="167" t="str">
        <f>'030523 INVENTARIO'!L742</f>
        <v>P2SJ-32</v>
      </c>
      <c r="K742" s="167" t="str">
        <f>'030523 INVENTARIO'!M742</f>
        <v>5130100013-5</v>
      </c>
      <c r="L742" s="168">
        <f>'030523 INVENTARIO'!N742</f>
        <v>0</v>
      </c>
      <c r="M742" s="168">
        <f>'030523 INVENTARIO'!O742</f>
        <v>0</v>
      </c>
      <c r="N742" s="168" t="str">
        <f>'030523 INVENTARIO'!P742</f>
        <v>OK</v>
      </c>
      <c r="O742" s="168" t="str">
        <f>'030523 INVENTARIO'!Q742</f>
        <v>S/M</v>
      </c>
      <c r="P742" s="167" t="str">
        <f>'030523 INVENTARIO'!R742</f>
        <v>S/M</v>
      </c>
      <c r="Q742" s="168" t="str">
        <f>'030523 INVENTARIO'!S742</f>
        <v>SIN SERIE</v>
      </c>
      <c r="R742" s="168" t="str">
        <f>'030523 INVENTARIO'!T742</f>
        <v>82DH0511010001000570571</v>
      </c>
    </row>
    <row r="743" spans="5:18">
      <c r="E743" s="167" t="str">
        <f>'030523 INVENTARIO'!E743</f>
        <v>MESA</v>
      </c>
      <c r="F743" s="167" t="str">
        <f>'030523 INVENTARIO'!F743</f>
        <v>MESA DE MADERA COMPLEMENTO 160X60</v>
      </c>
      <c r="G743" s="167" t="str">
        <f ca="1">'030523 INVENTARIO'!G743</f>
        <v>P24SJ-0742</v>
      </c>
      <c r="H743" s="167" t="str">
        <f>'030523 INVENTARIO'!J743</f>
        <v>P24SJ-0742</v>
      </c>
      <c r="I743" s="167" t="str">
        <f>'030523 INVENTARIO'!K743</f>
        <v>P24SJ-028</v>
      </c>
      <c r="J743" s="167" t="str">
        <f>'030523 INVENTARIO'!L743</f>
        <v>P2SJ-4</v>
      </c>
      <c r="K743" s="167" t="str">
        <f>'030523 INVENTARIO'!M743</f>
        <v>5110100015-9</v>
      </c>
      <c r="L743" s="168">
        <f>'030523 INVENTARIO'!N743</f>
        <v>0</v>
      </c>
      <c r="M743" s="168">
        <f>'030523 INVENTARIO'!O743</f>
        <v>0</v>
      </c>
      <c r="N743" s="168" t="str">
        <f>'030523 INVENTARIO'!P743</f>
        <v>OK</v>
      </c>
      <c r="O743" s="168" t="str">
        <f>'030523 INVENTARIO'!Q743</f>
        <v>S/M</v>
      </c>
      <c r="P743" s="167" t="str">
        <f>'030523 INVENTARIO'!R743</f>
        <v>S/M</v>
      </c>
      <c r="Q743" s="168" t="str">
        <f>'030523 INVENTARIO'!S743</f>
        <v>SIN SERIE</v>
      </c>
      <c r="R743" s="168" t="str">
        <f>'030523 INVENTARIO'!T743</f>
        <v>SIN RESGUARDO</v>
      </c>
    </row>
    <row r="744" spans="5:18">
      <c r="E744" s="167" t="str">
        <f>'030523 INVENTARIO'!E744</f>
        <v>COMPUTADORA DE ESCRITORIO</v>
      </c>
      <c r="F744" s="167" t="str">
        <f>'030523 INVENTARIO'!F744</f>
        <v>COMPUTADORA TODO EN UNO BLANCO</v>
      </c>
      <c r="G744" s="167" t="str">
        <f ca="1">'030523 INVENTARIO'!G744</f>
        <v>P24CA-0743</v>
      </c>
      <c r="H744" s="167" t="str">
        <f>'030523 INVENTARIO'!J744</f>
        <v>P24SJ-0743</v>
      </c>
      <c r="I744" s="167" t="str">
        <f>'030523 INVENTARIO'!K744</f>
        <v>P24SJ-029</v>
      </c>
      <c r="J744" s="167" t="str">
        <f>'030523 INVENTARIO'!L744</f>
        <v>P2SJ-5</v>
      </c>
      <c r="K744" s="167" t="str">
        <f>'030523 INVENTARIO'!M744</f>
        <v>5150100005-5</v>
      </c>
      <c r="L744" s="168">
        <f>'030523 INVENTARIO'!N744</f>
        <v>0</v>
      </c>
      <c r="M744" s="168">
        <f>'030523 INVENTARIO'!O744</f>
        <v>0</v>
      </c>
      <c r="N744" s="168" t="str">
        <f>'030523 INVENTARIO'!P744</f>
        <v>OK</v>
      </c>
      <c r="O744" s="168" t="str">
        <f>'030523 INVENTARIO'!Q744</f>
        <v>LENOVO</v>
      </c>
      <c r="P744" s="167" t="str">
        <f>'030523 INVENTARIO'!R744</f>
        <v>AIO310 (C240)</v>
      </c>
      <c r="Q744" s="168" t="str">
        <f>'030523 INVENTARIO'!S744</f>
        <v>CS01295655</v>
      </c>
      <c r="R744" s="168" t="str">
        <f>'030523 INVENTARIO'!T744</f>
        <v>SIN RESGUARDO</v>
      </c>
    </row>
    <row r="745" spans="5:18">
      <c r="E745" s="167" t="str">
        <f>'030523 INVENTARIO'!E745</f>
        <v>SILLA</v>
      </c>
      <c r="F745" s="168" t="str">
        <f>'030523 INVENTARIO'!F745</f>
        <v>SILLA NEGRA CON RUEDAS</v>
      </c>
      <c r="G745" s="167" t="str">
        <f ca="1">'030523 INVENTARIO'!G745</f>
        <v>P24CA-0744</v>
      </c>
      <c r="H745" s="167" t="str">
        <f>'030523 INVENTARIO'!J745</f>
        <v>P24SJ-0744</v>
      </c>
      <c r="I745" s="167" t="str">
        <f>'030523 INVENTARIO'!K745</f>
        <v>P24SJ-030</v>
      </c>
      <c r="J745" s="167" t="str">
        <f>'030523 INVENTARIO'!L745</f>
        <v>P2SJ-2</v>
      </c>
      <c r="K745" s="167" t="str">
        <f>'030523 INVENTARIO'!M745</f>
        <v>5110100011-7</v>
      </c>
      <c r="L745" s="168">
        <f>'030523 INVENTARIO'!N745</f>
        <v>0</v>
      </c>
      <c r="M745" s="168">
        <f>'030523 INVENTARIO'!O745</f>
        <v>0</v>
      </c>
      <c r="N745" s="168" t="str">
        <f>'030523 INVENTARIO'!P745</f>
        <v>OK</v>
      </c>
      <c r="O745" s="168" t="str">
        <f>'030523 INVENTARIO'!Q745</f>
        <v>S/M</v>
      </c>
      <c r="P745" s="167" t="str">
        <f>'030523 INVENTARIO'!R745</f>
        <v>S/M</v>
      </c>
      <c r="Q745" s="168" t="str">
        <f>'030523 INVENTARIO'!S745</f>
        <v>SIN SERIE</v>
      </c>
      <c r="R745" s="168" t="str">
        <f>'030523 INVENTARIO'!T745</f>
        <v>82DH0511010017000516331</v>
      </c>
    </row>
    <row r="746" spans="5:18">
      <c r="E746" s="167" t="str">
        <f>'030523 INVENTARIO'!E746</f>
        <v>MESA</v>
      </c>
      <c r="F746" s="167" t="str">
        <f>'030523 INVENTARIO'!F746</f>
        <v>MESA DE MADERA COMPLEMENTO 160X60</v>
      </c>
      <c r="G746" s="167" t="str">
        <f ca="1">'030523 INVENTARIO'!G746</f>
        <v>P24SJ-0745</v>
      </c>
      <c r="H746" s="167" t="str">
        <f>'030523 INVENTARIO'!J746</f>
        <v>P24SJ-0745</v>
      </c>
      <c r="I746" s="167" t="str">
        <f>'030523 INVENTARIO'!K746</f>
        <v>P24SJ-031</v>
      </c>
      <c r="J746" s="167" t="str">
        <f>'030523 INVENTARIO'!L746</f>
        <v>P2SJ-3</v>
      </c>
      <c r="K746" s="167" t="str">
        <f>'030523 INVENTARIO'!M746</f>
        <v>5120100007-28</v>
      </c>
      <c r="L746" s="168">
        <f>'030523 INVENTARIO'!N746</f>
        <v>0</v>
      </c>
      <c r="M746" s="168">
        <f>'030523 INVENTARIO'!O746</f>
        <v>0</v>
      </c>
      <c r="N746" s="168" t="str">
        <f>'030523 INVENTARIO'!P746</f>
        <v>OK</v>
      </c>
      <c r="O746" s="168" t="str">
        <f>'030523 INVENTARIO'!Q746</f>
        <v>S/M</v>
      </c>
      <c r="P746" s="167" t="str">
        <f>'030523 INVENTARIO'!R746</f>
        <v>S/M</v>
      </c>
      <c r="Q746" s="168" t="str">
        <f>'030523 INVENTARIO'!S746</f>
        <v>SIN SERIE</v>
      </c>
      <c r="R746" s="168" t="str">
        <f>'030523 INVENTARIO'!T746</f>
        <v>82DH0531010065000564766</v>
      </c>
    </row>
    <row r="747" spans="5:18">
      <c r="E747" s="167" t="str">
        <f>'030523 INVENTARIO'!E747</f>
        <v>MESA</v>
      </c>
      <c r="F747" s="168" t="str">
        <f>'030523 INVENTARIO'!F747</f>
        <v>MESA DE MADERA CHICA</v>
      </c>
      <c r="G747" s="167" t="str">
        <f ca="1">'030523 INVENTARIO'!G747</f>
        <v>P24SJ-0746</v>
      </c>
      <c r="H747" s="167" t="str">
        <f>'030523 INVENTARIO'!J747</f>
        <v>P24SJ-0746</v>
      </c>
      <c r="I747" s="167" t="str">
        <f>'030523 INVENTARIO'!K747</f>
        <v>P24SJ-032</v>
      </c>
      <c r="J747" s="167" t="str">
        <f>'030523 INVENTARIO'!L747</f>
        <v>P2SJ-45</v>
      </c>
      <c r="K747" s="167" t="str">
        <f>'030523 INVENTARIO'!M747</f>
        <v>5120100007-32</v>
      </c>
      <c r="L747" s="168">
        <f>'030523 INVENTARIO'!N747</f>
        <v>0</v>
      </c>
      <c r="M747" s="168">
        <f>'030523 INVENTARIO'!O747</f>
        <v>0</v>
      </c>
      <c r="N747" s="168" t="str">
        <f>'030523 INVENTARIO'!P747</f>
        <v>OK</v>
      </c>
      <c r="O747" s="168" t="str">
        <f>'030523 INVENTARIO'!Q747</f>
        <v>S/M</v>
      </c>
      <c r="P747" s="167" t="str">
        <f>'030523 INVENTARIO'!R747</f>
        <v>S/M</v>
      </c>
      <c r="Q747" s="168" t="str">
        <f>'030523 INVENTARIO'!S747</f>
        <v>SIN SERIE</v>
      </c>
      <c r="R747" s="168" t="str">
        <f>'030523 INVENTARIO'!T747</f>
        <v>82DL0531010065000564762</v>
      </c>
    </row>
    <row r="748" spans="5:18">
      <c r="E748" s="167" t="str">
        <f>'030523 INVENTARIO'!E748</f>
        <v>CREDENZA</v>
      </c>
      <c r="F748" s="167" t="str">
        <f>'030523 INVENTARIO'!F748</f>
        <v>CREDENZA 74X124X48 CON 4 PUERTAS</v>
      </c>
      <c r="G748" s="167" t="str">
        <f ca="1">'030523 INVENTARIO'!G748</f>
        <v>P24SJ-0747</v>
      </c>
      <c r="H748" s="167" t="str">
        <f>'030523 INVENTARIO'!J748</f>
        <v>P24SJ-0747</v>
      </c>
      <c r="I748" s="167" t="str">
        <f>'030523 INVENTARIO'!K748</f>
        <v>P24SJ-033</v>
      </c>
      <c r="J748" s="167" t="str">
        <f>'030523 INVENTARIO'!L748</f>
        <v>P2SJ-46</v>
      </c>
      <c r="K748" s="167" t="str">
        <f>'030523 INVENTARIO'!M748</f>
        <v>5110100014-2</v>
      </c>
      <c r="L748" s="168">
        <f>'030523 INVENTARIO'!N748</f>
        <v>0</v>
      </c>
      <c r="M748" s="168">
        <f>'030523 INVENTARIO'!O748</f>
        <v>0</v>
      </c>
      <c r="N748" s="168" t="str">
        <f>'030523 INVENTARIO'!P748</f>
        <v>OK</v>
      </c>
      <c r="O748" s="168" t="str">
        <f>'030523 INVENTARIO'!Q748</f>
        <v>S/M</v>
      </c>
      <c r="P748" s="167" t="str">
        <f>'030523 INVENTARIO'!R748</f>
        <v>S/M</v>
      </c>
      <c r="Q748" s="168" t="str">
        <f>'030523 INVENTARIO'!S748</f>
        <v>SIN SERIE</v>
      </c>
      <c r="R748" s="168" t="str">
        <f>'030523 INVENTARIO'!T748</f>
        <v>82DL0511010005000649773</v>
      </c>
    </row>
    <row r="749" spans="5:18">
      <c r="E749" s="167" t="str">
        <f>'030523 INVENTARIO'!E749</f>
        <v>TELEFONO</v>
      </c>
      <c r="F749" s="168" t="str">
        <f>'030523 INVENTARIO'!F749</f>
        <v>TELEFONO GRIS</v>
      </c>
      <c r="G749" s="167" t="str">
        <f ca="1">'030523 INVENTARIO'!G749</f>
        <v>P24SJ-0748</v>
      </c>
      <c r="H749" s="167" t="str">
        <f>'030523 INVENTARIO'!J749</f>
        <v>P24SJ-0748</v>
      </c>
      <c r="I749" s="167" t="str">
        <f>'030523 INVENTARIO'!K749</f>
        <v>P24SJ-034</v>
      </c>
      <c r="J749" s="167" t="str">
        <f>'030523 INVENTARIO'!L749</f>
        <v>P2SJ-48</v>
      </c>
      <c r="K749" s="167" t="str">
        <f>'030523 INVENTARIO'!M749</f>
        <v>5650100010-6</v>
      </c>
      <c r="L749" s="168">
        <f>'030523 INVENTARIO'!N749</f>
        <v>0</v>
      </c>
      <c r="M749" s="168">
        <f>'030523 INVENTARIO'!O749</f>
        <v>0</v>
      </c>
      <c r="N749" s="168" t="str">
        <f>'030523 INVENTARIO'!P749</f>
        <v>OK</v>
      </c>
      <c r="O749" s="168" t="str">
        <f>'030523 INVENTARIO'!Q749</f>
        <v>CISCO</v>
      </c>
      <c r="P749" s="167" t="str">
        <f>'030523 INVENTARIO'!R749</f>
        <v>SPA504G</v>
      </c>
      <c r="Q749" s="168" t="str">
        <f>'030523 INVENTARIO'!S749</f>
        <v>CBT15400SMO</v>
      </c>
      <c r="R749" s="167" t="str">
        <f>'030523 INVENTARIO'!T749</f>
        <v>82DL0565010001000538212</v>
      </c>
    </row>
    <row r="750" spans="5:18">
      <c r="E750" s="167" t="str">
        <f>'030523 INVENTARIO'!E750</f>
        <v>NO BREAK</v>
      </c>
      <c r="F750" s="168" t="str">
        <f>'030523 INVENTARIO'!F750</f>
        <v>NO BREAK NEGRO</v>
      </c>
      <c r="G750" s="167" t="str">
        <f ca="1">'030523 INVENTARIO'!G750</f>
        <v>P24SJ-0749</v>
      </c>
      <c r="H750" s="167" t="str">
        <f>'030523 INVENTARIO'!J750</f>
        <v>P24SJ-0749</v>
      </c>
      <c r="I750" s="167" t="str">
        <f>'030523 INVENTARIO'!K750</f>
        <v>P24SJ-035</v>
      </c>
      <c r="J750" s="167" t="str">
        <f>'030523 INVENTARIO'!L750</f>
        <v>P2SJ-49</v>
      </c>
      <c r="K750" s="167" t="str">
        <f>'030523 INVENTARIO'!M750</f>
        <v>5150100008-3</v>
      </c>
      <c r="L750" s="168">
        <f>'030523 INVENTARIO'!N750</f>
        <v>0</v>
      </c>
      <c r="M750" s="168">
        <f>'030523 INVENTARIO'!O750</f>
        <v>0</v>
      </c>
      <c r="N750" s="168" t="str">
        <f>'030523 INVENTARIO'!P750</f>
        <v>OK</v>
      </c>
      <c r="O750" s="168" t="str">
        <f>'030523 INVENTARIO'!Q750</f>
        <v>FORZA</v>
      </c>
      <c r="P750" s="167" t="str">
        <f>'030523 INVENTARIO'!R750</f>
        <v>NT751</v>
      </c>
      <c r="Q750" s="168" t="str">
        <f>'030523 INVENTARIO'!S750</f>
        <v>190522503053</v>
      </c>
      <c r="R750" s="168" t="str">
        <f>'030523 INVENTARIO'!T750</f>
        <v>82DL0515010016000649413</v>
      </c>
    </row>
    <row r="751" spans="5:18">
      <c r="E751" s="167" t="str">
        <f>'030523 INVENTARIO'!E751</f>
        <v>REGULADOR DE VOLTAJE</v>
      </c>
      <c r="F751" s="168" t="str">
        <f>'030523 INVENTARIO'!F751</f>
        <v>REGULADOR NEGRO</v>
      </c>
      <c r="G751" s="167" t="str">
        <f ca="1">'030523 INVENTARIO'!G751</f>
        <v>P24SJ-0750</v>
      </c>
      <c r="H751" s="167" t="str">
        <f>'030523 INVENTARIO'!J751</f>
        <v>P24SJ-0750</v>
      </c>
      <c r="I751" s="167" t="str">
        <f>'030523 INVENTARIO'!K751</f>
        <v>P24SJ-036</v>
      </c>
      <c r="J751" s="167" t="str">
        <f>'030523 INVENTARIO'!L751</f>
        <v>P2SJ-44</v>
      </c>
      <c r="K751" s="167" t="str">
        <f>'030523 INVENTARIO'!M751</f>
        <v>5660100057-6</v>
      </c>
      <c r="L751" s="168">
        <f>'030523 INVENTARIO'!N751</f>
        <v>0</v>
      </c>
      <c r="M751" s="168">
        <f>'030523 INVENTARIO'!O751</f>
        <v>0</v>
      </c>
      <c r="N751" s="168" t="str">
        <f>'030523 INVENTARIO'!P751</f>
        <v>OK</v>
      </c>
      <c r="O751" s="168" t="str">
        <f>'030523 INVENTARIO'!Q751</f>
        <v>APC</v>
      </c>
      <c r="P751" s="167" t="str">
        <f>'030523 INVENTARIO'!R751</f>
        <v>BE350G-LM</v>
      </c>
      <c r="Q751" s="168" t="str">
        <f>'030523 INVENTARIO'!S751</f>
        <v>4B1439P11201</v>
      </c>
      <c r="R751" s="167" t="str">
        <f>'030523 INVENTARIO'!T751</f>
        <v>82DL0515010020000649772</v>
      </c>
    </row>
    <row r="752" spans="5:18">
      <c r="E752" s="167" t="str">
        <f>'030523 INVENTARIO'!E752</f>
        <v>ESCRITORIO</v>
      </c>
      <c r="F752" s="167" t="str">
        <f>'030523 INVENTARIO'!F752</f>
        <v>ESCRITORIO BASE DE METAL DE 4 CAJONES 160 X 70</v>
      </c>
      <c r="G752" s="167" t="str">
        <f ca="1">'030523 INVENTARIO'!G752</f>
        <v>P24SJ-0751</v>
      </c>
      <c r="H752" s="167" t="str">
        <f>'030523 INVENTARIO'!J752</f>
        <v>P24SJ-0751</v>
      </c>
      <c r="I752" s="167" t="str">
        <f>'030523 INVENTARIO'!K752</f>
        <v>P24SJ-037</v>
      </c>
      <c r="J752" s="167" t="str">
        <f>'030523 INVENTARIO'!L752</f>
        <v>P2SJ-42</v>
      </c>
      <c r="K752" s="167" t="str">
        <f>'030523 INVENTARIO'!M752</f>
        <v>5110100015-11</v>
      </c>
      <c r="L752" s="168">
        <f>'030523 INVENTARIO'!N752</f>
        <v>0</v>
      </c>
      <c r="M752" s="168">
        <f>'030523 INVENTARIO'!O752</f>
        <v>0</v>
      </c>
      <c r="N752" s="168" t="str">
        <f>'030523 INVENTARIO'!P752</f>
        <v>OK</v>
      </c>
      <c r="O752" s="168" t="str">
        <f>'030523 INVENTARIO'!Q752</f>
        <v>S/M</v>
      </c>
      <c r="P752" s="167" t="str">
        <f>'030523 INVENTARIO'!R752</f>
        <v>S/M</v>
      </c>
      <c r="Q752" s="168" t="str">
        <f>'030523 INVENTARIO'!S752</f>
        <v>SIN SERIE</v>
      </c>
      <c r="R752" s="168" t="str">
        <f>'030523 INVENTARIO'!T752</f>
        <v>82DL0511010006000518506</v>
      </c>
    </row>
    <row r="753" spans="5:18">
      <c r="E753" s="167" t="str">
        <f>'030523 INVENTARIO'!E753</f>
        <v>SILLA</v>
      </c>
      <c r="F753" s="168" t="str">
        <f>'030523 INVENTARIO'!F753</f>
        <v>SILLA DE TELA CAFÉ CON RUEDAS</v>
      </c>
      <c r="G753" s="167" t="str">
        <f ca="1">'030523 INVENTARIO'!G753</f>
        <v>P24SJ-0752</v>
      </c>
      <c r="H753" s="167" t="str">
        <f>'030523 INVENTARIO'!J753</f>
        <v>P24SJ-0752</v>
      </c>
      <c r="I753" s="167" t="str">
        <f>'030523 INVENTARIO'!K753</f>
        <v>P24SJ-038</v>
      </c>
      <c r="J753" s="167" t="str">
        <f>'030523 INVENTARIO'!L753</f>
        <v>P2SJ-47</v>
      </c>
      <c r="K753" s="167" t="str">
        <f>'030523 INVENTARIO'!M753</f>
        <v>5110100011-10</v>
      </c>
      <c r="L753" s="168">
        <f>'030523 INVENTARIO'!N753</f>
        <v>0</v>
      </c>
      <c r="M753" s="168">
        <f>'030523 INVENTARIO'!O753</f>
        <v>0</v>
      </c>
      <c r="N753" s="168" t="str">
        <f>'030523 INVENTARIO'!P753</f>
        <v>OK</v>
      </c>
      <c r="O753" s="168" t="str">
        <f>'030523 INVENTARIO'!Q753</f>
        <v>S/M</v>
      </c>
      <c r="P753" s="167" t="str">
        <f>'030523 INVENTARIO'!R753</f>
        <v>S/M</v>
      </c>
      <c r="Q753" s="168" t="str">
        <f>'030523 INVENTARIO'!S753</f>
        <v>SIN SERIE</v>
      </c>
      <c r="R753" s="168" t="str">
        <f>'030523 INVENTARIO'!T753</f>
        <v>82DL0511010017000516185</v>
      </c>
    </row>
    <row r="754" spans="5:18">
      <c r="E754" s="167" t="str">
        <f>'030523 INVENTARIO'!E754</f>
        <v>COMPUTADORA DE ESCRITORIO</v>
      </c>
      <c r="F754" s="167" t="str">
        <f>'030523 INVENTARIO'!F754</f>
        <v>COMPUTADORA TODO EN UNO BLANCO</v>
      </c>
      <c r="G754" s="167" t="str">
        <f ca="1">'030523 INVENTARIO'!G754</f>
        <v>P24SJ-0753</v>
      </c>
      <c r="H754" s="167" t="str">
        <f>'030523 INVENTARIO'!J754</f>
        <v>P24SJ-0753</v>
      </c>
      <c r="I754" s="167" t="str">
        <f>'030523 INVENTARIO'!K754</f>
        <v>P24SJ-039</v>
      </c>
      <c r="J754" s="167" t="str">
        <f>'030523 INVENTARIO'!L754</f>
        <v>P2SJ-43</v>
      </c>
      <c r="K754" s="167" t="str">
        <f>'030523 INVENTARIO'!M754</f>
        <v>5150100005-7</v>
      </c>
      <c r="L754" s="168">
        <f>'030523 INVENTARIO'!N754</f>
        <v>0</v>
      </c>
      <c r="M754" s="168">
        <f>'030523 INVENTARIO'!O754</f>
        <v>0</v>
      </c>
      <c r="N754" s="168" t="str">
        <f>'030523 INVENTARIO'!P754</f>
        <v>OK</v>
      </c>
      <c r="O754" s="168" t="str">
        <f>'030523 INVENTARIO'!Q754</f>
        <v>LENOVO</v>
      </c>
      <c r="P754" s="167" t="str">
        <f>'030523 INVENTARIO'!R754</f>
        <v>CS03101903 (C240)</v>
      </c>
      <c r="Q754" s="168" t="str">
        <f>'030523 INVENTARIO'!S754</f>
        <v>CS01150292</v>
      </c>
      <c r="R754" s="167" t="str">
        <f>'030523 INVENTARIO'!T754</f>
        <v>SIN RESGUARDO</v>
      </c>
    </row>
    <row r="755" spans="5:18">
      <c r="E755" s="167" t="str">
        <f>'030523 INVENTARIO'!E755</f>
        <v>ARCHIVERO</v>
      </c>
      <c r="F755" s="168" t="str">
        <f>'030523 INVENTARIO'!F755</f>
        <v>ARCHIVERO DE METAL GRIS CON 4 CAJONES</v>
      </c>
      <c r="G755" s="167" t="str">
        <f ca="1">'030523 INVENTARIO'!G755</f>
        <v>P24SJ-0754</v>
      </c>
      <c r="H755" s="167" t="str">
        <f>'030523 INVENTARIO'!J755</f>
        <v>P24SJ-0754</v>
      </c>
      <c r="I755" s="167" t="str">
        <f>'030523 INVENTARIO'!K755</f>
        <v>P24SJ-040</v>
      </c>
      <c r="J755" s="167" t="str">
        <f>'030523 INVENTARIO'!L755</f>
        <v>P2SJ-33</v>
      </c>
      <c r="K755" s="167" t="str">
        <f>'030523 INVENTARIO'!M755</f>
        <v>5130100013-4</v>
      </c>
      <c r="L755" s="168">
        <f>'030523 INVENTARIO'!N755</f>
        <v>0</v>
      </c>
      <c r="M755" s="168">
        <f>'030523 INVENTARIO'!O755</f>
        <v>0</v>
      </c>
      <c r="N755" s="168" t="str">
        <f>'030523 INVENTARIO'!P755</f>
        <v>OK</v>
      </c>
      <c r="O755" s="168" t="str">
        <f>'030523 INVENTARIO'!Q755</f>
        <v>S/M</v>
      </c>
      <c r="P755" s="167" t="str">
        <f>'030523 INVENTARIO'!R755</f>
        <v>S/M</v>
      </c>
      <c r="Q755" s="168" t="str">
        <f>'030523 INVENTARIO'!S755</f>
        <v>SIN SERIE</v>
      </c>
      <c r="R755" s="168" t="str">
        <f>'030523 INVENTARIO'!T755</f>
        <v>82DJH05101000000570571</v>
      </c>
    </row>
    <row r="756" spans="5:18">
      <c r="E756" s="167" t="str">
        <f>'030523 INVENTARIO'!E756</f>
        <v>MESA</v>
      </c>
      <c r="F756" s="167" t="str">
        <f>'030523 INVENTARIO'!F756</f>
        <v>MESA MADERA CON BASE DE METAL 120X60</v>
      </c>
      <c r="G756" s="167" t="str">
        <f ca="1">'030523 INVENTARIO'!G756</f>
        <v>P24SJ-0755</v>
      </c>
      <c r="H756" s="167" t="str">
        <f>'030523 INVENTARIO'!J756</f>
        <v>P24SJ-0755</v>
      </c>
      <c r="I756" s="167" t="str">
        <f>'030523 INVENTARIO'!K756</f>
        <v>P24SJ-041</v>
      </c>
      <c r="J756" s="167" t="str">
        <f>'030523 INVENTARIO'!L756</f>
        <v>P2SJ-50</v>
      </c>
      <c r="K756" s="167" t="str">
        <f>'030523 INVENTARIO'!M756</f>
        <v>5120100007-36</v>
      </c>
      <c r="L756" s="168">
        <f>'030523 INVENTARIO'!N756</f>
        <v>0</v>
      </c>
      <c r="M756" s="168">
        <f>'030523 INVENTARIO'!O756</f>
        <v>0</v>
      </c>
      <c r="N756" s="168" t="str">
        <f>'030523 INVENTARIO'!P756</f>
        <v>OK</v>
      </c>
      <c r="O756" s="168" t="str">
        <f>'030523 INVENTARIO'!Q756</f>
        <v>S/M</v>
      </c>
      <c r="P756" s="167" t="str">
        <f>'030523 INVENTARIO'!R756</f>
        <v>S/M</v>
      </c>
      <c r="Q756" s="168" t="str">
        <f>'030523 INVENTARIO'!S756</f>
        <v>SIN SERIE</v>
      </c>
      <c r="R756" s="168" t="str">
        <f>'030523 INVENTARIO'!T756</f>
        <v>82DH0531010065000564756</v>
      </c>
    </row>
    <row r="757" spans="5:18">
      <c r="E757" s="167" t="str">
        <f>'030523 INVENTARIO'!E757</f>
        <v>VENTILADOR</v>
      </c>
      <c r="F757" s="167" t="str">
        <f>'030523 INVENTARIO'!F757</f>
        <v>VENTILADOR BLANCO DE TORRE</v>
      </c>
      <c r="G757" s="167" t="str">
        <f ca="1">'030523 INVENTARIO'!G757</f>
        <v>P24SJ-0756</v>
      </c>
      <c r="H757" s="167" t="str">
        <f>'030523 INVENTARIO'!J757</f>
        <v>P24SJ-0756</v>
      </c>
      <c r="I757" s="167" t="str">
        <f>'030523 INVENTARIO'!K757</f>
        <v>P24SJ-042</v>
      </c>
      <c r="J757" s="167" t="str">
        <f>'030523 INVENTARIO'!L757</f>
        <v>P2A-23</v>
      </c>
      <c r="K757" s="168" t="str">
        <f>'030523 INVENTARIO'!M757</f>
        <v>5190200002-11</v>
      </c>
      <c r="L757" s="168">
        <f>'030523 INVENTARIO'!N757</f>
        <v>0</v>
      </c>
      <c r="M757" s="168">
        <f>'030523 INVENTARIO'!O757</f>
        <v>0</v>
      </c>
      <c r="N757" s="168" t="str">
        <f>'030523 INVENTARIO'!P757</f>
        <v>OK</v>
      </c>
      <c r="O757" s="168" t="str">
        <f>'030523 INVENTARIO'!Q757</f>
        <v>HOLMES</v>
      </c>
      <c r="P757" s="167" t="str">
        <f>'030523 INVENTARIO'!R757</f>
        <v>HT26PED</v>
      </c>
      <c r="Q757" s="168" t="str">
        <f>'030523 INVENTARIO'!S757</f>
        <v>SIN SERIE</v>
      </c>
      <c r="R757" s="167" t="str">
        <f>'030523 INVENTARIO'!T757</f>
        <v>82DH0519010043000649781</v>
      </c>
    </row>
    <row r="758" spans="5:18">
      <c r="E758" s="167" t="str">
        <f>'030523 INVENTARIO'!E758</f>
        <v>SILLON</v>
      </c>
      <c r="F758" s="167" t="str">
        <f>'030523 INVENTARIO'!F758</f>
        <v>SILLON NEGRO CON RUEDAS</v>
      </c>
      <c r="G758" s="167" t="str">
        <f ca="1">'030523 INVENTARIO'!G758</f>
        <v>P35RM-0757</v>
      </c>
      <c r="H758" s="167" t="str">
        <f>'030523 INVENTARIO'!J758</f>
        <v>P24SJ-0757</v>
      </c>
      <c r="I758" s="167" t="str">
        <f>'030523 INVENTARIO'!K758</f>
        <v>P24SJ-043</v>
      </c>
      <c r="J758" s="167" t="str">
        <f>'030523 INVENTARIO'!L758</f>
        <v>P2SJ-53</v>
      </c>
      <c r="K758" s="167" t="str">
        <f>'030523 INVENTARIO'!M758</f>
        <v>5110100011-15</v>
      </c>
      <c r="L758" s="168">
        <f>'030523 INVENTARIO'!N758</f>
        <v>0</v>
      </c>
      <c r="M758" s="168">
        <f>'030523 INVENTARIO'!O758</f>
        <v>0</v>
      </c>
      <c r="N758" s="168" t="str">
        <f>'030523 INVENTARIO'!P758</f>
        <v>OK</v>
      </c>
      <c r="O758" s="168" t="str">
        <f>'030523 INVENTARIO'!Q758</f>
        <v>S/M</v>
      </c>
      <c r="P758" s="167" t="str">
        <f>'030523 INVENTARIO'!R758</f>
        <v>S/M</v>
      </c>
      <c r="Q758" s="168" t="str">
        <f>'030523 INVENTARIO'!S758</f>
        <v>SIN SERIE</v>
      </c>
      <c r="R758" s="168" t="str">
        <f>'030523 INVENTARIO'!T758</f>
        <v>82DH0511010017000649771</v>
      </c>
    </row>
    <row r="759" spans="5:18">
      <c r="E759" s="167" t="str">
        <f>'030523 INVENTARIO'!E759</f>
        <v>SILLA</v>
      </c>
      <c r="F759" s="168" t="str">
        <f>'030523 INVENTARIO'!F759</f>
        <v>SILLA CAFÉ DE TELA</v>
      </c>
      <c r="G759" s="167" t="str">
        <f ca="1">'030523 INVENTARIO'!G759</f>
        <v>P24SJ-0758</v>
      </c>
      <c r="H759" s="167" t="str">
        <f>'030523 INVENTARIO'!J759</f>
        <v>P24SJ-0758</v>
      </c>
      <c r="I759" s="167" t="str">
        <f>'030523 INVENTARIO'!K759</f>
        <v>P24SJ-044</v>
      </c>
      <c r="J759" s="167" t="str">
        <f>'030523 INVENTARIO'!L759</f>
        <v>P2SJ-55</v>
      </c>
      <c r="K759" s="167" t="str">
        <f>'030523 INVENTARIO'!M759</f>
        <v>5110100011-16</v>
      </c>
      <c r="L759" s="168">
        <f>'030523 INVENTARIO'!N759</f>
        <v>0</v>
      </c>
      <c r="M759" s="168">
        <f>'030523 INVENTARIO'!O759</f>
        <v>0</v>
      </c>
      <c r="N759" s="168" t="str">
        <f>'030523 INVENTARIO'!P759</f>
        <v>OK</v>
      </c>
      <c r="O759" s="168" t="str">
        <f>'030523 INVENTARIO'!Q759</f>
        <v>S/M</v>
      </c>
      <c r="P759" s="167" t="str">
        <f>'030523 INVENTARIO'!R759</f>
        <v>S/M</v>
      </c>
      <c r="Q759" s="168" t="str">
        <f>'030523 INVENTARIO'!S759</f>
        <v>SIN SERIE</v>
      </c>
      <c r="R759" s="168" t="str">
        <f>'030523 INVENTARIO'!T759</f>
        <v>82DH0511010017000516177</v>
      </c>
    </row>
    <row r="760" spans="5:18">
      <c r="E760" s="167" t="str">
        <f>'030523 INVENTARIO'!E760</f>
        <v>MESA</v>
      </c>
      <c r="F760" s="167" t="str">
        <f>'030523 INVENTARIO'!F760</f>
        <v>MESA DE MADERA CON BASE DE METAL CON RUEDAS 60X40</v>
      </c>
      <c r="G760" s="167" t="str">
        <f ca="1">'030523 INVENTARIO'!G760</f>
        <v>P24SJ-0759</v>
      </c>
      <c r="H760" s="167" t="str">
        <f>'030523 INVENTARIO'!J760</f>
        <v>P24SJ-0759</v>
      </c>
      <c r="I760" s="167" t="str">
        <f>'030523 INVENTARIO'!K760</f>
        <v>P24SJ-045</v>
      </c>
      <c r="J760" s="167" t="str">
        <f>'030523 INVENTARIO'!L760</f>
        <v>P2SJ-57</v>
      </c>
      <c r="K760" s="167" t="str">
        <f>'030523 INVENTARIO'!M760</f>
        <v>5120100007-37</v>
      </c>
      <c r="L760" s="168">
        <f>'030523 INVENTARIO'!N760</f>
        <v>0</v>
      </c>
      <c r="M760" s="168">
        <f>'030523 INVENTARIO'!O760</f>
        <v>0</v>
      </c>
      <c r="N760" s="168" t="str">
        <f>'030523 INVENTARIO'!P760</f>
        <v>OK</v>
      </c>
      <c r="O760" s="168" t="str">
        <f>'030523 INVENTARIO'!Q760</f>
        <v>S/M</v>
      </c>
      <c r="P760" s="167" t="str">
        <f>'030523 INVENTARIO'!R760</f>
        <v>S/M</v>
      </c>
      <c r="Q760" s="168" t="str">
        <f>'030523 INVENTARIO'!S760</f>
        <v>SIN SERIE</v>
      </c>
      <c r="R760" s="168" t="str">
        <f>'030523 INVENTARIO'!T760</f>
        <v>82DH0531010065000564828</v>
      </c>
    </row>
    <row r="761" spans="5:18">
      <c r="E761" s="167" t="str">
        <f>'030523 INVENTARIO'!E761</f>
        <v>ESCRITORIO</v>
      </c>
      <c r="F761" s="167" t="str">
        <f>'030523 INVENTARIO'!F761</f>
        <v>ESCRITORIO CON 2 CAJONES 120X75</v>
      </c>
      <c r="G761" s="167" t="str">
        <f ca="1">'030523 INVENTARIO'!G761</f>
        <v>P24SJ-0760</v>
      </c>
      <c r="H761" s="167" t="str">
        <f>'030523 INVENTARIO'!J761</f>
        <v>P24SJ-0760</v>
      </c>
      <c r="I761" s="167" t="str">
        <f>'030523 INVENTARIO'!K761</f>
        <v>P24SJ-046</v>
      </c>
      <c r="J761" s="167" t="str">
        <f>'030523 INVENTARIO'!L761</f>
        <v>P2SJ-56</v>
      </c>
      <c r="K761" s="167" t="str">
        <f>'030523 INVENTARIO'!M761</f>
        <v>5110100015-15</v>
      </c>
      <c r="L761" s="168">
        <f>'030523 INVENTARIO'!N761</f>
        <v>0</v>
      </c>
      <c r="M761" s="168">
        <f>'030523 INVENTARIO'!O761</f>
        <v>0</v>
      </c>
      <c r="N761" s="168" t="str">
        <f>'030523 INVENTARIO'!P761</f>
        <v>OK</v>
      </c>
      <c r="O761" s="168" t="str">
        <f>'030523 INVENTARIO'!Q761</f>
        <v>S/M</v>
      </c>
      <c r="P761" s="167" t="str">
        <f>'030523 INVENTARIO'!R761</f>
        <v>S/M</v>
      </c>
      <c r="Q761" s="168" t="str">
        <f>'030523 INVENTARIO'!S761</f>
        <v>SIN SERIE</v>
      </c>
      <c r="R761" s="168" t="str">
        <f>'030523 INVENTARIO'!T761</f>
        <v>82DH0511010006000649780</v>
      </c>
    </row>
    <row r="762" spans="5:18">
      <c r="E762" s="167" t="str">
        <f>'030523 INVENTARIO'!E762</f>
        <v>NO BREAK</v>
      </c>
      <c r="F762" s="168" t="str">
        <f>'030523 INVENTARIO'!F762</f>
        <v>NO BREAK</v>
      </c>
      <c r="G762" s="167" t="str">
        <f ca="1">'030523 INVENTARIO'!G762</f>
        <v>P24SJ-0761</v>
      </c>
      <c r="H762" s="167" t="str">
        <f>'030523 INVENTARIO'!J762</f>
        <v>P24SJ-0761</v>
      </c>
      <c r="I762" s="167" t="str">
        <f>'030523 INVENTARIO'!K762</f>
        <v>P24SJ-047</v>
      </c>
      <c r="J762" s="167" t="str">
        <f>'030523 INVENTARIO'!L762</f>
        <v>P2SJ-52</v>
      </c>
      <c r="K762" s="167" t="str">
        <f>'030523 INVENTARIO'!M762</f>
        <v>5150100008-6</v>
      </c>
      <c r="L762" s="168">
        <f>'030523 INVENTARIO'!N762</f>
        <v>0</v>
      </c>
      <c r="M762" s="168">
        <f>'030523 INVENTARIO'!O762</f>
        <v>0</v>
      </c>
      <c r="N762" s="168" t="str">
        <f>'030523 INVENTARIO'!P762</f>
        <v>OK</v>
      </c>
      <c r="O762" s="168" t="str">
        <f>'030523 INVENTARIO'!Q762</f>
        <v>FORZA</v>
      </c>
      <c r="P762" s="167" t="str">
        <f>'030523 INVENTARIO'!R762</f>
        <v>NT751</v>
      </c>
      <c r="Q762" s="168" t="str">
        <f>'030523 INVENTARIO'!S762</f>
        <v>190522503177</v>
      </c>
      <c r="R762" s="168" t="str">
        <f>'030523 INVENTARIO'!T762</f>
        <v>82DH0515010016000649414</v>
      </c>
    </row>
    <row r="763" spans="5:18">
      <c r="E763" s="167" t="str">
        <f>'030523 INVENTARIO'!E763</f>
        <v>MONITOR</v>
      </c>
      <c r="F763" s="167" t="str">
        <f>'030523 INVENTARIO'!F763</f>
        <v>MONITOR 18"</v>
      </c>
      <c r="G763" s="167" t="str">
        <f ca="1">'030523 INVENTARIO'!G763</f>
        <v>P05RM-0762</v>
      </c>
      <c r="H763" s="167" t="str">
        <f>'030523 INVENTARIO'!J763</f>
        <v>P24SJ-0762</v>
      </c>
      <c r="I763" s="167" t="str">
        <f>'030523 INVENTARIO'!K763</f>
        <v>P24SJ-048</v>
      </c>
      <c r="J763" s="167" t="str">
        <f>'030523 INVENTARIO'!L763</f>
        <v>P2SJ-54</v>
      </c>
      <c r="K763" s="167" t="str">
        <f>'030523 INVENTARIO'!M763</f>
        <v>5210100012-6</v>
      </c>
      <c r="L763" s="168">
        <f>'030523 INVENTARIO'!N763</f>
        <v>0</v>
      </c>
      <c r="M763" s="168">
        <f>'030523 INVENTARIO'!O763</f>
        <v>0</v>
      </c>
      <c r="N763" s="168" t="str">
        <f>'030523 INVENTARIO'!P763</f>
        <v>OK</v>
      </c>
      <c r="O763" s="168" t="str">
        <f>'030523 INVENTARIO'!Q763</f>
        <v>COMPAQ</v>
      </c>
      <c r="P763" s="167" t="str">
        <f>'030523 INVENTARIO'!R763</f>
        <v>WF1907</v>
      </c>
      <c r="Q763" s="168" t="str">
        <f>'030523 INVENTARIO'!S763</f>
        <v>CNC816Y4F6</v>
      </c>
      <c r="R763" s="168" t="str">
        <f>'030523 INVENTARIO'!T763</f>
        <v>82DH0565010041000543575</v>
      </c>
    </row>
    <row r="764" spans="5:18">
      <c r="E764" s="167" t="str">
        <f>'030523 INVENTARIO'!E764</f>
        <v>COMPUTADORA DE ESCRITORIO</v>
      </c>
      <c r="F764" s="168" t="str">
        <f>'030523 INVENTARIO'!F764</f>
        <v>COMPUTADORA GRIS CON NEGRO</v>
      </c>
      <c r="G764" s="167" t="str">
        <f ca="1">'030523 INVENTARIO'!G764</f>
        <v>P35RM-0763</v>
      </c>
      <c r="H764" s="167" t="str">
        <f>'030523 INVENTARIO'!J764</f>
        <v>P24SJ-0763</v>
      </c>
      <c r="I764" s="167" t="str">
        <f>'030523 INVENTARIO'!K764</f>
        <v>P24SJ-049</v>
      </c>
      <c r="J764" s="167" t="str">
        <f>'030523 INVENTARIO'!L764</f>
        <v>P2SJ-51</v>
      </c>
      <c r="K764" s="167" t="str">
        <f>'030523 INVENTARIO'!M764</f>
        <v>5150100005-11</v>
      </c>
      <c r="L764" s="168">
        <f>'030523 INVENTARIO'!N764</f>
        <v>0</v>
      </c>
      <c r="M764" s="168">
        <f>'030523 INVENTARIO'!O764</f>
        <v>0</v>
      </c>
      <c r="N764" s="168" t="str">
        <f>'030523 INVENTARIO'!P764</f>
        <v>OK</v>
      </c>
      <c r="O764" s="168" t="str">
        <f>'030523 INVENTARIO'!Q764</f>
        <v>HP</v>
      </c>
      <c r="P764" s="167" t="str">
        <f>'030523 INVENTARIO'!R764</f>
        <v>DC7800</v>
      </c>
      <c r="Q764" s="168" t="str">
        <f>'030523 INVENTARIO'!S764</f>
        <v>MXJ819035L</v>
      </c>
      <c r="R764" s="168" t="str">
        <f>'030523 INVENTARIO'!T764</f>
        <v>82DH0515010003000649779</v>
      </c>
    </row>
    <row r="765" spans="5:18">
      <c r="E765" s="167" t="str">
        <f>'030523 INVENTARIO'!E765</f>
        <v>ARCHIVERO</v>
      </c>
      <c r="F765" s="167" t="str">
        <f>'030523 INVENTARIO'!F765</f>
        <v>ARCHIVERO DE MADERA 4 CAJONES 120X50X60</v>
      </c>
      <c r="G765" s="167" t="str">
        <f ca="1">'030523 INVENTARIO'!G765</f>
        <v>P24CS-0764</v>
      </c>
      <c r="H765" s="167" t="str">
        <f>'030523 INVENTARIO'!J765</f>
        <v>P24CS-0764</v>
      </c>
      <c r="I765" s="167" t="str">
        <f>'030523 INVENTARIO'!K765</f>
        <v>P24AS-001</v>
      </c>
      <c r="J765" s="167" t="str">
        <f>'030523 INVENTARIO'!L765</f>
        <v>P2SYA-11</v>
      </c>
      <c r="K765" s="167" t="str">
        <f>'030523 INVENTARIO'!M765</f>
        <v>5130100013-11</v>
      </c>
      <c r="L765" s="168">
        <f>'030523 INVENTARIO'!N765</f>
        <v>0</v>
      </c>
      <c r="M765" s="168">
        <f>'030523 INVENTARIO'!O765</f>
        <v>0</v>
      </c>
      <c r="N765" s="168" t="str">
        <f>'030523 INVENTARIO'!P765</f>
        <v>OK</v>
      </c>
      <c r="O765" s="168" t="str">
        <f>'030523 INVENTARIO'!Q765</f>
        <v>S/M</v>
      </c>
      <c r="P765" s="167" t="str">
        <f>'030523 INVENTARIO'!R765</f>
        <v>S/M</v>
      </c>
      <c r="Q765" s="168" t="str">
        <f>'030523 INVENTARIO'!S765</f>
        <v>SIN SERIE</v>
      </c>
      <c r="R765" s="168" t="str">
        <f>'030523 INVENTARIO'!T765</f>
        <v>82DH0511010001000649745</v>
      </c>
    </row>
    <row r="766" spans="5:18">
      <c r="E766" s="167" t="str">
        <f>'030523 INVENTARIO'!E766</f>
        <v>VENTILADOR</v>
      </c>
      <c r="F766" s="168" t="str">
        <f>'030523 INVENTARIO'!F766</f>
        <v>VENTILADOR GRIS DE PEDESTAL</v>
      </c>
      <c r="G766" s="167" t="str">
        <f ca="1">'030523 INVENTARIO'!G766</f>
        <v>P24CS-0765</v>
      </c>
      <c r="H766" s="167" t="str">
        <f>'030523 INVENTARIO'!J766</f>
        <v>P24CS-0765</v>
      </c>
      <c r="I766" s="167" t="str">
        <f>'030523 INVENTARIO'!K766</f>
        <v>P24AS-002</v>
      </c>
      <c r="J766" s="167" t="str">
        <f>'030523 INVENTARIO'!L766</f>
        <v>P2SYA-12</v>
      </c>
      <c r="K766" s="167" t="str">
        <f>'030523 INVENTARIO'!M766</f>
        <v>5190200002-14</v>
      </c>
      <c r="L766" s="168">
        <f>'030523 INVENTARIO'!N766</f>
        <v>0</v>
      </c>
      <c r="M766" s="168">
        <f>'030523 INVENTARIO'!O766</f>
        <v>0</v>
      </c>
      <c r="N766" s="168" t="str">
        <f>'030523 INVENTARIO'!P766</f>
        <v>OK</v>
      </c>
      <c r="O766" s="168" t="str">
        <f>'030523 INVENTARIO'!Q766</f>
        <v>NAVIA</v>
      </c>
      <c r="P766" s="167" t="str">
        <f>'030523 INVENTARIO'!R766</f>
        <v>VPN-118X</v>
      </c>
      <c r="Q766" s="168" t="str">
        <f>'030523 INVENTARIO'!S766</f>
        <v>SIN SERIE</v>
      </c>
      <c r="R766" s="167" t="str">
        <f>'030523 INVENTARIO'!T766</f>
        <v>82DH0519010043000649357</v>
      </c>
    </row>
    <row r="767" spans="5:18">
      <c r="E767" s="167" t="str">
        <f>'030523 INVENTARIO'!E767</f>
        <v>SILLA</v>
      </c>
      <c r="F767" s="167" t="str">
        <f>'030523 INVENTARIO'!F767</f>
        <v>SILLA NEGRA DE TELA FIJA</v>
      </c>
      <c r="G767" s="167" t="str">
        <f ca="1">'030523 INVENTARIO'!G767</f>
        <v>P24CA-0766</v>
      </c>
      <c r="H767" s="167" t="str">
        <f>'030523 INVENTARIO'!J767</f>
        <v>P24CS-0766</v>
      </c>
      <c r="I767" s="167" t="str">
        <f>'030523 INVENTARIO'!K767</f>
        <v>P24AS-003</v>
      </c>
      <c r="J767" s="167" t="str">
        <f>'030523 INVENTARIO'!L767</f>
        <v>P2SYA-14</v>
      </c>
      <c r="K767" s="167" t="str">
        <f>'030523 INVENTARIO'!M767</f>
        <v>5110100011-21</v>
      </c>
      <c r="L767" s="168">
        <f>'030523 INVENTARIO'!N767</f>
        <v>0</v>
      </c>
      <c r="M767" s="168">
        <f>'030523 INVENTARIO'!O767</f>
        <v>0</v>
      </c>
      <c r="N767" s="168" t="str">
        <f>'030523 INVENTARIO'!P767</f>
        <v>OK</v>
      </c>
      <c r="O767" s="168" t="str">
        <f>'030523 INVENTARIO'!Q767</f>
        <v>S/M</v>
      </c>
      <c r="P767" s="167" t="str">
        <f>'030523 INVENTARIO'!R767</f>
        <v>S/M</v>
      </c>
      <c r="Q767" s="168" t="str">
        <f>'030523 INVENTARIO'!S767</f>
        <v>SIN SERIE</v>
      </c>
      <c r="R767" s="168" t="str">
        <f>'030523 INVENTARIO'!T767</f>
        <v>82DH0511010017000649747</v>
      </c>
    </row>
    <row r="768" spans="5:18">
      <c r="E768" s="167" t="str">
        <f>'030523 INVENTARIO'!E768</f>
        <v>SILLA</v>
      </c>
      <c r="F768" s="167" t="str">
        <f>'030523 INVENTARIO'!F768</f>
        <v>SILLA NEGRA DE TELA FIJA</v>
      </c>
      <c r="G768" s="167" t="str">
        <f ca="1">'030523 INVENTARIO'!G768</f>
        <v>P24CS-0767</v>
      </c>
      <c r="H768" s="167" t="str">
        <f>'030523 INVENTARIO'!J768</f>
        <v>P24CS-0767</v>
      </c>
      <c r="I768" s="167" t="str">
        <f>'030523 INVENTARIO'!K768</f>
        <v>P24AS-004</v>
      </c>
      <c r="J768" s="167" t="str">
        <f>'030523 INVENTARIO'!L768</f>
        <v>P2SYA-13</v>
      </c>
      <c r="K768" s="167" t="str">
        <f>'030523 INVENTARIO'!M768</f>
        <v>5110100011-20</v>
      </c>
      <c r="L768" s="168">
        <f>'030523 INVENTARIO'!N768</f>
        <v>0</v>
      </c>
      <c r="M768" s="168">
        <f>'030523 INVENTARIO'!O768</f>
        <v>0</v>
      </c>
      <c r="N768" s="168" t="str">
        <f>'030523 INVENTARIO'!P768</f>
        <v>OK</v>
      </c>
      <c r="O768" s="168" t="str">
        <f>'030523 INVENTARIO'!Q768</f>
        <v>S/M</v>
      </c>
      <c r="P768" s="167" t="str">
        <f>'030523 INVENTARIO'!R768</f>
        <v>S/M</v>
      </c>
      <c r="Q768" s="168" t="str">
        <f>'030523 INVENTARIO'!S768</f>
        <v>SIN SERIE</v>
      </c>
      <c r="R768" s="168" t="str">
        <f>'030523 INVENTARIO'!T768</f>
        <v>82DH0511010017000516231</v>
      </c>
    </row>
    <row r="769" spans="5:18">
      <c r="E769" s="167" t="str">
        <f>'030523 INVENTARIO'!E769</f>
        <v>SILLON</v>
      </c>
      <c r="F769" s="168" t="str">
        <f>'030523 INVENTARIO'!F769</f>
        <v>SILLÓN DE PIEL NEGRO CON RUEDAS</v>
      </c>
      <c r="G769" s="167" t="str">
        <f ca="1">'030523 INVENTARIO'!G769</f>
        <v>P12PP-0768</v>
      </c>
      <c r="H769" s="167" t="str">
        <f>'030523 INVENTARIO'!J769</f>
        <v>P24CS-0768</v>
      </c>
      <c r="I769" s="167" t="str">
        <f>'030523 INVENTARIO'!K769</f>
        <v>P24AS-005</v>
      </c>
      <c r="J769" s="167" t="str">
        <f>'030523 INVENTARIO'!L769</f>
        <v>P2SYA-16</v>
      </c>
      <c r="K769" s="167" t="str">
        <f>'030523 INVENTARIO'!M769</f>
        <v>5120100009-25</v>
      </c>
      <c r="L769" s="168">
        <f>'030523 INVENTARIO'!N769</f>
        <v>0</v>
      </c>
      <c r="M769" s="168">
        <f>'030523 INVENTARIO'!O769</f>
        <v>0</v>
      </c>
      <c r="N769" s="168" t="str">
        <f>'030523 INVENTARIO'!P769</f>
        <v>OK</v>
      </c>
      <c r="O769" s="168" t="str">
        <f>'030523 INVENTARIO'!Q769</f>
        <v>S/M</v>
      </c>
      <c r="P769" s="167" t="str">
        <f>'030523 INVENTARIO'!R769</f>
        <v>S/M</v>
      </c>
      <c r="Q769" s="168" t="str">
        <f>'030523 INVENTARIO'!S769</f>
        <v>SIN SERIE</v>
      </c>
      <c r="R769" s="168" t="str">
        <f>'030523 INVENTARIO'!T769</f>
        <v>82DH0512010014000649751</v>
      </c>
    </row>
    <row r="770" spans="5:18">
      <c r="E770" s="167" t="str">
        <f>'030523 INVENTARIO'!E770</f>
        <v>NO BREAK</v>
      </c>
      <c r="F770" s="168" t="str">
        <f>'030523 INVENTARIO'!F770</f>
        <v>NO BREAK NEGRO</v>
      </c>
      <c r="G770" s="167" t="str">
        <f ca="1">'030523 INVENTARIO'!G770</f>
        <v>P24CS-0769</v>
      </c>
      <c r="H770" s="167" t="str">
        <f>'030523 INVENTARIO'!J770</f>
        <v>P24CS-0769</v>
      </c>
      <c r="I770" s="167" t="str">
        <f>'030523 INVENTARIO'!K770</f>
        <v>P24AS-006</v>
      </c>
      <c r="J770" s="167" t="str">
        <f>'030523 INVENTARIO'!L770</f>
        <v>P2SYA-17</v>
      </c>
      <c r="K770" s="168" t="str">
        <f>'030523 INVENTARIO'!M770</f>
        <v>5150100008-10</v>
      </c>
      <c r="L770" s="168">
        <f>'030523 INVENTARIO'!N770</f>
        <v>0</v>
      </c>
      <c r="M770" s="168">
        <f>'030523 INVENTARIO'!O770</f>
        <v>0</v>
      </c>
      <c r="N770" s="168" t="str">
        <f>'030523 INVENTARIO'!P770</f>
        <v>OK</v>
      </c>
      <c r="O770" s="168" t="str">
        <f>'030523 INVENTARIO'!Q770</f>
        <v>FORZA</v>
      </c>
      <c r="P770" s="167" t="str">
        <f>'030523 INVENTARIO'!R770</f>
        <v>NT751</v>
      </c>
      <c r="Q770" s="168" t="str">
        <f>'030523 INVENTARIO'!S770</f>
        <v>181222507612</v>
      </c>
      <c r="R770" s="168" t="str">
        <f>'030523 INVENTARIO'!T770</f>
        <v>82DH0515010016000649430</v>
      </c>
    </row>
    <row r="771" spans="5:18">
      <c r="E771" s="167" t="str">
        <f>'030523 INVENTARIO'!E771</f>
        <v>MESA</v>
      </c>
      <c r="F771" s="168" t="str">
        <f>'030523 INVENTARIO'!F771</f>
        <v>MESA DE MADERA</v>
      </c>
      <c r="G771" s="167" t="str">
        <f ca="1">'030523 INVENTARIO'!G771</f>
        <v>P24CS-0770</v>
      </c>
      <c r="H771" s="167" t="str">
        <f>'030523 INVENTARIO'!J771</f>
        <v>P24CS-0770</v>
      </c>
      <c r="I771" s="167">
        <f>'030523 INVENTARIO'!K771</f>
        <v>0</v>
      </c>
      <c r="J771" s="167" t="str">
        <f>'030523 INVENTARIO'!L771</f>
        <v>P2SYA-20</v>
      </c>
      <c r="K771" s="167" t="str">
        <f>'030523 INVENTARIO'!M771</f>
        <v>ALTA</v>
      </c>
      <c r="L771" s="168">
        <f>'030523 INVENTARIO'!N771</f>
        <v>0</v>
      </c>
      <c r="M771" s="168">
        <f>'030523 INVENTARIO'!O771</f>
        <v>0</v>
      </c>
      <c r="N771" s="168" t="str">
        <f>'030523 INVENTARIO'!P771</f>
        <v>REPETIDO</v>
      </c>
      <c r="O771" s="168" t="str">
        <f>'030523 INVENTARIO'!Q771</f>
        <v>S/M</v>
      </c>
      <c r="P771" s="167" t="str">
        <f>'030523 INVENTARIO'!R771</f>
        <v>S/M</v>
      </c>
      <c r="Q771" s="168" t="str">
        <f>'030523 INVENTARIO'!S771</f>
        <v>SIN SERIE</v>
      </c>
      <c r="R771" s="168" t="str">
        <f>'030523 INVENTARIO'!T771</f>
        <v>82DH0511010010000649749</v>
      </c>
    </row>
    <row r="772" spans="5:18">
      <c r="E772" s="167" t="str">
        <f>'030523 INVENTARIO'!E772</f>
        <v>CREDENZA</v>
      </c>
      <c r="F772" s="167" t="str">
        <f>'030523 INVENTARIO'!F772</f>
        <v>CREDENZA DE MADERA DE 4 PUERTAS</v>
      </c>
      <c r="G772" s="167" t="str">
        <f ca="1">'030523 INVENTARIO'!G772</f>
        <v>P24CS-0771</v>
      </c>
      <c r="H772" s="167" t="str">
        <f>'030523 INVENTARIO'!J772</f>
        <v>P24CS-0771</v>
      </c>
      <c r="I772" s="167">
        <f>'030523 INVENTARIO'!K772</f>
        <v>0</v>
      </c>
      <c r="J772" s="167">
        <f>'030523 INVENTARIO'!L772</f>
        <v>0</v>
      </c>
      <c r="K772" s="167" t="str">
        <f>'030523 INVENTARIO'!M772</f>
        <v>ALTA</v>
      </c>
      <c r="L772" s="168">
        <f>'030523 INVENTARIO'!N772</f>
        <v>0</v>
      </c>
      <c r="M772" s="168">
        <f>'030523 INVENTARIO'!O772</f>
        <v>0</v>
      </c>
      <c r="N772" s="168" t="str">
        <f>'030523 INVENTARIO'!P772</f>
        <v>REPETIDO</v>
      </c>
      <c r="O772" s="168" t="str">
        <f>'030523 INVENTARIO'!Q772</f>
        <v>S/M</v>
      </c>
      <c r="P772" s="167" t="str">
        <f>'030523 INVENTARIO'!R772</f>
        <v>S/M</v>
      </c>
      <c r="Q772" s="167" t="str">
        <f>'030523 INVENTARIO'!S772</f>
        <v>SIN SERIE</v>
      </c>
      <c r="R772" s="167" t="str">
        <f>'030523 INVENTARIO'!T772</f>
        <v>SIN RESGUARDO</v>
      </c>
    </row>
    <row r="773" spans="5:18">
      <c r="E773" s="167" t="str">
        <f>'030523 INVENTARIO'!E773</f>
        <v>MODULO</v>
      </c>
      <c r="F773" s="168" t="str">
        <f>'030523 INVENTARIO'!F773</f>
        <v>MODULO DE MADERA U (ESCRITORIO)</v>
      </c>
      <c r="G773" s="167" t="str">
        <f ca="1">'030523 INVENTARIO'!G773</f>
        <v>P24CS-0772</v>
      </c>
      <c r="H773" s="167" t="str">
        <f>'030523 INVENTARIO'!J773</f>
        <v>P24CS-0772</v>
      </c>
      <c r="I773" s="167" t="str">
        <f>'030523 INVENTARIO'!K773</f>
        <v>P24AS-007A</v>
      </c>
      <c r="J773" s="167" t="str">
        <f>'030523 INVENTARIO'!L773</f>
        <v>P2SYA-21</v>
      </c>
      <c r="K773" s="167" t="str">
        <f>'030523 INVENTARIO'!M773</f>
        <v>5120100007-43</v>
      </c>
      <c r="L773" s="168">
        <f>'030523 INVENTARIO'!N773</f>
        <v>0</v>
      </c>
      <c r="M773" s="168">
        <f>'030523 INVENTARIO'!O773</f>
        <v>0</v>
      </c>
      <c r="N773" s="168" t="str">
        <f>'030523 INVENTARIO'!P773</f>
        <v>OK</v>
      </c>
      <c r="O773" s="168" t="str">
        <f>'030523 INVENTARIO'!Q773</f>
        <v>S/M</v>
      </c>
      <c r="P773" s="167" t="str">
        <f>'030523 INVENTARIO'!R773</f>
        <v>S/M</v>
      </c>
      <c r="Q773" s="168" t="str">
        <f>'030523 INVENTARIO'!S773</f>
        <v>SIN SERIE</v>
      </c>
      <c r="R773" s="168" t="str">
        <f>'030523 INVENTARIO'!T773</f>
        <v>SIN RESGUARDO</v>
      </c>
    </row>
    <row r="774" spans="5:18">
      <c r="E774" s="167" t="str">
        <f>'030523 INVENTARIO'!E774</f>
        <v>ESCRITORIO</v>
      </c>
      <c r="F774" s="167" t="str">
        <f>'030523 INVENTARIO'!F774</f>
        <v>ESCRITORIO DE MADERA TIPO ISLA DE 4 PIEZAS</v>
      </c>
      <c r="G774" s="167" t="str">
        <f ca="1">'030523 INVENTARIO'!G774</f>
        <v>P24CS-0773</v>
      </c>
      <c r="H774" s="167" t="str">
        <f>'030523 INVENTARIO'!J774</f>
        <v>P24CS-0773</v>
      </c>
      <c r="I774" s="167" t="str">
        <f>'030523 INVENTARIO'!K774</f>
        <v>P24AS-007</v>
      </c>
      <c r="J774" s="167" t="str">
        <f>'030523 INVENTARIO'!L774</f>
        <v>P2SYA-15</v>
      </c>
      <c r="K774" s="167" t="str">
        <f>'030523 INVENTARIO'!M774</f>
        <v>5110100015-19</v>
      </c>
      <c r="L774" s="168">
        <f>'030523 INVENTARIO'!N774</f>
        <v>0</v>
      </c>
      <c r="M774" s="168">
        <f>'030523 INVENTARIO'!O774</f>
        <v>0</v>
      </c>
      <c r="N774" s="168" t="str">
        <f>'030523 INVENTARIO'!P774</f>
        <v>OK</v>
      </c>
      <c r="O774" s="168" t="str">
        <f>'030523 INVENTARIO'!Q774</f>
        <v>S/M</v>
      </c>
      <c r="P774" s="167" t="str">
        <f>'030523 INVENTARIO'!R774</f>
        <v>S/M</v>
      </c>
      <c r="Q774" s="168" t="str">
        <f>'030523 INVENTARIO'!S774</f>
        <v>SIN SERIE</v>
      </c>
      <c r="R774" s="168" t="str">
        <f>'030523 INVENTARIO'!T774</f>
        <v>82DH0511010006000564903</v>
      </c>
    </row>
    <row r="775" spans="5:18">
      <c r="E775" s="167" t="str">
        <f>'030523 INVENTARIO'!E775</f>
        <v>TELEFONO</v>
      </c>
      <c r="F775" s="168" t="str">
        <f>'030523 INVENTARIO'!F775</f>
        <v>TELEFONO GRIS</v>
      </c>
      <c r="G775" s="167" t="str">
        <f ca="1">'030523 INVENTARIO'!G775</f>
        <v>P24CS-0774</v>
      </c>
      <c r="H775" s="167" t="str">
        <f>'030523 INVENTARIO'!J775</f>
        <v>P24CS-0774</v>
      </c>
      <c r="I775" s="167" t="str">
        <f>'030523 INVENTARIO'!K775</f>
        <v>P24AS-008</v>
      </c>
      <c r="J775" s="167" t="str">
        <f>'030523 INVENTARIO'!L775</f>
        <v>P2SYA-18</v>
      </c>
      <c r="K775" s="167" t="str">
        <f>'030523 INVENTARIO'!M775</f>
        <v>5650100010-9</v>
      </c>
      <c r="L775" s="168">
        <f>'030523 INVENTARIO'!N775</f>
        <v>0</v>
      </c>
      <c r="M775" s="168">
        <f>'030523 INVENTARIO'!O775</f>
        <v>0</v>
      </c>
      <c r="N775" s="168" t="str">
        <f>'030523 INVENTARIO'!P775</f>
        <v>OK</v>
      </c>
      <c r="O775" s="168" t="str">
        <f>'030523 INVENTARIO'!Q775</f>
        <v>LINKSYS</v>
      </c>
      <c r="P775" s="167" t="str">
        <f>'030523 INVENTARIO'!R775</f>
        <v>SPA942</v>
      </c>
      <c r="Q775" s="168" t="str">
        <f>'030523 INVENTARIO'!S775</f>
        <v>4LO00H118288</v>
      </c>
      <c r="R775" s="168" t="str">
        <f>'030523 INVENTARIO'!T775</f>
        <v>82DH0565010001000527082</v>
      </c>
    </row>
    <row r="776" spans="5:18">
      <c r="E776" s="167" t="str">
        <f>'030523 INVENTARIO'!E776</f>
        <v>COMPUTADORA DE ESCRITORIO</v>
      </c>
      <c r="F776" s="167" t="str">
        <f>'030523 INVENTARIO'!F776</f>
        <v>COMPUTADORA DE ESCRITORIO</v>
      </c>
      <c r="G776" s="167" t="str">
        <f ca="1">'030523 INVENTARIO'!G776</f>
        <v>P24CS-0775</v>
      </c>
      <c r="H776" s="167" t="str">
        <f>'030523 INVENTARIO'!J776</f>
        <v>P24CS-0775</v>
      </c>
      <c r="I776" s="167" t="str">
        <f>'030523 INVENTARIO'!K776</f>
        <v>P24AS-009</v>
      </c>
      <c r="J776" s="167">
        <f>'030523 INVENTARIO'!L776</f>
        <v>0</v>
      </c>
      <c r="K776" s="167" t="str">
        <f>'030523 INVENTARIO'!M776</f>
        <v>5150100005-131</v>
      </c>
      <c r="L776" s="168">
        <f>'030523 INVENTARIO'!N776</f>
        <v>0</v>
      </c>
      <c r="M776" s="168">
        <f>'030523 INVENTARIO'!O776</f>
        <v>0</v>
      </c>
      <c r="N776" s="168" t="str">
        <f>'030523 INVENTARIO'!P776</f>
        <v>OK</v>
      </c>
      <c r="O776" s="168" t="str">
        <f>'030523 INVENTARIO'!Q776</f>
        <v>ACTECK</v>
      </c>
      <c r="P776" s="167" t="str">
        <f>'030523 INVENTARIO'!R776</f>
        <v>LINX</v>
      </c>
      <c r="Q776" s="167">
        <f>'030523 INVENTARIO'!S776</f>
        <v>11392903015655</v>
      </c>
      <c r="R776" s="167" t="str">
        <f>'030523 INVENTARIO'!T776</f>
        <v>SIN RESGUARDO</v>
      </c>
    </row>
    <row r="777" spans="5:18">
      <c r="E777" s="167" t="str">
        <f>'030523 INVENTARIO'!E777</f>
        <v>MONITOR</v>
      </c>
      <c r="F777" s="167" t="str">
        <f>'030523 INVENTARIO'!F777</f>
        <v>MONITOR 21"</v>
      </c>
      <c r="G777" s="167" t="str">
        <f ca="1">'030523 INVENTARIO'!G777</f>
        <v>P24CS-0776</v>
      </c>
      <c r="H777" s="167" t="str">
        <f>'030523 INVENTARIO'!J777</f>
        <v>P24CS-0776</v>
      </c>
      <c r="I777" s="167" t="str">
        <f>'030523 INVENTARIO'!K777</f>
        <v>P24AS-010</v>
      </c>
      <c r="J777" s="167">
        <f>'030523 INVENTARIO'!L777</f>
        <v>0</v>
      </c>
      <c r="K777" s="167" t="str">
        <f>'030523 INVENTARIO'!M777</f>
        <v>5150100005-132</v>
      </c>
      <c r="L777" s="168">
        <f>'030523 INVENTARIO'!N777</f>
        <v>0</v>
      </c>
      <c r="M777" s="168">
        <f>'030523 INVENTARIO'!O777</f>
        <v>0</v>
      </c>
      <c r="N777" s="168" t="str">
        <f>'030523 INVENTARIO'!P777</f>
        <v>OK</v>
      </c>
      <c r="O777" s="168" t="str">
        <f>'030523 INVENTARIO'!Q777</f>
        <v>ACER</v>
      </c>
      <c r="P777" s="167" t="str">
        <f>'030523 INVENTARIO'!R777</f>
        <v>V226HQL</v>
      </c>
      <c r="Q777" s="167" t="str">
        <f>'030523 INVENTARIO'!S777</f>
        <v>MMTASAA007109004373P00</v>
      </c>
      <c r="R777" s="167" t="str">
        <f>'030523 INVENTARIO'!T777</f>
        <v>SIN RESGUARDO</v>
      </c>
    </row>
    <row r="778" spans="5:18">
      <c r="E778" s="167" t="str">
        <f>'030523 INVENTARIO'!E778</f>
        <v>ARCHIVERO</v>
      </c>
      <c r="F778" s="167" t="str">
        <f>'030523 INVENTARIO'!F778</f>
        <v>ARCHIVERO GRIS METAL DE 4 CAJONES 132X46X63</v>
      </c>
      <c r="G778" s="167" t="str">
        <f ca="1">'030523 INVENTARIO'!G778</f>
        <v>P24CS-0777</v>
      </c>
      <c r="H778" s="167" t="str">
        <f>'030523 INVENTARIO'!J778</f>
        <v>P24CS-0777</v>
      </c>
      <c r="I778" s="167" t="str">
        <f>'030523 INVENTARIO'!K778</f>
        <v>P24AS-011</v>
      </c>
      <c r="J778" s="167" t="str">
        <f>'030523 INVENTARIO'!L778</f>
        <v>P2SYA-3</v>
      </c>
      <c r="K778" s="167" t="str">
        <f>'030523 INVENTARIO'!M778</f>
        <v>5130100013-9</v>
      </c>
      <c r="L778" s="168">
        <f>'030523 INVENTARIO'!N778</f>
        <v>0</v>
      </c>
      <c r="M778" s="168">
        <f>'030523 INVENTARIO'!O778</f>
        <v>0</v>
      </c>
      <c r="N778" s="168" t="str">
        <f>'030523 INVENTARIO'!P778</f>
        <v>OK</v>
      </c>
      <c r="O778" s="168" t="str">
        <f>'030523 INVENTARIO'!Q778</f>
        <v>S/M</v>
      </c>
      <c r="P778" s="167" t="str">
        <f>'030523 INVENTARIO'!R778</f>
        <v>S/M</v>
      </c>
      <c r="Q778" s="168" t="str">
        <f>'030523 INVENTARIO'!S778</f>
        <v>SIN SERIE</v>
      </c>
      <c r="R778" s="168" t="str">
        <f>'030523 INVENTARIO'!T778</f>
        <v>82DH0511010001000518504</v>
      </c>
    </row>
    <row r="779" spans="5:18">
      <c r="E779" s="167" t="str">
        <f>'030523 INVENTARIO'!E779</f>
        <v>VENTILADOR</v>
      </c>
      <c r="F779" s="168" t="str">
        <f>'030523 INVENTARIO'!F779</f>
        <v>VENTILADOR GRIS DE TORRE</v>
      </c>
      <c r="G779" s="167" t="str">
        <f ca="1">'030523 INVENTARIO'!G779</f>
        <v>P24CS-0778</v>
      </c>
      <c r="H779" s="167" t="str">
        <f>'030523 INVENTARIO'!J779</f>
        <v>P24CS-0778</v>
      </c>
      <c r="I779" s="167" t="str">
        <f>'030523 INVENTARIO'!K779</f>
        <v>P24AS-012</v>
      </c>
      <c r="J779" s="167" t="str">
        <f>'030523 INVENTARIO'!L779</f>
        <v>P2SYA-4</v>
      </c>
      <c r="K779" s="168" t="str">
        <f>'030523 INVENTARIO'!M779</f>
        <v>5190200002-13</v>
      </c>
      <c r="L779" s="168">
        <f>'030523 INVENTARIO'!N779</f>
        <v>0</v>
      </c>
      <c r="M779" s="168">
        <f>'030523 INVENTARIO'!O779</f>
        <v>0</v>
      </c>
      <c r="N779" s="168" t="str">
        <f>'030523 INVENTARIO'!P779</f>
        <v>OK</v>
      </c>
      <c r="O779" s="168" t="str">
        <f>'030523 INVENTARIO'!Q779</f>
        <v>LASKO</v>
      </c>
      <c r="P779" s="167" t="str">
        <f>'030523 INVENTARIO'!R779</f>
        <v>4820M</v>
      </c>
      <c r="Q779" s="168" t="str">
        <f>'030523 INVENTARIO'!S779</f>
        <v>SIN SERIE</v>
      </c>
      <c r="R779" s="167" t="str">
        <f>'030523 INVENTARIO'!T779</f>
        <v>82DH0531010094000539189</v>
      </c>
    </row>
    <row r="780" spans="5:18">
      <c r="E780" s="167" t="str">
        <f>'030523 INVENTARIO'!E780</f>
        <v>MESA</v>
      </c>
      <c r="F780" s="167" t="str">
        <f>'030523 INVENTARIO'!F780</f>
        <v>MESA DE MADERA BASE DE METAL CON RUEDAS 60X40</v>
      </c>
      <c r="G780" s="167" t="str">
        <f ca="1">'030523 INVENTARIO'!G780</f>
        <v>P24CS-0779</v>
      </c>
      <c r="H780" s="167" t="str">
        <f>'030523 INVENTARIO'!J780</f>
        <v>P24CS-0779</v>
      </c>
      <c r="I780" s="167" t="str">
        <f>'030523 INVENTARIO'!K780</f>
        <v>P24AS-013</v>
      </c>
      <c r="J780" s="167" t="str">
        <f>'030523 INVENTARIO'!L780</f>
        <v>P2SYA-5</v>
      </c>
      <c r="K780" s="167" t="str">
        <f>'030523 INVENTARIO'!M780</f>
        <v>5120100007-41</v>
      </c>
      <c r="L780" s="168">
        <f>'030523 INVENTARIO'!N780</f>
        <v>0</v>
      </c>
      <c r="M780" s="168">
        <f>'030523 INVENTARIO'!O780</f>
        <v>0</v>
      </c>
      <c r="N780" s="168" t="str">
        <f>'030523 INVENTARIO'!P780</f>
        <v>OK</v>
      </c>
      <c r="O780" s="168" t="str">
        <f>'030523 INVENTARIO'!Q780</f>
        <v>S/M</v>
      </c>
      <c r="P780" s="167" t="str">
        <f>'030523 INVENTARIO'!R780</f>
        <v>S/M</v>
      </c>
      <c r="Q780" s="168" t="str">
        <f>'030523 INVENTARIO'!S780</f>
        <v>SIN SERIE</v>
      </c>
      <c r="R780" s="168" t="str">
        <f>'030523 INVENTARIO'!T780</f>
        <v>82DH0511010010000649750</v>
      </c>
    </row>
    <row r="781" spans="5:18">
      <c r="E781" s="167" t="str">
        <f>'030523 INVENTARIO'!E781</f>
        <v>ARCHIVERO</v>
      </c>
      <c r="F781" s="167" t="str">
        <f>'030523 INVENTARIO'!F781</f>
        <v>ARCHIVERO GRIS METAL DE 4 CAJONES 132X46X63</v>
      </c>
      <c r="G781" s="167" t="str">
        <f ca="1">'030523 INVENTARIO'!G781</f>
        <v>P24CS-0780</v>
      </c>
      <c r="H781" s="167" t="str">
        <f>'030523 INVENTARIO'!J781</f>
        <v>P24CS-0780</v>
      </c>
      <c r="I781" s="167" t="str">
        <f>'030523 INVENTARIO'!K781</f>
        <v>P24AS-014</v>
      </c>
      <c r="J781" s="167" t="str">
        <f>'030523 INVENTARIO'!L781</f>
        <v>P2SYA-6</v>
      </c>
      <c r="K781" s="167" t="str">
        <f>'030523 INVENTARIO'!M781</f>
        <v>5130100013-10</v>
      </c>
      <c r="L781" s="168">
        <f>'030523 INVENTARIO'!N781</f>
        <v>0</v>
      </c>
      <c r="M781" s="168">
        <f>'030523 INVENTARIO'!O781</f>
        <v>0</v>
      </c>
      <c r="N781" s="168" t="str">
        <f>'030523 INVENTARIO'!P781</f>
        <v>OK</v>
      </c>
      <c r="O781" s="168" t="str">
        <f>'030523 INVENTARIO'!Q781</f>
        <v>S/M</v>
      </c>
      <c r="P781" s="167" t="str">
        <f>'030523 INVENTARIO'!R781</f>
        <v>S/M</v>
      </c>
      <c r="Q781" s="168" t="str">
        <f>'030523 INVENTARIO'!S781</f>
        <v>SIN SERIE</v>
      </c>
      <c r="R781" s="168" t="str">
        <f>'030523 INVENTARIO'!T781</f>
        <v>82DH0511010001000533227</v>
      </c>
    </row>
    <row r="782" spans="5:18">
      <c r="E782" s="167" t="str">
        <f>'030523 INVENTARIO'!E782</f>
        <v>ESCRITORIO</v>
      </c>
      <c r="F782" s="168" t="str">
        <f>'030523 INVENTARIO'!F782</f>
        <v>ESCRITORIO DE MADERA 2 PIEZAS</v>
      </c>
      <c r="G782" s="167" t="str">
        <f ca="1">'030523 INVENTARIO'!G782</f>
        <v>P24CS-0781</v>
      </c>
      <c r="H782" s="167" t="str">
        <f>'030523 INVENTARIO'!J782</f>
        <v>P24CS-0781</v>
      </c>
      <c r="I782" s="167" t="str">
        <f>'030523 INVENTARIO'!K782</f>
        <v>P24AS-015</v>
      </c>
      <c r="J782" s="167" t="str">
        <f>'030523 INVENTARIO'!L782</f>
        <v>P2SYA-7</v>
      </c>
      <c r="K782" s="167" t="str">
        <f>'030523 INVENTARIO'!M782</f>
        <v>5110100015-18</v>
      </c>
      <c r="L782" s="168">
        <f>'030523 INVENTARIO'!N782</f>
        <v>0</v>
      </c>
      <c r="M782" s="168">
        <f>'030523 INVENTARIO'!O782</f>
        <v>0</v>
      </c>
      <c r="N782" s="168" t="str">
        <f>'030523 INVENTARIO'!P782</f>
        <v>OK</v>
      </c>
      <c r="O782" s="168" t="str">
        <f>'030523 INVENTARIO'!Q782</f>
        <v>S/M</v>
      </c>
      <c r="P782" s="167" t="str">
        <f>'030523 INVENTARIO'!R782</f>
        <v>S/M</v>
      </c>
      <c r="Q782" s="168" t="str">
        <f>'030523 INVENTARIO'!S782</f>
        <v>SIN SERIE</v>
      </c>
      <c r="R782" s="168" t="str">
        <f>'030523 INVENTARIO'!T782</f>
        <v>82DH0511010006000649741</v>
      </c>
    </row>
    <row r="783" spans="5:18">
      <c r="E783" s="167" t="str">
        <f>'030523 INVENTARIO'!E783</f>
        <v>COMPLEMENTARIO DE EQUIPO DE COMPUTO</v>
      </c>
      <c r="F783" s="168" t="str">
        <f>'030523 INVENTARIO'!F783</f>
        <v>COMPLEMENTO DE EQUIPO DE MADERA</v>
      </c>
      <c r="G783" s="167" t="str">
        <f ca="1">'030523 INVENTARIO'!G783</f>
        <v>P24CS-0782</v>
      </c>
      <c r="H783" s="167" t="str">
        <f>'030523 INVENTARIO'!J783</f>
        <v>P24CS-0782</v>
      </c>
      <c r="I783" s="167" t="str">
        <f>'030523 INVENTARIO'!K783</f>
        <v>P24AS-016</v>
      </c>
      <c r="J783" s="167" t="str">
        <f>'030523 INVENTARIO'!L783</f>
        <v>P2SYA-9</v>
      </c>
      <c r="K783" s="167" t="str">
        <f>'030523 INVENTARIO'!M783</f>
        <v>5120100004-3</v>
      </c>
      <c r="L783" s="168">
        <f>'030523 INVENTARIO'!N783</f>
        <v>0</v>
      </c>
      <c r="M783" s="168">
        <f>'030523 INVENTARIO'!O783</f>
        <v>0</v>
      </c>
      <c r="N783" s="168" t="str">
        <f>'030523 INVENTARIO'!P783</f>
        <v>OK</v>
      </c>
      <c r="O783" s="168" t="str">
        <f>'030523 INVENTARIO'!Q783</f>
        <v>S/M</v>
      </c>
      <c r="P783" s="167" t="str">
        <f>'030523 INVENTARIO'!R783</f>
        <v>S/M</v>
      </c>
      <c r="Q783" s="168" t="str">
        <f>'030523 INVENTARIO'!S783</f>
        <v>SIN SERIE</v>
      </c>
      <c r="R783" s="168" t="str">
        <f>'030523 INVENTARIO'!T783</f>
        <v>82DH0515010033000566432</v>
      </c>
    </row>
    <row r="784" spans="5:18">
      <c r="E784" s="167" t="str">
        <f>'030523 INVENTARIO'!E784</f>
        <v>COMPUTADORA DE ESCRITORIO</v>
      </c>
      <c r="F784" s="167" t="str">
        <f>'030523 INVENTARIO'!F784</f>
        <v>COMPUTADORA DE ESCRITORIO</v>
      </c>
      <c r="G784" s="167" t="str">
        <f ca="1">'030523 INVENTARIO'!G784</f>
        <v>P24CS-0783</v>
      </c>
      <c r="H784" s="167" t="str">
        <f>'030523 INVENTARIO'!J784</f>
        <v>P24CS-0783</v>
      </c>
      <c r="I784" s="167" t="str">
        <f>'030523 INVENTARIO'!K784</f>
        <v>P24AS-017</v>
      </c>
      <c r="J784" s="167" t="str">
        <f>'030523 INVENTARIO'!L784</f>
        <v>P2SYA-1</v>
      </c>
      <c r="K784" s="168" t="str">
        <f>'030523 INVENTARIO'!M784</f>
        <v>5150100005-14</v>
      </c>
      <c r="L784" s="168">
        <f>'030523 INVENTARIO'!N784</f>
        <v>0</v>
      </c>
      <c r="M784" s="168">
        <f>'030523 INVENTARIO'!O784</f>
        <v>0</v>
      </c>
      <c r="N784" s="168" t="str">
        <f>'030523 INVENTARIO'!P784</f>
        <v>OK</v>
      </c>
      <c r="O784" s="168" t="str">
        <f>'030523 INVENTARIO'!Q784</f>
        <v>ACER</v>
      </c>
      <c r="P784" s="167" t="str">
        <f>'030523 INVENTARIO'!R784</f>
        <v>AXC100MP308</v>
      </c>
      <c r="Q784" s="168" t="str">
        <f>'030523 INVENTARIO'!S784</f>
        <v>DTSLRAL001243028903000</v>
      </c>
      <c r="R784" s="167" t="str">
        <f>'030523 INVENTARIO'!T784</f>
        <v>82DH0515010003000649742</v>
      </c>
    </row>
    <row r="785" spans="5:18">
      <c r="E785" s="167" t="str">
        <f>'030523 INVENTARIO'!E785</f>
        <v>NO BREAK</v>
      </c>
      <c r="F785" s="168" t="str">
        <f>'030523 INVENTARIO'!F785</f>
        <v>NO BREAK NEGRO</v>
      </c>
      <c r="G785" s="167" t="str">
        <f ca="1">'030523 INVENTARIO'!G785</f>
        <v>P24CS-0784</v>
      </c>
      <c r="H785" s="167" t="str">
        <f>'030523 INVENTARIO'!J785</f>
        <v>P24CS-0784</v>
      </c>
      <c r="I785" s="167" t="str">
        <f>'030523 INVENTARIO'!K785</f>
        <v>P24AS-018</v>
      </c>
      <c r="J785" s="167" t="str">
        <f>'030523 INVENTARIO'!L785</f>
        <v>P2SYA-8</v>
      </c>
      <c r="K785" s="167" t="str">
        <f>'030523 INVENTARIO'!M785</f>
        <v>5150100008-9</v>
      </c>
      <c r="L785" s="168">
        <f>'030523 INVENTARIO'!N785</f>
        <v>0</v>
      </c>
      <c r="M785" s="168">
        <f>'030523 INVENTARIO'!O785</f>
        <v>0</v>
      </c>
      <c r="N785" s="168" t="str">
        <f>'030523 INVENTARIO'!P785</f>
        <v>OK</v>
      </c>
      <c r="O785" s="168" t="str">
        <f>'030523 INVENTARIO'!Q785</f>
        <v>FORZA</v>
      </c>
      <c r="P785" s="167" t="str">
        <f>'030523 INVENTARIO'!R785</f>
        <v>NT751</v>
      </c>
      <c r="Q785" s="168" t="str">
        <f>'030523 INVENTARIO'!S785</f>
        <v>181222507611</v>
      </c>
      <c r="R785" s="168" t="str">
        <f>'030523 INVENTARIO'!T785</f>
        <v>82DH0515010016000649429</v>
      </c>
    </row>
    <row r="786" spans="5:18">
      <c r="E786" s="167" t="str">
        <f>'030523 INVENTARIO'!E786</f>
        <v>MONITOR</v>
      </c>
      <c r="F786" s="167" t="str">
        <f>'030523 INVENTARIO'!F786</f>
        <v>MONITOR 18.5"</v>
      </c>
      <c r="G786" s="167" t="str">
        <f ca="1">'030523 INVENTARIO'!G786</f>
        <v>P24CS-0785</v>
      </c>
      <c r="H786" s="167" t="str">
        <f>'030523 INVENTARIO'!J786</f>
        <v>P24CS-0785</v>
      </c>
      <c r="I786" s="167" t="str">
        <f>'030523 INVENTARIO'!K786</f>
        <v>P24AS-019</v>
      </c>
      <c r="J786" s="167" t="str">
        <f>'030523 INVENTARIO'!L786</f>
        <v>P2SYA-2</v>
      </c>
      <c r="K786" s="167" t="str">
        <f>'030523 INVENTARIO'!M786</f>
        <v>5210100012-8</v>
      </c>
      <c r="L786" s="168">
        <f>'030523 INVENTARIO'!N786</f>
        <v>0</v>
      </c>
      <c r="M786" s="168">
        <f>'030523 INVENTARIO'!O786</f>
        <v>0</v>
      </c>
      <c r="N786" s="168" t="str">
        <f>'030523 INVENTARIO'!P786</f>
        <v>OK</v>
      </c>
      <c r="O786" s="168" t="str">
        <f>'030523 INVENTARIO'!Q786</f>
        <v>ACER</v>
      </c>
      <c r="P786" s="167" t="str">
        <f>'030523 INVENTARIO'!R786</f>
        <v>G185HV</v>
      </c>
      <c r="Q786" s="168" t="str">
        <f>'030523 INVENTARIO'!S786</f>
        <v>MMLNTA001243048A14208</v>
      </c>
      <c r="R786" s="168" t="str">
        <f>'030523 INVENTARIO'!T786</f>
        <v>82DH0515010013000649743</v>
      </c>
    </row>
    <row r="787" spans="5:18">
      <c r="E787" s="167" t="str">
        <f>'030523 INVENTARIO'!E787</f>
        <v>SILLA</v>
      </c>
      <c r="F787" s="167" t="str">
        <f>'030523 INVENTARIO'!F787</f>
        <v>SILLA DE TELA NEGRA FIJA</v>
      </c>
      <c r="G787" s="167" t="str">
        <f ca="1">'030523 INVENTARIO'!G787</f>
        <v>P24CS-0786</v>
      </c>
      <c r="H787" s="167" t="str">
        <f>'030523 INVENTARIO'!J787</f>
        <v>P24CS-0786</v>
      </c>
      <c r="I787" s="167" t="str">
        <f>'030523 INVENTARIO'!K787</f>
        <v>P24AS-020</v>
      </c>
      <c r="J787" s="167">
        <f>'030523 INVENTARIO'!L787</f>
        <v>0</v>
      </c>
      <c r="K787" s="167" t="str">
        <f>'030523 INVENTARIO'!M787</f>
        <v>ALTA</v>
      </c>
      <c r="L787" s="168">
        <f>'030523 INVENTARIO'!N787</f>
        <v>0</v>
      </c>
      <c r="M787" s="168">
        <f>'030523 INVENTARIO'!O787</f>
        <v>0</v>
      </c>
      <c r="N787" s="168" t="str">
        <f>'030523 INVENTARIO'!P787</f>
        <v>REPETIDO</v>
      </c>
      <c r="O787" s="168" t="str">
        <f>'030523 INVENTARIO'!Q787</f>
        <v>S/M</v>
      </c>
      <c r="P787" s="167" t="str">
        <f>'030523 INVENTARIO'!R787</f>
        <v>S/M</v>
      </c>
      <c r="Q787" s="167" t="str">
        <f>'030523 INVENTARIO'!S787</f>
        <v>SIN SERIE</v>
      </c>
      <c r="R787" s="167" t="str">
        <f>'030523 INVENTARIO'!T787</f>
        <v>82DH0511010017000651388</v>
      </c>
    </row>
    <row r="788" spans="5:18">
      <c r="E788" s="167" t="str">
        <f>'030523 INVENTARIO'!E788</f>
        <v>SILLA</v>
      </c>
      <c r="F788" s="168" t="str">
        <f>'030523 INVENTARIO'!F788</f>
        <v>SILLA NEGRA CON RUEDAS</v>
      </c>
      <c r="G788" s="167" t="str">
        <f ca="1">'030523 INVENTARIO'!G788</f>
        <v>P24CS-0787</v>
      </c>
      <c r="H788" s="167" t="str">
        <f>'030523 INVENTARIO'!J788</f>
        <v>P24CS-0787</v>
      </c>
      <c r="I788" s="167" t="str">
        <f>'030523 INVENTARIO'!K788</f>
        <v>P24AS-021</v>
      </c>
      <c r="J788" s="167" t="str">
        <f>'030523 INVENTARIO'!L788</f>
        <v>P2SYA-10</v>
      </c>
      <c r="K788" s="167" t="str">
        <f>'030523 INVENTARIO'!M788</f>
        <v>5110100011-19</v>
      </c>
      <c r="L788" s="168">
        <f>'030523 INVENTARIO'!N788</f>
        <v>0</v>
      </c>
      <c r="M788" s="168">
        <f>'030523 INVENTARIO'!O788</f>
        <v>0</v>
      </c>
      <c r="N788" s="168" t="str">
        <f>'030523 INVENTARIO'!P788</f>
        <v>OK</v>
      </c>
      <c r="O788" s="168" t="str">
        <f>'030523 INVENTARIO'!Q788</f>
        <v>S/M</v>
      </c>
      <c r="P788" s="167" t="str">
        <f>'030523 INVENTARIO'!R788</f>
        <v>S/M</v>
      </c>
      <c r="Q788" s="168" t="str">
        <f>'030523 INVENTARIO'!S788</f>
        <v>SIN SERIE</v>
      </c>
      <c r="R788" s="168" t="str">
        <f>'030523 INVENTARIO'!T788</f>
        <v>82DH0511010017000649744</v>
      </c>
    </row>
    <row r="789" spans="5:18">
      <c r="E789" s="167" t="str">
        <f>'030523 INVENTARIO'!E789</f>
        <v>PIZARRON</v>
      </c>
      <c r="F789" s="167" t="str">
        <f>'030523 INVENTARIO'!F789</f>
        <v>PIZARRON DE CORCHO 90X60</v>
      </c>
      <c r="G789" s="167" t="str">
        <f ca="1">'030523 INVENTARIO'!G789</f>
        <v>P24CA-0788</v>
      </c>
      <c r="H789" s="167" t="str">
        <f>'030523 INVENTARIO'!J789</f>
        <v>P24CA-0788</v>
      </c>
      <c r="I789" s="167" t="str">
        <f>'030523 INVENTARIO'!K789</f>
        <v>P24AD-001</v>
      </c>
      <c r="J789" s="167" t="str">
        <f>'030523 INVENTARIO'!L789</f>
        <v>P2A-19</v>
      </c>
      <c r="K789" s="167" t="str">
        <f>'030523 INVENTARIO'!M789</f>
        <v>5290100025-3</v>
      </c>
      <c r="L789" s="168">
        <f>'030523 INVENTARIO'!N789</f>
        <v>0</v>
      </c>
      <c r="M789" s="168">
        <f>'030523 INVENTARIO'!O789</f>
        <v>0</v>
      </c>
      <c r="N789" s="168" t="str">
        <f>'030523 INVENTARIO'!P789</f>
        <v>OK</v>
      </c>
      <c r="O789" s="168" t="str">
        <f>'030523 INVENTARIO'!Q789</f>
        <v>S/M</v>
      </c>
      <c r="P789" s="167" t="str">
        <f>'030523 INVENTARIO'!R789</f>
        <v>S/M</v>
      </c>
      <c r="Q789" s="168" t="str">
        <f>'030523 INVENTARIO'!S789</f>
        <v>SIN SERIE</v>
      </c>
      <c r="R789" s="168" t="str">
        <f>'030523 INVENTARIO'!T789</f>
        <v>82DJ0529030005000649756</v>
      </c>
    </row>
    <row r="790" spans="5:18">
      <c r="E790" s="167" t="str">
        <f>'030523 INVENTARIO'!E790</f>
        <v>ARCHIVERO</v>
      </c>
      <c r="F790" s="167" t="str">
        <f>'030523 INVENTARIO'!F790</f>
        <v>ARCHIVERO GRIS DE METAL CON 4 CAJONES 143X46X62</v>
      </c>
      <c r="G790" s="167" t="str">
        <f ca="1">'030523 INVENTARIO'!G790</f>
        <v>P24CA-0789</v>
      </c>
      <c r="H790" s="167" t="str">
        <f>'030523 INVENTARIO'!J790</f>
        <v>P24CA-0789</v>
      </c>
      <c r="I790" s="167" t="str">
        <f>'030523 INVENTARIO'!K790</f>
        <v>P24AD-002</v>
      </c>
      <c r="J790" s="167" t="str">
        <f>'030523 INVENTARIO'!L790</f>
        <v>P2A-20</v>
      </c>
      <c r="K790" s="167" t="str">
        <f>'030523 INVENTARIO'!M790</f>
        <v>5130100013-7</v>
      </c>
      <c r="L790" s="168">
        <f>'030523 INVENTARIO'!N790</f>
        <v>0</v>
      </c>
      <c r="M790" s="168">
        <f>'030523 INVENTARIO'!O790</f>
        <v>0</v>
      </c>
      <c r="N790" s="168" t="str">
        <f>'030523 INVENTARIO'!P790</f>
        <v>OK</v>
      </c>
      <c r="O790" s="168" t="str">
        <f>'030523 INVENTARIO'!Q790</f>
        <v>S/M</v>
      </c>
      <c r="P790" s="167" t="str">
        <f>'030523 INVENTARIO'!R790</f>
        <v>S/M</v>
      </c>
      <c r="Q790" s="168" t="str">
        <f>'030523 INVENTARIO'!S790</f>
        <v>SIN SERIE</v>
      </c>
      <c r="R790" s="168" t="str">
        <f>'030523 INVENTARIO'!T790</f>
        <v>82DJ0511010001000518545</v>
      </c>
    </row>
    <row r="791" spans="5:18">
      <c r="E791" s="167" t="str">
        <f>'030523 INVENTARIO'!E791</f>
        <v>LIBRERO</v>
      </c>
      <c r="F791" s="167" t="str">
        <f>'030523 INVENTARIO'!F791</f>
        <v>LIBRERO DE MADERA 244X121X40</v>
      </c>
      <c r="G791" s="167" t="str">
        <f ca="1">'030523 INVENTARIO'!G791</f>
        <v>P24CA-0790</v>
      </c>
      <c r="H791" s="167" t="str">
        <f>'030523 INVENTARIO'!J791</f>
        <v>P24CA-0790</v>
      </c>
      <c r="I791" s="167" t="str">
        <f>'030523 INVENTARIO'!K791</f>
        <v>P24AD-003</v>
      </c>
      <c r="J791" s="167" t="str">
        <f>'030523 INVENTARIO'!L791</f>
        <v>P2A-9</v>
      </c>
      <c r="K791" s="167" t="str">
        <f>'030523 INVENTARIO'!M791</f>
        <v>5130100126-11</v>
      </c>
      <c r="L791" s="168">
        <f>'030523 INVENTARIO'!N791</f>
        <v>0</v>
      </c>
      <c r="M791" s="168">
        <f>'030523 INVENTARIO'!O791</f>
        <v>0</v>
      </c>
      <c r="N791" s="168" t="str">
        <f>'030523 INVENTARIO'!P791</f>
        <v>OK</v>
      </c>
      <c r="O791" s="168" t="str">
        <f>'030523 INVENTARIO'!Q791</f>
        <v>S/M</v>
      </c>
      <c r="P791" s="167" t="str">
        <f>'030523 INVENTARIO'!R791</f>
        <v>S/M</v>
      </c>
      <c r="Q791" s="168" t="str">
        <f>'030523 INVENTARIO'!S791</f>
        <v>SIN SERIE</v>
      </c>
      <c r="R791" s="168" t="str">
        <f>'030523 INVENTARIO'!T791</f>
        <v>82DJ0511010008000649753</v>
      </c>
    </row>
    <row r="792" spans="5:18">
      <c r="E792" s="167" t="str">
        <f>'030523 INVENTARIO'!E792</f>
        <v>MESA</v>
      </c>
      <c r="F792" s="167" t="str">
        <f>'030523 INVENTARIO'!F792</f>
        <v>MESA/TABLON BLANCO PLEGABLE 244X76</v>
      </c>
      <c r="G792" s="167" t="str">
        <f ca="1">'030523 INVENTARIO'!G792</f>
        <v>P24CA-0791</v>
      </c>
      <c r="H792" s="167" t="str">
        <f>'030523 INVENTARIO'!J792</f>
        <v>P24CA-0791</v>
      </c>
      <c r="I792" s="167" t="str">
        <f>'030523 INVENTARIO'!K792</f>
        <v>P24AD-004</v>
      </c>
      <c r="J792" s="167" t="str">
        <f>'030523 INVENTARIO'!L792</f>
        <v>P2A-2</v>
      </c>
      <c r="K792" s="167" t="str">
        <f>'030523 INVENTARIO'!M792</f>
        <v>5120100007-34</v>
      </c>
      <c r="L792" s="168">
        <f>'030523 INVENTARIO'!N792</f>
        <v>0</v>
      </c>
      <c r="M792" s="168">
        <f>'030523 INVENTARIO'!O792</f>
        <v>0</v>
      </c>
      <c r="N792" s="168" t="str">
        <f>'030523 INVENTARIO'!P792</f>
        <v>OK</v>
      </c>
      <c r="O792" s="168" t="str">
        <f>'030523 INVENTARIO'!Q792</f>
        <v>S/M</v>
      </c>
      <c r="P792" s="167" t="str">
        <f>'030523 INVENTARIO'!R792</f>
        <v>S/M</v>
      </c>
      <c r="Q792" s="168" t="str">
        <f>'030523 INVENTARIO'!S792</f>
        <v>SIN SERIE</v>
      </c>
      <c r="R792" s="168" t="str">
        <f>'030523 INVENTARIO'!T792</f>
        <v>82DJ0531010065000564782</v>
      </c>
    </row>
    <row r="793" spans="5:18">
      <c r="E793" s="167" t="str">
        <f>'030523 INVENTARIO'!E793</f>
        <v>MESA</v>
      </c>
      <c r="F793" s="167" t="str">
        <f>'030523 INVENTARIO'!F793</f>
        <v>MESA/TABLON BLANCO PLEGABLE 244X76</v>
      </c>
      <c r="G793" s="167" t="str">
        <f ca="1">'030523 INVENTARIO'!G793</f>
        <v>P24CA-0792</v>
      </c>
      <c r="H793" s="167" t="str">
        <f>'030523 INVENTARIO'!J793</f>
        <v>P24CA-0792</v>
      </c>
      <c r="I793" s="167" t="str">
        <f>'030523 INVENTARIO'!K793</f>
        <v>P24AD-005</v>
      </c>
      <c r="J793" s="167" t="str">
        <f>'030523 INVENTARIO'!L793</f>
        <v>P2A-1</v>
      </c>
      <c r="K793" s="167" t="str">
        <f>'030523 INVENTARIO'!M793</f>
        <v>5120100007-33</v>
      </c>
      <c r="L793" s="168">
        <f>'030523 INVENTARIO'!N793</f>
        <v>0</v>
      </c>
      <c r="M793" s="168">
        <f>'030523 INVENTARIO'!O793</f>
        <v>0</v>
      </c>
      <c r="N793" s="168" t="str">
        <f>'030523 INVENTARIO'!P793</f>
        <v>OK</v>
      </c>
      <c r="O793" s="168" t="str">
        <f>'030523 INVENTARIO'!Q793</f>
        <v>S/M</v>
      </c>
      <c r="P793" s="167" t="str">
        <f>'030523 INVENTARIO'!R793</f>
        <v>S/M</v>
      </c>
      <c r="Q793" s="168" t="str">
        <f>'030523 INVENTARIO'!S793</f>
        <v>SIN SERIE</v>
      </c>
      <c r="R793" s="168" t="str">
        <f>'030523 INVENTARIO'!T793</f>
        <v>82DJ0531010065000580347</v>
      </c>
    </row>
    <row r="794" spans="5:18">
      <c r="E794" s="167" t="str">
        <f>'030523 INVENTARIO'!E794</f>
        <v>VENTILADOR</v>
      </c>
      <c r="F794" s="167" t="str">
        <f>'030523 INVENTARIO'!F794</f>
        <v>VENTILADOR DE PARED NEGRO</v>
      </c>
      <c r="G794" s="167" t="str">
        <f ca="1">'030523 INVENTARIO'!G794</f>
        <v>P05RM-0793</v>
      </c>
      <c r="H794" s="167" t="str">
        <f>'030523 INVENTARIO'!J794</f>
        <v>P24CA-0793</v>
      </c>
      <c r="I794" s="167" t="str">
        <f>'030523 INVENTARIO'!K794</f>
        <v>P24AD-006</v>
      </c>
      <c r="J794" s="167">
        <f>'030523 INVENTARIO'!L794</f>
        <v>0</v>
      </c>
      <c r="K794" s="167" t="str">
        <f>'030523 INVENTARIO'!M794</f>
        <v>ALTA</v>
      </c>
      <c r="L794" s="168">
        <f>'030523 INVENTARIO'!N794</f>
        <v>0</v>
      </c>
      <c r="M794" s="168">
        <f>'030523 INVENTARIO'!O794</f>
        <v>0</v>
      </c>
      <c r="N794" s="168" t="str">
        <f>'030523 INVENTARIO'!P794</f>
        <v>OK</v>
      </c>
      <c r="O794" s="168" t="str">
        <f>'030523 INVENTARIO'!Q794</f>
        <v>HUDSON</v>
      </c>
      <c r="P794" s="167" t="str">
        <f>'030523 INVENTARIO'!R794</f>
        <v>FW-45-826R</v>
      </c>
      <c r="Q794" s="167" t="str">
        <f>'030523 INVENTARIO'!S794</f>
        <v>SIN SERIE</v>
      </c>
      <c r="R794" s="167" t="str">
        <f>'030523 INVENTARIO'!T794</f>
        <v>SIN RESGUARDO</v>
      </c>
    </row>
    <row r="795" spans="5:18">
      <c r="E795" s="167" t="str">
        <f>'030523 INVENTARIO'!E795</f>
        <v>ESTANTE O ANAQUEL</v>
      </c>
      <c r="F795" s="168" t="str">
        <f>'030523 INVENTARIO'!F795</f>
        <v>ANAQUEL BLANCO DE 2 PUERTAS</v>
      </c>
      <c r="G795" s="167" t="str">
        <f ca="1">'030523 INVENTARIO'!G795</f>
        <v>P24CA-0794</v>
      </c>
      <c r="H795" s="167" t="str">
        <f>'030523 INVENTARIO'!J795</f>
        <v>P24CA-0794</v>
      </c>
      <c r="I795" s="167" t="str">
        <f>'030523 INVENTARIO'!K795</f>
        <v>P24AD-007</v>
      </c>
      <c r="J795" s="167" t="str">
        <f>'030523 INVENTARIO'!L795</f>
        <v>P2A-4</v>
      </c>
      <c r="K795" s="167" t="str">
        <f>'030523 INVENTARIO'!M795</f>
        <v>5290300001-25</v>
      </c>
      <c r="L795" s="168">
        <f>'030523 INVENTARIO'!N795</f>
        <v>0</v>
      </c>
      <c r="M795" s="168">
        <f>'030523 INVENTARIO'!O795</f>
        <v>0</v>
      </c>
      <c r="N795" s="168" t="str">
        <f>'030523 INVENTARIO'!P795</f>
        <v>OK</v>
      </c>
      <c r="O795" s="168" t="str">
        <f>'030523 INVENTARIO'!Q795</f>
        <v>S/M</v>
      </c>
      <c r="P795" s="167" t="str">
        <f>'030523 INVENTARIO'!R795</f>
        <v>S/M</v>
      </c>
      <c r="Q795" s="168" t="str">
        <f>'030523 INVENTARIO'!S795</f>
        <v>SIN SERIE</v>
      </c>
      <c r="R795" s="168" t="str">
        <f>'030523 INVENTARIO'!T795</f>
        <v>82DJ0511010009000518512</v>
      </c>
    </row>
    <row r="796" spans="5:18">
      <c r="E796" s="167" t="str">
        <f>'030523 INVENTARIO'!E796</f>
        <v>SILLA</v>
      </c>
      <c r="F796" s="167" t="str">
        <f>'030523 INVENTARIO'!F796</f>
        <v>SILLA NEGRA DE TELA FIJA</v>
      </c>
      <c r="G796" s="167" t="str">
        <f ca="1">'030523 INVENTARIO'!G796</f>
        <v>P24CA-0795</v>
      </c>
      <c r="H796" s="167" t="str">
        <f>'030523 INVENTARIO'!J796</f>
        <v>P24CA-0795</v>
      </c>
      <c r="I796" s="167" t="str">
        <f>'030523 INVENTARIO'!K796</f>
        <v>P24AD-008</v>
      </c>
      <c r="J796" s="167" t="str">
        <f>'030523 INVENTARIO'!L796</f>
        <v>P2A-15</v>
      </c>
      <c r="K796" s="167" t="str">
        <f>'030523 INVENTARIO'!M796</f>
        <v>5110100011-14</v>
      </c>
      <c r="L796" s="168">
        <f>'030523 INVENTARIO'!N796</f>
        <v>0</v>
      </c>
      <c r="M796" s="168">
        <f>'030523 INVENTARIO'!O796</f>
        <v>0</v>
      </c>
      <c r="N796" s="168" t="str">
        <f>'030523 INVENTARIO'!P796</f>
        <v>OK</v>
      </c>
      <c r="O796" s="168" t="str">
        <f>'030523 INVENTARIO'!Q796</f>
        <v>S/M</v>
      </c>
      <c r="P796" s="167" t="str">
        <f>'030523 INVENTARIO'!R796</f>
        <v>S/M</v>
      </c>
      <c r="Q796" s="168" t="str">
        <f>'030523 INVENTARIO'!S796</f>
        <v>SIN SERIE</v>
      </c>
      <c r="R796" s="168" t="str">
        <f>'030523 INVENTARIO'!T796</f>
        <v>82DJ0511010017000564035</v>
      </c>
    </row>
    <row r="797" spans="5:18">
      <c r="E797" s="167" t="str">
        <f>'030523 INVENTARIO'!E797</f>
        <v>SILLA</v>
      </c>
      <c r="F797" s="167" t="str">
        <f>'030523 INVENTARIO'!F797</f>
        <v>SILLA NEGRA DE TELA FIJA</v>
      </c>
      <c r="G797" s="167" t="str">
        <f ca="1">'030523 INVENTARIO'!G797</f>
        <v>P24CA-0796</v>
      </c>
      <c r="H797" s="167" t="str">
        <f>'030523 INVENTARIO'!J797</f>
        <v>P24CA-0796</v>
      </c>
      <c r="I797" s="167" t="str">
        <f>'030523 INVENTARIO'!K797</f>
        <v>P24AD-009</v>
      </c>
      <c r="J797" s="167" t="str">
        <f>'030523 INVENTARIO'!L797</f>
        <v>P2A-3</v>
      </c>
      <c r="K797" s="167" t="str">
        <f>'030523 INVENTARIO'!M797</f>
        <v>5110100011-12</v>
      </c>
      <c r="L797" s="168">
        <f>'030523 INVENTARIO'!N797</f>
        <v>0</v>
      </c>
      <c r="M797" s="168">
        <f>'030523 INVENTARIO'!O797</f>
        <v>0</v>
      </c>
      <c r="N797" s="168" t="str">
        <f>'030523 INVENTARIO'!P797</f>
        <v>OK</v>
      </c>
      <c r="O797" s="168" t="str">
        <f>'030523 INVENTARIO'!Q797</f>
        <v>S/M</v>
      </c>
      <c r="P797" s="167" t="str">
        <f>'030523 INVENTARIO'!R797</f>
        <v>S/M</v>
      </c>
      <c r="Q797" s="168" t="str">
        <f>'030523 INVENTARIO'!S797</f>
        <v>SIN SERIE</v>
      </c>
      <c r="R797" s="168" t="str">
        <f>'030523 INVENTARIO'!T797</f>
        <v>82DH0511010017000518516</v>
      </c>
    </row>
    <row r="798" spans="5:18">
      <c r="E798" s="167" t="str">
        <f>'030523 INVENTARIO'!E798</f>
        <v>SILLA</v>
      </c>
      <c r="F798" s="167" t="str">
        <f>'030523 INVENTARIO'!F798</f>
        <v>SILLLA CAFÉ DE TELA FIJA</v>
      </c>
      <c r="G798" s="167" t="str">
        <f ca="1">'030523 INVENTARIO'!G798</f>
        <v>P24CA-0797</v>
      </c>
      <c r="H798" s="167" t="str">
        <f>'030523 INVENTARIO'!J798</f>
        <v>P24CA-0797</v>
      </c>
      <c r="I798" s="167" t="str">
        <f>'030523 INVENTARIO'!K798</f>
        <v>P24AD-010</v>
      </c>
      <c r="J798" s="167" t="str">
        <f>'030523 INVENTARIO'!L798</f>
        <v>P2A-14</v>
      </c>
      <c r="K798" s="167" t="str">
        <f>'030523 INVENTARIO'!M798</f>
        <v>5110100011-13</v>
      </c>
      <c r="L798" s="168">
        <f>'030523 INVENTARIO'!N798</f>
        <v>0</v>
      </c>
      <c r="M798" s="168">
        <f>'030523 INVENTARIO'!O798</f>
        <v>0</v>
      </c>
      <c r="N798" s="168" t="str">
        <f>'030523 INVENTARIO'!P798</f>
        <v>OK</v>
      </c>
      <c r="O798" s="168" t="str">
        <f>'030523 INVENTARIO'!Q798</f>
        <v>S/M</v>
      </c>
      <c r="P798" s="167" t="str">
        <f>'030523 INVENTARIO'!R798</f>
        <v>S/M</v>
      </c>
      <c r="Q798" s="168" t="str">
        <f>'030523 INVENTARIO'!S798</f>
        <v>SIN SERIE</v>
      </c>
      <c r="R798" s="168" t="str">
        <f>'030523 INVENTARIO'!T798</f>
        <v>82DJ0511010017000564036</v>
      </c>
    </row>
    <row r="799" spans="5:18">
      <c r="E799" s="167" t="str">
        <f>'030523 INVENTARIO'!E799</f>
        <v>ESCRITORIO</v>
      </c>
      <c r="F799" s="168" t="str">
        <f>'030523 INVENTARIO'!F799</f>
        <v>ESCRITORIO MADERA CAFÉ</v>
      </c>
      <c r="G799" s="167" t="str">
        <f ca="1">'030523 INVENTARIO'!G799</f>
        <v>P24CA-0798</v>
      </c>
      <c r="H799" s="167" t="str">
        <f>'030523 INVENTARIO'!J799</f>
        <v>P24CA-0798</v>
      </c>
      <c r="I799" s="167" t="str">
        <f>'030523 INVENTARIO'!K799</f>
        <v>P24AD-011</v>
      </c>
      <c r="J799" s="167" t="str">
        <f>'030523 INVENTARIO'!L799</f>
        <v>P2A-6</v>
      </c>
      <c r="K799" s="167" t="str">
        <f>'030523 INVENTARIO'!M799</f>
        <v>5110100015-13</v>
      </c>
      <c r="L799" s="168">
        <f>'030523 INVENTARIO'!N799</f>
        <v>0</v>
      </c>
      <c r="M799" s="168">
        <f>'030523 INVENTARIO'!O799</f>
        <v>0</v>
      </c>
      <c r="N799" s="168" t="str">
        <f>'030523 INVENTARIO'!P799</f>
        <v>OK</v>
      </c>
      <c r="O799" s="168" t="str">
        <f>'030523 INVENTARIO'!Q799</f>
        <v>S/M</v>
      </c>
      <c r="P799" s="167" t="str">
        <f>'030523 INVENTARIO'!R799</f>
        <v>S/M</v>
      </c>
      <c r="Q799" s="168" t="str">
        <f>'030523 INVENTARIO'!S799</f>
        <v>SIN SERIE</v>
      </c>
      <c r="R799" s="168" t="str">
        <f>'030523 INVENTARIO'!T799</f>
        <v>82DJ0511010006000583439</v>
      </c>
    </row>
    <row r="800" spans="5:18">
      <c r="E800" s="167" t="str">
        <f>'030523 INVENTARIO'!E800</f>
        <v>CREDENZA</v>
      </c>
      <c r="F800" s="168" t="str">
        <f>'030523 INVENTARIO'!F800</f>
        <v>CREDENZA</v>
      </c>
      <c r="G800" s="167" t="str">
        <f ca="1">'030523 INVENTARIO'!G800</f>
        <v>P24CA-0799</v>
      </c>
      <c r="H800" s="167" t="str">
        <f>'030523 INVENTARIO'!J800</f>
        <v>P24CA-0799</v>
      </c>
      <c r="I800" s="167" t="str">
        <f>'030523 INVENTARIO'!K800</f>
        <v>P24AD-012</v>
      </c>
      <c r="J800" s="167" t="str">
        <f>'030523 INVENTARIO'!L800</f>
        <v>P2A-18</v>
      </c>
      <c r="K800" s="167" t="str">
        <f>'030523 INVENTARIO'!M800</f>
        <v>5110100014-3</v>
      </c>
      <c r="L800" s="168">
        <f>'030523 INVENTARIO'!N800</f>
        <v>0</v>
      </c>
      <c r="M800" s="168">
        <f>'030523 INVENTARIO'!O800</f>
        <v>0</v>
      </c>
      <c r="N800" s="168" t="str">
        <f>'030523 INVENTARIO'!P800</f>
        <v>OK</v>
      </c>
      <c r="O800" s="168" t="str">
        <f>'030523 INVENTARIO'!Q800</f>
        <v>S/M</v>
      </c>
      <c r="P800" s="167" t="str">
        <f>'030523 INVENTARIO'!R800</f>
        <v>S/M</v>
      </c>
      <c r="Q800" s="168" t="str">
        <f>'030523 INVENTARIO'!S800</f>
        <v>CADPEUI0040</v>
      </c>
      <c r="R800" s="168" t="str">
        <f>'030523 INVENTARIO'!T800</f>
        <v>82DJ0511010005000649755</v>
      </c>
    </row>
    <row r="801" spans="5:18">
      <c r="E801" s="167" t="str">
        <f>'030523 INVENTARIO'!E801</f>
        <v>ESCRITORIO</v>
      </c>
      <c r="F801" s="168" t="str">
        <f>'030523 INVENTARIO'!F801</f>
        <v>MODULO DE MADERA CAFÉ</v>
      </c>
      <c r="G801" s="167" t="str">
        <f ca="1">'030523 INVENTARIO'!G801</f>
        <v>P24CA-0800</v>
      </c>
      <c r="H801" s="167" t="str">
        <f>'030523 INVENTARIO'!J801</f>
        <v>P24CA-0800</v>
      </c>
      <c r="I801" s="167" t="str">
        <f>'030523 INVENTARIO'!K801</f>
        <v>P24AD-013</v>
      </c>
      <c r="J801" s="167" t="str">
        <f>'030523 INVENTARIO'!L801</f>
        <v>P2A-5</v>
      </c>
      <c r="K801" s="167" t="str">
        <f>'030523 INVENTARIO'!M801</f>
        <v>5120100007-35</v>
      </c>
      <c r="L801" s="168">
        <f>'030523 INVENTARIO'!N801</f>
        <v>0</v>
      </c>
      <c r="M801" s="168">
        <f>'030523 INVENTARIO'!O801</f>
        <v>0</v>
      </c>
      <c r="N801" s="168" t="str">
        <f>'030523 INVENTARIO'!P801</f>
        <v>OK</v>
      </c>
      <c r="O801" s="168" t="str">
        <f>'030523 INVENTARIO'!Q801</f>
        <v>S/M</v>
      </c>
      <c r="P801" s="167" t="str">
        <f>'030523 INVENTARIO'!R801</f>
        <v>S/M</v>
      </c>
      <c r="Q801" s="168" t="str">
        <f>'030523 INVENTARIO'!S801</f>
        <v>SIN SERIE</v>
      </c>
      <c r="R801" s="168" t="str">
        <f>'030523 INVENTARIO'!T801</f>
        <v>82DJ0511010029000649760</v>
      </c>
    </row>
    <row r="802" spans="5:18">
      <c r="E802" s="167" t="str">
        <f>'030523 INVENTARIO'!E802</f>
        <v>ESCRITORIO</v>
      </c>
      <c r="F802" s="168" t="str">
        <f>'030523 INVENTARIO'!F802</f>
        <v>ESCRITORIO DE MADERA COMPLEMENTO</v>
      </c>
      <c r="G802" s="167" t="str">
        <f ca="1">'030523 INVENTARIO'!G802</f>
        <v>P24CA-0801</v>
      </c>
      <c r="H802" s="167" t="str">
        <f>'030523 INVENTARIO'!J802</f>
        <v>P24CA-0801</v>
      </c>
      <c r="I802" s="167" t="str">
        <f>'030523 INVENTARIO'!K802</f>
        <v>P24AD-014</v>
      </c>
      <c r="J802" s="167" t="str">
        <f>'030523 INVENTARIO'!L802</f>
        <v>P2A-17</v>
      </c>
      <c r="K802" s="167" t="str">
        <f>'030523 INVENTARIO'!M802</f>
        <v>5110100015-14</v>
      </c>
      <c r="L802" s="168">
        <f>'030523 INVENTARIO'!N802</f>
        <v>0</v>
      </c>
      <c r="M802" s="168">
        <f>'030523 INVENTARIO'!O802</f>
        <v>0</v>
      </c>
      <c r="N802" s="168" t="str">
        <f>'030523 INVENTARIO'!P802</f>
        <v>OK</v>
      </c>
      <c r="O802" s="168" t="str">
        <f>'030523 INVENTARIO'!Q802</f>
        <v>S/M</v>
      </c>
      <c r="P802" s="167" t="str">
        <f>'030523 INVENTARIO'!R802</f>
        <v>S/M</v>
      </c>
      <c r="Q802" s="168" t="str">
        <f>'030523 INVENTARIO'!S802</f>
        <v>SIN SERIE</v>
      </c>
      <c r="R802" s="168" t="str">
        <f>'030523 INVENTARIO'!T802</f>
        <v>82DJ0512010011000515291</v>
      </c>
    </row>
    <row r="803" spans="5:18">
      <c r="E803" s="167" t="str">
        <f>'030523 INVENTARIO'!E803</f>
        <v>VENTILADOR</v>
      </c>
      <c r="F803" s="168" t="str">
        <f>'030523 INVENTARIO'!F803</f>
        <v>VENTILADOR BLANCO DE TORRE</v>
      </c>
      <c r="G803" s="167" t="str">
        <f ca="1">'030523 INVENTARIO'!G803</f>
        <v>P24CA-0802</v>
      </c>
      <c r="H803" s="167" t="str">
        <f>'030523 INVENTARIO'!J803</f>
        <v>P24CA-0802</v>
      </c>
      <c r="I803" s="167" t="str">
        <f>'030523 INVENTARIO'!K803</f>
        <v>P24AD-015</v>
      </c>
      <c r="J803" s="167" t="str">
        <f>'030523 INVENTARIO'!L803</f>
        <v>P2A-16</v>
      </c>
      <c r="K803" s="168" t="str">
        <f>'030523 INVENTARIO'!M803</f>
        <v>5190200002-9</v>
      </c>
      <c r="L803" s="168">
        <f>'030523 INVENTARIO'!N803</f>
        <v>0</v>
      </c>
      <c r="M803" s="168">
        <f>'030523 INVENTARIO'!O803</f>
        <v>0</v>
      </c>
      <c r="N803" s="168" t="str">
        <f>'030523 INVENTARIO'!P803</f>
        <v>OK</v>
      </c>
      <c r="O803" s="168" t="str">
        <f>'030523 INVENTARIO'!Q803</f>
        <v>WINDANCE</v>
      </c>
      <c r="P803" s="167" t="str">
        <f>'030523 INVENTARIO'!R803</f>
        <v>FZ10-9HB</v>
      </c>
      <c r="Q803" s="167" t="str">
        <f>'030523 INVENTARIO'!S803</f>
        <v>SIN SERIE</v>
      </c>
      <c r="R803" s="167" t="str">
        <f>'030523 INVENTARIO'!T803</f>
        <v>82DJ0531010094000535804</v>
      </c>
    </row>
    <row r="804" spans="5:18">
      <c r="E804" s="167" t="str">
        <f>'030523 INVENTARIO'!E804</f>
        <v>TELEFONO</v>
      </c>
      <c r="F804" s="168" t="str">
        <f>'030523 INVENTARIO'!F804</f>
        <v>TELEFONO GRIS</v>
      </c>
      <c r="G804" s="167" t="str">
        <f ca="1">'030523 INVENTARIO'!G804</f>
        <v>P24CA-0803</v>
      </c>
      <c r="H804" s="167" t="str">
        <f>'030523 INVENTARIO'!J804</f>
        <v>P24CA-0803</v>
      </c>
      <c r="I804" s="167" t="str">
        <f>'030523 INVENTARIO'!K804</f>
        <v>P24AD-016</v>
      </c>
      <c r="J804" s="167" t="str">
        <f>'030523 INVENTARIO'!L804</f>
        <v>P2A-11</v>
      </c>
      <c r="K804" s="167" t="str">
        <f>'030523 INVENTARIO'!M804</f>
        <v>5650100010-7</v>
      </c>
      <c r="L804" s="168">
        <f>'030523 INVENTARIO'!N804</f>
        <v>0</v>
      </c>
      <c r="M804" s="168">
        <f>'030523 INVENTARIO'!O804</f>
        <v>0</v>
      </c>
      <c r="N804" s="168" t="str">
        <f>'030523 INVENTARIO'!P804</f>
        <v>OK</v>
      </c>
      <c r="O804" s="168" t="str">
        <f>'030523 INVENTARIO'!Q804</f>
        <v>LINKSYS</v>
      </c>
      <c r="P804" s="167" t="str">
        <f>'030523 INVENTARIO'!R804</f>
        <v>SPA942</v>
      </c>
      <c r="Q804" s="168" t="str">
        <f>'030523 INVENTARIO'!S804</f>
        <v>4LO00H118292</v>
      </c>
      <c r="R804" s="168" t="str">
        <f>'030523 INVENTARIO'!T804</f>
        <v>82DJ0565010001000533070</v>
      </c>
    </row>
    <row r="805" spans="5:18">
      <c r="E805" s="167" t="str">
        <f>'030523 INVENTARIO'!E805</f>
        <v>NO BREAK</v>
      </c>
      <c r="F805" s="168" t="str">
        <f>'030523 INVENTARIO'!F805</f>
        <v>NO BREAK NEGRO</v>
      </c>
      <c r="G805" s="167" t="str">
        <f ca="1">'030523 INVENTARIO'!G805</f>
        <v>P24CA-0804</v>
      </c>
      <c r="H805" s="167" t="str">
        <f>'030523 INVENTARIO'!J805</f>
        <v>P24CA-0804</v>
      </c>
      <c r="I805" s="167" t="str">
        <f>'030523 INVENTARIO'!K805</f>
        <v>P24AD-017</v>
      </c>
      <c r="J805" s="167" t="str">
        <f>'030523 INVENTARIO'!L805</f>
        <v>P2A-8</v>
      </c>
      <c r="K805" s="167" t="str">
        <f>'030523 INVENTARIO'!M805</f>
        <v>5150100008-5</v>
      </c>
      <c r="L805" s="168">
        <f>'030523 INVENTARIO'!N805</f>
        <v>0</v>
      </c>
      <c r="M805" s="168">
        <f>'030523 INVENTARIO'!O805</f>
        <v>0</v>
      </c>
      <c r="N805" s="168" t="str">
        <f>'030523 INVENTARIO'!P805</f>
        <v>OK</v>
      </c>
      <c r="O805" s="168" t="str">
        <f>'030523 INVENTARIO'!Q805</f>
        <v>FORZA</v>
      </c>
      <c r="P805" s="167" t="str">
        <f>'030523 INVENTARIO'!R805</f>
        <v>NT751</v>
      </c>
      <c r="Q805" s="168" t="str">
        <f>'030523 INVENTARIO'!S805</f>
        <v>181222505877</v>
      </c>
      <c r="R805" s="168" t="str">
        <f>'030523 INVENTARIO'!T805</f>
        <v>82DJ0515010016000649427</v>
      </c>
    </row>
    <row r="806" spans="5:18">
      <c r="E806" s="167" t="str">
        <f>'030523 INVENTARIO'!E806</f>
        <v>COMPUTADORA DE ESCRITORIO</v>
      </c>
      <c r="F806" s="167" t="str">
        <f>'030523 INVENTARIO'!F806</f>
        <v>COMPUTADORA DE ESCRITORIO</v>
      </c>
      <c r="G806" s="167" t="str">
        <f ca="1">'030523 INVENTARIO'!G806</f>
        <v>P24CA-0805</v>
      </c>
      <c r="H806" s="167" t="str">
        <f>'030523 INVENTARIO'!J806</f>
        <v>P24CA-0805</v>
      </c>
      <c r="I806" s="167" t="str">
        <f>'030523 INVENTARIO'!K806</f>
        <v>P24AD-018</v>
      </c>
      <c r="J806" s="167">
        <f>'030523 INVENTARIO'!L806</f>
        <v>0</v>
      </c>
      <c r="K806" s="167" t="str">
        <f>'030523 INVENTARIO'!M806</f>
        <v>5150100005-127</v>
      </c>
      <c r="L806" s="168">
        <f>'030523 INVENTARIO'!N806</f>
        <v>0</v>
      </c>
      <c r="M806" s="168">
        <f>'030523 INVENTARIO'!O806</f>
        <v>0</v>
      </c>
      <c r="N806" s="168" t="str">
        <f>'030523 INVENTARIO'!P806</f>
        <v>OK</v>
      </c>
      <c r="O806" s="168" t="str">
        <f>'030523 INVENTARIO'!Q806</f>
        <v>ACTECK</v>
      </c>
      <c r="P806" s="167" t="str">
        <f>'030523 INVENTARIO'!R806</f>
        <v>LINX</v>
      </c>
      <c r="Q806" s="167">
        <f>'030523 INVENTARIO'!S806</f>
        <v>11392903014323</v>
      </c>
      <c r="R806" s="167" t="str">
        <f>'030523 INVENTARIO'!T806</f>
        <v>82DJ</v>
      </c>
    </row>
    <row r="807" spans="5:18">
      <c r="E807" s="167" t="str">
        <f>'030523 INVENTARIO'!E807</f>
        <v>MONITOR</v>
      </c>
      <c r="F807" s="167" t="str">
        <f>'030523 INVENTARIO'!F807</f>
        <v>MONITOR 21"</v>
      </c>
      <c r="G807" s="167" t="str">
        <f ca="1">'030523 INVENTARIO'!G807</f>
        <v>P24CA-0806</v>
      </c>
      <c r="H807" s="167" t="str">
        <f>'030523 INVENTARIO'!J807</f>
        <v>P24CA-0806</v>
      </c>
      <c r="I807" s="167" t="str">
        <f>'030523 INVENTARIO'!K807</f>
        <v>P24AD-019</v>
      </c>
      <c r="J807" s="167">
        <f>'030523 INVENTARIO'!L807</f>
        <v>0</v>
      </c>
      <c r="K807" s="167" t="str">
        <f>'030523 INVENTARIO'!M807</f>
        <v>5150100005-128</v>
      </c>
      <c r="L807" s="168">
        <f>'030523 INVENTARIO'!N807</f>
        <v>0</v>
      </c>
      <c r="M807" s="168">
        <f>'030523 INVENTARIO'!O807</f>
        <v>0</v>
      </c>
      <c r="N807" s="168" t="str">
        <f>'030523 INVENTARIO'!P807</f>
        <v>OK</v>
      </c>
      <c r="O807" s="168" t="str">
        <f>'030523 INVENTARIO'!Q807</f>
        <v>ACER</v>
      </c>
      <c r="P807" s="167" t="str">
        <f>'030523 INVENTARIO'!R807</f>
        <v>V226HQL</v>
      </c>
      <c r="Q807" s="167" t="str">
        <f>'030523 INVENTARIO'!S807</f>
        <v>MMTASAA007052059C53P00</v>
      </c>
      <c r="R807" s="168" t="str">
        <f>'030523 INVENTARIO'!T807</f>
        <v>82DJ0511010016000518499</v>
      </c>
    </row>
    <row r="808" spans="5:18">
      <c r="E808" s="167" t="str">
        <f>'030523 INVENTARIO'!E808</f>
        <v>SILLON</v>
      </c>
      <c r="F808" s="168" t="str">
        <f>'030523 INVENTARIO'!F808</f>
        <v>SILLÓN DE PIEL NEGRO CON RUEDAS</v>
      </c>
      <c r="G808" s="167" t="str">
        <f ca="1">'030523 INVENTARIO'!G808</f>
        <v>P24CA-0807</v>
      </c>
      <c r="H808" s="167" t="str">
        <f>'030523 INVENTARIO'!J808</f>
        <v>P24CA-0807</v>
      </c>
      <c r="I808" s="167" t="str">
        <f>'030523 INVENTARIO'!K808</f>
        <v>P24AD-020</v>
      </c>
      <c r="J808" s="167" t="str">
        <f>'030523 INVENTARIO'!L808</f>
        <v>P2A-12</v>
      </c>
      <c r="K808" s="167" t="str">
        <f>'030523 INVENTARIO'!M808</f>
        <v>5120100009-21</v>
      </c>
      <c r="L808" s="168">
        <f>'030523 INVENTARIO'!N808</f>
        <v>0</v>
      </c>
      <c r="M808" s="168">
        <f>'030523 INVENTARIO'!O808</f>
        <v>0</v>
      </c>
      <c r="N808" s="168" t="str">
        <f>'030523 INVENTARIO'!P808</f>
        <v>OK</v>
      </c>
      <c r="O808" s="168" t="str">
        <f>'030523 INVENTARIO'!Q808</f>
        <v>S/M</v>
      </c>
      <c r="P808" s="167" t="str">
        <f>'030523 INVENTARIO'!R808</f>
        <v>S/M</v>
      </c>
      <c r="Q808" s="168" t="str">
        <f>'030523 INVENTARIO'!S808</f>
        <v>SIN SERIE</v>
      </c>
      <c r="R808" s="168" t="str">
        <f>'030523 INVENTARIO'!T808</f>
        <v>SIN RESGUARDO</v>
      </c>
    </row>
    <row r="809" spans="5:18">
      <c r="E809" s="167" t="str">
        <f>'030523 INVENTARIO'!E809</f>
        <v>COMPUTADORA PORTATIL</v>
      </c>
      <c r="F809" s="168" t="str">
        <f>'030523 INVENTARIO'!F809</f>
        <v>COMPUTADORA PORTATIL</v>
      </c>
      <c r="G809" s="167" t="str">
        <f ca="1">'030523 INVENTARIO'!G809</f>
        <v>P24CA-0808</v>
      </c>
      <c r="H809" s="167" t="str">
        <f>'030523 INVENTARIO'!J809</f>
        <v>P24CA-0808</v>
      </c>
      <c r="I809" s="167" t="str">
        <f>'030523 INVENTARIO'!K809</f>
        <v>P24AD-021</v>
      </c>
      <c r="J809" s="167" t="str">
        <f>'030523 INVENTARIO'!L809</f>
        <v>P2A-21</v>
      </c>
      <c r="K809" s="168" t="str">
        <f>'030523 INVENTARIO'!M809</f>
        <v>ALTA</v>
      </c>
      <c r="L809" s="168">
        <f>'030523 INVENTARIO'!N809</f>
        <v>0</v>
      </c>
      <c r="M809" s="168">
        <f>'030523 INVENTARIO'!O809</f>
        <v>0</v>
      </c>
      <c r="N809" s="168" t="str">
        <f>'030523 INVENTARIO'!P809</f>
        <v>REPETIDO</v>
      </c>
      <c r="O809" s="168" t="str">
        <f>'030523 INVENTARIO'!Q809</f>
        <v>HP</v>
      </c>
      <c r="P809" s="167" t="str">
        <f>'030523 INVENTARIO'!R809</f>
        <v>PAVILLION G4-1420LA</v>
      </c>
      <c r="Q809" s="168" t="str">
        <f>'030523 INVENTARIO'!S809</f>
        <v>5CD2303CC6</v>
      </c>
      <c r="R809" s="167" t="str">
        <f>'030523 INVENTARIO'!T809</f>
        <v>82DJ0515010002000539849</v>
      </c>
    </row>
    <row r="810" spans="5:18">
      <c r="E810" s="167" t="str">
        <f>'030523 INVENTARIO'!E810</f>
        <v>ARCHIVERO</v>
      </c>
      <c r="F810" s="167" t="str">
        <f>'030523 INVENTARIO'!F810</f>
        <v>ARCHIVERO DE MADERA CON 4 CAJONES 125X50X60</v>
      </c>
      <c r="G810" s="167" t="str">
        <f ca="1">'030523 INVENTARIO'!G810</f>
        <v>P24CA-0809</v>
      </c>
      <c r="H810" s="167" t="str">
        <f>'030523 INVENTARIO'!J810</f>
        <v>P24CA-0809</v>
      </c>
      <c r="I810" s="167" t="str">
        <f>'030523 INVENTARIO'!K810</f>
        <v>P24AD-022</v>
      </c>
      <c r="J810" s="167" t="str">
        <f>'030523 INVENTARIO'!L810</f>
        <v>P2A-35</v>
      </c>
      <c r="K810" s="167" t="str">
        <f>'030523 INVENTARIO'!M810</f>
        <v>5130100013-8</v>
      </c>
      <c r="L810" s="168">
        <f>'030523 INVENTARIO'!N810</f>
        <v>0</v>
      </c>
      <c r="M810" s="168">
        <f>'030523 INVENTARIO'!O810</f>
        <v>0</v>
      </c>
      <c r="N810" s="168" t="str">
        <f>'030523 INVENTARIO'!P810</f>
        <v>OK</v>
      </c>
      <c r="O810" s="168" t="str">
        <f>'030523 INVENTARIO'!Q810</f>
        <v>S/M</v>
      </c>
      <c r="P810" s="167" t="str">
        <f>'030523 INVENTARIO'!R810</f>
        <v>S/M</v>
      </c>
      <c r="Q810" s="168" t="str">
        <f>'030523 INVENTARIO'!S810</f>
        <v>SIN SERIE</v>
      </c>
      <c r="R810" s="168" t="str">
        <f>'030523 INVENTARIO'!T810</f>
        <v>82DH0511010001000581686</v>
      </c>
    </row>
    <row r="811" spans="5:18">
      <c r="E811" s="167" t="str">
        <f>'030523 INVENTARIO'!E811</f>
        <v>CREDENZA</v>
      </c>
      <c r="F811" s="167" t="str">
        <f>'030523 INVENTARIO'!F811</f>
        <v>CREDENZA MADERA CAOBA CON 2 PUERTAS 180X40</v>
      </c>
      <c r="G811" s="167" t="str">
        <f ca="1">'030523 INVENTARIO'!G811</f>
        <v>P24CA-0810</v>
      </c>
      <c r="H811" s="167" t="str">
        <f>'030523 INVENTARIO'!J811</f>
        <v>P24CA-0810</v>
      </c>
      <c r="I811" s="167" t="str">
        <f>'030523 INVENTARIO'!K811</f>
        <v>P24AD-023</v>
      </c>
      <c r="J811" s="167" t="str">
        <f>'030523 INVENTARIO'!L811</f>
        <v>P2A-37</v>
      </c>
      <c r="K811" s="167" t="str">
        <f>'030523 INVENTARIO'!M811</f>
        <v>5110100014-4</v>
      </c>
      <c r="L811" s="168">
        <f>'030523 INVENTARIO'!N811</f>
        <v>0</v>
      </c>
      <c r="M811" s="168">
        <f>'030523 INVENTARIO'!O811</f>
        <v>0</v>
      </c>
      <c r="N811" s="168" t="str">
        <f>'030523 INVENTARIO'!P811</f>
        <v>OK</v>
      </c>
      <c r="O811" s="168" t="str">
        <f>'030523 INVENTARIO'!Q811</f>
        <v>S/M</v>
      </c>
      <c r="P811" s="167" t="str">
        <f>'030523 INVENTARIO'!R811</f>
        <v>S/M</v>
      </c>
      <c r="Q811" s="168" t="str">
        <f>'030523 INVENTARIO'!S811</f>
        <v>SIN SERIE</v>
      </c>
      <c r="R811" s="168" t="str">
        <f>'030523 INVENTARIO'!T811</f>
        <v>82DH0511010005000518505</v>
      </c>
    </row>
    <row r="812" spans="5:18">
      <c r="E812" s="167" t="str">
        <f>'030523 INVENTARIO'!E812</f>
        <v>CAFETERA</v>
      </c>
      <c r="F812" s="168" t="str">
        <f>'030523 INVENTARIO'!F812</f>
        <v>CAFETERA</v>
      </c>
      <c r="G812" s="167" t="str">
        <f ca="1">'030523 INVENTARIO'!G812</f>
        <v>P24CA-0811</v>
      </c>
      <c r="H812" s="167" t="str">
        <f>'030523 INVENTARIO'!J812</f>
        <v>P24CA-0811</v>
      </c>
      <c r="I812" s="167" t="str">
        <f>'030523 INVENTARIO'!K812</f>
        <v>P24AD-024</v>
      </c>
      <c r="J812" s="167" t="str">
        <f>'030523 INVENTARIO'!L812</f>
        <v>P2SJ-6</v>
      </c>
      <c r="K812" s="168" t="str">
        <f>'030523 INVENTARIO'!M812</f>
        <v>5120100001-14</v>
      </c>
      <c r="L812" s="168">
        <f>'030523 INVENTARIO'!N812</f>
        <v>0</v>
      </c>
      <c r="M812" s="168">
        <f>'030523 INVENTARIO'!O812</f>
        <v>0</v>
      </c>
      <c r="N812" s="168" t="str">
        <f>'030523 INVENTARIO'!P812</f>
        <v>OK</v>
      </c>
      <c r="O812" s="168" t="str">
        <f>'030523 INVENTARIO'!Q812</f>
        <v>OSTER</v>
      </c>
      <c r="P812" s="167" t="str">
        <f>'030523 INVENTARIO'!R812</f>
        <v>BVSTDC-3390</v>
      </c>
      <c r="Q812" s="168" t="str">
        <f>'030523 INVENTARIO'!S812</f>
        <v>SIN SERIE</v>
      </c>
      <c r="R812" s="168" t="str">
        <f>'030523 INVENTARIO'!T812</f>
        <v>82DH0519010006000649405</v>
      </c>
    </row>
    <row r="813" spans="5:18">
      <c r="E813" s="167" t="str">
        <f>'030523 INVENTARIO'!E813</f>
        <v>ENGARGOLADORA</v>
      </c>
      <c r="F813" s="168" t="str">
        <f>'030523 INVENTARIO'!F813</f>
        <v>ENGARGOLADORA METAL GRIS</v>
      </c>
      <c r="G813" s="167" t="str">
        <f ca="1">'030523 INVENTARIO'!G813</f>
        <v>P24CA-0812</v>
      </c>
      <c r="H813" s="167" t="str">
        <f>'030523 INVENTARIO'!J813</f>
        <v>P24CA-0812</v>
      </c>
      <c r="I813" s="167" t="str">
        <f>'030523 INVENTARIO'!K813</f>
        <v>P24AD-025</v>
      </c>
      <c r="J813" s="167" t="str">
        <f>'030523 INVENTARIO'!L813</f>
        <v>P2A-42</v>
      </c>
      <c r="K813" s="167" t="str">
        <f>'030523 INVENTARIO'!M813</f>
        <v>5290300001-5</v>
      </c>
      <c r="L813" s="168">
        <f>'030523 INVENTARIO'!N813</f>
        <v>0</v>
      </c>
      <c r="M813" s="168">
        <f>'030523 INVENTARIO'!O813</f>
        <v>0</v>
      </c>
      <c r="N813" s="168" t="str">
        <f>'030523 INVENTARIO'!P813</f>
        <v>OK</v>
      </c>
      <c r="O813" s="168" t="str">
        <f>'030523 INVENTARIO'!Q813</f>
        <v>GBC</v>
      </c>
      <c r="P813" s="167" t="str">
        <f>'030523 INVENTARIO'!R813</f>
        <v>222KM</v>
      </c>
      <c r="Q813" s="167" t="str">
        <f>'030523 INVENTARIO'!S813</f>
        <v>SIN SERIE</v>
      </c>
      <c r="R813" s="167" t="str">
        <f>'030523 INVENTARIO'!T813</f>
        <v>82DH0519010017000565624</v>
      </c>
    </row>
    <row r="814" spans="5:18">
      <c r="E814" s="167" t="str">
        <f>'030523 INVENTARIO'!E814</f>
        <v>MODULO</v>
      </c>
      <c r="F814" s="167" t="str">
        <f>'030523 INVENTARIO'!F814</f>
        <v>MODULO DE MADERA CON RUEDAS 116X39</v>
      </c>
      <c r="G814" s="167" t="str">
        <f ca="1">'030523 INVENTARIO'!G814</f>
        <v>P24CA-0813</v>
      </c>
      <c r="H814" s="167" t="str">
        <f>'030523 INVENTARIO'!J814</f>
        <v>P24CA-0813</v>
      </c>
      <c r="I814" s="167" t="str">
        <f>'030523 INVENTARIO'!K814</f>
        <v>P24AD-026</v>
      </c>
      <c r="J814" s="167" t="str">
        <f>'030523 INVENTARIO'!L814</f>
        <v>P2A-43</v>
      </c>
      <c r="K814" s="167" t="str">
        <f>'030523 INVENTARIO'!M814</f>
        <v>5120100007-40</v>
      </c>
      <c r="L814" s="168">
        <f>'030523 INVENTARIO'!N814</f>
        <v>0</v>
      </c>
      <c r="M814" s="168">
        <f>'030523 INVENTARIO'!O814</f>
        <v>0</v>
      </c>
      <c r="N814" s="168" t="str">
        <f>'030523 INVENTARIO'!P814</f>
        <v>OK</v>
      </c>
      <c r="O814" s="168" t="str">
        <f>'030523 INVENTARIO'!Q814</f>
        <v>S/M</v>
      </c>
      <c r="P814" s="167" t="str">
        <f>'030523 INVENTARIO'!R814</f>
        <v>S/M</v>
      </c>
      <c r="Q814" s="168" t="str">
        <f>'030523 INVENTARIO'!S814</f>
        <v>SIN SERIE</v>
      </c>
      <c r="R814" s="168" t="str">
        <f>'030523 INVENTARIO'!T814</f>
        <v>82DH0511010029000649763</v>
      </c>
    </row>
    <row r="815" spans="5:18">
      <c r="E815" s="167" t="str">
        <f>'030523 INVENTARIO'!E815</f>
        <v>ESCRITORIO</v>
      </c>
      <c r="F815" s="167" t="str">
        <f>'030523 INVENTARIO'!F815</f>
        <v>ESCRITORIO DE MADERA CAOBA 180X85</v>
      </c>
      <c r="G815" s="167" t="str">
        <f ca="1">'030523 INVENTARIO'!G815</f>
        <v>P24CA-0814</v>
      </c>
      <c r="H815" s="167" t="str">
        <f>'030523 INVENTARIO'!J815</f>
        <v>P24CA-0814</v>
      </c>
      <c r="I815" s="167" t="str">
        <f>'030523 INVENTARIO'!K815</f>
        <v>P24AD-027</v>
      </c>
      <c r="J815" s="167" t="str">
        <f>'030523 INVENTARIO'!L815</f>
        <v>P2A-32</v>
      </c>
      <c r="K815" s="167" t="str">
        <f>'030523 INVENTARIO'!M815</f>
        <v>5110100015-17</v>
      </c>
      <c r="L815" s="168">
        <f>'030523 INVENTARIO'!N815</f>
        <v>0</v>
      </c>
      <c r="M815" s="168">
        <f>'030523 INVENTARIO'!O815</f>
        <v>0</v>
      </c>
      <c r="N815" s="168" t="str">
        <f>'030523 INVENTARIO'!P815</f>
        <v>OK</v>
      </c>
      <c r="O815" s="168" t="str">
        <f>'030523 INVENTARIO'!Q815</f>
        <v>S/M</v>
      </c>
      <c r="P815" s="167" t="str">
        <f>'030523 INVENTARIO'!R815</f>
        <v>S/M</v>
      </c>
      <c r="Q815" s="168" t="str">
        <f>'030523 INVENTARIO'!S815</f>
        <v>SIN SERIE</v>
      </c>
      <c r="R815" s="168" t="str">
        <f>'030523 INVENTARIO'!T815</f>
        <v>82DH0511010006000518507</v>
      </c>
    </row>
    <row r="816" spans="5:18">
      <c r="E816" s="167" t="str">
        <f>'030523 INVENTARIO'!E816</f>
        <v>SILLA</v>
      </c>
      <c r="F816" s="167" t="str">
        <f>'030523 INVENTARIO'!F816</f>
        <v>SILLA NEGRA DE TELA FIJA</v>
      </c>
      <c r="G816" s="167" t="str">
        <f ca="1">'030523 INVENTARIO'!G816</f>
        <v>P24CA-0815</v>
      </c>
      <c r="H816" s="167" t="str">
        <f>'030523 INVENTARIO'!J816</f>
        <v>P24CA-0815</v>
      </c>
      <c r="I816" s="167" t="str">
        <f>'030523 INVENTARIO'!K816</f>
        <v>P24AD-028</v>
      </c>
      <c r="J816" s="167" t="str">
        <f>'030523 INVENTARIO'!L816</f>
        <v>P2A-30</v>
      </c>
      <c r="K816" s="167" t="str">
        <f>'030523 INVENTARIO'!M816</f>
        <v>5110100011-17</v>
      </c>
      <c r="L816" s="168">
        <f>'030523 INVENTARIO'!N816</f>
        <v>0</v>
      </c>
      <c r="M816" s="168">
        <f>'030523 INVENTARIO'!O816</f>
        <v>0</v>
      </c>
      <c r="N816" s="168" t="str">
        <f>'030523 INVENTARIO'!P816</f>
        <v>OK</v>
      </c>
      <c r="O816" s="168" t="str">
        <f>'030523 INVENTARIO'!Q816</f>
        <v>S/M</v>
      </c>
      <c r="P816" s="167" t="str">
        <f>'030523 INVENTARIO'!R816</f>
        <v>S/M</v>
      </c>
      <c r="Q816" s="168" t="str">
        <f>'030523 INVENTARIO'!S816</f>
        <v>SIN SERIE</v>
      </c>
      <c r="R816" s="168" t="str">
        <f>'030523 INVENTARIO'!T816</f>
        <v>82DH0511010017000564623</v>
      </c>
    </row>
    <row r="817" spans="5:18">
      <c r="E817" s="167" t="str">
        <f>'030523 INVENTARIO'!E817</f>
        <v>SILLA</v>
      </c>
      <c r="F817" s="167" t="str">
        <f>'030523 INVENTARIO'!F817</f>
        <v>SILLA NEGRA DE TELA FIJA</v>
      </c>
      <c r="G817" s="167" t="str">
        <f ca="1">'030523 INVENTARIO'!G817</f>
        <v>P24CA-0816</v>
      </c>
      <c r="H817" s="167" t="str">
        <f>'030523 INVENTARIO'!J817</f>
        <v>P24CA-0816</v>
      </c>
      <c r="I817" s="167" t="str">
        <f>'030523 INVENTARIO'!K817</f>
        <v>P24AD-029</v>
      </c>
      <c r="J817" s="167" t="str">
        <f>'030523 INVENTARIO'!L817</f>
        <v>P2A-31</v>
      </c>
      <c r="K817" s="167" t="str">
        <f>'030523 INVENTARIO'!M817</f>
        <v>5110100011-18</v>
      </c>
      <c r="L817" s="168">
        <f>'030523 INVENTARIO'!N817</f>
        <v>0</v>
      </c>
      <c r="M817" s="168">
        <f>'030523 INVENTARIO'!O817</f>
        <v>0</v>
      </c>
      <c r="N817" s="168" t="str">
        <f>'030523 INVENTARIO'!P817</f>
        <v>OK</v>
      </c>
      <c r="O817" s="168" t="str">
        <f>'030523 INVENTARIO'!Q817</f>
        <v>S/M</v>
      </c>
      <c r="P817" s="167" t="str">
        <f>'030523 INVENTARIO'!R817</f>
        <v>S/M</v>
      </c>
      <c r="Q817" s="168" t="str">
        <f>'030523 INVENTARIO'!S817</f>
        <v>SIN SERIE</v>
      </c>
      <c r="R817" s="168" t="str">
        <f>'030523 INVENTARIO'!T817</f>
        <v>82DH0511010017000563785</v>
      </c>
    </row>
    <row r="818" spans="5:18">
      <c r="E818" s="167" t="str">
        <f>'030523 INVENTARIO'!E818</f>
        <v>SILLA</v>
      </c>
      <c r="F818" s="167" t="str">
        <f>'030523 INVENTARIO'!F818</f>
        <v>SILLA NEGRA DE TELA FIJA</v>
      </c>
      <c r="G818" s="167" t="str">
        <f ca="1">'030523 INVENTARIO'!G818</f>
        <v>P24CA-0817</v>
      </c>
      <c r="H818" s="167" t="str">
        <f>'030523 INVENTARIO'!J818</f>
        <v>P24CA-0817</v>
      </c>
      <c r="I818" s="167" t="str">
        <f>'030523 INVENTARIO'!K818</f>
        <v>P24AD-030</v>
      </c>
      <c r="J818" s="167" t="str">
        <f>'030523 INVENTARIO'!L818</f>
        <v>P2SJ-14</v>
      </c>
      <c r="K818" s="168" t="str">
        <f>'030523 INVENTARIO'!M818</f>
        <v>5110100011-8</v>
      </c>
      <c r="L818" s="168">
        <f>'030523 INVENTARIO'!N818</f>
        <v>0</v>
      </c>
      <c r="M818" s="168">
        <f>'030523 INVENTARIO'!O818</f>
        <v>0</v>
      </c>
      <c r="N818" s="168" t="str">
        <f>'030523 INVENTARIO'!P818</f>
        <v>OK</v>
      </c>
      <c r="O818" s="168" t="str">
        <f>'030523 INVENTARIO'!Q818</f>
        <v>S/M</v>
      </c>
      <c r="P818" s="167" t="str">
        <f>'030523 INVENTARIO'!R818</f>
        <v>S/M</v>
      </c>
      <c r="Q818" s="168" t="str">
        <f>'030523 INVENTARIO'!S818</f>
        <v>SIN SERIE</v>
      </c>
      <c r="R818" s="168" t="str">
        <f>'030523 INVENTARIO'!T818</f>
        <v>82DH0511010017000564612</v>
      </c>
    </row>
    <row r="819" spans="5:18">
      <c r="E819" s="167" t="str">
        <f>'030523 INVENTARIO'!E819</f>
        <v>SILLON</v>
      </c>
      <c r="F819" s="167" t="str">
        <f>'030523 INVENTARIO'!F819</f>
        <v>SILLON NEGRO CON RUEDAS</v>
      </c>
      <c r="G819" s="167" t="str">
        <f ca="1">'030523 INVENTARIO'!G819</f>
        <v>P05RM-0818</v>
      </c>
      <c r="H819" s="167" t="str">
        <f>'030523 INVENTARIO'!J819</f>
        <v>P24CA-0818</v>
      </c>
      <c r="I819" s="167" t="str">
        <f>'030523 INVENTARIO'!K819</f>
        <v>P24AD-031</v>
      </c>
      <c r="J819" s="167" t="str">
        <f>'030523 INVENTARIO'!L819</f>
        <v>P2A-41</v>
      </c>
      <c r="K819" s="167" t="str">
        <f>'030523 INVENTARIO'!M819</f>
        <v>5120100009-23</v>
      </c>
      <c r="L819" s="168">
        <f>'030523 INVENTARIO'!N819</f>
        <v>0</v>
      </c>
      <c r="M819" s="168">
        <f>'030523 INVENTARIO'!O819</f>
        <v>0</v>
      </c>
      <c r="N819" s="168" t="str">
        <f>'030523 INVENTARIO'!P819</f>
        <v>OK</v>
      </c>
      <c r="O819" s="168" t="str">
        <f>'030523 INVENTARIO'!Q819</f>
        <v>S/M</v>
      </c>
      <c r="P819" s="167" t="str">
        <f>'030523 INVENTARIO'!R819</f>
        <v>S/M</v>
      </c>
      <c r="Q819" s="168" t="str">
        <f>'030523 INVENTARIO'!S819</f>
        <v>SIN SERIE</v>
      </c>
      <c r="R819" s="168" t="str">
        <f>'030523 INVENTARIO'!T819</f>
        <v>82DH0511010016000649762</v>
      </c>
    </row>
    <row r="820" spans="5:18">
      <c r="E820" s="167" t="str">
        <f>'030523 INVENTARIO'!E820</f>
        <v>VENTILADOR</v>
      </c>
      <c r="F820" s="167" t="str">
        <f>'030523 INVENTARIO'!F820</f>
        <v>VENTILADOR BLANCO DE TORRE</v>
      </c>
      <c r="G820" s="167" t="str">
        <f ca="1">'030523 INVENTARIO'!G820</f>
        <v>P35RM-0819</v>
      </c>
      <c r="H820" s="167" t="str">
        <f>'030523 INVENTARIO'!J820</f>
        <v>P24CA-0819</v>
      </c>
      <c r="I820" s="167" t="str">
        <f>'030523 INVENTARIO'!K820</f>
        <v>P24AD-032</v>
      </c>
      <c r="J820" s="167" t="str">
        <f>'030523 INVENTARIO'!L820</f>
        <v>P2A-34</v>
      </c>
      <c r="K820" s="167" t="str">
        <f>'030523 INVENTARIO'!M820</f>
        <v>5190200002-12</v>
      </c>
      <c r="L820" s="168">
        <f>'030523 INVENTARIO'!N820</f>
        <v>0</v>
      </c>
      <c r="M820" s="168">
        <f>'030523 INVENTARIO'!O820</f>
        <v>0</v>
      </c>
      <c r="N820" s="168" t="str">
        <f>'030523 INVENTARIO'!P820</f>
        <v>OK</v>
      </c>
      <c r="O820" s="168" t="str">
        <f>'030523 INVENTARIO'!Q820</f>
        <v>WINDANCE</v>
      </c>
      <c r="P820" s="167" t="str">
        <f>'030523 INVENTARIO'!R820</f>
        <v>FZ10-9HB</v>
      </c>
      <c r="Q820" s="167" t="str">
        <f>'030523 INVENTARIO'!S820</f>
        <v>SIN SERIE</v>
      </c>
      <c r="R820" s="167" t="str">
        <f>'030523 INVENTARIO'!T820</f>
        <v>82DH0531010094000531871</v>
      </c>
    </row>
    <row r="821" spans="5:18">
      <c r="E821" s="167" t="str">
        <f>'030523 INVENTARIO'!E821</f>
        <v>MESA</v>
      </c>
      <c r="F821" s="167" t="str">
        <f>'030523 INVENTARIO'!F821</f>
        <v>MESA DE MADERA 68X50</v>
      </c>
      <c r="G821" s="167" t="str">
        <f ca="1">'030523 INVENTARIO'!G821</f>
        <v>P24CA-0820</v>
      </c>
      <c r="H821" s="167" t="str">
        <f>'030523 INVENTARIO'!J821</f>
        <v>P24CA-0820</v>
      </c>
      <c r="I821" s="167" t="str">
        <f>'030523 INVENTARIO'!K821</f>
        <v>P24AD-033</v>
      </c>
      <c r="J821" s="167" t="str">
        <f>'030523 INVENTARIO'!L821</f>
        <v>P2A-33</v>
      </c>
      <c r="K821" s="167" t="str">
        <f>'030523 INVENTARIO'!M821</f>
        <v>5120100007-38</v>
      </c>
      <c r="L821" s="168">
        <f>'030523 INVENTARIO'!N821</f>
        <v>0</v>
      </c>
      <c r="M821" s="168">
        <f>'030523 INVENTARIO'!O821</f>
        <v>0</v>
      </c>
      <c r="N821" s="168" t="str">
        <f>'030523 INVENTARIO'!P821</f>
        <v>OK</v>
      </c>
      <c r="O821" s="168" t="str">
        <f>'030523 INVENTARIO'!Q821</f>
        <v>S/M</v>
      </c>
      <c r="P821" s="167" t="str">
        <f>'030523 INVENTARIO'!R821</f>
        <v>S/M</v>
      </c>
      <c r="Q821" s="168" t="str">
        <f>'030523 INVENTARIO'!S821</f>
        <v>SIN SERIE</v>
      </c>
      <c r="R821" s="168" t="str">
        <f>'030523 INVENTARIO'!T821</f>
        <v>82DH0511010010000649761</v>
      </c>
    </row>
    <row r="822" spans="5:18">
      <c r="E822" s="167" t="str">
        <f>'030523 INVENTARIO'!E822</f>
        <v>TELEFONO</v>
      </c>
      <c r="F822" s="168" t="str">
        <f>'030523 INVENTARIO'!F822</f>
        <v>TELEFONO GRIS</v>
      </c>
      <c r="G822" s="167" t="str">
        <f ca="1">'030523 INVENTARIO'!G822</f>
        <v>P24CA-0821</v>
      </c>
      <c r="H822" s="167" t="str">
        <f>'030523 INVENTARIO'!J822</f>
        <v>P24CA-0821</v>
      </c>
      <c r="I822" s="167" t="str">
        <f>'030523 INVENTARIO'!K822</f>
        <v>P24AD-034</v>
      </c>
      <c r="J822" s="167" t="str">
        <f>'030523 INVENTARIO'!L822</f>
        <v>P2A-44</v>
      </c>
      <c r="K822" s="167" t="str">
        <f>'030523 INVENTARIO'!M822</f>
        <v>5650100010-8</v>
      </c>
      <c r="L822" s="168">
        <f>'030523 INVENTARIO'!N822</f>
        <v>0</v>
      </c>
      <c r="M822" s="168">
        <f>'030523 INVENTARIO'!O822</f>
        <v>0</v>
      </c>
      <c r="N822" s="168" t="str">
        <f>'030523 INVENTARIO'!P822</f>
        <v>OK</v>
      </c>
      <c r="O822" s="168" t="str">
        <f>'030523 INVENTARIO'!Q822</f>
        <v>LINKSYS</v>
      </c>
      <c r="P822" s="167" t="str">
        <f>'030523 INVENTARIO'!R822</f>
        <v>SPA942</v>
      </c>
      <c r="Q822" s="168" t="str">
        <f>'030523 INVENTARIO'!S822</f>
        <v>4LO00H118291</v>
      </c>
      <c r="R822" s="168" t="str">
        <f>'030523 INVENTARIO'!T822</f>
        <v>82DH0565010001000527018</v>
      </c>
    </row>
    <row r="823" spans="5:18">
      <c r="E823" s="167" t="str">
        <f>'030523 INVENTARIO'!E823</f>
        <v>NO BREAK</v>
      </c>
      <c r="F823" s="168" t="str">
        <f>'030523 INVENTARIO'!F823</f>
        <v>NO BREAK</v>
      </c>
      <c r="G823" s="167" t="str">
        <f ca="1">'030523 INVENTARIO'!G823</f>
        <v>P24CA-0822</v>
      </c>
      <c r="H823" s="167" t="str">
        <f>'030523 INVENTARIO'!J823</f>
        <v>P24CA-0822</v>
      </c>
      <c r="I823" s="167" t="str">
        <f>'030523 INVENTARIO'!K823</f>
        <v>P24AD-035</v>
      </c>
      <c r="J823" s="167" t="str">
        <f>'030523 INVENTARIO'!L823</f>
        <v>P2A-39</v>
      </c>
      <c r="K823" s="167" t="str">
        <f>'030523 INVENTARIO'!M823</f>
        <v>5150100008-8</v>
      </c>
      <c r="L823" s="168">
        <f>'030523 INVENTARIO'!N823</f>
        <v>0</v>
      </c>
      <c r="M823" s="168">
        <f>'030523 INVENTARIO'!O823</f>
        <v>0</v>
      </c>
      <c r="N823" s="168" t="str">
        <f>'030523 INVENTARIO'!P823</f>
        <v>OK</v>
      </c>
      <c r="O823" s="168" t="str">
        <f>'030523 INVENTARIO'!Q823</f>
        <v>FORZA</v>
      </c>
      <c r="P823" s="167" t="str">
        <f>'030523 INVENTARIO'!R823</f>
        <v>NT751</v>
      </c>
      <c r="Q823" s="168" t="str">
        <f>'030523 INVENTARIO'!S823</f>
        <v>181222507610</v>
      </c>
      <c r="R823" s="168" t="str">
        <f>'030523 INVENTARIO'!T823</f>
        <v>82DH0515010016000649428</v>
      </c>
    </row>
    <row r="824" spans="5:18">
      <c r="E824" s="167" t="str">
        <f>'030523 INVENTARIO'!E824</f>
        <v>COMPUTADORA DE ESCRITORIO</v>
      </c>
      <c r="F824" s="167" t="str">
        <f>'030523 INVENTARIO'!F824</f>
        <v>COMPUTADORA DE ESCRITORIO</v>
      </c>
      <c r="G824" s="167" t="str">
        <f ca="1">'030523 INVENTARIO'!G824</f>
        <v>P24CA-0823</v>
      </c>
      <c r="H824" s="167" t="str">
        <f>'030523 INVENTARIO'!J824</f>
        <v>P24CA-0823</v>
      </c>
      <c r="I824" s="167" t="str">
        <f>'030523 INVENTARIO'!K824</f>
        <v>P24AD-036</v>
      </c>
      <c r="J824" s="167">
        <f>'030523 INVENTARIO'!L824</f>
        <v>0</v>
      </c>
      <c r="K824" s="167" t="str">
        <f>'030523 INVENTARIO'!M824</f>
        <v>5150100005-129</v>
      </c>
      <c r="L824" s="168">
        <f>'030523 INVENTARIO'!N824</f>
        <v>0</v>
      </c>
      <c r="M824" s="168">
        <f>'030523 INVENTARIO'!O824</f>
        <v>0</v>
      </c>
      <c r="N824" s="168" t="str">
        <f>'030523 INVENTARIO'!P824</f>
        <v>OK</v>
      </c>
      <c r="O824" s="168" t="str">
        <f>'030523 INVENTARIO'!Q824</f>
        <v>ACTECK</v>
      </c>
      <c r="P824" s="167" t="str">
        <f>'030523 INVENTARIO'!R824</f>
        <v>LINX</v>
      </c>
      <c r="Q824" s="167">
        <f>'030523 INVENTARIO'!S824</f>
        <v>11392903012333</v>
      </c>
      <c r="R824" s="167" t="str">
        <f>'030523 INVENTARIO'!T824</f>
        <v>SIN RESGUARDO</v>
      </c>
    </row>
    <row r="825" spans="5:18">
      <c r="E825" s="167" t="str">
        <f>'030523 INVENTARIO'!E825</f>
        <v>MONITOR</v>
      </c>
      <c r="F825" s="167" t="str">
        <f>'030523 INVENTARIO'!F825</f>
        <v>MONITOR 18"</v>
      </c>
      <c r="G825" s="167" t="str">
        <f ca="1">'030523 INVENTARIO'!G825</f>
        <v>P24CA-0824</v>
      </c>
      <c r="H825" s="167" t="str">
        <f>'030523 INVENTARIO'!J825</f>
        <v>P24CA-0824</v>
      </c>
      <c r="I825" s="167" t="str">
        <f>'030523 INVENTARIO'!K825</f>
        <v>P24AD-037</v>
      </c>
      <c r="J825" s="167" t="str">
        <f>'030523 INVENTARIO'!L825</f>
        <v>P2A-38</v>
      </c>
      <c r="K825" s="167" t="str">
        <f>'030523 INVENTARIO'!M825</f>
        <v>5210100012-12</v>
      </c>
      <c r="L825" s="168">
        <f>'030523 INVENTARIO'!N825</f>
        <v>0</v>
      </c>
      <c r="M825" s="168">
        <f>'030523 INVENTARIO'!O825</f>
        <v>0</v>
      </c>
      <c r="N825" s="168" t="str">
        <f>'030523 INVENTARIO'!P825</f>
        <v>OK</v>
      </c>
      <c r="O825" s="168" t="str">
        <f>'030523 INVENTARIO'!Q825</f>
        <v>COMPAQ</v>
      </c>
      <c r="P825" s="167" t="str">
        <f>'030523 INVENTARIO'!R825</f>
        <v>WF1907</v>
      </c>
      <c r="Q825" s="168" t="str">
        <f>'030523 INVENTARIO'!S825</f>
        <v>CNC816Y3C6</v>
      </c>
      <c r="R825" s="168" t="str">
        <f>'030523 INVENTARIO'!T825</f>
        <v>82DH0565010041000543574</v>
      </c>
    </row>
    <row r="826" spans="5:18">
      <c r="E826" s="167" t="str">
        <f>'030523 INVENTARIO'!E826</f>
        <v>MONITOR</v>
      </c>
      <c r="F826" s="167" t="str">
        <f>'030523 INVENTARIO'!F826</f>
        <v>MONITOR 21"</v>
      </c>
      <c r="G826" s="167" t="str">
        <f ca="1">'030523 INVENTARIO'!G826</f>
        <v>P24CA-0825</v>
      </c>
      <c r="H826" s="167" t="str">
        <f>'030523 INVENTARIO'!J826</f>
        <v>P24CA-0825</v>
      </c>
      <c r="I826" s="167" t="str">
        <f>'030523 INVENTARIO'!K826</f>
        <v>P24AD-038</v>
      </c>
      <c r="J826" s="167">
        <f>'030523 INVENTARIO'!L826</f>
        <v>0</v>
      </c>
      <c r="K826" s="167" t="str">
        <f>'030523 INVENTARIO'!M826</f>
        <v>5150100005-130</v>
      </c>
      <c r="L826" s="168">
        <f>'030523 INVENTARIO'!N826</f>
        <v>0</v>
      </c>
      <c r="M826" s="168">
        <f>'030523 INVENTARIO'!O826</f>
        <v>0</v>
      </c>
      <c r="N826" s="168" t="str">
        <f>'030523 INVENTARIO'!P826</f>
        <v>OK</v>
      </c>
      <c r="O826" s="168" t="str">
        <f>'030523 INVENTARIO'!Q826</f>
        <v>ACER</v>
      </c>
      <c r="P826" s="167" t="str">
        <f>'030523 INVENTARIO'!R826</f>
        <v>V226HQL</v>
      </c>
      <c r="Q826" s="167" t="str">
        <f>'030523 INVENTARIO'!S826</f>
        <v>MMTASAA007052051873P00</v>
      </c>
      <c r="R826" s="167" t="str">
        <f>'030523 INVENTARIO'!T826</f>
        <v>SIN RESGUARDO</v>
      </c>
    </row>
    <row r="827" spans="5:18">
      <c r="E827" s="167" t="str">
        <f>'030523 INVENTARIO'!E827</f>
        <v>ESTANTE O ANAQUEL</v>
      </c>
      <c r="F827" s="167" t="str">
        <f>'030523 INVENTARIO'!F827</f>
        <v>ANAQUEL DE MADERA (LOKER) DE 2 PUERTAS 164X80X42</v>
      </c>
      <c r="G827" s="167" t="str">
        <f ca="1">'030523 INVENTARIO'!G827</f>
        <v>P24NV-0826</v>
      </c>
      <c r="H827" s="167" t="str">
        <f>'030523 INVENTARIO'!J827</f>
        <v>P24NV-0826</v>
      </c>
      <c r="I827" s="167" t="str">
        <f>'030523 INVENTARIO'!K827</f>
        <v>P24NV-001</v>
      </c>
      <c r="J827" s="167" t="str">
        <f>'030523 INVENTARIO'!L827</f>
        <v>P2SJ-13</v>
      </c>
      <c r="K827" s="167" t="str">
        <f>'030523 INVENTARIO'!M827</f>
        <v>5290300001-3</v>
      </c>
      <c r="L827" s="168">
        <f>'030523 INVENTARIO'!N827</f>
        <v>0</v>
      </c>
      <c r="M827" s="168">
        <f>'030523 INVENTARIO'!O827</f>
        <v>0</v>
      </c>
      <c r="N827" s="168" t="str">
        <f>'030523 INVENTARIO'!P827</f>
        <v>OK</v>
      </c>
      <c r="O827" s="168" t="str">
        <f>'030523 INVENTARIO'!Q827</f>
        <v>S/M</v>
      </c>
      <c r="P827" s="167" t="str">
        <f>'030523 INVENTARIO'!R827</f>
        <v>S/M</v>
      </c>
      <c r="Q827" s="168" t="str">
        <f>'030523 INVENTARIO'!S827</f>
        <v>SIN SERIE</v>
      </c>
      <c r="R827" s="168" t="str">
        <f>'030523 INVENTARIO'!T827</f>
        <v>82DH0511010009000564544</v>
      </c>
    </row>
    <row r="828" spans="5:18">
      <c r="E828" s="167" t="str">
        <f>'030523 INVENTARIO'!E828</f>
        <v>SILLA</v>
      </c>
      <c r="F828" s="168" t="str">
        <f>'030523 INVENTARIO'!F828</f>
        <v>SILLA NEGRA DE TELA CON RUEDAS</v>
      </c>
      <c r="G828" s="167" t="str">
        <f ca="1">'030523 INVENTARIO'!G828</f>
        <v>P24NV-0827</v>
      </c>
      <c r="H828" s="167" t="str">
        <f>'030523 INVENTARIO'!J828</f>
        <v>P24NV-0827</v>
      </c>
      <c r="I828" s="167" t="str">
        <f>'030523 INVENTARIO'!K828</f>
        <v>P24NV-002</v>
      </c>
      <c r="J828" s="167" t="str">
        <f>'030523 INVENTARIO'!L828</f>
        <v>P2N-3</v>
      </c>
      <c r="K828" s="167" t="str">
        <f>'030523 INVENTARIO'!M828</f>
        <v>5110100011-11</v>
      </c>
      <c r="L828" s="168">
        <f>'030523 INVENTARIO'!N828</f>
        <v>0</v>
      </c>
      <c r="M828" s="168">
        <f>'030523 INVENTARIO'!O828</f>
        <v>0</v>
      </c>
      <c r="N828" s="168" t="str">
        <f>'030523 INVENTARIO'!P828</f>
        <v>OK</v>
      </c>
      <c r="O828" s="168" t="str">
        <f>'030523 INVENTARIO'!Q828</f>
        <v>S/M</v>
      </c>
      <c r="P828" s="167" t="str">
        <f>'030523 INVENTARIO'!R828</f>
        <v>S/M</v>
      </c>
      <c r="Q828" s="168" t="str">
        <f>'030523 INVENTARIO'!S828</f>
        <v>SIN SERIE</v>
      </c>
      <c r="R828" s="168" t="str">
        <f>'030523 INVENTARIO'!T828</f>
        <v>82DH0511010017000516287</v>
      </c>
    </row>
    <row r="829" spans="5:18">
      <c r="E829" s="167" t="str">
        <f>'030523 INVENTARIO'!E829</f>
        <v>ESCRITORIO</v>
      </c>
      <c r="F829" s="167" t="str">
        <f>'030523 INVENTARIO'!F829</f>
        <v>ESCRITORIO DE MADERA 140X60</v>
      </c>
      <c r="G829" s="167" t="str">
        <f ca="1">'030523 INVENTARIO'!G829</f>
        <v>P24NV-0828</v>
      </c>
      <c r="H829" s="167" t="str">
        <f>'030523 INVENTARIO'!J829</f>
        <v>P24NV-0828</v>
      </c>
      <c r="I829" s="167" t="str">
        <f>'030523 INVENTARIO'!K829</f>
        <v>P24NV-003</v>
      </c>
      <c r="J829" s="167" t="str">
        <f>'030523 INVENTARIO'!L829</f>
        <v>P2N-1</v>
      </c>
      <c r="K829" s="167" t="str">
        <f>'030523 INVENTARIO'!M829</f>
        <v>5110100015-12</v>
      </c>
      <c r="L829" s="168">
        <f>'030523 INVENTARIO'!N829</f>
        <v>0</v>
      </c>
      <c r="M829" s="168">
        <f>'030523 INVENTARIO'!O829</f>
        <v>0</v>
      </c>
      <c r="N829" s="168" t="str">
        <f>'030523 INVENTARIO'!P829</f>
        <v>OK</v>
      </c>
      <c r="O829" s="168" t="str">
        <f>'030523 INVENTARIO'!Q829</f>
        <v>S/M</v>
      </c>
      <c r="P829" s="167" t="str">
        <f>'030523 INVENTARIO'!R829</f>
        <v>S/M</v>
      </c>
      <c r="Q829" s="168" t="str">
        <f>'030523 INVENTARIO'!S829</f>
        <v>SIN SERIE</v>
      </c>
      <c r="R829" s="168" t="str">
        <f>'030523 INVENTARIO'!T829</f>
        <v>82DH0511010006000516988</v>
      </c>
    </row>
    <row r="830" spans="5:18">
      <c r="E830" s="167" t="str">
        <f>'030523 INVENTARIO'!E830</f>
        <v>NO BREAK</v>
      </c>
      <c r="F830" s="168" t="str">
        <f>'030523 INVENTARIO'!F830</f>
        <v>NO BREAK</v>
      </c>
      <c r="G830" s="167" t="str">
        <f ca="1">'030523 INVENTARIO'!G830</f>
        <v>P24NV-0829</v>
      </c>
      <c r="H830" s="167" t="str">
        <f>'030523 INVENTARIO'!J830</f>
        <v>P24NV-0829</v>
      </c>
      <c r="I830" s="167" t="str">
        <f>'030523 INVENTARIO'!K830</f>
        <v>P24NV-004</v>
      </c>
      <c r="J830" s="167" t="str">
        <f>'030523 INVENTARIO'!L830</f>
        <v>P2N-5</v>
      </c>
      <c r="K830" s="167" t="str">
        <f>'030523 INVENTARIO'!M830</f>
        <v>5150100008-4</v>
      </c>
      <c r="L830" s="168">
        <f>'030523 INVENTARIO'!N830</f>
        <v>0</v>
      </c>
      <c r="M830" s="168">
        <f>'030523 INVENTARIO'!O830</f>
        <v>0</v>
      </c>
      <c r="N830" s="168" t="str">
        <f>'030523 INVENTARIO'!P830</f>
        <v>OK</v>
      </c>
      <c r="O830" s="168" t="str">
        <f>'030523 INVENTARIO'!Q830</f>
        <v>FORZA</v>
      </c>
      <c r="P830" s="167" t="str">
        <f>'030523 INVENTARIO'!R830</f>
        <v>NT751</v>
      </c>
      <c r="Q830" s="168" t="str">
        <f>'030523 INVENTARIO'!S830</f>
        <v>190522503056</v>
      </c>
      <c r="R830" s="168" t="str">
        <f>'030523 INVENTARIO'!T830</f>
        <v>82DH0515010016000649412</v>
      </c>
    </row>
    <row r="831" spans="5:18">
      <c r="E831" s="167" t="str">
        <f>'030523 INVENTARIO'!E831</f>
        <v>COMPUTADORA DE ESCRITORIO</v>
      </c>
      <c r="F831" s="167" t="str">
        <f>'030523 INVENTARIO'!F831</f>
        <v>COMPUTADORA DE ESCRITORIO</v>
      </c>
      <c r="G831" s="167" t="str">
        <f ca="1">'030523 INVENTARIO'!G831</f>
        <v>P24NV-0830</v>
      </c>
      <c r="H831" s="167" t="str">
        <f>'030523 INVENTARIO'!J831</f>
        <v>P24NV-0830</v>
      </c>
      <c r="I831" s="167" t="str">
        <f>'030523 INVENTARIO'!K831</f>
        <v>P24NV-005</v>
      </c>
      <c r="J831" s="167">
        <f>'030523 INVENTARIO'!L831</f>
        <v>0</v>
      </c>
      <c r="K831" s="167" t="str">
        <f>'030523 INVENTARIO'!M831</f>
        <v>5150100005-125</v>
      </c>
      <c r="L831" s="168">
        <f>'030523 INVENTARIO'!N831</f>
        <v>0</v>
      </c>
      <c r="M831" s="168">
        <f>'030523 INVENTARIO'!O831</f>
        <v>0</v>
      </c>
      <c r="N831" s="168" t="str">
        <f>'030523 INVENTARIO'!P831</f>
        <v>OK</v>
      </c>
      <c r="O831" s="168" t="str">
        <f>'030523 INVENTARIO'!Q831</f>
        <v>ACTECK</v>
      </c>
      <c r="P831" s="167" t="str">
        <f>'030523 INVENTARIO'!R831</f>
        <v>LINX</v>
      </c>
      <c r="Q831" s="167">
        <f>'030523 INVENTARIO'!S831</f>
        <v>11392903012346</v>
      </c>
      <c r="R831" s="167" t="str">
        <f>'030523 INVENTARIO'!T831</f>
        <v>SIN RESGUARDO</v>
      </c>
    </row>
    <row r="832" spans="5:18">
      <c r="E832" s="167" t="str">
        <f>'030523 INVENTARIO'!E832</f>
        <v>MONITOR</v>
      </c>
      <c r="F832" s="167" t="str">
        <f>'030523 INVENTARIO'!F832</f>
        <v>MONITOR 19"</v>
      </c>
      <c r="G832" s="167" t="str">
        <f ca="1">'030523 INVENTARIO'!G832</f>
        <v>P24NV-0831</v>
      </c>
      <c r="H832" s="167" t="str">
        <f>'030523 INVENTARIO'!J832</f>
        <v>P24NV-0831</v>
      </c>
      <c r="I832" s="167" t="str">
        <f>'030523 INVENTARIO'!K832</f>
        <v>P24NV-006</v>
      </c>
      <c r="J832" s="167">
        <f>'030523 INVENTARIO'!L832</f>
        <v>0</v>
      </c>
      <c r="K832" s="167" t="str">
        <f>'030523 INVENTARIO'!M832</f>
        <v>5150100005-126</v>
      </c>
      <c r="L832" s="168">
        <f>'030523 INVENTARIO'!N832</f>
        <v>0</v>
      </c>
      <c r="M832" s="168">
        <f>'030523 INVENTARIO'!O832</f>
        <v>0</v>
      </c>
      <c r="N832" s="168" t="str">
        <f>'030523 INVENTARIO'!P832</f>
        <v>OK</v>
      </c>
      <c r="O832" s="168" t="str">
        <f>'030523 INVENTARIO'!Q832</f>
        <v>ACER</v>
      </c>
      <c r="P832" s="167" t="str">
        <f>'030523 INVENTARIO'!R832</f>
        <v>V226HQL</v>
      </c>
      <c r="Q832" s="167" t="str">
        <f>'030523 INVENTARIO'!S832</f>
        <v>MMLXLAA0250480B4954273</v>
      </c>
      <c r="R832" s="167" t="str">
        <f>'030523 INVENTARIO'!T832</f>
        <v>SIN RESGUARDO</v>
      </c>
    </row>
    <row r="833" spans="5:18">
      <c r="E833" s="167" t="str">
        <f>'030523 INVENTARIO'!E833</f>
        <v>VENTILADOR</v>
      </c>
      <c r="F833" s="168" t="str">
        <f>'030523 INVENTARIO'!F833</f>
        <v>VENTILADOR CHICO GRIS</v>
      </c>
      <c r="G833" s="167" t="str">
        <f ca="1">'030523 INVENTARIO'!G833</f>
        <v>P24NV-0832</v>
      </c>
      <c r="H833" s="167" t="str">
        <f>'030523 INVENTARIO'!J833</f>
        <v>P24NV-0832</v>
      </c>
      <c r="I833" s="167" t="str">
        <f>'030523 INVENTARIO'!K833</f>
        <v>P24NV-007</v>
      </c>
      <c r="J833" s="167" t="str">
        <f>'030523 INVENTARIO'!L833</f>
        <v>P2SJ-39</v>
      </c>
      <c r="K833" s="167" t="str">
        <f>'030523 INVENTARIO'!M833</f>
        <v>5190200002-61</v>
      </c>
      <c r="L833" s="168">
        <f>'030523 INVENTARIO'!N833</f>
        <v>0</v>
      </c>
      <c r="M833" s="168">
        <f>'030523 INVENTARIO'!O833</f>
        <v>0</v>
      </c>
      <c r="N833" s="168" t="str">
        <f>'030523 INVENTARIO'!P833</f>
        <v>OK</v>
      </c>
      <c r="O833" s="168" t="str">
        <f>'030523 INVENTARIO'!Q833</f>
        <v>LASKO</v>
      </c>
      <c r="P833" s="167" t="str">
        <f>'030523 INVENTARIO'!R833</f>
        <v>4910M</v>
      </c>
      <c r="Q833" s="168" t="str">
        <f>'030523 INVENTARIO'!S833</f>
        <v>SIN SERIE</v>
      </c>
      <c r="R833" s="168" t="str">
        <f>'030523 INVENTARIO'!T833</f>
        <v>82DH0519010043000649770</v>
      </c>
    </row>
    <row r="834" spans="5:18">
      <c r="E834" s="167" t="str">
        <f>'030523 INVENTARIO'!E834</f>
        <v>MESA</v>
      </c>
      <c r="F834" s="167" t="str">
        <f>'030523 INVENTARIO'!F834</f>
        <v>MESA/TABLON DE PLASTICO BLANCO 60X120</v>
      </c>
      <c r="G834" s="167" t="str">
        <f ca="1">'030523 INVENTARIO'!G834</f>
        <v>P35DA-0833</v>
      </c>
      <c r="H834" s="167" t="str">
        <f>'030523 INVENTARIO'!J834</f>
        <v>P35DA-0833</v>
      </c>
      <c r="I834" s="167" t="str">
        <f>'030523 INVENTARIO'!K834</f>
        <v>P35DA-001</v>
      </c>
      <c r="J834" s="167" t="str">
        <f>'030523 INVENTARIO'!L834</f>
        <v>P0A-40</v>
      </c>
      <c r="K834" s="167" t="str">
        <f>'030523 INVENTARIO'!M834</f>
        <v>5120100007-131</v>
      </c>
      <c r="L834" s="168">
        <f>'030523 INVENTARIO'!N834</f>
        <v>0</v>
      </c>
      <c r="M834" s="168">
        <f>'030523 INVENTARIO'!O834</f>
        <v>0</v>
      </c>
      <c r="N834" s="168" t="str">
        <f>'030523 INVENTARIO'!P834</f>
        <v>OK</v>
      </c>
      <c r="O834" s="168" t="str">
        <f>'030523 INVENTARIO'!Q834</f>
        <v>S/M</v>
      </c>
      <c r="P834" s="167" t="str">
        <f>'030523 INVENTARIO'!R834</f>
        <v>S/M</v>
      </c>
      <c r="Q834" s="168" t="str">
        <f>'030523 INVENTARIO'!S834</f>
        <v>SIN SERIE</v>
      </c>
      <c r="R834" s="168" t="str">
        <f>'030523 INVENTARIO'!T834</f>
        <v>82DH0531010065000564779</v>
      </c>
    </row>
    <row r="835" spans="5:18">
      <c r="E835" s="167" t="str">
        <f>'030523 INVENTARIO'!E835</f>
        <v>MESA</v>
      </c>
      <c r="F835" s="167" t="str">
        <f>'030523 INVENTARIO'!F835</f>
        <v>MESA NARANJA CON BASE DE METAL 60X120</v>
      </c>
      <c r="G835" s="167" t="str">
        <f ca="1">'030523 INVENTARIO'!G835</f>
        <v>P35DA-0834</v>
      </c>
      <c r="H835" s="167" t="str">
        <f>'030523 INVENTARIO'!J835</f>
        <v>P35DA-0834</v>
      </c>
      <c r="I835" s="167" t="str">
        <f>'030523 INVENTARIO'!K835</f>
        <v>P35DA-002</v>
      </c>
      <c r="J835" s="167">
        <f>'030523 INVENTARIO'!L835</f>
        <v>0</v>
      </c>
      <c r="K835" s="167" t="str">
        <f>'030523 INVENTARIO'!M835</f>
        <v>ALTA</v>
      </c>
      <c r="L835" s="168">
        <f>'030523 INVENTARIO'!N835</f>
        <v>0</v>
      </c>
      <c r="M835" s="168">
        <f>'030523 INVENTARIO'!O835</f>
        <v>0</v>
      </c>
      <c r="N835" s="168" t="str">
        <f>'030523 INVENTARIO'!P835</f>
        <v>REPETIDO</v>
      </c>
      <c r="O835" s="168" t="str">
        <f>'030523 INVENTARIO'!Q835</f>
        <v>S/M</v>
      </c>
      <c r="P835" s="167" t="str">
        <f>'030523 INVENTARIO'!R835</f>
        <v>S/M</v>
      </c>
      <c r="Q835" s="167" t="str">
        <f>'030523 INVENTARIO'!S835</f>
        <v>SIN SERIE</v>
      </c>
      <c r="R835" s="167" t="str">
        <f>'030523 INVENTARIO'!T835</f>
        <v>SIN RESGUARDO</v>
      </c>
    </row>
    <row r="836" spans="5:18">
      <c r="E836" s="167" t="str">
        <f>'030523 INVENTARIO'!E836</f>
        <v>MESA</v>
      </c>
      <c r="F836" s="167" t="str">
        <f>'030523 INVENTARIO'!F836</f>
        <v>MESA NARANJA CON BASE DE METAL 60X120</v>
      </c>
      <c r="G836" s="167" t="str">
        <f ca="1">'030523 INVENTARIO'!G836</f>
        <v>P35DA-0835</v>
      </c>
      <c r="H836" s="167" t="str">
        <f>'030523 INVENTARIO'!J836</f>
        <v>P35DA-0835</v>
      </c>
      <c r="I836" s="167" t="str">
        <f>'030523 INVENTARIO'!K836</f>
        <v>P35DA-003</v>
      </c>
      <c r="J836" s="167">
        <f>'030523 INVENTARIO'!L836</f>
        <v>0</v>
      </c>
      <c r="K836" s="167" t="str">
        <f>'030523 INVENTARIO'!M836</f>
        <v>ALTA</v>
      </c>
      <c r="L836" s="168">
        <f>'030523 INVENTARIO'!N836</f>
        <v>0</v>
      </c>
      <c r="M836" s="168">
        <f>'030523 INVENTARIO'!O836</f>
        <v>0</v>
      </c>
      <c r="N836" s="168" t="str">
        <f>'030523 INVENTARIO'!P836</f>
        <v>REPETIDO</v>
      </c>
      <c r="O836" s="168" t="str">
        <f>'030523 INVENTARIO'!Q836</f>
        <v>S/M</v>
      </c>
      <c r="P836" s="167" t="str">
        <f>'030523 INVENTARIO'!R836</f>
        <v>S/M</v>
      </c>
      <c r="Q836" s="167" t="str">
        <f>'030523 INVENTARIO'!S836</f>
        <v>SIN SERIE</v>
      </c>
      <c r="R836" s="167" t="str">
        <f>'030523 INVENTARIO'!T836</f>
        <v>SIN RESGUARDO</v>
      </c>
    </row>
    <row r="837" spans="5:18">
      <c r="E837" s="167" t="str">
        <f>'030523 INVENTARIO'!E837</f>
        <v>MESA</v>
      </c>
      <c r="F837" s="167" t="str">
        <f>'030523 INVENTARIO'!F837</f>
        <v>MESA NARANJA CON BASE DE METAL 60X120</v>
      </c>
      <c r="G837" s="167" t="str">
        <f ca="1">'030523 INVENTARIO'!G837</f>
        <v>P35DA-0836</v>
      </c>
      <c r="H837" s="167" t="str">
        <f>'030523 INVENTARIO'!J837</f>
        <v>P35DA-0836</v>
      </c>
      <c r="I837" s="167" t="str">
        <f>'030523 INVENTARIO'!K837</f>
        <v>P35DA-004</v>
      </c>
      <c r="J837" s="167" t="str">
        <f>'030523 INVENTARIO'!L837</f>
        <v>P0A-19</v>
      </c>
      <c r="K837" s="167" t="str">
        <f>'030523 INVENTARIO'!M837</f>
        <v>5120100007-116</v>
      </c>
      <c r="L837" s="168">
        <f>'030523 INVENTARIO'!N837</f>
        <v>0</v>
      </c>
      <c r="M837" s="168">
        <f>'030523 INVENTARIO'!O837</f>
        <v>0</v>
      </c>
      <c r="N837" s="168" t="str">
        <f>'030523 INVENTARIO'!P837</f>
        <v>OK</v>
      </c>
      <c r="O837" s="168" t="str">
        <f>'030523 INVENTARIO'!Q837</f>
        <v>S/M</v>
      </c>
      <c r="P837" s="167" t="str">
        <f>'030523 INVENTARIO'!R837</f>
        <v>S/M</v>
      </c>
      <c r="Q837" s="168" t="str">
        <f>'030523 INVENTARIO'!S837</f>
        <v>SIN SERIE</v>
      </c>
      <c r="R837" s="168" t="str">
        <f>'030523 INVENTARIO'!T837</f>
        <v>82DH0531010065000564863</v>
      </c>
    </row>
    <row r="838" spans="5:18">
      <c r="E838" s="167" t="str">
        <f>'030523 INVENTARIO'!E838</f>
        <v>SILLA</v>
      </c>
      <c r="F838" s="168" t="str">
        <f>'030523 INVENTARIO'!F838</f>
        <v>SILLA DE TELA CAFÉ</v>
      </c>
      <c r="G838" s="167" t="str">
        <f ca="1">'030523 INVENTARIO'!G838</f>
        <v>P35DA-0837</v>
      </c>
      <c r="H838" s="167" t="str">
        <f>'030523 INVENTARIO'!J838</f>
        <v>P35DA-0837</v>
      </c>
      <c r="I838" s="167" t="str">
        <f>'030523 INVENTARIO'!K838</f>
        <v>P35DA-005</v>
      </c>
      <c r="J838" s="167" t="str">
        <f>'030523 INVENTARIO'!L838</f>
        <v>P0A-25</v>
      </c>
      <c r="K838" s="167" t="str">
        <f>'030523 INVENTARIO'!M838</f>
        <v>5110100011-83</v>
      </c>
      <c r="L838" s="168">
        <f>'030523 INVENTARIO'!N838</f>
        <v>0</v>
      </c>
      <c r="M838" s="168">
        <f>'030523 INVENTARIO'!O838</f>
        <v>0</v>
      </c>
      <c r="N838" s="168" t="str">
        <f>'030523 INVENTARIO'!P838</f>
        <v>OK</v>
      </c>
      <c r="O838" s="168" t="str">
        <f>'030523 INVENTARIO'!Q838</f>
        <v>S/M</v>
      </c>
      <c r="P838" s="167" t="str">
        <f>'030523 INVENTARIO'!R838</f>
        <v>S/M</v>
      </c>
      <c r="Q838" s="168" t="str">
        <f>'030523 INVENTARIO'!S838</f>
        <v>SIN SERIE</v>
      </c>
      <c r="R838" s="168" t="str">
        <f>'030523 INVENTARIO'!T838</f>
        <v>82DH0511010017000516232</v>
      </c>
    </row>
    <row r="839" spans="5:18">
      <c r="E839" s="167" t="str">
        <f>'030523 INVENTARIO'!E839</f>
        <v>SILLA</v>
      </c>
      <c r="F839" s="167" t="str">
        <f>'030523 INVENTARIO'!F839</f>
        <v>SILLA DE TELA CAFÉ</v>
      </c>
      <c r="G839" s="167" t="str">
        <f ca="1">'030523 INVENTARIO'!G839</f>
        <v>P35DA-0838</v>
      </c>
      <c r="H839" s="167" t="str">
        <f>'030523 INVENTARIO'!J839</f>
        <v>P35DA-0838</v>
      </c>
      <c r="I839" s="167" t="str">
        <f>'030523 INVENTARIO'!K839</f>
        <v>P35DA-006</v>
      </c>
      <c r="J839" s="167" t="str">
        <f>'030523 INVENTARIO'!L839</f>
        <v>P0A-17</v>
      </c>
      <c r="K839" s="167" t="str">
        <f>'030523 INVENTARIO'!M839</f>
        <v>5110100011-113</v>
      </c>
      <c r="L839" s="168">
        <f>'030523 INVENTARIO'!N839</f>
        <v>0</v>
      </c>
      <c r="M839" s="168">
        <f>'030523 INVENTARIO'!O839</f>
        <v>0</v>
      </c>
      <c r="N839" s="168" t="str">
        <f>'030523 INVENTARIO'!P839</f>
        <v>OK</v>
      </c>
      <c r="O839" s="168" t="str">
        <f>'030523 INVENTARIO'!Q839</f>
        <v>S/M</v>
      </c>
      <c r="P839" s="167" t="str">
        <f>'030523 INVENTARIO'!R839</f>
        <v>S/M</v>
      </c>
      <c r="Q839" s="168" t="str">
        <f>'030523 INVENTARIO'!S839</f>
        <v>SIN SERIE</v>
      </c>
      <c r="R839" s="168" t="str">
        <f>'030523 INVENTARIO'!T839</f>
        <v>82DH0511010017000516228</v>
      </c>
    </row>
    <row r="840" spans="5:18">
      <c r="E840" s="167" t="str">
        <f>'030523 INVENTARIO'!E840</f>
        <v>LOCKER</v>
      </c>
      <c r="F840" s="167" t="str">
        <f>'030523 INVENTARIO'!F840</f>
        <v>LOCKER DE METAL 2 PUERTAS 91X183X50</v>
      </c>
      <c r="G840" s="167" t="str">
        <f ca="1">'030523 INVENTARIO'!G840</f>
        <v>P35DA-0839</v>
      </c>
      <c r="H840" s="167" t="str">
        <f>'030523 INVENTARIO'!J840</f>
        <v>P35DA-0839</v>
      </c>
      <c r="I840" s="167" t="str">
        <f>'030523 INVENTARIO'!K840</f>
        <v>P35DA-007</v>
      </c>
      <c r="J840" s="167" t="str">
        <f>'030523 INVENTARIO'!L840</f>
        <v>P0A-33</v>
      </c>
      <c r="K840" s="167" t="str">
        <f>'030523 INVENTARIO'!M840</f>
        <v>5290300001-15</v>
      </c>
      <c r="L840" s="168">
        <f>'030523 INVENTARIO'!N840</f>
        <v>0</v>
      </c>
      <c r="M840" s="168">
        <f>'030523 INVENTARIO'!O840</f>
        <v>0</v>
      </c>
      <c r="N840" s="168" t="str">
        <f>'030523 INVENTARIO'!P840</f>
        <v>OK</v>
      </c>
      <c r="O840" s="168" t="str">
        <f>'030523 INVENTARIO'!Q840</f>
        <v>S/M</v>
      </c>
      <c r="P840" s="167" t="str">
        <f>'030523 INVENTARIO'!R840</f>
        <v>S/M</v>
      </c>
      <c r="Q840" s="168" t="str">
        <f>'030523 INVENTARIO'!S840</f>
        <v>SIN SERIE</v>
      </c>
      <c r="R840" s="168" t="str">
        <f>'030523 INVENTARIO'!T840</f>
        <v>SIN RESGUARDO</v>
      </c>
    </row>
    <row r="841" spans="5:18">
      <c r="E841" s="167" t="str">
        <f>'030523 INVENTARIO'!E841</f>
        <v>MESA</v>
      </c>
      <c r="F841" s="167" t="str">
        <f>'030523 INVENTARIO'!F841</f>
        <v>MESA DE MADERA CON BASE DE METAL 60X120</v>
      </c>
      <c r="G841" s="167" t="str">
        <f ca="1">'030523 INVENTARIO'!G841</f>
        <v>P35DA-0840</v>
      </c>
      <c r="H841" s="167" t="str">
        <f>'030523 INVENTARIO'!J841</f>
        <v>P35DA-0840</v>
      </c>
      <c r="I841" s="167" t="str">
        <f>'030523 INVENTARIO'!K841</f>
        <v>P35DA-008</v>
      </c>
      <c r="J841" s="167" t="str">
        <f>'030523 INVENTARIO'!L841</f>
        <v>P0A-30</v>
      </c>
      <c r="K841" s="167" t="str">
        <f>'030523 INVENTARIO'!M841</f>
        <v>5120100007-100</v>
      </c>
      <c r="L841" s="168">
        <f>'030523 INVENTARIO'!N841</f>
        <v>0</v>
      </c>
      <c r="M841" s="168">
        <f>'030523 INVENTARIO'!O841</f>
        <v>0</v>
      </c>
      <c r="N841" s="168" t="str">
        <f>'030523 INVENTARIO'!P841</f>
        <v>OK</v>
      </c>
      <c r="O841" s="168" t="str">
        <f>'030523 INVENTARIO'!Q841</f>
        <v>S/M</v>
      </c>
      <c r="P841" s="167" t="str">
        <f>'030523 INVENTARIO'!R841</f>
        <v>S/M</v>
      </c>
      <c r="Q841" s="168" t="str">
        <f>'030523 INVENTARIO'!S841</f>
        <v>SIN SERIE</v>
      </c>
      <c r="R841" s="168" t="str">
        <f>'030523 INVENTARIO'!T841</f>
        <v>82DH0511010010000649525</v>
      </c>
    </row>
    <row r="842" spans="5:18">
      <c r="E842" s="167" t="str">
        <f>'030523 INVENTARIO'!E842</f>
        <v>HORNO</v>
      </c>
      <c r="F842" s="168" t="str">
        <f>'030523 INVENTARIO'!F842</f>
        <v>HORNO ELECTRICO</v>
      </c>
      <c r="G842" s="167" t="str">
        <f ca="1">'030523 INVENTARIO'!G842</f>
        <v>P35DA-0841</v>
      </c>
      <c r="H842" s="167" t="str">
        <f>'030523 INVENTARIO'!J842</f>
        <v>P35DA-0841</v>
      </c>
      <c r="I842" s="167" t="str">
        <f>'030523 INVENTARIO'!K842</f>
        <v>P35DA-009</v>
      </c>
      <c r="J842" s="167" t="str">
        <f>'030523 INVENTARIO'!L842</f>
        <v>P0A-80</v>
      </c>
      <c r="K842" s="167" t="str">
        <f>'030523 INVENTARIO'!M842</f>
        <v>5690100331-4</v>
      </c>
      <c r="L842" s="168">
        <f>'030523 INVENTARIO'!N842</f>
        <v>0</v>
      </c>
      <c r="M842" s="168">
        <f>'030523 INVENTARIO'!O842</f>
        <v>0</v>
      </c>
      <c r="N842" s="168" t="str">
        <f>'030523 INVENTARIO'!P842</f>
        <v>OK</v>
      </c>
      <c r="O842" s="168" t="str">
        <f>'030523 INVENTARIO'!Q842</f>
        <v>TURMIX</v>
      </c>
      <c r="P842" s="167" t="str">
        <f>'030523 INVENTARIO'!R842</f>
        <v>HT-6L</v>
      </c>
      <c r="Q842" s="167" t="str">
        <f>'030523 INVENTARIO'!S842</f>
        <v>SIN SERIE</v>
      </c>
      <c r="R842" s="167" t="str">
        <f>'030523 INVENTARIO'!T842</f>
        <v>SIN RESGUARDO</v>
      </c>
    </row>
    <row r="843" spans="5:18">
      <c r="E843" s="167" t="str">
        <f>'030523 INVENTARIO'!E843</f>
        <v>SILLA</v>
      </c>
      <c r="F843" s="168" t="str">
        <f>'030523 INVENTARIO'!F843</f>
        <v>SILLA DE TELA CAFÉ</v>
      </c>
      <c r="G843" s="167" t="str">
        <f ca="1">'030523 INVENTARIO'!G843</f>
        <v>P35DA-0842</v>
      </c>
      <c r="H843" s="167" t="str">
        <f>'030523 INVENTARIO'!J843</f>
        <v>P35DA-0842</v>
      </c>
      <c r="I843" s="167" t="str">
        <f>'030523 INVENTARIO'!K843</f>
        <v>P35DA-010</v>
      </c>
      <c r="J843" s="167" t="str">
        <f>'030523 INVENTARIO'!L843</f>
        <v>P0A-27</v>
      </c>
      <c r="K843" s="167" t="str">
        <f>'030523 INVENTARIO'!M843</f>
        <v>5110100011-85</v>
      </c>
      <c r="L843" s="168">
        <f>'030523 INVENTARIO'!N843</f>
        <v>0</v>
      </c>
      <c r="M843" s="168">
        <f>'030523 INVENTARIO'!O843</f>
        <v>0</v>
      </c>
      <c r="N843" s="168" t="str">
        <f>'030523 INVENTARIO'!P843</f>
        <v>OK</v>
      </c>
      <c r="O843" s="168" t="str">
        <f>'030523 INVENTARIO'!Q843</f>
        <v>S/M</v>
      </c>
      <c r="P843" s="167" t="str">
        <f>'030523 INVENTARIO'!R843</f>
        <v>S/M</v>
      </c>
      <c r="Q843" s="168" t="str">
        <f>'030523 INVENTARIO'!S843</f>
        <v>SIN SERIE</v>
      </c>
      <c r="R843" s="168" t="str">
        <f>'030523 INVENTARIO'!T843</f>
        <v>82DH0511010017000518515</v>
      </c>
    </row>
    <row r="844" spans="5:18">
      <c r="E844" s="167" t="str">
        <f>'030523 INVENTARIO'!E844</f>
        <v>SILLA</v>
      </c>
      <c r="F844" s="168" t="str">
        <f>'030523 INVENTARIO'!F844</f>
        <v>SILLA DE TELA CAFÉ</v>
      </c>
      <c r="G844" s="167" t="str">
        <f ca="1">'030523 INVENTARIO'!G844</f>
        <v>P35RM-0843</v>
      </c>
      <c r="H844" s="167" t="str">
        <f>'030523 INVENTARIO'!J844</f>
        <v>P35DA-0843</v>
      </c>
      <c r="I844" s="167" t="str">
        <f>'030523 INVENTARIO'!K844</f>
        <v>P35DA-011</v>
      </c>
      <c r="J844" s="167" t="str">
        <f>'030523 INVENTARIO'!L844</f>
        <v>P0A-24</v>
      </c>
      <c r="K844" s="167" t="str">
        <f>'030523 INVENTARIO'!M844</f>
        <v>5110100011-82</v>
      </c>
      <c r="L844" s="168">
        <f>'030523 INVENTARIO'!N844</f>
        <v>0</v>
      </c>
      <c r="M844" s="168">
        <f>'030523 INVENTARIO'!O844</f>
        <v>0</v>
      </c>
      <c r="N844" s="168" t="str">
        <f>'030523 INVENTARIO'!P844</f>
        <v>OK</v>
      </c>
      <c r="O844" s="168" t="str">
        <f>'030523 INVENTARIO'!Q844</f>
        <v>S/M</v>
      </c>
      <c r="P844" s="167" t="str">
        <f>'030523 INVENTARIO'!R844</f>
        <v>S/M</v>
      </c>
      <c r="Q844" s="168" t="str">
        <f>'030523 INVENTARIO'!S844</f>
        <v>SIN SERIE</v>
      </c>
      <c r="R844" s="168" t="str">
        <f>'030523 INVENTARIO'!T844</f>
        <v>82DH0511010017000649526</v>
      </c>
    </row>
    <row r="845" spans="5:18">
      <c r="E845" s="167" t="str">
        <f>'030523 INVENTARIO'!E845</f>
        <v>MESA</v>
      </c>
      <c r="F845" s="167" t="str">
        <f>'030523 INVENTARIO'!F845</f>
        <v>MESA /TABLON DE PLASTICO BLANCO 243X76</v>
      </c>
      <c r="G845" s="167" t="str">
        <f ca="1">'030523 INVENTARIO'!G845</f>
        <v>P35DA-0844</v>
      </c>
      <c r="H845" s="167" t="str">
        <f>'030523 INVENTARIO'!J845</f>
        <v>P35DA-0844</v>
      </c>
      <c r="I845" s="167" t="str">
        <f>'030523 INVENTARIO'!K845</f>
        <v>P35DA-012</v>
      </c>
      <c r="J845" s="167" t="str">
        <f>'030523 INVENTARIO'!L845</f>
        <v>P0A-38</v>
      </c>
      <c r="K845" s="167" t="str">
        <f>'030523 INVENTARIO'!M845</f>
        <v>5120100007-102</v>
      </c>
      <c r="L845" s="168">
        <f>'030523 INVENTARIO'!N845</f>
        <v>0</v>
      </c>
      <c r="M845" s="168">
        <f>'030523 INVENTARIO'!O845</f>
        <v>0</v>
      </c>
      <c r="N845" s="168" t="str">
        <f>'030523 INVENTARIO'!P845</f>
        <v>OK</v>
      </c>
      <c r="O845" s="168" t="str">
        <f>'030523 INVENTARIO'!Q845</f>
        <v>S/M</v>
      </c>
      <c r="P845" s="167" t="str">
        <f>'030523 INVENTARIO'!R845</f>
        <v>S/M</v>
      </c>
      <c r="Q845" s="168" t="str">
        <f>'030523 INVENTARIO'!S845</f>
        <v>SIN SERIE</v>
      </c>
      <c r="R845" s="168" t="str">
        <f>'030523 INVENTARIO'!T845</f>
        <v>82DH0531010065000580348</v>
      </c>
    </row>
    <row r="846" spans="5:18">
      <c r="E846" s="167" t="str">
        <f>'030523 INVENTARIO'!E846</f>
        <v>MESA</v>
      </c>
      <c r="F846" s="167" t="str">
        <f>'030523 INVENTARIO'!F846</f>
        <v>MESA/TABLON DE PLASTICO BLANCO 243X76</v>
      </c>
      <c r="G846" s="167" t="str">
        <f ca="1">'030523 INVENTARIO'!G846</f>
        <v>P35DA-0845</v>
      </c>
      <c r="H846" s="167" t="str">
        <f>'030523 INVENTARIO'!J846</f>
        <v>P35DA-0845</v>
      </c>
      <c r="I846" s="167" t="str">
        <f>'030523 INVENTARIO'!K846</f>
        <v>P35DA-013</v>
      </c>
      <c r="J846" s="167" t="str">
        <f>'030523 INVENTARIO'!L846</f>
        <v>P0A-39</v>
      </c>
      <c r="K846" s="167" t="str">
        <f>'030523 INVENTARIO'!M846</f>
        <v>5120100007-103</v>
      </c>
      <c r="L846" s="168">
        <f>'030523 INVENTARIO'!N846</f>
        <v>0</v>
      </c>
      <c r="M846" s="168">
        <f>'030523 INVENTARIO'!O846</f>
        <v>0</v>
      </c>
      <c r="N846" s="168" t="str">
        <f>'030523 INVENTARIO'!P846</f>
        <v>OK</v>
      </c>
      <c r="O846" s="168" t="str">
        <f>'030523 INVENTARIO'!Q846</f>
        <v>S/M</v>
      </c>
      <c r="P846" s="167" t="str">
        <f>'030523 INVENTARIO'!R846</f>
        <v>S/M</v>
      </c>
      <c r="Q846" s="168" t="str">
        <f>'030523 INVENTARIO'!S846</f>
        <v>SIN SERIE</v>
      </c>
      <c r="R846" s="168" t="str">
        <f>'030523 INVENTARIO'!T846</f>
        <v>82DH0531010065000564869</v>
      </c>
    </row>
    <row r="847" spans="5:18">
      <c r="E847" s="167" t="str">
        <f>'030523 INVENTARIO'!E847</f>
        <v>MESA</v>
      </c>
      <c r="F847" s="167" t="str">
        <f>'030523 INVENTARIO'!F847</f>
        <v>MESA DE MADERA OVALADA 240X120</v>
      </c>
      <c r="G847" s="167" t="str">
        <f ca="1">'030523 INVENTARIO'!G847</f>
        <v>P35DA-0846</v>
      </c>
      <c r="H847" s="167" t="str">
        <f>'030523 INVENTARIO'!J847</f>
        <v>P35DA-0846</v>
      </c>
      <c r="I847" s="167" t="str">
        <f>'030523 INVENTARIO'!K847</f>
        <v>P35DA-014</v>
      </c>
      <c r="J847" s="167" t="str">
        <f>'030523 INVENTARIO'!L847</f>
        <v>P0A-34</v>
      </c>
      <c r="K847" s="167" t="str">
        <f>'030523 INVENTARIO'!M847</f>
        <v>5120100007-99</v>
      </c>
      <c r="L847" s="168">
        <f>'030523 INVENTARIO'!N847</f>
        <v>0</v>
      </c>
      <c r="M847" s="168">
        <f>'030523 INVENTARIO'!O847</f>
        <v>0</v>
      </c>
      <c r="N847" s="168" t="str">
        <f>'030523 INVENTARIO'!P847</f>
        <v>OK</v>
      </c>
      <c r="O847" s="168" t="str">
        <f>'030523 INVENTARIO'!Q847</f>
        <v>S/M</v>
      </c>
      <c r="P847" s="167" t="str">
        <f>'030523 INVENTARIO'!R847</f>
        <v>S/M</v>
      </c>
      <c r="Q847" s="168" t="str">
        <f>'030523 INVENTARIO'!S847</f>
        <v>SIN SERIE</v>
      </c>
      <c r="R847" s="168" t="str">
        <f>'030523 INVENTARIO'!T847</f>
        <v>82DH0531010065000564861</v>
      </c>
    </row>
    <row r="848" spans="5:18">
      <c r="E848" s="167" t="str">
        <f>'030523 INVENTARIO'!E848</f>
        <v>SILLA</v>
      </c>
      <c r="F848" s="168" t="str">
        <f>'030523 INVENTARIO'!F848</f>
        <v>SILLA DE TELA CAFÉ</v>
      </c>
      <c r="G848" s="167" t="str">
        <f ca="1">'030523 INVENTARIO'!G848</f>
        <v>P35RM-0847</v>
      </c>
      <c r="H848" s="167" t="str">
        <f>'030523 INVENTARIO'!J848</f>
        <v>P35DA-0847</v>
      </c>
      <c r="I848" s="167" t="str">
        <f>'030523 INVENTARIO'!K848</f>
        <v>P35DA-015</v>
      </c>
      <c r="J848" s="167" t="str">
        <f>'030523 INVENTARIO'!L848</f>
        <v>P0A-21</v>
      </c>
      <c r="K848" s="167" t="str">
        <f>'030523 INVENTARIO'!M848</f>
        <v>5110100011-80</v>
      </c>
      <c r="L848" s="168">
        <f>'030523 INVENTARIO'!N848</f>
        <v>0</v>
      </c>
      <c r="M848" s="168">
        <f>'030523 INVENTARIO'!O848</f>
        <v>0</v>
      </c>
      <c r="N848" s="168" t="str">
        <f>'030523 INVENTARIO'!P848</f>
        <v>OK</v>
      </c>
      <c r="O848" s="168" t="str">
        <f>'030523 INVENTARIO'!Q848</f>
        <v>S/M</v>
      </c>
      <c r="P848" s="167" t="str">
        <f>'030523 INVENTARIO'!R848</f>
        <v>S/M</v>
      </c>
      <c r="Q848" s="168" t="str">
        <f>'030523 INVENTARIO'!S848</f>
        <v>SIN SERIE</v>
      </c>
      <c r="R848" s="168" t="str">
        <f>'030523 INVENTARIO'!T848</f>
        <v>82DH0511010017000516299</v>
      </c>
    </row>
    <row r="849" spans="5:18">
      <c r="E849" s="167" t="str">
        <f>'030523 INVENTARIO'!E849</f>
        <v>SILLA</v>
      </c>
      <c r="F849" s="168" t="str">
        <f>'030523 INVENTARIO'!F849</f>
        <v>SILLA DE TELA CAFÉ</v>
      </c>
      <c r="G849" s="167" t="str">
        <f ca="1">'030523 INVENTARIO'!G849</f>
        <v>P35DA-0848</v>
      </c>
      <c r="H849" s="167" t="str">
        <f>'030523 INVENTARIO'!J849</f>
        <v>P35DA-0848</v>
      </c>
      <c r="I849" s="167" t="str">
        <f>'030523 INVENTARIO'!K849</f>
        <v>P35DA-016</v>
      </c>
      <c r="J849" s="167" t="str">
        <f>'030523 INVENTARIO'!L849</f>
        <v>P0A-28</v>
      </c>
      <c r="K849" s="167" t="str">
        <f>'030523 INVENTARIO'!M849</f>
        <v>5110100011-86</v>
      </c>
      <c r="L849" s="168">
        <f>'030523 INVENTARIO'!N849</f>
        <v>0</v>
      </c>
      <c r="M849" s="168">
        <f>'030523 INVENTARIO'!O849</f>
        <v>0</v>
      </c>
      <c r="N849" s="168" t="str">
        <f>'030523 INVENTARIO'!P849</f>
        <v>OK</v>
      </c>
      <c r="O849" s="168" t="str">
        <f>'030523 INVENTARIO'!Q849</f>
        <v>S/M</v>
      </c>
      <c r="P849" s="167" t="str">
        <f>'030523 INVENTARIO'!R849</f>
        <v>S/M</v>
      </c>
      <c r="Q849" s="168" t="str">
        <f>'030523 INVENTARIO'!S849</f>
        <v>SIN SERIE</v>
      </c>
      <c r="R849" s="168" t="str">
        <f>'030523 INVENTARIO'!T849</f>
        <v>82DH0511010017000518533</v>
      </c>
    </row>
    <row r="850" spans="5:18">
      <c r="E850" s="167" t="str">
        <f>'030523 INVENTARIO'!E850</f>
        <v>SILLA</v>
      </c>
      <c r="F850" s="168" t="str">
        <f>'030523 INVENTARIO'!F850</f>
        <v>SILLA DE TELA CAFÉ</v>
      </c>
      <c r="G850" s="167" t="str">
        <f ca="1">'030523 INVENTARIO'!G850</f>
        <v>P35DA-0849</v>
      </c>
      <c r="H850" s="167" t="str">
        <f>'030523 INVENTARIO'!J850</f>
        <v>P35DA-0849</v>
      </c>
      <c r="I850" s="167" t="str">
        <f>'030523 INVENTARIO'!K850</f>
        <v>P35DA-017</v>
      </c>
      <c r="J850" s="167" t="str">
        <f>'030523 INVENTARIO'!L850</f>
        <v>P0A-26</v>
      </c>
      <c r="K850" s="167" t="str">
        <f>'030523 INVENTARIO'!M850</f>
        <v>5110100011-84</v>
      </c>
      <c r="L850" s="168">
        <f>'030523 INVENTARIO'!N850</f>
        <v>0</v>
      </c>
      <c r="M850" s="168">
        <f>'030523 INVENTARIO'!O850</f>
        <v>0</v>
      </c>
      <c r="N850" s="168" t="str">
        <f>'030523 INVENTARIO'!P850</f>
        <v>OK</v>
      </c>
      <c r="O850" s="168" t="str">
        <f>'030523 INVENTARIO'!Q850</f>
        <v>S/M</v>
      </c>
      <c r="P850" s="167" t="str">
        <f>'030523 INVENTARIO'!R850</f>
        <v>S/M</v>
      </c>
      <c r="Q850" s="168" t="str">
        <f>'030523 INVENTARIO'!S850</f>
        <v>SIN SERIE</v>
      </c>
      <c r="R850" s="168" t="str">
        <f>'030523 INVENTARIO'!T850</f>
        <v>82DH0511010017000516234</v>
      </c>
    </row>
    <row r="851" spans="5:18">
      <c r="E851" s="167" t="str">
        <f>'030523 INVENTARIO'!E851</f>
        <v>SILLA</v>
      </c>
      <c r="F851" s="167" t="str">
        <f>'030523 INVENTARIO'!F851</f>
        <v>SILLA DE TELA CAFE</v>
      </c>
      <c r="G851" s="167" t="str">
        <f ca="1">'030523 INVENTARIO'!G851</f>
        <v>P35DA-0850</v>
      </c>
      <c r="H851" s="167" t="str">
        <f>'030523 INVENTARIO'!J851</f>
        <v>P35DA-0850</v>
      </c>
      <c r="I851" s="167" t="str">
        <f>'030523 INVENTARIO'!K851</f>
        <v>P35DA-018</v>
      </c>
      <c r="J851" s="167" t="str">
        <f>'030523 INVENTARIO'!L851</f>
        <v>P0A-71</v>
      </c>
      <c r="K851" s="167" t="str">
        <f>'030523 INVENTARIO'!M851</f>
        <v>5110100011-95</v>
      </c>
      <c r="L851" s="168">
        <f>'030523 INVENTARIO'!N851</f>
        <v>0</v>
      </c>
      <c r="M851" s="168">
        <f>'030523 INVENTARIO'!O851</f>
        <v>0</v>
      </c>
      <c r="N851" s="168" t="str">
        <f>'030523 INVENTARIO'!P851</f>
        <v>OK</v>
      </c>
      <c r="O851" s="168" t="str">
        <f>'030523 INVENTARIO'!Q851</f>
        <v>S/M</v>
      </c>
      <c r="P851" s="167" t="str">
        <f>'030523 INVENTARIO'!R851</f>
        <v>S/M</v>
      </c>
      <c r="Q851" s="168" t="str">
        <f>'030523 INVENTARIO'!S851</f>
        <v>SIN SERIE</v>
      </c>
      <c r="R851" s="168" t="str">
        <f>'030523 INVENTARIO'!T851</f>
        <v>82DH0511010017000649523</v>
      </c>
    </row>
    <row r="852" spans="5:18">
      <c r="E852" s="167" t="str">
        <f>'030523 INVENTARIO'!E852</f>
        <v>SILLA</v>
      </c>
      <c r="F852" s="168" t="str">
        <f>'030523 INVENTARIO'!F852</f>
        <v>SILLA DE TELA CAFÉ</v>
      </c>
      <c r="G852" s="167" t="str">
        <f ca="1">'030523 INVENTARIO'!G852</f>
        <v>P35DA-0851</v>
      </c>
      <c r="H852" s="167" t="str">
        <f>'030523 INVENTARIO'!J852</f>
        <v>P35DA-0851</v>
      </c>
      <c r="I852" s="167" t="str">
        <f>'030523 INVENTARIO'!K852</f>
        <v>P35DA-019</v>
      </c>
      <c r="J852" s="167" t="str">
        <f>'030523 INVENTARIO'!L852</f>
        <v>P0A-22</v>
      </c>
      <c r="K852" s="167" t="str">
        <f>'030523 INVENTARIO'!M852</f>
        <v>5110100011-81</v>
      </c>
      <c r="L852" s="168">
        <f>'030523 INVENTARIO'!N852</f>
        <v>0</v>
      </c>
      <c r="M852" s="168">
        <f>'030523 INVENTARIO'!O852</f>
        <v>0</v>
      </c>
      <c r="N852" s="168" t="str">
        <f>'030523 INVENTARIO'!P852</f>
        <v>OK</v>
      </c>
      <c r="O852" s="168" t="str">
        <f>'030523 INVENTARIO'!Q852</f>
        <v>S/M</v>
      </c>
      <c r="P852" s="167" t="str">
        <f>'030523 INVENTARIO'!R852</f>
        <v>S/M</v>
      </c>
      <c r="Q852" s="168" t="str">
        <f>'030523 INVENTARIO'!S852</f>
        <v>SIN SERIE</v>
      </c>
      <c r="R852" s="168" t="str">
        <f>'030523 INVENTARIO'!T852</f>
        <v>82DH0511010017000516282</v>
      </c>
    </row>
    <row r="853" spans="5:18">
      <c r="E853" s="167" t="str">
        <f>'030523 INVENTARIO'!E853</f>
        <v>SILLA</v>
      </c>
      <c r="F853" s="167" t="str">
        <f>'030523 INVENTARIO'!F853</f>
        <v>SILLA DE TELA CAFÉ</v>
      </c>
      <c r="G853" s="167" t="str">
        <f ca="1">'030523 INVENTARIO'!G853</f>
        <v>P05RM-0852</v>
      </c>
      <c r="H853" s="167" t="str">
        <f>'030523 INVENTARIO'!J853</f>
        <v>P35DA-0852</v>
      </c>
      <c r="I853" s="167" t="str">
        <f>'030523 INVENTARIO'!K853</f>
        <v>P35DA-020</v>
      </c>
      <c r="J853" s="167" t="str">
        <f>'030523 INVENTARIO'!L853</f>
        <v>P0A-18</v>
      </c>
      <c r="K853" s="167" t="str">
        <f>'030523 INVENTARIO'!M853</f>
        <v>5110100011-114</v>
      </c>
      <c r="L853" s="168">
        <f>'030523 INVENTARIO'!N853</f>
        <v>0</v>
      </c>
      <c r="M853" s="168">
        <f>'030523 INVENTARIO'!O853</f>
        <v>0</v>
      </c>
      <c r="N853" s="168" t="str">
        <f>'030523 INVENTARIO'!P853</f>
        <v>OK</v>
      </c>
      <c r="O853" s="168" t="str">
        <f>'030523 INVENTARIO'!Q853</f>
        <v>S/M</v>
      </c>
      <c r="P853" s="167" t="str">
        <f>'030523 INVENTARIO'!R853</f>
        <v>S/M</v>
      </c>
      <c r="Q853" s="168" t="str">
        <f>'030523 INVENTARIO'!S853</f>
        <v>SIN SERIE</v>
      </c>
      <c r="R853" s="168" t="str">
        <f>'030523 INVENTARIO'!T853</f>
        <v>82DH0511010017000564587</v>
      </c>
    </row>
    <row r="854" spans="5:18">
      <c r="E854" s="167" t="str">
        <f>'030523 INVENTARIO'!E854</f>
        <v>SILLA</v>
      </c>
      <c r="F854" s="167" t="str">
        <f>'030523 INVENTARIO'!F854</f>
        <v>SILLA DE MADERA PEQUEÑA ESCOLAR</v>
      </c>
      <c r="G854" s="167" t="str">
        <f ca="1">'030523 INVENTARIO'!G854</f>
        <v>P35DA-0853</v>
      </c>
      <c r="H854" s="167" t="str">
        <f>'030523 INVENTARIO'!J854</f>
        <v>P35DA-0853</v>
      </c>
      <c r="I854" s="167" t="str">
        <f>'030523 INVENTARIO'!K854</f>
        <v>P35DA-021</v>
      </c>
      <c r="J854" s="167" t="str">
        <f>'030523 INVENTARIO'!L854</f>
        <v>P0A-73</v>
      </c>
      <c r="K854" s="167" t="str">
        <f>'030523 INVENTARIO'!M854</f>
        <v>5110100011-97</v>
      </c>
      <c r="L854" s="168">
        <f>'030523 INVENTARIO'!N854</f>
        <v>0</v>
      </c>
      <c r="M854" s="168">
        <f>'030523 INVENTARIO'!O854</f>
        <v>0</v>
      </c>
      <c r="N854" s="168" t="str">
        <f>'030523 INVENTARIO'!P854</f>
        <v>OK</v>
      </c>
      <c r="O854" s="168" t="str">
        <f>'030523 INVENTARIO'!Q854</f>
        <v>S/M</v>
      </c>
      <c r="P854" s="167" t="str">
        <f>'030523 INVENTARIO'!R854</f>
        <v>S/M</v>
      </c>
      <c r="Q854" s="168" t="str">
        <f>'030523 INVENTARIO'!S854</f>
        <v>SIN SERIE</v>
      </c>
      <c r="R854" s="168" t="str">
        <f>'030523 INVENTARIO'!T854</f>
        <v>82DH0511010017000649508</v>
      </c>
    </row>
    <row r="855" spans="5:18">
      <c r="E855" s="167" t="str">
        <f>'030523 INVENTARIO'!E855</f>
        <v>MESA</v>
      </c>
      <c r="F855" s="167" t="str">
        <f>'030523 INVENTARIO'!F855</f>
        <v>MESA DE MADERA CON BASE DE METAL 60X120</v>
      </c>
      <c r="G855" s="167" t="str">
        <f ca="1">'030523 INVENTARIO'!G855</f>
        <v>P35DA-0854</v>
      </c>
      <c r="H855" s="167" t="str">
        <f>'030523 INVENTARIO'!J855</f>
        <v>P35DA-0854</v>
      </c>
      <c r="I855" s="167" t="str">
        <f>'030523 INVENTARIO'!K855</f>
        <v>P35DA-022</v>
      </c>
      <c r="J855" s="167" t="str">
        <f>'030523 INVENTARIO'!L855</f>
        <v>P0A-23</v>
      </c>
      <c r="K855" s="167" t="str">
        <f>'030523 INVENTARIO'!M855</f>
        <v>5120100007-101</v>
      </c>
      <c r="L855" s="168">
        <f>'030523 INVENTARIO'!N855</f>
        <v>0</v>
      </c>
      <c r="M855" s="168">
        <f>'030523 INVENTARIO'!O855</f>
        <v>0</v>
      </c>
      <c r="N855" s="168" t="str">
        <f>'030523 INVENTARIO'!P855</f>
        <v>OK</v>
      </c>
      <c r="O855" s="168" t="str">
        <f>'030523 INVENTARIO'!Q855</f>
        <v>S/M</v>
      </c>
      <c r="P855" s="167" t="str">
        <f>'030523 INVENTARIO'!R855</f>
        <v>S/M</v>
      </c>
      <c r="Q855" s="168" t="str">
        <f>'030523 INVENTARIO'!S855</f>
        <v>SIN SERIE</v>
      </c>
      <c r="R855" s="168" t="str">
        <f>'030523 INVENTARIO'!T855</f>
        <v>82DH0531010065000564831</v>
      </c>
    </row>
    <row r="856" spans="5:18">
      <c r="E856" s="167" t="str">
        <f>'030523 INVENTARIO'!E856</f>
        <v>HORNO</v>
      </c>
      <c r="F856" s="168" t="str">
        <f>'030523 INVENTARIO'!F856</f>
        <v>HORNO DE MICROONDAS GRIS</v>
      </c>
      <c r="G856" s="167" t="str">
        <f ca="1">'030523 INVENTARIO'!G856</f>
        <v>P05RM-0855</v>
      </c>
      <c r="H856" s="167" t="str">
        <f>'030523 INVENTARIO'!J856</f>
        <v>P35DA-0855</v>
      </c>
      <c r="I856" s="167" t="str">
        <f>'030523 INVENTARIO'!K856</f>
        <v>P35DA-023</v>
      </c>
      <c r="J856" s="167" t="str">
        <f>'030523 INVENTARIO'!L856</f>
        <v>P0A-43</v>
      </c>
      <c r="K856" s="167" t="str">
        <f>'030523 INVENTARIO'!M856</f>
        <v>5690100331-2</v>
      </c>
      <c r="L856" s="168">
        <f>'030523 INVENTARIO'!N856</f>
        <v>0</v>
      </c>
      <c r="M856" s="168">
        <f>'030523 INVENTARIO'!O856</f>
        <v>0</v>
      </c>
      <c r="N856" s="168" t="str">
        <f>'030523 INVENTARIO'!P856</f>
        <v>OK</v>
      </c>
      <c r="O856" s="168" t="str">
        <f>'030523 INVENTARIO'!Q856</f>
        <v>DAEWOO</v>
      </c>
      <c r="P856" s="167" t="str">
        <f>'030523 INVENTARIO'!R856</f>
        <v>KOR-UN1AM</v>
      </c>
      <c r="Q856" s="168" t="str">
        <f>'030523 INVENTARIO'!S856</f>
        <v>7M173E37030365</v>
      </c>
      <c r="R856" s="168" t="str">
        <f>'030523 INVENTARIO'!T856</f>
        <v>82DH0519010026000649402</v>
      </c>
    </row>
    <row r="857" spans="5:18">
      <c r="E857" s="167" t="str">
        <f>'030523 INVENTARIO'!E857</f>
        <v>HORNO</v>
      </c>
      <c r="F857" s="168" t="str">
        <f>'030523 INVENTARIO'!F857</f>
        <v>HORNO ELECTRICO GRIS</v>
      </c>
      <c r="G857" s="167" t="str">
        <f ca="1">'030523 INVENTARIO'!G857</f>
        <v>P35DA-0856</v>
      </c>
      <c r="H857" s="167" t="str">
        <f>'030523 INVENTARIO'!J857</f>
        <v>P35DA-0856</v>
      </c>
      <c r="I857" s="167" t="str">
        <f>'030523 INVENTARIO'!K857</f>
        <v>P35DA-024</v>
      </c>
      <c r="J857" s="167" t="str">
        <f>'030523 INVENTARIO'!L857</f>
        <v>P0A-44</v>
      </c>
      <c r="K857" s="167" t="str">
        <f>'030523 INVENTARIO'!M857</f>
        <v>5690100331-3</v>
      </c>
      <c r="L857" s="168">
        <f>'030523 INVENTARIO'!N857</f>
        <v>0</v>
      </c>
      <c r="M857" s="168">
        <f>'030523 INVENTARIO'!O857</f>
        <v>0</v>
      </c>
      <c r="N857" s="168" t="str">
        <f>'030523 INVENTARIO'!P857</f>
        <v>OK</v>
      </c>
      <c r="O857" s="168" t="str">
        <f>'030523 INVENTARIO'!Q857</f>
        <v>OSTER</v>
      </c>
      <c r="P857" s="167" t="str">
        <f>'030523 INVENTARIO'!R857</f>
        <v>TSSTTV/10LTB</v>
      </c>
      <c r="Q857" s="168" t="str">
        <f>'030523 INVENTARIO'!S857</f>
        <v>172513</v>
      </c>
      <c r="R857" s="168" t="str">
        <f>'030523 INVENTARIO'!T857</f>
        <v>82DH0519010026000649375</v>
      </c>
    </row>
    <row r="858" spans="5:18">
      <c r="E858" s="167" t="str">
        <f>'030523 INVENTARIO'!E858</f>
        <v>EXTRACTOR DE JUGO</v>
      </c>
      <c r="F858" s="168" t="str">
        <f>'030523 INVENTARIO'!F858</f>
        <v>EXTRACTOR DE JUGO</v>
      </c>
      <c r="G858" s="167" t="str">
        <f ca="1">'030523 INVENTARIO'!G858</f>
        <v>P35DA-0857</v>
      </c>
      <c r="H858" s="167" t="str">
        <f>'030523 INVENTARIO'!J858</f>
        <v>P35DA-0857</v>
      </c>
      <c r="I858" s="167" t="str">
        <f>'030523 INVENTARIO'!K858</f>
        <v>P35DA-025</v>
      </c>
      <c r="J858" s="167" t="str">
        <f>'030523 INVENTARIO'!L858</f>
        <v>P0A-63</v>
      </c>
      <c r="K858" s="167" t="str">
        <f>'030523 INVENTARIO'!M858</f>
        <v>ALTA</v>
      </c>
      <c r="L858" s="168">
        <f>'030523 INVENTARIO'!N858</f>
        <v>0</v>
      </c>
      <c r="M858" s="168">
        <f>'030523 INVENTARIO'!O858</f>
        <v>0</v>
      </c>
      <c r="N858" s="168" t="str">
        <f>'030523 INVENTARIO'!P858</f>
        <v>REPETIDO</v>
      </c>
      <c r="O858" s="168" t="str">
        <f>'030523 INVENTARIO'!Q858</f>
        <v>PHILIS</v>
      </c>
      <c r="P858" s="167" t="str">
        <f>'030523 INVENTARIO'!R858</f>
        <v>CUSINA</v>
      </c>
      <c r="Q858" s="168" t="str">
        <f>'030523 INVENTARIO'!S858</f>
        <v>HR1820</v>
      </c>
      <c r="R858" s="167" t="str">
        <f>'030523 INVENTARIO'!T858</f>
        <v>SIN RESGUARDO</v>
      </c>
    </row>
    <row r="859" spans="5:18">
      <c r="E859" s="167" t="str">
        <f>'030523 INVENTARIO'!E859</f>
        <v>TOSTADOR</v>
      </c>
      <c r="F859" s="168" t="str">
        <f>'030523 INVENTARIO'!F859</f>
        <v>TOSTADOR</v>
      </c>
      <c r="G859" s="167" t="str">
        <f ca="1">'030523 INVENTARIO'!G859</f>
        <v>P35DA-0858</v>
      </c>
      <c r="H859" s="167" t="str">
        <f>'030523 INVENTARIO'!J859</f>
        <v>P35DA-0858</v>
      </c>
      <c r="I859" s="167" t="str">
        <f>'030523 INVENTARIO'!K859</f>
        <v>P35DA-026</v>
      </c>
      <c r="J859" s="167" t="str">
        <f>'030523 INVENTARIO'!L859</f>
        <v>P0A-62</v>
      </c>
      <c r="K859" s="167" t="str">
        <f>'030523 INVENTARIO'!M859</f>
        <v>ALTA</v>
      </c>
      <c r="L859" s="168">
        <f>'030523 INVENTARIO'!N859</f>
        <v>0</v>
      </c>
      <c r="M859" s="168">
        <f>'030523 INVENTARIO'!O859</f>
        <v>0</v>
      </c>
      <c r="N859" s="168" t="str">
        <f>'030523 INVENTARIO'!P859</f>
        <v>REPETIDO</v>
      </c>
      <c r="O859" s="168" t="str">
        <f>'030523 INVENTARIO'!Q859</f>
        <v>GENERAL ELECTRIC</v>
      </c>
      <c r="P859" s="167">
        <f>'030523 INVENTARIO'!R859</f>
        <v>106782</v>
      </c>
      <c r="Q859" s="167" t="str">
        <f>'030523 INVENTARIO'!S859</f>
        <v>F3840S</v>
      </c>
      <c r="R859" s="167" t="str">
        <f>'030523 INVENTARIO'!T859</f>
        <v>SIN RESGUARDO</v>
      </c>
    </row>
    <row r="860" spans="5:18">
      <c r="E860" s="167" t="str">
        <f>'030523 INVENTARIO'!E860</f>
        <v>REFRIGERADOR</v>
      </c>
      <c r="F860" s="168" t="str">
        <f>'030523 INVENTARIO'!F860</f>
        <v>REFRIGERADOR BLANCO</v>
      </c>
      <c r="G860" s="167" t="str">
        <f ca="1">'030523 INVENTARIO'!G860</f>
        <v>P35DA-0859</v>
      </c>
      <c r="H860" s="167" t="str">
        <f>'030523 INVENTARIO'!J860</f>
        <v>P35DA-0859</v>
      </c>
      <c r="I860" s="167" t="str">
        <f>'030523 INVENTARIO'!K860</f>
        <v>P35DA-027</v>
      </c>
      <c r="J860" s="167" t="str">
        <f>'030523 INVENTARIO'!L860</f>
        <v>P0A-31</v>
      </c>
      <c r="K860" s="167" t="str">
        <f>'030523 INVENTARIO'!M860</f>
        <v>5120100001-2</v>
      </c>
      <c r="L860" s="168">
        <f>'030523 INVENTARIO'!N860</f>
        <v>0</v>
      </c>
      <c r="M860" s="168">
        <f>'030523 INVENTARIO'!O860</f>
        <v>0</v>
      </c>
      <c r="N860" s="168" t="str">
        <f>'030523 INVENTARIO'!P860</f>
        <v>OK</v>
      </c>
      <c r="O860" s="168" t="str">
        <f>'030523 INVENTARIO'!Q860</f>
        <v>IEM</v>
      </c>
      <c r="P860" s="167" t="str">
        <f>'030523 INVENTARIO'!R860</f>
        <v>S/M</v>
      </c>
      <c r="Q860" s="168" t="str">
        <f>'030523 INVENTARIO'!S860</f>
        <v>SIN SERIE</v>
      </c>
      <c r="R860" s="168" t="str">
        <f>'030523 INVENTARIO'!T860</f>
        <v>82DH0519010036000566458</v>
      </c>
    </row>
    <row r="861" spans="5:18">
      <c r="E861" s="167" t="str">
        <f>'030523 INVENTARIO'!E861</f>
        <v>CAMPANA</v>
      </c>
      <c r="F861" s="167" t="str">
        <f>'030523 INVENTARIO'!F861</f>
        <v>CAMPANA</v>
      </c>
      <c r="G861" s="167" t="str">
        <f ca="1">'030523 INVENTARIO'!G861</f>
        <v>P35DA-0860</v>
      </c>
      <c r="H861" s="167" t="str">
        <f>'030523 INVENTARIO'!J861</f>
        <v>P35DA-0860</v>
      </c>
      <c r="I861" s="167" t="str">
        <f>'030523 INVENTARIO'!K861</f>
        <v>P35DA-028</v>
      </c>
      <c r="J861" s="167" t="str">
        <f>'030523 INVENTARIO'!L861</f>
        <v>P0A-A1</v>
      </c>
      <c r="K861" s="167" t="str">
        <f>'030523 INVENTARIO'!M861</f>
        <v>5120100004-32</v>
      </c>
      <c r="L861" s="168">
        <f>'030523 INVENTARIO'!N861</f>
        <v>0</v>
      </c>
      <c r="M861" s="168">
        <f>'030523 INVENTARIO'!O861</f>
        <v>0</v>
      </c>
      <c r="N861" s="168" t="str">
        <f>'030523 INVENTARIO'!P861</f>
        <v>OK</v>
      </c>
      <c r="O861" s="168" t="str">
        <f>'030523 INVENTARIO'!Q861</f>
        <v>MABE</v>
      </c>
      <c r="P861" s="167" t="str">
        <f>'030523 INVENTARIO'!R861</f>
        <v>MABE 60CM</v>
      </c>
      <c r="Q861" s="168" t="str">
        <f>'030523 INVENTARIO'!S861</f>
        <v>SIN SERIE</v>
      </c>
      <c r="R861" s="168" t="str">
        <f>'030523 INVENTARIO'!T861</f>
        <v>82DH0519010009000535515</v>
      </c>
    </row>
    <row r="862" spans="5:18">
      <c r="E862" s="167" t="str">
        <f>'030523 INVENTARIO'!E862</f>
        <v>COMPLEMENTARIO DE EQUIPO DE COMEDOR Y COCINA</v>
      </c>
      <c r="F862" s="168" t="str">
        <f>'030523 INVENTARIO'!F862</f>
        <v>COMPLEMENTO DE EQUIPO ALACENA</v>
      </c>
      <c r="G862" s="167" t="str">
        <f ca="1">'030523 INVENTARIO'!G862</f>
        <v>P35DA-0861</v>
      </c>
      <c r="H862" s="167" t="str">
        <f>'030523 INVENTARIO'!J862</f>
        <v>P35DA-0861</v>
      </c>
      <c r="I862" s="167" t="str">
        <f>'030523 INVENTARIO'!K862</f>
        <v>P35DA-029</v>
      </c>
      <c r="J862" s="167" t="str">
        <f>'030523 INVENTARIO'!L862</f>
        <v>P0A-36</v>
      </c>
      <c r="K862" s="167" t="str">
        <f>'030523 INVENTARIO'!M862</f>
        <v>5120100004-26</v>
      </c>
      <c r="L862" s="168">
        <f>'030523 INVENTARIO'!N862</f>
        <v>0</v>
      </c>
      <c r="M862" s="168">
        <f>'030523 INVENTARIO'!O862</f>
        <v>0</v>
      </c>
      <c r="N862" s="168" t="str">
        <f>'030523 INVENTARIO'!P862</f>
        <v>OK</v>
      </c>
      <c r="O862" s="168" t="str">
        <f>'030523 INVENTARIO'!Q862</f>
        <v>S/M</v>
      </c>
      <c r="P862" s="167" t="str">
        <f>'030523 INVENTARIO'!R862</f>
        <v>S/M</v>
      </c>
      <c r="Q862" s="168" t="str">
        <f>'030523 INVENTARIO'!S862</f>
        <v>SIN SERIE</v>
      </c>
      <c r="R862" s="168" t="str">
        <f>'030523 INVENTARIO'!T862</f>
        <v>82DH0512010001000532220</v>
      </c>
    </row>
    <row r="863" spans="5:18">
      <c r="E863" s="167" t="str">
        <f>'030523 INVENTARIO'!E863</f>
        <v>ESTUFA</v>
      </c>
      <c r="F863" s="168" t="str">
        <f>'030523 INVENTARIO'!F863</f>
        <v>ESTUFA BLANCA</v>
      </c>
      <c r="G863" s="167" t="str">
        <f ca="1">'030523 INVENTARIO'!G863</f>
        <v>P35DA-0862</v>
      </c>
      <c r="H863" s="167" t="str">
        <f>'030523 INVENTARIO'!J863</f>
        <v>P35DA-0862</v>
      </c>
      <c r="I863" s="167" t="str">
        <f>'030523 INVENTARIO'!K863</f>
        <v>P35DA-030</v>
      </c>
      <c r="J863" s="167" t="str">
        <f>'030523 INVENTARIO'!L863</f>
        <v>P0A-42</v>
      </c>
      <c r="K863" s="167" t="str">
        <f>'030523 INVENTARIO'!M863</f>
        <v>5190100030-1</v>
      </c>
      <c r="L863" s="168">
        <f>'030523 INVENTARIO'!N863</f>
        <v>0</v>
      </c>
      <c r="M863" s="168">
        <f>'030523 INVENTARIO'!O863</f>
        <v>0</v>
      </c>
      <c r="N863" s="168" t="str">
        <f>'030523 INVENTARIO'!P863</f>
        <v>OK</v>
      </c>
      <c r="O863" s="168" t="str">
        <f>'030523 INVENTARIO'!Q863</f>
        <v>MABE</v>
      </c>
      <c r="P863" s="167" t="str">
        <f>'030523 INVENTARIO'!R863</f>
        <v>S/M</v>
      </c>
      <c r="Q863" s="168" t="str">
        <f>'030523 INVENTARIO'!S863</f>
        <v>DA0050</v>
      </c>
      <c r="R863" s="168" t="str">
        <f>'030523 INVENTARIO'!T863</f>
        <v>82DH0519010016000538166</v>
      </c>
    </row>
    <row r="864" spans="5:18">
      <c r="E864" s="167" t="str">
        <f>'030523 INVENTARIO'!E864</f>
        <v>COMPLEMENTARIO DE EQUIPO DE COMEDOR Y COCINA</v>
      </c>
      <c r="F864" s="168" t="str">
        <f>'030523 INVENTARIO'!F864</f>
        <v>COMPLEMENTO DE EQUIPO TARJA</v>
      </c>
      <c r="G864" s="167" t="str">
        <f ca="1">'030523 INVENTARIO'!G864</f>
        <v>P35DA-0863</v>
      </c>
      <c r="H864" s="167" t="str">
        <f>'030523 INVENTARIO'!J864</f>
        <v>P35DA-0863</v>
      </c>
      <c r="I864" s="167" t="str">
        <f>'030523 INVENTARIO'!K864</f>
        <v>P35DA-031</v>
      </c>
      <c r="J864" s="167" t="str">
        <f>'030523 INVENTARIO'!L864</f>
        <v>P0A-35</v>
      </c>
      <c r="K864" s="167" t="str">
        <f>'030523 INVENTARIO'!M864</f>
        <v>5120100004-25</v>
      </c>
      <c r="L864" s="168">
        <f>'030523 INVENTARIO'!N864</f>
        <v>0</v>
      </c>
      <c r="M864" s="168">
        <f>'030523 INVENTARIO'!O864</f>
        <v>0</v>
      </c>
      <c r="N864" s="168" t="str">
        <f>'030523 INVENTARIO'!P864</f>
        <v>OK</v>
      </c>
      <c r="O864" s="168" t="str">
        <f>'030523 INVENTARIO'!Q864</f>
        <v>S/M</v>
      </c>
      <c r="P864" s="167" t="str">
        <f>'030523 INVENTARIO'!R864</f>
        <v>S/M</v>
      </c>
      <c r="Q864" s="168" t="str">
        <f>'030523 INVENTARIO'!S864</f>
        <v>SIN SERIE</v>
      </c>
      <c r="R864" s="168" t="str">
        <f>'030523 INVENTARIO'!T864</f>
        <v>82DH0519010009000535514</v>
      </c>
    </row>
    <row r="865" spans="5:18">
      <c r="E865" s="167" t="str">
        <f>'030523 INVENTARIO'!E865</f>
        <v>SILLA</v>
      </c>
      <c r="F865" s="167" t="str">
        <f>'030523 INVENTARIO'!F865</f>
        <v>SILLA DE METAL GRIS PLEGABLE</v>
      </c>
      <c r="G865" s="167" t="str">
        <f ca="1">'030523 INVENTARIO'!G865</f>
        <v>P35DA-0864</v>
      </c>
      <c r="H865" s="167" t="str">
        <f>'030523 INVENTARIO'!J865</f>
        <v>P35DA-0864</v>
      </c>
      <c r="I865" s="167" t="str">
        <f>'030523 INVENTARIO'!K865</f>
        <v>P35DA-032</v>
      </c>
      <c r="J865" s="167" t="str">
        <f>'030523 INVENTARIO'!L865</f>
        <v>P0A-58</v>
      </c>
      <c r="K865" s="167" t="str">
        <f>'030523 INVENTARIO'!M865</f>
        <v>5110100011-93</v>
      </c>
      <c r="L865" s="168">
        <f>'030523 INVENTARIO'!N865</f>
        <v>0</v>
      </c>
      <c r="M865" s="168">
        <f>'030523 INVENTARIO'!O865</f>
        <v>0</v>
      </c>
      <c r="N865" s="168" t="str">
        <f>'030523 INVENTARIO'!P865</f>
        <v>OK</v>
      </c>
      <c r="O865" s="168" t="str">
        <f>'030523 INVENTARIO'!Q865</f>
        <v>S/M</v>
      </c>
      <c r="P865" s="167" t="str">
        <f>'030523 INVENTARIO'!R865</f>
        <v>S/M</v>
      </c>
      <c r="Q865" s="168" t="str">
        <f>'030523 INVENTARIO'!S865</f>
        <v>SIN SERIE</v>
      </c>
      <c r="R865" s="168" t="str">
        <f>'030523 INVENTARIO'!T865</f>
        <v>82DH0511010017000649510</v>
      </c>
    </row>
    <row r="866" spans="5:18">
      <c r="E866" s="167" t="str">
        <f>'030523 INVENTARIO'!E866</f>
        <v>SILLA</v>
      </c>
      <c r="F866" s="167" t="str">
        <f>'030523 INVENTARIO'!F866</f>
        <v>SILLA DE METAL GRIS PLEGABLE</v>
      </c>
      <c r="G866" s="167" t="str">
        <f ca="1">'030523 INVENTARIO'!G866</f>
        <v>P35DA-0865</v>
      </c>
      <c r="H866" s="167" t="str">
        <f>'030523 INVENTARIO'!J866</f>
        <v>P35DA-0865</v>
      </c>
      <c r="I866" s="167" t="str">
        <f>'030523 INVENTARIO'!K866</f>
        <v>P35DA-033</v>
      </c>
      <c r="J866" s="167" t="str">
        <f>'030523 INVENTARIO'!L866</f>
        <v>P0A-59</v>
      </c>
      <c r="K866" s="167" t="str">
        <f>'030523 INVENTARIO'!M866</f>
        <v>5110100011-94</v>
      </c>
      <c r="L866" s="168">
        <f>'030523 INVENTARIO'!N866</f>
        <v>0</v>
      </c>
      <c r="M866" s="168">
        <f>'030523 INVENTARIO'!O866</f>
        <v>0</v>
      </c>
      <c r="N866" s="168" t="str">
        <f>'030523 INVENTARIO'!P866</f>
        <v>OK</v>
      </c>
      <c r="O866" s="168" t="str">
        <f>'030523 INVENTARIO'!Q866</f>
        <v>S/M</v>
      </c>
      <c r="P866" s="167" t="str">
        <f>'030523 INVENTARIO'!R866</f>
        <v>S/M</v>
      </c>
      <c r="Q866" s="168" t="str">
        <f>'030523 INVENTARIO'!S866</f>
        <v>SIN SERIE</v>
      </c>
      <c r="R866" s="168" t="str">
        <f>'030523 INVENTARIO'!T866</f>
        <v>82DH0511010017000649512</v>
      </c>
    </row>
    <row r="867" spans="5:18">
      <c r="E867" s="167" t="str">
        <f>'030523 INVENTARIO'!E867</f>
        <v>SILLA</v>
      </c>
      <c r="F867" s="168" t="str">
        <f>'030523 INVENTARIO'!F867</f>
        <v>SILLA DE METAL GRIS PLEGABLE</v>
      </c>
      <c r="G867" s="167" t="str">
        <f ca="1">'030523 INVENTARIO'!G867</f>
        <v>P35DA-0866</v>
      </c>
      <c r="H867" s="167" t="str">
        <f>'030523 INVENTARIO'!J867</f>
        <v>P35DA-0866</v>
      </c>
      <c r="I867" s="167" t="str">
        <f>'030523 INVENTARIO'!K867</f>
        <v>P35DA-034</v>
      </c>
      <c r="J867" s="167" t="str">
        <f>'030523 INVENTARIO'!L867</f>
        <v>P0A-45</v>
      </c>
      <c r="K867" s="168" t="str">
        <f>'030523 INVENTARIO'!M867</f>
        <v>5110100011-130</v>
      </c>
      <c r="L867" s="168">
        <f>'030523 INVENTARIO'!N867</f>
        <v>0</v>
      </c>
      <c r="M867" s="168">
        <f>'030523 INVENTARIO'!O867</f>
        <v>0</v>
      </c>
      <c r="N867" s="168" t="str">
        <f>'030523 INVENTARIO'!P867</f>
        <v>OK</v>
      </c>
      <c r="O867" s="168" t="str">
        <f>'030523 INVENTARIO'!Q867</f>
        <v>S/M</v>
      </c>
      <c r="P867" s="167" t="str">
        <f>'030523 INVENTARIO'!R867</f>
        <v>S/M</v>
      </c>
      <c r="Q867" s="168" t="str">
        <f>'030523 INVENTARIO'!S867</f>
        <v>SIN SERIE</v>
      </c>
      <c r="R867" s="168" t="str">
        <f>'030523 INVENTARIO'!T867</f>
        <v>82DH0511010017000651083</v>
      </c>
    </row>
    <row r="868" spans="5:18">
      <c r="E868" s="167" t="str">
        <f>'030523 INVENTARIO'!E868</f>
        <v>SILLA</v>
      </c>
      <c r="F868" s="168" t="str">
        <f>'030523 INVENTARIO'!F868</f>
        <v>SILLA DE METAL GRIS PLEGABLE</v>
      </c>
      <c r="G868" s="167" t="str">
        <f ca="1">'030523 INVENTARIO'!G868</f>
        <v>P35DA-0867</v>
      </c>
      <c r="H868" s="167" t="str">
        <f>'030523 INVENTARIO'!J868</f>
        <v>P35DA-0867</v>
      </c>
      <c r="I868" s="167" t="str">
        <f>'030523 INVENTARIO'!K868</f>
        <v>P35DA-035</v>
      </c>
      <c r="J868" s="167" t="str">
        <f>'030523 INVENTARIO'!L868</f>
        <v>P0A-46</v>
      </c>
      <c r="K868" s="168" t="str">
        <f>'030523 INVENTARIO'!M868</f>
        <v>5110100011-131</v>
      </c>
      <c r="L868" s="168">
        <f>'030523 INVENTARIO'!N868</f>
        <v>0</v>
      </c>
      <c r="M868" s="168">
        <f>'030523 INVENTARIO'!O868</f>
        <v>0</v>
      </c>
      <c r="N868" s="168" t="str">
        <f>'030523 INVENTARIO'!P868</f>
        <v>OK</v>
      </c>
      <c r="O868" s="168" t="str">
        <f>'030523 INVENTARIO'!Q868</f>
        <v>S/M</v>
      </c>
      <c r="P868" s="167" t="str">
        <f>'030523 INVENTARIO'!R868</f>
        <v>S/M</v>
      </c>
      <c r="Q868" s="168" t="str">
        <f>'030523 INVENTARIO'!S868</f>
        <v>SIN SERIE</v>
      </c>
      <c r="R868" s="168" t="str">
        <f>'030523 INVENTARIO'!T868</f>
        <v>82DH0511010017000651082</v>
      </c>
    </row>
    <row r="869" spans="5:18">
      <c r="E869" s="167" t="str">
        <f>'030523 INVENTARIO'!E869</f>
        <v>SILLA</v>
      </c>
      <c r="F869" s="168" t="str">
        <f>'030523 INVENTARIO'!F869</f>
        <v>SILLA DE METAL GRIS PLEGABLE</v>
      </c>
      <c r="G869" s="167" t="str">
        <f ca="1">'030523 INVENTARIO'!G869</f>
        <v>P35DA-0868</v>
      </c>
      <c r="H869" s="167" t="str">
        <f>'030523 INVENTARIO'!J869</f>
        <v>P35DA-0868</v>
      </c>
      <c r="I869" s="167" t="str">
        <f>'030523 INVENTARIO'!K869</f>
        <v>P35DA-036</v>
      </c>
      <c r="J869" s="167" t="str">
        <f>'030523 INVENTARIO'!L869</f>
        <v>P0A-47</v>
      </c>
      <c r="K869" s="168" t="str">
        <f>'030523 INVENTARIO'!M869</f>
        <v>5110100011-132</v>
      </c>
      <c r="L869" s="168">
        <f>'030523 INVENTARIO'!N869</f>
        <v>0</v>
      </c>
      <c r="M869" s="168">
        <f>'030523 INVENTARIO'!O869</f>
        <v>0</v>
      </c>
      <c r="N869" s="168" t="str">
        <f>'030523 INVENTARIO'!P869</f>
        <v>OK</v>
      </c>
      <c r="O869" s="168" t="str">
        <f>'030523 INVENTARIO'!Q869</f>
        <v>S/M</v>
      </c>
      <c r="P869" s="167" t="str">
        <f>'030523 INVENTARIO'!R869</f>
        <v>S/M</v>
      </c>
      <c r="Q869" s="168" t="str">
        <f>'030523 INVENTARIO'!S869</f>
        <v>SIN SERIE</v>
      </c>
      <c r="R869" s="168" t="str">
        <f>'030523 INVENTARIO'!T869</f>
        <v>82DH0511010017000651081</v>
      </c>
    </row>
    <row r="870" spans="5:18">
      <c r="E870" s="167" t="str">
        <f>'030523 INVENTARIO'!E870</f>
        <v>SILLA</v>
      </c>
      <c r="F870" s="168" t="str">
        <f>'030523 INVENTARIO'!F870</f>
        <v>SILLA DE METAL GRIS PLEGABLE</v>
      </c>
      <c r="G870" s="167" t="str">
        <f ca="1">'030523 INVENTARIO'!G870</f>
        <v>P35DA-0869</v>
      </c>
      <c r="H870" s="167" t="str">
        <f>'030523 INVENTARIO'!J870</f>
        <v>P35DA-0869</v>
      </c>
      <c r="I870" s="167" t="str">
        <f>'030523 INVENTARIO'!K870</f>
        <v>P35DA-037</v>
      </c>
      <c r="J870" s="167" t="str">
        <f>'030523 INVENTARIO'!L870</f>
        <v>P0A-48</v>
      </c>
      <c r="K870" s="168" t="str">
        <f>'030523 INVENTARIO'!M870</f>
        <v>5110100011-133</v>
      </c>
      <c r="L870" s="168">
        <f>'030523 INVENTARIO'!N870</f>
        <v>0</v>
      </c>
      <c r="M870" s="168">
        <f>'030523 INVENTARIO'!O870</f>
        <v>0</v>
      </c>
      <c r="N870" s="168" t="str">
        <f>'030523 INVENTARIO'!P870</f>
        <v>OK</v>
      </c>
      <c r="O870" s="168" t="str">
        <f>'030523 INVENTARIO'!Q870</f>
        <v>S/M</v>
      </c>
      <c r="P870" s="167" t="str">
        <f>'030523 INVENTARIO'!R870</f>
        <v>S/M</v>
      </c>
      <c r="Q870" s="168" t="str">
        <f>'030523 INVENTARIO'!S870</f>
        <v>SIN SERIE</v>
      </c>
      <c r="R870" s="168" t="str">
        <f>'030523 INVENTARIO'!T870</f>
        <v>82DH0511010017000651080</v>
      </c>
    </row>
    <row r="871" spans="5:18">
      <c r="E871" s="167" t="str">
        <f>'030523 INVENTARIO'!E871</f>
        <v>SILLA</v>
      </c>
      <c r="F871" s="168" t="str">
        <f>'030523 INVENTARIO'!F871</f>
        <v>SILLA DE METAL GRIS PLEGABLE</v>
      </c>
      <c r="G871" s="167" t="str">
        <f ca="1">'030523 INVENTARIO'!G871</f>
        <v>P35DA-0870</v>
      </c>
      <c r="H871" s="167" t="str">
        <f>'030523 INVENTARIO'!J871</f>
        <v>P35DA-0870</v>
      </c>
      <c r="I871" s="167" t="str">
        <f>'030523 INVENTARIO'!K871</f>
        <v>P35DA-038</v>
      </c>
      <c r="J871" s="167" t="str">
        <f>'030523 INVENTARIO'!L871</f>
        <v>P0A-49</v>
      </c>
      <c r="K871" s="168" t="str">
        <f>'030523 INVENTARIO'!M871</f>
        <v>5110100011-134</v>
      </c>
      <c r="L871" s="168">
        <f>'030523 INVENTARIO'!N871</f>
        <v>0</v>
      </c>
      <c r="M871" s="168">
        <f>'030523 INVENTARIO'!O871</f>
        <v>0</v>
      </c>
      <c r="N871" s="168" t="str">
        <f>'030523 INVENTARIO'!P871</f>
        <v>OK</v>
      </c>
      <c r="O871" s="168" t="str">
        <f>'030523 INVENTARIO'!Q871</f>
        <v>S/M</v>
      </c>
      <c r="P871" s="167" t="str">
        <f>'030523 INVENTARIO'!R871</f>
        <v>S/M</v>
      </c>
      <c r="Q871" s="168" t="str">
        <f>'030523 INVENTARIO'!S871</f>
        <v>SIN SERIE</v>
      </c>
      <c r="R871" s="168" t="str">
        <f>'030523 INVENTARIO'!T871</f>
        <v>82DH0511010017000651079</v>
      </c>
    </row>
    <row r="872" spans="5:18">
      <c r="E872" s="167" t="str">
        <f>'030523 INVENTARIO'!E872</f>
        <v>SILLA</v>
      </c>
      <c r="F872" s="168" t="str">
        <f>'030523 INVENTARIO'!F872</f>
        <v>SILLA DE METAL GRIS PLEGABLE</v>
      </c>
      <c r="G872" s="167" t="str">
        <f ca="1">'030523 INVENTARIO'!G872</f>
        <v>P35DA-0871</v>
      </c>
      <c r="H872" s="167" t="str">
        <f>'030523 INVENTARIO'!J872</f>
        <v>P35DA-0871</v>
      </c>
      <c r="I872" s="167" t="str">
        <f>'030523 INVENTARIO'!K872</f>
        <v>P35DA-039</v>
      </c>
      <c r="J872" s="167" t="str">
        <f>'030523 INVENTARIO'!L872</f>
        <v>P0A-50</v>
      </c>
      <c r="K872" s="168" t="str">
        <f>'030523 INVENTARIO'!M872</f>
        <v>5110100011-135</v>
      </c>
      <c r="L872" s="168">
        <f>'030523 INVENTARIO'!N872</f>
        <v>0</v>
      </c>
      <c r="M872" s="168">
        <f>'030523 INVENTARIO'!O872</f>
        <v>0</v>
      </c>
      <c r="N872" s="168" t="str">
        <f>'030523 INVENTARIO'!P872</f>
        <v>OK</v>
      </c>
      <c r="O872" s="168" t="str">
        <f>'030523 INVENTARIO'!Q872</f>
        <v>S/M</v>
      </c>
      <c r="P872" s="167" t="str">
        <f>'030523 INVENTARIO'!R872</f>
        <v>S/M</v>
      </c>
      <c r="Q872" s="168" t="str">
        <f>'030523 INVENTARIO'!S872</f>
        <v>SIN SERIE</v>
      </c>
      <c r="R872" s="168" t="str">
        <f>'030523 INVENTARIO'!T872</f>
        <v>82DH0511010017000651078</v>
      </c>
    </row>
    <row r="873" spans="5:18">
      <c r="E873" s="167" t="str">
        <f>'030523 INVENTARIO'!E873</f>
        <v>SILLA</v>
      </c>
      <c r="F873" s="168" t="str">
        <f>'030523 INVENTARIO'!F873</f>
        <v>SILLA DE METAL GRIS PLEGABLE</v>
      </c>
      <c r="G873" s="167" t="str">
        <f ca="1">'030523 INVENTARIO'!G873</f>
        <v>P35DA-0872</v>
      </c>
      <c r="H873" s="167" t="str">
        <f>'030523 INVENTARIO'!J873</f>
        <v>P35DA-0872</v>
      </c>
      <c r="I873" s="167" t="str">
        <f>'030523 INVENTARIO'!K873</f>
        <v>P35DA-040</v>
      </c>
      <c r="J873" s="167" t="str">
        <f>'030523 INVENTARIO'!L873</f>
        <v>P0A-51</v>
      </c>
      <c r="K873" s="168" t="str">
        <f>'030523 INVENTARIO'!M873</f>
        <v>5110100011-136</v>
      </c>
      <c r="L873" s="168">
        <f>'030523 INVENTARIO'!N873</f>
        <v>0</v>
      </c>
      <c r="M873" s="168">
        <f>'030523 INVENTARIO'!O873</f>
        <v>0</v>
      </c>
      <c r="N873" s="168" t="str">
        <f>'030523 INVENTARIO'!P873</f>
        <v>OK</v>
      </c>
      <c r="O873" s="168" t="str">
        <f>'030523 INVENTARIO'!Q873</f>
        <v>S/M</v>
      </c>
      <c r="P873" s="167" t="str">
        <f>'030523 INVENTARIO'!R873</f>
        <v>S/M</v>
      </c>
      <c r="Q873" s="168" t="str">
        <f>'030523 INVENTARIO'!S873</f>
        <v>SIN SERIE</v>
      </c>
      <c r="R873" s="168" t="str">
        <f>'030523 INVENTARIO'!T873</f>
        <v>82DH0511010017000651077</v>
      </c>
    </row>
    <row r="874" spans="5:18">
      <c r="E874" s="167" t="str">
        <f>'030523 INVENTARIO'!E874</f>
        <v>SILLA</v>
      </c>
      <c r="F874" s="168" t="str">
        <f>'030523 INVENTARIO'!F874</f>
        <v>SILLA DE METAL GRIS PLEGABLE</v>
      </c>
      <c r="G874" s="167" t="str">
        <f ca="1">'030523 INVENTARIO'!G874</f>
        <v>P35DA-0873</v>
      </c>
      <c r="H874" s="167" t="str">
        <f>'030523 INVENTARIO'!J874</f>
        <v>P35DA-0873</v>
      </c>
      <c r="I874" s="167" t="str">
        <f>'030523 INVENTARIO'!K874</f>
        <v>P35DA-041</v>
      </c>
      <c r="J874" s="167" t="str">
        <f>'030523 INVENTARIO'!L874</f>
        <v>P0A-52</v>
      </c>
      <c r="K874" s="168" t="str">
        <f>'030523 INVENTARIO'!M874</f>
        <v>5110100011-124</v>
      </c>
      <c r="L874" s="168">
        <f>'030523 INVENTARIO'!N874</f>
        <v>0</v>
      </c>
      <c r="M874" s="168">
        <f>'030523 INVENTARIO'!O874</f>
        <v>0</v>
      </c>
      <c r="N874" s="168" t="str">
        <f>'030523 INVENTARIO'!P874</f>
        <v>OK</v>
      </c>
      <c r="O874" s="168" t="str">
        <f>'030523 INVENTARIO'!Q874</f>
        <v>S/M</v>
      </c>
      <c r="P874" s="167" t="str">
        <f>'030523 INVENTARIO'!R874</f>
        <v>S/M</v>
      </c>
      <c r="Q874" s="168" t="str">
        <f>'030523 INVENTARIO'!S874</f>
        <v>SIN SERIE</v>
      </c>
      <c r="R874" s="168" t="str">
        <f>'030523 INVENTARIO'!T874</f>
        <v>82DH0511010017000651076</v>
      </c>
    </row>
    <row r="875" spans="5:18">
      <c r="E875" s="167" t="str">
        <f>'030523 INVENTARIO'!E875</f>
        <v>SILLA</v>
      </c>
      <c r="F875" s="168" t="str">
        <f>'030523 INVENTARIO'!F875</f>
        <v>SILLA DE METAL GRIS PLEGABLE</v>
      </c>
      <c r="G875" s="167" t="str">
        <f ca="1">'030523 INVENTARIO'!G875</f>
        <v>P35DA-0874</v>
      </c>
      <c r="H875" s="167" t="str">
        <f>'030523 INVENTARIO'!J875</f>
        <v>P35DA-0874</v>
      </c>
      <c r="I875" s="167" t="str">
        <f>'030523 INVENTARIO'!K875</f>
        <v>P35DA-042</v>
      </c>
      <c r="J875" s="167" t="str">
        <f>'030523 INVENTARIO'!L875</f>
        <v>P0A-53</v>
      </c>
      <c r="K875" s="168" t="str">
        <f>'030523 INVENTARIO'!M875</f>
        <v>5110100011-123</v>
      </c>
      <c r="L875" s="168">
        <f>'030523 INVENTARIO'!N875</f>
        <v>0</v>
      </c>
      <c r="M875" s="168">
        <f>'030523 INVENTARIO'!O875</f>
        <v>0</v>
      </c>
      <c r="N875" s="168" t="str">
        <f>'030523 INVENTARIO'!P875</f>
        <v>OK</v>
      </c>
      <c r="O875" s="168" t="str">
        <f>'030523 INVENTARIO'!Q875</f>
        <v>S/M</v>
      </c>
      <c r="P875" s="167" t="str">
        <f>'030523 INVENTARIO'!R875</f>
        <v>S/M</v>
      </c>
      <c r="Q875" s="168" t="str">
        <f>'030523 INVENTARIO'!S875</f>
        <v>SIN SERIE</v>
      </c>
      <c r="R875" s="168" t="str">
        <f>'030523 INVENTARIO'!T875</f>
        <v>82DH0511010017000651075</v>
      </c>
    </row>
    <row r="876" spans="5:18">
      <c r="E876" s="167" t="str">
        <f>'030523 INVENTARIO'!E876</f>
        <v>SILLA</v>
      </c>
      <c r="F876" s="168" t="str">
        <f>'030523 INVENTARIO'!F876</f>
        <v>SILLA DE METAL GRIS PLEGABLE</v>
      </c>
      <c r="G876" s="167" t="str">
        <f ca="1">'030523 INVENTARIO'!G876</f>
        <v>P35DA-0875</v>
      </c>
      <c r="H876" s="167" t="str">
        <f>'030523 INVENTARIO'!J876</f>
        <v>P35DA-0875</v>
      </c>
      <c r="I876" s="167" t="str">
        <f>'030523 INVENTARIO'!K876</f>
        <v>P35DA-043</v>
      </c>
      <c r="J876" s="167" t="str">
        <f>'030523 INVENTARIO'!L876</f>
        <v>P0A-54</v>
      </c>
      <c r="K876" s="168" t="str">
        <f>'030523 INVENTARIO'!M876</f>
        <v>5110100011-89</v>
      </c>
      <c r="L876" s="168">
        <f>'030523 INVENTARIO'!N876</f>
        <v>0</v>
      </c>
      <c r="M876" s="168">
        <f>'030523 INVENTARIO'!O876</f>
        <v>0</v>
      </c>
      <c r="N876" s="168" t="str">
        <f>'030523 INVENTARIO'!P876</f>
        <v>OK</v>
      </c>
      <c r="O876" s="168" t="str">
        <f>'030523 INVENTARIO'!Q876</f>
        <v>S/M</v>
      </c>
      <c r="P876" s="167" t="str">
        <f>'030523 INVENTARIO'!R876</f>
        <v>S/M</v>
      </c>
      <c r="Q876" s="168" t="str">
        <f>'030523 INVENTARIO'!S876</f>
        <v>SIN SERIE</v>
      </c>
      <c r="R876" s="168" t="str">
        <f>'030523 INVENTARIO'!T876</f>
        <v>82DH0511010017000651074</v>
      </c>
    </row>
    <row r="877" spans="5:18">
      <c r="E877" s="167" t="str">
        <f>'030523 INVENTARIO'!E877</f>
        <v>SILLA</v>
      </c>
      <c r="F877" s="168" t="str">
        <f>'030523 INVENTARIO'!F877</f>
        <v>SILLA DE METAL GRIS PLEGABLE</v>
      </c>
      <c r="G877" s="167" t="str">
        <f ca="1">'030523 INVENTARIO'!G877</f>
        <v>P35DA-0876</v>
      </c>
      <c r="H877" s="167" t="str">
        <f>'030523 INVENTARIO'!J877</f>
        <v>P35DA-0876</v>
      </c>
      <c r="I877" s="167" t="str">
        <f>'030523 INVENTARIO'!K877</f>
        <v>P35DA-044</v>
      </c>
      <c r="J877" s="167" t="str">
        <f>'030523 INVENTARIO'!L877</f>
        <v>P0A-56</v>
      </c>
      <c r="K877" s="168" t="str">
        <f>'030523 INVENTARIO'!M877</f>
        <v>5110100011-91</v>
      </c>
      <c r="L877" s="168">
        <f>'030523 INVENTARIO'!N877</f>
        <v>0</v>
      </c>
      <c r="M877" s="168">
        <f>'030523 INVENTARIO'!O877</f>
        <v>0</v>
      </c>
      <c r="N877" s="168" t="str">
        <f>'030523 INVENTARIO'!P877</f>
        <v>OK</v>
      </c>
      <c r="O877" s="168" t="str">
        <f>'030523 INVENTARIO'!Q877</f>
        <v>S/M</v>
      </c>
      <c r="P877" s="167" t="str">
        <f>'030523 INVENTARIO'!R877</f>
        <v>S/M</v>
      </c>
      <c r="Q877" s="168" t="str">
        <f>'030523 INVENTARIO'!S877</f>
        <v>SIN SERIE</v>
      </c>
      <c r="R877" s="168" t="str">
        <f>'030523 INVENTARIO'!T877</f>
        <v>82DH0511010017000651072</v>
      </c>
    </row>
    <row r="878" spans="5:18">
      <c r="E878" s="167" t="str">
        <f>'030523 INVENTARIO'!E878</f>
        <v>SILLA</v>
      </c>
      <c r="F878" s="167" t="str">
        <f>'030523 INVENTARIO'!F878</f>
        <v>SILLA DE METAL GRIS PLEGABLE</v>
      </c>
      <c r="G878" s="167" t="str">
        <f ca="1">'030523 INVENTARIO'!G878</f>
        <v>P35DA-0877</v>
      </c>
      <c r="H878" s="167" t="str">
        <f>'030523 INVENTARIO'!J878</f>
        <v>P35DA-0877</v>
      </c>
      <c r="I878" s="167" t="str">
        <f>'030523 INVENTARIO'!K878</f>
        <v>P35DA-045</v>
      </c>
      <c r="J878" s="167" t="str">
        <f>'030523 INVENTARIO'!L878</f>
        <v>P0A-57</v>
      </c>
      <c r="K878" s="167" t="str">
        <f>'030523 INVENTARIO'!M878</f>
        <v>5110100011-92</v>
      </c>
      <c r="L878" s="168">
        <f>'030523 INVENTARIO'!N878</f>
        <v>0</v>
      </c>
      <c r="M878" s="168">
        <f>'030523 INVENTARIO'!O878</f>
        <v>0</v>
      </c>
      <c r="N878" s="168" t="str">
        <f>'030523 INVENTARIO'!P878</f>
        <v>OK</v>
      </c>
      <c r="O878" s="168" t="str">
        <f>'030523 INVENTARIO'!Q878</f>
        <v>S/M</v>
      </c>
      <c r="P878" s="167" t="str">
        <f>'030523 INVENTARIO'!R878</f>
        <v>S/M</v>
      </c>
      <c r="Q878" s="167" t="str">
        <f>'030523 INVENTARIO'!S878</f>
        <v>SIN SERIE</v>
      </c>
      <c r="R878" s="167" t="str">
        <f>'030523 INVENTARIO'!T878</f>
        <v>82DH0511010017000649509</v>
      </c>
    </row>
    <row r="879" spans="5:18">
      <c r="E879" s="167" t="str">
        <f>'030523 INVENTARIO'!E879</f>
        <v>SILLA</v>
      </c>
      <c r="F879" s="168" t="str">
        <f>'030523 INVENTARIO'!F879</f>
        <v>SILLA DE METAL GRIS PLEGABLE</v>
      </c>
      <c r="G879" s="167" t="str">
        <f ca="1">'030523 INVENTARIO'!G879</f>
        <v>P35DA-0878</v>
      </c>
      <c r="H879" s="167" t="str">
        <f>'030523 INVENTARIO'!J879</f>
        <v>P35DA-0878</v>
      </c>
      <c r="I879" s="167" t="str">
        <f>'030523 INVENTARIO'!K879</f>
        <v>P35DA-046</v>
      </c>
      <c r="J879" s="167" t="str">
        <f>'030523 INVENTARIO'!L879</f>
        <v>P0A-55</v>
      </c>
      <c r="K879" s="168" t="str">
        <f>'030523 INVENTARIO'!M879</f>
        <v>5110100011-90</v>
      </c>
      <c r="L879" s="168">
        <f>'030523 INVENTARIO'!N879</f>
        <v>0</v>
      </c>
      <c r="M879" s="168">
        <f>'030523 INVENTARIO'!O879</f>
        <v>0</v>
      </c>
      <c r="N879" s="168" t="str">
        <f>'030523 INVENTARIO'!P879</f>
        <v>OK</v>
      </c>
      <c r="O879" s="168" t="str">
        <f>'030523 INVENTARIO'!Q879</f>
        <v>S/M</v>
      </c>
      <c r="P879" s="167" t="str">
        <f>'030523 INVENTARIO'!R879</f>
        <v>S/M</v>
      </c>
      <c r="Q879" s="168" t="str">
        <f>'030523 INVENTARIO'!S879</f>
        <v>SIN SERIE</v>
      </c>
      <c r="R879" s="168" t="str">
        <f>'030523 INVENTARIO'!T879</f>
        <v>82DH0511010017000651073</v>
      </c>
    </row>
    <row r="880" spans="5:18">
      <c r="E880" s="167" t="str">
        <f>'030523 INVENTARIO'!E880</f>
        <v>SILLA</v>
      </c>
      <c r="F880" s="168" t="str">
        <f>'030523 INVENTARIO'!F880</f>
        <v>SILLA DE TELA CAFÉ</v>
      </c>
      <c r="G880" s="167" t="str">
        <f ca="1">'030523 INVENTARIO'!G880</f>
        <v>P35DA-0879</v>
      </c>
      <c r="H880" s="167" t="str">
        <f>'030523 INVENTARIO'!J880</f>
        <v>P35DA-0879</v>
      </c>
      <c r="I880" s="167" t="str">
        <f>'030523 INVENTARIO'!K880</f>
        <v>P35DA-047</v>
      </c>
      <c r="J880" s="167" t="str">
        <f>'030523 INVENTARIO'!L880</f>
        <v>P0A-29</v>
      </c>
      <c r="K880" s="168" t="str">
        <f>'030523 INVENTARIO'!M880</f>
        <v>5110100011-87</v>
      </c>
      <c r="L880" s="168">
        <f>'030523 INVENTARIO'!N880</f>
        <v>0</v>
      </c>
      <c r="M880" s="168">
        <f>'030523 INVENTARIO'!O880</f>
        <v>0</v>
      </c>
      <c r="N880" s="168" t="str">
        <f>'030523 INVENTARIO'!P880</f>
        <v>OK</v>
      </c>
      <c r="O880" s="168" t="str">
        <f>'030523 INVENTARIO'!Q880</f>
        <v>S/M</v>
      </c>
      <c r="P880" s="167" t="str">
        <f>'030523 INVENTARIO'!R880</f>
        <v>S/M</v>
      </c>
      <c r="Q880" s="168" t="str">
        <f>'030523 INVENTARIO'!S880</f>
        <v>SIN SERIE</v>
      </c>
      <c r="R880" s="168" t="str">
        <f>'030523 INVENTARIO'!T880</f>
        <v>82DH0511010017000516345</v>
      </c>
    </row>
    <row r="881" spans="5:18">
      <c r="E881" s="167" t="str">
        <f>'030523 INVENTARIO'!E881</f>
        <v>SILLA</v>
      </c>
      <c r="F881" s="168" t="str">
        <f>'030523 INVENTARIO'!F881</f>
        <v>SILLA DE TELA CAFÉ</v>
      </c>
      <c r="G881" s="167" t="str">
        <f ca="1">'030523 INVENTARIO'!G881</f>
        <v>P35RM-0880</v>
      </c>
      <c r="H881" s="167" t="str">
        <f>'030523 INVENTARIO'!J881</f>
        <v>P35DA-0880</v>
      </c>
      <c r="I881" s="167" t="str">
        <f>'030523 INVENTARIO'!K881</f>
        <v>P35DA-048</v>
      </c>
      <c r="J881" s="167" t="str">
        <f>'030523 INVENTARIO'!L881</f>
        <v>P0A-60</v>
      </c>
      <c r="K881" s="167" t="str">
        <f>'030523 INVENTARIO'!M881</f>
        <v>5110100011-122</v>
      </c>
      <c r="L881" s="168">
        <f>'030523 INVENTARIO'!N881</f>
        <v>0</v>
      </c>
      <c r="M881" s="168">
        <f>'030523 INVENTARIO'!O881</f>
        <v>0</v>
      </c>
      <c r="N881" s="168" t="str">
        <f>'030523 INVENTARIO'!P881</f>
        <v>OK</v>
      </c>
      <c r="O881" s="168" t="str">
        <f>'030523 INVENTARIO'!Q881</f>
        <v>S/M</v>
      </c>
      <c r="P881" s="167" t="str">
        <f>'030523 INVENTARIO'!R881</f>
        <v>S/M</v>
      </c>
      <c r="Q881" s="168" t="str">
        <f>'030523 INVENTARIO'!S881</f>
        <v>SIN SERIE</v>
      </c>
      <c r="R881" s="168" t="str">
        <f>'030523 INVENTARIO'!T881</f>
        <v>82DK0511010017000518523</v>
      </c>
    </row>
    <row r="882" spans="5:18">
      <c r="E882" s="167" t="str">
        <f>'030523 INVENTARIO'!E882</f>
        <v>COMPLEMENTARIO DE EQUIPO DE COMEDOR Y COCINA</v>
      </c>
      <c r="F882" s="167" t="str">
        <f>'030523 INVENTARIO'!F882</f>
        <v>COMPLEMENTO DE EQUIPO ALACENA PARTE DE ESTUFA Y FREGADOR</v>
      </c>
      <c r="G882" s="167" t="str">
        <f ca="1">'030523 INVENTARIO'!G882</f>
        <v>P35DA-0881</v>
      </c>
      <c r="H882" s="167" t="str">
        <f>'030523 INVENTARIO'!J882</f>
        <v>P35DA-0881</v>
      </c>
      <c r="I882" s="167" t="str">
        <f>'030523 INVENTARIO'!K882</f>
        <v>P35DA-049</v>
      </c>
      <c r="J882" s="167">
        <f>'030523 INVENTARIO'!L882</f>
        <v>0</v>
      </c>
      <c r="K882" s="167" t="str">
        <f>'030523 INVENTARIO'!M882</f>
        <v>5120100004-31</v>
      </c>
      <c r="L882" s="168">
        <f>'030523 INVENTARIO'!N882</f>
        <v>0</v>
      </c>
      <c r="M882" s="168">
        <f>'030523 INVENTARIO'!O882</f>
        <v>0</v>
      </c>
      <c r="N882" s="168" t="str">
        <f>'030523 INVENTARIO'!P882</f>
        <v>OK</v>
      </c>
      <c r="O882" s="168" t="str">
        <f>'030523 INVENTARIO'!Q882</f>
        <v>S/M</v>
      </c>
      <c r="P882" s="167" t="str">
        <f>'030523 INVENTARIO'!R882</f>
        <v>S/M</v>
      </c>
      <c r="Q882" s="167" t="str">
        <f>'030523 INVENTARIO'!S882</f>
        <v>SIN SERIE</v>
      </c>
      <c r="R882" s="167" t="str">
        <f>'030523 INVENTARIO'!T882</f>
        <v>82DH0519010009000535596</v>
      </c>
    </row>
    <row r="883" spans="5:18">
      <c r="E883" s="167" t="str">
        <f>'030523 INVENTARIO'!E883</f>
        <v>CAJA FUERTE</v>
      </c>
      <c r="F883" s="167" t="str">
        <f>'030523 INVENTARIO'!F883</f>
        <v>CAJA FUERTE COLOR GRIS 45X41X45</v>
      </c>
      <c r="G883" s="167" t="str">
        <f ca="1">'030523 INVENTARIO'!G883</f>
        <v>P21DG-0882</v>
      </c>
      <c r="H883" s="167" t="str">
        <f>'030523 INVENTARIO'!J883</f>
        <v>P21DG-0882</v>
      </c>
      <c r="I883" s="167" t="str">
        <f>'030523 INVENTARIO'!K883</f>
        <v>P21DG-001</v>
      </c>
      <c r="J883" s="167" t="str">
        <f>'030523 INVENTARIO'!L883</f>
        <v>P2DG-27</v>
      </c>
      <c r="K883" s="167" t="str">
        <f>'030523 INVENTARIO'!M883</f>
        <v>5130100035-1</v>
      </c>
      <c r="L883" s="168">
        <f>'030523 INVENTARIO'!N883</f>
        <v>0</v>
      </c>
      <c r="M883" s="168">
        <f>'030523 INVENTARIO'!O883</f>
        <v>0</v>
      </c>
      <c r="N883" s="168" t="str">
        <f>'030523 INVENTARIO'!P883</f>
        <v>OK</v>
      </c>
      <c r="O883" s="168" t="str">
        <f>'030523 INVENTARIO'!Q883</f>
        <v>S/M</v>
      </c>
      <c r="P883" s="167" t="str">
        <f>'030523 INVENTARIO'!R883</f>
        <v>S/M</v>
      </c>
      <c r="Q883" s="168" t="str">
        <f>'030523 INVENTARIO'!S883</f>
        <v>SIN SERIE</v>
      </c>
      <c r="R883" s="168" t="str">
        <f>'030523 INVENTARIO'!T883</f>
        <v>82DH0511010004000518490</v>
      </c>
    </row>
    <row r="884" spans="5:18">
      <c r="E884" s="167" t="str">
        <f>'030523 INVENTARIO'!E884</f>
        <v>SILLA</v>
      </c>
      <c r="F884" s="168" t="str">
        <f>'030523 INVENTARIO'!F884</f>
        <v>SILLA PLEGABLE GRIS</v>
      </c>
      <c r="G884" s="167" t="str">
        <f ca="1">'030523 INVENTARIO'!G884</f>
        <v>P21DG-0883</v>
      </c>
      <c r="H884" s="167" t="str">
        <f>'030523 INVENTARIO'!J884</f>
        <v>P21DG-0883</v>
      </c>
      <c r="I884" s="167" t="str">
        <f>'030523 INVENTARIO'!K884</f>
        <v>P21DG-002</v>
      </c>
      <c r="J884" s="167" t="str">
        <f>'030523 INVENTARIO'!L884</f>
        <v>P2DG-33</v>
      </c>
      <c r="K884" s="167" t="str">
        <f>'030523 INVENTARIO'!M884</f>
        <v>2730100067-1</v>
      </c>
      <c r="L884" s="168">
        <f>'030523 INVENTARIO'!N884</f>
        <v>0</v>
      </c>
      <c r="M884" s="168">
        <f>'030523 INVENTARIO'!O884</f>
        <v>0</v>
      </c>
      <c r="N884" s="168" t="str">
        <f>'030523 INVENTARIO'!P884</f>
        <v>OK</v>
      </c>
      <c r="O884" s="168" t="str">
        <f>'030523 INVENTARIO'!Q884</f>
        <v>S/M</v>
      </c>
      <c r="P884" s="167" t="str">
        <f>'030523 INVENTARIO'!R884</f>
        <v>S/M</v>
      </c>
      <c r="Q884" s="168" t="str">
        <f>'030523 INVENTARIO'!S884</f>
        <v>SIN SERIE</v>
      </c>
      <c r="R884" s="168" t="str">
        <f>'030523 INVENTARIO'!T884</f>
        <v>82DH0511010017000651393</v>
      </c>
    </row>
    <row r="885" spans="5:18">
      <c r="E885" s="167" t="str">
        <f>'030523 INVENTARIO'!E885</f>
        <v>ESCRITORIO</v>
      </c>
      <c r="F885" s="167" t="str">
        <f>'030523 INVENTARIO'!F885</f>
        <v>ESCRITORIO DE MADERA BASE DE METAL CON 2 CAJONES 120X60</v>
      </c>
      <c r="G885" s="167" t="str">
        <f ca="1">'030523 INVENTARIO'!G885</f>
        <v>P21DG-0884</v>
      </c>
      <c r="H885" s="167" t="str">
        <f>'030523 INVENTARIO'!J885</f>
        <v>P21DG-0884</v>
      </c>
      <c r="I885" s="167" t="str">
        <f>'030523 INVENTARIO'!K885</f>
        <v>P21DG-003</v>
      </c>
      <c r="J885" s="167" t="str">
        <f>'030523 INVENTARIO'!L885</f>
        <v>P2DG-32</v>
      </c>
      <c r="K885" s="167" t="str">
        <f>'030523 INVENTARIO'!M885</f>
        <v>5110100015-4</v>
      </c>
      <c r="L885" s="168">
        <f>'030523 INVENTARIO'!N885</f>
        <v>0</v>
      </c>
      <c r="M885" s="168">
        <f>'030523 INVENTARIO'!O885</f>
        <v>0</v>
      </c>
      <c r="N885" s="168" t="str">
        <f>'030523 INVENTARIO'!P885</f>
        <v>OK</v>
      </c>
      <c r="O885" s="168" t="str">
        <f>'030523 INVENTARIO'!Q885</f>
        <v>S/M</v>
      </c>
      <c r="P885" s="167" t="str">
        <f>'030523 INVENTARIO'!R885</f>
        <v>S/M</v>
      </c>
      <c r="Q885" s="168" t="str">
        <f>'030523 INVENTARIO'!S885</f>
        <v>SIN SERIE</v>
      </c>
      <c r="R885" s="168" t="str">
        <f>'030523 INVENTARIO'!T885</f>
        <v>82DH0511010006000583444</v>
      </c>
    </row>
    <row r="886" spans="5:18">
      <c r="E886" s="167" t="str">
        <f>'030523 INVENTARIO'!E886</f>
        <v>PIZARRON</v>
      </c>
      <c r="F886" s="167" t="str">
        <f>'030523 INVENTARIO'!F886</f>
        <v>PIZARRON DE CRISTAL</v>
      </c>
      <c r="G886" s="167" t="str">
        <f ca="1">'030523 INVENTARIO'!G886</f>
        <v>P21DG-0885</v>
      </c>
      <c r="H886" s="167" t="str">
        <f>'030523 INVENTARIO'!J886</f>
        <v>P21DG-0885</v>
      </c>
      <c r="I886" s="167" t="str">
        <f>'030523 INVENTARIO'!K886</f>
        <v>P21DG-004</v>
      </c>
      <c r="J886" s="167" t="str">
        <f>'030523 INVENTARIO'!L886</f>
        <v>P2DG-29</v>
      </c>
      <c r="K886" s="167" t="str">
        <f>'030523 INVENTARIO'!M886</f>
        <v>5290100025-1</v>
      </c>
      <c r="L886" s="168">
        <f>'030523 INVENTARIO'!N886</f>
        <v>0</v>
      </c>
      <c r="M886" s="168">
        <f>'030523 INVENTARIO'!O886</f>
        <v>0</v>
      </c>
      <c r="N886" s="168" t="str">
        <f>'030523 INVENTARIO'!P886</f>
        <v>OK</v>
      </c>
      <c r="O886" s="168" t="str">
        <f>'030523 INVENTARIO'!Q886</f>
        <v>S/M</v>
      </c>
      <c r="P886" s="167" t="str">
        <f>'030523 INVENTARIO'!R886</f>
        <v>S/M</v>
      </c>
      <c r="Q886" s="168" t="str">
        <f>'030523 INVENTARIO'!S886</f>
        <v>SIN SERIE</v>
      </c>
      <c r="R886" s="168" t="str">
        <f>'030523 INVENTARIO'!T886</f>
        <v>82DH0529030003000651381</v>
      </c>
    </row>
    <row r="887" spans="5:18">
      <c r="E887" s="167" t="str">
        <f>'030523 INVENTARIO'!E887</f>
        <v>AIRE ACONDICIONADO</v>
      </c>
      <c r="F887" s="168" t="str">
        <f>'030523 INVENTARIO'!F887</f>
        <v>AIRE ACONDICIONADO BLANCO</v>
      </c>
      <c r="G887" s="167" t="str">
        <f ca="1">'030523 INVENTARIO'!G887</f>
        <v>P21DG-0886</v>
      </c>
      <c r="H887" s="167" t="str">
        <f>'030523 INVENTARIO'!J887</f>
        <v>P21DG-0886</v>
      </c>
      <c r="I887" s="167" t="str">
        <f>'030523 INVENTARIO'!K887</f>
        <v>P21DG-005</v>
      </c>
      <c r="J887" s="167" t="str">
        <f>'030523 INVENTARIO'!L887</f>
        <v>P2DG-22</v>
      </c>
      <c r="K887" s="167" t="str">
        <f>'030523 INVENTARIO'!M887</f>
        <v>5640100001-1</v>
      </c>
      <c r="L887" s="168">
        <f>'030523 INVENTARIO'!N887</f>
        <v>0</v>
      </c>
      <c r="M887" s="168">
        <f>'030523 INVENTARIO'!O887</f>
        <v>0</v>
      </c>
      <c r="N887" s="168" t="str">
        <f>'030523 INVENTARIO'!P887</f>
        <v>OK</v>
      </c>
      <c r="O887" s="168" t="str">
        <f>'030523 INVENTARIO'!Q887</f>
        <v>TRANE</v>
      </c>
      <c r="P887" s="167" t="str">
        <f>'030523 INVENTARIO'!R887</f>
        <v>S/M</v>
      </c>
      <c r="Q887" s="167" t="str">
        <f>'030523 INVENTARIO'!S887</f>
        <v>SIN SERIE</v>
      </c>
      <c r="R887" s="168" t="str">
        <f>'030523 INVENTARIO'!T887</f>
        <v>82DH0564010006000583948</v>
      </c>
    </row>
    <row r="888" spans="5:18">
      <c r="E888" s="167" t="str">
        <f>'030523 INVENTARIO'!E888</f>
        <v>JUEGO DE SALA</v>
      </c>
      <c r="F888" s="168" t="str">
        <f>'030523 INVENTARIO'!F888</f>
        <v>JUEGO DE SALA NEGRA DE PIEL CON 3 PIEZAS</v>
      </c>
      <c r="G888" s="167" t="str">
        <f ca="1">'030523 INVENTARIO'!G888</f>
        <v>P21DG-0887</v>
      </c>
      <c r="H888" s="167" t="str">
        <f>'030523 INVENTARIO'!J888</f>
        <v>P21DG-0887</v>
      </c>
      <c r="I888" s="167" t="str">
        <f>'030523 INVENTARIO'!K888</f>
        <v>P21DG-006</v>
      </c>
      <c r="J888" s="167" t="str">
        <f>'030523 INVENTARIO'!L888</f>
        <v>P2DG-8</v>
      </c>
      <c r="K888" s="167" t="str">
        <f>'030523 INVENTARIO'!M888</f>
        <v>5120100006-2</v>
      </c>
      <c r="L888" s="168">
        <f>'030523 INVENTARIO'!N888</f>
        <v>0</v>
      </c>
      <c r="M888" s="168">
        <f>'030523 INVENTARIO'!O888</f>
        <v>0</v>
      </c>
      <c r="N888" s="168" t="str">
        <f>'030523 INVENTARIO'!P888</f>
        <v>OK</v>
      </c>
      <c r="O888" s="168" t="str">
        <f>'030523 INVENTARIO'!Q888</f>
        <v>S/M</v>
      </c>
      <c r="P888" s="167" t="str">
        <f>'030523 INVENTARIO'!R888</f>
        <v>S/M</v>
      </c>
      <c r="Q888" s="168" t="str">
        <f>'030523 INVENTARIO'!S888</f>
        <v>SIN SERIE</v>
      </c>
      <c r="R888" s="168" t="str">
        <f>'030523 INVENTARIO'!T888</f>
        <v>82DH0512010023000517047</v>
      </c>
    </row>
    <row r="889" spans="5:18">
      <c r="E889" s="167" t="str">
        <f>'030523 INVENTARIO'!E889</f>
        <v>ALFOMBRA</v>
      </c>
      <c r="F889" s="167" t="str">
        <f>'030523 INVENTARIO'!F889</f>
        <v>TAPETE DE ALFOMBRA, COLOR VERDE, 2.35X1.60</v>
      </c>
      <c r="G889" s="167" t="str">
        <f ca="1">'030523 INVENTARIO'!G889</f>
        <v>P21DG-0888</v>
      </c>
      <c r="H889" s="167" t="str">
        <f>'030523 INVENTARIO'!J889</f>
        <v>P21DG-0888</v>
      </c>
      <c r="I889" s="167" t="str">
        <f>'030523 INVENTARIO'!K889</f>
        <v>P21DG-007</v>
      </c>
      <c r="J889" s="167" t="str">
        <f>'030523 INVENTARIO'!L889</f>
        <v>P2DG-A1</v>
      </c>
      <c r="K889" s="168" t="str">
        <f>'030523 INVENTARIO'!M889</f>
        <v>5130100208-1</v>
      </c>
      <c r="L889" s="168">
        <f>'030523 INVENTARIO'!N889</f>
        <v>0</v>
      </c>
      <c r="M889" s="168">
        <f>'030523 INVENTARIO'!O889</f>
        <v>0</v>
      </c>
      <c r="N889" s="168" t="str">
        <f>'030523 INVENTARIO'!P889</f>
        <v>OK</v>
      </c>
      <c r="O889" s="168" t="str">
        <f>'030523 INVENTARIO'!Q889</f>
        <v>S/M</v>
      </c>
      <c r="P889" s="167" t="str">
        <f>'030523 INVENTARIO'!R889</f>
        <v>S/M</v>
      </c>
      <c r="Q889" s="168" t="str">
        <f>'030523 INVENTARIO'!S889</f>
        <v>SIN SERIE</v>
      </c>
      <c r="R889" s="168" t="str">
        <f>'030523 INVENTARIO'!T889</f>
        <v>82DH0511010027000566240</v>
      </c>
    </row>
    <row r="890" spans="5:18">
      <c r="E890" s="167" t="str">
        <f>'030523 INVENTARIO'!E890</f>
        <v>MESA</v>
      </c>
      <c r="F890" s="167" t="str">
        <f>'030523 INVENTARIO'!F890</f>
        <v>MESA DE CENTRO DE CRISTAL CON BASE DE METAL 100X65</v>
      </c>
      <c r="G890" s="167" t="str">
        <f ca="1">'030523 INVENTARIO'!G890</f>
        <v>P21DG-0889</v>
      </c>
      <c r="H890" s="167" t="str">
        <f>'030523 INVENTARIO'!J890</f>
        <v>P21DG-0889</v>
      </c>
      <c r="I890" s="167" t="str">
        <f>'030523 INVENTARIO'!K890</f>
        <v>P21DG-008</v>
      </c>
      <c r="J890" s="167" t="str">
        <f>'030523 INVENTARIO'!L890</f>
        <v>P2DG-14</v>
      </c>
      <c r="K890" s="167" t="str">
        <f>'030523 INVENTARIO'!M890</f>
        <v>5120100007-4</v>
      </c>
      <c r="L890" s="168">
        <f>'030523 INVENTARIO'!N890</f>
        <v>0</v>
      </c>
      <c r="M890" s="168">
        <f>'030523 INVENTARIO'!O890</f>
        <v>0</v>
      </c>
      <c r="N890" s="168" t="str">
        <f>'030523 INVENTARIO'!P890</f>
        <v>OK</v>
      </c>
      <c r="O890" s="168" t="str">
        <f>'030523 INVENTARIO'!Q890</f>
        <v>S/M</v>
      </c>
      <c r="P890" s="167" t="str">
        <f>'030523 INVENTARIO'!R890</f>
        <v>S/M</v>
      </c>
      <c r="Q890" s="168" t="str">
        <f>'030523 INVENTARIO'!S890</f>
        <v>SIN SERIE</v>
      </c>
      <c r="R890" s="168" t="str">
        <f>'030523 INVENTARIO'!T890</f>
        <v>82DH0531010065000564745</v>
      </c>
    </row>
    <row r="891" spans="5:18">
      <c r="E891" s="167" t="str">
        <f>'030523 INVENTARIO'!E891</f>
        <v>LIBRERO</v>
      </c>
      <c r="F891" s="167" t="str">
        <f>'030523 INVENTARIO'!F891</f>
        <v>LIBRERO DE CRISTAL CON BASE DE METAL 190X66X46</v>
      </c>
      <c r="G891" s="167" t="str">
        <f ca="1">'030523 INVENTARIO'!G891</f>
        <v>P21DG-0890</v>
      </c>
      <c r="H891" s="167" t="str">
        <f>'030523 INVENTARIO'!J891</f>
        <v>P21DG-0890</v>
      </c>
      <c r="I891" s="167" t="str">
        <f>'030523 INVENTARIO'!K891</f>
        <v>P21DG-009</v>
      </c>
      <c r="J891" s="167" t="str">
        <f>'030523 INVENTARIO'!L891</f>
        <v>P2DG-9</v>
      </c>
      <c r="K891" s="167" t="str">
        <f>'030523 INVENTARIO'!M891</f>
        <v>5130100126-1</v>
      </c>
      <c r="L891" s="168">
        <f>'030523 INVENTARIO'!N891</f>
        <v>0</v>
      </c>
      <c r="M891" s="168">
        <f>'030523 INVENTARIO'!O891</f>
        <v>0</v>
      </c>
      <c r="N891" s="168" t="str">
        <f>'030523 INVENTARIO'!P891</f>
        <v>OK</v>
      </c>
      <c r="O891" s="168" t="str">
        <f>'030523 INVENTARIO'!Q891</f>
        <v>S/M</v>
      </c>
      <c r="P891" s="167" t="str">
        <f>'030523 INVENTARIO'!R891</f>
        <v>S/M</v>
      </c>
      <c r="Q891" s="168" t="str">
        <f>'030523 INVENTARIO'!S891</f>
        <v>SIN SERIE</v>
      </c>
      <c r="R891" s="168" t="str">
        <f>'030523 INVENTARIO'!T891</f>
        <v>82DH0511010008000518495</v>
      </c>
    </row>
    <row r="892" spans="5:18">
      <c r="E892" s="167" t="str">
        <f>'030523 INVENTARIO'!E892</f>
        <v>MESA</v>
      </c>
      <c r="F892" s="167" t="str">
        <f>'030523 INVENTARIO'!F892</f>
        <v>MESA CRISTAL Y METAL CON 2 ENTREPAÑOS DE CRISTAL  80X86X46</v>
      </c>
      <c r="G892" s="167" t="str">
        <f ca="1">'030523 INVENTARIO'!G892</f>
        <v>P21DG-0891</v>
      </c>
      <c r="H892" s="167" t="str">
        <f>'030523 INVENTARIO'!J892</f>
        <v>P21DG-0891</v>
      </c>
      <c r="I892" s="167" t="str">
        <f>'030523 INVENTARIO'!K892</f>
        <v>P21DG-010</v>
      </c>
      <c r="J892" s="167" t="str">
        <f>'030523 INVENTARIO'!L892</f>
        <v>P2DG-11</v>
      </c>
      <c r="K892" s="167" t="str">
        <f>'030523 INVENTARIO'!M892</f>
        <v>5120100007-3</v>
      </c>
      <c r="L892" s="168">
        <f>'030523 INVENTARIO'!N892</f>
        <v>0</v>
      </c>
      <c r="M892" s="168">
        <f>'030523 INVENTARIO'!O892</f>
        <v>0</v>
      </c>
      <c r="N892" s="168" t="str">
        <f>'030523 INVENTARIO'!P892</f>
        <v>OK</v>
      </c>
      <c r="O892" s="168" t="str">
        <f>'030523 INVENTARIO'!Q892</f>
        <v>S/M</v>
      </c>
      <c r="P892" s="167" t="str">
        <f>'030523 INVENTARIO'!R892</f>
        <v>S/M</v>
      </c>
      <c r="Q892" s="168" t="str">
        <f>'030523 INVENTARIO'!S892</f>
        <v>SIN SERIE</v>
      </c>
      <c r="R892" s="168" t="str">
        <f>'030523 INVENTARIO'!T892</f>
        <v>82DH0531010065000564743</v>
      </c>
    </row>
    <row r="893" spans="5:18">
      <c r="E893" s="167" t="str">
        <f>'030523 INVENTARIO'!E893</f>
        <v>TELEVISOR</v>
      </c>
      <c r="F893" s="167" t="str">
        <f>'030523 INVENTARIO'!F893</f>
        <v>TELEVISOR GRIS CON NEGRO 29"</v>
      </c>
      <c r="G893" s="167" t="str">
        <f ca="1">'030523 INVENTARIO'!G893</f>
        <v>P21DG-0892</v>
      </c>
      <c r="H893" s="167" t="str">
        <f>'030523 INVENTARIO'!J893</f>
        <v>P21DG-0892</v>
      </c>
      <c r="I893" s="167" t="str">
        <f>'030523 INVENTARIO'!K893</f>
        <v>P21DG-011</v>
      </c>
      <c r="J893" s="167" t="str">
        <f>'030523 INVENTARIO'!L893</f>
        <v>P2DG-10</v>
      </c>
      <c r="K893" s="168" t="str">
        <f>'030523 INVENTARIO'!M893</f>
        <v>5190100022-1</v>
      </c>
      <c r="L893" s="168">
        <f>'030523 INVENTARIO'!N893</f>
        <v>0</v>
      </c>
      <c r="M893" s="168">
        <f>'030523 INVENTARIO'!O893</f>
        <v>0</v>
      </c>
      <c r="N893" s="168" t="str">
        <f>'030523 INVENTARIO'!P893</f>
        <v>OK</v>
      </c>
      <c r="O893" s="168" t="str">
        <f>'030523 INVENTARIO'!Q893</f>
        <v>RCA</v>
      </c>
      <c r="P893" s="167" t="str">
        <f>'030523 INVENTARIO'!R893</f>
        <v>27B520T</v>
      </c>
      <c r="Q893" s="168" t="str">
        <f>'030523 INVENTARIO'!S893</f>
        <v>E434C81TL</v>
      </c>
      <c r="R893" s="167" t="str">
        <f>'030523 INVENTARIO'!T893</f>
        <v>82DH0521010005000516948</v>
      </c>
    </row>
    <row r="894" spans="5:18">
      <c r="E894" s="167" t="str">
        <f>'030523 INVENTARIO'!E894</f>
        <v>LIBRERO</v>
      </c>
      <c r="F894" s="167" t="str">
        <f>'030523 INVENTARIO'!F894</f>
        <v>LIBRERO DE CRISTAL CON BASE DE METAL 190X66X46</v>
      </c>
      <c r="G894" s="167" t="str">
        <f ca="1">'030523 INVENTARIO'!G894</f>
        <v>P21DG-0893</v>
      </c>
      <c r="H894" s="167" t="str">
        <f>'030523 INVENTARIO'!J894</f>
        <v>P21DG-0893</v>
      </c>
      <c r="I894" s="167" t="str">
        <f>'030523 INVENTARIO'!K894</f>
        <v>P21DG-012</v>
      </c>
      <c r="J894" s="167" t="str">
        <f>'030523 INVENTARIO'!L894</f>
        <v>P2DG-12</v>
      </c>
      <c r="K894" s="167" t="str">
        <f>'030523 INVENTARIO'!M894</f>
        <v>5130100126-2</v>
      </c>
      <c r="L894" s="168">
        <f>'030523 INVENTARIO'!N894</f>
        <v>0</v>
      </c>
      <c r="M894" s="168">
        <f>'030523 INVENTARIO'!O894</f>
        <v>0</v>
      </c>
      <c r="N894" s="168" t="str">
        <f>'030523 INVENTARIO'!P894</f>
        <v>OK</v>
      </c>
      <c r="O894" s="168" t="str">
        <f>'030523 INVENTARIO'!Q894</f>
        <v>S/M</v>
      </c>
      <c r="P894" s="167" t="str">
        <f>'030523 INVENTARIO'!R894</f>
        <v>S/M</v>
      </c>
      <c r="Q894" s="168" t="str">
        <f>'030523 INVENTARIO'!S894</f>
        <v>SIN SERIE</v>
      </c>
      <c r="R894" s="168" t="str">
        <f>'030523 INVENTARIO'!T894</f>
        <v>82DH0511010008000518497</v>
      </c>
    </row>
    <row r="895" spans="5:18">
      <c r="E895" s="167" t="str">
        <f>'030523 INVENTARIO'!E895</f>
        <v>MESA</v>
      </c>
      <c r="F895" s="167" t="str">
        <f>'030523 INVENTARIO'!F895</f>
        <v>MESA DE CRISTAL CON BASE DE METAL 71X55</v>
      </c>
      <c r="G895" s="167" t="str">
        <f ca="1">'030523 INVENTARIO'!G895</f>
        <v>P21DG-0894</v>
      </c>
      <c r="H895" s="167" t="str">
        <f>'030523 INVENTARIO'!J895</f>
        <v>P21DG-0894</v>
      </c>
      <c r="I895" s="167" t="str">
        <f>'030523 INVENTARIO'!K895</f>
        <v>P21DG-013</v>
      </c>
      <c r="J895" s="167" t="str">
        <f>'030523 INVENTARIO'!L895</f>
        <v>P2DG-7</v>
      </c>
      <c r="K895" s="167" t="str">
        <f>'030523 INVENTARIO'!M895</f>
        <v>5120100007-2</v>
      </c>
      <c r="L895" s="168">
        <f>'030523 INVENTARIO'!N895</f>
        <v>0</v>
      </c>
      <c r="M895" s="168">
        <f>'030523 INVENTARIO'!O895</f>
        <v>0</v>
      </c>
      <c r="N895" s="168" t="str">
        <f>'030523 INVENTARIO'!P895</f>
        <v>OK</v>
      </c>
      <c r="O895" s="168" t="str">
        <f>'030523 INVENTARIO'!Q895</f>
        <v>S/M</v>
      </c>
      <c r="P895" s="167" t="str">
        <f>'030523 INVENTARIO'!R895</f>
        <v>S/M</v>
      </c>
      <c r="Q895" s="168" t="str">
        <f>'030523 INVENTARIO'!S895</f>
        <v>SIN SERIE</v>
      </c>
      <c r="R895" s="168" t="str">
        <f>'030523 INVENTARIO'!T895</f>
        <v>82DH0531010065000564747</v>
      </c>
    </row>
    <row r="896" spans="5:18">
      <c r="E896" s="167" t="str">
        <f>'030523 INVENTARIO'!E896</f>
        <v>CREDENZA</v>
      </c>
      <c r="F896" s="167" t="str">
        <f>'030523 INVENTARIO'!F896</f>
        <v>CREDENZA CRISTAL CON 3 CAJONES DE MADERA Y BASE DE METAL  88X140X50</v>
      </c>
      <c r="G896" s="167" t="str">
        <f ca="1">'030523 INVENTARIO'!G896</f>
        <v>P21DG-0895</v>
      </c>
      <c r="H896" s="167" t="str">
        <f>'030523 INVENTARIO'!J896</f>
        <v>P21DG-0895</v>
      </c>
      <c r="I896" s="167" t="str">
        <f>'030523 INVENTARIO'!K896</f>
        <v>P21DG-014</v>
      </c>
      <c r="J896" s="167" t="str">
        <f>'030523 INVENTARIO'!L896</f>
        <v>P2DG-5</v>
      </c>
      <c r="K896" s="167" t="str">
        <f>'030523 INVENTARIO'!M896</f>
        <v>5110100014-1</v>
      </c>
      <c r="L896" s="168">
        <f>'030523 INVENTARIO'!N896</f>
        <v>0</v>
      </c>
      <c r="M896" s="168">
        <f>'030523 INVENTARIO'!O896</f>
        <v>0</v>
      </c>
      <c r="N896" s="168" t="str">
        <f>'030523 INVENTARIO'!P896</f>
        <v>OK</v>
      </c>
      <c r="O896" s="168" t="str">
        <f>'030523 INVENTARIO'!Q896</f>
        <v>S/M</v>
      </c>
      <c r="P896" s="167" t="str">
        <f>'030523 INVENTARIO'!R896</f>
        <v>S/M</v>
      </c>
      <c r="Q896" s="168" t="str">
        <f>'030523 INVENTARIO'!S896</f>
        <v>SIN SERIE</v>
      </c>
      <c r="R896" s="168" t="str">
        <f>'030523 INVENTARIO'!T896</f>
        <v>82DH0511010005000518491</v>
      </c>
    </row>
    <row r="897" spans="5:18">
      <c r="E897" s="167" t="str">
        <f>'030523 INVENTARIO'!E897</f>
        <v>MESA</v>
      </c>
      <c r="F897" s="167" t="str">
        <f>'030523 INVENTARIO'!F897</f>
        <v>MESA CON RUEDAS 117X39</v>
      </c>
      <c r="G897" s="167" t="str">
        <f ca="1">'030523 INVENTARIO'!G897</f>
        <v>P21DG-0896</v>
      </c>
      <c r="H897" s="167" t="str">
        <f>'030523 INVENTARIO'!J897</f>
        <v>P21DG-0896</v>
      </c>
      <c r="I897" s="167" t="str">
        <f>'030523 INVENTARIO'!K897</f>
        <v>P21DG-015</v>
      </c>
      <c r="J897" s="167" t="str">
        <f>'030523 INVENTARIO'!L897</f>
        <v>P2DG-2</v>
      </c>
      <c r="K897" s="167" t="str">
        <f>'030523 INVENTARIO'!M897</f>
        <v>5110100015-1</v>
      </c>
      <c r="L897" s="168">
        <f>'030523 INVENTARIO'!N897</f>
        <v>0</v>
      </c>
      <c r="M897" s="168">
        <f>'030523 INVENTARIO'!O897</f>
        <v>0</v>
      </c>
      <c r="N897" s="168" t="str">
        <f>'030523 INVENTARIO'!P897</f>
        <v>OK</v>
      </c>
      <c r="O897" s="168" t="str">
        <f>'030523 INVENTARIO'!Q897</f>
        <v>S/M</v>
      </c>
      <c r="P897" s="167" t="str">
        <f>'030523 INVENTARIO'!R897</f>
        <v>S/M</v>
      </c>
      <c r="Q897" s="168" t="str">
        <f>'030523 INVENTARIO'!S897</f>
        <v>SIN SERIE</v>
      </c>
      <c r="R897" s="168" t="str">
        <f>'030523 INVENTARIO'!T897</f>
        <v>82DH0511010006000583460</v>
      </c>
    </row>
    <row r="898" spans="5:18">
      <c r="E898" s="167" t="str">
        <f>'030523 INVENTARIO'!E898</f>
        <v>MESA</v>
      </c>
      <c r="F898" s="167" t="str">
        <f>'030523 INVENTARIO'!F898</f>
        <v>MESA DE CRISTAL CON BASE DE METAL 71X55</v>
      </c>
      <c r="G898" s="167" t="str">
        <f ca="1">'030523 INVENTARIO'!G898</f>
        <v>P21DG-0897</v>
      </c>
      <c r="H898" s="167" t="str">
        <f>'030523 INVENTARIO'!J898</f>
        <v>P21DG-0897</v>
      </c>
      <c r="I898" s="167" t="str">
        <f>'030523 INVENTARIO'!K898</f>
        <v>P21DG-016</v>
      </c>
      <c r="J898" s="167" t="str">
        <f>'030523 INVENTARIO'!L898</f>
        <v>P2DG-1</v>
      </c>
      <c r="K898" s="167" t="str">
        <f>'030523 INVENTARIO'!M898</f>
        <v>5120100007-1</v>
      </c>
      <c r="L898" s="168">
        <f>'030523 INVENTARIO'!N898</f>
        <v>0</v>
      </c>
      <c r="M898" s="168">
        <f>'030523 INVENTARIO'!O898</f>
        <v>0</v>
      </c>
      <c r="N898" s="168" t="str">
        <f>'030523 INVENTARIO'!P898</f>
        <v>OK</v>
      </c>
      <c r="O898" s="168" t="str">
        <f>'030523 INVENTARIO'!Q898</f>
        <v>S/M</v>
      </c>
      <c r="P898" s="167" t="str">
        <f>'030523 INVENTARIO'!R898</f>
        <v>S/M</v>
      </c>
      <c r="Q898" s="168" t="str">
        <f>'030523 INVENTARIO'!S898</f>
        <v>SIN SERIE</v>
      </c>
      <c r="R898" s="168" t="str">
        <f>'030523 INVENTARIO'!T898</f>
        <v>82DH0531010065000564749</v>
      </c>
    </row>
    <row r="899" spans="5:18">
      <c r="E899" s="167" t="str">
        <f>'030523 INVENTARIO'!E899</f>
        <v>PERCHERO</v>
      </c>
      <c r="F899" s="168" t="str">
        <f>'030523 INVENTARIO'!F899</f>
        <v>PERCHERO DE MADERA CON BASE DE METAL</v>
      </c>
      <c r="G899" s="167" t="str">
        <f ca="1">'030523 INVENTARIO'!G899</f>
        <v>P21DG-0898</v>
      </c>
      <c r="H899" s="167" t="str">
        <f>'030523 INVENTARIO'!J899</f>
        <v>P21DG-0898</v>
      </c>
      <c r="I899" s="167" t="str">
        <f>'030523 INVENTARIO'!K899</f>
        <v>P21DG-017</v>
      </c>
      <c r="J899" s="167" t="str">
        <f>'030523 INVENTARIO'!L899</f>
        <v>P2DG-3</v>
      </c>
      <c r="K899" s="167" t="str">
        <f>'030523 INVENTARIO'!M899</f>
        <v>5120100008-1</v>
      </c>
      <c r="L899" s="168">
        <f>'030523 INVENTARIO'!N899</f>
        <v>0</v>
      </c>
      <c r="M899" s="168">
        <f>'030523 INVENTARIO'!O899</f>
        <v>0</v>
      </c>
      <c r="N899" s="168" t="str">
        <f>'030523 INVENTARIO'!P899</f>
        <v>OK</v>
      </c>
      <c r="O899" s="168" t="str">
        <f>'030523 INVENTARIO'!Q899</f>
        <v>S/M</v>
      </c>
      <c r="P899" s="167" t="str">
        <f>'030523 INVENTARIO'!R899</f>
        <v>S/M</v>
      </c>
      <c r="Q899" s="168" t="str">
        <f>'030523 INVENTARIO'!S899</f>
        <v>SIN SERIE</v>
      </c>
      <c r="R899" s="168" t="str">
        <f>'030523 INVENTARIO'!T899</f>
        <v>82DH0512010018000651391</v>
      </c>
    </row>
    <row r="900" spans="5:18">
      <c r="E900" s="167" t="str">
        <f>'030523 INVENTARIO'!E900</f>
        <v>NICHO</v>
      </c>
      <c r="F900" s="168" t="str">
        <f>'030523 INVENTARIO'!F900</f>
        <v>NICHO PARA BANDERA MADERA CON CRISTAL</v>
      </c>
      <c r="G900" s="167" t="str">
        <f ca="1">'030523 INVENTARIO'!G900</f>
        <v>P21DG-0899</v>
      </c>
      <c r="H900" s="167" t="str">
        <f>'030523 INVENTARIO'!J900</f>
        <v>P21DG-0899</v>
      </c>
      <c r="I900" s="167" t="str">
        <f>'030523 INVENTARIO'!K900</f>
        <v>P21DG-018</v>
      </c>
      <c r="J900" s="167" t="str">
        <f>'030523 INVENTARIO'!L900</f>
        <v>P2DG-4</v>
      </c>
      <c r="K900" s="167" t="str">
        <f>'030523 INVENTARIO'!M900</f>
        <v>5130100156-1</v>
      </c>
      <c r="L900" s="168">
        <f>'030523 INVENTARIO'!N900</f>
        <v>0</v>
      </c>
      <c r="M900" s="168">
        <f>'030523 INVENTARIO'!O900</f>
        <v>0</v>
      </c>
      <c r="N900" s="168" t="str">
        <f>'030523 INVENTARIO'!P900</f>
        <v>OK</v>
      </c>
      <c r="O900" s="168" t="str">
        <f>'030523 INVENTARIO'!Q900</f>
        <v>S/M</v>
      </c>
      <c r="P900" s="167" t="str">
        <f>'030523 INVENTARIO'!R900</f>
        <v>S/M</v>
      </c>
      <c r="Q900" s="168" t="str">
        <f>'030523 INVENTARIO'!S900</f>
        <v>SIN SERIE</v>
      </c>
      <c r="R900" s="168" t="str">
        <f>'030523 INVENTARIO'!T900</f>
        <v>SIN RESGUARDO</v>
      </c>
    </row>
    <row r="901" spans="5:18">
      <c r="E901" s="167" t="str">
        <f>'030523 INVENTARIO'!E901</f>
        <v>CAJONERA</v>
      </c>
      <c r="F901" s="167" t="str">
        <f>'030523 INVENTARIO'!F901</f>
        <v>CAJONERA 2 CAJONES 54X52X52</v>
      </c>
      <c r="G901" s="167" t="str">
        <f ca="1">'030523 INVENTARIO'!G901</f>
        <v>P21DG-0900</v>
      </c>
      <c r="H901" s="167" t="str">
        <f>'030523 INVENTARIO'!J901</f>
        <v>P21DG-0900</v>
      </c>
      <c r="I901" s="167">
        <f>'030523 INVENTARIO'!K901</f>
        <v>0</v>
      </c>
      <c r="J901" s="167">
        <f>'030523 INVENTARIO'!L901</f>
        <v>0</v>
      </c>
      <c r="K901" s="167" t="str">
        <f>'030523 INVENTARIO'!M901</f>
        <v>ALTA</v>
      </c>
      <c r="L901" s="168">
        <f>'030523 INVENTARIO'!N901</f>
        <v>0</v>
      </c>
      <c r="M901" s="168">
        <f>'030523 INVENTARIO'!O901</f>
        <v>0</v>
      </c>
      <c r="N901" s="168" t="str">
        <f>'030523 INVENTARIO'!P901</f>
        <v>REPETIDO</v>
      </c>
      <c r="O901" s="168" t="str">
        <f>'030523 INVENTARIO'!Q901</f>
        <v>S/M</v>
      </c>
      <c r="P901" s="167" t="str">
        <f>'030523 INVENTARIO'!R901</f>
        <v>S/M</v>
      </c>
      <c r="Q901" s="167" t="str">
        <f>'030523 INVENTARIO'!S901</f>
        <v>SIN SERIE</v>
      </c>
      <c r="R901" s="167" t="str">
        <f>'030523 INVENTARIO'!T901</f>
        <v>SIN RESGUARDO</v>
      </c>
    </row>
    <row r="902" spans="5:18">
      <c r="E902" s="167" t="str">
        <f>'030523 INVENTARIO'!E902</f>
        <v>MESA</v>
      </c>
      <c r="F902" s="167" t="str">
        <f>'030523 INVENTARIO'!F902</f>
        <v>MESA DE CRISTAL CON BASE DE MADERA Y METAL 160X50</v>
      </c>
      <c r="G902" s="167" t="str">
        <f ca="1">'030523 INVENTARIO'!G902</f>
        <v>P21DG-0901</v>
      </c>
      <c r="H902" s="167" t="str">
        <f>'030523 INVENTARIO'!J902</f>
        <v>P21DG-0901</v>
      </c>
      <c r="I902" s="167">
        <f>'030523 INVENTARIO'!K902</f>
        <v>0</v>
      </c>
      <c r="J902" s="167">
        <f>'030523 INVENTARIO'!L902</f>
        <v>0</v>
      </c>
      <c r="K902" s="167" t="str">
        <f>'030523 INVENTARIO'!M902</f>
        <v>ALTA</v>
      </c>
      <c r="L902" s="168">
        <f>'030523 INVENTARIO'!N902</f>
        <v>0</v>
      </c>
      <c r="M902" s="168">
        <f>'030523 INVENTARIO'!O902</f>
        <v>0</v>
      </c>
      <c r="N902" s="168" t="str">
        <f>'030523 INVENTARIO'!P902</f>
        <v>REPETIDO</v>
      </c>
      <c r="O902" s="168" t="str">
        <f>'030523 INVENTARIO'!Q902</f>
        <v>S/M</v>
      </c>
      <c r="P902" s="167" t="str">
        <f>'030523 INVENTARIO'!R902</f>
        <v>S/M</v>
      </c>
      <c r="Q902" s="167" t="str">
        <f>'030523 INVENTARIO'!S902</f>
        <v>SIN SERIE</v>
      </c>
      <c r="R902" s="167" t="str">
        <f>'030523 INVENTARIO'!T902</f>
        <v>SIN RESGUARDO</v>
      </c>
    </row>
    <row r="903" spans="5:18">
      <c r="E903" s="167" t="str">
        <f>'030523 INVENTARIO'!E903</f>
        <v>ESCRITORIO</v>
      </c>
      <c r="F903" s="167" t="str">
        <f>'030523 INVENTARIO'!F903</f>
        <v>ESCRITORIO CRISTAL CON BASE DE METAL Y MADERA  TIPO ISLA DE 3 PIEZAS</v>
      </c>
      <c r="G903" s="167" t="str">
        <f ca="1">'030523 INVENTARIO'!G903</f>
        <v>P21DG-0902</v>
      </c>
      <c r="H903" s="167" t="str">
        <f>'030523 INVENTARIO'!J903</f>
        <v>P21DG-0902</v>
      </c>
      <c r="I903" s="167" t="str">
        <f>'030523 INVENTARIO'!K903</f>
        <v>P21DG-019</v>
      </c>
      <c r="J903" s="167" t="str">
        <f>'030523 INVENTARIO'!L903</f>
        <v>P2DG-6</v>
      </c>
      <c r="K903" s="167" t="str">
        <f>'030523 INVENTARIO'!M903</f>
        <v>5110100015-3</v>
      </c>
      <c r="L903" s="168">
        <f>'030523 INVENTARIO'!N903</f>
        <v>0</v>
      </c>
      <c r="M903" s="168">
        <f>'030523 INVENTARIO'!O903</f>
        <v>0</v>
      </c>
      <c r="N903" s="168" t="str">
        <f>'030523 INVENTARIO'!P903</f>
        <v>OK</v>
      </c>
      <c r="O903" s="168" t="str">
        <f>'030523 INVENTARIO'!Q903</f>
        <v>S/M</v>
      </c>
      <c r="P903" s="167" t="str">
        <f>'030523 INVENTARIO'!R903</f>
        <v>S/M</v>
      </c>
      <c r="Q903" s="168" t="str">
        <f>'030523 INVENTARIO'!S903</f>
        <v>SIN SERIE</v>
      </c>
      <c r="R903" s="168" t="str">
        <f>'030523 INVENTARIO'!T903</f>
        <v>82DH0511010006000518492</v>
      </c>
    </row>
    <row r="904" spans="5:18">
      <c r="E904" s="167" t="str">
        <f>'030523 INVENTARIO'!E904</f>
        <v>SILLON</v>
      </c>
      <c r="F904" s="167" t="str">
        <f>'030523 INVENTARIO'!F904</f>
        <v>SILLÓN NEGRO DE PIEL FIJO</v>
      </c>
      <c r="G904" s="167" t="str">
        <f ca="1">'030523 INVENTARIO'!G904</f>
        <v>P21DG-0903</v>
      </c>
      <c r="H904" s="167" t="str">
        <f>'030523 INVENTARIO'!J904</f>
        <v>P21DG-0903</v>
      </c>
      <c r="I904" s="167" t="str">
        <f>'030523 INVENTARIO'!K904</f>
        <v>P21DG-020</v>
      </c>
      <c r="J904" s="167" t="str">
        <f>'030523 INVENTARIO'!L904</f>
        <v>P2DG-15</v>
      </c>
      <c r="K904" s="168" t="str">
        <f>'030523 INVENTARIO'!M904</f>
        <v>5120100009-1</v>
      </c>
      <c r="L904" s="168">
        <f>'030523 INVENTARIO'!N904</f>
        <v>0</v>
      </c>
      <c r="M904" s="168">
        <f>'030523 INVENTARIO'!O904</f>
        <v>0</v>
      </c>
      <c r="N904" s="168" t="str">
        <f>'030523 INVENTARIO'!P904</f>
        <v>OK</v>
      </c>
      <c r="O904" s="168" t="str">
        <f>'030523 INVENTARIO'!Q904</f>
        <v>S/M</v>
      </c>
      <c r="P904" s="167" t="str">
        <f>'030523 INVENTARIO'!R904</f>
        <v>S/M</v>
      </c>
      <c r="Q904" s="168" t="str">
        <f>'030523 INVENTARIO'!S904</f>
        <v>SIN SERIE</v>
      </c>
      <c r="R904" s="168" t="str">
        <f>'030523 INVENTARIO'!T904</f>
        <v>82DH0511010016000564565</v>
      </c>
    </row>
    <row r="905" spans="5:18">
      <c r="E905" s="167" t="str">
        <f>'030523 INVENTARIO'!E905</f>
        <v>SILLON</v>
      </c>
      <c r="F905" s="167" t="str">
        <f>'030523 INVENTARIO'!F905</f>
        <v>SILLÓN NEGRO DE PIEL FIJO</v>
      </c>
      <c r="G905" s="167" t="str">
        <f ca="1">'030523 INVENTARIO'!G905</f>
        <v>P21DG-0904</v>
      </c>
      <c r="H905" s="167" t="str">
        <f>'030523 INVENTARIO'!J905</f>
        <v>P21DG-0904</v>
      </c>
      <c r="I905" s="167" t="str">
        <f>'030523 INVENTARIO'!K905</f>
        <v>P21DG-021</v>
      </c>
      <c r="J905" s="167" t="str">
        <f>'030523 INVENTARIO'!L905</f>
        <v>P2DG-16</v>
      </c>
      <c r="K905" s="168" t="str">
        <f>'030523 INVENTARIO'!M905</f>
        <v>5120100009-2</v>
      </c>
      <c r="L905" s="168">
        <f>'030523 INVENTARIO'!N905</f>
        <v>0</v>
      </c>
      <c r="M905" s="168">
        <f>'030523 INVENTARIO'!O905</f>
        <v>0</v>
      </c>
      <c r="N905" s="168" t="str">
        <f>'030523 INVENTARIO'!P905</f>
        <v>OK</v>
      </c>
      <c r="O905" s="168" t="str">
        <f>'030523 INVENTARIO'!Q905</f>
        <v>S/M</v>
      </c>
      <c r="P905" s="167" t="str">
        <f>'030523 INVENTARIO'!R905</f>
        <v>S/M</v>
      </c>
      <c r="Q905" s="168" t="str">
        <f>'030523 INVENTARIO'!S905</f>
        <v>SIN SERIE</v>
      </c>
      <c r="R905" s="168" t="str">
        <f>'030523 INVENTARIO'!T905</f>
        <v>82DH0511010016000516018</v>
      </c>
    </row>
    <row r="906" spans="5:18">
      <c r="E906" s="167" t="str">
        <f>'030523 INVENTARIO'!E906</f>
        <v>SILLON</v>
      </c>
      <c r="F906" s="167" t="str">
        <f>'030523 INVENTARIO'!F906</f>
        <v>SILLÓN NEGRO DE PIEL FIJO</v>
      </c>
      <c r="G906" s="167" t="str">
        <f ca="1">'030523 INVENTARIO'!G906</f>
        <v>P21DG-0905</v>
      </c>
      <c r="H906" s="167" t="str">
        <f>'030523 INVENTARIO'!J906</f>
        <v>P21DG-0905</v>
      </c>
      <c r="I906" s="167" t="str">
        <f>'030523 INVENTARIO'!K906</f>
        <v>P21DG-022</v>
      </c>
      <c r="J906" s="167" t="str">
        <f>'030523 INVENTARIO'!L906</f>
        <v>P2DG-17</v>
      </c>
      <c r="K906" s="167" t="str">
        <f>'030523 INVENTARIO'!M906</f>
        <v>5120100009-3</v>
      </c>
      <c r="L906" s="168">
        <f>'030523 INVENTARIO'!N906</f>
        <v>0</v>
      </c>
      <c r="M906" s="168">
        <f>'030523 INVENTARIO'!O906</f>
        <v>0</v>
      </c>
      <c r="N906" s="168" t="str">
        <f>'030523 INVENTARIO'!P906</f>
        <v>OK</v>
      </c>
      <c r="O906" s="168" t="str">
        <f>'030523 INVENTARIO'!Q906</f>
        <v>S/M</v>
      </c>
      <c r="P906" s="167" t="str">
        <f>'030523 INVENTARIO'!R906</f>
        <v>S/M</v>
      </c>
      <c r="Q906" s="168" t="str">
        <f>'030523 INVENTARIO'!S906</f>
        <v>SIN SERIE</v>
      </c>
      <c r="R906" s="168" t="str">
        <f>'030523 INVENTARIO'!T906</f>
        <v>82DH0511010016000516009</v>
      </c>
    </row>
    <row r="907" spans="5:18">
      <c r="E907" s="167" t="str">
        <f>'030523 INVENTARIO'!E907</f>
        <v>SILLA</v>
      </c>
      <c r="F907" s="167" t="str">
        <f>'030523 INVENTARIO'!F907</f>
        <v>SILLA NEGRA CON RUEDAS</v>
      </c>
      <c r="G907" s="167" t="str">
        <f ca="1">'030523 INVENTARIO'!G907</f>
        <v>P21DG-0906</v>
      </c>
      <c r="H907" s="167" t="str">
        <f>'030523 INVENTARIO'!J907</f>
        <v>P21DG-0906</v>
      </c>
      <c r="I907" s="167" t="str">
        <f>'030523 INVENTARIO'!K907</f>
        <v>P21DG-023</v>
      </c>
      <c r="J907" s="168" t="str">
        <f>'030523 INVENTARIO'!L907</f>
        <v>P2DG-88</v>
      </c>
      <c r="K907" s="167" t="str">
        <f>'030523 INVENTARIO'!M907</f>
        <v>5110100011-5</v>
      </c>
      <c r="L907" s="168">
        <f>'030523 INVENTARIO'!N907</f>
        <v>0</v>
      </c>
      <c r="M907" s="168">
        <f>'030523 INVENTARIO'!O907</f>
        <v>0</v>
      </c>
      <c r="N907" s="168" t="str">
        <f>'030523 INVENTARIO'!P907</f>
        <v>OK</v>
      </c>
      <c r="O907" s="168" t="str">
        <f>'030523 INVENTARIO'!Q907</f>
        <v>S/M</v>
      </c>
      <c r="P907" s="167" t="str">
        <f>'030523 INVENTARIO'!R907</f>
        <v>S/M</v>
      </c>
      <c r="Q907" s="168" t="str">
        <f>'030523 INVENTARIO'!S907</f>
        <v>SIN SERIE</v>
      </c>
      <c r="R907" s="168" t="str">
        <f>'030523 INVENTARIO'!T907</f>
        <v>82DH0511010017000651103</v>
      </c>
    </row>
    <row r="908" spans="5:18">
      <c r="E908" s="167" t="str">
        <f>'030523 INVENTARIO'!E908</f>
        <v>COMPLEMENTARIO DE EQUIPO DE MADERA</v>
      </c>
      <c r="F908" s="168" t="str">
        <f>'030523 INVENTARIO'!F908</f>
        <v>COMPLEMENTO DE EQUIPO DE MADERA</v>
      </c>
      <c r="G908" s="167" t="str">
        <f ca="1">'030523 INVENTARIO'!G908</f>
        <v>P21DG-0907</v>
      </c>
      <c r="H908" s="167" t="str">
        <f>'030523 INVENTARIO'!J908</f>
        <v>P21DG-0907</v>
      </c>
      <c r="I908" s="167" t="str">
        <f>'030523 INVENTARIO'!K908</f>
        <v>P21DG-024</v>
      </c>
      <c r="J908" s="167" t="str">
        <f>'030523 INVENTARIO'!L908</f>
        <v>P2DG-18</v>
      </c>
      <c r="K908" s="167" t="str">
        <f>'030523 INVENTARIO'!M908</f>
        <v>5120100004-1</v>
      </c>
      <c r="L908" s="168">
        <f>'030523 INVENTARIO'!N908</f>
        <v>0</v>
      </c>
      <c r="M908" s="168">
        <f>'030523 INVENTARIO'!O908</f>
        <v>0</v>
      </c>
      <c r="N908" s="168" t="str">
        <f>'030523 INVENTARIO'!P908</f>
        <v>OK</v>
      </c>
      <c r="O908" s="168" t="str">
        <f>'030523 INVENTARIO'!Q908</f>
        <v>S/M</v>
      </c>
      <c r="P908" s="167" t="str">
        <f>'030523 INVENTARIO'!R908</f>
        <v>S/M</v>
      </c>
      <c r="Q908" s="168" t="str">
        <f>'030523 INVENTARIO'!S908</f>
        <v>SIN SERIE</v>
      </c>
      <c r="R908" s="168" t="str">
        <f>'030523 INVENTARIO'!T908</f>
        <v>82DH0511010027000566232</v>
      </c>
    </row>
    <row r="909" spans="5:18">
      <c r="E909" s="167" t="str">
        <f>'030523 INVENTARIO'!E909</f>
        <v>MESA</v>
      </c>
      <c r="F909" s="167" t="str">
        <f>'030523 INVENTARIO'!F909</f>
        <v>MESA CON RUEDAS 40X60</v>
      </c>
      <c r="G909" s="167" t="str">
        <f ca="1">'030523 INVENTARIO'!G909</f>
        <v>P21DG-0908</v>
      </c>
      <c r="H909" s="167" t="str">
        <f>'030523 INVENTARIO'!J909</f>
        <v>P21DG-0908</v>
      </c>
      <c r="I909" s="167" t="str">
        <f>'030523 INVENTARIO'!K909</f>
        <v>P21DG-025</v>
      </c>
      <c r="J909" s="167">
        <f>'030523 INVENTARIO'!L909</f>
        <v>0</v>
      </c>
      <c r="K909" s="167" t="str">
        <f>'030523 INVENTARIO'!M909</f>
        <v>5120100007-6</v>
      </c>
      <c r="L909" s="168">
        <f>'030523 INVENTARIO'!N909</f>
        <v>0</v>
      </c>
      <c r="M909" s="168">
        <f>'030523 INVENTARIO'!O909</f>
        <v>0</v>
      </c>
      <c r="N909" s="168" t="str">
        <f>'030523 INVENTARIO'!P909</f>
        <v>OK</v>
      </c>
      <c r="O909" s="168" t="str">
        <f>'030523 INVENTARIO'!Q909</f>
        <v>S/M</v>
      </c>
      <c r="P909" s="167" t="str">
        <f>'030523 INVENTARIO'!R909</f>
        <v>S/M</v>
      </c>
      <c r="Q909" s="167" t="str">
        <f>'030523 INVENTARIO'!S909</f>
        <v>SIN SERIE</v>
      </c>
      <c r="R909" s="167" t="str">
        <f>'030523 INVENTARIO'!T909</f>
        <v>82DH0531010065000564847</v>
      </c>
    </row>
    <row r="910" spans="5:18">
      <c r="E910" s="167" t="str">
        <f>'030523 INVENTARIO'!E910</f>
        <v>IMPRESORA</v>
      </c>
      <c r="F910" s="168" t="str">
        <f>'030523 INVENTARIO'!F910</f>
        <v>IMPRESORA BLANCA CON NEGRO</v>
      </c>
      <c r="G910" s="167" t="str">
        <f ca="1">'030523 INVENTARIO'!G910</f>
        <v>P21DG-0909</v>
      </c>
      <c r="H910" s="167" t="str">
        <f>'030523 INVENTARIO'!J910</f>
        <v>P21DG-0909</v>
      </c>
      <c r="I910" s="167" t="str">
        <f>'030523 INVENTARIO'!K910</f>
        <v>P21DG-026</v>
      </c>
      <c r="J910" s="167" t="str">
        <f>'030523 INVENTARIO'!L910</f>
        <v>P2DG-13</v>
      </c>
      <c r="K910" s="167" t="str">
        <f>'030523 INVENTARIO'!M910</f>
        <v>5150100007-1</v>
      </c>
      <c r="L910" s="168">
        <f>'030523 INVENTARIO'!N910</f>
        <v>0</v>
      </c>
      <c r="M910" s="168">
        <f>'030523 INVENTARIO'!O910</f>
        <v>0</v>
      </c>
      <c r="N910" s="168" t="str">
        <f>'030523 INVENTARIO'!P910</f>
        <v>OK</v>
      </c>
      <c r="O910" s="168" t="str">
        <f>'030523 INVENTARIO'!Q910</f>
        <v>HP</v>
      </c>
      <c r="P910" s="167" t="str">
        <f>'030523 INVENTARIO'!R910</f>
        <v>LASERJET PRO 400 COLOR M451DW</v>
      </c>
      <c r="Q910" s="168" t="str">
        <f>'030523 INVENTARIO'!S910</f>
        <v>CNDF501806</v>
      </c>
      <c r="R910" s="167" t="str">
        <f>'030523 INVENTARIO'!T910</f>
        <v>82DH0515010010000519362</v>
      </c>
    </row>
    <row r="911" spans="5:18">
      <c r="E911" s="167" t="str">
        <f>'030523 INVENTARIO'!E911</f>
        <v>NO BREAK</v>
      </c>
      <c r="F911" s="168" t="str">
        <f>'030523 INVENTARIO'!F911</f>
        <v>NO BREAK</v>
      </c>
      <c r="G911" s="167" t="str">
        <f ca="1">'030523 INVENTARIO'!G911</f>
        <v>P21DG-0910</v>
      </c>
      <c r="H911" s="167" t="str">
        <f>'030523 INVENTARIO'!J911</f>
        <v>P21DG-0910</v>
      </c>
      <c r="I911" s="167" t="str">
        <f>'030523 INVENTARIO'!K911</f>
        <v>P21DG-027</v>
      </c>
      <c r="J911" s="167" t="str">
        <f>'030523 INVENTARIO'!L911</f>
        <v>P2DG-25</v>
      </c>
      <c r="K911" s="167" t="str">
        <f>'030523 INVENTARIO'!M911</f>
        <v>5150100008-1</v>
      </c>
      <c r="L911" s="168">
        <f>'030523 INVENTARIO'!N911</f>
        <v>0</v>
      </c>
      <c r="M911" s="168">
        <f>'030523 INVENTARIO'!O911</f>
        <v>0</v>
      </c>
      <c r="N911" s="168" t="str">
        <f>'030523 INVENTARIO'!P911</f>
        <v>OK</v>
      </c>
      <c r="O911" s="168" t="str">
        <f>'030523 INVENTARIO'!Q911</f>
        <v>FORZA</v>
      </c>
      <c r="P911" s="167" t="str">
        <f>'030523 INVENTARIO'!R911</f>
        <v>NT751</v>
      </c>
      <c r="Q911" s="168" t="str">
        <f>'030523 INVENTARIO'!S911</f>
        <v>181222508480</v>
      </c>
      <c r="R911" s="168" t="str">
        <f>'030523 INVENTARIO'!T911</f>
        <v>82DH0515010016000649416</v>
      </c>
    </row>
    <row r="912" spans="5:18">
      <c r="E912" s="167" t="str">
        <f>'030523 INVENTARIO'!E912</f>
        <v>TELEFONO</v>
      </c>
      <c r="F912" s="168" t="str">
        <f>'030523 INVENTARIO'!F912</f>
        <v>TELEFONO GRIS CON NEGRO</v>
      </c>
      <c r="G912" s="167" t="str">
        <f ca="1">'030523 INVENTARIO'!G912</f>
        <v>P21DG-0911</v>
      </c>
      <c r="H912" s="167" t="str">
        <f>'030523 INVENTARIO'!J912</f>
        <v>P21DG-0911</v>
      </c>
      <c r="I912" s="167" t="str">
        <f>'030523 INVENTARIO'!K912</f>
        <v>P21DG-028</v>
      </c>
      <c r="J912" s="167" t="str">
        <f>'030523 INVENTARIO'!L912</f>
        <v>P2DG-20</v>
      </c>
      <c r="K912" s="167" t="str">
        <f>'030523 INVENTARIO'!M912</f>
        <v>5650100010-3</v>
      </c>
      <c r="L912" s="168">
        <f>'030523 INVENTARIO'!N912</f>
        <v>0</v>
      </c>
      <c r="M912" s="168">
        <f>'030523 INVENTARIO'!O912</f>
        <v>0</v>
      </c>
      <c r="N912" s="168" t="str">
        <f>'030523 INVENTARIO'!P912</f>
        <v>OK</v>
      </c>
      <c r="O912" s="168" t="str">
        <f>'030523 INVENTARIO'!Q912</f>
        <v>LINKSYS</v>
      </c>
      <c r="P912" s="167" t="str">
        <f>'030523 INVENTARIO'!R912</f>
        <v>SPA942</v>
      </c>
      <c r="Q912" s="168" t="str">
        <f>'030523 INVENTARIO'!S912</f>
        <v>4LO00H118287</v>
      </c>
      <c r="R912" s="168" t="str">
        <f>'030523 INVENTARIO'!T912</f>
        <v>82DH0565010001000527285</v>
      </c>
    </row>
    <row r="913" spans="5:18">
      <c r="E913" s="167" t="str">
        <f>'030523 INVENTARIO'!E913</f>
        <v>COMPUTADORA DE ESCRITORIO</v>
      </c>
      <c r="F913" s="167" t="str">
        <f>'030523 INVENTARIO'!F913</f>
        <v>COMPUTADORA TODO EN UNO BLANCO</v>
      </c>
      <c r="G913" s="167" t="str">
        <f ca="1">'030523 INVENTARIO'!G913</f>
        <v>P12LP-0912</v>
      </c>
      <c r="H913" s="167" t="str">
        <f>'030523 INVENTARIO'!J913</f>
        <v>P21DG-0912</v>
      </c>
      <c r="I913" s="167" t="str">
        <f>'030523 INVENTARIO'!K913</f>
        <v>P21DG-029</v>
      </c>
      <c r="J913" s="167" t="str">
        <f>'030523 INVENTARIO'!L913</f>
        <v>P2DG-21</v>
      </c>
      <c r="K913" s="167" t="str">
        <f>'030523 INVENTARIO'!M913</f>
        <v>5150100005-1</v>
      </c>
      <c r="L913" s="168">
        <f>'030523 INVENTARIO'!N913</f>
        <v>0</v>
      </c>
      <c r="M913" s="168">
        <f>'030523 INVENTARIO'!O913</f>
        <v>0</v>
      </c>
      <c r="N913" s="168" t="str">
        <f>'030523 INVENTARIO'!P913</f>
        <v>OK</v>
      </c>
      <c r="O913" s="168" t="str">
        <f>'030523 INVENTARIO'!Q913</f>
        <v>LENOVO</v>
      </c>
      <c r="P913" s="167" t="str">
        <f>'030523 INVENTARIO'!R913</f>
        <v>CS03112206 (C240)</v>
      </c>
      <c r="Q913" s="168" t="str">
        <f>'030523 INVENTARIO'!S913</f>
        <v>CS01267915</v>
      </c>
      <c r="R913" s="167" t="str">
        <f>'030523 INVENTARIO'!T913</f>
        <v>82DH0515010003000649646</v>
      </c>
    </row>
    <row r="914" spans="5:18">
      <c r="E914" s="167" t="str">
        <f>'030523 INVENTARIO'!E914</f>
        <v>MESA</v>
      </c>
      <c r="F914" s="167" t="str">
        <f>'030523 INVENTARIO'!F914</f>
        <v>MESA BASE DE METAL CON MADERA (BEIGE) 60X40</v>
      </c>
      <c r="G914" s="167" t="str">
        <f ca="1">'030523 INVENTARIO'!G914</f>
        <v>P21DG-0913</v>
      </c>
      <c r="H914" s="167" t="str">
        <f>'030523 INVENTARIO'!J914</f>
        <v>P21DG-0913</v>
      </c>
      <c r="I914" s="167" t="str">
        <f>'030523 INVENTARIO'!K914</f>
        <v>P21DG-030</v>
      </c>
      <c r="J914" s="167" t="str">
        <f>'030523 INVENTARIO'!L914</f>
        <v>P2DG-37</v>
      </c>
      <c r="K914" s="167" t="str">
        <f>'030523 INVENTARIO'!M914</f>
        <v>5120100007-8</v>
      </c>
      <c r="L914" s="168">
        <f>'030523 INVENTARIO'!N914</f>
        <v>0</v>
      </c>
      <c r="M914" s="168">
        <f>'030523 INVENTARIO'!O914</f>
        <v>0</v>
      </c>
      <c r="N914" s="168" t="str">
        <f>'030523 INVENTARIO'!P914</f>
        <v>OK</v>
      </c>
      <c r="O914" s="168" t="str">
        <f>'030523 INVENTARIO'!Q914</f>
        <v>S/M</v>
      </c>
      <c r="P914" s="167" t="str">
        <f>'030523 INVENTARIO'!R914</f>
        <v>S/M</v>
      </c>
      <c r="Q914" s="168" t="str">
        <f>'030523 INVENTARIO'!S914</f>
        <v>SIN SERIE</v>
      </c>
      <c r="R914" s="168" t="str">
        <f>'030523 INVENTARIO'!T914</f>
        <v>82DH0531010065000564773</v>
      </c>
    </row>
    <row r="915" spans="5:18">
      <c r="E915" s="167" t="str">
        <f>'030523 INVENTARIO'!E915</f>
        <v>SILLA</v>
      </c>
      <c r="F915" s="167" t="str">
        <f>'030523 INVENTARIO'!F915</f>
        <v>SILLA NEGRA CON RUEDAS SECRETARIAL</v>
      </c>
      <c r="G915" s="167" t="str">
        <f ca="1">'030523 INVENTARIO'!G915</f>
        <v>P25RM-0914</v>
      </c>
      <c r="H915" s="167" t="str">
        <f>'030523 INVENTARIO'!J915</f>
        <v>P21DG-0914</v>
      </c>
      <c r="I915" s="167" t="str">
        <f>'030523 INVENTARIO'!K915</f>
        <v>P21DG-031</v>
      </c>
      <c r="J915" s="167" t="str">
        <f>'030523 INVENTARIO'!L915</f>
        <v>P2DG-86</v>
      </c>
      <c r="K915" s="167" t="str">
        <f>'030523 INVENTARIO'!M915</f>
        <v>5110100011-107</v>
      </c>
      <c r="L915" s="168">
        <f>'030523 INVENTARIO'!N915</f>
        <v>0</v>
      </c>
      <c r="M915" s="168">
        <f>'030523 INVENTARIO'!O915</f>
        <v>0</v>
      </c>
      <c r="N915" s="168" t="str">
        <f>'030523 INVENTARIO'!P915</f>
        <v>OK</v>
      </c>
      <c r="O915" s="168" t="str">
        <f>'030523 INVENTARIO'!Q915</f>
        <v>S/M</v>
      </c>
      <c r="P915" s="167" t="str">
        <f>'030523 INVENTARIO'!R915</f>
        <v>S/M</v>
      </c>
      <c r="Q915" s="168" t="str">
        <f>'030523 INVENTARIO'!S915</f>
        <v>SIN SERIE</v>
      </c>
      <c r="R915" s="168" t="str">
        <f>'030523 INVENTARIO'!T915</f>
        <v>82DH0511010017000651101</v>
      </c>
    </row>
    <row r="916" spans="5:18">
      <c r="E916" s="167" t="str">
        <f>'030523 INVENTARIO'!E916</f>
        <v>SILLA</v>
      </c>
      <c r="F916" s="167" t="str">
        <f>'030523 INVENTARIO'!F916</f>
        <v>SILLA NEGRA CON RUEDAS SECRETARIAL</v>
      </c>
      <c r="G916" s="167" t="str">
        <f ca="1">'030523 INVENTARIO'!G916</f>
        <v>P05DA-0915</v>
      </c>
      <c r="H916" s="167" t="str">
        <f>'030523 INVENTARIO'!J916</f>
        <v>P21DG-0915</v>
      </c>
      <c r="I916" s="167" t="str">
        <f>'030523 INVENTARIO'!K916</f>
        <v>P21DG-032</v>
      </c>
      <c r="J916" s="167" t="str">
        <f>'030523 INVENTARIO'!L916</f>
        <v>P2DG-70</v>
      </c>
      <c r="K916" s="168" t="str">
        <f>'030523 INVENTARIO'!M916</f>
        <v>5110100011-3</v>
      </c>
      <c r="L916" s="168">
        <f>'030523 INVENTARIO'!N916</f>
        <v>0</v>
      </c>
      <c r="M916" s="168">
        <f>'030523 INVENTARIO'!O916</f>
        <v>0</v>
      </c>
      <c r="N916" s="168" t="str">
        <f>'030523 INVENTARIO'!P916</f>
        <v>OK</v>
      </c>
      <c r="O916" s="168" t="str">
        <f>'030523 INVENTARIO'!Q916</f>
        <v>S/M</v>
      </c>
      <c r="P916" s="167" t="str">
        <f>'030523 INVENTARIO'!R916</f>
        <v>S/M</v>
      </c>
      <c r="Q916" s="168" t="str">
        <f>'030523 INVENTARIO'!S916</f>
        <v>SIN SERIE</v>
      </c>
      <c r="R916" s="168" t="str">
        <f>'030523 INVENTARIO'!T916</f>
        <v>82DH0511010017000516235</v>
      </c>
    </row>
    <row r="917" spans="5:18">
      <c r="E917" s="167" t="str">
        <f>'030523 INVENTARIO'!E917</f>
        <v>MESA</v>
      </c>
      <c r="F917" s="167" t="str">
        <f>'030523 INVENTARIO'!F917</f>
        <v>MESA DE MADERA Y BASE DE METAL 120X60</v>
      </c>
      <c r="G917" s="167" t="str">
        <f ca="1">'030523 INVENTARIO'!G917</f>
        <v>P21DG-0916</v>
      </c>
      <c r="H917" s="167" t="str">
        <f>'030523 INVENTARIO'!J917</f>
        <v>P21DG-0916</v>
      </c>
      <c r="I917" s="167" t="str">
        <f>'030523 INVENTARIO'!K917</f>
        <v>P21DG-033</v>
      </c>
      <c r="J917" s="167" t="str">
        <f>'030523 INVENTARIO'!L917</f>
        <v>P2DG-59</v>
      </c>
      <c r="K917" s="167" t="str">
        <f>'030523 INVENTARIO'!M917</f>
        <v>5120100007-12</v>
      </c>
      <c r="L917" s="168">
        <f>'030523 INVENTARIO'!N917</f>
        <v>0</v>
      </c>
      <c r="M917" s="168">
        <f>'030523 INVENTARIO'!O917</f>
        <v>0</v>
      </c>
      <c r="N917" s="168" t="str">
        <f>'030523 INVENTARIO'!P917</f>
        <v>OK</v>
      </c>
      <c r="O917" s="168" t="str">
        <f>'030523 INVENTARIO'!Q917</f>
        <v>S/M</v>
      </c>
      <c r="P917" s="167" t="str">
        <f>'030523 INVENTARIO'!R917</f>
        <v>S/M</v>
      </c>
      <c r="Q917" s="168" t="str">
        <f>'030523 INVENTARIO'!S917</f>
        <v>SIN SERIE</v>
      </c>
      <c r="R917" s="168" t="str">
        <f>'030523 INVENTARIO'!T917</f>
        <v>82DH0531010065000564797</v>
      </c>
    </row>
    <row r="918" spans="5:18">
      <c r="E918" s="167" t="str">
        <f>'030523 INVENTARIO'!E918</f>
        <v>REGULADOR DE VOLTAJE</v>
      </c>
      <c r="F918" s="168" t="str">
        <f>'030523 INVENTARIO'!F918</f>
        <v>REGULADOR GRIS</v>
      </c>
      <c r="G918" s="167" t="str">
        <f ca="1">'030523 INVENTARIO'!G918</f>
        <v>P21DG-0917</v>
      </c>
      <c r="H918" s="167" t="str">
        <f>'030523 INVENTARIO'!J918</f>
        <v>P21DG-0917</v>
      </c>
      <c r="I918" s="167" t="str">
        <f>'030523 INVENTARIO'!K918</f>
        <v>P21DG-034</v>
      </c>
      <c r="J918" s="167" t="str">
        <f>'030523 INVENTARIO'!L918</f>
        <v>P2DG-36</v>
      </c>
      <c r="K918" s="167" t="str">
        <f>'030523 INVENTARIO'!M918</f>
        <v>5660100057-1</v>
      </c>
      <c r="L918" s="168">
        <f>'030523 INVENTARIO'!N918</f>
        <v>0</v>
      </c>
      <c r="M918" s="168">
        <f>'030523 INVENTARIO'!O918</f>
        <v>0</v>
      </c>
      <c r="N918" s="168" t="str">
        <f>'030523 INVENTARIO'!P918</f>
        <v>OK</v>
      </c>
      <c r="O918" s="168" t="str">
        <f>'030523 INVENTARIO'!Q918</f>
        <v>SOLA SB</v>
      </c>
      <c r="P918" s="167" t="str">
        <f>'030523 INVENTARIO'!R918</f>
        <v>PC500</v>
      </c>
      <c r="Q918" s="168" t="str">
        <f>'030523 INVENTARIO'!S918</f>
        <v>93-C</v>
      </c>
      <c r="R918" s="167" t="str">
        <f>'030523 INVENTARIO'!T918</f>
        <v>82DH0515010020000565749</v>
      </c>
    </row>
    <row r="919" spans="5:18">
      <c r="E919" s="167" t="str">
        <f>'030523 INVENTARIO'!E919</f>
        <v>MODULO</v>
      </c>
      <c r="F919" s="167" t="str">
        <f>'030523 INVENTARIO'!F919</f>
        <v>MODULO DE MADERA CON RUEDAS PARA COMPUTADORA 68X46</v>
      </c>
      <c r="G919" s="167" t="str">
        <f ca="1">'030523 INVENTARIO'!G919</f>
        <v>P21DG-0918</v>
      </c>
      <c r="H919" s="167" t="str">
        <f>'030523 INVENTARIO'!J919</f>
        <v>P21DG-0918</v>
      </c>
      <c r="I919" s="167" t="str">
        <f>'030523 INVENTARIO'!K919</f>
        <v>P21DG-035</v>
      </c>
      <c r="J919" s="167" t="str">
        <f>'030523 INVENTARIO'!L919</f>
        <v>P2DG-35</v>
      </c>
      <c r="K919" s="167" t="str">
        <f>'030523 INVENTARIO'!M919</f>
        <v>5120100007-7</v>
      </c>
      <c r="L919" s="168">
        <f>'030523 INVENTARIO'!N919</f>
        <v>0</v>
      </c>
      <c r="M919" s="168">
        <f>'030523 INVENTARIO'!O919</f>
        <v>0</v>
      </c>
      <c r="N919" s="168" t="str">
        <f>'030523 INVENTARIO'!P919</f>
        <v>OK</v>
      </c>
      <c r="O919" s="168" t="str">
        <f>'030523 INVENTARIO'!Q919</f>
        <v>S/M</v>
      </c>
      <c r="P919" s="167" t="str">
        <f>'030523 INVENTARIO'!R919</f>
        <v>S/M</v>
      </c>
      <c r="Q919" s="168" t="str">
        <f>'030523 INVENTARIO'!S919</f>
        <v>SIN SERIE</v>
      </c>
      <c r="R919" s="168" t="str">
        <f>'030523 INVENTARIO'!T919</f>
        <v>82DH0512010011000564517</v>
      </c>
    </row>
    <row r="920" spans="5:18">
      <c r="E920" s="167" t="str">
        <f>'030523 INVENTARIO'!E920</f>
        <v>LIBRERO</v>
      </c>
      <c r="F920" s="167" t="str">
        <f>'030523 INVENTARIO'!F920</f>
        <v>LIBRERO DE CRISTAL CON SOPORTE DE METAL 225X165X40</v>
      </c>
      <c r="G920" s="167" t="str">
        <f ca="1">'030523 INVENTARIO'!G920</f>
        <v>P21DG-0919</v>
      </c>
      <c r="H920" s="167" t="str">
        <f>'030523 INVENTARIO'!J920</f>
        <v>P21DG-0919</v>
      </c>
      <c r="I920" s="167" t="str">
        <f>'030523 INVENTARIO'!K920</f>
        <v>P21DG-036</v>
      </c>
      <c r="J920" s="167" t="str">
        <f>'030523 INVENTARIO'!L920</f>
        <v>P2DG-34</v>
      </c>
      <c r="K920" s="167" t="str">
        <f>'030523 INVENTARIO'!M920</f>
        <v>5130100126-3</v>
      </c>
      <c r="L920" s="168">
        <f>'030523 INVENTARIO'!N920</f>
        <v>0</v>
      </c>
      <c r="M920" s="168">
        <f>'030523 INVENTARIO'!O920</f>
        <v>0</v>
      </c>
      <c r="N920" s="168" t="str">
        <f>'030523 INVENTARIO'!P920</f>
        <v>OK</v>
      </c>
      <c r="O920" s="168" t="str">
        <f>'030523 INVENTARIO'!Q920</f>
        <v>S/M</v>
      </c>
      <c r="P920" s="167" t="str">
        <f>'030523 INVENTARIO'!R920</f>
        <v>S/M</v>
      </c>
      <c r="Q920" s="168" t="str">
        <f>'030523 INVENTARIO'!S920</f>
        <v>SIN SERIE</v>
      </c>
      <c r="R920" s="168" t="str">
        <f>'030523 INVENTARIO'!T920</f>
        <v>82DH0511010008000518496</v>
      </c>
    </row>
    <row r="921" spans="5:18">
      <c r="E921" s="167" t="str">
        <f>'030523 INVENTARIO'!E921</f>
        <v>MESA</v>
      </c>
      <c r="F921" s="167" t="str">
        <f>'030523 INVENTARIO'!F921</f>
        <v>MESA REDONDA DE MADERA  D-120CM</v>
      </c>
      <c r="G921" s="167" t="str">
        <f ca="1">'030523 INVENTARIO'!G921</f>
        <v>P21DG-0920</v>
      </c>
      <c r="H921" s="167" t="str">
        <f>'030523 INVENTARIO'!J921</f>
        <v>P21DG-0920</v>
      </c>
      <c r="I921" s="167" t="str">
        <f>'030523 INVENTARIO'!K921</f>
        <v>P21DG-037</v>
      </c>
      <c r="J921" s="167" t="str">
        <f>'030523 INVENTARIO'!L921</f>
        <v>P2DG-57</v>
      </c>
      <c r="K921" s="167" t="str">
        <f>'030523 INVENTARIO'!M921</f>
        <v>5120100007-11</v>
      </c>
      <c r="L921" s="168">
        <f>'030523 INVENTARIO'!N921</f>
        <v>0</v>
      </c>
      <c r="M921" s="168">
        <f>'030523 INVENTARIO'!O921</f>
        <v>0</v>
      </c>
      <c r="N921" s="168" t="str">
        <f>'030523 INVENTARIO'!P921</f>
        <v>OK</v>
      </c>
      <c r="O921" s="168" t="str">
        <f>'030523 INVENTARIO'!Q921</f>
        <v>S/M</v>
      </c>
      <c r="P921" s="167" t="str">
        <f>'030523 INVENTARIO'!R921</f>
        <v>S/M</v>
      </c>
      <c r="Q921" s="168" t="str">
        <f>'030523 INVENTARIO'!S921</f>
        <v>SIN SERIE</v>
      </c>
      <c r="R921" s="168" t="str">
        <f>'030523 INVENTARIO'!T921</f>
        <v>82DH0531010065000564799</v>
      </c>
    </row>
    <row r="922" spans="5:18">
      <c r="E922" s="167" t="str">
        <f>'030523 INVENTARIO'!E922</f>
        <v>MESA</v>
      </c>
      <c r="F922" s="167" t="str">
        <f>'030523 INVENTARIO'!F922</f>
        <v>MESA DE MADERA BASE DE METAL 120X60</v>
      </c>
      <c r="G922" s="167" t="str">
        <f ca="1">'030523 INVENTARIO'!G922</f>
        <v>P21DG-0921</v>
      </c>
      <c r="H922" s="167" t="str">
        <f>'030523 INVENTARIO'!J922</f>
        <v>P21DG-0921</v>
      </c>
      <c r="I922" s="167" t="str">
        <f>'030523 INVENTARIO'!K922</f>
        <v>P21DG-038</v>
      </c>
      <c r="J922" s="167" t="str">
        <f>'030523 INVENTARIO'!L922</f>
        <v>P2DG-45</v>
      </c>
      <c r="K922" s="167" t="str">
        <f>'030523 INVENTARIO'!M922</f>
        <v>5120100007-9</v>
      </c>
      <c r="L922" s="168">
        <f>'030523 INVENTARIO'!N922</f>
        <v>0</v>
      </c>
      <c r="M922" s="168">
        <f>'030523 INVENTARIO'!O922</f>
        <v>0</v>
      </c>
      <c r="N922" s="168" t="str">
        <f>'030523 INVENTARIO'!P922</f>
        <v>OK</v>
      </c>
      <c r="O922" s="168" t="str">
        <f>'030523 INVENTARIO'!Q922</f>
        <v>S/M</v>
      </c>
      <c r="P922" s="167" t="str">
        <f>'030523 INVENTARIO'!R922</f>
        <v>S/M</v>
      </c>
      <c r="Q922" s="168" t="str">
        <f>'030523 INVENTARIO'!S922</f>
        <v>SIN SERIE</v>
      </c>
      <c r="R922" s="168" t="str">
        <f>'030523 INVENTARIO'!T922</f>
        <v>82DH0531010065000564784</v>
      </c>
    </row>
    <row r="923" spans="5:18">
      <c r="E923" s="167" t="str">
        <f>'030523 INVENTARIO'!E923</f>
        <v>PANTALLA DE PROYECCION</v>
      </c>
      <c r="F923" s="167" t="str">
        <f>'030523 INVENTARIO'!F923</f>
        <v>PANTALLA DE PROYECCIÓN 178X163</v>
      </c>
      <c r="G923" s="167" t="str">
        <f ca="1">'030523 INVENTARIO'!G923</f>
        <v>P21DG-0922</v>
      </c>
      <c r="H923" s="167" t="str">
        <f>'030523 INVENTARIO'!J923</f>
        <v>P21DG-0922</v>
      </c>
      <c r="I923" s="167" t="str">
        <f>'030523 INVENTARIO'!K923</f>
        <v>P21DG-039</v>
      </c>
      <c r="J923" s="167" t="str">
        <f>'030523 INVENTARIO'!L923</f>
        <v>P2DG-52</v>
      </c>
      <c r="K923" s="167" t="str">
        <f>'030523 INVENTARIO'!M923</f>
        <v>5210100014-1</v>
      </c>
      <c r="L923" s="168">
        <f>'030523 INVENTARIO'!N923</f>
        <v>0</v>
      </c>
      <c r="M923" s="168">
        <f>'030523 INVENTARIO'!O923</f>
        <v>0</v>
      </c>
      <c r="N923" s="168" t="str">
        <f>'030523 INVENTARIO'!P923</f>
        <v>OK</v>
      </c>
      <c r="O923" s="168" t="str">
        <f>'030523 INVENTARIO'!Q923</f>
        <v>S/M</v>
      </c>
      <c r="P923" s="167" t="str">
        <f>'030523 INVENTARIO'!R923</f>
        <v>S/M</v>
      </c>
      <c r="Q923" s="168" t="str">
        <f>'030523 INVENTARIO'!S923</f>
        <v>SIN SERIE</v>
      </c>
      <c r="R923" s="168" t="str">
        <f>'030523 INVENTARIO'!T923</f>
        <v>SIN RESGUARDO</v>
      </c>
    </row>
    <row r="924" spans="5:18">
      <c r="E924" s="167" t="str">
        <f>'030523 INVENTARIO'!E924</f>
        <v>ROTAFOLIO</v>
      </c>
      <c r="F924" s="167" t="str">
        <f>'030523 INVENTARIO'!F924</f>
        <v>ROTAFOLIO 60X90</v>
      </c>
      <c r="G924" s="167" t="str">
        <f ca="1">'030523 INVENTARIO'!G924</f>
        <v>P21DG-0923</v>
      </c>
      <c r="H924" s="167" t="str">
        <f>'030523 INVENTARIO'!J924</f>
        <v>P21DG-0923</v>
      </c>
      <c r="I924" s="167" t="str">
        <f>'030523 INVENTARIO'!K924</f>
        <v>P21DG-040</v>
      </c>
      <c r="J924" s="167" t="str">
        <f>'030523 INVENTARIO'!L924</f>
        <v>P2DG-53</v>
      </c>
      <c r="K924" s="167" t="str">
        <f>'030523 INVENTARIO'!M924</f>
        <v>5290100025-2</v>
      </c>
      <c r="L924" s="168">
        <f>'030523 INVENTARIO'!N924</f>
        <v>0</v>
      </c>
      <c r="M924" s="168">
        <f>'030523 INVENTARIO'!O924</f>
        <v>0</v>
      </c>
      <c r="N924" s="168" t="str">
        <f>'030523 INVENTARIO'!P924</f>
        <v>OK</v>
      </c>
      <c r="O924" s="168" t="str">
        <f>'030523 INVENTARIO'!Q924</f>
        <v>S/M</v>
      </c>
      <c r="P924" s="167" t="str">
        <f>'030523 INVENTARIO'!R924</f>
        <v>S/M</v>
      </c>
      <c r="Q924" s="168" t="str">
        <f>'030523 INVENTARIO'!S924</f>
        <v>SIN SERIE</v>
      </c>
      <c r="R924" s="168" t="str">
        <f>'030523 INVENTARIO'!T924</f>
        <v>82DH0529030004000583305</v>
      </c>
    </row>
    <row r="925" spans="5:18">
      <c r="E925" s="167" t="str">
        <f>'030523 INVENTARIO'!E925</f>
        <v>PROYECTOR</v>
      </c>
      <c r="F925" s="168" t="str">
        <f>'030523 INVENTARIO'!F925</f>
        <v>PROYECTOR BLANCO CON GRIS</v>
      </c>
      <c r="G925" s="167" t="str">
        <f ca="1">'030523 INVENTARIO'!G925</f>
        <v>P21DG-0924</v>
      </c>
      <c r="H925" s="167" t="str">
        <f>'030523 INVENTARIO'!J925</f>
        <v>P21DG-0924</v>
      </c>
      <c r="I925" s="167" t="str">
        <f>'030523 INVENTARIO'!K925</f>
        <v>P21DG-041</v>
      </c>
      <c r="J925" s="167" t="str">
        <f>'030523 INVENTARIO'!L925</f>
        <v>P2DG-71</v>
      </c>
      <c r="K925" s="167" t="str">
        <f>'030523 INVENTARIO'!M925</f>
        <v>5210100020-1</v>
      </c>
      <c r="L925" s="168">
        <f>'030523 INVENTARIO'!N925</f>
        <v>0</v>
      </c>
      <c r="M925" s="168">
        <f>'030523 INVENTARIO'!O925</f>
        <v>0</v>
      </c>
      <c r="N925" s="168" t="str">
        <f>'030523 INVENTARIO'!P925</f>
        <v>OK</v>
      </c>
      <c r="O925" s="168" t="str">
        <f>'030523 INVENTARIO'!Q925</f>
        <v>EPSON</v>
      </c>
      <c r="P925" s="167" t="str">
        <f>'030523 INVENTARIO'!R925</f>
        <v>H568A</v>
      </c>
      <c r="Q925" s="168" t="str">
        <f>'030523 INVENTARIO'!S925</f>
        <v>U3CK4503516</v>
      </c>
      <c r="R925" s="167" t="str">
        <f>'030523 INVENTARIO'!T925</f>
        <v>82DH0531010076000651384</v>
      </c>
    </row>
    <row r="926" spans="5:18">
      <c r="E926" s="167" t="str">
        <f>'030523 INVENTARIO'!E926</f>
        <v>AIRE ACONDICIONADO</v>
      </c>
      <c r="F926" s="168" t="str">
        <f>'030523 INVENTARIO'!F926</f>
        <v>AIRE ACONDICIONADO BLANCO</v>
      </c>
      <c r="G926" s="167" t="str">
        <f ca="1">'030523 INVENTARIO'!G926</f>
        <v>P21DG-0925</v>
      </c>
      <c r="H926" s="167" t="str">
        <f>'030523 INVENTARIO'!J926</f>
        <v>P21DG-0925</v>
      </c>
      <c r="I926" s="167" t="str">
        <f>'030523 INVENTARIO'!K926</f>
        <v>P21DG-042</v>
      </c>
      <c r="J926" s="167" t="str">
        <f>'030523 INVENTARIO'!L926</f>
        <v>P2DG-60</v>
      </c>
      <c r="K926" s="167" t="str">
        <f>'030523 INVENTARIO'!M926</f>
        <v>5640100001-2</v>
      </c>
      <c r="L926" s="168">
        <f>'030523 INVENTARIO'!N926</f>
        <v>0</v>
      </c>
      <c r="M926" s="168">
        <f>'030523 INVENTARIO'!O926</f>
        <v>0</v>
      </c>
      <c r="N926" s="168" t="str">
        <f>'030523 INVENTARIO'!P926</f>
        <v>OK</v>
      </c>
      <c r="O926" s="168" t="str">
        <f>'030523 INVENTARIO'!Q926</f>
        <v>CARRIER</v>
      </c>
      <c r="P926" s="167" t="str">
        <f>'030523 INVENTARIO'!R926</f>
        <v>S/M</v>
      </c>
      <c r="Q926" s="168" t="str">
        <f>'030523 INVENTARIO'!S926</f>
        <v>SIN SERIE</v>
      </c>
      <c r="R926" s="168" t="str">
        <f>'030523 INVENTARIO'!T926</f>
        <v>82DH0564010006000535311</v>
      </c>
    </row>
    <row r="927" spans="5:18">
      <c r="E927" s="167" t="str">
        <f>'030523 INVENTARIO'!E927</f>
        <v>SILLON</v>
      </c>
      <c r="F927" s="167" t="str">
        <f>'030523 INVENTARIO'!F927</f>
        <v>SILLÓN NEGRO DE PIEL EJECUTIVO CON RUEDAS</v>
      </c>
      <c r="G927" s="167" t="str">
        <f ca="1">'030523 INVENTARIO'!G927</f>
        <v>P21DG-0926</v>
      </c>
      <c r="H927" s="167" t="str">
        <f>'030523 INVENTARIO'!J927</f>
        <v>P21DG-0926</v>
      </c>
      <c r="I927" s="167" t="str">
        <f>'030523 INVENTARIO'!K927</f>
        <v>P21DG-043</v>
      </c>
      <c r="J927" s="167" t="str">
        <f>'030523 INVENTARIO'!L927</f>
        <v>P2DG-42</v>
      </c>
      <c r="K927" s="167" t="str">
        <f>'030523 INVENTARIO'!M927</f>
        <v>5120100009-8</v>
      </c>
      <c r="L927" s="168">
        <f>'030523 INVENTARIO'!N927</f>
        <v>0</v>
      </c>
      <c r="M927" s="168">
        <f>'030523 INVENTARIO'!O927</f>
        <v>0</v>
      </c>
      <c r="N927" s="168" t="str">
        <f>'030523 INVENTARIO'!P927</f>
        <v>OK</v>
      </c>
      <c r="O927" s="168" t="str">
        <f>'030523 INVENTARIO'!Q927</f>
        <v>S/M</v>
      </c>
      <c r="P927" s="167" t="str">
        <f>'030523 INVENTARIO'!R927</f>
        <v>S/M</v>
      </c>
      <c r="Q927" s="168" t="str">
        <f>'030523 INVENTARIO'!S927</f>
        <v>SIN SERIE</v>
      </c>
      <c r="R927" s="168" t="str">
        <f>'030523 INVENTARIO'!T927</f>
        <v>82DH0511010016000516015</v>
      </c>
    </row>
    <row r="928" spans="5:18">
      <c r="E928" s="167" t="str">
        <f>'030523 INVENTARIO'!E928</f>
        <v>SILLON</v>
      </c>
      <c r="F928" s="167" t="str">
        <f>'030523 INVENTARIO'!F928</f>
        <v>SILLÓN NEGRO DE PIEL EJECUTIVO CON RUEDAS</v>
      </c>
      <c r="G928" s="167" t="str">
        <f ca="1">'030523 INVENTARIO'!G928</f>
        <v>P21DG-0927</v>
      </c>
      <c r="H928" s="167" t="str">
        <f>'030523 INVENTARIO'!J928</f>
        <v>P21DG-0927</v>
      </c>
      <c r="I928" s="167" t="str">
        <f>'030523 INVENTARIO'!K928</f>
        <v>P21DG-044</v>
      </c>
      <c r="J928" s="167" t="str">
        <f>'030523 INVENTARIO'!L928</f>
        <v>P2DG-40</v>
      </c>
      <c r="K928" s="167" t="str">
        <f>'030523 INVENTARIO'!M928</f>
        <v>5120100009-6</v>
      </c>
      <c r="L928" s="168">
        <f>'030523 INVENTARIO'!N928</f>
        <v>0</v>
      </c>
      <c r="M928" s="168">
        <f>'030523 INVENTARIO'!O928</f>
        <v>0</v>
      </c>
      <c r="N928" s="168" t="str">
        <f>'030523 INVENTARIO'!P928</f>
        <v>OK</v>
      </c>
      <c r="O928" s="168" t="str">
        <f>'030523 INVENTARIO'!Q928</f>
        <v>S/M</v>
      </c>
      <c r="P928" s="167" t="str">
        <f>'030523 INVENTARIO'!R928</f>
        <v>S/M</v>
      </c>
      <c r="Q928" s="168" t="str">
        <f>'030523 INVENTARIO'!S928</f>
        <v>SIN SERIE</v>
      </c>
      <c r="R928" s="168" t="str">
        <f>'030523 INVENTARIO'!T928</f>
        <v>82DH0511010016000518500</v>
      </c>
    </row>
    <row r="929" spans="5:18">
      <c r="E929" s="167" t="str">
        <f>'030523 INVENTARIO'!E929</f>
        <v>SILLON</v>
      </c>
      <c r="F929" s="167" t="str">
        <f>'030523 INVENTARIO'!F929</f>
        <v>SILLÓN NEGRO DE PIEL EJECUTIVO CON RUEDAS</v>
      </c>
      <c r="G929" s="167" t="str">
        <f ca="1">'030523 INVENTARIO'!G929</f>
        <v>P21DG-0928</v>
      </c>
      <c r="H929" s="167" t="str">
        <f>'030523 INVENTARIO'!J929</f>
        <v>P21DG-0928</v>
      </c>
      <c r="I929" s="167" t="str">
        <f>'030523 INVENTARIO'!K929</f>
        <v>P21DG-045</v>
      </c>
      <c r="J929" s="167" t="str">
        <f>'030523 INVENTARIO'!L929</f>
        <v>P2DG-43</v>
      </c>
      <c r="K929" s="167" t="str">
        <f>'030523 INVENTARIO'!M929</f>
        <v>5120100009-9</v>
      </c>
      <c r="L929" s="168">
        <f>'030523 INVENTARIO'!N929</f>
        <v>0</v>
      </c>
      <c r="M929" s="168">
        <f>'030523 INVENTARIO'!O929</f>
        <v>0</v>
      </c>
      <c r="N929" s="168" t="str">
        <f>'030523 INVENTARIO'!P929</f>
        <v>OK</v>
      </c>
      <c r="O929" s="168" t="str">
        <f>'030523 INVENTARIO'!Q929</f>
        <v>S/M</v>
      </c>
      <c r="P929" s="167" t="str">
        <f>'030523 INVENTARIO'!R929</f>
        <v>S/M</v>
      </c>
      <c r="Q929" s="168" t="str">
        <f>'030523 INVENTARIO'!S929</f>
        <v>SIN SERIE</v>
      </c>
      <c r="R929" s="168" t="str">
        <f>'030523 INVENTARIO'!T929</f>
        <v>82DH0511010016000564555</v>
      </c>
    </row>
    <row r="930" spans="5:18">
      <c r="E930" s="167" t="str">
        <f>'030523 INVENTARIO'!E930</f>
        <v>SILLON</v>
      </c>
      <c r="F930" s="167" t="str">
        <f>'030523 INVENTARIO'!F930</f>
        <v>SILLÓN NEGRO DE PIEL EJECUTIVO CON RUEDAS</v>
      </c>
      <c r="G930" s="167" t="str">
        <f ca="1">'030523 INVENTARIO'!G930</f>
        <v>P21DG-0929</v>
      </c>
      <c r="H930" s="167" t="str">
        <f>'030523 INVENTARIO'!J930</f>
        <v>P21DG-0929</v>
      </c>
      <c r="I930" s="167" t="str">
        <f>'030523 INVENTARIO'!K930</f>
        <v>P21DG-046</v>
      </c>
      <c r="J930" s="167" t="str">
        <f>'030523 INVENTARIO'!L930</f>
        <v>P2DG-38</v>
      </c>
      <c r="K930" s="167" t="str">
        <f>'030523 INVENTARIO'!M930</f>
        <v>5120100009-4</v>
      </c>
      <c r="L930" s="168">
        <f>'030523 INVENTARIO'!N930</f>
        <v>0</v>
      </c>
      <c r="M930" s="168">
        <f>'030523 INVENTARIO'!O930</f>
        <v>0</v>
      </c>
      <c r="N930" s="168" t="str">
        <f>'030523 INVENTARIO'!P930</f>
        <v>OK</v>
      </c>
      <c r="O930" s="168" t="str">
        <f>'030523 INVENTARIO'!Q930</f>
        <v>S/M</v>
      </c>
      <c r="P930" s="167" t="str">
        <f>'030523 INVENTARIO'!R930</f>
        <v>S/M</v>
      </c>
      <c r="Q930" s="168" t="str">
        <f>'030523 INVENTARIO'!S930</f>
        <v>SIN SERIE</v>
      </c>
      <c r="R930" s="168" t="str">
        <f>'030523 INVENTARIO'!T930</f>
        <v>82DH0511010016000517128</v>
      </c>
    </row>
    <row r="931" spans="5:18">
      <c r="E931" s="167" t="str">
        <f>'030523 INVENTARIO'!E931</f>
        <v>SILLON</v>
      </c>
      <c r="F931" s="167" t="str">
        <f>'030523 INVENTARIO'!F931</f>
        <v>SILLÓN NEGRO DE PIEL EJECUTIVO CON RUEDAS</v>
      </c>
      <c r="G931" s="167" t="str">
        <f ca="1">'030523 INVENTARIO'!G931</f>
        <v>P24SJ-0930</v>
      </c>
      <c r="H931" s="167" t="str">
        <f>'030523 INVENTARIO'!J931</f>
        <v>P21DG-0930</v>
      </c>
      <c r="I931" s="167" t="str">
        <f>'030523 INVENTARIO'!K931</f>
        <v>P21DG-047</v>
      </c>
      <c r="J931" s="167" t="str">
        <f>'030523 INVENTARIO'!L931</f>
        <v>P2DG-44</v>
      </c>
      <c r="K931" s="167" t="str">
        <f>'030523 INVENTARIO'!M931</f>
        <v>5120100009-10</v>
      </c>
      <c r="L931" s="168">
        <f>'030523 INVENTARIO'!N931</f>
        <v>0</v>
      </c>
      <c r="M931" s="168">
        <f>'030523 INVENTARIO'!O931</f>
        <v>0</v>
      </c>
      <c r="N931" s="168" t="str">
        <f>'030523 INVENTARIO'!P931</f>
        <v>OK</v>
      </c>
      <c r="O931" s="168" t="str">
        <f>'030523 INVENTARIO'!Q931</f>
        <v>S/M</v>
      </c>
      <c r="P931" s="167" t="str">
        <f>'030523 INVENTARIO'!R931</f>
        <v>S/M</v>
      </c>
      <c r="Q931" s="168" t="str">
        <f>'030523 INVENTARIO'!S931</f>
        <v>SIN SERIE</v>
      </c>
      <c r="R931" s="168" t="str">
        <f>'030523 INVENTARIO'!T931</f>
        <v>82DH0511010016000516014</v>
      </c>
    </row>
    <row r="932" spans="5:18">
      <c r="E932" s="167" t="str">
        <f>'030523 INVENTARIO'!E932</f>
        <v>SILLON</v>
      </c>
      <c r="F932" s="167" t="str">
        <f>'030523 INVENTARIO'!F932</f>
        <v>SILLÓN NEGRO DE PIEL EJECUTIVO CON RUEDAS</v>
      </c>
      <c r="G932" s="167" t="str">
        <f ca="1">'030523 INVENTARIO'!G932</f>
        <v>P21DG-0931</v>
      </c>
      <c r="H932" s="167" t="str">
        <f>'030523 INVENTARIO'!J932</f>
        <v>P21DG-0931</v>
      </c>
      <c r="I932" s="167" t="str">
        <f>'030523 INVENTARIO'!K932</f>
        <v>P21DG-048</v>
      </c>
      <c r="J932" s="167" t="str">
        <f>'030523 INVENTARIO'!L932</f>
        <v>P2DG-56</v>
      </c>
      <c r="K932" s="167" t="str">
        <f>'030523 INVENTARIO'!M932</f>
        <v>5120100009-11</v>
      </c>
      <c r="L932" s="168">
        <f>'030523 INVENTARIO'!N932</f>
        <v>0</v>
      </c>
      <c r="M932" s="168">
        <f>'030523 INVENTARIO'!O932</f>
        <v>0</v>
      </c>
      <c r="N932" s="168" t="str">
        <f>'030523 INVENTARIO'!P932</f>
        <v>OK</v>
      </c>
      <c r="O932" s="168" t="str">
        <f>'030523 INVENTARIO'!Q932</f>
        <v>S/M</v>
      </c>
      <c r="P932" s="167" t="str">
        <f>'030523 INVENTARIO'!R932</f>
        <v>S/M</v>
      </c>
      <c r="Q932" s="168" t="str">
        <f>'030523 INVENTARIO'!S932</f>
        <v>SIN SERIE</v>
      </c>
      <c r="R932" s="168" t="str">
        <f>'030523 INVENTARIO'!T932</f>
        <v>82DH0511010016000516017</v>
      </c>
    </row>
    <row r="933" spans="5:18">
      <c r="E933" s="167" t="str">
        <f>'030523 INVENTARIO'!E933</f>
        <v>SILLON</v>
      </c>
      <c r="F933" s="167" t="str">
        <f>'030523 INVENTARIO'!F933</f>
        <v>SILLÓN NEGRO DE PIEL EJECUTIVO CON RUEDAS</v>
      </c>
      <c r="G933" s="167" t="str">
        <f ca="1">'030523 INVENTARIO'!G933</f>
        <v>P21DG-0932</v>
      </c>
      <c r="H933" s="167" t="str">
        <f>'030523 INVENTARIO'!J933</f>
        <v>P21DG-0932</v>
      </c>
      <c r="I933" s="167" t="str">
        <f>'030523 INVENTARIO'!K933</f>
        <v>P21DG-049</v>
      </c>
      <c r="J933" s="167" t="str">
        <f>'030523 INVENTARIO'!L933</f>
        <v>P2DG-39</v>
      </c>
      <c r="K933" s="167" t="str">
        <f>'030523 INVENTARIO'!M933</f>
        <v>5120100009-5</v>
      </c>
      <c r="L933" s="168">
        <f>'030523 INVENTARIO'!N933</f>
        <v>0</v>
      </c>
      <c r="M933" s="168">
        <f>'030523 INVENTARIO'!O933</f>
        <v>0</v>
      </c>
      <c r="N933" s="168" t="str">
        <f>'030523 INVENTARIO'!P933</f>
        <v>OK</v>
      </c>
      <c r="O933" s="168" t="str">
        <f>'030523 INVENTARIO'!Q933</f>
        <v>S/M</v>
      </c>
      <c r="P933" s="167" t="str">
        <f>'030523 INVENTARIO'!R933</f>
        <v>S/M</v>
      </c>
      <c r="Q933" s="168" t="str">
        <f>'030523 INVENTARIO'!S933</f>
        <v>SIN SERIE</v>
      </c>
      <c r="R933" s="168" t="str">
        <f>'030523 INVENTARIO'!T933</f>
        <v>82DH0511010016000518502</v>
      </c>
    </row>
    <row r="934" spans="5:18">
      <c r="E934" s="167" t="str">
        <f>'030523 INVENTARIO'!E934</f>
        <v>SILLON</v>
      </c>
      <c r="F934" s="167" t="str">
        <f>'030523 INVENTARIO'!F934</f>
        <v>SILLÓN NEGRO DE PIEL EJECUTIVO CON RUEDAS</v>
      </c>
      <c r="G934" s="167" t="str">
        <f ca="1">'030523 INVENTARIO'!G934</f>
        <v>P21DG-0933</v>
      </c>
      <c r="H934" s="167" t="str">
        <f>'030523 INVENTARIO'!J934</f>
        <v>P21DG-0933</v>
      </c>
      <c r="I934" s="167" t="str">
        <f>'030523 INVENTARIO'!K934</f>
        <v>P21DG-050</v>
      </c>
      <c r="J934" s="167" t="str">
        <f>'030523 INVENTARIO'!L934</f>
        <v>P2DG-41</v>
      </c>
      <c r="K934" s="167" t="str">
        <f>'030523 INVENTARIO'!M934</f>
        <v>5120100009-7</v>
      </c>
      <c r="L934" s="168">
        <f>'030523 INVENTARIO'!N934</f>
        <v>0</v>
      </c>
      <c r="M934" s="168">
        <f>'030523 INVENTARIO'!O934</f>
        <v>0</v>
      </c>
      <c r="N934" s="168" t="str">
        <f>'030523 INVENTARIO'!P934</f>
        <v>OK</v>
      </c>
      <c r="O934" s="168" t="str">
        <f>'030523 INVENTARIO'!Q934</f>
        <v>S/M</v>
      </c>
      <c r="P934" s="167" t="str">
        <f>'030523 INVENTARIO'!R934</f>
        <v>S/M</v>
      </c>
      <c r="Q934" s="168" t="str">
        <f>'030523 INVENTARIO'!S934</f>
        <v>SIN SERIE</v>
      </c>
      <c r="R934" s="168" t="str">
        <f>'030523 INVENTARIO'!T934</f>
        <v>82DH0511010016000564554</v>
      </c>
    </row>
    <row r="935" spans="5:18">
      <c r="E935" s="167" t="str">
        <f>'030523 INVENTARIO'!E935</f>
        <v>SILLON</v>
      </c>
      <c r="F935" s="167" t="str">
        <f>'030523 INVENTARIO'!F935</f>
        <v>SILLÓN NEGRO DE PIEL EJECUTIVO CON RUEDAS</v>
      </c>
      <c r="G935" s="167" t="str">
        <f ca="1">'030523 INVENTARIO'!G935</f>
        <v>P21DG-0934</v>
      </c>
      <c r="H935" s="167" t="str">
        <f>'030523 INVENTARIO'!J935</f>
        <v>P21DG-0934</v>
      </c>
      <c r="I935" s="167" t="str">
        <f>'030523 INVENTARIO'!K935</f>
        <v>P21DG-051</v>
      </c>
      <c r="J935" s="167" t="str">
        <f>'030523 INVENTARIO'!L935</f>
        <v>P2DG-58</v>
      </c>
      <c r="K935" s="167" t="str">
        <f>'030523 INVENTARIO'!M935</f>
        <v>5120100009-12</v>
      </c>
      <c r="L935" s="168">
        <f>'030523 INVENTARIO'!N935</f>
        <v>0</v>
      </c>
      <c r="M935" s="168">
        <f>'030523 INVENTARIO'!O935</f>
        <v>0</v>
      </c>
      <c r="N935" s="168" t="str">
        <f>'030523 INVENTARIO'!P935</f>
        <v>OK</v>
      </c>
      <c r="O935" s="168" t="str">
        <f>'030523 INVENTARIO'!Q935</f>
        <v>S/M</v>
      </c>
      <c r="P935" s="167" t="str">
        <f>'030523 INVENTARIO'!R935</f>
        <v>S/M</v>
      </c>
      <c r="Q935" s="168" t="str">
        <f>'030523 INVENTARIO'!S935</f>
        <v>SIN SERIE</v>
      </c>
      <c r="R935" s="168" t="str">
        <f>'030523 INVENTARIO'!T935</f>
        <v>82DH0511010016000516008</v>
      </c>
    </row>
    <row r="936" spans="5:18">
      <c r="E936" s="167" t="str">
        <f>'030523 INVENTARIO'!E936</f>
        <v>SILLON</v>
      </c>
      <c r="F936" s="167" t="str">
        <f>'030523 INVENTARIO'!F936</f>
        <v>SILLÓN NEGRO DE PIEL EJECUTIVO CON RUEDAS</v>
      </c>
      <c r="G936" s="167" t="str">
        <f ca="1">'030523 INVENTARIO'!G936</f>
        <v>P21DG-0935</v>
      </c>
      <c r="H936" s="167" t="str">
        <f>'030523 INVENTARIO'!J936</f>
        <v>P21DG-0935</v>
      </c>
      <c r="I936" s="167" t="str">
        <f>'030523 INVENTARIO'!K936</f>
        <v>P21DG-052</v>
      </c>
      <c r="J936" s="167" t="str">
        <f>'030523 INVENTARIO'!L936</f>
        <v>P2DG-69</v>
      </c>
      <c r="K936" s="167" t="str">
        <f>'030523 INVENTARIO'!M936</f>
        <v>5120100009-15</v>
      </c>
      <c r="L936" s="168">
        <f>'030523 INVENTARIO'!N936</f>
        <v>0</v>
      </c>
      <c r="M936" s="168">
        <f>'030523 INVENTARIO'!O936</f>
        <v>0</v>
      </c>
      <c r="N936" s="168" t="str">
        <f>'030523 INVENTARIO'!P936</f>
        <v>OK</v>
      </c>
      <c r="O936" s="168" t="str">
        <f>'030523 INVENTARIO'!Q936</f>
        <v>S/M</v>
      </c>
      <c r="P936" s="167" t="str">
        <f>'030523 INVENTARIO'!R936</f>
        <v>S/M</v>
      </c>
      <c r="Q936" s="168" t="str">
        <f>'030523 INVENTARIO'!S936</f>
        <v>SIN SERIE</v>
      </c>
      <c r="R936" s="168" t="str">
        <f>'030523 INVENTARIO'!T936</f>
        <v>82DH0511010016000516016</v>
      </c>
    </row>
    <row r="937" spans="5:18">
      <c r="E937" s="167" t="str">
        <f>'030523 INVENTARIO'!E937</f>
        <v>SILLON</v>
      </c>
      <c r="F937" s="167" t="str">
        <f>'030523 INVENTARIO'!F937</f>
        <v>SILLÓN NEGRO DE PIEL EJECUTIVO CON RUEDAS</v>
      </c>
      <c r="G937" s="167" t="str">
        <f ca="1">'030523 INVENTARIO'!G937</f>
        <v>P21DG-0936</v>
      </c>
      <c r="H937" s="167" t="str">
        <f>'030523 INVENTARIO'!J937</f>
        <v>P21DG-0936</v>
      </c>
      <c r="I937" s="167" t="str">
        <f>'030523 INVENTARIO'!K937</f>
        <v>P21DG-053</v>
      </c>
      <c r="J937" s="167" t="str">
        <f>'030523 INVENTARIO'!L937</f>
        <v>P2DG-68</v>
      </c>
      <c r="K937" s="167" t="str">
        <f>'030523 INVENTARIO'!M937</f>
        <v>5120100009-14</v>
      </c>
      <c r="L937" s="168">
        <f>'030523 INVENTARIO'!N937</f>
        <v>0</v>
      </c>
      <c r="M937" s="168">
        <f>'030523 INVENTARIO'!O937</f>
        <v>0</v>
      </c>
      <c r="N937" s="168" t="str">
        <f>'030523 INVENTARIO'!P937</f>
        <v>OK</v>
      </c>
      <c r="O937" s="168" t="str">
        <f>'030523 INVENTARIO'!Q937</f>
        <v>S/M</v>
      </c>
      <c r="P937" s="167" t="str">
        <f>'030523 INVENTARIO'!R937</f>
        <v>S/M</v>
      </c>
      <c r="Q937" s="168" t="str">
        <f>'030523 INVENTARIO'!S937</f>
        <v>SIN SERIE</v>
      </c>
      <c r="R937" s="168" t="str">
        <f>'030523 INVENTARIO'!T937</f>
        <v>82DH0511010016000515617</v>
      </c>
    </row>
    <row r="938" spans="5:18">
      <c r="E938" s="167" t="str">
        <f>'030523 INVENTARIO'!E938</f>
        <v>SILLON</v>
      </c>
      <c r="F938" s="167" t="str">
        <f>'030523 INVENTARIO'!F938</f>
        <v>SILLÓN NEGRO DE PIEL EJECUTIVO CON RUEDAS</v>
      </c>
      <c r="G938" s="167" t="str">
        <f ca="1">'030523 INVENTARIO'!G938</f>
        <v>P21DG-0937</v>
      </c>
      <c r="H938" s="167" t="str">
        <f>'030523 INVENTARIO'!J938</f>
        <v>P21DG-0937</v>
      </c>
      <c r="I938" s="167" t="str">
        <f>'030523 INVENTARIO'!K938</f>
        <v>P21DG-054</v>
      </c>
      <c r="J938" s="167" t="str">
        <f>'030523 INVENTARIO'!L938</f>
        <v>P2DG-67</v>
      </c>
      <c r="K938" s="168" t="str">
        <f>'030523 INVENTARIO'!M938</f>
        <v>5120100009-13</v>
      </c>
      <c r="L938" s="168">
        <f>'030523 INVENTARIO'!N938</f>
        <v>0</v>
      </c>
      <c r="M938" s="168">
        <f>'030523 INVENTARIO'!O938</f>
        <v>0</v>
      </c>
      <c r="N938" s="168" t="str">
        <f>'030523 INVENTARIO'!P938</f>
        <v>OK</v>
      </c>
      <c r="O938" s="168" t="str">
        <f>'030523 INVENTARIO'!Q938</f>
        <v>S/M</v>
      </c>
      <c r="P938" s="167" t="str">
        <f>'030523 INVENTARIO'!R938</f>
        <v>S/M</v>
      </c>
      <c r="Q938" s="168" t="str">
        <f>'030523 INVENTARIO'!S938</f>
        <v>SIN SERIE</v>
      </c>
      <c r="R938" s="168" t="str">
        <f>'030523 INVENTARIO'!T938</f>
        <v>82DH0511010016000518501</v>
      </c>
    </row>
    <row r="939" spans="5:18">
      <c r="E939" s="167" t="str">
        <f>'030523 INVENTARIO'!E939</f>
        <v>MESA</v>
      </c>
      <c r="F939" s="167" t="str">
        <f>'030523 INVENTARIO'!F939</f>
        <v>MESA DE MADERA CABECERA 140X60</v>
      </c>
      <c r="G939" s="167" t="str">
        <f ca="1">'030523 INVENTARIO'!G939</f>
        <v>P21DG-0938</v>
      </c>
      <c r="H939" s="167" t="str">
        <f>'030523 INVENTARIO'!J939</f>
        <v>P21DG-0938</v>
      </c>
      <c r="I939" s="167" t="str">
        <f>'030523 INVENTARIO'!K939</f>
        <v>P21DG-055</v>
      </c>
      <c r="J939" s="167" t="str">
        <f>'030523 INVENTARIO'!L939</f>
        <v>P2DG-63</v>
      </c>
      <c r="K939" s="167" t="str">
        <f>'030523 INVENTARIO'!M939</f>
        <v>5120100007-16</v>
      </c>
      <c r="L939" s="168">
        <f>'030523 INVENTARIO'!N939</f>
        <v>0</v>
      </c>
      <c r="M939" s="168">
        <f>'030523 INVENTARIO'!O939</f>
        <v>0</v>
      </c>
      <c r="N939" s="168" t="str">
        <f>'030523 INVENTARIO'!P939</f>
        <v>OK</v>
      </c>
      <c r="O939" s="168" t="str">
        <f>'030523 INVENTARIO'!Q939</f>
        <v>S/M</v>
      </c>
      <c r="P939" s="167" t="str">
        <f>'030523 INVENTARIO'!R939</f>
        <v>S/M</v>
      </c>
      <c r="Q939" s="168" t="str">
        <f>'030523 INVENTARIO'!S939</f>
        <v>SIN SERIE</v>
      </c>
      <c r="R939" s="168" t="str">
        <f>'030523 INVENTARIO'!T939</f>
        <v>82DH0531010065000564727</v>
      </c>
    </row>
    <row r="940" spans="5:18">
      <c r="E940" s="167" t="str">
        <f>'030523 INVENTARIO'!E940</f>
        <v>MESA</v>
      </c>
      <c r="F940" s="167" t="str">
        <f>'030523 INVENTARIO'!F940</f>
        <v>MESA DE CENTRO CAFÉ CON NEGRO 240X60</v>
      </c>
      <c r="G940" s="167" t="str">
        <f ca="1">'030523 INVENTARIO'!G940</f>
        <v>P21DG-0939</v>
      </c>
      <c r="H940" s="167" t="str">
        <f>'030523 INVENTARIO'!J940</f>
        <v>P21DG-0939</v>
      </c>
      <c r="I940" s="167" t="str">
        <f>'030523 INVENTARIO'!K940</f>
        <v>P21DG-056</v>
      </c>
      <c r="J940" s="167" t="str">
        <f>'030523 INVENTARIO'!L940</f>
        <v>P2DG-65</v>
      </c>
      <c r="K940" s="167" t="str">
        <f>'030523 INVENTARIO'!M940</f>
        <v>5120100007-18</v>
      </c>
      <c r="L940" s="168">
        <f>'030523 INVENTARIO'!N940</f>
        <v>0</v>
      </c>
      <c r="M940" s="168">
        <f>'030523 INVENTARIO'!O940</f>
        <v>0</v>
      </c>
      <c r="N940" s="168" t="str">
        <f>'030523 INVENTARIO'!P940</f>
        <v>OK</v>
      </c>
      <c r="O940" s="168" t="str">
        <f>'030523 INVENTARIO'!Q940</f>
        <v>S/M</v>
      </c>
      <c r="P940" s="167" t="str">
        <f>'030523 INVENTARIO'!R940</f>
        <v>S/M</v>
      </c>
      <c r="Q940" s="168" t="str">
        <f>'030523 INVENTARIO'!S940</f>
        <v>SIN SERIE</v>
      </c>
      <c r="R940" s="168" t="str">
        <f>'030523 INVENTARIO'!T940</f>
        <v>82DH0531010065000564723</v>
      </c>
    </row>
    <row r="941" spans="5:18">
      <c r="E941" s="167" t="str">
        <f>'030523 INVENTARIO'!E941</f>
        <v>MESA</v>
      </c>
      <c r="F941" s="167" t="str">
        <f>'030523 INVENTARIO'!F941</f>
        <v>MESA DE CENTRO CAFÉ CON NEGRO 240X60</v>
      </c>
      <c r="G941" s="167" t="str">
        <f ca="1">'030523 INVENTARIO'!G941</f>
        <v>P21DG-0940</v>
      </c>
      <c r="H941" s="167" t="str">
        <f>'030523 INVENTARIO'!J941</f>
        <v>P21DG-0940</v>
      </c>
      <c r="I941" s="167" t="str">
        <f>'030523 INVENTARIO'!K941</f>
        <v>P21DG-057</v>
      </c>
      <c r="J941" s="167" t="str">
        <f>'030523 INVENTARIO'!L941</f>
        <v>P2DG-61</v>
      </c>
      <c r="K941" s="167" t="str">
        <f>'030523 INVENTARIO'!M941</f>
        <v>5120100007-14</v>
      </c>
      <c r="L941" s="168">
        <f>'030523 INVENTARIO'!N941</f>
        <v>0</v>
      </c>
      <c r="M941" s="168">
        <f>'030523 INVENTARIO'!O941</f>
        <v>0</v>
      </c>
      <c r="N941" s="168" t="str">
        <f>'030523 INVENTARIO'!P941</f>
        <v>OK</v>
      </c>
      <c r="O941" s="168" t="str">
        <f>'030523 INVENTARIO'!Q941</f>
        <v>S/M</v>
      </c>
      <c r="P941" s="167" t="str">
        <f>'030523 INVENTARIO'!R941</f>
        <v>S/M</v>
      </c>
      <c r="Q941" s="168" t="str">
        <f>'030523 INVENTARIO'!S941</f>
        <v>SIN SERIE</v>
      </c>
      <c r="R941" s="168" t="str">
        <f>'030523 INVENTARIO'!T941</f>
        <v>82DH0531010065000580341</v>
      </c>
    </row>
    <row r="942" spans="5:18">
      <c r="E942" s="167" t="str">
        <f>'030523 INVENTARIO'!E942</f>
        <v>MESA</v>
      </c>
      <c r="F942" s="167" t="str">
        <f>'030523 INVENTARIO'!F942</f>
        <v>MESA DE MADERA CABECERA 140X60</v>
      </c>
      <c r="G942" s="167" t="str">
        <f ca="1">'030523 INVENTARIO'!G942</f>
        <v>P21DG-0941</v>
      </c>
      <c r="H942" s="167" t="str">
        <f>'030523 INVENTARIO'!J942</f>
        <v>P21DG-0941</v>
      </c>
      <c r="I942" s="167" t="str">
        <f>'030523 INVENTARIO'!K942</f>
        <v>P21DG-058</v>
      </c>
      <c r="J942" s="167" t="str">
        <f>'030523 INVENTARIO'!L942</f>
        <v>P2DG-64</v>
      </c>
      <c r="K942" s="167" t="str">
        <f>'030523 INVENTARIO'!M942</f>
        <v>5120100007-17</v>
      </c>
      <c r="L942" s="168">
        <f>'030523 INVENTARIO'!N942</f>
        <v>0</v>
      </c>
      <c r="M942" s="168">
        <f>'030523 INVENTARIO'!O942</f>
        <v>0</v>
      </c>
      <c r="N942" s="168" t="str">
        <f>'030523 INVENTARIO'!P942</f>
        <v>OK</v>
      </c>
      <c r="O942" s="168" t="str">
        <f>'030523 INVENTARIO'!Q942</f>
        <v>S/M</v>
      </c>
      <c r="P942" s="167" t="str">
        <f>'030523 INVENTARIO'!R942</f>
        <v>S/M</v>
      </c>
      <c r="Q942" s="168" t="str">
        <f>'030523 INVENTARIO'!S942</f>
        <v>SIN SERIE</v>
      </c>
      <c r="R942" s="168" t="str">
        <f>'030523 INVENTARIO'!T942</f>
        <v>82DH0531010065000564725</v>
      </c>
    </row>
    <row r="943" spans="5:18">
      <c r="E943" s="167" t="str">
        <f>'030523 INVENTARIO'!E943</f>
        <v>MESA</v>
      </c>
      <c r="F943" s="167" t="str">
        <f>'030523 INVENTARIO'!F943</f>
        <v>MESA DE CENTRO CAFÉ CON NEGRO 240X60</v>
      </c>
      <c r="G943" s="167" t="str">
        <f ca="1">'030523 INVENTARIO'!G943</f>
        <v>P21DG-0942</v>
      </c>
      <c r="H943" s="167" t="str">
        <f>'030523 INVENTARIO'!J943</f>
        <v>P21DG-0942</v>
      </c>
      <c r="I943" s="167" t="str">
        <f>'030523 INVENTARIO'!K943</f>
        <v>P21DG-059</v>
      </c>
      <c r="J943" s="167" t="str">
        <f>'030523 INVENTARIO'!L943</f>
        <v>P2DG-66</v>
      </c>
      <c r="K943" s="167" t="str">
        <f>'030523 INVENTARIO'!M943</f>
        <v>5120100007-19</v>
      </c>
      <c r="L943" s="168">
        <f>'030523 INVENTARIO'!N943</f>
        <v>0</v>
      </c>
      <c r="M943" s="168">
        <f>'030523 INVENTARIO'!O943</f>
        <v>0</v>
      </c>
      <c r="N943" s="168" t="str">
        <f>'030523 INVENTARIO'!P943</f>
        <v>OK</v>
      </c>
      <c r="O943" s="168" t="str">
        <f>'030523 INVENTARIO'!Q943</f>
        <v>S/M</v>
      </c>
      <c r="P943" s="167" t="str">
        <f>'030523 INVENTARIO'!R943</f>
        <v>S/M</v>
      </c>
      <c r="Q943" s="168" t="str">
        <f>'030523 INVENTARIO'!S943</f>
        <v>SIN SERIE</v>
      </c>
      <c r="R943" s="168" t="str">
        <f>'030523 INVENTARIO'!T943</f>
        <v>82DH0531010065000564721</v>
      </c>
    </row>
    <row r="944" spans="5:18">
      <c r="E944" s="167" t="str">
        <f>'030523 INVENTARIO'!E944</f>
        <v>MESA</v>
      </c>
      <c r="F944" s="167" t="str">
        <f>'030523 INVENTARIO'!F944</f>
        <v>MESA DE CENTRO CAFÉ CON NEGRO 240X60</v>
      </c>
      <c r="G944" s="167" t="str">
        <f ca="1">'030523 INVENTARIO'!G944</f>
        <v>P21DG-0943</v>
      </c>
      <c r="H944" s="167" t="str">
        <f>'030523 INVENTARIO'!J944</f>
        <v>P21DG-0943</v>
      </c>
      <c r="I944" s="167" t="str">
        <f>'030523 INVENTARIO'!K944</f>
        <v>P21DG-060</v>
      </c>
      <c r="J944" s="167" t="str">
        <f>'030523 INVENTARIO'!L944</f>
        <v>P2DG-51</v>
      </c>
      <c r="K944" s="167" t="str">
        <f>'030523 INVENTARIO'!M944</f>
        <v>5120100007-10</v>
      </c>
      <c r="L944" s="168">
        <f>'030523 INVENTARIO'!N944</f>
        <v>0</v>
      </c>
      <c r="M944" s="168">
        <f>'030523 INVENTARIO'!O944</f>
        <v>0</v>
      </c>
      <c r="N944" s="168" t="str">
        <f>'030523 INVENTARIO'!P944</f>
        <v>OK</v>
      </c>
      <c r="O944" s="168" t="str">
        <f>'030523 INVENTARIO'!Q944</f>
        <v>S/M</v>
      </c>
      <c r="P944" s="167" t="str">
        <f>'030523 INVENTARIO'!R944</f>
        <v>S/M</v>
      </c>
      <c r="Q944" s="168" t="str">
        <f>'030523 INVENTARIO'!S944</f>
        <v>SIN SERIE</v>
      </c>
      <c r="R944" s="168" t="str">
        <f>'030523 INVENTARIO'!T944</f>
        <v>82DH0531010065000564716</v>
      </c>
    </row>
    <row r="945" spans="5:18">
      <c r="E945" s="167" t="str">
        <f>'030523 INVENTARIO'!E945</f>
        <v>ESCRITORIO</v>
      </c>
      <c r="F945" s="167" t="str">
        <f>'030523 INVENTARIO'!F945</f>
        <v>ESCRITORIO DE MADERA CON 2 CAJONES 120X60</v>
      </c>
      <c r="G945" s="167" t="str">
        <f ca="1">'030523 INVENTARIO'!G945</f>
        <v>P03CV-0944</v>
      </c>
      <c r="H945" s="167" t="str">
        <f>'030523 INVENTARIO'!J945</f>
        <v>P21DG-0944</v>
      </c>
      <c r="I945" s="167" t="str">
        <f>'030523 INVENTARIO'!K945</f>
        <v>P21DG-061</v>
      </c>
      <c r="J945" s="167" t="str">
        <f>'030523 INVENTARIO'!L945</f>
        <v>P2DG-50</v>
      </c>
      <c r="K945" s="167" t="str">
        <f>'030523 INVENTARIO'!M945</f>
        <v>5110100015-5</v>
      </c>
      <c r="L945" s="168">
        <f>'030523 INVENTARIO'!N945</f>
        <v>0</v>
      </c>
      <c r="M945" s="168">
        <f>'030523 INVENTARIO'!O945</f>
        <v>0</v>
      </c>
      <c r="N945" s="168" t="str">
        <f>'030523 INVENTARIO'!P945</f>
        <v>OK</v>
      </c>
      <c r="O945" s="168" t="str">
        <f>'030523 INVENTARIO'!Q945</f>
        <v>S/M</v>
      </c>
      <c r="P945" s="167" t="str">
        <f>'030523 INVENTARIO'!R945</f>
        <v>S/M</v>
      </c>
      <c r="Q945" s="168" t="str">
        <f>'030523 INVENTARIO'!S945</f>
        <v>SIN SERIE</v>
      </c>
      <c r="R945" s="168" t="str">
        <f>'030523 INVENTARIO'!T945</f>
        <v>82DH0511010006000534673</v>
      </c>
    </row>
    <row r="946" spans="5:18">
      <c r="E946" s="167" t="str">
        <f>'030523 INVENTARIO'!E946</f>
        <v>MESA</v>
      </c>
      <c r="F946" s="167" t="str">
        <f>'030523 INVENTARIO'!F946</f>
        <v>MESA DE MADERA 44X100X40</v>
      </c>
      <c r="G946" s="167" t="str">
        <f ca="1">'030523 INVENTARIO'!G946</f>
        <v>P21DG-0945</v>
      </c>
      <c r="H946" s="167" t="str">
        <f>'030523 INVENTARIO'!J946</f>
        <v>P21DG-0945</v>
      </c>
      <c r="I946" s="167" t="str">
        <f>'030523 INVENTARIO'!K946</f>
        <v>P21DG-062</v>
      </c>
      <c r="J946" s="167" t="str">
        <f>'030523 INVENTARIO'!L946</f>
        <v>P2DG-62</v>
      </c>
      <c r="K946" s="167" t="str">
        <f>'030523 INVENTARIO'!M946</f>
        <v>5120100007-15</v>
      </c>
      <c r="L946" s="168">
        <f>'030523 INVENTARIO'!N946</f>
        <v>0</v>
      </c>
      <c r="M946" s="168">
        <f>'030523 INVENTARIO'!O946</f>
        <v>0</v>
      </c>
      <c r="N946" s="168" t="str">
        <f>'030523 INVENTARIO'!P946</f>
        <v>OK</v>
      </c>
      <c r="O946" s="168" t="str">
        <f>'030523 INVENTARIO'!Q946</f>
        <v>S/M</v>
      </c>
      <c r="P946" s="167" t="str">
        <f>'030523 INVENTARIO'!R946</f>
        <v>S/M</v>
      </c>
      <c r="Q946" s="168" t="str">
        <f>'030523 INVENTARIO'!S946</f>
        <v>SIN SERIE</v>
      </c>
      <c r="R946" s="168" t="str">
        <f>'030523 INVENTARIO'!T946</f>
        <v>82DH0531010065000564786</v>
      </c>
    </row>
    <row r="947" spans="5:18">
      <c r="E947" s="167" t="str">
        <f>'030523 INVENTARIO'!E947</f>
        <v>IMPRESORA</v>
      </c>
      <c r="F947" s="168" t="str">
        <f>'030523 INVENTARIO'!F947</f>
        <v>IMPRESORA</v>
      </c>
      <c r="G947" s="167" t="str">
        <f ca="1">'030523 INVENTARIO'!G947</f>
        <v>P21DG-0946</v>
      </c>
      <c r="H947" s="167" t="str">
        <f>'030523 INVENTARIO'!J947</f>
        <v>P21DG-0946</v>
      </c>
      <c r="I947" s="167" t="str">
        <f>'030523 INVENTARIO'!K947</f>
        <v>P21DG-063</v>
      </c>
      <c r="J947" s="167" t="str">
        <f>'030523 INVENTARIO'!L947</f>
        <v>P2DG-49</v>
      </c>
      <c r="K947" s="167" t="str">
        <f>'030523 INVENTARIO'!M947</f>
        <v>5150100007-2</v>
      </c>
      <c r="L947" s="168">
        <f>'030523 INVENTARIO'!N947</f>
        <v>0</v>
      </c>
      <c r="M947" s="168">
        <f>'030523 INVENTARIO'!O947</f>
        <v>0</v>
      </c>
      <c r="N947" s="168" t="str">
        <f>'030523 INVENTARIO'!P947</f>
        <v>OK</v>
      </c>
      <c r="O947" s="168" t="str">
        <f>'030523 INVENTARIO'!Q947</f>
        <v>HP</v>
      </c>
      <c r="P947" s="167" t="str">
        <f>'030523 INVENTARIO'!R947</f>
        <v>LASERJET 1320</v>
      </c>
      <c r="Q947" s="168" t="str">
        <f>'030523 INVENTARIO'!S947</f>
        <v>CNL1G00442</v>
      </c>
      <c r="R947" s="168" t="str">
        <f>'030523 INVENTARIO'!T947</f>
        <v>82DH0515010010000515121</v>
      </c>
    </row>
    <row r="948" spans="5:18">
      <c r="E948" s="167" t="str">
        <f>'030523 INVENTARIO'!E948</f>
        <v>NO BREAK</v>
      </c>
      <c r="F948" s="167" t="str">
        <f>'030523 INVENTARIO'!F948</f>
        <v>NO BREAK</v>
      </c>
      <c r="G948" s="167" t="str">
        <f ca="1">'030523 INVENTARIO'!G948</f>
        <v>P12SI-0947</v>
      </c>
      <c r="H948" s="167" t="str">
        <f>'030523 INVENTARIO'!J948</f>
        <v>P21DG-0947</v>
      </c>
      <c r="I948" s="167" t="str">
        <f>'030523 INVENTARIO'!K948</f>
        <v>P21DG-064</v>
      </c>
      <c r="J948" s="167" t="str">
        <f>'030523 INVENTARIO'!L948</f>
        <v>P2DG-94</v>
      </c>
      <c r="K948" s="167" t="str">
        <f>'030523 INVENTARIO'!M948</f>
        <v>5150100008-2</v>
      </c>
      <c r="L948" s="168">
        <f>'030523 INVENTARIO'!N948</f>
        <v>0</v>
      </c>
      <c r="M948" s="168">
        <f>'030523 INVENTARIO'!O948</f>
        <v>0</v>
      </c>
      <c r="N948" s="168" t="str">
        <f>'030523 INVENTARIO'!P948</f>
        <v>OK</v>
      </c>
      <c r="O948" s="168" t="str">
        <f>'030523 INVENTARIO'!Q948</f>
        <v>CYBER ENERGY</v>
      </c>
      <c r="P948" s="167" t="str">
        <f>'030523 INVENTARIO'!R948</f>
        <v>OM750ATLCD</v>
      </c>
      <c r="Q948" s="167" t="str">
        <f>'030523 INVENTARIO'!S948</f>
        <v>1HZ5Y3000474</v>
      </c>
      <c r="R948" s="167" t="str">
        <f>'030523 INVENTARIO'!T948</f>
        <v>82DH0515010016000650642</v>
      </c>
    </row>
    <row r="949" spans="5:18">
      <c r="E949" s="167" t="str">
        <f>'030523 INVENTARIO'!E949</f>
        <v>TELEFONO</v>
      </c>
      <c r="F949" s="167" t="str">
        <f>'030523 INVENTARIO'!F949</f>
        <v>TELEFONO GRIS</v>
      </c>
      <c r="G949" s="167" t="str">
        <f ca="1">'030523 INVENTARIO'!G949</f>
        <v>P21DG-0948</v>
      </c>
      <c r="H949" s="167" t="str">
        <f>'030523 INVENTARIO'!J949</f>
        <v>P21DG-0948</v>
      </c>
      <c r="I949" s="167" t="str">
        <f>'030523 INVENTARIO'!K949</f>
        <v>P21DG-065</v>
      </c>
      <c r="J949" s="167" t="str">
        <f>'030523 INVENTARIO'!L949</f>
        <v>P2DG-46</v>
      </c>
      <c r="K949" s="167" t="str">
        <f>'030523 INVENTARIO'!M949</f>
        <v>5650100010-1</v>
      </c>
      <c r="L949" s="168">
        <f>'030523 INVENTARIO'!N949</f>
        <v>0</v>
      </c>
      <c r="M949" s="168">
        <f>'030523 INVENTARIO'!O949</f>
        <v>0</v>
      </c>
      <c r="N949" s="168" t="str">
        <f>'030523 INVENTARIO'!P949</f>
        <v>OK</v>
      </c>
      <c r="O949" s="168" t="str">
        <f>'030523 INVENTARIO'!Q949</f>
        <v>LINKSYS</v>
      </c>
      <c r="P949" s="167" t="str">
        <f>'030523 INVENTARIO'!R949</f>
        <v>SPA942</v>
      </c>
      <c r="Q949" s="168" t="str">
        <f>'030523 INVENTARIO'!S949</f>
        <v>4LO00H118468</v>
      </c>
      <c r="R949" s="167" t="str">
        <f>'030523 INVENTARIO'!T949</f>
        <v>82DH0565010001000527290</v>
      </c>
    </row>
    <row r="950" spans="5:18">
      <c r="E950" s="167" t="str">
        <f>'030523 INVENTARIO'!E950</f>
        <v>SILLA</v>
      </c>
      <c r="F950" s="167" t="str">
        <f>'030523 INVENTARIO'!F950</f>
        <v>SILLA NEGRA CON RUEDAS</v>
      </c>
      <c r="G950" s="167" t="str">
        <f ca="1">'030523 INVENTARIO'!G950</f>
        <v>P21DG-0949</v>
      </c>
      <c r="H950" s="167" t="str">
        <f>'030523 INVENTARIO'!J950</f>
        <v>P21DG-0949</v>
      </c>
      <c r="I950" s="167" t="str">
        <f>'030523 INVENTARIO'!K950</f>
        <v>P21DG-066</v>
      </c>
      <c r="J950" s="167" t="str">
        <f>'030523 INVENTARIO'!L950</f>
        <v>P2DG-23</v>
      </c>
      <c r="K950" s="167" t="str">
        <f>'030523 INVENTARIO'!M950</f>
        <v>5110100011-1</v>
      </c>
      <c r="L950" s="168">
        <f>'030523 INVENTARIO'!N950</f>
        <v>0</v>
      </c>
      <c r="M950" s="168">
        <f>'030523 INVENTARIO'!O950</f>
        <v>0</v>
      </c>
      <c r="N950" s="168" t="str">
        <f>'030523 INVENTARIO'!P950</f>
        <v>OK</v>
      </c>
      <c r="O950" s="168" t="str">
        <f>'030523 INVENTARIO'!Q950</f>
        <v>S/M</v>
      </c>
      <c r="P950" s="167" t="str">
        <f>'030523 INVENTARIO'!R950</f>
        <v>S/M</v>
      </c>
      <c r="Q950" s="167" t="str">
        <f>'030523 INVENTARIO'!S950</f>
        <v>SIN SERIE</v>
      </c>
      <c r="R950" s="168" t="str">
        <f>'030523 INVENTARIO'!T950</f>
        <v>82DH0511010017000516334</v>
      </c>
    </row>
    <row r="951" spans="5:18">
      <c r="E951" s="167" t="str">
        <f>'030523 INVENTARIO'!E951</f>
        <v>COMPUTADORA DE ESCRITORIO</v>
      </c>
      <c r="F951" s="168" t="str">
        <f>'030523 INVENTARIO'!F951</f>
        <v>COMPUTADORA NEGRO</v>
      </c>
      <c r="G951" s="167" t="str">
        <f ca="1">'030523 INVENTARIO'!G951</f>
        <v>P21DG-0950</v>
      </c>
      <c r="H951" s="167" t="str">
        <f>'030523 INVENTARIO'!J951</f>
        <v>P21DG-0950</v>
      </c>
      <c r="I951" s="167" t="str">
        <f>'030523 INVENTARIO'!K951</f>
        <v>P21DG-067</v>
      </c>
      <c r="J951" s="167" t="str">
        <f>'030523 INVENTARIO'!L951</f>
        <v>P2DG-47</v>
      </c>
      <c r="K951" s="167" t="str">
        <f>'030523 INVENTARIO'!M951</f>
        <v>5150100005-2</v>
      </c>
      <c r="L951" s="168">
        <f>'030523 INVENTARIO'!N951</f>
        <v>0</v>
      </c>
      <c r="M951" s="168">
        <f>'030523 INVENTARIO'!O951</f>
        <v>0</v>
      </c>
      <c r="N951" s="168" t="str">
        <f>'030523 INVENTARIO'!P951</f>
        <v>OK</v>
      </c>
      <c r="O951" s="168" t="str">
        <f>'030523 INVENTARIO'!Q951</f>
        <v>GHIA</v>
      </c>
      <c r="P951" s="167" t="str">
        <f>'030523 INVENTARIO'!R951</f>
        <v>PCGHIA2378</v>
      </c>
      <c r="Q951" s="168" t="str">
        <f>'030523 INVENTARIO'!S951</f>
        <v>337860</v>
      </c>
      <c r="R951" s="167" t="str">
        <f>'030523 INVENTARIO'!T951</f>
        <v>82DH0515010001000650662</v>
      </c>
    </row>
    <row r="952" spans="5:18">
      <c r="E952" s="167" t="str">
        <f>'030523 INVENTARIO'!E952</f>
        <v>MONITOR</v>
      </c>
      <c r="F952" s="167" t="str">
        <f>'030523 INVENTARIO'!F952</f>
        <v>MONITOR 18.5"</v>
      </c>
      <c r="G952" s="167" t="str">
        <f ca="1">'030523 INVENTARIO'!G952</f>
        <v>P21DG-0951</v>
      </c>
      <c r="H952" s="167" t="str">
        <f>'030523 INVENTARIO'!J952</f>
        <v>P21DG-0951</v>
      </c>
      <c r="I952" s="167" t="str">
        <f>'030523 INVENTARIO'!K952</f>
        <v>P21DG-068</v>
      </c>
      <c r="J952" s="167" t="str">
        <f>'030523 INVENTARIO'!L952</f>
        <v>P2DG-48</v>
      </c>
      <c r="K952" s="167" t="str">
        <f>'030523 INVENTARIO'!M952</f>
        <v>5210100012-1</v>
      </c>
      <c r="L952" s="168">
        <f>'030523 INVENTARIO'!N952</f>
        <v>0</v>
      </c>
      <c r="M952" s="168">
        <f>'030523 INVENTARIO'!O952</f>
        <v>0</v>
      </c>
      <c r="N952" s="168" t="str">
        <f>'030523 INVENTARIO'!P952</f>
        <v>OK</v>
      </c>
      <c r="O952" s="168" t="str">
        <f>'030523 INVENTARIO'!Q952</f>
        <v>SAMSUNG</v>
      </c>
      <c r="P952" s="167" t="str">
        <f>'030523 INVENTARIO'!R952</f>
        <v>933SN</v>
      </c>
      <c r="Q952" s="168" t="str">
        <f>'030523 INVENTARIO'!S952</f>
        <v>CM19H9LS423384F</v>
      </c>
      <c r="R952" s="168" t="str">
        <f>'030523 INVENTARIO'!T952</f>
        <v>82DH0515010013000651394</v>
      </c>
    </row>
    <row r="953" spans="5:18">
      <c r="E953" s="167" t="str">
        <f>'030523 INVENTARIO'!E953</f>
        <v>ESCRITORIO</v>
      </c>
      <c r="F953" s="167" t="str">
        <f>'030523 INVENTARIO'!F953</f>
        <v>ESCRITORIO DE MADERA CON UN CAJON 120X60</v>
      </c>
      <c r="G953" s="167" t="str">
        <f ca="1">'030523 INVENTARIO'!G953</f>
        <v>P21DG-0952</v>
      </c>
      <c r="H953" s="167" t="str">
        <f>'030523 INVENTARIO'!J953</f>
        <v>P21DG-0952</v>
      </c>
      <c r="I953" s="167" t="str">
        <f>'030523 INVENTARIO'!K953</f>
        <v>P21DG-069</v>
      </c>
      <c r="J953" s="167" t="str">
        <f>'030523 INVENTARIO'!L953</f>
        <v>P2DG-90</v>
      </c>
      <c r="K953" s="167" t="str">
        <f>'030523 INVENTARIO'!M953</f>
        <v>5110100015-6</v>
      </c>
      <c r="L953" s="168">
        <f>'030523 INVENTARIO'!N953</f>
        <v>0</v>
      </c>
      <c r="M953" s="168">
        <f>'030523 INVENTARIO'!O953</f>
        <v>0</v>
      </c>
      <c r="N953" s="168" t="str">
        <f>'030523 INVENTARIO'!P953</f>
        <v>OK</v>
      </c>
      <c r="O953" s="168" t="str">
        <f>'030523 INVENTARIO'!Q953</f>
        <v>S/M</v>
      </c>
      <c r="P953" s="167" t="str">
        <f>'030523 INVENTARIO'!R953</f>
        <v>S/M</v>
      </c>
      <c r="Q953" s="168" t="str">
        <f>'030523 INVENTARIO'!S953</f>
        <v>SIN SERIE</v>
      </c>
      <c r="R953" s="168" t="str">
        <f>'030523 INVENTARIO'!T953</f>
        <v>SIN RESGUARDO</v>
      </c>
    </row>
    <row r="954" spans="5:18">
      <c r="E954" s="167" t="str">
        <f>'030523 INVENTARIO'!E954</f>
        <v>VENTILADOR</v>
      </c>
      <c r="F954" s="168" t="str">
        <f>'030523 INVENTARIO'!F954</f>
        <v>VENTILADOR BLANCO</v>
      </c>
      <c r="G954" s="167" t="str">
        <f ca="1">'030523 INVENTARIO'!G954</f>
        <v>P05RM-0953</v>
      </c>
      <c r="H954" s="167" t="str">
        <f>'030523 INVENTARIO'!J954</f>
        <v>P21DG-0953</v>
      </c>
      <c r="I954" s="167" t="str">
        <f>'030523 INVENTARIO'!K954</f>
        <v>P21DG-070</v>
      </c>
      <c r="J954" s="167" t="str">
        <f>'030523 INVENTARIO'!L954</f>
        <v>P2DG-91</v>
      </c>
      <c r="K954" s="167" t="str">
        <f>'030523 INVENTARIO'!M954</f>
        <v>5190200002-1</v>
      </c>
      <c r="L954" s="168">
        <f>'030523 INVENTARIO'!N954</f>
        <v>0</v>
      </c>
      <c r="M954" s="168">
        <f>'030523 INVENTARIO'!O954</f>
        <v>0</v>
      </c>
      <c r="N954" s="168" t="str">
        <f>'030523 INVENTARIO'!P954</f>
        <v>OK</v>
      </c>
      <c r="O954" s="168" t="str">
        <f>'030523 INVENTARIO'!Q954</f>
        <v>MYTEK</v>
      </c>
      <c r="P954" s="167" t="str">
        <f>'030523 INVENTARIO'!R954</f>
        <v>S/M</v>
      </c>
      <c r="Q954" s="168" t="str">
        <f>'030523 INVENTARIO'!S954</f>
        <v>SIN SERIE</v>
      </c>
      <c r="R954" s="168" t="str">
        <f>'030523 INVENTARIO'!T954</f>
        <v>82DK0531010094000564894</v>
      </c>
    </row>
    <row r="955" spans="5:18">
      <c r="E955" s="167" t="str">
        <f>'030523 INVENTARIO'!E955</f>
        <v>SILLA</v>
      </c>
      <c r="F955" s="167" t="str">
        <f>'030523 INVENTARIO'!F955</f>
        <v>SILLA DE TELA NEGRA CON RUEDAS</v>
      </c>
      <c r="G955" s="167" t="str">
        <f ca="1">'030523 INVENTARIO'!G955</f>
        <v>P21DG-0954</v>
      </c>
      <c r="H955" s="167" t="str">
        <f>'030523 INVENTARIO'!J955</f>
        <v>P21DG-0954</v>
      </c>
      <c r="I955" s="167" t="str">
        <f>'030523 INVENTARIO'!K955</f>
        <v>P21DG-071</v>
      </c>
      <c r="J955" s="167" t="str">
        <f>'030523 INVENTARIO'!L955</f>
        <v>P2DG-93</v>
      </c>
      <c r="K955" s="167" t="str">
        <f>'030523 INVENTARIO'!M955</f>
        <v>5110100011-4</v>
      </c>
      <c r="L955" s="168">
        <f>'030523 INVENTARIO'!N955</f>
        <v>0</v>
      </c>
      <c r="M955" s="168">
        <f>'030523 INVENTARIO'!O955</f>
        <v>0</v>
      </c>
      <c r="N955" s="168" t="str">
        <f>'030523 INVENTARIO'!P955</f>
        <v>OK</v>
      </c>
      <c r="O955" s="168" t="str">
        <f>'030523 INVENTARIO'!Q955</f>
        <v>S/M</v>
      </c>
      <c r="P955" s="167" t="str">
        <f>'030523 INVENTARIO'!R955</f>
        <v>S/M</v>
      </c>
      <c r="Q955" s="168" t="str">
        <f>'030523 INVENTARIO'!S955</f>
        <v>SIN SERIE</v>
      </c>
      <c r="R955" s="168" t="str">
        <f>'030523 INVENTARIO'!T955</f>
        <v>82DH0511010017000517894</v>
      </c>
    </row>
    <row r="956" spans="5:18">
      <c r="E956" s="167" t="str">
        <f>'030523 INVENTARIO'!E956</f>
        <v>REGULADOR DE VOLTAJE</v>
      </c>
      <c r="F956" s="168" t="str">
        <f>'030523 INVENTARIO'!F956</f>
        <v>REGULADOR</v>
      </c>
      <c r="G956" s="167" t="str">
        <f ca="1">'030523 INVENTARIO'!G956</f>
        <v>P21DG-0955</v>
      </c>
      <c r="H956" s="167" t="str">
        <f>'030523 INVENTARIO'!J956</f>
        <v>P21DG-0955</v>
      </c>
      <c r="I956" s="167" t="str">
        <f>'030523 INVENTARIO'!K956</f>
        <v>P21DG-072</v>
      </c>
      <c r="J956" s="167" t="str">
        <f>'030523 INVENTARIO'!L956</f>
        <v>P2DG-84</v>
      </c>
      <c r="K956" s="167" t="str">
        <f>'030523 INVENTARIO'!M956</f>
        <v>5660100057-3</v>
      </c>
      <c r="L956" s="168">
        <f>'030523 INVENTARIO'!N956</f>
        <v>0</v>
      </c>
      <c r="M956" s="168">
        <f>'030523 INVENTARIO'!O956</f>
        <v>0</v>
      </c>
      <c r="N956" s="168" t="str">
        <f>'030523 INVENTARIO'!P956</f>
        <v>OK</v>
      </c>
      <c r="O956" s="168" t="str">
        <f>'030523 INVENTARIO'!Q956</f>
        <v>ISB</v>
      </c>
      <c r="P956" s="167" t="str">
        <f>'030523 INVENTARIO'!R956</f>
        <v>SOLA BASIC</v>
      </c>
      <c r="Q956" s="167" t="str">
        <f>'030523 INVENTARIO'!S956</f>
        <v>E01E38988</v>
      </c>
      <c r="R956" s="167" t="str">
        <f>'030523 INVENTARIO'!T956</f>
        <v>82DH0515010020000565742</v>
      </c>
    </row>
    <row r="957" spans="5:18">
      <c r="E957" s="167" t="str">
        <f>'030523 INVENTARIO'!E957</f>
        <v>MONITOR</v>
      </c>
      <c r="F957" s="167" t="str">
        <f>'030523 INVENTARIO'!F957</f>
        <v>MONITOR 17"</v>
      </c>
      <c r="G957" s="167" t="str">
        <f ca="1">'030523 INVENTARIO'!G957</f>
        <v>P21DG-0956</v>
      </c>
      <c r="H957" s="167" t="str">
        <f>'030523 INVENTARIO'!J957</f>
        <v>P21DG-0956</v>
      </c>
      <c r="I957" s="167" t="str">
        <f>'030523 INVENTARIO'!K957</f>
        <v>P21DG-073</v>
      </c>
      <c r="J957" s="167" t="str">
        <f>'030523 INVENTARIO'!L957</f>
        <v>P2DG-89</v>
      </c>
      <c r="K957" s="167" t="str">
        <f>'030523 INVENTARIO'!M957</f>
        <v>5210100012-2</v>
      </c>
      <c r="L957" s="168">
        <f>'030523 INVENTARIO'!N957</f>
        <v>0</v>
      </c>
      <c r="M957" s="168">
        <f>'030523 INVENTARIO'!O957</f>
        <v>0</v>
      </c>
      <c r="N957" s="168" t="str">
        <f>'030523 INVENTARIO'!P957</f>
        <v>OK</v>
      </c>
      <c r="O957" s="168" t="str">
        <f>'030523 INVENTARIO'!Q957</f>
        <v>SONY</v>
      </c>
      <c r="P957" s="167" t="str">
        <f>'030523 INVENTARIO'!R957</f>
        <v>SDM-HS73</v>
      </c>
      <c r="Q957" s="168" t="str">
        <f>'030523 INVENTARIO'!S957</f>
        <v>1439146</v>
      </c>
      <c r="R957" s="167" t="str">
        <f>'030523 INVENTARIO'!T957</f>
        <v>82DH0565010041000543577</v>
      </c>
    </row>
    <row r="958" spans="5:18">
      <c r="E958" s="167" t="str">
        <f>'030523 INVENTARIO'!E958</f>
        <v>COMPUTADORA DE ESCRITORIO</v>
      </c>
      <c r="F958" s="167" t="str">
        <f>'030523 INVENTARIO'!F958</f>
        <v>COMPUTADORA DE ESCRITORIO</v>
      </c>
      <c r="G958" s="167" t="str">
        <f ca="1">'030523 INVENTARIO'!G958</f>
        <v>P21DG-0957</v>
      </c>
      <c r="H958" s="167" t="str">
        <f>'030523 INVENTARIO'!J958</f>
        <v>P21DG-0957</v>
      </c>
      <c r="I958" s="167" t="str">
        <f>'030523 INVENTARIO'!K958</f>
        <v>P21DG-074</v>
      </c>
      <c r="J958" s="167" t="str">
        <f>'030523 INVENTARIO'!L958</f>
        <v>P2DG-92</v>
      </c>
      <c r="K958" s="167" t="str">
        <f>'030523 INVENTARIO'!M958</f>
        <v>5150100005-3</v>
      </c>
      <c r="L958" s="168">
        <f>'030523 INVENTARIO'!N958</f>
        <v>0</v>
      </c>
      <c r="M958" s="168">
        <f>'030523 INVENTARIO'!O958</f>
        <v>0</v>
      </c>
      <c r="N958" s="168" t="str">
        <f>'030523 INVENTARIO'!P958</f>
        <v>OK</v>
      </c>
      <c r="O958" s="168" t="str">
        <f>'030523 INVENTARIO'!Q958</f>
        <v>HP</v>
      </c>
      <c r="P958" s="167" t="str">
        <f>'030523 INVENTARIO'!R958</f>
        <v>DC7800</v>
      </c>
      <c r="Q958" s="168" t="str">
        <f>'030523 INVENTARIO'!S958</f>
        <v>MXJ819036D</v>
      </c>
      <c r="R958" s="168" t="str">
        <f>'030523 INVENTARIO'!T958</f>
        <v>82DJ0515010001000535534</v>
      </c>
    </row>
    <row r="959" spans="5:18">
      <c r="E959" s="167" t="str">
        <f>'030523 INVENTARIO'!E959</f>
        <v>REFRIGERADOR</v>
      </c>
      <c r="F959" s="167" t="str">
        <f>'030523 INVENTARIO'!F959</f>
        <v>REFRIGERADOR BLANCO DE 5FT</v>
      </c>
      <c r="G959" s="167" t="str">
        <f ca="1">'030523 INVENTARIO'!G959</f>
        <v>P21DG-0958</v>
      </c>
      <c r="H959" s="167" t="str">
        <f>'030523 INVENTARIO'!J959</f>
        <v>P21DG-0958</v>
      </c>
      <c r="I959" s="167" t="str">
        <f>'030523 INVENTARIO'!K959</f>
        <v>P21DG-075</v>
      </c>
      <c r="J959" s="167" t="str">
        <f>'030523 INVENTARIO'!L959</f>
        <v>P2DG-76</v>
      </c>
      <c r="K959" s="167" t="str">
        <f>'030523 INVENTARIO'!M959</f>
        <v>5120100001-1</v>
      </c>
      <c r="L959" s="168">
        <f>'030523 INVENTARIO'!N959</f>
        <v>0</v>
      </c>
      <c r="M959" s="168">
        <f>'030523 INVENTARIO'!O959</f>
        <v>0</v>
      </c>
      <c r="N959" s="168" t="str">
        <f>'030523 INVENTARIO'!P959</f>
        <v>OK</v>
      </c>
      <c r="O959" s="168" t="str">
        <f>'030523 INVENTARIO'!Q959</f>
        <v>MABE</v>
      </c>
      <c r="P959" s="167" t="str">
        <f>'030523 INVENTARIO'!R959</f>
        <v>RM62W07</v>
      </c>
      <c r="Q959" s="168" t="str">
        <f>'030523 INVENTARIO'!S959</f>
        <v>SIN SERIE</v>
      </c>
      <c r="R959" s="167" t="str">
        <f>'030523 INVENTARIO'!T959</f>
        <v>82DH0519010036000543274</v>
      </c>
    </row>
    <row r="960" spans="5:18">
      <c r="E960" s="167" t="str">
        <f>'030523 INVENTARIO'!E960</f>
        <v>ESTANTE O ANAQUEL</v>
      </c>
      <c r="F960" s="167" t="str">
        <f>'030523 INVENTARIO'!F960</f>
        <v>ANAQUEL MADERA CON 4 PUERTAS 180X77X40</v>
      </c>
      <c r="G960" s="167" t="str">
        <f ca="1">'030523 INVENTARIO'!G960</f>
        <v>P21DG-0959</v>
      </c>
      <c r="H960" s="167" t="str">
        <f>'030523 INVENTARIO'!J960</f>
        <v>P21DG-0959</v>
      </c>
      <c r="I960" s="167" t="str">
        <f>'030523 INVENTARIO'!K960</f>
        <v>P21DG-076</v>
      </c>
      <c r="J960" s="167" t="str">
        <f>'030523 INVENTARIO'!L960</f>
        <v>P2DG-77</v>
      </c>
      <c r="K960" s="167" t="str">
        <f>'030523 INVENTARIO'!M960</f>
        <v>5290300001-1</v>
      </c>
      <c r="L960" s="168">
        <f>'030523 INVENTARIO'!N960</f>
        <v>0</v>
      </c>
      <c r="M960" s="168">
        <f>'030523 INVENTARIO'!O960</f>
        <v>0</v>
      </c>
      <c r="N960" s="168" t="str">
        <f>'030523 INVENTARIO'!P960</f>
        <v>OK</v>
      </c>
      <c r="O960" s="168" t="str">
        <f>'030523 INVENTARIO'!Q960</f>
        <v>S/M</v>
      </c>
      <c r="P960" s="167" t="str">
        <f>'030523 INVENTARIO'!R960</f>
        <v>S/M</v>
      </c>
      <c r="Q960" s="168" t="str">
        <f>'030523 INVENTARIO'!S960</f>
        <v>SIN SERIE</v>
      </c>
      <c r="R960" s="168" t="str">
        <f>'030523 INVENTARIO'!T960</f>
        <v>82DH0511010009000564611</v>
      </c>
    </row>
    <row r="961" spans="5:18">
      <c r="E961" s="167" t="str">
        <f>'030523 INVENTARIO'!E961</f>
        <v>SILLA</v>
      </c>
      <c r="F961" s="167" t="str">
        <f>'030523 INVENTARIO'!F961</f>
        <v>SILLA DE TELA NEGRA FIJA</v>
      </c>
      <c r="G961" s="167" t="str">
        <f ca="1">'030523 INVENTARIO'!G961</f>
        <v>P21DG-0960</v>
      </c>
      <c r="H961" s="167" t="str">
        <f>'030523 INVENTARIO'!J961</f>
        <v>P21DG-0960</v>
      </c>
      <c r="I961" s="167" t="str">
        <f>'030523 INVENTARIO'!K961</f>
        <v>P21DG-077</v>
      </c>
      <c r="J961" s="167" t="str">
        <f>'030523 INVENTARIO'!L961</f>
        <v>P2DG-100</v>
      </c>
      <c r="K961" s="167" t="str">
        <f>'030523 INVENTARIO'!M961</f>
        <v>ALTA</v>
      </c>
      <c r="L961" s="168">
        <f>'030523 INVENTARIO'!N961</f>
        <v>0</v>
      </c>
      <c r="M961" s="168">
        <f>'030523 INVENTARIO'!O961</f>
        <v>0</v>
      </c>
      <c r="N961" s="168" t="str">
        <f>'030523 INVENTARIO'!P961</f>
        <v>REPETIDO</v>
      </c>
      <c r="O961" s="168" t="str">
        <f>'030523 INVENTARIO'!Q961</f>
        <v>S/M</v>
      </c>
      <c r="P961" s="167" t="str">
        <f>'030523 INVENTARIO'!R961</f>
        <v>S/M</v>
      </c>
      <c r="Q961" s="168" t="str">
        <f>'030523 INVENTARIO'!S961</f>
        <v>SIN SERIE</v>
      </c>
      <c r="R961" s="168" t="str">
        <f>'030523 INVENTARIO'!T961</f>
        <v>82DH0511010017000564620</v>
      </c>
    </row>
    <row r="962" spans="5:18">
      <c r="E962" s="167" t="str">
        <f>'030523 INVENTARIO'!E962</f>
        <v>HORNO</v>
      </c>
      <c r="F962" s="168" t="str">
        <f>'030523 INVENTARIO'!F962</f>
        <v>HORNO DE MICROONDAS</v>
      </c>
      <c r="G962" s="167" t="str">
        <f ca="1">'030523 INVENTARIO'!G962</f>
        <v>P21DG-0961</v>
      </c>
      <c r="H962" s="167" t="str">
        <f>'030523 INVENTARIO'!J962</f>
        <v>P21DG-0961</v>
      </c>
      <c r="I962" s="167" t="str">
        <f>'030523 INVENTARIO'!K962</f>
        <v>P21DG-078</v>
      </c>
      <c r="J962" s="167" t="str">
        <f>'030523 INVENTARIO'!L962</f>
        <v>P2DG-80</v>
      </c>
      <c r="K962" s="167" t="str">
        <f>'030523 INVENTARIO'!M962</f>
        <v>5690100331-1</v>
      </c>
      <c r="L962" s="168">
        <f>'030523 INVENTARIO'!N962</f>
        <v>0</v>
      </c>
      <c r="M962" s="168">
        <f>'030523 INVENTARIO'!O962</f>
        <v>0</v>
      </c>
      <c r="N962" s="168" t="str">
        <f>'030523 INVENTARIO'!P962</f>
        <v>OK</v>
      </c>
      <c r="O962" s="168" t="str">
        <f>'030523 INVENTARIO'!Q962</f>
        <v>PANASONIC</v>
      </c>
      <c r="P962" s="167" t="str">
        <f>'030523 INVENTARIO'!R962</f>
        <v>NN-SB636W</v>
      </c>
      <c r="Q962" s="168" t="str">
        <f>'030523 INVENTARIO'!S962</f>
        <v>6G29150241</v>
      </c>
      <c r="R962" s="167" t="str">
        <f>'030523 INVENTARIO'!T962</f>
        <v>82DH0519010026000649404</v>
      </c>
    </row>
    <row r="963" spans="5:18">
      <c r="E963" s="167" t="str">
        <f>'030523 INVENTARIO'!E963</f>
        <v>MESA</v>
      </c>
      <c r="F963" s="167" t="str">
        <f>'030523 INVENTARIO'!F963</f>
        <v>MESA DE MADERA CON BASE METAL 120X60</v>
      </c>
      <c r="G963" s="167" t="str">
        <f ca="1">'030523 INVENTARIO'!G963</f>
        <v>P21DG-0962</v>
      </c>
      <c r="H963" s="167" t="str">
        <f>'030523 INVENTARIO'!J963</f>
        <v>P21DG-0962</v>
      </c>
      <c r="I963" s="167" t="str">
        <f>'030523 INVENTARIO'!K963</f>
        <v>P21DG-079</v>
      </c>
      <c r="J963" s="167" t="str">
        <f>'030523 INVENTARIO'!L963</f>
        <v>P2DG-78</v>
      </c>
      <c r="K963" s="167" t="str">
        <f>'030523 INVENTARIO'!M963</f>
        <v>5120100007-23</v>
      </c>
      <c r="L963" s="168">
        <f>'030523 INVENTARIO'!N963</f>
        <v>0</v>
      </c>
      <c r="M963" s="168">
        <f>'030523 INVENTARIO'!O963</f>
        <v>0</v>
      </c>
      <c r="N963" s="168" t="str">
        <f>'030523 INVENTARIO'!P963</f>
        <v>OK</v>
      </c>
      <c r="O963" s="168" t="str">
        <f>'030523 INVENTARIO'!Q963</f>
        <v>S/M</v>
      </c>
      <c r="P963" s="167" t="str">
        <f>'030523 INVENTARIO'!R963</f>
        <v>S/M</v>
      </c>
      <c r="Q963" s="168" t="str">
        <f>'030523 INVENTARIO'!S963</f>
        <v>SIN SERIE</v>
      </c>
      <c r="R963" s="168" t="str">
        <f>'030523 INVENTARIO'!T963</f>
        <v>82DH0511010010000651392</v>
      </c>
    </row>
    <row r="964" spans="5:18">
      <c r="E964" s="167" t="str">
        <f>'030523 INVENTARIO'!E964</f>
        <v>MESA</v>
      </c>
      <c r="F964" s="167" t="str">
        <f>'030523 INVENTARIO'!F964</f>
        <v>MESA DE MADERA CON BASE METAL 120X60</v>
      </c>
      <c r="G964" s="167" t="str">
        <f ca="1">'030523 INVENTARIO'!G964</f>
        <v>P21DG-0963</v>
      </c>
      <c r="H964" s="167" t="str">
        <f>'030523 INVENTARIO'!J964</f>
        <v>P21DG-0963</v>
      </c>
      <c r="I964" s="167" t="str">
        <f>'030523 INVENTARIO'!K964</f>
        <v>P21DG-080</v>
      </c>
      <c r="J964" s="167" t="str">
        <f>'030523 INVENTARIO'!L964</f>
        <v>P2DG-79</v>
      </c>
      <c r="K964" s="167" t="str">
        <f>'030523 INVENTARIO'!M964</f>
        <v>5120100007-24</v>
      </c>
      <c r="L964" s="168">
        <f>'030523 INVENTARIO'!N964</f>
        <v>0</v>
      </c>
      <c r="M964" s="168">
        <f>'030523 INVENTARIO'!O964</f>
        <v>0</v>
      </c>
      <c r="N964" s="168" t="str">
        <f>'030523 INVENTARIO'!P964</f>
        <v>OK</v>
      </c>
      <c r="O964" s="168" t="str">
        <f>'030523 INVENTARIO'!Q964</f>
        <v>S/M</v>
      </c>
      <c r="P964" s="167" t="str">
        <f>'030523 INVENTARIO'!R964</f>
        <v>S/M</v>
      </c>
      <c r="Q964" s="168" t="str">
        <f>'030523 INVENTARIO'!S964</f>
        <v>SIN SERIE</v>
      </c>
      <c r="R964" s="168" t="str">
        <f>'030523 INVENTARIO'!T964</f>
        <v>82DH0511010010000651386</v>
      </c>
    </row>
    <row r="965" spans="5:18">
      <c r="E965" s="167" t="str">
        <f>'030523 INVENTARIO'!E965</f>
        <v>MESA</v>
      </c>
      <c r="F965" s="167" t="str">
        <f>'030523 INVENTARIO'!F965</f>
        <v>MESA TRAPECIO AZUL CON BASE DE METAL</v>
      </c>
      <c r="G965" s="167" t="str">
        <f ca="1">'030523 INVENTARIO'!G965</f>
        <v>P21DG-0964</v>
      </c>
      <c r="H965" s="167" t="str">
        <f>'030523 INVENTARIO'!J965</f>
        <v>P21DG-0964</v>
      </c>
      <c r="I965" s="167" t="str">
        <f>'030523 INVENTARIO'!K965</f>
        <v>P21DG-081</v>
      </c>
      <c r="J965" s="167" t="str">
        <f>'030523 INVENTARIO'!L965</f>
        <v>P2DG-75</v>
      </c>
      <c r="K965" s="167" t="str">
        <f>'030523 INVENTARIO'!M965</f>
        <v>5120100007-22</v>
      </c>
      <c r="L965" s="168">
        <f>'030523 INVENTARIO'!N965</f>
        <v>0</v>
      </c>
      <c r="M965" s="168">
        <f>'030523 INVENTARIO'!O965</f>
        <v>0</v>
      </c>
      <c r="N965" s="168" t="str">
        <f>'030523 INVENTARIO'!P965</f>
        <v>OK</v>
      </c>
      <c r="O965" s="168" t="str">
        <f>'030523 INVENTARIO'!Q965</f>
        <v>S/M</v>
      </c>
      <c r="P965" s="167" t="str">
        <f>'030523 INVENTARIO'!R965</f>
        <v>S/M</v>
      </c>
      <c r="Q965" s="168" t="str">
        <f>'030523 INVENTARIO'!S965</f>
        <v>SIN SERIE</v>
      </c>
      <c r="R965" s="168" t="str">
        <f>'030523 INVENTARIO'!T965</f>
        <v>SIN RESGUARDO</v>
      </c>
    </row>
    <row r="966" spans="5:18">
      <c r="E966" s="167" t="str">
        <f>'030523 INVENTARIO'!E966</f>
        <v>CAFETERA</v>
      </c>
      <c r="F966" s="168" t="str">
        <f>'030523 INVENTARIO'!F966</f>
        <v>CAFETERA</v>
      </c>
      <c r="G966" s="167" t="str">
        <f ca="1">'030523 INVENTARIO'!G966</f>
        <v>P21DG-0965</v>
      </c>
      <c r="H966" s="167" t="str">
        <f>'030523 INVENTARIO'!J966</f>
        <v>P21DG-0965</v>
      </c>
      <c r="I966" s="167" t="str">
        <f>'030523 INVENTARIO'!K966</f>
        <v>P21DG-082</v>
      </c>
      <c r="J966" s="167" t="str">
        <f>'030523 INVENTARIO'!L966</f>
        <v>P2DG-19</v>
      </c>
      <c r="K966" s="168" t="str">
        <f>'030523 INVENTARIO'!M966</f>
        <v>5120100001-13</v>
      </c>
      <c r="L966" s="168">
        <f>'030523 INVENTARIO'!N966</f>
        <v>0</v>
      </c>
      <c r="M966" s="168">
        <f>'030523 INVENTARIO'!O966</f>
        <v>0</v>
      </c>
      <c r="N966" s="168" t="str">
        <f>'030523 INVENTARIO'!P966</f>
        <v>OK</v>
      </c>
      <c r="O966" s="168" t="str">
        <f>'030523 INVENTARIO'!Q966</f>
        <v>OSTER</v>
      </c>
      <c r="P966" s="167" t="str">
        <f>'030523 INVENTARIO'!R966</f>
        <v>BVSTDC-3390</v>
      </c>
      <c r="Q966" s="168" t="str">
        <f>'030523 INVENTARIO'!S966</f>
        <v>M199JM</v>
      </c>
      <c r="R966" s="168" t="str">
        <f>'030523 INVENTARIO'!T966</f>
        <v>82DH0519010006000649406</v>
      </c>
    </row>
    <row r="967" spans="5:18">
      <c r="E967" s="167" t="str">
        <f>'030523 INVENTARIO'!E967</f>
        <v>MESA</v>
      </c>
      <c r="F967" s="167" t="str">
        <f>'030523 INVENTARIO'!F967</f>
        <v>MESA DE CRISTAL CON BASE DE METAL 71X55</v>
      </c>
      <c r="G967" s="167" t="str">
        <f ca="1">'030523 INVENTARIO'!G967</f>
        <v>P21DG-0966</v>
      </c>
      <c r="H967" s="167" t="str">
        <f>'030523 INVENTARIO'!J967</f>
        <v>P21DG-0966</v>
      </c>
      <c r="I967" s="167" t="str">
        <f>'030523 INVENTARIO'!K967</f>
        <v>P21DG-083</v>
      </c>
      <c r="J967" s="167" t="str">
        <f>'030523 INVENTARIO'!L967</f>
        <v>P2DG-55</v>
      </c>
      <c r="K967" s="167" t="str">
        <f>'030523 INVENTARIO'!M967</f>
        <v>5120100007-161</v>
      </c>
      <c r="L967" s="168">
        <f>'030523 INVENTARIO'!N967</f>
        <v>0</v>
      </c>
      <c r="M967" s="168">
        <f>'030523 INVENTARIO'!O967</f>
        <v>0</v>
      </c>
      <c r="N967" s="168" t="str">
        <f>'030523 INVENTARIO'!P967</f>
        <v>OK</v>
      </c>
      <c r="O967" s="168" t="str">
        <f>'030523 INVENTARIO'!Q967</f>
        <v>S/M</v>
      </c>
      <c r="P967" s="167" t="str">
        <f>'030523 INVENTARIO'!R967</f>
        <v>S/M</v>
      </c>
      <c r="Q967" s="168" t="str">
        <f>'030523 INVENTARIO'!S967</f>
        <v>SIN SERIE</v>
      </c>
      <c r="R967" s="168" t="str">
        <f>'030523 INVENTARIO'!T967</f>
        <v>82DH0531010065000564731</v>
      </c>
    </row>
    <row r="968" spans="5:18">
      <c r="E968" s="167" t="str">
        <f>'030523 INVENTARIO'!E968</f>
        <v>MESA</v>
      </c>
      <c r="F968" s="167" t="str">
        <f>'030523 INVENTARIO'!F968</f>
        <v>MESA DE CRISTAL CON BASE DE METAL 71X55</v>
      </c>
      <c r="G968" s="167" t="str">
        <f ca="1">'030523 INVENTARIO'!G968</f>
        <v>P21DG-0967</v>
      </c>
      <c r="H968" s="167" t="str">
        <f>'030523 INVENTARIO'!J968</f>
        <v>P21DG-0967</v>
      </c>
      <c r="I968" s="167" t="str">
        <f>'030523 INVENTARIO'!K968</f>
        <v>P21DG-084</v>
      </c>
      <c r="J968" s="167" t="str">
        <f>'030523 INVENTARIO'!L968</f>
        <v>P2DG-73</v>
      </c>
      <c r="K968" s="167" t="str">
        <f>'030523 INVENTARIO'!M968</f>
        <v>5120100007-20</v>
      </c>
      <c r="L968" s="168">
        <f>'030523 INVENTARIO'!N968</f>
        <v>0</v>
      </c>
      <c r="M968" s="168">
        <f>'030523 INVENTARIO'!O968</f>
        <v>0</v>
      </c>
      <c r="N968" s="168" t="str">
        <f>'030523 INVENTARIO'!P968</f>
        <v>OK</v>
      </c>
      <c r="O968" s="168" t="str">
        <f>'030523 INVENTARIO'!Q968</f>
        <v>S/M</v>
      </c>
      <c r="P968" s="167" t="str">
        <f>'030523 INVENTARIO'!R968</f>
        <v>S/M</v>
      </c>
      <c r="Q968" s="168" t="str">
        <f>'030523 INVENTARIO'!S968</f>
        <v>SIN SERIE</v>
      </c>
      <c r="R968" s="168" t="str">
        <f>'030523 INVENTARIO'!T968</f>
        <v>82DH0531010065000564732</v>
      </c>
    </row>
    <row r="969" spans="5:18">
      <c r="E969" s="167" t="str">
        <f>'030523 INVENTARIO'!E969</f>
        <v>MESA</v>
      </c>
      <c r="F969" s="167" t="str">
        <f>'030523 INVENTARIO'!F969</f>
        <v>MESA DE METAL CON MADERA BEIGE 120X60</v>
      </c>
      <c r="G969" s="167" t="str">
        <f ca="1">'030523 INVENTARIO'!G969</f>
        <v>P21DG-0968</v>
      </c>
      <c r="H969" s="167" t="str">
        <f>'030523 INVENTARIO'!J969</f>
        <v>P21DG-0968</v>
      </c>
      <c r="I969" s="167" t="str">
        <f>'030523 INVENTARIO'!K969</f>
        <v>P21DG-085</v>
      </c>
      <c r="J969" s="167" t="str">
        <f>'030523 INVENTARIO'!L969</f>
        <v>P2DG-83</v>
      </c>
      <c r="K969" s="167" t="str">
        <f>'030523 INVENTARIO'!M969</f>
        <v>5120100007-26</v>
      </c>
      <c r="L969" s="168">
        <f>'030523 INVENTARIO'!N969</f>
        <v>0</v>
      </c>
      <c r="M969" s="168">
        <f>'030523 INVENTARIO'!O969</f>
        <v>0</v>
      </c>
      <c r="N969" s="168" t="str">
        <f>'030523 INVENTARIO'!P969</f>
        <v>OK</v>
      </c>
      <c r="O969" s="168" t="str">
        <f>'030523 INVENTARIO'!Q969</f>
        <v>S/M</v>
      </c>
      <c r="P969" s="167" t="str">
        <f>'030523 INVENTARIO'!R969</f>
        <v>S/M</v>
      </c>
      <c r="Q969" s="168" t="str">
        <f>'030523 INVENTARIO'!S969</f>
        <v>SIN SERIE</v>
      </c>
      <c r="R969" s="168" t="str">
        <f>'030523 INVENTARIO'!T969</f>
        <v>82DH0511010010000651380</v>
      </c>
    </row>
    <row r="970" spans="5:18">
      <c r="E970" s="167" t="str">
        <f>'030523 INVENTARIO'!E970</f>
        <v>MESA</v>
      </c>
      <c r="F970" s="167" t="str">
        <f>'030523 INVENTARIO'!F970</f>
        <v>MESA DE CRISTAL CON BASE DE METAL 100X65</v>
      </c>
      <c r="G970" s="167" t="str">
        <f ca="1">'030523 INVENTARIO'!G970</f>
        <v>P21DG-0969</v>
      </c>
      <c r="H970" s="167" t="str">
        <f>'030523 INVENTARIO'!J970</f>
        <v>P21DG-0969</v>
      </c>
      <c r="I970" s="167" t="str">
        <f>'030523 INVENTARIO'!K970</f>
        <v>P21DG-086</v>
      </c>
      <c r="J970" s="167" t="str">
        <f>'030523 INVENTARIO'!L970</f>
        <v>P2DG-54</v>
      </c>
      <c r="K970" s="167" t="str">
        <f>'030523 INVENTARIO'!M970</f>
        <v>5110100015-2</v>
      </c>
      <c r="L970" s="168">
        <f>'030523 INVENTARIO'!N970</f>
        <v>0</v>
      </c>
      <c r="M970" s="168">
        <f>'030523 INVENTARIO'!O970</f>
        <v>0</v>
      </c>
      <c r="N970" s="168" t="str">
        <f>'030523 INVENTARIO'!P970</f>
        <v>OK</v>
      </c>
      <c r="O970" s="168" t="str">
        <f>'030523 INVENTARIO'!Q970</f>
        <v>S/M</v>
      </c>
      <c r="P970" s="167" t="str">
        <f>'030523 INVENTARIO'!R970</f>
        <v>S/M</v>
      </c>
      <c r="Q970" s="168" t="str">
        <f>'030523 INVENTARIO'!S970</f>
        <v>SIN SERIE</v>
      </c>
      <c r="R970" s="168" t="str">
        <f>'030523 INVENTARIO'!T970</f>
        <v>82DH0531010065000564729</v>
      </c>
    </row>
    <row r="971" spans="5:18">
      <c r="E971" s="167" t="str">
        <f>'030523 INVENTARIO'!E971</f>
        <v>JUEGO DE SALA</v>
      </c>
      <c r="F971" s="168" t="str">
        <f>'030523 INVENTARIO'!F971</f>
        <v>JUEGO DE SALA DE PIEL NEGRA DE 3 PIEZAS</v>
      </c>
      <c r="G971" s="167" t="str">
        <f ca="1">'030523 INVENTARIO'!G971</f>
        <v>P21DG-0970</v>
      </c>
      <c r="H971" s="167" t="str">
        <f>'030523 INVENTARIO'!J971</f>
        <v>P21DG-0970</v>
      </c>
      <c r="I971" s="167" t="str">
        <f>'030523 INVENTARIO'!K971</f>
        <v>P21DG-087</v>
      </c>
      <c r="J971" s="167" t="str">
        <f>'030523 INVENTARIO'!L971</f>
        <v>P2DG-81</v>
      </c>
      <c r="K971" s="167" t="str">
        <f>'030523 INVENTARIO'!M971</f>
        <v>5120100006-1</v>
      </c>
      <c r="L971" s="168">
        <f>'030523 INVENTARIO'!N971</f>
        <v>0</v>
      </c>
      <c r="M971" s="168">
        <f>'030523 INVENTARIO'!O971</f>
        <v>0</v>
      </c>
      <c r="N971" s="168" t="str">
        <f>'030523 INVENTARIO'!P971</f>
        <v>OK</v>
      </c>
      <c r="O971" s="168" t="str">
        <f>'030523 INVENTARIO'!Q971</f>
        <v>S/M</v>
      </c>
      <c r="P971" s="167" t="str">
        <f>'030523 INVENTARIO'!R971</f>
        <v>S/M</v>
      </c>
      <c r="Q971" s="168" t="str">
        <f>'030523 INVENTARIO'!S971</f>
        <v>SIN SERIE</v>
      </c>
      <c r="R971" s="168" t="str">
        <f>'030523 INVENTARIO'!T971</f>
        <v>82DH0512010023000517045</v>
      </c>
    </row>
    <row r="972" spans="5:18">
      <c r="E972" s="167" t="str">
        <f>'030523 INVENTARIO'!E972</f>
        <v>VENTILADOR</v>
      </c>
      <c r="F972" s="168" t="str">
        <f>'030523 INVENTARIO'!F972</f>
        <v>VENTILADOR DE PARED GRIS</v>
      </c>
      <c r="G972" s="167" t="str">
        <f ca="1">'030523 INVENTARIO'!G972</f>
        <v>P21DG-0971</v>
      </c>
      <c r="H972" s="167" t="str">
        <f>'030523 INVENTARIO'!J972</f>
        <v>P21DG-0971</v>
      </c>
      <c r="I972" s="167" t="str">
        <f>'030523 INVENTARIO'!K972</f>
        <v>P21DG-088</v>
      </c>
      <c r="J972" s="167" t="str">
        <f>'030523 INVENTARIO'!L972</f>
        <v>P2DG-85</v>
      </c>
      <c r="K972" s="167" t="str">
        <f>'030523 INVENTARIO'!M972</f>
        <v>5190200002-2</v>
      </c>
      <c r="L972" s="168">
        <f>'030523 INVENTARIO'!N972</f>
        <v>0</v>
      </c>
      <c r="M972" s="168">
        <f>'030523 INVENTARIO'!O972</f>
        <v>0</v>
      </c>
      <c r="N972" s="168" t="str">
        <f>'030523 INVENTARIO'!P972</f>
        <v>OK</v>
      </c>
      <c r="O972" s="168" t="str">
        <f>'030523 INVENTARIO'!Q972</f>
        <v>NAVIA</v>
      </c>
      <c r="P972" s="167" t="str">
        <f>'030523 INVENTARIO'!R972</f>
        <v>VPN/018CROS</v>
      </c>
      <c r="Q972" s="168" t="str">
        <f>'030523 INVENTARIO'!S972</f>
        <v>12275</v>
      </c>
      <c r="R972" s="168" t="str">
        <f>'030523 INVENTARIO'!T972</f>
        <v>82DH0531010094000581260</v>
      </c>
    </row>
    <row r="973" spans="5:18">
      <c r="E973" s="167" t="str">
        <f>'030523 INVENTARIO'!E973</f>
        <v>MESA</v>
      </c>
      <c r="F973" s="167" t="str">
        <f>'030523 INVENTARIO'!F973</f>
        <v>MESA DE MADERA COMPLEMENTO TIPO BALA 160X60</v>
      </c>
      <c r="G973" s="167" t="str">
        <f ca="1">'030523 INVENTARIO'!G973</f>
        <v>P21DG-0972</v>
      </c>
      <c r="H973" s="167" t="str">
        <f>'030523 INVENTARIO'!J973</f>
        <v>P21DG-0972</v>
      </c>
      <c r="I973" s="167" t="str">
        <f>'030523 INVENTARIO'!K973</f>
        <v>P21DG-089</v>
      </c>
      <c r="J973" s="167" t="str">
        <f>'030523 INVENTARIO'!L973</f>
        <v>P2DG-103</v>
      </c>
      <c r="K973" s="167" t="str">
        <f>'030523 INVENTARIO'!M973</f>
        <v>5120100007-27</v>
      </c>
      <c r="L973" s="168">
        <f>'030523 INVENTARIO'!N973</f>
        <v>0</v>
      </c>
      <c r="M973" s="168">
        <f>'030523 INVENTARIO'!O973</f>
        <v>0</v>
      </c>
      <c r="N973" s="168" t="str">
        <f>'030523 INVENTARIO'!P973</f>
        <v>OK</v>
      </c>
      <c r="O973" s="168" t="str">
        <f>'030523 INVENTARIO'!Q973</f>
        <v>S/M</v>
      </c>
      <c r="P973" s="167" t="str">
        <f>'030523 INVENTARIO'!R973</f>
        <v>S/M</v>
      </c>
      <c r="Q973" s="168" t="str">
        <f>'030523 INVENTARIO'!S973</f>
        <v>SIN SERIE</v>
      </c>
      <c r="R973" s="168" t="str">
        <f>'030523 INVENTARIO'!T973</f>
        <v>82DH0531010065000564735</v>
      </c>
    </row>
    <row r="974" spans="5:18">
      <c r="E974" s="167" t="str">
        <f>'030523 INVENTARIO'!E974</f>
        <v>MESA</v>
      </c>
      <c r="F974" s="167" t="str">
        <f>'030523 INVENTARIO'!F974</f>
        <v>MESA DE MADERA COMPLEMENTO TIPO BALA 160X60</v>
      </c>
      <c r="G974" s="167" t="str">
        <f ca="1">'030523 INVENTARIO'!G974</f>
        <v>P21DG-0973</v>
      </c>
      <c r="H974" s="167" t="str">
        <f>'030523 INVENTARIO'!J974</f>
        <v>P21DG-0973</v>
      </c>
      <c r="I974" s="167" t="str">
        <f>'030523 INVENTARIO'!K974</f>
        <v>P21DG-090</v>
      </c>
      <c r="J974" s="167" t="str">
        <f>'030523 INVENTARIO'!L974</f>
        <v>P2DG-104</v>
      </c>
      <c r="K974" s="167" t="str">
        <f>'030523 INVENTARIO'!M974</f>
        <v>5110100015-8</v>
      </c>
      <c r="L974" s="168">
        <f>'030523 INVENTARIO'!N974</f>
        <v>0</v>
      </c>
      <c r="M974" s="168">
        <f>'030523 INVENTARIO'!O974</f>
        <v>0</v>
      </c>
      <c r="N974" s="168" t="str">
        <f>'030523 INVENTARIO'!P974</f>
        <v>OK</v>
      </c>
      <c r="O974" s="168" t="str">
        <f>'030523 INVENTARIO'!Q974</f>
        <v>S/M</v>
      </c>
      <c r="P974" s="167" t="str">
        <f>'030523 INVENTARIO'!R974</f>
        <v>S/M</v>
      </c>
      <c r="Q974" s="168" t="str">
        <f>'030523 INVENTARIO'!S974</f>
        <v>SIN SERIE</v>
      </c>
      <c r="R974" s="168" t="str">
        <f>'030523 INVENTARIO'!T974</f>
        <v>82DH0531010065000564751</v>
      </c>
    </row>
    <row r="975" spans="5:18">
      <c r="E975" s="167" t="str">
        <f>'030523 INVENTARIO'!E975</f>
        <v>ESCRITORIO</v>
      </c>
      <c r="F975" s="167" t="str">
        <f>'030523 INVENTARIO'!F975</f>
        <v>ESCRITORIO DE MADERA 2 CAJONES 160X60</v>
      </c>
      <c r="G975" s="167" t="str">
        <f ca="1">'030523 INVENTARIO'!G975</f>
        <v>P21DG-0974</v>
      </c>
      <c r="H975" s="167" t="str">
        <f>'030523 INVENTARIO'!J975</f>
        <v>P21DG-0974</v>
      </c>
      <c r="I975" s="167" t="str">
        <f>'030523 INVENTARIO'!K975</f>
        <v>P21DG-091</v>
      </c>
      <c r="J975" s="167" t="str">
        <f>'030523 INVENTARIO'!L975</f>
        <v>P2DG-101</v>
      </c>
      <c r="K975" s="167" t="str">
        <f>'030523 INVENTARIO'!M975</f>
        <v>5110100015-7</v>
      </c>
      <c r="L975" s="168">
        <f>'030523 INVENTARIO'!N975</f>
        <v>0</v>
      </c>
      <c r="M975" s="168">
        <f>'030523 INVENTARIO'!O975</f>
        <v>0</v>
      </c>
      <c r="N975" s="168" t="str">
        <f>'030523 INVENTARIO'!P975</f>
        <v>OK</v>
      </c>
      <c r="O975" s="168" t="str">
        <f>'030523 INVENTARIO'!Q975</f>
        <v>S/M</v>
      </c>
      <c r="P975" s="167" t="str">
        <f>'030523 INVENTARIO'!R975</f>
        <v>S/M</v>
      </c>
      <c r="Q975" s="168" t="str">
        <f>'030523 INVENTARIO'!S975</f>
        <v>SIN SERIE</v>
      </c>
      <c r="R975" s="168" t="str">
        <f>'030523 INVENTARIO'!T975</f>
        <v>82DH0511010006000518493</v>
      </c>
    </row>
    <row r="976" spans="5:18">
      <c r="E976" s="167" t="str">
        <f>'030523 INVENTARIO'!E976</f>
        <v>ARCHIVERO</v>
      </c>
      <c r="F976" s="167" t="str">
        <f>'030523 INVENTARIO'!F976</f>
        <v>ARCHIVERO DE MADERA CON RUEDAS Y 2 CAJONES 65X49X40</v>
      </c>
      <c r="G976" s="167" t="str">
        <f ca="1">'030523 INVENTARIO'!G976</f>
        <v>P21DG-0975</v>
      </c>
      <c r="H976" s="167" t="str">
        <f>'030523 INVENTARIO'!J976</f>
        <v>P21DG-0975</v>
      </c>
      <c r="I976" s="167" t="str">
        <f>'030523 INVENTARIO'!K976</f>
        <v>P21DG-092</v>
      </c>
      <c r="J976" s="167" t="str">
        <f>'030523 INVENTARIO'!L976</f>
        <v>P2DG-102</v>
      </c>
      <c r="K976" s="167" t="str">
        <f>'030523 INVENTARIO'!M976</f>
        <v>5130100013-2</v>
      </c>
      <c r="L976" s="168">
        <f>'030523 INVENTARIO'!N976</f>
        <v>0</v>
      </c>
      <c r="M976" s="168">
        <f>'030523 INVENTARIO'!O976</f>
        <v>0</v>
      </c>
      <c r="N976" s="168" t="str">
        <f>'030523 INVENTARIO'!P976</f>
        <v>OK</v>
      </c>
      <c r="O976" s="168" t="str">
        <f>'030523 INVENTARIO'!Q976</f>
        <v>S/M</v>
      </c>
      <c r="P976" s="167" t="str">
        <f>'030523 INVENTARIO'!R976</f>
        <v>S/M</v>
      </c>
      <c r="Q976" s="168" t="str">
        <f>'030523 INVENTARIO'!S976</f>
        <v>SIN SERIE</v>
      </c>
      <c r="R976" s="168" t="str">
        <f>'030523 INVENTARIO'!T976</f>
        <v>82DH0511010001000651395</v>
      </c>
    </row>
    <row r="977" spans="5:18">
      <c r="E977" s="167" t="str">
        <f>'030523 INVENTARIO'!E977</f>
        <v>VENTILADOR</v>
      </c>
      <c r="F977" s="168" t="str">
        <f>'030523 INVENTARIO'!F977</f>
        <v>VENTILADOR GRIS</v>
      </c>
      <c r="G977" s="167" t="str">
        <f ca="1">'030523 INVENTARIO'!G977</f>
        <v>P25RM-0976</v>
      </c>
      <c r="H977" s="167" t="str">
        <f>'030523 INVENTARIO'!J977</f>
        <v>P21DG-0976</v>
      </c>
      <c r="I977" s="167" t="str">
        <f>'030523 INVENTARIO'!K977</f>
        <v>P21DG-093</v>
      </c>
      <c r="J977" s="167" t="str">
        <f>'030523 INVENTARIO'!L977</f>
        <v>P2DG-107</v>
      </c>
      <c r="K977" s="167" t="str">
        <f>'030523 INVENTARIO'!M977</f>
        <v>5190200002-3</v>
      </c>
      <c r="L977" s="168">
        <f>'030523 INVENTARIO'!N977</f>
        <v>0</v>
      </c>
      <c r="M977" s="168">
        <f>'030523 INVENTARIO'!O977</f>
        <v>0</v>
      </c>
      <c r="N977" s="168" t="str">
        <f>'030523 INVENTARIO'!P977</f>
        <v>OK</v>
      </c>
      <c r="O977" s="168" t="str">
        <f>'030523 INVENTARIO'!Q977</f>
        <v>NAVIA</v>
      </c>
      <c r="P977" s="167" t="str">
        <f>'030523 INVENTARIO'!R977</f>
        <v>VPN018CROSS</v>
      </c>
      <c r="Q977" s="168" t="str">
        <f>'030523 INVENTARIO'!S977</f>
        <v>12275</v>
      </c>
      <c r="R977" s="167" t="str">
        <f>'030523 INVENTARIO'!T977</f>
        <v>82DH0519010043000649360</v>
      </c>
    </row>
    <row r="978" spans="5:18">
      <c r="E978" s="167" t="str">
        <f>'030523 INVENTARIO'!E978</f>
        <v>REGULADOR DE VOLTAJE</v>
      </c>
      <c r="F978" s="168" t="str">
        <f>'030523 INVENTARIO'!F978</f>
        <v>REGULADOR NEGRO</v>
      </c>
      <c r="G978" s="167" t="str">
        <f ca="1">'030523 INVENTARIO'!G978</f>
        <v>P21DG-0977</v>
      </c>
      <c r="H978" s="167" t="str">
        <f>'030523 INVENTARIO'!J978</f>
        <v>P21DG-0977</v>
      </c>
      <c r="I978" s="167" t="str">
        <f>'030523 INVENTARIO'!K978</f>
        <v>P21DG-094</v>
      </c>
      <c r="J978" s="167" t="str">
        <f>'030523 INVENTARIO'!L978</f>
        <v>P2DG-108</v>
      </c>
      <c r="K978" s="167" t="str">
        <f>'030523 INVENTARIO'!M978</f>
        <v>5660100057-4</v>
      </c>
      <c r="L978" s="168">
        <f>'030523 INVENTARIO'!N978</f>
        <v>0</v>
      </c>
      <c r="M978" s="168">
        <f>'030523 INVENTARIO'!O978</f>
        <v>0</v>
      </c>
      <c r="N978" s="168" t="str">
        <f>'030523 INVENTARIO'!P978</f>
        <v>OK</v>
      </c>
      <c r="O978" s="168" t="str">
        <f>'030523 INVENTARIO'!Q978</f>
        <v>KOBLENZ</v>
      </c>
      <c r="P978" s="167" t="str">
        <f>'030523 INVENTARIO'!R978</f>
        <v>RS1400-I</v>
      </c>
      <c r="Q978" s="168" t="str">
        <f>'030523 INVENTARIO'!S978</f>
        <v>150714852</v>
      </c>
      <c r="R978" s="167" t="str">
        <f>'030523 INVENTARIO'!T978</f>
        <v>82DH0515010020000650643</v>
      </c>
    </row>
    <row r="979" spans="5:18">
      <c r="E979" s="167" t="str">
        <f>'030523 INVENTARIO'!E979</f>
        <v>COMPUTADORA DE ESCRITORIO</v>
      </c>
      <c r="F979" s="167" t="str">
        <f>'030523 INVENTARIO'!F979</f>
        <v>COMPUTADORA DE ESCRITORIO</v>
      </c>
      <c r="G979" s="167" t="str">
        <f ca="1">'030523 INVENTARIO'!G979</f>
        <v>P21DG-0978</v>
      </c>
      <c r="H979" s="167" t="str">
        <f>'030523 INVENTARIO'!J979</f>
        <v>P21DG-0978</v>
      </c>
      <c r="I979" s="167" t="str">
        <f>'030523 INVENTARIO'!K979</f>
        <v>P21DG-095</v>
      </c>
      <c r="J979" s="167" t="str">
        <f>'030523 INVENTARIO'!L979</f>
        <v>P2DG-95</v>
      </c>
      <c r="K979" s="167" t="str">
        <f>'030523 INVENTARIO'!M979</f>
        <v>ALTA</v>
      </c>
      <c r="L979" s="168">
        <f>'030523 INVENTARIO'!N979</f>
        <v>0</v>
      </c>
      <c r="M979" s="168">
        <f>'030523 INVENTARIO'!O979</f>
        <v>0</v>
      </c>
      <c r="N979" s="168" t="str">
        <f>'030523 INVENTARIO'!P979</f>
        <v>REPETIDO</v>
      </c>
      <c r="O979" s="168" t="str">
        <f>'030523 INVENTARIO'!Q979</f>
        <v>HP</v>
      </c>
      <c r="P979" s="167" t="str">
        <f>'030523 INVENTARIO'!R979</f>
        <v>DC7800</v>
      </c>
      <c r="Q979" s="168" t="str">
        <f>'030523 INVENTARIO'!S979</f>
        <v>MXJ8190363</v>
      </c>
      <c r="R979" s="168" t="str">
        <f>'030523 INVENTARIO'!T979</f>
        <v>82DH0515010001000535503</v>
      </c>
    </row>
    <row r="980" spans="5:18">
      <c r="E980" s="167" t="str">
        <f>'030523 INVENTARIO'!E980</f>
        <v>MONITOR</v>
      </c>
      <c r="F980" s="167" t="str">
        <f>'030523 INVENTARIO'!F980</f>
        <v>MONITOR 19"</v>
      </c>
      <c r="G980" s="167" t="str">
        <f ca="1">'030523 INVENTARIO'!G980</f>
        <v>P21DG-0979</v>
      </c>
      <c r="H980" s="167" t="str">
        <f>'030523 INVENTARIO'!J980</f>
        <v>P21DG-0979</v>
      </c>
      <c r="I980" s="167" t="str">
        <f>'030523 INVENTARIO'!K980</f>
        <v>P21DG-096</v>
      </c>
      <c r="J980" s="167" t="str">
        <f>'030523 INVENTARIO'!L980</f>
        <v>P2DG-106</v>
      </c>
      <c r="K980" s="167" t="str">
        <f>'030523 INVENTARIO'!M980</f>
        <v>5210100012-3</v>
      </c>
      <c r="L980" s="168">
        <f>'030523 INVENTARIO'!N980</f>
        <v>0</v>
      </c>
      <c r="M980" s="168">
        <f>'030523 INVENTARIO'!O980</f>
        <v>0</v>
      </c>
      <c r="N980" s="168" t="str">
        <f>'030523 INVENTARIO'!P980</f>
        <v>OK</v>
      </c>
      <c r="O980" s="168" t="str">
        <f>'030523 INVENTARIO'!Q980</f>
        <v>COMPAQ</v>
      </c>
      <c r="P980" s="167" t="str">
        <f>'030523 INVENTARIO'!R980</f>
        <v>WF1907</v>
      </c>
      <c r="Q980" s="168" t="str">
        <f>'030523 INVENTARIO'!S980</f>
        <v>CNC820YHWL</v>
      </c>
      <c r="R980" s="168" t="str">
        <f>'030523 INVENTARIO'!T980</f>
        <v>82DH0565010041000530461</v>
      </c>
    </row>
    <row r="981" spans="5:18">
      <c r="E981" s="167" t="str">
        <f>'030523 INVENTARIO'!E981</f>
        <v>TELEFONO</v>
      </c>
      <c r="F981" s="168" t="str">
        <f>'030523 INVENTARIO'!F981</f>
        <v>TELEFONO GRIS</v>
      </c>
      <c r="G981" s="167" t="str">
        <f ca="1">'030523 INVENTARIO'!G981</f>
        <v>P21DG-0980</v>
      </c>
      <c r="H981" s="167" t="str">
        <f>'030523 INVENTARIO'!J981</f>
        <v>P21DG-0980</v>
      </c>
      <c r="I981" s="167" t="str">
        <f>'030523 INVENTARIO'!K981</f>
        <v>P21DG-097</v>
      </c>
      <c r="J981" s="167" t="str">
        <f>'030523 INVENTARIO'!L981</f>
        <v>P2DG-105</v>
      </c>
      <c r="K981" s="167" t="str">
        <f>'030523 INVENTARIO'!M981</f>
        <v>5650100010-4</v>
      </c>
      <c r="L981" s="168">
        <f>'030523 INVENTARIO'!N981</f>
        <v>0</v>
      </c>
      <c r="M981" s="168">
        <f>'030523 INVENTARIO'!O981</f>
        <v>0</v>
      </c>
      <c r="N981" s="168" t="str">
        <f>'030523 INVENTARIO'!P981</f>
        <v>OK</v>
      </c>
      <c r="O981" s="168" t="str">
        <f>'030523 INVENTARIO'!Q981</f>
        <v>CISCO</v>
      </c>
      <c r="P981" s="167" t="str">
        <f>'030523 INVENTARIO'!R981</f>
        <v>SPA504G</v>
      </c>
      <c r="Q981" s="168" t="str">
        <f>'030523 INVENTARIO'!S981</f>
        <v>CCQ18330BDC</v>
      </c>
      <c r="R981" s="168" t="str">
        <f>'030523 INVENTARIO'!T981</f>
        <v>82DH0565010001000651390</v>
      </c>
    </row>
    <row r="982" spans="5:18">
      <c r="E982" s="167" t="str">
        <f>'030523 INVENTARIO'!E982</f>
        <v>ARCHIVERO</v>
      </c>
      <c r="F982" s="167" t="str">
        <f>'030523 INVENTARIO'!F982</f>
        <v>ARCHIVERO DE MADERA CON 4 CAJONES 140X49X60</v>
      </c>
      <c r="G982" s="167" t="str">
        <f ca="1">'030523 INVENTARIO'!G982</f>
        <v>P21DG-0981</v>
      </c>
      <c r="H982" s="167" t="str">
        <f>'030523 INVENTARIO'!J982</f>
        <v>P21DG-0981</v>
      </c>
      <c r="I982" s="167" t="str">
        <f>'030523 INVENTARIO'!K982</f>
        <v>P21DG-098</v>
      </c>
      <c r="J982" s="167" t="str">
        <f>'030523 INVENTARIO'!L982</f>
        <v>P2DG-98</v>
      </c>
      <c r="K982" s="167" t="str">
        <f>'030523 INVENTARIO'!M982</f>
        <v>5130100013-1</v>
      </c>
      <c r="L982" s="168">
        <f>'030523 INVENTARIO'!N982</f>
        <v>0</v>
      </c>
      <c r="M982" s="168" t="str">
        <f>'030523 INVENTARIO'!O982</f>
        <v>1</v>
      </c>
      <c r="N982" s="168" t="str">
        <f>'030523 INVENTARIO'!P982</f>
        <v>OK</v>
      </c>
      <c r="O982" s="168" t="str">
        <f>'030523 INVENTARIO'!Q982</f>
        <v>S/M</v>
      </c>
      <c r="P982" s="167" t="str">
        <f>'030523 INVENTARIO'!R982</f>
        <v>S/M</v>
      </c>
      <c r="Q982" s="168" t="str">
        <f>'030523 INVENTARIO'!S982</f>
        <v>SIN SERIE</v>
      </c>
      <c r="R982" s="168" t="str">
        <f>'030523 INVENTARIO'!T982</f>
        <v>82DH0511010001000581379</v>
      </c>
    </row>
    <row r="983" spans="5:18">
      <c r="E983" s="167" t="str">
        <f>'030523 INVENTARIO'!E983</f>
        <v>ESTANTE O ANAQUEL</v>
      </c>
      <c r="F983" s="167" t="str">
        <f>'030523 INVENTARIO'!F983</f>
        <v>ANAQUEL DE MADERA CON 2 PUERTAS (LOCKER) 165X80X40</v>
      </c>
      <c r="G983" s="167" t="str">
        <f ca="1">'030523 INVENTARIO'!G983</f>
        <v>P21DG-0982</v>
      </c>
      <c r="H983" s="167" t="str">
        <f>'030523 INVENTARIO'!J983</f>
        <v>P21DG-0982</v>
      </c>
      <c r="I983" s="167" t="str">
        <f>'030523 INVENTARIO'!K983</f>
        <v>P21DG-099</v>
      </c>
      <c r="J983" s="167" t="str">
        <f>'030523 INVENTARIO'!L983</f>
        <v>P2DG-97</v>
      </c>
      <c r="K983" s="167" t="str">
        <f>'030523 INVENTARIO'!M983</f>
        <v>5290300001-2</v>
      </c>
      <c r="L983" s="168">
        <f>'030523 INVENTARIO'!N983</f>
        <v>0</v>
      </c>
      <c r="M983" s="168">
        <f>'030523 INVENTARIO'!O983</f>
        <v>0</v>
      </c>
      <c r="N983" s="168" t="str">
        <f>'030523 INVENTARIO'!P983</f>
        <v>OK</v>
      </c>
      <c r="O983" s="168" t="str">
        <f>'030523 INVENTARIO'!Q983</f>
        <v>S/M</v>
      </c>
      <c r="P983" s="167" t="str">
        <f>'030523 INVENTARIO'!R983</f>
        <v>S/M</v>
      </c>
      <c r="Q983" s="168" t="str">
        <f>'030523 INVENTARIO'!S983</f>
        <v>SIN SERIE</v>
      </c>
      <c r="R983" s="168" t="str">
        <f>'030523 INVENTARIO'!T983</f>
        <v>82DH0511010009000564625</v>
      </c>
    </row>
    <row r="984" spans="5:18">
      <c r="E984" s="167" t="str">
        <f>'030523 INVENTARIO'!E984</f>
        <v>SILLA</v>
      </c>
      <c r="F984" s="168" t="str">
        <f>'030523 INVENTARIO'!F984</f>
        <v>SILLA NEGRA CON RUEDAS SEMIEJECUTIVA</v>
      </c>
      <c r="G984" s="167" t="str">
        <f ca="1">'030523 INVENTARIO'!G984</f>
        <v>P21DG-0983</v>
      </c>
      <c r="H984" s="167" t="str">
        <f>'030523 INVENTARIO'!J984</f>
        <v>P21DG-0983</v>
      </c>
      <c r="I984" s="167" t="str">
        <f>'030523 INVENTARIO'!K984</f>
        <v>P21DG-100</v>
      </c>
      <c r="J984" s="167" t="str">
        <f>'030523 INVENTARIO'!L984</f>
        <v>P2DG-87</v>
      </c>
      <c r="K984" s="167" t="str">
        <f>'030523 INVENTARIO'!M984</f>
        <v>5110100011-6</v>
      </c>
      <c r="L984" s="168">
        <f>'030523 INVENTARIO'!N984</f>
        <v>0</v>
      </c>
      <c r="M984" s="168">
        <f>'030523 INVENTARIO'!O984</f>
        <v>0</v>
      </c>
      <c r="N984" s="168" t="str">
        <f>'030523 INVENTARIO'!P984</f>
        <v>OK</v>
      </c>
      <c r="O984" s="168" t="str">
        <f>'030523 INVENTARIO'!Q984</f>
        <v>S/M</v>
      </c>
      <c r="P984" s="167" t="str">
        <f>'030523 INVENTARIO'!R984</f>
        <v>S/M</v>
      </c>
      <c r="Q984" s="168" t="str">
        <f>'030523 INVENTARIO'!S984</f>
        <v>SIN SERIE</v>
      </c>
      <c r="R984" s="168" t="str">
        <f>'030523 INVENTARIO'!T984</f>
        <v>82DH0511010017000651102</v>
      </c>
    </row>
    <row r="985" spans="5:18">
      <c r="E985" s="167" t="str">
        <f>'030523 INVENTARIO'!E985</f>
        <v>SILLA</v>
      </c>
      <c r="F985" s="167" t="str">
        <f>'030523 INVENTARIO'!F985</f>
        <v>SILLA NEGRA DE TELA FIJA</v>
      </c>
      <c r="G985" s="167" t="str">
        <f ca="1">'030523 INVENTARIO'!G985</f>
        <v>P21DG-0984</v>
      </c>
      <c r="H985" s="167" t="str">
        <f>'030523 INVENTARIO'!J985</f>
        <v>P21DG-0984</v>
      </c>
      <c r="I985" s="167" t="str">
        <f>'030523 INVENTARIO'!K985</f>
        <v>P21DG-101</v>
      </c>
      <c r="J985" s="167" t="str">
        <f>'030523 INVENTARIO'!L985</f>
        <v>P2DG-99</v>
      </c>
      <c r="K985" s="167" t="str">
        <f>'030523 INVENTARIO'!M985</f>
        <v>5110100011-42</v>
      </c>
      <c r="L985" s="168">
        <f>'030523 INVENTARIO'!N985</f>
        <v>0</v>
      </c>
      <c r="M985" s="168">
        <f>'030523 INVENTARIO'!O985</f>
        <v>0</v>
      </c>
      <c r="N985" s="168" t="str">
        <f>'030523 INVENTARIO'!P985</f>
        <v>OK</v>
      </c>
      <c r="O985" s="168" t="str">
        <f>'030523 INVENTARIO'!Q985</f>
        <v>S/M</v>
      </c>
      <c r="P985" s="167" t="str">
        <f>'030523 INVENTARIO'!R985</f>
        <v>S/M</v>
      </c>
      <c r="Q985" s="168" t="str">
        <f>'030523 INVENTARIO'!S985</f>
        <v>SIN SERIE</v>
      </c>
      <c r="R985" s="168" t="str">
        <f>'030523 INVENTARIO'!T985</f>
        <v>82DH0511010017000564624</v>
      </c>
    </row>
    <row r="986" spans="5:18">
      <c r="E986" s="167" t="str">
        <f>'030523 INVENTARIO'!E986</f>
        <v>TELEFONO</v>
      </c>
      <c r="F986" s="167" t="str">
        <f>'030523 INVENTARIO'!F986</f>
        <v>TELEFONO</v>
      </c>
      <c r="G986" s="167" t="str">
        <f ca="1">'030523 INVENTARIO'!G986</f>
        <v>P05RM-0985</v>
      </c>
      <c r="H986" s="167" t="str">
        <f>'030523 INVENTARIO'!J986</f>
        <v>P12SI-0985</v>
      </c>
      <c r="I986" s="167" t="str">
        <f>'030523 INVENTARIO'!K986</f>
        <v>P21DG-102</v>
      </c>
      <c r="J986" s="167">
        <f>'030523 INVENTARIO'!L986</f>
        <v>0</v>
      </c>
      <c r="K986" s="167" t="str">
        <f>'030523 INVENTARIO'!M986</f>
        <v>5650100010-45</v>
      </c>
      <c r="L986" s="168">
        <f>'030523 INVENTARIO'!N986</f>
        <v>0</v>
      </c>
      <c r="M986" s="168">
        <f>'030523 INVENTARIO'!O986</f>
        <v>0</v>
      </c>
      <c r="N986" s="168" t="str">
        <f>'030523 INVENTARIO'!P986</f>
        <v>OK</v>
      </c>
      <c r="O986" s="168" t="str">
        <f>'030523 INVENTARIO'!Q986</f>
        <v>CISCO</v>
      </c>
      <c r="P986" s="167" t="str">
        <f>'030523 INVENTARIO'!R986</f>
        <v>CP-7841-K9</v>
      </c>
      <c r="Q986" s="167" t="str">
        <f>'030523 INVENTARIO'!S986</f>
        <v>WZP234004LB</v>
      </c>
      <c r="R986" s="167" t="str">
        <f>'030523 INVENTARIO'!T986</f>
        <v>SIN RESGUARDO</v>
      </c>
    </row>
    <row r="987" spans="5:18">
      <c r="E987" s="167" t="str">
        <f>'030523 INVENTARIO'!E987</f>
        <v>TELEFONO</v>
      </c>
      <c r="F987" s="167" t="str">
        <f>'030523 INVENTARIO'!F987</f>
        <v>TELEFONO</v>
      </c>
      <c r="G987" s="167" t="str">
        <f ca="1">'030523 INVENTARIO'!G987</f>
        <v>P12DG-0986</v>
      </c>
      <c r="H987" s="167" t="str">
        <f>'030523 INVENTARIO'!J987</f>
        <v>P12SI-0986</v>
      </c>
      <c r="I987" s="167" t="str">
        <f>'030523 INVENTARIO'!K987</f>
        <v>P21DG-103</v>
      </c>
      <c r="J987" s="167">
        <f>'030523 INVENTARIO'!L987</f>
        <v>0</v>
      </c>
      <c r="K987" s="167" t="str">
        <f>'030523 INVENTARIO'!M987</f>
        <v>5650100010-46</v>
      </c>
      <c r="L987" s="168">
        <f>'030523 INVENTARIO'!N987</f>
        <v>0</v>
      </c>
      <c r="M987" s="168">
        <f>'030523 INVENTARIO'!O987</f>
        <v>0</v>
      </c>
      <c r="N987" s="168" t="str">
        <f>'030523 INVENTARIO'!P987</f>
        <v>OK</v>
      </c>
      <c r="O987" s="167" t="str">
        <f>'030523 INVENTARIO'!Q987</f>
        <v>CISCO</v>
      </c>
      <c r="P987" s="167" t="str">
        <f>'030523 INVENTARIO'!R987</f>
        <v>CP-7800</v>
      </c>
      <c r="Q987" s="168" t="str">
        <f>'030523 INVENTARIO'!S987</f>
        <v>WZP23240Y3X</v>
      </c>
      <c r="R987" s="167" t="str">
        <f>'030523 INVENTARIO'!T987</f>
        <v>SIN RESGUARDO</v>
      </c>
    </row>
    <row r="988" spans="5:18">
      <c r="E988" s="167" t="str">
        <f>'030523 INVENTARIO'!E988</f>
        <v>TELEFONO</v>
      </c>
      <c r="F988" s="167" t="str">
        <f>'030523 INVENTARIO'!F988</f>
        <v>TELEFONO</v>
      </c>
      <c r="G988" s="167" t="str">
        <f ca="1">'030523 INVENTARIO'!G988</f>
        <v>P05RM-0987</v>
      </c>
      <c r="H988" s="167" t="str">
        <f>'030523 INVENTARIO'!J988</f>
        <v>P12SI-0987</v>
      </c>
      <c r="I988" s="167" t="str">
        <f>'030523 INVENTARIO'!K988</f>
        <v>P21DG-104</v>
      </c>
      <c r="J988" s="167">
        <f>'030523 INVENTARIO'!L988</f>
        <v>0</v>
      </c>
      <c r="K988" s="167" t="str">
        <f>'030523 INVENTARIO'!M988</f>
        <v>5650100010-47</v>
      </c>
      <c r="L988" s="168">
        <f>'030523 INVENTARIO'!N988</f>
        <v>0</v>
      </c>
      <c r="M988" s="168">
        <f>'030523 INVENTARIO'!O988</f>
        <v>0</v>
      </c>
      <c r="N988" s="168" t="str">
        <f>'030523 INVENTARIO'!P988</f>
        <v>OK</v>
      </c>
      <c r="O988" s="167" t="str">
        <f>'030523 INVENTARIO'!Q988</f>
        <v>CISCO</v>
      </c>
      <c r="P988" s="167" t="str">
        <f>'030523 INVENTARIO'!R988</f>
        <v>CP-7841-K9</v>
      </c>
      <c r="Q988" s="168" t="str">
        <f>'030523 INVENTARIO'!S988</f>
        <v>WZP234411A91</v>
      </c>
      <c r="R988" s="167" t="str">
        <f>'030523 INVENTARIO'!T988</f>
        <v>SIN RESGUARDO</v>
      </c>
    </row>
    <row r="989" spans="5:18">
      <c r="E989" s="167" t="str">
        <f>'030523 INVENTARIO'!E989</f>
        <v>TELEFONO</v>
      </c>
      <c r="F989" s="167" t="str">
        <f>'030523 INVENTARIO'!F989</f>
        <v>TELEFONO</v>
      </c>
      <c r="G989" s="167" t="str">
        <f ca="1">'030523 INVENTARIO'!G989</f>
        <v>P12DG-0988</v>
      </c>
      <c r="H989" s="167" t="str">
        <f>'030523 INVENTARIO'!J989</f>
        <v>P12SI-0988</v>
      </c>
      <c r="I989" s="167" t="str">
        <f>'030523 INVENTARIO'!K989</f>
        <v>P21DG-105</v>
      </c>
      <c r="J989" s="167">
        <f>'030523 INVENTARIO'!L989</f>
        <v>0</v>
      </c>
      <c r="K989" s="167" t="str">
        <f>'030523 INVENTARIO'!M989</f>
        <v>5650100010-48</v>
      </c>
      <c r="L989" s="168">
        <f>'030523 INVENTARIO'!N989</f>
        <v>0</v>
      </c>
      <c r="M989" s="168">
        <f>'030523 INVENTARIO'!O989</f>
        <v>0</v>
      </c>
      <c r="N989" s="168" t="str">
        <f>'030523 INVENTARIO'!P989</f>
        <v>OK</v>
      </c>
      <c r="O989" s="167" t="str">
        <f>'030523 INVENTARIO'!Q989</f>
        <v>CISCO</v>
      </c>
      <c r="P989" s="167" t="str">
        <f>'030523 INVENTARIO'!R989</f>
        <v>CP-7841-K9</v>
      </c>
      <c r="Q989" s="168" t="str">
        <f>'030523 INVENTARIO'!S989</f>
        <v>WZP232660M7X</v>
      </c>
      <c r="R989" s="167" t="str">
        <f>'030523 INVENTARIO'!T989</f>
        <v>SIN RESGUARDO</v>
      </c>
    </row>
    <row r="990" spans="5:18">
      <c r="E990" s="167" t="str">
        <f>'030523 INVENTARIO'!E990</f>
        <v>TELEFONO</v>
      </c>
      <c r="F990" s="167" t="str">
        <f>'030523 INVENTARIO'!F990</f>
        <v>TELEFONO</v>
      </c>
      <c r="G990" s="167" t="str">
        <f ca="1">'030523 INVENTARIO'!G990</f>
        <v>P05RM-0989</v>
      </c>
      <c r="H990" s="167" t="str">
        <f>'030523 INVENTARIO'!J990</f>
        <v>P12SI-0989</v>
      </c>
      <c r="I990" s="167" t="str">
        <f>'030523 INVENTARIO'!K990</f>
        <v>P21DG-106</v>
      </c>
      <c r="J990" s="167">
        <f>'030523 INVENTARIO'!L990</f>
        <v>0</v>
      </c>
      <c r="K990" s="167" t="str">
        <f>'030523 INVENTARIO'!M990</f>
        <v>5650100010-49</v>
      </c>
      <c r="L990" s="168">
        <f>'030523 INVENTARIO'!N990</f>
        <v>0</v>
      </c>
      <c r="M990" s="168">
        <f>'030523 INVENTARIO'!O990</f>
        <v>0</v>
      </c>
      <c r="N990" s="168" t="str">
        <f>'030523 INVENTARIO'!P990</f>
        <v>OK</v>
      </c>
      <c r="O990" s="168" t="str">
        <f>'030523 INVENTARIO'!Q990</f>
        <v>CISCO</v>
      </c>
      <c r="P990" s="167" t="str">
        <f>'030523 INVENTARIO'!R990</f>
        <v>S/M</v>
      </c>
      <c r="Q990" s="167" t="str">
        <f>'030523 INVENTARIO'!S990</f>
        <v>SIN SERIE</v>
      </c>
      <c r="R990" s="167" t="str">
        <f>'030523 INVENTARIO'!T990</f>
        <v>SIN RESGUARDO</v>
      </c>
    </row>
    <row r="991" spans="5:18">
      <c r="E991" s="167" t="str">
        <f>'030523 INVENTARIO'!E991</f>
        <v>VENTILADOR</v>
      </c>
      <c r="F991" s="168" t="str">
        <f>'030523 INVENTARIO'!F991</f>
        <v>VENTILADOR BLANCO</v>
      </c>
      <c r="G991" s="167" t="str">
        <f ca="1">'030523 INVENTARIO'!G991</f>
        <v>P24RM-0990</v>
      </c>
      <c r="H991" s="167" t="str">
        <f>'030523 INVENTARIO'!J991</f>
        <v>P24SJ-0990</v>
      </c>
      <c r="I991" s="167" t="str">
        <f>'030523 INVENTARIO'!K991</f>
        <v>P24SJ-049</v>
      </c>
      <c r="J991" s="167" t="str">
        <f>'030523 INVENTARIO'!L991</f>
        <v>P2A-23</v>
      </c>
      <c r="K991" s="167" t="str">
        <f>'030523 INVENTARIO'!M991</f>
        <v>ALTA</v>
      </c>
      <c r="L991" s="168">
        <f>'030523 INVENTARIO'!N991</f>
        <v>0</v>
      </c>
      <c r="M991" s="168">
        <f>'030523 INVENTARIO'!O991</f>
        <v>0</v>
      </c>
      <c r="N991" s="168" t="str">
        <f>'030523 INVENTARIO'!P991</f>
        <v>REPETIDO</v>
      </c>
      <c r="O991" s="168" t="str">
        <f>'030523 INVENTARIO'!Q991</f>
        <v>HOLMES</v>
      </c>
      <c r="P991" s="167" t="str">
        <f>'030523 INVENTARIO'!R991</f>
        <v>S/M</v>
      </c>
      <c r="Q991" s="168" t="str">
        <f>'030523 INVENTARIO'!S991</f>
        <v>SIN SERIE</v>
      </c>
      <c r="R991" s="168" t="str">
        <f>'030523 INVENTARIO'!T991</f>
        <v>82DH0519010043000649781</v>
      </c>
    </row>
    <row r="992" spans="5:18">
      <c r="E992" s="167" t="str">
        <f>'030523 INVENTARIO'!E992</f>
        <v>SILLON</v>
      </c>
      <c r="F992" s="168" t="str">
        <f>'030523 INVENTARIO'!F992</f>
        <v>SILLON NEGRO</v>
      </c>
      <c r="G992" s="167" t="str">
        <f ca="1">'030523 INVENTARIO'!G992</f>
        <v>P24RM-0991</v>
      </c>
      <c r="H992" s="167" t="str">
        <f>'030523 INVENTARIO'!J992</f>
        <v>P24SJ-0991</v>
      </c>
      <c r="I992" s="167" t="str">
        <f>'030523 INVENTARIO'!K992</f>
        <v>P24SJ-050</v>
      </c>
      <c r="J992" s="167" t="str">
        <f>'030523 INVENTARIO'!L992</f>
        <v>P2A-24</v>
      </c>
      <c r="K992" s="167" t="str">
        <f>'030523 INVENTARIO'!M992</f>
        <v>5120100009-22</v>
      </c>
      <c r="L992" s="168">
        <f>'030523 INVENTARIO'!N992</f>
        <v>0</v>
      </c>
      <c r="M992" s="168">
        <f>'030523 INVENTARIO'!O992</f>
        <v>0</v>
      </c>
      <c r="N992" s="168" t="str">
        <f>'030523 INVENTARIO'!P992</f>
        <v>OK</v>
      </c>
      <c r="O992" s="168" t="str">
        <f>'030523 INVENTARIO'!Q992</f>
        <v>S/M</v>
      </c>
      <c r="P992" s="167" t="str">
        <f>'030523 INVENTARIO'!R992</f>
        <v>S/M</v>
      </c>
      <c r="Q992" s="168" t="str">
        <f>'030523 INVENTARIO'!S992</f>
        <v>SIN SERIE</v>
      </c>
      <c r="R992" s="168" t="str">
        <f>'030523 INVENTARIO'!T992</f>
        <v>82DH0511010016000649782</v>
      </c>
    </row>
    <row r="993" spans="5:18">
      <c r="E993" s="167" t="str">
        <f>'030523 INVENTARIO'!E993</f>
        <v>ESCRITORIO</v>
      </c>
      <c r="F993" s="168" t="str">
        <f>'030523 INVENTARIO'!F993</f>
        <v>ESCRITORIO MADERA CON METAL</v>
      </c>
      <c r="G993" s="167" t="str">
        <f ca="1">'030523 INVENTARIO'!G993</f>
        <v>P24CA-0992</v>
      </c>
      <c r="H993" s="167" t="str">
        <f>'030523 INVENTARIO'!J993</f>
        <v>P24SJ-0992</v>
      </c>
      <c r="I993" s="167" t="str">
        <f>'030523 INVENTARIO'!K993</f>
        <v>P24SJ-051</v>
      </c>
      <c r="J993" s="167" t="str">
        <f>'030523 INVENTARIO'!L993</f>
        <v>P2A-25</v>
      </c>
      <c r="K993" s="167" t="str">
        <f>'030523 INVENTARIO'!M993</f>
        <v>5110100015-16</v>
      </c>
      <c r="L993" s="168">
        <f>'030523 INVENTARIO'!N993</f>
        <v>0</v>
      </c>
      <c r="M993" s="168">
        <f>'030523 INVENTARIO'!O993</f>
        <v>0</v>
      </c>
      <c r="N993" s="168" t="str">
        <f>'030523 INVENTARIO'!P993</f>
        <v>OK</v>
      </c>
      <c r="O993" s="168" t="str">
        <f>'030523 INVENTARIO'!Q993</f>
        <v>S/M</v>
      </c>
      <c r="P993" s="167" t="str">
        <f>'030523 INVENTARIO'!R993</f>
        <v>S/M</v>
      </c>
      <c r="Q993" s="168" t="str">
        <f>'030523 INVENTARIO'!S993</f>
        <v>SIN SERIE</v>
      </c>
      <c r="R993" s="168" t="str">
        <f>'030523 INVENTARIO'!T993</f>
        <v>82DH0511010006000516962</v>
      </c>
    </row>
    <row r="994" spans="5:18">
      <c r="E994" s="167" t="str">
        <f>'030523 INVENTARIO'!E994</f>
        <v>NO BREAK</v>
      </c>
      <c r="F994" s="168" t="str">
        <f>'030523 INVENTARIO'!F994</f>
        <v>NO BREAK NEGRO</v>
      </c>
      <c r="G994" s="167" t="str">
        <f ca="1">'030523 INVENTARIO'!G994</f>
        <v>P24CA-0993</v>
      </c>
      <c r="H994" s="167" t="str">
        <f>'030523 INVENTARIO'!J994</f>
        <v>P24SJ-0993</v>
      </c>
      <c r="I994" s="167" t="str">
        <f>'030523 INVENTARIO'!K994</f>
        <v>P24SJ-052</v>
      </c>
      <c r="J994" s="167" t="str">
        <f>'030523 INVENTARIO'!L994</f>
        <v>P2A-26</v>
      </c>
      <c r="K994" s="167" t="str">
        <f>'030523 INVENTARIO'!M994</f>
        <v>5150100008-7</v>
      </c>
      <c r="L994" s="168">
        <f>'030523 INVENTARIO'!N994</f>
        <v>0</v>
      </c>
      <c r="M994" s="168">
        <f>'030523 INVENTARIO'!O994</f>
        <v>0</v>
      </c>
      <c r="N994" s="168" t="str">
        <f>'030523 INVENTARIO'!P994</f>
        <v>OK</v>
      </c>
      <c r="O994" s="168" t="str">
        <f>'030523 INVENTARIO'!Q994</f>
        <v>FORZA</v>
      </c>
      <c r="P994" s="167" t="str">
        <f>'030523 INVENTARIO'!R994</f>
        <v>NT751</v>
      </c>
      <c r="Q994" s="168" t="str">
        <f>'030523 INVENTARIO'!S994</f>
        <v>SIN SERIE</v>
      </c>
      <c r="R994" s="168" t="str">
        <f>'030523 INVENTARIO'!T994</f>
        <v>82DH0515010016000649431</v>
      </c>
    </row>
    <row r="995" spans="5:18">
      <c r="E995" s="167" t="str">
        <f>'030523 INVENTARIO'!E995</f>
        <v>COMPLEMENTO DE EQUIPO DE MADERA</v>
      </c>
      <c r="F995" s="168" t="str">
        <f>'030523 INVENTARIO'!F995</f>
        <v>COMPLEMENTO DE EQUIPO DE MADERA</v>
      </c>
      <c r="G995" s="167" t="str">
        <f ca="1">'030523 INVENTARIO'!G995</f>
        <v>P24CA-0994</v>
      </c>
      <c r="H995" s="167" t="str">
        <f>'030523 INVENTARIO'!J995</f>
        <v>P24SJ-0994</v>
      </c>
      <c r="I995" s="167" t="str">
        <f>'030523 INVENTARIO'!K995</f>
        <v>P24SJ-053</v>
      </c>
      <c r="J995" s="167" t="str">
        <f>'030523 INVENTARIO'!L995</f>
        <v>P2A-27</v>
      </c>
      <c r="K995" s="167" t="str">
        <f>'030523 INVENTARIO'!M995</f>
        <v>5120100004-2</v>
      </c>
      <c r="L995" s="168">
        <f>'030523 INVENTARIO'!N995</f>
        <v>0</v>
      </c>
      <c r="M995" s="168">
        <f>'030523 INVENTARIO'!O995</f>
        <v>0</v>
      </c>
      <c r="N995" s="168" t="str">
        <f>'030523 INVENTARIO'!P995</f>
        <v>OK</v>
      </c>
      <c r="O995" s="168" t="str">
        <f>'030523 INVENTARIO'!Q995</f>
        <v>S/M</v>
      </c>
      <c r="P995" s="167" t="str">
        <f>'030523 INVENTARIO'!R995</f>
        <v>S/M</v>
      </c>
      <c r="Q995" s="168" t="str">
        <f>'030523 INVENTARIO'!S995</f>
        <v>SIN SERIE</v>
      </c>
      <c r="R995" s="168" t="str">
        <f>'030523 INVENTARIO'!T995</f>
        <v>82DH0515010033000564673</v>
      </c>
    </row>
    <row r="996" spans="5:18">
      <c r="E996" s="167" t="str">
        <f>'030523 INVENTARIO'!E996</f>
        <v>VENTILADOR</v>
      </c>
      <c r="F996" s="168" t="str">
        <f>'030523 INVENTARIO'!F996</f>
        <v>VENTILADOR BLANCO</v>
      </c>
      <c r="G996" s="167" t="str">
        <f ca="1">'030523 INVENTARIO'!G996</f>
        <v>P24CA-0995</v>
      </c>
      <c r="H996" s="167" t="str">
        <f>'030523 INVENTARIO'!J996</f>
        <v>P24SJ-0995</v>
      </c>
      <c r="I996" s="167" t="str">
        <f>'030523 INVENTARIO'!K996</f>
        <v>P24SJ-054</v>
      </c>
      <c r="J996" s="167" t="str">
        <f>'030523 INVENTARIO'!L996</f>
        <v>P2A-28</v>
      </c>
      <c r="K996" s="167" t="str">
        <f>'030523 INVENTARIO'!M996</f>
        <v>5190200002-10</v>
      </c>
      <c r="L996" s="168">
        <f>'030523 INVENTARIO'!N996</f>
        <v>0</v>
      </c>
      <c r="M996" s="168">
        <f>'030523 INVENTARIO'!O996</f>
        <v>0</v>
      </c>
      <c r="N996" s="168" t="str">
        <f>'030523 INVENTARIO'!P996</f>
        <v>OK</v>
      </c>
      <c r="O996" s="168" t="str">
        <f>'030523 INVENTARIO'!Q996</f>
        <v>HOLMES</v>
      </c>
      <c r="P996" s="167" t="str">
        <f>'030523 INVENTARIO'!R996</f>
        <v>S/M</v>
      </c>
      <c r="Q996" s="168" t="str">
        <f>'030523 INVENTARIO'!S996</f>
        <v>SIN SERIE</v>
      </c>
      <c r="R996" s="168" t="str">
        <f>'030523 INVENTARIO'!T996</f>
        <v>82DH0531010094000531946</v>
      </c>
    </row>
    <row r="997" spans="5:18">
      <c r="E997" s="167" t="str">
        <f>'030523 INVENTARIO'!E997</f>
        <v>COMPUTADORA DE ESCRITORIO</v>
      </c>
      <c r="F997" s="168" t="str">
        <f>'030523 INVENTARIO'!F997</f>
        <v>COMPUTADORA BLANCO (DOS EN UNO)</v>
      </c>
      <c r="G997" s="167" t="str">
        <f ca="1">'030523 INVENTARIO'!G997</f>
        <v>P24CA-0996</v>
      </c>
      <c r="H997" s="167" t="str">
        <f>'030523 INVENTARIO'!J997</f>
        <v>P24SJ-0996</v>
      </c>
      <c r="I997" s="167" t="str">
        <f>'030523 INVENTARIO'!K997</f>
        <v>P24SJ-055</v>
      </c>
      <c r="J997" s="167" t="str">
        <f>'030523 INVENTARIO'!L997</f>
        <v>P2A-29</v>
      </c>
      <c r="K997" s="167" t="str">
        <f>'030523 INVENTARIO'!M997</f>
        <v>5150100005-12</v>
      </c>
      <c r="L997" s="168">
        <f>'030523 INVENTARIO'!N997</f>
        <v>0</v>
      </c>
      <c r="M997" s="168">
        <f>'030523 INVENTARIO'!O997</f>
        <v>0</v>
      </c>
      <c r="N997" s="168" t="str">
        <f>'030523 INVENTARIO'!P997</f>
        <v>OK</v>
      </c>
      <c r="O997" s="168" t="str">
        <f>'030523 INVENTARIO'!Q997</f>
        <v>LENOVO</v>
      </c>
      <c r="P997" s="167" t="str">
        <f>'030523 INVENTARIO'!R997</f>
        <v>S/M</v>
      </c>
      <c r="Q997" s="168" t="str">
        <f>'030523 INVENTARIO'!S997</f>
        <v>CS02498771</v>
      </c>
      <c r="R997" s="168" t="str">
        <f>'030523 INVENTARIO'!T997</f>
        <v>SIN RESGUARDO</v>
      </c>
    </row>
    <row r="998" spans="5:18">
      <c r="E998" s="167" t="str">
        <f>'030523 INVENTARIO'!E998</f>
        <v>SILLA</v>
      </c>
      <c r="F998" s="167" t="str">
        <f>'030523 INVENTARIO'!F998</f>
        <v>SILLA NEGRA CON RUEDAS</v>
      </c>
      <c r="G998" s="167" t="str">
        <f ca="1">'030523 INVENTARIO'!G998</f>
        <v>P12PP-0997</v>
      </c>
      <c r="H998" s="167" t="str">
        <f>'030523 INVENTARIO'!J998</f>
        <v>P12PP-0997</v>
      </c>
      <c r="I998" s="167">
        <f>'030523 INVENTARIO'!K998</f>
        <v>0</v>
      </c>
      <c r="J998" s="167">
        <f>'030523 INVENTARIO'!L998</f>
        <v>0</v>
      </c>
      <c r="K998" s="167" t="str">
        <f>'030523 INVENTARIO'!M998</f>
        <v>ALTA</v>
      </c>
      <c r="L998" s="168">
        <f>'030523 INVENTARIO'!N998</f>
        <v>0</v>
      </c>
      <c r="M998" s="168">
        <f>'030523 INVENTARIO'!O998</f>
        <v>0</v>
      </c>
      <c r="N998" s="168">
        <f>'030523 INVENTARIO'!P998</f>
        <v>0</v>
      </c>
      <c r="O998" s="168" t="str">
        <f>'030523 INVENTARIO'!Q998</f>
        <v>TRUE INNOVATIONS</v>
      </c>
      <c r="P998" s="167" t="str">
        <f>'030523 INVENTARIO'!R998</f>
        <v>ITM./ART. 1517994</v>
      </c>
      <c r="Q998" s="167" t="str">
        <f>'030523 INVENTARIO'!S998</f>
        <v>SIN SERIE</v>
      </c>
      <c r="R998" s="167" t="str">
        <f>'030523 INVENTARIO'!T998</f>
        <v>82DJ0511010017000697931</v>
      </c>
    </row>
    <row r="999" spans="5:18">
      <c r="E999" s="167" t="str">
        <f>'030523 INVENTARIO'!E999</f>
        <v>VENTILADOR</v>
      </c>
      <c r="F999" s="167" t="str">
        <f>'030523 INVENTARIO'!F999</f>
        <v xml:space="preserve">VENTILADOR GRIS DE TORRE </v>
      </c>
      <c r="G999" s="167" t="str">
        <f ca="1">'030523 INVENTARIO'!G999</f>
        <v>P12PL-0998</v>
      </c>
      <c r="H999" s="167" t="str">
        <f>'030523 INVENTARIO'!J999</f>
        <v>P24SJ-0997</v>
      </c>
      <c r="I999" s="167">
        <f>'030523 INVENTARIO'!K999</f>
        <v>0</v>
      </c>
      <c r="J999" s="167">
        <f>'030523 INVENTARIO'!L999</f>
        <v>0</v>
      </c>
      <c r="K999" s="167" t="str">
        <f>'030523 INVENTARIO'!M999</f>
        <v>ALTA</v>
      </c>
      <c r="L999" s="168">
        <f>'030523 INVENTARIO'!N999</f>
        <v>0</v>
      </c>
      <c r="M999" s="168">
        <f>'030523 INVENTARIO'!O999</f>
        <v>0</v>
      </c>
      <c r="N999" s="168">
        <f>'030523 INVENTARIO'!P999</f>
        <v>0</v>
      </c>
      <c r="O999" s="168" t="str">
        <f>'030523 INVENTARIO'!Q999</f>
        <v>BIRTMAN</v>
      </c>
      <c r="P999" s="167" t="str">
        <f>'030523 INVENTARIO'!R999</f>
        <v>BT-42I</v>
      </c>
      <c r="Q999" s="167" t="str">
        <f>'030523 INVENTARIO'!S999</f>
        <v>SIN SERIE</v>
      </c>
      <c r="R999" s="167" t="str">
        <f>'030523 INVENTARIO'!T999</f>
        <v>SIN RESGUARDO</v>
      </c>
    </row>
    <row r="1000" spans="5:18">
      <c r="E1000" s="167" t="str">
        <f>'030523 INVENTARIO'!E1000</f>
        <v>SILLA</v>
      </c>
      <c r="F1000" s="167" t="str">
        <f>'030523 INVENTARIO'!F1000</f>
        <v>SILLA NEGRA CON RUEDAS</v>
      </c>
      <c r="G1000" s="167" t="str">
        <f ca="1">'030523 INVENTARIO'!G1000</f>
        <v>P12SI-0999</v>
      </c>
      <c r="H1000" s="167" t="str">
        <f>'030523 INVENTARIO'!J1000</f>
        <v>P24SJ-0998</v>
      </c>
      <c r="I1000" s="167">
        <f>'030523 INVENTARIO'!K1000</f>
        <v>0</v>
      </c>
      <c r="J1000" s="167">
        <f>'030523 INVENTARIO'!L1000</f>
        <v>0</v>
      </c>
      <c r="K1000" s="167" t="str">
        <f>'030523 INVENTARIO'!M1000</f>
        <v>ALTA</v>
      </c>
      <c r="L1000" s="168">
        <f>'030523 INVENTARIO'!N1000</f>
        <v>0</v>
      </c>
      <c r="M1000" s="168">
        <f>'030523 INVENTARIO'!O1000</f>
        <v>0</v>
      </c>
      <c r="N1000" s="168">
        <f>'030523 INVENTARIO'!P1000</f>
        <v>0</v>
      </c>
      <c r="O1000" s="168" t="str">
        <f>'030523 INVENTARIO'!Q1000</f>
        <v>S/M</v>
      </c>
      <c r="P1000" s="167" t="str">
        <f>'030523 INVENTARIO'!R1000</f>
        <v>S/M</v>
      </c>
      <c r="Q1000" s="167" t="str">
        <f>'030523 INVENTARIO'!S1000</f>
        <v>SIN SERIE</v>
      </c>
      <c r="R1000" s="167" t="str">
        <f>'030523 INVENTARIO'!T1000</f>
        <v>82DH0511010017000693401</v>
      </c>
    </row>
    <row r="1001" spans="5:18">
      <c r="E1001" s="167" t="str">
        <f>'030523 INVENTARIO'!E1001</f>
        <v>SILLA</v>
      </c>
      <c r="F1001" s="167" t="str">
        <f>'030523 INVENTARIO'!F1001</f>
        <v>SILLA NEGRA CON RUEDAS</v>
      </c>
      <c r="G1001" s="167" t="str">
        <f ca="1">'030523 INVENTARIO'!G1001</f>
        <v>P12SI-1000</v>
      </c>
      <c r="H1001" s="167" t="str">
        <f>'030523 INVENTARIO'!J1001</f>
        <v>P24SJ-0999</v>
      </c>
      <c r="I1001" s="167">
        <f>'030523 INVENTARIO'!K1001</f>
        <v>0</v>
      </c>
      <c r="J1001" s="167">
        <f>'030523 INVENTARIO'!L1001</f>
        <v>0</v>
      </c>
      <c r="K1001" s="167" t="str">
        <f>'030523 INVENTARIO'!M1001</f>
        <v>ALTA</v>
      </c>
      <c r="L1001" s="168">
        <f>'030523 INVENTARIO'!N1001</f>
        <v>0</v>
      </c>
      <c r="M1001" s="168">
        <f>'030523 INVENTARIO'!O1001</f>
        <v>0</v>
      </c>
      <c r="N1001" s="168">
        <f>'030523 INVENTARIO'!P1001</f>
        <v>0</v>
      </c>
      <c r="O1001" s="168" t="str">
        <f>'030523 INVENTARIO'!Q1001</f>
        <v>S/M</v>
      </c>
      <c r="P1001" s="167" t="str">
        <f>'030523 INVENTARIO'!R1001</f>
        <v>S/M</v>
      </c>
      <c r="Q1001" s="167" t="str">
        <f>'030523 INVENTARIO'!S1001</f>
        <v>SIN SERIE</v>
      </c>
      <c r="R1001" s="167" t="str">
        <f>'030523 INVENTARIO'!T1001</f>
        <v>82DH0511010017000693400</v>
      </c>
    </row>
    <row r="1002" spans="5:18">
      <c r="E1002" s="167" t="str">
        <f>'030523 INVENTARIO'!E1002</f>
        <v>MONITOR</v>
      </c>
      <c r="F1002" s="167" t="str">
        <f>'030523 INVENTARIO'!F1002</f>
        <v>MONITOR 29"</v>
      </c>
      <c r="G1002" s="167" t="str">
        <f ca="1">'030523 INVENTARIO'!G1002</f>
        <v>P12SI-1001</v>
      </c>
      <c r="H1002" s="167" t="str">
        <f>'030523 INVENTARIO'!J1002</f>
        <v>P12PP-0998</v>
      </c>
      <c r="I1002" s="167">
        <f>'030523 INVENTARIO'!K1002</f>
        <v>0</v>
      </c>
      <c r="J1002" s="167">
        <f>'030523 INVENTARIO'!L1002</f>
        <v>0</v>
      </c>
      <c r="K1002" s="167" t="str">
        <f>'030523 INVENTARIO'!M1002</f>
        <v>ALTA</v>
      </c>
      <c r="L1002" s="168">
        <f>'030523 INVENTARIO'!N1002</f>
        <v>0</v>
      </c>
      <c r="M1002" s="168">
        <f>'030523 INVENTARIO'!O1002</f>
        <v>0</v>
      </c>
      <c r="N1002" s="168">
        <f>'030523 INVENTARIO'!P1002</f>
        <v>0</v>
      </c>
      <c r="O1002" s="168" t="str">
        <f>'030523 INVENTARIO'!Q1002</f>
        <v>S/M</v>
      </c>
      <c r="P1002" s="167" t="str">
        <f>'030523 INVENTARIO'!R1002</f>
        <v>29WP500</v>
      </c>
      <c r="Q1002" s="167" t="str">
        <f>'030523 INVENTARIO'!S1002</f>
        <v>207NTWG1K905</v>
      </c>
      <c r="R1002" s="167" t="str">
        <f>'030523 INVENTARIO'!T1002</f>
        <v>82DJ0515010013000711758</v>
      </c>
    </row>
    <row r="1003" spans="5:18">
      <c r="E1003" s="167" t="str">
        <f>'030523 INVENTARIO'!E1003</f>
        <v>MONITOR</v>
      </c>
      <c r="F1003" s="167" t="str">
        <f>'030523 INVENTARIO'!F1003</f>
        <v>MONITOR 29"</v>
      </c>
      <c r="G1003" s="167" t="str">
        <f ca="1">'030523 INVENTARIO'!G1003</f>
        <v>P12SI-1002</v>
      </c>
      <c r="H1003" s="167" t="str">
        <f>'030523 INVENTARIO'!J1003</f>
        <v>P24SJ-1000</v>
      </c>
      <c r="I1003" s="167">
        <f>'030523 INVENTARIO'!K1003</f>
        <v>0</v>
      </c>
      <c r="J1003" s="167">
        <f>'030523 INVENTARIO'!L1003</f>
        <v>0</v>
      </c>
      <c r="K1003" s="167" t="str">
        <f>'030523 INVENTARIO'!M1003</f>
        <v>ALTA</v>
      </c>
      <c r="L1003" s="168">
        <f>'030523 INVENTARIO'!N1003</f>
        <v>0</v>
      </c>
      <c r="M1003" s="168">
        <f>'030523 INVENTARIO'!O1003</f>
        <v>0</v>
      </c>
      <c r="N1003" s="168">
        <f>'030523 INVENTARIO'!P1003</f>
        <v>0</v>
      </c>
      <c r="O1003" s="168" t="str">
        <f>'030523 INVENTARIO'!Q1003</f>
        <v>LG</v>
      </c>
      <c r="P1003" s="167" t="str">
        <f>'030523 INVENTARIO'!R1003</f>
        <v>29WP500</v>
      </c>
      <c r="Q1003" s="167" t="str">
        <f>'030523 INVENTARIO'!S1003</f>
        <v>207NTZN1K917</v>
      </c>
      <c r="R1003" s="167" t="str">
        <f>'030523 INVENTARIO'!T1003</f>
        <v>82DJ0515010013000711759</v>
      </c>
    </row>
    <row r="1004" spans="5:18">
      <c r="E1004" s="167" t="str">
        <f>'030523 INVENTARIO'!E1004</f>
        <v>SILLA</v>
      </c>
      <c r="F1004" s="167" t="str">
        <f>'030523 INVENTARIO'!F1004</f>
        <v>SILLA NEGRA CON RUEDAS</v>
      </c>
      <c r="G1004" s="167" t="str">
        <f ca="1">'030523 INVENTARIO'!G1004</f>
        <v>P12SI-1003</v>
      </c>
      <c r="H1004" s="167" t="str">
        <f>'030523 INVENTARIO'!J1004</f>
        <v>P24SJ-1001</v>
      </c>
      <c r="I1004" s="167">
        <f>'030523 INVENTARIO'!K1004</f>
        <v>0</v>
      </c>
      <c r="J1004" s="167">
        <f>'030523 INVENTARIO'!L1004</f>
        <v>0</v>
      </c>
      <c r="K1004" s="167" t="str">
        <f>'030523 INVENTARIO'!M1004</f>
        <v>ALTA</v>
      </c>
      <c r="L1004" s="168">
        <f>'030523 INVENTARIO'!N1004</f>
        <v>0</v>
      </c>
      <c r="M1004" s="168">
        <f>'030523 INVENTARIO'!O1004</f>
        <v>0</v>
      </c>
      <c r="N1004" s="168">
        <f>'030523 INVENTARIO'!P1004</f>
        <v>0</v>
      </c>
      <c r="O1004" s="168" t="str">
        <f>'030523 INVENTARIO'!Q1004</f>
        <v>S/M</v>
      </c>
      <c r="P1004" s="167" t="str">
        <f>'030523 INVENTARIO'!R1004</f>
        <v>S/M</v>
      </c>
      <c r="Q1004" s="167" t="str">
        <f>'030523 INVENTARIO'!S1004</f>
        <v>SIN SERIE</v>
      </c>
      <c r="R1004" s="167" t="str">
        <f>'030523 INVENTARIO'!T1004</f>
        <v>82DH0511010017000693402</v>
      </c>
    </row>
    <row r="1005" spans="5:18">
      <c r="E1005" s="167" t="str">
        <f>'030523 INVENTARIO'!E1005</f>
        <v>SILLON</v>
      </c>
      <c r="F1005" s="167" t="str">
        <f>'030523 INVENTARIO'!F1005</f>
        <v>SILLÓN NEGRO DE VINIPIEL FIJO CON BASE METAL NEGRA</v>
      </c>
      <c r="G1005" s="167" t="str">
        <f ca="1">'030523 INVENTARIO'!G1005</f>
        <v>P24SJ-1004</v>
      </c>
      <c r="H1005" s="167" t="str">
        <f>'030523 INVENTARIO'!J1005</f>
        <v>P24SJ-1002</v>
      </c>
      <c r="I1005" s="167">
        <f>'030523 INVENTARIO'!K1005</f>
        <v>0</v>
      </c>
      <c r="J1005" s="167">
        <f>'030523 INVENTARIO'!L1005</f>
        <v>0</v>
      </c>
      <c r="K1005" s="167" t="str">
        <f>'030523 INVENTARIO'!M1005</f>
        <v>ALTA</v>
      </c>
      <c r="L1005" s="168">
        <f>'030523 INVENTARIO'!N1005</f>
        <v>0</v>
      </c>
      <c r="M1005" s="168">
        <f>'030523 INVENTARIO'!O1005</f>
        <v>0</v>
      </c>
      <c r="N1005" s="168">
        <f>'030523 INVENTARIO'!P1005</f>
        <v>0</v>
      </c>
      <c r="O1005" s="168" t="str">
        <f>'030523 INVENTARIO'!Q1005</f>
        <v>S/M</v>
      </c>
      <c r="P1005" s="167" t="str">
        <f>'030523 INVENTARIO'!R1005</f>
        <v>S/M</v>
      </c>
      <c r="Q1005" s="167" t="str">
        <f>'030523 INVENTARIO'!S1005</f>
        <v>SIN SERIE</v>
      </c>
      <c r="R1005" s="167" t="str">
        <f>'030523 INVENTARIO'!T1005</f>
        <v>82DH0511010016000702172</v>
      </c>
    </row>
    <row r="1006" spans="5:18">
      <c r="E1006" s="167" t="str">
        <f>'030523 INVENTARIO'!E1006</f>
        <v>SILLON</v>
      </c>
      <c r="F1006" s="167" t="str">
        <f>'030523 INVENTARIO'!F1006</f>
        <v>SILLÓN NEGRO DE VINIPIEL FIJO CON BASE METAL NEGRA</v>
      </c>
      <c r="G1006" s="167" t="str">
        <f ca="1">'030523 INVENTARIO'!G1006</f>
        <v>P24SJ-1005</v>
      </c>
      <c r="H1006" s="167" t="str">
        <f>'030523 INVENTARIO'!J1006</f>
        <v>P12PP-0999</v>
      </c>
      <c r="I1006" s="167">
        <f>'030523 INVENTARIO'!K1006</f>
        <v>0</v>
      </c>
      <c r="J1006" s="167">
        <f>'030523 INVENTARIO'!L1006</f>
        <v>0</v>
      </c>
      <c r="K1006" s="167" t="str">
        <f>'030523 INVENTARIO'!M1006</f>
        <v>ALTA</v>
      </c>
      <c r="L1006" s="168">
        <f>'030523 INVENTARIO'!N1006</f>
        <v>0</v>
      </c>
      <c r="M1006" s="168">
        <f>'030523 INVENTARIO'!O1006</f>
        <v>0</v>
      </c>
      <c r="N1006" s="168">
        <f>'030523 INVENTARIO'!P1006</f>
        <v>0</v>
      </c>
      <c r="O1006" s="168" t="str">
        <f>'030523 INVENTARIO'!Q1006</f>
        <v>S/M</v>
      </c>
      <c r="P1006" s="167" t="str">
        <f>'030523 INVENTARIO'!R1006</f>
        <v>S/M</v>
      </c>
      <c r="Q1006" s="167" t="str">
        <f>'030523 INVENTARIO'!S1006</f>
        <v>SIN SERIE</v>
      </c>
      <c r="R1006" s="167" t="str">
        <f>'030523 INVENTARIO'!T1006</f>
        <v>82DH0511010016000702173</v>
      </c>
    </row>
    <row r="1007" spans="5:18">
      <c r="E1007" s="167" t="str">
        <f>'030523 INVENTARIO'!E1007</f>
        <v>VENTILADOR</v>
      </c>
      <c r="F1007" s="167" t="str">
        <f>'030523 INVENTARIO'!F1007</f>
        <v>VENTILADOR NEGRO DE PARED CON ASPAS DE METAL</v>
      </c>
      <c r="G1007" s="167" t="str">
        <f ca="1">'030523 INVENTARIO'!G1007</f>
        <v>P24SJ-1006</v>
      </c>
      <c r="H1007" s="167" t="str">
        <f>'030523 INVENTARIO'!J1007</f>
        <v>P24SJ-1003</v>
      </c>
      <c r="I1007" s="167">
        <f>'030523 INVENTARIO'!K1007</f>
        <v>0</v>
      </c>
      <c r="J1007" s="167">
        <f>'030523 INVENTARIO'!L1007</f>
        <v>0</v>
      </c>
      <c r="K1007" s="167" t="str">
        <f>'030523 INVENTARIO'!M1007</f>
        <v>ALTA</v>
      </c>
      <c r="L1007" s="168">
        <f>'030523 INVENTARIO'!N1007</f>
        <v>0</v>
      </c>
      <c r="M1007" s="168">
        <f>'030523 INVENTARIO'!O1007</f>
        <v>0</v>
      </c>
      <c r="N1007" s="168">
        <f>'030523 INVENTARIO'!P1007</f>
        <v>0</v>
      </c>
      <c r="O1007" s="168" t="str">
        <f>'030523 INVENTARIO'!Q1007</f>
        <v>MYTEK</v>
      </c>
      <c r="P1007" s="167">
        <f>'030523 INVENTARIO'!R1007</f>
        <v>3196</v>
      </c>
      <c r="Q1007" s="167" t="str">
        <f>'030523 INVENTARIO'!S1007</f>
        <v>SIN SERIE</v>
      </c>
      <c r="R1007" s="167" t="str">
        <f>'030523 INVENTARIO'!T1007</f>
        <v>82DH0519010043000705581</v>
      </c>
    </row>
    <row r="1008" spans="5:18">
      <c r="E1008" s="167" t="str">
        <f>'030523 INVENTARIO'!E1008</f>
        <v>TAJALAPIZ</v>
      </c>
      <c r="F1008" s="167" t="str">
        <f>'030523 INVENTARIO'!F1008</f>
        <v xml:space="preserve">TAJALAPIZ </v>
      </c>
      <c r="G1008" s="167" t="str">
        <f ca="1">'030523 INVENTARIO'!G1008</f>
        <v>P24SJ-1007</v>
      </c>
      <c r="H1008" s="167" t="str">
        <f>'030523 INVENTARIO'!J1008</f>
        <v>P24SJ-1004</v>
      </c>
      <c r="I1008" s="167">
        <f>'030523 INVENTARIO'!K1008</f>
        <v>0</v>
      </c>
      <c r="J1008" s="167">
        <f>'030523 INVENTARIO'!L1008</f>
        <v>0</v>
      </c>
      <c r="K1008" s="167" t="str">
        <f>'030523 INVENTARIO'!M1008</f>
        <v>ALTA</v>
      </c>
      <c r="L1008" s="168">
        <f>'030523 INVENTARIO'!N1008</f>
        <v>0</v>
      </c>
      <c r="M1008" s="168">
        <f>'030523 INVENTARIO'!O1008</f>
        <v>0</v>
      </c>
      <c r="N1008" s="168">
        <f>'030523 INVENTARIO'!P1008</f>
        <v>0</v>
      </c>
      <c r="O1008" s="168" t="str">
        <f>'030523 INVENTARIO'!Q1008</f>
        <v>RIAN</v>
      </c>
      <c r="P1008" s="167" t="str">
        <f>'030523 INVENTARIO'!R1008</f>
        <v>PY835</v>
      </c>
      <c r="Q1008" s="167" t="str">
        <f>'030523 INVENTARIO'!S1008</f>
        <v>SIN SERIE</v>
      </c>
      <c r="R1008" s="167" t="str">
        <f>'030523 INVENTARIO'!T1008</f>
        <v>SIN RESGUARDO</v>
      </c>
    </row>
    <row r="1009" spans="5:18">
      <c r="E1009" s="167" t="str">
        <f>'030523 INVENTARIO'!E1009</f>
        <v>SILLON</v>
      </c>
      <c r="F1009" s="167" t="str">
        <f>'030523 INVENTARIO'!F1009</f>
        <v>SILLÓN NEGRO CON RUEDAS</v>
      </c>
      <c r="G1009" s="167" t="str">
        <f ca="1">'030523 INVENTARIO'!G1009</f>
        <v>P24SJ-1008</v>
      </c>
      <c r="H1009" s="167" t="str">
        <f>'030523 INVENTARIO'!J1009</f>
        <v>P24SJ-1005</v>
      </c>
      <c r="I1009" s="167">
        <f>'030523 INVENTARIO'!K1009</f>
        <v>0</v>
      </c>
      <c r="J1009" s="167">
        <f>'030523 INVENTARIO'!L1009</f>
        <v>0</v>
      </c>
      <c r="K1009" s="167" t="str">
        <f>'030523 INVENTARIO'!M1009</f>
        <v>ALTA</v>
      </c>
      <c r="L1009" s="168">
        <f>'030523 INVENTARIO'!N1009</f>
        <v>0</v>
      </c>
      <c r="M1009" s="168">
        <f>'030523 INVENTARIO'!O1009</f>
        <v>0</v>
      </c>
      <c r="N1009" s="168">
        <f>'030523 INVENTARIO'!P1009</f>
        <v>0</v>
      </c>
      <c r="O1009" s="168" t="str">
        <f>'030523 INVENTARIO'!Q1009</f>
        <v>S/M</v>
      </c>
      <c r="P1009" s="167" t="str">
        <f>'030523 INVENTARIO'!R1009</f>
        <v>S/M</v>
      </c>
      <c r="Q1009" s="167" t="str">
        <f>'030523 INVENTARIO'!S1009</f>
        <v>SIN SERIE</v>
      </c>
      <c r="R1009" s="167" t="str">
        <f>'030523 INVENTARIO'!T1009</f>
        <v>82DH0511010016000702175</v>
      </c>
    </row>
    <row r="1010" spans="5:18">
      <c r="E1010" s="167" t="str">
        <f>'030523 INVENTARIO'!E1010</f>
        <v>DISCO DURO</v>
      </c>
      <c r="F1010" s="167" t="str">
        <f>'030523 INVENTARIO'!F1010</f>
        <v>DISCO DURO</v>
      </c>
      <c r="G1010" s="167" t="str">
        <f ca="1">'030523 INVENTARIO'!G1010</f>
        <v>P24NV-1009</v>
      </c>
      <c r="H1010" s="167" t="str">
        <f>'030523 INVENTARIO'!J1010</f>
        <v>P12PP-1000</v>
      </c>
      <c r="I1010" s="167">
        <f>'030523 INVENTARIO'!K1010</f>
        <v>0</v>
      </c>
      <c r="J1010" s="167">
        <f>'030523 INVENTARIO'!L1010</f>
        <v>0</v>
      </c>
      <c r="K1010" s="167" t="str">
        <f>'030523 INVENTARIO'!M1010</f>
        <v>ALTA</v>
      </c>
      <c r="L1010" s="168">
        <f>'030523 INVENTARIO'!N1010</f>
        <v>0</v>
      </c>
      <c r="M1010" s="168">
        <f>'030523 INVENTARIO'!O1010</f>
        <v>0</v>
      </c>
      <c r="N1010" s="168">
        <f>'030523 INVENTARIO'!P1010</f>
        <v>0</v>
      </c>
      <c r="O1010" s="168" t="str">
        <f>'030523 INVENTARIO'!Q1010</f>
        <v>ADATA</v>
      </c>
      <c r="P1010" s="167" t="str">
        <f>'030523 INVENTARIO'!R1010</f>
        <v>HV300-2T</v>
      </c>
      <c r="Q1010" s="167" t="str">
        <f>'030523 INVENTARIO'!S1010</f>
        <v>1M2720844265</v>
      </c>
      <c r="R1010" s="167" t="str">
        <f>'030523 INVENTARIO'!T1010</f>
        <v>82DH0515010006000702171</v>
      </c>
    </row>
    <row r="1011" spans="5:18">
      <c r="E1011" s="167" t="str">
        <f>'030523 INVENTARIO'!E1011</f>
        <v>ADAPTADOR</v>
      </c>
      <c r="F1011" s="167" t="str">
        <f>'030523 INVENTARIO'!F1011</f>
        <v>GRABADOR DE CD/DVD</v>
      </c>
      <c r="G1011" s="167" t="str">
        <f ca="1">'030523 INVENTARIO'!G1011</f>
        <v>P05RM-1010</v>
      </c>
      <c r="H1011" s="167" t="str">
        <f>'030523 INVENTARIO'!J1011</f>
        <v>P24SJ-1006</v>
      </c>
      <c r="I1011" s="167">
        <f>'030523 INVENTARIO'!K1011</f>
        <v>0</v>
      </c>
      <c r="J1011" s="167">
        <f>'030523 INVENTARIO'!L1011</f>
        <v>0</v>
      </c>
      <c r="K1011" s="167" t="str">
        <f>'030523 INVENTARIO'!M1011</f>
        <v>ALTA</v>
      </c>
      <c r="L1011" s="168">
        <f>'030523 INVENTARIO'!N1011</f>
        <v>0</v>
      </c>
      <c r="M1011" s="168">
        <f>'030523 INVENTARIO'!O1011</f>
        <v>0</v>
      </c>
      <c r="N1011" s="168">
        <f>'030523 INVENTARIO'!P1011</f>
        <v>0</v>
      </c>
      <c r="O1011" s="168" t="str">
        <f>'030523 INVENTARIO'!Q1011</f>
        <v>LENOVO</v>
      </c>
      <c r="P1011" s="167" t="str">
        <f>'030523 INVENTARIO'!R1011</f>
        <v>LN-8AENH</v>
      </c>
      <c r="Q1011" s="167" t="str">
        <f>'030523 INVENTARIO'!S1011</f>
        <v>7XA7A05926J1024LTE</v>
      </c>
      <c r="R1011" s="167" t="str">
        <f>'030523 INVENTARIO'!T1011</f>
        <v>82DH0515010048000702170</v>
      </c>
    </row>
    <row r="1012" spans="5:18">
      <c r="E1012" s="167" t="str">
        <f>'030523 INVENTARIO'!E1012</f>
        <v>SILLON</v>
      </c>
      <c r="F1012" s="167" t="str">
        <f>'030523 INVENTARIO'!F1012</f>
        <v>SILLÓN NEGRO DE VINIPIEL CON RUEDAS</v>
      </c>
      <c r="G1012" s="167" t="str">
        <f ca="1">'030523 INVENTARIO'!G1012</f>
        <v>P24CS-1011</v>
      </c>
      <c r="H1012" s="167" t="str">
        <f>'030523 INVENTARIO'!J1012</f>
        <v>P24SJ-1007</v>
      </c>
      <c r="I1012" s="167">
        <f>'030523 INVENTARIO'!K1012</f>
        <v>0</v>
      </c>
      <c r="J1012" s="167">
        <f>'030523 INVENTARIO'!L1012</f>
        <v>0</v>
      </c>
      <c r="K1012" s="167" t="str">
        <f>'030523 INVENTARIO'!M1012</f>
        <v>ALTA</v>
      </c>
      <c r="L1012" s="168">
        <f>'030523 INVENTARIO'!N1012</f>
        <v>0</v>
      </c>
      <c r="M1012" s="168">
        <f>'030523 INVENTARIO'!O1012</f>
        <v>0</v>
      </c>
      <c r="N1012" s="168">
        <f>'030523 INVENTARIO'!P1012</f>
        <v>0</v>
      </c>
      <c r="O1012" s="168" t="str">
        <f>'030523 INVENTARIO'!Q1012</f>
        <v>S/M</v>
      </c>
      <c r="P1012" s="167" t="str">
        <f>'030523 INVENTARIO'!R1012</f>
        <v>S/M</v>
      </c>
      <c r="Q1012" s="167" t="str">
        <f>'030523 INVENTARIO'!S1012</f>
        <v>SIN SERIE</v>
      </c>
      <c r="R1012" s="167" t="str">
        <f>'030523 INVENTARIO'!T1012</f>
        <v>82DH0511010016000702174</v>
      </c>
    </row>
    <row r="1013" spans="5:18">
      <c r="E1013" s="167" t="str">
        <f>'030523 INVENTARIO'!E1013</f>
        <v>PANTALLA</v>
      </c>
      <c r="F1013" s="167" t="str">
        <f>'030523 INVENTARIO'!F1013</f>
        <v>PANTALLA 50" UHD 4K LED COLOR NEGRO</v>
      </c>
      <c r="G1013" s="167" t="str">
        <f ca="1">'030523 INVENTARIO'!G1013</f>
        <v>P12SI-1012</v>
      </c>
      <c r="H1013" s="167" t="str">
        <f>'030523 INVENTARIO'!J1013</f>
        <v>P24SJ-1008</v>
      </c>
      <c r="I1013" s="167">
        <f>'030523 INVENTARIO'!K1013</f>
        <v>0</v>
      </c>
      <c r="J1013" s="167">
        <f>'030523 INVENTARIO'!L1013</f>
        <v>0</v>
      </c>
      <c r="K1013" s="167" t="str">
        <f>'030523 INVENTARIO'!M1013</f>
        <v>ALTA</v>
      </c>
      <c r="L1013" s="168">
        <f>'030523 INVENTARIO'!N1013</f>
        <v>0</v>
      </c>
      <c r="M1013" s="168">
        <f>'030523 INVENTARIO'!O1013</f>
        <v>0</v>
      </c>
      <c r="N1013" s="168">
        <f>'030523 INVENTARIO'!P1013</f>
        <v>0</v>
      </c>
      <c r="O1013" s="168" t="str">
        <f>'030523 INVENTARIO'!Q1013</f>
        <v>HISENSE</v>
      </c>
      <c r="P1013" s="167" t="str">
        <f>'030523 INVENTARIO'!R1013</f>
        <v>50A6H</v>
      </c>
      <c r="Q1013" s="167" t="str">
        <f>'030523 INVENTARIO'!S1013</f>
        <v>50G2214JQH00739</v>
      </c>
      <c r="R1013" s="167" t="str">
        <f>'030523 INVENTARIO'!T1013</f>
        <v>82DJ0512010025000711757</v>
      </c>
    </row>
    <row r="1014" spans="5:18">
      <c r="E1014" s="167" t="str">
        <f>'030523 INVENTARIO'!E1014</f>
        <v>SILLA</v>
      </c>
      <c r="F1014" s="167" t="str">
        <f>'030523 INVENTARIO'!F1014</f>
        <v>SILLA DE TELA CAFE</v>
      </c>
      <c r="G1014" s="167" t="str">
        <f ca="1">'030523 INVENTARIO'!G1014</f>
        <v>P35DA-1013</v>
      </c>
      <c r="H1014" s="167" t="str">
        <f>'030523 INVENTARIO'!J1014</f>
        <v>P12PP-1001</v>
      </c>
      <c r="I1014" s="167">
        <f>'030523 INVENTARIO'!K1014</f>
        <v>0</v>
      </c>
      <c r="J1014" s="167">
        <f>'030523 INVENTARIO'!L1014</f>
        <v>0</v>
      </c>
      <c r="K1014" s="167" t="str">
        <f>'030523 INVENTARIO'!M1014</f>
        <v>ALTA</v>
      </c>
      <c r="L1014" s="167">
        <f>'030523 INVENTARIO'!N1014</f>
        <v>0</v>
      </c>
      <c r="M1014" s="167">
        <f>'030523 INVENTARIO'!O1014</f>
        <v>0</v>
      </c>
      <c r="N1014" s="167">
        <f>'030523 INVENTARIO'!P1014</f>
        <v>0</v>
      </c>
      <c r="O1014" s="167" t="str">
        <f>'030523 INVENTARIO'!Q1014</f>
        <v>S/M</v>
      </c>
      <c r="P1014" s="167" t="str">
        <f>'030523 INVENTARIO'!R1014</f>
        <v>S/M</v>
      </c>
      <c r="Q1014" s="167" t="str">
        <f>'030523 INVENTARIO'!S1014</f>
        <v>SIN SERIE</v>
      </c>
      <c r="R1014" s="167" t="str">
        <f>'030523 INVENTARIO'!T1014</f>
        <v>SIN RESGUARDO</v>
      </c>
    </row>
    <row r="1015" spans="5:18">
      <c r="E1015" s="167" t="str">
        <f>'030523 INVENTARIO'!E1015</f>
        <v>ARCHIVERO</v>
      </c>
      <c r="F1015" s="167" t="str">
        <f>'030523 INVENTARIO'!F1015</f>
        <v>ARCHIVERO DE METAL 4 CAJONES COLOR GRIS</v>
      </c>
      <c r="G1015" s="167" t="str">
        <f ca="1">'030523 INVENTARIO'!G1015</f>
        <v>P05RM-1014</v>
      </c>
      <c r="H1015" s="167" t="str">
        <f>'030523 INVENTARIO'!J1015</f>
        <v>P24SJ-1009</v>
      </c>
      <c r="I1015" s="167">
        <f>'030523 INVENTARIO'!K1015</f>
        <v>0</v>
      </c>
      <c r="J1015" s="167">
        <f>'030523 INVENTARIO'!L1015</f>
        <v>0</v>
      </c>
      <c r="K1015" s="167" t="str">
        <f>'030523 INVENTARIO'!M1015</f>
        <v>ALTA</v>
      </c>
      <c r="L1015" s="168">
        <f>'030523 INVENTARIO'!N1015</f>
        <v>0</v>
      </c>
      <c r="M1015" s="168">
        <f>'030523 INVENTARIO'!O1015</f>
        <v>0</v>
      </c>
      <c r="N1015" s="168">
        <f>'030523 INVENTARIO'!P1015</f>
        <v>0</v>
      </c>
      <c r="O1015" s="168" t="str">
        <f>'030523 INVENTARIO'!Q1015</f>
        <v>S/M</v>
      </c>
      <c r="P1015" s="167" t="str">
        <f>'030523 INVENTARIO'!R1015</f>
        <v>S/M</v>
      </c>
      <c r="Q1015" s="167" t="str">
        <f>'030523 INVENTARIO'!S1015</f>
        <v>SIN SERIE</v>
      </c>
      <c r="R1015" s="167" t="str">
        <f>'030523 INVENTARIO'!T1015</f>
        <v>SIN RESGUARDO</v>
      </c>
    </row>
    <row r="1016" spans="5:18">
      <c r="E1016" s="167" t="str">
        <f>'030523 INVENTARIO'!E1016</f>
        <v>BASCULA</v>
      </c>
      <c r="F1016" s="167" t="str">
        <f>'030523 INVENTARIO'!F1016</f>
        <v>BASCULA GRAMERA BLANCA DE HASTA 5 KG</v>
      </c>
      <c r="G1016" s="167" t="str">
        <f ca="1">'030523 INVENTARIO'!G1016</f>
        <v>P02PP-1015</v>
      </c>
      <c r="H1016" s="167">
        <f>'030523 INVENTARIO'!J1016</f>
        <v>0</v>
      </c>
      <c r="I1016" s="167">
        <f>'030523 INVENTARIO'!K1016</f>
        <v>0</v>
      </c>
      <c r="J1016" s="167">
        <f>'030523 INVENTARIO'!L1016</f>
        <v>0</v>
      </c>
      <c r="K1016" s="167" t="str">
        <f>'030523 INVENTARIO'!M1016</f>
        <v>ALTA</v>
      </c>
      <c r="L1016" s="168">
        <f>'030523 INVENTARIO'!N1016</f>
        <v>0</v>
      </c>
      <c r="M1016" s="168">
        <f>'030523 INVENTARIO'!O1016</f>
        <v>0</v>
      </c>
      <c r="N1016" s="168">
        <f>'030523 INVENTARIO'!P1016</f>
        <v>0</v>
      </c>
      <c r="O1016" s="168" t="str">
        <f>'030523 INVENTARIO'!Q1016</f>
        <v>STEREN</v>
      </c>
      <c r="P1016" s="167" t="str">
        <f>'030523 INVENTARIO'!R1016</f>
        <v>MED-080</v>
      </c>
      <c r="Q1016" s="167">
        <f>'030523 INVENTARIO'!S1016</f>
        <v>41480</v>
      </c>
      <c r="R1016" s="167" t="str">
        <f>'030523 INVENTARIO'!T1016</f>
        <v>82DJ0512010027000756306</v>
      </c>
    </row>
    <row r="1017" spans="5:18">
      <c r="E1017" s="167" t="str">
        <f>'030523 INVENTARIO'!E1017</f>
        <v>BASCULA</v>
      </c>
      <c r="F1017" s="167" t="str">
        <f>'030523 INVENTARIO'!F1017</f>
        <v>BASCULA DE HASTA 200KG NEGRA</v>
      </c>
      <c r="G1017" s="167" t="str">
        <f ca="1">'030523 INVENTARIO'!G1017</f>
        <v>P02PP-1016</v>
      </c>
      <c r="H1017" s="167">
        <f>'030523 INVENTARIO'!J1017</f>
        <v>0</v>
      </c>
      <c r="I1017" s="167">
        <f>'030523 INVENTARIO'!K1017</f>
        <v>0</v>
      </c>
      <c r="J1017" s="167">
        <f>'030523 INVENTARIO'!L1017</f>
        <v>0</v>
      </c>
      <c r="K1017" s="167" t="str">
        <f>'030523 INVENTARIO'!M1017</f>
        <v>ALTA</v>
      </c>
      <c r="L1017" s="168">
        <f>'030523 INVENTARIO'!N1017</f>
        <v>0</v>
      </c>
      <c r="M1017" s="168">
        <f>'030523 INVENTARIO'!O1017</f>
        <v>0</v>
      </c>
      <c r="N1017" s="168">
        <f>'030523 INVENTARIO'!P1017</f>
        <v>0</v>
      </c>
      <c r="O1017" s="168" t="str">
        <f>'030523 INVENTARIO'!Q1017</f>
        <v>RHINO</v>
      </c>
      <c r="P1017" s="167" t="str">
        <f>'030523 INVENTARIO'!R1017</f>
        <v>BAPCA-200</v>
      </c>
      <c r="Q1017" s="167" t="str">
        <f>'030523 INVENTARIO'!S1017</f>
        <v>BPCA200-10843-0022</v>
      </c>
      <c r="R1017" s="167" t="str">
        <f>'030523 INVENTARIO'!T1017</f>
        <v>82DJ0 512010027 000756307</v>
      </c>
    </row>
    <row r="1018" spans="5:18">
      <c r="E1018" s="167" t="str">
        <f>'030523 INVENTARIO'!E1018</f>
        <v>MICROMETRO</v>
      </c>
      <c r="F1018" s="167" t="str">
        <f>'030523 INVENTARIO'!F1018</f>
        <v>CALIBRADOR MICROMETRO RESISTENTE 0 A 25 MM Ob</v>
      </c>
      <c r="G1018" s="167" t="str">
        <f ca="1">'030523 INVENTARIO'!G1018</f>
        <v>P02PP-1017</v>
      </c>
      <c r="H1018" s="167">
        <f>'030523 INVENTARIO'!J1018</f>
        <v>0</v>
      </c>
      <c r="I1018" s="167">
        <f>'030523 INVENTARIO'!K1018</f>
        <v>0</v>
      </c>
      <c r="J1018" s="167">
        <f>'030523 INVENTARIO'!L1018</f>
        <v>0</v>
      </c>
      <c r="K1018" s="167" t="str">
        <f>'030523 INVENTARIO'!M1018</f>
        <v>ALTA</v>
      </c>
      <c r="L1018" s="168">
        <f>'030523 INVENTARIO'!N1018</f>
        <v>0</v>
      </c>
      <c r="M1018" s="168">
        <f>'030523 INVENTARIO'!O1018</f>
        <v>0</v>
      </c>
      <c r="N1018" s="168">
        <f>'030523 INVENTARIO'!P1018</f>
        <v>0</v>
      </c>
      <c r="O1018" s="168" t="str">
        <f>'030523 INVENTARIO'!Q1018</f>
        <v>OBI</v>
      </c>
      <c r="P1018" s="167" t="str">
        <f>'030523 INVENTARIO'!R1018</f>
        <v>OB</v>
      </c>
      <c r="Q1018" s="167">
        <f>'030523 INVENTARIO'!S1018</f>
        <v>264105</v>
      </c>
      <c r="R1018" s="167" t="str">
        <f>'030523 INVENTARIO'!T1018</f>
        <v>82DJ0567010006000756305</v>
      </c>
    </row>
    <row r="1019" spans="5:18">
      <c r="E1019" s="167" t="str">
        <f>'030523 INVENTARIO'!E1019</f>
        <v>COMPUTADORA DE ESCRITORIO</v>
      </c>
      <c r="F1019" s="167" t="str">
        <f>'030523 INVENTARIO'!F1019</f>
        <v>COMPUTADORA DE ESCRITORIO</v>
      </c>
      <c r="G1019" s="167" t="str">
        <f ca="1">'030523 INVENTARIO'!G1019</f>
        <v>P03CV-1018</v>
      </c>
      <c r="H1019" s="167">
        <f>'030523 INVENTARIO'!J1019</f>
        <v>0</v>
      </c>
      <c r="I1019" s="167">
        <f>'030523 INVENTARIO'!K1019</f>
        <v>0</v>
      </c>
      <c r="J1019" s="167">
        <f>'030523 INVENTARIO'!L1019</f>
        <v>0</v>
      </c>
      <c r="K1019" s="167">
        <f>'030523 INVENTARIO'!M1019</f>
        <v>0</v>
      </c>
      <c r="L1019" s="168">
        <f>'030523 INVENTARIO'!N1019</f>
        <v>0</v>
      </c>
      <c r="M1019" s="168">
        <f>'030523 INVENTARIO'!O1019</f>
        <v>0</v>
      </c>
      <c r="N1019" s="168">
        <f>'030523 INVENTARIO'!P1019</f>
        <v>0</v>
      </c>
      <c r="O1019" s="168" t="str">
        <f>'030523 INVENTARIO'!Q1019</f>
        <v>DELL</v>
      </c>
      <c r="P1019" s="167" t="str">
        <f>'030523 INVENTARIO'!R1019</f>
        <v>VOSTRO 3710 D17S</v>
      </c>
      <c r="Q1019" s="167" t="str">
        <f>'030523 INVENTARIO'!S1019</f>
        <v>J2558V3</v>
      </c>
      <c r="R1019" s="167" t="str">
        <f>'030523 INVENTARIO'!T1019</f>
        <v>82DK0515010003000734697</v>
      </c>
    </row>
    <row r="1020" spans="5:18">
      <c r="E1020" s="167" t="str">
        <f>'030523 INVENTARIO'!E1020</f>
        <v>MONITOR</v>
      </c>
      <c r="F1020" s="167" t="str">
        <f>'030523 INVENTARIO'!F1020</f>
        <v>MONITOR NEGRO DE 21.5" LED</v>
      </c>
      <c r="G1020" s="167" t="str">
        <f ca="1">'030523 INVENTARIO'!G1020</f>
        <v>P03CV-1019</v>
      </c>
      <c r="H1020" s="167">
        <f>'030523 INVENTARIO'!J1020</f>
        <v>0</v>
      </c>
      <c r="I1020" s="167">
        <f>'030523 INVENTARIO'!K1020</f>
        <v>0</v>
      </c>
      <c r="J1020" s="167">
        <f>'030523 INVENTARIO'!L1020</f>
        <v>0</v>
      </c>
      <c r="K1020" s="167">
        <f>'030523 INVENTARIO'!M1020</f>
        <v>0</v>
      </c>
      <c r="L1020" s="168">
        <f>'030523 INVENTARIO'!N1020</f>
        <v>0</v>
      </c>
      <c r="M1020" s="168">
        <f>'030523 INVENTARIO'!O1020</f>
        <v>0</v>
      </c>
      <c r="N1020" s="168">
        <f>'030523 INVENTARIO'!P1020</f>
        <v>0</v>
      </c>
      <c r="O1020" s="168" t="str">
        <f>'030523 INVENTARIO'!Q1020</f>
        <v>DELL</v>
      </c>
      <c r="P1020" s="167" t="str">
        <f>'030523 INVENTARIO'!R1020</f>
        <v>E2222H</v>
      </c>
      <c r="Q1020" s="167" t="str">
        <f>'030523 INVENTARIO'!S1020</f>
        <v>CN-OMVCKH-FCC00-2AM-ACVX-A03</v>
      </c>
      <c r="R1020" s="167" t="str">
        <f>'030523 INVENTARIO'!T1020</f>
        <v>82DK0515010013000734696</v>
      </c>
    </row>
    <row r="1021" spans="5:18">
      <c r="E1021" s="167" t="str">
        <f>'030523 INVENTARIO'!E1021</f>
        <v>COMPUTADORA DE ESCRITORIO</v>
      </c>
      <c r="F1021" s="167" t="str">
        <f>'030523 INVENTARIO'!F1021</f>
        <v>COMPUTADORA DE ESCRITORIO</v>
      </c>
      <c r="G1021" s="167" t="str">
        <f ca="1">'030523 INVENTARIO'!G1021</f>
        <v>P03CV-1020</v>
      </c>
      <c r="H1021" s="167">
        <f>'030523 INVENTARIO'!J1021</f>
        <v>0</v>
      </c>
      <c r="I1021" s="167">
        <f>'030523 INVENTARIO'!K1021</f>
        <v>0</v>
      </c>
      <c r="J1021" s="167">
        <f>'030523 INVENTARIO'!L1021</f>
        <v>0</v>
      </c>
      <c r="K1021" s="167">
        <f>'030523 INVENTARIO'!M1021</f>
        <v>0</v>
      </c>
      <c r="L1021" s="168">
        <f>'030523 INVENTARIO'!N1021</f>
        <v>0</v>
      </c>
      <c r="M1021" s="168">
        <f>'030523 INVENTARIO'!O1021</f>
        <v>0</v>
      </c>
      <c r="N1021" s="168">
        <f>'030523 INVENTARIO'!P1021</f>
        <v>0</v>
      </c>
      <c r="O1021" s="168" t="str">
        <f>'030523 INVENTARIO'!Q1021</f>
        <v>DELL</v>
      </c>
      <c r="P1021" s="167" t="str">
        <f>'030523 INVENTARIO'!R1021</f>
        <v>VOSTRO 3710 D17S</v>
      </c>
      <c r="Q1021" s="167" t="str">
        <f>'030523 INVENTARIO'!S1021</f>
        <v>54558V3</v>
      </c>
      <c r="R1021" s="167" t="str">
        <f>'030523 INVENTARIO'!T1021</f>
        <v>82DI0515010003000734695</v>
      </c>
    </row>
    <row r="1022" spans="5:18">
      <c r="E1022" s="167" t="str">
        <f>'030523 INVENTARIO'!E1022</f>
        <v>MONITOR</v>
      </c>
      <c r="F1022" s="167" t="str">
        <f>'030523 INVENTARIO'!F1022</f>
        <v>MONITOR NEGRO DE 21.5" LED</v>
      </c>
      <c r="G1022" s="167" t="str">
        <f ca="1">'030523 INVENTARIO'!G1022</f>
        <v>P03CV-1021</v>
      </c>
      <c r="H1022" s="167">
        <f>'030523 INVENTARIO'!J1022</f>
        <v>0</v>
      </c>
      <c r="I1022" s="167">
        <f>'030523 INVENTARIO'!K1022</f>
        <v>0</v>
      </c>
      <c r="J1022" s="167">
        <f>'030523 INVENTARIO'!L1022</f>
        <v>0</v>
      </c>
      <c r="K1022" s="167">
        <f>'030523 INVENTARIO'!M1022</f>
        <v>0</v>
      </c>
      <c r="L1022" s="168">
        <f>'030523 INVENTARIO'!N1022</f>
        <v>0</v>
      </c>
      <c r="M1022" s="168">
        <f>'030523 INVENTARIO'!O1022</f>
        <v>0</v>
      </c>
      <c r="N1022" s="168">
        <f>'030523 INVENTARIO'!P1022</f>
        <v>0</v>
      </c>
      <c r="O1022" s="168" t="str">
        <f>'030523 INVENTARIO'!Q1022</f>
        <v>DELL</v>
      </c>
      <c r="P1022" s="167" t="str">
        <f>'030523 INVENTARIO'!R1022</f>
        <v>E2222H</v>
      </c>
      <c r="Q1022" s="167" t="str">
        <f>'030523 INVENTARIO'!S1022</f>
        <v>CN-OMVCKH-FCC00-2AM-ADCX-A03</v>
      </c>
      <c r="R1022" s="167" t="str">
        <f>'030523 INVENTARIO'!T1022</f>
        <v>82DI0515010013000734694</v>
      </c>
    </row>
    <row r="1023" spans="5:18">
      <c r="E1023" s="167" t="str">
        <f>'030523 INVENTARIO'!E1023</f>
        <v>COMPUTADORA DE ESCRITORIO</v>
      </c>
      <c r="F1023" s="167" t="str">
        <f>'030523 INVENTARIO'!F1023</f>
        <v>COMPUTADORA DE ESCRITORIO</v>
      </c>
      <c r="G1023" s="167" t="str">
        <f ca="1">'030523 INVENTARIO'!G1023</f>
        <v>P13LP-1022</v>
      </c>
      <c r="H1023" s="167">
        <f>'030523 INVENTARIO'!J1023</f>
        <v>0</v>
      </c>
      <c r="I1023" s="167">
        <f>'030523 INVENTARIO'!K1023</f>
        <v>0</v>
      </c>
      <c r="J1023" s="167">
        <f>'030523 INVENTARIO'!L1023</f>
        <v>0</v>
      </c>
      <c r="K1023" s="167">
        <f>'030523 INVENTARIO'!M1023</f>
        <v>0</v>
      </c>
      <c r="L1023" s="168">
        <f>'030523 INVENTARIO'!N1023</f>
        <v>0</v>
      </c>
      <c r="M1023" s="168">
        <f>'030523 INVENTARIO'!O1023</f>
        <v>0</v>
      </c>
      <c r="N1023" s="168">
        <f>'030523 INVENTARIO'!P1023</f>
        <v>0</v>
      </c>
      <c r="O1023" s="168" t="str">
        <f>'030523 INVENTARIO'!Q1023</f>
        <v>DELL</v>
      </c>
      <c r="P1023" s="167" t="str">
        <f>'030523 INVENTARIO'!R1023</f>
        <v>VOSTRO 3710 D17S</v>
      </c>
      <c r="Q1023" s="167" t="str">
        <f>'030523 INVENTARIO'!S1023</f>
        <v>35PH8V3</v>
      </c>
      <c r="R1023" s="167" t="str">
        <f>'030523 INVENTARIO'!T1023</f>
        <v>82DJ0515010003000756023</v>
      </c>
    </row>
    <row r="1024" spans="5:18">
      <c r="E1024" s="167" t="str">
        <f>'030523 INVENTARIO'!E1024</f>
        <v>MONITOR</v>
      </c>
      <c r="F1024" s="167" t="str">
        <f>'030523 INVENTARIO'!F1024</f>
        <v>MONITOR NEGRO DE 21.5" LED</v>
      </c>
      <c r="G1024" s="167" t="str">
        <f ca="1">'030523 INVENTARIO'!G1024</f>
        <v>P13LP-1023</v>
      </c>
      <c r="H1024" s="167">
        <f>'030523 INVENTARIO'!J1024</f>
        <v>0</v>
      </c>
      <c r="I1024" s="167">
        <f>'030523 INVENTARIO'!K1024</f>
        <v>0</v>
      </c>
      <c r="J1024" s="167">
        <f>'030523 INVENTARIO'!L1024</f>
        <v>0</v>
      </c>
      <c r="K1024" s="167">
        <f>'030523 INVENTARIO'!M1024</f>
        <v>0</v>
      </c>
      <c r="L1024" s="168">
        <f>'030523 INVENTARIO'!N1024</f>
        <v>0</v>
      </c>
      <c r="M1024" s="168">
        <f>'030523 INVENTARIO'!O1024</f>
        <v>0</v>
      </c>
      <c r="N1024" s="168">
        <f>'030523 INVENTARIO'!P1024</f>
        <v>0</v>
      </c>
      <c r="O1024" s="168" t="str">
        <f>'030523 INVENTARIO'!Q1024</f>
        <v>DELL</v>
      </c>
      <c r="P1024" s="167" t="str">
        <f>'030523 INVENTARIO'!R1024</f>
        <v>E2222H</v>
      </c>
      <c r="Q1024" s="167" t="str">
        <f>'030523 INVENTARIO'!S1024</f>
        <v>CN-0MVCKH-FCC00-2AM-C1AX</v>
      </c>
      <c r="R1024" s="167" t="str">
        <f>'030523 INVENTARIO'!T1024</f>
        <v>82DJ0515010013000756022</v>
      </c>
    </row>
    <row r="1025" spans="5:18">
      <c r="E1025" s="167" t="str">
        <f>'030523 INVENTARIO'!E1025</f>
        <v>COMPUTADORA DE ESCRITORIO</v>
      </c>
      <c r="F1025" s="167" t="str">
        <f>'030523 INVENTARIO'!F1025</f>
        <v>COMPUTADORA DE ESCRITORIO</v>
      </c>
      <c r="G1025" s="167" t="str">
        <f ca="1">'030523 INVENTARIO'!G1025</f>
        <v>P24SJ-1024</v>
      </c>
      <c r="H1025" s="167">
        <f>'030523 INVENTARIO'!J1025</f>
        <v>0</v>
      </c>
      <c r="I1025" s="167">
        <f>'030523 INVENTARIO'!K1025</f>
        <v>0</v>
      </c>
      <c r="J1025" s="167">
        <f>'030523 INVENTARIO'!L1025</f>
        <v>0</v>
      </c>
      <c r="K1025" s="167">
        <f>'030523 INVENTARIO'!M1025</f>
        <v>0</v>
      </c>
      <c r="L1025" s="168">
        <f>'030523 INVENTARIO'!N1025</f>
        <v>0</v>
      </c>
      <c r="M1025" s="168">
        <f>'030523 INVENTARIO'!O1025</f>
        <v>0</v>
      </c>
      <c r="N1025" s="168">
        <f>'030523 INVENTARIO'!P1025</f>
        <v>0</v>
      </c>
      <c r="O1025" s="168" t="str">
        <f>'030523 INVENTARIO'!Q1025</f>
        <v>DELL</v>
      </c>
      <c r="P1025" s="167" t="str">
        <f>'030523 INVENTARIO'!R1025</f>
        <v>VOSTRO 3710 D17S</v>
      </c>
      <c r="Q1025" s="167" t="str">
        <f>'030523 INVENTARIO'!S1025</f>
        <v>6558V3</v>
      </c>
      <c r="R1025" s="167" t="str">
        <f>'030523 INVENTARIO'!T1025</f>
        <v>82DH0515010003000734701</v>
      </c>
    </row>
    <row r="1026" spans="5:18">
      <c r="E1026" s="167" t="str">
        <f>'030523 INVENTARIO'!E1042</f>
        <v>ANTENA TIPO UBIQUITI</v>
      </c>
      <c r="F1026" s="167" t="str">
        <f>'030523 INVENTARIO'!F1042</f>
        <v>ACCESS POINT UBIQUITI U6-LITE 2X2 MI</v>
      </c>
      <c r="G1026" s="167" t="str">
        <f ca="1">'030523 INVENTARIO'!G1042</f>
        <v>P12SI-1041</v>
      </c>
      <c r="H1026" s="167">
        <f>'030523 INVENTARIO'!J1042</f>
        <v>0</v>
      </c>
      <c r="I1026" s="167">
        <f>'030523 INVENTARIO'!K1042</f>
        <v>0</v>
      </c>
      <c r="J1026" s="167">
        <f>'030523 INVENTARIO'!L1042</f>
        <v>0</v>
      </c>
      <c r="K1026" s="167">
        <f>'030523 INVENTARIO'!M1042</f>
        <v>0</v>
      </c>
      <c r="L1026" s="168">
        <f>'030523 INVENTARIO'!N1042</f>
        <v>0</v>
      </c>
      <c r="M1026" s="168">
        <f>'030523 INVENTARIO'!O1042</f>
        <v>0</v>
      </c>
      <c r="N1026" s="168">
        <f>'030523 INVENTARIO'!P1042</f>
        <v>0</v>
      </c>
      <c r="O1026" s="168" t="str">
        <f>'030523 INVENTARIO'!Q1042</f>
        <v>UBIQUITI</v>
      </c>
      <c r="P1026" s="167" t="str">
        <f>'030523 INVENTARIO'!R1042</f>
        <v>U6-LITE 2X2 MI</v>
      </c>
      <c r="Q1026" s="167" t="str">
        <f>'030523 INVENTARIO'!S1042</f>
        <v>5WX-U6LITE</v>
      </c>
      <c r="R1026" s="167" t="str">
        <f>'030523 INVENTARIO'!T1042</f>
        <v>82DH0 565010070 000757474</v>
      </c>
    </row>
    <row r="1027" spans="5:18">
      <c r="E1027" s="167" t="str">
        <f>'030523 INVENTARIO'!E1043</f>
        <v>SWITCH</v>
      </c>
      <c r="F1027" s="167" t="str">
        <f>'030523 INVENTARIO'!F1043</f>
        <v>SWITCH TP-LINK TL-G108 8 PUERTOS RJ45 GIGA BIT NO ADMINISTRABLE</v>
      </c>
      <c r="G1027" s="167" t="str">
        <f ca="1">'030523 INVENTARIO'!G1043</f>
        <v>P05RH-1042</v>
      </c>
      <c r="H1027" s="167">
        <f>'030523 INVENTARIO'!J1043</f>
        <v>0</v>
      </c>
      <c r="I1027" s="167">
        <f>'030523 INVENTARIO'!K1043</f>
        <v>0</v>
      </c>
      <c r="J1027" s="167">
        <f>'030523 INVENTARIO'!L1043</f>
        <v>0</v>
      </c>
      <c r="K1027" s="167">
        <f>'030523 INVENTARIO'!M1043</f>
        <v>0</v>
      </c>
      <c r="L1027" s="168">
        <f>'030523 INVENTARIO'!N1043</f>
        <v>0</v>
      </c>
      <c r="M1027" s="168">
        <f>'030523 INVENTARIO'!O1043</f>
        <v>0</v>
      </c>
      <c r="N1027" s="168">
        <f>'030523 INVENTARIO'!P1043</f>
        <v>0</v>
      </c>
      <c r="O1027" s="168" t="str">
        <f>'030523 INVENTARIO'!Q1043</f>
        <v>TP-LINK</v>
      </c>
      <c r="P1027" s="167" t="str">
        <f>'030523 INVENTARIO'!R1043</f>
        <v>TL-G108</v>
      </c>
      <c r="Q1027" s="167" t="str">
        <f>'030523 INVENTARIO'!S1043</f>
        <v>22321M6001479</v>
      </c>
      <c r="R1027" s="167" t="str">
        <f>'030523 INVENTARIO'!T1043</f>
        <v>82DK0 515010026 000756010</v>
      </c>
    </row>
    <row r="1028" spans="5:18">
      <c r="E1028" s="167" t="str">
        <f>'030523 INVENTARIO'!E1044</f>
        <v>UNIDAD OPTICA</v>
      </c>
      <c r="F1028" s="167" t="str">
        <f>'030523 INVENTARIO'!F1044</f>
        <v>UNIDAD OPTICA EXTERNA DVD MARCA DELL</v>
      </c>
      <c r="G1028" s="167" t="str">
        <f ca="1">'030523 INVENTARIO'!G1044</f>
        <v>P13SO-1043</v>
      </c>
      <c r="H1028" s="167">
        <f>'030523 INVENTARIO'!J1044</f>
        <v>0</v>
      </c>
      <c r="I1028" s="167">
        <f>'030523 INVENTARIO'!K1044</f>
        <v>0</v>
      </c>
      <c r="J1028" s="167">
        <f>'030523 INVENTARIO'!L1044</f>
        <v>0</v>
      </c>
      <c r="K1028" s="167">
        <f>'030523 INVENTARIO'!M1044</f>
        <v>0</v>
      </c>
      <c r="L1028" s="168">
        <f>'030523 INVENTARIO'!N1044</f>
        <v>0</v>
      </c>
      <c r="M1028" s="168">
        <f>'030523 INVENTARIO'!O1044</f>
        <v>0</v>
      </c>
      <c r="N1028" s="168">
        <f>'030523 INVENTARIO'!P1044</f>
        <v>0</v>
      </c>
      <c r="O1028" s="168" t="str">
        <f>'030523 INVENTARIO'!Q1044</f>
        <v>DELL</v>
      </c>
      <c r="P1028" s="167" t="str">
        <f>'030523 INVENTARIO'!R1044</f>
        <v>DW316</v>
      </c>
      <c r="Q1028" s="167" t="str">
        <f>'030523 INVENTARIO'!S1044</f>
        <v>33E-0402</v>
      </c>
      <c r="R1028" s="167" t="str">
        <f>'030523 INVENTARIO'!T1044</f>
        <v>82DI0 515010033 000756009</v>
      </c>
    </row>
    <row r="1029" spans="5:18">
      <c r="E1029" s="167" t="str">
        <f>'030523 INVENTARIO'!E1045</f>
        <v>SILLA</v>
      </c>
      <c r="F1029" s="167" t="str">
        <f>'030523 INVENTARIO'!F1045</f>
        <v>SILLA FIJA DE TELA NEGRA TIPO ISSO</v>
      </c>
      <c r="G1029" s="167" t="str">
        <f ca="1">'030523 INVENTARIO'!G1045</f>
        <v>P13SO-1044</v>
      </c>
      <c r="H1029" s="167">
        <f>'030523 INVENTARIO'!J1045</f>
        <v>0</v>
      </c>
      <c r="I1029" s="167">
        <f>'030523 INVENTARIO'!K1045</f>
        <v>0</v>
      </c>
      <c r="J1029" s="167">
        <f>'030523 INVENTARIO'!L1045</f>
        <v>0</v>
      </c>
      <c r="K1029" s="167">
        <f>'030523 INVENTARIO'!M1045</f>
        <v>0</v>
      </c>
      <c r="L1029" s="168">
        <f>'030523 INVENTARIO'!N1045</f>
        <v>0</v>
      </c>
      <c r="M1029" s="168">
        <f>'030523 INVENTARIO'!O1045</f>
        <v>0</v>
      </c>
      <c r="N1029" s="168">
        <f>'030523 INVENTARIO'!P1045</f>
        <v>0</v>
      </c>
      <c r="O1029" s="168" t="str">
        <f>'030523 INVENTARIO'!Q1045</f>
        <v>S/M</v>
      </c>
      <c r="P1029" s="167" t="str">
        <f>'030523 INVENTARIO'!R1045</f>
        <v>MODELO ISSO</v>
      </c>
      <c r="Q1029" s="167" t="str">
        <f>'030523 INVENTARIO'!S1045</f>
        <v>SIN SERIE</v>
      </c>
      <c r="R1029" s="167" t="str">
        <f>'030523 INVENTARIO'!T1045</f>
        <v>82DI0511010017000712068</v>
      </c>
    </row>
    <row r="1030" spans="5:18">
      <c r="E1030" s="167" t="str">
        <f>'030523 INVENTARIO'!E1046</f>
        <v>SILLA</v>
      </c>
      <c r="F1030" s="167" t="str">
        <f>'030523 INVENTARIO'!F1046</f>
        <v>SILLA FIJA DE TELA NEGRA TIPO ISSO</v>
      </c>
      <c r="G1030" s="167" t="str">
        <f ca="1">'030523 INVENTARIO'!G1046</f>
        <v>P13SO-1045</v>
      </c>
      <c r="H1030" s="167">
        <f>'030523 INVENTARIO'!J1046</f>
        <v>0</v>
      </c>
      <c r="I1030" s="167">
        <f>'030523 INVENTARIO'!K1046</f>
        <v>0</v>
      </c>
      <c r="J1030" s="167">
        <f>'030523 INVENTARIO'!L1046</f>
        <v>0</v>
      </c>
      <c r="K1030" s="167">
        <f>'030523 INVENTARIO'!M1046</f>
        <v>0</v>
      </c>
      <c r="L1030" s="168">
        <f>'030523 INVENTARIO'!N1046</f>
        <v>0</v>
      </c>
      <c r="M1030" s="168">
        <f>'030523 INVENTARIO'!O1046</f>
        <v>0</v>
      </c>
      <c r="N1030" s="168">
        <f>'030523 INVENTARIO'!P1046</f>
        <v>0</v>
      </c>
      <c r="O1030" s="168" t="str">
        <f>'030523 INVENTARIO'!Q1046</f>
        <v>S/M</v>
      </c>
      <c r="P1030" s="167" t="str">
        <f>'030523 INVENTARIO'!R1046</f>
        <v>MODELO ISSO</v>
      </c>
      <c r="Q1030" s="167" t="str">
        <f>'030523 INVENTARIO'!S1046</f>
        <v>SIN SERIE</v>
      </c>
      <c r="R1030" s="167" t="str">
        <f>'030523 INVENTARIO'!T1046</f>
        <v>82DI0511010017000712067</v>
      </c>
    </row>
    <row r="1031" spans="5:18">
      <c r="E1031" s="167" t="str">
        <f>'030523 INVENTARIO'!E1047</f>
        <v>MONITOR</v>
      </c>
      <c r="F1031" s="167" t="str">
        <f>'030523 INVENTARIO'!F1047</f>
        <v>MONITOR LED MARCA LG 34WP500-B ULTRAWIDE 256X1080, ASPECTO 21:9, 75 HZ, TR 5MS, PALEN IPS, HDMI(2) AUC (1), DIVISIÓN DE PANTALLA, DUAL CONTROLLER, PIP, AMD FREESYNC, CROSSHAIR, HDR10, COLOR NEGRO.</v>
      </c>
      <c r="G1031" s="167" t="str">
        <f ca="1">'030523 INVENTARIO'!G1047</f>
        <v>P24SJ-1046</v>
      </c>
      <c r="H1031" s="167">
        <f>'030523 INVENTARIO'!J1047</f>
        <v>0</v>
      </c>
      <c r="I1031" s="167">
        <f>'030523 INVENTARIO'!K1047</f>
        <v>0</v>
      </c>
      <c r="J1031" s="167">
        <f>'030523 INVENTARIO'!L1047</f>
        <v>0</v>
      </c>
      <c r="K1031" s="167">
        <f>'030523 INVENTARIO'!M1047</f>
        <v>0</v>
      </c>
      <c r="L1031" s="168">
        <f>'030523 INVENTARIO'!N1047</f>
        <v>0</v>
      </c>
      <c r="M1031" s="168">
        <f>'030523 INVENTARIO'!O1047</f>
        <v>0</v>
      </c>
      <c r="N1031" s="168">
        <f>'030523 INVENTARIO'!P1047</f>
        <v>0</v>
      </c>
      <c r="O1031" s="168" t="str">
        <f>'030523 INVENTARIO'!Q1047</f>
        <v>LG</v>
      </c>
      <c r="P1031" s="167" t="str">
        <f>'030523 INVENTARIO'!R1047</f>
        <v>34W9500-B</v>
      </c>
      <c r="Q1031" s="167" t="str">
        <f>'030523 INVENTARIO'!S1047</f>
        <v>303NTJJC6372</v>
      </c>
      <c r="R1031" s="167" t="str">
        <f>'030523 INVENTARIO'!T1047</f>
        <v>82DH0 515010013 000756021</v>
      </c>
    </row>
    <row r="1032" spans="5:18">
      <c r="E1032" s="167" t="str">
        <f>'030523 INVENTARIO'!E1048</f>
        <v>QUEMADOR EXTERNO</v>
      </c>
      <c r="F1032" s="167" t="str">
        <f>'030523 INVENTARIO'!F1048</f>
        <v>UNIDAD QUEMADOR EXTERNO MARCA DELL SLIM DVD/-RW USB 2.0 DW316 429-AAUQ</v>
      </c>
      <c r="G1032" s="167" t="str">
        <f ca="1">'030523 INVENTARIO'!G1048</f>
        <v>P13SO-1047</v>
      </c>
      <c r="H1032" s="167">
        <f>'030523 INVENTARIO'!J1048</f>
        <v>0</v>
      </c>
      <c r="I1032" s="167">
        <f>'030523 INVENTARIO'!K1048</f>
        <v>0</v>
      </c>
      <c r="J1032" s="167">
        <f>'030523 INVENTARIO'!L1048</f>
        <v>0</v>
      </c>
      <c r="K1032" s="167">
        <f>'030523 INVENTARIO'!M1048</f>
        <v>0</v>
      </c>
      <c r="L1032" s="168">
        <f>'030523 INVENTARIO'!N1048</f>
        <v>0</v>
      </c>
      <c r="M1032" s="168">
        <f>'030523 INVENTARIO'!O1048</f>
        <v>0</v>
      </c>
      <c r="N1032" s="168">
        <f>'030523 INVENTARIO'!P1048</f>
        <v>0</v>
      </c>
      <c r="O1032" s="168" t="str">
        <f>'030523 INVENTARIO'!Q1048</f>
        <v>DELL</v>
      </c>
      <c r="P1032" s="167" t="str">
        <f>'030523 INVENTARIO'!R1048</f>
        <v>DVD/-RW USB 2.0 DW316 429-AAUQ</v>
      </c>
      <c r="Q1032" s="219" t="str">
        <f>'030523 INVENTARIO'!S1048</f>
        <v>0,00E+00</v>
      </c>
      <c r="R1032" s="167" t="str">
        <f>'030523 INVENTARIO'!T1048</f>
        <v>82DI0 515010033 000756019</v>
      </c>
    </row>
    <row r="1033" spans="5:18">
      <c r="E1033" s="167" t="str">
        <f>'030523 INVENTARIO'!E1049</f>
        <v>COMPUTADORA PORTATIL</v>
      </c>
      <c r="F1033" s="167" t="str">
        <f>'030523 INVENTARIO'!F1049</f>
        <v>LAPTOP, 15.6 FHD TOUCHSCREEN, INTEL CORE 15-1035G1, 32GB DDR4 RAM</v>
      </c>
      <c r="G1033" s="167" t="str">
        <f ca="1">'030523 INVENTARIO'!G1049</f>
        <v>P13SO-1048</v>
      </c>
      <c r="H1033" s="167">
        <f>'030523 INVENTARIO'!J1049</f>
        <v>0</v>
      </c>
      <c r="I1033" s="167">
        <f>'030523 INVENTARIO'!K1049</f>
        <v>0</v>
      </c>
      <c r="J1033" s="167">
        <f>'030523 INVENTARIO'!L1049</f>
        <v>0</v>
      </c>
      <c r="K1033" s="167">
        <f>'030523 INVENTARIO'!M1049</f>
        <v>0</v>
      </c>
      <c r="L1033" s="168">
        <f>'030523 INVENTARIO'!N1049</f>
        <v>0</v>
      </c>
      <c r="M1033" s="168">
        <f>'030523 INVENTARIO'!O1049</f>
        <v>0</v>
      </c>
      <c r="N1033" s="168">
        <f>'030523 INVENTARIO'!P1049</f>
        <v>0</v>
      </c>
      <c r="O1033" s="168" t="str">
        <f>'030523 INVENTARIO'!Q1049</f>
        <v>DELL</v>
      </c>
      <c r="P1033" s="167" t="str">
        <f>'030523 INVENTARIO'!R1049</f>
        <v xml:space="preserve">INSPIRON 15 3000 SERIES 3511 </v>
      </c>
      <c r="Q1033" s="167" t="str">
        <f>'030523 INVENTARIO'!S1049</f>
        <v>DWH86R3</v>
      </c>
      <c r="R1033" s="167" t="str">
        <f>'030523 INVENTARIO'!T1049</f>
        <v>82DI0 515010002 000756020</v>
      </c>
    </row>
    <row r="1034" spans="5:18">
      <c r="E1034" s="167" t="str">
        <f>'030523 INVENTARIO'!E1050</f>
        <v>SILLON</v>
      </c>
      <c r="F1034" s="167" t="str">
        <f>'030523 INVENTARIO'!F1050</f>
        <v>SILLON EJECUTIVO AJUSTABLE VINIL COLOR NEGRO</v>
      </c>
      <c r="G1034" s="167" t="str">
        <f ca="1">'030523 INVENTARIO'!G1050</f>
        <v>P12PP-1049</v>
      </c>
      <c r="H1034" s="167">
        <f>'030523 INVENTARIO'!J1050</f>
        <v>0</v>
      </c>
      <c r="I1034" s="167">
        <f>'030523 INVENTARIO'!K1050</f>
        <v>0</v>
      </c>
      <c r="J1034" s="167">
        <f>'030523 INVENTARIO'!L1050</f>
        <v>0</v>
      </c>
      <c r="K1034" s="167">
        <f>'030523 INVENTARIO'!M1050</f>
        <v>0</v>
      </c>
      <c r="L1034" s="168">
        <f>'030523 INVENTARIO'!N1050</f>
        <v>0</v>
      </c>
      <c r="M1034" s="168">
        <f>'030523 INVENTARIO'!O1050</f>
        <v>0</v>
      </c>
      <c r="N1034" s="168">
        <f>'030523 INVENTARIO'!P1050</f>
        <v>0</v>
      </c>
      <c r="O1034" s="168" t="str">
        <f>'030523 INVENTARIO'!Q1050</f>
        <v>STILE</v>
      </c>
      <c r="P1034" s="167" t="str">
        <f>'030523 INVENTARIO'!R1050</f>
        <v>PABLO ALTO</v>
      </c>
      <c r="Q1034" s="168" t="str">
        <f>'030523 INVENTARIO'!S1050</f>
        <v>SIN SERIE</v>
      </c>
      <c r="R1034" s="167" t="str">
        <f>'030523 INVENTARIO'!T1050</f>
        <v>82DJ0 511010016 000756024</v>
      </c>
    </row>
    <row r="1035" spans="5:18">
      <c r="E1035" s="167" t="str">
        <f>'030523 INVENTARIO'!E1051</f>
        <v>SILLON</v>
      </c>
      <c r="F1035" s="167" t="str">
        <f>'030523 INVENTARIO'!F1051</f>
        <v>SILLON EJECUTIVO AJUSTABLE VINIL COLOR NEGRO</v>
      </c>
      <c r="G1035" s="167" t="str">
        <f ca="1">'030523 INVENTARIO'!G1051</f>
        <v>P24CA-1050</v>
      </c>
      <c r="H1035" s="167">
        <f>'030523 INVENTARIO'!J1051</f>
        <v>0</v>
      </c>
      <c r="I1035" s="167">
        <f>'030523 INVENTARIO'!K1051</f>
        <v>0</v>
      </c>
      <c r="J1035" s="167">
        <f>'030523 INVENTARIO'!L1051</f>
        <v>0</v>
      </c>
      <c r="K1035" s="167">
        <f>'030523 INVENTARIO'!M1051</f>
        <v>0</v>
      </c>
      <c r="L1035" s="168">
        <f>'030523 INVENTARIO'!N1051</f>
        <v>0</v>
      </c>
      <c r="M1035" s="168">
        <f>'030523 INVENTARIO'!O1051</f>
        <v>0</v>
      </c>
      <c r="N1035" s="168">
        <f>'030523 INVENTARIO'!P1051</f>
        <v>0</v>
      </c>
      <c r="O1035" s="168" t="str">
        <f>'030523 INVENTARIO'!Q1051</f>
        <v>STILE</v>
      </c>
      <c r="P1035" s="167" t="str">
        <f>'030523 INVENTARIO'!R1051</f>
        <v>PABLO ALTO</v>
      </c>
      <c r="Q1035" s="167" t="str">
        <f>'030523 INVENTARIO'!S1051</f>
        <v>Sin serie</v>
      </c>
      <c r="R1035" s="167" t="str">
        <f>'030523 INVENTARIO'!T1051</f>
        <v>82DH0 511010016 000756034</v>
      </c>
    </row>
    <row r="1036" spans="5:18">
      <c r="E1036" s="167" t="str">
        <f>'030523 INVENTARIO'!E1052</f>
        <v>SILLA</v>
      </c>
      <c r="F1036" s="167" t="str">
        <f>'030523 INVENTARIO'!F1052</f>
        <v>SILLA DE VISITA MODELO ISO</v>
      </c>
      <c r="G1036" s="167" t="str">
        <f ca="1">'030523 INVENTARIO'!G1052</f>
        <v>P03CV-1051</v>
      </c>
      <c r="H1036" s="167">
        <f>'030523 INVENTARIO'!J1052</f>
        <v>0</v>
      </c>
      <c r="I1036" s="167">
        <f>'030523 INVENTARIO'!K1052</f>
        <v>0</v>
      </c>
      <c r="J1036" s="167">
        <f>'030523 INVENTARIO'!L1052</f>
        <v>0</v>
      </c>
      <c r="K1036" s="167">
        <f>'030523 INVENTARIO'!M1052</f>
        <v>0</v>
      </c>
      <c r="L1036" s="168">
        <f>'030523 INVENTARIO'!N1052</f>
        <v>0</v>
      </c>
      <c r="M1036" s="168">
        <f>'030523 INVENTARIO'!O1052</f>
        <v>0</v>
      </c>
      <c r="N1036" s="168">
        <f>'030523 INVENTARIO'!P1052</f>
        <v>0</v>
      </c>
      <c r="O1036" s="168" t="str">
        <f>'030523 INVENTARIO'!Q1052</f>
        <v>SIN MARCA</v>
      </c>
      <c r="P1036" s="167" t="str">
        <f>'030523 INVENTARIO'!R1052</f>
        <v>MODELO ISO</v>
      </c>
      <c r="Q1036" s="167" t="str">
        <f>'030523 INVENTARIO'!S1052</f>
        <v>Sin serie</v>
      </c>
      <c r="R1036" s="167" t="str">
        <f>'030523 INVENTARIO'!T1052</f>
        <v>82DI0 511010017 000756033</v>
      </c>
    </row>
    <row r="1037" spans="5:18">
      <c r="E1037" s="167" t="str">
        <f>'030523 INVENTARIO'!E1053</f>
        <v>SILLA</v>
      </c>
      <c r="F1037" s="167" t="str">
        <f>'030523 INVENTARIO'!F1053</f>
        <v>SILLA DE VISITA MODELO ISO</v>
      </c>
      <c r="G1037" s="167" t="str">
        <f ca="1">'030523 INVENTARIO'!G1053</f>
        <v>P13SO-1052</v>
      </c>
      <c r="H1037" s="167">
        <f>'030523 INVENTARIO'!J1053</f>
        <v>0</v>
      </c>
      <c r="I1037" s="167">
        <f>'030523 INVENTARIO'!K1053</f>
        <v>0</v>
      </c>
      <c r="J1037" s="167">
        <f>'030523 INVENTARIO'!L1053</f>
        <v>0</v>
      </c>
      <c r="K1037" s="167">
        <f>'030523 INVENTARIO'!M1053</f>
        <v>0</v>
      </c>
      <c r="L1037" s="168">
        <f>'030523 INVENTARIO'!N1053</f>
        <v>0</v>
      </c>
      <c r="M1037" s="168">
        <f>'030523 INVENTARIO'!O1053</f>
        <v>0</v>
      </c>
      <c r="N1037" s="168">
        <f>'030523 INVENTARIO'!P1053</f>
        <v>0</v>
      </c>
      <c r="O1037" s="168" t="str">
        <f>'030523 INVENTARIO'!Q1053</f>
        <v>SIN MARCA</v>
      </c>
      <c r="P1037" s="167" t="str">
        <f>'030523 INVENTARIO'!R1053</f>
        <v>MODELO ISO</v>
      </c>
      <c r="Q1037" s="167" t="str">
        <f>'030523 INVENTARIO'!S1053</f>
        <v>Sin serie</v>
      </c>
      <c r="R1037" s="167" t="str">
        <f>'030523 INVENTARIO'!T1053</f>
        <v>82DJ0 511010017 000756032</v>
      </c>
    </row>
    <row r="1038" spans="5:18">
      <c r="E1038" s="167" t="str">
        <f>'030523 INVENTARIO'!E1054</f>
        <v>SILLA</v>
      </c>
      <c r="F1038" s="167" t="str">
        <f>'030523 INVENTARIO'!F1054</f>
        <v>SILLA DE VISITA MODELO ISO</v>
      </c>
      <c r="G1038" s="167" t="str">
        <f ca="1">'030523 INVENTARIO'!G1054</f>
        <v>P12ST-1053</v>
      </c>
      <c r="H1038" s="167">
        <f>'030523 INVENTARIO'!J1054</f>
        <v>0</v>
      </c>
      <c r="I1038" s="167">
        <f>'030523 INVENTARIO'!K1054</f>
        <v>0</v>
      </c>
      <c r="J1038" s="167">
        <f>'030523 INVENTARIO'!L1054</f>
        <v>0</v>
      </c>
      <c r="K1038" s="167">
        <f>'030523 INVENTARIO'!M1054</f>
        <v>0</v>
      </c>
      <c r="L1038" s="168">
        <f>'030523 INVENTARIO'!N1054</f>
        <v>0</v>
      </c>
      <c r="M1038" s="168">
        <f>'030523 INVENTARIO'!O1054</f>
        <v>0</v>
      </c>
      <c r="N1038" s="168">
        <f>'030523 INVENTARIO'!P1054</f>
        <v>0</v>
      </c>
      <c r="O1038" s="168" t="str">
        <f>'030523 INVENTARIO'!Q1054</f>
        <v>SIN MARCA</v>
      </c>
      <c r="P1038" s="167" t="str">
        <f>'030523 INVENTARIO'!R1054</f>
        <v>MODELO ISO</v>
      </c>
      <c r="Q1038" s="167" t="str">
        <f>'030523 INVENTARIO'!S1054</f>
        <v>Sin serie</v>
      </c>
      <c r="R1038" s="167" t="str">
        <f>'030523 INVENTARIO'!T1054</f>
        <v>82DJ0 511010017 000756030</v>
      </c>
    </row>
    <row r="1039" spans="5:18">
      <c r="E1039" s="167" t="str">
        <f>'030523 INVENTARIO'!E1055</f>
        <v>SILLA</v>
      </c>
      <c r="F1039" s="167" t="str">
        <f>'030523 INVENTARIO'!F1055</f>
        <v>SILLA DE VISITA MODELO ISO</v>
      </c>
      <c r="G1039" s="167" t="str">
        <f ca="1">'030523 INVENTARIO'!G1055</f>
        <v>P12ST-1054</v>
      </c>
      <c r="H1039" s="167">
        <f>'030523 INVENTARIO'!J1055</f>
        <v>0</v>
      </c>
      <c r="I1039" s="167">
        <f>'030523 INVENTARIO'!K1055</f>
        <v>0</v>
      </c>
      <c r="J1039" s="167">
        <f>'030523 INVENTARIO'!L1055</f>
        <v>0</v>
      </c>
      <c r="K1039" s="167">
        <f>'030523 INVENTARIO'!M1055</f>
        <v>0</v>
      </c>
      <c r="L1039" s="168">
        <f>'030523 INVENTARIO'!N1055</f>
        <v>0</v>
      </c>
      <c r="M1039" s="168">
        <f>'030523 INVENTARIO'!O1055</f>
        <v>0</v>
      </c>
      <c r="N1039" s="168">
        <f>'030523 INVENTARIO'!P1055</f>
        <v>0</v>
      </c>
      <c r="O1039" s="168" t="str">
        <f>'030523 INVENTARIO'!Q1055</f>
        <v>SIN MARCA</v>
      </c>
      <c r="P1039" s="167" t="str">
        <f>'030523 INVENTARIO'!R1055</f>
        <v>MODELO ISO</v>
      </c>
      <c r="Q1039" s="167" t="str">
        <f>'030523 INVENTARIO'!S1055</f>
        <v>Sin serie</v>
      </c>
      <c r="R1039" s="167" t="str">
        <f>'030523 INVENTARIO'!T1055</f>
        <v>82DJ0 511010017 000756031</v>
      </c>
    </row>
    <row r="1040" spans="5:18">
      <c r="E1040" s="167" t="str">
        <f>'030523 INVENTARIO'!E1056</f>
        <v>SILLON</v>
      </c>
      <c r="F1040" s="167" t="str">
        <f>'030523 INVENTARIO'!F1056</f>
        <v>SILLON EJECUTIVO AJUSTABLE VINIL COLOR NEGRO</v>
      </c>
      <c r="G1040" s="167" t="str">
        <f ca="1">'030523 INVENTARIO'!G1056</f>
        <v>P05DA-1055</v>
      </c>
      <c r="H1040" s="167">
        <f>'030523 INVENTARIO'!J1056</f>
        <v>0</v>
      </c>
      <c r="I1040" s="167">
        <f>'030523 INVENTARIO'!K1056</f>
        <v>0</v>
      </c>
      <c r="J1040" s="167">
        <f>'030523 INVENTARIO'!L1056</f>
        <v>0</v>
      </c>
      <c r="K1040" s="167">
        <f>'030523 INVENTARIO'!M1056</f>
        <v>0</v>
      </c>
      <c r="L1040" s="168">
        <f>'030523 INVENTARIO'!N1056</f>
        <v>0</v>
      </c>
      <c r="M1040" s="168">
        <f>'030523 INVENTARIO'!O1056</f>
        <v>0</v>
      </c>
      <c r="N1040" s="168">
        <f>'030523 INVENTARIO'!P1056</f>
        <v>0</v>
      </c>
      <c r="O1040" s="168" t="str">
        <f>'030523 INVENTARIO'!Q1056</f>
        <v>STILE</v>
      </c>
      <c r="P1040" s="167" t="str">
        <f>'030523 INVENTARIO'!R1056</f>
        <v>PABLO ALTO</v>
      </c>
      <c r="Q1040" s="167" t="str">
        <f>'030523 INVENTARIO'!S1056</f>
        <v>Sin serie</v>
      </c>
      <c r="R1040" s="167" t="str">
        <f>'030523 INVENTARIO'!T1056</f>
        <v>82DK0511010016000756028</v>
      </c>
    </row>
    <row r="1041" spans="5:18">
      <c r="E1041" s="167" t="str">
        <f>'030523 INVENTARIO'!E1057</f>
        <v>MONITOR</v>
      </c>
      <c r="F1041" s="167" t="str">
        <f>'030523 INVENTARIO'!F1057</f>
        <v>MONITOR LED DELL 21.5" NEGRO</v>
      </c>
      <c r="G1041" s="167" t="str">
        <f ca="1">'030523 INVENTARIO'!G1057</f>
        <v>P02PP-1056</v>
      </c>
      <c r="H1041" s="167">
        <f>'030523 INVENTARIO'!J1057</f>
        <v>0</v>
      </c>
      <c r="I1041" s="167">
        <f>'030523 INVENTARIO'!K1057</f>
        <v>0</v>
      </c>
      <c r="J1041" s="167">
        <f>'030523 INVENTARIO'!L1057</f>
        <v>0</v>
      </c>
      <c r="K1041" s="167">
        <f>'030523 INVENTARIO'!M1057</f>
        <v>0</v>
      </c>
      <c r="L1041" s="168">
        <f>'030523 INVENTARIO'!N1057</f>
        <v>0</v>
      </c>
      <c r="M1041" s="168">
        <f>'030523 INVENTARIO'!O1057</f>
        <v>0</v>
      </c>
      <c r="N1041" s="168">
        <f>'030523 INVENTARIO'!P1057</f>
        <v>0</v>
      </c>
      <c r="O1041" s="168" t="str">
        <f>'030523 INVENTARIO'!Q1057</f>
        <v>DELL</v>
      </c>
      <c r="P1041" s="167" t="str">
        <f>'030523 INVENTARIO'!R1057</f>
        <v>P2222H</v>
      </c>
      <c r="Q1041" s="167" t="str">
        <f>'030523 INVENTARIO'!S1057</f>
        <v>CN-OMVCKH-FCC00-2AM-ACTX-REV-A03</v>
      </c>
      <c r="R1041" s="167" t="str">
        <f>'030523 INVENTARIO'!T1057</f>
        <v>82DJ0515010013000734688</v>
      </c>
    </row>
    <row r="1042" spans="5:18">
      <c r="E1042" s="167" t="str">
        <f>'030523 INVENTARIO'!E1058</f>
        <v>COMPUTADORA DE ESCRITORIO</v>
      </c>
      <c r="F1042" s="167" t="str">
        <f>'030523 INVENTARIO'!F1058</f>
        <v>COMPUTADORA DE ESCRITORIO DELL VOSTRO</v>
      </c>
      <c r="G1042" s="167" t="str">
        <f ca="1">'030523 INVENTARIO'!G1058</f>
        <v>P02PP-1057</v>
      </c>
      <c r="H1042" s="167">
        <f>'030523 INVENTARIO'!J1058</f>
        <v>0</v>
      </c>
      <c r="I1042" s="167">
        <f>'030523 INVENTARIO'!K1058</f>
        <v>0</v>
      </c>
      <c r="J1042" s="167">
        <f>'030523 INVENTARIO'!L1058</f>
        <v>0</v>
      </c>
      <c r="K1042" s="167">
        <f>'030523 INVENTARIO'!M1058</f>
        <v>0</v>
      </c>
      <c r="L1042" s="168">
        <f>'030523 INVENTARIO'!N1058</f>
        <v>0</v>
      </c>
      <c r="M1042" s="168">
        <f>'030523 INVENTARIO'!O1058</f>
        <v>0</v>
      </c>
      <c r="N1042" s="168">
        <f>'030523 INVENTARIO'!P1058</f>
        <v>0</v>
      </c>
      <c r="O1042" s="168" t="str">
        <f>'030523 INVENTARIO'!Q1058</f>
        <v>DELL</v>
      </c>
      <c r="P1042" s="167" t="str">
        <f>'030523 INVENTARIO'!R1058</f>
        <v>VOSTRO 3710 D17S</v>
      </c>
      <c r="Q1042" s="167" t="str">
        <f>'030523 INVENTARIO'!S1058</f>
        <v>58858V3</v>
      </c>
      <c r="R1042" s="167" t="str">
        <f>'030523 INVENTARIO'!T1058</f>
        <v>82DJ0515010003000734687</v>
      </c>
    </row>
    <row r="1043" spans="5:18">
      <c r="E1043" s="167" t="str">
        <f>'030523 INVENTARIO'!E1059</f>
        <v>SILLA</v>
      </c>
      <c r="F1043" s="167" t="str">
        <f>'030523 INVENTARIO'!F1059</f>
        <v>SILLA DE VISITA MODELO ISO</v>
      </c>
      <c r="G1043" s="167" t="str">
        <f ca="1">'030523 INVENTARIO'!G1059</f>
        <v>P13SO-1058</v>
      </c>
      <c r="H1043" s="167">
        <f>'030523 INVENTARIO'!J1059</f>
        <v>0</v>
      </c>
      <c r="I1043" s="167">
        <f>'030523 INVENTARIO'!K1059</f>
        <v>0</v>
      </c>
      <c r="J1043" s="167">
        <f>'030523 INVENTARIO'!L1059</f>
        <v>0</v>
      </c>
      <c r="K1043" s="167">
        <f>'030523 INVENTARIO'!M1059</f>
        <v>0</v>
      </c>
      <c r="L1043" s="168">
        <f>'030523 INVENTARIO'!N1059</f>
        <v>0</v>
      </c>
      <c r="M1043" s="168">
        <f>'030523 INVENTARIO'!O1059</f>
        <v>0</v>
      </c>
      <c r="N1043" s="168">
        <f>'030523 INVENTARIO'!P1059</f>
        <v>0</v>
      </c>
      <c r="O1043" s="168" t="str">
        <f>'030523 INVENTARIO'!Q1059</f>
        <v>SIN MARCA</v>
      </c>
      <c r="P1043" s="167" t="str">
        <f>'030523 INVENTARIO'!R1059</f>
        <v>MODELO ISO</v>
      </c>
      <c r="Q1043" s="167" t="str">
        <f>'030523 INVENTARIO'!S1059</f>
        <v>SIN SERIE</v>
      </c>
      <c r="R1043" s="167" t="str">
        <f>'030523 INVENTARIO'!T1059</f>
        <v>82DI0511010017000712069</v>
      </c>
    </row>
    <row r="1044" spans="5:18">
      <c r="E1044" s="167" t="str">
        <f>'030523 INVENTARIO'!E1060</f>
        <v>SILLON</v>
      </c>
      <c r="F1044" s="167" t="str">
        <f>'030523 INVENTARIO'!F1060</f>
        <v>SILLON EJECUTIVO</v>
      </c>
      <c r="G1044" s="167" t="str">
        <f ca="1">'030523 INVENTARIO'!G1060</f>
        <v>P02PP-1059</v>
      </c>
      <c r="H1044" s="167">
        <f>'030523 INVENTARIO'!J1060</f>
        <v>0</v>
      </c>
      <c r="I1044" s="167">
        <f>'030523 INVENTARIO'!K1060</f>
        <v>0</v>
      </c>
      <c r="J1044" s="167">
        <f>'030523 INVENTARIO'!L1060</f>
        <v>0</v>
      </c>
      <c r="K1044" s="167">
        <f>'030523 INVENTARIO'!M1060</f>
        <v>0</v>
      </c>
      <c r="L1044" s="168">
        <f>'030523 INVENTARIO'!N1060</f>
        <v>0</v>
      </c>
      <c r="M1044" s="168">
        <f>'030523 INVENTARIO'!O1060</f>
        <v>0</v>
      </c>
      <c r="N1044" s="168">
        <f>'030523 INVENTARIO'!P1060</f>
        <v>0</v>
      </c>
      <c r="O1044" s="168" t="str">
        <f>'030523 INVENTARIO'!Q1060</f>
        <v>STILE</v>
      </c>
      <c r="P1044" s="167" t="str">
        <f>'030523 INVENTARIO'!R1060</f>
        <v>PABLO BAJO</v>
      </c>
      <c r="Q1044" s="167" t="str">
        <f>'030523 INVENTARIO'!S1060</f>
        <v>Sin serie</v>
      </c>
      <c r="R1044" s="167" t="str">
        <f>'030523 INVENTARIO'!T1060</f>
        <v>82DJ0 511010016 000734682</v>
      </c>
    </row>
    <row r="1045" spans="5:18">
      <c r="E1045" s="167" t="str">
        <f>'030523 INVENTARIO'!E1061</f>
        <v>MONITOR</v>
      </c>
      <c r="F1045" s="167" t="str">
        <f>'030523 INVENTARIO'!F1061</f>
        <v>MONITOR DELL NEGRO 21.5"</v>
      </c>
      <c r="G1045" s="167" t="str">
        <f ca="1">'030523 INVENTARIO'!G1061</f>
        <v>P13LP-1060</v>
      </c>
      <c r="H1045" s="167">
        <f>'030523 INVENTARIO'!J1061</f>
        <v>0</v>
      </c>
      <c r="I1045" s="167">
        <f>'030523 INVENTARIO'!K1061</f>
        <v>0</v>
      </c>
      <c r="J1045" s="167">
        <f>'030523 INVENTARIO'!L1061</f>
        <v>0</v>
      </c>
      <c r="K1045" s="167">
        <f>'030523 INVENTARIO'!M1061</f>
        <v>0</v>
      </c>
      <c r="L1045" s="168">
        <f>'030523 INVENTARIO'!N1061</f>
        <v>0</v>
      </c>
      <c r="M1045" s="168">
        <f>'030523 INVENTARIO'!O1061</f>
        <v>0</v>
      </c>
      <c r="N1045" s="168">
        <f>'030523 INVENTARIO'!P1061</f>
        <v>0</v>
      </c>
      <c r="O1045" s="168" t="str">
        <f>'030523 INVENTARIO'!Q1061</f>
        <v>DELL</v>
      </c>
      <c r="P1045" s="167" t="str">
        <f>'030523 INVENTARIO'!R1061</f>
        <v>E2222H</v>
      </c>
      <c r="Q1045" s="167" t="str">
        <f>'030523 INVENTARIO'!S1061</f>
        <v>CN-OMVCKH-FCC00-2AM-ADAX-A03</v>
      </c>
      <c r="R1045" s="167" t="str">
        <f>'030523 INVENTARIO'!T1061</f>
        <v>82D10-515010013-000734693</v>
      </c>
    </row>
    <row r="1046" spans="5:18">
      <c r="E1046" s="167" t="str">
        <f>'030523 INVENTARIO'!E1062</f>
        <v>COMPUTADORA DE ESCRITORIO</v>
      </c>
      <c r="F1046" s="167" t="str">
        <f>'030523 INVENTARIO'!F1062</f>
        <v xml:space="preserve">COMPUTADORA D ESCRITORIO DELL </v>
      </c>
      <c r="G1046" s="167" t="str">
        <f ca="1">'030523 INVENTARIO'!G1062</f>
        <v>P12PP-1061</v>
      </c>
      <c r="H1046" s="167">
        <f>'030523 INVENTARIO'!J1062</f>
        <v>0</v>
      </c>
      <c r="I1046" s="167">
        <f>'030523 INVENTARIO'!K1062</f>
        <v>0</v>
      </c>
      <c r="J1046" s="167">
        <f>'030523 INVENTARIO'!L1062</f>
        <v>0</v>
      </c>
      <c r="K1046" s="167">
        <f>'030523 INVENTARIO'!M1062</f>
        <v>0</v>
      </c>
      <c r="L1046" s="168">
        <f>'030523 INVENTARIO'!N1062</f>
        <v>0</v>
      </c>
      <c r="M1046" s="168">
        <f>'030523 INVENTARIO'!O1062</f>
        <v>0</v>
      </c>
      <c r="N1046" s="168">
        <f>'030523 INVENTARIO'!P1062</f>
        <v>0</v>
      </c>
      <c r="O1046" s="168" t="str">
        <f>'030523 INVENTARIO'!Q1062</f>
        <v>DELL</v>
      </c>
      <c r="P1046" s="167" t="str">
        <f>'030523 INVENTARIO'!R1062</f>
        <v>VOSTRO 3710</v>
      </c>
      <c r="Q1046" s="167" t="str">
        <f>'030523 INVENTARIO'!S1062</f>
        <v>93558V3</v>
      </c>
      <c r="R1046" s="168" t="str">
        <f>'030523 INVENTARIO'!T1062</f>
        <v>82DJ0515010003000734690</v>
      </c>
    </row>
    <row r="1047" spans="5:18">
      <c r="E1047" s="167" t="e">
        <f t="shared" ref="E1047:R1047" si="3">#REF!</f>
        <v>#REF!</v>
      </c>
      <c r="F1047" s="167" t="e">
        <f t="shared" si="3"/>
        <v>#REF!</v>
      </c>
      <c r="G1047" s="167" t="e">
        <f t="shared" si="3"/>
        <v>#REF!</v>
      </c>
      <c r="H1047" s="167" t="e">
        <f t="shared" si="3"/>
        <v>#REF!</v>
      </c>
      <c r="I1047" s="167" t="e">
        <f t="shared" si="3"/>
        <v>#REF!</v>
      </c>
      <c r="J1047" s="167" t="e">
        <f t="shared" si="3"/>
        <v>#REF!</v>
      </c>
      <c r="K1047" s="167" t="e">
        <f t="shared" si="3"/>
        <v>#REF!</v>
      </c>
      <c r="L1047" s="167" t="e">
        <f t="shared" si="3"/>
        <v>#REF!</v>
      </c>
      <c r="M1047" s="167" t="e">
        <f t="shared" si="3"/>
        <v>#REF!</v>
      </c>
      <c r="N1047" s="167" t="e">
        <f t="shared" si="3"/>
        <v>#REF!</v>
      </c>
      <c r="O1047" s="167" t="e">
        <f t="shared" si="3"/>
        <v>#REF!</v>
      </c>
      <c r="P1047" s="167" t="e">
        <f t="shared" si="3"/>
        <v>#REF!</v>
      </c>
      <c r="Q1047" s="167" t="e">
        <f t="shared" si="3"/>
        <v>#REF!</v>
      </c>
      <c r="R1047" s="167" t="e">
        <f t="shared" si="3"/>
        <v>#REF!</v>
      </c>
    </row>
    <row r="1048" spans="5:18">
      <c r="E1048" s="167" t="e">
        <f t="shared" ref="E1048:R1048" si="4">#REF!</f>
        <v>#REF!</v>
      </c>
      <c r="F1048" s="167" t="e">
        <f t="shared" si="4"/>
        <v>#REF!</v>
      </c>
      <c r="G1048" s="167" t="e">
        <f t="shared" si="4"/>
        <v>#REF!</v>
      </c>
      <c r="H1048" s="167" t="e">
        <f t="shared" si="4"/>
        <v>#REF!</v>
      </c>
      <c r="I1048" s="167" t="e">
        <f t="shared" si="4"/>
        <v>#REF!</v>
      </c>
      <c r="J1048" s="167" t="e">
        <f t="shared" si="4"/>
        <v>#REF!</v>
      </c>
      <c r="K1048" s="167" t="e">
        <f t="shared" si="4"/>
        <v>#REF!</v>
      </c>
      <c r="L1048" s="167" t="e">
        <f t="shared" si="4"/>
        <v>#REF!</v>
      </c>
      <c r="M1048" s="167" t="e">
        <f t="shared" si="4"/>
        <v>#REF!</v>
      </c>
      <c r="N1048" s="167" t="e">
        <f t="shared" si="4"/>
        <v>#REF!</v>
      </c>
      <c r="O1048" s="167" t="e">
        <f t="shared" si="4"/>
        <v>#REF!</v>
      </c>
      <c r="P1048" s="167" t="e">
        <f t="shared" si="4"/>
        <v>#REF!</v>
      </c>
      <c r="Q1048" s="167" t="e">
        <f t="shared" si="4"/>
        <v>#REF!</v>
      </c>
      <c r="R1048" s="167" t="e">
        <f t="shared" si="4"/>
        <v>#REF!</v>
      </c>
    </row>
    <row r="1049" spans="5:18">
      <c r="E1049" s="167" t="str">
        <f>'030523 INVENTARIO'!E1063</f>
        <v>SILLON</v>
      </c>
      <c r="F1049" s="167" t="str">
        <f>'030523 INVENTARIO'!F1063</f>
        <v>SILLON EJECUTIVO OFICINA AJUSTABLE TELA NEGRO</v>
      </c>
      <c r="G1049" s="167" t="str">
        <f ca="1">'030523 INVENTARIO'!G1063</f>
        <v>P05DA-1062</v>
      </c>
      <c r="H1049" s="167">
        <f>'030523 INVENTARIO'!J1063</f>
        <v>0</v>
      </c>
      <c r="I1049" s="167">
        <f>'030523 INVENTARIO'!K1063</f>
        <v>0</v>
      </c>
      <c r="J1049" s="167">
        <f>'030523 INVENTARIO'!L1063</f>
        <v>0</v>
      </c>
      <c r="K1049" s="167">
        <f>'030523 INVENTARIO'!M1063</f>
        <v>0</v>
      </c>
      <c r="L1049" s="168">
        <f>'030523 INVENTARIO'!N1063</f>
        <v>0</v>
      </c>
      <c r="M1049" s="168">
        <f>'030523 INVENTARIO'!O1063</f>
        <v>0</v>
      </c>
      <c r="N1049" s="168">
        <f>'030523 INVENTARIO'!P1063</f>
        <v>0</v>
      </c>
      <c r="O1049" s="168" t="str">
        <f>'030523 INVENTARIO'!Q1063</f>
        <v>STILE</v>
      </c>
      <c r="P1049" s="167" t="str">
        <f>'030523 INVENTARIO'!R1063</f>
        <v>VALENTINA ALTO</v>
      </c>
      <c r="Q1049" s="167" t="str">
        <f>'030523 INVENTARIO'!S1063</f>
        <v>SIN SERIE</v>
      </c>
      <c r="R1049" s="167" t="str">
        <f>'030523 INVENTARIO'!T1063</f>
        <v>82DK0511010016000756027</v>
      </c>
    </row>
    <row r="1050" spans="5:18">
      <c r="E1050" s="167" t="str">
        <f>'030523 INVENTARIO'!E1064</f>
        <v>SILLON</v>
      </c>
      <c r="F1050" s="167" t="str">
        <f>'030523 INVENTARIO'!F1064</f>
        <v>SILLON EJECUTUVO OFICINA AJUSTABLE VINIL PU NEGRO</v>
      </c>
      <c r="G1050" s="167" t="str">
        <f ca="1">'030523 INVENTARIO'!G1064</f>
        <v>P03CV-1063</v>
      </c>
      <c r="H1050" s="167">
        <f>'030523 INVENTARIO'!J1064</f>
        <v>0</v>
      </c>
      <c r="I1050" s="167">
        <f>'030523 INVENTARIO'!K1064</f>
        <v>0</v>
      </c>
      <c r="J1050" s="167">
        <f>'030523 INVENTARIO'!L1064</f>
        <v>0</v>
      </c>
      <c r="K1050" s="167">
        <f>'030523 INVENTARIO'!M1064</f>
        <v>0</v>
      </c>
      <c r="L1050" s="168">
        <f>'030523 INVENTARIO'!N1064</f>
        <v>0</v>
      </c>
      <c r="M1050" s="168">
        <f>'030523 INVENTARIO'!O1064</f>
        <v>0</v>
      </c>
      <c r="N1050" s="168">
        <f>'030523 INVENTARIO'!P1064</f>
        <v>0</v>
      </c>
      <c r="O1050" s="168" t="str">
        <f>'030523 INVENTARIO'!Q1064</f>
        <v>STILE</v>
      </c>
      <c r="P1050" s="167" t="str">
        <f>'030523 INVENTARIO'!R1064</f>
        <v>VALENTINA ALTO</v>
      </c>
      <c r="Q1050" s="167" t="str">
        <f>'030523 INVENTARIO'!S1064</f>
        <v>SIN SERIE</v>
      </c>
      <c r="R1050" s="167" t="str">
        <f>'030523 INVENTARIO'!T1064</f>
        <v>82DI0 511010016 000757472</v>
      </c>
    </row>
    <row r="1051" spans="5:18">
      <c r="E1051" s="167" t="str">
        <f>'030523 INVENTARIO'!E1065</f>
        <v>SILLA</v>
      </c>
      <c r="F1051" s="167" t="str">
        <f>'030523 INVENTARIO'!F1065</f>
        <v>SILLA FIJA DE TELA NEGRA TIPO ISSO</v>
      </c>
      <c r="G1051" s="167" t="str">
        <f ca="1">'030523 INVENTARIO'!G1065</f>
        <v>P13SO-1064</v>
      </c>
      <c r="H1051" s="167">
        <f>'030523 INVENTARIO'!J1065</f>
        <v>0</v>
      </c>
      <c r="I1051" s="167">
        <f>'030523 INVENTARIO'!K1065</f>
        <v>0</v>
      </c>
      <c r="J1051" s="167">
        <f>'030523 INVENTARIO'!L1065</f>
        <v>0</v>
      </c>
      <c r="K1051" s="167">
        <f>'030523 INVENTARIO'!M1065</f>
        <v>0</v>
      </c>
      <c r="L1051" s="168">
        <f>'030523 INVENTARIO'!N1065</f>
        <v>0</v>
      </c>
      <c r="M1051" s="168">
        <f>'030523 INVENTARIO'!O1065</f>
        <v>0</v>
      </c>
      <c r="N1051" s="168">
        <f>'030523 INVENTARIO'!P1065</f>
        <v>0</v>
      </c>
      <c r="O1051" s="168" t="str">
        <f>'030523 INVENTARIO'!Q1065</f>
        <v>S/M</v>
      </c>
      <c r="P1051" s="167" t="str">
        <f>'030523 INVENTARIO'!R1065</f>
        <v>MODELO ISSO</v>
      </c>
      <c r="Q1051" s="167" t="str">
        <f>'030523 INVENTARIO'!S1065</f>
        <v>SIN SERIE</v>
      </c>
      <c r="R1051" s="167" t="str">
        <f>'030523 INVENTARIO'!T1065</f>
        <v>82DI0511010017000712066</v>
      </c>
    </row>
    <row r="1052" spans="5:18">
      <c r="E1052" s="167" t="str">
        <f>'030523 INVENTARIO'!E1066</f>
        <v>SILLA</v>
      </c>
      <c r="F1052" s="167" t="str">
        <f>'030523 INVENTARIO'!F1066</f>
        <v>SILLA FIJA DE TELA NEGRA TIPO ISSO</v>
      </c>
      <c r="G1052" s="167" t="str">
        <f ca="1">'030523 INVENTARIO'!G1066</f>
        <v>P13SO-1065</v>
      </c>
      <c r="H1052" s="167">
        <f>'030523 INVENTARIO'!J1066</f>
        <v>0</v>
      </c>
      <c r="I1052" s="167">
        <f>'030523 INVENTARIO'!K1066</f>
        <v>0</v>
      </c>
      <c r="J1052" s="167">
        <f>'030523 INVENTARIO'!L1066</f>
        <v>0</v>
      </c>
      <c r="K1052" s="167">
        <f>'030523 INVENTARIO'!M1066</f>
        <v>0</v>
      </c>
      <c r="L1052" s="168">
        <f>'030523 INVENTARIO'!N1066</f>
        <v>0</v>
      </c>
      <c r="M1052" s="168">
        <f>'030523 INVENTARIO'!O1066</f>
        <v>0</v>
      </c>
      <c r="N1052" s="168">
        <f>'030523 INVENTARIO'!P1066</f>
        <v>0</v>
      </c>
      <c r="O1052" s="168" t="str">
        <f>'030523 INVENTARIO'!Q1066</f>
        <v>S/M</v>
      </c>
      <c r="P1052" s="167" t="str">
        <f>'030523 INVENTARIO'!R1066</f>
        <v>MODELO ISSO</v>
      </c>
      <c r="Q1052" s="167" t="str">
        <f>'030523 INVENTARIO'!S1066</f>
        <v>SIN SERIE</v>
      </c>
      <c r="R1052" s="167" t="str">
        <f>'030523 INVENTARIO'!T1066</f>
        <v>82DI0511010017000712070</v>
      </c>
    </row>
    <row r="1053" spans="5:18">
      <c r="E1053" s="167" t="str">
        <f>'030523 INVENTARIO'!E1067</f>
        <v>SILLA</v>
      </c>
      <c r="F1053" s="167" t="str">
        <f>'030523 INVENTARIO'!F1067</f>
        <v>SILLON EJECUTIVO</v>
      </c>
      <c r="G1053" s="167" t="str">
        <f ca="1">'030523 INVENTARIO'!G1067</f>
        <v>P12ST-1066</v>
      </c>
      <c r="H1053" s="167">
        <f>'030523 INVENTARIO'!J1067</f>
        <v>0</v>
      </c>
      <c r="I1053" s="167">
        <f>'030523 INVENTARIO'!K1067</f>
        <v>0</v>
      </c>
      <c r="J1053" s="167">
        <f>'030523 INVENTARIO'!L1067</f>
        <v>0</v>
      </c>
      <c r="K1053" s="167">
        <f>'030523 INVENTARIO'!M1067</f>
        <v>0</v>
      </c>
      <c r="L1053" s="168">
        <f>'030523 INVENTARIO'!N1067</f>
        <v>0</v>
      </c>
      <c r="M1053" s="168">
        <f>'030523 INVENTARIO'!O1067</f>
        <v>0</v>
      </c>
      <c r="N1053" s="168">
        <f>'030523 INVENTARIO'!P1067</f>
        <v>0</v>
      </c>
      <c r="O1053" s="168" t="str">
        <f>'030523 INVENTARIO'!Q1067</f>
        <v>SIN MARCA</v>
      </c>
      <c r="P1053" s="167" t="str">
        <f>'030523 INVENTARIO'!R1067</f>
        <v>MODELO ISO</v>
      </c>
      <c r="Q1053" s="167" t="str">
        <f>'030523 INVENTARIO'!S1067</f>
        <v>SIN SERIE</v>
      </c>
      <c r="R1053" s="167" t="str">
        <f>'030523 INVENTARIO'!T1067</f>
        <v>82DJ0 511010016 000735470</v>
      </c>
    </row>
    <row r="1054" spans="5:18">
      <c r="E1054" s="167" t="str">
        <f>'030523 INVENTARIO'!E1068</f>
        <v>SILLA</v>
      </c>
      <c r="F1054" s="167" t="str">
        <f>'030523 INVENTARIO'!F1068</f>
        <v>SILLA FIJA DE TELA NEGRA TIPO ISSO</v>
      </c>
      <c r="G1054" s="167" t="str">
        <f ca="1">'030523 INVENTARIO'!G1068</f>
        <v>P13SO-1067</v>
      </c>
      <c r="H1054" s="167">
        <f>'030523 INVENTARIO'!J1068</f>
        <v>0</v>
      </c>
      <c r="I1054" s="167">
        <f>'030523 INVENTARIO'!K1068</f>
        <v>0</v>
      </c>
      <c r="J1054" s="167">
        <f>'030523 INVENTARIO'!L1068</f>
        <v>0</v>
      </c>
      <c r="K1054" s="167">
        <f>'030523 INVENTARIO'!M1068</f>
        <v>0</v>
      </c>
      <c r="L1054" s="168">
        <f>'030523 INVENTARIO'!N1068</f>
        <v>0</v>
      </c>
      <c r="M1054" s="168">
        <f>'030523 INVENTARIO'!O1068</f>
        <v>0</v>
      </c>
      <c r="N1054" s="168">
        <f>'030523 INVENTARIO'!P1068</f>
        <v>0</v>
      </c>
      <c r="O1054" s="168" t="str">
        <f>'030523 INVENTARIO'!Q1068</f>
        <v>S/M</v>
      </c>
      <c r="P1054" s="167" t="str">
        <f>'030523 INVENTARIO'!R1068</f>
        <v>MODELO ISSO</v>
      </c>
      <c r="Q1054" s="167" t="str">
        <f>'030523 INVENTARIO'!S1068</f>
        <v>SIN SERIE</v>
      </c>
      <c r="R1054" s="167" t="str">
        <f>'030523 INVENTARIO'!T1068</f>
        <v>82DI0511010017000712071</v>
      </c>
    </row>
    <row r="1055" spans="5:18">
      <c r="E1055" s="167" t="str">
        <f>'030523 INVENTARIO'!E1069</f>
        <v>SILLON</v>
      </c>
      <c r="F1055" s="167" t="str">
        <f>'030523 INVENTARIO'!F1069</f>
        <v>SILLON DE OFICINA ERGONOMICO NEGRO</v>
      </c>
      <c r="G1055" s="167" t="str">
        <f ca="1">'030523 INVENTARIO'!G1069</f>
        <v>P13IR-1068</v>
      </c>
      <c r="H1055" s="167">
        <f>'030523 INVENTARIO'!J1069</f>
        <v>0</v>
      </c>
      <c r="I1055" s="167">
        <f>'030523 INVENTARIO'!K1069</f>
        <v>0</v>
      </c>
      <c r="J1055" s="167">
        <f>'030523 INVENTARIO'!L1069</f>
        <v>0</v>
      </c>
      <c r="K1055" s="167">
        <f>'030523 INVENTARIO'!M1069</f>
        <v>0</v>
      </c>
      <c r="L1055" s="168">
        <f>'030523 INVENTARIO'!N1069</f>
        <v>0</v>
      </c>
      <c r="M1055" s="168">
        <f>'030523 INVENTARIO'!O1069</f>
        <v>0</v>
      </c>
      <c r="N1055" s="168">
        <f>'030523 INVENTARIO'!P1069</f>
        <v>0</v>
      </c>
      <c r="O1055" s="168" t="str">
        <f>'030523 INVENTARIO'!Q1069</f>
        <v>STILE</v>
      </c>
      <c r="P1055" s="167" t="str">
        <f>'030523 INVENTARIO'!R1069</f>
        <v>SAMOS</v>
      </c>
      <c r="Q1055" s="167" t="str">
        <f>'030523 INVENTARIO'!S1069</f>
        <v>SIN SERIE</v>
      </c>
      <c r="R1055" s="167" t="str">
        <f>'030523 INVENTARIO'!T1069</f>
        <v>82DI0511010016000734683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5</vt:i4>
      </vt:variant>
    </vt:vector>
  </HeadingPairs>
  <TitlesOfParts>
    <vt:vector size="22" baseType="lpstr">
      <vt:lpstr>030523 INVENTARIO</vt:lpstr>
      <vt:lpstr>INVENTARIO 2024</vt:lpstr>
      <vt:lpstr>Copia de 030523 INVENTARIO </vt:lpstr>
      <vt:lpstr>Diferencias patrimonio 2023</vt:lpstr>
      <vt:lpstr>Patrimonio 2023</vt:lpstr>
      <vt:lpstr>resultados comparación</vt:lpstr>
      <vt:lpstr>Copia de 030523 INVENTARIO 0503</vt:lpstr>
      <vt:lpstr>221123 INVENTARIO</vt:lpstr>
      <vt:lpstr>conciliacion patrimonio</vt:lpstr>
      <vt:lpstr>saacg nov2023</vt:lpstr>
      <vt:lpstr>Copia de PRUEBAS</vt:lpstr>
      <vt:lpstr>Hoja 4</vt:lpstr>
      <vt:lpstr>Hoja 5</vt:lpstr>
      <vt:lpstr>Hoja 8</vt:lpstr>
      <vt:lpstr>verifsaacg</vt:lpstr>
      <vt:lpstr>DATOSRESG</vt:lpstr>
      <vt:lpstr>Hoja 14</vt:lpstr>
      <vt:lpstr>'221123 INVENTARIO'!DB_BIENES</vt:lpstr>
      <vt:lpstr>'Copia de 030523 INVENTARIO '!DB_BIENES</vt:lpstr>
      <vt:lpstr>'Copia de 030523 INVENTARIO 0503'!DB_BIENES</vt:lpstr>
      <vt:lpstr>'INVENTARIO 2024'!DB_BIENES</vt:lpstr>
      <vt:lpstr>DB_BIENES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PB5RM009</dc:creator>
  <cp:lastModifiedBy>Usuario 11</cp:lastModifiedBy>
  <dcterms:created xsi:type="dcterms:W3CDTF">2024-11-12T21:01:59Z</dcterms:created>
  <dcterms:modified xsi:type="dcterms:W3CDTF">2025-02-13T19:31:57Z</dcterms:modified>
</cp:coreProperties>
</file>